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6.xml" ContentType="application/vnd.openxmlformats-officedocument.spreadsheetml.workshee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4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5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5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.xml" ContentType="application/vnd.openxmlformats-officedocument.spreadsheetml.externalLink+xml"/>
  <Override PartName="/xl/comments2.xml" ContentType="application/vnd.openxmlformats-officedocument.spreadsheetml.comments+xml"/>
  <Override PartName="/xl/externalLinks/externalLink10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9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omments3.xml" ContentType="application/vnd.openxmlformats-officedocument.spreadsheetml.comments+xml"/>
  <Override PartName="/xl/externalLinks/externalLink7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externalLinks/externalLink13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4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10155" yWindow="1320" windowWidth="14940" windowHeight="10875" firstSheet="11" activeTab="7"/>
  </bookViews>
  <sheets>
    <sheet name="Exh No.__(JRS-16) Table A p1" sheetId="12783" r:id="rId1"/>
    <sheet name="Exh No.__(JRS-16) Table B p2" sheetId="12848" r:id="rId2"/>
    <sheet name="Exh No.__(JRS-16) Table C p3" sheetId="12849" r:id="rId3"/>
    <sheet name="Exh No.__(JRS-17) p1-10" sheetId="12843" r:id="rId4"/>
    <sheet name="Exh No.__(JRS-17) p11" sheetId="12842" r:id="rId5"/>
    <sheet name="Exh No.__(JRS-17) p12" sheetId="12826" r:id="rId6"/>
    <sheet name="Exh No.__(JRS-17) p13" sheetId="12785" r:id="rId7"/>
    <sheet name="Exh No.__(JRS-18) p1" sheetId="12833" r:id="rId8"/>
    <sheet name="Exh No.__(JRS-18) p2" sheetId="12847" r:id="rId9"/>
    <sheet name="Exh No.__(JRS-18) p3" sheetId="12769" r:id="rId10"/>
    <sheet name="Exh No.__(JRS-18) p4" sheetId="12770" r:id="rId11"/>
    <sheet name="Exh No.__(JRS-18) p5" sheetId="12771" r:id="rId12"/>
    <sheet name="Exh No.__(JRS-18) p6" sheetId="12772" r:id="rId13"/>
    <sheet name="Exh No.__(JRS-18) p7" sheetId="12773" r:id="rId14"/>
    <sheet name="Exh No.__(JRS-18) p8" sheetId="12791" r:id="rId15"/>
    <sheet name="Stop Here" sheetId="12832" r:id="rId16"/>
    <sheet name="Rate Design Work" sheetId="12767" r:id="rId17"/>
    <sheet name="Rate Spread targets" sheetId="12831" r:id="rId18"/>
    <sheet name="NPC Spread" sheetId="12828" r:id="rId19"/>
    <sheet name="COS versus rates" sheetId="12845" r:id="rId20"/>
    <sheet name="Schedule 36 filed method" sheetId="12850" r:id="rId21"/>
    <sheet name="by rate" sheetId="12844" r:id="rId22"/>
    <sheet name="Table 1-Revenues" sheetId="12809" r:id="rId23"/>
    <sheet name="Table 1 - kWh" sheetId="12810" r:id="rId24"/>
    <sheet name="Table 2" sheetId="12811" r:id="rId25"/>
    <sheet name="Table 3" sheetId="12812" r:id="rId26"/>
    <sheet name="Temperature" sheetId="12822" r:id="rId27"/>
    <sheet name="Temp. Adjustments" sheetId="12840" r:id="rId28"/>
    <sheet name="305 VS COGNOS Revenue" sheetId="12764" r:id="rId29"/>
    <sheet name="305 VS COGNOS kWh" sheetId="12763" r:id="rId30"/>
    <sheet name="Normalized Monthly revenue" sheetId="12774" r:id="rId31"/>
    <sheet name="Normalized Monthly kWh" sheetId="12775" r:id="rId32"/>
    <sheet name="305 Inputs" sheetId="12813" r:id="rId33"/>
    <sheet name="December 305 13" sheetId="12834" r:id="rId34"/>
    <sheet name="WA SBC" sheetId="12839" r:id="rId35"/>
    <sheet name="Exhibit No._(JRS-4) old" sheetId="12841" r:id="rId36"/>
    <sheet name="Table A by class" sheetId="12837" r:id="rId37"/>
    <sheet name="Rate Design prior GRC" sheetId="12838" r:id="rId38"/>
    <sheet name="SBC (Old)" sheetId="12761" state="hidden" r:id="rId39"/>
    <sheet name="Billing Determinants (2)" sheetId="12787" state="hidden" r:id="rId40"/>
    <sheet name="Blocking - detail" sheetId="12766" state="hidden" r:id="rId41"/>
  </sheets>
  <externalReferences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</externalReferences>
  <definedNames>
    <definedName name="\0" localSheetId="1">[1]Jan!#REF!</definedName>
    <definedName name="\0" localSheetId="2">[1]Jan!#REF!</definedName>
    <definedName name="\0" localSheetId="4">[1]Jan!#REF!</definedName>
    <definedName name="\0" localSheetId="3">[1]Jan!#REF!</definedName>
    <definedName name="\0" localSheetId="5">[1]Jan!#REF!</definedName>
    <definedName name="\0" localSheetId="7">[1]Jan!#REF!</definedName>
    <definedName name="\0" localSheetId="8">[1]Jan!#REF!</definedName>
    <definedName name="\0" localSheetId="17">[1]Jan!#REF!</definedName>
    <definedName name="\0" localSheetId="20">[1]Jan!#REF!</definedName>
    <definedName name="\0" localSheetId="36">[1]Jan!#REF!</definedName>
    <definedName name="\0">[1]Jan!#REF!</definedName>
    <definedName name="\A" localSheetId="1">#REF!</definedName>
    <definedName name="\A" localSheetId="2">#REF!</definedName>
    <definedName name="\A" localSheetId="4">#REF!</definedName>
    <definedName name="\A" localSheetId="3">#REF!</definedName>
    <definedName name="\A" localSheetId="5">#REF!</definedName>
    <definedName name="\A" localSheetId="7">#REF!</definedName>
    <definedName name="\A" localSheetId="8">#REF!</definedName>
    <definedName name="\A" localSheetId="17">#REF!</definedName>
    <definedName name="\A" localSheetId="20">#REF!</definedName>
    <definedName name="\A">#REF!</definedName>
    <definedName name="\B" localSheetId="1">#REF!</definedName>
    <definedName name="\B" localSheetId="2">#REF!</definedName>
    <definedName name="\B" localSheetId="3">#REF!</definedName>
    <definedName name="\B" localSheetId="5">#REF!</definedName>
    <definedName name="\B" localSheetId="7">#REF!</definedName>
    <definedName name="\B" localSheetId="8">#REF!</definedName>
    <definedName name="\B" localSheetId="17">#REF!</definedName>
    <definedName name="\B" localSheetId="20">#REF!</definedName>
    <definedName name="\B">#REF!</definedName>
    <definedName name="\BACK1" localSheetId="1">#REF!</definedName>
    <definedName name="\BACK1" localSheetId="2">#REF!</definedName>
    <definedName name="\BACK1" localSheetId="3">#REF!</definedName>
    <definedName name="\BACK1" localSheetId="5">#REF!</definedName>
    <definedName name="\BACK1" localSheetId="7">#REF!</definedName>
    <definedName name="\BACK1" localSheetId="8">#REF!</definedName>
    <definedName name="\BACK1" localSheetId="17">#REF!</definedName>
    <definedName name="\BACK1" localSheetId="20">#REF!</definedName>
    <definedName name="\BACK1" localSheetId="26">#REF!</definedName>
    <definedName name="\BACK1">#REF!</definedName>
    <definedName name="\BLOCK" localSheetId="1">#REF!</definedName>
    <definedName name="\BLOCK" localSheetId="2">#REF!</definedName>
    <definedName name="\BLOCK" localSheetId="3">#REF!</definedName>
    <definedName name="\BLOCK" localSheetId="5">#REF!</definedName>
    <definedName name="\BLOCK" localSheetId="7">#REF!</definedName>
    <definedName name="\BLOCK" localSheetId="8">#REF!</definedName>
    <definedName name="\BLOCK" localSheetId="17">#REF!</definedName>
    <definedName name="\BLOCK" localSheetId="20">#REF!</definedName>
    <definedName name="\BLOCK" localSheetId="26">#REF!</definedName>
    <definedName name="\BLOCK">#REF!</definedName>
    <definedName name="\BLOCKT" localSheetId="1">#REF!</definedName>
    <definedName name="\BLOCKT" localSheetId="2">#REF!</definedName>
    <definedName name="\BLOCKT" localSheetId="3">#REF!</definedName>
    <definedName name="\BLOCKT" localSheetId="5">#REF!</definedName>
    <definedName name="\BLOCKT" localSheetId="7">#REF!</definedName>
    <definedName name="\BLOCKT" localSheetId="8">#REF!</definedName>
    <definedName name="\BLOCKT" localSheetId="17">#REF!</definedName>
    <definedName name="\BLOCKT" localSheetId="20">#REF!</definedName>
    <definedName name="\BLOCKT" localSheetId="26">#REF!</definedName>
    <definedName name="\BLOCKT">#REF!</definedName>
    <definedName name="\C" localSheetId="1">#REF!</definedName>
    <definedName name="\C" localSheetId="2">#REF!</definedName>
    <definedName name="\C" localSheetId="3">#REF!</definedName>
    <definedName name="\C" localSheetId="5">#REF!</definedName>
    <definedName name="\C" localSheetId="7">#REF!</definedName>
    <definedName name="\C" localSheetId="8">#REF!</definedName>
    <definedName name="\C" localSheetId="17">#REF!</definedName>
    <definedName name="\C" localSheetId="20">#REF!</definedName>
    <definedName name="\C">#REF!</definedName>
    <definedName name="\COMP" localSheetId="1">#REF!</definedName>
    <definedName name="\COMP" localSheetId="2">#REF!</definedName>
    <definedName name="\COMP" localSheetId="3">#REF!</definedName>
    <definedName name="\COMP" localSheetId="5">#REF!</definedName>
    <definedName name="\COMP" localSheetId="7">#REF!</definedName>
    <definedName name="\COMP" localSheetId="8">#REF!</definedName>
    <definedName name="\COMP" localSheetId="17">#REF!</definedName>
    <definedName name="\COMP" localSheetId="20">#REF!</definedName>
    <definedName name="\COMP">#REF!</definedName>
    <definedName name="\COMPT" localSheetId="1">#REF!</definedName>
    <definedName name="\COMPT" localSheetId="2">#REF!</definedName>
    <definedName name="\COMPT" localSheetId="3">#REF!</definedName>
    <definedName name="\COMPT" localSheetId="5">#REF!</definedName>
    <definedName name="\COMPT" localSheetId="7">#REF!</definedName>
    <definedName name="\COMPT" localSheetId="8">#REF!</definedName>
    <definedName name="\COMPT" localSheetId="17">#REF!</definedName>
    <definedName name="\COMPT" localSheetId="20">#REF!</definedName>
    <definedName name="\COMPT">#REF!</definedName>
    <definedName name="\G" localSheetId="1">#REF!</definedName>
    <definedName name="\G" localSheetId="2">#REF!</definedName>
    <definedName name="\G" localSheetId="3">#REF!</definedName>
    <definedName name="\G" localSheetId="5">#REF!</definedName>
    <definedName name="\G" localSheetId="7">#REF!</definedName>
    <definedName name="\G" localSheetId="8">#REF!</definedName>
    <definedName name="\G" localSheetId="17">#REF!</definedName>
    <definedName name="\G" localSheetId="20">#REF!</definedName>
    <definedName name="\G">#REF!</definedName>
    <definedName name="\I" localSheetId="1">#REF!</definedName>
    <definedName name="\I" localSheetId="2">#REF!</definedName>
    <definedName name="\I" localSheetId="3">#REF!</definedName>
    <definedName name="\I" localSheetId="5">#REF!</definedName>
    <definedName name="\I" localSheetId="7">#REF!</definedName>
    <definedName name="\I" localSheetId="8">#REF!</definedName>
    <definedName name="\I" localSheetId="17">#REF!</definedName>
    <definedName name="\I" localSheetId="20">#REF!</definedName>
    <definedName name="\I">#REF!</definedName>
    <definedName name="\K" localSheetId="1">#REF!</definedName>
    <definedName name="\K" localSheetId="2">#REF!</definedName>
    <definedName name="\K" localSheetId="3">#REF!</definedName>
    <definedName name="\K" localSheetId="5">#REF!</definedName>
    <definedName name="\K" localSheetId="7">#REF!</definedName>
    <definedName name="\K" localSheetId="8">#REF!</definedName>
    <definedName name="\K" localSheetId="17">#REF!</definedName>
    <definedName name="\K" localSheetId="20">#REF!</definedName>
    <definedName name="\K">#REF!</definedName>
    <definedName name="\L" localSheetId="1">#REF!</definedName>
    <definedName name="\L" localSheetId="2">#REF!</definedName>
    <definedName name="\L" localSheetId="3">#REF!</definedName>
    <definedName name="\L" localSheetId="5">#REF!</definedName>
    <definedName name="\L" localSheetId="7">#REF!</definedName>
    <definedName name="\L" localSheetId="8">#REF!</definedName>
    <definedName name="\L" localSheetId="17">#REF!</definedName>
    <definedName name="\L" localSheetId="20">#REF!</definedName>
    <definedName name="\L">#REF!</definedName>
    <definedName name="\M" localSheetId="1">#REF!</definedName>
    <definedName name="\M" localSheetId="2">#REF!</definedName>
    <definedName name="\M" localSheetId="3">#REF!</definedName>
    <definedName name="\M" localSheetId="5">#REF!</definedName>
    <definedName name="\M" localSheetId="7">#REF!</definedName>
    <definedName name="\M" localSheetId="8">#REF!</definedName>
    <definedName name="\M" localSheetId="17">#REF!</definedName>
    <definedName name="\M" localSheetId="20">#REF!</definedName>
    <definedName name="\M">#REF!</definedName>
    <definedName name="\P" localSheetId="1">#REF!</definedName>
    <definedName name="\P" localSheetId="2">#REF!</definedName>
    <definedName name="\P" localSheetId="3">#REF!</definedName>
    <definedName name="\P" localSheetId="5">#REF!</definedName>
    <definedName name="\P" localSheetId="7">#REF!</definedName>
    <definedName name="\P" localSheetId="8">#REF!</definedName>
    <definedName name="\P" localSheetId="17">#REF!</definedName>
    <definedName name="\P" localSheetId="20">#REF!</definedName>
    <definedName name="\P">#REF!</definedName>
    <definedName name="\Q" localSheetId="1">[2]Actual!#REF!</definedName>
    <definedName name="\Q" localSheetId="2">[2]Actual!#REF!</definedName>
    <definedName name="\Q" localSheetId="4">[2]Actual!#REF!</definedName>
    <definedName name="\Q" localSheetId="3">[2]Actual!#REF!</definedName>
    <definedName name="\Q" localSheetId="5">[2]Actual!#REF!</definedName>
    <definedName name="\Q" localSheetId="7">[2]Actual!#REF!</definedName>
    <definedName name="\Q" localSheetId="8">[2]Actual!#REF!</definedName>
    <definedName name="\Q" localSheetId="37">[2]Actual!#REF!</definedName>
    <definedName name="\Q" localSheetId="17">[2]Actual!#REF!</definedName>
    <definedName name="\Q" localSheetId="20">[2]Actual!#REF!</definedName>
    <definedName name="\Q" localSheetId="36">[3]Actual!#REF!</definedName>
    <definedName name="\Q">[2]Actual!#REF!</definedName>
    <definedName name="\R" localSheetId="1">#REF!</definedName>
    <definedName name="\R" localSheetId="2">#REF!</definedName>
    <definedName name="\R" localSheetId="4">#REF!</definedName>
    <definedName name="\R" localSheetId="3">#REF!</definedName>
    <definedName name="\R" localSheetId="5">#REF!</definedName>
    <definedName name="\R" localSheetId="7">#REF!</definedName>
    <definedName name="\R" localSheetId="8">#REF!</definedName>
    <definedName name="\R" localSheetId="17">#REF!</definedName>
    <definedName name="\R" localSheetId="20">#REF!</definedName>
    <definedName name="\R">#REF!</definedName>
    <definedName name="\S" localSheetId="1">#REF!</definedName>
    <definedName name="\S" localSheetId="2">#REF!</definedName>
    <definedName name="\S" localSheetId="3">#REF!</definedName>
    <definedName name="\S" localSheetId="5">#REF!</definedName>
    <definedName name="\S" localSheetId="7">#REF!</definedName>
    <definedName name="\S" localSheetId="8">#REF!</definedName>
    <definedName name="\S" localSheetId="17">#REF!</definedName>
    <definedName name="\S" localSheetId="20">#REF!</definedName>
    <definedName name="\S">#REF!</definedName>
    <definedName name="\TABLE1" localSheetId="1">#REF!</definedName>
    <definedName name="\TABLE1" localSheetId="2">#REF!</definedName>
    <definedName name="\TABLE1" localSheetId="3">#REF!</definedName>
    <definedName name="\TABLE1" localSheetId="5">#REF!</definedName>
    <definedName name="\TABLE1" localSheetId="7">#REF!</definedName>
    <definedName name="\TABLE1" localSheetId="8">#REF!</definedName>
    <definedName name="\TABLE1" localSheetId="17">#REF!</definedName>
    <definedName name="\TABLE1" localSheetId="20">#REF!</definedName>
    <definedName name="\TABLE1">#REF!</definedName>
    <definedName name="\TABLE2" localSheetId="1">#REF!</definedName>
    <definedName name="\TABLE2" localSheetId="2">#REF!</definedName>
    <definedName name="\TABLE2" localSheetId="3">#REF!</definedName>
    <definedName name="\TABLE2" localSheetId="5">#REF!</definedName>
    <definedName name="\TABLE2" localSheetId="7">#REF!</definedName>
    <definedName name="\TABLE2" localSheetId="8">#REF!</definedName>
    <definedName name="\TABLE2" localSheetId="17">#REF!</definedName>
    <definedName name="\TABLE2" localSheetId="20">#REF!</definedName>
    <definedName name="\TABLE2">#REF!</definedName>
    <definedName name="\TABLEA" localSheetId="1">#REF!</definedName>
    <definedName name="\TABLEA" localSheetId="2">#REF!</definedName>
    <definedName name="\TABLEA" localSheetId="3">#REF!</definedName>
    <definedName name="\TABLEA" localSheetId="5">#REF!</definedName>
    <definedName name="\TABLEA" localSheetId="7">#REF!</definedName>
    <definedName name="\TABLEA" localSheetId="8">#REF!</definedName>
    <definedName name="\TABLEA" localSheetId="17">#REF!</definedName>
    <definedName name="\TABLEA" localSheetId="20">#REF!</definedName>
    <definedName name="\TABLEA">#REF!</definedName>
    <definedName name="\TBL2" localSheetId="1">#REF!</definedName>
    <definedName name="\TBL2" localSheetId="2">#REF!</definedName>
    <definedName name="\TBL2" localSheetId="3">#REF!</definedName>
    <definedName name="\TBL2" localSheetId="5">#REF!</definedName>
    <definedName name="\TBL2" localSheetId="7">#REF!</definedName>
    <definedName name="\TBL2" localSheetId="8">#REF!</definedName>
    <definedName name="\TBL2" localSheetId="17">#REF!</definedName>
    <definedName name="\TBL2" localSheetId="20">#REF!</definedName>
    <definedName name="\TBL2">#REF!</definedName>
    <definedName name="\TBL3" localSheetId="1">#REF!</definedName>
    <definedName name="\TBL3" localSheetId="2">#REF!</definedName>
    <definedName name="\TBL3" localSheetId="3">#REF!</definedName>
    <definedName name="\TBL3" localSheetId="5">#REF!</definedName>
    <definedName name="\TBL3" localSheetId="7">#REF!</definedName>
    <definedName name="\TBL3" localSheetId="8">#REF!</definedName>
    <definedName name="\TBL3" localSheetId="17">#REF!</definedName>
    <definedName name="\TBL3" localSheetId="20">#REF!</definedName>
    <definedName name="\TBL3">#REF!</definedName>
    <definedName name="\TBL4" localSheetId="1">#REF!</definedName>
    <definedName name="\TBL4" localSheetId="2">#REF!</definedName>
    <definedName name="\TBL4" localSheetId="3">#REF!</definedName>
    <definedName name="\TBL4" localSheetId="5">#REF!</definedName>
    <definedName name="\TBL4" localSheetId="7">#REF!</definedName>
    <definedName name="\TBL4" localSheetId="8">#REF!</definedName>
    <definedName name="\TBL4" localSheetId="17">#REF!</definedName>
    <definedName name="\TBL4" localSheetId="20">#REF!</definedName>
    <definedName name="\TBL4">#REF!</definedName>
    <definedName name="\TBL5" localSheetId="1">#REF!</definedName>
    <definedName name="\TBL5" localSheetId="2">#REF!</definedName>
    <definedName name="\TBL5" localSheetId="3">#REF!</definedName>
    <definedName name="\TBL5" localSheetId="5">#REF!</definedName>
    <definedName name="\TBL5" localSheetId="7">#REF!</definedName>
    <definedName name="\TBL5" localSheetId="8">#REF!</definedName>
    <definedName name="\TBL5" localSheetId="17">#REF!</definedName>
    <definedName name="\TBL5" localSheetId="20">#REF!</definedName>
    <definedName name="\TBL5">#REF!</definedName>
    <definedName name="\W" localSheetId="1">#REF!</definedName>
    <definedName name="\W" localSheetId="2">#REF!</definedName>
    <definedName name="\W" localSheetId="3">#REF!</definedName>
    <definedName name="\W" localSheetId="5">#REF!</definedName>
    <definedName name="\W" localSheetId="7">#REF!</definedName>
    <definedName name="\W" localSheetId="8">#REF!</definedName>
    <definedName name="\W" localSheetId="17">#REF!</definedName>
    <definedName name="\W" localSheetId="20">#REF!</definedName>
    <definedName name="\W">#REF!</definedName>
    <definedName name="\WORK1" localSheetId="1">#REF!</definedName>
    <definedName name="\WORK1" localSheetId="2">#REF!</definedName>
    <definedName name="\WORK1" localSheetId="3">#REF!</definedName>
    <definedName name="\WORK1" localSheetId="5">#REF!</definedName>
    <definedName name="\WORK1" localSheetId="7">#REF!</definedName>
    <definedName name="\WORK1" localSheetId="8">#REF!</definedName>
    <definedName name="\WORK1" localSheetId="17">#REF!</definedName>
    <definedName name="\WORK1" localSheetId="20">#REF!</definedName>
    <definedName name="\WORK1">#REF!</definedName>
    <definedName name="\X" localSheetId="1">#REF!</definedName>
    <definedName name="\X" localSheetId="2">#REF!</definedName>
    <definedName name="\X" localSheetId="3">#REF!</definedName>
    <definedName name="\X" localSheetId="5">#REF!</definedName>
    <definedName name="\X" localSheetId="7">#REF!</definedName>
    <definedName name="\X" localSheetId="8">#REF!</definedName>
    <definedName name="\X" localSheetId="17">#REF!</definedName>
    <definedName name="\X" localSheetId="20">#REF!</definedName>
    <definedName name="\X">#REF!</definedName>
    <definedName name="\Z" localSheetId="1">#REF!</definedName>
    <definedName name="\Z" localSheetId="2">#REF!</definedName>
    <definedName name="\Z" localSheetId="3">#REF!</definedName>
    <definedName name="\Z" localSheetId="5">#REF!</definedName>
    <definedName name="\Z" localSheetId="7">#REF!</definedName>
    <definedName name="\Z" localSheetId="8">#REF!</definedName>
    <definedName name="\Z" localSheetId="17">#REF!</definedName>
    <definedName name="\Z" localSheetId="20">#REF!</definedName>
    <definedName name="\Z" localSheetId="26">#REF!</definedName>
    <definedName name="\Z">#REF!</definedName>
    <definedName name="__123Graph_A" localSheetId="39" hidden="1">[4]Inputs!#REF!</definedName>
    <definedName name="__123Graph_A" localSheetId="40" hidden="1">[4]Inputs!#REF!</definedName>
    <definedName name="__123Graph_A" localSheetId="0" hidden="1">[5]Inputs!#REF!</definedName>
    <definedName name="__123Graph_A" localSheetId="1" hidden="1">[5]Inputs!#REF!</definedName>
    <definedName name="__123Graph_A" localSheetId="2" hidden="1">[5]Inputs!#REF!</definedName>
    <definedName name="__123Graph_A" localSheetId="4" hidden="1">[6]Inputs!#REF!</definedName>
    <definedName name="__123Graph_A" localSheetId="3" hidden="1">[4]Inputs!#REF!</definedName>
    <definedName name="__123Graph_A" localSheetId="5" hidden="1">[6]Inputs!#REF!</definedName>
    <definedName name="__123Graph_A" localSheetId="7" hidden="1">[7]Inputs!#REF!</definedName>
    <definedName name="__123Graph_A" localSheetId="8" hidden="1">[7]Inputs!#REF!</definedName>
    <definedName name="__123Graph_A" localSheetId="9" hidden="1">[7]Inputs!#REF!</definedName>
    <definedName name="__123Graph_A" localSheetId="10" hidden="1">[7]Inputs!#REF!</definedName>
    <definedName name="__123Graph_A" localSheetId="11" hidden="1">[7]Inputs!#REF!</definedName>
    <definedName name="__123Graph_A" localSheetId="12" hidden="1">[7]Inputs!#REF!</definedName>
    <definedName name="__123Graph_A" localSheetId="13" hidden="1">[7]Inputs!#REF!</definedName>
    <definedName name="__123Graph_A" localSheetId="14" hidden="1">[7]Inputs!#REF!</definedName>
    <definedName name="__123Graph_A" localSheetId="35" hidden="1">[4]Inputs!#REF!</definedName>
    <definedName name="__123Graph_A" localSheetId="31" hidden="1">[6]Inputs!#REF!</definedName>
    <definedName name="__123Graph_A" localSheetId="30" hidden="1">[6]Inputs!#REF!</definedName>
    <definedName name="__123Graph_A" localSheetId="37" hidden="1">[4]Inputs!#REF!</definedName>
    <definedName name="__123Graph_A" localSheetId="16" hidden="1">[4]Inputs!#REF!</definedName>
    <definedName name="__123Graph_A" localSheetId="17" hidden="1">[5]Inputs!#REF!</definedName>
    <definedName name="__123Graph_A" localSheetId="20" hidden="1">[4]Inputs!#REF!</definedName>
    <definedName name="__123Graph_A" localSheetId="36" hidden="1">[8]Inputs!#REF!</definedName>
    <definedName name="__123Graph_A" localSheetId="26" hidden="1">[6]Inputs!#REF!</definedName>
    <definedName name="__123Graph_A" localSheetId="34" hidden="1">'[9]OR Inputs'!#REF!</definedName>
    <definedName name="__123Graph_A" hidden="1">[6]Inputs!#REF!</definedName>
    <definedName name="__123Graph_B" localSheetId="39" hidden="1">[4]Inputs!#REF!</definedName>
    <definedName name="__123Graph_B" localSheetId="40" hidden="1">[4]Inputs!#REF!</definedName>
    <definedName name="__123Graph_B" localSheetId="0" hidden="1">[5]Inputs!#REF!</definedName>
    <definedName name="__123Graph_B" localSheetId="1" hidden="1">[5]Inputs!#REF!</definedName>
    <definedName name="__123Graph_B" localSheetId="2" hidden="1">[5]Inputs!#REF!</definedName>
    <definedName name="__123Graph_B" localSheetId="4" hidden="1">[6]Inputs!#REF!</definedName>
    <definedName name="__123Graph_B" localSheetId="3" hidden="1">[4]Inputs!#REF!</definedName>
    <definedName name="__123Graph_B" localSheetId="5" hidden="1">[6]Inputs!#REF!</definedName>
    <definedName name="__123Graph_B" localSheetId="7" hidden="1">[7]Inputs!#REF!</definedName>
    <definedName name="__123Graph_B" localSheetId="8" hidden="1">[7]Inputs!#REF!</definedName>
    <definedName name="__123Graph_B" localSheetId="9" hidden="1">[7]Inputs!#REF!</definedName>
    <definedName name="__123Graph_B" localSheetId="10" hidden="1">[7]Inputs!#REF!</definedName>
    <definedName name="__123Graph_B" localSheetId="11" hidden="1">[7]Inputs!#REF!</definedName>
    <definedName name="__123Graph_B" localSheetId="12" hidden="1">[7]Inputs!#REF!</definedName>
    <definedName name="__123Graph_B" localSheetId="13" hidden="1">[7]Inputs!#REF!</definedName>
    <definedName name="__123Graph_B" localSheetId="14" hidden="1">[7]Inputs!#REF!</definedName>
    <definedName name="__123Graph_B" localSheetId="35" hidden="1">[4]Inputs!#REF!</definedName>
    <definedName name="__123Graph_B" localSheetId="31" hidden="1">[6]Inputs!#REF!</definedName>
    <definedName name="__123Graph_B" localSheetId="30" hidden="1">[6]Inputs!#REF!</definedName>
    <definedName name="__123Graph_B" localSheetId="37" hidden="1">[4]Inputs!#REF!</definedName>
    <definedName name="__123Graph_B" localSheetId="16" hidden="1">[4]Inputs!#REF!</definedName>
    <definedName name="__123Graph_B" localSheetId="17" hidden="1">[5]Inputs!#REF!</definedName>
    <definedName name="__123Graph_B" localSheetId="20" hidden="1">[4]Inputs!#REF!</definedName>
    <definedName name="__123Graph_B" localSheetId="36" hidden="1">[8]Inputs!#REF!</definedName>
    <definedName name="__123Graph_B" localSheetId="26" hidden="1">[6]Inputs!#REF!</definedName>
    <definedName name="__123Graph_B" localSheetId="34" hidden="1">'[9]OR Inputs'!#REF!</definedName>
    <definedName name="__123Graph_B" hidden="1">[6]Inputs!#REF!</definedName>
    <definedName name="__123Graph_D" localSheetId="39" hidden="1">[4]Inputs!#REF!</definedName>
    <definedName name="__123Graph_D" localSheetId="40" hidden="1">[4]Inputs!#REF!</definedName>
    <definedName name="__123Graph_D" localSheetId="0" hidden="1">[5]Inputs!#REF!</definedName>
    <definedName name="__123Graph_D" localSheetId="1" hidden="1">[5]Inputs!#REF!</definedName>
    <definedName name="__123Graph_D" localSheetId="2" hidden="1">[5]Inputs!#REF!</definedName>
    <definedName name="__123Graph_D" localSheetId="3" hidden="1">[4]Inputs!#REF!</definedName>
    <definedName name="__123Graph_D" localSheetId="5" hidden="1">[6]Inputs!#REF!</definedName>
    <definedName name="__123Graph_D" localSheetId="7" hidden="1">[7]Inputs!#REF!</definedName>
    <definedName name="__123Graph_D" localSheetId="8" hidden="1">[7]Inputs!#REF!</definedName>
    <definedName name="__123Graph_D" localSheetId="9" hidden="1">[7]Inputs!#REF!</definedName>
    <definedName name="__123Graph_D" localSheetId="10" hidden="1">[7]Inputs!#REF!</definedName>
    <definedName name="__123Graph_D" localSheetId="11" hidden="1">[7]Inputs!#REF!</definedName>
    <definedName name="__123Graph_D" localSheetId="12" hidden="1">[7]Inputs!#REF!</definedName>
    <definedName name="__123Graph_D" localSheetId="13" hidden="1">[7]Inputs!#REF!</definedName>
    <definedName name="__123Graph_D" localSheetId="14" hidden="1">[7]Inputs!#REF!</definedName>
    <definedName name="__123Graph_D" localSheetId="35" hidden="1">[4]Inputs!#REF!</definedName>
    <definedName name="__123Graph_D" localSheetId="31" hidden="1">[6]Inputs!#REF!</definedName>
    <definedName name="__123Graph_D" localSheetId="30" hidden="1">[6]Inputs!#REF!</definedName>
    <definedName name="__123Graph_D" localSheetId="37" hidden="1">[4]Inputs!#REF!</definedName>
    <definedName name="__123Graph_D" localSheetId="16" hidden="1">[4]Inputs!#REF!</definedName>
    <definedName name="__123Graph_D" localSheetId="17" hidden="1">[5]Inputs!#REF!</definedName>
    <definedName name="__123Graph_D" localSheetId="20" hidden="1">[4]Inputs!#REF!</definedName>
    <definedName name="__123Graph_D" localSheetId="36" hidden="1">[8]Inputs!#REF!</definedName>
    <definedName name="__123Graph_D" localSheetId="26" hidden="1">[6]Inputs!#REF!</definedName>
    <definedName name="__123Graph_D" localSheetId="34" hidden="1">'[9]OR Inputs'!#REF!</definedName>
    <definedName name="__123Graph_D" hidden="1">[6]Inputs!#REF!</definedName>
    <definedName name="_1Price_Ta" localSheetId="1">#REF!</definedName>
    <definedName name="_1Price_Ta" localSheetId="2">#REF!</definedName>
    <definedName name="_1Price_Ta" localSheetId="4">#REF!</definedName>
    <definedName name="_1Price_Ta" localSheetId="3">#REF!</definedName>
    <definedName name="_1Price_Ta" localSheetId="5">#REF!</definedName>
    <definedName name="_1Price_Ta" localSheetId="7">#REF!</definedName>
    <definedName name="_1Price_Ta" localSheetId="8">#REF!</definedName>
    <definedName name="_1Price_Ta" localSheetId="17">#REF!</definedName>
    <definedName name="_1Price_Ta" localSheetId="20">#REF!</definedName>
    <definedName name="_1Price_Ta" localSheetId="26">#REF!</definedName>
    <definedName name="_1Price_Ta">#REF!</definedName>
    <definedName name="_2Price_Ta" localSheetId="1">#REF!</definedName>
    <definedName name="_2Price_Ta" localSheetId="2">#REF!</definedName>
    <definedName name="_2Price_Ta" localSheetId="3">#REF!</definedName>
    <definedName name="_2Price_Ta" localSheetId="5">#REF!</definedName>
    <definedName name="_2Price_Ta" localSheetId="7">#REF!</definedName>
    <definedName name="_2Price_Ta" localSheetId="8">#REF!</definedName>
    <definedName name="_2Price_Ta" localSheetId="17">#REF!</definedName>
    <definedName name="_2Price_Ta" localSheetId="20">#REF!</definedName>
    <definedName name="_2Price_Ta">#REF!</definedName>
    <definedName name="_B" localSheetId="1">'[10]Rate Design'!#REF!</definedName>
    <definedName name="_B" localSheetId="2">'[10]Rate Design'!#REF!</definedName>
    <definedName name="_B" localSheetId="4">'[10]Rate Design'!#REF!</definedName>
    <definedName name="_B" localSheetId="3">'[10]Rate Design'!#REF!</definedName>
    <definedName name="_B" localSheetId="5">'[10]Rate Design'!#REF!</definedName>
    <definedName name="_B" localSheetId="7">'[10]Rate Design'!#REF!</definedName>
    <definedName name="_B" localSheetId="8">'[10]Rate Design'!#REF!</definedName>
    <definedName name="_B" localSheetId="17">'[10]Rate Design'!#REF!</definedName>
    <definedName name="_B" localSheetId="20">'[10]Rate Design'!#REF!</definedName>
    <definedName name="_B" localSheetId="26">'[10]Rate Design'!#REF!</definedName>
    <definedName name="_B">'[10]Rate Design'!#REF!</definedName>
    <definedName name="_Fill" localSheetId="19" hidden="1">#REF!</definedName>
    <definedName name="_Fill" localSheetId="1" hidden="1">#REF!</definedName>
    <definedName name="_Fill" localSheetId="2" hidden="1">#REF!</definedName>
    <definedName name="_Fill" localSheetId="4" hidden="1">#REF!</definedName>
    <definedName name="_Fill" localSheetId="3" hidden="1">#REF!</definedName>
    <definedName name="_Fill" localSheetId="5" hidden="1">#REF!</definedName>
    <definedName name="_Fill" localSheetId="7" hidden="1">#REF!</definedName>
    <definedName name="_Fill" localSheetId="8" hidden="1">#REF!</definedName>
    <definedName name="_Fill" localSheetId="31" hidden="1">#REF!</definedName>
    <definedName name="_Fill" localSheetId="30" hidden="1">#REF!</definedName>
    <definedName name="_Fill" localSheetId="17" hidden="1">#REF!</definedName>
    <definedName name="_Fill" localSheetId="20" hidden="1">#REF!</definedName>
    <definedName name="_Fill" hidden="1">#REF!</definedName>
    <definedName name="_xlnm._FilterDatabase" localSheetId="32" hidden="1">'305 Inputs'!$A$6:$J$144</definedName>
    <definedName name="_xlnm._FilterDatabase" localSheetId="28" hidden="1">'305 VS COGNOS Revenue'!$A$6:$U$56</definedName>
    <definedName name="_xlnm._FilterDatabase" localSheetId="33" hidden="1">'December 305 13'!$A$6:$H$132</definedName>
    <definedName name="_xlnm._FilterDatabase" localSheetId="24" hidden="1">'Table 2'!#REF!</definedName>
    <definedName name="_xlnm._FilterDatabase" localSheetId="25" hidden="1">'Table 3'!#REF!</definedName>
    <definedName name="_Key1" localSheetId="19" hidden="1">#REF!</definedName>
    <definedName name="_Key1" localSheetId="1" hidden="1">#REF!</definedName>
    <definedName name="_Key1" localSheetId="2" hidden="1">#REF!</definedName>
    <definedName name="_Key1" localSheetId="4" hidden="1">#REF!</definedName>
    <definedName name="_Key1" localSheetId="3" hidden="1">#REF!</definedName>
    <definedName name="_Key1" localSheetId="5" hidden="1">#REF!</definedName>
    <definedName name="_Key1" localSheetId="7" hidden="1">#REF!</definedName>
    <definedName name="_Key1" localSheetId="8" hidden="1">#REF!</definedName>
    <definedName name="_Key1" localSheetId="17" hidden="1">#REF!</definedName>
    <definedName name="_Key1" localSheetId="20" hidden="1">#REF!</definedName>
    <definedName name="_Key1" localSheetId="26" hidden="1">#REF!</definedName>
    <definedName name="_Key1" hidden="1">#REF!</definedName>
    <definedName name="_Key2" localSheetId="19" hidden="1">#REF!</definedName>
    <definedName name="_Key2" localSheetId="1" hidden="1">#REF!</definedName>
    <definedName name="_Key2" localSheetId="2" hidden="1">#REF!</definedName>
    <definedName name="_Key2" localSheetId="4" hidden="1">#REF!</definedName>
    <definedName name="_Key2" localSheetId="3" hidden="1">#REF!</definedName>
    <definedName name="_Key2" localSheetId="5" hidden="1">#REF!</definedName>
    <definedName name="_Key2" localSheetId="7" hidden="1">#REF!</definedName>
    <definedName name="_Key2" localSheetId="8" hidden="1">#REF!</definedName>
    <definedName name="_Key2" localSheetId="17" hidden="1">#REF!</definedName>
    <definedName name="_Key2" localSheetId="20" hidden="1">#REF!</definedName>
    <definedName name="_Key2" localSheetId="26" hidden="1">#REF!</definedName>
    <definedName name="_Key2" hidden="1">#REF!</definedName>
    <definedName name="_MEN2" localSheetId="1">[1]Jan!#REF!</definedName>
    <definedName name="_MEN2" localSheetId="2">[1]Jan!#REF!</definedName>
    <definedName name="_MEN2" localSheetId="4">[1]Jan!#REF!</definedName>
    <definedName name="_MEN2" localSheetId="3">[1]Jan!#REF!</definedName>
    <definedName name="_MEN2" localSheetId="5">[1]Jan!#REF!</definedName>
    <definedName name="_MEN2" localSheetId="7">[1]Jan!#REF!</definedName>
    <definedName name="_MEN2" localSheetId="8">[1]Jan!#REF!</definedName>
    <definedName name="_MEN2" localSheetId="37">[1]Jan!#REF!</definedName>
    <definedName name="_MEN2" localSheetId="17">[1]Jan!#REF!</definedName>
    <definedName name="_MEN2" localSheetId="20">[1]Jan!#REF!</definedName>
    <definedName name="_MEN2" localSheetId="36">[1]Jan!#REF!</definedName>
    <definedName name="_MEN2">[1]Jan!#REF!</definedName>
    <definedName name="_MEN3" localSheetId="1">[1]Jan!#REF!</definedName>
    <definedName name="_MEN3" localSheetId="2">[1]Jan!#REF!</definedName>
    <definedName name="_MEN3" localSheetId="4">[1]Jan!#REF!</definedName>
    <definedName name="_MEN3" localSheetId="3">[1]Jan!#REF!</definedName>
    <definedName name="_MEN3" localSheetId="5">[1]Jan!#REF!</definedName>
    <definedName name="_MEN3" localSheetId="7">[1]Jan!#REF!</definedName>
    <definedName name="_MEN3" localSheetId="8">[1]Jan!#REF!</definedName>
    <definedName name="_MEN3" localSheetId="17">[1]Jan!#REF!</definedName>
    <definedName name="_MEN3" localSheetId="20">[1]Jan!#REF!</definedName>
    <definedName name="_MEN3">[1]Jan!#REF!</definedName>
    <definedName name="_Order1" localSheetId="19" hidden="1">255</definedName>
    <definedName name="_Order1" localSheetId="4" hidden="1">255</definedName>
    <definedName name="_Order1" localSheetId="36" hidden="1">255</definedName>
    <definedName name="_Order1" hidden="1">0</definedName>
    <definedName name="_Order2" localSheetId="19" hidden="1">255</definedName>
    <definedName name="_Order2" localSheetId="4" hidden="1">255</definedName>
    <definedName name="_Order2" hidden="1">0</definedName>
    <definedName name="_P" localSheetId="1">#REF!</definedName>
    <definedName name="_P" localSheetId="2">#REF!</definedName>
    <definedName name="_P" localSheetId="4">#REF!</definedName>
    <definedName name="_P" localSheetId="3">#REF!</definedName>
    <definedName name="_P" localSheetId="5">#REF!</definedName>
    <definedName name="_P" localSheetId="7">#REF!</definedName>
    <definedName name="_P" localSheetId="8">#REF!</definedName>
    <definedName name="_P" localSheetId="17">#REF!</definedName>
    <definedName name="_P" localSheetId="20">#REF!</definedName>
    <definedName name="_P" localSheetId="26">#REF!</definedName>
    <definedName name="_P">#REF!</definedName>
    <definedName name="_Sort" localSheetId="19" hidden="1">#REF!</definedName>
    <definedName name="_Sort" localSheetId="1" hidden="1">#REF!</definedName>
    <definedName name="_Sort" localSheetId="2" hidden="1">#REF!</definedName>
    <definedName name="_Sort" localSheetId="4" hidden="1">#REF!</definedName>
    <definedName name="_Sort" localSheetId="3" hidden="1">#REF!</definedName>
    <definedName name="_Sort" localSheetId="5" hidden="1">#REF!</definedName>
    <definedName name="_Sort" localSheetId="7" hidden="1">#REF!</definedName>
    <definedName name="_Sort" localSheetId="8" hidden="1">#REF!</definedName>
    <definedName name="_Sort" localSheetId="17" hidden="1">#REF!</definedName>
    <definedName name="_Sort" localSheetId="20" hidden="1">#REF!</definedName>
    <definedName name="_Sort" localSheetId="26" hidden="1">#REF!</definedName>
    <definedName name="_Sort" hidden="1">#REF!</definedName>
    <definedName name="_TOP1" localSheetId="1">[1]Jan!#REF!</definedName>
    <definedName name="_TOP1" localSheetId="2">[1]Jan!#REF!</definedName>
    <definedName name="_TOP1" localSheetId="4">[1]Jan!#REF!</definedName>
    <definedName name="_TOP1" localSheetId="3">[1]Jan!#REF!</definedName>
    <definedName name="_TOP1" localSheetId="5">[1]Jan!#REF!</definedName>
    <definedName name="_TOP1" localSheetId="7">[1]Jan!#REF!</definedName>
    <definedName name="_TOP1" localSheetId="8">[1]Jan!#REF!</definedName>
    <definedName name="_TOP1" localSheetId="37">[1]Jan!#REF!</definedName>
    <definedName name="_TOP1" localSheetId="17">[1]Jan!#REF!</definedName>
    <definedName name="_TOP1" localSheetId="20">[1]Jan!#REF!</definedName>
    <definedName name="_TOP1" localSheetId="36">[1]Jan!#REF!</definedName>
    <definedName name="_TOP1">[1]Jan!#REF!</definedName>
    <definedName name="a" localSheetId="39" hidden="1">#REF!</definedName>
    <definedName name="a" localSheetId="40" hidden="1">#REF!</definedName>
    <definedName name="a" localSheetId="0" hidden="1">#REF!</definedName>
    <definedName name="a" localSheetId="1" hidden="1">#REF!</definedName>
    <definedName name="a" localSheetId="2" hidden="1">#REF!</definedName>
    <definedName name="a" localSheetId="3" hidden="1">#REF!</definedName>
    <definedName name="a" localSheetId="7" hidden="1">#REF!</definedName>
    <definedName name="a" localSheetId="8" hidden="1">#REF!</definedName>
    <definedName name="a" localSheetId="9" hidden="1">#REF!</definedName>
    <definedName name="a" localSheetId="10" hidden="1">#REF!</definedName>
    <definedName name="a" localSheetId="11" hidden="1">#REF!</definedName>
    <definedName name="a" localSheetId="12" hidden="1">#REF!</definedName>
    <definedName name="a" localSheetId="13" hidden="1">#REF!</definedName>
    <definedName name="a" localSheetId="14" hidden="1">#REF!</definedName>
    <definedName name="a" localSheetId="35" hidden="1">#REF!</definedName>
    <definedName name="a" localSheetId="31" hidden="1">'[6]DSM Output'!$J$21:$J$23</definedName>
    <definedName name="a" localSheetId="30" hidden="1">'[6]DSM Output'!$J$21:$J$23</definedName>
    <definedName name="a" localSheetId="37" hidden="1">#REF!</definedName>
    <definedName name="a" localSheetId="16" hidden="1">#REF!</definedName>
    <definedName name="a" localSheetId="17" hidden="1">#REF!</definedName>
    <definedName name="a" localSheetId="20" hidden="1">#REF!</definedName>
    <definedName name="a" localSheetId="36" hidden="1">'[8]DSM Output'!$J$21:$J$23</definedName>
    <definedName name="a" localSheetId="26" hidden="1">'[6]DSM Output'!$J$21:$J$23</definedName>
    <definedName name="a" localSheetId="34" hidden="1">#REF!</definedName>
    <definedName name="a" hidden="1">'[6]DSM Output'!$J$21:$J$23</definedName>
    <definedName name="Acct108364" localSheetId="1">'[11]Func Study'!#REF!</definedName>
    <definedName name="Acct108364" localSheetId="2">'[11]Func Study'!#REF!</definedName>
    <definedName name="Acct108364" localSheetId="4">'[11]Func Study'!#REF!</definedName>
    <definedName name="Acct108364" localSheetId="3">'[11]Func Study'!#REF!</definedName>
    <definedName name="Acct108364" localSheetId="5">'[11]Func Study'!#REF!</definedName>
    <definedName name="Acct108364" localSheetId="7">'[11]Func Study'!#REF!</definedName>
    <definedName name="Acct108364" localSheetId="8">'[11]Func Study'!#REF!</definedName>
    <definedName name="Acct108364" localSheetId="37">'[11]Func Study'!#REF!</definedName>
    <definedName name="Acct108364" localSheetId="17">'[11]Func Study'!#REF!</definedName>
    <definedName name="Acct108364" localSheetId="20">'[11]Func Study'!#REF!</definedName>
    <definedName name="Acct108364" localSheetId="36">'[11]Func Study'!#REF!</definedName>
    <definedName name="Acct108364">'[11]Func Study'!#REF!</definedName>
    <definedName name="Acct108364S" localSheetId="1">'[11]Func Study'!#REF!</definedName>
    <definedName name="Acct108364S" localSheetId="2">'[11]Func Study'!#REF!</definedName>
    <definedName name="Acct108364S" localSheetId="4">'[11]Func Study'!#REF!</definedName>
    <definedName name="Acct108364S" localSheetId="3">'[11]Func Study'!#REF!</definedName>
    <definedName name="Acct108364S" localSheetId="5">'[11]Func Study'!#REF!</definedName>
    <definedName name="Acct108364S" localSheetId="7">'[11]Func Study'!#REF!</definedName>
    <definedName name="Acct108364S" localSheetId="8">'[11]Func Study'!#REF!</definedName>
    <definedName name="Acct108364S" localSheetId="17">'[11]Func Study'!#REF!</definedName>
    <definedName name="Acct108364S" localSheetId="20">'[11]Func Study'!#REF!</definedName>
    <definedName name="Acct108364S">'[11]Func Study'!#REF!</definedName>
    <definedName name="Acct228.42TROJD" localSheetId="19">'[12]Func Study'!#REF!</definedName>
    <definedName name="Acct228.42TROJD" localSheetId="1">'[13]Func Study'!#REF!</definedName>
    <definedName name="Acct228.42TROJD" localSheetId="2">'[13]Func Study'!#REF!</definedName>
    <definedName name="Acct228.42TROJD" localSheetId="4">'[14]Func Study'!#REF!</definedName>
    <definedName name="Acct228.42TROJD" localSheetId="3">'[13]Func Study'!#REF!</definedName>
    <definedName name="Acct228.42TROJD" localSheetId="5">'[13]Func Study'!#REF!</definedName>
    <definedName name="Acct228.42TROJD" localSheetId="7">'[13]Func Study'!#REF!</definedName>
    <definedName name="Acct228.42TROJD" localSheetId="8">'[13]Func Study'!#REF!</definedName>
    <definedName name="Acct228.42TROJD" localSheetId="17">'[13]Func Study'!#REF!</definedName>
    <definedName name="Acct228.42TROJD" localSheetId="20">'[13]Func Study'!#REF!</definedName>
    <definedName name="Acct228.42TROJD">'[13]Func Study'!#REF!</definedName>
    <definedName name="Acct2281SO" localSheetId="19">'[12]Func Study'!$H$2190</definedName>
    <definedName name="Acct2281SO" localSheetId="4">'[14]Func Study'!$H$2190</definedName>
    <definedName name="Acct2281SO">'[15]Func Study'!$H$2190</definedName>
    <definedName name="Acct2283SO" localSheetId="19">'[12]Func Study'!$H$2198</definedName>
    <definedName name="Acct2283SO" localSheetId="4">'[14]Func Study'!$H$2198</definedName>
    <definedName name="Acct2283SO">'[15]Func Study'!$H$2198</definedName>
    <definedName name="Acct22842TROJD" localSheetId="1">'[13]Func Study'!#REF!</definedName>
    <definedName name="Acct22842TROJD" localSheetId="2">'[13]Func Study'!#REF!</definedName>
    <definedName name="Acct22842TROJD" localSheetId="4">'[13]Func Study'!#REF!</definedName>
    <definedName name="Acct22842TROJD" localSheetId="3">'[13]Func Study'!#REF!</definedName>
    <definedName name="Acct22842TROJD" localSheetId="5">'[13]Func Study'!#REF!</definedName>
    <definedName name="Acct22842TROJD" localSheetId="7">'[13]Func Study'!#REF!</definedName>
    <definedName name="Acct22842TROJD" localSheetId="8">'[13]Func Study'!#REF!</definedName>
    <definedName name="Acct22842TROJD" localSheetId="37">'[13]Func Study'!#REF!</definedName>
    <definedName name="Acct22842TROJD" localSheetId="17">'[13]Func Study'!#REF!</definedName>
    <definedName name="Acct22842TROJD" localSheetId="20">'[13]Func Study'!#REF!</definedName>
    <definedName name="Acct22842TROJD" localSheetId="36">'[13]Func Study'!#REF!</definedName>
    <definedName name="Acct22842TROJD">'[13]Func Study'!#REF!</definedName>
    <definedName name="Acct228SO" localSheetId="19">'[12]Func Study'!$H$2194</definedName>
    <definedName name="Acct228SO" localSheetId="4">'[14]Func Study'!$H$2194</definedName>
    <definedName name="Acct228SO">'[15]Func Study'!$H$2194</definedName>
    <definedName name="Acct350" localSheetId="19">'[12]Func Study'!$H$1628</definedName>
    <definedName name="Acct350" localSheetId="4">'[14]Func Study'!$H$1628</definedName>
    <definedName name="Acct350">'[15]Func Study'!$H$1628</definedName>
    <definedName name="Acct352" localSheetId="19">'[12]Func Study'!$H$1635</definedName>
    <definedName name="Acct352" localSheetId="4">'[14]Func Study'!$H$1635</definedName>
    <definedName name="Acct352">'[15]Func Study'!$H$1635</definedName>
    <definedName name="Acct353" localSheetId="19">'[12]Func Study'!$H$1641</definedName>
    <definedName name="Acct353" localSheetId="4">'[14]Func Study'!$H$1641</definedName>
    <definedName name="Acct353">'[15]Func Study'!$H$1641</definedName>
    <definedName name="Acct354" localSheetId="19">'[12]Func Study'!$H$1647</definedName>
    <definedName name="Acct354" localSheetId="4">'[14]Func Study'!$H$1647</definedName>
    <definedName name="Acct354">'[15]Func Study'!$H$1647</definedName>
    <definedName name="Acct355" localSheetId="19">'[12]Func Study'!$H$1654</definedName>
    <definedName name="Acct355" localSheetId="4">'[14]Func Study'!$H$1654</definedName>
    <definedName name="Acct355">'[15]Func Study'!$H$1654</definedName>
    <definedName name="Acct356" localSheetId="19">'[12]Func Study'!$H$1660</definedName>
    <definedName name="Acct356" localSheetId="4">'[14]Func Study'!$H$1660</definedName>
    <definedName name="Acct356">'[15]Func Study'!$H$1660</definedName>
    <definedName name="Acct357" localSheetId="19">'[12]Func Study'!$H$1666</definedName>
    <definedName name="Acct357" localSheetId="4">'[14]Func Study'!$H$1666</definedName>
    <definedName name="Acct357">'[15]Func Study'!$H$1666</definedName>
    <definedName name="Acct358" localSheetId="19">'[12]Func Study'!$H$1672</definedName>
    <definedName name="Acct358" localSheetId="4">'[14]Func Study'!$H$1672</definedName>
    <definedName name="Acct358">'[15]Func Study'!$H$1672</definedName>
    <definedName name="Acct359" localSheetId="19">'[12]Func Study'!$H$1678</definedName>
    <definedName name="Acct359" localSheetId="4">'[14]Func Study'!$H$1678</definedName>
    <definedName name="Acct359">'[15]Func Study'!$H$1678</definedName>
    <definedName name="Acct360" localSheetId="19">'[12]Func Study'!$H$1698</definedName>
    <definedName name="Acct360" localSheetId="4">'[14]Func Study'!$H$1698</definedName>
    <definedName name="Acct360">'[15]Func Study'!$H$1698</definedName>
    <definedName name="Acct361" localSheetId="19">'[12]Func Study'!$H$1704</definedName>
    <definedName name="Acct361" localSheetId="4">'[14]Func Study'!$H$1704</definedName>
    <definedName name="Acct361">'[15]Func Study'!$H$1704</definedName>
    <definedName name="Acct362" localSheetId="19">'[12]Func Study'!$H$1710</definedName>
    <definedName name="Acct362" localSheetId="4">'[14]Func Study'!$H$1710</definedName>
    <definedName name="Acct362">'[15]Func Study'!$H$1710</definedName>
    <definedName name="Acct364" localSheetId="19">'[12]Func Study'!$H$1717</definedName>
    <definedName name="Acct364" localSheetId="4">'[14]Func Study'!$H$1717</definedName>
    <definedName name="Acct364">'[15]Func Study'!$H$1717</definedName>
    <definedName name="Acct365" localSheetId="19">'[12]Func Study'!$H$1724</definedName>
    <definedName name="Acct365" localSheetId="4">'[14]Func Study'!$H$1724</definedName>
    <definedName name="Acct365">'[15]Func Study'!$H$1724</definedName>
    <definedName name="Acct366" localSheetId="19">'[12]Func Study'!$H$1731</definedName>
    <definedName name="Acct366" localSheetId="4">'[14]Func Study'!$H$1731</definedName>
    <definedName name="Acct366">'[15]Func Study'!$H$1731</definedName>
    <definedName name="Acct367" localSheetId="19">'[12]Func Study'!$H$1738</definedName>
    <definedName name="Acct367" localSheetId="4">'[14]Func Study'!$H$1738</definedName>
    <definedName name="Acct367">'[15]Func Study'!$H$1738</definedName>
    <definedName name="Acct368" localSheetId="19">'[12]Func Study'!$H$1744</definedName>
    <definedName name="Acct368" localSheetId="4">'[14]Func Study'!$H$1744</definedName>
    <definedName name="Acct368">'[15]Func Study'!$H$1744</definedName>
    <definedName name="Acct369" localSheetId="19">'[12]Func Study'!$H$1751</definedName>
    <definedName name="Acct369" localSheetId="4">'[14]Func Study'!$H$1751</definedName>
    <definedName name="Acct369">'[15]Func Study'!$H$1751</definedName>
    <definedName name="Acct370" localSheetId="19">'[12]Func Study'!$H$1762</definedName>
    <definedName name="Acct370" localSheetId="4">'[14]Func Study'!$H$1762</definedName>
    <definedName name="Acct370">'[15]Func Study'!$H$1762</definedName>
    <definedName name="Acct371" localSheetId="19">'[12]Func Study'!$H$1769</definedName>
    <definedName name="Acct371" localSheetId="4">'[14]Func Study'!$H$1769</definedName>
    <definedName name="Acct371">'[15]Func Study'!$H$1769</definedName>
    <definedName name="Acct372" localSheetId="19">'[12]Func Study'!$H$1776</definedName>
    <definedName name="Acct372" localSheetId="4">'[14]Func Study'!$H$1776</definedName>
    <definedName name="Acct372">'[15]Func Study'!$H$1776</definedName>
    <definedName name="Acct372A" localSheetId="19">'[12]Func Study'!$H$1775</definedName>
    <definedName name="Acct372A" localSheetId="4">'[14]Func Study'!$H$1775</definedName>
    <definedName name="Acct372A">'[15]Func Study'!$H$1775</definedName>
    <definedName name="Acct372DP" localSheetId="19">'[12]Func Study'!$H$1773</definedName>
    <definedName name="Acct372DP" localSheetId="4">'[14]Func Study'!$H$1773</definedName>
    <definedName name="Acct372DP">'[15]Func Study'!$H$1773</definedName>
    <definedName name="Acct372DS" localSheetId="19">'[12]Func Study'!$H$1774</definedName>
    <definedName name="Acct372DS" localSheetId="4">'[14]Func Study'!$H$1774</definedName>
    <definedName name="Acct372DS">'[15]Func Study'!$H$1774</definedName>
    <definedName name="Acct373" localSheetId="19">'[12]Func Study'!$H$1782</definedName>
    <definedName name="Acct373" localSheetId="4">'[14]Func Study'!$H$1782</definedName>
    <definedName name="Acct373">'[15]Func Study'!$H$1782</definedName>
    <definedName name="Acct41011" localSheetId="1">'[16]Functional Study'!#REF!</definedName>
    <definedName name="Acct41011" localSheetId="2">'[16]Functional Study'!#REF!</definedName>
    <definedName name="Acct41011" localSheetId="4">'[16]Functional Study'!#REF!</definedName>
    <definedName name="Acct41011" localSheetId="3">'[16]Functional Study'!#REF!</definedName>
    <definedName name="Acct41011" localSheetId="5">'[16]Functional Study'!#REF!</definedName>
    <definedName name="Acct41011" localSheetId="7">'[16]Functional Study'!#REF!</definedName>
    <definedName name="Acct41011" localSheetId="8">'[16]Functional Study'!#REF!</definedName>
    <definedName name="Acct41011" localSheetId="37">'[16]Functional Study'!#REF!</definedName>
    <definedName name="Acct41011" localSheetId="17">'[16]Functional Study'!#REF!</definedName>
    <definedName name="Acct41011" localSheetId="20">'[16]Functional Study'!#REF!</definedName>
    <definedName name="Acct41011" localSheetId="36">'[17]Functional Study'!#REF!</definedName>
    <definedName name="Acct41011">'[16]Functional Study'!#REF!</definedName>
    <definedName name="Acct41011BADDEBT" localSheetId="1">'[16]Functional Study'!#REF!</definedName>
    <definedName name="Acct41011BADDEBT" localSheetId="2">'[16]Functional Study'!#REF!</definedName>
    <definedName name="Acct41011BADDEBT" localSheetId="4">'[16]Functional Study'!#REF!</definedName>
    <definedName name="Acct41011BADDEBT" localSheetId="3">'[16]Functional Study'!#REF!</definedName>
    <definedName name="Acct41011BADDEBT" localSheetId="5">'[16]Functional Study'!#REF!</definedName>
    <definedName name="Acct41011BADDEBT" localSheetId="7">'[16]Functional Study'!#REF!</definedName>
    <definedName name="Acct41011BADDEBT" localSheetId="8">'[16]Functional Study'!#REF!</definedName>
    <definedName name="Acct41011BADDEBT" localSheetId="17">'[16]Functional Study'!#REF!</definedName>
    <definedName name="Acct41011BADDEBT" localSheetId="20">'[16]Functional Study'!#REF!</definedName>
    <definedName name="Acct41011BADDEBT" localSheetId="36">'[17]Functional Study'!#REF!</definedName>
    <definedName name="Acct41011BADDEBT">'[16]Functional Study'!#REF!</definedName>
    <definedName name="Acct41011DITEXP" localSheetId="1">'[16]Functional Study'!#REF!</definedName>
    <definedName name="Acct41011DITEXP" localSheetId="2">'[16]Functional Study'!#REF!</definedName>
    <definedName name="Acct41011DITEXP" localSheetId="3">'[16]Functional Study'!#REF!</definedName>
    <definedName name="Acct41011DITEXP" localSheetId="5">'[16]Functional Study'!#REF!</definedName>
    <definedName name="Acct41011DITEXP" localSheetId="7">'[16]Functional Study'!#REF!</definedName>
    <definedName name="Acct41011DITEXP" localSheetId="8">'[16]Functional Study'!#REF!</definedName>
    <definedName name="Acct41011DITEXP" localSheetId="17">'[16]Functional Study'!#REF!</definedName>
    <definedName name="Acct41011DITEXP" localSheetId="20">'[16]Functional Study'!#REF!</definedName>
    <definedName name="Acct41011DITEXP" localSheetId="36">'[17]Functional Study'!#REF!</definedName>
    <definedName name="Acct41011DITEXP">'[16]Functional Study'!#REF!</definedName>
    <definedName name="Acct41011S" localSheetId="1">'[16]Functional Study'!#REF!</definedName>
    <definedName name="Acct41011S" localSheetId="2">'[16]Functional Study'!#REF!</definedName>
    <definedName name="Acct41011S" localSheetId="3">'[16]Functional Study'!#REF!</definedName>
    <definedName name="Acct41011S" localSheetId="5">'[16]Functional Study'!#REF!</definedName>
    <definedName name="Acct41011S" localSheetId="7">'[16]Functional Study'!#REF!</definedName>
    <definedName name="Acct41011S" localSheetId="8">'[16]Functional Study'!#REF!</definedName>
    <definedName name="Acct41011S" localSheetId="17">'[16]Functional Study'!#REF!</definedName>
    <definedName name="Acct41011S" localSheetId="20">'[16]Functional Study'!#REF!</definedName>
    <definedName name="Acct41011S" localSheetId="36">'[17]Functional Study'!#REF!</definedName>
    <definedName name="Acct41011S">'[16]Functional Study'!#REF!</definedName>
    <definedName name="Acct41011SE" localSheetId="1">'[16]Functional Study'!#REF!</definedName>
    <definedName name="Acct41011SE" localSheetId="2">'[16]Functional Study'!#REF!</definedName>
    <definedName name="Acct41011SE" localSheetId="3">'[16]Functional Study'!#REF!</definedName>
    <definedName name="Acct41011SE" localSheetId="5">'[16]Functional Study'!#REF!</definedName>
    <definedName name="Acct41011SE" localSheetId="7">'[16]Functional Study'!#REF!</definedName>
    <definedName name="Acct41011SE" localSheetId="8">'[16]Functional Study'!#REF!</definedName>
    <definedName name="Acct41011SE" localSheetId="17">'[16]Functional Study'!#REF!</definedName>
    <definedName name="Acct41011SE" localSheetId="20">'[16]Functional Study'!#REF!</definedName>
    <definedName name="Acct41011SE" localSheetId="36">'[17]Functional Study'!#REF!</definedName>
    <definedName name="Acct41011SE">'[16]Functional Study'!#REF!</definedName>
    <definedName name="Acct41011SG1" localSheetId="1">'[16]Functional Study'!#REF!</definedName>
    <definedName name="Acct41011SG1" localSheetId="2">'[16]Functional Study'!#REF!</definedName>
    <definedName name="Acct41011SG1" localSheetId="3">'[16]Functional Study'!#REF!</definedName>
    <definedName name="Acct41011SG1" localSheetId="5">'[16]Functional Study'!#REF!</definedName>
    <definedName name="Acct41011SG1" localSheetId="7">'[16]Functional Study'!#REF!</definedName>
    <definedName name="Acct41011SG1" localSheetId="8">'[16]Functional Study'!#REF!</definedName>
    <definedName name="Acct41011SG1" localSheetId="17">'[16]Functional Study'!#REF!</definedName>
    <definedName name="Acct41011SG1" localSheetId="20">'[16]Functional Study'!#REF!</definedName>
    <definedName name="Acct41011SG1" localSheetId="36">'[17]Functional Study'!#REF!</definedName>
    <definedName name="Acct41011SG1">'[16]Functional Study'!#REF!</definedName>
    <definedName name="Acct41011SG2" localSheetId="1">'[16]Functional Study'!#REF!</definedName>
    <definedName name="Acct41011SG2" localSheetId="2">'[16]Functional Study'!#REF!</definedName>
    <definedName name="Acct41011SG2" localSheetId="3">'[16]Functional Study'!#REF!</definedName>
    <definedName name="Acct41011SG2" localSheetId="5">'[16]Functional Study'!#REF!</definedName>
    <definedName name="Acct41011SG2" localSheetId="7">'[16]Functional Study'!#REF!</definedName>
    <definedName name="Acct41011SG2" localSheetId="8">'[16]Functional Study'!#REF!</definedName>
    <definedName name="Acct41011SG2" localSheetId="17">'[16]Functional Study'!#REF!</definedName>
    <definedName name="Acct41011SG2" localSheetId="20">'[16]Functional Study'!#REF!</definedName>
    <definedName name="Acct41011SG2" localSheetId="36">'[17]Functional Study'!#REF!</definedName>
    <definedName name="Acct41011SG2">'[16]Functional Study'!#REF!</definedName>
    <definedName name="ACCT41011SGCT" localSheetId="1">'[16]Functional Study'!#REF!</definedName>
    <definedName name="ACCT41011SGCT" localSheetId="2">'[16]Functional Study'!#REF!</definedName>
    <definedName name="ACCT41011SGCT" localSheetId="3">'[16]Functional Study'!#REF!</definedName>
    <definedName name="ACCT41011SGCT" localSheetId="5">'[16]Functional Study'!#REF!</definedName>
    <definedName name="ACCT41011SGCT" localSheetId="7">'[16]Functional Study'!#REF!</definedName>
    <definedName name="ACCT41011SGCT" localSheetId="8">'[16]Functional Study'!#REF!</definedName>
    <definedName name="ACCT41011SGCT" localSheetId="17">'[16]Functional Study'!#REF!</definedName>
    <definedName name="ACCT41011SGCT" localSheetId="20">'[16]Functional Study'!#REF!</definedName>
    <definedName name="ACCT41011SGCT" localSheetId="36">'[17]Functional Study'!#REF!</definedName>
    <definedName name="ACCT41011SGCT">'[16]Functional Study'!#REF!</definedName>
    <definedName name="Acct41011SGPP" localSheetId="1">'[16]Functional Study'!#REF!</definedName>
    <definedName name="Acct41011SGPP" localSheetId="2">'[16]Functional Study'!#REF!</definedName>
    <definedName name="Acct41011SGPP" localSheetId="3">'[16]Functional Study'!#REF!</definedName>
    <definedName name="Acct41011SGPP" localSheetId="5">'[16]Functional Study'!#REF!</definedName>
    <definedName name="Acct41011SGPP" localSheetId="7">'[16]Functional Study'!#REF!</definedName>
    <definedName name="Acct41011SGPP" localSheetId="8">'[16]Functional Study'!#REF!</definedName>
    <definedName name="Acct41011SGPP" localSheetId="17">'[16]Functional Study'!#REF!</definedName>
    <definedName name="Acct41011SGPP" localSheetId="20">'[16]Functional Study'!#REF!</definedName>
    <definedName name="Acct41011SGPP" localSheetId="36">'[17]Functional Study'!#REF!</definedName>
    <definedName name="Acct41011SGPP">'[16]Functional Study'!#REF!</definedName>
    <definedName name="Acct41011SNP" localSheetId="1">'[16]Functional Study'!#REF!</definedName>
    <definedName name="Acct41011SNP" localSheetId="2">'[16]Functional Study'!#REF!</definedName>
    <definedName name="Acct41011SNP" localSheetId="3">'[16]Functional Study'!#REF!</definedName>
    <definedName name="Acct41011SNP" localSheetId="5">'[16]Functional Study'!#REF!</definedName>
    <definedName name="Acct41011SNP" localSheetId="7">'[16]Functional Study'!#REF!</definedName>
    <definedName name="Acct41011SNP" localSheetId="8">'[16]Functional Study'!#REF!</definedName>
    <definedName name="Acct41011SNP" localSheetId="17">'[16]Functional Study'!#REF!</definedName>
    <definedName name="Acct41011SNP" localSheetId="20">'[16]Functional Study'!#REF!</definedName>
    <definedName name="Acct41011SNP" localSheetId="36">'[17]Functional Study'!#REF!</definedName>
    <definedName name="Acct41011SNP">'[16]Functional Study'!#REF!</definedName>
    <definedName name="ACCT41011SNPD" localSheetId="1">'[16]Functional Study'!#REF!</definedName>
    <definedName name="ACCT41011SNPD" localSheetId="2">'[16]Functional Study'!#REF!</definedName>
    <definedName name="ACCT41011SNPD" localSheetId="3">'[16]Functional Study'!#REF!</definedName>
    <definedName name="ACCT41011SNPD" localSheetId="5">'[16]Functional Study'!#REF!</definedName>
    <definedName name="ACCT41011SNPD" localSheetId="7">'[16]Functional Study'!#REF!</definedName>
    <definedName name="ACCT41011SNPD" localSheetId="8">'[16]Functional Study'!#REF!</definedName>
    <definedName name="ACCT41011SNPD" localSheetId="17">'[16]Functional Study'!#REF!</definedName>
    <definedName name="ACCT41011SNPD" localSheetId="20">'[16]Functional Study'!#REF!</definedName>
    <definedName name="ACCT41011SNPD" localSheetId="36">'[17]Functional Study'!#REF!</definedName>
    <definedName name="ACCT41011SNPD">'[16]Functional Study'!#REF!</definedName>
    <definedName name="Acct41011SO" localSheetId="1">'[16]Functional Study'!#REF!</definedName>
    <definedName name="Acct41011SO" localSheetId="2">'[16]Functional Study'!#REF!</definedName>
    <definedName name="Acct41011SO" localSheetId="3">'[16]Functional Study'!#REF!</definedName>
    <definedName name="Acct41011SO" localSheetId="5">'[16]Functional Study'!#REF!</definedName>
    <definedName name="Acct41011SO" localSheetId="7">'[16]Functional Study'!#REF!</definedName>
    <definedName name="Acct41011SO" localSheetId="8">'[16]Functional Study'!#REF!</definedName>
    <definedName name="Acct41011SO" localSheetId="17">'[16]Functional Study'!#REF!</definedName>
    <definedName name="Acct41011SO" localSheetId="20">'[16]Functional Study'!#REF!</definedName>
    <definedName name="Acct41011SO" localSheetId="36">'[17]Functional Study'!#REF!</definedName>
    <definedName name="Acct41011SO">'[16]Functional Study'!#REF!</definedName>
    <definedName name="Acct41011TROJP" localSheetId="1">'[16]Functional Study'!#REF!</definedName>
    <definedName name="Acct41011TROJP" localSheetId="2">'[16]Functional Study'!#REF!</definedName>
    <definedName name="Acct41011TROJP" localSheetId="3">'[16]Functional Study'!#REF!</definedName>
    <definedName name="Acct41011TROJP" localSheetId="5">'[16]Functional Study'!#REF!</definedName>
    <definedName name="Acct41011TROJP" localSheetId="7">'[16]Functional Study'!#REF!</definedName>
    <definedName name="Acct41011TROJP" localSheetId="8">'[16]Functional Study'!#REF!</definedName>
    <definedName name="Acct41011TROJP" localSheetId="17">'[16]Functional Study'!#REF!</definedName>
    <definedName name="Acct41011TROJP" localSheetId="20">'[16]Functional Study'!#REF!</definedName>
    <definedName name="Acct41011TROJP" localSheetId="36">'[17]Functional Study'!#REF!</definedName>
    <definedName name="Acct41011TROJP">'[16]Functional Study'!#REF!</definedName>
    <definedName name="Acct41111" localSheetId="1">'[16]Functional Study'!#REF!</definedName>
    <definedName name="Acct41111" localSheetId="2">'[16]Functional Study'!#REF!</definedName>
    <definedName name="Acct41111" localSheetId="3">'[16]Functional Study'!#REF!</definedName>
    <definedName name="Acct41111" localSheetId="5">'[16]Functional Study'!#REF!</definedName>
    <definedName name="Acct41111" localSheetId="7">'[16]Functional Study'!#REF!</definedName>
    <definedName name="Acct41111" localSheetId="8">'[16]Functional Study'!#REF!</definedName>
    <definedName name="Acct41111" localSheetId="17">'[16]Functional Study'!#REF!</definedName>
    <definedName name="Acct41111" localSheetId="20">'[16]Functional Study'!#REF!</definedName>
    <definedName name="Acct41111" localSheetId="36">'[17]Functional Study'!#REF!</definedName>
    <definedName name="Acct41111">'[16]Functional Study'!#REF!</definedName>
    <definedName name="Acct41111BADDEBT" localSheetId="1">'[16]Functional Study'!#REF!</definedName>
    <definedName name="Acct41111BADDEBT" localSheetId="2">'[16]Functional Study'!#REF!</definedName>
    <definedName name="Acct41111BADDEBT" localSheetId="3">'[16]Functional Study'!#REF!</definedName>
    <definedName name="Acct41111BADDEBT" localSheetId="5">'[16]Functional Study'!#REF!</definedName>
    <definedName name="Acct41111BADDEBT" localSheetId="7">'[16]Functional Study'!#REF!</definedName>
    <definedName name="Acct41111BADDEBT" localSheetId="8">'[16]Functional Study'!#REF!</definedName>
    <definedName name="Acct41111BADDEBT" localSheetId="17">'[16]Functional Study'!#REF!</definedName>
    <definedName name="Acct41111BADDEBT" localSheetId="20">'[16]Functional Study'!#REF!</definedName>
    <definedName name="Acct41111BADDEBT" localSheetId="36">'[17]Functional Study'!#REF!</definedName>
    <definedName name="Acct41111BADDEBT">'[16]Functional Study'!#REF!</definedName>
    <definedName name="Acct41111DITEXP" localSheetId="1">'[16]Functional Study'!#REF!</definedName>
    <definedName name="Acct41111DITEXP" localSheetId="2">'[16]Functional Study'!#REF!</definedName>
    <definedName name="Acct41111DITEXP" localSheetId="3">'[16]Functional Study'!#REF!</definedName>
    <definedName name="Acct41111DITEXP" localSheetId="5">'[16]Functional Study'!#REF!</definedName>
    <definedName name="Acct41111DITEXP" localSheetId="7">'[16]Functional Study'!#REF!</definedName>
    <definedName name="Acct41111DITEXP" localSheetId="8">'[16]Functional Study'!#REF!</definedName>
    <definedName name="Acct41111DITEXP" localSheetId="17">'[16]Functional Study'!#REF!</definedName>
    <definedName name="Acct41111DITEXP" localSheetId="20">'[16]Functional Study'!#REF!</definedName>
    <definedName name="Acct41111DITEXP" localSheetId="36">'[17]Functional Study'!#REF!</definedName>
    <definedName name="Acct41111DITEXP">'[16]Functional Study'!#REF!</definedName>
    <definedName name="Acct41111S" localSheetId="1">'[16]Functional Study'!#REF!</definedName>
    <definedName name="Acct41111S" localSheetId="2">'[16]Functional Study'!#REF!</definedName>
    <definedName name="Acct41111S" localSheetId="3">'[16]Functional Study'!#REF!</definedName>
    <definedName name="Acct41111S" localSheetId="5">'[16]Functional Study'!#REF!</definedName>
    <definedName name="Acct41111S" localSheetId="7">'[16]Functional Study'!#REF!</definedName>
    <definedName name="Acct41111S" localSheetId="8">'[16]Functional Study'!#REF!</definedName>
    <definedName name="Acct41111S" localSheetId="17">'[16]Functional Study'!#REF!</definedName>
    <definedName name="Acct41111S" localSheetId="20">'[16]Functional Study'!#REF!</definedName>
    <definedName name="Acct41111S" localSheetId="36">'[17]Functional Study'!#REF!</definedName>
    <definedName name="Acct41111S">'[16]Functional Study'!#REF!</definedName>
    <definedName name="Acct41111SE" localSheetId="1">'[16]Functional Study'!#REF!</definedName>
    <definedName name="Acct41111SE" localSheetId="2">'[16]Functional Study'!#REF!</definedName>
    <definedName name="Acct41111SE" localSheetId="3">'[16]Functional Study'!#REF!</definedName>
    <definedName name="Acct41111SE" localSheetId="5">'[16]Functional Study'!#REF!</definedName>
    <definedName name="Acct41111SE" localSheetId="7">'[16]Functional Study'!#REF!</definedName>
    <definedName name="Acct41111SE" localSheetId="8">'[16]Functional Study'!#REF!</definedName>
    <definedName name="Acct41111SE" localSheetId="17">'[16]Functional Study'!#REF!</definedName>
    <definedName name="Acct41111SE" localSheetId="20">'[16]Functional Study'!#REF!</definedName>
    <definedName name="Acct41111SE" localSheetId="36">'[17]Functional Study'!#REF!</definedName>
    <definedName name="Acct41111SE">'[16]Functional Study'!#REF!</definedName>
    <definedName name="Acct41111SG1" localSheetId="1">'[16]Functional Study'!#REF!</definedName>
    <definedName name="Acct41111SG1" localSheetId="2">'[16]Functional Study'!#REF!</definedName>
    <definedName name="Acct41111SG1" localSheetId="3">'[16]Functional Study'!#REF!</definedName>
    <definedName name="Acct41111SG1" localSheetId="5">'[16]Functional Study'!#REF!</definedName>
    <definedName name="Acct41111SG1" localSheetId="7">'[16]Functional Study'!#REF!</definedName>
    <definedName name="Acct41111SG1" localSheetId="8">'[16]Functional Study'!#REF!</definedName>
    <definedName name="Acct41111SG1" localSheetId="17">'[16]Functional Study'!#REF!</definedName>
    <definedName name="Acct41111SG1" localSheetId="20">'[16]Functional Study'!#REF!</definedName>
    <definedName name="Acct41111SG1" localSheetId="36">'[17]Functional Study'!#REF!</definedName>
    <definedName name="Acct41111SG1">'[16]Functional Study'!#REF!</definedName>
    <definedName name="Acct41111SG2" localSheetId="1">'[16]Functional Study'!#REF!</definedName>
    <definedName name="Acct41111SG2" localSheetId="2">'[16]Functional Study'!#REF!</definedName>
    <definedName name="Acct41111SG2" localSheetId="3">'[16]Functional Study'!#REF!</definedName>
    <definedName name="Acct41111SG2" localSheetId="5">'[16]Functional Study'!#REF!</definedName>
    <definedName name="Acct41111SG2" localSheetId="7">'[16]Functional Study'!#REF!</definedName>
    <definedName name="Acct41111SG2" localSheetId="8">'[16]Functional Study'!#REF!</definedName>
    <definedName name="Acct41111SG2" localSheetId="17">'[16]Functional Study'!#REF!</definedName>
    <definedName name="Acct41111SG2" localSheetId="20">'[16]Functional Study'!#REF!</definedName>
    <definedName name="Acct41111SG2" localSheetId="36">'[17]Functional Study'!#REF!</definedName>
    <definedName name="Acct41111SG2">'[16]Functional Study'!#REF!</definedName>
    <definedName name="Acct41111SG3" localSheetId="1">'[16]Functional Study'!#REF!</definedName>
    <definedName name="Acct41111SG3" localSheetId="2">'[16]Functional Study'!#REF!</definedName>
    <definedName name="Acct41111SG3" localSheetId="3">'[16]Functional Study'!#REF!</definedName>
    <definedName name="Acct41111SG3" localSheetId="5">'[16]Functional Study'!#REF!</definedName>
    <definedName name="Acct41111SG3" localSheetId="7">'[16]Functional Study'!#REF!</definedName>
    <definedName name="Acct41111SG3" localSheetId="8">'[16]Functional Study'!#REF!</definedName>
    <definedName name="Acct41111SG3" localSheetId="17">'[16]Functional Study'!#REF!</definedName>
    <definedName name="Acct41111SG3" localSheetId="20">'[16]Functional Study'!#REF!</definedName>
    <definedName name="Acct41111SG3" localSheetId="36">'[17]Functional Study'!#REF!</definedName>
    <definedName name="Acct41111SG3">'[16]Functional Study'!#REF!</definedName>
    <definedName name="Acct41111SGPP" localSheetId="1">'[16]Functional Study'!#REF!</definedName>
    <definedName name="Acct41111SGPP" localSheetId="2">'[16]Functional Study'!#REF!</definedName>
    <definedName name="Acct41111SGPP" localSheetId="3">'[16]Functional Study'!#REF!</definedName>
    <definedName name="Acct41111SGPP" localSheetId="5">'[16]Functional Study'!#REF!</definedName>
    <definedName name="Acct41111SGPP" localSheetId="7">'[16]Functional Study'!#REF!</definedName>
    <definedName name="Acct41111SGPP" localSheetId="8">'[16]Functional Study'!#REF!</definedName>
    <definedName name="Acct41111SGPP" localSheetId="17">'[16]Functional Study'!#REF!</definedName>
    <definedName name="Acct41111SGPP" localSheetId="20">'[16]Functional Study'!#REF!</definedName>
    <definedName name="Acct41111SGPP" localSheetId="36">'[17]Functional Study'!#REF!</definedName>
    <definedName name="Acct41111SGPP">'[16]Functional Study'!#REF!</definedName>
    <definedName name="Acct41111SNP" localSheetId="1">'[16]Functional Study'!#REF!</definedName>
    <definedName name="Acct41111SNP" localSheetId="2">'[16]Functional Study'!#REF!</definedName>
    <definedName name="Acct41111SNP" localSheetId="3">'[16]Functional Study'!#REF!</definedName>
    <definedName name="Acct41111SNP" localSheetId="5">'[16]Functional Study'!#REF!</definedName>
    <definedName name="Acct41111SNP" localSheetId="7">'[16]Functional Study'!#REF!</definedName>
    <definedName name="Acct41111SNP" localSheetId="8">'[16]Functional Study'!#REF!</definedName>
    <definedName name="Acct41111SNP" localSheetId="17">'[16]Functional Study'!#REF!</definedName>
    <definedName name="Acct41111SNP" localSheetId="20">'[16]Functional Study'!#REF!</definedName>
    <definedName name="Acct41111SNP" localSheetId="36">'[17]Functional Study'!#REF!</definedName>
    <definedName name="Acct41111SNP">'[16]Functional Study'!#REF!</definedName>
    <definedName name="Acct41111SNTP" localSheetId="1">'[16]Functional Study'!#REF!</definedName>
    <definedName name="Acct41111SNTP" localSheetId="2">'[16]Functional Study'!#REF!</definedName>
    <definedName name="Acct41111SNTP" localSheetId="3">'[16]Functional Study'!#REF!</definedName>
    <definedName name="Acct41111SNTP" localSheetId="5">'[16]Functional Study'!#REF!</definedName>
    <definedName name="Acct41111SNTP" localSheetId="7">'[16]Functional Study'!#REF!</definedName>
    <definedName name="Acct41111SNTP" localSheetId="8">'[16]Functional Study'!#REF!</definedName>
    <definedName name="Acct41111SNTP" localSheetId="17">'[16]Functional Study'!#REF!</definedName>
    <definedName name="Acct41111SNTP" localSheetId="20">'[16]Functional Study'!#REF!</definedName>
    <definedName name="Acct41111SNTP" localSheetId="36">'[17]Functional Study'!#REF!</definedName>
    <definedName name="Acct41111SNTP">'[16]Functional Study'!#REF!</definedName>
    <definedName name="Acct41111SO" localSheetId="1">'[16]Functional Study'!#REF!</definedName>
    <definedName name="Acct41111SO" localSheetId="2">'[16]Functional Study'!#REF!</definedName>
    <definedName name="Acct41111SO" localSheetId="3">'[16]Functional Study'!#REF!</definedName>
    <definedName name="Acct41111SO" localSheetId="5">'[16]Functional Study'!#REF!</definedName>
    <definedName name="Acct41111SO" localSheetId="7">'[16]Functional Study'!#REF!</definedName>
    <definedName name="Acct41111SO" localSheetId="8">'[16]Functional Study'!#REF!</definedName>
    <definedName name="Acct41111SO" localSheetId="17">'[16]Functional Study'!#REF!</definedName>
    <definedName name="Acct41111SO" localSheetId="20">'[16]Functional Study'!#REF!</definedName>
    <definedName name="Acct41111SO" localSheetId="36">'[17]Functional Study'!#REF!</definedName>
    <definedName name="Acct41111SO">'[16]Functional Study'!#REF!</definedName>
    <definedName name="Acct41111TROJP" localSheetId="1">'[16]Functional Study'!#REF!</definedName>
    <definedName name="Acct41111TROJP" localSheetId="2">'[16]Functional Study'!#REF!</definedName>
    <definedName name="Acct41111TROJP" localSheetId="3">'[16]Functional Study'!#REF!</definedName>
    <definedName name="Acct41111TROJP" localSheetId="5">'[16]Functional Study'!#REF!</definedName>
    <definedName name="Acct41111TROJP" localSheetId="7">'[16]Functional Study'!#REF!</definedName>
    <definedName name="Acct41111TROJP" localSheetId="8">'[16]Functional Study'!#REF!</definedName>
    <definedName name="Acct41111TROJP" localSheetId="17">'[16]Functional Study'!#REF!</definedName>
    <definedName name="Acct41111TROJP" localSheetId="20">'[16]Functional Study'!#REF!</definedName>
    <definedName name="Acct41111TROJP" localSheetId="36">'[17]Functional Study'!#REF!</definedName>
    <definedName name="Acct41111TROJP">'[16]Functional Study'!#REF!</definedName>
    <definedName name="Acct411BADDEBT" localSheetId="1">'[16]Functional Study'!#REF!</definedName>
    <definedName name="Acct411BADDEBT" localSheetId="2">'[16]Functional Study'!#REF!</definedName>
    <definedName name="Acct411BADDEBT" localSheetId="3">'[16]Functional Study'!#REF!</definedName>
    <definedName name="Acct411BADDEBT" localSheetId="5">'[16]Functional Study'!#REF!</definedName>
    <definedName name="Acct411BADDEBT" localSheetId="7">'[16]Functional Study'!#REF!</definedName>
    <definedName name="Acct411BADDEBT" localSheetId="8">'[16]Functional Study'!#REF!</definedName>
    <definedName name="Acct411BADDEBT" localSheetId="17">'[16]Functional Study'!#REF!</definedName>
    <definedName name="Acct411BADDEBT" localSheetId="20">'[16]Functional Study'!#REF!</definedName>
    <definedName name="Acct411BADDEBT" localSheetId="36">'[17]Functional Study'!#REF!</definedName>
    <definedName name="Acct411BADDEBT">'[16]Functional Study'!#REF!</definedName>
    <definedName name="Acct411DGP" localSheetId="1">'[16]Functional Study'!#REF!</definedName>
    <definedName name="Acct411DGP" localSheetId="2">'[16]Functional Study'!#REF!</definedName>
    <definedName name="Acct411DGP" localSheetId="3">'[16]Functional Study'!#REF!</definedName>
    <definedName name="Acct411DGP" localSheetId="5">'[16]Functional Study'!#REF!</definedName>
    <definedName name="Acct411DGP" localSheetId="7">'[16]Functional Study'!#REF!</definedName>
    <definedName name="Acct411DGP" localSheetId="8">'[16]Functional Study'!#REF!</definedName>
    <definedName name="Acct411DGP" localSheetId="17">'[16]Functional Study'!#REF!</definedName>
    <definedName name="Acct411DGP" localSheetId="20">'[16]Functional Study'!#REF!</definedName>
    <definedName name="Acct411DGP" localSheetId="36">'[17]Functional Study'!#REF!</definedName>
    <definedName name="Acct411DGP">'[16]Functional Study'!#REF!</definedName>
    <definedName name="Acct411DGU" localSheetId="1">'[16]Functional Study'!#REF!</definedName>
    <definedName name="Acct411DGU" localSheetId="2">'[16]Functional Study'!#REF!</definedName>
    <definedName name="Acct411DGU" localSheetId="3">'[16]Functional Study'!#REF!</definedName>
    <definedName name="Acct411DGU" localSheetId="5">'[16]Functional Study'!#REF!</definedName>
    <definedName name="Acct411DGU" localSheetId="7">'[16]Functional Study'!#REF!</definedName>
    <definedName name="Acct411DGU" localSheetId="8">'[16]Functional Study'!#REF!</definedName>
    <definedName name="Acct411DGU" localSheetId="17">'[16]Functional Study'!#REF!</definedName>
    <definedName name="Acct411DGU" localSheetId="20">'[16]Functional Study'!#REF!</definedName>
    <definedName name="Acct411DGU" localSheetId="36">'[17]Functional Study'!#REF!</definedName>
    <definedName name="Acct411DGU">'[16]Functional Study'!#REF!</definedName>
    <definedName name="Acct411DITEXP" localSheetId="1">'[16]Functional Study'!#REF!</definedName>
    <definedName name="Acct411DITEXP" localSheetId="2">'[16]Functional Study'!#REF!</definedName>
    <definedName name="Acct411DITEXP" localSheetId="3">'[16]Functional Study'!#REF!</definedName>
    <definedName name="Acct411DITEXP" localSheetId="5">'[16]Functional Study'!#REF!</definedName>
    <definedName name="Acct411DITEXP" localSheetId="7">'[16]Functional Study'!#REF!</definedName>
    <definedName name="Acct411DITEXP" localSheetId="8">'[16]Functional Study'!#REF!</definedName>
    <definedName name="Acct411DITEXP" localSheetId="17">'[16]Functional Study'!#REF!</definedName>
    <definedName name="Acct411DITEXP" localSheetId="20">'[16]Functional Study'!#REF!</definedName>
    <definedName name="Acct411DITEXP" localSheetId="36">'[17]Functional Study'!#REF!</definedName>
    <definedName name="Acct411DITEXP">'[16]Functional Study'!#REF!</definedName>
    <definedName name="Acct411DNPP" localSheetId="1">'[16]Functional Study'!#REF!</definedName>
    <definedName name="Acct411DNPP" localSheetId="2">'[16]Functional Study'!#REF!</definedName>
    <definedName name="Acct411DNPP" localSheetId="3">'[16]Functional Study'!#REF!</definedName>
    <definedName name="Acct411DNPP" localSheetId="5">'[16]Functional Study'!#REF!</definedName>
    <definedName name="Acct411DNPP" localSheetId="7">'[16]Functional Study'!#REF!</definedName>
    <definedName name="Acct411DNPP" localSheetId="8">'[16]Functional Study'!#REF!</definedName>
    <definedName name="Acct411DNPP" localSheetId="17">'[16]Functional Study'!#REF!</definedName>
    <definedName name="Acct411DNPP" localSheetId="20">'[16]Functional Study'!#REF!</definedName>
    <definedName name="Acct411DNPP" localSheetId="36">'[17]Functional Study'!#REF!</definedName>
    <definedName name="Acct411DNPP">'[16]Functional Study'!#REF!</definedName>
    <definedName name="Acct411DNPTP" localSheetId="1">'[16]Functional Study'!#REF!</definedName>
    <definedName name="Acct411DNPTP" localSheetId="2">'[16]Functional Study'!#REF!</definedName>
    <definedName name="Acct411DNPTP" localSheetId="3">'[16]Functional Study'!#REF!</definedName>
    <definedName name="Acct411DNPTP" localSheetId="5">'[16]Functional Study'!#REF!</definedName>
    <definedName name="Acct411DNPTP" localSheetId="7">'[16]Functional Study'!#REF!</definedName>
    <definedName name="Acct411DNPTP" localSheetId="8">'[16]Functional Study'!#REF!</definedName>
    <definedName name="Acct411DNPTP" localSheetId="17">'[16]Functional Study'!#REF!</definedName>
    <definedName name="Acct411DNPTP" localSheetId="20">'[16]Functional Study'!#REF!</definedName>
    <definedName name="Acct411DNPTP" localSheetId="36">'[17]Functional Study'!#REF!</definedName>
    <definedName name="Acct411DNPTP">'[16]Functional Study'!#REF!</definedName>
    <definedName name="Acct411S" localSheetId="1">'[16]Functional Study'!#REF!</definedName>
    <definedName name="Acct411S" localSheetId="2">'[16]Functional Study'!#REF!</definedName>
    <definedName name="Acct411S" localSheetId="3">'[16]Functional Study'!#REF!</definedName>
    <definedName name="Acct411S" localSheetId="5">'[16]Functional Study'!#REF!</definedName>
    <definedName name="Acct411S" localSheetId="7">'[16]Functional Study'!#REF!</definedName>
    <definedName name="Acct411S" localSheetId="8">'[16]Functional Study'!#REF!</definedName>
    <definedName name="Acct411S" localSheetId="17">'[16]Functional Study'!#REF!</definedName>
    <definedName name="Acct411S" localSheetId="20">'[16]Functional Study'!#REF!</definedName>
    <definedName name="Acct411S" localSheetId="36">'[17]Functional Study'!#REF!</definedName>
    <definedName name="Acct411S">'[16]Functional Study'!#REF!</definedName>
    <definedName name="Acct411SE" localSheetId="1">'[16]Functional Study'!#REF!</definedName>
    <definedName name="Acct411SE" localSheetId="2">'[16]Functional Study'!#REF!</definedName>
    <definedName name="Acct411SE" localSheetId="3">'[16]Functional Study'!#REF!</definedName>
    <definedName name="Acct411SE" localSheetId="5">'[16]Functional Study'!#REF!</definedName>
    <definedName name="Acct411SE" localSheetId="7">'[16]Functional Study'!#REF!</definedName>
    <definedName name="Acct411SE" localSheetId="8">'[16]Functional Study'!#REF!</definedName>
    <definedName name="Acct411SE" localSheetId="17">'[16]Functional Study'!#REF!</definedName>
    <definedName name="Acct411SE" localSheetId="20">'[16]Functional Study'!#REF!</definedName>
    <definedName name="Acct411SE" localSheetId="36">'[17]Functional Study'!#REF!</definedName>
    <definedName name="Acct411SE">'[16]Functional Study'!#REF!</definedName>
    <definedName name="Acct411SG" localSheetId="1">'[16]Functional Study'!#REF!</definedName>
    <definedName name="Acct411SG" localSheetId="2">'[16]Functional Study'!#REF!</definedName>
    <definedName name="Acct411SG" localSheetId="3">'[16]Functional Study'!#REF!</definedName>
    <definedName name="Acct411SG" localSheetId="5">'[16]Functional Study'!#REF!</definedName>
    <definedName name="Acct411SG" localSheetId="7">'[16]Functional Study'!#REF!</definedName>
    <definedName name="Acct411SG" localSheetId="8">'[16]Functional Study'!#REF!</definedName>
    <definedName name="Acct411SG" localSheetId="17">'[16]Functional Study'!#REF!</definedName>
    <definedName name="Acct411SG" localSheetId="20">'[16]Functional Study'!#REF!</definedName>
    <definedName name="Acct411SG" localSheetId="36">'[17]Functional Study'!#REF!</definedName>
    <definedName name="Acct411SG">'[16]Functional Study'!#REF!</definedName>
    <definedName name="Acct411SGPP" localSheetId="1">'[16]Functional Study'!#REF!</definedName>
    <definedName name="Acct411SGPP" localSheetId="2">'[16]Functional Study'!#REF!</definedName>
    <definedName name="Acct411SGPP" localSheetId="3">'[16]Functional Study'!#REF!</definedName>
    <definedName name="Acct411SGPP" localSheetId="5">'[16]Functional Study'!#REF!</definedName>
    <definedName name="Acct411SGPP" localSheetId="7">'[16]Functional Study'!#REF!</definedName>
    <definedName name="Acct411SGPP" localSheetId="8">'[16]Functional Study'!#REF!</definedName>
    <definedName name="Acct411SGPP" localSheetId="17">'[16]Functional Study'!#REF!</definedName>
    <definedName name="Acct411SGPP" localSheetId="20">'[16]Functional Study'!#REF!</definedName>
    <definedName name="Acct411SGPP" localSheetId="36">'[17]Functional Study'!#REF!</definedName>
    <definedName name="Acct411SGPP">'[16]Functional Study'!#REF!</definedName>
    <definedName name="Acct411SO" localSheetId="1">'[16]Functional Study'!#REF!</definedName>
    <definedName name="Acct411SO" localSheetId="2">'[16]Functional Study'!#REF!</definedName>
    <definedName name="Acct411SO" localSheetId="3">'[16]Functional Study'!#REF!</definedName>
    <definedName name="Acct411SO" localSheetId="5">'[16]Functional Study'!#REF!</definedName>
    <definedName name="Acct411SO" localSheetId="7">'[16]Functional Study'!#REF!</definedName>
    <definedName name="Acct411SO" localSheetId="8">'[16]Functional Study'!#REF!</definedName>
    <definedName name="Acct411SO" localSheetId="17">'[16]Functional Study'!#REF!</definedName>
    <definedName name="Acct411SO" localSheetId="20">'[16]Functional Study'!#REF!</definedName>
    <definedName name="Acct411SO" localSheetId="36">'[17]Functional Study'!#REF!</definedName>
    <definedName name="Acct411SO">'[16]Functional Study'!#REF!</definedName>
    <definedName name="Acct411TROJP" localSheetId="1">'[16]Functional Study'!#REF!</definedName>
    <definedName name="Acct411TROJP" localSheetId="2">'[16]Functional Study'!#REF!</definedName>
    <definedName name="Acct411TROJP" localSheetId="3">'[16]Functional Study'!#REF!</definedName>
    <definedName name="Acct411TROJP" localSheetId="5">'[16]Functional Study'!#REF!</definedName>
    <definedName name="Acct411TROJP" localSheetId="7">'[16]Functional Study'!#REF!</definedName>
    <definedName name="Acct411TROJP" localSheetId="8">'[16]Functional Study'!#REF!</definedName>
    <definedName name="Acct411TROJP" localSheetId="17">'[16]Functional Study'!#REF!</definedName>
    <definedName name="Acct411TROJP" localSheetId="20">'[16]Functional Study'!#REF!</definedName>
    <definedName name="Acct411TROJP" localSheetId="36">'[17]Functional Study'!#REF!</definedName>
    <definedName name="Acct411TROJP">'[16]Functional Study'!#REF!</definedName>
    <definedName name="Acct447DGU" localSheetId="1">'[13]Func Study'!#REF!</definedName>
    <definedName name="Acct447DGU" localSheetId="2">'[13]Func Study'!#REF!</definedName>
    <definedName name="Acct447DGU" localSheetId="3">'[13]Func Study'!#REF!</definedName>
    <definedName name="Acct447DGU" localSheetId="5">'[13]Func Study'!#REF!</definedName>
    <definedName name="Acct447DGU" localSheetId="7">'[13]Func Study'!#REF!</definedName>
    <definedName name="Acct447DGU" localSheetId="8">'[13]Func Study'!#REF!</definedName>
    <definedName name="Acct447DGU" localSheetId="17">'[13]Func Study'!#REF!</definedName>
    <definedName name="Acct447DGU" localSheetId="20">'[13]Func Study'!#REF!</definedName>
    <definedName name="Acct447DGU">'[13]Func Study'!#REF!</definedName>
    <definedName name="Acct448S" localSheetId="19">'[12]Func Study'!$H$274</definedName>
    <definedName name="Acct448S" localSheetId="4">'[14]Func Study'!$H$274</definedName>
    <definedName name="Acct448S">'[15]Func Study'!$H$274</definedName>
    <definedName name="Acct450S" localSheetId="19">'[12]Func Study'!$H$302</definedName>
    <definedName name="Acct450S" localSheetId="4">'[14]Func Study'!$H$302</definedName>
    <definedName name="Acct450S">'[15]Func Study'!$H$302</definedName>
    <definedName name="Acct451S" localSheetId="19">'[12]Func Study'!$H$307</definedName>
    <definedName name="Acct451S" localSheetId="4">'[14]Func Study'!$H$307</definedName>
    <definedName name="Acct451S">'[15]Func Study'!$H$307</definedName>
    <definedName name="Acct454S" localSheetId="19">'[12]Func Study'!$H$318</definedName>
    <definedName name="Acct454S" localSheetId="4">'[14]Func Study'!$H$318</definedName>
    <definedName name="Acct454S">'[15]Func Study'!$H$318</definedName>
    <definedName name="Acct456S" localSheetId="19">'[12]Func Study'!$H$325</definedName>
    <definedName name="Acct456S" localSheetId="4">'[14]Func Study'!$H$325</definedName>
    <definedName name="Acct456S">'[15]Func Study'!$H$325</definedName>
    <definedName name="Acct510" localSheetId="19">'[12]Func Study'!#REF!</definedName>
    <definedName name="Acct510" localSheetId="1">'[15]Func Study'!#REF!</definedName>
    <definedName name="Acct510" localSheetId="2">'[15]Func Study'!#REF!</definedName>
    <definedName name="Acct510" localSheetId="4">'[14]Func Study'!#REF!</definedName>
    <definedName name="Acct510" localSheetId="3">'[15]Func Study'!#REF!</definedName>
    <definedName name="Acct510" localSheetId="7">'[15]Func Study'!#REF!</definedName>
    <definedName name="Acct510" localSheetId="8">'[15]Func Study'!#REF!</definedName>
    <definedName name="Acct510" localSheetId="35">'[15]Func Study'!#REF!</definedName>
    <definedName name="Acct510" localSheetId="20">'[15]Func Study'!#REF!</definedName>
    <definedName name="Acct510">'[15]Func Study'!#REF!</definedName>
    <definedName name="Acct510DNPPSU" localSheetId="19">'[12]Func Study'!#REF!</definedName>
    <definedName name="Acct510DNPPSU" localSheetId="1">'[15]Func Study'!#REF!</definedName>
    <definedName name="Acct510DNPPSU" localSheetId="2">'[15]Func Study'!#REF!</definedName>
    <definedName name="Acct510DNPPSU" localSheetId="4">'[14]Func Study'!#REF!</definedName>
    <definedName name="Acct510DNPPSU" localSheetId="3">'[15]Func Study'!#REF!</definedName>
    <definedName name="Acct510DNPPSU" localSheetId="7">'[15]Func Study'!#REF!</definedName>
    <definedName name="Acct510DNPPSU" localSheetId="8">'[15]Func Study'!#REF!</definedName>
    <definedName name="Acct510DNPPSU" localSheetId="35">'[15]Func Study'!#REF!</definedName>
    <definedName name="Acct510DNPPSU" localSheetId="20">'[15]Func Study'!#REF!</definedName>
    <definedName name="Acct510DNPPSU">'[15]Func Study'!#REF!</definedName>
    <definedName name="ACCT510JBG" localSheetId="19">'[12]Func Study'!#REF!</definedName>
    <definedName name="ACCT510JBG" localSheetId="1">'[15]Func Study'!#REF!</definedName>
    <definedName name="ACCT510JBG" localSheetId="2">'[15]Func Study'!#REF!</definedName>
    <definedName name="ACCT510JBG" localSheetId="4">'[14]Func Study'!#REF!</definedName>
    <definedName name="ACCT510JBG" localSheetId="3">'[15]Func Study'!#REF!</definedName>
    <definedName name="ACCT510JBG" localSheetId="7">'[15]Func Study'!#REF!</definedName>
    <definedName name="ACCT510JBG" localSheetId="8">'[15]Func Study'!#REF!</definedName>
    <definedName name="ACCT510JBG" localSheetId="20">'[15]Func Study'!#REF!</definedName>
    <definedName name="ACCT510JBG">'[15]Func Study'!#REF!</definedName>
    <definedName name="ACCT510SSGCH" localSheetId="19">'[12]Func Study'!#REF!</definedName>
    <definedName name="ACCT510SSGCH" localSheetId="1">'[15]Func Study'!#REF!</definedName>
    <definedName name="ACCT510SSGCH" localSheetId="2">'[15]Func Study'!#REF!</definedName>
    <definedName name="ACCT510SSGCH" localSheetId="4">'[14]Func Study'!#REF!</definedName>
    <definedName name="ACCT510SSGCH" localSheetId="3">'[15]Func Study'!#REF!</definedName>
    <definedName name="ACCT510SSGCH" localSheetId="7">'[15]Func Study'!#REF!</definedName>
    <definedName name="ACCT510SSGCH" localSheetId="8">'[15]Func Study'!#REF!</definedName>
    <definedName name="ACCT510SSGCH" localSheetId="20">'[15]Func Study'!#REF!</definedName>
    <definedName name="ACCT510SSGCH">'[15]Func Study'!#REF!</definedName>
    <definedName name="ACCT557CAGE" localSheetId="19">'[12]Func Study'!$H$683</definedName>
    <definedName name="ACCT557CAGE" localSheetId="4">'[14]Func Study'!$H$683</definedName>
    <definedName name="ACCT557CAGE">'[15]Func Study'!$H$683</definedName>
    <definedName name="Acct557CT" localSheetId="19">'[12]Func Study'!$H$681</definedName>
    <definedName name="Acct557CT" localSheetId="4">'[14]Func Study'!$H$681</definedName>
    <definedName name="Acct557CT">'[15]Func Study'!$H$681</definedName>
    <definedName name="Acct580" localSheetId="19">'[12]Func Study'!$H$791</definedName>
    <definedName name="Acct580" localSheetId="4">'[14]Func Study'!$H$791</definedName>
    <definedName name="Acct580">'[15]Func Study'!$H$791</definedName>
    <definedName name="Acct581" localSheetId="19">'[12]Func Study'!$H$796</definedName>
    <definedName name="Acct581" localSheetId="4">'[14]Func Study'!$H$796</definedName>
    <definedName name="Acct581">'[15]Func Study'!$H$796</definedName>
    <definedName name="Acct582" localSheetId="19">'[12]Func Study'!$H$801</definedName>
    <definedName name="Acct582" localSheetId="4">'[14]Func Study'!$H$801</definedName>
    <definedName name="Acct582">'[15]Func Study'!$H$801</definedName>
    <definedName name="Acct583" localSheetId="19">'[12]Func Study'!$H$806</definedName>
    <definedName name="Acct583" localSheetId="4">'[14]Func Study'!$H$806</definedName>
    <definedName name="Acct583">'[15]Func Study'!$H$806</definedName>
    <definedName name="Acct584" localSheetId="19">'[12]Func Study'!$H$811</definedName>
    <definedName name="Acct584" localSheetId="4">'[14]Func Study'!$H$811</definedName>
    <definedName name="Acct584">'[15]Func Study'!$H$811</definedName>
    <definedName name="Acct585" localSheetId="19">'[12]Func Study'!$H$816</definedName>
    <definedName name="Acct585" localSheetId="4">'[14]Func Study'!$H$816</definedName>
    <definedName name="Acct585">'[15]Func Study'!$H$816</definedName>
    <definedName name="Acct586" localSheetId="19">'[12]Func Study'!$H$821</definedName>
    <definedName name="Acct586" localSheetId="4">'[14]Func Study'!$H$821</definedName>
    <definedName name="Acct586">'[15]Func Study'!$H$821</definedName>
    <definedName name="Acct587" localSheetId="19">'[12]Func Study'!$H$826</definedName>
    <definedName name="Acct587" localSheetId="4">'[14]Func Study'!$H$826</definedName>
    <definedName name="Acct587">'[15]Func Study'!$H$826</definedName>
    <definedName name="Acct588" localSheetId="19">'[12]Func Study'!$H$831</definedName>
    <definedName name="Acct588" localSheetId="4">'[14]Func Study'!$H$831</definedName>
    <definedName name="Acct588">'[15]Func Study'!$H$831</definedName>
    <definedName name="Acct589" localSheetId="19">'[12]Func Study'!$H$836</definedName>
    <definedName name="Acct589" localSheetId="4">'[14]Func Study'!$H$836</definedName>
    <definedName name="Acct589">'[15]Func Study'!$H$836</definedName>
    <definedName name="Acct590" localSheetId="19">'[12]Func Study'!$H$841</definedName>
    <definedName name="Acct590" localSheetId="4">'[14]Func Study'!$H$841</definedName>
    <definedName name="Acct590">'[15]Func Study'!$H$841</definedName>
    <definedName name="Acct591" localSheetId="19">'[12]Func Study'!$H$846</definedName>
    <definedName name="Acct591" localSheetId="4">'[14]Func Study'!$H$846</definedName>
    <definedName name="Acct591">'[15]Func Study'!$H$846</definedName>
    <definedName name="Acct592" localSheetId="19">'[12]Func Study'!$H$851</definedName>
    <definedName name="Acct592" localSheetId="4">'[14]Func Study'!$H$851</definedName>
    <definedName name="Acct592">'[15]Func Study'!$H$851</definedName>
    <definedName name="Acct593" localSheetId="19">'[12]Func Study'!$H$856</definedName>
    <definedName name="Acct593" localSheetId="4">'[14]Func Study'!$H$856</definedName>
    <definedName name="Acct593">'[15]Func Study'!$H$856</definedName>
    <definedName name="Acct594" localSheetId="19">'[12]Func Study'!$H$861</definedName>
    <definedName name="Acct594" localSheetId="4">'[14]Func Study'!$H$861</definedName>
    <definedName name="Acct594">'[15]Func Study'!$H$861</definedName>
    <definedName name="Acct595" localSheetId="19">'[12]Func Study'!$H$866</definedName>
    <definedName name="Acct595" localSheetId="4">'[14]Func Study'!$H$866</definedName>
    <definedName name="Acct595">'[15]Func Study'!$H$866</definedName>
    <definedName name="Acct596" localSheetId="19">'[12]Func Study'!$H$876</definedName>
    <definedName name="Acct596" localSheetId="4">'[14]Func Study'!$H$876</definedName>
    <definedName name="Acct596">'[15]Func Study'!$H$876</definedName>
    <definedName name="Acct597" localSheetId="19">'[12]Func Study'!$H$881</definedName>
    <definedName name="Acct597" localSheetId="4">'[14]Func Study'!$H$881</definedName>
    <definedName name="Acct597">'[15]Func Study'!$H$881</definedName>
    <definedName name="Acct598" localSheetId="19">'[12]Func Study'!$H$886</definedName>
    <definedName name="Acct598" localSheetId="4">'[14]Func Study'!$H$886</definedName>
    <definedName name="Acct598">'[15]Func Study'!$H$886</definedName>
    <definedName name="ACCT904SG" localSheetId="1">'[18]Functional Study'!#REF!</definedName>
    <definedName name="ACCT904SG" localSheetId="2">'[18]Functional Study'!#REF!</definedName>
    <definedName name="ACCT904SG" localSheetId="4">'[18]Functional Study'!#REF!</definedName>
    <definedName name="ACCT904SG" localSheetId="3">'[18]Functional Study'!#REF!</definedName>
    <definedName name="ACCT904SG" localSheetId="5">'[18]Functional Study'!#REF!</definedName>
    <definedName name="ACCT904SG" localSheetId="7">'[18]Functional Study'!#REF!</definedName>
    <definedName name="ACCT904SG" localSheetId="8">'[18]Functional Study'!#REF!</definedName>
    <definedName name="ACCT904SG" localSheetId="37">'[18]Functional Study'!#REF!</definedName>
    <definedName name="ACCT904SG" localSheetId="17">'[18]Functional Study'!#REF!</definedName>
    <definedName name="ACCT904SG" localSheetId="20">'[18]Functional Study'!#REF!</definedName>
    <definedName name="ACCT904SG" localSheetId="36">'[19]Functional Study'!#REF!</definedName>
    <definedName name="ACCT904SG">'[18]Functional Study'!#REF!</definedName>
    <definedName name="AcctAGA" localSheetId="19">'[12]Func Study'!$H$296</definedName>
    <definedName name="AcctAGA" localSheetId="4">'[14]Func Study'!$H$296</definedName>
    <definedName name="AcctAGA">'[15]Func Study'!$H$296</definedName>
    <definedName name="AcctDFAD" localSheetId="19">'[12]Func Study'!#REF!</definedName>
    <definedName name="AcctDFAD" localSheetId="1">'[15]Func Study'!#REF!</definedName>
    <definedName name="AcctDFAD" localSheetId="2">'[15]Func Study'!#REF!</definedName>
    <definedName name="AcctDFAD" localSheetId="4">'[14]Func Study'!#REF!</definedName>
    <definedName name="AcctDFAD" localSheetId="3">'[15]Func Study'!#REF!</definedName>
    <definedName name="AcctDFAD" localSheetId="7">'[15]Func Study'!#REF!</definedName>
    <definedName name="AcctDFAD" localSheetId="8">'[15]Func Study'!#REF!</definedName>
    <definedName name="AcctDFAD" localSheetId="35">'[15]Func Study'!#REF!</definedName>
    <definedName name="AcctDFAD" localSheetId="20">'[15]Func Study'!#REF!</definedName>
    <definedName name="AcctDFAD">'[15]Func Study'!#REF!</definedName>
    <definedName name="AcctDFAP" localSheetId="19">'[12]Func Study'!#REF!</definedName>
    <definedName name="AcctDFAP" localSheetId="1">'[15]Func Study'!#REF!</definedName>
    <definedName name="AcctDFAP" localSheetId="2">'[15]Func Study'!#REF!</definedName>
    <definedName name="AcctDFAP" localSheetId="4">'[14]Func Study'!#REF!</definedName>
    <definedName name="AcctDFAP" localSheetId="3">'[15]Func Study'!#REF!</definedName>
    <definedName name="AcctDFAP" localSheetId="7">'[15]Func Study'!#REF!</definedName>
    <definedName name="AcctDFAP" localSheetId="8">'[15]Func Study'!#REF!</definedName>
    <definedName name="AcctDFAP" localSheetId="35">'[15]Func Study'!#REF!</definedName>
    <definedName name="AcctDFAP" localSheetId="20">'[15]Func Study'!#REF!</definedName>
    <definedName name="AcctDFAP">'[15]Func Study'!#REF!</definedName>
    <definedName name="AcctDFAT" localSheetId="19">'[12]Func Study'!#REF!</definedName>
    <definedName name="AcctDFAT" localSheetId="1">'[15]Func Study'!#REF!</definedName>
    <definedName name="AcctDFAT" localSheetId="2">'[15]Func Study'!#REF!</definedName>
    <definedName name="AcctDFAT" localSheetId="4">'[14]Func Study'!#REF!</definedName>
    <definedName name="AcctDFAT" localSheetId="3">'[15]Func Study'!#REF!</definedName>
    <definedName name="AcctDFAT" localSheetId="7">'[15]Func Study'!#REF!</definedName>
    <definedName name="AcctDFAT" localSheetId="8">'[15]Func Study'!#REF!</definedName>
    <definedName name="AcctDFAT" localSheetId="20">'[15]Func Study'!#REF!</definedName>
    <definedName name="AcctDFAT">'[15]Func Study'!#REF!</definedName>
    <definedName name="AcctTable">[20]Variables!$AK$42:$AK$396</definedName>
    <definedName name="AcctTS0" localSheetId="19">'[12]Func Study'!$H$1686</definedName>
    <definedName name="AcctTS0" localSheetId="4">'[14]Func Study'!$H$1686</definedName>
    <definedName name="AcctTS0">'[15]Func Study'!$H$1686</definedName>
    <definedName name="ActualROR" localSheetId="19">'[12]G+T+D+R+M'!$H$61</definedName>
    <definedName name="ActualROR" localSheetId="4">'[14]G+T+D+R+M'!$H$61</definedName>
    <definedName name="ActualROR">'[13]G+T+D+R+M'!$H$61</definedName>
    <definedName name="Adjs2avg" localSheetId="26">[21]Inputs!$L$255:'[21]Inputs'!$T$505</definedName>
    <definedName name="Adjs2avg">[21]Inputs!$L$255:'[21]Inputs'!$T$505</definedName>
    <definedName name="APR" localSheetId="29">#REF!</definedName>
    <definedName name="APR" localSheetId="28">#REF!</definedName>
    <definedName name="APR" localSheetId="39">#REF!</definedName>
    <definedName name="APR" localSheetId="40">#REF!</definedName>
    <definedName name="APR" localSheetId="1">[22]Backup!#REF!</definedName>
    <definedName name="APR" localSheetId="2">[22]Backup!#REF!</definedName>
    <definedName name="APR" localSheetId="4">[22]Backup!#REF!</definedName>
    <definedName name="APR" localSheetId="3">#REF!</definedName>
    <definedName name="APR" localSheetId="5">[22]Backup!#REF!</definedName>
    <definedName name="APR" localSheetId="7">[22]Backup!#REF!</definedName>
    <definedName name="APR" localSheetId="8">[22]Backup!#REF!</definedName>
    <definedName name="APR" localSheetId="35">#REF!</definedName>
    <definedName name="APR" localSheetId="31">#REF!</definedName>
    <definedName name="APR" localSheetId="30">#REF!</definedName>
    <definedName name="APR" localSheetId="37">#REF!</definedName>
    <definedName name="APR" localSheetId="16">#REF!</definedName>
    <definedName name="APR" localSheetId="17">[22]Backup!#REF!</definedName>
    <definedName name="APR" localSheetId="20">#REF!</definedName>
    <definedName name="APR" localSheetId="36">[22]Backup!#REF!</definedName>
    <definedName name="APR" localSheetId="26">[22]Backup!#REF!</definedName>
    <definedName name="APR">[22]Backup!#REF!</definedName>
    <definedName name="APRT" localSheetId="1">#REF!</definedName>
    <definedName name="APRT" localSheetId="2">#REF!</definedName>
    <definedName name="APRT" localSheetId="4">#REF!</definedName>
    <definedName name="APRT" localSheetId="3">#REF!</definedName>
    <definedName name="APRT" localSheetId="5">#REF!</definedName>
    <definedName name="APRT" localSheetId="7">#REF!</definedName>
    <definedName name="APRT" localSheetId="8">#REF!</definedName>
    <definedName name="APRT" localSheetId="17">#REF!</definedName>
    <definedName name="APRT" localSheetId="20">#REF!</definedName>
    <definedName name="APRT" localSheetId="26">#REF!</definedName>
    <definedName name="APRT">#REF!</definedName>
    <definedName name="AUG" localSheetId="29">#REF!</definedName>
    <definedName name="AUG" localSheetId="28">#REF!</definedName>
    <definedName name="AUG" localSheetId="39">#REF!</definedName>
    <definedName name="AUG" localSheetId="40">#REF!</definedName>
    <definedName name="AUG" localSheetId="1">[22]Backup!#REF!</definedName>
    <definedName name="AUG" localSheetId="2">[22]Backup!#REF!</definedName>
    <definedName name="AUG" localSheetId="4">[22]Backup!#REF!</definedName>
    <definedName name="AUG" localSheetId="3">#REF!</definedName>
    <definedName name="AUG" localSheetId="5">[22]Backup!#REF!</definedName>
    <definedName name="AUG" localSheetId="7">[22]Backup!#REF!</definedName>
    <definedName name="AUG" localSheetId="8">[22]Backup!#REF!</definedName>
    <definedName name="AUG" localSheetId="35">#REF!</definedName>
    <definedName name="AUG" localSheetId="31">#REF!</definedName>
    <definedName name="AUG" localSheetId="30">#REF!</definedName>
    <definedName name="AUG" localSheetId="37">#REF!</definedName>
    <definedName name="AUG" localSheetId="16">#REF!</definedName>
    <definedName name="AUG" localSheetId="17">[22]Backup!#REF!</definedName>
    <definedName name="AUG" localSheetId="20">#REF!</definedName>
    <definedName name="AUG" localSheetId="36">[22]Backup!#REF!</definedName>
    <definedName name="AUG" localSheetId="26">[22]Backup!#REF!</definedName>
    <definedName name="AUG">[22]Backup!#REF!</definedName>
    <definedName name="AUGT" localSheetId="1">#REF!</definedName>
    <definedName name="AUGT" localSheetId="2">#REF!</definedName>
    <definedName name="AUGT" localSheetId="4">#REF!</definedName>
    <definedName name="AUGT" localSheetId="3">#REF!</definedName>
    <definedName name="AUGT" localSheetId="5">#REF!</definedName>
    <definedName name="AUGT" localSheetId="7">#REF!</definedName>
    <definedName name="AUGT" localSheetId="8">#REF!</definedName>
    <definedName name="AUGT" localSheetId="17">#REF!</definedName>
    <definedName name="AUGT" localSheetId="20">#REF!</definedName>
    <definedName name="AUGT" localSheetId="26">#REF!</definedName>
    <definedName name="AUGT">#REF!</definedName>
    <definedName name="AvgFactors">[20]Factors!$B$3:$P$99</definedName>
    <definedName name="BACK1" localSheetId="1">#REF!</definedName>
    <definedName name="BACK1" localSheetId="2">#REF!</definedName>
    <definedName name="BACK1" localSheetId="4">#REF!</definedName>
    <definedName name="BACK1" localSheetId="3">#REF!</definedName>
    <definedName name="BACK1" localSheetId="5">#REF!</definedName>
    <definedName name="BACK1" localSheetId="7">#REF!</definedName>
    <definedName name="BACK1" localSheetId="8">#REF!</definedName>
    <definedName name="BACK1" localSheetId="17">#REF!</definedName>
    <definedName name="BACK1" localSheetId="20">#REF!</definedName>
    <definedName name="BACK1" localSheetId="26">#REF!</definedName>
    <definedName name="BACK1">#REF!</definedName>
    <definedName name="BACK2" localSheetId="1">#REF!</definedName>
    <definedName name="BACK2" localSheetId="2">#REF!</definedName>
    <definedName name="BACK2" localSheetId="3">#REF!</definedName>
    <definedName name="BACK2" localSheetId="5">#REF!</definedName>
    <definedName name="BACK2" localSheetId="7">#REF!</definedName>
    <definedName name="BACK2" localSheetId="8">#REF!</definedName>
    <definedName name="BACK2" localSheetId="17">#REF!</definedName>
    <definedName name="BACK2" localSheetId="20">#REF!</definedName>
    <definedName name="BACK2" localSheetId="26">#REF!</definedName>
    <definedName name="BACK2">#REF!</definedName>
    <definedName name="BACK3" localSheetId="1">#REF!</definedName>
    <definedName name="BACK3" localSheetId="2">#REF!</definedName>
    <definedName name="BACK3" localSheetId="3">#REF!</definedName>
    <definedName name="BACK3" localSheetId="5">#REF!</definedName>
    <definedName name="BACK3" localSheetId="7">#REF!</definedName>
    <definedName name="BACK3" localSheetId="8">#REF!</definedName>
    <definedName name="BACK3" localSheetId="17">#REF!</definedName>
    <definedName name="BACK3" localSheetId="20">#REF!</definedName>
    <definedName name="BACK3" localSheetId="26">#REF!</definedName>
    <definedName name="BACK3">#REF!</definedName>
    <definedName name="BACKUP1" localSheetId="1">#REF!</definedName>
    <definedName name="BACKUP1" localSheetId="2">#REF!</definedName>
    <definedName name="BACKUP1" localSheetId="3">#REF!</definedName>
    <definedName name="BACKUP1" localSheetId="5">#REF!</definedName>
    <definedName name="BACKUP1" localSheetId="7">#REF!</definedName>
    <definedName name="BACKUP1" localSheetId="8">#REF!</definedName>
    <definedName name="BACKUP1" localSheetId="17">#REF!</definedName>
    <definedName name="BACKUP1" localSheetId="20">#REF!</definedName>
    <definedName name="BACKUP1">#REF!</definedName>
    <definedName name="BOOKADJ" localSheetId="1">#REF!</definedName>
    <definedName name="BOOKADJ" localSheetId="2">#REF!</definedName>
    <definedName name="BOOKADJ" localSheetId="3">#REF!</definedName>
    <definedName name="BOOKADJ" localSheetId="5">#REF!</definedName>
    <definedName name="BOOKADJ" localSheetId="7">#REF!</definedName>
    <definedName name="BOOKADJ" localSheetId="8">#REF!</definedName>
    <definedName name="BOOKADJ" localSheetId="17">#REF!</definedName>
    <definedName name="BOOKADJ" localSheetId="20">#REF!</definedName>
    <definedName name="BOOKADJ">#REF!</definedName>
    <definedName name="cap">[23]Readings!$B$2</definedName>
    <definedName name="Check" localSheetId="19">#REF!</definedName>
    <definedName name="Check" localSheetId="1">#REF!</definedName>
    <definedName name="Check" localSheetId="2">#REF!</definedName>
    <definedName name="Check" localSheetId="4">#REF!</definedName>
    <definedName name="Check" localSheetId="3">#REF!</definedName>
    <definedName name="Check" localSheetId="5">#REF!</definedName>
    <definedName name="Check" localSheetId="7">#REF!</definedName>
    <definedName name="Check" localSheetId="8">#REF!</definedName>
    <definedName name="Check" localSheetId="31">#REF!</definedName>
    <definedName name="Check" localSheetId="30">#REF!</definedName>
    <definedName name="Check" localSheetId="17">#REF!</definedName>
    <definedName name="Check" localSheetId="20">#REF!</definedName>
    <definedName name="Check">#REF!</definedName>
    <definedName name="Classification" localSheetId="19">'[12]Func Study'!$AB$251</definedName>
    <definedName name="Classification" localSheetId="4">'[14]Func Study'!$AB$251</definedName>
    <definedName name="Classification">'[15]Func Study'!$AB$251</definedName>
    <definedName name="COMADJ" localSheetId="1">#REF!</definedName>
    <definedName name="COMADJ" localSheetId="2">#REF!</definedName>
    <definedName name="COMADJ" localSheetId="4">#REF!</definedName>
    <definedName name="COMADJ" localSheetId="3">#REF!</definedName>
    <definedName name="COMADJ" localSheetId="5">#REF!</definedName>
    <definedName name="COMADJ" localSheetId="7">#REF!</definedName>
    <definedName name="COMADJ" localSheetId="8">#REF!</definedName>
    <definedName name="COMADJ" localSheetId="17">#REF!</definedName>
    <definedName name="COMADJ" localSheetId="20">#REF!</definedName>
    <definedName name="COMADJ">#REF!</definedName>
    <definedName name="COMP" localSheetId="1">#REF!</definedName>
    <definedName name="COMP" localSheetId="2">#REF!</definedName>
    <definedName name="COMP" localSheetId="3">#REF!</definedName>
    <definedName name="COMP" localSheetId="5">#REF!</definedName>
    <definedName name="COMP" localSheetId="7">#REF!</definedName>
    <definedName name="COMP" localSheetId="8">#REF!</definedName>
    <definedName name="COMP" localSheetId="17">#REF!</definedName>
    <definedName name="COMP" localSheetId="20">#REF!</definedName>
    <definedName name="COMP" localSheetId="26">#REF!</definedName>
    <definedName name="COMP">#REF!</definedName>
    <definedName name="COMPACTUAL" localSheetId="1">#REF!</definedName>
    <definedName name="COMPACTUAL" localSheetId="2">#REF!</definedName>
    <definedName name="COMPACTUAL" localSheetId="3">#REF!</definedName>
    <definedName name="COMPACTUAL" localSheetId="5">#REF!</definedName>
    <definedName name="COMPACTUAL" localSheetId="7">#REF!</definedName>
    <definedName name="COMPACTUAL" localSheetId="8">#REF!</definedName>
    <definedName name="COMPACTUAL" localSheetId="17">#REF!</definedName>
    <definedName name="COMPACTUAL" localSheetId="20">#REF!</definedName>
    <definedName name="COMPACTUAL">#REF!</definedName>
    <definedName name="COMPT" localSheetId="1">#REF!</definedName>
    <definedName name="COMPT" localSheetId="2">#REF!</definedName>
    <definedName name="COMPT" localSheetId="3">#REF!</definedName>
    <definedName name="COMPT" localSheetId="5">#REF!</definedName>
    <definedName name="COMPT" localSheetId="7">#REF!</definedName>
    <definedName name="COMPT" localSheetId="8">#REF!</definedName>
    <definedName name="COMPT" localSheetId="17">#REF!</definedName>
    <definedName name="COMPT" localSheetId="20">#REF!</definedName>
    <definedName name="COMPT" localSheetId="26">#REF!</definedName>
    <definedName name="COMPT">#REF!</definedName>
    <definedName name="COMPWEATHER" localSheetId="1">#REF!</definedName>
    <definedName name="COMPWEATHER" localSheetId="2">#REF!</definedName>
    <definedName name="COMPWEATHER" localSheetId="3">#REF!</definedName>
    <definedName name="COMPWEATHER" localSheetId="5">#REF!</definedName>
    <definedName name="COMPWEATHER" localSheetId="7">#REF!</definedName>
    <definedName name="COMPWEATHER" localSheetId="8">#REF!</definedName>
    <definedName name="COMPWEATHER" localSheetId="17">#REF!</definedName>
    <definedName name="COMPWEATHER" localSheetId="20">#REF!</definedName>
    <definedName name="COMPWEATHER">#REF!</definedName>
    <definedName name="COSFacVal" localSheetId="19">[12]Inputs!$R$5</definedName>
    <definedName name="COSFacVal" localSheetId="4">[14]Inputs!$R$5</definedName>
    <definedName name="COSFacVal">[15]Inputs!$R$5</definedName>
    <definedName name="_xlnm.Database" localSheetId="1">[24]Invoice!#REF!</definedName>
    <definedName name="_xlnm.Database" localSheetId="2">[24]Invoice!#REF!</definedName>
    <definedName name="_xlnm.Database" localSheetId="4">[24]Invoice!#REF!</definedName>
    <definedName name="_xlnm.Database" localSheetId="3">[24]Invoice!#REF!</definedName>
    <definedName name="_xlnm.Database" localSheetId="5">[24]Invoice!#REF!</definedName>
    <definedName name="_xlnm.Database" localSheetId="7">[24]Invoice!#REF!</definedName>
    <definedName name="_xlnm.Database" localSheetId="8">[24]Invoice!#REF!</definedName>
    <definedName name="_xlnm.Database" localSheetId="31">[24]Invoice!#REF!</definedName>
    <definedName name="_xlnm.Database" localSheetId="30">[24]Invoice!#REF!</definedName>
    <definedName name="_xlnm.Database" localSheetId="17">[24]Invoice!#REF!</definedName>
    <definedName name="_xlnm.Database" localSheetId="20">[24]Invoice!#REF!</definedName>
    <definedName name="_xlnm.Database" localSheetId="26">[24]Invoice!#REF!</definedName>
    <definedName name="_xlnm.Database" localSheetId="34">#REF!</definedName>
    <definedName name="_xlnm.Database">[24]Invoice!#REF!</definedName>
    <definedName name="DATE" localSheetId="1">[25]Jan!#REF!</definedName>
    <definedName name="DATE" localSheetId="2">[25]Jan!#REF!</definedName>
    <definedName name="DATE" localSheetId="4">[25]Jan!#REF!</definedName>
    <definedName name="DATE" localSheetId="3">[25]Jan!#REF!</definedName>
    <definedName name="DATE" localSheetId="5">[25]Jan!#REF!</definedName>
    <definedName name="DATE" localSheetId="7">[25]Jan!#REF!</definedName>
    <definedName name="DATE" localSheetId="8">[25]Jan!#REF!</definedName>
    <definedName name="DATE" localSheetId="17">[25]Jan!#REF!</definedName>
    <definedName name="DATE" localSheetId="20">[25]Jan!#REF!</definedName>
    <definedName name="DATE">[25]Jan!#REF!</definedName>
    <definedName name="DEC" localSheetId="29">#REF!</definedName>
    <definedName name="DEC" localSheetId="28">#REF!</definedName>
    <definedName name="DEC" localSheetId="39">#REF!</definedName>
    <definedName name="DEC" localSheetId="40">#REF!</definedName>
    <definedName name="DEC" localSheetId="1">[22]Backup!#REF!</definedName>
    <definedName name="DEC" localSheetId="2">[22]Backup!#REF!</definedName>
    <definedName name="DEC" localSheetId="4">[22]Backup!#REF!</definedName>
    <definedName name="DEC" localSheetId="3">#REF!</definedName>
    <definedName name="DEC" localSheetId="5">[22]Backup!#REF!</definedName>
    <definedName name="DEC" localSheetId="7">[22]Backup!#REF!</definedName>
    <definedName name="DEC" localSheetId="8">[22]Backup!#REF!</definedName>
    <definedName name="DEC" localSheetId="35">#REF!</definedName>
    <definedName name="DEC" localSheetId="31">#REF!</definedName>
    <definedName name="DEC" localSheetId="30">#REF!</definedName>
    <definedName name="DEC" localSheetId="37">#REF!</definedName>
    <definedName name="DEC" localSheetId="16">#REF!</definedName>
    <definedName name="DEC" localSheetId="17">[22]Backup!#REF!</definedName>
    <definedName name="DEC" localSheetId="20">#REF!</definedName>
    <definedName name="DEC" localSheetId="36">[22]Backup!#REF!</definedName>
    <definedName name="DEC" localSheetId="26">[22]Backup!#REF!</definedName>
    <definedName name="DEC">[22]Backup!#REF!</definedName>
    <definedName name="DECT" localSheetId="1">#REF!</definedName>
    <definedName name="DECT" localSheetId="2">#REF!</definedName>
    <definedName name="DECT" localSheetId="4">#REF!</definedName>
    <definedName name="DECT" localSheetId="3">#REF!</definedName>
    <definedName name="DECT" localSheetId="5">#REF!</definedName>
    <definedName name="DECT" localSheetId="7">#REF!</definedName>
    <definedName name="DECT" localSheetId="8">#REF!</definedName>
    <definedName name="DECT" localSheetId="17">#REF!</definedName>
    <definedName name="DECT" localSheetId="20">#REF!</definedName>
    <definedName name="DECT" localSheetId="26">#REF!</definedName>
    <definedName name="DECT">#REF!</definedName>
    <definedName name="Demand" localSheetId="19">[12]Inputs!$D$8</definedName>
    <definedName name="Demand" localSheetId="4">[14]Inputs!$D$8</definedName>
    <definedName name="Demand" localSheetId="18">[26]Inputs!$D$8</definedName>
    <definedName name="Demand">[13]Inputs!$D$8</definedName>
    <definedName name="Demand2" localSheetId="19">[12]Inputs!$D$11</definedName>
    <definedName name="Demand2" localSheetId="4">[14]Inputs!$D$11</definedName>
    <definedName name="Demand2">[26]Inputs!$D$11</definedName>
    <definedName name="Dis" localSheetId="19">'[12]Func Study'!$AB$250</definedName>
    <definedName name="Dis" localSheetId="4">'[14]Func Study'!$AB$250</definedName>
    <definedName name="Dis">'[15]Func Study'!$AB$250</definedName>
    <definedName name="DisFac" localSheetId="19">'[12]Func Dist Factor Table'!$A$11:$G$25</definedName>
    <definedName name="DisFac" localSheetId="4">'[14]Func Dist Factor Table'!$A$11:$G$25</definedName>
    <definedName name="DisFac">'[15]Func Dist Factor Table'!$A$11:$G$25</definedName>
    <definedName name="Dist_factor" localSheetId="1">#REF!</definedName>
    <definedName name="Dist_factor" localSheetId="2">#REF!</definedName>
    <definedName name="Dist_factor" localSheetId="4">#REF!</definedName>
    <definedName name="Dist_factor" localSheetId="3">#REF!</definedName>
    <definedName name="Dist_factor" localSheetId="5">#REF!</definedName>
    <definedName name="Dist_factor" localSheetId="7">#REF!</definedName>
    <definedName name="Dist_factor" localSheetId="8">#REF!</definedName>
    <definedName name="Dist_factor" localSheetId="17">#REF!</definedName>
    <definedName name="Dist_factor" localSheetId="20">#REF!</definedName>
    <definedName name="Dist_factor">#REF!</definedName>
    <definedName name="DistPeakMethod" localSheetId="19">[12]Inputs!$V$5</definedName>
    <definedName name="DistPeakMethod" localSheetId="1">[18]Inputs!#REF!</definedName>
    <definedName name="DistPeakMethod" localSheetId="2">[18]Inputs!#REF!</definedName>
    <definedName name="DistPeakMethod" localSheetId="4">[14]Inputs!$V$5</definedName>
    <definedName name="DistPeakMethod" localSheetId="3">[18]Inputs!#REF!</definedName>
    <definedName name="DistPeakMethod" localSheetId="5">[18]Inputs!#REF!</definedName>
    <definedName name="DistPeakMethod" localSheetId="7">[18]Inputs!#REF!</definedName>
    <definedName name="DistPeakMethod" localSheetId="8">[18]Inputs!#REF!</definedName>
    <definedName name="DistPeakMethod" localSheetId="37">[18]Inputs!#REF!</definedName>
    <definedName name="DistPeakMethod" localSheetId="17">[18]Inputs!#REF!</definedName>
    <definedName name="DistPeakMethod" localSheetId="20">[18]Inputs!#REF!</definedName>
    <definedName name="DistPeakMethod" localSheetId="36">[19]Inputs!#REF!</definedName>
    <definedName name="DistPeakMethod">[18]Inputs!#REF!</definedName>
    <definedName name="DUDE" localSheetId="1" hidden="1">#REF!</definedName>
    <definedName name="DUDE" localSheetId="2" hidden="1">#REF!</definedName>
    <definedName name="DUDE" localSheetId="4" hidden="1">#REF!</definedName>
    <definedName name="DUDE" localSheetId="3" hidden="1">#REF!</definedName>
    <definedName name="DUDE" localSheetId="5" hidden="1">#REF!</definedName>
    <definedName name="DUDE" localSheetId="7" hidden="1">#REF!</definedName>
    <definedName name="DUDE" localSheetId="8" hidden="1">#REF!</definedName>
    <definedName name="DUDE" localSheetId="17" hidden="1">#REF!</definedName>
    <definedName name="DUDE" localSheetId="20" hidden="1">#REF!</definedName>
    <definedName name="DUDE" localSheetId="26" hidden="1">#REF!</definedName>
    <definedName name="DUDE" hidden="1">#REF!</definedName>
    <definedName name="energy">[23]Readings!$B$3</definedName>
    <definedName name="Engy" localSheetId="19">[12]Inputs!$D$9</definedName>
    <definedName name="Engy" localSheetId="4">[14]Inputs!$D$9</definedName>
    <definedName name="Engy" localSheetId="18">[26]Inputs!$D$9</definedName>
    <definedName name="Engy">[13]Inputs!$D$9</definedName>
    <definedName name="Engy2" localSheetId="19">[12]Inputs!$D$12</definedName>
    <definedName name="Engy2" localSheetId="4">[14]Inputs!$D$12</definedName>
    <definedName name="Engy2">[26]Inputs!$D$12</definedName>
    <definedName name="f101top" localSheetId="19">#REF!</definedName>
    <definedName name="f101top" localSheetId="1">#REF!</definedName>
    <definedName name="f101top" localSheetId="2">#REF!</definedName>
    <definedName name="f101top" localSheetId="4">#REF!</definedName>
    <definedName name="f101top" localSheetId="3">#REF!</definedName>
    <definedName name="f101top" localSheetId="5">#REF!</definedName>
    <definedName name="f101top" localSheetId="7">#REF!</definedName>
    <definedName name="f101top" localSheetId="8">#REF!</definedName>
    <definedName name="f101top" localSheetId="31">#REF!</definedName>
    <definedName name="f101top" localSheetId="30">#REF!</definedName>
    <definedName name="f101top" localSheetId="17">#REF!</definedName>
    <definedName name="f101top" localSheetId="20">#REF!</definedName>
    <definedName name="f101top">#REF!</definedName>
    <definedName name="f104top" localSheetId="19">#REF!</definedName>
    <definedName name="f104top" localSheetId="1">#REF!</definedName>
    <definedName name="f104top" localSheetId="2">#REF!</definedName>
    <definedName name="f104top" localSheetId="4">#REF!</definedName>
    <definedName name="f104top" localSheetId="3">#REF!</definedName>
    <definedName name="f104top" localSheetId="5">#REF!</definedName>
    <definedName name="f104top" localSheetId="7">#REF!</definedName>
    <definedName name="f104top" localSheetId="8">#REF!</definedName>
    <definedName name="f104top" localSheetId="31">#REF!</definedName>
    <definedName name="f104top" localSheetId="30">#REF!</definedName>
    <definedName name="f104top" localSheetId="17">#REF!</definedName>
    <definedName name="f104top" localSheetId="20">#REF!</definedName>
    <definedName name="f104top">#REF!</definedName>
    <definedName name="f138top" localSheetId="19">#REF!</definedName>
    <definedName name="f138top" localSheetId="1">#REF!</definedName>
    <definedName name="f138top" localSheetId="2">#REF!</definedName>
    <definedName name="f138top" localSheetId="4">#REF!</definedName>
    <definedName name="f138top" localSheetId="3">#REF!</definedName>
    <definedName name="f138top" localSheetId="5">#REF!</definedName>
    <definedName name="f138top" localSheetId="7">#REF!</definedName>
    <definedName name="f138top" localSheetId="8">#REF!</definedName>
    <definedName name="f138top" localSheetId="31">#REF!</definedName>
    <definedName name="f138top" localSheetId="30">#REF!</definedName>
    <definedName name="f138top" localSheetId="17">#REF!</definedName>
    <definedName name="f138top" localSheetId="20">#REF!</definedName>
    <definedName name="f138top">#REF!</definedName>
    <definedName name="f140top" localSheetId="19">#REF!</definedName>
    <definedName name="f140top" localSheetId="1">#REF!</definedName>
    <definedName name="f140top" localSheetId="2">#REF!</definedName>
    <definedName name="f140top" localSheetId="4">#REF!</definedName>
    <definedName name="f140top" localSheetId="3">#REF!</definedName>
    <definedName name="f140top" localSheetId="5">#REF!</definedName>
    <definedName name="f140top" localSheetId="7">#REF!</definedName>
    <definedName name="f140top" localSheetId="8">#REF!</definedName>
    <definedName name="f140top" localSheetId="31">#REF!</definedName>
    <definedName name="f140top" localSheetId="30">#REF!</definedName>
    <definedName name="f140top" localSheetId="17">#REF!</definedName>
    <definedName name="f140top" localSheetId="20">#REF!</definedName>
    <definedName name="f140top">#REF!</definedName>
    <definedName name="Factorck" localSheetId="19">'[12]COS Factor Table'!$O$15:$O$113</definedName>
    <definedName name="Factorck" localSheetId="4">'[14]COS Factor Table'!$O$15:$O$113</definedName>
    <definedName name="Factorck">'[15]COS Factor Table'!$O$15:$O$113</definedName>
    <definedName name="FactorType">[20]Variables!$AK$2:$AL$12</definedName>
    <definedName name="FACTP" localSheetId="19">#REF!</definedName>
    <definedName name="FACTP" localSheetId="1">#REF!</definedName>
    <definedName name="FACTP" localSheetId="2">#REF!</definedName>
    <definedName name="FACTP" localSheetId="4">#REF!</definedName>
    <definedName name="FACTP" localSheetId="3">#REF!</definedName>
    <definedName name="FACTP" localSheetId="5">#REF!</definedName>
    <definedName name="FACTP" localSheetId="7">#REF!</definedName>
    <definedName name="FACTP" localSheetId="8">#REF!</definedName>
    <definedName name="FACTP" localSheetId="31">#REF!</definedName>
    <definedName name="FACTP" localSheetId="30">#REF!</definedName>
    <definedName name="FACTP" localSheetId="17">#REF!</definedName>
    <definedName name="FACTP" localSheetId="20">#REF!</definedName>
    <definedName name="FACTP">#REF!</definedName>
    <definedName name="FactSum" localSheetId="19">'[12]COS Factor Table'!$A$14:$O$113</definedName>
    <definedName name="FactSum" localSheetId="4">'[14]COS Factor Table'!$A$14:$O$113</definedName>
    <definedName name="FactSum">'[15]COS Factor Table'!$A$14:$O$113</definedName>
    <definedName name="FEB" localSheetId="29">#REF!</definedName>
    <definedName name="FEB" localSheetId="28">#REF!</definedName>
    <definedName name="FEB" localSheetId="39">#REF!</definedName>
    <definedName name="FEB" localSheetId="40">#REF!</definedName>
    <definedName name="FEB" localSheetId="1">[22]Backup!#REF!</definedName>
    <definedName name="FEB" localSheetId="2">[22]Backup!#REF!</definedName>
    <definedName name="FEB" localSheetId="4">[22]Backup!#REF!</definedName>
    <definedName name="FEB" localSheetId="3">#REF!</definedName>
    <definedName name="FEB" localSheetId="5">[22]Backup!#REF!</definedName>
    <definedName name="FEB" localSheetId="7">[22]Backup!#REF!</definedName>
    <definedName name="FEB" localSheetId="8">[22]Backup!#REF!</definedName>
    <definedName name="FEB" localSheetId="35">#REF!</definedName>
    <definedName name="FEB" localSheetId="31">#REF!</definedName>
    <definedName name="FEB" localSheetId="30">#REF!</definedName>
    <definedName name="FEB" localSheetId="37">#REF!</definedName>
    <definedName name="FEB" localSheetId="16">#REF!</definedName>
    <definedName name="FEB" localSheetId="17">[22]Backup!#REF!</definedName>
    <definedName name="FEB" localSheetId="20">#REF!</definedName>
    <definedName name="FEB" localSheetId="36">[22]Backup!#REF!</definedName>
    <definedName name="FEB" localSheetId="26">[22]Backup!#REF!</definedName>
    <definedName name="FEB">[22]Backup!#REF!</definedName>
    <definedName name="FEBT" localSheetId="1">#REF!</definedName>
    <definedName name="FEBT" localSheetId="2">#REF!</definedName>
    <definedName name="FEBT" localSheetId="4">#REF!</definedName>
    <definedName name="FEBT" localSheetId="3">#REF!</definedName>
    <definedName name="FEBT" localSheetId="5">#REF!</definedName>
    <definedName name="FEBT" localSheetId="7">#REF!</definedName>
    <definedName name="FEBT" localSheetId="8">#REF!</definedName>
    <definedName name="FEBT" localSheetId="17">#REF!</definedName>
    <definedName name="FEBT" localSheetId="20">#REF!</definedName>
    <definedName name="FEBT" localSheetId="26">#REF!</definedName>
    <definedName name="FEBT">#REF!</definedName>
    <definedName name="FranchiseTax" localSheetId="26">[21]Variables!$D$26</definedName>
    <definedName name="FranchiseTax">[21]Variables!$D$26</definedName>
    <definedName name="Func" localSheetId="19">'[12]Func Factor Table'!$A$10:$H$77</definedName>
    <definedName name="Func" localSheetId="4">'[14]Func Factor Table'!$A$10:$H$76</definedName>
    <definedName name="Func">'[15]Func Factor Table'!$A$10:$H$77</definedName>
    <definedName name="Func_Ftrs" localSheetId="1">#REF!</definedName>
    <definedName name="Func_Ftrs" localSheetId="2">#REF!</definedName>
    <definedName name="Func_Ftrs" localSheetId="4">#REF!</definedName>
    <definedName name="Func_Ftrs" localSheetId="3">#REF!</definedName>
    <definedName name="Func_Ftrs" localSheetId="5">#REF!</definedName>
    <definedName name="Func_Ftrs" localSheetId="7">#REF!</definedName>
    <definedName name="Func_Ftrs" localSheetId="8">#REF!</definedName>
    <definedName name="Func_Ftrs" localSheetId="17">#REF!</definedName>
    <definedName name="Func_Ftrs" localSheetId="20">#REF!</definedName>
    <definedName name="Func_Ftrs" localSheetId="26">#REF!</definedName>
    <definedName name="Func_Ftrs">#REF!</definedName>
    <definedName name="Func_GTD_Percents" localSheetId="1">#REF!</definedName>
    <definedName name="Func_GTD_Percents" localSheetId="2">#REF!</definedName>
    <definedName name="Func_GTD_Percents" localSheetId="3">#REF!</definedName>
    <definedName name="Func_GTD_Percents" localSheetId="5">#REF!</definedName>
    <definedName name="Func_GTD_Percents" localSheetId="7">#REF!</definedName>
    <definedName name="Func_GTD_Percents" localSheetId="8">#REF!</definedName>
    <definedName name="Func_GTD_Percents" localSheetId="17">#REF!</definedName>
    <definedName name="Func_GTD_Percents" localSheetId="20">#REF!</definedName>
    <definedName name="Func_GTD_Percents" localSheetId="26">#REF!</definedName>
    <definedName name="Func_GTD_Percents">#REF!</definedName>
    <definedName name="Func_MC" localSheetId="1">#REF!</definedName>
    <definedName name="Func_MC" localSheetId="2">#REF!</definedName>
    <definedName name="Func_MC" localSheetId="3">#REF!</definedName>
    <definedName name="Func_MC" localSheetId="5">#REF!</definedName>
    <definedName name="Func_MC" localSheetId="7">#REF!</definedName>
    <definedName name="Func_MC" localSheetId="8">#REF!</definedName>
    <definedName name="Func_MC" localSheetId="17">#REF!</definedName>
    <definedName name="Func_MC" localSheetId="20">#REF!</definedName>
    <definedName name="Func_MC" localSheetId="26">#REF!</definedName>
    <definedName name="Func_MC">#REF!</definedName>
    <definedName name="Func_Percents" localSheetId="1">#REF!</definedName>
    <definedName name="Func_Percents" localSheetId="2">#REF!</definedName>
    <definedName name="Func_Percents" localSheetId="3">#REF!</definedName>
    <definedName name="Func_Percents" localSheetId="5">#REF!</definedName>
    <definedName name="Func_Percents" localSheetId="7">#REF!</definedName>
    <definedName name="Func_Percents" localSheetId="8">#REF!</definedName>
    <definedName name="Func_Percents" localSheetId="17">#REF!</definedName>
    <definedName name="Func_Percents" localSheetId="20">#REF!</definedName>
    <definedName name="Func_Percents" localSheetId="26">#REF!</definedName>
    <definedName name="Func_Percents">#REF!</definedName>
    <definedName name="Func_Rev_Req1" localSheetId="1">#REF!</definedName>
    <definedName name="Func_Rev_Req1" localSheetId="2">#REF!</definedName>
    <definedName name="Func_Rev_Req1" localSheetId="3">#REF!</definedName>
    <definedName name="Func_Rev_Req1" localSheetId="5">#REF!</definedName>
    <definedName name="Func_Rev_Req1" localSheetId="7">#REF!</definedName>
    <definedName name="Func_Rev_Req1" localSheetId="8">#REF!</definedName>
    <definedName name="Func_Rev_Req1" localSheetId="17">#REF!</definedName>
    <definedName name="Func_Rev_Req1" localSheetId="20">#REF!</definedName>
    <definedName name="Func_Rev_Req1" localSheetId="26">#REF!</definedName>
    <definedName name="Func_Rev_Req1">#REF!</definedName>
    <definedName name="Func_Rev_Req2" localSheetId="1">#REF!</definedName>
    <definedName name="Func_Rev_Req2" localSheetId="2">#REF!</definedName>
    <definedName name="Func_Rev_Req2" localSheetId="3">#REF!</definedName>
    <definedName name="Func_Rev_Req2" localSheetId="5">#REF!</definedName>
    <definedName name="Func_Rev_Req2" localSheetId="7">#REF!</definedName>
    <definedName name="Func_Rev_Req2" localSheetId="8">#REF!</definedName>
    <definedName name="Func_Rev_Req2" localSheetId="17">#REF!</definedName>
    <definedName name="Func_Rev_Req2" localSheetId="20">#REF!</definedName>
    <definedName name="Func_Rev_Req2" localSheetId="26">#REF!</definedName>
    <definedName name="Func_Rev_Req2">#REF!</definedName>
    <definedName name="Func_Revenue" localSheetId="1">#REF!</definedName>
    <definedName name="Func_Revenue" localSheetId="2">#REF!</definedName>
    <definedName name="Func_Revenue" localSheetId="3">#REF!</definedName>
    <definedName name="Func_Revenue" localSheetId="5">#REF!</definedName>
    <definedName name="Func_Revenue" localSheetId="7">#REF!</definedName>
    <definedName name="Func_Revenue" localSheetId="8">#REF!</definedName>
    <definedName name="Func_Revenue" localSheetId="17">#REF!</definedName>
    <definedName name="Func_Revenue" localSheetId="20">#REF!</definedName>
    <definedName name="Func_Revenue" localSheetId="26">#REF!</definedName>
    <definedName name="Func_Revenue">#REF!</definedName>
    <definedName name="Function" localSheetId="19">'[12]Func Study'!$AB$250</definedName>
    <definedName name="Function" localSheetId="4">'[14]Func Study'!$AB$250</definedName>
    <definedName name="Function">'[15]Func Study'!$AB$250</definedName>
    <definedName name="GREATER10MW" localSheetId="1">#REF!</definedName>
    <definedName name="GREATER10MW" localSheetId="2">#REF!</definedName>
    <definedName name="GREATER10MW" localSheetId="4">#REF!</definedName>
    <definedName name="GREATER10MW" localSheetId="3">#REF!</definedName>
    <definedName name="GREATER10MW" localSheetId="5">#REF!</definedName>
    <definedName name="GREATER10MW" localSheetId="7">#REF!</definedName>
    <definedName name="GREATER10MW" localSheetId="8">#REF!</definedName>
    <definedName name="GREATER10MW" localSheetId="17">#REF!</definedName>
    <definedName name="GREATER10MW" localSheetId="20">#REF!</definedName>
    <definedName name="GREATER10MW">#REF!</definedName>
    <definedName name="GTD_Percents" localSheetId="1">#REF!</definedName>
    <definedName name="GTD_Percents" localSheetId="2">#REF!</definedName>
    <definedName name="GTD_Percents" localSheetId="3">#REF!</definedName>
    <definedName name="GTD_Percents" localSheetId="5">#REF!</definedName>
    <definedName name="GTD_Percents" localSheetId="7">#REF!</definedName>
    <definedName name="GTD_Percents" localSheetId="8">#REF!</definedName>
    <definedName name="GTD_Percents" localSheetId="17">#REF!</definedName>
    <definedName name="GTD_Percents" localSheetId="20">#REF!</definedName>
    <definedName name="GTD_Percents" localSheetId="26">#REF!</definedName>
    <definedName name="GTD_Percents">#REF!</definedName>
    <definedName name="HEIGHT" localSheetId="1">#REF!</definedName>
    <definedName name="HEIGHT" localSheetId="2">#REF!</definedName>
    <definedName name="HEIGHT" localSheetId="3">#REF!</definedName>
    <definedName name="HEIGHT" localSheetId="5">#REF!</definedName>
    <definedName name="HEIGHT" localSheetId="7">#REF!</definedName>
    <definedName name="HEIGHT" localSheetId="8">#REF!</definedName>
    <definedName name="HEIGHT" localSheetId="17">#REF!</definedName>
    <definedName name="HEIGHT" localSheetId="20">#REF!</definedName>
    <definedName name="HEIGHT" localSheetId="26">#REF!</definedName>
    <definedName name="HEIGHT">#REF!</definedName>
    <definedName name="ID_0303_RVN_data" localSheetId="1">#REF!</definedName>
    <definedName name="ID_0303_RVN_data" localSheetId="2">#REF!</definedName>
    <definedName name="ID_0303_RVN_data" localSheetId="3">#REF!</definedName>
    <definedName name="ID_0303_RVN_data" localSheetId="5">#REF!</definedName>
    <definedName name="ID_0303_RVN_data" localSheetId="7">#REF!</definedName>
    <definedName name="ID_0303_RVN_data" localSheetId="8">#REF!</definedName>
    <definedName name="ID_0303_RVN_data" localSheetId="17">#REF!</definedName>
    <definedName name="ID_0303_RVN_data" localSheetId="20">#REF!</definedName>
    <definedName name="ID_0303_RVN_data" localSheetId="26">#REF!</definedName>
    <definedName name="ID_0303_RVN_data">#REF!</definedName>
    <definedName name="IDcontractsRVN" localSheetId="1">#REF!</definedName>
    <definedName name="IDcontractsRVN" localSheetId="2">#REF!</definedName>
    <definedName name="IDcontractsRVN" localSheetId="3">#REF!</definedName>
    <definedName name="IDcontractsRVN" localSheetId="5">#REF!</definedName>
    <definedName name="IDcontractsRVN" localSheetId="7">#REF!</definedName>
    <definedName name="IDcontractsRVN" localSheetId="8">#REF!</definedName>
    <definedName name="IDcontractsRVN" localSheetId="17">#REF!</definedName>
    <definedName name="IDcontractsRVN" localSheetId="20">#REF!</definedName>
    <definedName name="IDcontractsRVN" localSheetId="26">#REF!</definedName>
    <definedName name="IDcontractsRVN">#REF!</definedName>
    <definedName name="INDADJ" localSheetId="1">#REF!</definedName>
    <definedName name="INDADJ" localSheetId="2">#REF!</definedName>
    <definedName name="INDADJ" localSheetId="3">#REF!</definedName>
    <definedName name="INDADJ" localSheetId="5">#REF!</definedName>
    <definedName name="INDADJ" localSheetId="7">#REF!</definedName>
    <definedName name="INDADJ" localSheetId="8">#REF!</definedName>
    <definedName name="INDADJ" localSheetId="17">#REF!</definedName>
    <definedName name="INDADJ" localSheetId="20">#REF!</definedName>
    <definedName name="INDADJ">#REF!</definedName>
    <definedName name="INPUT" localSheetId="1">[27]Summary!#REF!</definedName>
    <definedName name="INPUT" localSheetId="2">[27]Summary!#REF!</definedName>
    <definedName name="INPUT" localSheetId="4">[27]Summary!#REF!</definedName>
    <definedName name="INPUT" localSheetId="3">[27]Summary!#REF!</definedName>
    <definedName name="INPUT" localSheetId="5">[27]Summary!#REF!</definedName>
    <definedName name="INPUT" localSheetId="7">[27]Summary!#REF!</definedName>
    <definedName name="INPUT" localSheetId="8">[27]Summary!#REF!</definedName>
    <definedName name="INPUT" localSheetId="37">[27]Summary!#REF!</definedName>
    <definedName name="INPUT" localSheetId="17">[27]Summary!#REF!</definedName>
    <definedName name="INPUT" localSheetId="20">[27]Summary!#REF!</definedName>
    <definedName name="INPUT" localSheetId="36">[28]Summary!#REF!</definedName>
    <definedName name="INPUT">[27]Summary!#REF!</definedName>
    <definedName name="Instructions" localSheetId="19">#REF!</definedName>
    <definedName name="Instructions" localSheetId="1">#REF!</definedName>
    <definedName name="Instructions" localSheetId="2">#REF!</definedName>
    <definedName name="Instructions" localSheetId="4">#REF!</definedName>
    <definedName name="Instructions" localSheetId="3">#REF!</definedName>
    <definedName name="Instructions" localSheetId="5">#REF!</definedName>
    <definedName name="Instructions" localSheetId="7">#REF!</definedName>
    <definedName name="Instructions" localSheetId="8">#REF!</definedName>
    <definedName name="Instructions" localSheetId="31">#REF!</definedName>
    <definedName name="Instructions" localSheetId="30">#REF!</definedName>
    <definedName name="Instructions" localSheetId="17">#REF!</definedName>
    <definedName name="Instructions" localSheetId="20">#REF!</definedName>
    <definedName name="Instructions">#REF!</definedName>
    <definedName name="JAN" localSheetId="29">#REF!</definedName>
    <definedName name="JAN" localSheetId="28">#REF!</definedName>
    <definedName name="JAN" localSheetId="39">#REF!</definedName>
    <definedName name="JAN" localSheetId="40">#REF!</definedName>
    <definedName name="JAN" localSheetId="1">[22]Backup!#REF!</definedName>
    <definedName name="JAN" localSheetId="2">[22]Backup!#REF!</definedName>
    <definedName name="JAN" localSheetId="4">[22]Backup!#REF!</definedName>
    <definedName name="JAN" localSheetId="3">#REF!</definedName>
    <definedName name="JAN" localSheetId="5">[22]Backup!#REF!</definedName>
    <definedName name="JAN" localSheetId="7">[22]Backup!#REF!</definedName>
    <definedName name="JAN" localSheetId="8">[22]Backup!#REF!</definedName>
    <definedName name="JAN" localSheetId="35">#REF!</definedName>
    <definedName name="JAN" localSheetId="31">#REF!</definedName>
    <definedName name="JAN" localSheetId="30">#REF!</definedName>
    <definedName name="JAN" localSheetId="37">#REF!</definedName>
    <definedName name="JAN" localSheetId="16">#REF!</definedName>
    <definedName name="JAN" localSheetId="17">[22]Backup!#REF!</definedName>
    <definedName name="JAN" localSheetId="20">#REF!</definedName>
    <definedName name="JAN" localSheetId="36">[22]Backup!#REF!</definedName>
    <definedName name="JAN" localSheetId="26">[22]Backup!#REF!</definedName>
    <definedName name="JAN">[22]Backup!#REF!</definedName>
    <definedName name="JANT" localSheetId="1">#REF!</definedName>
    <definedName name="JANT" localSheetId="2">#REF!</definedName>
    <definedName name="JANT" localSheetId="4">#REF!</definedName>
    <definedName name="JANT" localSheetId="3">#REF!</definedName>
    <definedName name="JANT" localSheetId="5">#REF!</definedName>
    <definedName name="JANT" localSheetId="7">#REF!</definedName>
    <definedName name="JANT" localSheetId="8">#REF!</definedName>
    <definedName name="JANT" localSheetId="17">#REF!</definedName>
    <definedName name="JANT" localSheetId="20">#REF!</definedName>
    <definedName name="JANT" localSheetId="26">#REF!</definedName>
    <definedName name="JANT">#REF!</definedName>
    <definedName name="jjj" localSheetId="5">[29]Inputs!$N$18</definedName>
    <definedName name="jjj" localSheetId="36">[30]Inputs!$N$18</definedName>
    <definedName name="jjj">[29]Inputs!$N$18</definedName>
    <definedName name="JUL" localSheetId="29">#REF!</definedName>
    <definedName name="JUL" localSheetId="28">#REF!</definedName>
    <definedName name="JUL" localSheetId="39">#REF!</definedName>
    <definedName name="JUL" localSheetId="40">#REF!</definedName>
    <definedName name="JUL" localSheetId="1">[22]Backup!#REF!</definedName>
    <definedName name="JUL" localSheetId="2">[22]Backup!#REF!</definedName>
    <definedName name="JUL" localSheetId="4">[22]Backup!#REF!</definedName>
    <definedName name="JUL" localSheetId="3">#REF!</definedName>
    <definedName name="JUL" localSheetId="5">[22]Backup!#REF!</definedName>
    <definedName name="JUL" localSheetId="7">[22]Backup!#REF!</definedName>
    <definedName name="JUL" localSheetId="8">[22]Backup!#REF!</definedName>
    <definedName name="JUL" localSheetId="35">#REF!</definedName>
    <definedName name="JUL" localSheetId="31">#REF!</definedName>
    <definedName name="JUL" localSheetId="30">#REF!</definedName>
    <definedName name="JUL" localSheetId="37">#REF!</definedName>
    <definedName name="JUL" localSheetId="16">#REF!</definedName>
    <definedName name="JUL" localSheetId="17">[22]Backup!#REF!</definedName>
    <definedName name="JUL" localSheetId="20">#REF!</definedName>
    <definedName name="JUL" localSheetId="36">[22]Backup!#REF!</definedName>
    <definedName name="JUL" localSheetId="26">[22]Backup!#REF!</definedName>
    <definedName name="JUL">[22]Backup!#REF!</definedName>
    <definedName name="JULT" localSheetId="1">#REF!</definedName>
    <definedName name="JULT" localSheetId="2">#REF!</definedName>
    <definedName name="JULT" localSheetId="4">#REF!</definedName>
    <definedName name="JULT" localSheetId="3">#REF!</definedName>
    <definedName name="JULT" localSheetId="5">#REF!</definedName>
    <definedName name="JULT" localSheetId="7">#REF!</definedName>
    <definedName name="JULT" localSheetId="8">#REF!</definedName>
    <definedName name="JULT" localSheetId="17">#REF!</definedName>
    <definedName name="JULT" localSheetId="20">#REF!</definedName>
    <definedName name="JULT" localSheetId="26">#REF!</definedName>
    <definedName name="JULT">#REF!</definedName>
    <definedName name="JUN" localSheetId="29">#REF!</definedName>
    <definedName name="JUN" localSheetId="28">#REF!</definedName>
    <definedName name="JUN" localSheetId="39">#REF!</definedName>
    <definedName name="JUN" localSheetId="40">#REF!</definedName>
    <definedName name="JUN" localSheetId="1">[22]Backup!#REF!</definedName>
    <definedName name="JUN" localSheetId="2">[22]Backup!#REF!</definedName>
    <definedName name="JUN" localSheetId="4">[22]Backup!#REF!</definedName>
    <definedName name="JUN" localSheetId="3">#REF!</definedName>
    <definedName name="JUN" localSheetId="5">[22]Backup!#REF!</definedName>
    <definedName name="JUN" localSheetId="7">[22]Backup!#REF!</definedName>
    <definedName name="JUN" localSheetId="8">[22]Backup!#REF!</definedName>
    <definedName name="JUN" localSheetId="35">#REF!</definedName>
    <definedName name="JUN" localSheetId="31">#REF!</definedName>
    <definedName name="JUN" localSheetId="30">#REF!</definedName>
    <definedName name="JUN" localSheetId="37">#REF!</definedName>
    <definedName name="JUN" localSheetId="16">#REF!</definedName>
    <definedName name="JUN" localSheetId="17">[22]Backup!#REF!</definedName>
    <definedName name="JUN" localSheetId="20">#REF!</definedName>
    <definedName name="JUN" localSheetId="36">[22]Backup!#REF!</definedName>
    <definedName name="JUN" localSheetId="26">[22]Backup!#REF!</definedName>
    <definedName name="JUN">[22]Backup!#REF!</definedName>
    <definedName name="JUNT" localSheetId="1">#REF!</definedName>
    <definedName name="JUNT" localSheetId="2">#REF!</definedName>
    <definedName name="JUNT" localSheetId="4">#REF!</definedName>
    <definedName name="JUNT" localSheetId="3">#REF!</definedName>
    <definedName name="JUNT" localSheetId="5">#REF!</definedName>
    <definedName name="JUNT" localSheetId="7">#REF!</definedName>
    <definedName name="JUNT" localSheetId="8">#REF!</definedName>
    <definedName name="JUNT" localSheetId="17">#REF!</definedName>
    <definedName name="JUNT" localSheetId="20">#REF!</definedName>
    <definedName name="JUNT" localSheetId="26">#REF!</definedName>
    <definedName name="JUNT">#REF!</definedName>
    <definedName name="Jurisdiction">[20]Variables!$AK$15</definedName>
    <definedName name="JurisNumber">[20]Variables!$AL$15</definedName>
    <definedName name="LABORMOD" localSheetId="1">#REF!</definedName>
    <definedName name="LABORMOD" localSheetId="2">#REF!</definedName>
    <definedName name="LABORMOD" localSheetId="4">#REF!</definedName>
    <definedName name="LABORMOD" localSheetId="3">#REF!</definedName>
    <definedName name="LABORMOD" localSheetId="5">#REF!</definedName>
    <definedName name="LABORMOD" localSheetId="7">#REF!</definedName>
    <definedName name="LABORMOD" localSheetId="8">#REF!</definedName>
    <definedName name="LABORMOD" localSheetId="17">#REF!</definedName>
    <definedName name="LABORMOD" localSheetId="20">#REF!</definedName>
    <definedName name="LABORMOD" localSheetId="26">#REF!</definedName>
    <definedName name="LABORMOD">#REF!</definedName>
    <definedName name="LABORROLL" localSheetId="1">#REF!</definedName>
    <definedName name="LABORROLL" localSheetId="2">#REF!</definedName>
    <definedName name="LABORROLL" localSheetId="3">#REF!</definedName>
    <definedName name="LABORROLL" localSheetId="5">#REF!</definedName>
    <definedName name="LABORROLL" localSheetId="7">#REF!</definedName>
    <definedName name="LABORROLL" localSheetId="8">#REF!</definedName>
    <definedName name="LABORROLL" localSheetId="17">#REF!</definedName>
    <definedName name="LABORROLL" localSheetId="20">#REF!</definedName>
    <definedName name="LABORROLL" localSheetId="26">#REF!</definedName>
    <definedName name="LABORROLL">#REF!</definedName>
    <definedName name="limcount" hidden="1">1</definedName>
    <definedName name="Line_Ext_Credit" localSheetId="1">#REF!</definedName>
    <definedName name="Line_Ext_Credit" localSheetId="2">#REF!</definedName>
    <definedName name="Line_Ext_Credit" localSheetId="3">#REF!</definedName>
    <definedName name="Line_Ext_Credit" localSheetId="5">#REF!</definedName>
    <definedName name="Line_Ext_Credit" localSheetId="7">#REF!</definedName>
    <definedName name="Line_Ext_Credit" localSheetId="8">#REF!</definedName>
    <definedName name="Line_Ext_Credit" localSheetId="17">#REF!</definedName>
    <definedName name="Line_Ext_Credit" localSheetId="20">#REF!</definedName>
    <definedName name="Line_Ext_Credit" localSheetId="26">#REF!</definedName>
    <definedName name="Line_Ext_Credit">#REF!</definedName>
    <definedName name="LinkCos" localSheetId="19">'[12]JAM Download'!$K$4</definedName>
    <definedName name="LinkCos" localSheetId="4">'[14]JAM Download'!$K$4</definedName>
    <definedName name="LinkCos">'[15]JAM Download'!$K$4</definedName>
    <definedName name="LOG" localSheetId="1">[22]Backup!#REF!</definedName>
    <definedName name="LOG" localSheetId="2">[22]Backup!#REF!</definedName>
    <definedName name="LOG" localSheetId="4">[22]Backup!#REF!</definedName>
    <definedName name="LOG" localSheetId="3">[22]Backup!#REF!</definedName>
    <definedName name="LOG" localSheetId="5">[22]Backup!#REF!</definedName>
    <definedName name="LOG" localSheetId="7">[22]Backup!#REF!</definedName>
    <definedName name="LOG" localSheetId="8">[22]Backup!#REF!</definedName>
    <definedName name="LOG" localSheetId="37">[22]Backup!#REF!</definedName>
    <definedName name="LOG" localSheetId="17">[22]Backup!#REF!</definedName>
    <definedName name="LOG" localSheetId="20">[22]Backup!#REF!</definedName>
    <definedName name="LOG" localSheetId="36">[22]Backup!#REF!</definedName>
    <definedName name="LOG">[22]Backup!#REF!</definedName>
    <definedName name="LOSS" localSheetId="1">[22]Backup!#REF!</definedName>
    <definedName name="LOSS" localSheetId="2">[22]Backup!#REF!</definedName>
    <definedName name="LOSS" localSheetId="4">[22]Backup!#REF!</definedName>
    <definedName name="LOSS" localSheetId="3">[22]Backup!#REF!</definedName>
    <definedName name="LOSS" localSheetId="5">[22]Backup!#REF!</definedName>
    <definedName name="LOSS" localSheetId="7">[22]Backup!#REF!</definedName>
    <definedName name="LOSS" localSheetId="8">[22]Backup!#REF!</definedName>
    <definedName name="LOSS" localSheetId="17">[22]Backup!#REF!</definedName>
    <definedName name="LOSS" localSheetId="20">[22]Backup!#REF!</definedName>
    <definedName name="LOSS">[22]Backup!#REF!</definedName>
    <definedName name="MACTIT" localSheetId="19">#REF!</definedName>
    <definedName name="MACTIT" localSheetId="1">#REF!</definedName>
    <definedName name="MACTIT" localSheetId="2">#REF!</definedName>
    <definedName name="MACTIT" localSheetId="4">#REF!</definedName>
    <definedName name="MACTIT" localSheetId="3">#REF!</definedName>
    <definedName name="MACTIT" localSheetId="5">#REF!</definedName>
    <definedName name="MACTIT" localSheetId="7">#REF!</definedName>
    <definedName name="MACTIT" localSheetId="8">#REF!</definedName>
    <definedName name="MACTIT" localSheetId="31">#REF!</definedName>
    <definedName name="MACTIT" localSheetId="30">#REF!</definedName>
    <definedName name="MACTIT" localSheetId="17">#REF!</definedName>
    <definedName name="MACTIT" localSheetId="20">#REF!</definedName>
    <definedName name="MACTIT">#REF!</definedName>
    <definedName name="MAR" localSheetId="29">#REF!</definedName>
    <definedName name="MAR" localSheetId="28">#REF!</definedName>
    <definedName name="MAR" localSheetId="39">#REF!</definedName>
    <definedName name="MAR" localSheetId="40">#REF!</definedName>
    <definedName name="MAR" localSheetId="1">[22]Backup!#REF!</definedName>
    <definedName name="MAR" localSheetId="2">[22]Backup!#REF!</definedName>
    <definedName name="MAR" localSheetId="4">[22]Backup!#REF!</definedName>
    <definedName name="MAR" localSheetId="3">#REF!</definedName>
    <definedName name="MAR" localSheetId="5">[22]Backup!#REF!</definedName>
    <definedName name="MAR" localSheetId="7">[22]Backup!#REF!</definedName>
    <definedName name="MAR" localSheetId="8">[22]Backup!#REF!</definedName>
    <definedName name="MAR" localSheetId="35">#REF!</definedName>
    <definedName name="MAR" localSheetId="31">#REF!</definedName>
    <definedName name="MAR" localSheetId="30">#REF!</definedName>
    <definedName name="MAR" localSheetId="37">#REF!</definedName>
    <definedName name="MAR" localSheetId="16">#REF!</definedName>
    <definedName name="MAR" localSheetId="17">[22]Backup!#REF!</definedName>
    <definedName name="MAR" localSheetId="20">#REF!</definedName>
    <definedName name="MAR" localSheetId="36">[22]Backup!#REF!</definedName>
    <definedName name="MAR" localSheetId="26">[22]Backup!#REF!</definedName>
    <definedName name="MAR">[22]Backup!#REF!</definedName>
    <definedName name="MART" localSheetId="1">#REF!</definedName>
    <definedName name="MART" localSheetId="2">#REF!</definedName>
    <definedName name="MART" localSheetId="4">#REF!</definedName>
    <definedName name="MART" localSheetId="3">#REF!</definedName>
    <definedName name="MART" localSheetId="5">#REF!</definedName>
    <definedName name="MART" localSheetId="7">#REF!</definedName>
    <definedName name="MART" localSheetId="8">#REF!</definedName>
    <definedName name="MART" localSheetId="17">#REF!</definedName>
    <definedName name="MART" localSheetId="20">#REF!</definedName>
    <definedName name="MART" localSheetId="26">#REF!</definedName>
    <definedName name="MART">#REF!</definedName>
    <definedName name="MAY" localSheetId="29">#REF!</definedName>
    <definedName name="MAY" localSheetId="28">#REF!</definedName>
    <definedName name="MAY" localSheetId="39">#REF!</definedName>
    <definedName name="MAY" localSheetId="40">#REF!</definedName>
    <definedName name="MAY" localSheetId="1">[22]Backup!#REF!</definedName>
    <definedName name="MAY" localSheetId="2">[22]Backup!#REF!</definedName>
    <definedName name="MAY" localSheetId="4">[22]Backup!#REF!</definedName>
    <definedName name="MAY" localSheetId="3">#REF!</definedName>
    <definedName name="MAY" localSheetId="5">[22]Backup!#REF!</definedName>
    <definedName name="MAY" localSheetId="7">[22]Backup!#REF!</definedName>
    <definedName name="MAY" localSheetId="8">[22]Backup!#REF!</definedName>
    <definedName name="MAY" localSheetId="35">#REF!</definedName>
    <definedName name="MAY" localSheetId="31">#REF!</definedName>
    <definedName name="MAY" localSheetId="30">#REF!</definedName>
    <definedName name="MAY" localSheetId="37">#REF!</definedName>
    <definedName name="MAY" localSheetId="16">#REF!</definedName>
    <definedName name="MAY" localSheetId="17">[22]Backup!#REF!</definedName>
    <definedName name="MAY" localSheetId="20">#REF!</definedName>
    <definedName name="MAY" localSheetId="36">[22]Backup!#REF!</definedName>
    <definedName name="MAY" localSheetId="26">[22]Backup!#REF!</definedName>
    <definedName name="MAY">[22]Backup!#REF!</definedName>
    <definedName name="MAYT" localSheetId="1">#REF!</definedName>
    <definedName name="MAYT" localSheetId="2">#REF!</definedName>
    <definedName name="MAYT" localSheetId="4">#REF!</definedName>
    <definedName name="MAYT" localSheetId="3">#REF!</definedName>
    <definedName name="MAYT" localSheetId="5">#REF!</definedName>
    <definedName name="MAYT" localSheetId="7">#REF!</definedName>
    <definedName name="MAYT" localSheetId="8">#REF!</definedName>
    <definedName name="MAYT" localSheetId="17">#REF!</definedName>
    <definedName name="MAYT" localSheetId="20">#REF!</definedName>
    <definedName name="MAYT" localSheetId="26">#REF!</definedName>
    <definedName name="MAYT">#REF!</definedName>
    <definedName name="MCtoREV" localSheetId="1">#REF!</definedName>
    <definedName name="MCtoREV" localSheetId="2">#REF!</definedName>
    <definedName name="MCtoREV" localSheetId="3">#REF!</definedName>
    <definedName name="MCtoREV" localSheetId="5">#REF!</definedName>
    <definedName name="MCtoREV" localSheetId="7">#REF!</definedName>
    <definedName name="MCtoREV" localSheetId="8">#REF!</definedName>
    <definedName name="MCtoREV" localSheetId="17">#REF!</definedName>
    <definedName name="MCtoREV" localSheetId="20">#REF!</definedName>
    <definedName name="MCtoREV" localSheetId="26">#REF!</definedName>
    <definedName name="MCtoREV">#REF!</definedName>
    <definedName name="MEN" localSheetId="1">[1]Jan!#REF!</definedName>
    <definedName name="MEN" localSheetId="2">[1]Jan!#REF!</definedName>
    <definedName name="MEN" localSheetId="4">[1]Jan!#REF!</definedName>
    <definedName name="MEN" localSheetId="3">[1]Jan!#REF!</definedName>
    <definedName name="MEN" localSheetId="5">[1]Jan!#REF!</definedName>
    <definedName name="MEN" localSheetId="7">[1]Jan!#REF!</definedName>
    <definedName name="MEN" localSheetId="8">[1]Jan!#REF!</definedName>
    <definedName name="MEN" localSheetId="37">[1]Jan!#REF!</definedName>
    <definedName name="MEN" localSheetId="17">[1]Jan!#REF!</definedName>
    <definedName name="MEN" localSheetId="20">[1]Jan!#REF!</definedName>
    <definedName name="MEN" localSheetId="36">[1]Jan!#REF!</definedName>
    <definedName name="MEN">[1]Jan!#REF!</definedName>
    <definedName name="Menu_Begin" localSheetId="19">#REF!</definedName>
    <definedName name="Menu_Begin" localSheetId="1">#REF!</definedName>
    <definedName name="Menu_Begin" localSheetId="2">#REF!</definedName>
    <definedName name="Menu_Begin" localSheetId="4">#REF!</definedName>
    <definedName name="Menu_Begin" localSheetId="3">#REF!</definedName>
    <definedName name="Menu_Begin" localSheetId="5">#REF!</definedName>
    <definedName name="Menu_Begin" localSheetId="7">#REF!</definedName>
    <definedName name="Menu_Begin" localSheetId="8">#REF!</definedName>
    <definedName name="Menu_Begin" localSheetId="31">#REF!</definedName>
    <definedName name="Menu_Begin" localSheetId="30">#REF!</definedName>
    <definedName name="Menu_Begin" localSheetId="17">#REF!</definedName>
    <definedName name="Menu_Begin" localSheetId="20">#REF!</definedName>
    <definedName name="Menu_Begin">#REF!</definedName>
    <definedName name="Menu_Caption" localSheetId="19">#REF!</definedName>
    <definedName name="Menu_Caption" localSheetId="1">#REF!</definedName>
    <definedName name="Menu_Caption" localSheetId="2">#REF!</definedName>
    <definedName name="Menu_Caption" localSheetId="4">#REF!</definedName>
    <definedName name="Menu_Caption" localSheetId="3">#REF!</definedName>
    <definedName name="Menu_Caption" localSheetId="5">#REF!</definedName>
    <definedName name="Menu_Caption" localSheetId="7">#REF!</definedName>
    <definedName name="Menu_Caption" localSheetId="8">#REF!</definedName>
    <definedName name="Menu_Caption" localSheetId="31">#REF!</definedName>
    <definedName name="Menu_Caption" localSheetId="30">#REF!</definedName>
    <definedName name="Menu_Caption" localSheetId="17">#REF!</definedName>
    <definedName name="Menu_Caption" localSheetId="20">#REF!</definedName>
    <definedName name="Menu_Caption">#REF!</definedName>
    <definedName name="Menu_Large" localSheetId="19">#REF!</definedName>
    <definedName name="Menu_Large" localSheetId="1">#REF!</definedName>
    <definedName name="Menu_Large" localSheetId="2">#REF!</definedName>
    <definedName name="Menu_Large" localSheetId="4">#REF!</definedName>
    <definedName name="Menu_Large" localSheetId="3">#REF!</definedName>
    <definedName name="Menu_Large" localSheetId="5">#REF!</definedName>
    <definedName name="Menu_Large" localSheetId="7">#REF!</definedName>
    <definedName name="Menu_Large" localSheetId="8">#REF!</definedName>
    <definedName name="Menu_Large" localSheetId="31">#REF!</definedName>
    <definedName name="Menu_Large" localSheetId="30">#REF!</definedName>
    <definedName name="Menu_Large" localSheetId="17">#REF!</definedName>
    <definedName name="Menu_Large" localSheetId="20">#REF!</definedName>
    <definedName name="Menu_Large">#REF!</definedName>
    <definedName name="Menu_Name" localSheetId="19">#REF!</definedName>
    <definedName name="Menu_Name" localSheetId="1">#REF!</definedName>
    <definedName name="Menu_Name" localSheetId="2">#REF!</definedName>
    <definedName name="Menu_Name" localSheetId="4">#REF!</definedName>
    <definedName name="Menu_Name" localSheetId="3">#REF!</definedName>
    <definedName name="Menu_Name" localSheetId="5">#REF!</definedName>
    <definedName name="Menu_Name" localSheetId="7">#REF!</definedName>
    <definedName name="Menu_Name" localSheetId="8">#REF!</definedName>
    <definedName name="Menu_Name" localSheetId="31">#REF!</definedName>
    <definedName name="Menu_Name" localSheetId="30">#REF!</definedName>
    <definedName name="Menu_Name" localSheetId="17">#REF!</definedName>
    <definedName name="Menu_Name" localSheetId="20">#REF!</definedName>
    <definedName name="Menu_Name">#REF!</definedName>
    <definedName name="Menu_OnAction" localSheetId="19">#REF!</definedName>
    <definedName name="Menu_OnAction" localSheetId="1">#REF!</definedName>
    <definedName name="Menu_OnAction" localSheetId="2">#REF!</definedName>
    <definedName name="Menu_OnAction" localSheetId="4">#REF!</definedName>
    <definedName name="Menu_OnAction" localSheetId="3">#REF!</definedName>
    <definedName name="Menu_OnAction" localSheetId="5">#REF!</definedName>
    <definedName name="Menu_OnAction" localSheetId="7">#REF!</definedName>
    <definedName name="Menu_OnAction" localSheetId="8">#REF!</definedName>
    <definedName name="Menu_OnAction" localSheetId="31">#REF!</definedName>
    <definedName name="Menu_OnAction" localSheetId="30">#REF!</definedName>
    <definedName name="Menu_OnAction" localSheetId="17">#REF!</definedName>
    <definedName name="Menu_OnAction" localSheetId="20">#REF!</definedName>
    <definedName name="Menu_OnAction">#REF!</definedName>
    <definedName name="Menu_Parent" localSheetId="19">#REF!</definedName>
    <definedName name="Menu_Parent" localSheetId="1">#REF!</definedName>
    <definedName name="Menu_Parent" localSheetId="2">#REF!</definedName>
    <definedName name="Menu_Parent" localSheetId="4">#REF!</definedName>
    <definedName name="Menu_Parent" localSheetId="3">#REF!</definedName>
    <definedName name="Menu_Parent" localSheetId="5">#REF!</definedName>
    <definedName name="Menu_Parent" localSheetId="7">#REF!</definedName>
    <definedName name="Menu_Parent" localSheetId="8">#REF!</definedName>
    <definedName name="Menu_Parent" localSheetId="31">#REF!</definedName>
    <definedName name="Menu_Parent" localSheetId="30">#REF!</definedName>
    <definedName name="Menu_Parent" localSheetId="17">#REF!</definedName>
    <definedName name="Menu_Parent" localSheetId="20">#REF!</definedName>
    <definedName name="Menu_Parent">#REF!</definedName>
    <definedName name="Menu_Small" localSheetId="19">#REF!</definedName>
    <definedName name="Menu_Small" localSheetId="1">#REF!</definedName>
    <definedName name="Menu_Small" localSheetId="2">#REF!</definedName>
    <definedName name="Menu_Small" localSheetId="4">#REF!</definedName>
    <definedName name="Menu_Small" localSheetId="3">#REF!</definedName>
    <definedName name="Menu_Small" localSheetId="5">#REF!</definedName>
    <definedName name="Menu_Small" localSheetId="7">#REF!</definedName>
    <definedName name="Menu_Small" localSheetId="8">#REF!</definedName>
    <definedName name="Menu_Small" localSheetId="31">#REF!</definedName>
    <definedName name="Menu_Small" localSheetId="30">#REF!</definedName>
    <definedName name="Menu_Small" localSheetId="17">#REF!</definedName>
    <definedName name="Menu_Small" localSheetId="20">#REF!</definedName>
    <definedName name="Menu_Small">#REF!</definedName>
    <definedName name="Method" localSheetId="19">[12]Inputs!$C$6</definedName>
    <definedName name="Method" localSheetId="4">[14]Inputs!$C$6</definedName>
    <definedName name="Method" localSheetId="18">[26]Inputs!$C$6</definedName>
    <definedName name="Method">[13]Inputs!$C$6</definedName>
    <definedName name="MONTH" localSheetId="1">[22]Backup!#REF!</definedName>
    <definedName name="MONTH" localSheetId="2">[22]Backup!#REF!</definedName>
    <definedName name="MONTH" localSheetId="4">[22]Backup!#REF!</definedName>
    <definedName name="MONTH" localSheetId="3">[22]Backup!#REF!</definedName>
    <definedName name="MONTH" localSheetId="5">[22]Backup!#REF!</definedName>
    <definedName name="MONTH" localSheetId="7">[22]Backup!#REF!</definedName>
    <definedName name="MONTH" localSheetId="8">[22]Backup!#REF!</definedName>
    <definedName name="MONTH" localSheetId="17">[22]Backup!#REF!</definedName>
    <definedName name="MONTH" localSheetId="20">[22]Backup!#REF!</definedName>
    <definedName name="MONTH" localSheetId="26">[22]Backup!#REF!</definedName>
    <definedName name="MONTH">[22]Backup!#REF!</definedName>
    <definedName name="monthlist" localSheetId="26">[31]Table!$R$2:$S$13</definedName>
    <definedName name="monthlist">[31]Table!$R$2:$S$13</definedName>
    <definedName name="monthtotals" localSheetId="26">'[31]WA SBC'!$D$40:$O$40</definedName>
    <definedName name="monthtotals">'[31]WA SBC'!$D$40:$O$40</definedName>
    <definedName name="MTKWH" localSheetId="1">#REF!</definedName>
    <definedName name="MTKWH" localSheetId="2">#REF!</definedName>
    <definedName name="MTKWH" localSheetId="4">#REF!</definedName>
    <definedName name="MTKWH" localSheetId="3">#REF!</definedName>
    <definedName name="MTKWH" localSheetId="5">#REF!</definedName>
    <definedName name="MTKWH" localSheetId="7">#REF!</definedName>
    <definedName name="MTKWH" localSheetId="8">#REF!</definedName>
    <definedName name="MTKWH" localSheetId="17">#REF!</definedName>
    <definedName name="MTKWH" localSheetId="20">#REF!</definedName>
    <definedName name="MTKWH">#REF!</definedName>
    <definedName name="MTR_YR3" localSheetId="19">[32]Variables!$E$14</definedName>
    <definedName name="MTR_YR3">[33]Variables!$E$14</definedName>
    <definedName name="MTREV" localSheetId="1">#REF!</definedName>
    <definedName name="MTREV" localSheetId="2">#REF!</definedName>
    <definedName name="MTREV" localSheetId="4">#REF!</definedName>
    <definedName name="MTREV" localSheetId="3">#REF!</definedName>
    <definedName name="MTREV" localSheetId="5">#REF!</definedName>
    <definedName name="MTREV" localSheetId="7">#REF!</definedName>
    <definedName name="MTREV" localSheetId="8">#REF!</definedName>
    <definedName name="MTREV" localSheetId="17">#REF!</definedName>
    <definedName name="MTREV" localSheetId="20">#REF!</definedName>
    <definedName name="MTREV">#REF!</definedName>
    <definedName name="MULT" localSheetId="1">#REF!</definedName>
    <definedName name="MULT" localSheetId="2">#REF!</definedName>
    <definedName name="MULT" localSheetId="3">#REF!</definedName>
    <definedName name="MULT" localSheetId="5">#REF!</definedName>
    <definedName name="MULT" localSheetId="7">#REF!</definedName>
    <definedName name="MULT" localSheetId="8">#REF!</definedName>
    <definedName name="MULT" localSheetId="17">#REF!</definedName>
    <definedName name="MULT" localSheetId="20">#REF!</definedName>
    <definedName name="MULT" localSheetId="26">#REF!</definedName>
    <definedName name="MULT">#REF!</definedName>
    <definedName name="Net_to_Gross_Factor" localSheetId="19">[12]Inputs!$G$8</definedName>
    <definedName name="Net_to_Gross_Factor" localSheetId="4">[14]Inputs!$G$8</definedName>
    <definedName name="Net_to_Gross_Factor">[15]Inputs!$G$8</definedName>
    <definedName name="NetToGross" localSheetId="19">[34]Variables!$B$30</definedName>
    <definedName name="NetToGross" localSheetId="4">[35]Variables!$B$30</definedName>
    <definedName name="NetToGross" localSheetId="26">[21]Variables!$D$23</definedName>
    <definedName name="NetToGross">[21]Variables!$D$23</definedName>
    <definedName name="NEWMO1" localSheetId="1">[1]Jan!#REF!</definedName>
    <definedName name="NEWMO1" localSheetId="2">[1]Jan!#REF!</definedName>
    <definedName name="NEWMO1" localSheetId="4">[1]Jan!#REF!</definedName>
    <definedName name="NEWMO1" localSheetId="3">[1]Jan!#REF!</definedName>
    <definedName name="NEWMO1" localSheetId="5">[1]Jan!#REF!</definedName>
    <definedName name="NEWMO1" localSheetId="7">[1]Jan!#REF!</definedName>
    <definedName name="NEWMO1" localSheetId="8">[1]Jan!#REF!</definedName>
    <definedName name="NEWMO1" localSheetId="37">[1]Jan!#REF!</definedName>
    <definedName name="NEWMO1" localSheetId="17">[1]Jan!#REF!</definedName>
    <definedName name="NEWMO1" localSheetId="20">[1]Jan!#REF!</definedName>
    <definedName name="NEWMO1" localSheetId="36">[1]Jan!#REF!</definedName>
    <definedName name="NEWMO1">[1]Jan!#REF!</definedName>
    <definedName name="NEWMO2" localSheetId="1">[1]Jan!#REF!</definedName>
    <definedName name="NEWMO2" localSheetId="2">[1]Jan!#REF!</definedName>
    <definedName name="NEWMO2" localSheetId="4">[1]Jan!#REF!</definedName>
    <definedName name="NEWMO2" localSheetId="3">[1]Jan!#REF!</definedName>
    <definedName name="NEWMO2" localSheetId="5">[1]Jan!#REF!</definedName>
    <definedName name="NEWMO2" localSheetId="7">[1]Jan!#REF!</definedName>
    <definedName name="NEWMO2" localSheetId="8">[1]Jan!#REF!</definedName>
    <definedName name="NEWMO2" localSheetId="17">[1]Jan!#REF!</definedName>
    <definedName name="NEWMO2" localSheetId="20">[1]Jan!#REF!</definedName>
    <definedName name="NEWMO2">[1]Jan!#REF!</definedName>
    <definedName name="NEWMONTH" localSheetId="1">[1]Jan!#REF!</definedName>
    <definedName name="NEWMONTH" localSheetId="2">[1]Jan!#REF!</definedName>
    <definedName name="NEWMONTH" localSheetId="3">[1]Jan!#REF!</definedName>
    <definedName name="NEWMONTH" localSheetId="5">[1]Jan!#REF!</definedName>
    <definedName name="NEWMONTH" localSheetId="7">[1]Jan!#REF!</definedName>
    <definedName name="NEWMONTH" localSheetId="8">[1]Jan!#REF!</definedName>
    <definedName name="NEWMONTH" localSheetId="17">[1]Jan!#REF!</definedName>
    <definedName name="NEWMONTH" localSheetId="20">[1]Jan!#REF!</definedName>
    <definedName name="NEWMONTH">[1]Jan!#REF!</definedName>
    <definedName name="NORMALIZE" localSheetId="1">#REF!</definedName>
    <definedName name="NORMALIZE" localSheetId="2">#REF!</definedName>
    <definedName name="NORMALIZE" localSheetId="4">#REF!</definedName>
    <definedName name="NORMALIZE" localSheetId="3">#REF!</definedName>
    <definedName name="NORMALIZE" localSheetId="5">#REF!</definedName>
    <definedName name="NORMALIZE" localSheetId="7">#REF!</definedName>
    <definedName name="NORMALIZE" localSheetId="8">#REF!</definedName>
    <definedName name="NORMALIZE" localSheetId="17">#REF!</definedName>
    <definedName name="NORMALIZE" localSheetId="20">#REF!</definedName>
    <definedName name="NORMALIZE" localSheetId="26">#REF!</definedName>
    <definedName name="NORMALIZE">#REF!</definedName>
    <definedName name="NOV" localSheetId="29">#REF!</definedName>
    <definedName name="NOV" localSheetId="28">#REF!</definedName>
    <definedName name="NOV" localSheetId="39">#REF!</definedName>
    <definedName name="NOV" localSheetId="40">#REF!</definedName>
    <definedName name="NOV" localSheetId="1">[22]Backup!#REF!</definedName>
    <definedName name="NOV" localSheetId="2">[22]Backup!#REF!</definedName>
    <definedName name="NOV" localSheetId="4">[22]Backup!#REF!</definedName>
    <definedName name="NOV" localSheetId="3">#REF!</definedName>
    <definedName name="NOV" localSheetId="5">[22]Backup!#REF!</definedName>
    <definedName name="NOV" localSheetId="7">[22]Backup!#REF!</definedName>
    <definedName name="NOV" localSheetId="8">[22]Backup!#REF!</definedName>
    <definedName name="NOV" localSheetId="35">#REF!</definedName>
    <definedName name="NOV" localSheetId="31">#REF!</definedName>
    <definedName name="NOV" localSheetId="30">#REF!</definedName>
    <definedName name="NOV" localSheetId="37">#REF!</definedName>
    <definedName name="NOV" localSheetId="16">#REF!</definedName>
    <definedName name="NOV" localSheetId="17">[22]Backup!#REF!</definedName>
    <definedName name="NOV" localSheetId="20">#REF!</definedName>
    <definedName name="NOV" localSheetId="36">[22]Backup!#REF!</definedName>
    <definedName name="NOV" localSheetId="26">[22]Backup!#REF!</definedName>
    <definedName name="NOV">[22]Backup!#REF!</definedName>
    <definedName name="NOVT" localSheetId="1">#REF!</definedName>
    <definedName name="NOVT" localSheetId="2">#REF!</definedName>
    <definedName name="NOVT" localSheetId="4">#REF!</definedName>
    <definedName name="NOVT" localSheetId="3">#REF!</definedName>
    <definedName name="NOVT" localSheetId="5">#REF!</definedName>
    <definedName name="NOVT" localSheetId="7">#REF!</definedName>
    <definedName name="NOVT" localSheetId="8">#REF!</definedName>
    <definedName name="NOVT" localSheetId="17">#REF!</definedName>
    <definedName name="NOVT" localSheetId="20">#REF!</definedName>
    <definedName name="NOVT" localSheetId="26">#REF!</definedName>
    <definedName name="NOVT">#REF!</definedName>
    <definedName name="NPC" localSheetId="5">[18]Inputs!$N$18</definedName>
    <definedName name="NPC" localSheetId="36">[19]Inputs!$N$18</definedName>
    <definedName name="NPC">[18]Inputs!$N$18</definedName>
    <definedName name="NUM" localSheetId="19">#REF!</definedName>
    <definedName name="NUM" localSheetId="1">#REF!</definedName>
    <definedName name="NUM" localSheetId="2">#REF!</definedName>
    <definedName name="NUM" localSheetId="4">#REF!</definedName>
    <definedName name="NUM" localSheetId="3">#REF!</definedName>
    <definedName name="NUM" localSheetId="5">#REF!</definedName>
    <definedName name="NUM" localSheetId="7">#REF!</definedName>
    <definedName name="NUM" localSheetId="8">#REF!</definedName>
    <definedName name="NUM" localSheetId="31">#REF!</definedName>
    <definedName name="NUM" localSheetId="30">#REF!</definedName>
    <definedName name="NUM" localSheetId="17">#REF!</definedName>
    <definedName name="NUM" localSheetId="20">#REF!</definedName>
    <definedName name="NUM">#REF!</definedName>
    <definedName name="OCT" localSheetId="29">#REF!</definedName>
    <definedName name="OCT" localSheetId="28">#REF!</definedName>
    <definedName name="OCT" localSheetId="39">#REF!</definedName>
    <definedName name="OCT" localSheetId="40">#REF!</definedName>
    <definedName name="OCT" localSheetId="1">[22]Backup!#REF!</definedName>
    <definedName name="OCT" localSheetId="2">[22]Backup!#REF!</definedName>
    <definedName name="OCT" localSheetId="4">[22]Backup!#REF!</definedName>
    <definedName name="OCT" localSheetId="3">#REF!</definedName>
    <definedName name="OCT" localSheetId="5">[22]Backup!#REF!</definedName>
    <definedName name="OCT" localSheetId="7">[22]Backup!#REF!</definedName>
    <definedName name="OCT" localSheetId="8">[22]Backup!#REF!</definedName>
    <definedName name="OCT" localSheetId="35">#REF!</definedName>
    <definedName name="OCT" localSheetId="31">#REF!</definedName>
    <definedName name="OCT" localSheetId="30">#REF!</definedName>
    <definedName name="OCT" localSheetId="37">#REF!</definedName>
    <definedName name="OCT" localSheetId="16">#REF!</definedName>
    <definedName name="OCT" localSheetId="17">[22]Backup!#REF!</definedName>
    <definedName name="OCT" localSheetId="20">#REF!</definedName>
    <definedName name="OCT" localSheetId="36">[22]Backup!#REF!</definedName>
    <definedName name="OCT" localSheetId="26">[22]Backup!#REF!</definedName>
    <definedName name="OCT">[22]Backup!#REF!</definedName>
    <definedName name="OCTT" localSheetId="1">#REF!</definedName>
    <definedName name="OCTT" localSheetId="2">#REF!</definedName>
    <definedName name="OCTT" localSheetId="4">#REF!</definedName>
    <definedName name="OCTT" localSheetId="3">#REF!</definedName>
    <definedName name="OCTT" localSheetId="5">#REF!</definedName>
    <definedName name="OCTT" localSheetId="7">#REF!</definedName>
    <definedName name="OCTT" localSheetId="8">#REF!</definedName>
    <definedName name="OCTT" localSheetId="17">#REF!</definedName>
    <definedName name="OCTT" localSheetId="20">#REF!</definedName>
    <definedName name="OCTT" localSheetId="26">#REF!</definedName>
    <definedName name="OCTT">#REF!</definedName>
    <definedName name="ONE" localSheetId="1">[1]Jan!#REF!</definedName>
    <definedName name="ONE" localSheetId="2">[1]Jan!#REF!</definedName>
    <definedName name="ONE" localSheetId="4">[1]Jan!#REF!</definedName>
    <definedName name="ONE" localSheetId="3">[1]Jan!#REF!</definedName>
    <definedName name="ONE" localSheetId="5">[1]Jan!#REF!</definedName>
    <definedName name="ONE" localSheetId="7">[1]Jan!#REF!</definedName>
    <definedName name="ONE" localSheetId="8">[1]Jan!#REF!</definedName>
    <definedName name="ONE" localSheetId="37">[1]Jan!#REF!</definedName>
    <definedName name="ONE" localSheetId="17">[1]Jan!#REF!</definedName>
    <definedName name="ONE" localSheetId="20">[1]Jan!#REF!</definedName>
    <definedName name="ONE" localSheetId="36">[1]Jan!#REF!</definedName>
    <definedName name="ONE">[1]Jan!#REF!</definedName>
    <definedName name="option">'[36]Dist Misc'!$F$120</definedName>
    <definedName name="Page1" localSheetId="1">#REF!</definedName>
    <definedName name="Page1" localSheetId="2">#REF!</definedName>
    <definedName name="Page1" localSheetId="4">'Exh No.__(JRS-17) p11'!$A$1:$N$2</definedName>
    <definedName name="Page1" localSheetId="3">#REF!</definedName>
    <definedName name="Page1" localSheetId="5">#REF!</definedName>
    <definedName name="Page1" localSheetId="7">#REF!</definedName>
    <definedName name="Page1" localSheetId="8">#REF!</definedName>
    <definedName name="Page1" localSheetId="31">#REF!</definedName>
    <definedName name="Page1" localSheetId="30">#REF!</definedName>
    <definedName name="Page1" localSheetId="17">#REF!</definedName>
    <definedName name="Page1" localSheetId="20">#REF!</definedName>
    <definedName name="Page1">#REF!</definedName>
    <definedName name="Page110" localSheetId="1">#REF!</definedName>
    <definedName name="Page110" localSheetId="2">#REF!</definedName>
    <definedName name="Page110" localSheetId="4">#REF!</definedName>
    <definedName name="Page110" localSheetId="3">#REF!</definedName>
    <definedName name="Page110" localSheetId="5">#REF!</definedName>
    <definedName name="Page110" localSheetId="7">#REF!</definedName>
    <definedName name="Page110" localSheetId="8">#REF!</definedName>
    <definedName name="Page110" localSheetId="17">#REF!</definedName>
    <definedName name="Page110" localSheetId="20">#REF!</definedName>
    <definedName name="Page110">#REF!</definedName>
    <definedName name="Page120" localSheetId="1">#REF!</definedName>
    <definedName name="Page120" localSheetId="2">#REF!</definedName>
    <definedName name="Page120" localSheetId="3">#REF!</definedName>
    <definedName name="Page120" localSheetId="5">#REF!</definedName>
    <definedName name="Page120" localSheetId="7">#REF!</definedName>
    <definedName name="Page120" localSheetId="8">#REF!</definedName>
    <definedName name="Page120" localSheetId="17">#REF!</definedName>
    <definedName name="Page120" localSheetId="20">#REF!</definedName>
    <definedName name="Page120">#REF!</definedName>
    <definedName name="Page2" localSheetId="1">#REF!</definedName>
    <definedName name="Page2" localSheetId="2">#REF!</definedName>
    <definedName name="Page2" localSheetId="4">'Exh No.__(JRS-17) p11'!$A$3:$N$27</definedName>
    <definedName name="Page2" localSheetId="3">#REF!</definedName>
    <definedName name="Page2" localSheetId="5">#REF!</definedName>
    <definedName name="Page2" localSheetId="7">#REF!</definedName>
    <definedName name="Page2" localSheetId="8">#REF!</definedName>
    <definedName name="Page2" localSheetId="31">#REF!</definedName>
    <definedName name="Page2" localSheetId="30">#REF!</definedName>
    <definedName name="Page2" localSheetId="17">#REF!</definedName>
    <definedName name="Page2" localSheetId="20">#REF!</definedName>
    <definedName name="Page2">#REF!</definedName>
    <definedName name="PAGE3" localSheetId="1">#REF!</definedName>
    <definedName name="PAGE3" localSheetId="2">#REF!</definedName>
    <definedName name="PAGE3" localSheetId="4">#REF!</definedName>
    <definedName name="PAGE3" localSheetId="3">#REF!</definedName>
    <definedName name="PAGE3" localSheetId="5">#REF!</definedName>
    <definedName name="PAGE3" localSheetId="7">#REF!</definedName>
    <definedName name="PAGE3" localSheetId="8">#REF!</definedName>
    <definedName name="PAGE3" localSheetId="17">#REF!</definedName>
    <definedName name="PAGE3" localSheetId="20">#REF!</definedName>
    <definedName name="PAGE3" localSheetId="26">#REF!</definedName>
    <definedName name="PAGE3">#REF!</definedName>
    <definedName name="Page4" localSheetId="1">#REF!</definedName>
    <definedName name="Page4" localSheetId="2">#REF!</definedName>
    <definedName name="Page4" localSheetId="3">#REF!</definedName>
    <definedName name="Page4" localSheetId="5">#REF!</definedName>
    <definedName name="Page4" localSheetId="7">#REF!</definedName>
    <definedName name="Page4" localSheetId="8">#REF!</definedName>
    <definedName name="Page4" localSheetId="31">#REF!</definedName>
    <definedName name="Page4" localSheetId="30">#REF!</definedName>
    <definedName name="Page4" localSheetId="17">#REF!</definedName>
    <definedName name="Page4" localSheetId="20">#REF!</definedName>
    <definedName name="Page4">#REF!</definedName>
    <definedName name="Page5" localSheetId="1">#REF!</definedName>
    <definedName name="Page5" localSheetId="2">#REF!</definedName>
    <definedName name="Page5" localSheetId="3">#REF!</definedName>
    <definedName name="Page5" localSheetId="5">#REF!</definedName>
    <definedName name="Page5" localSheetId="7">#REF!</definedName>
    <definedName name="Page5" localSheetId="8">#REF!</definedName>
    <definedName name="Page5" localSheetId="31">#REF!</definedName>
    <definedName name="Page5" localSheetId="30">#REF!</definedName>
    <definedName name="Page5" localSheetId="17">#REF!</definedName>
    <definedName name="Page5" localSheetId="20">#REF!</definedName>
    <definedName name="Page5">#REF!</definedName>
    <definedName name="Page6" localSheetId="1">#REF!</definedName>
    <definedName name="Page6" localSheetId="2">#REF!</definedName>
    <definedName name="Page6" localSheetId="3">#REF!</definedName>
    <definedName name="Page6" localSheetId="5">#REF!</definedName>
    <definedName name="Page6" localSheetId="7">#REF!</definedName>
    <definedName name="Page6" localSheetId="8">#REF!</definedName>
    <definedName name="Page6" localSheetId="17">#REF!</definedName>
    <definedName name="Page6" localSheetId="20">#REF!</definedName>
    <definedName name="Page6">#REF!</definedName>
    <definedName name="Page62" localSheetId="1">[37]TransInvest!#REF!</definedName>
    <definedName name="Page62" localSheetId="2">[37]TransInvest!#REF!</definedName>
    <definedName name="Page62" localSheetId="4">[37]TransInvest!#REF!</definedName>
    <definedName name="Page62" localSheetId="3">[37]TransInvest!#REF!</definedName>
    <definedName name="Page62" localSheetId="5">[37]TransInvest!#REF!</definedName>
    <definedName name="Page62" localSheetId="7">[37]TransInvest!#REF!</definedName>
    <definedName name="Page62" localSheetId="8">[37]TransInvest!#REF!</definedName>
    <definedName name="Page62" localSheetId="37">[37]TransInvest!#REF!</definedName>
    <definedName name="Page62" localSheetId="17">[37]TransInvest!#REF!</definedName>
    <definedName name="Page62" localSheetId="20">[37]TransInvest!#REF!</definedName>
    <definedName name="Page62" localSheetId="36">[37]TransInvest!#REF!</definedName>
    <definedName name="Page62">[37]TransInvest!#REF!</definedName>
    <definedName name="page65" localSheetId="1">#REF!</definedName>
    <definedName name="page65" localSheetId="2">#REF!</definedName>
    <definedName name="page65" localSheetId="4">#REF!</definedName>
    <definedName name="page65" localSheetId="3">#REF!</definedName>
    <definedName name="page65" localSheetId="5">#REF!</definedName>
    <definedName name="page65" localSheetId="7">#REF!</definedName>
    <definedName name="page65" localSheetId="8">#REF!</definedName>
    <definedName name="page65" localSheetId="17">#REF!</definedName>
    <definedName name="page65" localSheetId="20">#REF!</definedName>
    <definedName name="page65">#REF!</definedName>
    <definedName name="page66" localSheetId="1">#REF!</definedName>
    <definedName name="page66" localSheetId="2">#REF!</definedName>
    <definedName name="page66" localSheetId="3">#REF!</definedName>
    <definedName name="page66" localSheetId="5">#REF!</definedName>
    <definedName name="page66" localSheetId="7">#REF!</definedName>
    <definedName name="page66" localSheetId="8">#REF!</definedName>
    <definedName name="page66" localSheetId="17">#REF!</definedName>
    <definedName name="page66" localSheetId="20">#REF!</definedName>
    <definedName name="page66">#REF!</definedName>
    <definedName name="page67" localSheetId="1">#REF!</definedName>
    <definedName name="page67" localSheetId="2">#REF!</definedName>
    <definedName name="page67" localSheetId="3">#REF!</definedName>
    <definedName name="page67" localSheetId="5">#REF!</definedName>
    <definedName name="page67" localSheetId="7">#REF!</definedName>
    <definedName name="page67" localSheetId="8">#REF!</definedName>
    <definedName name="page67" localSheetId="17">#REF!</definedName>
    <definedName name="page67" localSheetId="20">#REF!</definedName>
    <definedName name="page67">#REF!</definedName>
    <definedName name="page68" localSheetId="1">#REF!</definedName>
    <definedName name="page68" localSheetId="2">#REF!</definedName>
    <definedName name="page68" localSheetId="3">#REF!</definedName>
    <definedName name="page68" localSheetId="5">#REF!</definedName>
    <definedName name="page68" localSheetId="7">#REF!</definedName>
    <definedName name="page68" localSheetId="8">#REF!</definedName>
    <definedName name="page68" localSheetId="17">#REF!</definedName>
    <definedName name="page68" localSheetId="20">#REF!</definedName>
    <definedName name="page68">#REF!</definedName>
    <definedName name="page69" localSheetId="1">#REF!</definedName>
    <definedName name="page69" localSheetId="2">#REF!</definedName>
    <definedName name="page69" localSheetId="3">#REF!</definedName>
    <definedName name="page69" localSheetId="5">#REF!</definedName>
    <definedName name="page69" localSheetId="7">#REF!</definedName>
    <definedName name="page69" localSheetId="8">#REF!</definedName>
    <definedName name="page69" localSheetId="17">#REF!</definedName>
    <definedName name="page69" localSheetId="20">#REF!</definedName>
    <definedName name="page69">#REF!</definedName>
    <definedName name="Page7" localSheetId="1">#REF!</definedName>
    <definedName name="Page7" localSheetId="2">#REF!</definedName>
    <definedName name="Page7" localSheetId="3">#REF!</definedName>
    <definedName name="Page7" localSheetId="5">#REF!</definedName>
    <definedName name="Page7" localSheetId="7">#REF!</definedName>
    <definedName name="Page7" localSheetId="8">#REF!</definedName>
    <definedName name="Page7" localSheetId="31">#REF!</definedName>
    <definedName name="Page7" localSheetId="30">#REF!</definedName>
    <definedName name="Page7" localSheetId="17">#REF!</definedName>
    <definedName name="Page7" localSheetId="20">#REF!</definedName>
    <definedName name="Page7">#REF!</definedName>
    <definedName name="page8" localSheetId="1">#REF!</definedName>
    <definedName name="page8" localSheetId="2">#REF!</definedName>
    <definedName name="page8" localSheetId="3">#REF!</definedName>
    <definedName name="page8" localSheetId="5">#REF!</definedName>
    <definedName name="page8" localSheetId="7">#REF!</definedName>
    <definedName name="page8" localSheetId="8">#REF!</definedName>
    <definedName name="page8" localSheetId="31">#REF!</definedName>
    <definedName name="page8" localSheetId="30">#REF!</definedName>
    <definedName name="page8" localSheetId="17">#REF!</definedName>
    <definedName name="page8" localSheetId="20">#REF!</definedName>
    <definedName name="page8">#REF!</definedName>
    <definedName name="PALL" localSheetId="1">#REF!</definedName>
    <definedName name="PALL" localSheetId="2">#REF!</definedName>
    <definedName name="PALL" localSheetId="3">#REF!</definedName>
    <definedName name="PALL" localSheetId="5">#REF!</definedName>
    <definedName name="PALL" localSheetId="7">#REF!</definedName>
    <definedName name="PALL" localSheetId="8">#REF!</definedName>
    <definedName name="PALL" localSheetId="17">#REF!</definedName>
    <definedName name="PALL" localSheetId="20">#REF!</definedName>
    <definedName name="PALL">#REF!</definedName>
    <definedName name="PBLOCK" localSheetId="1">#REF!</definedName>
    <definedName name="PBLOCK" localSheetId="2">#REF!</definedName>
    <definedName name="PBLOCK" localSheetId="3">#REF!</definedName>
    <definedName name="PBLOCK" localSheetId="5">#REF!</definedName>
    <definedName name="PBLOCK" localSheetId="7">#REF!</definedName>
    <definedName name="PBLOCK" localSheetId="8">#REF!</definedName>
    <definedName name="PBLOCK" localSheetId="17">#REF!</definedName>
    <definedName name="PBLOCK" localSheetId="20">#REF!</definedName>
    <definedName name="PBLOCK">#REF!</definedName>
    <definedName name="PBLOCKWZ" localSheetId="1">#REF!</definedName>
    <definedName name="PBLOCKWZ" localSheetId="2">#REF!</definedName>
    <definedName name="PBLOCKWZ" localSheetId="3">#REF!</definedName>
    <definedName name="PBLOCKWZ" localSheetId="5">#REF!</definedName>
    <definedName name="PBLOCKWZ" localSheetId="7">#REF!</definedName>
    <definedName name="PBLOCKWZ" localSheetId="8">#REF!</definedName>
    <definedName name="PBLOCKWZ" localSheetId="17">#REF!</definedName>
    <definedName name="PBLOCKWZ" localSheetId="20">#REF!</definedName>
    <definedName name="PBLOCKWZ">#REF!</definedName>
    <definedName name="PCOMP" localSheetId="1">#REF!</definedName>
    <definedName name="PCOMP" localSheetId="2">#REF!</definedName>
    <definedName name="PCOMP" localSheetId="3">#REF!</definedName>
    <definedName name="PCOMP" localSheetId="5">#REF!</definedName>
    <definedName name="PCOMP" localSheetId="7">#REF!</definedName>
    <definedName name="PCOMP" localSheetId="8">#REF!</definedName>
    <definedName name="PCOMP" localSheetId="17">#REF!</definedName>
    <definedName name="PCOMP" localSheetId="20">#REF!</definedName>
    <definedName name="PCOMP">#REF!</definedName>
    <definedName name="PCOMPOSITES" localSheetId="1">#REF!</definedName>
    <definedName name="PCOMPOSITES" localSheetId="2">#REF!</definedName>
    <definedName name="PCOMPOSITES" localSheetId="3">#REF!</definedName>
    <definedName name="PCOMPOSITES" localSheetId="5">#REF!</definedName>
    <definedName name="PCOMPOSITES" localSheetId="7">#REF!</definedName>
    <definedName name="PCOMPOSITES" localSheetId="8">#REF!</definedName>
    <definedName name="PCOMPOSITES" localSheetId="17">#REF!</definedName>
    <definedName name="PCOMPOSITES" localSheetId="20">#REF!</definedName>
    <definedName name="PCOMPOSITES">#REF!</definedName>
    <definedName name="PCOMPWZ" localSheetId="1">#REF!</definedName>
    <definedName name="PCOMPWZ" localSheetId="2">#REF!</definedName>
    <definedName name="PCOMPWZ" localSheetId="3">#REF!</definedName>
    <definedName name="PCOMPWZ" localSheetId="5">#REF!</definedName>
    <definedName name="PCOMPWZ" localSheetId="7">#REF!</definedName>
    <definedName name="PCOMPWZ" localSheetId="8">#REF!</definedName>
    <definedName name="PCOMPWZ" localSheetId="17">#REF!</definedName>
    <definedName name="PCOMPWZ" localSheetId="20">#REF!</definedName>
    <definedName name="PCOMPWZ">#REF!</definedName>
    <definedName name="PeakMethod" localSheetId="19">[12]Inputs!$T$5</definedName>
    <definedName name="PeakMethod" localSheetId="4">[14]Inputs!$T$5</definedName>
    <definedName name="PeakMethod" localSheetId="18">[26]Inputs!$T$5</definedName>
    <definedName name="PeakMethod">[13]Inputs!$T$5</definedName>
    <definedName name="PMAC" localSheetId="1">[22]Backup!#REF!</definedName>
    <definedName name="PMAC" localSheetId="2">[22]Backup!#REF!</definedName>
    <definedName name="PMAC" localSheetId="4">[22]Backup!#REF!</definedName>
    <definedName name="PMAC" localSheetId="3">[22]Backup!#REF!</definedName>
    <definedName name="PMAC" localSheetId="5">[22]Backup!#REF!</definedName>
    <definedName name="PMAC" localSheetId="7">[22]Backup!#REF!</definedName>
    <definedName name="PMAC" localSheetId="8">[22]Backup!#REF!</definedName>
    <definedName name="PMAC" localSheetId="17">[22]Backup!#REF!</definedName>
    <definedName name="PMAC" localSheetId="20">[22]Backup!#REF!</definedName>
    <definedName name="PMAC" localSheetId="26">[22]Backup!#REF!</definedName>
    <definedName name="PMAC">[22]Backup!#REF!</definedName>
    <definedName name="PRESENT" localSheetId="1">#REF!</definedName>
    <definedName name="PRESENT" localSheetId="2">#REF!</definedName>
    <definedName name="PRESENT" localSheetId="4">#REF!</definedName>
    <definedName name="PRESENT" localSheetId="3">#REF!</definedName>
    <definedName name="PRESENT" localSheetId="5">#REF!</definedName>
    <definedName name="PRESENT" localSheetId="7">#REF!</definedName>
    <definedName name="PRESENT" localSheetId="8">#REF!</definedName>
    <definedName name="PRESENT" localSheetId="17">#REF!</definedName>
    <definedName name="PRESENT" localSheetId="20">#REF!</definedName>
    <definedName name="PRESENT" localSheetId="26">#REF!</definedName>
    <definedName name="PRESENT">#REF!</definedName>
    <definedName name="PRICCHNG" localSheetId="1">#REF!</definedName>
    <definedName name="PRICCHNG" localSheetId="2">#REF!</definedName>
    <definedName name="PRICCHNG" localSheetId="3">#REF!</definedName>
    <definedName name="PRICCHNG" localSheetId="5">#REF!</definedName>
    <definedName name="PRICCHNG" localSheetId="7">#REF!</definedName>
    <definedName name="PRICCHNG" localSheetId="8">#REF!</definedName>
    <definedName name="PRICCHNG" localSheetId="17">#REF!</definedName>
    <definedName name="PRICCHNG" localSheetId="20">#REF!</definedName>
    <definedName name="PRICCHNG">#REF!</definedName>
    <definedName name="_xlnm.Print_Area" localSheetId="29">'305 VS COGNOS kWh'!$A$1:$K$110</definedName>
    <definedName name="_xlnm.Print_Area" localSheetId="28">'305 VS COGNOS Revenue'!$A$1:$AA$112</definedName>
    <definedName name="_xlnm.Print_Area" localSheetId="39">'Billing Determinants (2)'!$A$1:$K$1038</definedName>
    <definedName name="_xlnm.Print_Area" localSheetId="40">'Blocking - detail'!$A$1:$K$1009</definedName>
    <definedName name="_xlnm.Print_Area" localSheetId="19">'COS versus rates'!$A$1:$J$172</definedName>
    <definedName name="_xlnm.Print_Area" localSheetId="0">'Exh No.__(JRS-16) Table A p1'!$B$1:$V$49</definedName>
    <definedName name="_xlnm.Print_Area" localSheetId="1">'Exh No.__(JRS-16) Table B p2'!$B$1:$AB$49</definedName>
    <definedName name="_xlnm.Print_Area" localSheetId="2">'Exh No.__(JRS-16) Table C p3'!$B$1:$V$49</definedName>
    <definedName name="_xlnm.Print_Area" localSheetId="4">'Exh No.__(JRS-17) p11'!$A$1:$N$47</definedName>
    <definedName name="_xlnm.Print_Area" localSheetId="3">'Exh No.__(JRS-17) p1-10'!$A$1:$X$1281</definedName>
    <definedName name="_xlnm.Print_Area" localSheetId="5">'Exh No.__(JRS-17) p12'!$A$1:$J$48</definedName>
    <definedName name="_xlnm.Print_Area" localSheetId="6">'Exh No.__(JRS-17) p13'!$A$1:$F$11</definedName>
    <definedName name="_xlnm.Print_Area" localSheetId="7">'Exh No.__(JRS-18) p1'!$B$1:$T$38</definedName>
    <definedName name="_xlnm.Print_Area" localSheetId="8">'Exh No.__(JRS-18) p2'!$A$1:$T$39</definedName>
    <definedName name="_xlnm.Print_Area" localSheetId="9">'Exh No.__(JRS-18) p3'!$B$3:$U$35</definedName>
    <definedName name="_xlnm.Print_Area" localSheetId="10">'Exh No.__(JRS-18) p4'!$B$3:$K$44</definedName>
    <definedName name="_xlnm.Print_Area" localSheetId="11">'Exh No.__(JRS-18) p5'!$B$2:$Q$39</definedName>
    <definedName name="_xlnm.Print_Area" localSheetId="12">'Exh No.__(JRS-18) p6'!$B$2:$K$34</definedName>
    <definedName name="_xlnm.Print_Area" localSheetId="13">'Exh No.__(JRS-18) p7'!$B$2:$K$34</definedName>
    <definedName name="_xlnm.Print_Area" localSheetId="14">'Exh No.__(JRS-18) p8'!$B$2:$K$34</definedName>
    <definedName name="_xlnm.Print_Area" localSheetId="35">'Exhibit No._(JRS-4) old'!$A$1:$L$1247</definedName>
    <definedName name="_xlnm.Print_Area" localSheetId="31">'Normalized Monthly kWh'!$A$1:$AF$91</definedName>
    <definedName name="_xlnm.Print_Area" localSheetId="30">'Normalized Monthly revenue'!$A$1:$AF$91</definedName>
    <definedName name="_xlnm.Print_Area" localSheetId="18">'NPC Spread'!$A$1:$K$57</definedName>
    <definedName name="_xlnm.Print_Area" localSheetId="37">'Rate Design prior GRC'!$A$1:$L$1111</definedName>
    <definedName name="_xlnm.Print_Area" localSheetId="16">'Rate Design Work'!$A$1:$X$1275</definedName>
    <definedName name="_xlnm.Print_Area" localSheetId="17">'Rate Spread targets'!$B$1:$AD$48</definedName>
    <definedName name="_xlnm.Print_Area" localSheetId="20">'Schedule 36 filed method'!$A$1:$X$128</definedName>
    <definedName name="_xlnm.Print_Area" localSheetId="23">'Table 1 - kWh'!$A$1:$G$34</definedName>
    <definedName name="_xlnm.Print_Area" localSheetId="22">'Table 1-Revenues'!$A$1:$J$33</definedName>
    <definedName name="_xlnm.Print_Area" localSheetId="24">'Table 2'!$A$1:$Q$145</definedName>
    <definedName name="_xlnm.Print_Area" localSheetId="25">'Table 3'!$A$1:$Q$144</definedName>
    <definedName name="_xlnm.Print_Area" localSheetId="36">'Table A by class'!$B$1:$W$60</definedName>
    <definedName name="_xlnm.Print_Area" localSheetId="34">'WA SBC'!$B$2:$AO$50</definedName>
    <definedName name="_xlnm.Print_Titles" localSheetId="39">'Billing Determinants (2)'!$1:$6</definedName>
    <definedName name="_xlnm.Print_Titles" localSheetId="40">'Blocking - detail'!$1:$6</definedName>
    <definedName name="_xlnm.Print_Titles" localSheetId="19">'COS versus rates'!$2:$11</definedName>
    <definedName name="_xlnm.Print_Titles" localSheetId="33">'December 305 13'!$6:$6</definedName>
    <definedName name="_xlnm.Print_Titles" localSheetId="3">'Exh No.__(JRS-17) p1-10'!$1:$10</definedName>
    <definedName name="_xlnm.Print_Titles" localSheetId="35">'Exhibit No._(JRS-4) old'!$1:$11</definedName>
    <definedName name="_xlnm.Print_Titles" localSheetId="37">'Rate Design prior GRC'!$1:$10</definedName>
    <definedName name="_xlnm.Print_Titles" localSheetId="16">'Rate Design Work'!$1:$10</definedName>
    <definedName name="_xlnm.Print_Titles" localSheetId="20">'Schedule 36 filed method'!$1:$10</definedName>
    <definedName name="_xlnm.Print_Titles" localSheetId="24">'Table 2'!$A:$C,'Table 2'!$9:$11</definedName>
    <definedName name="_xlnm.Print_Titles" localSheetId="25">'Table 3'!$A:$C,'Table 3'!$9:$11</definedName>
    <definedName name="_xlnm.Print_Titles" localSheetId="36">'Table A by class'!$B:$F</definedName>
    <definedName name="PTABLES" localSheetId="1">#REF!</definedName>
    <definedName name="PTABLES" localSheetId="2">#REF!</definedName>
    <definedName name="PTABLES" localSheetId="4">#REF!</definedName>
    <definedName name="PTABLES" localSheetId="3">#REF!</definedName>
    <definedName name="PTABLES" localSheetId="5">#REF!</definedName>
    <definedName name="PTABLES" localSheetId="7">#REF!</definedName>
    <definedName name="PTABLES" localSheetId="8">#REF!</definedName>
    <definedName name="PTABLES" localSheetId="17">#REF!</definedName>
    <definedName name="PTABLES" localSheetId="20">#REF!</definedName>
    <definedName name="PTABLES">#REF!</definedName>
    <definedName name="PTDMOD" localSheetId="1">#REF!</definedName>
    <definedName name="PTDMOD" localSheetId="2">#REF!</definedName>
    <definedName name="PTDMOD" localSheetId="3">#REF!</definedName>
    <definedName name="PTDMOD" localSheetId="5">#REF!</definedName>
    <definedName name="PTDMOD" localSheetId="7">#REF!</definedName>
    <definedName name="PTDMOD" localSheetId="8">#REF!</definedName>
    <definedName name="PTDMOD" localSheetId="17">#REF!</definedName>
    <definedName name="PTDMOD" localSheetId="20">#REF!</definedName>
    <definedName name="PTDMOD" localSheetId="26">#REF!</definedName>
    <definedName name="PTDMOD">#REF!</definedName>
    <definedName name="PTDROLL" localSheetId="1">#REF!</definedName>
    <definedName name="PTDROLL" localSheetId="2">#REF!</definedName>
    <definedName name="PTDROLL" localSheetId="3">#REF!</definedName>
    <definedName name="PTDROLL" localSheetId="5">#REF!</definedName>
    <definedName name="PTDROLL" localSheetId="7">#REF!</definedName>
    <definedName name="PTDROLL" localSheetId="8">#REF!</definedName>
    <definedName name="PTDROLL" localSheetId="17">#REF!</definedName>
    <definedName name="PTDROLL" localSheetId="20">#REF!</definedName>
    <definedName name="PTDROLL" localSheetId="26">#REF!</definedName>
    <definedName name="PTDROLL">#REF!</definedName>
    <definedName name="PTMOD" localSheetId="1">#REF!</definedName>
    <definedName name="PTMOD" localSheetId="2">#REF!</definedName>
    <definedName name="PTMOD" localSheetId="3">#REF!</definedName>
    <definedName name="PTMOD" localSheetId="5">#REF!</definedName>
    <definedName name="PTMOD" localSheetId="7">#REF!</definedName>
    <definedName name="PTMOD" localSheetId="8">#REF!</definedName>
    <definedName name="PTMOD" localSheetId="17">#REF!</definedName>
    <definedName name="PTMOD" localSheetId="20">#REF!</definedName>
    <definedName name="PTMOD" localSheetId="26">#REF!</definedName>
    <definedName name="PTMOD">#REF!</definedName>
    <definedName name="PTROLL" localSheetId="1">#REF!</definedName>
    <definedName name="PTROLL" localSheetId="2">#REF!</definedName>
    <definedName name="PTROLL" localSheetId="3">#REF!</definedName>
    <definedName name="PTROLL" localSheetId="5">#REF!</definedName>
    <definedName name="PTROLL" localSheetId="7">#REF!</definedName>
    <definedName name="PTROLL" localSheetId="8">#REF!</definedName>
    <definedName name="PTROLL" localSheetId="17">#REF!</definedName>
    <definedName name="PTROLL" localSheetId="20">#REF!</definedName>
    <definedName name="PTROLL" localSheetId="26">#REF!</definedName>
    <definedName name="PTROLL">#REF!</definedName>
    <definedName name="PWORKBACK" localSheetId="1">#REF!</definedName>
    <definedName name="PWORKBACK" localSheetId="2">#REF!</definedName>
    <definedName name="PWORKBACK" localSheetId="3">#REF!</definedName>
    <definedName name="PWORKBACK" localSheetId="5">#REF!</definedName>
    <definedName name="PWORKBACK" localSheetId="7">#REF!</definedName>
    <definedName name="PWORKBACK" localSheetId="8">#REF!</definedName>
    <definedName name="PWORKBACK" localSheetId="17">#REF!</definedName>
    <definedName name="PWORKBACK" localSheetId="20">#REF!</definedName>
    <definedName name="PWORKBACK">#REF!</definedName>
    <definedName name="Query1" localSheetId="1">#REF!</definedName>
    <definedName name="Query1" localSheetId="2">#REF!</definedName>
    <definedName name="Query1" localSheetId="3">#REF!</definedName>
    <definedName name="Query1" localSheetId="5">#REF!</definedName>
    <definedName name="Query1" localSheetId="7">#REF!</definedName>
    <definedName name="Query1" localSheetId="8">#REF!</definedName>
    <definedName name="Query1" localSheetId="17">#REF!</definedName>
    <definedName name="Query1" localSheetId="20">#REF!</definedName>
    <definedName name="Query1" localSheetId="26">#REF!</definedName>
    <definedName name="Query1">#REF!</definedName>
    <definedName name="Rates" localSheetId="34">[9]Codes!$A$1:$C$497</definedName>
    <definedName name="Rates">[38]Codes!$A$1:$C$500</definedName>
    <definedName name="RC_ADJ" localSheetId="1">#REF!</definedName>
    <definedName name="RC_ADJ" localSheetId="2">#REF!</definedName>
    <definedName name="RC_ADJ" localSheetId="3">#REF!</definedName>
    <definedName name="RC_ADJ" localSheetId="5">#REF!</definedName>
    <definedName name="RC_ADJ" localSheetId="7">#REF!</definedName>
    <definedName name="RC_ADJ" localSheetId="8">#REF!</definedName>
    <definedName name="RC_ADJ" localSheetId="17">#REF!</definedName>
    <definedName name="RC_ADJ" localSheetId="20">#REF!</definedName>
    <definedName name="RC_ADJ">#REF!</definedName>
    <definedName name="RESADJ" localSheetId="1">#REF!</definedName>
    <definedName name="RESADJ" localSheetId="2">#REF!</definedName>
    <definedName name="RESADJ" localSheetId="3">#REF!</definedName>
    <definedName name="RESADJ" localSheetId="5">#REF!</definedName>
    <definedName name="RESADJ" localSheetId="7">#REF!</definedName>
    <definedName name="RESADJ" localSheetId="8">#REF!</definedName>
    <definedName name="RESADJ" localSheetId="17">#REF!</definedName>
    <definedName name="RESADJ" localSheetId="20">#REF!</definedName>
    <definedName name="RESADJ">#REF!</definedName>
    <definedName name="ResourceSupplier" localSheetId="26">[21]Variables!$D$28</definedName>
    <definedName name="ResourceSupplier">[21]Variables!$D$28</definedName>
    <definedName name="retail_CC" localSheetId="4" hidden="1">{#N/A,#N/A,FALSE,"Loans";#N/A,#N/A,FALSE,"Program Costs";#N/A,#N/A,FALSE,"Measures";#N/A,#N/A,FALSE,"Net Lost Rev";#N/A,#N/A,FALSE,"Incentive"}</definedName>
    <definedName name="retail_CC" localSheetId="5" hidden="1">{#N/A,#N/A,FALSE,"Loans";#N/A,#N/A,FALSE,"Program Costs";#N/A,#N/A,FALSE,"Measures";#N/A,#N/A,FALSE,"Net Lost Rev";#N/A,#N/A,FALSE,"Incentive"}</definedName>
    <definedName name="retail_CC" localSheetId="8" hidden="1">{#N/A,#N/A,FALSE,"Loans";#N/A,#N/A,FALSE,"Program Costs";#N/A,#N/A,FALSE,"Measures";#N/A,#N/A,FALSE,"Net Lost Rev";#N/A,#N/A,FALSE,"Incentive"}</definedName>
    <definedName name="retail_CC" localSheetId="14" hidden="1">{#N/A,#N/A,FALSE,"Loans";#N/A,#N/A,FALSE,"Program Costs";#N/A,#N/A,FALSE,"Measures";#N/A,#N/A,FALSE,"Net Lost Rev";#N/A,#N/A,FALSE,"Incentive"}</definedName>
    <definedName name="retail_CC" localSheetId="35" hidden="1">{#N/A,#N/A,FALSE,"Loans";#N/A,#N/A,FALSE,"Program Costs";#N/A,#N/A,FALSE,"Measures";#N/A,#N/A,FALSE,"Net Lost Rev";#N/A,#N/A,FALSE,"Incentive"}</definedName>
    <definedName name="retail_CC" localSheetId="37" hidden="1">{#N/A,#N/A,FALSE,"Loans";#N/A,#N/A,FALSE,"Program Costs";#N/A,#N/A,FALSE,"Measures";#N/A,#N/A,FALSE,"Net Lost Rev";#N/A,#N/A,FALSE,"Incentive"}</definedName>
    <definedName name="retail_CC" localSheetId="36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4" hidden="1">{#N/A,#N/A,FALSE,"Loans";#N/A,#N/A,FALSE,"Program Costs";#N/A,#N/A,FALSE,"Measures";#N/A,#N/A,FALSE,"Net Lost Rev";#N/A,#N/A,FALSE,"Incentive"}</definedName>
    <definedName name="retail_CC1" localSheetId="5" hidden="1">{#N/A,#N/A,FALSE,"Loans";#N/A,#N/A,FALSE,"Program Costs";#N/A,#N/A,FALSE,"Measures";#N/A,#N/A,FALSE,"Net Lost Rev";#N/A,#N/A,FALSE,"Incentive"}</definedName>
    <definedName name="retail_CC1" localSheetId="8" hidden="1">{#N/A,#N/A,FALSE,"Loans";#N/A,#N/A,FALSE,"Program Costs";#N/A,#N/A,FALSE,"Measures";#N/A,#N/A,FALSE,"Net Lost Rev";#N/A,#N/A,FALSE,"Incentive"}</definedName>
    <definedName name="retail_CC1" localSheetId="14" hidden="1">{#N/A,#N/A,FALSE,"Loans";#N/A,#N/A,FALSE,"Program Costs";#N/A,#N/A,FALSE,"Measures";#N/A,#N/A,FALSE,"Net Lost Rev";#N/A,#N/A,FALSE,"Incentive"}</definedName>
    <definedName name="retail_CC1" localSheetId="35" hidden="1">{#N/A,#N/A,FALSE,"Loans";#N/A,#N/A,FALSE,"Program Costs";#N/A,#N/A,FALSE,"Measures";#N/A,#N/A,FALSE,"Net Lost Rev";#N/A,#N/A,FALSE,"Incentive"}</definedName>
    <definedName name="retail_CC1" localSheetId="37" hidden="1">{#N/A,#N/A,FALSE,"Loans";#N/A,#N/A,FALSE,"Program Costs";#N/A,#N/A,FALSE,"Measures";#N/A,#N/A,FALSE,"Net Lost Rev";#N/A,#N/A,FALSE,"Incentive"}</definedName>
    <definedName name="retail_CC1" localSheetId="36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V_SCHD" localSheetId="1">#REF!</definedName>
    <definedName name="REV_SCHD" localSheetId="2">#REF!</definedName>
    <definedName name="REV_SCHD" localSheetId="4">#REF!</definedName>
    <definedName name="REV_SCHD" localSheetId="3">#REF!</definedName>
    <definedName name="REV_SCHD" localSheetId="5">#REF!</definedName>
    <definedName name="REV_SCHD" localSheetId="7">#REF!</definedName>
    <definedName name="REV_SCHD" localSheetId="8">#REF!</definedName>
    <definedName name="REV_SCHD" localSheetId="17">#REF!</definedName>
    <definedName name="REV_SCHD" localSheetId="20">#REF!</definedName>
    <definedName name="REV_SCHD">#REF!</definedName>
    <definedName name="RevClass" localSheetId="34">[9]Codes!$F$2:$G$10</definedName>
    <definedName name="RevClass">[38]Codes!$F$2:$G$10</definedName>
    <definedName name="Revenue_by_month_take_2" localSheetId="1">#REF!</definedName>
    <definedName name="Revenue_by_month_take_2" localSheetId="2">#REF!</definedName>
    <definedName name="Revenue_by_month_take_2" localSheetId="3">#REF!</definedName>
    <definedName name="Revenue_by_month_take_2" localSheetId="5">#REF!</definedName>
    <definedName name="Revenue_by_month_take_2" localSheetId="7">#REF!</definedName>
    <definedName name="Revenue_by_month_take_2" localSheetId="8">#REF!</definedName>
    <definedName name="Revenue_by_month_take_2" localSheetId="17">#REF!</definedName>
    <definedName name="Revenue_by_month_take_2" localSheetId="20">#REF!</definedName>
    <definedName name="Revenue_by_month_take_2" localSheetId="26">#REF!</definedName>
    <definedName name="Revenue_by_month_take_2">#REF!</definedName>
    <definedName name="RevenueCheck" localSheetId="1">#REF!</definedName>
    <definedName name="RevenueCheck" localSheetId="2">#REF!</definedName>
    <definedName name="RevenueCheck" localSheetId="3">#REF!</definedName>
    <definedName name="RevenueCheck" localSheetId="5">#REF!</definedName>
    <definedName name="RevenueCheck" localSheetId="7">#REF!</definedName>
    <definedName name="RevenueCheck" localSheetId="8">#REF!</definedName>
    <definedName name="RevenueCheck" localSheetId="17">#REF!</definedName>
    <definedName name="RevenueCheck" localSheetId="20">#REF!</definedName>
    <definedName name="RevenueCheck" localSheetId="26">#REF!</definedName>
    <definedName name="RevenueCheck">#REF!</definedName>
    <definedName name="RevReqSettle" localSheetId="1">#REF!</definedName>
    <definedName name="RevReqSettle" localSheetId="2">#REF!</definedName>
    <definedName name="RevReqSettle" localSheetId="3">#REF!</definedName>
    <definedName name="RevReqSettle" localSheetId="5">#REF!</definedName>
    <definedName name="RevReqSettle" localSheetId="7">#REF!</definedName>
    <definedName name="RevReqSettle" localSheetId="8">#REF!</definedName>
    <definedName name="RevReqSettle" localSheetId="17">#REF!</definedName>
    <definedName name="RevReqSettle" localSheetId="20">#REF!</definedName>
    <definedName name="RevReqSettle">#REF!</definedName>
    <definedName name="REVVSTRS" localSheetId="1">#REF!</definedName>
    <definedName name="REVVSTRS" localSheetId="2">#REF!</definedName>
    <definedName name="REVVSTRS" localSheetId="3">#REF!</definedName>
    <definedName name="REVVSTRS" localSheetId="5">#REF!</definedName>
    <definedName name="REVVSTRS" localSheetId="7">#REF!</definedName>
    <definedName name="REVVSTRS" localSheetId="8">#REF!</definedName>
    <definedName name="REVVSTRS" localSheetId="17">#REF!</definedName>
    <definedName name="REVVSTRS" localSheetId="20">#REF!</definedName>
    <definedName name="REVVSTRS">#REF!</definedName>
    <definedName name="RISFORM" localSheetId="1">#REF!</definedName>
    <definedName name="RISFORM" localSheetId="2">#REF!</definedName>
    <definedName name="RISFORM" localSheetId="3">#REF!</definedName>
    <definedName name="RISFORM" localSheetId="5">#REF!</definedName>
    <definedName name="RISFORM" localSheetId="7">#REF!</definedName>
    <definedName name="RISFORM" localSheetId="8">#REF!</definedName>
    <definedName name="RISFORM" localSheetId="17">#REF!</definedName>
    <definedName name="RISFORM" localSheetId="20">#REF!</definedName>
    <definedName name="RISFORM" localSheetId="26">#REF!</definedName>
    <definedName name="RISFORM">#REF!</definedName>
    <definedName name="SCH33CUSTS" localSheetId="1">#REF!</definedName>
    <definedName name="SCH33CUSTS" localSheetId="2">#REF!</definedName>
    <definedName name="SCH33CUSTS" localSheetId="3">#REF!</definedName>
    <definedName name="SCH33CUSTS" localSheetId="5">#REF!</definedName>
    <definedName name="SCH33CUSTS" localSheetId="7">#REF!</definedName>
    <definedName name="SCH33CUSTS" localSheetId="8">#REF!</definedName>
    <definedName name="SCH33CUSTS" localSheetId="17">#REF!</definedName>
    <definedName name="SCH33CUSTS" localSheetId="20">#REF!</definedName>
    <definedName name="SCH33CUSTS">#REF!</definedName>
    <definedName name="SCH48ADJ" localSheetId="1">#REF!</definedName>
    <definedName name="SCH48ADJ" localSheetId="2">#REF!</definedName>
    <definedName name="SCH48ADJ" localSheetId="3">#REF!</definedName>
    <definedName name="SCH48ADJ" localSheetId="5">#REF!</definedName>
    <definedName name="SCH48ADJ" localSheetId="7">#REF!</definedName>
    <definedName name="SCH48ADJ" localSheetId="8">#REF!</definedName>
    <definedName name="SCH48ADJ" localSheetId="17">#REF!</definedName>
    <definedName name="SCH48ADJ" localSheetId="20">#REF!</definedName>
    <definedName name="SCH48ADJ">#REF!</definedName>
    <definedName name="SCH98NOR" localSheetId="1">#REF!</definedName>
    <definedName name="SCH98NOR" localSheetId="2">#REF!</definedName>
    <definedName name="SCH98NOR" localSheetId="3">#REF!</definedName>
    <definedName name="SCH98NOR" localSheetId="5">#REF!</definedName>
    <definedName name="SCH98NOR" localSheetId="7">#REF!</definedName>
    <definedName name="SCH98NOR" localSheetId="8">#REF!</definedName>
    <definedName name="SCH98NOR" localSheetId="17">#REF!</definedName>
    <definedName name="SCH98NOR" localSheetId="20">#REF!</definedName>
    <definedName name="SCH98NOR">#REF!</definedName>
    <definedName name="SCHED47" localSheetId="1">#REF!</definedName>
    <definedName name="SCHED47" localSheetId="2">#REF!</definedName>
    <definedName name="SCHED47" localSheetId="3">#REF!</definedName>
    <definedName name="SCHED47" localSheetId="5">#REF!</definedName>
    <definedName name="SCHED47" localSheetId="7">#REF!</definedName>
    <definedName name="SCHED47" localSheetId="8">#REF!</definedName>
    <definedName name="SCHED47" localSheetId="17">#REF!</definedName>
    <definedName name="SCHED47" localSheetId="20">#REF!</definedName>
    <definedName name="SCHED47">#REF!</definedName>
    <definedName name="Schedule" localSheetId="5">[18]Inputs!$N$14</definedName>
    <definedName name="Schedule" localSheetId="36">[19]Inputs!$N$14</definedName>
    <definedName name="Schedule">[18]Inputs!$N$14</definedName>
    <definedName name="se" localSheetId="1">#REF!</definedName>
    <definedName name="se" localSheetId="2">#REF!</definedName>
    <definedName name="se" localSheetId="4">#REF!</definedName>
    <definedName name="se" localSheetId="3">#REF!</definedName>
    <definedName name="se" localSheetId="5">#REF!</definedName>
    <definedName name="se" localSheetId="7">#REF!</definedName>
    <definedName name="se" localSheetId="8">#REF!</definedName>
    <definedName name="se" localSheetId="17">#REF!</definedName>
    <definedName name="se" localSheetId="20">#REF!</definedName>
    <definedName name="se" localSheetId="26">#REF!</definedName>
    <definedName name="se">#REF!</definedName>
    <definedName name="SECOND" localSheetId="1">[1]Jan!#REF!</definedName>
    <definedName name="SECOND" localSheetId="2">[1]Jan!#REF!</definedName>
    <definedName name="SECOND" localSheetId="4">[1]Jan!#REF!</definedName>
    <definedName name="SECOND" localSheetId="3">[1]Jan!#REF!</definedName>
    <definedName name="SECOND" localSheetId="5">[1]Jan!#REF!</definedName>
    <definedName name="SECOND" localSheetId="7">[1]Jan!#REF!</definedName>
    <definedName name="SECOND" localSheetId="8">[1]Jan!#REF!</definedName>
    <definedName name="SECOND" localSheetId="37">[1]Jan!#REF!</definedName>
    <definedName name="SECOND" localSheetId="17">[1]Jan!#REF!</definedName>
    <definedName name="SECOND" localSheetId="20">[1]Jan!#REF!</definedName>
    <definedName name="SECOND" localSheetId="36">[1]Jan!#REF!</definedName>
    <definedName name="SECOND">[1]Jan!#REF!</definedName>
    <definedName name="SEP" localSheetId="29">#REF!</definedName>
    <definedName name="SEP" localSheetId="28">#REF!</definedName>
    <definedName name="SEP" localSheetId="39">#REF!</definedName>
    <definedName name="SEP" localSheetId="40">#REF!</definedName>
    <definedName name="SEP" localSheetId="1">[22]Backup!#REF!</definedName>
    <definedName name="SEP" localSheetId="2">[22]Backup!#REF!</definedName>
    <definedName name="SEP" localSheetId="4">[22]Backup!#REF!</definedName>
    <definedName name="SEP" localSheetId="3">#REF!</definedName>
    <definedName name="SEP" localSheetId="5">[22]Backup!#REF!</definedName>
    <definedName name="SEP" localSheetId="7">[22]Backup!#REF!</definedName>
    <definedName name="SEP" localSheetId="8">[22]Backup!#REF!</definedName>
    <definedName name="SEP" localSheetId="35">#REF!</definedName>
    <definedName name="SEP" localSheetId="31">#REF!</definedName>
    <definedName name="SEP" localSheetId="30">#REF!</definedName>
    <definedName name="SEP" localSheetId="37">#REF!</definedName>
    <definedName name="SEP" localSheetId="16">#REF!</definedName>
    <definedName name="SEP" localSheetId="17">[22]Backup!#REF!</definedName>
    <definedName name="SEP" localSheetId="20">#REF!</definedName>
    <definedName name="SEP" localSheetId="36">[22]Backup!#REF!</definedName>
    <definedName name="SEP" localSheetId="26">[22]Backup!#REF!</definedName>
    <definedName name="SEP">[22]Backup!#REF!</definedName>
    <definedName name="SEPT" localSheetId="1">#REF!</definedName>
    <definedName name="SEPT" localSheetId="2">#REF!</definedName>
    <definedName name="SEPT" localSheetId="4">#REF!</definedName>
    <definedName name="SEPT" localSheetId="3">#REF!</definedName>
    <definedName name="SEPT" localSheetId="5">#REF!</definedName>
    <definedName name="SEPT" localSheetId="7">#REF!</definedName>
    <definedName name="SEPT" localSheetId="8">#REF!</definedName>
    <definedName name="SEPT" localSheetId="17">#REF!</definedName>
    <definedName name="SEPT" localSheetId="20">#REF!</definedName>
    <definedName name="SEPT" localSheetId="26">#REF!</definedName>
    <definedName name="SEPT">#REF!</definedName>
    <definedName name="SERVICES_3" localSheetId="1">#REF!</definedName>
    <definedName name="SERVICES_3" localSheetId="2">#REF!</definedName>
    <definedName name="SERVICES_3" localSheetId="3">#REF!</definedName>
    <definedName name="SERVICES_3" localSheetId="5">#REF!</definedName>
    <definedName name="SERVICES_3" localSheetId="7">#REF!</definedName>
    <definedName name="SERVICES_3" localSheetId="8">#REF!</definedName>
    <definedName name="SERVICES_3" localSheetId="17">#REF!</definedName>
    <definedName name="SERVICES_3" localSheetId="20">#REF!</definedName>
    <definedName name="SERVICES_3" localSheetId="26">#REF!</definedName>
    <definedName name="SERVICES_3">#REF!</definedName>
    <definedName name="sg" localSheetId="1">#REF!</definedName>
    <definedName name="sg" localSheetId="2">#REF!</definedName>
    <definedName name="sg" localSheetId="3">#REF!</definedName>
    <definedName name="sg" localSheetId="5">#REF!</definedName>
    <definedName name="sg" localSheetId="7">#REF!</definedName>
    <definedName name="sg" localSheetId="8">#REF!</definedName>
    <definedName name="sg" localSheetId="17">#REF!</definedName>
    <definedName name="sg" localSheetId="20">#REF!</definedName>
    <definedName name="sg" localSheetId="26">#REF!</definedName>
    <definedName name="sg">#REF!</definedName>
    <definedName name="START" localSheetId="1">[1]Jan!#REF!</definedName>
    <definedName name="START" localSheetId="2">[1]Jan!#REF!</definedName>
    <definedName name="START" localSheetId="4">[1]Jan!#REF!</definedName>
    <definedName name="START" localSheetId="3">[1]Jan!#REF!</definedName>
    <definedName name="START" localSheetId="5">[1]Jan!#REF!</definedName>
    <definedName name="START" localSheetId="7">[1]Jan!#REF!</definedName>
    <definedName name="START" localSheetId="8">[1]Jan!#REF!</definedName>
    <definedName name="START" localSheetId="37">[1]Jan!#REF!</definedName>
    <definedName name="START" localSheetId="17">[1]Jan!#REF!</definedName>
    <definedName name="START" localSheetId="20">[1]Jan!#REF!</definedName>
    <definedName name="START" localSheetId="36">[1]Jan!#REF!</definedName>
    <definedName name="START">[1]Jan!#REF!</definedName>
    <definedName name="SUM_TAB1" localSheetId="1">#REF!</definedName>
    <definedName name="SUM_TAB1" localSheetId="2">#REF!</definedName>
    <definedName name="SUM_TAB1" localSheetId="4">#REF!</definedName>
    <definedName name="SUM_TAB1" localSheetId="3">#REF!</definedName>
    <definedName name="SUM_TAB1" localSheetId="5">#REF!</definedName>
    <definedName name="SUM_TAB1" localSheetId="7">#REF!</definedName>
    <definedName name="SUM_TAB1" localSheetId="8">#REF!</definedName>
    <definedName name="SUM_TAB1" localSheetId="17">#REF!</definedName>
    <definedName name="SUM_TAB1" localSheetId="20">#REF!</definedName>
    <definedName name="SUM_TAB1">#REF!</definedName>
    <definedName name="SUM_TAB2" localSheetId="1">#REF!</definedName>
    <definedName name="SUM_TAB2" localSheetId="2">#REF!</definedName>
    <definedName name="SUM_TAB2" localSheetId="3">#REF!</definedName>
    <definedName name="SUM_TAB2" localSheetId="5">#REF!</definedName>
    <definedName name="SUM_TAB2" localSheetId="7">#REF!</definedName>
    <definedName name="SUM_TAB2" localSheetId="8">#REF!</definedName>
    <definedName name="SUM_TAB2" localSheetId="17">#REF!</definedName>
    <definedName name="SUM_TAB2" localSheetId="20">#REF!</definedName>
    <definedName name="SUM_TAB2">#REF!</definedName>
    <definedName name="SUM_TAB3" localSheetId="1">#REF!</definedName>
    <definedName name="SUM_TAB3" localSheetId="2">#REF!</definedName>
    <definedName name="SUM_TAB3" localSheetId="3">#REF!</definedName>
    <definedName name="SUM_TAB3" localSheetId="5">#REF!</definedName>
    <definedName name="SUM_TAB3" localSheetId="7">#REF!</definedName>
    <definedName name="SUM_TAB3" localSheetId="8">#REF!</definedName>
    <definedName name="SUM_TAB3" localSheetId="17">#REF!</definedName>
    <definedName name="SUM_TAB3" localSheetId="20">#REF!</definedName>
    <definedName name="SUM_TAB3">#REF!</definedName>
    <definedName name="TABLE_1" localSheetId="29">#REF!</definedName>
    <definedName name="TABLE_1" localSheetId="28">#REF!</definedName>
    <definedName name="TABLE_1" localSheetId="39">#REF!</definedName>
    <definedName name="TABLE_1" localSheetId="40">#REF!</definedName>
    <definedName name="TABLE_1" localSheetId="1">#REF!</definedName>
    <definedName name="TABLE_1" localSheetId="2">#REF!</definedName>
    <definedName name="TABLE_1" localSheetId="3">#REF!</definedName>
    <definedName name="TABLE_1" localSheetId="5">#REF!</definedName>
    <definedName name="TABLE_1" localSheetId="7">#REF!</definedName>
    <definedName name="TABLE_1" localSheetId="8">#REF!</definedName>
    <definedName name="TABLE_1" localSheetId="35">#REF!</definedName>
    <definedName name="TABLE_1" localSheetId="31">#REF!</definedName>
    <definedName name="TABLE_1" localSheetId="30">#REF!</definedName>
    <definedName name="TABLE_1" localSheetId="37">#REF!</definedName>
    <definedName name="TABLE_1" localSheetId="16">#REF!</definedName>
    <definedName name="TABLE_1" localSheetId="17">#REF!</definedName>
    <definedName name="TABLE_1" localSheetId="20">#REF!</definedName>
    <definedName name="TABLE_1" localSheetId="26">#REF!</definedName>
    <definedName name="TABLE_1">#REF!</definedName>
    <definedName name="TABLE_2" localSheetId="29">#REF!</definedName>
    <definedName name="TABLE_2" localSheetId="28">#REF!</definedName>
    <definedName name="TABLE_2" localSheetId="39">#REF!</definedName>
    <definedName name="TABLE_2" localSheetId="40">#REF!</definedName>
    <definedName name="TABLE_2" localSheetId="1">#REF!</definedName>
    <definedName name="TABLE_2" localSheetId="2">#REF!</definedName>
    <definedName name="TABLE_2" localSheetId="3">#REF!</definedName>
    <definedName name="TABLE_2" localSheetId="5">#REF!</definedName>
    <definedName name="TABLE_2" localSheetId="7">#REF!</definedName>
    <definedName name="TABLE_2" localSheetId="8">#REF!</definedName>
    <definedName name="TABLE_2" localSheetId="35">#REF!</definedName>
    <definedName name="TABLE_2" localSheetId="31">#REF!</definedName>
    <definedName name="TABLE_2" localSheetId="30">#REF!</definedName>
    <definedName name="TABLE_2" localSheetId="37">#REF!</definedName>
    <definedName name="TABLE_2" localSheetId="16">#REF!</definedName>
    <definedName name="TABLE_2" localSheetId="17">#REF!</definedName>
    <definedName name="TABLE_2" localSheetId="20">#REF!</definedName>
    <definedName name="TABLE_2" localSheetId="26">#REF!</definedName>
    <definedName name="TABLE_2">#REF!</definedName>
    <definedName name="TABLE_3" localSheetId="1">#REF!</definedName>
    <definedName name="TABLE_3" localSheetId="2">#REF!</definedName>
    <definedName name="TABLE_3" localSheetId="3">#REF!</definedName>
    <definedName name="TABLE_3" localSheetId="5">#REF!</definedName>
    <definedName name="TABLE_3" localSheetId="7">#REF!</definedName>
    <definedName name="TABLE_3" localSheetId="8">#REF!</definedName>
    <definedName name="TABLE_3" localSheetId="17">#REF!</definedName>
    <definedName name="TABLE_3" localSheetId="20">#REF!</definedName>
    <definedName name="TABLE_3" localSheetId="26">#REF!</definedName>
    <definedName name="TABLE_3">#REF!</definedName>
    <definedName name="TABLE_4" localSheetId="29">#REF!</definedName>
    <definedName name="TABLE_4" localSheetId="28">#REF!</definedName>
    <definedName name="TABLE_4" localSheetId="39">#REF!</definedName>
    <definedName name="TABLE_4" localSheetId="40">#REF!</definedName>
    <definedName name="TABLE_4" localSheetId="1">#REF!</definedName>
    <definedName name="TABLE_4" localSheetId="2">#REF!</definedName>
    <definedName name="TABLE_4" localSheetId="3">#REF!</definedName>
    <definedName name="TABLE_4" localSheetId="5">#REF!</definedName>
    <definedName name="TABLE_4" localSheetId="7">#REF!</definedName>
    <definedName name="TABLE_4" localSheetId="8">#REF!</definedName>
    <definedName name="TABLE_4" localSheetId="35">#REF!</definedName>
    <definedName name="TABLE_4" localSheetId="31">#REF!</definedName>
    <definedName name="TABLE_4" localSheetId="30">#REF!</definedName>
    <definedName name="TABLE_4" localSheetId="37">#REF!</definedName>
    <definedName name="TABLE_4" localSheetId="16">#REF!</definedName>
    <definedName name="TABLE_4" localSheetId="17">#REF!</definedName>
    <definedName name="TABLE_4" localSheetId="20">#REF!</definedName>
    <definedName name="TABLE_4" localSheetId="26">#REF!</definedName>
    <definedName name="TABLE_4">#REF!</definedName>
    <definedName name="TABLE_4_A" localSheetId="1">#REF!</definedName>
    <definedName name="TABLE_4_A" localSheetId="2">#REF!</definedName>
    <definedName name="TABLE_4_A" localSheetId="3">#REF!</definedName>
    <definedName name="TABLE_4_A" localSheetId="5">#REF!</definedName>
    <definedName name="TABLE_4_A" localSheetId="7">#REF!</definedName>
    <definedName name="TABLE_4_A" localSheetId="8">#REF!</definedName>
    <definedName name="TABLE_4_A" localSheetId="17">#REF!</definedName>
    <definedName name="TABLE_4_A" localSheetId="20">#REF!</definedName>
    <definedName name="TABLE_4_A" localSheetId="26">#REF!</definedName>
    <definedName name="TABLE_4_A">#REF!</definedName>
    <definedName name="TABLE_5" localSheetId="1">#REF!</definedName>
    <definedName name="TABLE_5" localSheetId="2">#REF!</definedName>
    <definedName name="TABLE_5" localSheetId="3">#REF!</definedName>
    <definedName name="TABLE_5" localSheetId="5">#REF!</definedName>
    <definedName name="TABLE_5" localSheetId="7">#REF!</definedName>
    <definedName name="TABLE_5" localSheetId="8">#REF!</definedName>
    <definedName name="TABLE_5" localSheetId="17">#REF!</definedName>
    <definedName name="TABLE_5" localSheetId="20">#REF!</definedName>
    <definedName name="TABLE_5" localSheetId="26">#REF!</definedName>
    <definedName name="TABLE_5">#REF!</definedName>
    <definedName name="TABLE_6" localSheetId="1">#REF!</definedName>
    <definedName name="TABLE_6" localSheetId="2">#REF!</definedName>
    <definedName name="TABLE_6" localSheetId="3">#REF!</definedName>
    <definedName name="TABLE_6" localSheetId="5">#REF!</definedName>
    <definedName name="TABLE_6" localSheetId="7">#REF!</definedName>
    <definedName name="TABLE_6" localSheetId="8">#REF!</definedName>
    <definedName name="TABLE_6" localSheetId="17">#REF!</definedName>
    <definedName name="TABLE_6" localSheetId="20">#REF!</definedName>
    <definedName name="TABLE_6" localSheetId="26">#REF!</definedName>
    <definedName name="TABLE_6">#REF!</definedName>
    <definedName name="TABLE_7" localSheetId="1">#REF!</definedName>
    <definedName name="TABLE_7" localSheetId="2">#REF!</definedName>
    <definedName name="TABLE_7" localSheetId="3">#REF!</definedName>
    <definedName name="TABLE_7" localSheetId="5">#REF!</definedName>
    <definedName name="TABLE_7" localSheetId="7">#REF!</definedName>
    <definedName name="TABLE_7" localSheetId="8">#REF!</definedName>
    <definedName name="TABLE_7" localSheetId="17">#REF!</definedName>
    <definedName name="TABLE_7" localSheetId="20">#REF!</definedName>
    <definedName name="TABLE_7" localSheetId="26">#REF!</definedName>
    <definedName name="TABLE_7">#REF!</definedName>
    <definedName name="TABLE1" localSheetId="1">#REF!</definedName>
    <definedName name="TABLE1" localSheetId="2">#REF!</definedName>
    <definedName name="TABLE1" localSheetId="3">#REF!</definedName>
    <definedName name="TABLE1" localSheetId="5">#REF!</definedName>
    <definedName name="TABLE1" localSheetId="7">#REF!</definedName>
    <definedName name="TABLE1" localSheetId="8">#REF!</definedName>
    <definedName name="TABLE1" localSheetId="17">#REF!</definedName>
    <definedName name="TABLE1" localSheetId="20">#REF!</definedName>
    <definedName name="TABLE1">#REF!</definedName>
    <definedName name="TABLE2" localSheetId="1">#REF!</definedName>
    <definedName name="TABLE2" localSheetId="2">#REF!</definedName>
    <definedName name="TABLE2" localSheetId="3">#REF!</definedName>
    <definedName name="TABLE2" localSheetId="5">#REF!</definedName>
    <definedName name="TABLE2" localSheetId="7">#REF!</definedName>
    <definedName name="TABLE2" localSheetId="8">#REF!</definedName>
    <definedName name="TABLE2" localSheetId="17">#REF!</definedName>
    <definedName name="TABLE2" localSheetId="20">#REF!</definedName>
    <definedName name="TABLE2">#REF!</definedName>
    <definedName name="TABLEA" localSheetId="0">'Exh No.__(JRS-16) Table A p1'!$B$3:$AH$46</definedName>
    <definedName name="TABLEA" localSheetId="1">'Exh No.__(JRS-16) Table B p2'!$B$3:$AG$46</definedName>
    <definedName name="TABLEA" localSheetId="2">'Exh No.__(JRS-16) Table C p3'!$B$3:$AI$46</definedName>
    <definedName name="TABLEA" localSheetId="4">#REF!</definedName>
    <definedName name="TABLEA" localSheetId="3">#REF!</definedName>
    <definedName name="TABLEA" localSheetId="5">#REF!</definedName>
    <definedName name="TABLEA" localSheetId="7">#REF!</definedName>
    <definedName name="TABLEA" localSheetId="8">#REF!</definedName>
    <definedName name="TABLEA" localSheetId="35">#REF!</definedName>
    <definedName name="TABLEA" localSheetId="37">#REF!</definedName>
    <definedName name="TABLEA" localSheetId="17">'Rate Spread targets'!$B$3:$AI$46</definedName>
    <definedName name="TABLEA" localSheetId="20">#REF!</definedName>
    <definedName name="TABLEA" localSheetId="36">#REF!</definedName>
    <definedName name="TABLEA">#REF!</definedName>
    <definedName name="TABLEONE" localSheetId="1">#REF!</definedName>
    <definedName name="TABLEONE" localSheetId="2">#REF!</definedName>
    <definedName name="TABLEONE" localSheetId="4">#REF!</definedName>
    <definedName name="TABLEONE" localSheetId="3">#REF!</definedName>
    <definedName name="TABLEONE" localSheetId="5">#REF!</definedName>
    <definedName name="TABLEONE" localSheetId="7">#REF!</definedName>
    <definedName name="TABLEONE" localSheetId="8">#REF!</definedName>
    <definedName name="TABLEONE" localSheetId="17">#REF!</definedName>
    <definedName name="TABLEONE" localSheetId="20">#REF!</definedName>
    <definedName name="TABLEONE" localSheetId="26">#REF!</definedName>
    <definedName name="TABLEONE">#REF!</definedName>
    <definedName name="TargetROR" localSheetId="19">[12]Inputs!$G$29</definedName>
    <definedName name="TargetROR" localSheetId="4">[14]Inputs!$G$29</definedName>
    <definedName name="TargetROR">[13]Inputs!$G$29</definedName>
    <definedName name="TDMOD" localSheetId="1">#REF!</definedName>
    <definedName name="TDMOD" localSheetId="2">#REF!</definedName>
    <definedName name="TDMOD" localSheetId="4">#REF!</definedName>
    <definedName name="TDMOD" localSheetId="3">#REF!</definedName>
    <definedName name="TDMOD" localSheetId="5">#REF!</definedName>
    <definedName name="TDMOD" localSheetId="7">#REF!</definedName>
    <definedName name="TDMOD" localSheetId="8">#REF!</definedName>
    <definedName name="TDMOD" localSheetId="17">#REF!</definedName>
    <definedName name="TDMOD" localSheetId="20">#REF!</definedName>
    <definedName name="TDMOD" localSheetId="26">#REF!</definedName>
    <definedName name="TDMOD">#REF!</definedName>
    <definedName name="TDROLL" localSheetId="1">#REF!</definedName>
    <definedName name="TDROLL" localSheetId="2">#REF!</definedName>
    <definedName name="TDROLL" localSheetId="3">#REF!</definedName>
    <definedName name="TDROLL" localSheetId="5">#REF!</definedName>
    <definedName name="TDROLL" localSheetId="7">#REF!</definedName>
    <definedName name="TDROLL" localSheetId="8">#REF!</definedName>
    <definedName name="TDROLL" localSheetId="17">#REF!</definedName>
    <definedName name="TDROLL" localSheetId="20">#REF!</definedName>
    <definedName name="TDROLL" localSheetId="26">#REF!</definedName>
    <definedName name="TDROLL">#REF!</definedName>
    <definedName name="TEMPADJ" localSheetId="1">#REF!</definedName>
    <definedName name="TEMPADJ" localSheetId="2">#REF!</definedName>
    <definedName name="TEMPADJ" localSheetId="3">#REF!</definedName>
    <definedName name="TEMPADJ" localSheetId="5">#REF!</definedName>
    <definedName name="TEMPADJ" localSheetId="7">#REF!</definedName>
    <definedName name="TEMPADJ" localSheetId="8">#REF!</definedName>
    <definedName name="TEMPADJ" localSheetId="17">#REF!</definedName>
    <definedName name="TEMPADJ" localSheetId="20">#REF!</definedName>
    <definedName name="TEMPADJ">#REF!</definedName>
    <definedName name="Test" localSheetId="1">#REF!</definedName>
    <definedName name="Test" localSheetId="2">#REF!</definedName>
    <definedName name="Test" localSheetId="3">#REF!</definedName>
    <definedName name="Test" localSheetId="5">#REF!</definedName>
    <definedName name="Test" localSheetId="7">#REF!</definedName>
    <definedName name="Test" localSheetId="8">#REF!</definedName>
    <definedName name="Test" localSheetId="17">#REF!</definedName>
    <definedName name="Test" localSheetId="20">#REF!</definedName>
    <definedName name="Test">#REF!</definedName>
    <definedName name="Test1" localSheetId="1">#REF!</definedName>
    <definedName name="Test1" localSheetId="2">#REF!</definedName>
    <definedName name="Test1" localSheetId="3">#REF!</definedName>
    <definedName name="Test1" localSheetId="5">#REF!</definedName>
    <definedName name="Test1" localSheetId="7">#REF!</definedName>
    <definedName name="Test1" localSheetId="8">#REF!</definedName>
    <definedName name="Test1" localSheetId="17">#REF!</definedName>
    <definedName name="Test1" localSheetId="20">#REF!</definedName>
    <definedName name="Test1">#REF!</definedName>
    <definedName name="Test2" localSheetId="1">#REF!</definedName>
    <definedName name="Test2" localSheetId="2">#REF!</definedName>
    <definedName name="Test2" localSheetId="3">#REF!</definedName>
    <definedName name="Test2" localSheetId="5">#REF!</definedName>
    <definedName name="Test2" localSheetId="7">#REF!</definedName>
    <definedName name="Test2" localSheetId="8">#REF!</definedName>
    <definedName name="Test2" localSheetId="17">#REF!</definedName>
    <definedName name="Test2" localSheetId="20">#REF!</definedName>
    <definedName name="Test2">#REF!</definedName>
    <definedName name="Test3" localSheetId="1">#REF!</definedName>
    <definedName name="Test3" localSheetId="2">#REF!</definedName>
    <definedName name="Test3" localSheetId="3">#REF!</definedName>
    <definedName name="Test3" localSheetId="5">#REF!</definedName>
    <definedName name="Test3" localSheetId="7">#REF!</definedName>
    <definedName name="Test3" localSheetId="8">#REF!</definedName>
    <definedName name="Test3" localSheetId="17">#REF!</definedName>
    <definedName name="Test3" localSheetId="20">#REF!</definedName>
    <definedName name="Test3">#REF!</definedName>
    <definedName name="Test4" localSheetId="1">#REF!</definedName>
    <definedName name="Test4" localSheetId="2">#REF!</definedName>
    <definedName name="Test4" localSheetId="3">#REF!</definedName>
    <definedName name="Test4" localSheetId="5">#REF!</definedName>
    <definedName name="Test4" localSheetId="7">#REF!</definedName>
    <definedName name="Test4" localSheetId="8">#REF!</definedName>
    <definedName name="Test4" localSheetId="17">#REF!</definedName>
    <definedName name="Test4" localSheetId="20">#REF!</definedName>
    <definedName name="Test4">#REF!</definedName>
    <definedName name="Test5" localSheetId="1">#REF!</definedName>
    <definedName name="Test5" localSheetId="2">#REF!</definedName>
    <definedName name="Test5" localSheetId="3">#REF!</definedName>
    <definedName name="Test5" localSheetId="5">#REF!</definedName>
    <definedName name="Test5" localSheetId="7">#REF!</definedName>
    <definedName name="Test5" localSheetId="8">#REF!</definedName>
    <definedName name="Test5" localSheetId="17">#REF!</definedName>
    <definedName name="Test5" localSheetId="20">#REF!</definedName>
    <definedName name="Test5">#REF!</definedName>
    <definedName name="TestPeriod" localSheetId="19">[12]Inputs!$C$5</definedName>
    <definedName name="TestPeriod" localSheetId="4">[14]Inputs!$C$5</definedName>
    <definedName name="TestPeriod">[15]Inputs!$C$5</definedName>
    <definedName name="TotalRateBase" localSheetId="19">'[12]G+T+D+R+M'!$H$58</definedName>
    <definedName name="TotalRateBase" localSheetId="4">'[14]G+T+D+R+M'!$H$58</definedName>
    <definedName name="TotalRateBase">'[15]G+T+D+R+M'!$H$58</definedName>
    <definedName name="TRANSM_2" localSheetId="26">[39]Transm2!$A$1:$M$461:'[39]10 Yr FC'!$M$47</definedName>
    <definedName name="TRANSM_2">[39]Transm2!$A$1:$M$461:'[39]10 Yr FC'!$M$47</definedName>
    <definedName name="UAACT115S" localSheetId="1">'[18]Functional Study'!#REF!</definedName>
    <definedName name="UAACT115S" localSheetId="2">'[18]Functional Study'!#REF!</definedName>
    <definedName name="UAACT115S" localSheetId="3">'[18]Functional Study'!#REF!</definedName>
    <definedName name="UAACT115S" localSheetId="5">'[18]Functional Study'!#REF!</definedName>
    <definedName name="UAACT115S" localSheetId="7">'[18]Functional Study'!#REF!</definedName>
    <definedName name="UAACT115S" localSheetId="8">'[18]Functional Study'!#REF!</definedName>
    <definedName name="UAACT115S" localSheetId="17">'[18]Functional Study'!#REF!</definedName>
    <definedName name="UAACT115S" localSheetId="20">'[18]Functional Study'!#REF!</definedName>
    <definedName name="UAACT115S" localSheetId="36">'[19]Functional Study'!#REF!</definedName>
    <definedName name="UAACT115S">'[18]Functional Study'!#REF!</definedName>
    <definedName name="UAcct103" localSheetId="19">'[12]Func Study'!$AB$1613</definedName>
    <definedName name="UAcct103" localSheetId="4">'[14]Func Study'!$AB$1613</definedName>
    <definedName name="UAcct103">'[15]Func Study'!$AB$1613</definedName>
    <definedName name="UAcct105Dnpg" localSheetId="19">'[12]Func Study'!$AB$2010</definedName>
    <definedName name="UAcct105Dnpg" localSheetId="4">'[14]Func Study'!$AB$2010</definedName>
    <definedName name="UAcct105Dnpg">'[15]Func Study'!$AB$2010</definedName>
    <definedName name="UAcct105S" localSheetId="19">'[12]Func Study'!$AB$2005</definedName>
    <definedName name="UAcct105S" localSheetId="4">'[14]Func Study'!$AB$2005</definedName>
    <definedName name="UAcct105S">'[15]Func Study'!$AB$2005</definedName>
    <definedName name="UAcct105Seu" localSheetId="19">'[12]Func Study'!$AB$2009</definedName>
    <definedName name="UAcct105Seu" localSheetId="4">'[14]Func Study'!$AB$2009</definedName>
    <definedName name="UAcct105Seu">'[15]Func Study'!$AB$2009</definedName>
    <definedName name="UAcct105Snppo" localSheetId="19">'[12]Func Study'!$AB$2008</definedName>
    <definedName name="UAcct105Snppo" localSheetId="4">'[14]Func Study'!$AB$2008</definedName>
    <definedName name="UAcct105Snppo">'[15]Func Study'!$AB$2008</definedName>
    <definedName name="UAcct105Snpps" localSheetId="19">'[12]Func Study'!$AB$2006</definedName>
    <definedName name="UAcct105Snpps" localSheetId="4">'[14]Func Study'!$AB$2006</definedName>
    <definedName name="UAcct105Snpps">'[15]Func Study'!$AB$2006</definedName>
    <definedName name="UAcct105Snpt" localSheetId="19">'[12]Func Study'!$AB$2007</definedName>
    <definedName name="UAcct105Snpt" localSheetId="4">'[14]Func Study'!$AB$2007</definedName>
    <definedName name="UAcct105Snpt">'[15]Func Study'!$AB$2007</definedName>
    <definedName name="UAcct1081390" localSheetId="19">'[12]Func Study'!$AB$2451</definedName>
    <definedName name="UAcct1081390" localSheetId="4">'[14]Func Study'!$AB$2451</definedName>
    <definedName name="UAcct1081390">'[15]Func Study'!$AB$2451</definedName>
    <definedName name="UAcct1081390Rcl" localSheetId="19">'[12]Func Study'!$AB$2450</definedName>
    <definedName name="UAcct1081390Rcl" localSheetId="4">'[14]Func Study'!$AB$2450</definedName>
    <definedName name="UAcct1081390Rcl">'[15]Func Study'!$AB$2450</definedName>
    <definedName name="UAcct1081399" localSheetId="19">'[12]Func Study'!$AB$2459</definedName>
    <definedName name="UAcct1081399" localSheetId="4">'[14]Func Study'!$AB$2459</definedName>
    <definedName name="UAcct1081399">'[15]Func Study'!$AB$2459</definedName>
    <definedName name="UAcct1081399Rcl" localSheetId="19">'[12]Func Study'!$AB$2458</definedName>
    <definedName name="UAcct1081399Rcl" localSheetId="4">'[14]Func Study'!$AB$2458</definedName>
    <definedName name="UAcct1081399Rcl">'[15]Func Study'!$AB$2458</definedName>
    <definedName name="UAcct108360" localSheetId="19">'[12]Func Study'!$AB$2355</definedName>
    <definedName name="UAcct108360" localSheetId="4">'[14]Func Study'!$AB$2355</definedName>
    <definedName name="UAcct108360">'[15]Func Study'!$AB$2355</definedName>
    <definedName name="UAcct108361" localSheetId="19">'[12]Func Study'!$AB$2359</definedName>
    <definedName name="UAcct108361" localSheetId="4">'[14]Func Study'!$AB$2359</definedName>
    <definedName name="UAcct108361">'[15]Func Study'!$AB$2359</definedName>
    <definedName name="UAcct108362" localSheetId="19">'[12]Func Study'!$AB$2363</definedName>
    <definedName name="UAcct108362" localSheetId="4">'[14]Func Study'!$AB$2363</definedName>
    <definedName name="UAcct108362">'[15]Func Study'!$AB$2363</definedName>
    <definedName name="UAcct108364" localSheetId="19">'[12]Func Study'!$AB$2367</definedName>
    <definedName name="UAcct108364" localSheetId="4">'[14]Func Study'!$AB$2367</definedName>
    <definedName name="UAcct108364">'[15]Func Study'!$AB$2367</definedName>
    <definedName name="UAcct108365" localSheetId="19">'[12]Func Study'!$AB$2371</definedName>
    <definedName name="UAcct108365" localSheetId="4">'[14]Func Study'!$AB$2371</definedName>
    <definedName name="UAcct108365">'[15]Func Study'!$AB$2371</definedName>
    <definedName name="UAcct108366" localSheetId="19">'[12]Func Study'!$AB$2375</definedName>
    <definedName name="UAcct108366" localSheetId="4">'[14]Func Study'!$AB$2375</definedName>
    <definedName name="UAcct108366">'[15]Func Study'!$AB$2375</definedName>
    <definedName name="UAcct108367" localSheetId="19">'[12]Func Study'!$AB$2379</definedName>
    <definedName name="UAcct108367" localSheetId="4">'[14]Func Study'!$AB$2379</definedName>
    <definedName name="UAcct108367">'[15]Func Study'!$AB$2379</definedName>
    <definedName name="UAcct108368" localSheetId="19">'[12]Func Study'!$AB$2383</definedName>
    <definedName name="UAcct108368" localSheetId="4">'[14]Func Study'!$AB$2383</definedName>
    <definedName name="UAcct108368">'[15]Func Study'!$AB$2383</definedName>
    <definedName name="UAcct108369" localSheetId="19">'[12]Func Study'!$AB$2387</definedName>
    <definedName name="UAcct108369" localSheetId="4">'[14]Func Study'!$AB$2387</definedName>
    <definedName name="UAcct108369">'[15]Func Study'!$AB$2387</definedName>
    <definedName name="UAcct108370" localSheetId="19">'[12]Func Study'!$AB$2391</definedName>
    <definedName name="UAcct108370" localSheetId="4">'[14]Func Study'!$AB$2391</definedName>
    <definedName name="UAcct108370">'[15]Func Study'!$AB$2391</definedName>
    <definedName name="UAcct108371" localSheetId="19">'[12]Func Study'!$AB$2395</definedName>
    <definedName name="UAcct108371" localSheetId="4">'[14]Func Study'!$AB$2395</definedName>
    <definedName name="UAcct108371">'[15]Func Study'!$AB$2395</definedName>
    <definedName name="UAcct108372" localSheetId="19">'[12]Func Study'!$AB$2399</definedName>
    <definedName name="UAcct108372" localSheetId="4">'[14]Func Study'!$AB$2399</definedName>
    <definedName name="UAcct108372">'[15]Func Study'!$AB$2399</definedName>
    <definedName name="UAcct108373" localSheetId="19">'[12]Func Study'!$AB$2403</definedName>
    <definedName name="UAcct108373" localSheetId="4">'[14]Func Study'!$AB$2403</definedName>
    <definedName name="UAcct108373">'[15]Func Study'!$AB$2403</definedName>
    <definedName name="UAcct108D" localSheetId="19">'[12]Func Study'!$AB$2415</definedName>
    <definedName name="UAcct108D" localSheetId="4">'[14]Func Study'!$AB$2415</definedName>
    <definedName name="UAcct108D">'[15]Func Study'!$AB$2415</definedName>
    <definedName name="UAcct108D00" localSheetId="19">'[12]Func Study'!$AB$2407</definedName>
    <definedName name="UAcct108D00" localSheetId="4">'[14]Func Study'!$AB$2407</definedName>
    <definedName name="UAcct108D00">'[15]Func Study'!$AB$2407</definedName>
    <definedName name="UAcct108Ds" localSheetId="19">'[12]Func Study'!$AB$2411</definedName>
    <definedName name="UAcct108Ds" localSheetId="4">'[14]Func Study'!$AB$2411</definedName>
    <definedName name="UAcct108Ds">'[15]Func Study'!$AB$2411</definedName>
    <definedName name="UAcct108Ep" localSheetId="19">'[12]Func Study'!$AB$2327</definedName>
    <definedName name="UAcct108Ep" localSheetId="4">'[14]Func Study'!$AB$2327</definedName>
    <definedName name="UAcct108Ep">'[15]Func Study'!$AB$2327</definedName>
    <definedName name="UAcct108Gpcn" localSheetId="19">'[12]Func Study'!$AB$2429</definedName>
    <definedName name="UAcct108Gpcn" localSheetId="4">'[14]Func Study'!$AB$2429</definedName>
    <definedName name="UAcct108Gpcn">'[15]Func Study'!$AB$2429</definedName>
    <definedName name="UAcct108Gps" localSheetId="19">'[12]Func Study'!$AB$2425</definedName>
    <definedName name="UAcct108Gps" localSheetId="4">'[14]Func Study'!$AB$2425</definedName>
    <definedName name="UAcct108Gps">'[15]Func Study'!$AB$2425</definedName>
    <definedName name="UAcct108Gpse" localSheetId="19">'[12]Func Study'!$AB$2431</definedName>
    <definedName name="UAcct108Gpse" localSheetId="4">'[14]Func Study'!$AB$2431</definedName>
    <definedName name="UAcct108Gpse">'[15]Func Study'!$AB$2431</definedName>
    <definedName name="UAcct108Gpsg" localSheetId="19">'[12]Func Study'!$AB$2428</definedName>
    <definedName name="UAcct108Gpsg" localSheetId="4">'[14]Func Study'!$AB$2428</definedName>
    <definedName name="UAcct108Gpsg">'[15]Func Study'!$AB$2428</definedName>
    <definedName name="UAcct108Gpsgp" localSheetId="19">'[12]Func Study'!$AB$2426</definedName>
    <definedName name="UAcct108Gpsgp" localSheetId="4">'[14]Func Study'!$AB$2426</definedName>
    <definedName name="UAcct108Gpsgp">'[15]Func Study'!$AB$2426</definedName>
    <definedName name="UAcct108Gpsgu" localSheetId="19">'[12]Func Study'!$AB$2427</definedName>
    <definedName name="UAcct108Gpsgu" localSheetId="4">'[14]Func Study'!$AB$2427</definedName>
    <definedName name="UAcct108Gpsgu">'[15]Func Study'!$AB$2427</definedName>
    <definedName name="UAcct108Gpso" localSheetId="19">'[12]Func Study'!$AB$2430</definedName>
    <definedName name="UAcct108Gpso" localSheetId="4">'[14]Func Study'!$AB$2430</definedName>
    <definedName name="UAcct108Gpso">'[15]Func Study'!$AB$2430</definedName>
    <definedName name="UACCT108GPSSGCH" localSheetId="19">'[12]Func Study'!$AB$2434</definedName>
    <definedName name="UACCT108GPSSGCH" localSheetId="4">'[14]Func Study'!$AB$2434</definedName>
    <definedName name="UACCT108GPSSGCH">'[15]Func Study'!$AB$2434</definedName>
    <definedName name="UACCT108GPSSGCT" localSheetId="19">'[12]Func Study'!$AB$2433</definedName>
    <definedName name="UACCT108GPSSGCT" localSheetId="4">'[14]Func Study'!$AB$2433</definedName>
    <definedName name="UACCT108GPSSGCT">'[15]Func Study'!$AB$2433</definedName>
    <definedName name="UAcct108Hp" localSheetId="19">'[12]Func Study'!$AB$2313</definedName>
    <definedName name="UAcct108Hp" localSheetId="4">'[14]Func Study'!$AB$2313</definedName>
    <definedName name="UAcct108Hp">'[15]Func Study'!$AB$2313</definedName>
    <definedName name="UAcct108Mp" localSheetId="19">'[12]Func Study'!$AB$2444</definedName>
    <definedName name="UAcct108Mp" localSheetId="4">'[14]Func Study'!$AB$2444</definedName>
    <definedName name="UAcct108Mp">'[15]Func Study'!$AB$2444</definedName>
    <definedName name="UAcct108Np" localSheetId="19">'[12]Func Study'!$AB$2305</definedName>
    <definedName name="UAcct108Np" localSheetId="4">'[14]Func Study'!$AB$2305</definedName>
    <definedName name="UAcct108Np">'[15]Func Study'!$AB$2305</definedName>
    <definedName name="UAcct108Op" localSheetId="19">'[12]Func Study'!$AB$2322</definedName>
    <definedName name="UAcct108Op" localSheetId="4">'[14]Func Study'!$AB$2322</definedName>
    <definedName name="UAcct108Op">'[15]Func Study'!$AB$2322</definedName>
    <definedName name="UACCT108OPSSCCT" localSheetId="19">'[12]Func Study'!$AB$2321</definedName>
    <definedName name="UACCT108OPSSCCT" localSheetId="4">'[14]Func Study'!$AB$2321</definedName>
    <definedName name="UACCT108OPSSCCT">'[15]Func Study'!$AB$2321</definedName>
    <definedName name="UAcct108Sp" localSheetId="19">'[12]Func Study'!$AB$2299</definedName>
    <definedName name="UAcct108Sp" localSheetId="4">'[14]Func Study'!$AB$2299</definedName>
    <definedName name="UAcct108Sp">'[15]Func Study'!$AB$2299</definedName>
    <definedName name="UACCT108SPSSGCH" localSheetId="19">'[12]Func Study'!$AB$2298</definedName>
    <definedName name="UACCT108SPSSGCH" localSheetId="4">'[14]Func Study'!$AB$2298</definedName>
    <definedName name="UACCT108SPSSGCH">'[15]Func Study'!$AB$2298</definedName>
    <definedName name="UAcct108Tp" localSheetId="19">'[12]Func Study'!$AB$2346</definedName>
    <definedName name="UAcct108Tp" localSheetId="4">'[14]Func Study'!$AB$2346</definedName>
    <definedName name="UAcct108Tp">'[15]Func Study'!$AB$2346</definedName>
    <definedName name="UAcct111Clg" localSheetId="19">'[12]Func Study'!$AB$2487</definedName>
    <definedName name="UAcct111Clg" localSheetId="4">'[14]Func Study'!$AB$2487</definedName>
    <definedName name="UAcct111Clg">'[15]Func Study'!$AB$2487</definedName>
    <definedName name="UAcct111Clgsou" localSheetId="19">'[12]Func Study'!$AB$2485</definedName>
    <definedName name="UAcct111Clgsou" localSheetId="4">'[14]Func Study'!$AB$2485</definedName>
    <definedName name="UAcct111Clgsou">'[15]Func Study'!$AB$2485</definedName>
    <definedName name="UAcct111Clh" localSheetId="19">'[12]Func Study'!$AB$2493</definedName>
    <definedName name="UAcct111Clh" localSheetId="4">'[14]Func Study'!$AB$2493</definedName>
    <definedName name="UAcct111Clh">'[15]Func Study'!$AB$2493</definedName>
    <definedName name="UAcct111Cls" localSheetId="19">'[12]Func Study'!$AB$2478</definedName>
    <definedName name="UAcct111Cls" localSheetId="4">'[14]Func Study'!$AB$2478</definedName>
    <definedName name="UAcct111Cls">'[15]Func Study'!$AB$2478</definedName>
    <definedName name="UAcct111Ipcn" localSheetId="19">'[12]Func Study'!$AB$2502</definedName>
    <definedName name="UAcct111Ipcn" localSheetId="4">'[14]Func Study'!$AB$2502</definedName>
    <definedName name="UAcct111Ipcn">'[15]Func Study'!$AB$2502</definedName>
    <definedName name="UAcct111Ips" localSheetId="19">'[12]Func Study'!$AB$2497</definedName>
    <definedName name="UAcct111Ips" localSheetId="4">'[14]Func Study'!$AB$2497</definedName>
    <definedName name="UAcct111Ips">'[15]Func Study'!$AB$2497</definedName>
    <definedName name="UAcct111Ipse" localSheetId="19">'[12]Func Study'!$AB$2500</definedName>
    <definedName name="UAcct111Ipse" localSheetId="4">'[14]Func Study'!$AB$2500</definedName>
    <definedName name="UAcct111Ipse">'[15]Func Study'!$AB$2500</definedName>
    <definedName name="UAcct111Ipsg" localSheetId="19">'[12]Func Study'!$AB$2501</definedName>
    <definedName name="UAcct111Ipsg" localSheetId="4">'[14]Func Study'!$AB$2501</definedName>
    <definedName name="UAcct111Ipsg">'[15]Func Study'!$AB$2501</definedName>
    <definedName name="UAcct111Ipsgp" localSheetId="19">'[12]Func Study'!$AB$2498</definedName>
    <definedName name="UAcct111Ipsgp" localSheetId="4">'[14]Func Study'!$AB$2498</definedName>
    <definedName name="UAcct111Ipsgp">'[15]Func Study'!$AB$2498</definedName>
    <definedName name="UAcct111Ipsgu" localSheetId="19">'[12]Func Study'!$AB$2499</definedName>
    <definedName name="UAcct111Ipsgu" localSheetId="4">'[14]Func Study'!$AB$2499</definedName>
    <definedName name="UAcct111Ipsgu">'[15]Func Study'!$AB$2499</definedName>
    <definedName name="UAcct111Ipso" localSheetId="19">'[12]Func Study'!$AB$2506</definedName>
    <definedName name="UAcct111Ipso" localSheetId="4">'[14]Func Study'!$AB$2506</definedName>
    <definedName name="UAcct111Ipso">'[15]Func Study'!$AB$2506</definedName>
    <definedName name="UACCT111IPSSGCH" localSheetId="19">'[12]Func Study'!$AB$2505</definedName>
    <definedName name="UACCT111IPSSGCH" localSheetId="4">'[14]Func Study'!$AB$2505</definedName>
    <definedName name="UACCT111IPSSGCH">'[15]Func Study'!$AB$2505</definedName>
    <definedName name="UACCT111IPSSGCT" localSheetId="19">'[12]Func Study'!$AB$2504</definedName>
    <definedName name="UACCT111IPSSGCT" localSheetId="4">'[14]Func Study'!$AB$2504</definedName>
    <definedName name="UACCT111IPSSGCT">'[15]Func Study'!$AB$2504</definedName>
    <definedName name="UAcct114" localSheetId="19">'[12]Func Study'!$AB$2017</definedName>
    <definedName name="UAcct114" localSheetId="4">'[14]Func Study'!$AB$2017</definedName>
    <definedName name="UAcct114">'[15]Func Study'!$AB$2017</definedName>
    <definedName name="UACCT115" localSheetId="1">'[18]Functional Study'!#REF!</definedName>
    <definedName name="UACCT115" localSheetId="2">'[18]Functional Study'!#REF!</definedName>
    <definedName name="UACCT115" localSheetId="4">'[18]Functional Study'!#REF!</definedName>
    <definedName name="UACCT115" localSheetId="3">'[18]Functional Study'!#REF!</definedName>
    <definedName name="UACCT115" localSheetId="5">'[18]Functional Study'!#REF!</definedName>
    <definedName name="UACCT115" localSheetId="7">'[18]Functional Study'!#REF!</definedName>
    <definedName name="UACCT115" localSheetId="8">'[18]Functional Study'!#REF!</definedName>
    <definedName name="UACCT115" localSheetId="37">'[18]Functional Study'!#REF!</definedName>
    <definedName name="UACCT115" localSheetId="17">'[18]Functional Study'!#REF!</definedName>
    <definedName name="UACCT115" localSheetId="20">'[18]Functional Study'!#REF!</definedName>
    <definedName name="UACCT115" localSheetId="36">'[19]Functional Study'!#REF!</definedName>
    <definedName name="UACCT115">'[18]Functional Study'!#REF!</definedName>
    <definedName name="UACCT115DGP" localSheetId="1">'[18]Functional Study'!#REF!</definedName>
    <definedName name="UACCT115DGP" localSheetId="2">'[18]Functional Study'!#REF!</definedName>
    <definedName name="UACCT115DGP" localSheetId="4">'[18]Functional Study'!#REF!</definedName>
    <definedName name="UACCT115DGP" localSheetId="3">'[18]Functional Study'!#REF!</definedName>
    <definedName name="UACCT115DGP" localSheetId="5">'[18]Functional Study'!#REF!</definedName>
    <definedName name="UACCT115DGP" localSheetId="7">'[18]Functional Study'!#REF!</definedName>
    <definedName name="UACCT115DGP" localSheetId="8">'[18]Functional Study'!#REF!</definedName>
    <definedName name="UACCT115DGP" localSheetId="17">'[18]Functional Study'!#REF!</definedName>
    <definedName name="UACCT115DGP" localSheetId="20">'[18]Functional Study'!#REF!</definedName>
    <definedName name="UACCT115DGP" localSheetId="36">'[19]Functional Study'!#REF!</definedName>
    <definedName name="UACCT115DGP">'[18]Functional Study'!#REF!</definedName>
    <definedName name="UACCT115SG" localSheetId="1">'[18]Functional Study'!#REF!</definedName>
    <definedName name="UACCT115SG" localSheetId="2">'[18]Functional Study'!#REF!</definedName>
    <definedName name="UACCT115SG" localSheetId="3">'[18]Functional Study'!#REF!</definedName>
    <definedName name="UACCT115SG" localSheetId="5">'[18]Functional Study'!#REF!</definedName>
    <definedName name="UACCT115SG" localSheetId="7">'[18]Functional Study'!#REF!</definedName>
    <definedName name="UACCT115SG" localSheetId="8">'[18]Functional Study'!#REF!</definedName>
    <definedName name="UACCT115SG" localSheetId="17">'[18]Functional Study'!#REF!</definedName>
    <definedName name="UACCT115SG" localSheetId="20">'[18]Functional Study'!#REF!</definedName>
    <definedName name="UACCT115SG" localSheetId="36">'[19]Functional Study'!#REF!</definedName>
    <definedName name="UACCT115SG">'[18]Functional Study'!#REF!</definedName>
    <definedName name="UAcct120" localSheetId="19">'[12]Func Study'!$AB$2021</definedName>
    <definedName name="UAcct120" localSheetId="4">'[14]Func Study'!$AB$2021</definedName>
    <definedName name="UAcct120">'[15]Func Study'!$AB$2021</definedName>
    <definedName name="UAcct124" localSheetId="19">'[12]Func Study'!$AB$2026</definedName>
    <definedName name="UAcct124" localSheetId="4">'[14]Func Study'!$AB$2026</definedName>
    <definedName name="UAcct124">'[15]Func Study'!$AB$2026</definedName>
    <definedName name="UAcct141" localSheetId="19">'[12]Func Study'!$AB$2173</definedName>
    <definedName name="UAcct141" localSheetId="4">'[14]Func Study'!$AB$2173</definedName>
    <definedName name="UAcct141">'[15]Func Study'!$AB$2173</definedName>
    <definedName name="UAcct151" localSheetId="19">'[12]Func Study'!$AB$2049</definedName>
    <definedName name="UAcct151" localSheetId="4">'[14]Func Study'!$AB$2049</definedName>
    <definedName name="UAcct151">'[15]Func Study'!$AB$2049</definedName>
    <definedName name="Uacct151SSECT" localSheetId="19">'[12]Func Study'!$AB$2047</definedName>
    <definedName name="Uacct151SSECT" localSheetId="4">'[14]Func Study'!$AB$2047</definedName>
    <definedName name="Uacct151SSECT">'[15]Func Study'!$AB$2047</definedName>
    <definedName name="UAcct154" localSheetId="19">'[12]Func Study'!$AB$2083</definedName>
    <definedName name="UAcct154" localSheetId="4">'[14]Func Study'!$AB$2083</definedName>
    <definedName name="UAcct154">'[15]Func Study'!$AB$2083</definedName>
    <definedName name="Uacct154SSGCT" localSheetId="19">'[12]Func Study'!$AB$2080</definedName>
    <definedName name="Uacct154SSGCT" localSheetId="4">'[14]Func Study'!$AB$2080</definedName>
    <definedName name="Uacct154SSGCT">'[15]Func Study'!$AB$2080</definedName>
    <definedName name="UAcct163" localSheetId="19">'[12]Func Study'!$AB$2093</definedName>
    <definedName name="UAcct163" localSheetId="4">'[14]Func Study'!$AB$2093</definedName>
    <definedName name="UAcct163">'[15]Func Study'!$AB$2093</definedName>
    <definedName name="UAcct165" localSheetId="19">'[12]Func Study'!$AB$2108</definedName>
    <definedName name="UAcct165" localSheetId="4">'[14]Func Study'!$AB$2108</definedName>
    <definedName name="UAcct165">'[15]Func Study'!$AB$2108</definedName>
    <definedName name="UAcct165Gps" localSheetId="19">'[12]Func Study'!$AB$2104</definedName>
    <definedName name="UAcct165Gps" localSheetId="4">'[14]Func Study'!$AB$2104</definedName>
    <definedName name="UAcct165Gps">'[15]Func Study'!$AB$2104</definedName>
    <definedName name="UAcct182" localSheetId="19">'[12]Func Study'!$AB$2033</definedName>
    <definedName name="UAcct182" localSheetId="4">'[14]Func Study'!$AB$2033</definedName>
    <definedName name="UAcct182">'[15]Func Study'!$AB$2033</definedName>
    <definedName name="UAcct18222" localSheetId="19">'[12]Func Study'!$AB$2163</definedName>
    <definedName name="UAcct18222" localSheetId="4">'[14]Func Study'!$AB$2163</definedName>
    <definedName name="UAcct18222">'[15]Func Study'!$AB$2163</definedName>
    <definedName name="UAcct182M" localSheetId="19">'[12]Func Study'!$AB$2118</definedName>
    <definedName name="UAcct182M" localSheetId="4">'[14]Func Study'!$AB$2118</definedName>
    <definedName name="UAcct182M">'[15]Func Study'!$AB$2118</definedName>
    <definedName name="UAcct182MSSGCH" localSheetId="19">'[12]Func Study'!$AB$2113</definedName>
    <definedName name="UAcct182MSSGCH" localSheetId="4">'[14]Func Study'!$AB$2113</definedName>
    <definedName name="UAcct182MSSGCH">'[15]Func Study'!$AB$2113</definedName>
    <definedName name="UAcct186" localSheetId="19">'[12]Func Study'!$AB$2041</definedName>
    <definedName name="UAcct186" localSheetId="4">'[14]Func Study'!$AB$2041</definedName>
    <definedName name="UAcct186">'[15]Func Study'!$AB$2041</definedName>
    <definedName name="UAcct1869" localSheetId="19">'[12]Func Study'!$AB$2168</definedName>
    <definedName name="UAcct1869" localSheetId="4">'[14]Func Study'!$AB$2168</definedName>
    <definedName name="UAcct1869">'[15]Func Study'!$AB$2168</definedName>
    <definedName name="UAcct186M" localSheetId="19">'[12]Func Study'!$AB$2129</definedName>
    <definedName name="UAcct186M" localSheetId="4">'[14]Func Study'!$AB$2129</definedName>
    <definedName name="UAcct186M">'[15]Func Study'!$AB$2129</definedName>
    <definedName name="UAcct190" localSheetId="19">'[12]Func Study'!$AB$2243</definedName>
    <definedName name="UAcct190" localSheetId="4">'[14]Func Study'!$AB$2243</definedName>
    <definedName name="UAcct190">'[15]Func Study'!$AB$2243</definedName>
    <definedName name="UAcct190Baddebt" localSheetId="19">'[12]Func Study'!$AB$2237</definedName>
    <definedName name="UAcct190Baddebt" localSheetId="4">'[14]Func Study'!$AB$2237</definedName>
    <definedName name="UAcct190Baddebt">'[15]Func Study'!$AB$2237</definedName>
    <definedName name="UAcct190Dop" localSheetId="19">'[12]Func Study'!$AB$2235</definedName>
    <definedName name="UAcct190Dop" localSheetId="4">'[14]Func Study'!$AB$2235</definedName>
    <definedName name="UAcct190Dop">'[15]Func Study'!$AB$2235</definedName>
    <definedName name="UAcct2281" localSheetId="19">'[12]Func Study'!$AB$2191</definedName>
    <definedName name="UAcct2281" localSheetId="4">'[14]Func Study'!$AB$2191</definedName>
    <definedName name="UAcct2281">'[15]Func Study'!$AB$2191</definedName>
    <definedName name="UAcct2282" localSheetId="19">'[12]Func Study'!$AB$2195</definedName>
    <definedName name="UAcct2282" localSheetId="4">'[14]Func Study'!$AB$2195</definedName>
    <definedName name="UAcct2282">'[15]Func Study'!$AB$2195</definedName>
    <definedName name="UAcct2283" localSheetId="19">'[12]Func Study'!$AB$2200</definedName>
    <definedName name="UAcct2283" localSheetId="4">'[14]Func Study'!$AB$2200</definedName>
    <definedName name="UAcct2283">'[15]Func Study'!$AB$2200</definedName>
    <definedName name="UACCT22841SG" localSheetId="19">'[12]Func Study'!$AB$2205</definedName>
    <definedName name="UACCT22841SG" localSheetId="4">'[14]Func Study'!$AB$2205</definedName>
    <definedName name="UACCT22841SG">'[15]Func Study'!$AB$2205</definedName>
    <definedName name="UAcct22842" localSheetId="19">'[12]Func Study'!$AB$2211</definedName>
    <definedName name="UAcct22842" localSheetId="4">'[14]Func Study'!$AB$2211</definedName>
    <definedName name="UAcct22842">'[15]Func Study'!$AB$2211</definedName>
    <definedName name="UAcct22842Trojd" localSheetId="1">'[13]Func Study'!#REF!</definedName>
    <definedName name="UAcct22842Trojd" localSheetId="2">'[13]Func Study'!#REF!</definedName>
    <definedName name="UAcct22842Trojd" localSheetId="4">'[13]Func Study'!#REF!</definedName>
    <definedName name="UAcct22842Trojd" localSheetId="3">'[13]Func Study'!#REF!</definedName>
    <definedName name="UAcct22842Trojd" localSheetId="5">'[13]Func Study'!#REF!</definedName>
    <definedName name="UAcct22842Trojd" localSheetId="7">'[13]Func Study'!#REF!</definedName>
    <definedName name="UAcct22842Trojd" localSheetId="8">'[13]Func Study'!#REF!</definedName>
    <definedName name="UAcct22842Trojd" localSheetId="37">'[13]Func Study'!#REF!</definedName>
    <definedName name="UAcct22842Trojd" localSheetId="17">'[13]Func Study'!#REF!</definedName>
    <definedName name="UAcct22842Trojd" localSheetId="20">'[13]Func Study'!#REF!</definedName>
    <definedName name="UAcct22842Trojd" localSheetId="36">'[13]Func Study'!#REF!</definedName>
    <definedName name="UAcct22842Trojd">'[13]Func Study'!#REF!</definedName>
    <definedName name="UAcct235" localSheetId="19">'[12]Func Study'!$AB$2187</definedName>
    <definedName name="UAcct235" localSheetId="4">'[14]Func Study'!$AB$2187</definedName>
    <definedName name="UAcct235">'[15]Func Study'!$AB$2187</definedName>
    <definedName name="UACCT235CN" localSheetId="19">'[12]Func Study'!$AB$2186</definedName>
    <definedName name="UACCT235CN" localSheetId="4">'[14]Func Study'!$AB$2186</definedName>
    <definedName name="UACCT235CN">'[15]Func Study'!$AB$2186</definedName>
    <definedName name="UAcct252" localSheetId="19">'[12]Func Study'!$AB$2219</definedName>
    <definedName name="UAcct252" localSheetId="4">'[14]Func Study'!$AB$2219</definedName>
    <definedName name="UAcct252">'[15]Func Study'!$AB$2219</definedName>
    <definedName name="UAcct25316" localSheetId="19">'[12]Func Study'!$AB$2057</definedName>
    <definedName name="UAcct25316" localSheetId="4">'[14]Func Study'!$AB$2057</definedName>
    <definedName name="UAcct25316">'[15]Func Study'!$AB$2057</definedName>
    <definedName name="UAcct25317" localSheetId="19">'[12]Func Study'!$AB$2061</definedName>
    <definedName name="UAcct25317" localSheetId="4">'[14]Func Study'!$AB$2061</definedName>
    <definedName name="UAcct25317">'[15]Func Study'!$AB$2061</definedName>
    <definedName name="UAcct25318" localSheetId="19">'[12]Func Study'!$AB$2098</definedName>
    <definedName name="UAcct25318" localSheetId="4">'[14]Func Study'!$AB$2098</definedName>
    <definedName name="UAcct25318">'[15]Func Study'!$AB$2098</definedName>
    <definedName name="UAcct25319" localSheetId="19">'[12]Func Study'!$AB$2065</definedName>
    <definedName name="UAcct25319" localSheetId="4">'[14]Func Study'!$AB$2065</definedName>
    <definedName name="UAcct25319">'[15]Func Study'!$AB$2065</definedName>
    <definedName name="uacct25398" localSheetId="19">'[12]Func Study'!$AB$2222</definedName>
    <definedName name="uacct25398" localSheetId="4">'[14]Func Study'!$AB$2222</definedName>
    <definedName name="uacct25398">'[15]Func Study'!$AB$2222</definedName>
    <definedName name="UAcct25399" localSheetId="19">'[12]Func Study'!$AB$2230</definedName>
    <definedName name="UAcct25399" localSheetId="4">'[14]Func Study'!$AB$2230</definedName>
    <definedName name="UAcct25399">'[15]Func Study'!$AB$2230</definedName>
    <definedName name="UACCT254SO" localSheetId="19">'[12]Func Study'!$AB$2202</definedName>
    <definedName name="UACCT254SO" localSheetId="4">'[14]Func Study'!$AB$2202</definedName>
    <definedName name="UACCT254SO">'[15]Func Study'!$AB$2202</definedName>
    <definedName name="UAcct255" localSheetId="19">'[12]Func Study'!$AB$2284</definedName>
    <definedName name="UAcct255" localSheetId="4">'[14]Func Study'!$AB$2284</definedName>
    <definedName name="UAcct255">'[15]Func Study'!$AB$2284</definedName>
    <definedName name="UAcct281" localSheetId="19">'[12]Func Study'!$AB$2249</definedName>
    <definedName name="UAcct281" localSheetId="4">'[14]Func Study'!$AB$2249</definedName>
    <definedName name="UAcct281">'[15]Func Study'!$AB$2249</definedName>
    <definedName name="UAcct282" localSheetId="19">'[12]Func Study'!$AB$2259</definedName>
    <definedName name="UAcct282" localSheetId="4">'[14]Func Study'!$AB$2259</definedName>
    <definedName name="UAcct282">'[15]Func Study'!$AB$2259</definedName>
    <definedName name="UAcct282Cn" localSheetId="19">'[12]Func Study'!$AB$2256</definedName>
    <definedName name="UAcct282Cn" localSheetId="4">'[14]Func Study'!$AB$2256</definedName>
    <definedName name="UAcct282Cn">'[15]Func Study'!$AB$2256</definedName>
    <definedName name="UAcct282So" localSheetId="19">'[12]Func Study'!$AB$2255</definedName>
    <definedName name="UAcct282So" localSheetId="4">'[14]Func Study'!$AB$2255</definedName>
    <definedName name="UAcct282So">'[15]Func Study'!$AB$2255</definedName>
    <definedName name="UAcct283" localSheetId="19">'[12]Func Study'!$AB$2271</definedName>
    <definedName name="UAcct283" localSheetId="4">'[14]Func Study'!$AB$2271</definedName>
    <definedName name="UAcct283">'[15]Func Study'!$AB$2271</definedName>
    <definedName name="UAcct283So" localSheetId="19">'[12]Func Study'!$AB$2265</definedName>
    <definedName name="UAcct283So" localSheetId="4">'[14]Func Study'!$AB$2265</definedName>
    <definedName name="UAcct283So">'[15]Func Study'!$AB$2265</definedName>
    <definedName name="UAcct301S" localSheetId="19">'[12]Func Study'!$AB$1964</definedName>
    <definedName name="UAcct301S" localSheetId="4">'[14]Func Study'!$AB$1964</definedName>
    <definedName name="UAcct301S">'[15]Func Study'!$AB$1964</definedName>
    <definedName name="UAcct301Sg" localSheetId="19">'[12]Func Study'!$AB$1966</definedName>
    <definedName name="UAcct301Sg" localSheetId="4">'[14]Func Study'!$AB$1966</definedName>
    <definedName name="UAcct301Sg">'[15]Func Study'!$AB$1966</definedName>
    <definedName name="UAcct301So" localSheetId="19">'[12]Func Study'!$AB$1965</definedName>
    <definedName name="UAcct301So" localSheetId="4">'[14]Func Study'!$AB$1965</definedName>
    <definedName name="UAcct301So">'[15]Func Study'!$AB$1965</definedName>
    <definedName name="UAcct302S" localSheetId="19">'[12]Func Study'!$AB$1969</definedName>
    <definedName name="UAcct302S" localSheetId="4">'[14]Func Study'!$AB$1969</definedName>
    <definedName name="UAcct302S">'[15]Func Study'!$AB$1969</definedName>
    <definedName name="UAcct302Sg" localSheetId="19">'[12]Func Study'!$AB$1970</definedName>
    <definedName name="UAcct302Sg" localSheetId="4">'[14]Func Study'!$AB$1970</definedName>
    <definedName name="UAcct302Sg">'[15]Func Study'!$AB$1970</definedName>
    <definedName name="UAcct302Sgp" localSheetId="19">'[12]Func Study'!$AB$1971</definedName>
    <definedName name="UAcct302Sgp" localSheetId="4">'[14]Func Study'!$AB$1971</definedName>
    <definedName name="UAcct302Sgp">'[15]Func Study'!$AB$1971</definedName>
    <definedName name="UAcct302Sgu" localSheetId="19">'[12]Func Study'!$AB$1972</definedName>
    <definedName name="UAcct302Sgu" localSheetId="4">'[14]Func Study'!$AB$1972</definedName>
    <definedName name="UAcct302Sgu">'[15]Func Study'!$AB$1972</definedName>
    <definedName name="UAcct303Cn" localSheetId="19">'[12]Func Study'!$AB$1980</definedName>
    <definedName name="UAcct303Cn" localSheetId="4">'[14]Func Study'!$AB$1980</definedName>
    <definedName name="UAcct303Cn">'[15]Func Study'!$AB$1980</definedName>
    <definedName name="UAcct303S" localSheetId="19">'[12]Func Study'!$AB$1976</definedName>
    <definedName name="UAcct303S" localSheetId="4">'[14]Func Study'!$AB$1976</definedName>
    <definedName name="UAcct303S">'[15]Func Study'!$AB$1976</definedName>
    <definedName name="UAcct303Se" localSheetId="19">'[12]Func Study'!$AB$1979</definedName>
    <definedName name="UAcct303Se" localSheetId="4">'[14]Func Study'!$AB$1979</definedName>
    <definedName name="UAcct303Se">'[15]Func Study'!$AB$1979</definedName>
    <definedName name="UAcct303Sg" localSheetId="19">'[12]Func Study'!$AB$1977</definedName>
    <definedName name="UAcct303Sg" localSheetId="4">'[14]Func Study'!$AB$1977</definedName>
    <definedName name="UAcct303Sg">'[15]Func Study'!$AB$1977</definedName>
    <definedName name="UAcct303Sgu" localSheetId="19">'[12]Func Study'!$AB$1981</definedName>
    <definedName name="UAcct303Sgu" localSheetId="4">'[14]Func Study'!$AB$1981</definedName>
    <definedName name="UAcct303Sgu">'[15]Func Study'!$AB$1981</definedName>
    <definedName name="UAcct303So" localSheetId="19">'[12]Func Study'!$AB$1978</definedName>
    <definedName name="UAcct303So" localSheetId="4">'[14]Func Study'!$AB$1978</definedName>
    <definedName name="UAcct303So">'[15]Func Study'!$AB$1978</definedName>
    <definedName name="UACCT303SSGCH" localSheetId="19">'[12]Func Study'!$AB$1983</definedName>
    <definedName name="UACCT303SSGCH" localSheetId="4">'[14]Func Study'!$AB$1983</definedName>
    <definedName name="UACCT303SSGCH">'[15]Func Study'!$AB$1983</definedName>
    <definedName name="UAcct310" localSheetId="19">'[12]Func Study'!$AB$1414</definedName>
    <definedName name="UAcct310" localSheetId="4">'[14]Func Study'!$AB$1414</definedName>
    <definedName name="UAcct310">'[15]Func Study'!$AB$1414</definedName>
    <definedName name="UAcct310JBG" localSheetId="19">'[12]Func Study'!$AB$1413</definedName>
    <definedName name="UAcct310JBG" localSheetId="4">'[14]Func Study'!$AB$1413</definedName>
    <definedName name="UAcct310JBG">'[15]Func Study'!$AB$1413</definedName>
    <definedName name="UAcct311" localSheetId="19">'[12]Func Study'!$AB$1421</definedName>
    <definedName name="UAcct311" localSheetId="4">'[14]Func Study'!$AB$1421</definedName>
    <definedName name="UAcct311">'[15]Func Study'!$AB$1421</definedName>
    <definedName name="UAcct311JBG" localSheetId="19">'[12]Func Study'!$AB$1420</definedName>
    <definedName name="UAcct311JBG" localSheetId="4">'[14]Func Study'!$AB$1420</definedName>
    <definedName name="UAcct311JBG">'[15]Func Study'!$AB$1420</definedName>
    <definedName name="UAcct312" localSheetId="19">'[12]Func Study'!$AB$1428</definedName>
    <definedName name="UAcct312" localSheetId="4">'[14]Func Study'!$AB$1428</definedName>
    <definedName name="UAcct312">'[15]Func Study'!$AB$1428</definedName>
    <definedName name="UAcct312JBG" localSheetId="19">'[12]Func Study'!$AB$1427</definedName>
    <definedName name="UAcct312JBG" localSheetId="4">'[14]Func Study'!$AB$1427</definedName>
    <definedName name="UAcct312JBG">'[15]Func Study'!$AB$1427</definedName>
    <definedName name="UAcct314" localSheetId="19">'[12]Func Study'!$AB$1435</definedName>
    <definedName name="UAcct314" localSheetId="4">'[14]Func Study'!$AB$1435</definedName>
    <definedName name="UAcct314">'[15]Func Study'!$AB$1435</definedName>
    <definedName name="UAcct314JBG" localSheetId="19">'[12]Func Study'!$AB$1434</definedName>
    <definedName name="UAcct314JBG" localSheetId="4">'[14]Func Study'!$AB$1434</definedName>
    <definedName name="UAcct314JBG">'[15]Func Study'!$AB$1434</definedName>
    <definedName name="UAcct315" localSheetId="19">'[12]Func Study'!$AB$1442</definedName>
    <definedName name="UAcct315" localSheetId="4">'[14]Func Study'!$AB$1442</definedName>
    <definedName name="UAcct315">'[15]Func Study'!$AB$1442</definedName>
    <definedName name="UAcct315JBG" localSheetId="19">'[12]Func Study'!$AB$1441</definedName>
    <definedName name="UAcct315JBG" localSheetId="4">'[14]Func Study'!$AB$1441</definedName>
    <definedName name="UAcct315JBG">'[15]Func Study'!$AB$1441</definedName>
    <definedName name="UAcct316" localSheetId="19">'[12]Func Study'!$AB$1450</definedName>
    <definedName name="UAcct316" localSheetId="4">'[14]Func Study'!$AB$1450</definedName>
    <definedName name="UAcct316">'[15]Func Study'!$AB$1450</definedName>
    <definedName name="UAcct316JBG" localSheetId="19">'[12]Func Study'!$AB$1449</definedName>
    <definedName name="UAcct316JBG" localSheetId="4">'[14]Func Study'!$AB$1449</definedName>
    <definedName name="UAcct316JBG">'[15]Func Study'!$AB$1449</definedName>
    <definedName name="UAcct320" localSheetId="19">'[12]Func Study'!$AB$1466</definedName>
    <definedName name="UAcct320" localSheetId="4">'[14]Func Study'!$AB$1466</definedName>
    <definedName name="UAcct320">'[15]Func Study'!$AB$1466</definedName>
    <definedName name="UAcct321" localSheetId="19">'[12]Func Study'!$AB$1471</definedName>
    <definedName name="UAcct321" localSheetId="4">'[14]Func Study'!$AB$1471</definedName>
    <definedName name="UAcct321">'[15]Func Study'!$AB$1471</definedName>
    <definedName name="UAcct322" localSheetId="19">'[12]Func Study'!$AB$1476</definedName>
    <definedName name="UAcct322" localSheetId="4">'[14]Func Study'!$AB$1476</definedName>
    <definedName name="UAcct322">'[15]Func Study'!$AB$1476</definedName>
    <definedName name="UAcct323" localSheetId="19">'[12]Func Study'!$AB$1481</definedName>
    <definedName name="UAcct323" localSheetId="4">'[14]Func Study'!$AB$1481</definedName>
    <definedName name="UAcct323">'[15]Func Study'!$AB$1481</definedName>
    <definedName name="UAcct324" localSheetId="19">'[12]Func Study'!$AB$1486</definedName>
    <definedName name="UAcct324" localSheetId="4">'[14]Func Study'!$AB$1486</definedName>
    <definedName name="UAcct324">'[15]Func Study'!$AB$1486</definedName>
    <definedName name="UAcct325" localSheetId="19">'[12]Func Study'!$AB$1491</definedName>
    <definedName name="UAcct325" localSheetId="4">'[14]Func Study'!$AB$1491</definedName>
    <definedName name="UAcct325">'[15]Func Study'!$AB$1491</definedName>
    <definedName name="UAcct33" localSheetId="19">'[12]Func Study'!$AB$295</definedName>
    <definedName name="UAcct33" localSheetId="4">'[14]Func Study'!$AB$295</definedName>
    <definedName name="UAcct33">'[15]Func Study'!$AB$295</definedName>
    <definedName name="UAcct330" localSheetId="19">'[12]Func Study'!$AB$1508</definedName>
    <definedName name="UAcct330" localSheetId="4">'[14]Func Study'!$AB$1508</definedName>
    <definedName name="UAcct330">'[15]Func Study'!$AB$1508</definedName>
    <definedName name="UAcct331" localSheetId="19">'[12]Func Study'!$AB$1513</definedName>
    <definedName name="UAcct331" localSheetId="4">'[14]Func Study'!$AB$1513</definedName>
    <definedName name="UAcct331">'[15]Func Study'!$AB$1513</definedName>
    <definedName name="UAcct332" localSheetId="19">'[12]Func Study'!$AB$1518</definedName>
    <definedName name="UAcct332" localSheetId="4">'[14]Func Study'!$AB$1518</definedName>
    <definedName name="UAcct332">'[15]Func Study'!$AB$1518</definedName>
    <definedName name="UAcct333" localSheetId="19">'[12]Func Study'!$AB$1523</definedName>
    <definedName name="UAcct333" localSheetId="4">'[14]Func Study'!$AB$1523</definedName>
    <definedName name="UAcct333">'[15]Func Study'!$AB$1523</definedName>
    <definedName name="UAcct334" localSheetId="19">'[12]Func Study'!$AB$1528</definedName>
    <definedName name="UAcct334" localSheetId="4">'[14]Func Study'!$AB$1528</definedName>
    <definedName name="UAcct334">'[15]Func Study'!$AB$1528</definedName>
    <definedName name="UAcct335" localSheetId="19">'[12]Func Study'!$AB$1533</definedName>
    <definedName name="UAcct335" localSheetId="4">'[14]Func Study'!$AB$1533</definedName>
    <definedName name="UAcct335">'[15]Func Study'!$AB$1533</definedName>
    <definedName name="UAcct336" localSheetId="19">'[12]Func Study'!$AB$1539</definedName>
    <definedName name="UAcct336" localSheetId="4">'[14]Func Study'!$AB$1539</definedName>
    <definedName name="UAcct336">'[15]Func Study'!$AB$1539</definedName>
    <definedName name="UAcct340Dgu" localSheetId="19">'[12]Func Study'!$AB$1564</definedName>
    <definedName name="UAcct340Dgu" localSheetId="4">'[14]Func Study'!$AB$1564</definedName>
    <definedName name="UAcct340Dgu">'[15]Func Study'!$AB$1564</definedName>
    <definedName name="UAcct340Sgu" localSheetId="19">'[12]Func Study'!$AB$1565</definedName>
    <definedName name="UAcct340Sgu" localSheetId="4">'[14]Func Study'!$AB$1565</definedName>
    <definedName name="UAcct340Sgu">'[15]Func Study'!$AB$1565</definedName>
    <definedName name="UAcct341Dgu" localSheetId="19">'[12]Func Study'!$AB$1569</definedName>
    <definedName name="UAcct341Dgu" localSheetId="4">'[14]Func Study'!$AB$1569</definedName>
    <definedName name="UAcct341Dgu">'[15]Func Study'!$AB$1569</definedName>
    <definedName name="UAcct341Sgu" localSheetId="19">'[12]Func Study'!$AB$1570</definedName>
    <definedName name="UAcct341Sgu" localSheetId="4">'[14]Func Study'!$AB$1570</definedName>
    <definedName name="UAcct341Sgu">'[15]Func Study'!$AB$1570</definedName>
    <definedName name="UAcct342Dgu" localSheetId="19">'[12]Func Study'!$AB$1574</definedName>
    <definedName name="UAcct342Dgu" localSheetId="4">'[14]Func Study'!$AB$1574</definedName>
    <definedName name="UAcct342Dgu">'[15]Func Study'!$AB$1574</definedName>
    <definedName name="UAcct342Sgu" localSheetId="19">'[12]Func Study'!$AB$1575</definedName>
    <definedName name="UAcct342Sgu" localSheetId="4">'[14]Func Study'!$AB$1575</definedName>
    <definedName name="UAcct342Sgu">'[15]Func Study'!$AB$1575</definedName>
    <definedName name="UAcct343" localSheetId="19">'[12]Func Study'!$AB$1584</definedName>
    <definedName name="UAcct343" localSheetId="4">'[14]Func Study'!$AB$1584</definedName>
    <definedName name="UAcct343">'[15]Func Study'!$AB$1584</definedName>
    <definedName name="UAcct344S" localSheetId="19">'[12]Func Study'!$AB$1587</definedName>
    <definedName name="UAcct344S" localSheetId="4">'[14]Func Study'!$AB$1587</definedName>
    <definedName name="UAcct344S">'[15]Func Study'!$AB$1587</definedName>
    <definedName name="UAcct344Sgp" localSheetId="19">'[12]Func Study'!$AB$1588</definedName>
    <definedName name="UAcct344Sgp" localSheetId="4">'[14]Func Study'!$AB$1588</definedName>
    <definedName name="UAcct344Sgp">'[15]Func Study'!$AB$1588</definedName>
    <definedName name="UAcct345Dgu" localSheetId="19">'[12]Func Study'!$AB$1594</definedName>
    <definedName name="UAcct345Dgu" localSheetId="4">'[14]Func Study'!$AB$1594</definedName>
    <definedName name="UAcct345Dgu">'[15]Func Study'!$AB$1594</definedName>
    <definedName name="UAcct345Sgu" localSheetId="19">'[12]Func Study'!$AB$1595</definedName>
    <definedName name="UAcct345Sgu" localSheetId="4">'[14]Func Study'!$AB$1595</definedName>
    <definedName name="UAcct345Sgu">'[15]Func Study'!$AB$1595</definedName>
    <definedName name="UAcct346" localSheetId="19">'[12]Func Study'!$AB$1601</definedName>
    <definedName name="UAcct346" localSheetId="4">'[14]Func Study'!$AB$1601</definedName>
    <definedName name="UAcct346">'[15]Func Study'!$AB$1601</definedName>
    <definedName name="UAcct350" localSheetId="19">'[12]Func Study'!$AB$1628</definedName>
    <definedName name="UAcct350" localSheetId="4">'[14]Func Study'!$AB$1628</definedName>
    <definedName name="UAcct350">'[15]Func Study'!$AB$1628</definedName>
    <definedName name="UAcct352" localSheetId="19">'[12]Func Study'!$AB$1635</definedName>
    <definedName name="UAcct352" localSheetId="4">'[14]Func Study'!$AB$1635</definedName>
    <definedName name="UAcct352">'[15]Func Study'!$AB$1635</definedName>
    <definedName name="UAcct353" localSheetId="19">'[12]Func Study'!$AB$1641</definedName>
    <definedName name="UAcct353" localSheetId="4">'[14]Func Study'!$AB$1641</definedName>
    <definedName name="UAcct353">'[15]Func Study'!$AB$1641</definedName>
    <definedName name="UAcct354" localSheetId="19">'[12]Func Study'!$AB$1647</definedName>
    <definedName name="UAcct354" localSheetId="4">'[14]Func Study'!$AB$1647</definedName>
    <definedName name="UAcct354">'[15]Func Study'!$AB$1647</definedName>
    <definedName name="UAcct355" localSheetId="19">'[12]Func Study'!$AB$1654</definedName>
    <definedName name="UAcct355" localSheetId="4">'[14]Func Study'!$AB$1654</definedName>
    <definedName name="UAcct355">'[15]Func Study'!$AB$1654</definedName>
    <definedName name="UAcct356" localSheetId="19">'[12]Func Study'!$AB$1660</definedName>
    <definedName name="UAcct356" localSheetId="4">'[14]Func Study'!$AB$1660</definedName>
    <definedName name="UAcct356">'[15]Func Study'!$AB$1660</definedName>
    <definedName name="UAcct357" localSheetId="19">'[12]Func Study'!$AB$1666</definedName>
    <definedName name="UAcct357" localSheetId="4">'[14]Func Study'!$AB$1666</definedName>
    <definedName name="UAcct357">'[15]Func Study'!$AB$1666</definedName>
    <definedName name="UAcct358" localSheetId="19">'[12]Func Study'!$AB$1672</definedName>
    <definedName name="UAcct358" localSheetId="4">'[14]Func Study'!$AB$1672</definedName>
    <definedName name="UAcct358">'[15]Func Study'!$AB$1672</definedName>
    <definedName name="UAcct359" localSheetId="19">'[12]Func Study'!$AB$1678</definedName>
    <definedName name="UAcct359" localSheetId="4">'[14]Func Study'!$AB$1678</definedName>
    <definedName name="UAcct359">'[15]Func Study'!$AB$1678</definedName>
    <definedName name="UAcct360" localSheetId="19">'[12]Func Study'!$AB$1698</definedName>
    <definedName name="UAcct360" localSheetId="4">'[14]Func Study'!$AB$1698</definedName>
    <definedName name="UAcct360">'[15]Func Study'!$AB$1698</definedName>
    <definedName name="UAcct361" localSheetId="19">'[12]Func Study'!$AB$1704</definedName>
    <definedName name="UAcct361" localSheetId="4">'[14]Func Study'!$AB$1704</definedName>
    <definedName name="UAcct361">'[15]Func Study'!$AB$1704</definedName>
    <definedName name="UAcct362" localSheetId="19">'[12]Func Study'!$AB$1710</definedName>
    <definedName name="UAcct362" localSheetId="4">'[14]Func Study'!$AB$1710</definedName>
    <definedName name="UAcct362">'[15]Func Study'!$AB$1710</definedName>
    <definedName name="UAcct368" localSheetId="19">'[12]Func Study'!$AB$1744</definedName>
    <definedName name="UAcct368" localSheetId="4">'[14]Func Study'!$AB$1744</definedName>
    <definedName name="UAcct368">'[15]Func Study'!$AB$1744</definedName>
    <definedName name="UAcct369" localSheetId="19">'[12]Func Study'!$AB$1751</definedName>
    <definedName name="UAcct369" localSheetId="4">'[14]Func Study'!$AB$1751</definedName>
    <definedName name="UAcct369">'[15]Func Study'!$AB$1751</definedName>
    <definedName name="UAcct370" localSheetId="19">'[12]Func Study'!$AB$1762</definedName>
    <definedName name="UAcct370" localSheetId="4">'[14]Func Study'!$AB$1762</definedName>
    <definedName name="UAcct370">'[15]Func Study'!$AB$1762</definedName>
    <definedName name="UAcct372A" localSheetId="19">'[12]Func Study'!$AB$1775</definedName>
    <definedName name="UAcct372A" localSheetId="4">'[14]Func Study'!$AB$1775</definedName>
    <definedName name="UAcct372A">'[15]Func Study'!$AB$1775</definedName>
    <definedName name="UAcct372Dp" localSheetId="19">'[12]Func Study'!$AB$1773</definedName>
    <definedName name="UAcct372Dp" localSheetId="4">'[14]Func Study'!$AB$1773</definedName>
    <definedName name="UAcct372Dp">'[15]Func Study'!$AB$1773</definedName>
    <definedName name="UAcct372Ds" localSheetId="19">'[12]Func Study'!$AB$1774</definedName>
    <definedName name="UAcct372Ds" localSheetId="4">'[14]Func Study'!$AB$1774</definedName>
    <definedName name="UAcct372Ds">'[15]Func Study'!$AB$1774</definedName>
    <definedName name="UAcct373" localSheetId="19">'[12]Func Study'!$AB$1782</definedName>
    <definedName name="UAcct373" localSheetId="4">'[14]Func Study'!$AB$1782</definedName>
    <definedName name="UAcct373">'[15]Func Study'!$AB$1782</definedName>
    <definedName name="UAcct389Cn" localSheetId="19">'[12]Func Study'!$AB$1800</definedName>
    <definedName name="UAcct389Cn" localSheetId="4">'[14]Func Study'!$AB$1800</definedName>
    <definedName name="UAcct389Cn">'[15]Func Study'!$AB$1800</definedName>
    <definedName name="UAcct389S" localSheetId="19">'[12]Func Study'!$AB$1799</definedName>
    <definedName name="UAcct389S" localSheetId="4">'[14]Func Study'!$AB$1799</definedName>
    <definedName name="UAcct389S">'[15]Func Study'!$AB$1799</definedName>
    <definedName name="UAcct389Sg" localSheetId="19">'[12]Func Study'!$AB$1802</definedName>
    <definedName name="UAcct389Sg" localSheetId="4">'[14]Func Study'!$AB$1802</definedName>
    <definedName name="UAcct389Sg">'[15]Func Study'!$AB$1802</definedName>
    <definedName name="UAcct389Sgu" localSheetId="19">'[12]Func Study'!$AB$1801</definedName>
    <definedName name="UAcct389Sgu" localSheetId="4">'[14]Func Study'!$AB$1801</definedName>
    <definedName name="UAcct389Sgu">'[15]Func Study'!$AB$1801</definedName>
    <definedName name="UAcct389So" localSheetId="19">'[12]Func Study'!$AB$1803</definedName>
    <definedName name="UAcct389So" localSheetId="4">'[14]Func Study'!$AB$1803</definedName>
    <definedName name="UAcct389So">'[15]Func Study'!$AB$1803</definedName>
    <definedName name="UAcct390Cn" localSheetId="19">'[12]Func Study'!$AB$1810</definedName>
    <definedName name="UAcct390Cn" localSheetId="4">'[14]Func Study'!$AB$1810</definedName>
    <definedName name="UAcct390Cn">'[15]Func Study'!$AB$1810</definedName>
    <definedName name="UAcct390JBG" localSheetId="19">'[12]Func Study'!$AB$1812</definedName>
    <definedName name="UAcct390JBG" localSheetId="4">'[14]Func Study'!$AB$1812</definedName>
    <definedName name="UAcct390JBG">'[15]Func Study'!$AB$1812</definedName>
    <definedName name="UAcct390L" localSheetId="19">'[12]Func Study'!$AB$1927</definedName>
    <definedName name="UAcct390L" localSheetId="4">'[14]Func Study'!$AB$1927</definedName>
    <definedName name="UAcct390L">'[15]Func Study'!$AB$1927</definedName>
    <definedName name="UACCT390LRCL" localSheetId="19">'[12]Func Study'!$AB$1929</definedName>
    <definedName name="UACCT390LRCL" localSheetId="4">'[14]Func Study'!$AB$1929</definedName>
    <definedName name="UACCT390LRCL">'[15]Func Study'!$AB$1929</definedName>
    <definedName name="UAcct390S" localSheetId="19">'[12]Func Study'!$AB$1807</definedName>
    <definedName name="UAcct390S" localSheetId="4">'[14]Func Study'!$AB$1807</definedName>
    <definedName name="UAcct390S">'[15]Func Study'!$AB$1807</definedName>
    <definedName name="UAcct390Sgp" localSheetId="19">'[12]Func Study'!$AB$1808</definedName>
    <definedName name="UAcct390Sgp" localSheetId="4">'[14]Func Study'!$AB$1808</definedName>
    <definedName name="UAcct390Sgp">'[15]Func Study'!$AB$1808</definedName>
    <definedName name="UAcct390Sgu" localSheetId="19">'[12]Func Study'!$AB$1809</definedName>
    <definedName name="UAcct390Sgu" localSheetId="4">'[14]Func Study'!$AB$1809</definedName>
    <definedName name="UAcct390Sgu">'[15]Func Study'!$AB$1809</definedName>
    <definedName name="UAcct390Sop" localSheetId="19">'[12]Func Study'!$AB$1811</definedName>
    <definedName name="UAcct390Sop" localSheetId="4">'[14]Func Study'!$AB$1811</definedName>
    <definedName name="UAcct390Sop">'[15]Func Study'!$AB$1811</definedName>
    <definedName name="UAcct390Sou" localSheetId="19">'[12]Func Study'!$AB$1813</definedName>
    <definedName name="UAcct390Sou" localSheetId="4">'[14]Func Study'!$AB$1813</definedName>
    <definedName name="UAcct390Sou">'[15]Func Study'!$AB$1813</definedName>
    <definedName name="UAcct391Cn" localSheetId="19">'[12]Func Study'!$AB$1820</definedName>
    <definedName name="UAcct391Cn" localSheetId="4">'[14]Func Study'!$AB$1820</definedName>
    <definedName name="UAcct391Cn">'[15]Func Study'!$AB$1820</definedName>
    <definedName name="UACCT391JBE" localSheetId="19">'[12]Func Study'!$AB$1825</definedName>
    <definedName name="UACCT391JBE" localSheetId="4">'[14]Func Study'!$AB$1825</definedName>
    <definedName name="UACCT391JBE">'[15]Func Study'!$AB$1825</definedName>
    <definedName name="UAcct391S" localSheetId="19">'[12]Func Study'!$AB$1817</definedName>
    <definedName name="UAcct391S" localSheetId="4">'[14]Func Study'!$AB$1817</definedName>
    <definedName name="UAcct391S">'[15]Func Study'!$AB$1817</definedName>
    <definedName name="UAcct391Sg" localSheetId="19">'[12]Func Study'!$AB$1821</definedName>
    <definedName name="UAcct391Sg" localSheetId="4">'[14]Func Study'!$AB$1821</definedName>
    <definedName name="UAcct391Sg">'[15]Func Study'!$AB$1821</definedName>
    <definedName name="UAcct391Sgp" localSheetId="19">'[12]Func Study'!$AB$1818</definedName>
    <definedName name="UAcct391Sgp" localSheetId="4">'[14]Func Study'!$AB$1818</definedName>
    <definedName name="UAcct391Sgp">'[15]Func Study'!$AB$1818</definedName>
    <definedName name="UAcct391Sgu" localSheetId="19">'[12]Func Study'!$AB$1819</definedName>
    <definedName name="UAcct391Sgu" localSheetId="4">'[14]Func Study'!$AB$1819</definedName>
    <definedName name="UAcct391Sgu">'[15]Func Study'!$AB$1819</definedName>
    <definedName name="UAcct391So" localSheetId="19">'[12]Func Study'!$AB$1823</definedName>
    <definedName name="UAcct391So" localSheetId="4">'[14]Func Study'!$AB$1823</definedName>
    <definedName name="UAcct391So">'[15]Func Study'!$AB$1823</definedName>
    <definedName name="UACCT391SSGCH" localSheetId="19">'[12]Func Study'!$AB$1824</definedName>
    <definedName name="UACCT391SSGCH" localSheetId="4">'[14]Func Study'!$AB$1824</definedName>
    <definedName name="UACCT391SSGCH">'[15]Func Study'!$AB$1824</definedName>
    <definedName name="UAcct392Cn" localSheetId="19">'[12]Func Study'!$AB$1832</definedName>
    <definedName name="UAcct392Cn" localSheetId="4">'[14]Func Study'!$AB$1832</definedName>
    <definedName name="UAcct392Cn">'[15]Func Study'!$AB$1832</definedName>
    <definedName name="UAcct392L" localSheetId="19">'[12]Func Study'!$AB$1935</definedName>
    <definedName name="UAcct392L" localSheetId="4">'[14]Func Study'!$AB$1935</definedName>
    <definedName name="UAcct392L">'[15]Func Study'!$AB$1935</definedName>
    <definedName name="UAcct392Lrcl" localSheetId="19">'[12]Func Study'!$AB$1937</definedName>
    <definedName name="UAcct392Lrcl" localSheetId="4">'[14]Func Study'!$AB$1937</definedName>
    <definedName name="UAcct392Lrcl">'[15]Func Study'!$AB$1937</definedName>
    <definedName name="UAcct392S" localSheetId="19">'[12]Func Study'!$AB$1829</definedName>
    <definedName name="UAcct392S" localSheetId="4">'[14]Func Study'!$AB$1829</definedName>
    <definedName name="UAcct392S">'[15]Func Study'!$AB$1829</definedName>
    <definedName name="UAcct392Se" localSheetId="19">'[12]Func Study'!$AB$1834</definedName>
    <definedName name="UAcct392Se" localSheetId="4">'[14]Func Study'!$AB$1834</definedName>
    <definedName name="UAcct392Se">'[15]Func Study'!$AB$1834</definedName>
    <definedName name="UAcct392Sg" localSheetId="19">'[12]Func Study'!$AB$1831</definedName>
    <definedName name="UAcct392Sg" localSheetId="4">'[14]Func Study'!$AB$1831</definedName>
    <definedName name="UAcct392Sg">'[15]Func Study'!$AB$1831</definedName>
    <definedName name="UAcct392Sgp" localSheetId="19">'[12]Func Study'!$AB$1835</definedName>
    <definedName name="UAcct392Sgp" localSheetId="4">'[14]Func Study'!$AB$1835</definedName>
    <definedName name="UAcct392Sgp">'[15]Func Study'!$AB$1835</definedName>
    <definedName name="UAcct392Sgu" localSheetId="19">'[12]Func Study'!$AB$1833</definedName>
    <definedName name="UAcct392Sgu" localSheetId="4">'[14]Func Study'!$AB$1833</definedName>
    <definedName name="UAcct392Sgu">'[15]Func Study'!$AB$1833</definedName>
    <definedName name="UAcct392So" localSheetId="19">'[12]Func Study'!$AB$1830</definedName>
    <definedName name="UAcct392So" localSheetId="4">'[14]Func Study'!$AB$1830</definedName>
    <definedName name="UAcct392So">'[15]Func Study'!$AB$1830</definedName>
    <definedName name="UACCT392SSGCH" localSheetId="19">'[12]Func Study'!$AB$1836</definedName>
    <definedName name="UACCT392SSGCH" localSheetId="4">'[14]Func Study'!$AB$1836</definedName>
    <definedName name="UACCT392SSGCH">'[15]Func Study'!$AB$1836</definedName>
    <definedName name="UAcct393S" localSheetId="19">'[12]Func Study'!$AB$1841</definedName>
    <definedName name="UAcct393S" localSheetId="4">'[14]Func Study'!$AB$1841</definedName>
    <definedName name="UAcct393S">'[15]Func Study'!$AB$1841</definedName>
    <definedName name="UAcct393Sg" localSheetId="19">'[12]Func Study'!$AB$1845</definedName>
    <definedName name="UAcct393Sg" localSheetId="4">'[14]Func Study'!$AB$1845</definedName>
    <definedName name="UAcct393Sg">'[15]Func Study'!$AB$1845</definedName>
    <definedName name="UAcct393Sgp" localSheetId="19">'[12]Func Study'!$AB$1842</definedName>
    <definedName name="UAcct393Sgp" localSheetId="4">'[14]Func Study'!$AB$1842</definedName>
    <definedName name="UAcct393Sgp">'[15]Func Study'!$AB$1842</definedName>
    <definedName name="UAcct393Sgu" localSheetId="19">'[12]Func Study'!$AB$1843</definedName>
    <definedName name="UAcct393Sgu" localSheetId="4">'[14]Func Study'!$AB$1843</definedName>
    <definedName name="UAcct393Sgu">'[15]Func Study'!$AB$1843</definedName>
    <definedName name="UAcct393So" localSheetId="19">'[12]Func Study'!$AB$1844</definedName>
    <definedName name="UAcct393So" localSheetId="4">'[14]Func Study'!$AB$1844</definedName>
    <definedName name="UAcct393So">'[15]Func Study'!$AB$1844</definedName>
    <definedName name="UACCT393SSGCT" localSheetId="19">'[12]Func Study'!$AB$1846</definedName>
    <definedName name="UACCT393SSGCT" localSheetId="4">'[14]Func Study'!$AB$1846</definedName>
    <definedName name="UACCT393SSGCT">'[15]Func Study'!$AB$1846</definedName>
    <definedName name="UAcct394S" localSheetId="19">'[12]Func Study'!$AB$1850</definedName>
    <definedName name="UAcct394S" localSheetId="4">'[14]Func Study'!$AB$1850</definedName>
    <definedName name="UAcct394S">'[15]Func Study'!$AB$1850</definedName>
    <definedName name="UAcct394Se" localSheetId="19">'[12]Func Study'!$AB$1854</definedName>
    <definedName name="UAcct394Se" localSheetId="4">'[14]Func Study'!$AB$1854</definedName>
    <definedName name="UAcct394Se">'[15]Func Study'!$AB$1854</definedName>
    <definedName name="UAcct394Sg" localSheetId="19">'[12]Func Study'!$AB$1855</definedName>
    <definedName name="UAcct394Sg" localSheetId="4">'[14]Func Study'!$AB$1855</definedName>
    <definedName name="UAcct394Sg">'[15]Func Study'!$AB$1855</definedName>
    <definedName name="UAcct394Sgp" localSheetId="19">'[12]Func Study'!$AB$1851</definedName>
    <definedName name="UAcct394Sgp" localSheetId="4">'[14]Func Study'!$AB$1851</definedName>
    <definedName name="UAcct394Sgp">'[15]Func Study'!$AB$1851</definedName>
    <definedName name="UAcct394Sgu" localSheetId="19">'[12]Func Study'!$AB$1852</definedName>
    <definedName name="UAcct394Sgu" localSheetId="4">'[14]Func Study'!$AB$1852</definedName>
    <definedName name="UAcct394Sgu">'[15]Func Study'!$AB$1852</definedName>
    <definedName name="UAcct394So" localSheetId="19">'[12]Func Study'!$AB$1853</definedName>
    <definedName name="UAcct394So" localSheetId="4">'[14]Func Study'!$AB$1853</definedName>
    <definedName name="UAcct394So">'[15]Func Study'!$AB$1853</definedName>
    <definedName name="UACCT394SSGCH" localSheetId="19">'[12]Func Study'!$AB$1856</definedName>
    <definedName name="UACCT394SSGCH" localSheetId="4">'[14]Func Study'!$AB$1856</definedName>
    <definedName name="UACCT394SSGCH">'[15]Func Study'!$AB$1856</definedName>
    <definedName name="UAcct395S" localSheetId="19">'[12]Func Study'!$AB$1861</definedName>
    <definedName name="UAcct395S" localSheetId="4">'[14]Func Study'!$AB$1861</definedName>
    <definedName name="UAcct395S">'[15]Func Study'!$AB$1861</definedName>
    <definedName name="UAcct395Se" localSheetId="19">'[12]Func Study'!$AB$1865</definedName>
    <definedName name="UAcct395Se" localSheetId="4">'[14]Func Study'!$AB$1865</definedName>
    <definedName name="UAcct395Se">'[15]Func Study'!$AB$1865</definedName>
    <definedName name="UAcct395Sg" localSheetId="19">'[12]Func Study'!$AB$1866</definedName>
    <definedName name="UAcct395Sg" localSheetId="4">'[14]Func Study'!$AB$1866</definedName>
    <definedName name="UAcct395Sg">'[15]Func Study'!$AB$1866</definedName>
    <definedName name="UAcct395Sgp" localSheetId="19">'[12]Func Study'!$AB$1862</definedName>
    <definedName name="UAcct395Sgp" localSheetId="4">'[14]Func Study'!$AB$1862</definedName>
    <definedName name="UAcct395Sgp">'[15]Func Study'!$AB$1862</definedName>
    <definedName name="UAcct395Sgu" localSheetId="19">'[12]Func Study'!$AB$1863</definedName>
    <definedName name="UAcct395Sgu" localSheetId="4">'[14]Func Study'!$AB$1863</definedName>
    <definedName name="UAcct395Sgu">'[15]Func Study'!$AB$1863</definedName>
    <definedName name="UAcct395So" localSheetId="19">'[12]Func Study'!$AB$1864</definedName>
    <definedName name="UAcct395So" localSheetId="4">'[14]Func Study'!$AB$1864</definedName>
    <definedName name="UAcct395So">'[15]Func Study'!$AB$1864</definedName>
    <definedName name="UACCT395SSGCH" localSheetId="19">'[12]Func Study'!$AB$1867</definedName>
    <definedName name="UACCT395SSGCH" localSheetId="4">'[14]Func Study'!$AB$1867</definedName>
    <definedName name="UACCT395SSGCH">'[15]Func Study'!$AB$1867</definedName>
    <definedName name="UAcct396S" localSheetId="19">'[12]Func Study'!$AB$1872</definedName>
    <definedName name="UAcct396S" localSheetId="4">'[14]Func Study'!$AB$1872</definedName>
    <definedName name="UAcct396S">'[15]Func Study'!$AB$1872</definedName>
    <definedName name="UAcct396Se" localSheetId="19">'[12]Func Study'!$AB$1877</definedName>
    <definedName name="UAcct396Se" localSheetId="4">'[14]Func Study'!$AB$1877</definedName>
    <definedName name="UAcct396Se">'[15]Func Study'!$AB$1877</definedName>
    <definedName name="UAcct396Sg" localSheetId="19">'[12]Func Study'!$AB$1874</definedName>
    <definedName name="UAcct396Sg" localSheetId="4">'[14]Func Study'!$AB$1874</definedName>
    <definedName name="UAcct396Sg">'[15]Func Study'!$AB$1874</definedName>
    <definedName name="UAcct396Sgp" localSheetId="19">'[12]Func Study'!$AB$1873</definedName>
    <definedName name="UAcct396Sgp" localSheetId="4">'[14]Func Study'!$AB$1873</definedName>
    <definedName name="UAcct396Sgp">'[15]Func Study'!$AB$1873</definedName>
    <definedName name="UAcct396Sgu" localSheetId="19">'[12]Func Study'!$AB$1876</definedName>
    <definedName name="UAcct396Sgu" localSheetId="4">'[14]Func Study'!$AB$1876</definedName>
    <definedName name="UAcct396Sgu">'[15]Func Study'!$AB$1876</definedName>
    <definedName name="UAcct396So" localSheetId="19">'[12]Func Study'!$AB$1875</definedName>
    <definedName name="UAcct396So" localSheetId="4">'[14]Func Study'!$AB$1875</definedName>
    <definedName name="UAcct396So">'[15]Func Study'!$AB$1875</definedName>
    <definedName name="UACCT396SSGCH" localSheetId="19">'[12]Func Study'!$AB$1879</definedName>
    <definedName name="UACCT396SSGCH" localSheetId="4">'[14]Func Study'!$AB$1879</definedName>
    <definedName name="UACCT396SSGCH">'[15]Func Study'!$AB$1879</definedName>
    <definedName name="UACCT396SSGCT" localSheetId="19">'[12]Func Study'!$AB$1878</definedName>
    <definedName name="UACCT396SSGCT" localSheetId="4">'[14]Func Study'!$AB$1878</definedName>
    <definedName name="UACCT396SSGCT">'[15]Func Study'!$AB$1878</definedName>
    <definedName name="UAcct397Cn" localSheetId="19">'[12]Func Study'!$AB$1890</definedName>
    <definedName name="UAcct397Cn" localSheetId="4">'[14]Func Study'!$AB$1890</definedName>
    <definedName name="UAcct397Cn">'[15]Func Study'!$AB$1890</definedName>
    <definedName name="UAcct397JBG" localSheetId="19">'[12]Func Study'!$AB$1893</definedName>
    <definedName name="UAcct397JBG" localSheetId="4">'[14]Func Study'!$AB$1893</definedName>
    <definedName name="UAcct397JBG">'[15]Func Study'!$AB$1893</definedName>
    <definedName name="UAcct397S" localSheetId="19">'[12]Func Study'!$AB$1886</definedName>
    <definedName name="UAcct397S" localSheetId="4">'[14]Func Study'!$AB$1886</definedName>
    <definedName name="UAcct397S">'[15]Func Study'!$AB$1886</definedName>
    <definedName name="UAcct397Se" localSheetId="19">'[12]Func Study'!$AB$1892</definedName>
    <definedName name="UAcct397Se" localSheetId="4">'[14]Func Study'!$AB$1892</definedName>
    <definedName name="UAcct397Se">'[15]Func Study'!$AB$1892</definedName>
    <definedName name="UAcct397Sg" localSheetId="19">'[12]Func Study'!$AB$1891</definedName>
    <definedName name="UAcct397Sg" localSheetId="4">'[14]Func Study'!$AB$1891</definedName>
    <definedName name="UAcct397Sg">'[15]Func Study'!$AB$1891</definedName>
    <definedName name="UAcct397Sgp" localSheetId="19">'[12]Func Study'!$AB$1887</definedName>
    <definedName name="UAcct397Sgp" localSheetId="4">'[14]Func Study'!$AB$1887</definedName>
    <definedName name="UAcct397Sgp">'[15]Func Study'!$AB$1887</definedName>
    <definedName name="UAcct397Sgu" localSheetId="19">'[12]Func Study'!$AB$1888</definedName>
    <definedName name="UAcct397Sgu" localSheetId="4">'[14]Func Study'!$AB$1888</definedName>
    <definedName name="UAcct397Sgu">'[15]Func Study'!$AB$1888</definedName>
    <definedName name="UAcct397So" localSheetId="19">'[12]Func Study'!$AB$1889</definedName>
    <definedName name="UAcct397So" localSheetId="4">'[14]Func Study'!$AB$1889</definedName>
    <definedName name="UAcct397So">'[15]Func Study'!$AB$1889</definedName>
    <definedName name="UAcct398Cn" localSheetId="19">'[12]Func Study'!$AB$1902</definedName>
    <definedName name="UAcct398Cn" localSheetId="4">'[14]Func Study'!$AB$1902</definedName>
    <definedName name="UAcct398Cn">'[15]Func Study'!$AB$1902</definedName>
    <definedName name="UAcct398S" localSheetId="19">'[12]Func Study'!$AB$1899</definedName>
    <definedName name="UAcct398S" localSheetId="4">'[14]Func Study'!$AB$1899</definedName>
    <definedName name="UAcct398S">'[15]Func Study'!$AB$1899</definedName>
    <definedName name="UAcct398Se" localSheetId="19">'[12]Func Study'!$AB$1904</definedName>
    <definedName name="UAcct398Se" localSheetId="4">'[14]Func Study'!$AB$1904</definedName>
    <definedName name="UAcct398Se">'[15]Func Study'!$AB$1904</definedName>
    <definedName name="UAcct398Sg" localSheetId="19">'[12]Func Study'!$AB$1905</definedName>
    <definedName name="UAcct398Sg" localSheetId="4">'[14]Func Study'!$AB$1905</definedName>
    <definedName name="UAcct398Sg">'[15]Func Study'!$AB$1905</definedName>
    <definedName name="UAcct398Sgp" localSheetId="19">'[12]Func Study'!$AB$1900</definedName>
    <definedName name="UAcct398Sgp" localSheetId="4">'[14]Func Study'!$AB$1900</definedName>
    <definedName name="UAcct398Sgp">'[15]Func Study'!$AB$1900</definedName>
    <definedName name="UAcct398Sgu" localSheetId="19">'[12]Func Study'!$AB$1901</definedName>
    <definedName name="UAcct398Sgu" localSheetId="4">'[14]Func Study'!$AB$1901</definedName>
    <definedName name="UAcct398Sgu">'[15]Func Study'!$AB$1901</definedName>
    <definedName name="UAcct398So" localSheetId="19">'[12]Func Study'!$AB$1903</definedName>
    <definedName name="UAcct398So" localSheetId="4">'[14]Func Study'!$AB$1903</definedName>
    <definedName name="UAcct398So">'[15]Func Study'!$AB$1903</definedName>
    <definedName name="UACCT398SSGCT" localSheetId="19">'[12]Func Study'!$AB$1906</definedName>
    <definedName name="UACCT398SSGCT" localSheetId="4">'[14]Func Study'!$AB$1906</definedName>
    <definedName name="UACCT398SSGCT">'[15]Func Study'!$AB$1906</definedName>
    <definedName name="UAcct399" localSheetId="19">'[12]Func Study'!$AB$1913</definedName>
    <definedName name="UAcct399" localSheetId="4">'[14]Func Study'!$AB$1913</definedName>
    <definedName name="UAcct399">'[15]Func Study'!$AB$1913</definedName>
    <definedName name="UAcct399G" localSheetId="19">'[12]Func Study'!$AB$1955</definedName>
    <definedName name="UAcct399G" localSheetId="4">'[14]Func Study'!$AB$1955</definedName>
    <definedName name="UAcct399G">'[15]Func Study'!$AB$1955</definedName>
    <definedName name="UAcct399L" localSheetId="19">'[12]Func Study'!$AB$1917</definedName>
    <definedName name="UAcct399L" localSheetId="4">'[14]Func Study'!$AB$1917</definedName>
    <definedName name="UAcct399L">'[15]Func Study'!$AB$1917</definedName>
    <definedName name="UAcct399Lrcl" localSheetId="19">'[12]Func Study'!$AB$1919</definedName>
    <definedName name="UAcct399Lrcl" localSheetId="4">'[14]Func Study'!$AB$1919</definedName>
    <definedName name="UAcct399Lrcl">'[15]Func Study'!$AB$1919</definedName>
    <definedName name="UAcct403360" localSheetId="19">'[12]Func Study'!$AB$1090</definedName>
    <definedName name="UAcct403360" localSheetId="4">'[14]Func Study'!$AB$1090</definedName>
    <definedName name="UAcct403360">'[15]Func Study'!$AB$1090</definedName>
    <definedName name="UAcct403361" localSheetId="19">'[12]Func Study'!$AB$1091</definedName>
    <definedName name="UAcct403361" localSheetId="4">'[14]Func Study'!$AB$1091</definedName>
    <definedName name="UAcct403361">'[15]Func Study'!$AB$1091</definedName>
    <definedName name="UAcct403362" localSheetId="19">'[12]Func Study'!$AB$1092</definedName>
    <definedName name="UAcct403362" localSheetId="4">'[14]Func Study'!$AB$1092</definedName>
    <definedName name="UAcct403362">'[15]Func Study'!$AB$1092</definedName>
    <definedName name="UAcct403364" localSheetId="19">'[12]Func Study'!$AB$1094</definedName>
    <definedName name="UAcct403364" localSheetId="4">'[14]Func Study'!$AB$1094</definedName>
    <definedName name="UAcct403364">'[15]Func Study'!$AB$1094</definedName>
    <definedName name="UAcct403365" localSheetId="19">'[12]Func Study'!$AB$1095</definedName>
    <definedName name="UAcct403365" localSheetId="4">'[14]Func Study'!$AB$1095</definedName>
    <definedName name="UAcct403365">'[15]Func Study'!$AB$1095</definedName>
    <definedName name="UAcct403366" localSheetId="19">'[12]Func Study'!$AB$1096</definedName>
    <definedName name="UAcct403366" localSheetId="4">'[14]Func Study'!$AB$1096</definedName>
    <definedName name="UAcct403366">'[15]Func Study'!$AB$1096</definedName>
    <definedName name="UAcct403367" localSheetId="19">'[12]Func Study'!$AB$1097</definedName>
    <definedName name="UAcct403367" localSheetId="4">'[14]Func Study'!$AB$1097</definedName>
    <definedName name="UAcct403367">'[15]Func Study'!$AB$1097</definedName>
    <definedName name="UAcct403368" localSheetId="19">'[12]Func Study'!$AB$1098</definedName>
    <definedName name="UAcct403368" localSheetId="4">'[14]Func Study'!$AB$1098</definedName>
    <definedName name="UAcct403368">'[15]Func Study'!$AB$1098</definedName>
    <definedName name="UAcct403369" localSheetId="19">'[12]Func Study'!$AB$1099</definedName>
    <definedName name="UAcct403369" localSheetId="4">'[14]Func Study'!$AB$1099</definedName>
    <definedName name="UAcct403369">'[15]Func Study'!$AB$1099</definedName>
    <definedName name="UAcct403370" localSheetId="19">'[12]Func Study'!$AB$1100</definedName>
    <definedName name="UAcct403370" localSheetId="4">'[14]Func Study'!$AB$1100</definedName>
    <definedName name="UAcct403370">'[15]Func Study'!$AB$1100</definedName>
    <definedName name="UAcct403371" localSheetId="19">'[12]Func Study'!$AB$1101</definedName>
    <definedName name="UAcct403371" localSheetId="4">'[14]Func Study'!$AB$1101</definedName>
    <definedName name="UAcct403371">'[15]Func Study'!$AB$1101</definedName>
    <definedName name="UAcct403372" localSheetId="19">'[12]Func Study'!$AB$1102</definedName>
    <definedName name="UAcct403372" localSheetId="4">'[14]Func Study'!$AB$1102</definedName>
    <definedName name="UAcct403372">'[15]Func Study'!$AB$1102</definedName>
    <definedName name="UAcct403373" localSheetId="19">'[12]Func Study'!$AB$1103</definedName>
    <definedName name="UAcct403373" localSheetId="4">'[14]Func Study'!$AB$1103</definedName>
    <definedName name="UAcct403373">'[15]Func Study'!$AB$1103</definedName>
    <definedName name="UAcct403Ep" localSheetId="19">'[12]Func Study'!$AB$1130</definedName>
    <definedName name="UAcct403Ep" localSheetId="4">'[14]Func Study'!$AB$1130</definedName>
    <definedName name="UAcct403Ep">'[15]Func Study'!$AB$1130</definedName>
    <definedName name="UAcct403Gpcn" localSheetId="19">'[12]Func Study'!$AB$1111</definedName>
    <definedName name="UAcct403Gpcn" localSheetId="4">'[14]Func Study'!$AB$1111</definedName>
    <definedName name="UAcct403Gpcn">'[15]Func Study'!$AB$1111</definedName>
    <definedName name="UAcct403GPDGP" localSheetId="19">'[12]Func Study'!$AB$1108</definedName>
    <definedName name="UAcct403GPDGP" localSheetId="4">'[14]Func Study'!$AB$1108</definedName>
    <definedName name="UAcct403GPDGP">'[15]Func Study'!$AB$1108</definedName>
    <definedName name="UAcct403GPDGU" localSheetId="19">'[12]Func Study'!$AB$1109</definedName>
    <definedName name="UAcct403GPDGU" localSheetId="4">'[14]Func Study'!$AB$1109</definedName>
    <definedName name="UAcct403GPDGU">'[15]Func Study'!$AB$1109</definedName>
    <definedName name="UAcct403GPJBG" localSheetId="19">'[12]Func Study'!$AB$1115</definedName>
    <definedName name="UAcct403GPJBG" localSheetId="4">'[14]Func Study'!$AB$1115</definedName>
    <definedName name="UAcct403GPJBG">'[15]Func Study'!$AB$1115</definedName>
    <definedName name="UAcct403Gps" localSheetId="19">'[12]Func Study'!$AB$1107</definedName>
    <definedName name="UAcct403Gps" localSheetId="4">'[14]Func Study'!$AB$1107</definedName>
    <definedName name="UAcct403Gps">'[15]Func Study'!$AB$1107</definedName>
    <definedName name="UAcct403Gpsg" localSheetId="19">'[12]Func Study'!$AB$1112</definedName>
    <definedName name="UAcct403Gpsg" localSheetId="4">'[14]Func Study'!$AB$1112</definedName>
    <definedName name="UAcct403Gpsg">'[15]Func Study'!$AB$1112</definedName>
    <definedName name="UAcct403Gpso" localSheetId="19">'[12]Func Study'!$AB$1113</definedName>
    <definedName name="UAcct403Gpso" localSheetId="4">'[14]Func Study'!$AB$1113</definedName>
    <definedName name="UAcct403Gpso">'[15]Func Study'!$AB$1113</definedName>
    <definedName name="UAcct403Gv0" localSheetId="19">'[12]Func Study'!$AB$1121</definedName>
    <definedName name="UAcct403Gv0" localSheetId="4">'[14]Func Study'!$AB$1121</definedName>
    <definedName name="UAcct403Gv0">'[15]Func Study'!$AB$1121</definedName>
    <definedName name="UAcct403Hp" localSheetId="19">'[12]Func Study'!$AB$1072</definedName>
    <definedName name="UAcct403Hp" localSheetId="4">'[14]Func Study'!$AB$1072</definedName>
    <definedName name="UAcct403Hp">'[15]Func Study'!$AB$1072</definedName>
    <definedName name="UACCT403JBE" localSheetId="19">'[12]Func Study'!$AB$1116</definedName>
    <definedName name="UACCT403JBE" localSheetId="4">'[14]Func Study'!$AB$1116</definedName>
    <definedName name="UACCT403JBE">'[15]Func Study'!$AB$1116</definedName>
    <definedName name="UAcct403Mp" localSheetId="19">'[12]Func Study'!$AB$1125</definedName>
    <definedName name="UAcct403Mp" localSheetId="4">'[14]Func Study'!$AB$1125</definedName>
    <definedName name="UAcct403Mp">'[15]Func Study'!$AB$1125</definedName>
    <definedName name="UAcct403Np" localSheetId="19">'[12]Func Study'!$AB$1065</definedName>
    <definedName name="UAcct403Np" localSheetId="4">'[14]Func Study'!$AB$1065</definedName>
    <definedName name="UAcct403Np">'[15]Func Study'!$AB$1065</definedName>
    <definedName name="UAcct403Op" localSheetId="19">'[12]Func Study'!$AB$1080</definedName>
    <definedName name="UAcct403Op" localSheetId="4">'[14]Func Study'!$AB$1080</definedName>
    <definedName name="UAcct403Op">'[15]Func Study'!$AB$1080</definedName>
    <definedName name="UAcct403OPCAGE" localSheetId="19">'[12]Func Study'!$AB$1078</definedName>
    <definedName name="UAcct403OPCAGE" localSheetId="4">'[14]Func Study'!$AB$1078</definedName>
    <definedName name="UAcct403OPCAGE">'[15]Func Study'!$AB$1078</definedName>
    <definedName name="UAcct403Sp" localSheetId="19">'[12]Func Study'!$AB$1061</definedName>
    <definedName name="UAcct403Sp" localSheetId="4">'[14]Func Study'!$AB$1061</definedName>
    <definedName name="UAcct403Sp">'[15]Func Study'!$AB$1061</definedName>
    <definedName name="UAcct403SPJBG" localSheetId="19">'[12]Func Study'!$AB$1058</definedName>
    <definedName name="UAcct403SPJBG" localSheetId="4">'[14]Func Study'!$AB$1058</definedName>
    <definedName name="UAcct403SPJBG">'[15]Func Study'!$AB$1058</definedName>
    <definedName name="UAcct403Tp" localSheetId="19">'[12]Func Study'!$AB$1087</definedName>
    <definedName name="UAcct403Tp" localSheetId="4">'[14]Func Study'!$AB$1087</definedName>
    <definedName name="UAcct403Tp">'[15]Func Study'!$AB$1087</definedName>
    <definedName name="UAcct404330" localSheetId="19">'[12]Func Study'!$AB$1177</definedName>
    <definedName name="UAcct404330" localSheetId="4">'[14]Func Study'!$AB$1177</definedName>
    <definedName name="UAcct404330">'[15]Func Study'!$AB$1177</definedName>
    <definedName name="UACCT404GP" localSheetId="19">'[12]Func Study'!$AB$1146</definedName>
    <definedName name="UACCT404GP" localSheetId="4">'[14]Func Study'!$AB$1146</definedName>
    <definedName name="UACCT404GP">'[15]Func Study'!$AB$1146</definedName>
    <definedName name="UACCT404GPCN" localSheetId="19">'[12]Func Study'!$AB$1143</definedName>
    <definedName name="UACCT404GPCN" localSheetId="4">'[14]Func Study'!$AB$1143</definedName>
    <definedName name="UACCT404GPCN">'[15]Func Study'!$AB$1143</definedName>
    <definedName name="UACCT404GPSO" localSheetId="19">'[12]Func Study'!$AB$1141</definedName>
    <definedName name="UACCT404GPSO" localSheetId="4">'[14]Func Study'!$AB$1141</definedName>
    <definedName name="UACCT404GPSO">'[15]Func Study'!$AB$1141</definedName>
    <definedName name="UAcct404Ipcn" localSheetId="19">'[12]Func Study'!$AB$1158</definedName>
    <definedName name="UAcct404Ipcn" localSheetId="4">'[14]Func Study'!$AB$1158</definedName>
    <definedName name="UAcct404Ipcn">'[15]Func Study'!$AB$1158</definedName>
    <definedName name="UAcct404IPJBG" localSheetId="19">'[12]Func Study'!$AB$1163</definedName>
    <definedName name="UAcct404IPJBG" localSheetId="4">'[14]Func Study'!$AB$1163</definedName>
    <definedName name="UAcct404IPJBG">'[15]Func Study'!$AB$1163</definedName>
    <definedName name="UAcct404Ips" localSheetId="19">'[12]Func Study'!$AB$1154</definedName>
    <definedName name="UAcct404Ips" localSheetId="4">'[14]Func Study'!$AB$1154</definedName>
    <definedName name="UAcct404Ips">'[15]Func Study'!$AB$1154</definedName>
    <definedName name="UAcct404Ipse" localSheetId="19">'[12]Func Study'!$AB$1155</definedName>
    <definedName name="UAcct404Ipse" localSheetId="4">'[14]Func Study'!$AB$1155</definedName>
    <definedName name="UAcct404Ipse">'[15]Func Study'!$AB$1155</definedName>
    <definedName name="UAcct404Ipsg" localSheetId="19">'[12]Func Study'!$AB$1156</definedName>
    <definedName name="UAcct404Ipsg" localSheetId="4">'[14]Func Study'!$AB$1156</definedName>
    <definedName name="UAcct404Ipsg">'[15]Func Study'!$AB$1156</definedName>
    <definedName name="UAcct404Ipsg1" localSheetId="19">'[12]Func Study'!$AB$1159</definedName>
    <definedName name="UAcct404Ipsg1" localSheetId="4">'[14]Func Study'!$AB$1159</definedName>
    <definedName name="UAcct404Ipsg1">'[15]Func Study'!$AB$1159</definedName>
    <definedName name="UAcct404Ipsg2" localSheetId="19">'[12]Func Study'!$AB$1160</definedName>
    <definedName name="UAcct404Ipsg2" localSheetId="4">'[14]Func Study'!$AB$1160</definedName>
    <definedName name="UAcct404Ipsg2">'[15]Func Study'!$AB$1160</definedName>
    <definedName name="UAcct404Ipso" localSheetId="19">'[12]Func Study'!$AB$1157</definedName>
    <definedName name="UAcct404Ipso" localSheetId="4">'[14]Func Study'!$AB$1157</definedName>
    <definedName name="UAcct404Ipso">'[15]Func Study'!$AB$1157</definedName>
    <definedName name="UAcct404M" localSheetId="19">'[12]Func Study'!$AB$1168</definedName>
    <definedName name="UAcct404M" localSheetId="4">'[14]Func Study'!$AB$1168</definedName>
    <definedName name="UAcct404M">'[15]Func Study'!$AB$1168</definedName>
    <definedName name="UACCT404OP" localSheetId="19">'[12]Func Study'!$AB$1172</definedName>
    <definedName name="UACCT404OP" localSheetId="4">'[14]Func Study'!$AB$1172</definedName>
    <definedName name="UACCT404OP">'[15]Func Study'!$AB$1172</definedName>
    <definedName name="UACCT404SP" localSheetId="19">'[12]Func Study'!$AB$1151</definedName>
    <definedName name="UACCT404SP" localSheetId="4">'[14]Func Study'!$AB$1151</definedName>
    <definedName name="UACCT404SP">'[15]Func Study'!$AB$1151</definedName>
    <definedName name="UAcct405" localSheetId="19">'[12]Func Study'!$AB$1185</definedName>
    <definedName name="UAcct405" localSheetId="4">'[14]Func Study'!$AB$1185</definedName>
    <definedName name="UAcct405">'[15]Func Study'!$AB$1185</definedName>
    <definedName name="UAcct406" localSheetId="19">'[12]Func Study'!$AB$1193</definedName>
    <definedName name="UAcct406" localSheetId="4">'[14]Func Study'!$AB$1193</definedName>
    <definedName name="UAcct406">'[15]Func Study'!$AB$1193</definedName>
    <definedName name="UAcct407" localSheetId="19">'[12]Func Study'!$AB$1202</definedName>
    <definedName name="UAcct407" localSheetId="4">'[14]Func Study'!$AB$1202</definedName>
    <definedName name="UAcct407">'[15]Func Study'!$AB$1202</definedName>
    <definedName name="UAcct408" localSheetId="19">'[12]Func Study'!$AB$1221</definedName>
    <definedName name="UAcct408" localSheetId="4">'[14]Func Study'!$AB$1221</definedName>
    <definedName name="UAcct408">'[15]Func Study'!$AB$1221</definedName>
    <definedName name="UAcct408S" localSheetId="19">'[12]Func Study'!$AB$1213</definedName>
    <definedName name="UAcct408S" localSheetId="4">'[14]Func Study'!$AB$1213</definedName>
    <definedName name="UAcct408S">'[15]Func Study'!$AB$1213</definedName>
    <definedName name="UAcct41010" localSheetId="19">'[12]Func Study'!$AB$1294</definedName>
    <definedName name="UAcct41010" localSheetId="4">'[14]Func Study'!$AB$1294</definedName>
    <definedName name="UAcct41010">'[15]Func Study'!$AB$1294</definedName>
    <definedName name="UAcct41011" localSheetId="19">'[12]Func Study'!$AB$1309</definedName>
    <definedName name="UAcct41011" localSheetId="4">'[14]Func Study'!$AB$1309</definedName>
    <definedName name="UAcct41011">'[15]Func Study'!$AB$1309</definedName>
    <definedName name="UACCT41020" localSheetId="1">'[16]Functional Study'!#REF!</definedName>
    <definedName name="UACCT41020" localSheetId="2">'[16]Functional Study'!#REF!</definedName>
    <definedName name="UACCT41020" localSheetId="4">'[16]Functional Study'!#REF!</definedName>
    <definedName name="UACCT41020" localSheetId="3">'[16]Functional Study'!#REF!</definedName>
    <definedName name="UACCT41020" localSheetId="5">'[16]Functional Study'!#REF!</definedName>
    <definedName name="UACCT41020" localSheetId="7">'[16]Functional Study'!#REF!</definedName>
    <definedName name="UACCT41020" localSheetId="8">'[16]Functional Study'!#REF!</definedName>
    <definedName name="UACCT41020" localSheetId="37">'[16]Functional Study'!#REF!</definedName>
    <definedName name="UACCT41020" localSheetId="17">'[16]Functional Study'!#REF!</definedName>
    <definedName name="UACCT41020" localSheetId="20">'[16]Functional Study'!#REF!</definedName>
    <definedName name="UACCT41020" localSheetId="36">'[17]Functional Study'!#REF!</definedName>
    <definedName name="UACCT41020">'[16]Functional Study'!#REF!</definedName>
    <definedName name="UACCT41020BADDEBT" localSheetId="1">'[16]Functional Study'!#REF!</definedName>
    <definedName name="UACCT41020BADDEBT" localSheetId="2">'[16]Functional Study'!#REF!</definedName>
    <definedName name="UACCT41020BADDEBT" localSheetId="4">'[16]Functional Study'!#REF!</definedName>
    <definedName name="UACCT41020BADDEBT" localSheetId="3">'[16]Functional Study'!#REF!</definedName>
    <definedName name="UACCT41020BADDEBT" localSheetId="5">'[16]Functional Study'!#REF!</definedName>
    <definedName name="UACCT41020BADDEBT" localSheetId="7">'[16]Functional Study'!#REF!</definedName>
    <definedName name="UACCT41020BADDEBT" localSheetId="8">'[16]Functional Study'!#REF!</definedName>
    <definedName name="UACCT41020BADDEBT" localSheetId="17">'[16]Functional Study'!#REF!</definedName>
    <definedName name="UACCT41020BADDEBT" localSheetId="20">'[16]Functional Study'!#REF!</definedName>
    <definedName name="UACCT41020BADDEBT" localSheetId="36">'[17]Functional Study'!#REF!</definedName>
    <definedName name="UACCT41020BADDEBT">'[16]Functional Study'!#REF!</definedName>
    <definedName name="UACCT41020DITEXP" localSheetId="1">'[16]Functional Study'!#REF!</definedName>
    <definedName name="UACCT41020DITEXP" localSheetId="2">'[16]Functional Study'!#REF!</definedName>
    <definedName name="UACCT41020DITEXP" localSheetId="3">'[16]Functional Study'!#REF!</definedName>
    <definedName name="UACCT41020DITEXP" localSheetId="5">'[16]Functional Study'!#REF!</definedName>
    <definedName name="UACCT41020DITEXP" localSheetId="7">'[16]Functional Study'!#REF!</definedName>
    <definedName name="UACCT41020DITEXP" localSheetId="8">'[16]Functional Study'!#REF!</definedName>
    <definedName name="UACCT41020DITEXP" localSheetId="17">'[16]Functional Study'!#REF!</definedName>
    <definedName name="UACCT41020DITEXP" localSheetId="20">'[16]Functional Study'!#REF!</definedName>
    <definedName name="UACCT41020DITEXP" localSheetId="36">'[17]Functional Study'!#REF!</definedName>
    <definedName name="UACCT41020DITEXP">'[16]Functional Study'!#REF!</definedName>
    <definedName name="UACCT41020DNPU" localSheetId="1">'[16]Functional Study'!#REF!</definedName>
    <definedName name="UACCT41020DNPU" localSheetId="2">'[16]Functional Study'!#REF!</definedName>
    <definedName name="UACCT41020DNPU" localSheetId="3">'[16]Functional Study'!#REF!</definedName>
    <definedName name="UACCT41020DNPU" localSheetId="5">'[16]Functional Study'!#REF!</definedName>
    <definedName name="UACCT41020DNPU" localSheetId="7">'[16]Functional Study'!#REF!</definedName>
    <definedName name="UACCT41020DNPU" localSheetId="8">'[16]Functional Study'!#REF!</definedName>
    <definedName name="UACCT41020DNPU" localSheetId="17">'[16]Functional Study'!#REF!</definedName>
    <definedName name="UACCT41020DNPU" localSheetId="20">'[16]Functional Study'!#REF!</definedName>
    <definedName name="UACCT41020DNPU" localSheetId="36">'[17]Functional Study'!#REF!</definedName>
    <definedName name="UACCT41020DNPU">'[16]Functional Study'!#REF!</definedName>
    <definedName name="UACCT41020S" localSheetId="1">'[16]Functional Study'!#REF!</definedName>
    <definedName name="UACCT41020S" localSheetId="2">'[16]Functional Study'!#REF!</definedName>
    <definedName name="UACCT41020S" localSheetId="3">'[16]Functional Study'!#REF!</definedName>
    <definedName name="UACCT41020S" localSheetId="5">'[16]Functional Study'!#REF!</definedName>
    <definedName name="UACCT41020S" localSheetId="7">'[16]Functional Study'!#REF!</definedName>
    <definedName name="UACCT41020S" localSheetId="8">'[16]Functional Study'!#REF!</definedName>
    <definedName name="UACCT41020S" localSheetId="17">'[16]Functional Study'!#REF!</definedName>
    <definedName name="UACCT41020S" localSheetId="20">'[16]Functional Study'!#REF!</definedName>
    <definedName name="UACCT41020S" localSheetId="36">'[17]Functional Study'!#REF!</definedName>
    <definedName name="UACCT41020S">'[16]Functional Study'!#REF!</definedName>
    <definedName name="UACCT41020SE" localSheetId="1">'[16]Functional Study'!#REF!</definedName>
    <definedName name="UACCT41020SE" localSheetId="2">'[16]Functional Study'!#REF!</definedName>
    <definedName name="UACCT41020SE" localSheetId="3">'[16]Functional Study'!#REF!</definedName>
    <definedName name="UACCT41020SE" localSheetId="5">'[16]Functional Study'!#REF!</definedName>
    <definedName name="UACCT41020SE" localSheetId="7">'[16]Functional Study'!#REF!</definedName>
    <definedName name="UACCT41020SE" localSheetId="8">'[16]Functional Study'!#REF!</definedName>
    <definedName name="UACCT41020SE" localSheetId="17">'[16]Functional Study'!#REF!</definedName>
    <definedName name="UACCT41020SE" localSheetId="20">'[16]Functional Study'!#REF!</definedName>
    <definedName name="UACCT41020SE" localSheetId="36">'[17]Functional Study'!#REF!</definedName>
    <definedName name="UACCT41020SE">'[16]Functional Study'!#REF!</definedName>
    <definedName name="UACCT41020SG" localSheetId="1">'[16]Functional Study'!#REF!</definedName>
    <definedName name="UACCT41020SG" localSheetId="2">'[16]Functional Study'!#REF!</definedName>
    <definedName name="UACCT41020SG" localSheetId="3">'[16]Functional Study'!#REF!</definedName>
    <definedName name="UACCT41020SG" localSheetId="5">'[16]Functional Study'!#REF!</definedName>
    <definedName name="UACCT41020SG" localSheetId="7">'[16]Functional Study'!#REF!</definedName>
    <definedName name="UACCT41020SG" localSheetId="8">'[16]Functional Study'!#REF!</definedName>
    <definedName name="UACCT41020SG" localSheetId="17">'[16]Functional Study'!#REF!</definedName>
    <definedName name="UACCT41020SG" localSheetId="20">'[16]Functional Study'!#REF!</definedName>
    <definedName name="UACCT41020SG" localSheetId="36">'[17]Functional Study'!#REF!</definedName>
    <definedName name="UACCT41020SG">'[16]Functional Study'!#REF!</definedName>
    <definedName name="UACCT41020SGCT" localSheetId="1">'[16]Functional Study'!#REF!</definedName>
    <definedName name="UACCT41020SGCT" localSheetId="2">'[16]Functional Study'!#REF!</definedName>
    <definedName name="UACCT41020SGCT" localSheetId="3">'[16]Functional Study'!#REF!</definedName>
    <definedName name="UACCT41020SGCT" localSheetId="5">'[16]Functional Study'!#REF!</definedName>
    <definedName name="UACCT41020SGCT" localSheetId="7">'[16]Functional Study'!#REF!</definedName>
    <definedName name="UACCT41020SGCT" localSheetId="8">'[16]Functional Study'!#REF!</definedName>
    <definedName name="UACCT41020SGCT" localSheetId="17">'[16]Functional Study'!#REF!</definedName>
    <definedName name="UACCT41020SGCT" localSheetId="20">'[16]Functional Study'!#REF!</definedName>
    <definedName name="UACCT41020SGCT" localSheetId="36">'[17]Functional Study'!#REF!</definedName>
    <definedName name="UACCT41020SGCT">'[16]Functional Study'!#REF!</definedName>
    <definedName name="UACCT41020SGPP" localSheetId="1">'[16]Functional Study'!#REF!</definedName>
    <definedName name="UACCT41020SGPP" localSheetId="2">'[16]Functional Study'!#REF!</definedName>
    <definedName name="UACCT41020SGPP" localSheetId="3">'[16]Functional Study'!#REF!</definedName>
    <definedName name="UACCT41020SGPP" localSheetId="5">'[16]Functional Study'!#REF!</definedName>
    <definedName name="UACCT41020SGPP" localSheetId="7">'[16]Functional Study'!#REF!</definedName>
    <definedName name="UACCT41020SGPP" localSheetId="8">'[16]Functional Study'!#REF!</definedName>
    <definedName name="UACCT41020SGPP" localSheetId="17">'[16]Functional Study'!#REF!</definedName>
    <definedName name="UACCT41020SGPP" localSheetId="20">'[16]Functional Study'!#REF!</definedName>
    <definedName name="UACCT41020SGPP" localSheetId="36">'[17]Functional Study'!#REF!</definedName>
    <definedName name="UACCT41020SGPP">'[16]Functional Study'!#REF!</definedName>
    <definedName name="UACCT41020SO" localSheetId="1">'[16]Functional Study'!#REF!</definedName>
    <definedName name="UACCT41020SO" localSheetId="2">'[16]Functional Study'!#REF!</definedName>
    <definedName name="UACCT41020SO" localSheetId="3">'[16]Functional Study'!#REF!</definedName>
    <definedName name="UACCT41020SO" localSheetId="5">'[16]Functional Study'!#REF!</definedName>
    <definedName name="UACCT41020SO" localSheetId="7">'[16]Functional Study'!#REF!</definedName>
    <definedName name="UACCT41020SO" localSheetId="8">'[16]Functional Study'!#REF!</definedName>
    <definedName name="UACCT41020SO" localSheetId="17">'[16]Functional Study'!#REF!</definedName>
    <definedName name="UACCT41020SO" localSheetId="20">'[16]Functional Study'!#REF!</definedName>
    <definedName name="UACCT41020SO" localSheetId="36">'[17]Functional Study'!#REF!</definedName>
    <definedName name="UACCT41020SO">'[16]Functional Study'!#REF!</definedName>
    <definedName name="UACCT41020TROJP" localSheetId="1">'[16]Functional Study'!#REF!</definedName>
    <definedName name="UACCT41020TROJP" localSheetId="2">'[16]Functional Study'!#REF!</definedName>
    <definedName name="UACCT41020TROJP" localSheetId="3">'[16]Functional Study'!#REF!</definedName>
    <definedName name="UACCT41020TROJP" localSheetId="5">'[16]Functional Study'!#REF!</definedName>
    <definedName name="UACCT41020TROJP" localSheetId="7">'[16]Functional Study'!#REF!</definedName>
    <definedName name="UACCT41020TROJP" localSheetId="8">'[16]Functional Study'!#REF!</definedName>
    <definedName name="UACCT41020TROJP" localSheetId="17">'[16]Functional Study'!#REF!</definedName>
    <definedName name="UACCT41020TROJP" localSheetId="20">'[16]Functional Study'!#REF!</definedName>
    <definedName name="UACCT41020TROJP" localSheetId="36">'[17]Functional Study'!#REF!</definedName>
    <definedName name="UACCT41020TROJP">'[16]Functional Study'!#REF!</definedName>
    <definedName name="UACCT4102SNPD" localSheetId="1">'[16]Functional Study'!#REF!</definedName>
    <definedName name="UACCT4102SNPD" localSheetId="2">'[16]Functional Study'!#REF!</definedName>
    <definedName name="UACCT4102SNPD" localSheetId="3">'[16]Functional Study'!#REF!</definedName>
    <definedName name="UACCT4102SNPD" localSheetId="5">'[16]Functional Study'!#REF!</definedName>
    <definedName name="UACCT4102SNPD" localSheetId="7">'[16]Functional Study'!#REF!</definedName>
    <definedName name="UACCT4102SNPD" localSheetId="8">'[16]Functional Study'!#REF!</definedName>
    <definedName name="UACCT4102SNPD" localSheetId="17">'[16]Functional Study'!#REF!</definedName>
    <definedName name="UACCT4102SNPD" localSheetId="20">'[16]Functional Study'!#REF!</definedName>
    <definedName name="UACCT4102SNPD" localSheetId="36">'[17]Functional Study'!#REF!</definedName>
    <definedName name="UACCT4102SNPD">'[16]Functional Study'!#REF!</definedName>
    <definedName name="UAcct41110" localSheetId="19">'[12]Func Study'!$AB$1325</definedName>
    <definedName name="UAcct41110" localSheetId="4">'[14]Func Study'!$AB$1325</definedName>
    <definedName name="UAcct41110">'[15]Func Study'!$AB$1325</definedName>
    <definedName name="UAcct41111" localSheetId="19">'[12]Func Study'!$AB$1340</definedName>
    <definedName name="UAcct41111" localSheetId="1">'[16]Functional Study'!#REF!</definedName>
    <definedName name="UAcct41111" localSheetId="2">'[16]Functional Study'!#REF!</definedName>
    <definedName name="UAcct41111" localSheetId="4">'[14]Func Study'!$AB$1340</definedName>
    <definedName name="UAcct41111" localSheetId="3">'[16]Functional Study'!#REF!</definedName>
    <definedName name="UAcct41111" localSheetId="5">'[16]Functional Study'!#REF!</definedName>
    <definedName name="UAcct41111" localSheetId="7">'[16]Functional Study'!#REF!</definedName>
    <definedName name="UAcct41111" localSheetId="8">'[16]Functional Study'!#REF!</definedName>
    <definedName name="UAcct41111" localSheetId="37">'[16]Functional Study'!#REF!</definedName>
    <definedName name="UAcct41111" localSheetId="17">'[16]Functional Study'!#REF!</definedName>
    <definedName name="UAcct41111" localSheetId="20">'[16]Functional Study'!#REF!</definedName>
    <definedName name="UAcct41111" localSheetId="36">'[17]Functional Study'!#REF!</definedName>
    <definedName name="UAcct41111">'[16]Functional Study'!#REF!</definedName>
    <definedName name="UAcct41111Baddebt" localSheetId="1">'[16]Functional Study'!#REF!</definedName>
    <definedName name="UAcct41111Baddebt" localSheetId="2">'[16]Functional Study'!#REF!</definedName>
    <definedName name="UAcct41111Baddebt" localSheetId="4">'[16]Functional Study'!#REF!</definedName>
    <definedName name="UAcct41111Baddebt" localSheetId="3">'[16]Functional Study'!#REF!</definedName>
    <definedName name="UAcct41111Baddebt" localSheetId="5">'[16]Functional Study'!#REF!</definedName>
    <definedName name="UAcct41111Baddebt" localSheetId="7">'[16]Functional Study'!#REF!</definedName>
    <definedName name="UAcct41111Baddebt" localSheetId="8">'[16]Functional Study'!#REF!</definedName>
    <definedName name="UAcct41111Baddebt" localSheetId="17">'[16]Functional Study'!#REF!</definedName>
    <definedName name="UAcct41111Baddebt" localSheetId="20">'[16]Functional Study'!#REF!</definedName>
    <definedName name="UAcct41111Baddebt" localSheetId="36">'[17]Functional Study'!#REF!</definedName>
    <definedName name="UAcct41111Baddebt">'[16]Functional Study'!#REF!</definedName>
    <definedName name="UAcct41111Dgp" localSheetId="1">'[16]Functional Study'!#REF!</definedName>
    <definedName name="UAcct41111Dgp" localSheetId="2">'[16]Functional Study'!#REF!</definedName>
    <definedName name="UAcct41111Dgp" localSheetId="3">'[16]Functional Study'!#REF!</definedName>
    <definedName name="UAcct41111Dgp" localSheetId="5">'[16]Functional Study'!#REF!</definedName>
    <definedName name="UAcct41111Dgp" localSheetId="7">'[16]Functional Study'!#REF!</definedName>
    <definedName name="UAcct41111Dgp" localSheetId="8">'[16]Functional Study'!#REF!</definedName>
    <definedName name="UAcct41111Dgp" localSheetId="17">'[16]Functional Study'!#REF!</definedName>
    <definedName name="UAcct41111Dgp" localSheetId="20">'[16]Functional Study'!#REF!</definedName>
    <definedName name="UAcct41111Dgp" localSheetId="36">'[17]Functional Study'!#REF!</definedName>
    <definedName name="UAcct41111Dgp">'[16]Functional Study'!#REF!</definedName>
    <definedName name="UAcct41111Dgu" localSheetId="1">'[16]Functional Study'!#REF!</definedName>
    <definedName name="UAcct41111Dgu" localSheetId="2">'[16]Functional Study'!#REF!</definedName>
    <definedName name="UAcct41111Dgu" localSheetId="3">'[16]Functional Study'!#REF!</definedName>
    <definedName name="UAcct41111Dgu" localSheetId="5">'[16]Functional Study'!#REF!</definedName>
    <definedName name="UAcct41111Dgu" localSheetId="7">'[16]Functional Study'!#REF!</definedName>
    <definedName name="UAcct41111Dgu" localSheetId="8">'[16]Functional Study'!#REF!</definedName>
    <definedName name="UAcct41111Dgu" localSheetId="17">'[16]Functional Study'!#REF!</definedName>
    <definedName name="UAcct41111Dgu" localSheetId="20">'[16]Functional Study'!#REF!</definedName>
    <definedName name="UAcct41111Dgu" localSheetId="36">'[17]Functional Study'!#REF!</definedName>
    <definedName name="UAcct41111Dgu">'[16]Functional Study'!#REF!</definedName>
    <definedName name="UAcct41111Ditexp" localSheetId="1">'[16]Functional Study'!#REF!</definedName>
    <definedName name="UAcct41111Ditexp" localSheetId="2">'[16]Functional Study'!#REF!</definedName>
    <definedName name="UAcct41111Ditexp" localSheetId="3">'[16]Functional Study'!#REF!</definedName>
    <definedName name="UAcct41111Ditexp" localSheetId="5">'[16]Functional Study'!#REF!</definedName>
    <definedName name="UAcct41111Ditexp" localSheetId="7">'[16]Functional Study'!#REF!</definedName>
    <definedName name="UAcct41111Ditexp" localSheetId="8">'[16]Functional Study'!#REF!</definedName>
    <definedName name="UAcct41111Ditexp" localSheetId="17">'[16]Functional Study'!#REF!</definedName>
    <definedName name="UAcct41111Ditexp" localSheetId="20">'[16]Functional Study'!#REF!</definedName>
    <definedName name="UAcct41111Ditexp" localSheetId="36">'[17]Functional Study'!#REF!</definedName>
    <definedName name="UAcct41111Ditexp">'[16]Functional Study'!#REF!</definedName>
    <definedName name="UAcct41111Dnpp" localSheetId="1">'[16]Functional Study'!#REF!</definedName>
    <definedName name="UAcct41111Dnpp" localSheetId="2">'[16]Functional Study'!#REF!</definedName>
    <definedName name="UAcct41111Dnpp" localSheetId="3">'[16]Functional Study'!#REF!</definedName>
    <definedName name="UAcct41111Dnpp" localSheetId="5">'[16]Functional Study'!#REF!</definedName>
    <definedName name="UAcct41111Dnpp" localSheetId="7">'[16]Functional Study'!#REF!</definedName>
    <definedName name="UAcct41111Dnpp" localSheetId="8">'[16]Functional Study'!#REF!</definedName>
    <definedName name="UAcct41111Dnpp" localSheetId="17">'[16]Functional Study'!#REF!</definedName>
    <definedName name="UAcct41111Dnpp" localSheetId="20">'[16]Functional Study'!#REF!</definedName>
    <definedName name="UAcct41111Dnpp" localSheetId="36">'[17]Functional Study'!#REF!</definedName>
    <definedName name="UAcct41111Dnpp">'[16]Functional Study'!#REF!</definedName>
    <definedName name="UAcct41111Dnptp" localSheetId="1">'[16]Functional Study'!#REF!</definedName>
    <definedName name="UAcct41111Dnptp" localSheetId="2">'[16]Functional Study'!#REF!</definedName>
    <definedName name="UAcct41111Dnptp" localSheetId="3">'[16]Functional Study'!#REF!</definedName>
    <definedName name="UAcct41111Dnptp" localSheetId="5">'[16]Functional Study'!#REF!</definedName>
    <definedName name="UAcct41111Dnptp" localSheetId="7">'[16]Functional Study'!#REF!</definedName>
    <definedName name="UAcct41111Dnptp" localSheetId="8">'[16]Functional Study'!#REF!</definedName>
    <definedName name="UAcct41111Dnptp" localSheetId="17">'[16]Functional Study'!#REF!</definedName>
    <definedName name="UAcct41111Dnptp" localSheetId="20">'[16]Functional Study'!#REF!</definedName>
    <definedName name="UAcct41111Dnptp" localSheetId="36">'[17]Functional Study'!#REF!</definedName>
    <definedName name="UAcct41111Dnptp">'[16]Functional Study'!#REF!</definedName>
    <definedName name="UAcct41111S" localSheetId="1">'[16]Functional Study'!#REF!</definedName>
    <definedName name="UAcct41111S" localSheetId="2">'[16]Functional Study'!#REF!</definedName>
    <definedName name="UAcct41111S" localSheetId="3">'[16]Functional Study'!#REF!</definedName>
    <definedName name="UAcct41111S" localSheetId="5">'[16]Functional Study'!#REF!</definedName>
    <definedName name="UAcct41111S" localSheetId="7">'[16]Functional Study'!#REF!</definedName>
    <definedName name="UAcct41111S" localSheetId="8">'[16]Functional Study'!#REF!</definedName>
    <definedName name="UAcct41111S" localSheetId="17">'[16]Functional Study'!#REF!</definedName>
    <definedName name="UAcct41111S" localSheetId="20">'[16]Functional Study'!#REF!</definedName>
    <definedName name="UAcct41111S" localSheetId="36">'[17]Functional Study'!#REF!</definedName>
    <definedName name="UAcct41111S">'[16]Functional Study'!#REF!</definedName>
    <definedName name="UAcct41111Se" localSheetId="1">'[16]Functional Study'!#REF!</definedName>
    <definedName name="UAcct41111Se" localSheetId="2">'[16]Functional Study'!#REF!</definedName>
    <definedName name="UAcct41111Se" localSheetId="3">'[16]Functional Study'!#REF!</definedName>
    <definedName name="UAcct41111Se" localSheetId="5">'[16]Functional Study'!#REF!</definedName>
    <definedName name="UAcct41111Se" localSheetId="7">'[16]Functional Study'!#REF!</definedName>
    <definedName name="UAcct41111Se" localSheetId="8">'[16]Functional Study'!#REF!</definedName>
    <definedName name="UAcct41111Se" localSheetId="17">'[16]Functional Study'!#REF!</definedName>
    <definedName name="UAcct41111Se" localSheetId="20">'[16]Functional Study'!#REF!</definedName>
    <definedName name="UAcct41111Se" localSheetId="36">'[17]Functional Study'!#REF!</definedName>
    <definedName name="UAcct41111Se">'[16]Functional Study'!#REF!</definedName>
    <definedName name="UAcct41111Sg" localSheetId="1">'[16]Functional Study'!#REF!</definedName>
    <definedName name="UAcct41111Sg" localSheetId="2">'[16]Functional Study'!#REF!</definedName>
    <definedName name="UAcct41111Sg" localSheetId="3">'[16]Functional Study'!#REF!</definedName>
    <definedName name="UAcct41111Sg" localSheetId="5">'[16]Functional Study'!#REF!</definedName>
    <definedName name="UAcct41111Sg" localSheetId="7">'[16]Functional Study'!#REF!</definedName>
    <definedName name="UAcct41111Sg" localSheetId="8">'[16]Functional Study'!#REF!</definedName>
    <definedName name="UAcct41111Sg" localSheetId="17">'[16]Functional Study'!#REF!</definedName>
    <definedName name="UAcct41111Sg" localSheetId="20">'[16]Functional Study'!#REF!</definedName>
    <definedName name="UAcct41111Sg" localSheetId="36">'[17]Functional Study'!#REF!</definedName>
    <definedName name="UAcct41111Sg">'[16]Functional Study'!#REF!</definedName>
    <definedName name="UAcct41111Sgpp" localSheetId="1">'[16]Functional Study'!#REF!</definedName>
    <definedName name="UAcct41111Sgpp" localSheetId="2">'[16]Functional Study'!#REF!</definedName>
    <definedName name="UAcct41111Sgpp" localSheetId="3">'[16]Functional Study'!#REF!</definedName>
    <definedName name="UAcct41111Sgpp" localSheetId="5">'[16]Functional Study'!#REF!</definedName>
    <definedName name="UAcct41111Sgpp" localSheetId="7">'[16]Functional Study'!#REF!</definedName>
    <definedName name="UAcct41111Sgpp" localSheetId="8">'[16]Functional Study'!#REF!</definedName>
    <definedName name="UAcct41111Sgpp" localSheetId="17">'[16]Functional Study'!#REF!</definedName>
    <definedName name="UAcct41111Sgpp" localSheetId="20">'[16]Functional Study'!#REF!</definedName>
    <definedName name="UAcct41111Sgpp" localSheetId="36">'[17]Functional Study'!#REF!</definedName>
    <definedName name="UAcct41111Sgpp">'[16]Functional Study'!#REF!</definedName>
    <definedName name="UAcct41111So" localSheetId="1">'[16]Functional Study'!#REF!</definedName>
    <definedName name="UAcct41111So" localSheetId="2">'[16]Functional Study'!#REF!</definedName>
    <definedName name="UAcct41111So" localSheetId="3">'[16]Functional Study'!#REF!</definedName>
    <definedName name="UAcct41111So" localSheetId="5">'[16]Functional Study'!#REF!</definedName>
    <definedName name="UAcct41111So" localSheetId="7">'[16]Functional Study'!#REF!</definedName>
    <definedName name="UAcct41111So" localSheetId="8">'[16]Functional Study'!#REF!</definedName>
    <definedName name="UAcct41111So" localSheetId="17">'[16]Functional Study'!#REF!</definedName>
    <definedName name="UAcct41111So" localSheetId="20">'[16]Functional Study'!#REF!</definedName>
    <definedName name="UAcct41111So" localSheetId="36">'[17]Functional Study'!#REF!</definedName>
    <definedName name="UAcct41111So">'[16]Functional Study'!#REF!</definedName>
    <definedName name="UAcct41111Trojp" localSheetId="1">'[16]Functional Study'!#REF!</definedName>
    <definedName name="UAcct41111Trojp" localSheetId="2">'[16]Functional Study'!#REF!</definedName>
    <definedName name="UAcct41111Trojp" localSheetId="3">'[16]Functional Study'!#REF!</definedName>
    <definedName name="UAcct41111Trojp" localSheetId="5">'[16]Functional Study'!#REF!</definedName>
    <definedName name="UAcct41111Trojp" localSheetId="7">'[16]Functional Study'!#REF!</definedName>
    <definedName name="UAcct41111Trojp" localSheetId="8">'[16]Functional Study'!#REF!</definedName>
    <definedName name="UAcct41111Trojp" localSheetId="17">'[16]Functional Study'!#REF!</definedName>
    <definedName name="UAcct41111Trojp" localSheetId="20">'[16]Functional Study'!#REF!</definedName>
    <definedName name="UAcct41111Trojp" localSheetId="36">'[17]Functional Study'!#REF!</definedName>
    <definedName name="UAcct41111Trojp">'[16]Functional Study'!#REF!</definedName>
    <definedName name="UAcct41140" localSheetId="19">'[12]Func Study'!$AB$1232</definedName>
    <definedName name="UAcct41140" localSheetId="4">'[14]Func Study'!$AB$1232</definedName>
    <definedName name="UAcct41140">'[15]Func Study'!$AB$1232</definedName>
    <definedName name="UAcct41141" localSheetId="19">'[12]Func Study'!$AB$1237</definedName>
    <definedName name="UAcct41141" localSheetId="4">'[14]Func Study'!$AB$1237</definedName>
    <definedName name="UAcct41141">'[15]Func Study'!$AB$1237</definedName>
    <definedName name="UAcct41160" localSheetId="19">'[12]Func Study'!$AB$369</definedName>
    <definedName name="UAcct41160" localSheetId="4">'[14]Func Study'!$AB$369</definedName>
    <definedName name="UAcct41160">'[15]Func Study'!$AB$369</definedName>
    <definedName name="UAcct41170" localSheetId="19">'[12]Func Study'!$AB$374</definedName>
    <definedName name="UAcct41170" localSheetId="4">'[14]Func Study'!$AB$374</definedName>
    <definedName name="UAcct41170">'[15]Func Study'!$AB$374</definedName>
    <definedName name="UAcct4118" localSheetId="19">'[12]Func Study'!$AB$378</definedName>
    <definedName name="UAcct4118" localSheetId="4">'[14]Func Study'!$AB$378</definedName>
    <definedName name="UAcct4118">'[15]Func Study'!$AB$378</definedName>
    <definedName name="UAcct41181" localSheetId="19">'[12]Func Study'!$AB$381</definedName>
    <definedName name="UAcct41181" localSheetId="4">'[14]Func Study'!$AB$381</definedName>
    <definedName name="UAcct41181">'[15]Func Study'!$AB$381</definedName>
    <definedName name="UAcct4194" localSheetId="19">'[12]Func Study'!$AB$385</definedName>
    <definedName name="UAcct4194" localSheetId="4">'[14]Func Study'!$AB$385</definedName>
    <definedName name="UAcct4194">'[15]Func Study'!$AB$385</definedName>
    <definedName name="UAcct421" localSheetId="19">'[12]Func Study'!$AB$394</definedName>
    <definedName name="UAcct421" localSheetId="4">'[14]Func Study'!$AB$394</definedName>
    <definedName name="UAcct421">'[15]Func Study'!$AB$394</definedName>
    <definedName name="UAcct4311" localSheetId="19">'[12]Func Study'!$AB$401</definedName>
    <definedName name="UAcct4311" localSheetId="4">'[14]Func Study'!$AB$401</definedName>
    <definedName name="UAcct4311">'[15]Func Study'!$AB$401</definedName>
    <definedName name="UAcct442Se" localSheetId="19">'[12]Func Study'!$AB$259</definedName>
    <definedName name="UAcct442Se" localSheetId="4">'[14]Func Study'!$AB$259</definedName>
    <definedName name="UAcct442Se">'[15]Func Study'!$AB$259</definedName>
    <definedName name="UAcct442Sg" localSheetId="19">'[12]Func Study'!$AB$260</definedName>
    <definedName name="UAcct442Sg" localSheetId="4">'[14]Func Study'!$AB$260</definedName>
    <definedName name="UAcct442Sg">'[15]Func Study'!$AB$260</definedName>
    <definedName name="UAcct447" localSheetId="19">'[12]Func Study'!$AB$281</definedName>
    <definedName name="UAcct447" localSheetId="4">'[14]Func Study'!$AB$281</definedName>
    <definedName name="UAcct447">'[15]Func Study'!$AB$281</definedName>
    <definedName name="UAcct447CAEE" localSheetId="1">'[11]Func Study'!#REF!</definedName>
    <definedName name="UAcct447CAEE" localSheetId="2">'[11]Func Study'!#REF!</definedName>
    <definedName name="UAcct447CAEE" localSheetId="4">'[11]Func Study'!#REF!</definedName>
    <definedName name="UAcct447CAEE" localSheetId="3">'[11]Func Study'!#REF!</definedName>
    <definedName name="UAcct447CAEE" localSheetId="5">'[11]Func Study'!#REF!</definedName>
    <definedName name="UAcct447CAEE" localSheetId="7">'[11]Func Study'!#REF!</definedName>
    <definedName name="UAcct447CAEE" localSheetId="8">'[11]Func Study'!#REF!</definedName>
    <definedName name="UAcct447CAEE" localSheetId="37">'[11]Func Study'!#REF!</definedName>
    <definedName name="UAcct447CAEE" localSheetId="17">'[11]Func Study'!#REF!</definedName>
    <definedName name="UAcct447CAEE" localSheetId="20">'[11]Func Study'!#REF!</definedName>
    <definedName name="UAcct447CAEE" localSheetId="36">'[11]Func Study'!#REF!</definedName>
    <definedName name="UAcct447CAEE">'[11]Func Study'!#REF!</definedName>
    <definedName name="UAcct447CAGE" localSheetId="1">'[11]Func Study'!#REF!</definedName>
    <definedName name="UAcct447CAGE" localSheetId="2">'[11]Func Study'!#REF!</definedName>
    <definedName name="UAcct447CAGE" localSheetId="4">'[11]Func Study'!#REF!</definedName>
    <definedName name="UAcct447CAGE" localSheetId="3">'[11]Func Study'!#REF!</definedName>
    <definedName name="UAcct447CAGE" localSheetId="5">'[11]Func Study'!#REF!</definedName>
    <definedName name="UAcct447CAGE" localSheetId="7">'[11]Func Study'!#REF!</definedName>
    <definedName name="UAcct447CAGE" localSheetId="8">'[11]Func Study'!#REF!</definedName>
    <definedName name="UAcct447CAGE" localSheetId="17">'[11]Func Study'!#REF!</definedName>
    <definedName name="UAcct447CAGE" localSheetId="20">'[11]Func Study'!#REF!</definedName>
    <definedName name="UAcct447CAGE">'[11]Func Study'!#REF!</definedName>
    <definedName name="UAcct447Dgu" localSheetId="1">'[13]Func Study'!#REF!</definedName>
    <definedName name="UAcct447Dgu" localSheetId="2">'[13]Func Study'!#REF!</definedName>
    <definedName name="UAcct447Dgu" localSheetId="3">'[13]Func Study'!#REF!</definedName>
    <definedName name="UAcct447Dgu" localSheetId="5">'[13]Func Study'!#REF!</definedName>
    <definedName name="UAcct447Dgu" localSheetId="7">'[13]Func Study'!#REF!</definedName>
    <definedName name="UAcct447Dgu" localSheetId="8">'[13]Func Study'!#REF!</definedName>
    <definedName name="UAcct447Dgu" localSheetId="17">'[13]Func Study'!#REF!</definedName>
    <definedName name="UAcct447Dgu" localSheetId="20">'[13]Func Study'!#REF!</definedName>
    <definedName name="UAcct447Dgu">'[13]Func Study'!#REF!</definedName>
    <definedName name="UACCT447NPC" localSheetId="19">'[12]Func Study'!$AB$289</definedName>
    <definedName name="UACCT447NPC" localSheetId="4">'[14]Func Study'!$AB$289</definedName>
    <definedName name="UACCT447NPC">'[15]Func Study'!$AB$289</definedName>
    <definedName name="UACCT447NPCCAEW" localSheetId="19">'[12]Func Study'!$AB$286</definedName>
    <definedName name="UACCT447NPCCAEW" localSheetId="4">'[14]Func Study'!$AB$286</definedName>
    <definedName name="UACCT447NPCCAEW">'[15]Func Study'!$AB$286</definedName>
    <definedName name="UACCT447NPCCAGW" localSheetId="19">'[12]Func Study'!$AB$287</definedName>
    <definedName name="UACCT447NPCCAGW" localSheetId="4">'[14]Func Study'!$AB$287</definedName>
    <definedName name="UACCT447NPCCAGW">'[15]Func Study'!$AB$287</definedName>
    <definedName name="UACCT447NPCDGP" localSheetId="19">'[12]Func Study'!$AB$288</definedName>
    <definedName name="UACCT447NPCDGP" localSheetId="4">'[14]Func Study'!$AB$288</definedName>
    <definedName name="UACCT447NPCDGP">'[15]Func Study'!$AB$288</definedName>
    <definedName name="UAcct447S" localSheetId="19">'[12]Func Study'!$AB$280</definedName>
    <definedName name="UAcct447S" localSheetId="4">'[14]Func Study'!$AB$280</definedName>
    <definedName name="UAcct447S">'[15]Func Study'!$AB$280</definedName>
    <definedName name="UAcct448S" localSheetId="19">'[12]Func Study'!$AB$274</definedName>
    <definedName name="UAcct448S" localSheetId="4">'[14]Func Study'!$AB$274</definedName>
    <definedName name="UAcct448S">'[15]Func Study'!$AB$274</definedName>
    <definedName name="UAcct448So" localSheetId="19">'[12]Func Study'!$AB$275</definedName>
    <definedName name="UAcct448So" localSheetId="4">'[14]Func Study'!$AB$275</definedName>
    <definedName name="UAcct448So">'[15]Func Study'!$AB$275</definedName>
    <definedName name="UAcct449" localSheetId="19">'[12]Func Study'!$AB$294</definedName>
    <definedName name="UAcct449" localSheetId="4">'[14]Func Study'!$AB$294</definedName>
    <definedName name="UAcct449">'[15]Func Study'!$AB$294</definedName>
    <definedName name="UAcct450" localSheetId="19">'[12]Func Study'!$AB$304</definedName>
    <definedName name="UAcct450" localSheetId="4">'[14]Func Study'!$AB$304</definedName>
    <definedName name="UAcct450">'[15]Func Study'!$AB$304</definedName>
    <definedName name="UAcct450S" localSheetId="19">'[12]Func Study'!$AB$302</definedName>
    <definedName name="UAcct450S" localSheetId="4">'[14]Func Study'!$AB$302</definedName>
    <definedName name="UAcct450S">'[15]Func Study'!$AB$302</definedName>
    <definedName name="UAcct450So" localSheetId="19">'[12]Func Study'!$AB$303</definedName>
    <definedName name="UAcct450So" localSheetId="4">'[14]Func Study'!$AB$303</definedName>
    <definedName name="UAcct450So">'[15]Func Study'!$AB$303</definedName>
    <definedName name="UAcct451S" localSheetId="19">'[12]Func Study'!$AB$307</definedName>
    <definedName name="UAcct451S" localSheetId="4">'[14]Func Study'!$AB$307</definedName>
    <definedName name="UAcct451S">'[15]Func Study'!$AB$307</definedName>
    <definedName name="UAcct451Sg" localSheetId="19">'[12]Func Study'!$AB$308</definedName>
    <definedName name="UAcct451Sg" localSheetId="4">'[14]Func Study'!$AB$308</definedName>
    <definedName name="UAcct451Sg">'[15]Func Study'!$AB$308</definedName>
    <definedName name="UAcct451So" localSheetId="19">'[12]Func Study'!$AB$309</definedName>
    <definedName name="UAcct451So" localSheetId="4">'[14]Func Study'!$AB$309</definedName>
    <definedName name="UAcct451So">'[15]Func Study'!$AB$309</definedName>
    <definedName name="UAcct453" localSheetId="19">'[12]Func Study'!$AB$315</definedName>
    <definedName name="UAcct453" localSheetId="4">'[14]Func Study'!$AB$315</definedName>
    <definedName name="UAcct453">'[15]Func Study'!$AB$315</definedName>
    <definedName name="UAcct453CAGE" localSheetId="1">'[11]Func Study'!#REF!</definedName>
    <definedName name="UAcct453CAGE" localSheetId="2">'[11]Func Study'!#REF!</definedName>
    <definedName name="UAcct453CAGE" localSheetId="4">'[11]Func Study'!#REF!</definedName>
    <definedName name="UAcct453CAGE" localSheetId="3">'[11]Func Study'!#REF!</definedName>
    <definedName name="UAcct453CAGE" localSheetId="5">'[11]Func Study'!#REF!</definedName>
    <definedName name="UAcct453CAGE" localSheetId="7">'[11]Func Study'!#REF!</definedName>
    <definedName name="UAcct453CAGE" localSheetId="8">'[11]Func Study'!#REF!</definedName>
    <definedName name="UAcct453CAGE" localSheetId="37">'[11]Func Study'!#REF!</definedName>
    <definedName name="UAcct453CAGE" localSheetId="17">'[11]Func Study'!#REF!</definedName>
    <definedName name="UAcct453CAGE" localSheetId="20">'[11]Func Study'!#REF!</definedName>
    <definedName name="UAcct453CAGE" localSheetId="36">'[11]Func Study'!#REF!</definedName>
    <definedName name="UAcct453CAGE">'[11]Func Study'!#REF!</definedName>
    <definedName name="UAcct453CAGW" localSheetId="1">'[11]Func Study'!#REF!</definedName>
    <definedName name="UAcct453CAGW" localSheetId="2">'[11]Func Study'!#REF!</definedName>
    <definedName name="UAcct453CAGW" localSheetId="4">'[11]Func Study'!#REF!</definedName>
    <definedName name="UAcct453CAGW" localSheetId="3">'[11]Func Study'!#REF!</definedName>
    <definedName name="UAcct453CAGW" localSheetId="5">'[11]Func Study'!#REF!</definedName>
    <definedName name="UAcct453CAGW" localSheetId="7">'[11]Func Study'!#REF!</definedName>
    <definedName name="UAcct453CAGW" localSheetId="8">'[11]Func Study'!#REF!</definedName>
    <definedName name="UAcct453CAGW" localSheetId="17">'[11]Func Study'!#REF!</definedName>
    <definedName name="UAcct453CAGW" localSheetId="20">'[11]Func Study'!#REF!</definedName>
    <definedName name="UAcct453CAGW">'[11]Func Study'!#REF!</definedName>
    <definedName name="UAcct454" localSheetId="19">'[12]Func Study'!$AB$322</definedName>
    <definedName name="UAcct454" localSheetId="4">'[14]Func Study'!$AB$322</definedName>
    <definedName name="UAcct454">'[15]Func Study'!$AB$322</definedName>
    <definedName name="UAcct454JBG" localSheetId="19">'[12]Func Study'!$AB$319</definedName>
    <definedName name="UAcct454JBG" localSheetId="4">'[14]Func Study'!$AB$319</definedName>
    <definedName name="UAcct454JBG">'[15]Func Study'!$AB$319</definedName>
    <definedName name="UAcct454S" localSheetId="19">'[12]Func Study'!$AB$318</definedName>
    <definedName name="UAcct454S" localSheetId="4">'[14]Func Study'!$AB$318</definedName>
    <definedName name="UAcct454S">'[15]Func Study'!$AB$318</definedName>
    <definedName name="UAcct454Sg" localSheetId="19">'[12]Func Study'!$AB$320</definedName>
    <definedName name="UAcct454Sg" localSheetId="4">'[14]Func Study'!$AB$320</definedName>
    <definedName name="UAcct454Sg">'[15]Func Study'!$AB$320</definedName>
    <definedName name="UAcct454So" localSheetId="19">'[12]Func Study'!$AB$321</definedName>
    <definedName name="UAcct454So" localSheetId="4">'[14]Func Study'!$AB$321</definedName>
    <definedName name="UAcct454So">'[15]Func Study'!$AB$321</definedName>
    <definedName name="UAcct456" localSheetId="19">'[12]Func Study'!$AB$332</definedName>
    <definedName name="UAcct456" localSheetId="4">'[14]Func Study'!$AB$332</definedName>
    <definedName name="UAcct456">'[15]Func Study'!$AB$332</definedName>
    <definedName name="UAcct456CAEW" localSheetId="19">'[12]Func Study'!$AB$331</definedName>
    <definedName name="UAcct456CAEW" localSheetId="4">'[14]Func Study'!$AB$331</definedName>
    <definedName name="UAcct456CAEW">'[15]Func Study'!$AB$331</definedName>
    <definedName name="UAcct456S" localSheetId="19">'[12]Func Study'!$AB$325</definedName>
    <definedName name="UAcct456S" localSheetId="4">'[14]Func Study'!$AB$325</definedName>
    <definedName name="UAcct456S">'[15]Func Study'!$AB$325</definedName>
    <definedName name="UAcct456So" localSheetId="19">'[12]Func Study'!$AB$329</definedName>
    <definedName name="UAcct456So" localSheetId="4">'[14]Func Study'!$AB$329</definedName>
    <definedName name="UAcct456So">'[15]Func Study'!$AB$329</definedName>
    <definedName name="UAcct500" localSheetId="19">'[12]Func Study'!$AB$416</definedName>
    <definedName name="UAcct500" localSheetId="4">'[14]Func Study'!$AB$416</definedName>
    <definedName name="UAcct500">'[15]Func Study'!$AB$416</definedName>
    <definedName name="UAcct500JBG" localSheetId="19">'[12]Func Study'!$AB$414</definedName>
    <definedName name="UAcct500JBG" localSheetId="4">'[14]Func Study'!$AB$414</definedName>
    <definedName name="UAcct500JBG">'[15]Func Study'!$AB$414</definedName>
    <definedName name="UAcct501" localSheetId="19">'[12]Func Study'!$AB$423</definedName>
    <definedName name="UAcct501" localSheetId="4">'[14]Func Study'!$AB$423</definedName>
    <definedName name="UAcct501">'[15]Func Study'!$AB$423</definedName>
    <definedName name="UAcct501CAEW" localSheetId="19">'[12]Func Study'!$AB$420</definedName>
    <definedName name="UAcct501CAEW" localSheetId="4">'[14]Func Study'!$AB$420</definedName>
    <definedName name="UAcct501CAEW">'[15]Func Study'!$AB$420</definedName>
    <definedName name="UAcct501JBE" localSheetId="19">'[12]Func Study'!$AB$421</definedName>
    <definedName name="UAcct501JBE" localSheetId="4">'[14]Func Study'!$AB$421</definedName>
    <definedName name="UAcct501JBE">'[15]Func Study'!$AB$421</definedName>
    <definedName name="UACCT501NPCCAEW" localSheetId="19">'[12]Func Study'!$AB$426</definedName>
    <definedName name="UACCT501NPCCAEW" localSheetId="4">'[14]Func Study'!$AB$426</definedName>
    <definedName name="UACCT501NPCCAEW">'[15]Func Study'!$AB$426</definedName>
    <definedName name="UAcct502" localSheetId="19">'[12]Func Study'!$AB$433</definedName>
    <definedName name="UAcct502" localSheetId="4">'[14]Func Study'!$AB$433</definedName>
    <definedName name="UAcct502">'[15]Func Study'!$AB$433</definedName>
    <definedName name="UAcct502CAGE" localSheetId="19">'[12]Func Study'!$AB$431</definedName>
    <definedName name="UAcct502CAGE" localSheetId="4">'[14]Func Study'!$AB$431</definedName>
    <definedName name="UAcct502CAGE">'[15]Func Study'!$AB$431</definedName>
    <definedName name="UAcct502JBG" localSheetId="1">'[11]Func Study'!#REF!</definedName>
    <definedName name="UAcct502JBG" localSheetId="2">'[11]Func Study'!#REF!</definedName>
    <definedName name="UAcct502JBG" localSheetId="4">'[11]Func Study'!#REF!</definedName>
    <definedName name="UAcct502JBG" localSheetId="3">'[11]Func Study'!#REF!</definedName>
    <definedName name="UAcct502JBG" localSheetId="5">'[11]Func Study'!#REF!</definedName>
    <definedName name="UAcct502JBG" localSheetId="7">'[11]Func Study'!#REF!</definedName>
    <definedName name="UAcct502JBG" localSheetId="8">'[11]Func Study'!#REF!</definedName>
    <definedName name="UAcct502JBG" localSheetId="37">'[11]Func Study'!#REF!</definedName>
    <definedName name="UAcct502JBG" localSheetId="17">'[11]Func Study'!#REF!</definedName>
    <definedName name="UAcct502JBG" localSheetId="20">'[11]Func Study'!#REF!</definedName>
    <definedName name="UAcct502JBG" localSheetId="36">'[11]Func Study'!#REF!</definedName>
    <definedName name="UAcct502JBG">'[11]Func Study'!#REF!</definedName>
    <definedName name="UAcct503" localSheetId="19">'[12]Func Study'!$AB$437</definedName>
    <definedName name="UAcct503" localSheetId="4">'[14]Func Study'!$AB$437</definedName>
    <definedName name="UAcct503">'[15]Func Study'!$AB$437</definedName>
    <definedName name="UACCT503NPC" localSheetId="19">'[12]Func Study'!$AB$443</definedName>
    <definedName name="UACCT503NPC" localSheetId="4">'[14]Func Study'!$AB$443</definedName>
    <definedName name="UACCT503NPC">'[15]Func Study'!$AB$443</definedName>
    <definedName name="UAcct505" localSheetId="19">'[12]Func Study'!$AB$449</definedName>
    <definedName name="UAcct505" localSheetId="4">'[14]Func Study'!$AB$449</definedName>
    <definedName name="UAcct505">'[15]Func Study'!$AB$449</definedName>
    <definedName name="UAcct505CAGE" localSheetId="19">'[12]Func Study'!$AB$447</definedName>
    <definedName name="UAcct505CAGE" localSheetId="4">'[14]Func Study'!$AB$447</definedName>
    <definedName name="UAcct505CAGE">'[15]Func Study'!$AB$447</definedName>
    <definedName name="UAcct505JBG" localSheetId="1">'[11]Func Study'!#REF!</definedName>
    <definedName name="UAcct505JBG" localSheetId="2">'[11]Func Study'!#REF!</definedName>
    <definedName name="UAcct505JBG" localSheetId="4">'[11]Func Study'!#REF!</definedName>
    <definedName name="UAcct505JBG" localSheetId="3">'[11]Func Study'!#REF!</definedName>
    <definedName name="UAcct505JBG" localSheetId="5">'[11]Func Study'!#REF!</definedName>
    <definedName name="UAcct505JBG" localSheetId="7">'[11]Func Study'!#REF!</definedName>
    <definedName name="UAcct505JBG" localSheetId="8">'[11]Func Study'!#REF!</definedName>
    <definedName name="UAcct505JBG" localSheetId="37">'[11]Func Study'!#REF!</definedName>
    <definedName name="UAcct505JBG" localSheetId="17">'[11]Func Study'!#REF!</definedName>
    <definedName name="UAcct505JBG" localSheetId="20">'[11]Func Study'!#REF!</definedName>
    <definedName name="UAcct505JBG" localSheetId="36">'[11]Func Study'!#REF!</definedName>
    <definedName name="UAcct505JBG">'[11]Func Study'!#REF!</definedName>
    <definedName name="UAcct506" localSheetId="19">'[12]Func Study'!$AB$455</definedName>
    <definedName name="UAcct506" localSheetId="4">'[14]Func Study'!$AB$455</definedName>
    <definedName name="UAcct506">'[15]Func Study'!$AB$455</definedName>
    <definedName name="UAcct506CAGE" localSheetId="19">'[12]Func Study'!$AB$452</definedName>
    <definedName name="UAcct506CAGE" localSheetId="4">'[14]Func Study'!$AB$452</definedName>
    <definedName name="UAcct506CAGE">'[15]Func Study'!$AB$452</definedName>
    <definedName name="UAcct506JBG" localSheetId="1">'[11]Func Study'!#REF!</definedName>
    <definedName name="UAcct506JBG" localSheetId="2">'[11]Func Study'!#REF!</definedName>
    <definedName name="UAcct506JBG" localSheetId="4">'[11]Func Study'!#REF!</definedName>
    <definedName name="UAcct506JBG" localSheetId="3">'[11]Func Study'!#REF!</definedName>
    <definedName name="UAcct506JBG" localSheetId="5">'[11]Func Study'!#REF!</definedName>
    <definedName name="UAcct506JBG" localSheetId="7">'[11]Func Study'!#REF!</definedName>
    <definedName name="UAcct506JBG" localSheetId="8">'[11]Func Study'!#REF!</definedName>
    <definedName name="UAcct506JBG" localSheetId="37">'[11]Func Study'!#REF!</definedName>
    <definedName name="UAcct506JBG" localSheetId="17">'[11]Func Study'!#REF!</definedName>
    <definedName name="UAcct506JBG" localSheetId="20">'[11]Func Study'!#REF!</definedName>
    <definedName name="UAcct506JBG" localSheetId="36">'[11]Func Study'!#REF!</definedName>
    <definedName name="UAcct506JBG">'[11]Func Study'!#REF!</definedName>
    <definedName name="UAcct507" localSheetId="19">'[12]Func Study'!$AB$464</definedName>
    <definedName name="UAcct507" localSheetId="4">'[14]Func Study'!$AB$464</definedName>
    <definedName name="UAcct507">'[15]Func Study'!$AB$464</definedName>
    <definedName name="UAcct507CAGE" localSheetId="19">'[12]Func Study'!$AB$462</definedName>
    <definedName name="UAcct507CAGE" localSheetId="4">'[14]Func Study'!$AB$462</definedName>
    <definedName name="UAcct507CAGE">'[15]Func Study'!$AB$462</definedName>
    <definedName name="UAcct507JBG" localSheetId="1">'[11]Func Study'!#REF!</definedName>
    <definedName name="UAcct507JBG" localSheetId="2">'[11]Func Study'!#REF!</definedName>
    <definedName name="UAcct507JBG" localSheetId="4">'[11]Func Study'!#REF!</definedName>
    <definedName name="UAcct507JBG" localSheetId="3">'[11]Func Study'!#REF!</definedName>
    <definedName name="UAcct507JBG" localSheetId="5">'[11]Func Study'!#REF!</definedName>
    <definedName name="UAcct507JBG" localSheetId="7">'[11]Func Study'!#REF!</definedName>
    <definedName name="UAcct507JBG" localSheetId="8">'[11]Func Study'!#REF!</definedName>
    <definedName name="UAcct507JBG" localSheetId="37">'[11]Func Study'!#REF!</definedName>
    <definedName name="UAcct507JBG" localSheetId="17">'[11]Func Study'!#REF!</definedName>
    <definedName name="UAcct507JBG" localSheetId="20">'[11]Func Study'!#REF!</definedName>
    <definedName name="UAcct507JBG" localSheetId="36">'[11]Func Study'!#REF!</definedName>
    <definedName name="UAcct507JBG">'[11]Func Study'!#REF!</definedName>
    <definedName name="UAcct510" localSheetId="19">'[12]Func Study'!$AB$469</definedName>
    <definedName name="UAcct510" localSheetId="4">'[14]Func Study'!$AB$469</definedName>
    <definedName name="UAcct510">'[15]Func Study'!$AB$469</definedName>
    <definedName name="UAcct510CAGE" localSheetId="19">'[12]Func Study'!$AB$467</definedName>
    <definedName name="UAcct510CAGE" localSheetId="4">'[14]Func Study'!$AB$467</definedName>
    <definedName name="UAcct510CAGE">'[15]Func Study'!$AB$467</definedName>
    <definedName name="UAcct510JBG" localSheetId="1">'[11]Func Study'!#REF!</definedName>
    <definedName name="UAcct510JBG" localSheetId="2">'[11]Func Study'!#REF!</definedName>
    <definedName name="UAcct510JBG" localSheetId="4">'[11]Func Study'!#REF!</definedName>
    <definedName name="UAcct510JBG" localSheetId="3">'[11]Func Study'!#REF!</definedName>
    <definedName name="UAcct510JBG" localSheetId="5">'[11]Func Study'!#REF!</definedName>
    <definedName name="UAcct510JBG" localSheetId="7">'[11]Func Study'!#REF!</definedName>
    <definedName name="UAcct510JBG" localSheetId="8">'[11]Func Study'!#REF!</definedName>
    <definedName name="UAcct510JBG" localSheetId="37">'[11]Func Study'!#REF!</definedName>
    <definedName name="UAcct510JBG" localSheetId="17">'[11]Func Study'!#REF!</definedName>
    <definedName name="UAcct510JBG" localSheetId="20">'[11]Func Study'!#REF!</definedName>
    <definedName name="UAcct510JBG" localSheetId="36">'[11]Func Study'!#REF!</definedName>
    <definedName name="UAcct510JBG">'[11]Func Study'!#REF!</definedName>
    <definedName name="UAcct511" localSheetId="19">'[12]Func Study'!$AB$474</definedName>
    <definedName name="UAcct511" localSheetId="4">'[14]Func Study'!$AB$474</definedName>
    <definedName name="UAcct511">'[15]Func Study'!$AB$474</definedName>
    <definedName name="UAcct511CAGE" localSheetId="19">'[12]Func Study'!$AB$472</definedName>
    <definedName name="UAcct511CAGE" localSheetId="4">'[14]Func Study'!$AB$472</definedName>
    <definedName name="UAcct511CAGE">'[15]Func Study'!$AB$472</definedName>
    <definedName name="UAcct511JBG" localSheetId="1">'[11]Func Study'!#REF!</definedName>
    <definedName name="UAcct511JBG" localSheetId="2">'[11]Func Study'!#REF!</definedName>
    <definedName name="UAcct511JBG" localSheetId="4">'[11]Func Study'!#REF!</definedName>
    <definedName name="UAcct511JBG" localSheetId="3">'[11]Func Study'!#REF!</definedName>
    <definedName name="UAcct511JBG" localSheetId="5">'[11]Func Study'!#REF!</definedName>
    <definedName name="UAcct511JBG" localSheetId="7">'[11]Func Study'!#REF!</definedName>
    <definedName name="UAcct511JBG" localSheetId="8">'[11]Func Study'!#REF!</definedName>
    <definedName name="UAcct511JBG" localSheetId="37">'[11]Func Study'!#REF!</definedName>
    <definedName name="UAcct511JBG" localSheetId="17">'[11]Func Study'!#REF!</definedName>
    <definedName name="UAcct511JBG" localSheetId="20">'[11]Func Study'!#REF!</definedName>
    <definedName name="UAcct511JBG" localSheetId="36">'[11]Func Study'!#REF!</definedName>
    <definedName name="UAcct511JBG">'[11]Func Study'!#REF!</definedName>
    <definedName name="UAcct512" localSheetId="19">'[12]Func Study'!$AB$479</definedName>
    <definedName name="UAcct512" localSheetId="4">'[14]Func Study'!$AB$479</definedName>
    <definedName name="UAcct512">'[15]Func Study'!$AB$479</definedName>
    <definedName name="UAcct512CAGE" localSheetId="19">'[12]Func Study'!$AB$477</definedName>
    <definedName name="UAcct512CAGE" localSheetId="4">'[14]Func Study'!$AB$477</definedName>
    <definedName name="UAcct512CAGE">'[15]Func Study'!$AB$477</definedName>
    <definedName name="UAcct512JBG" localSheetId="1">'[11]Func Study'!#REF!</definedName>
    <definedName name="UAcct512JBG" localSheetId="2">'[11]Func Study'!#REF!</definedName>
    <definedName name="UAcct512JBG" localSheetId="4">'[11]Func Study'!#REF!</definedName>
    <definedName name="UAcct512JBG" localSheetId="3">'[11]Func Study'!#REF!</definedName>
    <definedName name="UAcct512JBG" localSheetId="5">'[11]Func Study'!#REF!</definedName>
    <definedName name="UAcct512JBG" localSheetId="7">'[11]Func Study'!#REF!</definedName>
    <definedName name="UAcct512JBG" localSheetId="8">'[11]Func Study'!#REF!</definedName>
    <definedName name="UAcct512JBG" localSheetId="37">'[11]Func Study'!#REF!</definedName>
    <definedName name="UAcct512JBG" localSheetId="17">'[11]Func Study'!#REF!</definedName>
    <definedName name="UAcct512JBG" localSheetId="20">'[11]Func Study'!#REF!</definedName>
    <definedName name="UAcct512JBG" localSheetId="36">'[11]Func Study'!#REF!</definedName>
    <definedName name="UAcct512JBG">'[11]Func Study'!#REF!</definedName>
    <definedName name="UAcct513" localSheetId="19">'[12]Func Study'!$AB$484</definedName>
    <definedName name="UAcct513" localSheetId="4">'[14]Func Study'!$AB$484</definedName>
    <definedName name="UAcct513">'[15]Func Study'!$AB$484</definedName>
    <definedName name="UAcct513CAGE" localSheetId="19">'[12]Func Study'!$AB$482</definedName>
    <definedName name="UAcct513CAGE" localSheetId="4">'[14]Func Study'!$AB$482</definedName>
    <definedName name="UAcct513CAGE">'[15]Func Study'!$AB$482</definedName>
    <definedName name="UAcct513JBG" localSheetId="1">'[11]Func Study'!#REF!</definedName>
    <definedName name="UAcct513JBG" localSheetId="2">'[11]Func Study'!#REF!</definedName>
    <definedName name="UAcct513JBG" localSheetId="4">'[11]Func Study'!#REF!</definedName>
    <definedName name="UAcct513JBG" localSheetId="3">'[11]Func Study'!#REF!</definedName>
    <definedName name="UAcct513JBG" localSheetId="5">'[11]Func Study'!#REF!</definedName>
    <definedName name="UAcct513JBG" localSheetId="7">'[11]Func Study'!#REF!</definedName>
    <definedName name="UAcct513JBG" localSheetId="8">'[11]Func Study'!#REF!</definedName>
    <definedName name="UAcct513JBG" localSheetId="37">'[11]Func Study'!#REF!</definedName>
    <definedName name="UAcct513JBG" localSheetId="17">'[11]Func Study'!#REF!</definedName>
    <definedName name="UAcct513JBG" localSheetId="20">'[11]Func Study'!#REF!</definedName>
    <definedName name="UAcct513JBG" localSheetId="36">'[11]Func Study'!#REF!</definedName>
    <definedName name="UAcct513JBG">'[11]Func Study'!#REF!</definedName>
    <definedName name="UAcct514" localSheetId="19">'[12]Func Study'!$AB$489</definedName>
    <definedName name="UAcct514" localSheetId="4">'[14]Func Study'!$AB$489</definedName>
    <definedName name="UAcct514">'[15]Func Study'!$AB$489</definedName>
    <definedName name="UAcct514CAGE" localSheetId="19">'[12]Func Study'!$AB$487</definedName>
    <definedName name="UAcct514CAGE" localSheetId="4">'[14]Func Study'!$AB$487</definedName>
    <definedName name="UAcct514CAGE">'[15]Func Study'!$AB$487</definedName>
    <definedName name="UAcct514JBG" localSheetId="1">'[11]Func Study'!#REF!</definedName>
    <definedName name="UAcct514JBG" localSheetId="2">'[11]Func Study'!#REF!</definedName>
    <definedName name="UAcct514JBG" localSheetId="4">'[11]Func Study'!#REF!</definedName>
    <definedName name="UAcct514JBG" localSheetId="3">'[11]Func Study'!#REF!</definedName>
    <definedName name="UAcct514JBG" localSheetId="5">'[11]Func Study'!#REF!</definedName>
    <definedName name="UAcct514JBG" localSheetId="7">'[11]Func Study'!#REF!</definedName>
    <definedName name="UAcct514JBG" localSheetId="8">'[11]Func Study'!#REF!</definedName>
    <definedName name="UAcct514JBG" localSheetId="37">'[11]Func Study'!#REF!</definedName>
    <definedName name="UAcct514JBG" localSheetId="17">'[11]Func Study'!#REF!</definedName>
    <definedName name="UAcct514JBG" localSheetId="20">'[11]Func Study'!#REF!</definedName>
    <definedName name="UAcct514JBG" localSheetId="36">'[11]Func Study'!#REF!</definedName>
    <definedName name="UAcct514JBG">'[11]Func Study'!#REF!</definedName>
    <definedName name="UAcct517" localSheetId="19">'[12]Func Study'!$AB$498</definedName>
    <definedName name="UAcct517" localSheetId="4">'[14]Func Study'!$AB$498</definedName>
    <definedName name="UAcct517">'[15]Func Study'!$AB$498</definedName>
    <definedName name="UAcct518" localSheetId="19">'[12]Func Study'!$AB$502</definedName>
    <definedName name="UAcct518" localSheetId="4">'[14]Func Study'!$AB$502</definedName>
    <definedName name="UAcct518">'[15]Func Study'!$AB$502</definedName>
    <definedName name="UAcct519" localSheetId="19">'[12]Func Study'!$AB$507</definedName>
    <definedName name="UAcct519" localSheetId="4">'[14]Func Study'!$AB$507</definedName>
    <definedName name="UAcct519">'[15]Func Study'!$AB$507</definedName>
    <definedName name="UAcct520" localSheetId="19">'[12]Func Study'!$AB$511</definedName>
    <definedName name="UAcct520" localSheetId="4">'[14]Func Study'!$AB$511</definedName>
    <definedName name="UAcct520">'[15]Func Study'!$AB$511</definedName>
    <definedName name="UAcct523" localSheetId="19">'[12]Func Study'!$AB$515</definedName>
    <definedName name="UAcct523" localSheetId="4">'[14]Func Study'!$AB$515</definedName>
    <definedName name="UAcct523">'[15]Func Study'!$AB$515</definedName>
    <definedName name="UAcct524" localSheetId="19">'[12]Func Study'!$AB$519</definedName>
    <definedName name="UAcct524" localSheetId="4">'[14]Func Study'!$AB$519</definedName>
    <definedName name="UAcct524">'[15]Func Study'!$AB$519</definedName>
    <definedName name="UAcct528" localSheetId="19">'[12]Func Study'!$AB$523</definedName>
    <definedName name="UAcct528" localSheetId="4">'[14]Func Study'!$AB$523</definedName>
    <definedName name="UAcct528">'[15]Func Study'!$AB$523</definedName>
    <definedName name="UAcct529" localSheetId="19">'[12]Func Study'!$AB$527</definedName>
    <definedName name="UAcct529" localSheetId="4">'[14]Func Study'!$AB$527</definedName>
    <definedName name="UAcct529">'[15]Func Study'!$AB$527</definedName>
    <definedName name="UAcct530" localSheetId="19">'[12]Func Study'!$AB$531</definedName>
    <definedName name="UAcct530" localSheetId="4">'[14]Func Study'!$AB$531</definedName>
    <definedName name="UAcct530">'[15]Func Study'!$AB$531</definedName>
    <definedName name="UAcct531" localSheetId="19">'[12]Func Study'!$AB$535</definedName>
    <definedName name="UAcct531" localSheetId="4">'[14]Func Study'!$AB$535</definedName>
    <definedName name="UAcct531">'[15]Func Study'!$AB$535</definedName>
    <definedName name="UAcct532" localSheetId="19">'[12]Func Study'!$AB$539</definedName>
    <definedName name="UAcct532" localSheetId="4">'[14]Func Study'!$AB$539</definedName>
    <definedName name="UAcct532">'[15]Func Study'!$AB$539</definedName>
    <definedName name="UAcct535" localSheetId="19">'[12]Func Study'!$AB$551</definedName>
    <definedName name="UAcct535" localSheetId="4">'[14]Func Study'!$AB$551</definedName>
    <definedName name="UAcct535">'[15]Func Study'!$AB$551</definedName>
    <definedName name="UAcct536" localSheetId="19">'[12]Func Study'!$AB$555</definedName>
    <definedName name="UAcct536" localSheetId="4">'[14]Func Study'!$AB$555</definedName>
    <definedName name="UAcct536">'[15]Func Study'!$AB$555</definedName>
    <definedName name="UAcct537" localSheetId="19">'[12]Func Study'!$AB$559</definedName>
    <definedName name="UAcct537" localSheetId="4">'[14]Func Study'!$AB$559</definedName>
    <definedName name="UAcct537">'[15]Func Study'!$AB$559</definedName>
    <definedName name="UAcct538" localSheetId="19">'[12]Func Study'!$AB$563</definedName>
    <definedName name="UAcct538" localSheetId="4">'[14]Func Study'!$AB$563</definedName>
    <definedName name="UAcct538">'[15]Func Study'!$AB$563</definedName>
    <definedName name="UAcct539" localSheetId="19">'[12]Func Study'!$AB$568</definedName>
    <definedName name="UAcct539" localSheetId="4">'[14]Func Study'!$AB$568</definedName>
    <definedName name="UAcct539">'[15]Func Study'!$AB$568</definedName>
    <definedName name="UAcct540" localSheetId="19">'[12]Func Study'!$AB$572</definedName>
    <definedName name="UAcct540" localSheetId="4">'[14]Func Study'!$AB$572</definedName>
    <definedName name="UAcct540">'[15]Func Study'!$AB$572</definedName>
    <definedName name="UAcct541" localSheetId="19">'[12]Func Study'!$AB$576</definedName>
    <definedName name="UAcct541" localSheetId="4">'[14]Func Study'!$AB$576</definedName>
    <definedName name="UAcct541">'[15]Func Study'!$AB$576</definedName>
    <definedName name="UAcct542" localSheetId="19">'[12]Func Study'!$AB$580</definedName>
    <definedName name="UAcct542" localSheetId="4">'[14]Func Study'!$AB$580</definedName>
    <definedName name="UAcct542">'[15]Func Study'!$AB$580</definedName>
    <definedName name="UAcct543" localSheetId="19">'[12]Func Study'!$AB$584</definedName>
    <definedName name="UAcct543" localSheetId="4">'[14]Func Study'!$AB$584</definedName>
    <definedName name="UAcct543">'[15]Func Study'!$AB$584</definedName>
    <definedName name="UAcct544" localSheetId="19">'[12]Func Study'!$AB$588</definedName>
    <definedName name="UAcct544" localSheetId="4">'[14]Func Study'!$AB$588</definedName>
    <definedName name="UAcct544">'[15]Func Study'!$AB$588</definedName>
    <definedName name="UAcct545" localSheetId="19">'[12]Func Study'!$AB$592</definedName>
    <definedName name="UAcct545" localSheetId="4">'[14]Func Study'!$AB$592</definedName>
    <definedName name="UAcct545">'[15]Func Study'!$AB$592</definedName>
    <definedName name="UAcct546" localSheetId="19">'[12]Func Study'!$AB$606</definedName>
    <definedName name="UAcct546" localSheetId="4">'[14]Func Study'!$AB$606</definedName>
    <definedName name="UAcct546">'[15]Func Study'!$AB$606</definedName>
    <definedName name="UAcct546CAGE" localSheetId="19">'[12]Func Study'!$AB$605</definedName>
    <definedName name="UAcct546CAGE" localSheetId="4">'[14]Func Study'!$AB$605</definedName>
    <definedName name="UAcct546CAGE">'[15]Func Study'!$AB$605</definedName>
    <definedName name="UAcct547CAEW" localSheetId="19">'[12]Func Study'!$AB$610</definedName>
    <definedName name="UAcct547CAEW" localSheetId="4">'[14]Func Study'!$AB$610</definedName>
    <definedName name="UAcct547CAEW">'[15]Func Study'!$AB$610</definedName>
    <definedName name="UACCT547NPCCAEW" localSheetId="19">'[12]Func Study'!$AB$613</definedName>
    <definedName name="UACCT547NPCCAEW" localSheetId="4">'[14]Func Study'!$AB$613</definedName>
    <definedName name="UACCT547NPCCAEW">'[15]Func Study'!$AB$613</definedName>
    <definedName name="UAcct547Se" localSheetId="19">'[12]Func Study'!$AB$609</definedName>
    <definedName name="UAcct547Se" localSheetId="4">'[14]Func Study'!$AB$609</definedName>
    <definedName name="UAcct547Se">'[15]Func Study'!$AB$609</definedName>
    <definedName name="UAcct548" localSheetId="19">'[12]Func Study'!$AB$621</definedName>
    <definedName name="UAcct548" localSheetId="4">'[14]Func Study'!$AB$621</definedName>
    <definedName name="UAcct548">'[15]Func Study'!$AB$621</definedName>
    <definedName name="UACCT548CAGE" localSheetId="19">'[12]Func Study'!$AB$620</definedName>
    <definedName name="UACCT548CAGE" localSheetId="4">'[14]Func Study'!$AB$620</definedName>
    <definedName name="UACCT548CAGE">'[15]Func Study'!$AB$620</definedName>
    <definedName name="UAcct549" localSheetId="19">'[12]Func Study'!$AB$626</definedName>
    <definedName name="UAcct549" localSheetId="4">'[14]Func Study'!$AB$626</definedName>
    <definedName name="UAcct549">'[15]Func Study'!$AB$626</definedName>
    <definedName name="Uacct549CAGE" localSheetId="19">'[12]Func Study'!$AB$625</definedName>
    <definedName name="Uacct549CAGE" localSheetId="4">'[14]Func Study'!$AB$625</definedName>
    <definedName name="Uacct549CAGE">'[15]Func Study'!$AB$625</definedName>
    <definedName name="UAcct5506SE" localSheetId="1">'[11]Func Study'!#REF!</definedName>
    <definedName name="UAcct5506SE" localSheetId="2">'[11]Func Study'!#REF!</definedName>
    <definedName name="UAcct5506SE" localSheetId="4">'[11]Func Study'!#REF!</definedName>
    <definedName name="UAcct5506SE" localSheetId="3">'[11]Func Study'!#REF!</definedName>
    <definedName name="UAcct5506SE" localSheetId="5">'[11]Func Study'!#REF!</definedName>
    <definedName name="UAcct5506SE" localSheetId="7">'[11]Func Study'!#REF!</definedName>
    <definedName name="UAcct5506SE" localSheetId="8">'[11]Func Study'!#REF!</definedName>
    <definedName name="UAcct5506SE" localSheetId="37">'[11]Func Study'!#REF!</definedName>
    <definedName name="UAcct5506SE" localSheetId="17">'[11]Func Study'!#REF!</definedName>
    <definedName name="UAcct5506SE" localSheetId="20">'[11]Func Study'!#REF!</definedName>
    <definedName name="UAcct5506SE" localSheetId="36">'[11]Func Study'!#REF!</definedName>
    <definedName name="UAcct5506SE">'[11]Func Study'!#REF!</definedName>
    <definedName name="UAcct551CAGE" localSheetId="19">'[12]Func Study'!$AB$634</definedName>
    <definedName name="UAcct551CAGE" localSheetId="4">'[14]Func Study'!$AB$634</definedName>
    <definedName name="UAcct551CAGE">'[15]Func Study'!$AB$634</definedName>
    <definedName name="UACCT551SG" localSheetId="19">'[12]Func Study'!$AB$635</definedName>
    <definedName name="UACCT551SG" localSheetId="4">'[14]Func Study'!$AB$635</definedName>
    <definedName name="UACCT551SG">'[15]Func Study'!$AB$635</definedName>
    <definedName name="UACCT552CAGE" localSheetId="19">'[12]Func Study'!$AB$640</definedName>
    <definedName name="UACCT552CAGE" localSheetId="4">'[14]Func Study'!$AB$640</definedName>
    <definedName name="UACCT552CAGE">'[15]Func Study'!$AB$640</definedName>
    <definedName name="UAcct552SG" localSheetId="19">'[12]Func Study'!$AB$639</definedName>
    <definedName name="UAcct552SG" localSheetId="4">'[14]Func Study'!$AB$639</definedName>
    <definedName name="UAcct552SG">'[15]Func Study'!$AB$639</definedName>
    <definedName name="UACCT553CAGE" localSheetId="19">'[12]Func Study'!$AB$646</definedName>
    <definedName name="UACCT553CAGE" localSheetId="4">'[14]Func Study'!$AB$646</definedName>
    <definedName name="UACCT553CAGE">'[15]Func Study'!$AB$646</definedName>
    <definedName name="UAcct553SG" localSheetId="19">'[12]Func Study'!$AB$645</definedName>
    <definedName name="UAcct553SG" localSheetId="4">'[14]Func Study'!$AB$645</definedName>
    <definedName name="UAcct553SG">'[15]Func Study'!$AB$645</definedName>
    <definedName name="UACCT554CAGE" localSheetId="19">'[12]Func Study'!$AB$651</definedName>
    <definedName name="UACCT554CAGE" localSheetId="4">'[14]Func Study'!$AB$651</definedName>
    <definedName name="UACCT554CAGE">'[15]Func Study'!$AB$651</definedName>
    <definedName name="UAcct554SG" localSheetId="19">'[12]Func Study'!$AB$650</definedName>
    <definedName name="UAcct554SG" localSheetId="4">'[14]Func Study'!$AB$650</definedName>
    <definedName name="UAcct554SG">'[15]Func Study'!$AB$650</definedName>
    <definedName name="UAcct555CAEE" localSheetId="1">'[11]Func Study'!#REF!</definedName>
    <definedName name="UAcct555CAEE" localSheetId="2">'[11]Func Study'!#REF!</definedName>
    <definedName name="UAcct555CAEE" localSheetId="4">'[11]Func Study'!#REF!</definedName>
    <definedName name="UAcct555CAEE" localSheetId="3">'[11]Func Study'!#REF!</definedName>
    <definedName name="UAcct555CAEE" localSheetId="5">'[11]Func Study'!#REF!</definedName>
    <definedName name="UAcct555CAEE" localSheetId="7">'[11]Func Study'!#REF!</definedName>
    <definedName name="UAcct555CAEE" localSheetId="8">'[11]Func Study'!#REF!</definedName>
    <definedName name="UAcct555CAEE" localSheetId="37">'[11]Func Study'!#REF!</definedName>
    <definedName name="UAcct555CAEE" localSheetId="17">'[11]Func Study'!#REF!</definedName>
    <definedName name="UAcct555CAEE" localSheetId="20">'[11]Func Study'!#REF!</definedName>
    <definedName name="UAcct555CAEE" localSheetId="36">'[11]Func Study'!#REF!</definedName>
    <definedName name="UAcct555CAEE">'[11]Func Study'!#REF!</definedName>
    <definedName name="UAcct555CAEW" localSheetId="19">'[12]Func Study'!$AB$665</definedName>
    <definedName name="UAcct555CAEW" localSheetId="4">'[14]Func Study'!$AB$665</definedName>
    <definedName name="UAcct555CAEW">'[15]Func Study'!$AB$665</definedName>
    <definedName name="UAcct555CAGE" localSheetId="1">'[11]Func Study'!#REF!</definedName>
    <definedName name="UAcct555CAGE" localSheetId="2">'[11]Func Study'!#REF!</definedName>
    <definedName name="UAcct555CAGE" localSheetId="4">'[11]Func Study'!#REF!</definedName>
    <definedName name="UAcct555CAGE" localSheetId="3">'[11]Func Study'!#REF!</definedName>
    <definedName name="UAcct555CAGE" localSheetId="5">'[11]Func Study'!#REF!</definedName>
    <definedName name="UAcct555CAGE" localSheetId="7">'[11]Func Study'!#REF!</definedName>
    <definedName name="UAcct555CAGE" localSheetId="8">'[11]Func Study'!#REF!</definedName>
    <definedName name="UAcct555CAGE" localSheetId="37">'[11]Func Study'!#REF!</definedName>
    <definedName name="UAcct555CAGE" localSheetId="17">'[11]Func Study'!#REF!</definedName>
    <definedName name="UAcct555CAGE" localSheetId="20">'[11]Func Study'!#REF!</definedName>
    <definedName name="UAcct555CAGE" localSheetId="36">'[11]Func Study'!#REF!</definedName>
    <definedName name="UAcct555CAGE">'[11]Func Study'!#REF!</definedName>
    <definedName name="UAcct555CAGW" localSheetId="19">'[12]Func Study'!$AB$664</definedName>
    <definedName name="UAcct555CAGW" localSheetId="4">'[14]Func Study'!$AB$664</definedName>
    <definedName name="UAcct555CAGW">'[15]Func Study'!$AB$664</definedName>
    <definedName name="UACCT555DGP" localSheetId="19">'[12]Func Study'!$AB$670</definedName>
    <definedName name="UACCT555DGP" localSheetId="4">'[14]Func Study'!$AB$670</definedName>
    <definedName name="UACCT555DGP">'[15]Func Study'!$AB$670</definedName>
    <definedName name="UACCT555NPCCAEW" localSheetId="19">'[12]Func Study'!$AB$669</definedName>
    <definedName name="UACCT555NPCCAEW" localSheetId="4">'[14]Func Study'!$AB$669</definedName>
    <definedName name="UACCT555NPCCAEW">'[15]Func Study'!$AB$669</definedName>
    <definedName name="UACCT555NPCCAGW" localSheetId="19">'[12]Func Study'!$AB$668</definedName>
    <definedName name="UACCT555NPCCAGW" localSheetId="4">'[14]Func Study'!$AB$668</definedName>
    <definedName name="UACCT555NPCCAGW">'[15]Func Study'!$AB$668</definedName>
    <definedName name="UAcct555S" localSheetId="19">'[12]Func Study'!$AB$663</definedName>
    <definedName name="UAcct555S" localSheetId="4">'[14]Func Study'!$AB$663</definedName>
    <definedName name="UAcct555S">'[15]Func Study'!$AB$663</definedName>
    <definedName name="UAcct555Se" localSheetId="19">'[12]Func Study'!$AB$665</definedName>
    <definedName name="UAcct555Se" localSheetId="4">'[14]Func Study'!$AB$665</definedName>
    <definedName name="UAcct555Se">'[15]Func Study'!$AB$665</definedName>
    <definedName name="UACCT555SG" localSheetId="19">'[12]Func Study'!$AB$664</definedName>
    <definedName name="UACCT555SG" localSheetId="4">'[14]Func Study'!$AB$664</definedName>
    <definedName name="UACCT555SG">'[15]Func Study'!$AB$664</definedName>
    <definedName name="UAcct556" localSheetId="19">'[12]Func Study'!$AB$676</definedName>
    <definedName name="UAcct556" localSheetId="4">'[14]Func Study'!$AB$676</definedName>
    <definedName name="UAcct556">'[15]Func Study'!$AB$676</definedName>
    <definedName name="UAcct557" localSheetId="19">'[12]Func Study'!$AB$685</definedName>
    <definedName name="UAcct557" localSheetId="4">'[14]Func Study'!$AB$685</definedName>
    <definedName name="UAcct557">'[15]Func Study'!$AB$685</definedName>
    <definedName name="UAcct560" localSheetId="19">'[12]Func Study'!$AB$715</definedName>
    <definedName name="UAcct560" localSheetId="4">'[14]Func Study'!$AB$715</definedName>
    <definedName name="UAcct560">'[15]Func Study'!$AB$715</definedName>
    <definedName name="UAcct561" localSheetId="19">'[12]Func Study'!$AB$720</definedName>
    <definedName name="UAcct561" localSheetId="4">'[14]Func Study'!$AB$720</definedName>
    <definedName name="UAcct561">'[15]Func Study'!$AB$720</definedName>
    <definedName name="UAcct562" localSheetId="19">'[12]Func Study'!$AB$726</definedName>
    <definedName name="UAcct562" localSheetId="4">'[14]Func Study'!$AB$726</definedName>
    <definedName name="UAcct562">'[15]Func Study'!$AB$726</definedName>
    <definedName name="UAcct563" localSheetId="19">'[12]Func Study'!$AB$731</definedName>
    <definedName name="UAcct563" localSheetId="4">'[14]Func Study'!$AB$731</definedName>
    <definedName name="UAcct563">'[15]Func Study'!$AB$731</definedName>
    <definedName name="UAcct564" localSheetId="19">'[12]Func Study'!$AB$735</definedName>
    <definedName name="UAcct564" localSheetId="4">'[14]Func Study'!$AB$735</definedName>
    <definedName name="UAcct564">'[15]Func Study'!$AB$735</definedName>
    <definedName name="UAcct565" localSheetId="19">'[12]Func Study'!$AB$739</definedName>
    <definedName name="UAcct565" localSheetId="4">'[14]Func Study'!$AB$739</definedName>
    <definedName name="UAcct565">'[15]Func Study'!$AB$739</definedName>
    <definedName name="UACCT565NPC" localSheetId="19">'[12]Func Study'!$AB$744</definedName>
    <definedName name="UACCT565NPC" localSheetId="4">'[14]Func Study'!$AB$744</definedName>
    <definedName name="UACCT565NPC">'[15]Func Study'!$AB$744</definedName>
    <definedName name="UACCT565NPCCAGW" localSheetId="19">'[12]Func Study'!$AB$742</definedName>
    <definedName name="UACCT565NPCCAGW" localSheetId="4">'[14]Func Study'!$AB$742</definedName>
    <definedName name="UACCT565NPCCAGW">'[15]Func Study'!$AB$742</definedName>
    <definedName name="UAcct566" localSheetId="19">'[12]Func Study'!$AB$748</definedName>
    <definedName name="UAcct566" localSheetId="4">'[14]Func Study'!$AB$748</definedName>
    <definedName name="UAcct566">'[15]Func Study'!$AB$748</definedName>
    <definedName name="UAcct567" localSheetId="19">'[12]Func Study'!$AB$752</definedName>
    <definedName name="UAcct567" localSheetId="4">'[14]Func Study'!$AB$752</definedName>
    <definedName name="UAcct567">'[15]Func Study'!$AB$752</definedName>
    <definedName name="UAcct568" localSheetId="19">'[12]Func Study'!$AB$756</definedName>
    <definedName name="UAcct568" localSheetId="4">'[14]Func Study'!$AB$756</definedName>
    <definedName name="UAcct568">'[15]Func Study'!$AB$756</definedName>
    <definedName name="UAcct569" localSheetId="19">'[12]Func Study'!$AB$760</definedName>
    <definedName name="UAcct569" localSheetId="4">'[14]Func Study'!$AB$760</definedName>
    <definedName name="UAcct569">'[15]Func Study'!$AB$760</definedName>
    <definedName name="UAcct570" localSheetId="19">'[12]Func Study'!$AB$765</definedName>
    <definedName name="UAcct570" localSheetId="4">'[14]Func Study'!$AB$765</definedName>
    <definedName name="UAcct570">'[15]Func Study'!$AB$765</definedName>
    <definedName name="UAcct571" localSheetId="19">'[12]Func Study'!$AB$770</definedName>
    <definedName name="UAcct571" localSheetId="4">'[14]Func Study'!$AB$770</definedName>
    <definedName name="UAcct571">'[15]Func Study'!$AB$770</definedName>
    <definedName name="UAcct572" localSheetId="19">'[12]Func Study'!$AB$774</definedName>
    <definedName name="UAcct572" localSheetId="4">'[14]Func Study'!$AB$774</definedName>
    <definedName name="UAcct572">'[15]Func Study'!$AB$774</definedName>
    <definedName name="UAcct573" localSheetId="19">'[12]Func Study'!$AB$778</definedName>
    <definedName name="UAcct573" localSheetId="4">'[14]Func Study'!$AB$778</definedName>
    <definedName name="UAcct573">'[15]Func Study'!$AB$778</definedName>
    <definedName name="UAcct580" localSheetId="19">'[12]Func Study'!$AB$791</definedName>
    <definedName name="UAcct580" localSheetId="4">'[14]Func Study'!$AB$791</definedName>
    <definedName name="UAcct580">'[15]Func Study'!$AB$791</definedName>
    <definedName name="UAcct581" localSheetId="19">'[12]Func Study'!$AB$796</definedName>
    <definedName name="UAcct581" localSheetId="4">'[14]Func Study'!$AB$796</definedName>
    <definedName name="UAcct581">'[15]Func Study'!$AB$796</definedName>
    <definedName name="UAcct582" localSheetId="19">'[12]Func Study'!$AB$801</definedName>
    <definedName name="UAcct582" localSheetId="4">'[14]Func Study'!$AB$801</definedName>
    <definedName name="UAcct582">'[15]Func Study'!$AB$801</definedName>
    <definedName name="UAcct583" localSheetId="19">'[12]Func Study'!$AB$806</definedName>
    <definedName name="UAcct583" localSheetId="4">'[14]Func Study'!$AB$806</definedName>
    <definedName name="UAcct583">'[15]Func Study'!$AB$806</definedName>
    <definedName name="UAcct584" localSheetId="19">'[12]Func Study'!$AB$811</definedName>
    <definedName name="UAcct584" localSheetId="4">'[14]Func Study'!$AB$811</definedName>
    <definedName name="UAcct584">'[15]Func Study'!$AB$811</definedName>
    <definedName name="UAcct585" localSheetId="19">'[12]Func Study'!$AB$816</definedName>
    <definedName name="UAcct585" localSheetId="4">'[14]Func Study'!$AB$816</definedName>
    <definedName name="UAcct585">'[15]Func Study'!$AB$816</definedName>
    <definedName name="UAcct586" localSheetId="19">'[12]Func Study'!$AB$821</definedName>
    <definedName name="UAcct586" localSheetId="4">'[14]Func Study'!$AB$821</definedName>
    <definedName name="UAcct586">'[15]Func Study'!$AB$821</definedName>
    <definedName name="UAcct587" localSheetId="19">'[12]Func Study'!$AB$826</definedName>
    <definedName name="UAcct587" localSheetId="4">'[14]Func Study'!$AB$826</definedName>
    <definedName name="UAcct587">'[15]Func Study'!$AB$826</definedName>
    <definedName name="UAcct588" localSheetId="19">'[12]Func Study'!$AB$831</definedName>
    <definedName name="UAcct588" localSheetId="4">'[14]Func Study'!$AB$831</definedName>
    <definedName name="UAcct588">'[15]Func Study'!$AB$831</definedName>
    <definedName name="UAcct589" localSheetId="19">'[12]Func Study'!$AB$836</definedName>
    <definedName name="UAcct589" localSheetId="4">'[14]Func Study'!$AB$836</definedName>
    <definedName name="UAcct589">'[15]Func Study'!$AB$836</definedName>
    <definedName name="UAcct590" localSheetId="19">'[12]Func Study'!$AB$841</definedName>
    <definedName name="UAcct590" localSheetId="4">'[14]Func Study'!$AB$841</definedName>
    <definedName name="UAcct590">'[15]Func Study'!$AB$841</definedName>
    <definedName name="UAcct591" localSheetId="19">'[12]Func Study'!$AB$846</definedName>
    <definedName name="UAcct591" localSheetId="4">'[14]Func Study'!$AB$846</definedName>
    <definedName name="UAcct591">'[15]Func Study'!$AB$846</definedName>
    <definedName name="UAcct592" localSheetId="19">'[12]Func Study'!$AB$851</definedName>
    <definedName name="UAcct592" localSheetId="4">'[14]Func Study'!$AB$851</definedName>
    <definedName name="UAcct592">'[15]Func Study'!$AB$851</definedName>
    <definedName name="UAcct593" localSheetId="19">'[12]Func Study'!$AB$856</definedName>
    <definedName name="UAcct593" localSheetId="4">'[14]Func Study'!$AB$856</definedName>
    <definedName name="UAcct593">'[15]Func Study'!$AB$856</definedName>
    <definedName name="UAcct594" localSheetId="19">'[12]Func Study'!$AB$861</definedName>
    <definedName name="UAcct594" localSheetId="4">'[14]Func Study'!$AB$861</definedName>
    <definedName name="UAcct594">'[15]Func Study'!$AB$861</definedName>
    <definedName name="UAcct595" localSheetId="19">'[12]Func Study'!$AB$866</definedName>
    <definedName name="UAcct595" localSheetId="4">'[14]Func Study'!$AB$866</definedName>
    <definedName name="UAcct595">'[15]Func Study'!$AB$866</definedName>
    <definedName name="UAcct596" localSheetId="19">'[12]Func Study'!$AB$876</definedName>
    <definedName name="UAcct596" localSheetId="4">'[14]Func Study'!$AB$876</definedName>
    <definedName name="UAcct596">'[15]Func Study'!$AB$876</definedName>
    <definedName name="UAcct597" localSheetId="19">'[12]Func Study'!$AB$881</definedName>
    <definedName name="UAcct597" localSheetId="4">'[14]Func Study'!$AB$881</definedName>
    <definedName name="UAcct597">'[15]Func Study'!$AB$881</definedName>
    <definedName name="UAcct598" localSheetId="19">'[12]Func Study'!$AB$886</definedName>
    <definedName name="UAcct598" localSheetId="4">'[14]Func Study'!$AB$886</definedName>
    <definedName name="UAcct598">'[15]Func Study'!$AB$886</definedName>
    <definedName name="UAcct901" localSheetId="19">'[12]Func Study'!$AB$898</definedName>
    <definedName name="UAcct901" localSheetId="4">'[14]Func Study'!$AB$898</definedName>
    <definedName name="UAcct901">'[15]Func Study'!$AB$898</definedName>
    <definedName name="UAcct902" localSheetId="19">'[12]Func Study'!$AB$903</definedName>
    <definedName name="UAcct902" localSheetId="4">'[14]Func Study'!$AB$903</definedName>
    <definedName name="UAcct902">'[15]Func Study'!$AB$903</definedName>
    <definedName name="UAcct903" localSheetId="19">'[12]Func Study'!$AB$908</definedName>
    <definedName name="UAcct903" localSheetId="4">'[14]Func Study'!$AB$908</definedName>
    <definedName name="UAcct903">'[15]Func Study'!$AB$908</definedName>
    <definedName name="UAcct904" localSheetId="19">'[12]Func Study'!$AB$914</definedName>
    <definedName name="UAcct904" localSheetId="4">'[14]Func Study'!$AB$914</definedName>
    <definedName name="UAcct904">'[15]Func Study'!$AB$914</definedName>
    <definedName name="Uacct904SG" localSheetId="1">'[18]Functional Study'!#REF!</definedName>
    <definedName name="Uacct904SG" localSheetId="2">'[18]Functional Study'!#REF!</definedName>
    <definedName name="Uacct904SG" localSheetId="4">'[18]Functional Study'!#REF!</definedName>
    <definedName name="Uacct904SG" localSheetId="3">'[18]Functional Study'!#REF!</definedName>
    <definedName name="Uacct904SG" localSheetId="5">'[18]Functional Study'!#REF!</definedName>
    <definedName name="Uacct904SG" localSheetId="7">'[18]Functional Study'!#REF!</definedName>
    <definedName name="Uacct904SG" localSheetId="8">'[18]Functional Study'!#REF!</definedName>
    <definedName name="Uacct904SG" localSheetId="37">'[18]Functional Study'!#REF!</definedName>
    <definedName name="Uacct904SG" localSheetId="17">'[18]Functional Study'!#REF!</definedName>
    <definedName name="Uacct904SG" localSheetId="20">'[18]Functional Study'!#REF!</definedName>
    <definedName name="Uacct904SG" localSheetId="36">'[19]Functional Study'!#REF!</definedName>
    <definedName name="Uacct904SG">'[18]Functional Study'!#REF!</definedName>
    <definedName name="UAcct905" localSheetId="19">'[12]Func Study'!$AB$919</definedName>
    <definedName name="UAcct905" localSheetId="4">'[14]Func Study'!$AB$919</definedName>
    <definedName name="UAcct905">'[15]Func Study'!$AB$919</definedName>
    <definedName name="UAcct907" localSheetId="19">'[12]Func Study'!$AB$933</definedName>
    <definedName name="UAcct907" localSheetId="4">'[14]Func Study'!$AB$933</definedName>
    <definedName name="UAcct907">'[15]Func Study'!$AB$933</definedName>
    <definedName name="UAcct908" localSheetId="19">'[12]Func Study'!$AB$938</definedName>
    <definedName name="UAcct908" localSheetId="4">'[14]Func Study'!$AB$938</definedName>
    <definedName name="UAcct908">'[15]Func Study'!$AB$938</definedName>
    <definedName name="UAcct909" localSheetId="19">'[12]Func Study'!$AB$943</definedName>
    <definedName name="UAcct909" localSheetId="4">'[14]Func Study'!$AB$943</definedName>
    <definedName name="UAcct909">'[15]Func Study'!$AB$943</definedName>
    <definedName name="UAcct910" localSheetId="19">'[12]Func Study'!$AB$948</definedName>
    <definedName name="UAcct910" localSheetId="4">'[14]Func Study'!$AB$948</definedName>
    <definedName name="UAcct910">'[15]Func Study'!$AB$948</definedName>
    <definedName name="UAcct911" localSheetId="19">'[12]Func Study'!$AB$959</definedName>
    <definedName name="UAcct911" localSheetId="4">'[14]Func Study'!$AB$959</definedName>
    <definedName name="UAcct911">'[15]Func Study'!$AB$959</definedName>
    <definedName name="UAcct912" localSheetId="19">'[12]Func Study'!$AB$964</definedName>
    <definedName name="UAcct912" localSheetId="4">'[14]Func Study'!$AB$964</definedName>
    <definedName name="UAcct912">'[15]Func Study'!$AB$964</definedName>
    <definedName name="UAcct913" localSheetId="19">'[12]Func Study'!$AB$969</definedName>
    <definedName name="UAcct913" localSheetId="4">'[14]Func Study'!$AB$969</definedName>
    <definedName name="UAcct913">'[15]Func Study'!$AB$969</definedName>
    <definedName name="UAcct916" localSheetId="19">'[12]Func Study'!$AB$974</definedName>
    <definedName name="UAcct916" localSheetId="4">'[14]Func Study'!$AB$974</definedName>
    <definedName name="UAcct916">'[15]Func Study'!$AB$974</definedName>
    <definedName name="UAcct920" localSheetId="19">'[12]Func Study'!$AB$985</definedName>
    <definedName name="UAcct920" localSheetId="4">'[14]Func Study'!$AB$985</definedName>
    <definedName name="UAcct920">'[15]Func Study'!$AB$985</definedName>
    <definedName name="UAcct920Cn" localSheetId="19">'[12]Func Study'!$AB$983</definedName>
    <definedName name="UAcct920Cn" localSheetId="4">'[14]Func Study'!$AB$983</definedName>
    <definedName name="UAcct920Cn">'[15]Func Study'!$AB$983</definedName>
    <definedName name="UAcct921" localSheetId="19">'[12]Func Study'!$AB$991</definedName>
    <definedName name="UAcct921" localSheetId="4">'[14]Func Study'!$AB$991</definedName>
    <definedName name="UAcct921">'[15]Func Study'!$AB$991</definedName>
    <definedName name="UAcct921Cn" localSheetId="19">'[12]Func Study'!$AB$989</definedName>
    <definedName name="UAcct921Cn" localSheetId="4">'[14]Func Study'!$AB$989</definedName>
    <definedName name="UAcct921Cn">'[15]Func Study'!$AB$989</definedName>
    <definedName name="UAcct923" localSheetId="19">'[12]Func Study'!$AB$997</definedName>
    <definedName name="UAcct923" localSheetId="4">'[14]Func Study'!$AB$997</definedName>
    <definedName name="UAcct923">'[15]Func Study'!$AB$997</definedName>
    <definedName name="UAcct923CAGW" localSheetId="19">'[12]Func Study'!$AB$995</definedName>
    <definedName name="UAcct923CAGW" localSheetId="4">'[14]Func Study'!$AB$995</definedName>
    <definedName name="UAcct923CAGW">'[15]Func Study'!$AB$995</definedName>
    <definedName name="UAcct924" localSheetId="19">'[12]Func Study'!$AB$1001</definedName>
    <definedName name="UAcct924" localSheetId="4">'[14]Func Study'!$AB$1001</definedName>
    <definedName name="UAcct924">'[15]Func Study'!$AB$1001</definedName>
    <definedName name="UAcct925" localSheetId="19">'[12]Func Study'!$AB$1005</definedName>
    <definedName name="UAcct925" localSheetId="4">'[14]Func Study'!$AB$1005</definedName>
    <definedName name="UAcct925">'[15]Func Study'!$AB$1005</definedName>
    <definedName name="UAcct926" localSheetId="19">'[12]Func Study'!$AB$1011</definedName>
    <definedName name="UAcct926" localSheetId="4">'[14]Func Study'!$AB$1011</definedName>
    <definedName name="UAcct926">'[15]Func Study'!$AB$1011</definedName>
    <definedName name="UAcct927" localSheetId="19">'[12]Func Study'!$AB$1016</definedName>
    <definedName name="UAcct927" localSheetId="4">'[14]Func Study'!$AB$1016</definedName>
    <definedName name="UAcct927">'[15]Func Study'!$AB$1016</definedName>
    <definedName name="UAcct928" localSheetId="19">'[12]Func Study'!$AB$1023</definedName>
    <definedName name="UAcct928" localSheetId="4">'[14]Func Study'!$AB$1023</definedName>
    <definedName name="UAcct928">'[15]Func Study'!$AB$1023</definedName>
    <definedName name="UAcct929" localSheetId="19">'[12]Func Study'!$AB$1028</definedName>
    <definedName name="UAcct929" localSheetId="4">'[14]Func Study'!$AB$1028</definedName>
    <definedName name="UAcct929">'[15]Func Study'!$AB$1028</definedName>
    <definedName name="UAcct930" localSheetId="19">'[12]Func Study'!$AB$1034</definedName>
    <definedName name="UAcct930" localSheetId="4">'[14]Func Study'!$AB$1034</definedName>
    <definedName name="UAcct930">'[15]Func Study'!$AB$1034</definedName>
    <definedName name="UAcct931" localSheetId="19">'[12]Func Study'!$AB$1039</definedName>
    <definedName name="UAcct931" localSheetId="4">'[14]Func Study'!$AB$1039</definedName>
    <definedName name="UAcct931">'[15]Func Study'!$AB$1039</definedName>
    <definedName name="UAcct935" localSheetId="19">'[12]Func Study'!$AB$1045</definedName>
    <definedName name="UAcct935" localSheetId="4">'[14]Func Study'!$AB$1045</definedName>
    <definedName name="UAcct935">'[15]Func Study'!$AB$1045</definedName>
    <definedName name="UAcctAGA" localSheetId="19">'[12]Func Study'!$AB$296</definedName>
    <definedName name="UAcctAGA" localSheetId="4">'[14]Func Study'!$AB$296</definedName>
    <definedName name="UAcctAGA">'[15]Func Study'!$AB$296</definedName>
    <definedName name="UAcctcwc" localSheetId="19">'[12]Func Study'!$AB$2136</definedName>
    <definedName name="UAcctcwc" localSheetId="4">'[14]Func Study'!$AB$2136</definedName>
    <definedName name="UAcctcwc">'[15]Func Study'!$AB$2136</definedName>
    <definedName name="UAcctd00" localSheetId="19">'[12]Func Study'!$AB$1786</definedName>
    <definedName name="UAcctd00" localSheetId="4">'[14]Func Study'!$AB$1786</definedName>
    <definedName name="UAcctd00">'[15]Func Study'!$AB$1786</definedName>
    <definedName name="UAcctdfa" localSheetId="19">'[12]Func Study'!#REF!</definedName>
    <definedName name="UAcctdfa" localSheetId="1">'[15]Func Study'!#REF!</definedName>
    <definedName name="UAcctdfa" localSheetId="2">'[15]Func Study'!#REF!</definedName>
    <definedName name="UAcctdfa" localSheetId="4">'[14]Func Study'!#REF!</definedName>
    <definedName name="UAcctdfa" localSheetId="3">'[15]Func Study'!#REF!</definedName>
    <definedName name="UAcctdfa" localSheetId="7">'[15]Func Study'!#REF!</definedName>
    <definedName name="UAcctdfa" localSheetId="8">'[15]Func Study'!#REF!</definedName>
    <definedName name="UAcctdfa" localSheetId="35">'[15]Func Study'!#REF!</definedName>
    <definedName name="UAcctdfa" localSheetId="20">'[15]Func Study'!#REF!</definedName>
    <definedName name="UAcctdfa">'[15]Func Study'!#REF!</definedName>
    <definedName name="UAcctdfad" localSheetId="19">'[12]Func Study'!#REF!</definedName>
    <definedName name="UAcctdfad" localSheetId="1">'[15]Func Study'!#REF!</definedName>
    <definedName name="UAcctdfad" localSheetId="2">'[15]Func Study'!#REF!</definedName>
    <definedName name="UAcctdfad" localSheetId="4">'[14]Func Study'!#REF!</definedName>
    <definedName name="UAcctdfad" localSheetId="3">'[15]Func Study'!#REF!</definedName>
    <definedName name="UAcctdfad" localSheetId="7">'[15]Func Study'!#REF!</definedName>
    <definedName name="UAcctdfad" localSheetId="8">'[15]Func Study'!#REF!</definedName>
    <definedName name="UAcctdfad" localSheetId="35">'[15]Func Study'!#REF!</definedName>
    <definedName name="UAcctdfad" localSheetId="20">'[15]Func Study'!#REF!</definedName>
    <definedName name="UAcctdfad">'[15]Func Study'!#REF!</definedName>
    <definedName name="UAcctdfap" localSheetId="19">'[12]Func Study'!#REF!</definedName>
    <definedName name="UAcctdfap" localSheetId="1">'[15]Func Study'!#REF!</definedName>
    <definedName name="UAcctdfap" localSheetId="2">'[15]Func Study'!#REF!</definedName>
    <definedName name="UAcctdfap" localSheetId="4">'[14]Func Study'!#REF!</definedName>
    <definedName name="UAcctdfap" localSheetId="3">'[15]Func Study'!#REF!</definedName>
    <definedName name="UAcctdfap" localSheetId="7">'[15]Func Study'!#REF!</definedName>
    <definedName name="UAcctdfap" localSheetId="8">'[15]Func Study'!#REF!</definedName>
    <definedName name="UAcctdfap" localSheetId="20">'[15]Func Study'!#REF!</definedName>
    <definedName name="UAcctdfap">'[15]Func Study'!#REF!</definedName>
    <definedName name="UAcctdfat" localSheetId="19">'[12]Func Study'!#REF!</definedName>
    <definedName name="UAcctdfat" localSheetId="1">'[15]Func Study'!#REF!</definedName>
    <definedName name="UAcctdfat" localSheetId="2">'[15]Func Study'!#REF!</definedName>
    <definedName name="UAcctdfat" localSheetId="4">'[14]Func Study'!#REF!</definedName>
    <definedName name="UAcctdfat" localSheetId="3">'[15]Func Study'!#REF!</definedName>
    <definedName name="UAcctdfat" localSheetId="7">'[15]Func Study'!#REF!</definedName>
    <definedName name="UAcctdfat" localSheetId="8">'[15]Func Study'!#REF!</definedName>
    <definedName name="UAcctdfat" localSheetId="20">'[15]Func Study'!#REF!</definedName>
    <definedName name="UAcctdfat">'[15]Func Study'!#REF!</definedName>
    <definedName name="UAcctds0" localSheetId="19">'[12]Func Study'!$AB$1790</definedName>
    <definedName name="UAcctds0" localSheetId="4">'[14]Func Study'!$AB$1790</definedName>
    <definedName name="UAcctds0">'[15]Func Study'!$AB$1790</definedName>
    <definedName name="UACCTECDDGP" localSheetId="19">'[12]Func Study'!$AB$687</definedName>
    <definedName name="UACCTECDDGP" localSheetId="4">'[14]Func Study'!$AB$687</definedName>
    <definedName name="UACCTECDDGP">'[15]Func Study'!$AB$687</definedName>
    <definedName name="UACCTECDMC" localSheetId="19">'[12]Func Study'!$AB$689</definedName>
    <definedName name="UACCTECDMC" localSheetId="4">'[14]Func Study'!$AB$689</definedName>
    <definedName name="UACCTECDMC">'[15]Func Study'!$AB$689</definedName>
    <definedName name="UACCTECDS" localSheetId="19">'[12]Func Study'!$AB$691</definedName>
    <definedName name="UACCTECDS" localSheetId="4">'[14]Func Study'!$AB$691</definedName>
    <definedName name="UACCTECDS">'[15]Func Study'!$AB$691</definedName>
    <definedName name="UACCTECDSG1" localSheetId="19">'[12]Func Study'!$AB$688</definedName>
    <definedName name="UACCTECDSG1" localSheetId="4">'[14]Func Study'!$AB$688</definedName>
    <definedName name="UACCTECDSG1">'[15]Func Study'!$AB$688</definedName>
    <definedName name="UACCTECDSG2" localSheetId="19">'[12]Func Study'!$AB$690</definedName>
    <definedName name="UACCTECDSG2" localSheetId="4">'[14]Func Study'!$AB$690</definedName>
    <definedName name="UACCTECDSG2">'[15]Func Study'!$AB$690</definedName>
    <definedName name="UACCTECDSG3" localSheetId="19">'[12]Func Study'!$AB$692</definedName>
    <definedName name="UACCTECDSG3" localSheetId="4">'[14]Func Study'!$AB$692</definedName>
    <definedName name="UACCTECDSG3">'[15]Func Study'!$AB$692</definedName>
    <definedName name="UAcctfit" localSheetId="19">'[12]Func Study'!$AB$1395</definedName>
    <definedName name="UAcctfit" localSheetId="4">'[14]Func Study'!$AB$1395</definedName>
    <definedName name="UAcctfit">'[15]Func Study'!$AB$1395</definedName>
    <definedName name="UAcctg00" localSheetId="19">'[12]Func Study'!$AB$1947</definedName>
    <definedName name="UAcctg00" localSheetId="4">'[14]Func Study'!$AB$1947</definedName>
    <definedName name="UAcctg00">'[15]Func Study'!$AB$1947</definedName>
    <definedName name="UAccth00" localSheetId="19">'[12]Func Study'!$AB$1545</definedName>
    <definedName name="UAccth00" localSheetId="4">'[14]Func Study'!$AB$1545</definedName>
    <definedName name="UAccth00">'[15]Func Study'!$AB$1545</definedName>
    <definedName name="UAccti00" localSheetId="19">'[12]Func Study'!$AB$1993</definedName>
    <definedName name="UAccti00" localSheetId="4">'[14]Func Study'!$AB$1993</definedName>
    <definedName name="UAccti00">'[15]Func Study'!$AB$1993</definedName>
    <definedName name="UAcctn00" localSheetId="19">'[12]Func Study'!$AB$1496</definedName>
    <definedName name="UAcctn00" localSheetId="4">'[14]Func Study'!$AB$1496</definedName>
    <definedName name="UAcctn00">'[15]Func Study'!$AB$1496</definedName>
    <definedName name="UAccto00" localSheetId="19">'[12]Func Study'!$AB$1606</definedName>
    <definedName name="UAccto00" localSheetId="4">'[14]Func Study'!$AB$1606</definedName>
    <definedName name="UAccto00">'[15]Func Study'!$AB$1606</definedName>
    <definedName name="UAcctowc" localSheetId="19">'[12]Func Study'!$AB$2149</definedName>
    <definedName name="UAcctowc" localSheetId="4">'[14]Func Study'!$AB$2149</definedName>
    <definedName name="UAcctowc">'[15]Func Study'!$AB$2149</definedName>
    <definedName name="UACCTOWCSSECH" localSheetId="19">'[12]Func Study'!$AB$2148</definedName>
    <definedName name="UACCTOWCSSECH" localSheetId="4">'[14]Func Study'!$AB$2148</definedName>
    <definedName name="UACCTOWCSSECH">'[15]Func Study'!$AB$2148</definedName>
    <definedName name="UAccts00" localSheetId="19">'[12]Func Study'!$AB$1455</definedName>
    <definedName name="UAccts00" localSheetId="4">'[14]Func Study'!$AB$1455</definedName>
    <definedName name="UAccts00">'[15]Func Study'!$AB$1455</definedName>
    <definedName name="UAcctsttax" localSheetId="19">'[12]Func Study'!$AB$1377</definedName>
    <definedName name="UAcctsttax" localSheetId="4">'[14]Func Study'!$AB$1377</definedName>
    <definedName name="UAcctsttax">'[15]Func Study'!$AB$1377</definedName>
    <definedName name="UAcctt00" localSheetId="19">'[12]Func Study'!$AB$1682</definedName>
    <definedName name="UAcctt00" localSheetId="4">'[14]Func Study'!$AB$1682</definedName>
    <definedName name="UAcctt00">'[15]Func Study'!$AB$1682</definedName>
    <definedName name="UNBILREV" localSheetId="1">#REF!</definedName>
    <definedName name="UNBILREV" localSheetId="2">#REF!</definedName>
    <definedName name="UNBILREV" localSheetId="4">#REF!</definedName>
    <definedName name="UNBILREV" localSheetId="3">#REF!</definedName>
    <definedName name="UNBILREV" localSheetId="5">#REF!</definedName>
    <definedName name="UNBILREV" localSheetId="7">#REF!</definedName>
    <definedName name="UNBILREV" localSheetId="8">#REF!</definedName>
    <definedName name="UNBILREV" localSheetId="17">#REF!</definedName>
    <definedName name="UNBILREV" localSheetId="20">#REF!</definedName>
    <definedName name="UNBILREV">#REF!</definedName>
    <definedName name="UncollectibleAccounts" localSheetId="26">[21]Variables!$D$25</definedName>
    <definedName name="UncollectibleAccounts">[21]Variables!$D$25</definedName>
    <definedName name="UtGrossReceipts" localSheetId="26">[21]Variables!$D$29</definedName>
    <definedName name="UtGrossReceipts">[21]Variables!$D$29</definedName>
    <definedName name="ValidAccount">[20]Variables!$AK$43:$AK$369</definedName>
    <definedName name="VAR" localSheetId="1">[22]Backup!#REF!</definedName>
    <definedName name="VAR" localSheetId="2">[22]Backup!#REF!</definedName>
    <definedName name="VAR" localSheetId="4">[22]Backup!#REF!</definedName>
    <definedName name="VAR" localSheetId="3">[22]Backup!#REF!</definedName>
    <definedName name="VAR" localSheetId="5">[22]Backup!#REF!</definedName>
    <definedName name="VAR" localSheetId="7">[22]Backup!#REF!</definedName>
    <definedName name="VAR" localSheetId="8">[22]Backup!#REF!</definedName>
    <definedName name="VAR" localSheetId="37">[22]Backup!#REF!</definedName>
    <definedName name="VAR" localSheetId="17">[22]Backup!#REF!</definedName>
    <definedName name="VAR" localSheetId="20">[22]Backup!#REF!</definedName>
    <definedName name="VAR" localSheetId="36">[22]Backup!#REF!</definedName>
    <definedName name="VAR">[22]Backup!#REF!</definedName>
    <definedName name="VARIABLE" localSheetId="1">[27]Summary!#REF!</definedName>
    <definedName name="VARIABLE" localSheetId="2">[27]Summary!#REF!</definedName>
    <definedName name="VARIABLE" localSheetId="4">[27]Summary!#REF!</definedName>
    <definedName name="VARIABLE" localSheetId="3">[27]Summary!#REF!</definedName>
    <definedName name="VARIABLE" localSheetId="5">[27]Summary!#REF!</definedName>
    <definedName name="VARIABLE" localSheetId="7">[27]Summary!#REF!</definedName>
    <definedName name="VARIABLE" localSheetId="8">[27]Summary!#REF!</definedName>
    <definedName name="VARIABLE" localSheetId="17">[27]Summary!#REF!</definedName>
    <definedName name="VARIABLE" localSheetId="20">[27]Summary!#REF!</definedName>
    <definedName name="VARIABLE" localSheetId="36">[28]Summary!#REF!</definedName>
    <definedName name="VARIABLE">[27]Summary!#REF!</definedName>
    <definedName name="VOUCHER" localSheetId="1">#REF!</definedName>
    <definedName name="VOUCHER" localSheetId="2">#REF!</definedName>
    <definedName name="VOUCHER" localSheetId="4">#REF!</definedName>
    <definedName name="VOUCHER" localSheetId="3">#REF!</definedName>
    <definedName name="VOUCHER" localSheetId="5">#REF!</definedName>
    <definedName name="VOUCHER" localSheetId="7">#REF!</definedName>
    <definedName name="VOUCHER" localSheetId="8">#REF!</definedName>
    <definedName name="VOUCHER" localSheetId="17">#REF!</definedName>
    <definedName name="VOUCHER" localSheetId="20">#REF!</definedName>
    <definedName name="VOUCHER" localSheetId="26">#REF!</definedName>
    <definedName name="VOUCHER">#REF!</definedName>
    <definedName name="WaRevenueTax" localSheetId="26">[21]Variables!$D$27</definedName>
    <definedName name="WaRevenueTax">[21]Variables!$D$27</definedName>
    <definedName name="WEATHER" localSheetId="1">#REF!</definedName>
    <definedName name="WEATHER" localSheetId="2">#REF!</definedName>
    <definedName name="WEATHER" localSheetId="4">#REF!</definedName>
    <definedName name="WEATHER" localSheetId="3">#REF!</definedName>
    <definedName name="WEATHER" localSheetId="5">#REF!</definedName>
    <definedName name="WEATHER" localSheetId="7">#REF!</definedName>
    <definedName name="WEATHER" localSheetId="8">#REF!</definedName>
    <definedName name="WEATHER" localSheetId="17">#REF!</definedName>
    <definedName name="WEATHER" localSheetId="20">#REF!</definedName>
    <definedName name="WEATHER">#REF!</definedName>
    <definedName name="WEATHRNORM" localSheetId="1">#REF!</definedName>
    <definedName name="WEATHRNORM" localSheetId="2">#REF!</definedName>
    <definedName name="WEATHRNORM" localSheetId="3">#REF!</definedName>
    <definedName name="WEATHRNORM" localSheetId="5">#REF!</definedName>
    <definedName name="WEATHRNORM" localSheetId="7">#REF!</definedName>
    <definedName name="WEATHRNORM" localSheetId="8">#REF!</definedName>
    <definedName name="WEATHRNORM" localSheetId="17">#REF!</definedName>
    <definedName name="WEATHRNORM" localSheetId="20">#REF!</definedName>
    <definedName name="WEATHRNORM">#REF!</definedName>
    <definedName name="WIDTH" localSheetId="1">#REF!</definedName>
    <definedName name="WIDTH" localSheetId="2">#REF!</definedName>
    <definedName name="WIDTH" localSheetId="3">#REF!</definedName>
    <definedName name="WIDTH" localSheetId="5">#REF!</definedName>
    <definedName name="WIDTH" localSheetId="7">#REF!</definedName>
    <definedName name="WIDTH" localSheetId="8">#REF!</definedName>
    <definedName name="WIDTH" localSheetId="17">#REF!</definedName>
    <definedName name="WIDTH" localSheetId="20">#REF!</definedName>
    <definedName name="WIDTH" localSheetId="26">#REF!</definedName>
    <definedName name="WIDTH">#REF!</definedName>
    <definedName name="WinterPeak" localSheetId="26">'[40]Load Data'!$D$9:$H$12,'[40]Load Data'!$D$20:$H$22</definedName>
    <definedName name="WinterPeak">'[40]Load Data'!$D$9:$H$12,'[40]Load Data'!$D$20:$H$22</definedName>
    <definedName name="WORK1" localSheetId="1">#REF!</definedName>
    <definedName name="WORK1" localSheetId="2">#REF!</definedName>
    <definedName name="WORK1" localSheetId="4">#REF!</definedName>
    <definedName name="WORK1" localSheetId="3">#REF!</definedName>
    <definedName name="WORK1" localSheetId="5">#REF!</definedName>
    <definedName name="WORK1" localSheetId="7">#REF!</definedName>
    <definedName name="WORK1" localSheetId="8">#REF!</definedName>
    <definedName name="WORK1" localSheetId="17">#REF!</definedName>
    <definedName name="WORK1" localSheetId="20">#REF!</definedName>
    <definedName name="WORK1" localSheetId="26">#REF!</definedName>
    <definedName name="WORK1">#REF!</definedName>
    <definedName name="WORK2" localSheetId="1">#REF!</definedName>
    <definedName name="WORK2" localSheetId="2">#REF!</definedName>
    <definedName name="WORK2" localSheetId="3">#REF!</definedName>
    <definedName name="WORK2" localSheetId="5">#REF!</definedName>
    <definedName name="WORK2" localSheetId="7">#REF!</definedName>
    <definedName name="WORK2" localSheetId="8">#REF!</definedName>
    <definedName name="WORK2" localSheetId="17">#REF!</definedName>
    <definedName name="WORK2" localSheetId="20">#REF!</definedName>
    <definedName name="WORK2" localSheetId="26">#REF!</definedName>
    <definedName name="WORK2">#REF!</definedName>
    <definedName name="WORK3" localSheetId="1">#REF!</definedName>
    <definedName name="WORK3" localSheetId="2">#REF!</definedName>
    <definedName name="WORK3" localSheetId="3">#REF!</definedName>
    <definedName name="WORK3" localSheetId="5">#REF!</definedName>
    <definedName name="WORK3" localSheetId="7">#REF!</definedName>
    <definedName name="WORK3" localSheetId="8">#REF!</definedName>
    <definedName name="WORK3" localSheetId="17">#REF!</definedName>
    <definedName name="WORK3" localSheetId="20">#REF!</definedName>
    <definedName name="WORK3" localSheetId="26">#REF!</definedName>
    <definedName name="WORK3">#REF!</definedName>
    <definedName name="wrn.OR._.Carrying._.Charge._.JV." localSheetId="4" hidden="1">{#N/A,#N/A,FALSE,"Loans";#N/A,#N/A,FALSE,"Program Costs";#N/A,#N/A,FALSE,"Measures";#N/A,#N/A,FALSE,"Net Lost Rev";#N/A,#N/A,FALSE,"Incentive"}</definedName>
    <definedName name="wrn.OR._.Carrying._.Charge._.JV." localSheetId="5" hidden="1">{#N/A,#N/A,FALSE,"Loans";#N/A,#N/A,FALSE,"Program Costs";#N/A,#N/A,FALSE,"Measures";#N/A,#N/A,FALSE,"Net Lost Rev";#N/A,#N/A,FALSE,"Incentive"}</definedName>
    <definedName name="wrn.OR._.Carrying._.Charge._.JV." localSheetId="8" hidden="1">{#N/A,#N/A,FALSE,"Loans";#N/A,#N/A,FALSE,"Program Costs";#N/A,#N/A,FALSE,"Measures";#N/A,#N/A,FALSE,"Net Lost Rev";#N/A,#N/A,FALSE,"Incentive"}</definedName>
    <definedName name="wrn.OR._.Carrying._.Charge._.JV." localSheetId="14" hidden="1">{#N/A,#N/A,FALSE,"Loans";#N/A,#N/A,FALSE,"Program Costs";#N/A,#N/A,FALSE,"Measures";#N/A,#N/A,FALSE,"Net Lost Rev";#N/A,#N/A,FALSE,"Incentive"}</definedName>
    <definedName name="wrn.OR._.Carrying._.Charge._.JV." localSheetId="35" hidden="1">{#N/A,#N/A,FALSE,"Loans";#N/A,#N/A,FALSE,"Program Costs";#N/A,#N/A,FALSE,"Measures";#N/A,#N/A,FALSE,"Net Lost Rev";#N/A,#N/A,FALSE,"Incentive"}</definedName>
    <definedName name="wrn.OR._.Carrying._.Charge._.JV." localSheetId="37" hidden="1">{#N/A,#N/A,FALSE,"Loans";#N/A,#N/A,FALSE,"Program Costs";#N/A,#N/A,FALSE,"Measures";#N/A,#N/A,FALSE,"Net Lost Rev";#N/A,#N/A,FALSE,"Incentive"}</definedName>
    <definedName name="wrn.OR._.Carrying._.Charge._.JV." localSheetId="36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4" hidden="1">{#N/A,#N/A,FALSE,"Loans";#N/A,#N/A,FALSE,"Program Costs";#N/A,#N/A,FALSE,"Measures";#N/A,#N/A,FALSE,"Net Lost Rev";#N/A,#N/A,FALSE,"Incentive"}</definedName>
    <definedName name="wrn.OR._.Carrying._.Charge._.JV.1" localSheetId="5" hidden="1">{#N/A,#N/A,FALSE,"Loans";#N/A,#N/A,FALSE,"Program Costs";#N/A,#N/A,FALSE,"Measures";#N/A,#N/A,FALSE,"Net Lost Rev";#N/A,#N/A,FALSE,"Incentive"}</definedName>
    <definedName name="wrn.OR._.Carrying._.Charge._.JV.1" localSheetId="8" hidden="1">{#N/A,#N/A,FALSE,"Loans";#N/A,#N/A,FALSE,"Program Costs";#N/A,#N/A,FALSE,"Measures";#N/A,#N/A,FALSE,"Net Lost Rev";#N/A,#N/A,FALSE,"Incentive"}</definedName>
    <definedName name="wrn.OR._.Carrying._.Charge._.JV.1" localSheetId="14" hidden="1">{#N/A,#N/A,FALSE,"Loans";#N/A,#N/A,FALSE,"Program Costs";#N/A,#N/A,FALSE,"Measures";#N/A,#N/A,FALSE,"Net Lost Rev";#N/A,#N/A,FALSE,"Incentive"}</definedName>
    <definedName name="wrn.OR._.Carrying._.Charge._.JV.1" localSheetId="35" hidden="1">{#N/A,#N/A,FALSE,"Loans";#N/A,#N/A,FALSE,"Program Costs";#N/A,#N/A,FALSE,"Measures";#N/A,#N/A,FALSE,"Net Lost Rev";#N/A,#N/A,FALSE,"Incentive"}</definedName>
    <definedName name="wrn.OR._.Carrying._.Charge._.JV.1" localSheetId="37" hidden="1">{#N/A,#N/A,FALSE,"Loans";#N/A,#N/A,FALSE,"Program Costs";#N/A,#N/A,FALSE,"Measures";#N/A,#N/A,FALSE,"Net Lost Rev";#N/A,#N/A,FALSE,"Incentive"}</definedName>
    <definedName name="wrn.OR._.Carrying._.Charge._.JV.1" localSheetId="36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x">'[41]Weather Present'!$K$7</definedName>
    <definedName name="y" localSheetId="39" hidden="1">#REF!</definedName>
    <definedName name="y" localSheetId="40" hidden="1">#REF!</definedName>
    <definedName name="y" localSheetId="0" hidden="1">#REF!</definedName>
    <definedName name="y" localSheetId="1" hidden="1">#REF!</definedName>
    <definedName name="y" localSheetId="2" hidden="1">#REF!</definedName>
    <definedName name="y" localSheetId="3" hidden="1">#REF!</definedName>
    <definedName name="y" localSheetId="7" hidden="1">#REF!</definedName>
    <definedName name="y" localSheetId="8" hidden="1">#REF!</definedName>
    <definedName name="y" localSheetId="9" hidden="1">#REF!</definedName>
    <definedName name="y" localSheetId="10" hidden="1">#REF!</definedName>
    <definedName name="y" localSheetId="11" hidden="1">#REF!</definedName>
    <definedName name="y" localSheetId="12" hidden="1">#REF!</definedName>
    <definedName name="y" localSheetId="13" hidden="1">#REF!</definedName>
    <definedName name="y" localSheetId="14" hidden="1">#REF!</definedName>
    <definedName name="y" localSheetId="35" hidden="1">#REF!</definedName>
    <definedName name="y" localSheetId="31" hidden="1">'[6]DSM Output'!$B$21:$B$23</definedName>
    <definedName name="y" localSheetId="30" hidden="1">'[6]DSM Output'!$B$21:$B$23</definedName>
    <definedName name="y" localSheetId="37" hidden="1">#REF!</definedName>
    <definedName name="y" localSheetId="16" hidden="1">#REF!</definedName>
    <definedName name="y" localSheetId="17" hidden="1">#REF!</definedName>
    <definedName name="y" localSheetId="20" hidden="1">#REF!</definedName>
    <definedName name="y" localSheetId="36" hidden="1">'[8]DSM Output'!$B$21:$B$23</definedName>
    <definedName name="y" localSheetId="26" hidden="1">'[6]DSM Output'!$B$21:$B$23</definedName>
    <definedName name="y" localSheetId="34" hidden="1">#REF!</definedName>
    <definedName name="y" hidden="1">'[6]DSM Output'!$B$21:$B$23</definedName>
    <definedName name="Year" localSheetId="1">#REF!</definedName>
    <definedName name="Year" localSheetId="2">#REF!</definedName>
    <definedName name="Year" localSheetId="4">#REF!</definedName>
    <definedName name="Year" localSheetId="3">#REF!</definedName>
    <definedName name="Year" localSheetId="5">#REF!</definedName>
    <definedName name="Year" localSheetId="7">#REF!</definedName>
    <definedName name="Year" localSheetId="8">#REF!</definedName>
    <definedName name="Year" localSheetId="17">#REF!</definedName>
    <definedName name="Year" localSheetId="20">#REF!</definedName>
    <definedName name="Year" localSheetId="26">#REF!</definedName>
    <definedName name="Year">#REF!</definedName>
    <definedName name="YEFactors">[20]Factors!$S$3:$AG$99</definedName>
    <definedName name="z" localSheetId="39" hidden="1">#REF!</definedName>
    <definedName name="z" localSheetId="40" hidden="1">#REF!</definedName>
    <definedName name="z" localSheetId="0" hidden="1">#REF!</definedName>
    <definedName name="z" localSheetId="1" hidden="1">#REF!</definedName>
    <definedName name="z" localSheetId="2" hidden="1">#REF!</definedName>
    <definedName name="z" localSheetId="3" hidden="1">#REF!</definedName>
    <definedName name="z" localSheetId="7" hidden="1">#REF!</definedName>
    <definedName name="z" localSheetId="8" hidden="1">#REF!</definedName>
    <definedName name="z" localSheetId="9" hidden="1">#REF!</definedName>
    <definedName name="z" localSheetId="10" hidden="1">#REF!</definedName>
    <definedName name="z" localSheetId="11" hidden="1">#REF!</definedName>
    <definedName name="z" localSheetId="12" hidden="1">#REF!</definedName>
    <definedName name="z" localSheetId="13" hidden="1">#REF!</definedName>
    <definedName name="z" localSheetId="14" hidden="1">#REF!</definedName>
    <definedName name="z" localSheetId="35" hidden="1">#REF!</definedName>
    <definedName name="z" localSheetId="31" hidden="1">'[6]DSM Output'!$G$21:$G$23</definedName>
    <definedName name="z" localSheetId="30" hidden="1">'[6]DSM Output'!$G$21:$G$23</definedName>
    <definedName name="z" localSheetId="37" hidden="1">#REF!</definedName>
    <definedName name="z" localSheetId="16" hidden="1">#REF!</definedName>
    <definedName name="z" localSheetId="17" hidden="1">#REF!</definedName>
    <definedName name="z" localSheetId="20" hidden="1">#REF!</definedName>
    <definedName name="z" localSheetId="36" hidden="1">'[8]DSM Output'!$G$21:$G$23</definedName>
    <definedName name="z" localSheetId="26" hidden="1">'[6]DSM Output'!$G$21:$G$23</definedName>
    <definedName name="z" localSheetId="34" hidden="1">#REF!</definedName>
    <definedName name="z" hidden="1">'[6]DSM Output'!$G$21:$G$23</definedName>
    <definedName name="ZA" localSheetId="1">'[42] annual balance '!#REF!</definedName>
    <definedName name="ZA" localSheetId="2">'[42] annual balance '!#REF!</definedName>
    <definedName name="ZA" localSheetId="4">'[42] annual balance '!#REF!</definedName>
    <definedName name="ZA" localSheetId="3">'[42] annual balance '!#REF!</definedName>
    <definedName name="ZA" localSheetId="5">'[42] annual balance '!#REF!</definedName>
    <definedName name="ZA" localSheetId="7">'[42] annual balance '!#REF!</definedName>
    <definedName name="ZA" localSheetId="8">'[42] annual balance '!#REF!</definedName>
    <definedName name="ZA" localSheetId="37">'[42] annual balance '!#REF!</definedName>
    <definedName name="ZA" localSheetId="17">'[42] annual balance '!#REF!</definedName>
    <definedName name="ZA" localSheetId="20">'[42] annual balance '!#REF!</definedName>
    <definedName name="ZA" localSheetId="36">'[42] annual balance '!#REF!</definedName>
    <definedName name="ZA">'[42] annual balance '!#REF!</definedName>
  </definedNames>
  <calcPr calcId="145621" calcMode="manual" iterate="1"/>
  <pivotCaches>
    <pivotCache cacheId="0" r:id="rId140"/>
  </pivotCaches>
</workbook>
</file>

<file path=xl/calcChain.xml><?xml version="1.0" encoding="utf-8"?>
<calcChain xmlns="http://schemas.openxmlformats.org/spreadsheetml/2006/main">
  <c r="T17" i="12771" l="1"/>
  <c r="Y16" i="12833" l="1"/>
  <c r="Y17" i="12833" s="1"/>
  <c r="T128" i="12843" l="1"/>
  <c r="T127" i="12843"/>
  <c r="T126" i="12843"/>
  <c r="P128" i="12843"/>
  <c r="P127" i="12843"/>
  <c r="P126" i="12843"/>
  <c r="T115" i="12843"/>
  <c r="T112" i="12843"/>
  <c r="T111" i="12843"/>
  <c r="P115" i="12843"/>
  <c r="P112" i="12843"/>
  <c r="P111" i="12843"/>
  <c r="P1006" i="12843"/>
  <c r="X892" i="12843"/>
  <c r="X887" i="12843"/>
  <c r="X884" i="12843"/>
  <c r="T892" i="12843"/>
  <c r="T887" i="12843"/>
  <c r="T884" i="12843"/>
  <c r="P892" i="12843"/>
  <c r="P884" i="12843"/>
  <c r="X765" i="12843"/>
  <c r="X760" i="12843"/>
  <c r="X759" i="12843"/>
  <c r="X757" i="12843"/>
  <c r="X756" i="12843"/>
  <c r="X755" i="12843"/>
  <c r="X754" i="12843"/>
  <c r="X751" i="12843"/>
  <c r="X750" i="12843"/>
  <c r="X749" i="12843"/>
  <c r="X746" i="12843"/>
  <c r="T765" i="12843"/>
  <c r="T760" i="12843"/>
  <c r="T759" i="12843"/>
  <c r="T757" i="12843"/>
  <c r="T756" i="12843"/>
  <c r="T755" i="12843"/>
  <c r="T754" i="12843"/>
  <c r="T751" i="12843"/>
  <c r="T750" i="12843"/>
  <c r="T749" i="12843"/>
  <c r="T746" i="12843"/>
  <c r="P765" i="12843"/>
  <c r="P763" i="12843"/>
  <c r="P746" i="12843"/>
  <c r="X589" i="12843"/>
  <c r="X588" i="12843"/>
  <c r="X584" i="12843"/>
  <c r="X582" i="12843"/>
  <c r="X581" i="12843"/>
  <c r="X580" i="12843"/>
  <c r="X579" i="12843"/>
  <c r="X578" i="12843"/>
  <c r="X567" i="12843"/>
  <c r="X566" i="12843"/>
  <c r="X564" i="12843"/>
  <c r="X563" i="12843"/>
  <c r="T594" i="12843"/>
  <c r="T593" i="12843"/>
  <c r="T589" i="12843"/>
  <c r="T588" i="12843"/>
  <c r="T584" i="12843"/>
  <c r="T582" i="12843"/>
  <c r="T581" i="12843"/>
  <c r="T580" i="12843"/>
  <c r="T579" i="12843"/>
  <c r="T578" i="12843"/>
  <c r="T576" i="12843"/>
  <c r="T575" i="12843"/>
  <c r="T567" i="12843"/>
  <c r="T566" i="12843"/>
  <c r="T564" i="12843"/>
  <c r="T563" i="12843"/>
  <c r="P594" i="12843"/>
  <c r="P593" i="12843"/>
  <c r="P592" i="12843"/>
  <c r="P589" i="12843"/>
  <c r="P588" i="12843"/>
  <c r="P587" i="12843"/>
  <c r="P586" i="12843"/>
  <c r="P585" i="12843"/>
  <c r="P584" i="12843"/>
  <c r="P580" i="12843"/>
  <c r="P579" i="12843"/>
  <c r="P578" i="12843"/>
  <c r="P576" i="12843"/>
  <c r="P575" i="12843"/>
  <c r="P574" i="12843"/>
  <c r="P573" i="12843"/>
  <c r="P572" i="12843"/>
  <c r="P571" i="12843"/>
  <c r="P564" i="12843"/>
  <c r="P563" i="12843"/>
  <c r="X562" i="12843"/>
  <c r="T562" i="12843"/>
  <c r="P562" i="12843"/>
  <c r="X1211" i="12843" l="1"/>
  <c r="T1211" i="12843"/>
  <c r="P1211" i="12843"/>
  <c r="X1197" i="12843"/>
  <c r="T1197" i="12843"/>
  <c r="P1197" i="12843"/>
  <c r="X1096" i="12843"/>
  <c r="T1096" i="12843"/>
  <c r="P1100" i="12843"/>
  <c r="P1096" i="12843"/>
  <c r="X1093" i="12843"/>
  <c r="T1093" i="12843"/>
  <c r="P1093" i="12843"/>
  <c r="X946" i="12843"/>
  <c r="X943" i="12843"/>
  <c r="T946" i="12843"/>
  <c r="T943" i="12843"/>
  <c r="P949" i="12843"/>
  <c r="P943" i="12843"/>
  <c r="X199" i="12843"/>
  <c r="N574" i="12767" l="1"/>
  <c r="C122" i="12850" l="1"/>
  <c r="T122" i="12850" s="1"/>
  <c r="C121" i="12850"/>
  <c r="I121" i="12850" s="1"/>
  <c r="C120" i="12850"/>
  <c r="C118" i="12850"/>
  <c r="C117" i="12850"/>
  <c r="C116" i="12850"/>
  <c r="I115" i="12850"/>
  <c r="F115" i="12850"/>
  <c r="C114" i="12850"/>
  <c r="F114" i="12850" s="1"/>
  <c r="I113" i="12850"/>
  <c r="F113" i="12850"/>
  <c r="C112" i="12850"/>
  <c r="I111" i="12850"/>
  <c r="F111" i="12850"/>
  <c r="R109" i="12850"/>
  <c r="R124" i="12850" s="1"/>
  <c r="N109" i="12850"/>
  <c r="N124" i="12850" s="1"/>
  <c r="R108" i="12850"/>
  <c r="R123" i="12850" s="1"/>
  <c r="N108" i="12850"/>
  <c r="N123" i="12850" s="1"/>
  <c r="N107" i="12850"/>
  <c r="C107" i="12850"/>
  <c r="N106" i="12850"/>
  <c r="N105" i="12850"/>
  <c r="N118" i="12850" s="1"/>
  <c r="C105" i="12850"/>
  <c r="C106" i="12850" s="1"/>
  <c r="C103" i="12850"/>
  <c r="F103" i="12850" s="1"/>
  <c r="C102" i="12850"/>
  <c r="I102" i="12850" s="1"/>
  <c r="V100" i="12850"/>
  <c r="R100" i="12850"/>
  <c r="C100" i="12850"/>
  <c r="V99" i="12850"/>
  <c r="V114" i="12850" s="1"/>
  <c r="R99" i="12850"/>
  <c r="R114" i="12850" s="1"/>
  <c r="C99" i="12850"/>
  <c r="V97" i="12850"/>
  <c r="V113" i="12850" s="1"/>
  <c r="X113" i="12850" s="1"/>
  <c r="R97" i="12850"/>
  <c r="C97" i="12850"/>
  <c r="V96" i="12850"/>
  <c r="V112" i="12850" s="1"/>
  <c r="R96" i="12850"/>
  <c r="C96" i="12850"/>
  <c r="V95" i="12850"/>
  <c r="V111" i="12850" s="1"/>
  <c r="X111" i="12850" s="1"/>
  <c r="R95" i="12850"/>
  <c r="R111" i="12850" s="1"/>
  <c r="T111" i="12850" s="1"/>
  <c r="C95" i="12850"/>
  <c r="I95" i="12850" s="1"/>
  <c r="R85" i="12850"/>
  <c r="C84" i="12850"/>
  <c r="C83" i="12850"/>
  <c r="C82" i="12850"/>
  <c r="C80" i="12850"/>
  <c r="C79" i="12850"/>
  <c r="C78" i="12850"/>
  <c r="F78" i="12850" s="1"/>
  <c r="C77" i="12850"/>
  <c r="C37" i="12850" s="1"/>
  <c r="C76" i="12850"/>
  <c r="F76" i="12850" s="1"/>
  <c r="C75" i="12850"/>
  <c r="C35" i="12850" s="1"/>
  <c r="C74" i="12850"/>
  <c r="I74" i="12850" s="1"/>
  <c r="C73" i="12850"/>
  <c r="R71" i="12850"/>
  <c r="R86" i="12850" s="1"/>
  <c r="N71" i="12850"/>
  <c r="R70" i="12850"/>
  <c r="N70" i="12850"/>
  <c r="N85" i="12850" s="1"/>
  <c r="N69" i="12850"/>
  <c r="C69" i="12850"/>
  <c r="I69" i="12850" s="1"/>
  <c r="N68" i="12850"/>
  <c r="N81" i="12850" s="1"/>
  <c r="N67" i="12850"/>
  <c r="C65" i="12850"/>
  <c r="C64" i="12850"/>
  <c r="I64" i="12850" s="1"/>
  <c r="V62" i="12850"/>
  <c r="R62" i="12850"/>
  <c r="R77" i="12850" s="1"/>
  <c r="C62" i="12850"/>
  <c r="V61" i="12850"/>
  <c r="V76" i="12850" s="1"/>
  <c r="R61" i="12850"/>
  <c r="R76" i="12850" s="1"/>
  <c r="C61" i="12850"/>
  <c r="V59" i="12850"/>
  <c r="R59" i="12850"/>
  <c r="R75" i="12850" s="1"/>
  <c r="C59" i="12850"/>
  <c r="V58" i="12850"/>
  <c r="V74" i="12850" s="1"/>
  <c r="R58" i="12850"/>
  <c r="R74" i="12850" s="1"/>
  <c r="C58" i="12850"/>
  <c r="V57" i="12850"/>
  <c r="R57" i="12850"/>
  <c r="C57" i="12850"/>
  <c r="F57" i="12850" s="1"/>
  <c r="N46" i="12850"/>
  <c r="N45" i="12850"/>
  <c r="J44" i="12850"/>
  <c r="J43" i="12850"/>
  <c r="J121" i="12850" s="1"/>
  <c r="N42" i="12850"/>
  <c r="N41" i="12850"/>
  <c r="N40" i="12850"/>
  <c r="V37" i="12850"/>
  <c r="R37" i="12850"/>
  <c r="V36" i="12850"/>
  <c r="R36" i="12850"/>
  <c r="V35" i="12850"/>
  <c r="R35" i="12850"/>
  <c r="V34" i="12850"/>
  <c r="R34" i="12850"/>
  <c r="V33" i="12850"/>
  <c r="R33" i="12850"/>
  <c r="N31" i="12850"/>
  <c r="G31" i="12850"/>
  <c r="N30" i="12850"/>
  <c r="G30" i="12850"/>
  <c r="J27" i="12850"/>
  <c r="J107" i="12850" s="1"/>
  <c r="J17" i="12850"/>
  <c r="N17" i="12850" s="1"/>
  <c r="N97" i="12850" s="1"/>
  <c r="N113" i="12850" s="1"/>
  <c r="P113" i="12850" s="1"/>
  <c r="J16" i="12850"/>
  <c r="J96" i="12850" s="1"/>
  <c r="J15" i="12850"/>
  <c r="J95" i="12850" s="1"/>
  <c r="C22" i="12850" l="1"/>
  <c r="C39" i="12850"/>
  <c r="C43" i="12850"/>
  <c r="P43" i="12850" s="1"/>
  <c r="T100" i="12850"/>
  <c r="C27" i="12850"/>
  <c r="P27" i="12850" s="1"/>
  <c r="C20" i="12850"/>
  <c r="T20" i="12850" s="1"/>
  <c r="C23" i="12850"/>
  <c r="T74" i="12850"/>
  <c r="X74" i="12850"/>
  <c r="X37" i="12850"/>
  <c r="N16" i="12850"/>
  <c r="F69" i="12850"/>
  <c r="F74" i="12850"/>
  <c r="I112" i="12850"/>
  <c r="I34" i="12850" s="1"/>
  <c r="F112" i="12850"/>
  <c r="C34" i="12850"/>
  <c r="T34" i="12850" s="1"/>
  <c r="P118" i="12850"/>
  <c r="I118" i="12850"/>
  <c r="X57" i="12850"/>
  <c r="F96" i="12850"/>
  <c r="C16" i="12850"/>
  <c r="X16" i="12850" s="1"/>
  <c r="F107" i="12850"/>
  <c r="I107" i="12850"/>
  <c r="I27" i="12850" s="1"/>
  <c r="I117" i="12850"/>
  <c r="F117" i="12850"/>
  <c r="I22" i="12850"/>
  <c r="T35" i="12850"/>
  <c r="T37" i="12850"/>
  <c r="I57" i="12850"/>
  <c r="I15" i="12850" s="1"/>
  <c r="T96" i="12850"/>
  <c r="P121" i="12850"/>
  <c r="J34" i="12850"/>
  <c r="J58" i="12850"/>
  <c r="N59" i="12850"/>
  <c r="P59" i="12850" s="1"/>
  <c r="T76" i="12850"/>
  <c r="X62" i="12850"/>
  <c r="I73" i="12850"/>
  <c r="I33" i="12850" s="1"/>
  <c r="J83" i="12850"/>
  <c r="L83" i="12850" s="1"/>
  <c r="X95" i="12850"/>
  <c r="X112" i="12850"/>
  <c r="F102" i="12850"/>
  <c r="I114" i="12850"/>
  <c r="V73" i="12850"/>
  <c r="X73" i="12850" s="1"/>
  <c r="N15" i="12850"/>
  <c r="N95" i="12850" s="1"/>
  <c r="P95" i="12850" s="1"/>
  <c r="F64" i="12850"/>
  <c r="F22" i="12850" s="1"/>
  <c r="F77" i="12850"/>
  <c r="F37" i="12850" s="1"/>
  <c r="I96" i="12850"/>
  <c r="T99" i="12850"/>
  <c r="I103" i="12850"/>
  <c r="P107" i="12850"/>
  <c r="F121" i="12850"/>
  <c r="J42" i="12850"/>
  <c r="T62" i="12850"/>
  <c r="F62" i="12850"/>
  <c r="F82" i="12850"/>
  <c r="C42" i="12850"/>
  <c r="P42" i="12850" s="1"/>
  <c r="X84" i="12850"/>
  <c r="F84" i="12850"/>
  <c r="X114" i="12850"/>
  <c r="I62" i="12850"/>
  <c r="N82" i="12850"/>
  <c r="P82" i="12850" s="1"/>
  <c r="P69" i="12850"/>
  <c r="X76" i="12850"/>
  <c r="I78" i="12850"/>
  <c r="I82" i="12850"/>
  <c r="I84" i="12850"/>
  <c r="T95" i="12850"/>
  <c r="F95" i="12850"/>
  <c r="F15" i="12850" s="1"/>
  <c r="C15" i="12850"/>
  <c r="X96" i="12850"/>
  <c r="I100" i="12850"/>
  <c r="F100" i="12850"/>
  <c r="I120" i="12850"/>
  <c r="F120" i="12850"/>
  <c r="F80" i="12850"/>
  <c r="C85" i="12850"/>
  <c r="P85" i="12850" s="1"/>
  <c r="C33" i="12850"/>
  <c r="X33" i="12850" s="1"/>
  <c r="F73" i="12850"/>
  <c r="F33" i="12850" s="1"/>
  <c r="R112" i="12850"/>
  <c r="T112" i="12850" s="1"/>
  <c r="F36" i="12850"/>
  <c r="R115" i="12850"/>
  <c r="T115" i="12850" s="1"/>
  <c r="C123" i="12850"/>
  <c r="P123" i="12850" s="1"/>
  <c r="C119" i="12850"/>
  <c r="C124" i="12850" s="1"/>
  <c r="F118" i="12850"/>
  <c r="N120" i="12850"/>
  <c r="P120" i="12850" s="1"/>
  <c r="AA16" i="12850"/>
  <c r="J33" i="12850"/>
  <c r="L121" i="12850"/>
  <c r="T77" i="12850"/>
  <c r="I77" i="12850"/>
  <c r="I37" i="12850" s="1"/>
  <c r="T75" i="12850"/>
  <c r="T114" i="12850"/>
  <c r="N111" i="12850"/>
  <c r="P111" i="12850" s="1"/>
  <c r="N96" i="12850"/>
  <c r="N58" i="12850"/>
  <c r="N34" i="12850"/>
  <c r="I59" i="12850"/>
  <c r="C17" i="12850"/>
  <c r="T59" i="12850"/>
  <c r="F59" i="12850"/>
  <c r="I61" i="12850"/>
  <c r="F61" i="12850"/>
  <c r="T61" i="12850"/>
  <c r="C19" i="12850"/>
  <c r="R73" i="12850"/>
  <c r="T73" i="12850" s="1"/>
  <c r="T57" i="12850"/>
  <c r="L58" i="12850"/>
  <c r="J74" i="12850"/>
  <c r="L74" i="12850" s="1"/>
  <c r="L96" i="12850"/>
  <c r="J112" i="12850"/>
  <c r="L112" i="12850" s="1"/>
  <c r="I116" i="12850"/>
  <c r="F116" i="12850"/>
  <c r="F38" i="12850" s="1"/>
  <c r="C38" i="12850"/>
  <c r="R113" i="12850"/>
  <c r="T113" i="12850" s="1"/>
  <c r="T97" i="12850"/>
  <c r="V115" i="12850"/>
  <c r="X115" i="12850" s="1"/>
  <c r="X100" i="12850"/>
  <c r="C109" i="12850"/>
  <c r="I106" i="12850"/>
  <c r="F106" i="12850"/>
  <c r="N44" i="12850"/>
  <c r="N122" i="12850"/>
  <c r="P122" i="12850" s="1"/>
  <c r="J84" i="12850"/>
  <c r="L84" i="12850" s="1"/>
  <c r="J122" i="12850"/>
  <c r="L122" i="12850" s="1"/>
  <c r="N84" i="12850"/>
  <c r="P84" i="12850" s="1"/>
  <c r="N57" i="12850"/>
  <c r="N33" i="12850"/>
  <c r="I75" i="12850"/>
  <c r="I35" i="12850" s="1"/>
  <c r="F75" i="12850"/>
  <c r="F35" i="12850" s="1"/>
  <c r="V77" i="12850"/>
  <c r="X77" i="12850" s="1"/>
  <c r="X97" i="12850"/>
  <c r="I97" i="12850"/>
  <c r="F97" i="12850"/>
  <c r="C98" i="12850"/>
  <c r="X99" i="12850"/>
  <c r="I99" i="12850"/>
  <c r="F99" i="12850"/>
  <c r="N119" i="12850"/>
  <c r="P106" i="12850"/>
  <c r="J59" i="12850"/>
  <c r="J35" i="12850"/>
  <c r="AA17" i="12850"/>
  <c r="J120" i="12850"/>
  <c r="L120" i="12850" s="1"/>
  <c r="L107" i="12850"/>
  <c r="AA27" i="12850"/>
  <c r="X35" i="12850"/>
  <c r="J57" i="12850"/>
  <c r="X61" i="12850"/>
  <c r="I65" i="12850"/>
  <c r="F65" i="12850"/>
  <c r="F23" i="12850" s="1"/>
  <c r="J69" i="12850"/>
  <c r="C36" i="12850"/>
  <c r="I76" i="12850"/>
  <c r="I79" i="12850"/>
  <c r="F79" i="12850"/>
  <c r="N80" i="12850"/>
  <c r="P80" i="12850" s="1"/>
  <c r="I83" i="12850"/>
  <c r="I43" i="12850" s="1"/>
  <c r="P83" i="12850"/>
  <c r="F83" i="12850"/>
  <c r="N86" i="12850"/>
  <c r="J97" i="12850"/>
  <c r="I122" i="12850"/>
  <c r="F122" i="12850"/>
  <c r="X122" i="12850"/>
  <c r="L95" i="12850"/>
  <c r="J111" i="12850"/>
  <c r="L111" i="12850" s="1"/>
  <c r="AA15" i="12850"/>
  <c r="P97" i="12850"/>
  <c r="N35" i="12850"/>
  <c r="C60" i="12850"/>
  <c r="X58" i="12850"/>
  <c r="I58" i="12850"/>
  <c r="I16" i="12850" s="1"/>
  <c r="F58" i="12850"/>
  <c r="T58" i="12850"/>
  <c r="V75" i="12850"/>
  <c r="X75" i="12850" s="1"/>
  <c r="X59" i="12850"/>
  <c r="C81" i="12850"/>
  <c r="P81" i="12850" s="1"/>
  <c r="C40" i="12850"/>
  <c r="C45" i="12850" s="1"/>
  <c r="I80" i="12850"/>
  <c r="T85" i="12850"/>
  <c r="P105" i="12850"/>
  <c r="I105" i="12850"/>
  <c r="C108" i="12850"/>
  <c r="T108" i="12850" s="1"/>
  <c r="F105" i="12850"/>
  <c r="C125" i="12850"/>
  <c r="C44" i="12850"/>
  <c r="T84" i="12850"/>
  <c r="E18" i="12826"/>
  <c r="E17" i="12826"/>
  <c r="AF610" i="12767"/>
  <c r="AF612" i="12767" s="1"/>
  <c r="F173" i="12845"/>
  <c r="AF23" i="12850" s="1"/>
  <c r="AF25" i="12850" s="1"/>
  <c r="F172" i="12845"/>
  <c r="AF22" i="12850" s="1"/>
  <c r="AF24" i="12850" s="1"/>
  <c r="F27" i="12850" l="1"/>
  <c r="T16" i="12850"/>
  <c r="X20" i="12850"/>
  <c r="F39" i="12850"/>
  <c r="I36" i="12850"/>
  <c r="I40" i="12850"/>
  <c r="L43" i="12850"/>
  <c r="F34" i="12850"/>
  <c r="T123" i="12850"/>
  <c r="AF609" i="12767"/>
  <c r="AF611" i="12767" s="1"/>
  <c r="I39" i="12850"/>
  <c r="I44" i="12850"/>
  <c r="X34" i="12850"/>
  <c r="I42" i="12850"/>
  <c r="F16" i="12850"/>
  <c r="F40" i="12850"/>
  <c r="F44" i="12850"/>
  <c r="I23" i="12850"/>
  <c r="N75" i="12850"/>
  <c r="P75" i="12850" s="1"/>
  <c r="F20" i="12850"/>
  <c r="F43" i="12850"/>
  <c r="I20" i="12850"/>
  <c r="F42" i="12850"/>
  <c r="T33" i="12850"/>
  <c r="T124" i="12850"/>
  <c r="P124" i="12850"/>
  <c r="X15" i="12850"/>
  <c r="T15" i="12850"/>
  <c r="F119" i="12850"/>
  <c r="F125" i="12850" s="1"/>
  <c r="I119" i="12850"/>
  <c r="I125" i="12850" s="1"/>
  <c r="I38" i="12850"/>
  <c r="P119" i="12850"/>
  <c r="C18" i="12850"/>
  <c r="P45" i="12850"/>
  <c r="T45" i="12850"/>
  <c r="P108" i="12850"/>
  <c r="T36" i="12850"/>
  <c r="X36" i="12850"/>
  <c r="L34" i="12850"/>
  <c r="P34" i="12850" s="1"/>
  <c r="P40" i="12850"/>
  <c r="N74" i="12850"/>
  <c r="P74" i="12850" s="1"/>
  <c r="P58" i="12850"/>
  <c r="P57" i="12850"/>
  <c r="N73" i="12850"/>
  <c r="P73" i="12850" s="1"/>
  <c r="L44" i="12850"/>
  <c r="P44" i="12850" s="1"/>
  <c r="L16" i="12850"/>
  <c r="P16" i="12850" s="1"/>
  <c r="F19" i="12850"/>
  <c r="X17" i="12850"/>
  <c r="T17" i="12850"/>
  <c r="N112" i="12850"/>
  <c r="P112" i="12850" s="1"/>
  <c r="P96" i="12850"/>
  <c r="L69" i="12850"/>
  <c r="L27" i="12850" s="1"/>
  <c r="J82" i="12850"/>
  <c r="L82" i="12850" s="1"/>
  <c r="L42" i="12850" s="1"/>
  <c r="I19" i="12850"/>
  <c r="I17" i="12850"/>
  <c r="X44" i="12850"/>
  <c r="T44" i="12850"/>
  <c r="C41" i="12850"/>
  <c r="I81" i="12850"/>
  <c r="C86" i="12850"/>
  <c r="T86" i="12850" s="1"/>
  <c r="F81" i="12850"/>
  <c r="F41" i="12850" s="1"/>
  <c r="J113" i="12850"/>
  <c r="L113" i="12850" s="1"/>
  <c r="L97" i="12850"/>
  <c r="J73" i="12850"/>
  <c r="L73" i="12850" s="1"/>
  <c r="L33" i="12850" s="1"/>
  <c r="P33" i="12850" s="1"/>
  <c r="L57" i="12850"/>
  <c r="L59" i="12850"/>
  <c r="J75" i="12850"/>
  <c r="L75" i="12850" s="1"/>
  <c r="P109" i="12850"/>
  <c r="T109" i="12850"/>
  <c r="X19" i="12850"/>
  <c r="T19" i="12850"/>
  <c r="F17" i="12850"/>
  <c r="D33" i="12842"/>
  <c r="E33" i="12842"/>
  <c r="F33" i="12842"/>
  <c r="G33" i="12842"/>
  <c r="H33" i="12842"/>
  <c r="I33" i="12842"/>
  <c r="J33" i="12842"/>
  <c r="K33" i="12842"/>
  <c r="L33" i="12842"/>
  <c r="N33" i="12842"/>
  <c r="D34" i="12842"/>
  <c r="E34" i="12842"/>
  <c r="F34" i="12842"/>
  <c r="G34" i="12842"/>
  <c r="H34" i="12842"/>
  <c r="I34" i="12842"/>
  <c r="J34" i="12842"/>
  <c r="K34" i="12842"/>
  <c r="L34" i="12842"/>
  <c r="M34" i="12842"/>
  <c r="N34" i="12842"/>
  <c r="D35" i="12842"/>
  <c r="E35" i="12842"/>
  <c r="F35" i="12842"/>
  <c r="G35" i="12842"/>
  <c r="H35" i="12842"/>
  <c r="AA51" i="12850" s="1"/>
  <c r="I35" i="12842"/>
  <c r="Z51" i="12850" s="1"/>
  <c r="J35" i="12842"/>
  <c r="Y51" i="12850" s="1"/>
  <c r="K35" i="12842"/>
  <c r="L35" i="12842"/>
  <c r="N35" i="12842"/>
  <c r="D36" i="12842"/>
  <c r="E36" i="12842"/>
  <c r="F36" i="12842"/>
  <c r="G36" i="12842"/>
  <c r="H36" i="12842"/>
  <c r="M36" i="12842" s="1"/>
  <c r="I36" i="12842"/>
  <c r="J36" i="12842"/>
  <c r="K36" i="12842"/>
  <c r="L36" i="12842"/>
  <c r="N36" i="12842"/>
  <c r="I41" i="12850" l="1"/>
  <c r="L17" i="12850"/>
  <c r="P17" i="12850" s="1"/>
  <c r="C46" i="12850"/>
  <c r="P41" i="12850"/>
  <c r="L15" i="12850"/>
  <c r="P15" i="12850" s="1"/>
  <c r="L35" i="12850"/>
  <c r="P35" i="12850" s="1"/>
  <c r="P86" i="12850"/>
  <c r="M35" i="12842"/>
  <c r="M33" i="12842"/>
  <c r="P46" i="12850" l="1"/>
  <c r="T46" i="12850"/>
  <c r="F44" i="12842"/>
  <c r="F38" i="12842"/>
  <c r="F39" i="12842"/>
  <c r="F40" i="12842"/>
  <c r="L43" i="12828" l="1"/>
  <c r="L42" i="12828"/>
  <c r="L44" i="12828" l="1"/>
  <c r="K43" i="12828" s="1"/>
  <c r="E43" i="12828" l="1"/>
  <c r="I43" i="12828"/>
  <c r="F43" i="12828"/>
  <c r="J43" i="12828"/>
  <c r="D43" i="12828"/>
  <c r="G43" i="12828"/>
  <c r="H43" i="12828"/>
  <c r="K42" i="12828"/>
  <c r="G42" i="12828" l="1"/>
  <c r="J42" i="12828"/>
  <c r="H42" i="12828"/>
  <c r="H44" i="12828" s="1"/>
  <c r="F42" i="12828"/>
  <c r="F44" i="12828" s="1"/>
  <c r="E42" i="12828"/>
  <c r="E44" i="12828" s="1"/>
  <c r="I42" i="12828"/>
  <c r="I44" i="12828" s="1"/>
  <c r="D42" i="12828"/>
  <c r="D44" i="12828" s="1"/>
  <c r="J44" i="12828"/>
  <c r="G44" i="12828"/>
  <c r="K44" i="12828"/>
  <c r="N44" i="12842" l="1"/>
  <c r="N39" i="12842"/>
  <c r="N40" i="12842"/>
  <c r="N38" i="12842"/>
  <c r="E37" i="12842"/>
  <c r="G37" i="12842"/>
  <c r="D38" i="12842"/>
  <c r="E38" i="12842"/>
  <c r="G38" i="12842"/>
  <c r="D39" i="12842"/>
  <c r="E39" i="12842"/>
  <c r="G39" i="12842"/>
  <c r="D40" i="12842"/>
  <c r="E40" i="12842"/>
  <c r="G40" i="12842"/>
  <c r="D41" i="12842"/>
  <c r="E41" i="12842"/>
  <c r="F41" i="12842" s="1"/>
  <c r="D42" i="12842"/>
  <c r="E42" i="12842"/>
  <c r="F42" i="12842" s="1"/>
  <c r="E44" i="12842"/>
  <c r="G44" i="12842"/>
  <c r="D44" i="12842" l="1"/>
  <c r="E19" i="12826"/>
  <c r="E20" i="12826"/>
  <c r="E21" i="12826"/>
  <c r="E16" i="12826"/>
  <c r="E26" i="12826"/>
  <c r="E24" i="12826"/>
  <c r="E23" i="12826"/>
  <c r="E22" i="12826"/>
  <c r="E15" i="12826"/>
  <c r="J1124" i="12767" l="1"/>
  <c r="L1124" i="12767" s="1"/>
  <c r="J1125" i="12767"/>
  <c r="J1127" i="12843" s="1"/>
  <c r="J1126" i="12767"/>
  <c r="J1128" i="12843" s="1"/>
  <c r="L1128" i="12843" s="1"/>
  <c r="J1123" i="12767"/>
  <c r="L1123" i="12767" s="1"/>
  <c r="I1126" i="12767"/>
  <c r="F1126" i="12767"/>
  <c r="I1125" i="12767"/>
  <c r="F1125" i="12767"/>
  <c r="I1124" i="12767"/>
  <c r="F1124" i="12767"/>
  <c r="I1123" i="12767"/>
  <c r="F1123" i="12767"/>
  <c r="I1128" i="12843"/>
  <c r="F1128" i="12843"/>
  <c r="I1127" i="12843"/>
  <c r="F1126" i="12843"/>
  <c r="I1125" i="12843"/>
  <c r="L1126" i="12767" l="1"/>
  <c r="L1125" i="12767"/>
  <c r="J1125" i="12843"/>
  <c r="L1125" i="12843" s="1"/>
  <c r="J1126" i="12843"/>
  <c r="L1126" i="12843" s="1"/>
  <c r="F1127" i="12843"/>
  <c r="L1127" i="12843"/>
  <c r="I1126" i="12843"/>
  <c r="F1125" i="12843"/>
  <c r="O15" i="12791"/>
  <c r="N15" i="12791"/>
  <c r="V842" i="12767" l="1"/>
  <c r="V841" i="12767"/>
  <c r="V840" i="12767"/>
  <c r="V839" i="12767"/>
  <c r="V838" i="12767"/>
  <c r="V836" i="12767"/>
  <c r="V829" i="12767"/>
  <c r="R842" i="12767"/>
  <c r="R841" i="12767"/>
  <c r="R840" i="12767"/>
  <c r="R839" i="12767"/>
  <c r="R838" i="12767"/>
  <c r="R836" i="12767"/>
  <c r="R831" i="12767"/>
  <c r="R830" i="12767"/>
  <c r="R829" i="12767"/>
  <c r="R827" i="12767"/>
  <c r="N848" i="12767"/>
  <c r="V789" i="12767"/>
  <c r="V788" i="12767"/>
  <c r="V787" i="12767"/>
  <c r="V786" i="12767"/>
  <c r="V785" i="12767"/>
  <c r="V776" i="12767"/>
  <c r="V783" i="12767"/>
  <c r="R789" i="12767"/>
  <c r="R788" i="12767"/>
  <c r="R787" i="12767"/>
  <c r="R786" i="12767"/>
  <c r="R785" i="12767"/>
  <c r="R783" i="12767"/>
  <c r="R778" i="12767"/>
  <c r="R777" i="12767"/>
  <c r="R776" i="12767"/>
  <c r="R774" i="12767"/>
  <c r="N795" i="12767"/>
  <c r="V687" i="12767"/>
  <c r="V686" i="12767"/>
  <c r="V684" i="12767"/>
  <c r="V683" i="12767"/>
  <c r="V682" i="12767"/>
  <c r="R687" i="12767"/>
  <c r="R686" i="12767"/>
  <c r="R684" i="12767"/>
  <c r="R683" i="12767"/>
  <c r="R682" i="12767"/>
  <c r="N694" i="12767"/>
  <c r="N693" i="12767"/>
  <c r="N692" i="12767"/>
  <c r="V649" i="12767"/>
  <c r="V648" i="12767"/>
  <c r="V646" i="12767"/>
  <c r="V645" i="12767"/>
  <c r="V644" i="12767"/>
  <c r="R649" i="12767"/>
  <c r="R648" i="12767"/>
  <c r="R646" i="12767"/>
  <c r="R645" i="12767"/>
  <c r="R644" i="12767"/>
  <c r="N656" i="12767"/>
  <c r="N655" i="12767"/>
  <c r="N654" i="12767"/>
  <c r="V493" i="12767"/>
  <c r="V492" i="12767"/>
  <c r="V491" i="12767"/>
  <c r="R493" i="12767"/>
  <c r="R492" i="12767"/>
  <c r="R491" i="12767"/>
  <c r="N500" i="12767"/>
  <c r="V528" i="12767"/>
  <c r="V527" i="12767"/>
  <c r="V526" i="12767"/>
  <c r="R528" i="12767"/>
  <c r="R527" i="12767"/>
  <c r="R526" i="12767"/>
  <c r="N535" i="12767"/>
  <c r="V458" i="12767"/>
  <c r="V457" i="12767"/>
  <c r="V456" i="12767"/>
  <c r="R458" i="12767"/>
  <c r="R457" i="12767"/>
  <c r="R456" i="12767"/>
  <c r="N465" i="12767"/>
  <c r="R422" i="12767"/>
  <c r="R421" i="12767"/>
  <c r="R420" i="12767"/>
  <c r="N429" i="12767"/>
  <c r="R387" i="12767"/>
  <c r="R386" i="12767"/>
  <c r="R385" i="12767"/>
  <c r="N394" i="12767"/>
  <c r="R352" i="12767"/>
  <c r="R351" i="12767"/>
  <c r="R350" i="12767"/>
  <c r="N359" i="12767"/>
  <c r="R318" i="12767"/>
  <c r="R317" i="12767"/>
  <c r="R316" i="12767"/>
  <c r="N324" i="12767"/>
  <c r="X338" i="12767"/>
  <c r="N338" i="12767"/>
  <c r="X304" i="12767"/>
  <c r="N304" i="12767"/>
  <c r="X269" i="12767"/>
  <c r="T269" i="12767"/>
  <c r="N269" i="12767"/>
  <c r="P268" i="12767"/>
  <c r="R284" i="12767"/>
  <c r="R283" i="12767"/>
  <c r="R282" i="12767"/>
  <c r="N290" i="12767"/>
  <c r="R249" i="12767"/>
  <c r="R248" i="12767"/>
  <c r="R247" i="12767"/>
  <c r="N255" i="12767"/>
  <c r="N221" i="12767"/>
  <c r="R215" i="12767"/>
  <c r="R214" i="12767"/>
  <c r="R213" i="12767"/>
  <c r="N18" i="12791"/>
  <c r="N18" i="12773"/>
  <c r="N18" i="12772"/>
  <c r="T14" i="12771"/>
  <c r="O20" i="12770"/>
  <c r="O19" i="12770"/>
  <c r="X21" i="12769"/>
  <c r="X23" i="12769"/>
  <c r="X22" i="12769"/>
  <c r="W10" i="12833"/>
  <c r="W9" i="12833"/>
  <c r="Z28" i="12848"/>
  <c r="Y28" i="12848"/>
  <c r="N123" i="12843"/>
  <c r="U28" i="12849"/>
  <c r="Y28" i="12849" s="1"/>
  <c r="N42" i="12849"/>
  <c r="K42" i="12849"/>
  <c r="H42" i="12849"/>
  <c r="N32" i="12849"/>
  <c r="K32" i="12849"/>
  <c r="H32" i="12849"/>
  <c r="N19" i="12849"/>
  <c r="K19" i="12849"/>
  <c r="H19" i="12849"/>
  <c r="B19" i="12849"/>
  <c r="B22" i="12849" s="1"/>
  <c r="N42" i="12848"/>
  <c r="K42" i="12848"/>
  <c r="H42" i="12848"/>
  <c r="N32" i="12848"/>
  <c r="K32" i="12848"/>
  <c r="H32" i="12848"/>
  <c r="S28" i="12848"/>
  <c r="N19" i="12848"/>
  <c r="K19" i="12848"/>
  <c r="H19" i="12848"/>
  <c r="B19" i="12848"/>
  <c r="B22" i="12848" s="1"/>
  <c r="N44" i="12848" l="1"/>
  <c r="N48" i="12848" s="1"/>
  <c r="H44" i="12848"/>
  <c r="H48" i="12848" s="1"/>
  <c r="Q28" i="12849"/>
  <c r="K44" i="12849"/>
  <c r="K48" i="12849" s="1"/>
  <c r="H44" i="12849"/>
  <c r="H48" i="12849" s="1"/>
  <c r="N44" i="12849"/>
  <c r="N48" i="12849" s="1"/>
  <c r="B23" i="12849"/>
  <c r="B24" i="12849" s="1"/>
  <c r="K44" i="12848"/>
  <c r="K48" i="12848" s="1"/>
  <c r="B23" i="12848"/>
  <c r="B25" i="12849" l="1"/>
  <c r="B24" i="12848"/>
  <c r="B25" i="12848" s="1"/>
  <c r="B26" i="12849" l="1"/>
  <c r="B28" i="12849" s="1"/>
  <c r="B26" i="12848"/>
  <c r="B27" i="12849" l="1"/>
  <c r="B29" i="12849" s="1"/>
  <c r="B27" i="12848"/>
  <c r="B28" i="12848"/>
  <c r="B29" i="12848" l="1"/>
  <c r="B32" i="12848" s="1"/>
  <c r="B35" i="12848" s="1"/>
  <c r="B32" i="12849"/>
  <c r="B35" i="12849" l="1"/>
  <c r="B36" i="12848"/>
  <c r="B37" i="12848" s="1"/>
  <c r="B38" i="12848" s="1"/>
  <c r="B39" i="12848" s="1"/>
  <c r="B42" i="12848" s="1"/>
  <c r="B44" i="12848" s="1"/>
  <c r="B36" i="12849" l="1"/>
  <c r="B37" i="12849" s="1"/>
  <c r="B38" i="12849" s="1"/>
  <c r="B39" i="12849" s="1"/>
  <c r="B42" i="12849" s="1"/>
  <c r="B44" i="12849" s="1"/>
  <c r="E25" i="12826" l="1"/>
  <c r="J1169" i="12843" l="1"/>
  <c r="Y23" i="12847" l="1"/>
  <c r="Y21" i="12847"/>
  <c r="Y19" i="12847"/>
  <c r="J1208" i="12767" l="1"/>
  <c r="A15" i="12842" l="1"/>
  <c r="A16" i="12842" s="1"/>
  <c r="A17" i="12842" s="1"/>
  <c r="D40" i="12826" l="1"/>
  <c r="J604" i="12767"/>
  <c r="J603" i="12767"/>
  <c r="J602" i="12767"/>
  <c r="J998" i="12767"/>
  <c r="J997" i="12767"/>
  <c r="J942" i="12767"/>
  <c r="J941" i="12767"/>
  <c r="N122" i="12767" l="1"/>
  <c r="Y8" i="12847"/>
  <c r="F23" i="12847" s="1"/>
  <c r="F22" i="12847" l="1"/>
  <c r="F16" i="12847"/>
  <c r="F25" i="12847"/>
  <c r="F19" i="12847"/>
  <c r="F26" i="12847"/>
  <c r="F10" i="12847"/>
  <c r="F20" i="12847"/>
  <c r="F17" i="12847"/>
  <c r="F21" i="12847"/>
  <c r="F27" i="12847"/>
  <c r="F28" i="12847"/>
  <c r="F29" i="12847"/>
  <c r="F31" i="12847"/>
  <c r="F32" i="12847"/>
  <c r="F33" i="12847"/>
  <c r="F11" i="12847"/>
  <c r="F12" i="12847"/>
  <c r="F14" i="12847"/>
  <c r="F15" i="12847"/>
  <c r="N88" i="12767" l="1"/>
  <c r="N42" i="12831" l="1"/>
  <c r="K42" i="12831"/>
  <c r="N32" i="12831"/>
  <c r="K32" i="12831"/>
  <c r="N19" i="12831"/>
  <c r="K19" i="12831"/>
  <c r="K44" i="12831" l="1"/>
  <c r="K48" i="12831" s="1"/>
  <c r="N44" i="12831"/>
  <c r="N48" i="12831" s="1"/>
  <c r="J157" i="12845" l="1"/>
  <c r="I157" i="12845"/>
  <c r="H157" i="12845"/>
  <c r="G157" i="12845"/>
  <c r="F157" i="12845"/>
  <c r="E157" i="12845"/>
  <c r="D157" i="12845"/>
  <c r="C157" i="12845"/>
  <c r="J156" i="12845"/>
  <c r="I156" i="12845"/>
  <c r="H156" i="12845"/>
  <c r="G156" i="12845"/>
  <c r="F156" i="12845"/>
  <c r="E156" i="12845"/>
  <c r="D156" i="12845"/>
  <c r="C156" i="12845"/>
  <c r="J155" i="12845"/>
  <c r="I155" i="12845"/>
  <c r="H155" i="12845"/>
  <c r="G155" i="12845"/>
  <c r="F155" i="12845"/>
  <c r="E155" i="12845"/>
  <c r="D155" i="12845"/>
  <c r="C155" i="12845"/>
  <c r="J154" i="12845"/>
  <c r="I154" i="12845"/>
  <c r="H154" i="12845"/>
  <c r="G154" i="12845"/>
  <c r="F154" i="12845"/>
  <c r="E154" i="12845"/>
  <c r="D154" i="12845"/>
  <c r="C154" i="12845"/>
  <c r="J153" i="12845"/>
  <c r="I153" i="12845"/>
  <c r="H153" i="12845"/>
  <c r="G153" i="12845"/>
  <c r="F153" i="12845"/>
  <c r="E153" i="12845"/>
  <c r="D153" i="12845"/>
  <c r="C153" i="12845"/>
  <c r="AD22" i="12850" l="1"/>
  <c r="AD609" i="12767"/>
  <c r="D12" i="12844"/>
  <c r="C20" i="12844"/>
  <c r="B10" i="12785" s="1"/>
  <c r="D14" i="12844"/>
  <c r="C19" i="12844" s="1"/>
  <c r="B9" i="12785" s="1"/>
  <c r="E13" i="12844"/>
  <c r="E10" i="12844"/>
  <c r="F10" i="12844" s="1"/>
  <c r="E9" i="12844"/>
  <c r="F9" i="12844" s="1"/>
  <c r="E8" i="12844"/>
  <c r="F8" i="12844" s="1"/>
  <c r="E7" i="12844"/>
  <c r="F7" i="12844" s="1"/>
  <c r="C18" i="12844" l="1"/>
  <c r="B8" i="12785" s="1"/>
  <c r="C12" i="12844"/>
  <c r="D15" i="12844" s="1"/>
  <c r="C21" i="12844" l="1"/>
  <c r="D19" i="12844"/>
  <c r="F9" i="12785" s="1"/>
  <c r="D18" i="12844"/>
  <c r="F8" i="12785" s="1"/>
  <c r="D20" i="12844"/>
  <c r="F10" i="12785" s="1"/>
  <c r="O16" i="12791"/>
  <c r="N17" i="12791"/>
  <c r="N16" i="12791"/>
  <c r="O16" i="12773"/>
  <c r="O15" i="12773"/>
  <c r="N17" i="12773"/>
  <c r="N16" i="12773"/>
  <c r="N15" i="12773"/>
  <c r="O16" i="12772"/>
  <c r="O15" i="12772"/>
  <c r="N17" i="12772"/>
  <c r="N16" i="12772"/>
  <c r="N15" i="12772"/>
  <c r="T21" i="12771"/>
  <c r="T20" i="12771"/>
  <c r="T19" i="12771"/>
  <c r="T18" i="12771"/>
  <c r="O18" i="12770"/>
  <c r="P16" i="12770"/>
  <c r="P15" i="12770"/>
  <c r="O16" i="12770"/>
  <c r="O15" i="12770"/>
  <c r="O14" i="12770"/>
  <c r="X20" i="12769"/>
  <c r="X18" i="12769"/>
  <c r="Y14" i="12769"/>
  <c r="X14" i="12769"/>
  <c r="D21" i="12844" l="1"/>
  <c r="H15" i="12826"/>
  <c r="W8" i="12833" l="1"/>
  <c r="W8" i="12847" s="1"/>
  <c r="D33" i="12847" l="1"/>
  <c r="H33" i="12847" s="1"/>
  <c r="D22" i="12847"/>
  <c r="H22" i="12847" s="1"/>
  <c r="D27" i="12847"/>
  <c r="H27" i="12847" s="1"/>
  <c r="D26" i="12847"/>
  <c r="H26" i="12847" s="1"/>
  <c r="D14" i="12847"/>
  <c r="H14" i="12847" s="1"/>
  <c r="D29" i="12847"/>
  <c r="H29" i="12847" s="1"/>
  <c r="D21" i="12847"/>
  <c r="H21" i="12847" s="1"/>
  <c r="D16" i="12847"/>
  <c r="H16" i="12847" s="1"/>
  <c r="D20" i="12847"/>
  <c r="H20" i="12847" s="1"/>
  <c r="D19" i="12847"/>
  <c r="H19" i="12847" s="1"/>
  <c r="D12" i="12847"/>
  <c r="H12" i="12847" s="1"/>
  <c r="D17" i="12847"/>
  <c r="H17" i="12847" s="1"/>
  <c r="D25" i="12847"/>
  <c r="H25" i="12847" s="1"/>
  <c r="D32" i="12847"/>
  <c r="H32" i="12847" s="1"/>
  <c r="D28" i="12847"/>
  <c r="H28" i="12847" s="1"/>
  <c r="D15" i="12847"/>
  <c r="H15" i="12847" s="1"/>
  <c r="D10" i="12847"/>
  <c r="H10" i="12847" s="1"/>
  <c r="D31" i="12847"/>
  <c r="H31" i="12847" s="1"/>
  <c r="D11" i="12847"/>
  <c r="H11" i="12847" s="1"/>
  <c r="D23" i="12847"/>
  <c r="H23" i="12847" s="1"/>
  <c r="R1269" i="12843"/>
  <c r="N1269" i="12843"/>
  <c r="V1225" i="12843"/>
  <c r="V1224" i="12843"/>
  <c r="R1228" i="12843"/>
  <c r="R1225" i="12843"/>
  <c r="R1224" i="12843"/>
  <c r="N1228" i="12843"/>
  <c r="N1225" i="12843"/>
  <c r="N1224" i="12843"/>
  <c r="J1227" i="12843"/>
  <c r="J1225" i="12843"/>
  <c r="J1224" i="12843"/>
  <c r="L1197" i="12843"/>
  <c r="J1196" i="12843"/>
  <c r="J1151" i="12843"/>
  <c r="R1138" i="12843"/>
  <c r="N1138" i="12843"/>
  <c r="V1097" i="12843" l="1"/>
  <c r="V1094" i="12843"/>
  <c r="R1102" i="12843"/>
  <c r="R1097" i="12843"/>
  <c r="R1094" i="12843"/>
  <c r="N1102" i="12843"/>
  <c r="N1101" i="12843"/>
  <c r="N1100" i="12843"/>
  <c r="V1003" i="12843"/>
  <c r="V1002" i="12843"/>
  <c r="V1000" i="12843"/>
  <c r="V999" i="12843"/>
  <c r="R1008" i="12843"/>
  <c r="R1003" i="12843"/>
  <c r="R1002" i="12843"/>
  <c r="R1000" i="12843"/>
  <c r="R999" i="12843"/>
  <c r="N1008" i="12843"/>
  <c r="N1007" i="12843"/>
  <c r="N1006" i="12843"/>
  <c r="V946" i="12843"/>
  <c r="V945" i="12843"/>
  <c r="V943" i="12843"/>
  <c r="V942" i="12843"/>
  <c r="R951" i="12843"/>
  <c r="R946" i="12843"/>
  <c r="R945" i="12843"/>
  <c r="R943" i="12843"/>
  <c r="R942" i="12843"/>
  <c r="N951" i="12843"/>
  <c r="N950" i="12843"/>
  <c r="N949" i="12843"/>
  <c r="I933" i="12843"/>
  <c r="P931" i="12843"/>
  <c r="X926" i="12843"/>
  <c r="T926" i="12843"/>
  <c r="P926" i="12843"/>
  <c r="L926" i="12843"/>
  <c r="I926" i="12843"/>
  <c r="X929" i="12767"/>
  <c r="X925" i="12767"/>
  <c r="T929" i="12767"/>
  <c r="T925" i="12767"/>
  <c r="P930" i="12767"/>
  <c r="P929" i="12767"/>
  <c r="P925" i="12767"/>
  <c r="L929" i="12767"/>
  <c r="L925" i="12767"/>
  <c r="I932" i="12767"/>
  <c r="I929" i="12767"/>
  <c r="I925" i="12767"/>
  <c r="N764" i="12843" l="1"/>
  <c r="N870" i="12843" s="1"/>
  <c r="P870" i="12843" s="1"/>
  <c r="V765" i="12843"/>
  <c r="V871" i="12843" s="1"/>
  <c r="X871" i="12843" s="1"/>
  <c r="V736" i="12843"/>
  <c r="V757" i="12843" s="1"/>
  <c r="V735" i="12843"/>
  <c r="V756" i="12843" s="1"/>
  <c r="V734" i="12843"/>
  <c r="V755" i="12843" s="1"/>
  <c r="V733" i="12843"/>
  <c r="V754" i="12843" s="1"/>
  <c r="V732" i="12843"/>
  <c r="V739" i="12843" s="1"/>
  <c r="V760" i="12843" s="1"/>
  <c r="V730" i="12843"/>
  <c r="V751" i="12843" s="1"/>
  <c r="V723" i="12843"/>
  <c r="V748" i="12843" s="1"/>
  <c r="R765" i="12843"/>
  <c r="R818" i="12843" s="1"/>
  <c r="T818" i="12843" s="1"/>
  <c r="R743" i="12843"/>
  <c r="R766" i="12843" s="1"/>
  <c r="R736" i="12843"/>
  <c r="R757" i="12843" s="1"/>
  <c r="R735" i="12843"/>
  <c r="R756" i="12843" s="1"/>
  <c r="R734" i="12843"/>
  <c r="R755" i="12843" s="1"/>
  <c r="R733" i="12843"/>
  <c r="R754" i="12843" s="1"/>
  <c r="R732" i="12843"/>
  <c r="R753" i="12843" s="1"/>
  <c r="R730" i="12843"/>
  <c r="R751" i="12843" s="1"/>
  <c r="R725" i="12843"/>
  <c r="R750" i="12843" s="1"/>
  <c r="R724" i="12843"/>
  <c r="R749" i="12843" s="1"/>
  <c r="R723" i="12843"/>
  <c r="R748" i="12843" s="1"/>
  <c r="R721" i="12843"/>
  <c r="R746" i="12843" s="1"/>
  <c r="N743" i="12843"/>
  <c r="N766" i="12843" s="1"/>
  <c r="N742" i="12843"/>
  <c r="N763" i="12843" s="1"/>
  <c r="J723" i="12843"/>
  <c r="J830" i="12843" s="1"/>
  <c r="R710" i="12843"/>
  <c r="R672" i="12843"/>
  <c r="N631" i="12843"/>
  <c r="N709" i="12843" s="1"/>
  <c r="V632" i="12843"/>
  <c r="V710" i="12843" s="1"/>
  <c r="V608" i="12843"/>
  <c r="V625" i="12843" s="1"/>
  <c r="V607" i="12843"/>
  <c r="V687" i="12843" s="1"/>
  <c r="V605" i="12843"/>
  <c r="V647" i="12843" s="1"/>
  <c r="V604" i="12843"/>
  <c r="V622" i="12843" s="1"/>
  <c r="V603" i="12843"/>
  <c r="V621" i="12843" s="1"/>
  <c r="R617" i="12843"/>
  <c r="R634" i="12843" s="1"/>
  <c r="R616" i="12843"/>
  <c r="R633" i="12843" s="1"/>
  <c r="R608" i="12843"/>
  <c r="R625" i="12843" s="1"/>
  <c r="R607" i="12843"/>
  <c r="R687" i="12843" s="1"/>
  <c r="R605" i="12843"/>
  <c r="R647" i="12843" s="1"/>
  <c r="R604" i="12843"/>
  <c r="R622" i="12843" s="1"/>
  <c r="R603" i="12843"/>
  <c r="R621" i="12843" s="1"/>
  <c r="N617" i="12843"/>
  <c r="N634" i="12843" s="1"/>
  <c r="N616" i="12843"/>
  <c r="N633" i="12843" s="1"/>
  <c r="N615" i="12843"/>
  <c r="N630" i="12843" s="1"/>
  <c r="N614" i="12843"/>
  <c r="N613" i="12843"/>
  <c r="N655" i="12843" s="1"/>
  <c r="V584" i="12843"/>
  <c r="R584" i="12843"/>
  <c r="N584" i="12843"/>
  <c r="J574" i="12843"/>
  <c r="V550" i="12843"/>
  <c r="V515" i="12843"/>
  <c r="V480" i="12843"/>
  <c r="R550" i="12843"/>
  <c r="R515" i="12843"/>
  <c r="R480" i="12843"/>
  <c r="N549" i="12843"/>
  <c r="N514" i="12843"/>
  <c r="N479" i="12843"/>
  <c r="V444" i="12843"/>
  <c r="V409" i="12843"/>
  <c r="V374" i="12843"/>
  <c r="V339" i="12843"/>
  <c r="V305" i="12843"/>
  <c r="V270" i="12843"/>
  <c r="R444" i="12843"/>
  <c r="R409" i="12843"/>
  <c r="R374" i="12843"/>
  <c r="R339" i="12843"/>
  <c r="R305" i="12843"/>
  <c r="R270" i="12843"/>
  <c r="N443" i="12843"/>
  <c r="N408" i="12843"/>
  <c r="N373" i="12843"/>
  <c r="N338" i="12843"/>
  <c r="N304" i="12843"/>
  <c r="N269" i="12843"/>
  <c r="V236" i="12843"/>
  <c r="R236" i="12843"/>
  <c r="V171" i="12843"/>
  <c r="V459" i="12843" s="1"/>
  <c r="V170" i="12843"/>
  <c r="V528" i="12843" s="1"/>
  <c r="V169" i="12843"/>
  <c r="V527" i="12843" s="1"/>
  <c r="R185" i="12843"/>
  <c r="R553" i="12843" s="1"/>
  <c r="R184" i="12843"/>
  <c r="R432" i="12843" s="1"/>
  <c r="R183" i="12843"/>
  <c r="R537" i="12843" s="1"/>
  <c r="R175" i="12843"/>
  <c r="R192" i="12843" s="1"/>
  <c r="R174" i="12843"/>
  <c r="R422" i="12843" s="1"/>
  <c r="R173" i="12843"/>
  <c r="R421" i="12843" s="1"/>
  <c r="R171" i="12843"/>
  <c r="R459" i="12843" s="1"/>
  <c r="R170" i="12843"/>
  <c r="R528" i="12843" s="1"/>
  <c r="R169" i="12843"/>
  <c r="R527" i="12843" s="1"/>
  <c r="N185" i="12843"/>
  <c r="N539" i="12843" s="1"/>
  <c r="N184" i="12843"/>
  <c r="N538" i="12843" s="1"/>
  <c r="N183" i="12843"/>
  <c r="N551" i="12843" s="1"/>
  <c r="N182" i="12843"/>
  <c r="N430" i="12843" s="1"/>
  <c r="R112" i="12843"/>
  <c r="R113" i="12843"/>
  <c r="R129" i="12843" s="1"/>
  <c r="R114" i="12843"/>
  <c r="R130" i="12843" s="1"/>
  <c r="R145" i="12843" s="1"/>
  <c r="R115" i="12843"/>
  <c r="R111" i="12843"/>
  <c r="N115" i="12843"/>
  <c r="R108" i="12843"/>
  <c r="N96" i="12843"/>
  <c r="N114" i="12843" s="1"/>
  <c r="N95" i="12843"/>
  <c r="N113" i="12843" s="1"/>
  <c r="N129" i="12843" s="1"/>
  <c r="N93" i="12843"/>
  <c r="N112" i="12843" s="1"/>
  <c r="N92" i="12843"/>
  <c r="N111" i="12843" s="1"/>
  <c r="N89" i="12843"/>
  <c r="N138" i="12843" s="1"/>
  <c r="J89" i="12843"/>
  <c r="Y8" i="12833" s="1"/>
  <c r="P80" i="12843"/>
  <c r="V22" i="12843"/>
  <c r="V43" i="12843" s="1"/>
  <c r="R22" i="12843"/>
  <c r="R79" i="12843" s="1"/>
  <c r="X1279" i="12843"/>
  <c r="C1270" i="12843"/>
  <c r="C1269" i="12843" s="1"/>
  <c r="C1268" i="12843"/>
  <c r="I1267" i="12843"/>
  <c r="F1267" i="12843"/>
  <c r="I1265" i="12843"/>
  <c r="F1265" i="12843"/>
  <c r="C1264" i="12843"/>
  <c r="F1264" i="12843" s="1"/>
  <c r="C1263" i="12843"/>
  <c r="I1263" i="12843" s="1"/>
  <c r="I1261" i="12843"/>
  <c r="F1261" i="12843"/>
  <c r="I1260" i="12843"/>
  <c r="F1260" i="12843"/>
  <c r="I1258" i="12843"/>
  <c r="F1258" i="12843"/>
  <c r="I1257" i="12843"/>
  <c r="F1257" i="12843"/>
  <c r="I1256" i="12843"/>
  <c r="F1256" i="12843"/>
  <c r="I1253" i="12843"/>
  <c r="F1253" i="12843"/>
  <c r="I1252" i="12843"/>
  <c r="F1252" i="12843"/>
  <c r="I1250" i="12843"/>
  <c r="F1250" i="12843"/>
  <c r="C1249" i="12843"/>
  <c r="I1249" i="12843" s="1"/>
  <c r="C1248" i="12843"/>
  <c r="I1245" i="12843"/>
  <c r="F1245" i="12843"/>
  <c r="C1244" i="12843"/>
  <c r="I1244" i="12843" s="1"/>
  <c r="I1242" i="12843"/>
  <c r="F1242" i="12843"/>
  <c r="C1241" i="12843"/>
  <c r="F1241" i="12843" s="1"/>
  <c r="C1240" i="12843"/>
  <c r="G1229" i="12843"/>
  <c r="C1227" i="12843"/>
  <c r="C1225" i="12843"/>
  <c r="I1225" i="12843" s="1"/>
  <c r="C1224" i="12843"/>
  <c r="C1212" i="12843"/>
  <c r="C1211" i="12843"/>
  <c r="C1214" i="12843" s="1"/>
  <c r="I1210" i="12843"/>
  <c r="F1210" i="12843"/>
  <c r="L1209" i="12843"/>
  <c r="G1200" i="12843"/>
  <c r="C1198" i="12843"/>
  <c r="C1196" i="12843"/>
  <c r="AD1194" i="12843"/>
  <c r="I1194" i="12843"/>
  <c r="F1194" i="12843"/>
  <c r="AD1193" i="12843"/>
  <c r="I1193" i="12843"/>
  <c r="F1193" i="12843"/>
  <c r="AD1192" i="12843"/>
  <c r="I1192" i="12843"/>
  <c r="F1192" i="12843"/>
  <c r="AD1191" i="12843"/>
  <c r="I1191" i="12843"/>
  <c r="F1191" i="12843"/>
  <c r="AD1190" i="12843"/>
  <c r="I1190" i="12843"/>
  <c r="F1190" i="12843"/>
  <c r="AD1187" i="12843"/>
  <c r="C1187" i="12843"/>
  <c r="I1187" i="12843" s="1"/>
  <c r="AD1186" i="12843"/>
  <c r="C1186" i="12843"/>
  <c r="I1186" i="12843" s="1"/>
  <c r="AD1185" i="12843"/>
  <c r="C1185" i="12843"/>
  <c r="I1185" i="12843" s="1"/>
  <c r="AD1184" i="12843"/>
  <c r="C1184" i="12843"/>
  <c r="I1184" i="12843" s="1"/>
  <c r="AD1183" i="12843"/>
  <c r="C1183" i="12843"/>
  <c r="I1183" i="12843" s="1"/>
  <c r="AD1182" i="12843"/>
  <c r="C1182" i="12843"/>
  <c r="I1182" i="12843" s="1"/>
  <c r="X1180" i="12843"/>
  <c r="I1180" i="12843"/>
  <c r="G1155" i="12843"/>
  <c r="C1153" i="12843"/>
  <c r="I1152" i="12843"/>
  <c r="F1152" i="12843"/>
  <c r="C1151" i="12843"/>
  <c r="C1156" i="12843" s="1"/>
  <c r="X1150" i="12843"/>
  <c r="I1150" i="12843"/>
  <c r="F1150" i="12843" s="1"/>
  <c r="C1139" i="12843"/>
  <c r="C1137" i="12843"/>
  <c r="I1136" i="12843"/>
  <c r="F1136" i="12843"/>
  <c r="I1135" i="12843"/>
  <c r="F1135" i="12843"/>
  <c r="I1134" i="12843"/>
  <c r="F1134" i="12843"/>
  <c r="I1133" i="12843"/>
  <c r="F1133" i="12843"/>
  <c r="I1132" i="12843"/>
  <c r="F1132" i="12843"/>
  <c r="I1131" i="12843"/>
  <c r="F1131" i="12843"/>
  <c r="I1130" i="12843"/>
  <c r="F1130" i="12843"/>
  <c r="C1123" i="12843"/>
  <c r="F1123" i="12843" s="1"/>
  <c r="C1122" i="12843"/>
  <c r="I1122" i="12843" s="1"/>
  <c r="C1121" i="12843"/>
  <c r="I1120" i="12843"/>
  <c r="F1120" i="12843"/>
  <c r="I1119" i="12843"/>
  <c r="F1119" i="12843"/>
  <c r="C1118" i="12843"/>
  <c r="I1117" i="12843"/>
  <c r="F1117" i="12843"/>
  <c r="I1116" i="12843"/>
  <c r="F1116" i="12843"/>
  <c r="C1115" i="12843"/>
  <c r="F1115" i="12843" s="1"/>
  <c r="C1114" i="12843"/>
  <c r="F1114" i="12843" s="1"/>
  <c r="G1103" i="12843"/>
  <c r="C1101" i="12843"/>
  <c r="C1100" i="12843"/>
  <c r="C1102" i="12843" s="1"/>
  <c r="C1098" i="12843"/>
  <c r="I1098" i="12843" s="1"/>
  <c r="C1097" i="12843"/>
  <c r="L1096" i="12843"/>
  <c r="I1096" i="12843"/>
  <c r="F1096" i="12843"/>
  <c r="C1094" i="12843"/>
  <c r="L1093" i="12843"/>
  <c r="I1093" i="12843"/>
  <c r="F1093" i="12843"/>
  <c r="C1079" i="12843"/>
  <c r="C1076" i="12843"/>
  <c r="C1060" i="12843"/>
  <c r="C1057" i="12843"/>
  <c r="R1047" i="12843"/>
  <c r="N1047" i="12843"/>
  <c r="N1046" i="12843"/>
  <c r="C1046" i="12843"/>
  <c r="F1046" i="12843" s="1"/>
  <c r="N1045" i="12843"/>
  <c r="C1045" i="12843"/>
  <c r="C1043" i="12843"/>
  <c r="V1042" i="12843"/>
  <c r="X1042" i="12843" s="1"/>
  <c r="R1042" i="12843"/>
  <c r="T1042" i="12843" s="1"/>
  <c r="I1042" i="12843"/>
  <c r="F1042" i="12843"/>
  <c r="V1041" i="12843"/>
  <c r="R1041" i="12843"/>
  <c r="C1041" i="12843"/>
  <c r="V1039" i="12843"/>
  <c r="X1039" i="12843" s="1"/>
  <c r="R1039" i="12843"/>
  <c r="T1039" i="12843" s="1"/>
  <c r="I1039" i="12843"/>
  <c r="F1039" i="12843"/>
  <c r="V1038" i="12843"/>
  <c r="R1038" i="12843"/>
  <c r="C1038" i="12843"/>
  <c r="I1038" i="12843" s="1"/>
  <c r="R1029" i="12843"/>
  <c r="N1029" i="12843"/>
  <c r="N1028" i="12843"/>
  <c r="C1028" i="12843"/>
  <c r="F1028" i="12843" s="1"/>
  <c r="N1027" i="12843"/>
  <c r="C1025" i="12843"/>
  <c r="V1024" i="12843"/>
  <c r="X1024" i="12843" s="1"/>
  <c r="R1024" i="12843"/>
  <c r="T1024" i="12843" s="1"/>
  <c r="I1024" i="12843"/>
  <c r="F1024" i="12843"/>
  <c r="V1023" i="12843"/>
  <c r="R1023" i="12843"/>
  <c r="C1023" i="12843"/>
  <c r="V1021" i="12843"/>
  <c r="X1021" i="12843" s="1"/>
  <c r="R1021" i="12843"/>
  <c r="T1021" i="12843" s="1"/>
  <c r="I1021" i="12843"/>
  <c r="F1021" i="12843"/>
  <c r="V1020" i="12843"/>
  <c r="R1020" i="12843"/>
  <c r="C1020" i="12843"/>
  <c r="F1020" i="12843" s="1"/>
  <c r="G1009" i="12843"/>
  <c r="C1003" i="12843"/>
  <c r="C1000" i="12843"/>
  <c r="F1000" i="12843" s="1"/>
  <c r="R989" i="12843"/>
  <c r="N989" i="12843"/>
  <c r="N988" i="12843"/>
  <c r="C988" i="12843"/>
  <c r="F988" i="12843" s="1"/>
  <c r="N987" i="12843"/>
  <c r="C987" i="12843"/>
  <c r="C990" i="12843" s="1"/>
  <c r="C985" i="12843"/>
  <c r="V984" i="12843"/>
  <c r="X984" i="12843" s="1"/>
  <c r="R984" i="12843"/>
  <c r="T984" i="12843" s="1"/>
  <c r="I984" i="12843"/>
  <c r="F984" i="12843"/>
  <c r="V983" i="12843"/>
  <c r="R983" i="12843"/>
  <c r="C983" i="12843"/>
  <c r="I983" i="12843" s="1"/>
  <c r="V981" i="12843"/>
  <c r="X981" i="12843" s="1"/>
  <c r="R981" i="12843"/>
  <c r="T981" i="12843" s="1"/>
  <c r="I981" i="12843"/>
  <c r="F981" i="12843"/>
  <c r="V980" i="12843"/>
  <c r="R980" i="12843"/>
  <c r="C980" i="12843"/>
  <c r="I980" i="12843" s="1"/>
  <c r="R971" i="12843"/>
  <c r="N971" i="12843"/>
  <c r="N970" i="12843"/>
  <c r="N891" i="12843" s="1"/>
  <c r="C970" i="12843"/>
  <c r="N969" i="12843"/>
  <c r="C967" i="12843"/>
  <c r="V966" i="12843"/>
  <c r="X966" i="12843" s="1"/>
  <c r="R966" i="12843"/>
  <c r="T966" i="12843" s="1"/>
  <c r="I966" i="12843"/>
  <c r="F966" i="12843"/>
  <c r="V965" i="12843"/>
  <c r="V886" i="12843" s="1"/>
  <c r="R965" i="12843"/>
  <c r="C965" i="12843"/>
  <c r="I965" i="12843" s="1"/>
  <c r="V963" i="12843"/>
  <c r="R963" i="12843"/>
  <c r="T963" i="12843" s="1"/>
  <c r="I963" i="12843"/>
  <c r="F963" i="12843"/>
  <c r="V962" i="12843"/>
  <c r="R962" i="12843"/>
  <c r="C962" i="12843"/>
  <c r="C964" i="12843" s="1"/>
  <c r="G952" i="12843"/>
  <c r="C946" i="12843"/>
  <c r="C943" i="12843"/>
  <c r="E929" i="12843"/>
  <c r="R896" i="12843"/>
  <c r="N896" i="12843"/>
  <c r="C895" i="12843"/>
  <c r="I895" i="12843" s="1"/>
  <c r="C894" i="12843"/>
  <c r="F894" i="12843" s="1"/>
  <c r="C893" i="12843"/>
  <c r="F893" i="12843" s="1"/>
  <c r="L892" i="12843"/>
  <c r="I892" i="12843"/>
  <c r="F892" i="12843"/>
  <c r="C891" i="12843"/>
  <c r="F891" i="12843" s="1"/>
  <c r="C890" i="12843"/>
  <c r="C896" i="12843" s="1"/>
  <c r="C888" i="12843"/>
  <c r="I888" i="12843" s="1"/>
  <c r="I887" i="12843"/>
  <c r="F887" i="12843"/>
  <c r="C886" i="12843"/>
  <c r="F886" i="12843" s="1"/>
  <c r="V885" i="12843"/>
  <c r="R885" i="12843"/>
  <c r="N885" i="12843"/>
  <c r="J885" i="12843"/>
  <c r="I884" i="12843"/>
  <c r="F884" i="12843"/>
  <c r="C883" i="12843"/>
  <c r="I883" i="12843" s="1"/>
  <c r="C872" i="12843"/>
  <c r="I871" i="12843"/>
  <c r="F871" i="12843"/>
  <c r="I870" i="12843"/>
  <c r="F870" i="12843"/>
  <c r="I869" i="12843"/>
  <c r="F869" i="12843"/>
  <c r="I868" i="12843"/>
  <c r="F868" i="12843"/>
  <c r="I866" i="12843"/>
  <c r="F866" i="12843"/>
  <c r="I865" i="12843"/>
  <c r="F865" i="12843"/>
  <c r="I863" i="12843"/>
  <c r="F863" i="12843"/>
  <c r="I862" i="12843"/>
  <c r="F862" i="12843"/>
  <c r="I861" i="12843"/>
  <c r="F861" i="12843"/>
  <c r="I860" i="12843"/>
  <c r="F860" i="12843"/>
  <c r="I859" i="12843"/>
  <c r="F859" i="12843"/>
  <c r="I857" i="12843"/>
  <c r="F857" i="12843"/>
  <c r="I856" i="12843"/>
  <c r="F856" i="12843"/>
  <c r="I855" i="12843"/>
  <c r="F855" i="12843"/>
  <c r="I854" i="12843"/>
  <c r="F854" i="12843"/>
  <c r="I852" i="12843"/>
  <c r="F852" i="12843"/>
  <c r="C849" i="12843"/>
  <c r="C848" i="12843"/>
  <c r="C873" i="12843" s="1"/>
  <c r="C846" i="12843"/>
  <c r="F846" i="12843" s="1"/>
  <c r="C845" i="12843"/>
  <c r="I845" i="12843" s="1"/>
  <c r="C843" i="12843"/>
  <c r="F843" i="12843" s="1"/>
  <c r="C842" i="12843"/>
  <c r="F842" i="12843" s="1"/>
  <c r="C841" i="12843"/>
  <c r="C840" i="12843"/>
  <c r="I840" i="12843" s="1"/>
  <c r="C839" i="12843"/>
  <c r="C837" i="12843"/>
  <c r="I837" i="12843" s="1"/>
  <c r="C835" i="12843"/>
  <c r="C834" i="12843"/>
  <c r="C832" i="12843"/>
  <c r="I832" i="12843" s="1"/>
  <c r="C831" i="12843"/>
  <c r="C830" i="12843"/>
  <c r="I830" i="12843" s="1"/>
  <c r="C828" i="12843"/>
  <c r="F828" i="12843" s="1"/>
  <c r="I818" i="12843"/>
  <c r="F818" i="12843"/>
  <c r="C817" i="12843"/>
  <c r="I817" i="12843" s="1"/>
  <c r="I816" i="12843"/>
  <c r="I763" i="12843" s="1"/>
  <c r="F816" i="12843"/>
  <c r="C815" i="12843"/>
  <c r="I813" i="12843"/>
  <c r="F813" i="12843"/>
  <c r="I812" i="12843"/>
  <c r="F812" i="12843"/>
  <c r="I810" i="12843"/>
  <c r="F810" i="12843"/>
  <c r="I809" i="12843"/>
  <c r="F809" i="12843"/>
  <c r="I808" i="12843"/>
  <c r="F808" i="12843"/>
  <c r="I807" i="12843"/>
  <c r="F807" i="12843"/>
  <c r="C806" i="12843"/>
  <c r="I806" i="12843" s="1"/>
  <c r="I804" i="12843"/>
  <c r="F804" i="12843"/>
  <c r="I803" i="12843"/>
  <c r="F803" i="12843"/>
  <c r="I802" i="12843"/>
  <c r="F802" i="12843"/>
  <c r="C801" i="12843"/>
  <c r="C748" i="12843" s="1"/>
  <c r="I799" i="12843"/>
  <c r="F799" i="12843"/>
  <c r="C796" i="12843"/>
  <c r="F796" i="12843" s="1"/>
  <c r="C793" i="12843"/>
  <c r="F793" i="12843" s="1"/>
  <c r="C792" i="12843"/>
  <c r="C790" i="12843"/>
  <c r="C789" i="12843"/>
  <c r="F789" i="12843" s="1"/>
  <c r="C788" i="12843"/>
  <c r="C787" i="12843"/>
  <c r="C786" i="12843"/>
  <c r="C784" i="12843"/>
  <c r="F784" i="12843" s="1"/>
  <c r="C782" i="12843"/>
  <c r="C781" i="12843"/>
  <c r="C779" i="12843"/>
  <c r="C778" i="12843"/>
  <c r="C777" i="12843"/>
  <c r="I777" i="12843" s="1"/>
  <c r="C775" i="12843"/>
  <c r="J765" i="12843"/>
  <c r="J818" i="12843" s="1"/>
  <c r="L818" i="12843" s="1"/>
  <c r="C765" i="12843"/>
  <c r="J764" i="12843"/>
  <c r="J817" i="12843" s="1"/>
  <c r="C763" i="12843"/>
  <c r="C760" i="12843"/>
  <c r="C759" i="12843"/>
  <c r="C757" i="12843"/>
  <c r="C756" i="12843"/>
  <c r="C755" i="12843"/>
  <c r="C754" i="12843"/>
  <c r="C751" i="12843"/>
  <c r="C750" i="12843"/>
  <c r="C749" i="12843"/>
  <c r="C746" i="12843"/>
  <c r="G744" i="12843"/>
  <c r="C740" i="12843"/>
  <c r="C710" i="12843"/>
  <c r="F710" i="12843" s="1"/>
  <c r="C709" i="12843"/>
  <c r="I709" i="12843" s="1"/>
  <c r="C708" i="12843"/>
  <c r="F708" i="12843" s="1"/>
  <c r="C706" i="12843"/>
  <c r="C705" i="12843"/>
  <c r="I705" i="12843" s="1"/>
  <c r="C704" i="12843"/>
  <c r="I703" i="12843"/>
  <c r="F703" i="12843"/>
  <c r="C702" i="12843"/>
  <c r="I702" i="12843" s="1"/>
  <c r="I701" i="12843"/>
  <c r="F701" i="12843"/>
  <c r="C700" i="12843"/>
  <c r="I699" i="12843"/>
  <c r="F699" i="12843"/>
  <c r="C695" i="12843"/>
  <c r="I695" i="12843" s="1"/>
  <c r="C693" i="12843"/>
  <c r="C694" i="12843" s="1"/>
  <c r="I694" i="12843" s="1"/>
  <c r="C691" i="12843"/>
  <c r="C690" i="12843"/>
  <c r="I690" i="12843" s="1"/>
  <c r="C688" i="12843"/>
  <c r="C687" i="12843"/>
  <c r="I687" i="12843" s="1"/>
  <c r="C685" i="12843"/>
  <c r="I685" i="12843" s="1"/>
  <c r="C684" i="12843"/>
  <c r="F684" i="12843" s="1"/>
  <c r="C683" i="12843"/>
  <c r="I683" i="12843" s="1"/>
  <c r="C672" i="12843"/>
  <c r="F672" i="12843" s="1"/>
  <c r="C671" i="12843"/>
  <c r="F671" i="12843" s="1"/>
  <c r="C670" i="12843"/>
  <c r="I670" i="12843" s="1"/>
  <c r="C668" i="12843"/>
  <c r="C673" i="12843" s="1"/>
  <c r="C667" i="12843"/>
  <c r="C666" i="12843"/>
  <c r="I666" i="12843" s="1"/>
  <c r="C665" i="12843"/>
  <c r="C625" i="12843" s="1"/>
  <c r="C664" i="12843"/>
  <c r="I664" i="12843" s="1"/>
  <c r="C663" i="12843"/>
  <c r="F663" i="12843" s="1"/>
  <c r="C662" i="12843"/>
  <c r="I662" i="12843" s="1"/>
  <c r="C661" i="12843"/>
  <c r="F661" i="12843" s="1"/>
  <c r="C657" i="12843"/>
  <c r="I657" i="12843" s="1"/>
  <c r="C653" i="12843"/>
  <c r="F653" i="12843" s="1"/>
  <c r="C652" i="12843"/>
  <c r="I652" i="12843" s="1"/>
  <c r="C650" i="12843"/>
  <c r="F650" i="12843" s="1"/>
  <c r="C649" i="12843"/>
  <c r="I649" i="12843" s="1"/>
  <c r="C647" i="12843"/>
  <c r="F647" i="12843" s="1"/>
  <c r="C646" i="12843"/>
  <c r="C645" i="12843"/>
  <c r="I645" i="12843" s="1"/>
  <c r="G619" i="12843"/>
  <c r="G618" i="12843"/>
  <c r="C595" i="12843"/>
  <c r="C597" i="12843" s="1"/>
  <c r="C594" i="12843"/>
  <c r="C593" i="12843"/>
  <c r="I592" i="12843"/>
  <c r="F592" i="12843"/>
  <c r="L589" i="12843"/>
  <c r="I589" i="12843"/>
  <c r="F589" i="12843"/>
  <c r="L588" i="12843"/>
  <c r="I588" i="12843"/>
  <c r="F588" i="12843"/>
  <c r="I587" i="12843"/>
  <c r="F587" i="12843"/>
  <c r="I586" i="12843"/>
  <c r="F586" i="12843"/>
  <c r="I585" i="12843"/>
  <c r="F585" i="12843"/>
  <c r="J584" i="12843"/>
  <c r="L584" i="12843" s="1"/>
  <c r="I584" i="12843"/>
  <c r="F584" i="12843"/>
  <c r="I583" i="12843"/>
  <c r="F583" i="12843"/>
  <c r="I582" i="12843"/>
  <c r="F582" i="12843"/>
  <c r="I581" i="12843"/>
  <c r="F581" i="12843"/>
  <c r="I580" i="12843"/>
  <c r="F580" i="12843"/>
  <c r="I579" i="12843"/>
  <c r="F579" i="12843"/>
  <c r="I578" i="12843"/>
  <c r="F578" i="12843"/>
  <c r="C576" i="12843"/>
  <c r="C575" i="12843"/>
  <c r="L574" i="12843"/>
  <c r="I574" i="12843"/>
  <c r="F574" i="12843"/>
  <c r="I573" i="12843"/>
  <c r="F573" i="12843"/>
  <c r="I572" i="12843"/>
  <c r="F572" i="12843"/>
  <c r="I571" i="12843"/>
  <c r="F571" i="12843"/>
  <c r="I569" i="12843"/>
  <c r="F569" i="12843"/>
  <c r="I567" i="12843"/>
  <c r="F567" i="12843"/>
  <c r="I566" i="12843"/>
  <c r="F566" i="12843"/>
  <c r="C565" i="12843"/>
  <c r="I564" i="12843"/>
  <c r="F564" i="12843"/>
  <c r="I563" i="12843"/>
  <c r="F563" i="12843"/>
  <c r="I562" i="12843"/>
  <c r="F562" i="12843"/>
  <c r="C553" i="12843"/>
  <c r="C552" i="12843"/>
  <c r="C551" i="12843"/>
  <c r="I550" i="12843"/>
  <c r="F550" i="12843"/>
  <c r="I549" i="12843"/>
  <c r="F549" i="12843"/>
  <c r="I548" i="12843"/>
  <c r="F548" i="12843"/>
  <c r="I547" i="12843"/>
  <c r="F547" i="12843"/>
  <c r="I546" i="12843"/>
  <c r="F546" i="12843"/>
  <c r="I545" i="12843"/>
  <c r="F545" i="12843"/>
  <c r="I544" i="12843"/>
  <c r="F544" i="12843"/>
  <c r="I543" i="12843"/>
  <c r="F543" i="12843"/>
  <c r="I542" i="12843"/>
  <c r="F542" i="12843"/>
  <c r="I541" i="12843"/>
  <c r="F541" i="12843"/>
  <c r="C539" i="12843"/>
  <c r="I536" i="12843"/>
  <c r="F536" i="12843"/>
  <c r="I535" i="12843"/>
  <c r="F535" i="12843"/>
  <c r="C534" i="12843"/>
  <c r="C538" i="12843" s="1"/>
  <c r="C533" i="12843"/>
  <c r="C532" i="12843"/>
  <c r="I532" i="12843" s="1"/>
  <c r="C531" i="12843"/>
  <c r="C529" i="12843"/>
  <c r="F529" i="12843" s="1"/>
  <c r="C528" i="12843"/>
  <c r="C530" i="12843" s="1"/>
  <c r="I527" i="12843"/>
  <c r="F527" i="12843"/>
  <c r="C518" i="12843"/>
  <c r="C517" i="12843"/>
  <c r="C516" i="12843"/>
  <c r="I515" i="12843"/>
  <c r="F515" i="12843"/>
  <c r="I514" i="12843"/>
  <c r="F514" i="12843"/>
  <c r="I513" i="12843"/>
  <c r="I478" i="12843" s="1"/>
  <c r="F513" i="12843"/>
  <c r="I512" i="12843"/>
  <c r="F512" i="12843"/>
  <c r="I511" i="12843"/>
  <c r="F511" i="12843"/>
  <c r="I510" i="12843"/>
  <c r="F510" i="12843"/>
  <c r="I509" i="12843"/>
  <c r="F509" i="12843"/>
  <c r="I508" i="12843"/>
  <c r="F508" i="12843"/>
  <c r="I507" i="12843"/>
  <c r="F507" i="12843"/>
  <c r="I506" i="12843"/>
  <c r="F506" i="12843"/>
  <c r="C501" i="12843"/>
  <c r="I501" i="12843" s="1"/>
  <c r="C500" i="12843"/>
  <c r="C499" i="12843"/>
  <c r="I499" i="12843" s="1"/>
  <c r="C498" i="12843"/>
  <c r="C497" i="12843"/>
  <c r="I497" i="12843" s="1"/>
  <c r="C496" i="12843"/>
  <c r="C494" i="12843"/>
  <c r="I494" i="12843" s="1"/>
  <c r="C493" i="12843"/>
  <c r="I493" i="12843" s="1"/>
  <c r="C492" i="12843"/>
  <c r="C169" i="12843" s="1"/>
  <c r="C483" i="12843"/>
  <c r="C482" i="12843"/>
  <c r="C481" i="12843"/>
  <c r="C466" i="12843"/>
  <c r="C447" i="12843"/>
  <c r="C446" i="12843"/>
  <c r="C445" i="12843"/>
  <c r="I444" i="12843"/>
  <c r="F444" i="12843"/>
  <c r="I443" i="12843"/>
  <c r="F443" i="12843"/>
  <c r="I442" i="12843"/>
  <c r="F442" i="12843"/>
  <c r="I441" i="12843"/>
  <c r="F441" i="12843"/>
  <c r="I440" i="12843"/>
  <c r="F440" i="12843"/>
  <c r="I439" i="12843"/>
  <c r="F439" i="12843"/>
  <c r="I438" i="12843"/>
  <c r="F438" i="12843"/>
  <c r="I437" i="12843"/>
  <c r="F437" i="12843"/>
  <c r="I436" i="12843"/>
  <c r="F436" i="12843"/>
  <c r="I435" i="12843"/>
  <c r="F435" i="12843"/>
  <c r="C433" i="12843"/>
  <c r="C432" i="12843"/>
  <c r="I430" i="12843"/>
  <c r="F430" i="12843"/>
  <c r="I429" i="12843"/>
  <c r="F429" i="12843"/>
  <c r="I428" i="12843"/>
  <c r="F428" i="12843"/>
  <c r="C427" i="12843"/>
  <c r="I427" i="12843" s="1"/>
  <c r="I426" i="12843"/>
  <c r="F426" i="12843"/>
  <c r="C425" i="12843"/>
  <c r="I423" i="12843"/>
  <c r="F423" i="12843"/>
  <c r="I422" i="12843"/>
  <c r="F422" i="12843"/>
  <c r="C421" i="12843"/>
  <c r="I421" i="12843" s="1"/>
  <c r="C412" i="12843"/>
  <c r="C411" i="12843"/>
  <c r="C410" i="12843"/>
  <c r="I409" i="12843"/>
  <c r="F409" i="12843"/>
  <c r="I408" i="12843"/>
  <c r="F408" i="12843"/>
  <c r="I407" i="12843"/>
  <c r="F407" i="12843"/>
  <c r="I406" i="12843"/>
  <c r="F406" i="12843"/>
  <c r="I405" i="12843"/>
  <c r="F405" i="12843"/>
  <c r="I404" i="12843"/>
  <c r="F404" i="12843"/>
  <c r="I403" i="12843"/>
  <c r="F403" i="12843"/>
  <c r="I402" i="12843"/>
  <c r="F402" i="12843"/>
  <c r="I401" i="12843"/>
  <c r="F401" i="12843"/>
  <c r="I400" i="12843"/>
  <c r="F400" i="12843"/>
  <c r="I395" i="12843"/>
  <c r="F395" i="12843"/>
  <c r="C394" i="12843"/>
  <c r="C393" i="12843"/>
  <c r="C397" i="12843" s="1"/>
  <c r="C392" i="12843"/>
  <c r="I392" i="12843" s="1"/>
  <c r="I391" i="12843"/>
  <c r="F391" i="12843"/>
  <c r="C390" i="12843"/>
  <c r="I388" i="12843"/>
  <c r="F388" i="12843"/>
  <c r="I387" i="12843"/>
  <c r="F387" i="12843"/>
  <c r="C386" i="12843"/>
  <c r="I386" i="12843" s="1"/>
  <c r="I374" i="12843"/>
  <c r="I373" i="12843"/>
  <c r="I372" i="12843"/>
  <c r="I371" i="12843"/>
  <c r="I370" i="12843"/>
  <c r="I369" i="12843"/>
  <c r="I368" i="12843"/>
  <c r="I367" i="12843"/>
  <c r="I366" i="12843"/>
  <c r="I365" i="12843"/>
  <c r="C362" i="12843"/>
  <c r="N361" i="12843"/>
  <c r="C361" i="12843"/>
  <c r="C360" i="12843"/>
  <c r="I360" i="12843" s="1"/>
  <c r="C356" i="12843"/>
  <c r="I356" i="12843" s="1"/>
  <c r="C353" i="12843"/>
  <c r="I353" i="12843" s="1"/>
  <c r="C352" i="12843"/>
  <c r="I352" i="12843" s="1"/>
  <c r="C339" i="12843"/>
  <c r="F339" i="12843" s="1"/>
  <c r="C338" i="12843"/>
  <c r="I338" i="12843" s="1"/>
  <c r="I337" i="12843"/>
  <c r="F337" i="12843"/>
  <c r="C335" i="12843"/>
  <c r="I335" i="12843" s="1"/>
  <c r="C334" i="12843"/>
  <c r="I334" i="12843" s="1"/>
  <c r="C333" i="12843"/>
  <c r="I333" i="12843" s="1"/>
  <c r="C332" i="12843"/>
  <c r="F332" i="12843" s="1"/>
  <c r="C331" i="12843"/>
  <c r="I331" i="12843" s="1"/>
  <c r="I330" i="12843"/>
  <c r="F330" i="12843"/>
  <c r="C325" i="12843"/>
  <c r="I325" i="12843" s="1"/>
  <c r="C323" i="12843"/>
  <c r="C327" i="12843" s="1"/>
  <c r="C322" i="12843"/>
  <c r="F322" i="12843" s="1"/>
  <c r="C321" i="12843"/>
  <c r="I321" i="12843" s="1"/>
  <c r="C319" i="12843"/>
  <c r="I319" i="12843" s="1"/>
  <c r="C318" i="12843"/>
  <c r="C317" i="12843"/>
  <c r="I317" i="12843" s="1"/>
  <c r="C305" i="12843"/>
  <c r="C304" i="12843"/>
  <c r="I304" i="12843" s="1"/>
  <c r="C303" i="12843"/>
  <c r="C234" i="12843" s="1"/>
  <c r="C197" i="12843" s="1"/>
  <c r="C301" i="12843"/>
  <c r="C307" i="12843" s="1"/>
  <c r="C300" i="12843"/>
  <c r="C306" i="12843" s="1"/>
  <c r="C299" i="12843"/>
  <c r="F299" i="12843" s="1"/>
  <c r="C298" i="12843"/>
  <c r="I298" i="12843" s="1"/>
  <c r="C297" i="12843"/>
  <c r="F297" i="12843" s="1"/>
  <c r="C296" i="12843"/>
  <c r="I296" i="12843" s="1"/>
  <c r="C291" i="12843"/>
  <c r="I291" i="12843" s="1"/>
  <c r="C287" i="12843"/>
  <c r="I287" i="12843" s="1"/>
  <c r="C285" i="12843"/>
  <c r="I285" i="12843" s="1"/>
  <c r="C284" i="12843"/>
  <c r="F284" i="12843" s="1"/>
  <c r="C283" i="12843"/>
  <c r="I283" i="12843" s="1"/>
  <c r="I270" i="12843"/>
  <c r="F270" i="12843"/>
  <c r="I269" i="12843"/>
  <c r="F269" i="12843"/>
  <c r="I268" i="12843"/>
  <c r="F268" i="12843"/>
  <c r="I267" i="12843"/>
  <c r="F267" i="12843"/>
  <c r="I266" i="12843"/>
  <c r="F266" i="12843"/>
  <c r="I265" i="12843"/>
  <c r="F265" i="12843"/>
  <c r="C264" i="12843"/>
  <c r="I263" i="12843"/>
  <c r="F263" i="12843"/>
  <c r="I262" i="12843"/>
  <c r="F262" i="12843"/>
  <c r="I261" i="12843"/>
  <c r="F261" i="12843"/>
  <c r="C256" i="12843"/>
  <c r="F256" i="12843" s="1"/>
  <c r="C252" i="12843"/>
  <c r="C250" i="12843"/>
  <c r="I250" i="12843" s="1"/>
  <c r="C249" i="12843"/>
  <c r="I249" i="12843" s="1"/>
  <c r="C248" i="12843"/>
  <c r="R238" i="12843"/>
  <c r="J198" i="12843"/>
  <c r="N235" i="12843" s="1"/>
  <c r="G188" i="12843"/>
  <c r="G187" i="12843"/>
  <c r="G186" i="12843"/>
  <c r="R158" i="12843"/>
  <c r="N158" i="12843"/>
  <c r="C158" i="12843"/>
  <c r="F158" i="12843" s="1"/>
  <c r="C157" i="12843"/>
  <c r="I157" i="12843" s="1"/>
  <c r="C156" i="12843"/>
  <c r="I156" i="12843" s="1"/>
  <c r="C154" i="12843"/>
  <c r="V153" i="12843"/>
  <c r="C153" i="12843"/>
  <c r="I153" i="12843" s="1"/>
  <c r="R143" i="12843"/>
  <c r="N143" i="12843"/>
  <c r="C143" i="12843"/>
  <c r="F143" i="12843" s="1"/>
  <c r="C142" i="12843"/>
  <c r="C141" i="12843"/>
  <c r="T141" i="12843" s="1"/>
  <c r="V138" i="12843"/>
  <c r="C138" i="12843"/>
  <c r="F138" i="12843" s="1"/>
  <c r="R128" i="12843"/>
  <c r="N128" i="12843"/>
  <c r="F128" i="12843"/>
  <c r="F127" i="12843"/>
  <c r="F126" i="12843"/>
  <c r="V123" i="12843"/>
  <c r="C123" i="12843"/>
  <c r="I123" i="12843" s="1"/>
  <c r="F115" i="12843"/>
  <c r="F112" i="12843"/>
  <c r="F111" i="12843"/>
  <c r="V108" i="12843"/>
  <c r="C108" i="12843"/>
  <c r="G98" i="12843"/>
  <c r="G97" i="12843"/>
  <c r="AC90" i="12843"/>
  <c r="C82" i="12843"/>
  <c r="C80" i="12843" s="1"/>
  <c r="C81" i="12843"/>
  <c r="R80" i="12843"/>
  <c r="N80" i="12843"/>
  <c r="C79" i="12843"/>
  <c r="I79" i="12843" s="1"/>
  <c r="C78" i="12843"/>
  <c r="F78" i="12843" s="1"/>
  <c r="C77" i="12843"/>
  <c r="I77" i="12843" s="1"/>
  <c r="C76" i="12843"/>
  <c r="F76" i="12843" s="1"/>
  <c r="C74" i="12843"/>
  <c r="I74" i="12843" s="1"/>
  <c r="C73" i="12843"/>
  <c r="F73" i="12843" s="1"/>
  <c r="C72" i="12843"/>
  <c r="I72" i="12843" s="1"/>
  <c r="C64" i="12843"/>
  <c r="C62" i="12843" s="1"/>
  <c r="C63" i="12843"/>
  <c r="R62" i="12843"/>
  <c r="N62" i="12843"/>
  <c r="P62" i="12843" s="1"/>
  <c r="C61" i="12843"/>
  <c r="I61" i="12843" s="1"/>
  <c r="C60" i="12843"/>
  <c r="F60" i="12843" s="1"/>
  <c r="C59" i="12843"/>
  <c r="I59" i="12843" s="1"/>
  <c r="C58" i="12843"/>
  <c r="F58" i="12843" s="1"/>
  <c r="C56" i="12843"/>
  <c r="I56" i="12843" s="1"/>
  <c r="C55" i="12843"/>
  <c r="C54" i="12843"/>
  <c r="I54" i="12843" s="1"/>
  <c r="C46" i="12843"/>
  <c r="C45" i="12843"/>
  <c r="R44" i="12843"/>
  <c r="N44" i="12843"/>
  <c r="C44" i="12843"/>
  <c r="C43" i="12843"/>
  <c r="I43" i="12843" s="1"/>
  <c r="C42" i="12843"/>
  <c r="I42" i="12843" s="1"/>
  <c r="C41" i="12843"/>
  <c r="I41" i="12843" s="1"/>
  <c r="C40" i="12843"/>
  <c r="I40" i="12843" s="1"/>
  <c r="I38" i="12843"/>
  <c r="F38" i="12843"/>
  <c r="C37" i="12843"/>
  <c r="I37" i="12843" s="1"/>
  <c r="C36" i="12843"/>
  <c r="F36" i="12843" s="1"/>
  <c r="F623" i="12843" l="1"/>
  <c r="L1196" i="12843"/>
  <c r="N447" i="12843"/>
  <c r="P447" i="12843" s="1"/>
  <c r="N238" i="12843"/>
  <c r="N411" i="12843"/>
  <c r="P411" i="12843" s="1"/>
  <c r="R362" i="12843"/>
  <c r="N398" i="12843"/>
  <c r="R411" i="12843"/>
  <c r="T411" i="12843" s="1"/>
  <c r="N553" i="12843"/>
  <c r="P553" i="12843" s="1"/>
  <c r="J108" i="12843"/>
  <c r="L108" i="12843" s="1"/>
  <c r="N293" i="12843"/>
  <c r="R431" i="12843"/>
  <c r="J871" i="12843"/>
  <c r="L871" i="12843" s="1"/>
  <c r="L765" i="12843" s="1"/>
  <c r="R259" i="12843"/>
  <c r="R273" i="12843"/>
  <c r="N445" i="12843"/>
  <c r="P445" i="12843" s="1"/>
  <c r="N658" i="12843"/>
  <c r="N673" i="12843" s="1"/>
  <c r="P673" i="12843" s="1"/>
  <c r="N696" i="12843"/>
  <c r="N711" i="12843" s="1"/>
  <c r="R797" i="12843"/>
  <c r="J870" i="12843"/>
  <c r="L870" i="12843" s="1"/>
  <c r="I943" i="12843"/>
  <c r="R504" i="12843"/>
  <c r="R43" i="12843"/>
  <c r="T43" i="12843" s="1"/>
  <c r="V624" i="12843"/>
  <c r="R830" i="12843"/>
  <c r="T830" i="12843" s="1"/>
  <c r="I757" i="12843"/>
  <c r="F754" i="12843"/>
  <c r="F756" i="12843"/>
  <c r="F759" i="12843"/>
  <c r="I751" i="12843"/>
  <c r="I753" i="12843"/>
  <c r="F749" i="12843"/>
  <c r="I765" i="12843"/>
  <c r="F471" i="12843"/>
  <c r="F473" i="12843"/>
  <c r="F477" i="12843"/>
  <c r="I756" i="12843"/>
  <c r="F472" i="12843"/>
  <c r="F474" i="12843"/>
  <c r="F476" i="12843"/>
  <c r="F478" i="12843"/>
  <c r="F480" i="12843"/>
  <c r="I749" i="12843"/>
  <c r="F755" i="12843"/>
  <c r="F757" i="12843"/>
  <c r="F760" i="12843"/>
  <c r="F475" i="12843"/>
  <c r="F479" i="12843"/>
  <c r="I754" i="12843"/>
  <c r="I759" i="12843"/>
  <c r="F763" i="12843"/>
  <c r="T44" i="12843"/>
  <c r="F368" i="12843"/>
  <c r="F374" i="12843"/>
  <c r="I746" i="12843"/>
  <c r="I764" i="12843"/>
  <c r="F943" i="12843"/>
  <c r="C928" i="12843"/>
  <c r="C909" i="12843" s="1"/>
  <c r="F352" i="12843"/>
  <c r="F365" i="12843"/>
  <c r="F367" i="12843"/>
  <c r="F369" i="12843"/>
  <c r="F371" i="12843"/>
  <c r="F373" i="12843"/>
  <c r="F353" i="12843"/>
  <c r="T432" i="12843"/>
  <c r="I37" i="12849"/>
  <c r="I37" i="12848"/>
  <c r="I39" i="12848"/>
  <c r="I39" i="12849"/>
  <c r="N777" i="12843"/>
  <c r="N801" i="12843" s="1"/>
  <c r="P801" i="12843" s="1"/>
  <c r="I36" i="12849"/>
  <c r="I36" i="12848"/>
  <c r="V672" i="12843"/>
  <c r="X672" i="12843" s="1"/>
  <c r="R871" i="12843"/>
  <c r="T871" i="12843" s="1"/>
  <c r="R201" i="12843"/>
  <c r="R271" i="12843"/>
  <c r="N307" i="12843"/>
  <c r="P307" i="12843" s="1"/>
  <c r="R326" i="12843"/>
  <c r="N468" i="12843"/>
  <c r="N482" i="12843"/>
  <c r="R502" i="12843"/>
  <c r="N517" i="12843"/>
  <c r="P517" i="12843" s="1"/>
  <c r="R850" i="12843"/>
  <c r="I750" i="12843"/>
  <c r="V458" i="12843"/>
  <c r="V818" i="12843"/>
  <c r="X818" i="12843" s="1"/>
  <c r="N201" i="12843"/>
  <c r="N258" i="12843"/>
  <c r="R445" i="12843"/>
  <c r="T445" i="12843" s="1"/>
  <c r="N272" i="12843"/>
  <c r="N327" i="12843"/>
  <c r="P327" i="12843" s="1"/>
  <c r="R340" i="12843"/>
  <c r="C358" i="12843"/>
  <c r="I358" i="12843" s="1"/>
  <c r="R361" i="12843"/>
  <c r="R482" i="12843"/>
  <c r="R517" i="12843"/>
  <c r="T517" i="12843" s="1"/>
  <c r="I595" i="12843"/>
  <c r="I597" i="12843" s="1"/>
  <c r="V623" i="12843"/>
  <c r="I1060" i="12843"/>
  <c r="F946" i="12843"/>
  <c r="I1076" i="12843"/>
  <c r="F750" i="12843"/>
  <c r="F746" i="12843"/>
  <c r="F372" i="12843"/>
  <c r="F360" i="12843"/>
  <c r="I466" i="12843"/>
  <c r="I471" i="12843"/>
  <c r="I475" i="12843"/>
  <c r="I479" i="12843"/>
  <c r="P551" i="12843"/>
  <c r="C721" i="12843"/>
  <c r="T980" i="12843"/>
  <c r="F386" i="12843"/>
  <c r="F501" i="12843"/>
  <c r="F466" i="12843" s="1"/>
  <c r="I534" i="12843"/>
  <c r="I464" i="12843" s="1"/>
  <c r="F666" i="12843"/>
  <c r="F1183" i="12843"/>
  <c r="C462" i="12843"/>
  <c r="C607" i="12843"/>
  <c r="C724" i="12843"/>
  <c r="I615" i="12843"/>
  <c r="I393" i="12843"/>
  <c r="F1263" i="12843"/>
  <c r="C389" i="12843"/>
  <c r="I886" i="12843"/>
  <c r="F895" i="12843"/>
  <c r="F687" i="12843"/>
  <c r="F777" i="12843"/>
  <c r="C727" i="12843"/>
  <c r="P987" i="12843"/>
  <c r="F1098" i="12843"/>
  <c r="I1241" i="12843"/>
  <c r="F1249" i="12843"/>
  <c r="I1264" i="12843"/>
  <c r="I843" i="12843"/>
  <c r="I846" i="12843"/>
  <c r="I893" i="12843"/>
  <c r="F1187" i="12843"/>
  <c r="F393" i="12843"/>
  <c r="F358" i="12843" s="1"/>
  <c r="C624" i="12843"/>
  <c r="I607" i="12843"/>
  <c r="F739" i="12843"/>
  <c r="I842" i="12843"/>
  <c r="F845" i="12843"/>
  <c r="F848" i="12843"/>
  <c r="I894" i="12843"/>
  <c r="F493" i="12843"/>
  <c r="F632" i="12843"/>
  <c r="C696" i="12843"/>
  <c r="F705" i="12843"/>
  <c r="F830" i="12843"/>
  <c r="C728" i="12843"/>
  <c r="C999" i="12843"/>
  <c r="X1020" i="12843"/>
  <c r="C1061" i="12843"/>
  <c r="F1151" i="12843"/>
  <c r="F1156" i="12843" s="1"/>
  <c r="F1185" i="12843"/>
  <c r="L1224" i="12843"/>
  <c r="C833" i="12843"/>
  <c r="L1151" i="12843"/>
  <c r="C235" i="12843"/>
  <c r="C198" i="12843" s="1"/>
  <c r="X710" i="12843"/>
  <c r="I693" i="12843"/>
  <c r="C723" i="12843"/>
  <c r="I828" i="12843"/>
  <c r="F837" i="12843"/>
  <c r="F730" i="12843" s="1"/>
  <c r="T983" i="12843"/>
  <c r="F987" i="12843"/>
  <c r="T1023" i="12843"/>
  <c r="I1115" i="12843"/>
  <c r="F1122" i="12843"/>
  <c r="C686" i="12843"/>
  <c r="C1078" i="12843"/>
  <c r="C228" i="12843"/>
  <c r="C191" i="12843" s="1"/>
  <c r="F427" i="12843"/>
  <c r="C448" i="12843"/>
  <c r="C363" i="12843" s="1"/>
  <c r="F499" i="12843"/>
  <c r="F662" i="12843"/>
  <c r="F664" i="12843"/>
  <c r="I684" i="12843"/>
  <c r="F690" i="12843"/>
  <c r="C730" i="12843"/>
  <c r="C742" i="12843"/>
  <c r="C764" i="12843"/>
  <c r="I723" i="12843"/>
  <c r="I784" i="12843"/>
  <c r="I730" i="12843" s="1"/>
  <c r="I793" i="12843"/>
  <c r="F817" i="12843"/>
  <c r="F764" i="12843" s="1"/>
  <c r="F890" i="12843"/>
  <c r="I962" i="12843"/>
  <c r="C989" i="12843"/>
  <c r="T989" i="12843" s="1"/>
  <c r="C1056" i="12843"/>
  <c r="C1002" i="12843"/>
  <c r="F1025" i="12843"/>
  <c r="T1041" i="12843"/>
  <c r="I1151" i="12843"/>
  <c r="I1156" i="12843" s="1"/>
  <c r="F1184" i="12843"/>
  <c r="F1224" i="12843"/>
  <c r="F1225" i="12843"/>
  <c r="C503" i="12843"/>
  <c r="C739" i="12843"/>
  <c r="L817" i="12843"/>
  <c r="T1038" i="12843"/>
  <c r="I297" i="12843"/>
  <c r="I228" i="12843" s="1"/>
  <c r="F319" i="12843"/>
  <c r="F333" i="12843"/>
  <c r="F532" i="12843"/>
  <c r="C605" i="12843"/>
  <c r="C621" i="12843"/>
  <c r="F645" i="12843"/>
  <c r="F649" i="12843"/>
  <c r="I661" i="12843"/>
  <c r="I621" i="12843" s="1"/>
  <c r="I663" i="12843"/>
  <c r="I623" i="12843" s="1"/>
  <c r="F683" i="12843"/>
  <c r="F685" i="12843"/>
  <c r="F605" i="12843" s="1"/>
  <c r="F840" i="12843"/>
  <c r="F888" i="12843"/>
  <c r="C942" i="12843"/>
  <c r="C947" i="12843"/>
  <c r="F947" i="12843" s="1"/>
  <c r="C950" i="12843"/>
  <c r="F983" i="12843"/>
  <c r="I988" i="12843"/>
  <c r="T1020" i="12843"/>
  <c r="I1046" i="12843"/>
  <c r="F1182" i="12843"/>
  <c r="F1186" i="12843"/>
  <c r="C1168" i="12843"/>
  <c r="R190" i="12843"/>
  <c r="N202" i="12843"/>
  <c r="N239" i="12843"/>
  <c r="R341" i="12843"/>
  <c r="N363" i="12843"/>
  <c r="N433" i="12843"/>
  <c r="P433" i="12843" s="1"/>
  <c r="R538" i="12843"/>
  <c r="T538" i="12843" s="1"/>
  <c r="R214" i="12843"/>
  <c r="R227" i="12843" s="1"/>
  <c r="V529" i="12843"/>
  <c r="R224" i="12843"/>
  <c r="R258" i="12843"/>
  <c r="R272" i="12843"/>
  <c r="N294" i="12843"/>
  <c r="R307" i="12843"/>
  <c r="T307" i="12843" s="1"/>
  <c r="R327" i="12843"/>
  <c r="T327" i="12843" s="1"/>
  <c r="N342" i="12843"/>
  <c r="R376" i="12843"/>
  <c r="N412" i="12843"/>
  <c r="P412" i="12843" s="1"/>
  <c r="R446" i="12843"/>
  <c r="T446" i="12843" s="1"/>
  <c r="N469" i="12843"/>
  <c r="N483" i="12843"/>
  <c r="R503" i="12843"/>
  <c r="N518" i="12843"/>
  <c r="P518" i="12843" s="1"/>
  <c r="R552" i="12843"/>
  <c r="T552" i="12843" s="1"/>
  <c r="R696" i="12843"/>
  <c r="R711" i="12843" s="1"/>
  <c r="V493" i="12843"/>
  <c r="R843" i="12843"/>
  <c r="V842" i="12843"/>
  <c r="R293" i="12843"/>
  <c r="R468" i="12843"/>
  <c r="N225" i="12843"/>
  <c r="N259" i="12843"/>
  <c r="N273" i="12843"/>
  <c r="N308" i="12843"/>
  <c r="N328" i="12843"/>
  <c r="N377" i="12843"/>
  <c r="R397" i="12843"/>
  <c r="T397" i="12843" s="1"/>
  <c r="N504" i="12843"/>
  <c r="R658" i="12843"/>
  <c r="R673" i="12843" s="1"/>
  <c r="T673" i="12843" s="1"/>
  <c r="V887" i="12843"/>
  <c r="V494" i="12843"/>
  <c r="N693" i="12843"/>
  <c r="V650" i="12843"/>
  <c r="V738" i="12843"/>
  <c r="V759" i="12843" s="1"/>
  <c r="N817" i="12843"/>
  <c r="P817" i="12843" s="1"/>
  <c r="N360" i="12843"/>
  <c r="N372" i="12843" s="1"/>
  <c r="N796" i="12843"/>
  <c r="R308" i="12843"/>
  <c r="R377" i="12843"/>
  <c r="N256" i="12843"/>
  <c r="N197" i="12843"/>
  <c r="R202" i="12843"/>
  <c r="R225" i="12843"/>
  <c r="R328" i="12843"/>
  <c r="R342" i="12843"/>
  <c r="R363" i="12843"/>
  <c r="R412" i="12843"/>
  <c r="T412" i="12843" s="1"/>
  <c r="R433" i="12843"/>
  <c r="T433" i="12843" s="1"/>
  <c r="R447" i="12843"/>
  <c r="T447" i="12843" s="1"/>
  <c r="R483" i="12843"/>
  <c r="N659" i="12843"/>
  <c r="N674" i="12843" s="1"/>
  <c r="N697" i="12843"/>
  <c r="N712" i="12843" s="1"/>
  <c r="V61" i="12843"/>
  <c r="X61" i="12843" s="1"/>
  <c r="N594" i="12843"/>
  <c r="N619" i="12843"/>
  <c r="N618" i="12843"/>
  <c r="R645" i="12843"/>
  <c r="T645" i="12843" s="1"/>
  <c r="R683" i="12843"/>
  <c r="V645" i="12843"/>
  <c r="R831" i="12843"/>
  <c r="V837" i="12843"/>
  <c r="N501" i="12843"/>
  <c r="R650" i="12843"/>
  <c r="R688" i="12843"/>
  <c r="R703" i="12843" s="1"/>
  <c r="T703" i="12843" s="1"/>
  <c r="R840" i="12843"/>
  <c r="T840" i="12843" s="1"/>
  <c r="R191" i="12843"/>
  <c r="R239" i="12843"/>
  <c r="R469" i="12843"/>
  <c r="R539" i="12843"/>
  <c r="T539" i="12843" s="1"/>
  <c r="R61" i="12843"/>
  <c r="T61" i="12843" s="1"/>
  <c r="R215" i="12843"/>
  <c r="R228" i="12843" s="1"/>
  <c r="N593" i="12843"/>
  <c r="T169" i="12843"/>
  <c r="R294" i="12843"/>
  <c r="R398" i="12843"/>
  <c r="R518" i="12843"/>
  <c r="T518" i="12843" s="1"/>
  <c r="J777" i="12843"/>
  <c r="J801" i="12843" s="1"/>
  <c r="L801" i="12843" s="1"/>
  <c r="N797" i="12843"/>
  <c r="N850" i="12843"/>
  <c r="V79" i="12843"/>
  <c r="X79" i="12843" s="1"/>
  <c r="N395" i="12843"/>
  <c r="N536" i="12843"/>
  <c r="R593" i="12843"/>
  <c r="N628" i="12843"/>
  <c r="R649" i="12843"/>
  <c r="R684" i="12843"/>
  <c r="V649" i="12843"/>
  <c r="X649" i="12843" s="1"/>
  <c r="N849" i="12843"/>
  <c r="R839" i="12843"/>
  <c r="V841" i="12843"/>
  <c r="V777" i="12843"/>
  <c r="X777" i="12843" s="1"/>
  <c r="R250" i="12843"/>
  <c r="R319" i="12843"/>
  <c r="T319" i="12843" s="1"/>
  <c r="N656" i="12843"/>
  <c r="V684" i="12843"/>
  <c r="R775" i="12843"/>
  <c r="R697" i="12843"/>
  <c r="R712" i="12843" s="1"/>
  <c r="R494" i="12843"/>
  <c r="R529" i="12843"/>
  <c r="N694" i="12843"/>
  <c r="R685" i="12843"/>
  <c r="R701" i="12843" s="1"/>
  <c r="T701" i="12843" s="1"/>
  <c r="V685" i="12843"/>
  <c r="R786" i="12843"/>
  <c r="R790" i="12843"/>
  <c r="V788" i="12843"/>
  <c r="N224" i="12843"/>
  <c r="N306" i="12843"/>
  <c r="P306" i="12843" s="1"/>
  <c r="N341" i="12843"/>
  <c r="N397" i="12843"/>
  <c r="P397" i="12843" s="1"/>
  <c r="N432" i="12843"/>
  <c r="P432" i="12843" s="1"/>
  <c r="N503" i="12843"/>
  <c r="N552" i="12843"/>
  <c r="P552" i="12843" s="1"/>
  <c r="R659" i="12843"/>
  <c r="R674" i="12843" s="1"/>
  <c r="N222" i="12843"/>
  <c r="N234" i="12843" s="1"/>
  <c r="R216" i="12843"/>
  <c r="R229" i="12843" s="1"/>
  <c r="N325" i="12843"/>
  <c r="R248" i="12843"/>
  <c r="T248" i="12843" s="1"/>
  <c r="R283" i="12843"/>
  <c r="R317" i="12843"/>
  <c r="R351" i="12843"/>
  <c r="R365" i="12843" s="1"/>
  <c r="R386" i="12843"/>
  <c r="N466" i="12843"/>
  <c r="N478" i="12843" s="1"/>
  <c r="R624" i="12843"/>
  <c r="N671" i="12843"/>
  <c r="P671" i="12843" s="1"/>
  <c r="N695" i="12843"/>
  <c r="N708" i="12843" s="1"/>
  <c r="P708" i="12843" s="1"/>
  <c r="R646" i="12843"/>
  <c r="V646" i="12843"/>
  <c r="R738" i="12843"/>
  <c r="R759" i="12843" s="1"/>
  <c r="R787" i="12843"/>
  <c r="R832" i="12843"/>
  <c r="R841" i="12843"/>
  <c r="V784" i="12843"/>
  <c r="V789" i="12843"/>
  <c r="V830" i="12843"/>
  <c r="V839" i="12843"/>
  <c r="V843" i="12843"/>
  <c r="R778" i="12843"/>
  <c r="R285" i="12843"/>
  <c r="R353" i="12843"/>
  <c r="R367" i="12843" s="1"/>
  <c r="R388" i="12843"/>
  <c r="R423" i="12843"/>
  <c r="R458" i="12843"/>
  <c r="R493" i="12843"/>
  <c r="R784" i="12843"/>
  <c r="R789" i="12843"/>
  <c r="V787" i="12843"/>
  <c r="N223" i="12843"/>
  <c r="R594" i="12843"/>
  <c r="R623" i="12843"/>
  <c r="N657" i="12843"/>
  <c r="P657" i="12843" s="1"/>
  <c r="R777" i="12843"/>
  <c r="R801" i="12843" s="1"/>
  <c r="T801" i="12843" s="1"/>
  <c r="R200" i="12843"/>
  <c r="N271" i="12843"/>
  <c r="R306" i="12843"/>
  <c r="T306" i="12843" s="1"/>
  <c r="N362" i="12843"/>
  <c r="N376" i="12843"/>
  <c r="R410" i="12843"/>
  <c r="T410" i="12843" s="1"/>
  <c r="N446" i="12843"/>
  <c r="P446" i="12843" s="1"/>
  <c r="R467" i="12843"/>
  <c r="N481" i="12843"/>
  <c r="N291" i="12843"/>
  <c r="R249" i="12843"/>
  <c r="T249" i="12843" s="1"/>
  <c r="R284" i="12843"/>
  <c r="R318" i="12843"/>
  <c r="R352" i="12843"/>
  <c r="R366" i="12843" s="1"/>
  <c r="R387" i="12843"/>
  <c r="R457" i="12843"/>
  <c r="R471" i="12843" s="1"/>
  <c r="R492" i="12843"/>
  <c r="V457" i="12843"/>
  <c r="V492" i="12843"/>
  <c r="V683" i="12843"/>
  <c r="V699" i="12843" s="1"/>
  <c r="X699" i="12843" s="1"/>
  <c r="V688" i="12843"/>
  <c r="R788" i="12843"/>
  <c r="R828" i="12843"/>
  <c r="R837" i="12843"/>
  <c r="R842" i="12843"/>
  <c r="V786" i="12843"/>
  <c r="V790" i="12843"/>
  <c r="V840" i="12843"/>
  <c r="R779" i="12843"/>
  <c r="F735" i="12843"/>
  <c r="C232" i="12843"/>
  <c r="C355" i="12843"/>
  <c r="I647" i="12843"/>
  <c r="I605" i="12843" s="1"/>
  <c r="I668" i="12843"/>
  <c r="I672" i="12843"/>
  <c r="C735" i="12843"/>
  <c r="C753" i="12843"/>
  <c r="I789" i="12843"/>
  <c r="C945" i="12843"/>
  <c r="P970" i="12843"/>
  <c r="C982" i="12843"/>
  <c r="C944" i="12843" s="1"/>
  <c r="X1041" i="12843"/>
  <c r="P1046" i="12843"/>
  <c r="I1100" i="12843"/>
  <c r="I1114" i="12843"/>
  <c r="I36" i="12831"/>
  <c r="I36" i="12783"/>
  <c r="H22" i="12826" s="1"/>
  <c r="C1154" i="12843"/>
  <c r="F54" i="12843"/>
  <c r="F325" i="12843"/>
  <c r="C458" i="12843"/>
  <c r="C170" i="12843" s="1"/>
  <c r="T170" i="12843" s="1"/>
  <c r="F497" i="12843"/>
  <c r="F528" i="12843"/>
  <c r="F534" i="12843"/>
  <c r="C615" i="12843"/>
  <c r="C630" i="12843"/>
  <c r="C632" i="12843"/>
  <c r="I650" i="12843"/>
  <c r="I653" i="12843"/>
  <c r="C669" i="12843"/>
  <c r="I669" i="12843" s="1"/>
  <c r="I671" i="12843"/>
  <c r="I631" i="12843" s="1"/>
  <c r="F693" i="12843"/>
  <c r="F695" i="12843"/>
  <c r="F702" i="12843"/>
  <c r="I708" i="12843"/>
  <c r="I630" i="12843" s="1"/>
  <c r="P709" i="12843"/>
  <c r="I796" i="12843"/>
  <c r="F832" i="12843"/>
  <c r="C850" i="12843"/>
  <c r="F883" i="12843"/>
  <c r="I891" i="12843"/>
  <c r="C897" i="12843"/>
  <c r="F962" i="12843"/>
  <c r="F1056" i="12843" s="1"/>
  <c r="X965" i="12843"/>
  <c r="F980" i="12843"/>
  <c r="X983" i="12843"/>
  <c r="I987" i="12843"/>
  <c r="P988" i="12843"/>
  <c r="C925" i="12843"/>
  <c r="C906" i="12843" s="1"/>
  <c r="C1007" i="12843"/>
  <c r="I1023" i="12843"/>
  <c r="I1059" i="12843" s="1"/>
  <c r="F1041" i="12843"/>
  <c r="I1094" i="12843"/>
  <c r="C1104" i="12843"/>
  <c r="I1123" i="12843"/>
  <c r="T672" i="12843"/>
  <c r="C215" i="12843"/>
  <c r="C174" i="12843" s="1"/>
  <c r="C519" i="12843"/>
  <c r="I301" i="12843"/>
  <c r="I232" i="12843" s="1"/>
  <c r="C431" i="12843"/>
  <c r="T431" i="12843" s="1"/>
  <c r="C464" i="12843"/>
  <c r="C468" i="12843" s="1"/>
  <c r="C461" i="12843"/>
  <c r="I529" i="12843"/>
  <c r="I459" i="12843" s="1"/>
  <c r="I171" i="12843" s="1"/>
  <c r="C610" i="12843"/>
  <c r="C631" i="12843"/>
  <c r="F652" i="12843"/>
  <c r="F657" i="12843"/>
  <c r="F668" i="12843"/>
  <c r="F670" i="12843"/>
  <c r="F630" i="12843" s="1"/>
  <c r="F709" i="12843"/>
  <c r="F631" i="12843" s="1"/>
  <c r="I710" i="12843"/>
  <c r="F806" i="12843"/>
  <c r="F753" i="12843" s="1"/>
  <c r="I848" i="12843"/>
  <c r="I890" i="12843"/>
  <c r="F965" i="12843"/>
  <c r="X980" i="12843"/>
  <c r="I1020" i="12843"/>
  <c r="C1022" i="12843"/>
  <c r="C1058" i="12843" s="1"/>
  <c r="I1025" i="12843"/>
  <c r="F1100" i="12843"/>
  <c r="I37" i="12831"/>
  <c r="I37" i="12783"/>
  <c r="H23" i="12826" s="1"/>
  <c r="F1244" i="12843"/>
  <c r="I39" i="12831"/>
  <c r="I39" i="12783"/>
  <c r="H26" i="12826" s="1"/>
  <c r="J153" i="12843"/>
  <c r="L153" i="12843" s="1"/>
  <c r="C214" i="12843"/>
  <c r="F291" i="12843"/>
  <c r="F317" i="12843"/>
  <c r="C320" i="12843"/>
  <c r="F335" i="12843"/>
  <c r="F338" i="12843"/>
  <c r="F249" i="12843"/>
  <c r="C230" i="12843"/>
  <c r="C193" i="12843" s="1"/>
  <c r="F283" i="12843"/>
  <c r="I299" i="12843"/>
  <c r="F331" i="12843"/>
  <c r="F228" i="12843" s="1"/>
  <c r="C341" i="12843"/>
  <c r="C227" i="12843"/>
  <c r="C190" i="12843" s="1"/>
  <c r="C231" i="12843"/>
  <c r="F287" i="12843"/>
  <c r="I248" i="12843"/>
  <c r="I214" i="12843" s="1"/>
  <c r="F250" i="12843"/>
  <c r="F304" i="12843"/>
  <c r="F321" i="12843"/>
  <c r="I227" i="12843"/>
  <c r="I332" i="12843"/>
  <c r="I229" i="12843" s="1"/>
  <c r="I339" i="12843"/>
  <c r="I256" i="12843"/>
  <c r="I222" i="12843" s="1"/>
  <c r="F296" i="12843"/>
  <c r="F227" i="12843" s="1"/>
  <c r="F298" i="12843"/>
  <c r="F229" i="12843" s="1"/>
  <c r="F300" i="12843"/>
  <c r="F323" i="12843"/>
  <c r="C229" i="12843"/>
  <c r="C192" i="12843" s="1"/>
  <c r="C236" i="12843"/>
  <c r="C199" i="12843" s="1"/>
  <c r="T158" i="12843"/>
  <c r="I36" i="12843"/>
  <c r="I15" i="12843" s="1"/>
  <c r="F72" i="12843"/>
  <c r="F79" i="12843"/>
  <c r="F141" i="12843"/>
  <c r="F77" i="12843"/>
  <c r="X153" i="12843"/>
  <c r="T79" i="12843"/>
  <c r="C17" i="12843"/>
  <c r="F41" i="12843"/>
  <c r="P141" i="12843"/>
  <c r="I143" i="12843"/>
  <c r="C15" i="12843"/>
  <c r="F43" i="12843"/>
  <c r="C24" i="12843"/>
  <c r="F74" i="12843"/>
  <c r="P44" i="12843"/>
  <c r="I17" i="12843"/>
  <c r="F56" i="12843"/>
  <c r="I22" i="12843"/>
  <c r="C94" i="12843"/>
  <c r="T94" i="12843" s="1"/>
  <c r="P157" i="12843"/>
  <c r="N108" i="12843"/>
  <c r="J138" i="12843"/>
  <c r="L138" i="12843" s="1"/>
  <c r="AB89" i="12843"/>
  <c r="I108" i="12843"/>
  <c r="C20" i="12843"/>
  <c r="C25" i="12843"/>
  <c r="F37" i="12843"/>
  <c r="F59" i="12843"/>
  <c r="I73" i="12843"/>
  <c r="I76" i="12843"/>
  <c r="F123" i="12843"/>
  <c r="P143" i="12843"/>
  <c r="F153" i="12843"/>
  <c r="F157" i="12843"/>
  <c r="F61" i="12843"/>
  <c r="T157" i="12843"/>
  <c r="C22" i="12843"/>
  <c r="L123" i="12843"/>
  <c r="T143" i="12843"/>
  <c r="X43" i="12843"/>
  <c r="N890" i="12843"/>
  <c r="V753" i="12843"/>
  <c r="R739" i="12843"/>
  <c r="R760" i="12843" s="1"/>
  <c r="J748" i="12843"/>
  <c r="N629" i="12843"/>
  <c r="R223" i="12843"/>
  <c r="R292" i="12843"/>
  <c r="R396" i="12843"/>
  <c r="R551" i="12843"/>
  <c r="T551" i="12843" s="1"/>
  <c r="R237" i="12843"/>
  <c r="R257" i="12843"/>
  <c r="R375" i="12843"/>
  <c r="R481" i="12843"/>
  <c r="R516" i="12843"/>
  <c r="T516" i="12843" s="1"/>
  <c r="N200" i="12843"/>
  <c r="N237" i="12843"/>
  <c r="N467" i="12843"/>
  <c r="N502" i="12843"/>
  <c r="N516" i="12843"/>
  <c r="P516" i="12843" s="1"/>
  <c r="N257" i="12843"/>
  <c r="N292" i="12843"/>
  <c r="N326" i="12843"/>
  <c r="N340" i="12843"/>
  <c r="N375" i="12843"/>
  <c r="N396" i="12843"/>
  <c r="N410" i="12843"/>
  <c r="P410" i="12843" s="1"/>
  <c r="N431" i="12843"/>
  <c r="N537" i="12843"/>
  <c r="R123" i="12843"/>
  <c r="R153" i="12843"/>
  <c r="T153" i="12843" s="1"/>
  <c r="R138" i="12843"/>
  <c r="T138" i="12843" s="1"/>
  <c r="N153" i="12843"/>
  <c r="P153" i="12843" s="1"/>
  <c r="I235" i="12843"/>
  <c r="J587" i="12843"/>
  <c r="L587" i="12843" s="1"/>
  <c r="T962" i="12843"/>
  <c r="R883" i="12843"/>
  <c r="I1167" i="12843"/>
  <c r="F366" i="12843"/>
  <c r="F370" i="12843"/>
  <c r="I448" i="12843"/>
  <c r="I755" i="12843"/>
  <c r="I760" i="12843"/>
  <c r="R884" i="12843"/>
  <c r="F1076" i="12843"/>
  <c r="I20" i="12843"/>
  <c r="X169" i="12843"/>
  <c r="F356" i="12843"/>
  <c r="P539" i="12843"/>
  <c r="I462" i="12843"/>
  <c r="P538" i="12843"/>
  <c r="F595" i="12843"/>
  <c r="F597" i="12843" s="1"/>
  <c r="I624" i="12843"/>
  <c r="F751" i="12843"/>
  <c r="F1057" i="12843"/>
  <c r="X1079" i="12843"/>
  <c r="I1057" i="12843"/>
  <c r="I1079" i="12843"/>
  <c r="F1083" i="12843"/>
  <c r="T553" i="12843"/>
  <c r="I610" i="12843"/>
  <c r="F765" i="12843"/>
  <c r="X1060" i="12843"/>
  <c r="N144" i="12843"/>
  <c r="C16" i="12843"/>
  <c r="F55" i="12843"/>
  <c r="F94" i="12843"/>
  <c r="P142" i="12843"/>
  <c r="F142" i="12843"/>
  <c r="F154" i="12843"/>
  <c r="C159" i="12843"/>
  <c r="C155" i="12843"/>
  <c r="P158" i="12843"/>
  <c r="T550" i="12843"/>
  <c r="X515" i="12843"/>
  <c r="T444" i="12843"/>
  <c r="X339" i="12843"/>
  <c r="X305" i="12843"/>
  <c r="X550" i="12843"/>
  <c r="T515" i="12843"/>
  <c r="T480" i="12843" s="1"/>
  <c r="X444" i="12843"/>
  <c r="T339" i="12843"/>
  <c r="T305" i="12843"/>
  <c r="X409" i="12843"/>
  <c r="T270" i="12843"/>
  <c r="X270" i="12843"/>
  <c r="T409" i="12843"/>
  <c r="F40" i="12843"/>
  <c r="F19" i="12843" s="1"/>
  <c r="C19" i="12843"/>
  <c r="C21" i="12843"/>
  <c r="F42" i="12843"/>
  <c r="F21" i="12843" s="1"/>
  <c r="C23" i="12843"/>
  <c r="I55" i="12843"/>
  <c r="I58" i="12843"/>
  <c r="I60" i="12843"/>
  <c r="I78" i="12843"/>
  <c r="F108" i="12843"/>
  <c r="C89" i="12843"/>
  <c r="I138" i="12843"/>
  <c r="P138" i="12843"/>
  <c r="X138" i="12843"/>
  <c r="I142" i="12843"/>
  <c r="I93" i="12843" s="1"/>
  <c r="I154" i="12843"/>
  <c r="I158" i="12843"/>
  <c r="R144" i="12843"/>
  <c r="I264" i="12843"/>
  <c r="F264" i="12843"/>
  <c r="C93" i="12843"/>
  <c r="N130" i="12843"/>
  <c r="T142" i="12843"/>
  <c r="R160" i="12843"/>
  <c r="P156" i="12843"/>
  <c r="F156" i="12843"/>
  <c r="C92" i="12843"/>
  <c r="T156" i="12843"/>
  <c r="P549" i="12843"/>
  <c r="J514" i="12843"/>
  <c r="L514" i="12843" s="1"/>
  <c r="P443" i="12843"/>
  <c r="J549" i="12843"/>
  <c r="L549" i="12843" s="1"/>
  <c r="P514" i="12843"/>
  <c r="J443" i="12843"/>
  <c r="L443" i="12843" s="1"/>
  <c r="P408" i="12843"/>
  <c r="P304" i="12843"/>
  <c r="P269" i="12843"/>
  <c r="J304" i="12843"/>
  <c r="L304" i="12843" s="1"/>
  <c r="J269" i="12843"/>
  <c r="L269" i="12843" s="1"/>
  <c r="J408" i="12843"/>
  <c r="L408" i="12843" s="1"/>
  <c r="P338" i="12843"/>
  <c r="J479" i="12843"/>
  <c r="J373" i="12843"/>
  <c r="J338" i="12843"/>
  <c r="L338" i="12843" s="1"/>
  <c r="J235" i="12843"/>
  <c r="C218" i="12843"/>
  <c r="I252" i="12843"/>
  <c r="I218" i="12843" s="1"/>
  <c r="F252" i="12843"/>
  <c r="I216" i="12843"/>
  <c r="I175" i="12843" s="1"/>
  <c r="C286" i="12843"/>
  <c r="C326" i="12843"/>
  <c r="C457" i="12843"/>
  <c r="C495" i="12843"/>
  <c r="C460" i="12843" s="1"/>
  <c r="F492" i="12843"/>
  <c r="F688" i="12843"/>
  <c r="F608" i="12843" s="1"/>
  <c r="I688" i="12843"/>
  <c r="C608" i="12843"/>
  <c r="F839" i="12843"/>
  <c r="I839" i="12843"/>
  <c r="I141" i="12843"/>
  <c r="I92" i="12843" s="1"/>
  <c r="I284" i="12843"/>
  <c r="F285" i="12843"/>
  <c r="F303" i="12843"/>
  <c r="F234" i="12843" s="1"/>
  <c r="I303" i="12843"/>
  <c r="I234" i="12843" s="1"/>
  <c r="I197" i="12843" s="1"/>
  <c r="F318" i="12843"/>
  <c r="I318" i="12843"/>
  <c r="I322" i="12843"/>
  <c r="I492" i="12843"/>
  <c r="I474" i="12843"/>
  <c r="F305" i="12843"/>
  <c r="F236" i="12843" s="1"/>
  <c r="I305" i="12843"/>
  <c r="C324" i="12843"/>
  <c r="C398" i="12843"/>
  <c r="F394" i="12843"/>
  <c r="F359" i="12843" s="1"/>
  <c r="C359" i="12843"/>
  <c r="I359" i="12843" s="1"/>
  <c r="C465" i="12843"/>
  <c r="C469" i="12843" s="1"/>
  <c r="F500" i="12843"/>
  <c r="F465" i="12843" s="1"/>
  <c r="I500" i="12843"/>
  <c r="I465" i="12843" s="1"/>
  <c r="C504" i="12843"/>
  <c r="F533" i="12843"/>
  <c r="C537" i="12843"/>
  <c r="I533" i="12843"/>
  <c r="V663" i="12843"/>
  <c r="X663" i="12843" s="1"/>
  <c r="X647" i="12843"/>
  <c r="F704" i="12843"/>
  <c r="I704" i="12843"/>
  <c r="I626" i="12843" s="1"/>
  <c r="C626" i="12843"/>
  <c r="V473" i="12843"/>
  <c r="R473" i="12843"/>
  <c r="C216" i="12843"/>
  <c r="C175" i="12843" s="1"/>
  <c r="T175" i="12843" s="1"/>
  <c r="C222" i="12843"/>
  <c r="C182" i="12843" s="1"/>
  <c r="P182" i="12843" s="1"/>
  <c r="C251" i="12843"/>
  <c r="F248" i="12843"/>
  <c r="C413" i="12843"/>
  <c r="F392" i="12843"/>
  <c r="C357" i="12843"/>
  <c r="I357" i="12843" s="1"/>
  <c r="C396" i="12843"/>
  <c r="I394" i="12843"/>
  <c r="C424" i="12843"/>
  <c r="F421" i="12843"/>
  <c r="C351" i="12843"/>
  <c r="F498" i="12843"/>
  <c r="C463" i="12843"/>
  <c r="C467" i="12843" s="1"/>
  <c r="I498" i="12843"/>
  <c r="C502" i="12843"/>
  <c r="C554" i="12843"/>
  <c r="F786" i="12843"/>
  <c r="I786" i="12843"/>
  <c r="C732" i="12843"/>
  <c r="F301" i="12843"/>
  <c r="C302" i="12843"/>
  <c r="C340" i="12843"/>
  <c r="F334" i="12843"/>
  <c r="C336" i="12843"/>
  <c r="F494" i="12843"/>
  <c r="F459" i="12843" s="1"/>
  <c r="F171" i="12843" s="1"/>
  <c r="C459" i="12843"/>
  <c r="C171" i="12843" s="1"/>
  <c r="I472" i="12843"/>
  <c r="I476" i="12843"/>
  <c r="I480" i="12843"/>
  <c r="F1003" i="12843"/>
  <c r="I1003" i="12843"/>
  <c r="I473" i="12843"/>
  <c r="I477" i="12843"/>
  <c r="I603" i="12843"/>
  <c r="F646" i="12843"/>
  <c r="F604" i="12843" s="1"/>
  <c r="C604" i="12843"/>
  <c r="C648" i="12843"/>
  <c r="I646" i="12843"/>
  <c r="F706" i="12843"/>
  <c r="C711" i="12843"/>
  <c r="C707" i="12843"/>
  <c r="C628" i="12843"/>
  <c r="I706" i="12843"/>
  <c r="F788" i="12843"/>
  <c r="C734" i="12843"/>
  <c r="I788" i="12843"/>
  <c r="F667" i="12843"/>
  <c r="I667" i="12843"/>
  <c r="I627" i="12843" s="1"/>
  <c r="C627" i="12843"/>
  <c r="F700" i="12843"/>
  <c r="I700" i="12843"/>
  <c r="I622" i="12843" s="1"/>
  <c r="C622" i="12843"/>
  <c r="F775" i="12843"/>
  <c r="C780" i="12843"/>
  <c r="I775" i="12843"/>
  <c r="F815" i="12843"/>
  <c r="F762" i="12843" s="1"/>
  <c r="I815" i="12843"/>
  <c r="I762" i="12843" s="1"/>
  <c r="C762" i="12843"/>
  <c r="C766" i="12843" s="1"/>
  <c r="C819" i="12843"/>
  <c r="F665" i="12843"/>
  <c r="F625" i="12843" s="1"/>
  <c r="I665" i="12843"/>
  <c r="I625" i="12843" s="1"/>
  <c r="F691" i="12843"/>
  <c r="F611" i="12843" s="1"/>
  <c r="I691" i="12843"/>
  <c r="I787" i="12843"/>
  <c r="I733" i="12843" s="1"/>
  <c r="C733" i="12843"/>
  <c r="F787" i="12843"/>
  <c r="C1080" i="12843"/>
  <c r="I1043" i="12843"/>
  <c r="F1043" i="12843"/>
  <c r="C1004" i="12843"/>
  <c r="I300" i="12843"/>
  <c r="I231" i="12843" s="1"/>
  <c r="I528" i="12843"/>
  <c r="C611" i="12843"/>
  <c r="C623" i="12843"/>
  <c r="N872" i="12843"/>
  <c r="P872" i="12843" s="1"/>
  <c r="N819" i="12843"/>
  <c r="F801" i="12843"/>
  <c r="F748" i="12843" s="1"/>
  <c r="I801" i="12843"/>
  <c r="I748" i="12843" s="1"/>
  <c r="L830" i="12843"/>
  <c r="J854" i="12843"/>
  <c r="L854" i="12843" s="1"/>
  <c r="F831" i="12843"/>
  <c r="I831" i="12843"/>
  <c r="F849" i="12843"/>
  <c r="F742" i="12843" s="1"/>
  <c r="I849" i="12843"/>
  <c r="C1138" i="12843"/>
  <c r="I323" i="12843"/>
  <c r="F621" i="12843"/>
  <c r="C713" i="12843"/>
  <c r="C697" i="12843"/>
  <c r="F694" i="12843"/>
  <c r="F778" i="12843"/>
  <c r="I778" i="12843"/>
  <c r="I779" i="12843"/>
  <c r="I725" i="12843" s="1"/>
  <c r="F779" i="12843"/>
  <c r="C725" i="12843"/>
  <c r="F790" i="12843"/>
  <c r="F736" i="12843" s="1"/>
  <c r="I790" i="12843"/>
  <c r="C736" i="12843"/>
  <c r="I792" i="12843"/>
  <c r="I738" i="12843" s="1"/>
  <c r="F792" i="12843"/>
  <c r="C738" i="12843"/>
  <c r="F841" i="12843"/>
  <c r="I841" i="12843"/>
  <c r="X962" i="12843"/>
  <c r="V883" i="12843"/>
  <c r="T965" i="12843"/>
  <c r="R886" i="12843"/>
  <c r="C1048" i="12843"/>
  <c r="C1082" i="12843"/>
  <c r="F1045" i="12843"/>
  <c r="I1045" i="12843"/>
  <c r="C1047" i="12843"/>
  <c r="P1047" i="12843" s="1"/>
  <c r="C603" i="12843"/>
  <c r="T710" i="12843"/>
  <c r="R872" i="12843"/>
  <c r="T872" i="12843" s="1"/>
  <c r="R819" i="12843"/>
  <c r="R887" i="12843"/>
  <c r="X963" i="12843"/>
  <c r="X1057" i="12843" s="1"/>
  <c r="V884" i="12843"/>
  <c r="F967" i="12843"/>
  <c r="I967" i="12843"/>
  <c r="F970" i="12843"/>
  <c r="F1064" i="12843" s="1"/>
  <c r="I970" i="12843"/>
  <c r="F985" i="12843"/>
  <c r="I985" i="12843"/>
  <c r="I1075" i="12843"/>
  <c r="T1060" i="12843"/>
  <c r="P1045" i="12843"/>
  <c r="I1118" i="12843"/>
  <c r="F1118" i="12843"/>
  <c r="C885" i="12843"/>
  <c r="I946" i="12843"/>
  <c r="T1057" i="12843"/>
  <c r="X1076" i="12843"/>
  <c r="T1079" i="12843"/>
  <c r="F1121" i="12843"/>
  <c r="I1121" i="12843"/>
  <c r="F1060" i="12843"/>
  <c r="T1076" i="12843"/>
  <c r="I1000" i="12843"/>
  <c r="C1059" i="12843"/>
  <c r="F1023" i="12843"/>
  <c r="X1023" i="12843"/>
  <c r="C1064" i="12843"/>
  <c r="I1028" i="12843"/>
  <c r="P1028" i="12843"/>
  <c r="C1040" i="12843"/>
  <c r="F1038" i="12843"/>
  <c r="X1038" i="12843"/>
  <c r="I1041" i="12843"/>
  <c r="I1078" i="12843" s="1"/>
  <c r="F1079" i="12843"/>
  <c r="C1075" i="12843"/>
  <c r="C1095" i="12843"/>
  <c r="F1094" i="12843"/>
  <c r="I1097" i="12843"/>
  <c r="F1097" i="12843"/>
  <c r="I1101" i="12843"/>
  <c r="F1101" i="12843"/>
  <c r="F1180" i="12843"/>
  <c r="I1165" i="12843"/>
  <c r="F1165" i="12843" s="1"/>
  <c r="F1196" i="12843"/>
  <c r="I1196" i="12843"/>
  <c r="C1166" i="12843"/>
  <c r="C1197" i="12843"/>
  <c r="C1083" i="12843"/>
  <c r="C1213" i="12843"/>
  <c r="C1230" i="12843"/>
  <c r="L1227" i="12843"/>
  <c r="F1227" i="12843"/>
  <c r="I1227" i="12843"/>
  <c r="I1240" i="12843"/>
  <c r="F1240" i="12843"/>
  <c r="I1248" i="12843"/>
  <c r="F1248" i="12843"/>
  <c r="I1211" i="12843"/>
  <c r="I1214" i="12843" s="1"/>
  <c r="F1211" i="12843"/>
  <c r="F1214" i="12843" s="1"/>
  <c r="L1225" i="12843"/>
  <c r="C1226" i="12843"/>
  <c r="I1224" i="12843"/>
  <c r="I28" i="12831" l="1"/>
  <c r="V664" i="12843"/>
  <c r="X664" i="12843" s="1"/>
  <c r="P850" i="12843"/>
  <c r="R854" i="12843"/>
  <c r="T854" i="12843" s="1"/>
  <c r="P777" i="12843"/>
  <c r="T503" i="12843"/>
  <c r="T468" i="12843" s="1"/>
  <c r="P398" i="12843"/>
  <c r="P363" i="12843" s="1"/>
  <c r="T1078" i="12843"/>
  <c r="I925" i="12843"/>
  <c r="I906" i="12843" s="1"/>
  <c r="I928" i="12843"/>
  <c r="I909" i="12843" s="1"/>
  <c r="R661" i="12843"/>
  <c r="T661" i="12843" s="1"/>
  <c r="L777" i="12843"/>
  <c r="L723" i="12843" s="1"/>
  <c r="L764" i="12843"/>
  <c r="P377" i="12843"/>
  <c r="P341" i="12843"/>
  <c r="F199" i="12843"/>
  <c r="R860" i="12843"/>
  <c r="T860" i="12843" s="1"/>
  <c r="I413" i="12843"/>
  <c r="I190" i="12843"/>
  <c r="T376" i="12843"/>
  <c r="I194" i="12843"/>
  <c r="F197" i="12843"/>
  <c r="F190" i="12843"/>
  <c r="T362" i="12843"/>
  <c r="L373" i="12843"/>
  <c r="F192" i="12843"/>
  <c r="I198" i="12843"/>
  <c r="T697" i="12843"/>
  <c r="T696" i="12843"/>
  <c r="I38" i="12848"/>
  <c r="I38" i="12849"/>
  <c r="I29" i="12848"/>
  <c r="I29" i="12849"/>
  <c r="I26" i="12849"/>
  <c r="I26" i="12848"/>
  <c r="T396" i="12843"/>
  <c r="T361" i="12843" s="1"/>
  <c r="R261" i="12843"/>
  <c r="T261" i="12843" s="1"/>
  <c r="F191" i="12843"/>
  <c r="I182" i="12843"/>
  <c r="T377" i="12843"/>
  <c r="I16" i="12849"/>
  <c r="I19" i="12849" s="1"/>
  <c r="I16" i="12848"/>
  <c r="I19" i="12848" s="1"/>
  <c r="I35" i="12831"/>
  <c r="I35" i="12849"/>
  <c r="I35" i="12848"/>
  <c r="F462" i="12843"/>
  <c r="F626" i="12843"/>
  <c r="F607" i="12843"/>
  <c r="T1075" i="12843"/>
  <c r="P431" i="12843"/>
  <c r="C924" i="12843"/>
  <c r="C905" i="12843" s="1"/>
  <c r="C178" i="12843"/>
  <c r="I897" i="12843"/>
  <c r="P1082" i="12843"/>
  <c r="I950" i="12843"/>
  <c r="F1061" i="12843"/>
  <c r="F738" i="12843"/>
  <c r="I195" i="12843"/>
  <c r="T850" i="12843"/>
  <c r="F222" i="12843"/>
  <c r="F182" i="12843" s="1"/>
  <c r="I38" i="12783"/>
  <c r="H24" i="12826" s="1"/>
  <c r="F610" i="12843"/>
  <c r="I1083" i="12843"/>
  <c r="F723" i="12843"/>
  <c r="F464" i="12843"/>
  <c r="C726" i="12843"/>
  <c r="F897" i="12843"/>
  <c r="I736" i="12843"/>
  <c r="P696" i="12843"/>
  <c r="F458" i="12843"/>
  <c r="F170" i="12843" s="1"/>
  <c r="F1002" i="12843"/>
  <c r="F733" i="12843"/>
  <c r="I38" i="12831"/>
  <c r="C927" i="12843"/>
  <c r="C908" i="12843" s="1"/>
  <c r="I739" i="12843"/>
  <c r="I1064" i="12843"/>
  <c r="I1061" i="12843"/>
  <c r="I947" i="12843"/>
  <c r="F669" i="12843"/>
  <c r="T1056" i="12843"/>
  <c r="I735" i="12843"/>
  <c r="F1078" i="12843"/>
  <c r="C929" i="12843"/>
  <c r="C910" i="12843" s="1"/>
  <c r="F1167" i="12843"/>
  <c r="I1002" i="12843"/>
  <c r="T1059" i="12843"/>
  <c r="I742" i="12843"/>
  <c r="C674" i="12843"/>
  <c r="T674" i="12843" s="1"/>
  <c r="I604" i="12843"/>
  <c r="I1056" i="12843"/>
  <c r="F215" i="12843"/>
  <c r="F174" i="12843" s="1"/>
  <c r="I230" i="12843"/>
  <c r="I193" i="12843" s="1"/>
  <c r="F1201" i="12843"/>
  <c r="I463" i="12843"/>
  <c r="F999" i="12843"/>
  <c r="F942" i="12843"/>
  <c r="I942" i="12843"/>
  <c r="P711" i="12843"/>
  <c r="F235" i="12843"/>
  <c r="F198" i="12843" s="1"/>
  <c r="F624" i="12843"/>
  <c r="I999" i="12843"/>
  <c r="I632" i="12843"/>
  <c r="P503" i="12843"/>
  <c r="P468" i="12843" s="1"/>
  <c r="F627" i="12843"/>
  <c r="I191" i="12843"/>
  <c r="F1082" i="12843"/>
  <c r="F945" i="12843"/>
  <c r="C932" i="12843"/>
  <c r="C913" i="12843" s="1"/>
  <c r="C1077" i="12843"/>
  <c r="C926" i="12843" s="1"/>
  <c r="I554" i="12843"/>
  <c r="F603" i="12843"/>
  <c r="F950" i="12843"/>
  <c r="I1082" i="12843"/>
  <c r="I611" i="12843"/>
  <c r="I178" i="12843"/>
  <c r="I46" i="12843"/>
  <c r="F17" i="12843"/>
  <c r="I608" i="12843"/>
  <c r="F1230" i="12843"/>
  <c r="F990" i="12843"/>
  <c r="C217" i="12843"/>
  <c r="C177" i="12843" s="1"/>
  <c r="P989" i="12843"/>
  <c r="P1084" i="12843" s="1"/>
  <c r="I1270" i="12843"/>
  <c r="F1059" i="12843"/>
  <c r="F932" i="12843"/>
  <c r="F913" i="12843" s="1"/>
  <c r="F622" i="12843"/>
  <c r="I628" i="12843"/>
  <c r="F357" i="12843"/>
  <c r="F554" i="12843"/>
  <c r="F230" i="12843"/>
  <c r="F193" i="12843" s="1"/>
  <c r="X170" i="12843"/>
  <c r="F615" i="12843"/>
  <c r="F15" i="12843"/>
  <c r="P697" i="12843"/>
  <c r="P695" i="12843"/>
  <c r="T341" i="12843"/>
  <c r="P362" i="12843"/>
  <c r="V801" i="12843"/>
  <c r="X801" i="12843" s="1"/>
  <c r="P1083" i="12843"/>
  <c r="T688" i="12843"/>
  <c r="T685" i="12843"/>
  <c r="T398" i="12843"/>
  <c r="T363" i="12843" s="1"/>
  <c r="R262" i="12843"/>
  <c r="T262" i="12843" s="1"/>
  <c r="N670" i="12843"/>
  <c r="P670" i="12843" s="1"/>
  <c r="X1078" i="12843"/>
  <c r="T711" i="12843"/>
  <c r="T777" i="12843"/>
  <c r="R332" i="12843"/>
  <c r="T332" i="12843" s="1"/>
  <c r="P1064" i="12843"/>
  <c r="I29" i="12831"/>
  <c r="I29" i="12783"/>
  <c r="H25" i="12826" s="1"/>
  <c r="I26" i="12831"/>
  <c r="I26" i="12783"/>
  <c r="H20" i="12826" s="1"/>
  <c r="I732" i="12843"/>
  <c r="I236" i="12843"/>
  <c r="I199" i="12843" s="1"/>
  <c r="I1166" i="12843"/>
  <c r="F1139" i="12843"/>
  <c r="C484" i="12843"/>
  <c r="F218" i="12843"/>
  <c r="I1007" i="12843"/>
  <c r="X1059" i="12843"/>
  <c r="F1007" i="12843"/>
  <c r="I990" i="12843"/>
  <c r="F725" i="12843"/>
  <c r="I945" i="12843"/>
  <c r="F628" i="12843"/>
  <c r="F232" i="12843"/>
  <c r="F195" i="12843" s="1"/>
  <c r="I458" i="12843"/>
  <c r="I170" i="12843" s="1"/>
  <c r="F92" i="12843"/>
  <c r="C195" i="12843"/>
  <c r="C201" i="12843" s="1"/>
  <c r="C238" i="12843"/>
  <c r="I192" i="12843"/>
  <c r="F231" i="12843"/>
  <c r="F194" i="12843" s="1"/>
  <c r="F216" i="12843"/>
  <c r="F175" i="12843" s="1"/>
  <c r="C237" i="12843"/>
  <c r="C194" i="12843"/>
  <c r="C200" i="12843" s="1"/>
  <c r="I94" i="12843"/>
  <c r="F20" i="12843"/>
  <c r="F82" i="12843"/>
  <c r="I35" i="12783"/>
  <c r="H14" i="12826" s="1"/>
  <c r="F22" i="12843"/>
  <c r="F16" i="12843"/>
  <c r="I89" i="12843"/>
  <c r="P94" i="12843"/>
  <c r="P93" i="12843"/>
  <c r="T93" i="12843"/>
  <c r="I19" i="12843"/>
  <c r="F93" i="12843"/>
  <c r="I16" i="12831"/>
  <c r="I19" i="12831" s="1"/>
  <c r="P92" i="12843"/>
  <c r="T92" i="12843"/>
  <c r="I82" i="12843"/>
  <c r="I16" i="12783"/>
  <c r="X89" i="12843"/>
  <c r="T89" i="12843"/>
  <c r="X830" i="12843"/>
  <c r="V854" i="12843"/>
  <c r="X854" i="12843" s="1"/>
  <c r="X683" i="12843"/>
  <c r="P479" i="12843"/>
  <c r="T374" i="12843"/>
  <c r="T375" i="12843"/>
  <c r="P340" i="12843"/>
  <c r="P375" i="12843"/>
  <c r="T236" i="12843"/>
  <c r="T174" i="12843"/>
  <c r="V471" i="12843"/>
  <c r="I1139" i="12843"/>
  <c r="T819" i="12843"/>
  <c r="I873" i="12843"/>
  <c r="F1080" i="12843"/>
  <c r="F734" i="12843"/>
  <c r="P396" i="12843"/>
  <c r="I21" i="12843"/>
  <c r="P376" i="12843"/>
  <c r="I1080" i="12843"/>
  <c r="R665" i="12843"/>
  <c r="T665" i="12843" s="1"/>
  <c r="T650" i="12843"/>
  <c r="I1048" i="12843"/>
  <c r="P819" i="12843"/>
  <c r="L235" i="12843"/>
  <c r="F46" i="12843"/>
  <c r="I64" i="12843"/>
  <c r="F925" i="12843"/>
  <c r="F906" i="12843" s="1"/>
  <c r="C1228" i="12843"/>
  <c r="T832" i="12843"/>
  <c r="R856" i="12843"/>
  <c r="T856" i="12843" s="1"/>
  <c r="R793" i="12843"/>
  <c r="R806" i="12843"/>
  <c r="T806" i="12843" s="1"/>
  <c r="T786" i="12843"/>
  <c r="R803" i="12843"/>
  <c r="T803" i="12843" s="1"/>
  <c r="T779" i="12843"/>
  <c r="V808" i="12843"/>
  <c r="X808" i="12843" s="1"/>
  <c r="X788" i="12843"/>
  <c r="R861" i="12843"/>
  <c r="T861" i="12843" s="1"/>
  <c r="T841" i="12843"/>
  <c r="F721" i="12843"/>
  <c r="X840" i="12843"/>
  <c r="V860" i="12843"/>
  <c r="X860" i="12843" s="1"/>
  <c r="X685" i="12843"/>
  <c r="V701" i="12843"/>
  <c r="X701" i="12843" s="1"/>
  <c r="T502" i="12843"/>
  <c r="P502" i="12843"/>
  <c r="C378" i="12843"/>
  <c r="P291" i="12843"/>
  <c r="N303" i="12843"/>
  <c r="P303" i="12843" s="1"/>
  <c r="N337" i="12843"/>
  <c r="P337" i="12843" s="1"/>
  <c r="P325" i="12843"/>
  <c r="P395" i="12843"/>
  <c r="N407" i="12843"/>
  <c r="P407" i="12843" s="1"/>
  <c r="AE1197" i="12843"/>
  <c r="C1167" i="12843"/>
  <c r="I1197" i="12843"/>
  <c r="I1201" i="12843" s="1"/>
  <c r="F928" i="12843"/>
  <c r="F909" i="12843" s="1"/>
  <c r="C1001" i="12843"/>
  <c r="V661" i="12843"/>
  <c r="X661" i="12843" s="1"/>
  <c r="X645" i="12843"/>
  <c r="X687" i="12843"/>
  <c r="V702" i="12843"/>
  <c r="X702" i="12843" s="1"/>
  <c r="T388" i="12843"/>
  <c r="R402" i="12843"/>
  <c r="T402" i="12843" s="1"/>
  <c r="R330" i="12843"/>
  <c r="T330" i="12843" s="1"/>
  <c r="T317" i="12843"/>
  <c r="V543" i="12843"/>
  <c r="X543" i="12843" s="1"/>
  <c r="X529" i="12843"/>
  <c r="R506" i="12843"/>
  <c r="T506" i="12843" s="1"/>
  <c r="T492" i="12843"/>
  <c r="T386" i="12843"/>
  <c r="R400" i="12843"/>
  <c r="T400" i="12843" s="1"/>
  <c r="P430" i="12843"/>
  <c r="N442" i="12843"/>
  <c r="P442" i="12843" s="1"/>
  <c r="T387" i="12843"/>
  <c r="R401" i="12843"/>
  <c r="T401" i="12843" s="1"/>
  <c r="I1230" i="12843"/>
  <c r="F1270" i="12843"/>
  <c r="I1104" i="12843"/>
  <c r="C1201" i="12843"/>
  <c r="X1075" i="12843"/>
  <c r="R802" i="12843"/>
  <c r="T802" i="12843" s="1"/>
  <c r="T778" i="12843"/>
  <c r="C606" i="12843"/>
  <c r="T1047" i="12843"/>
  <c r="T1084" i="12843" s="1"/>
  <c r="C1084" i="12843"/>
  <c r="C1085" i="12843"/>
  <c r="X1056" i="12843"/>
  <c r="I724" i="12843"/>
  <c r="R808" i="12843"/>
  <c r="T808" i="12843" s="1"/>
  <c r="T788" i="12843"/>
  <c r="X841" i="12843"/>
  <c r="V861" i="12843"/>
  <c r="X861" i="12843" s="1"/>
  <c r="R700" i="12843"/>
  <c r="T700" i="12843" s="1"/>
  <c r="T684" i="12843"/>
  <c r="V700" i="12843"/>
  <c r="X700" i="12843" s="1"/>
  <c r="X684" i="12843"/>
  <c r="I721" i="12843"/>
  <c r="R663" i="12843"/>
  <c r="T663" i="12843" s="1"/>
  <c r="T647" i="12843"/>
  <c r="T683" i="12843"/>
  <c r="R699" i="12843"/>
  <c r="T699" i="12843" s="1"/>
  <c r="T649" i="12843"/>
  <c r="R664" i="12843"/>
  <c r="T664" i="12843" s="1"/>
  <c r="T171" i="12843"/>
  <c r="X171" i="12843"/>
  <c r="C342" i="12843"/>
  <c r="F336" i="12843"/>
  <c r="I336" i="12843"/>
  <c r="F732" i="12843"/>
  <c r="I351" i="12843"/>
  <c r="I173" i="12843" s="1"/>
  <c r="C354" i="12843"/>
  <c r="C173" i="12843"/>
  <c r="F214" i="12843"/>
  <c r="F413" i="12843"/>
  <c r="R804" i="12843"/>
  <c r="T804" i="12843" s="1"/>
  <c r="T784" i="12843"/>
  <c r="R792" i="12843"/>
  <c r="I457" i="12843"/>
  <c r="I169" i="12843" s="1"/>
  <c r="I519" i="12843"/>
  <c r="I215" i="12843"/>
  <c r="I174" i="12843" s="1"/>
  <c r="R435" i="12843"/>
  <c r="T435" i="12843" s="1"/>
  <c r="T421" i="12843"/>
  <c r="F519" i="12843"/>
  <c r="F457" i="12843"/>
  <c r="F169" i="12843" s="1"/>
  <c r="P326" i="12843"/>
  <c r="T326" i="12843"/>
  <c r="P373" i="12843"/>
  <c r="L479" i="12843"/>
  <c r="P256" i="12843"/>
  <c r="N268" i="12843"/>
  <c r="P268" i="12843" s="1"/>
  <c r="N513" i="12843"/>
  <c r="P513" i="12843" s="1"/>
  <c r="P501" i="12843"/>
  <c r="N145" i="12843"/>
  <c r="F64" i="12843"/>
  <c r="R159" i="12843"/>
  <c r="T159" i="12843" s="1"/>
  <c r="R436" i="12843"/>
  <c r="T436" i="12843" s="1"/>
  <c r="T422" i="12843"/>
  <c r="I16" i="12843"/>
  <c r="X236" i="12843"/>
  <c r="N159" i="12843"/>
  <c r="P159" i="12843" s="1"/>
  <c r="R855" i="12843"/>
  <c r="T855" i="12843" s="1"/>
  <c r="T831" i="12843"/>
  <c r="V703" i="12843"/>
  <c r="X703" i="12843" s="1"/>
  <c r="X688" i="12843"/>
  <c r="R662" i="12843"/>
  <c r="T662" i="12843" s="1"/>
  <c r="T646" i="12843"/>
  <c r="X646" i="12843"/>
  <c r="V662" i="12843"/>
  <c r="X662" i="12843" s="1"/>
  <c r="I707" i="12843"/>
  <c r="C712" i="12843"/>
  <c r="T712" i="12843" s="1"/>
  <c r="F707" i="12843"/>
  <c r="C629" i="12843"/>
  <c r="R263" i="12843"/>
  <c r="T263" i="12843" s="1"/>
  <c r="T250" i="12843"/>
  <c r="F324" i="12843"/>
  <c r="I324" i="12843"/>
  <c r="C328" i="12843"/>
  <c r="V804" i="12843"/>
  <c r="X804" i="12843" s="1"/>
  <c r="X784" i="12843"/>
  <c r="V792" i="12843"/>
  <c r="T285" i="12843"/>
  <c r="R298" i="12843"/>
  <c r="T298" i="12843" s="1"/>
  <c r="V472" i="12843"/>
  <c r="R472" i="12843"/>
  <c r="R297" i="12843"/>
  <c r="T297" i="12843" s="1"/>
  <c r="T284" i="12843"/>
  <c r="R331" i="12843"/>
  <c r="T331" i="12843" s="1"/>
  <c r="T318" i="12843"/>
  <c r="X480" i="12843"/>
  <c r="I155" i="12843"/>
  <c r="I161" i="12843" s="1"/>
  <c r="F155" i="12843"/>
  <c r="F161" i="12843" s="1"/>
  <c r="C160" i="12843"/>
  <c r="T160" i="12843" s="1"/>
  <c r="F1166" i="12843"/>
  <c r="R852" i="12843"/>
  <c r="T852" i="12843" s="1"/>
  <c r="T828" i="12843"/>
  <c r="N816" i="12843"/>
  <c r="P816" i="12843" s="1"/>
  <c r="P796" i="12843"/>
  <c r="V846" i="12843"/>
  <c r="X839" i="12843"/>
  <c r="V859" i="12843"/>
  <c r="X859" i="12843" s="1"/>
  <c r="F873" i="12843"/>
  <c r="X787" i="12843"/>
  <c r="V807" i="12843"/>
  <c r="X807" i="12843" s="1"/>
  <c r="R810" i="12843"/>
  <c r="T810" i="12843" s="1"/>
  <c r="T790" i="12843"/>
  <c r="V863" i="12843"/>
  <c r="X863" i="12843" s="1"/>
  <c r="X843" i="12843"/>
  <c r="C308" i="12843"/>
  <c r="I302" i="12843"/>
  <c r="C233" i="12843"/>
  <c r="F302" i="12843"/>
  <c r="R543" i="12843"/>
  <c r="T543" i="12843" s="1"/>
  <c r="T529" i="12843"/>
  <c r="V506" i="12843"/>
  <c r="X506" i="12843" s="1"/>
  <c r="X492" i="12843"/>
  <c r="T504" i="12843"/>
  <c r="T469" i="12843" s="1"/>
  <c r="P504" i="12843"/>
  <c r="P469" i="12843" s="1"/>
  <c r="T837" i="12843"/>
  <c r="R857" i="12843"/>
  <c r="T857" i="12843" s="1"/>
  <c r="R845" i="12843"/>
  <c r="T340" i="12843"/>
  <c r="F1075" i="12843"/>
  <c r="F924" i="12843" s="1"/>
  <c r="F905" i="12843" s="1"/>
  <c r="F1048" i="12843"/>
  <c r="F1104" i="12843"/>
  <c r="T775" i="12843"/>
  <c r="R799" i="12843"/>
  <c r="T799" i="12843" s="1"/>
  <c r="P849" i="12843"/>
  <c r="N869" i="12843"/>
  <c r="P869" i="12843" s="1"/>
  <c r="V665" i="12843"/>
  <c r="X665" i="12843" s="1"/>
  <c r="X650" i="12843"/>
  <c r="F724" i="12843"/>
  <c r="V793" i="12843"/>
  <c r="V806" i="12843"/>
  <c r="X806" i="12843" s="1"/>
  <c r="X786" i="12843"/>
  <c r="R846" i="12843"/>
  <c r="R859" i="12843"/>
  <c r="T859" i="12843" s="1"/>
  <c r="T839" i="12843"/>
  <c r="F1004" i="12843"/>
  <c r="I1004" i="12843"/>
  <c r="R807" i="12843"/>
  <c r="T807" i="12843" s="1"/>
  <c r="T787" i="12843"/>
  <c r="I734" i="12843"/>
  <c r="C633" i="12843"/>
  <c r="T687" i="12843"/>
  <c r="R702" i="12843"/>
  <c r="T702" i="12843" s="1"/>
  <c r="V810" i="12843"/>
  <c r="X810" i="12843" s="1"/>
  <c r="X790" i="12843"/>
  <c r="T843" i="12843"/>
  <c r="R863" i="12843"/>
  <c r="T863" i="12843" s="1"/>
  <c r="F463" i="12843"/>
  <c r="F448" i="12843"/>
  <c r="F351" i="12843"/>
  <c r="R437" i="12843"/>
  <c r="T437" i="12843" s="1"/>
  <c r="T423" i="12843"/>
  <c r="R508" i="12843"/>
  <c r="T508" i="12843" s="1"/>
  <c r="T494" i="12843"/>
  <c r="V508" i="12843"/>
  <c r="X508" i="12843" s="1"/>
  <c r="X494" i="12843"/>
  <c r="V541" i="12843"/>
  <c r="X541" i="12843" s="1"/>
  <c r="X527" i="12843"/>
  <c r="R541" i="12843"/>
  <c r="T541" i="12843" s="1"/>
  <c r="T527" i="12843"/>
  <c r="T537" i="12843"/>
  <c r="P537" i="12843"/>
  <c r="C343" i="12843"/>
  <c r="L748" i="12843"/>
  <c r="X837" i="12843"/>
  <c r="V857" i="12843"/>
  <c r="X857" i="12843" s="1"/>
  <c r="V845" i="12843"/>
  <c r="T283" i="12843"/>
  <c r="R296" i="12843"/>
  <c r="T296" i="12843" s="1"/>
  <c r="P235" i="12843"/>
  <c r="P536" i="12843"/>
  <c r="N548" i="12843"/>
  <c r="P548" i="12843" s="1"/>
  <c r="F89" i="12843"/>
  <c r="X374" i="12843"/>
  <c r="C161" i="12843"/>
  <c r="L89" i="12843"/>
  <c r="D162" i="12845" s="1"/>
  <c r="N1195" i="12767"/>
  <c r="N1199" i="12843" s="1"/>
  <c r="R1195" i="12767"/>
  <c r="R1199" i="12843" s="1"/>
  <c r="I932" i="12843" l="1"/>
  <c r="I913" i="12843" s="1"/>
  <c r="I378" i="12843"/>
  <c r="I42" i="12831"/>
  <c r="I42" i="12849"/>
  <c r="I42" i="12848"/>
  <c r="I27" i="12849"/>
  <c r="I27" i="12848"/>
  <c r="I25" i="12849"/>
  <c r="I25" i="12848"/>
  <c r="I24" i="12849"/>
  <c r="I24" i="12848"/>
  <c r="I22" i="12783"/>
  <c r="H16" i="12826" s="1"/>
  <c r="I22" i="12849"/>
  <c r="I22" i="12848"/>
  <c r="F178" i="12843"/>
  <c r="P361" i="12843"/>
  <c r="F927" i="12843"/>
  <c r="F908" i="12843" s="1"/>
  <c r="F1170" i="12843"/>
  <c r="I25" i="12783"/>
  <c r="H19" i="12826" s="1"/>
  <c r="I25" i="12831"/>
  <c r="P674" i="12843"/>
  <c r="I929" i="12843"/>
  <c r="I910" i="12843" s="1"/>
  <c r="F929" i="12843"/>
  <c r="F910" i="12843" s="1"/>
  <c r="I927" i="12843"/>
  <c r="I908" i="12843" s="1"/>
  <c r="P712" i="12843"/>
  <c r="F629" i="12843"/>
  <c r="I924" i="12843"/>
  <c r="I905" i="12843" s="1"/>
  <c r="I22" i="12831"/>
  <c r="I1085" i="12843"/>
  <c r="I27" i="12831"/>
  <c r="I27" i="12783"/>
  <c r="H21" i="12826" s="1"/>
  <c r="C907" i="12843"/>
  <c r="C1291" i="12843" s="1"/>
  <c r="I24" i="12831"/>
  <c r="I24" i="12783"/>
  <c r="H18" i="12826" s="1"/>
  <c r="F233" i="12843"/>
  <c r="F196" i="12843" s="1"/>
  <c r="I25" i="12843"/>
  <c r="T216" i="12843"/>
  <c r="T228" i="12843"/>
  <c r="T473" i="12843"/>
  <c r="F713" i="12843"/>
  <c r="P466" i="12843"/>
  <c r="L198" i="12843"/>
  <c r="P360" i="12843"/>
  <c r="P222" i="12843"/>
  <c r="P467" i="12843"/>
  <c r="V809" i="12843"/>
  <c r="X809" i="12843" s="1"/>
  <c r="X789" i="12843"/>
  <c r="T493" i="12843"/>
  <c r="R507" i="12843"/>
  <c r="T507" i="12843" s="1"/>
  <c r="I629" i="12843"/>
  <c r="I713" i="12843"/>
  <c r="C176" i="12843"/>
  <c r="T173" i="12843"/>
  <c r="T352" i="12843"/>
  <c r="X459" i="12843"/>
  <c r="T845" i="12843"/>
  <c r="R865" i="12843"/>
  <c r="T865" i="12843" s="1"/>
  <c r="C196" i="12843"/>
  <c r="C202" i="12843" s="1"/>
  <c r="C239" i="12843"/>
  <c r="P478" i="12843"/>
  <c r="C1199" i="12843"/>
  <c r="C1170" i="12843"/>
  <c r="R813" i="12843"/>
  <c r="T813" i="12843" s="1"/>
  <c r="T793" i="12843"/>
  <c r="T227" i="12843"/>
  <c r="X842" i="12843"/>
  <c r="V862" i="12843"/>
  <c r="X862" i="12843" s="1"/>
  <c r="T842" i="12843"/>
  <c r="R862" i="12843"/>
  <c r="T862" i="12843" s="1"/>
  <c r="X473" i="12843"/>
  <c r="V813" i="12843"/>
  <c r="X813" i="12843" s="1"/>
  <c r="X793" i="12843"/>
  <c r="X457" i="12843"/>
  <c r="I233" i="12843"/>
  <c r="I196" i="12843" s="1"/>
  <c r="V866" i="12843"/>
  <c r="X866" i="12843" s="1"/>
  <c r="X846" i="12843"/>
  <c r="R812" i="12843"/>
  <c r="T812" i="12843" s="1"/>
  <c r="T792" i="12843"/>
  <c r="P342" i="12843"/>
  <c r="T342" i="12843"/>
  <c r="F25" i="12843"/>
  <c r="T365" i="12843"/>
  <c r="T457" i="12843"/>
  <c r="T367" i="12843"/>
  <c r="T467" i="12843"/>
  <c r="X845" i="12843"/>
  <c r="V865" i="12843"/>
  <c r="X865" i="12843" s="1"/>
  <c r="T789" i="12843"/>
  <c r="R809" i="12843"/>
  <c r="T809" i="12843" s="1"/>
  <c r="V507" i="12843"/>
  <c r="X507" i="12843" s="1"/>
  <c r="X493" i="12843"/>
  <c r="I1170" i="12843"/>
  <c r="R542" i="12843"/>
  <c r="T542" i="12843" s="1"/>
  <c r="T528" i="12843"/>
  <c r="X792" i="12843"/>
  <c r="V812" i="12843"/>
  <c r="X812" i="12843" s="1"/>
  <c r="C634" i="12843"/>
  <c r="I484" i="12843"/>
  <c r="T214" i="12843"/>
  <c r="T459" i="12843"/>
  <c r="T846" i="12843"/>
  <c r="R866" i="12843"/>
  <c r="T866" i="12843" s="1"/>
  <c r="F1085" i="12843"/>
  <c r="X471" i="12843"/>
  <c r="T308" i="12843"/>
  <c r="T215" i="12843"/>
  <c r="V542" i="12843"/>
  <c r="X542" i="12843" s="1"/>
  <c r="X528" i="12843"/>
  <c r="T229" i="12843"/>
  <c r="P328" i="12843"/>
  <c r="T328" i="12843"/>
  <c r="N160" i="12843"/>
  <c r="P160" i="12843" s="1"/>
  <c r="F484" i="12843"/>
  <c r="F343" i="12843"/>
  <c r="F378" i="12843"/>
  <c r="F173" i="12843"/>
  <c r="T366" i="12843"/>
  <c r="T351" i="12843"/>
  <c r="T471" i="12843"/>
  <c r="T353" i="12843"/>
  <c r="P372" i="12843"/>
  <c r="P234" i="12843"/>
  <c r="I343" i="12843"/>
  <c r="I32" i="12848" l="1"/>
  <c r="I44" i="12848" s="1"/>
  <c r="I48" i="12848" s="1"/>
  <c r="I32" i="12849"/>
  <c r="I44" i="12849" s="1"/>
  <c r="I48" i="12849" s="1"/>
  <c r="C1290" i="12843"/>
  <c r="I32" i="12831"/>
  <c r="I44" i="12831" s="1"/>
  <c r="I48" i="12831" s="1"/>
  <c r="X472" i="12843"/>
  <c r="T458" i="12843"/>
  <c r="X458" i="12843"/>
  <c r="C1169" i="12843"/>
  <c r="T472" i="12843"/>
  <c r="N722" i="12767"/>
  <c r="N776" i="12767" l="1"/>
  <c r="N829" i="12767"/>
  <c r="N723" i="12843"/>
  <c r="P1169" i="12843"/>
  <c r="T1169" i="12843"/>
  <c r="N668" i="12843"/>
  <c r="P668" i="12843" s="1"/>
  <c r="N706" i="12843"/>
  <c r="P706" i="12843" s="1"/>
  <c r="P693" i="12843"/>
  <c r="N748" i="12843" l="1"/>
  <c r="N830" i="12843"/>
  <c r="N669" i="12843"/>
  <c r="P669" i="12843" s="1"/>
  <c r="P694" i="12843"/>
  <c r="N707" i="12843"/>
  <c r="P707" i="12843" s="1"/>
  <c r="P830" i="12843" l="1"/>
  <c r="N854" i="12843"/>
  <c r="P854" i="12843" s="1"/>
  <c r="X198" i="12767"/>
  <c r="X1094" i="12767" l="1"/>
  <c r="T1094" i="12767"/>
  <c r="P1094" i="12767"/>
  <c r="X1091" i="12767"/>
  <c r="T1091" i="12767"/>
  <c r="P1091" i="12767"/>
  <c r="A34" i="12842" l="1"/>
  <c r="A35" i="12842" s="1"/>
  <c r="A36" i="12842" s="1"/>
  <c r="L42" i="12842" l="1"/>
  <c r="K42" i="12842"/>
  <c r="J42" i="12842"/>
  <c r="I42" i="12842"/>
  <c r="H42" i="12842"/>
  <c r="L41" i="12842"/>
  <c r="K41" i="12842"/>
  <c r="J41" i="12842"/>
  <c r="I41" i="12842"/>
  <c r="H41" i="12842"/>
  <c r="G41" i="12842" l="1"/>
  <c r="M41" i="12842" s="1"/>
  <c r="G42" i="12842"/>
  <c r="M42" i="12842" s="1"/>
  <c r="K38" i="12842"/>
  <c r="H37" i="12842"/>
  <c r="J37" i="12842"/>
  <c r="J40" i="12842"/>
  <c r="L39" i="12842" l="1"/>
  <c r="AA639" i="12843"/>
  <c r="H39" i="12842"/>
  <c r="J39" i="12842"/>
  <c r="AA956" i="12843"/>
  <c r="AA1013" i="12843" s="1"/>
  <c r="AA955" i="12767"/>
  <c r="AA1011" i="12767" s="1"/>
  <c r="Z638" i="12767"/>
  <c r="Z639" i="12843"/>
  <c r="K39" i="12842"/>
  <c r="AA638" i="12767"/>
  <c r="I39" i="12842"/>
  <c r="K40" i="12842"/>
  <c r="AA103" i="12843"/>
  <c r="I40" i="12842"/>
  <c r="L40" i="12842"/>
  <c r="J38" i="12842"/>
  <c r="L38" i="12842"/>
  <c r="H38" i="12842"/>
  <c r="I38" i="12842"/>
  <c r="Z1108" i="12843" s="1"/>
  <c r="H40" i="12842"/>
  <c r="L37" i="12842"/>
  <c r="K37" i="12842"/>
  <c r="I37" i="12842"/>
  <c r="V152" i="12767"/>
  <c r="R152" i="12767"/>
  <c r="N152" i="12767"/>
  <c r="V137" i="12767"/>
  <c r="R137" i="12767"/>
  <c r="N137" i="12767"/>
  <c r="V122" i="12767"/>
  <c r="R122" i="12767"/>
  <c r="V107" i="12767"/>
  <c r="R107" i="12767"/>
  <c r="N107" i="12767"/>
  <c r="Y875" i="12767" l="1"/>
  <c r="Y29" i="12767"/>
  <c r="Y1171" i="12767" s="1"/>
  <c r="Y103" i="12843"/>
  <c r="Y955" i="12767"/>
  <c r="Y1011" i="12767" s="1"/>
  <c r="Y30" i="12843"/>
  <c r="Y1144" i="12843" s="1"/>
  <c r="M39" i="12842"/>
  <c r="Y956" i="12843"/>
  <c r="Y1013" i="12843" s="1"/>
  <c r="Y639" i="12843"/>
  <c r="Y1274" i="12843"/>
  <c r="AA206" i="12767"/>
  <c r="AA207" i="12843"/>
  <c r="AA1108" i="12843"/>
  <c r="Z102" i="12767"/>
  <c r="Z103" i="12843"/>
  <c r="Z206" i="12767"/>
  <c r="Z207" i="12843"/>
  <c r="AA30" i="12843"/>
  <c r="AA29" i="12767"/>
  <c r="Y207" i="12843"/>
  <c r="Z30" i="12843"/>
  <c r="Z29" i="12767"/>
  <c r="AA875" i="12767"/>
  <c r="AA876" i="12843"/>
  <c r="Z956" i="12843"/>
  <c r="Z1013" i="12843" s="1"/>
  <c r="Z955" i="12767"/>
  <c r="Z1011" i="12767" s="1"/>
  <c r="Z875" i="12767"/>
  <c r="Z876" i="12843"/>
  <c r="M38" i="12842"/>
  <c r="Y1108" i="12843"/>
  <c r="Y876" i="12843"/>
  <c r="Y638" i="12767"/>
  <c r="Y206" i="12767"/>
  <c r="AA102" i="12767"/>
  <c r="Y102" i="12767"/>
  <c r="M40" i="12842"/>
  <c r="Z1106" i="12767"/>
  <c r="Y1106" i="12767"/>
  <c r="Y1141" i="12767" l="1"/>
  <c r="Y1157" i="12767" s="1"/>
  <c r="Y1228" i="12767"/>
  <c r="Y1175" i="12843"/>
  <c r="Y1218" i="12843" s="1"/>
  <c r="Y1268" i="12767"/>
  <c r="Y1234" i="12843"/>
  <c r="M37" i="12842"/>
  <c r="Z1175" i="12843"/>
  <c r="Z1144" i="12843"/>
  <c r="Z1234" i="12843"/>
  <c r="Z1274" i="12843"/>
  <c r="Y1160" i="12843"/>
  <c r="AA1171" i="12767"/>
  <c r="AA1141" i="12767"/>
  <c r="AA1157" i="12767" s="1"/>
  <c r="AA1268" i="12767"/>
  <c r="AA1228" i="12767"/>
  <c r="Z1171" i="12767"/>
  <c r="Z1141" i="12767"/>
  <c r="Z1157" i="12767" s="1"/>
  <c r="Z1228" i="12767"/>
  <c r="Z1268" i="12767"/>
  <c r="AA1234" i="12843"/>
  <c r="AA1144" i="12843"/>
  <c r="AA1175" i="12843"/>
  <c r="AA1274" i="12843"/>
  <c r="Y1200" i="12767"/>
  <c r="Y1212" i="12767"/>
  <c r="Y1205" i="12843" l="1"/>
  <c r="AA1160" i="12843"/>
  <c r="Z1212" i="12767"/>
  <c r="Z1200" i="12767"/>
  <c r="AA1212" i="12767"/>
  <c r="AA1200" i="12767"/>
  <c r="Z1160" i="12843"/>
  <c r="AA1205" i="12843"/>
  <c r="AA1218" i="12843"/>
  <c r="Z1218" i="12843"/>
  <c r="Z1205" i="12843"/>
  <c r="AA1106" i="12767"/>
  <c r="X891" i="12767" l="1"/>
  <c r="V800" i="12767"/>
  <c r="V747" i="12767"/>
  <c r="X588" i="12767"/>
  <c r="X587" i="12767"/>
  <c r="V583" i="12767"/>
  <c r="X583" i="12767" s="1"/>
  <c r="T891" i="12767"/>
  <c r="R853" i="12767"/>
  <c r="T853" i="12767" s="1"/>
  <c r="R800" i="12767"/>
  <c r="R747" i="12767"/>
  <c r="T588" i="12767"/>
  <c r="T587" i="12767"/>
  <c r="R583" i="12767"/>
  <c r="T583" i="12767" s="1"/>
  <c r="R576" i="12843"/>
  <c r="R575" i="12843"/>
  <c r="R157" i="12767"/>
  <c r="R142" i="12767"/>
  <c r="T126" i="12767"/>
  <c r="T125" i="12767"/>
  <c r="R127" i="12767"/>
  <c r="T127" i="12767" s="1"/>
  <c r="T111" i="12767"/>
  <c r="T110" i="12767"/>
  <c r="R114" i="12767"/>
  <c r="T114" i="12767" s="1"/>
  <c r="P891" i="12767"/>
  <c r="N853" i="12767"/>
  <c r="P853" i="12767" s="1"/>
  <c r="N800" i="12767"/>
  <c r="N747" i="12767"/>
  <c r="N849" i="12767"/>
  <c r="P588" i="12767"/>
  <c r="P587" i="12767"/>
  <c r="N583" i="12767"/>
  <c r="P583" i="12767" s="1"/>
  <c r="N576" i="12843"/>
  <c r="N575" i="12843"/>
  <c r="N198" i="12767"/>
  <c r="N199" i="12843" s="1"/>
  <c r="N157" i="12767"/>
  <c r="N142" i="12767"/>
  <c r="P126" i="12767"/>
  <c r="P125" i="12767"/>
  <c r="N127" i="12767"/>
  <c r="P127" i="12767" s="1"/>
  <c r="P111" i="12767"/>
  <c r="N114" i="12767"/>
  <c r="P114" i="12767" s="1"/>
  <c r="N550" i="12843" l="1"/>
  <c r="P550" i="12843" s="1"/>
  <c r="N480" i="12843"/>
  <c r="N409" i="12843"/>
  <c r="P409" i="12843" s="1"/>
  <c r="N339" i="12843"/>
  <c r="P339" i="12843" s="1"/>
  <c r="N270" i="12843"/>
  <c r="P270" i="12843" s="1"/>
  <c r="N236" i="12843"/>
  <c r="N515" i="12843"/>
  <c r="P515" i="12843" s="1"/>
  <c r="P480" i="12843" s="1"/>
  <c r="N444" i="12843"/>
  <c r="P444" i="12843" s="1"/>
  <c r="N305" i="12843"/>
  <c r="P305" i="12843" s="1"/>
  <c r="N374" i="12843"/>
  <c r="N765" i="12767"/>
  <c r="N818" i="12767" s="1"/>
  <c r="N796" i="12767"/>
  <c r="N1208" i="12767"/>
  <c r="N1213" i="12843" s="1"/>
  <c r="N43" i="12767"/>
  <c r="P43" i="12767" s="1"/>
  <c r="N1045" i="12767"/>
  <c r="V853" i="12767"/>
  <c r="X853" i="12767" s="1"/>
  <c r="P110" i="12767"/>
  <c r="N61" i="12767"/>
  <c r="P61" i="12767" s="1"/>
  <c r="N79" i="12767"/>
  <c r="P79" i="12767" s="1"/>
  <c r="N1027" i="12767"/>
  <c r="P374" i="12843" l="1"/>
  <c r="P236" i="12843"/>
  <c r="N871" i="12767"/>
  <c r="G1223" i="12767" l="1"/>
  <c r="G1196" i="12767"/>
  <c r="G1152" i="12767"/>
  <c r="G1101" i="12767"/>
  <c r="G1007" i="12767"/>
  <c r="G951" i="12767"/>
  <c r="C871" i="12767" l="1"/>
  <c r="G743" i="12767"/>
  <c r="G618" i="12767"/>
  <c r="G617" i="12767"/>
  <c r="C593" i="12767"/>
  <c r="C592" i="12767"/>
  <c r="C575" i="12767"/>
  <c r="C574" i="12767"/>
  <c r="C552" i="12767"/>
  <c r="C551" i="12767"/>
  <c r="C550" i="12767"/>
  <c r="C538" i="12767"/>
  <c r="C517" i="12767"/>
  <c r="C516" i="12767"/>
  <c r="C515" i="12767"/>
  <c r="C482" i="12767"/>
  <c r="C481" i="12767"/>
  <c r="C480" i="12767"/>
  <c r="C446" i="12767"/>
  <c r="C445" i="12767"/>
  <c r="C444" i="12767"/>
  <c r="C432" i="12767"/>
  <c r="C431" i="12767"/>
  <c r="C411" i="12767"/>
  <c r="C410" i="12767"/>
  <c r="C409" i="12767"/>
  <c r="C361" i="12767"/>
  <c r="C360" i="12767"/>
  <c r="G187" i="12767"/>
  <c r="G186" i="12767"/>
  <c r="G185" i="12767"/>
  <c r="P575" i="12767" l="1"/>
  <c r="T575" i="12767"/>
  <c r="P871" i="12767"/>
  <c r="T574" i="12767"/>
  <c r="P574" i="12767"/>
  <c r="G97" i="12767"/>
  <c r="G96" i="12767"/>
  <c r="C1258" i="12841" l="1"/>
  <c r="F1251" i="12841"/>
  <c r="F1250" i="12841"/>
  <c r="F1245" i="12841"/>
  <c r="P1240" i="12841"/>
  <c r="F1239" i="12841"/>
  <c r="C1238" i="12841"/>
  <c r="O1237" i="12841"/>
  <c r="C1236" i="12841"/>
  <c r="J1235" i="12841"/>
  <c r="L1235" i="12841" s="1"/>
  <c r="I1235" i="12841"/>
  <c r="F1235" i="12841"/>
  <c r="J1233" i="12841"/>
  <c r="N1233" i="12841" s="1"/>
  <c r="I1233" i="12841"/>
  <c r="F1233" i="12841"/>
  <c r="J1232" i="12841"/>
  <c r="C1232" i="12841"/>
  <c r="I1232" i="12841" s="1"/>
  <c r="J1231" i="12841"/>
  <c r="C1231" i="12841"/>
  <c r="I1231" i="12841" s="1"/>
  <c r="J1229" i="12841"/>
  <c r="L1229" i="12841" s="1"/>
  <c r="I1229" i="12841"/>
  <c r="F1229" i="12841"/>
  <c r="J1228" i="12841"/>
  <c r="N1228" i="12841" s="1"/>
  <c r="I1228" i="12841"/>
  <c r="F1228" i="12841"/>
  <c r="J1226" i="12841"/>
  <c r="L1226" i="12841" s="1"/>
  <c r="I1226" i="12841"/>
  <c r="F1226" i="12841"/>
  <c r="J1225" i="12841"/>
  <c r="L1225" i="12841" s="1"/>
  <c r="I1225" i="12841"/>
  <c r="F1225" i="12841"/>
  <c r="J1224" i="12841"/>
  <c r="L1224" i="12841" s="1"/>
  <c r="I1224" i="12841"/>
  <c r="F1224" i="12841"/>
  <c r="J1221" i="12841"/>
  <c r="N1221" i="12841" s="1"/>
  <c r="I1221" i="12841"/>
  <c r="F1221" i="12841"/>
  <c r="J1220" i="12841"/>
  <c r="L1220" i="12841" s="1"/>
  <c r="I1220" i="12841"/>
  <c r="F1220" i="12841"/>
  <c r="J1218" i="12841"/>
  <c r="I1218" i="12841"/>
  <c r="F1218" i="12841"/>
  <c r="J1217" i="12841"/>
  <c r="C1217" i="12841"/>
  <c r="I1217" i="12841" s="1"/>
  <c r="J1216" i="12841"/>
  <c r="C1216" i="12841"/>
  <c r="I1216" i="12841" s="1"/>
  <c r="J1213" i="12841"/>
  <c r="I1213" i="12841"/>
  <c r="F1213" i="12841"/>
  <c r="L1212" i="12841"/>
  <c r="J1212" i="12841"/>
  <c r="N1212" i="12841" s="1"/>
  <c r="I1212" i="12841"/>
  <c r="C1212" i="12841"/>
  <c r="F1212" i="12841" s="1"/>
  <c r="N1210" i="12841"/>
  <c r="J1210" i="12841"/>
  <c r="L1210" i="12841" s="1"/>
  <c r="I1210" i="12841"/>
  <c r="F1210" i="12841"/>
  <c r="J1209" i="12841"/>
  <c r="C1209" i="12841"/>
  <c r="I1209" i="12841" s="1"/>
  <c r="J1208" i="12841"/>
  <c r="C1208" i="12841"/>
  <c r="I1208" i="12841" s="1"/>
  <c r="P1202" i="12841"/>
  <c r="F1201" i="12841"/>
  <c r="C1201" i="12841"/>
  <c r="N1200" i="12841"/>
  <c r="G1199" i="12841"/>
  <c r="O1198" i="12841"/>
  <c r="N1197" i="12841"/>
  <c r="C1197" i="12841"/>
  <c r="N1195" i="12841"/>
  <c r="C1195" i="12841"/>
  <c r="N1194" i="12841"/>
  <c r="L1194" i="12841"/>
  <c r="F1194" i="12841"/>
  <c r="C1194" i="12841"/>
  <c r="I1194" i="12841" s="1"/>
  <c r="F1188" i="12841"/>
  <c r="C1185" i="12841"/>
  <c r="C1184" i="12841"/>
  <c r="J1183" i="12841"/>
  <c r="I1183" i="12841"/>
  <c r="F1183" i="12841"/>
  <c r="L1182" i="12841"/>
  <c r="F1176" i="12841"/>
  <c r="G1174" i="12841"/>
  <c r="C1172" i="12841"/>
  <c r="C1170" i="12841"/>
  <c r="T1168" i="12841"/>
  <c r="L1168" i="12841"/>
  <c r="J1168" i="12841"/>
  <c r="I1168" i="12841"/>
  <c r="F1168" i="12841"/>
  <c r="T1167" i="12841"/>
  <c r="J1167" i="12841"/>
  <c r="L1167" i="12841" s="1"/>
  <c r="I1167" i="12841"/>
  <c r="F1167" i="12841"/>
  <c r="T1166" i="12841"/>
  <c r="J1166" i="12841"/>
  <c r="L1166" i="12841" s="1"/>
  <c r="I1166" i="12841"/>
  <c r="F1166" i="12841"/>
  <c r="T1165" i="12841"/>
  <c r="J1165" i="12841"/>
  <c r="L1165" i="12841" s="1"/>
  <c r="I1165" i="12841"/>
  <c r="F1165" i="12841"/>
  <c r="T1164" i="12841"/>
  <c r="J1164" i="12841"/>
  <c r="L1164" i="12841" s="1"/>
  <c r="I1164" i="12841"/>
  <c r="F1164" i="12841"/>
  <c r="T1161" i="12841"/>
  <c r="J1161" i="12841"/>
  <c r="L1161" i="12841" s="1"/>
  <c r="F1161" i="12841"/>
  <c r="C1161" i="12841"/>
  <c r="I1161" i="12841" s="1"/>
  <c r="T1160" i="12841"/>
  <c r="J1160" i="12841"/>
  <c r="C1160" i="12841"/>
  <c r="F1160" i="12841" s="1"/>
  <c r="T1159" i="12841"/>
  <c r="J1159" i="12841"/>
  <c r="C1159" i="12841"/>
  <c r="I1159" i="12841" s="1"/>
  <c r="T1158" i="12841"/>
  <c r="J1158" i="12841"/>
  <c r="C1158" i="12841"/>
  <c r="I1158" i="12841" s="1"/>
  <c r="T1157" i="12841"/>
  <c r="J1157" i="12841"/>
  <c r="C1157" i="12841"/>
  <c r="I1157" i="12841" s="1"/>
  <c r="T1156" i="12841"/>
  <c r="J1156" i="12841"/>
  <c r="C1156" i="12841"/>
  <c r="F1156" i="12841" s="1"/>
  <c r="I1154" i="12841"/>
  <c r="F1154" i="12841"/>
  <c r="F1142" i="12841" s="1"/>
  <c r="L1142" i="12841" s="1"/>
  <c r="N1142" i="12841" s="1"/>
  <c r="P1149" i="12841"/>
  <c r="O1146" i="12841"/>
  <c r="C1145" i="12841"/>
  <c r="N1144" i="12841"/>
  <c r="N1143" i="12841"/>
  <c r="P1137" i="12841"/>
  <c r="F1136" i="12841"/>
  <c r="G1134" i="12841"/>
  <c r="O1133" i="12841"/>
  <c r="C1132" i="12841"/>
  <c r="J1131" i="12841"/>
  <c r="I1131" i="12841"/>
  <c r="F1131" i="12841"/>
  <c r="N1130" i="12841"/>
  <c r="L1130" i="12841"/>
  <c r="F1130" i="12841"/>
  <c r="F1135" i="12841" s="1"/>
  <c r="C1130" i="12841"/>
  <c r="I1130" i="12841" s="1"/>
  <c r="I1135" i="12841" s="1"/>
  <c r="I1129" i="12841"/>
  <c r="L1129" i="12841" s="1"/>
  <c r="P1124" i="12841"/>
  <c r="F1123" i="12841"/>
  <c r="C1122" i="12841"/>
  <c r="C1121" i="12841" s="1"/>
  <c r="O1121" i="12841"/>
  <c r="C1120" i="12841"/>
  <c r="J1119" i="12841"/>
  <c r="I1119" i="12841"/>
  <c r="F1119" i="12841"/>
  <c r="J1118" i="12841"/>
  <c r="N1118" i="12841" s="1"/>
  <c r="I1118" i="12841"/>
  <c r="F1118" i="12841"/>
  <c r="J1117" i="12841"/>
  <c r="L1117" i="12841" s="1"/>
  <c r="I1117" i="12841"/>
  <c r="F1117" i="12841"/>
  <c r="J1116" i="12841"/>
  <c r="N1116" i="12841" s="1"/>
  <c r="I1116" i="12841"/>
  <c r="F1116" i="12841"/>
  <c r="J1115" i="12841"/>
  <c r="L1115" i="12841" s="1"/>
  <c r="I1115" i="12841"/>
  <c r="F1115" i="12841"/>
  <c r="N1114" i="12841"/>
  <c r="J1114" i="12841"/>
  <c r="L1114" i="12841" s="1"/>
  <c r="I1114" i="12841"/>
  <c r="F1114" i="12841"/>
  <c r="J1113" i="12841"/>
  <c r="I1113" i="12841"/>
  <c r="F1113" i="12841"/>
  <c r="J1111" i="12841"/>
  <c r="C1111" i="12841"/>
  <c r="F1111" i="12841" s="1"/>
  <c r="J1110" i="12841"/>
  <c r="N1110" i="12841" s="1"/>
  <c r="C1110" i="12841"/>
  <c r="J1109" i="12841"/>
  <c r="N1109" i="12841" s="1"/>
  <c r="C1109" i="12841"/>
  <c r="N1108" i="12841"/>
  <c r="J1108" i="12841"/>
  <c r="L1108" i="12841" s="1"/>
  <c r="I1108" i="12841"/>
  <c r="F1108" i="12841"/>
  <c r="J1107" i="12841"/>
  <c r="L1107" i="12841" s="1"/>
  <c r="I1107" i="12841"/>
  <c r="F1107" i="12841"/>
  <c r="J1106" i="12841"/>
  <c r="N1106" i="12841" s="1"/>
  <c r="I1106" i="12841"/>
  <c r="C1106" i="12841"/>
  <c r="F1106" i="12841" s="1"/>
  <c r="J1105" i="12841"/>
  <c r="L1105" i="12841" s="1"/>
  <c r="I1105" i="12841"/>
  <c r="F1105" i="12841"/>
  <c r="J1104" i="12841"/>
  <c r="I1104" i="12841"/>
  <c r="F1104" i="12841"/>
  <c r="J1103" i="12841"/>
  <c r="C1103" i="12841"/>
  <c r="F1103" i="12841" s="1"/>
  <c r="J1102" i="12841"/>
  <c r="N1102" i="12841" s="1"/>
  <c r="N1122" i="12841" s="1"/>
  <c r="F1102" i="12841"/>
  <c r="C1102" i="12841"/>
  <c r="I1102" i="12841" s="1"/>
  <c r="Q1096" i="12841"/>
  <c r="J1087" i="12841" s="1"/>
  <c r="F1095" i="12841"/>
  <c r="G1093" i="12841"/>
  <c r="I1091" i="12841"/>
  <c r="F1091" i="12841"/>
  <c r="C1091" i="12841"/>
  <c r="C1090" i="12841"/>
  <c r="C1092" i="12841" s="1"/>
  <c r="C905" i="12841" s="1"/>
  <c r="C1088" i="12841"/>
  <c r="C1087" i="12841"/>
  <c r="F1087" i="12841" s="1"/>
  <c r="L1086" i="12841"/>
  <c r="I1086" i="12841"/>
  <c r="F1086" i="12841"/>
  <c r="C1085" i="12841"/>
  <c r="I1084" i="12841"/>
  <c r="F1084" i="12841"/>
  <c r="L1083" i="12841"/>
  <c r="I1083" i="12841"/>
  <c r="F1083" i="12841"/>
  <c r="F1076" i="12841"/>
  <c r="F926" i="12841" s="1"/>
  <c r="F907" i="12841" s="1"/>
  <c r="C1069" i="12841"/>
  <c r="C1066" i="12841"/>
  <c r="F1057" i="12841"/>
  <c r="C1057" i="12841"/>
  <c r="C1050" i="12841"/>
  <c r="C1047" i="12841"/>
  <c r="C1036" i="12841"/>
  <c r="I1036" i="12841" s="1"/>
  <c r="I1035" i="12841"/>
  <c r="C1035" i="12841"/>
  <c r="F1033" i="12841"/>
  <c r="C1033" i="12841"/>
  <c r="I1033" i="12841" s="1"/>
  <c r="I1032" i="12841"/>
  <c r="F1032" i="12841"/>
  <c r="I1031" i="12841"/>
  <c r="C1031" i="12841"/>
  <c r="F1031" i="12841" s="1"/>
  <c r="I1029" i="12841"/>
  <c r="F1029" i="12841"/>
  <c r="F1028" i="12841"/>
  <c r="C1028" i="12841"/>
  <c r="I1028" i="12841" s="1"/>
  <c r="I1018" i="12841"/>
  <c r="C1018" i="12841"/>
  <c r="I1017" i="12841"/>
  <c r="C1017" i="12841"/>
  <c r="C1015" i="12841"/>
  <c r="I1014" i="12841"/>
  <c r="F1014" i="12841"/>
  <c r="C1013" i="12841"/>
  <c r="I1011" i="12841"/>
  <c r="F1011" i="12841"/>
  <c r="C1010" i="12841"/>
  <c r="C1012" i="12841" s="1"/>
  <c r="G999" i="12841"/>
  <c r="I993" i="12841"/>
  <c r="C993" i="12841"/>
  <c r="F993" i="12841" s="1"/>
  <c r="C992" i="12841"/>
  <c r="C990" i="12841"/>
  <c r="I990" i="12841" s="1"/>
  <c r="C989" i="12841"/>
  <c r="I989" i="12841" s="1"/>
  <c r="F979" i="12841"/>
  <c r="C979" i="12841"/>
  <c r="I979" i="12841" s="1"/>
  <c r="C978" i="12841"/>
  <c r="C1072" i="12841" s="1"/>
  <c r="C976" i="12841"/>
  <c r="C1070" i="12841" s="1"/>
  <c r="I975" i="12841"/>
  <c r="F975" i="12841"/>
  <c r="F1069" i="12841" s="1"/>
  <c r="C974" i="12841"/>
  <c r="I974" i="12841" s="1"/>
  <c r="I972" i="12841"/>
  <c r="F972" i="12841"/>
  <c r="C971" i="12841"/>
  <c r="I971" i="12841" s="1"/>
  <c r="C961" i="12841"/>
  <c r="I961" i="12841" s="1"/>
  <c r="C960" i="12841"/>
  <c r="C962" i="12841" s="1"/>
  <c r="C958" i="12841"/>
  <c r="F958" i="12841" s="1"/>
  <c r="I957" i="12841"/>
  <c r="F957" i="12841"/>
  <c r="C956" i="12841"/>
  <c r="F956" i="12841" s="1"/>
  <c r="C955" i="12841"/>
  <c r="I954" i="12841"/>
  <c r="F954" i="12841"/>
  <c r="F1047" i="12841" s="1"/>
  <c r="I953" i="12841"/>
  <c r="F953" i="12841"/>
  <c r="G943" i="12841"/>
  <c r="C937" i="12841"/>
  <c r="I937" i="12841" s="1"/>
  <c r="C934" i="12841"/>
  <c r="F934" i="12841" s="1"/>
  <c r="C933" i="12841"/>
  <c r="Q927" i="12841"/>
  <c r="J992" i="12841" s="1"/>
  <c r="J1013" i="12841" s="1"/>
  <c r="C921" i="12841"/>
  <c r="E920" i="12841"/>
  <c r="D920" i="12841"/>
  <c r="Q908" i="12841"/>
  <c r="N904" i="12841"/>
  <c r="N903" i="12841"/>
  <c r="N901" i="12841"/>
  <c r="N900" i="12841"/>
  <c r="N899" i="12841"/>
  <c r="N897" i="12841"/>
  <c r="N896" i="12841"/>
  <c r="N906" i="12841" s="1"/>
  <c r="Q890" i="12841"/>
  <c r="P890" i="12841"/>
  <c r="F889" i="12841"/>
  <c r="C886" i="12841"/>
  <c r="I886" i="12841" s="1"/>
  <c r="C885" i="12841"/>
  <c r="I885" i="12841" s="1"/>
  <c r="F884" i="12841"/>
  <c r="C884" i="12841"/>
  <c r="I884" i="12841" s="1"/>
  <c r="N883" i="12841"/>
  <c r="L883" i="12841"/>
  <c r="I883" i="12841"/>
  <c r="F883" i="12841"/>
  <c r="I882" i="12841"/>
  <c r="F882" i="12841"/>
  <c r="C881" i="12841"/>
  <c r="C888" i="12841" s="1"/>
  <c r="C879" i="12841"/>
  <c r="F879" i="12841" s="1"/>
  <c r="I878" i="12841"/>
  <c r="F878" i="12841"/>
  <c r="C877" i="12841"/>
  <c r="I877" i="12841" s="1"/>
  <c r="J876" i="12841"/>
  <c r="C876" i="12841"/>
  <c r="I875" i="12841"/>
  <c r="F875" i="12841"/>
  <c r="I874" i="12841"/>
  <c r="F874" i="12841"/>
  <c r="F867" i="12841"/>
  <c r="C865" i="12841"/>
  <c r="I864" i="12841"/>
  <c r="F864" i="12841"/>
  <c r="I863" i="12841"/>
  <c r="F863" i="12841"/>
  <c r="I862" i="12841"/>
  <c r="F862" i="12841"/>
  <c r="I861" i="12841"/>
  <c r="F861" i="12841"/>
  <c r="I859" i="12841"/>
  <c r="F859" i="12841"/>
  <c r="I858" i="12841"/>
  <c r="F858" i="12841"/>
  <c r="I856" i="12841"/>
  <c r="F856" i="12841"/>
  <c r="I855" i="12841"/>
  <c r="F855" i="12841"/>
  <c r="I854" i="12841"/>
  <c r="F854" i="12841"/>
  <c r="I853" i="12841"/>
  <c r="F853" i="12841"/>
  <c r="I852" i="12841"/>
  <c r="F852" i="12841"/>
  <c r="I850" i="12841"/>
  <c r="F850" i="12841"/>
  <c r="I849" i="12841"/>
  <c r="F849" i="12841"/>
  <c r="I848" i="12841"/>
  <c r="F848" i="12841"/>
  <c r="I847" i="12841"/>
  <c r="F847" i="12841"/>
  <c r="I845" i="12841"/>
  <c r="F845" i="12841"/>
  <c r="C842" i="12841"/>
  <c r="F842" i="12841" s="1"/>
  <c r="C841" i="12841"/>
  <c r="F841" i="12841" s="1"/>
  <c r="F839" i="12841"/>
  <c r="C839" i="12841"/>
  <c r="I839" i="12841" s="1"/>
  <c r="I838" i="12841"/>
  <c r="C838" i="12841"/>
  <c r="F838" i="12841" s="1"/>
  <c r="C836" i="12841"/>
  <c r="F836" i="12841" s="1"/>
  <c r="C835" i="12841"/>
  <c r="I835" i="12841" s="1"/>
  <c r="I834" i="12841"/>
  <c r="F834" i="12841"/>
  <c r="C833" i="12841"/>
  <c r="F833" i="12841" s="1"/>
  <c r="F832" i="12841"/>
  <c r="C832" i="12841"/>
  <c r="I832" i="12841" s="1"/>
  <c r="C830" i="12841"/>
  <c r="C828" i="12841"/>
  <c r="C827" i="12841"/>
  <c r="I825" i="12841"/>
  <c r="F825" i="12841"/>
  <c r="C824" i="12841"/>
  <c r="J823" i="12841"/>
  <c r="C823" i="12841"/>
  <c r="C821" i="12841"/>
  <c r="F814" i="12841"/>
  <c r="F761" i="12841" s="1"/>
  <c r="C812" i="12841"/>
  <c r="I811" i="12841"/>
  <c r="I758" i="12841" s="1"/>
  <c r="F811" i="12841"/>
  <c r="I810" i="12841"/>
  <c r="I757" i="12841" s="1"/>
  <c r="F810" i="12841"/>
  <c r="F757" i="12841" s="1"/>
  <c r="I809" i="12841"/>
  <c r="I756" i="12841" s="1"/>
  <c r="F809" i="12841"/>
  <c r="I808" i="12841"/>
  <c r="F808" i="12841"/>
  <c r="I806" i="12841"/>
  <c r="I753" i="12841" s="1"/>
  <c r="F806" i="12841"/>
  <c r="I805" i="12841"/>
  <c r="I752" i="12841" s="1"/>
  <c r="F805" i="12841"/>
  <c r="F752" i="12841" s="1"/>
  <c r="I803" i="12841"/>
  <c r="I750" i="12841" s="1"/>
  <c r="F803" i="12841"/>
  <c r="I802" i="12841"/>
  <c r="I749" i="12841" s="1"/>
  <c r="F802" i="12841"/>
  <c r="I801" i="12841"/>
  <c r="I748" i="12841" s="1"/>
  <c r="F801" i="12841"/>
  <c r="I800" i="12841"/>
  <c r="I747" i="12841" s="1"/>
  <c r="F800" i="12841"/>
  <c r="F747" i="12841" s="1"/>
  <c r="I799" i="12841"/>
  <c r="F799" i="12841"/>
  <c r="F746" i="12841" s="1"/>
  <c r="I797" i="12841"/>
  <c r="F797" i="12841"/>
  <c r="I796" i="12841"/>
  <c r="I743" i="12841" s="1"/>
  <c r="F796" i="12841"/>
  <c r="I795" i="12841"/>
  <c r="I742" i="12841" s="1"/>
  <c r="F795" i="12841"/>
  <c r="F742" i="12841" s="1"/>
  <c r="I794" i="12841"/>
  <c r="I741" i="12841" s="1"/>
  <c r="F794" i="12841"/>
  <c r="I792" i="12841"/>
  <c r="I739" i="12841" s="1"/>
  <c r="F792" i="12841"/>
  <c r="C789" i="12841"/>
  <c r="I789" i="12841" s="1"/>
  <c r="C788" i="12841"/>
  <c r="C787" i="12841" s="1"/>
  <c r="C733" i="12841" s="1"/>
  <c r="C786" i="12841"/>
  <c r="I786" i="12841" s="1"/>
  <c r="C785" i="12841"/>
  <c r="I785" i="12841" s="1"/>
  <c r="I731" i="12841" s="1"/>
  <c r="C783" i="12841"/>
  <c r="F783" i="12841" s="1"/>
  <c r="C782" i="12841"/>
  <c r="I782" i="12841" s="1"/>
  <c r="I781" i="12841"/>
  <c r="F781" i="12841"/>
  <c r="C780" i="12841"/>
  <c r="F780" i="12841" s="1"/>
  <c r="C779" i="12841"/>
  <c r="I779" i="12841" s="1"/>
  <c r="C777" i="12841"/>
  <c r="F777" i="12841" s="1"/>
  <c r="C775" i="12841"/>
  <c r="C774" i="12841"/>
  <c r="I772" i="12841"/>
  <c r="F772" i="12841"/>
  <c r="C771" i="12841"/>
  <c r="I771" i="12841" s="1"/>
  <c r="J770" i="12841"/>
  <c r="F770" i="12841"/>
  <c r="C770" i="12841"/>
  <c r="I770" i="12841" s="1"/>
  <c r="C768" i="12841"/>
  <c r="Q762" i="12841"/>
  <c r="J735" i="12841" s="1"/>
  <c r="P762" i="12841"/>
  <c r="J758" i="12841"/>
  <c r="N758" i="12841" s="1"/>
  <c r="C758" i="12841"/>
  <c r="J757" i="12841"/>
  <c r="C757" i="12841"/>
  <c r="C756" i="12841"/>
  <c r="I755" i="12841"/>
  <c r="C755" i="12841"/>
  <c r="C753" i="12841"/>
  <c r="C752" i="12841"/>
  <c r="C750" i="12841"/>
  <c r="C749" i="12841"/>
  <c r="C748" i="12841"/>
  <c r="C747" i="12841"/>
  <c r="I746" i="12841"/>
  <c r="C746" i="12841"/>
  <c r="I744" i="12841"/>
  <c r="C744" i="12841"/>
  <c r="C743" i="12841"/>
  <c r="C742" i="12841"/>
  <c r="J741" i="12841"/>
  <c r="N741" i="12841" s="1"/>
  <c r="C741" i="12841"/>
  <c r="C739" i="12841"/>
  <c r="G737" i="12841"/>
  <c r="O736" i="12841"/>
  <c r="C735" i="12841"/>
  <c r="I727" i="12841"/>
  <c r="C727" i="12841"/>
  <c r="C720" i="12841"/>
  <c r="C718" i="12841"/>
  <c r="N716" i="12841"/>
  <c r="C716" i="12841"/>
  <c r="J714" i="12841"/>
  <c r="F707" i="12841"/>
  <c r="F702" i="12841"/>
  <c r="C702" i="12841"/>
  <c r="I702" i="12841" s="1"/>
  <c r="I701" i="12841"/>
  <c r="C701" i="12841"/>
  <c r="F701" i="12841" s="1"/>
  <c r="C699" i="12841"/>
  <c r="I698" i="12841"/>
  <c r="F698" i="12841"/>
  <c r="C698" i="12841"/>
  <c r="I697" i="12841"/>
  <c r="C697" i="12841"/>
  <c r="F697" i="12841" s="1"/>
  <c r="C696" i="12841"/>
  <c r="C695" i="12841"/>
  <c r="I695" i="12841" s="1"/>
  <c r="C694" i="12841"/>
  <c r="C693" i="12841"/>
  <c r="I692" i="12841"/>
  <c r="F692" i="12841"/>
  <c r="I688" i="12841"/>
  <c r="C688" i="12841"/>
  <c r="F688" i="12841" s="1"/>
  <c r="C686" i="12841"/>
  <c r="I686" i="12841" s="1"/>
  <c r="C684" i="12841"/>
  <c r="C683" i="12841"/>
  <c r="F683" i="12841" s="1"/>
  <c r="C681" i="12841"/>
  <c r="C680" i="12841"/>
  <c r="I680" i="12841" s="1"/>
  <c r="C678" i="12841"/>
  <c r="C677" i="12841"/>
  <c r="I677" i="12841" s="1"/>
  <c r="C676" i="12841"/>
  <c r="F669" i="12841"/>
  <c r="F631" i="12841" s="1"/>
  <c r="C669" i="12841"/>
  <c r="C665" i="12841"/>
  <c r="C664" i="12841"/>
  <c r="C663" i="12841"/>
  <c r="I663" i="12841" s="1"/>
  <c r="C661" i="12841"/>
  <c r="C666" i="12841" s="1"/>
  <c r="C660" i="12841"/>
  <c r="F660" i="12841" s="1"/>
  <c r="C659" i="12841"/>
  <c r="C658" i="12841"/>
  <c r="C620" i="12841" s="1"/>
  <c r="C657" i="12841"/>
  <c r="C656" i="12841"/>
  <c r="C655" i="12841"/>
  <c r="F655" i="12841" s="1"/>
  <c r="I654" i="12841"/>
  <c r="F654" i="12841"/>
  <c r="C650" i="12841"/>
  <c r="I650" i="12841" s="1"/>
  <c r="C648" i="12841"/>
  <c r="C646" i="12841"/>
  <c r="C645" i="12841"/>
  <c r="C605" i="12841" s="1"/>
  <c r="C643" i="12841"/>
  <c r="F643" i="12841" s="1"/>
  <c r="C642" i="12841"/>
  <c r="C602" i="12841" s="1"/>
  <c r="C640" i="12841"/>
  <c r="C639" i="12841"/>
  <c r="F639" i="12841" s="1"/>
  <c r="C638" i="12841"/>
  <c r="Q632" i="12841"/>
  <c r="J605" i="12841" s="1"/>
  <c r="J564" i="12841" s="1"/>
  <c r="L564" i="12841" s="1"/>
  <c r="P632" i="12841"/>
  <c r="J627" i="12841"/>
  <c r="J665" i="12841" s="1"/>
  <c r="J626" i="12841"/>
  <c r="J702" i="12841" s="1"/>
  <c r="L702" i="12841" s="1"/>
  <c r="C616" i="12841"/>
  <c r="G614" i="12841"/>
  <c r="G613" i="12841"/>
  <c r="O611" i="12841"/>
  <c r="C590" i="12841"/>
  <c r="C592" i="12841" s="1"/>
  <c r="C589" i="12841"/>
  <c r="C588" i="12841"/>
  <c r="I587" i="12841"/>
  <c r="F587" i="12841"/>
  <c r="L584" i="12841"/>
  <c r="I584" i="12841"/>
  <c r="F584" i="12841"/>
  <c r="L583" i="12841"/>
  <c r="I583" i="12841"/>
  <c r="F583" i="12841"/>
  <c r="I582" i="12841"/>
  <c r="F582" i="12841"/>
  <c r="I581" i="12841"/>
  <c r="F581" i="12841"/>
  <c r="I580" i="12841"/>
  <c r="F580" i="12841"/>
  <c r="J579" i="12841"/>
  <c r="L579" i="12841" s="1"/>
  <c r="I579" i="12841"/>
  <c r="F579" i="12841"/>
  <c r="I578" i="12841"/>
  <c r="F578" i="12841"/>
  <c r="I577" i="12841"/>
  <c r="F577" i="12841"/>
  <c r="I576" i="12841"/>
  <c r="F576" i="12841"/>
  <c r="I575" i="12841"/>
  <c r="F575" i="12841"/>
  <c r="I574" i="12841"/>
  <c r="F574" i="12841"/>
  <c r="I573" i="12841"/>
  <c r="F573" i="12841"/>
  <c r="C571" i="12841"/>
  <c r="C570" i="12841"/>
  <c r="J569" i="12841"/>
  <c r="L569" i="12841" s="1"/>
  <c r="I569" i="12841"/>
  <c r="F569" i="12841"/>
  <c r="I568" i="12841"/>
  <c r="F568" i="12841"/>
  <c r="I567" i="12841"/>
  <c r="F567" i="12841"/>
  <c r="I566" i="12841"/>
  <c r="F566" i="12841"/>
  <c r="I564" i="12841"/>
  <c r="F564" i="12841"/>
  <c r="I562" i="12841"/>
  <c r="F562" i="12841"/>
  <c r="I561" i="12841"/>
  <c r="F561" i="12841"/>
  <c r="C560" i="12841"/>
  <c r="I559" i="12841"/>
  <c r="F559" i="12841"/>
  <c r="I558" i="12841"/>
  <c r="F558" i="12841"/>
  <c r="I557" i="12841"/>
  <c r="F557" i="12841"/>
  <c r="F549" i="12841"/>
  <c r="C548" i="12841"/>
  <c r="C547" i="12841"/>
  <c r="C546" i="12841"/>
  <c r="C545" i="12841"/>
  <c r="I544" i="12841"/>
  <c r="F544" i="12841"/>
  <c r="I543" i="12841"/>
  <c r="F543" i="12841"/>
  <c r="I542" i="12841"/>
  <c r="F542" i="12841"/>
  <c r="I541" i="12841"/>
  <c r="F541" i="12841"/>
  <c r="I540" i="12841"/>
  <c r="F540" i="12841"/>
  <c r="I539" i="12841"/>
  <c r="F539" i="12841"/>
  <c r="I538" i="12841"/>
  <c r="F538" i="12841"/>
  <c r="I537" i="12841"/>
  <c r="F537" i="12841"/>
  <c r="I536" i="12841"/>
  <c r="F536" i="12841"/>
  <c r="I535" i="12841"/>
  <c r="F535" i="12841"/>
  <c r="C533" i="12841"/>
  <c r="C532" i="12841"/>
  <c r="C531" i="12841"/>
  <c r="I530" i="12841"/>
  <c r="F530" i="12841"/>
  <c r="I529" i="12841"/>
  <c r="F529" i="12841"/>
  <c r="I528" i="12841"/>
  <c r="F528" i="12841"/>
  <c r="I527" i="12841"/>
  <c r="F527" i="12841"/>
  <c r="I526" i="12841"/>
  <c r="F526" i="12841"/>
  <c r="C524" i="12841"/>
  <c r="I523" i="12841"/>
  <c r="F523" i="12841"/>
  <c r="I522" i="12841"/>
  <c r="F522" i="12841"/>
  <c r="I521" i="12841"/>
  <c r="F521" i="12841"/>
  <c r="F514" i="12841"/>
  <c r="C514" i="12841"/>
  <c r="C512" i="12841"/>
  <c r="C511" i="12841"/>
  <c r="C510" i="12841"/>
  <c r="I509" i="12841"/>
  <c r="I474" i="12841" s="1"/>
  <c r="F509" i="12841"/>
  <c r="I508" i="12841"/>
  <c r="F508" i="12841"/>
  <c r="I507" i="12841"/>
  <c r="F507" i="12841"/>
  <c r="I506" i="12841"/>
  <c r="F506" i="12841"/>
  <c r="I505" i="12841"/>
  <c r="I470" i="12841" s="1"/>
  <c r="F505" i="12841"/>
  <c r="I504" i="12841"/>
  <c r="F504" i="12841"/>
  <c r="I503" i="12841"/>
  <c r="I468" i="12841" s="1"/>
  <c r="F503" i="12841"/>
  <c r="I502" i="12841"/>
  <c r="F502" i="12841"/>
  <c r="I501" i="12841"/>
  <c r="I466" i="12841" s="1"/>
  <c r="F501" i="12841"/>
  <c r="I500" i="12841"/>
  <c r="F500" i="12841"/>
  <c r="C498" i="12841"/>
  <c r="C463" i="12841" s="1"/>
  <c r="I495" i="12841"/>
  <c r="F495" i="12841"/>
  <c r="I494" i="12841"/>
  <c r="I459" i="12841" s="1"/>
  <c r="F494" i="12841"/>
  <c r="I493" i="12841"/>
  <c r="C493" i="12841"/>
  <c r="C492" i="12841"/>
  <c r="C513" i="12841" s="1"/>
  <c r="I491" i="12841"/>
  <c r="F491" i="12841"/>
  <c r="F456" i="12841" s="1"/>
  <c r="C490" i="12841"/>
  <c r="C489" i="12841"/>
  <c r="C454" i="12841" s="1"/>
  <c r="I488" i="12841"/>
  <c r="F488" i="12841"/>
  <c r="I487" i="12841"/>
  <c r="F487" i="12841"/>
  <c r="F452" i="12841" s="1"/>
  <c r="F166" i="12841" s="1"/>
  <c r="I486" i="12841"/>
  <c r="F486" i="12841"/>
  <c r="C477" i="12841"/>
  <c r="C476" i="12841"/>
  <c r="C475" i="12841"/>
  <c r="I472" i="12841"/>
  <c r="C460" i="12841"/>
  <c r="C459" i="12841"/>
  <c r="C458" i="12841"/>
  <c r="C456" i="12841"/>
  <c r="C455" i="12841"/>
  <c r="C453" i="12841"/>
  <c r="C167" i="12841" s="1"/>
  <c r="C452" i="12841"/>
  <c r="C166" i="12841" s="1"/>
  <c r="C451" i="12841"/>
  <c r="F443" i="12841"/>
  <c r="C441" i="12841"/>
  <c r="C440" i="12841"/>
  <c r="C439" i="12841"/>
  <c r="I438" i="12841"/>
  <c r="F438" i="12841"/>
  <c r="I437" i="12841"/>
  <c r="F437" i="12841"/>
  <c r="I436" i="12841"/>
  <c r="F436" i="12841"/>
  <c r="I435" i="12841"/>
  <c r="F435" i="12841"/>
  <c r="I434" i="12841"/>
  <c r="F434" i="12841"/>
  <c r="I433" i="12841"/>
  <c r="F433" i="12841"/>
  <c r="I432" i="12841"/>
  <c r="F432" i="12841"/>
  <c r="I431" i="12841"/>
  <c r="F431" i="12841"/>
  <c r="I430" i="12841"/>
  <c r="F430" i="12841"/>
  <c r="I429" i="12841"/>
  <c r="F429" i="12841"/>
  <c r="C427" i="12841"/>
  <c r="C426" i="12841"/>
  <c r="I424" i="12841"/>
  <c r="F424" i="12841"/>
  <c r="I423" i="12841"/>
  <c r="F423" i="12841"/>
  <c r="I422" i="12841"/>
  <c r="F422" i="12841"/>
  <c r="C421" i="12841"/>
  <c r="I420" i="12841"/>
  <c r="F420" i="12841"/>
  <c r="C418" i="12841"/>
  <c r="I417" i="12841"/>
  <c r="F417" i="12841"/>
  <c r="I416" i="12841"/>
  <c r="F416" i="12841"/>
  <c r="I415" i="12841"/>
  <c r="F415" i="12841"/>
  <c r="F408" i="12841"/>
  <c r="C408" i="12841"/>
  <c r="C406" i="12841"/>
  <c r="C405" i="12841"/>
  <c r="C404" i="12841"/>
  <c r="I403" i="12841"/>
  <c r="F403" i="12841"/>
  <c r="I402" i="12841"/>
  <c r="F402" i="12841"/>
  <c r="F367" i="12841" s="1"/>
  <c r="I401" i="12841"/>
  <c r="F401" i="12841"/>
  <c r="I400" i="12841"/>
  <c r="F400" i="12841"/>
  <c r="I399" i="12841"/>
  <c r="F399" i="12841"/>
  <c r="I398" i="12841"/>
  <c r="F398" i="12841"/>
  <c r="F363" i="12841" s="1"/>
  <c r="I397" i="12841"/>
  <c r="F397" i="12841"/>
  <c r="I396" i="12841"/>
  <c r="F396" i="12841"/>
  <c r="F361" i="12841" s="1"/>
  <c r="I395" i="12841"/>
  <c r="F395" i="12841"/>
  <c r="I394" i="12841"/>
  <c r="F394" i="12841"/>
  <c r="F359" i="12841" s="1"/>
  <c r="I389" i="12841"/>
  <c r="F389" i="12841"/>
  <c r="C388" i="12841"/>
  <c r="C387" i="12841"/>
  <c r="C386" i="12841"/>
  <c r="I386" i="12841" s="1"/>
  <c r="I385" i="12841"/>
  <c r="F385" i="12841"/>
  <c r="F350" i="12841" s="1"/>
  <c r="C384" i="12841"/>
  <c r="C349" i="12841" s="1"/>
  <c r="I382" i="12841"/>
  <c r="F382" i="12841"/>
  <c r="I381" i="12841"/>
  <c r="F381" i="12841"/>
  <c r="C380" i="12841"/>
  <c r="I380" i="12841" s="1"/>
  <c r="I368" i="12841"/>
  <c r="I367" i="12841"/>
  <c r="I366" i="12841"/>
  <c r="I365" i="12841"/>
  <c r="F365" i="12841"/>
  <c r="I364" i="12841"/>
  <c r="I363" i="12841"/>
  <c r="I362" i="12841"/>
  <c r="I361" i="12841"/>
  <c r="I360" i="12841"/>
  <c r="I359" i="12841"/>
  <c r="C354" i="12841"/>
  <c r="I354" i="12841" s="1"/>
  <c r="C350" i="12841"/>
  <c r="I350" i="12841" s="1"/>
  <c r="C347" i="12841"/>
  <c r="I347" i="12841" s="1"/>
  <c r="C346" i="12841"/>
  <c r="I346" i="12841" s="1"/>
  <c r="F338" i="12841"/>
  <c r="C332" i="12841"/>
  <c r="I331" i="12841"/>
  <c r="F331" i="12841"/>
  <c r="C329" i="12841"/>
  <c r="C328" i="12841"/>
  <c r="I328" i="12841" s="1"/>
  <c r="C327" i="12841"/>
  <c r="I327" i="12841" s="1"/>
  <c r="C326" i="12841"/>
  <c r="C325" i="12841"/>
  <c r="F325" i="12841" s="1"/>
  <c r="I324" i="12841"/>
  <c r="F324" i="12841"/>
  <c r="C319" i="12841"/>
  <c r="I319" i="12841" s="1"/>
  <c r="C317" i="12841"/>
  <c r="C321" i="12841" s="1"/>
  <c r="C316" i="12841"/>
  <c r="I316" i="12841" s="1"/>
  <c r="C315" i="12841"/>
  <c r="I315" i="12841" s="1"/>
  <c r="C313" i="12841"/>
  <c r="I313" i="12841" s="1"/>
  <c r="C312" i="12841"/>
  <c r="C311" i="12841"/>
  <c r="I311" i="12841" s="1"/>
  <c r="F304" i="12841"/>
  <c r="C304" i="12841"/>
  <c r="C298" i="12841"/>
  <c r="C297" i="12841"/>
  <c r="I297" i="12841" s="1"/>
  <c r="C295" i="12841"/>
  <c r="C301" i="12841" s="1"/>
  <c r="C294" i="12841"/>
  <c r="F294" i="12841" s="1"/>
  <c r="C293" i="12841"/>
  <c r="I293" i="12841" s="1"/>
  <c r="C292" i="12841"/>
  <c r="C291" i="12841"/>
  <c r="F291" i="12841" s="1"/>
  <c r="C290" i="12841"/>
  <c r="F290" i="12841" s="1"/>
  <c r="C285" i="12841"/>
  <c r="F285" i="12841" s="1"/>
  <c r="C284" i="12841"/>
  <c r="C288" i="12841" s="1"/>
  <c r="C283" i="12841"/>
  <c r="C282" i="12841"/>
  <c r="F282" i="12841" s="1"/>
  <c r="C281" i="12841"/>
  <c r="F281" i="12841" s="1"/>
  <c r="C279" i="12841"/>
  <c r="F279" i="12841" s="1"/>
  <c r="C278" i="12841"/>
  <c r="I278" i="12841" s="1"/>
  <c r="C277" i="12841"/>
  <c r="F269" i="12841"/>
  <c r="C267" i="12841"/>
  <c r="C266" i="12841"/>
  <c r="I264" i="12841"/>
  <c r="F264" i="12841"/>
  <c r="I263" i="12841"/>
  <c r="F263" i="12841"/>
  <c r="I262" i="12841"/>
  <c r="F262" i="12841"/>
  <c r="I261" i="12841"/>
  <c r="F261" i="12841"/>
  <c r="I260" i="12841"/>
  <c r="F260" i="12841"/>
  <c r="C259" i="12841"/>
  <c r="I259" i="12841" s="1"/>
  <c r="C258" i="12841"/>
  <c r="I257" i="12841"/>
  <c r="F257" i="12841"/>
  <c r="C256" i="12841"/>
  <c r="I256" i="12841" s="1"/>
  <c r="I255" i="12841"/>
  <c r="F255" i="12841"/>
  <c r="C250" i="12841"/>
  <c r="I250" i="12841" s="1"/>
  <c r="C249" i="12841"/>
  <c r="F249" i="12841" s="1"/>
  <c r="C248" i="12841"/>
  <c r="I248" i="12841" s="1"/>
  <c r="C247" i="12841"/>
  <c r="C246" i="12841"/>
  <c r="I246" i="12841" s="1"/>
  <c r="C244" i="12841"/>
  <c r="F244" i="12841" s="1"/>
  <c r="C243" i="12841"/>
  <c r="F243" i="12841" s="1"/>
  <c r="C242" i="12841"/>
  <c r="I242" i="12841" s="1"/>
  <c r="Q201" i="12841"/>
  <c r="J169" i="12841" s="1"/>
  <c r="P201" i="12841"/>
  <c r="J195" i="12841"/>
  <c r="J544" i="12841" s="1"/>
  <c r="L544" i="12841" s="1"/>
  <c r="J194" i="12841"/>
  <c r="G184" i="12841"/>
  <c r="G183" i="12841"/>
  <c r="G182" i="12841"/>
  <c r="O179" i="12841"/>
  <c r="J171" i="12841"/>
  <c r="C165" i="12841"/>
  <c r="F158" i="12841"/>
  <c r="C155" i="12841"/>
  <c r="I154" i="12841"/>
  <c r="F154" i="12841"/>
  <c r="I153" i="12841"/>
  <c r="F153" i="12841"/>
  <c r="J152" i="12841"/>
  <c r="I152" i="12841"/>
  <c r="F152" i="12841"/>
  <c r="C151" i="12841"/>
  <c r="I150" i="12841"/>
  <c r="F150" i="12841"/>
  <c r="J149" i="12841"/>
  <c r="L149" i="12841" s="1"/>
  <c r="I149" i="12841"/>
  <c r="F149" i="12841"/>
  <c r="F143" i="12841"/>
  <c r="I139" i="12841"/>
  <c r="F139" i="12841"/>
  <c r="C138" i="12841"/>
  <c r="F138" i="12841" s="1"/>
  <c r="J137" i="12841"/>
  <c r="J139" i="12841" s="1"/>
  <c r="L139" i="12841" s="1"/>
  <c r="C137" i="12841"/>
  <c r="I137" i="12841" s="1"/>
  <c r="C135" i="12841"/>
  <c r="C140" i="12841" s="1"/>
  <c r="J134" i="12841"/>
  <c r="C134" i="12841"/>
  <c r="F128" i="12841"/>
  <c r="F124" i="12841"/>
  <c r="F123" i="12841"/>
  <c r="J122" i="12841"/>
  <c r="F122" i="12841"/>
  <c r="C120" i="12841"/>
  <c r="I120" i="12841" s="1"/>
  <c r="J119" i="12841"/>
  <c r="L119" i="12841" s="1"/>
  <c r="I119" i="12841"/>
  <c r="F119" i="12841"/>
  <c r="F113" i="12841"/>
  <c r="F109" i="12841"/>
  <c r="F108" i="12841"/>
  <c r="L107" i="12841"/>
  <c r="J107" i="12841"/>
  <c r="J109" i="12841" s="1"/>
  <c r="L109" i="12841" s="1"/>
  <c r="F107" i="12841"/>
  <c r="C105" i="12841"/>
  <c r="C110" i="12841" s="1"/>
  <c r="J104" i="12841"/>
  <c r="C104" i="12841"/>
  <c r="I104" i="12841" s="1"/>
  <c r="Q99" i="12841"/>
  <c r="P99" i="12841"/>
  <c r="G96" i="12841"/>
  <c r="G95" i="12841"/>
  <c r="O93" i="12841"/>
  <c r="J92" i="12841"/>
  <c r="C92" i="12841"/>
  <c r="J91" i="12841"/>
  <c r="J138" i="12841" s="1"/>
  <c r="L138" i="12841" s="1"/>
  <c r="Q90" i="12841"/>
  <c r="N90" i="12841"/>
  <c r="J89" i="12841"/>
  <c r="S88" i="12841"/>
  <c r="J88" i="12841"/>
  <c r="Q87" i="12841"/>
  <c r="N87" i="12841"/>
  <c r="N97" i="12841" s="1"/>
  <c r="F81" i="12841"/>
  <c r="C80" i="12841"/>
  <c r="C79" i="12841"/>
  <c r="C78" i="12841"/>
  <c r="C77" i="12841"/>
  <c r="F77" i="12841" s="1"/>
  <c r="C76" i="12841"/>
  <c r="C75" i="12841"/>
  <c r="C74" i="12841"/>
  <c r="F72" i="12841"/>
  <c r="C72" i="12841"/>
  <c r="I72" i="12841" s="1"/>
  <c r="C71" i="12841"/>
  <c r="F71" i="12841" s="1"/>
  <c r="C70" i="12841"/>
  <c r="I70" i="12841" s="1"/>
  <c r="F63" i="12841"/>
  <c r="F27" i="12841" s="1"/>
  <c r="C63" i="12841"/>
  <c r="C62" i="12841"/>
  <c r="C61" i="12841"/>
  <c r="C60" i="12841"/>
  <c r="C59" i="12841"/>
  <c r="I58" i="12841"/>
  <c r="C58" i="12841"/>
  <c r="F58" i="12841" s="1"/>
  <c r="C57" i="12841"/>
  <c r="I57" i="12841" s="1"/>
  <c r="C56" i="12841"/>
  <c r="C54" i="12841"/>
  <c r="F54" i="12841" s="1"/>
  <c r="C53" i="12841"/>
  <c r="I53" i="12841" s="1"/>
  <c r="C52" i="12841"/>
  <c r="F45" i="12841"/>
  <c r="C44" i="12841"/>
  <c r="C42" i="12841" s="1"/>
  <c r="C43" i="12841"/>
  <c r="C41" i="12841"/>
  <c r="I41" i="12841" s="1"/>
  <c r="C40" i="12841"/>
  <c r="F40" i="12841" s="1"/>
  <c r="F39" i="12841"/>
  <c r="C39" i="12841"/>
  <c r="I39" i="12841" s="1"/>
  <c r="I38" i="12841"/>
  <c r="C38" i="12841"/>
  <c r="F38" i="12841" s="1"/>
  <c r="I36" i="12841"/>
  <c r="F36" i="12841"/>
  <c r="C35" i="12841"/>
  <c r="I35" i="12841" s="1"/>
  <c r="I34" i="12841"/>
  <c r="C34" i="12841"/>
  <c r="F34" i="12841" s="1"/>
  <c r="Q28" i="12841"/>
  <c r="J22" i="12841" s="1"/>
  <c r="N22" i="12841" s="1"/>
  <c r="P28" i="12841"/>
  <c r="O24" i="12841"/>
  <c r="J23" i="12841"/>
  <c r="F53" i="12841" l="1"/>
  <c r="F104" i="12841"/>
  <c r="F347" i="12841"/>
  <c r="I655" i="12841"/>
  <c r="F686" i="12841"/>
  <c r="F695" i="12841"/>
  <c r="C725" i="12841"/>
  <c r="C729" i="12841"/>
  <c r="F771" i="12841"/>
  <c r="C721" i="12841"/>
  <c r="F726" i="12841"/>
  <c r="F782" i="12841"/>
  <c r="F728" i="12841" s="1"/>
  <c r="F718" i="12841"/>
  <c r="F885" i="12841"/>
  <c r="F937" i="12841"/>
  <c r="I956" i="12841"/>
  <c r="I958" i="12841"/>
  <c r="C1053" i="12841"/>
  <c r="C1020" i="12841"/>
  <c r="F1036" i="12841"/>
  <c r="F1073" i="12841" s="1"/>
  <c r="F1209" i="12841"/>
  <c r="F1217" i="12841"/>
  <c r="F1231" i="12841"/>
  <c r="F1232" i="12841"/>
  <c r="F35" i="12841"/>
  <c r="F17" i="12841" s="1"/>
  <c r="L104" i="12841"/>
  <c r="I90" i="12841"/>
  <c r="F250" i="12841"/>
  <c r="F466" i="12841"/>
  <c r="F468" i="12841"/>
  <c r="F470" i="12841"/>
  <c r="F472" i="12841"/>
  <c r="F474" i="12841"/>
  <c r="F616" i="12841"/>
  <c r="C717" i="12841"/>
  <c r="C726" i="12841"/>
  <c r="F729" i="12841"/>
  <c r="I725" i="12841"/>
  <c r="C1030" i="12841"/>
  <c r="I1156" i="12841"/>
  <c r="F1157" i="12841"/>
  <c r="F1158" i="12841"/>
  <c r="L1231" i="12841"/>
  <c r="F41" i="12841"/>
  <c r="F221" i="12841"/>
  <c r="I451" i="12841"/>
  <c r="I165" i="12841" s="1"/>
  <c r="I777" i="12841"/>
  <c r="I732" i="12841"/>
  <c r="C936" i="12841"/>
  <c r="F960" i="12841"/>
  <c r="F1137" i="12841"/>
  <c r="L1158" i="12841"/>
  <c r="L1217" i="12841"/>
  <c r="N1225" i="12841"/>
  <c r="N1226" i="12841"/>
  <c r="L1228" i="12841"/>
  <c r="N1229" i="12841"/>
  <c r="N1231" i="12841"/>
  <c r="L1233" i="12841"/>
  <c r="J599" i="12841"/>
  <c r="J677" i="12841" s="1"/>
  <c r="C610" i="12841"/>
  <c r="J1091" i="12841"/>
  <c r="L1091" i="12841" s="1"/>
  <c r="C622" i="12841"/>
  <c r="C228" i="12841"/>
  <c r="C193" i="12841" s="1"/>
  <c r="I244" i="12841"/>
  <c r="F76" i="12841"/>
  <c r="F22" i="12841" s="1"/>
  <c r="I76" i="12841"/>
  <c r="I22" i="12841" s="1"/>
  <c r="F659" i="12841"/>
  <c r="F621" i="12841" s="1"/>
  <c r="C621" i="12841"/>
  <c r="C679" i="12841"/>
  <c r="F676" i="12841"/>
  <c r="F598" i="12841" s="1"/>
  <c r="I681" i="12841"/>
  <c r="F681" i="12841"/>
  <c r="F134" i="12841"/>
  <c r="C87" i="12841"/>
  <c r="C383" i="12841"/>
  <c r="F360" i="12841"/>
  <c r="F364" i="12841"/>
  <c r="F368" i="12841"/>
  <c r="C442" i="12841"/>
  <c r="C425" i="12841"/>
  <c r="I639" i="12841"/>
  <c r="I20" i="12841"/>
  <c r="I40" i="12841"/>
  <c r="I44" i="12841" s="1"/>
  <c r="I74" i="12841"/>
  <c r="F74" i="12841"/>
  <c r="I77" i="12841"/>
  <c r="I332" i="12841"/>
  <c r="F332" i="12841"/>
  <c r="F492" i="12841"/>
  <c r="C496" i="12841"/>
  <c r="I492" i="12841"/>
  <c r="I457" i="12841" s="1"/>
  <c r="C457" i="12841"/>
  <c r="F678" i="12841"/>
  <c r="I678" i="12841"/>
  <c r="F684" i="12841"/>
  <c r="I684" i="12841"/>
  <c r="I56" i="12841"/>
  <c r="F56" i="12841"/>
  <c r="F20" i="12841" s="1"/>
  <c r="C20" i="12841"/>
  <c r="C156" i="12841"/>
  <c r="F151" i="12841"/>
  <c r="I258" i="12841"/>
  <c r="I224" i="12841" s="1"/>
  <c r="I189" i="12841" s="1"/>
  <c r="F258" i="12841"/>
  <c r="C390" i="12841"/>
  <c r="C355" i="12841" s="1"/>
  <c r="F386" i="12841"/>
  <c r="F362" i="12841"/>
  <c r="F366" i="12841"/>
  <c r="I75" i="12841"/>
  <c r="F75" i="12841"/>
  <c r="L152" i="12841"/>
  <c r="J154" i="12841"/>
  <c r="L154" i="12841" s="1"/>
  <c r="I92" i="12841"/>
  <c r="F373" i="12841"/>
  <c r="C497" i="12841"/>
  <c r="F493" i="12841"/>
  <c r="F458" i="12841" s="1"/>
  <c r="F638" i="12841"/>
  <c r="I638" i="12841"/>
  <c r="C598" i="12841"/>
  <c r="I699" i="12841"/>
  <c r="F699" i="12841"/>
  <c r="C704" i="12841"/>
  <c r="C700" i="12841"/>
  <c r="I700" i="12841" s="1"/>
  <c r="I599" i="12841"/>
  <c r="F741" i="12841"/>
  <c r="F743" i="12841"/>
  <c r="F748" i="12841"/>
  <c r="F753" i="12841"/>
  <c r="F756" i="12841"/>
  <c r="F758" i="12841"/>
  <c r="I1010" i="12841"/>
  <c r="I1046" i="12841" s="1"/>
  <c r="I915" i="12841" s="1"/>
  <c r="I896" i="12841" s="1"/>
  <c r="C996" i="12841"/>
  <c r="I996" i="12841" s="1"/>
  <c r="I1087" i="12841"/>
  <c r="N1105" i="12841"/>
  <c r="L1159" i="12841"/>
  <c r="L1144" i="12841" s="1"/>
  <c r="I1160" i="12841"/>
  <c r="L1208" i="12841"/>
  <c r="C25" i="12841"/>
  <c r="C64" i="12841"/>
  <c r="I513" i="12841"/>
  <c r="I453" i="12841"/>
  <c r="I167" i="12841" s="1"/>
  <c r="F460" i="12841"/>
  <c r="I625" i="12841"/>
  <c r="F677" i="12841"/>
  <c r="F599" i="12841" s="1"/>
  <c r="F680" i="12841"/>
  <c r="I683" i="12841"/>
  <c r="C728" i="12841"/>
  <c r="I783" i="12841"/>
  <c r="I729" i="12841" s="1"/>
  <c r="I833" i="12841"/>
  <c r="F835" i="12841"/>
  <c r="I842" i="12841"/>
  <c r="I735" i="12841" s="1"/>
  <c r="F886" i="12841"/>
  <c r="C938" i="12841"/>
  <c r="F976" i="12841"/>
  <c r="F1017" i="12841"/>
  <c r="F1053" i="12841" s="1"/>
  <c r="C1019" i="12841"/>
  <c r="C1055" i="12841" s="1"/>
  <c r="F1035" i="12841"/>
  <c r="C1038" i="12841"/>
  <c r="I1111" i="12841"/>
  <c r="C1135" i="12841"/>
  <c r="C1133" i="12841" s="1"/>
  <c r="L1160" i="12841"/>
  <c r="F1216" i="12841"/>
  <c r="C1046" i="12841"/>
  <c r="I1238" i="12841"/>
  <c r="L134" i="12841"/>
  <c r="F98" i="12841"/>
  <c r="F91" i="12841"/>
  <c r="F235" i="12841"/>
  <c r="F200" i="12841" s="1"/>
  <c r="I452" i="12841"/>
  <c r="I166" i="12841" s="1"/>
  <c r="F451" i="12841"/>
  <c r="F165" i="12841" s="1"/>
  <c r="I456" i="12841"/>
  <c r="I458" i="12841"/>
  <c r="F479" i="12841"/>
  <c r="C600" i="12841"/>
  <c r="I616" i="12841"/>
  <c r="F622" i="12841"/>
  <c r="I836" i="12841"/>
  <c r="F877" i="12841"/>
  <c r="I879" i="12841"/>
  <c r="L1013" i="12841"/>
  <c r="C1048" i="12841"/>
  <c r="C963" i="12841"/>
  <c r="F1010" i="12841"/>
  <c r="C916" i="12841"/>
  <c r="C897" i="12841" s="1"/>
  <c r="C1073" i="12841"/>
  <c r="I1103" i="12841"/>
  <c r="L1109" i="12841"/>
  <c r="L1110" i="12841"/>
  <c r="L1156" i="12841"/>
  <c r="L1157" i="12841"/>
  <c r="F1159" i="12841"/>
  <c r="F1144" i="12841" s="1"/>
  <c r="F1148" i="12841"/>
  <c r="F1208" i="12841"/>
  <c r="C603" i="12841"/>
  <c r="I643" i="12841"/>
  <c r="I291" i="12841"/>
  <c r="I135" i="12841"/>
  <c r="J725" i="12841"/>
  <c r="J746" i="12841" s="1"/>
  <c r="N746" i="12841" s="1"/>
  <c r="J1088" i="12841"/>
  <c r="Q1088" i="12841" s="1"/>
  <c r="C224" i="12841"/>
  <c r="C189" i="12841" s="1"/>
  <c r="I279" i="12841"/>
  <c r="I210" i="12841" s="1"/>
  <c r="I171" i="12841" s="1"/>
  <c r="F293" i="12841"/>
  <c r="F297" i="12841"/>
  <c r="F228" i="12841" s="1"/>
  <c r="F327" i="12841"/>
  <c r="C625" i="12841"/>
  <c r="I640" i="12841"/>
  <c r="F663" i="12841"/>
  <c r="F625" i="12841" s="1"/>
  <c r="J1084" i="12841"/>
  <c r="Q1084" i="12841" s="1"/>
  <c r="J311" i="12841"/>
  <c r="L311" i="12841" s="1"/>
  <c r="J242" i="12841"/>
  <c r="J255" i="12841" s="1"/>
  <c r="L255" i="12841" s="1"/>
  <c r="I295" i="12841"/>
  <c r="C223" i="12841"/>
  <c r="C188" i="12841" s="1"/>
  <c r="J718" i="12841"/>
  <c r="J825" i="12841" s="1"/>
  <c r="J849" i="12841" s="1"/>
  <c r="L849" i="12841" s="1"/>
  <c r="F135" i="12841"/>
  <c r="C210" i="12841"/>
  <c r="C171" i="12841" s="1"/>
  <c r="C226" i="12841"/>
  <c r="C191" i="12841" s="1"/>
  <c r="J602" i="12841"/>
  <c r="J680" i="12841" s="1"/>
  <c r="F640" i="12841"/>
  <c r="F600" i="12841" s="1"/>
  <c r="I660" i="12841"/>
  <c r="I622" i="12841" s="1"/>
  <c r="J717" i="12841"/>
  <c r="J824" i="12841" s="1"/>
  <c r="J934" i="12841"/>
  <c r="J954" i="12841" s="1"/>
  <c r="J875" i="12841" s="1"/>
  <c r="L875" i="12841" s="1"/>
  <c r="J938" i="12841"/>
  <c r="L938" i="12841" s="1"/>
  <c r="J18" i="12841"/>
  <c r="J36" i="12841" s="1"/>
  <c r="L36" i="12841" s="1"/>
  <c r="C252" i="12841"/>
  <c r="F295" i="12841"/>
  <c r="J723" i="12841"/>
  <c r="J744" i="12841" s="1"/>
  <c r="N744" i="12841" s="1"/>
  <c r="C245" i="12841"/>
  <c r="I249" i="12841"/>
  <c r="I285" i="12841"/>
  <c r="I216" i="12841" s="1"/>
  <c r="N626" i="12841"/>
  <c r="C734" i="12841"/>
  <c r="J990" i="12841"/>
  <c r="J1011" i="12841" s="1"/>
  <c r="L1011" i="12841" s="1"/>
  <c r="I105" i="12841"/>
  <c r="I88" i="12841" s="1"/>
  <c r="F120" i="12841"/>
  <c r="C136" i="12841"/>
  <c r="C142" i="12841" s="1"/>
  <c r="C216" i="12841"/>
  <c r="C178" i="12841" s="1"/>
  <c r="C225" i="12841"/>
  <c r="C190" i="12841" s="1"/>
  <c r="F248" i="12841"/>
  <c r="F278" i="12841"/>
  <c r="F284" i="12841"/>
  <c r="I294" i="12841"/>
  <c r="I225" i="12841" s="1"/>
  <c r="C296" i="12841"/>
  <c r="F296" i="12841" s="1"/>
  <c r="J299" i="12841"/>
  <c r="F313" i="12841"/>
  <c r="F210" i="12841" s="1"/>
  <c r="F171" i="12841" s="1"/>
  <c r="I317" i="12841"/>
  <c r="C320" i="12841"/>
  <c r="I326" i="12841"/>
  <c r="C333" i="12841"/>
  <c r="I333" i="12841" s="1"/>
  <c r="C623" i="12841"/>
  <c r="F650" i="12841"/>
  <c r="F610" i="12841" s="1"/>
  <c r="I659" i="12841"/>
  <c r="I621" i="12841" s="1"/>
  <c r="C662" i="12841"/>
  <c r="J937" i="12841"/>
  <c r="J957" i="12841" s="1"/>
  <c r="J993" i="12841"/>
  <c r="J1014" i="12841" s="1"/>
  <c r="L1014" i="12841" s="1"/>
  <c r="N195" i="12841"/>
  <c r="C212" i="12841"/>
  <c r="C174" i="12841" s="1"/>
  <c r="J230" i="12841"/>
  <c r="C253" i="12841"/>
  <c r="F315" i="12841"/>
  <c r="F212" i="12841" s="1"/>
  <c r="F174" i="12841" s="1"/>
  <c r="F317" i="12841"/>
  <c r="F319" i="12841"/>
  <c r="F216" i="12841" s="1"/>
  <c r="F326" i="12841"/>
  <c r="I329" i="12841"/>
  <c r="F603" i="12841"/>
  <c r="I788" i="12841"/>
  <c r="J16" i="12841"/>
  <c r="N16" i="12841" s="1"/>
  <c r="N26" i="12841" s="1"/>
  <c r="J21" i="12841"/>
  <c r="J75" i="12841" s="1"/>
  <c r="L75" i="12841" s="1"/>
  <c r="C88" i="12841"/>
  <c r="C93" i="12841" s="1"/>
  <c r="C125" i="12841"/>
  <c r="F242" i="12841"/>
  <c r="F246" i="12841"/>
  <c r="I284" i="12841"/>
  <c r="C300" i="12841"/>
  <c r="F311" i="12841"/>
  <c r="C318" i="12841"/>
  <c r="C337" i="12841" s="1"/>
  <c r="I325" i="12841"/>
  <c r="F328" i="12841"/>
  <c r="F225" i="12841" s="1"/>
  <c r="C334" i="12841"/>
  <c r="J600" i="12841"/>
  <c r="J678" i="12841" s="1"/>
  <c r="J603" i="12841"/>
  <c r="J643" i="12841" s="1"/>
  <c r="J936" i="12841"/>
  <c r="Q936" i="12841" s="1"/>
  <c r="J989" i="12841"/>
  <c r="J1028" i="12841" s="1"/>
  <c r="L1028" i="12841" s="1"/>
  <c r="J1121" i="12841"/>
  <c r="L1121" i="12841" s="1"/>
  <c r="F465" i="12841"/>
  <c r="F186" i="12841" s="1"/>
  <c r="F469" i="12841"/>
  <c r="F473" i="12841"/>
  <c r="J642" i="12841"/>
  <c r="L642" i="12841" s="1"/>
  <c r="J151" i="12841"/>
  <c r="L151" i="12841" s="1"/>
  <c r="J106" i="12841"/>
  <c r="J123" i="12841"/>
  <c r="L123" i="12841" s="1"/>
  <c r="Q91" i="12841"/>
  <c r="J108" i="12841"/>
  <c r="L108" i="12841" s="1"/>
  <c r="L137" i="12841"/>
  <c r="J153" i="12841"/>
  <c r="L153" i="12841" s="1"/>
  <c r="F222" i="12841"/>
  <c r="F187" i="12841" s="1"/>
  <c r="F457" i="12841"/>
  <c r="I460" i="12841"/>
  <c r="I465" i="12841"/>
  <c r="I467" i="12841"/>
  <c r="I469" i="12841"/>
  <c r="I471" i="12841"/>
  <c r="I473" i="12841"/>
  <c r="F990" i="12841"/>
  <c r="Q992" i="12841"/>
  <c r="F1066" i="12841"/>
  <c r="L1102" i="12841"/>
  <c r="N1119" i="12841"/>
  <c r="L1119" i="12841"/>
  <c r="F18" i="12841"/>
  <c r="I21" i="12841"/>
  <c r="N91" i="12841"/>
  <c r="J121" i="12841"/>
  <c r="F92" i="12841"/>
  <c r="F354" i="12841"/>
  <c r="C461" i="12841"/>
  <c r="I728" i="12841"/>
  <c r="F989" i="12841"/>
  <c r="F1046" i="12841"/>
  <c r="I1066" i="12841"/>
  <c r="N1115" i="12841"/>
  <c r="L1116" i="12841"/>
  <c r="N1117" i="12841"/>
  <c r="L1118" i="12841"/>
  <c r="N1218" i="12841"/>
  <c r="L1218" i="12841"/>
  <c r="F459" i="12841"/>
  <c r="I610" i="12841"/>
  <c r="I718" i="12841"/>
  <c r="F727" i="12841"/>
  <c r="F744" i="12841"/>
  <c r="F749" i="12841"/>
  <c r="F755" i="12841"/>
  <c r="C759" i="12841"/>
  <c r="I1050" i="12841"/>
  <c r="I1054" i="12841"/>
  <c r="C991" i="12841"/>
  <c r="I1069" i="12841"/>
  <c r="C919" i="12841"/>
  <c r="C900" i="12841" s="1"/>
  <c r="C157" i="12841"/>
  <c r="F346" i="12841"/>
  <c r="C462" i="12841"/>
  <c r="C478" i="12841"/>
  <c r="C515" i="12841"/>
  <c r="I590" i="12841"/>
  <c r="I592" i="12841" s="1"/>
  <c r="J578" i="12841"/>
  <c r="J585" i="12841" s="1"/>
  <c r="L585" i="12841" s="1"/>
  <c r="I934" i="12841"/>
  <c r="F1070" i="12841"/>
  <c r="I1047" i="12841"/>
  <c r="C922" i="12841"/>
  <c r="C903" i="12841" s="1"/>
  <c r="N1208" i="12841"/>
  <c r="N1238" i="12841" s="1"/>
  <c r="N1220" i="12841"/>
  <c r="L1221" i="12841"/>
  <c r="N1224" i="12841"/>
  <c r="J59" i="12841"/>
  <c r="L59" i="12841" s="1"/>
  <c r="J77" i="12841"/>
  <c r="L77" i="12841" s="1"/>
  <c r="N23" i="12841"/>
  <c r="F44" i="12841"/>
  <c r="F52" i="12841"/>
  <c r="C16" i="12841"/>
  <c r="Q92" i="12841"/>
  <c r="N92" i="12841"/>
  <c r="F298" i="12841"/>
  <c r="F229" i="12841" s="1"/>
  <c r="C229" i="12841"/>
  <c r="C194" i="12841" s="1"/>
  <c r="I298" i="12841"/>
  <c r="I229" i="12841" s="1"/>
  <c r="I194" i="12841" s="1"/>
  <c r="J40" i="12841"/>
  <c r="L40" i="12841" s="1"/>
  <c r="J76" i="12841"/>
  <c r="L76" i="12841" s="1"/>
  <c r="J58" i="12841"/>
  <c r="L58" i="12841" s="1"/>
  <c r="C24" i="12841"/>
  <c r="J24" i="12841" s="1"/>
  <c r="I59" i="12841"/>
  <c r="I23" i="12841" s="1"/>
  <c r="C23" i="12841"/>
  <c r="J150" i="12841"/>
  <c r="L150" i="12841" s="1"/>
  <c r="J105" i="12841"/>
  <c r="L105" i="12841" s="1"/>
  <c r="N88" i="12841"/>
  <c r="J120" i="12841"/>
  <c r="L120" i="12841" s="1"/>
  <c r="J135" i="12841"/>
  <c r="L135" i="12841" s="1"/>
  <c r="J382" i="12841"/>
  <c r="J279" i="12841"/>
  <c r="J210" i="12841"/>
  <c r="J223" i="12841" s="1"/>
  <c r="Q171" i="12841"/>
  <c r="J167" i="12841"/>
  <c r="J417" i="12841"/>
  <c r="J313" i="12841"/>
  <c r="J347" i="12841"/>
  <c r="J361" i="12841" s="1"/>
  <c r="J244" i="12841"/>
  <c r="J188" i="12841"/>
  <c r="N188" i="12841" s="1"/>
  <c r="N171" i="12841"/>
  <c r="J473" i="12841"/>
  <c r="J508" i="12841"/>
  <c r="L508" i="12841" s="1"/>
  <c r="J332" i="12841"/>
  <c r="L332" i="12841" s="1"/>
  <c r="J543" i="12841"/>
  <c r="L543" i="12841" s="1"/>
  <c r="J437" i="12841"/>
  <c r="L437" i="12841" s="1"/>
  <c r="J402" i="12841"/>
  <c r="L402" i="12841" s="1"/>
  <c r="J367" i="12841"/>
  <c r="J298" i="12841"/>
  <c r="L298" i="12841" s="1"/>
  <c r="J263" i="12841"/>
  <c r="L263" i="12841" s="1"/>
  <c r="J229" i="12841"/>
  <c r="N194" i="12841"/>
  <c r="I388" i="12841"/>
  <c r="C353" i="12841"/>
  <c r="I353" i="12841" s="1"/>
  <c r="F388" i="12841"/>
  <c r="F353" i="12841" s="1"/>
  <c r="C392" i="12841"/>
  <c r="C357" i="12841" s="1"/>
  <c r="C17" i="12841"/>
  <c r="C22" i="12841"/>
  <c r="J41" i="12841"/>
  <c r="L41" i="12841" s="1"/>
  <c r="F59" i="12841"/>
  <c r="F23" i="12841" s="1"/>
  <c r="F70" i="12841"/>
  <c r="F80" i="12841" s="1"/>
  <c r="F82" i="12841" s="1"/>
  <c r="L91" i="12841"/>
  <c r="L122" i="12841"/>
  <c r="J124" i="12841"/>
  <c r="L124" i="12841" s="1"/>
  <c r="F247" i="12841"/>
  <c r="C268" i="12841"/>
  <c r="C251" i="12841"/>
  <c r="I247" i="12841"/>
  <c r="F283" i="12841"/>
  <c r="I283" i="12841"/>
  <c r="C287" i="12841"/>
  <c r="C214" i="12841"/>
  <c r="I646" i="12841"/>
  <c r="I606" i="12841" s="1"/>
  <c r="F646" i="12841"/>
  <c r="F606" i="12841" s="1"/>
  <c r="C606" i="12841"/>
  <c r="F664" i="12841"/>
  <c r="F626" i="12841" s="1"/>
  <c r="C626" i="12841"/>
  <c r="I664" i="12841"/>
  <c r="I626" i="12841" s="1"/>
  <c r="F548" i="12841"/>
  <c r="F550" i="12841" s="1"/>
  <c r="I693" i="12841"/>
  <c r="F693" i="12841"/>
  <c r="F617" i="12841" s="1"/>
  <c r="C617" i="12841"/>
  <c r="I52" i="12841"/>
  <c r="C18" i="12841"/>
  <c r="I54" i="12841"/>
  <c r="I18" i="12841" s="1"/>
  <c r="F57" i="12841"/>
  <c r="F21" i="12841" s="1"/>
  <c r="C21" i="12841"/>
  <c r="I71" i="12841"/>
  <c r="I17" i="12841" s="1"/>
  <c r="S89" i="12841"/>
  <c r="C209" i="12841"/>
  <c r="C170" i="12841" s="1"/>
  <c r="F312" i="12841"/>
  <c r="I312" i="12841"/>
  <c r="C314" i="12841"/>
  <c r="C407" i="12841"/>
  <c r="J821" i="12841"/>
  <c r="N714" i="12841"/>
  <c r="N760" i="12841" s="1"/>
  <c r="J739" i="12841"/>
  <c r="N739" i="12841" s="1"/>
  <c r="J768" i="12841"/>
  <c r="L87" i="12841"/>
  <c r="J186" i="12841"/>
  <c r="N186" i="12841" s="1"/>
  <c r="J178" i="12841"/>
  <c r="J174" i="12841"/>
  <c r="J170" i="12841"/>
  <c r="F277" i="12841"/>
  <c r="C280" i="12841"/>
  <c r="C303" i="12841"/>
  <c r="F292" i="12841"/>
  <c r="C299" i="12841"/>
  <c r="I228" i="12841"/>
  <c r="I193" i="12841" s="1"/>
  <c r="C649" i="12841"/>
  <c r="F648" i="12841"/>
  <c r="F608" i="12841" s="1"/>
  <c r="I648" i="12841"/>
  <c r="I608" i="12841" s="1"/>
  <c r="C651" i="12841"/>
  <c r="C608" i="12841"/>
  <c r="I665" i="12841"/>
  <c r="F665" i="12841"/>
  <c r="F694" i="12841"/>
  <c r="I694" i="12841"/>
  <c r="F87" i="12841"/>
  <c r="C90" i="12841"/>
  <c r="F137" i="12841"/>
  <c r="F90" i="12841" s="1"/>
  <c r="I138" i="12841"/>
  <c r="I91" i="12841" s="1"/>
  <c r="N169" i="12841"/>
  <c r="C208" i="12841"/>
  <c r="J17" i="12841"/>
  <c r="J20" i="12841"/>
  <c r="C26" i="12841"/>
  <c r="C91" i="12841"/>
  <c r="F105" i="12841"/>
  <c r="C121" i="12841"/>
  <c r="J474" i="12841"/>
  <c r="J509" i="12841"/>
  <c r="L509" i="12841" s="1"/>
  <c r="L474" i="12841" s="1"/>
  <c r="J438" i="12841"/>
  <c r="L438" i="12841" s="1"/>
  <c r="J403" i="12841"/>
  <c r="L403" i="12841" s="1"/>
  <c r="J368" i="12841"/>
  <c r="J264" i="12841"/>
  <c r="L264" i="12841" s="1"/>
  <c r="J333" i="12841"/>
  <c r="C221" i="12841"/>
  <c r="C186" i="12841" s="1"/>
  <c r="C265" i="12841"/>
  <c r="F259" i="12841"/>
  <c r="C254" i="12841"/>
  <c r="I281" i="12841"/>
  <c r="I212" i="12841" s="1"/>
  <c r="I290" i="12841"/>
  <c r="I221" i="12841" s="1"/>
  <c r="I186" i="12841" s="1"/>
  <c r="C213" i="12841"/>
  <c r="F316" i="12841"/>
  <c r="F213" i="12841" s="1"/>
  <c r="C345" i="12841"/>
  <c r="F380" i="12841"/>
  <c r="I387" i="12841"/>
  <c r="I421" i="12841"/>
  <c r="I442" i="12841" s="1"/>
  <c r="F421" i="12841"/>
  <c r="F351" i="12841" s="1"/>
  <c r="C351" i="12841"/>
  <c r="I351" i="12841" s="1"/>
  <c r="F590" i="12841"/>
  <c r="F592" i="12841" s="1"/>
  <c r="J582" i="12841"/>
  <c r="L582" i="12841" s="1"/>
  <c r="F645" i="12841"/>
  <c r="F605" i="12841" s="1"/>
  <c r="I645" i="12841"/>
  <c r="I605" i="12841" s="1"/>
  <c r="F658" i="12841"/>
  <c r="I658" i="12841"/>
  <c r="C628" i="12841"/>
  <c r="Q735" i="12841"/>
  <c r="J842" i="12841"/>
  <c r="J789" i="12841"/>
  <c r="J756" i="12841"/>
  <c r="N756" i="12841" s="1"/>
  <c r="N735" i="12841"/>
  <c r="F768" i="12841"/>
  <c r="C714" i="12841"/>
  <c r="C773" i="12841"/>
  <c r="I768" i="12841"/>
  <c r="C1200" i="12841"/>
  <c r="L1197" i="12841"/>
  <c r="F1197" i="12841"/>
  <c r="I1197" i="12841"/>
  <c r="L1232" i="12841"/>
  <c r="N1232" i="12841"/>
  <c r="J380" i="12841"/>
  <c r="J415" i="12841"/>
  <c r="J345" i="12841"/>
  <c r="J359" i="12841" s="1"/>
  <c r="J277" i="12841"/>
  <c r="J208" i="12841"/>
  <c r="J221" i="12841" s="1"/>
  <c r="Q169" i="12841"/>
  <c r="J165" i="12841"/>
  <c r="F656" i="12841"/>
  <c r="I656" i="12841"/>
  <c r="J136" i="12841"/>
  <c r="N89" i="12841"/>
  <c r="C106" i="12841"/>
  <c r="L106" i="12841" s="1"/>
  <c r="I134" i="12841"/>
  <c r="F157" i="12841"/>
  <c r="F159" i="12841" s="1"/>
  <c r="I243" i="12841"/>
  <c r="F256" i="12841"/>
  <c r="C222" i="12841"/>
  <c r="C187" i="12841" s="1"/>
  <c r="I277" i="12841"/>
  <c r="I292" i="12841"/>
  <c r="F387" i="12841"/>
  <c r="F352" i="12841" s="1"/>
  <c r="C352" i="12841"/>
  <c r="I352" i="12841" s="1"/>
  <c r="C391" i="12841"/>
  <c r="C356" i="12841" s="1"/>
  <c r="C618" i="12841"/>
  <c r="J645" i="12841"/>
  <c r="J621" i="12841"/>
  <c r="N621" i="12841" s="1"/>
  <c r="N605" i="12841"/>
  <c r="J683" i="12841"/>
  <c r="J606" i="12841"/>
  <c r="Q605" i="12841"/>
  <c r="I657" i="12841"/>
  <c r="I619" i="12841" s="1"/>
  <c r="F657" i="12841"/>
  <c r="F619" i="12841" s="1"/>
  <c r="C619" i="12841"/>
  <c r="F933" i="12841"/>
  <c r="I933" i="12841"/>
  <c r="I151" i="12841"/>
  <c r="I157" i="12841" s="1"/>
  <c r="I282" i="12841"/>
  <c r="C330" i="12841"/>
  <c r="F329" i="12841"/>
  <c r="C335" i="12841"/>
  <c r="F453" i="12841"/>
  <c r="F167" i="12841" s="1"/>
  <c r="F467" i="12841"/>
  <c r="F471" i="12841"/>
  <c r="F642" i="12841"/>
  <c r="F602" i="12841" s="1"/>
  <c r="I642" i="12841"/>
  <c r="I602" i="12841" s="1"/>
  <c r="I661" i="12841"/>
  <c r="I623" i="12841" s="1"/>
  <c r="F661" i="12841"/>
  <c r="F623" i="12841" s="1"/>
  <c r="I696" i="12841"/>
  <c r="C703" i="12841"/>
  <c r="C627" i="12841" s="1"/>
  <c r="F696" i="12841"/>
  <c r="F750" i="12841"/>
  <c r="J847" i="12841"/>
  <c r="L847" i="12841" s="1"/>
  <c r="L823" i="12841"/>
  <c r="F830" i="12841"/>
  <c r="F723" i="12841" s="1"/>
  <c r="I830" i="12841"/>
  <c r="I723" i="12841" s="1"/>
  <c r="F916" i="12841"/>
  <c r="F897" i="12841" s="1"/>
  <c r="C286" i="12841"/>
  <c r="F513" i="12841"/>
  <c r="I548" i="12841"/>
  <c r="L665" i="12841"/>
  <c r="J810" i="12841"/>
  <c r="L810" i="12841" s="1"/>
  <c r="J863" i="12841"/>
  <c r="L863" i="12841" s="1"/>
  <c r="N757" i="12841"/>
  <c r="C826" i="12841"/>
  <c r="F821" i="12841"/>
  <c r="I821" i="12841"/>
  <c r="I1065" i="12841"/>
  <c r="J598" i="12841"/>
  <c r="C599" i="12841"/>
  <c r="J703" i="12841"/>
  <c r="N627" i="12841"/>
  <c r="C641" i="12841"/>
  <c r="I676" i="12841"/>
  <c r="I598" i="12841" s="1"/>
  <c r="J811" i="12841"/>
  <c r="L811" i="12841" s="1"/>
  <c r="J864" i="12841"/>
  <c r="L864" i="12841" s="1"/>
  <c r="J727" i="12841"/>
  <c r="J726" i="12841"/>
  <c r="L1154" i="12841"/>
  <c r="I1142" i="12841"/>
  <c r="C1187" i="12841"/>
  <c r="F1184" i="12841"/>
  <c r="F1187" i="12841" s="1"/>
  <c r="F1189" i="12841" s="1"/>
  <c r="I1184" i="12841"/>
  <c r="I1187" i="12841" s="1"/>
  <c r="C689" i="12841"/>
  <c r="C687" i="12841"/>
  <c r="F739" i="12841"/>
  <c r="I823" i="12841"/>
  <c r="I716" i="12841" s="1"/>
  <c r="F823" i="12841"/>
  <c r="F716" i="12841" s="1"/>
  <c r="I936" i="12841"/>
  <c r="F936" i="12841"/>
  <c r="I992" i="12841"/>
  <c r="F992" i="12841"/>
  <c r="I1020" i="12841"/>
  <c r="F1015" i="12841"/>
  <c r="F1051" i="12841" s="1"/>
  <c r="F920" i="12841" s="1"/>
  <c r="I1015" i="12841"/>
  <c r="I1051" i="12841" s="1"/>
  <c r="C1051" i="12841"/>
  <c r="C920" i="12841" s="1"/>
  <c r="C901" i="12841" s="1"/>
  <c r="C994" i="12841"/>
  <c r="I1090" i="12841"/>
  <c r="F1090" i="12841"/>
  <c r="C1094" i="12841"/>
  <c r="C1237" i="12841"/>
  <c r="J1237" i="12841" s="1"/>
  <c r="L1237" i="12841" s="1"/>
  <c r="J664" i="12841"/>
  <c r="L664" i="12841" s="1"/>
  <c r="L626" i="12841" s="1"/>
  <c r="C731" i="12841"/>
  <c r="J794" i="12841"/>
  <c r="L794" i="12841" s="1"/>
  <c r="L770" i="12841"/>
  <c r="F779" i="12841"/>
  <c r="F725" i="12841" s="1"/>
  <c r="I780" i="12841"/>
  <c r="I726" i="12841" s="1"/>
  <c r="F785" i="12841"/>
  <c r="F731" i="12841" s="1"/>
  <c r="F788" i="12841"/>
  <c r="F734" i="12841" s="1"/>
  <c r="F789" i="12841"/>
  <c r="F735" i="12841" s="1"/>
  <c r="F824" i="12841"/>
  <c r="F717" i="12841" s="1"/>
  <c r="I824" i="12841"/>
  <c r="I717" i="12841" s="1"/>
  <c r="I881" i="12841"/>
  <c r="I888" i="12841" s="1"/>
  <c r="I938" i="12841"/>
  <c r="F938" i="12841"/>
  <c r="C981" i="12841"/>
  <c r="C1075" i="12841" s="1"/>
  <c r="F978" i="12841"/>
  <c r="F1072" i="12841" s="1"/>
  <c r="I978" i="12841"/>
  <c r="C980" i="12841"/>
  <c r="C942" i="12841" s="1"/>
  <c r="C1056" i="12841"/>
  <c r="C1021" i="12841"/>
  <c r="C964" i="12841"/>
  <c r="F1038" i="12841"/>
  <c r="C1196" i="12841"/>
  <c r="F1195" i="12841"/>
  <c r="F1200" i="12841" s="1"/>
  <c r="F1202" i="12841" s="1"/>
  <c r="L1195" i="12841"/>
  <c r="I1195" i="12841"/>
  <c r="L1216" i="12841"/>
  <c r="N1216" i="12841"/>
  <c r="C723" i="12841"/>
  <c r="F786" i="12841"/>
  <c r="F732" i="12841" s="1"/>
  <c r="C732" i="12841"/>
  <c r="C790" i="12841"/>
  <c r="C813" i="12841"/>
  <c r="C887" i="12841"/>
  <c r="F881" i="12841"/>
  <c r="I1088" i="12841"/>
  <c r="F1088" i="12841"/>
  <c r="F1094" i="12841" s="1"/>
  <c r="F1096" i="12841" s="1"/>
  <c r="L1104" i="12841"/>
  <c r="N1104" i="12841"/>
  <c r="C843" i="12841"/>
  <c r="I841" i="12841"/>
  <c r="C866" i="12841"/>
  <c r="J997" i="12841"/>
  <c r="J933" i="12841"/>
  <c r="J941" i="12841"/>
  <c r="C941" i="12841"/>
  <c r="F961" i="12841"/>
  <c r="F963" i="12841" s="1"/>
  <c r="C1068" i="12841"/>
  <c r="F974" i="12841"/>
  <c r="F1068" i="12841" s="1"/>
  <c r="I1013" i="12841"/>
  <c r="C1049" i="12841"/>
  <c r="F1013" i="12841"/>
  <c r="F1049" i="12841" s="1"/>
  <c r="L1087" i="12841"/>
  <c r="Q1087" i="12841"/>
  <c r="L1209" i="12841"/>
  <c r="N1209" i="12841"/>
  <c r="Q934" i="12841"/>
  <c r="C973" i="12841"/>
  <c r="C1067" i="12841" s="1"/>
  <c r="C917" i="12841" s="1"/>
  <c r="C898" i="12841" s="1"/>
  <c r="F971" i="12841"/>
  <c r="J1031" i="12841"/>
  <c r="L1031" i="12841" s="1"/>
  <c r="L992" i="12841"/>
  <c r="F1050" i="12841"/>
  <c r="F919" i="12841" s="1"/>
  <c r="F900" i="12841" s="1"/>
  <c r="C1054" i="12841"/>
  <c r="C923" i="12841" s="1"/>
  <c r="C904" i="12841" s="1"/>
  <c r="F1018" i="12841"/>
  <c r="C997" i="12841"/>
  <c r="I1068" i="12841"/>
  <c r="C1065" i="12841"/>
  <c r="N1103" i="12841"/>
  <c r="L1103" i="12841"/>
  <c r="F1109" i="12841"/>
  <c r="I1109" i="12841"/>
  <c r="L1113" i="12841"/>
  <c r="N1113" i="12841"/>
  <c r="N1129" i="12841"/>
  <c r="N1135" i="12841" s="1"/>
  <c r="N1147" i="12841"/>
  <c r="C940" i="12841"/>
  <c r="I960" i="12841"/>
  <c r="I963" i="12841" s="1"/>
  <c r="I976" i="12841"/>
  <c r="I1073" i="12841"/>
  <c r="C1037" i="12841"/>
  <c r="F1110" i="12841"/>
  <c r="I1110" i="12841"/>
  <c r="L1131" i="12841"/>
  <c r="N1131" i="12841"/>
  <c r="F1170" i="12841"/>
  <c r="L1170" i="12841"/>
  <c r="I1170" i="12841"/>
  <c r="I1143" i="12841" s="1"/>
  <c r="C1171" i="12841"/>
  <c r="C1143" i="12841"/>
  <c r="I1038" i="12841"/>
  <c r="I1072" i="12841"/>
  <c r="N1111" i="12841"/>
  <c r="L1111" i="12841"/>
  <c r="L1213" i="12841"/>
  <c r="N1213" i="12841"/>
  <c r="L1106" i="12841"/>
  <c r="N1107" i="12841"/>
  <c r="J1184" i="12841"/>
  <c r="L1184" i="12841" s="1"/>
  <c r="L1183" i="12841"/>
  <c r="N1217" i="12841"/>
  <c r="N1235" i="12841"/>
  <c r="J1133" i="12841"/>
  <c r="F1238" i="12841"/>
  <c r="F1240" i="12841" s="1"/>
  <c r="J639" i="12841" l="1"/>
  <c r="I617" i="12841"/>
  <c r="Q599" i="12841"/>
  <c r="J617" i="12841"/>
  <c r="N617" i="12841" s="1"/>
  <c r="J558" i="12841"/>
  <c r="L558" i="12841" s="1"/>
  <c r="N599" i="12841"/>
  <c r="I981" i="12841"/>
  <c r="I1049" i="12841"/>
  <c r="I1200" i="12841"/>
  <c r="L741" i="12841"/>
  <c r="C175" i="12841"/>
  <c r="C705" i="12841"/>
  <c r="I174" i="12841"/>
  <c r="C624" i="12841"/>
  <c r="I1144" i="12841"/>
  <c r="L92" i="12841"/>
  <c r="Q1091" i="12841"/>
  <c r="I136" i="12841"/>
  <c r="I142" i="12841" s="1"/>
  <c r="J324" i="12841"/>
  <c r="L324" i="12841" s="1"/>
  <c r="J772" i="12841"/>
  <c r="J796" i="12841" s="1"/>
  <c r="L796" i="12841" s="1"/>
  <c r="L743" i="12841" s="1"/>
  <c r="L936" i="12841"/>
  <c r="Q989" i="12841"/>
  <c r="I223" i="12841"/>
  <c r="I188" i="12841" s="1"/>
  <c r="C601" i="12841"/>
  <c r="J972" i="12841"/>
  <c r="L972" i="12841" s="1"/>
  <c r="I734" i="12841"/>
  <c r="P916" i="12841"/>
  <c r="Q916" i="12841" s="1"/>
  <c r="J779" i="12841"/>
  <c r="J799" i="12841" s="1"/>
  <c r="L799" i="12841" s="1"/>
  <c r="Q602" i="12841"/>
  <c r="Q725" i="12841"/>
  <c r="J830" i="12841"/>
  <c r="L830" i="12841" s="1"/>
  <c r="Q718" i="12841"/>
  <c r="L990" i="12841"/>
  <c r="F193" i="12841"/>
  <c r="I603" i="12841"/>
  <c r="F888" i="12841"/>
  <c r="F890" i="12841" s="1"/>
  <c r="L989" i="12841"/>
  <c r="L1084" i="12841"/>
  <c r="F700" i="12841"/>
  <c r="J771" i="12841"/>
  <c r="L771" i="12841" s="1"/>
  <c r="I80" i="12841"/>
  <c r="N21" i="12841"/>
  <c r="F190" i="12841"/>
  <c r="I600" i="12841"/>
  <c r="C998" i="12841"/>
  <c r="F996" i="12841"/>
  <c r="C1000" i="12841"/>
  <c r="L121" i="12841"/>
  <c r="F442" i="12841"/>
  <c r="F444" i="12841" s="1"/>
  <c r="J742" i="12841"/>
  <c r="N742" i="12841" s="1"/>
  <c r="F1175" i="12841"/>
  <c r="F1177" i="12841" s="1"/>
  <c r="I923" i="12841"/>
  <c r="I904" i="12841" s="1"/>
  <c r="C915" i="12841"/>
  <c r="C896" i="12841" s="1"/>
  <c r="F981" i="12841"/>
  <c r="F1039" i="12841" s="1"/>
  <c r="F1040" i="12841" s="1"/>
  <c r="F136" i="12841"/>
  <c r="F142" i="12841" s="1"/>
  <c r="F144" i="12841" s="1"/>
  <c r="C218" i="12841"/>
  <c r="C180" i="12841" s="1"/>
  <c r="J52" i="12841"/>
  <c r="L52" i="12841" s="1"/>
  <c r="I222" i="12841"/>
  <c r="I187" i="12841" s="1"/>
  <c r="J732" i="12841"/>
  <c r="N732" i="12841" s="1"/>
  <c r="J681" i="12841"/>
  <c r="J696" i="12841" s="1"/>
  <c r="L696" i="12841" s="1"/>
  <c r="L954" i="12841"/>
  <c r="L1047" i="12841" s="1"/>
  <c r="J729" i="12841"/>
  <c r="N729" i="12841" s="1"/>
  <c r="N718" i="12841"/>
  <c r="N602" i="12841"/>
  <c r="I662" i="12841"/>
  <c r="I624" i="12841" s="1"/>
  <c r="L825" i="12841"/>
  <c r="F214" i="12841"/>
  <c r="F176" i="12841" s="1"/>
  <c r="J561" i="12841"/>
  <c r="L561" i="12841" s="1"/>
  <c r="L934" i="12841"/>
  <c r="J832" i="12841"/>
  <c r="J839" i="12841" s="1"/>
  <c r="J619" i="12841"/>
  <c r="N619" i="12841" s="1"/>
  <c r="J743" i="12841"/>
  <c r="N743" i="12841" s="1"/>
  <c r="F226" i="12841"/>
  <c r="F191" i="12841" s="1"/>
  <c r="J958" i="12841"/>
  <c r="P920" i="12841" s="1"/>
  <c r="Q920" i="12841" s="1"/>
  <c r="L136" i="12841"/>
  <c r="Q717" i="12841"/>
  <c r="L242" i="12841"/>
  <c r="J34" i="12841"/>
  <c r="L34" i="12841" s="1"/>
  <c r="N875" i="12841"/>
  <c r="C667" i="12841"/>
  <c r="C629" i="12841" s="1"/>
  <c r="F223" i="12841"/>
  <c r="F188" i="12841" s="1"/>
  <c r="L1088" i="12841"/>
  <c r="Q993" i="12841"/>
  <c r="N725" i="12841"/>
  <c r="J657" i="12841"/>
  <c r="L657" i="12841" s="1"/>
  <c r="J562" i="12841"/>
  <c r="L562" i="12841" s="1"/>
  <c r="N18" i="12841"/>
  <c r="J1032" i="12841"/>
  <c r="L1032" i="12841" s="1"/>
  <c r="N600" i="12841"/>
  <c r="Q603" i="12841"/>
  <c r="F224" i="12841"/>
  <c r="F189" i="12841" s="1"/>
  <c r="J72" i="12841"/>
  <c r="L72" i="12841" s="1"/>
  <c r="Q937" i="12841"/>
  <c r="J1010" i="12841"/>
  <c r="L1010" i="12841" s="1"/>
  <c r="J618" i="12841"/>
  <c r="N618" i="12841" s="1"/>
  <c r="F662" i="12841"/>
  <c r="I296" i="12841"/>
  <c r="J70" i="12841"/>
  <c r="L70" i="12841" s="1"/>
  <c r="J54" i="12841"/>
  <c r="L54" i="12841" s="1"/>
  <c r="F333" i="12841"/>
  <c r="I226" i="12841"/>
  <c r="I191" i="12841" s="1"/>
  <c r="J975" i="12841"/>
  <c r="L975" i="12841" s="1"/>
  <c r="J731" i="12841"/>
  <c r="N731" i="12841" s="1"/>
  <c r="Q723" i="12841"/>
  <c r="J976" i="12841"/>
  <c r="L976" i="12841" s="1"/>
  <c r="F318" i="12841"/>
  <c r="F215" i="12841" s="1"/>
  <c r="F177" i="12841" s="1"/>
  <c r="C112" i="12841"/>
  <c r="J576" i="12841"/>
  <c r="L576" i="12841" s="1"/>
  <c r="L333" i="12841"/>
  <c r="L578" i="12841"/>
  <c r="I214" i="12841"/>
  <c r="I176" i="12841" s="1"/>
  <c r="J57" i="12841"/>
  <c r="L57" i="12841" s="1"/>
  <c r="Q600" i="12841"/>
  <c r="I318" i="12841"/>
  <c r="I215" i="12841" s="1"/>
  <c r="I177" i="12841" s="1"/>
  <c r="L937" i="12841"/>
  <c r="J777" i="12841"/>
  <c r="L777" i="12841" s="1"/>
  <c r="J559" i="12841"/>
  <c r="L559" i="12841" s="1"/>
  <c r="Q938" i="12841"/>
  <c r="J994" i="12841" s="1"/>
  <c r="J1015" i="12841" s="1"/>
  <c r="L1015" i="12841" s="1"/>
  <c r="C127" i="12841"/>
  <c r="N717" i="12841"/>
  <c r="L22" i="12841"/>
  <c r="J39" i="12841"/>
  <c r="L39" i="12841" s="1"/>
  <c r="J640" i="12841"/>
  <c r="J656" i="12841" s="1"/>
  <c r="L656" i="12841" s="1"/>
  <c r="C322" i="12841"/>
  <c r="C219" i="12841" s="1"/>
  <c r="C181" i="12841" s="1"/>
  <c r="N723" i="12841"/>
  <c r="J728" i="12841"/>
  <c r="J782" i="12841" s="1"/>
  <c r="C215" i="12841"/>
  <c r="C177" i="12841" s="1"/>
  <c r="F88" i="12841"/>
  <c r="L367" i="12841"/>
  <c r="C302" i="12841"/>
  <c r="J1029" i="12841"/>
  <c r="L1029" i="12841" s="1"/>
  <c r="F268" i="12841"/>
  <c r="F270" i="12841" s="1"/>
  <c r="C231" i="12841"/>
  <c r="C196" i="12841" s="1"/>
  <c r="L993" i="12841"/>
  <c r="Q990" i="12841"/>
  <c r="I268" i="12841"/>
  <c r="J974" i="12841"/>
  <c r="L974" i="12841" s="1"/>
  <c r="L1068" i="12841" s="1"/>
  <c r="J620" i="12841"/>
  <c r="N620" i="12841" s="1"/>
  <c r="J956" i="12841"/>
  <c r="J877" i="12841" s="1"/>
  <c r="L1238" i="12841"/>
  <c r="C141" i="12841"/>
  <c r="N603" i="12841"/>
  <c r="F620" i="12841"/>
  <c r="F922" i="12841"/>
  <c r="F903" i="12841" s="1"/>
  <c r="F1020" i="12841"/>
  <c r="F964" i="12841" s="1"/>
  <c r="F965" i="12841" s="1"/>
  <c r="C935" i="12841"/>
  <c r="F1065" i="12841"/>
  <c r="F915" i="12841" s="1"/>
  <c r="F896" i="12841" s="1"/>
  <c r="I407" i="12841"/>
  <c r="I372" i="12841" s="1"/>
  <c r="I916" i="12841"/>
  <c r="I897" i="12841" s="1"/>
  <c r="F1122" i="12841"/>
  <c r="F1124" i="12841" s="1"/>
  <c r="C918" i="12841"/>
  <c r="C899" i="12841" s="1"/>
  <c r="I1094" i="12841"/>
  <c r="I213" i="12841"/>
  <c r="I175" i="12841" s="1"/>
  <c r="C719" i="12841"/>
  <c r="F178" i="12841"/>
  <c r="I209" i="12841"/>
  <c r="I170" i="12841" s="1"/>
  <c r="J586" i="12841"/>
  <c r="L586" i="12841" s="1"/>
  <c r="L473" i="12841"/>
  <c r="I1070" i="12841"/>
  <c r="I920" i="12841" s="1"/>
  <c r="I901" i="12841" s="1"/>
  <c r="C1074" i="12841"/>
  <c r="L1122" i="12841"/>
  <c r="C736" i="12841"/>
  <c r="J736" i="12841" s="1"/>
  <c r="J790" i="12841" s="1"/>
  <c r="L790" i="12841" s="1"/>
  <c r="L368" i="12841"/>
  <c r="I190" i="12841"/>
  <c r="L90" i="12841"/>
  <c r="L23" i="12841"/>
  <c r="F194" i="12841"/>
  <c r="F16" i="12841"/>
  <c r="I178" i="12841"/>
  <c r="I919" i="12841"/>
  <c r="I900" i="12841" s="1"/>
  <c r="J695" i="12841"/>
  <c r="L695" i="12841" s="1"/>
  <c r="L680" i="12841"/>
  <c r="L602" i="12841" s="1"/>
  <c r="I1171" i="12841"/>
  <c r="I1175" i="12841" s="1"/>
  <c r="C1144" i="12841"/>
  <c r="U1171" i="12841"/>
  <c r="I994" i="12841"/>
  <c r="F994" i="12841"/>
  <c r="J676" i="12841"/>
  <c r="J638" i="12841"/>
  <c r="N598" i="12841"/>
  <c r="N630" i="12841" s="1"/>
  <c r="J616" i="12841"/>
  <c r="N616" i="12841" s="1"/>
  <c r="J557" i="12841"/>
  <c r="Q598" i="12841"/>
  <c r="I866" i="12841"/>
  <c r="I208" i="12841"/>
  <c r="J381" i="12841"/>
  <c r="J346" i="12841"/>
  <c r="J360" i="12841" s="1"/>
  <c r="J312" i="12841"/>
  <c r="J243" i="12841"/>
  <c r="N170" i="12841"/>
  <c r="J278" i="12841"/>
  <c r="J209" i="12841"/>
  <c r="J222" i="12841" s="1"/>
  <c r="Q170" i="12841"/>
  <c r="J166" i="12841"/>
  <c r="J416" i="12841"/>
  <c r="J187" i="12841"/>
  <c r="N187" i="12841" s="1"/>
  <c r="J292" i="12841"/>
  <c r="L292" i="12841" s="1"/>
  <c r="L279" i="12841"/>
  <c r="J42" i="12841"/>
  <c r="L42" i="12841" s="1"/>
  <c r="J60" i="12841"/>
  <c r="L60" i="12841" s="1"/>
  <c r="J78" i="12841"/>
  <c r="L78" i="12841" s="1"/>
  <c r="I940" i="12841"/>
  <c r="C944" i="12841"/>
  <c r="F940" i="12841"/>
  <c r="I918" i="12841"/>
  <c r="I899" i="12841" s="1"/>
  <c r="I941" i="12841"/>
  <c r="F941" i="12841"/>
  <c r="I687" i="12841"/>
  <c r="C690" i="12841"/>
  <c r="F687" i="12841"/>
  <c r="L758" i="12841"/>
  <c r="F866" i="12841"/>
  <c r="F868" i="12841" s="1"/>
  <c r="J697" i="12841"/>
  <c r="L697" i="12841" s="1"/>
  <c r="J684" i="12841"/>
  <c r="L683" i="12841"/>
  <c r="L415" i="12841"/>
  <c r="J429" i="12841"/>
  <c r="L429" i="12841" s="1"/>
  <c r="C169" i="12841"/>
  <c r="C172" i="12841" s="1"/>
  <c r="C211" i="12841"/>
  <c r="J526" i="12841"/>
  <c r="J420" i="12841"/>
  <c r="J350" i="12841"/>
  <c r="J362" i="12841" s="1"/>
  <c r="N174" i="12841"/>
  <c r="J281" i="12841"/>
  <c r="J212" i="12841"/>
  <c r="J224" i="12841" s="1"/>
  <c r="J385" i="12841"/>
  <c r="J315" i="12841"/>
  <c r="J491" i="12841"/>
  <c r="J456" i="12841"/>
  <c r="J468" i="12841" s="1"/>
  <c r="J246" i="12841"/>
  <c r="J189" i="12841"/>
  <c r="N189" i="12841" s="1"/>
  <c r="Q174" i="12841"/>
  <c r="F209" i="12841"/>
  <c r="F170" i="12841" s="1"/>
  <c r="L643" i="12841"/>
  <c r="J658" i="12841"/>
  <c r="L658" i="12841" s="1"/>
  <c r="J257" i="12841"/>
  <c r="L257" i="12841" s="1"/>
  <c r="L244" i="12841"/>
  <c r="J396" i="12841"/>
  <c r="L396" i="12841" s="1"/>
  <c r="L382" i="12841"/>
  <c r="I478" i="12841"/>
  <c r="L1143" i="12841"/>
  <c r="C1022" i="12841"/>
  <c r="I1075" i="12841"/>
  <c r="F1143" i="12841"/>
  <c r="F1147" i="12841" s="1"/>
  <c r="F1149" i="12841" s="1"/>
  <c r="I1122" i="12841"/>
  <c r="F1054" i="12841"/>
  <c r="F923" i="12841" s="1"/>
  <c r="F904" i="12841" s="1"/>
  <c r="F918" i="12841"/>
  <c r="F899" i="12841" s="1"/>
  <c r="J961" i="12841"/>
  <c r="L941" i="12841"/>
  <c r="P923" i="12841"/>
  <c r="Q923" i="12841" s="1"/>
  <c r="J979" i="12841"/>
  <c r="L979" i="12841" s="1"/>
  <c r="Q941" i="12841"/>
  <c r="C760" i="12841"/>
  <c r="F1075" i="12841"/>
  <c r="F1077" i="12841" s="1"/>
  <c r="C1058" i="12841"/>
  <c r="C925" i="12841"/>
  <c r="C906" i="12841" s="1"/>
  <c r="L716" i="12841"/>
  <c r="F901" i="12841"/>
  <c r="C706" i="12841"/>
  <c r="C1186" i="12841"/>
  <c r="J834" i="12841"/>
  <c r="Q727" i="12841"/>
  <c r="J748" i="12841"/>
  <c r="N748" i="12841" s="1"/>
  <c r="N727" i="12841"/>
  <c r="J781" i="12841"/>
  <c r="L703" i="12841"/>
  <c r="L627" i="12841" s="1"/>
  <c r="C217" i="12841"/>
  <c r="C179" i="12841" s="1"/>
  <c r="I106" i="12841"/>
  <c r="F106" i="12841"/>
  <c r="F112" i="12841" s="1"/>
  <c r="C89" i="12841"/>
  <c r="C94" i="12841" s="1"/>
  <c r="C111" i="12841"/>
  <c r="F618" i="12841"/>
  <c r="J290" i="12841"/>
  <c r="L290" i="12841" s="1"/>
  <c r="L277" i="12841"/>
  <c r="F813" i="12841"/>
  <c r="F714" i="12841"/>
  <c r="J862" i="12841"/>
  <c r="L862" i="12841" s="1"/>
  <c r="L842" i="12841"/>
  <c r="I620" i="12841"/>
  <c r="F175" i="12841"/>
  <c r="J74" i="12841"/>
  <c r="L74" i="12841" s="1"/>
  <c r="J56" i="12841"/>
  <c r="L56" i="12841" s="1"/>
  <c r="J38" i="12841"/>
  <c r="L38" i="12841" s="1"/>
  <c r="N20" i="12841"/>
  <c r="C611" i="12841"/>
  <c r="L639" i="12841"/>
  <c r="J655" i="12841"/>
  <c r="L655" i="12841" s="1"/>
  <c r="I299" i="12841"/>
  <c r="I230" i="12841" s="1"/>
  <c r="I195" i="12841" s="1"/>
  <c r="C230" i="12841"/>
  <c r="C195" i="12841" s="1"/>
  <c r="F299" i="12841"/>
  <c r="F208" i="12841"/>
  <c r="J848" i="12841"/>
  <c r="L848" i="12841" s="1"/>
  <c r="L824" i="12841"/>
  <c r="J792" i="12841"/>
  <c r="L792" i="12841" s="1"/>
  <c r="L768" i="12841"/>
  <c r="L299" i="12841"/>
  <c r="I62" i="12841"/>
  <c r="I16" i="12841"/>
  <c r="L229" i="12841"/>
  <c r="L313" i="12841"/>
  <c r="J326" i="12841"/>
  <c r="L326" i="12841" s="1"/>
  <c r="L88" i="12841"/>
  <c r="C1175" i="12841"/>
  <c r="I964" i="12841"/>
  <c r="L957" i="12841"/>
  <c r="L1050" i="12841" s="1"/>
  <c r="P919" i="12841"/>
  <c r="Q919" i="12841" s="1"/>
  <c r="J878" i="12841"/>
  <c r="I1053" i="12841"/>
  <c r="I922" i="12841" s="1"/>
  <c r="I903" i="12841" s="1"/>
  <c r="I1056" i="12841"/>
  <c r="I703" i="12841"/>
  <c r="I627" i="12841" s="1"/>
  <c r="F703" i="12841"/>
  <c r="F627" i="12841" s="1"/>
  <c r="Q606" i="12841"/>
  <c r="J622" i="12841"/>
  <c r="N622" i="12841" s="1"/>
  <c r="N606" i="12841"/>
  <c r="J659" i="12841"/>
  <c r="L659" i="12841" s="1"/>
  <c r="L645" i="12841"/>
  <c r="J646" i="12841"/>
  <c r="J451" i="12841"/>
  <c r="J465" i="12841" s="1"/>
  <c r="N165" i="12841"/>
  <c r="N199" i="12841" s="1"/>
  <c r="J486" i="12841"/>
  <c r="J521" i="12841"/>
  <c r="Q165" i="12841"/>
  <c r="I813" i="12841"/>
  <c r="I714" i="12841"/>
  <c r="J53" i="12841"/>
  <c r="L53" i="12841" s="1"/>
  <c r="J71" i="12841"/>
  <c r="L71" i="12841" s="1"/>
  <c r="N17" i="12841"/>
  <c r="J35" i="12841"/>
  <c r="L35" i="12841" s="1"/>
  <c r="L417" i="12841"/>
  <c r="J431" i="12841"/>
  <c r="L431" i="12841" s="1"/>
  <c r="F46" i="12841"/>
  <c r="J1134" i="12841"/>
  <c r="L1133" i="12841"/>
  <c r="L1135" i="12841" s="1"/>
  <c r="F982" i="12841"/>
  <c r="F983" i="12841" s="1"/>
  <c r="J971" i="12841"/>
  <c r="L971" i="12841" s="1"/>
  <c r="L1065" i="12841" s="1"/>
  <c r="J953" i="12841"/>
  <c r="L933" i="12841"/>
  <c r="Q933" i="12841"/>
  <c r="C965" i="12841"/>
  <c r="L772" i="12841"/>
  <c r="L757" i="12841"/>
  <c r="F345" i="12841"/>
  <c r="F407" i="12841"/>
  <c r="C305" i="12841"/>
  <c r="C234" i="12841"/>
  <c r="C232" i="12841"/>
  <c r="C197" i="12841" s="1"/>
  <c r="J488" i="12841"/>
  <c r="J453" i="12841"/>
  <c r="J467" i="12841" s="1"/>
  <c r="N167" i="12841"/>
  <c r="J523" i="12841"/>
  <c r="Q167" i="12841"/>
  <c r="I87" i="12841"/>
  <c r="I997" i="12841"/>
  <c r="F997" i="12841"/>
  <c r="J1018" i="12841"/>
  <c r="L1018" i="12841" s="1"/>
  <c r="J1036" i="12841"/>
  <c r="L1036" i="12841" s="1"/>
  <c r="Q997" i="12841"/>
  <c r="L997" i="12841"/>
  <c r="J833" i="12841"/>
  <c r="Q726" i="12841"/>
  <c r="J780" i="12841"/>
  <c r="N726" i="12841"/>
  <c r="J747" i="12841"/>
  <c r="N747" i="12841" s="1"/>
  <c r="J694" i="12841"/>
  <c r="L694" i="12841" s="1"/>
  <c r="L678" i="12841"/>
  <c r="F478" i="12841"/>
  <c r="F480" i="12841" s="1"/>
  <c r="F515" i="12841"/>
  <c r="C336" i="12841"/>
  <c r="F330" i="12841"/>
  <c r="F227" i="12841" s="1"/>
  <c r="F192" i="12841" s="1"/>
  <c r="I330" i="12841"/>
  <c r="C227" i="12841"/>
  <c r="C192" i="12841" s="1"/>
  <c r="I618" i="12841"/>
  <c r="J394" i="12841"/>
  <c r="L394" i="12841" s="1"/>
  <c r="L380" i="12841"/>
  <c r="C1198" i="12841"/>
  <c r="J1198" i="12841" s="1"/>
  <c r="C1202" i="12841"/>
  <c r="J809" i="12841"/>
  <c r="L809" i="12841" s="1"/>
  <c r="L789" i="12841"/>
  <c r="I345" i="12841"/>
  <c r="C348" i="12841"/>
  <c r="C126" i="12841"/>
  <c r="F121" i="12841"/>
  <c r="F127" i="12841" s="1"/>
  <c r="F129" i="12841" s="1"/>
  <c r="I121" i="12841"/>
  <c r="I127" i="12841" s="1"/>
  <c r="C652" i="12841"/>
  <c r="I649" i="12841"/>
  <c r="C609" i="12841"/>
  <c r="F649" i="12841"/>
  <c r="C668" i="12841"/>
  <c r="J693" i="12841"/>
  <c r="L693" i="12841" s="1"/>
  <c r="L677" i="12841"/>
  <c r="J530" i="12841"/>
  <c r="J354" i="12841"/>
  <c r="J366" i="12841" s="1"/>
  <c r="N178" i="12841"/>
  <c r="J495" i="12841"/>
  <c r="J285" i="12841"/>
  <c r="J216" i="12841"/>
  <c r="J228" i="12841" s="1"/>
  <c r="J460" i="12841"/>
  <c r="J472" i="12841" s="1"/>
  <c r="J319" i="12841"/>
  <c r="J424" i="12841"/>
  <c r="J193" i="12841"/>
  <c r="N193" i="12841" s="1"/>
  <c r="J389" i="12841"/>
  <c r="J250" i="12841"/>
  <c r="Q178" i="12841"/>
  <c r="J845" i="12841"/>
  <c r="L845" i="12841" s="1"/>
  <c r="L821" i="12841"/>
  <c r="C372" i="12841"/>
  <c r="C409" i="12841"/>
  <c r="C176" i="12841"/>
  <c r="F62" i="12841"/>
  <c r="F64" i="12841" s="1"/>
  <c r="J574" i="12841" l="1"/>
  <c r="L574" i="12841" s="1"/>
  <c r="L619" i="12841"/>
  <c r="F1000" i="12841"/>
  <c r="L779" i="12841"/>
  <c r="J785" i="12841"/>
  <c r="J805" i="12841" s="1"/>
  <c r="L805" i="12841" s="1"/>
  <c r="F668" i="12841"/>
  <c r="F670" i="12841" s="1"/>
  <c r="L681" i="12841"/>
  <c r="L603" i="12841" s="1"/>
  <c r="F230" i="12841"/>
  <c r="F195" i="12841" s="1"/>
  <c r="J786" i="12841"/>
  <c r="L786" i="12841" s="1"/>
  <c r="L221" i="12841"/>
  <c r="J752" i="12841"/>
  <c r="N752" i="12841" s="1"/>
  <c r="J850" i="12841"/>
  <c r="L850" i="12841" s="1"/>
  <c r="L18" i="12841"/>
  <c r="P918" i="12841"/>
  <c r="Q918" i="12841" s="1"/>
  <c r="L21" i="12841"/>
  <c r="L1069" i="12841"/>
  <c r="L919" i="12841" s="1"/>
  <c r="L900" i="12841" s="1"/>
  <c r="L16" i="12841"/>
  <c r="L1066" i="12841"/>
  <c r="L916" i="12841" s="1"/>
  <c r="L897" i="12841" s="1"/>
  <c r="Q729" i="12841"/>
  <c r="J838" i="12841"/>
  <c r="J858" i="12841" s="1"/>
  <c r="L858" i="12841" s="1"/>
  <c r="J753" i="12841"/>
  <c r="N753" i="12841" s="1"/>
  <c r="J783" i="12841"/>
  <c r="J803" i="12841" s="1"/>
  <c r="L803" i="12841" s="1"/>
  <c r="C97" i="12841"/>
  <c r="L89" i="12841"/>
  <c r="J795" i="12841"/>
  <c r="L795" i="12841" s="1"/>
  <c r="L742" i="12841" s="1"/>
  <c r="J749" i="12841"/>
  <c r="N749" i="12841" s="1"/>
  <c r="I609" i="12841"/>
  <c r="J611" i="12841" s="1"/>
  <c r="N728" i="12841"/>
  <c r="L640" i="12841"/>
  <c r="L600" i="12841" s="1"/>
  <c r="J835" i="12841"/>
  <c r="J855" i="12841" s="1"/>
  <c r="L855" i="12841" s="1"/>
  <c r="F1021" i="12841"/>
  <c r="F1001" i="12841" s="1"/>
  <c r="F1002" i="12841" s="1"/>
  <c r="F944" i="12841"/>
  <c r="F624" i="12841"/>
  <c r="L958" i="12841"/>
  <c r="L1051" i="12841" s="1"/>
  <c r="J750" i="12841"/>
  <c r="N750" i="12841" s="1"/>
  <c r="L718" i="12841"/>
  <c r="J852" i="12841"/>
  <c r="L852" i="12841" s="1"/>
  <c r="L746" i="12841" s="1"/>
  <c r="J879" i="12841"/>
  <c r="L879" i="12841" s="1"/>
  <c r="J836" i="12841"/>
  <c r="J856" i="12841" s="1"/>
  <c r="L856" i="12841" s="1"/>
  <c r="L605" i="12841"/>
  <c r="L832" i="12841"/>
  <c r="L230" i="12841"/>
  <c r="J577" i="12841"/>
  <c r="L577" i="12841" s="1"/>
  <c r="J1033" i="12841"/>
  <c r="L1033" i="12841" s="1"/>
  <c r="L1070" i="12841" s="1"/>
  <c r="J797" i="12841"/>
  <c r="L797" i="12841" s="1"/>
  <c r="L195" i="12841"/>
  <c r="I227" i="12841"/>
  <c r="I192" i="12841" s="1"/>
  <c r="J575" i="12841"/>
  <c r="L575" i="12841" s="1"/>
  <c r="Q994" i="12841"/>
  <c r="L994" i="12841"/>
  <c r="L956" i="12841"/>
  <c r="L1049" i="12841" s="1"/>
  <c r="L918" i="12841" s="1"/>
  <c r="L899" i="12841" s="1"/>
  <c r="Q728" i="12841"/>
  <c r="L618" i="12841"/>
  <c r="L80" i="12841"/>
  <c r="J843" i="12841"/>
  <c r="L843" i="12841" s="1"/>
  <c r="L736" i="12841" s="1"/>
  <c r="L62" i="12841"/>
  <c r="J759" i="12841"/>
  <c r="J865" i="12841" s="1"/>
  <c r="L865" i="12841" s="1"/>
  <c r="F303" i="12841"/>
  <c r="F305" i="12841" s="1"/>
  <c r="J734" i="12841"/>
  <c r="J755" i="12841" s="1"/>
  <c r="N755" i="12841" s="1"/>
  <c r="L717" i="12841"/>
  <c r="L20" i="12841"/>
  <c r="L17" i="12841"/>
  <c r="L723" i="12841"/>
  <c r="L756" i="12841"/>
  <c r="L359" i="12841"/>
  <c r="F1056" i="12841"/>
  <c r="F925" i="12841" s="1"/>
  <c r="F906" i="12841" s="1"/>
  <c r="F908" i="12841" s="1"/>
  <c r="L361" i="12841"/>
  <c r="J181" i="12841"/>
  <c r="J498" i="12841" s="1"/>
  <c r="L498" i="12841" s="1"/>
  <c r="L1073" i="12841"/>
  <c r="F26" i="12841"/>
  <c r="F28" i="12841" s="1"/>
  <c r="L194" i="12841"/>
  <c r="I944" i="12841"/>
  <c r="J262" i="12841"/>
  <c r="L262" i="12841" s="1"/>
  <c r="L250" i="12841"/>
  <c r="C199" i="12841"/>
  <c r="J859" i="12841"/>
  <c r="L859" i="12841" s="1"/>
  <c r="L839" i="12841"/>
  <c r="C1147" i="12841"/>
  <c r="C1173" i="12841"/>
  <c r="L714" i="12841"/>
  <c r="L208" i="12841"/>
  <c r="L491" i="12841"/>
  <c r="J503" i="12841"/>
  <c r="L503" i="12841" s="1"/>
  <c r="L526" i="12841"/>
  <c r="J538" i="12841"/>
  <c r="L538" i="12841" s="1"/>
  <c r="L223" i="12841"/>
  <c r="J395" i="12841"/>
  <c r="L395" i="12841" s="1"/>
  <c r="L381" i="12841"/>
  <c r="I1147" i="12841"/>
  <c r="N877" i="12841"/>
  <c r="L877" i="12841"/>
  <c r="J853" i="12841"/>
  <c r="L853" i="12841" s="1"/>
  <c r="L833" i="12841"/>
  <c r="L523" i="12841"/>
  <c r="J537" i="12841"/>
  <c r="L537" i="12841" s="1"/>
  <c r="J660" i="12841"/>
  <c r="L660" i="12841" s="1"/>
  <c r="L646" i="12841"/>
  <c r="F169" i="12841"/>
  <c r="I706" i="12841"/>
  <c r="L44" i="12841"/>
  <c r="J180" i="12841"/>
  <c r="J256" i="12841"/>
  <c r="L256" i="12841" s="1"/>
  <c r="L243" i="12841"/>
  <c r="I26" i="12841"/>
  <c r="C612" i="12841"/>
  <c r="L1198" i="12841"/>
  <c r="L1200" i="12841" s="1"/>
  <c r="J1199" i="12841"/>
  <c r="Q1202" i="12841" s="1"/>
  <c r="J802" i="12841"/>
  <c r="L802" i="12841" s="1"/>
  <c r="L782" i="12841"/>
  <c r="I668" i="12841"/>
  <c r="L953" i="12841"/>
  <c r="J874" i="12841"/>
  <c r="P915" i="12841"/>
  <c r="Q915" i="12841" s="1"/>
  <c r="J500" i="12841"/>
  <c r="L500" i="12841" s="1"/>
  <c r="L486" i="12841"/>
  <c r="I925" i="12841"/>
  <c r="I906" i="12841" s="1"/>
  <c r="L964" i="12841"/>
  <c r="I337" i="12841"/>
  <c r="J436" i="12841"/>
  <c r="L436" i="12841" s="1"/>
  <c r="L424" i="12841"/>
  <c r="L285" i="12841"/>
  <c r="J297" i="12841"/>
  <c r="L297" i="12841" s="1"/>
  <c r="J542" i="12841"/>
  <c r="L542" i="12841" s="1"/>
  <c r="L530" i="12841"/>
  <c r="F609" i="12841"/>
  <c r="L735" i="12841"/>
  <c r="L345" i="12841"/>
  <c r="J800" i="12841"/>
  <c r="L800" i="12841" s="1"/>
  <c r="L780" i="12841"/>
  <c r="F409" i="12841"/>
  <c r="F372" i="12841"/>
  <c r="F374" i="12841" s="1"/>
  <c r="I760" i="12841"/>
  <c r="L621" i="12841"/>
  <c r="I965" i="12841"/>
  <c r="F760" i="12841"/>
  <c r="F762" i="12841" s="1"/>
  <c r="F815" i="12841"/>
  <c r="I89" i="12841"/>
  <c r="I112" i="12841"/>
  <c r="L347" i="12841"/>
  <c r="L620" i="12841"/>
  <c r="J432" i="12841"/>
  <c r="L432" i="12841" s="1"/>
  <c r="L420" i="12841"/>
  <c r="C173" i="12841"/>
  <c r="C1256" i="12841" s="1"/>
  <c r="C1257" i="12841"/>
  <c r="C1259" i="12841" s="1"/>
  <c r="J698" i="12841"/>
  <c r="L698" i="12841" s="1"/>
  <c r="L684" i="12841"/>
  <c r="L210" i="12841"/>
  <c r="L416" i="12841"/>
  <c r="J430" i="12841"/>
  <c r="L430" i="12841" s="1"/>
  <c r="L278" i="12841"/>
  <c r="J291" i="12841"/>
  <c r="L291" i="12841" s="1"/>
  <c r="I303" i="12841"/>
  <c r="J573" i="12841"/>
  <c r="L573" i="12841" s="1"/>
  <c r="L557" i="12841"/>
  <c r="J692" i="12841"/>
  <c r="L692" i="12841" s="1"/>
  <c r="L676" i="12841"/>
  <c r="F945" i="12841"/>
  <c r="L319" i="12841"/>
  <c r="J331" i="12841"/>
  <c r="L331" i="12841" s="1"/>
  <c r="J507" i="12841"/>
  <c r="L507" i="12841" s="1"/>
  <c r="L495" i="12841"/>
  <c r="J502" i="12841"/>
  <c r="L502" i="12841" s="1"/>
  <c r="L488" i="12841"/>
  <c r="J293" i="12841"/>
  <c r="L293" i="12841" s="1"/>
  <c r="L281" i="12841"/>
  <c r="F706" i="12841"/>
  <c r="F708" i="12841" s="1"/>
  <c r="J522" i="12841"/>
  <c r="J452" i="12841"/>
  <c r="J466" i="12841" s="1"/>
  <c r="Q166" i="12841"/>
  <c r="J487" i="12841"/>
  <c r="N166" i="12841"/>
  <c r="L785" i="12841"/>
  <c r="J401" i="12841"/>
  <c r="L401" i="12841" s="1"/>
  <c r="L389" i="12841"/>
  <c r="L521" i="12841"/>
  <c r="J535" i="12841"/>
  <c r="L535" i="12841" s="1"/>
  <c r="N878" i="12841"/>
  <c r="L878" i="12841"/>
  <c r="L739" i="12841"/>
  <c r="L617" i="12841"/>
  <c r="F1058" i="12841"/>
  <c r="F927" i="12841" s="1"/>
  <c r="J327" i="12841"/>
  <c r="L327" i="12841" s="1"/>
  <c r="L315" i="12841"/>
  <c r="L24" i="12841"/>
  <c r="C630" i="12841"/>
  <c r="C670" i="12841"/>
  <c r="F97" i="12841"/>
  <c r="F99" i="12841" s="1"/>
  <c r="F114" i="12841"/>
  <c r="L599" i="12841"/>
  <c r="F89" i="12841"/>
  <c r="J179" i="12841"/>
  <c r="J801" i="12841"/>
  <c r="L801" i="12841" s="1"/>
  <c r="L781" i="12841"/>
  <c r="J854" i="12841"/>
  <c r="L854" i="12841" s="1"/>
  <c r="L834" i="12841"/>
  <c r="L961" i="12841"/>
  <c r="L1054" i="12841" s="1"/>
  <c r="J882" i="12841"/>
  <c r="F1022" i="12841"/>
  <c r="F337" i="12841"/>
  <c r="F339" i="12841" s="1"/>
  <c r="L246" i="12841"/>
  <c r="J258" i="12841"/>
  <c r="L258" i="12841" s="1"/>
  <c r="J397" i="12841"/>
  <c r="L397" i="12841" s="1"/>
  <c r="L385" i="12841"/>
  <c r="J325" i="12841"/>
  <c r="L325" i="12841" s="1"/>
  <c r="L312" i="12841"/>
  <c r="I169" i="12841"/>
  <c r="J654" i="12841"/>
  <c r="L654" i="12841" s="1"/>
  <c r="L638" i="12841"/>
  <c r="I1000" i="12841"/>
  <c r="L725" i="12841" l="1"/>
  <c r="J806" i="12841"/>
  <c r="L806" i="12841" s="1"/>
  <c r="F946" i="12841"/>
  <c r="L783" i="12841"/>
  <c r="L744" i="12841"/>
  <c r="L838" i="12841"/>
  <c r="L731" i="12841" s="1"/>
  <c r="J612" i="12841"/>
  <c r="J690" i="12841" s="1"/>
  <c r="L835" i="12841"/>
  <c r="L728" i="12841" s="1"/>
  <c r="J884" i="12841"/>
  <c r="N884" i="12841" s="1"/>
  <c r="J233" i="12841"/>
  <c r="L836" i="12841"/>
  <c r="L920" i="12841"/>
  <c r="L901" i="12841" s="1"/>
  <c r="J357" i="12841"/>
  <c r="J841" i="12841"/>
  <c r="L841" i="12841" s="1"/>
  <c r="J885" i="12841"/>
  <c r="N885" i="12841" s="1"/>
  <c r="N879" i="12841"/>
  <c r="J812" i="12841"/>
  <c r="L812" i="12841" s="1"/>
  <c r="L759" i="12841" s="1"/>
  <c r="J219" i="12841"/>
  <c r="J441" i="12841"/>
  <c r="L441" i="12841" s="1"/>
  <c r="L616" i="12841"/>
  <c r="J288" i="12841"/>
  <c r="L288" i="12841" s="1"/>
  <c r="L747" i="12841"/>
  <c r="J267" i="12841"/>
  <c r="L267" i="12841" s="1"/>
  <c r="J322" i="12841"/>
  <c r="L322" i="12841" s="1"/>
  <c r="J547" i="12841"/>
  <c r="L547" i="12841" s="1"/>
  <c r="L460" i="12841"/>
  <c r="J198" i="12841"/>
  <c r="J512" i="12841"/>
  <c r="L512" i="12841" s="1"/>
  <c r="J427" i="12841"/>
  <c r="L427" i="12841" s="1"/>
  <c r="L354" i="12841"/>
  <c r="Q734" i="12841"/>
  <c r="N734" i="12841"/>
  <c r="J336" i="12841"/>
  <c r="L336" i="12841" s="1"/>
  <c r="J371" i="12841"/>
  <c r="J302" i="12841"/>
  <c r="L302" i="12841" s="1"/>
  <c r="J392" i="12841"/>
  <c r="L392" i="12841" s="1"/>
  <c r="J463" i="12841"/>
  <c r="J737" i="12841"/>
  <c r="Q737" i="12841" s="1"/>
  <c r="J788" i="12841"/>
  <c r="L788" i="12841" s="1"/>
  <c r="L923" i="12841"/>
  <c r="L904" i="12841" s="1"/>
  <c r="J177" i="12841"/>
  <c r="J459" i="12841" s="1"/>
  <c r="J471" i="12841" s="1"/>
  <c r="J533" i="12841"/>
  <c r="L533" i="12841" s="1"/>
  <c r="L463" i="12841" s="1"/>
  <c r="J477" i="12841"/>
  <c r="J253" i="12841"/>
  <c r="L253" i="12841" s="1"/>
  <c r="J406" i="12841"/>
  <c r="L406" i="12841" s="1"/>
  <c r="L467" i="12841"/>
  <c r="L188" i="12841" s="1"/>
  <c r="L346" i="12841"/>
  <c r="L453" i="12841"/>
  <c r="L167" i="12841" s="1"/>
  <c r="L465" i="12841"/>
  <c r="L186" i="12841" s="1"/>
  <c r="L749" i="12841"/>
  <c r="L748" i="12841"/>
  <c r="L171" i="12841"/>
  <c r="L169" i="12841"/>
  <c r="L727" i="12841"/>
  <c r="L882" i="12841"/>
  <c r="N882" i="12841"/>
  <c r="I630" i="12841"/>
  <c r="L212" i="12841"/>
  <c r="J511" i="12841"/>
  <c r="L511" i="12841" s="1"/>
  <c r="J532" i="12841"/>
  <c r="L532" i="12841" s="1"/>
  <c r="J476" i="12841"/>
  <c r="J440" i="12841"/>
  <c r="L440" i="12841" s="1"/>
  <c r="J405" i="12841"/>
  <c r="L405" i="12841" s="1"/>
  <c r="J287" i="12841"/>
  <c r="L287" i="12841" s="1"/>
  <c r="J218" i="12841"/>
  <c r="J462" i="12841"/>
  <c r="J426" i="12841"/>
  <c r="L426" i="12841" s="1"/>
  <c r="J391" i="12841"/>
  <c r="L391" i="12841" s="1"/>
  <c r="J356" i="12841"/>
  <c r="J266" i="12841"/>
  <c r="L266" i="12841" s="1"/>
  <c r="J197" i="12841"/>
  <c r="J335" i="12841"/>
  <c r="L335" i="12841" s="1"/>
  <c r="J497" i="12841"/>
  <c r="L497" i="12841" s="1"/>
  <c r="J321" i="12841"/>
  <c r="L321" i="12841" s="1"/>
  <c r="J301" i="12841"/>
  <c r="L301" i="12841" s="1"/>
  <c r="J370" i="12841"/>
  <c r="J232" i="12841"/>
  <c r="J546" i="12841"/>
  <c r="L546" i="12841" s="1"/>
  <c r="J252" i="12841"/>
  <c r="L252" i="12841" s="1"/>
  <c r="J176" i="12841"/>
  <c r="L350" i="12841"/>
  <c r="J545" i="12841"/>
  <c r="L545" i="12841" s="1"/>
  <c r="J496" i="12841"/>
  <c r="L496" i="12841" s="1"/>
  <c r="J461" i="12841"/>
  <c r="J425" i="12841"/>
  <c r="L425" i="12841" s="1"/>
  <c r="J390" i="12841"/>
  <c r="L390" i="12841" s="1"/>
  <c r="J334" i="12841"/>
  <c r="L334" i="12841" s="1"/>
  <c r="J355" i="12841"/>
  <c r="J300" i="12841"/>
  <c r="L300" i="12841" s="1"/>
  <c r="J231" i="12841"/>
  <c r="J369" i="12841"/>
  <c r="J320" i="12841"/>
  <c r="L320" i="12841" s="1"/>
  <c r="J251" i="12841"/>
  <c r="L251" i="12841" s="1"/>
  <c r="J510" i="12841"/>
  <c r="L510" i="12841" s="1"/>
  <c r="L475" i="12841" s="1"/>
  <c r="J475" i="12841"/>
  <c r="J286" i="12841"/>
  <c r="L286" i="12841" s="1"/>
  <c r="J439" i="12841"/>
  <c r="L439" i="12841" s="1"/>
  <c r="J265" i="12841"/>
  <c r="L265" i="12841" s="1"/>
  <c r="J531" i="12841"/>
  <c r="L531" i="12841" s="1"/>
  <c r="J217" i="12841"/>
  <c r="J196" i="12841"/>
  <c r="J404" i="12841"/>
  <c r="L404" i="12841" s="1"/>
  <c r="J175" i="12841"/>
  <c r="J501" i="12841"/>
  <c r="L501" i="12841" s="1"/>
  <c r="L487" i="12841"/>
  <c r="L732" i="12841"/>
  <c r="I97" i="12841"/>
  <c r="L216" i="12841"/>
  <c r="L362" i="12841"/>
  <c r="L366" i="12841"/>
  <c r="L752" i="12841"/>
  <c r="L753" i="12841"/>
  <c r="L472" i="12841"/>
  <c r="L209" i="12841"/>
  <c r="J94" i="12841"/>
  <c r="J93" i="12841"/>
  <c r="L726" i="12841"/>
  <c r="L451" i="12841"/>
  <c r="L165" i="12841" s="1"/>
  <c r="L1046" i="12841"/>
  <c r="L915" i="12841" s="1"/>
  <c r="L896" i="12841" s="1"/>
  <c r="L622" i="12841"/>
  <c r="L456" i="12841"/>
  <c r="F234" i="12841"/>
  <c r="L750" i="12841"/>
  <c r="C1146" i="12841"/>
  <c r="J1146" i="12841" s="1"/>
  <c r="L598" i="12841"/>
  <c r="F630" i="12841"/>
  <c r="F632" i="12841" s="1"/>
  <c r="L522" i="12841"/>
  <c r="J536" i="12841"/>
  <c r="L536" i="12841" s="1"/>
  <c r="I234" i="12841"/>
  <c r="L228" i="12841"/>
  <c r="L360" i="12841"/>
  <c r="L224" i="12841"/>
  <c r="L222" i="12841"/>
  <c r="N874" i="12841"/>
  <c r="N888" i="12841" s="1"/>
  <c r="L874" i="12841"/>
  <c r="J689" i="12841"/>
  <c r="J608" i="12841"/>
  <c r="J588" i="12841"/>
  <c r="J651" i="12841"/>
  <c r="J628" i="12841"/>
  <c r="L26" i="12841"/>
  <c r="L606" i="12841"/>
  <c r="J629" i="12841"/>
  <c r="L468" i="12841"/>
  <c r="L729" i="12841" l="1"/>
  <c r="J652" i="12841"/>
  <c r="L652" i="12841" s="1"/>
  <c r="J589" i="12841"/>
  <c r="J571" i="12841" s="1"/>
  <c r="L571" i="12841" s="1"/>
  <c r="J494" i="12841"/>
  <c r="J506" i="12841" s="1"/>
  <c r="L506" i="12841" s="1"/>
  <c r="L884" i="12841"/>
  <c r="L885" i="12841"/>
  <c r="J808" i="12841"/>
  <c r="L808" i="12841" s="1"/>
  <c r="L371" i="12841"/>
  <c r="J861" i="12841"/>
  <c r="L861" i="12841" s="1"/>
  <c r="J529" i="12841"/>
  <c r="L529" i="12841" s="1"/>
  <c r="J249" i="12841"/>
  <c r="J261" i="12841" s="1"/>
  <c r="L261" i="12841" s="1"/>
  <c r="J184" i="12841"/>
  <c r="J215" i="12841"/>
  <c r="J227" i="12841" s="1"/>
  <c r="J284" i="12841"/>
  <c r="L284" i="12841" s="1"/>
  <c r="J318" i="12841"/>
  <c r="L318" i="12841" s="1"/>
  <c r="L178" i="12841"/>
  <c r="J192" i="12841"/>
  <c r="N192" i="12841" s="1"/>
  <c r="J423" i="12841"/>
  <c r="L423" i="12841" s="1"/>
  <c r="J353" i="12841"/>
  <c r="J365" i="12841" s="1"/>
  <c r="N177" i="12841"/>
  <c r="J388" i="12841"/>
  <c r="J400" i="12841" s="1"/>
  <c r="L400" i="12841" s="1"/>
  <c r="Q177" i="12841"/>
  <c r="L356" i="12841"/>
  <c r="L218" i="12841"/>
  <c r="L219" i="12841"/>
  <c r="L233" i="12841"/>
  <c r="L813" i="12841"/>
  <c r="L370" i="12841"/>
  <c r="L476" i="12841"/>
  <c r="L357" i="12841"/>
  <c r="L477" i="12841"/>
  <c r="L170" i="12841"/>
  <c r="L452" i="12841"/>
  <c r="L166" i="12841" s="1"/>
  <c r="L369" i="12841"/>
  <c r="L355" i="12841"/>
  <c r="L462" i="12841"/>
  <c r="L189" i="12841"/>
  <c r="L174" i="12841"/>
  <c r="J330" i="12841"/>
  <c r="L330" i="12841" s="1"/>
  <c r="J435" i="12841"/>
  <c r="L435" i="12841" s="1"/>
  <c r="J110" i="12841"/>
  <c r="J95" i="12841"/>
  <c r="Q88" i="12841"/>
  <c r="L466" i="12841"/>
  <c r="L187" i="12841" s="1"/>
  <c r="L231" i="12841"/>
  <c r="F199" i="12841"/>
  <c r="F201" i="12841" s="1"/>
  <c r="F1243" i="12841" s="1"/>
  <c r="F1246" i="12841" s="1"/>
  <c r="F1253" i="12841" s="1"/>
  <c r="F236" i="12841"/>
  <c r="J111" i="12841"/>
  <c r="S94" i="12841"/>
  <c r="Q89" i="12841"/>
  <c r="J96" i="12841"/>
  <c r="L232" i="12841"/>
  <c r="J705" i="12841"/>
  <c r="L705" i="12841" s="1"/>
  <c r="L690" i="12841"/>
  <c r="J686" i="12841"/>
  <c r="J623" i="12841"/>
  <c r="N623" i="12841" s="1"/>
  <c r="J613" i="12841"/>
  <c r="Q613" i="12841" s="1"/>
  <c r="N608" i="12841"/>
  <c r="J648" i="12841"/>
  <c r="J566" i="12841"/>
  <c r="L566" i="12841" s="1"/>
  <c r="Q608" i="12841"/>
  <c r="J609" i="12841"/>
  <c r="I199" i="12841"/>
  <c r="J527" i="12841"/>
  <c r="J492" i="12841"/>
  <c r="J316" i="12841"/>
  <c r="J247" i="12841"/>
  <c r="Q175" i="12841"/>
  <c r="J386" i="12841"/>
  <c r="J351" i="12841"/>
  <c r="J363" i="12841" s="1"/>
  <c r="J190" i="12841"/>
  <c r="N190" i="12841" s="1"/>
  <c r="J457" i="12841"/>
  <c r="J469" i="12841" s="1"/>
  <c r="J282" i="12841"/>
  <c r="J182" i="12841"/>
  <c r="J213" i="12841"/>
  <c r="J225" i="12841" s="1"/>
  <c r="N175" i="12841"/>
  <c r="J421" i="12841"/>
  <c r="L461" i="12841"/>
  <c r="J704" i="12841"/>
  <c r="L704" i="12841" s="1"/>
  <c r="L689" i="12841"/>
  <c r="J1186" i="12841"/>
  <c r="L1186" i="12841" s="1"/>
  <c r="L1187" i="12841" s="1"/>
  <c r="J1173" i="12841"/>
  <c r="L1146" i="12841"/>
  <c r="J296" i="12841"/>
  <c r="L296" i="12841" s="1"/>
  <c r="J666" i="12841"/>
  <c r="L666" i="12841" s="1"/>
  <c r="L651" i="12841"/>
  <c r="J528" i="12841"/>
  <c r="J387" i="12841"/>
  <c r="J493" i="12841"/>
  <c r="J283" i="12841"/>
  <c r="J214" i="12841"/>
  <c r="J226" i="12841" s="1"/>
  <c r="J458" i="12841"/>
  <c r="J470" i="12841" s="1"/>
  <c r="J352" i="12841"/>
  <c r="J364" i="12841" s="1"/>
  <c r="N176" i="12841"/>
  <c r="J248" i="12841"/>
  <c r="J422" i="12841"/>
  <c r="J191" i="12841"/>
  <c r="N191" i="12841" s="1"/>
  <c r="J317" i="12841"/>
  <c r="J183" i="12841"/>
  <c r="Q176" i="12841"/>
  <c r="J667" i="12841"/>
  <c r="L667" i="12841" s="1"/>
  <c r="J570" i="12841"/>
  <c r="L570" i="12841" s="1"/>
  <c r="L588" i="12841"/>
  <c r="L193" i="12841"/>
  <c r="L217" i="12841"/>
  <c r="L734" i="12841"/>
  <c r="S96" i="12841" l="1"/>
  <c r="L589" i="12841"/>
  <c r="L249" i="12841"/>
  <c r="L215" i="12841" s="1"/>
  <c r="L494" i="12841"/>
  <c r="L459" i="12841" s="1"/>
  <c r="J541" i="12841"/>
  <c r="L541" i="12841" s="1"/>
  <c r="L471" i="12841" s="1"/>
  <c r="L181" i="12841"/>
  <c r="L755" i="12841"/>
  <c r="L180" i="12841"/>
  <c r="L866" i="12841"/>
  <c r="L760" i="12841" s="1"/>
  <c r="L388" i="12841"/>
  <c r="L353" i="12841" s="1"/>
  <c r="L198" i="12841"/>
  <c r="L629" i="12841"/>
  <c r="L197" i="12841"/>
  <c r="L196" i="12841"/>
  <c r="L179" i="12841"/>
  <c r="L611" i="12841"/>
  <c r="L365" i="12841"/>
  <c r="L612" i="12841"/>
  <c r="L628" i="12841"/>
  <c r="J540" i="12841"/>
  <c r="L540" i="12841" s="1"/>
  <c r="L528" i="12841"/>
  <c r="J328" i="12841"/>
  <c r="L328" i="12841" s="1"/>
  <c r="L316" i="12841"/>
  <c r="L648" i="12841"/>
  <c r="J661" i="12841"/>
  <c r="L661" i="12841" s="1"/>
  <c r="J699" i="12841"/>
  <c r="L699" i="12841" s="1"/>
  <c r="L686" i="12841"/>
  <c r="J125" i="12841"/>
  <c r="L110" i="12841"/>
  <c r="J329" i="12841"/>
  <c r="L329" i="12841" s="1"/>
  <c r="L317" i="12841"/>
  <c r="L283" i="12841"/>
  <c r="J295" i="12841"/>
  <c r="L295" i="12841" s="1"/>
  <c r="J433" i="12841"/>
  <c r="L433" i="12841" s="1"/>
  <c r="L421" i="12841"/>
  <c r="J294" i="12841"/>
  <c r="L294" i="12841" s="1"/>
  <c r="L282" i="12841"/>
  <c r="L386" i="12841"/>
  <c r="J398" i="12841"/>
  <c r="L398" i="12841" s="1"/>
  <c r="J504" i="12841"/>
  <c r="L504" i="12841" s="1"/>
  <c r="L492" i="12841"/>
  <c r="J687" i="12841"/>
  <c r="J624" i="12841"/>
  <c r="N624" i="12841" s="1"/>
  <c r="J610" i="12841"/>
  <c r="Q609" i="12841"/>
  <c r="N609" i="12841"/>
  <c r="J649" i="12841"/>
  <c r="J614" i="12841"/>
  <c r="Q614" i="12841" s="1"/>
  <c r="J567" i="12841"/>
  <c r="J505" i="12841"/>
  <c r="L505" i="12841" s="1"/>
  <c r="L493" i="12841"/>
  <c r="J539" i="12841"/>
  <c r="L539" i="12841" s="1"/>
  <c r="L527" i="12841"/>
  <c r="J434" i="12841"/>
  <c r="L434" i="12841" s="1"/>
  <c r="L422" i="12841"/>
  <c r="J399" i="12841"/>
  <c r="L399" i="12841" s="1"/>
  <c r="L387" i="12841"/>
  <c r="L1173" i="12841"/>
  <c r="L1175" i="12841" s="1"/>
  <c r="J1174" i="12841"/>
  <c r="J259" i="12841"/>
  <c r="L259" i="12841" s="1"/>
  <c r="L247" i="12841"/>
  <c r="J126" i="12841"/>
  <c r="L111" i="12841"/>
  <c r="J260" i="12841"/>
  <c r="L260" i="12841" s="1"/>
  <c r="L248" i="12841"/>
  <c r="L227" i="12841"/>
  <c r="L363" i="12841" l="1"/>
  <c r="L192" i="12841"/>
  <c r="L214" i="12841"/>
  <c r="L177" i="12841"/>
  <c r="L364" i="12841"/>
  <c r="L548" i="12841"/>
  <c r="L337" i="12841"/>
  <c r="L226" i="12841"/>
  <c r="J140" i="12841"/>
  <c r="L125" i="12841"/>
  <c r="L469" i="12841"/>
  <c r="L268" i="12841"/>
  <c r="L352" i="12841"/>
  <c r="L470" i="12841"/>
  <c r="J700" i="12841"/>
  <c r="L700" i="12841" s="1"/>
  <c r="L687" i="12841"/>
  <c r="L351" i="12841"/>
  <c r="L407" i="12841"/>
  <c r="L112" i="12841"/>
  <c r="L623" i="12841"/>
  <c r="J141" i="12841"/>
  <c r="L126" i="12841"/>
  <c r="L567" i="12841"/>
  <c r="J587" i="12841"/>
  <c r="L587" i="12841" s="1"/>
  <c r="J580" i="12841"/>
  <c r="L580" i="12841" s="1"/>
  <c r="L457" i="12841"/>
  <c r="L513" i="12841"/>
  <c r="L213" i="12841"/>
  <c r="L303" i="12841"/>
  <c r="L608" i="12841"/>
  <c r="J650" i="12841"/>
  <c r="J625" i="12841"/>
  <c r="N625" i="12841" s="1"/>
  <c r="N610" i="12841"/>
  <c r="J688" i="12841"/>
  <c r="Q610" i="12841"/>
  <c r="J568" i="12841"/>
  <c r="L225" i="12841"/>
  <c r="L1147" i="12841"/>
  <c r="L458" i="12841"/>
  <c r="L649" i="12841"/>
  <c r="L609" i="12841" s="1"/>
  <c r="J662" i="12841"/>
  <c r="L662" i="12841" s="1"/>
  <c r="L442" i="12841"/>
  <c r="L176" i="12841" l="1"/>
  <c r="L127" i="12841"/>
  <c r="L175" i="12841"/>
  <c r="L191" i="12841"/>
  <c r="J156" i="12841"/>
  <c r="L156" i="12841" s="1"/>
  <c r="L141" i="12841"/>
  <c r="L624" i="12841"/>
  <c r="J663" i="12841"/>
  <c r="L663" i="12841" s="1"/>
  <c r="L650" i="12841"/>
  <c r="L372" i="12841"/>
  <c r="J701" i="12841"/>
  <c r="L701" i="12841" s="1"/>
  <c r="L688" i="12841"/>
  <c r="L478" i="12841"/>
  <c r="L190" i="12841"/>
  <c r="J155" i="12841"/>
  <c r="L155" i="12841" s="1"/>
  <c r="L140" i="12841"/>
  <c r="L568" i="12841"/>
  <c r="J581" i="12841"/>
  <c r="L581" i="12841" s="1"/>
  <c r="L234" i="12841"/>
  <c r="L706" i="12841" l="1"/>
  <c r="L157" i="12841"/>
  <c r="L590" i="12841"/>
  <c r="L592" i="12841" s="1"/>
  <c r="L94" i="12841"/>
  <c r="L625" i="12841"/>
  <c r="L668" i="12841"/>
  <c r="L199" i="12841"/>
  <c r="L142" i="12841"/>
  <c r="L93" i="12841"/>
  <c r="L610" i="12841"/>
  <c r="L630" i="12841" l="1"/>
  <c r="L97" i="12841"/>
  <c r="I1245" i="12841" l="1"/>
  <c r="L1245" i="12841" s="1"/>
  <c r="C1076" i="12841" l="1"/>
  <c r="C1188" i="12841"/>
  <c r="C1189" i="12841" s="1"/>
  <c r="C1176" i="12841"/>
  <c r="C1239" i="12841"/>
  <c r="C1240" i="12841" s="1"/>
  <c r="I1136" i="12841"/>
  <c r="I1123" i="12841"/>
  <c r="C128" i="12841"/>
  <c r="C129" i="12841" s="1"/>
  <c r="C158" i="12841"/>
  <c r="C159" i="12841" s="1"/>
  <c r="C1136" i="12841"/>
  <c r="C1137" i="12841" s="1"/>
  <c r="C867" i="12841"/>
  <c r="C868" i="12841" s="1"/>
  <c r="C814" i="12841"/>
  <c r="C1123" i="12841"/>
  <c r="C1124" i="12841" s="1"/>
  <c r="I1176" i="12841"/>
  <c r="I1188" i="12841"/>
  <c r="I1239" i="12841"/>
  <c r="C143" i="12841"/>
  <c r="C144" i="12841" s="1"/>
  <c r="I814" i="12841"/>
  <c r="I867" i="12841"/>
  <c r="C1095" i="12841"/>
  <c r="C1096" i="12841" s="1"/>
  <c r="L1188" i="12841" l="1"/>
  <c r="L1189" i="12841" s="1"/>
  <c r="I1189" i="12841"/>
  <c r="L814" i="12841"/>
  <c r="L815" i="12841" s="1"/>
  <c r="I761" i="12841"/>
  <c r="I815" i="12841"/>
  <c r="L1239" i="12841"/>
  <c r="L1240" i="12841" s="1"/>
  <c r="I1240" i="12841"/>
  <c r="C761" i="12841"/>
  <c r="C762" i="12841" s="1"/>
  <c r="C815" i="12841"/>
  <c r="C926" i="12841"/>
  <c r="C907" i="12841" s="1"/>
  <c r="C908" i="12841" s="1"/>
  <c r="I982" i="12841"/>
  <c r="C1077" i="12841"/>
  <c r="C927" i="12841" s="1"/>
  <c r="C1039" i="12841"/>
  <c r="C982" i="12841"/>
  <c r="L867" i="12841"/>
  <c r="L868" i="12841" s="1"/>
  <c r="I868" i="12841"/>
  <c r="I1148" i="12841"/>
  <c r="L1176" i="12841"/>
  <c r="L1177" i="12841" s="1"/>
  <c r="I1177" i="12841"/>
  <c r="L1123" i="12841"/>
  <c r="L1124" i="12841" s="1"/>
  <c r="I1124" i="12841"/>
  <c r="C1148" i="12841"/>
  <c r="C1149" i="12841" s="1"/>
  <c r="C1177" i="12841"/>
  <c r="L1136" i="12841"/>
  <c r="L1137" i="12841" s="1"/>
  <c r="I1137" i="12841"/>
  <c r="I304" i="12841"/>
  <c r="I514" i="12841"/>
  <c r="I408" i="12841"/>
  <c r="I128" i="12841"/>
  <c r="I143" i="12841"/>
  <c r="I45" i="12841"/>
  <c r="I669" i="12841"/>
  <c r="I113" i="12841"/>
  <c r="I1201" i="12841"/>
  <c r="I63" i="12841"/>
  <c r="I338" i="12841"/>
  <c r="I707" i="12841"/>
  <c r="I549" i="12841"/>
  <c r="I889" i="12841"/>
  <c r="I81" i="12841"/>
  <c r="C113" i="12841"/>
  <c r="I443" i="12841"/>
  <c r="I1095" i="12841"/>
  <c r="C81" i="12841"/>
  <c r="C82" i="12841" s="1"/>
  <c r="C889" i="12841"/>
  <c r="C890" i="12841" s="1"/>
  <c r="C707" i="12841"/>
  <c r="C549" i="12841"/>
  <c r="C443" i="12841"/>
  <c r="C338" i="12841"/>
  <c r="C45" i="12841"/>
  <c r="C269" i="12841"/>
  <c r="C233" i="12841" l="1"/>
  <c r="C198" i="12841" s="1"/>
  <c r="C339" i="12841"/>
  <c r="C479" i="12841"/>
  <c r="C480" i="12841" s="1"/>
  <c r="C550" i="12841"/>
  <c r="L707" i="12841"/>
  <c r="L708" i="12841" s="1"/>
  <c r="I708" i="12841"/>
  <c r="L304" i="12841"/>
  <c r="L305" i="12841" s="1"/>
  <c r="I305" i="12841"/>
  <c r="L982" i="12841"/>
  <c r="I983" i="12841"/>
  <c r="I945" i="12841"/>
  <c r="I1021" i="12841"/>
  <c r="I1057" i="12841"/>
  <c r="L443" i="12841"/>
  <c r="L444" i="12841" s="1"/>
  <c r="I444" i="12841"/>
  <c r="L63" i="12841"/>
  <c r="L64" i="12841" s="1"/>
  <c r="I64" i="12841"/>
  <c r="Q1240" i="12841"/>
  <c r="P1241" i="12841"/>
  <c r="L549" i="12841"/>
  <c r="L550" i="12841" s="1"/>
  <c r="I550" i="12841"/>
  <c r="L113" i="12841"/>
  <c r="L114" i="12841" s="1"/>
  <c r="I114" i="12841"/>
  <c r="L128" i="12841"/>
  <c r="L129" i="12841" s="1"/>
  <c r="I129" i="12841"/>
  <c r="L514" i="12841"/>
  <c r="L515" i="12841" s="1"/>
  <c r="I479" i="12841"/>
  <c r="I515" i="12841"/>
  <c r="Q1137" i="12841"/>
  <c r="P1138" i="12841"/>
  <c r="Q1124" i="12841"/>
  <c r="P1125" i="12841"/>
  <c r="L761" i="12841"/>
  <c r="L762" i="12841" s="1"/>
  <c r="P763" i="12841" s="1"/>
  <c r="I762" i="12841"/>
  <c r="L1095" i="12841"/>
  <c r="I1096" i="12841"/>
  <c r="C98" i="12841"/>
  <c r="C99" i="12841" s="1"/>
  <c r="C114" i="12841"/>
  <c r="I27" i="12841"/>
  <c r="L45" i="12841"/>
  <c r="L46" i="12841" s="1"/>
  <c r="I46" i="12841"/>
  <c r="L81" i="12841"/>
  <c r="L82" i="12841" s="1"/>
  <c r="I82" i="12841"/>
  <c r="C983" i="12841"/>
  <c r="C945" i="12841"/>
  <c r="C946" i="12841" s="1"/>
  <c r="I1039" i="12841"/>
  <c r="I1076" i="12841"/>
  <c r="C235" i="12841"/>
  <c r="C270" i="12841"/>
  <c r="C27" i="12841"/>
  <c r="C28" i="12841" s="1"/>
  <c r="C46" i="12841"/>
  <c r="C373" i="12841"/>
  <c r="C374" i="12841" s="1"/>
  <c r="C444" i="12841"/>
  <c r="C708" i="12841"/>
  <c r="C631" i="12841"/>
  <c r="C632" i="12841" s="1"/>
  <c r="L889" i="12841"/>
  <c r="I890" i="12841"/>
  <c r="L338" i="12841"/>
  <c r="L339" i="12841" s="1"/>
  <c r="I339" i="12841"/>
  <c r="L1201" i="12841"/>
  <c r="L1202" i="12841" s="1"/>
  <c r="P1203" i="12841" s="1"/>
  <c r="I1202" i="12841"/>
  <c r="L669" i="12841"/>
  <c r="L670" i="12841" s="1"/>
  <c r="I631" i="12841"/>
  <c r="I670" i="12841"/>
  <c r="L143" i="12841"/>
  <c r="L144" i="12841" s="1"/>
  <c r="I144" i="12841"/>
  <c r="L408" i="12841"/>
  <c r="L409" i="12841" s="1"/>
  <c r="I373" i="12841"/>
  <c r="I409" i="12841"/>
  <c r="L1148" i="12841"/>
  <c r="L1149" i="12841" s="1"/>
  <c r="I1149" i="12841"/>
  <c r="C1040" i="12841"/>
  <c r="C1001" i="12841"/>
  <c r="C1002" i="12841" s="1"/>
  <c r="I158" i="12841"/>
  <c r="I269" i="12841"/>
  <c r="L269" i="12841" l="1"/>
  <c r="L270" i="12841" s="1"/>
  <c r="I235" i="12841"/>
  <c r="I270" i="12841"/>
  <c r="L158" i="12841"/>
  <c r="L159" i="12841" s="1"/>
  <c r="I159" i="12841"/>
  <c r="L631" i="12841"/>
  <c r="L632" i="12841" s="1"/>
  <c r="P633" i="12841" s="1"/>
  <c r="I632" i="12841"/>
  <c r="L1076" i="12841"/>
  <c r="I1077" i="12841"/>
  <c r="L27" i="12841"/>
  <c r="L28" i="12841" s="1"/>
  <c r="I28" i="12841"/>
  <c r="L479" i="12841"/>
  <c r="L480" i="12841" s="1"/>
  <c r="I480" i="12841"/>
  <c r="L1021" i="12841"/>
  <c r="I1001" i="12841"/>
  <c r="I1022" i="12841"/>
  <c r="Q1149" i="12841"/>
  <c r="S1155" i="12841"/>
  <c r="P1150" i="12841"/>
  <c r="L1039" i="12841"/>
  <c r="I1040" i="12841"/>
  <c r="I98" i="12841"/>
  <c r="L945" i="12841"/>
  <c r="I946" i="12841"/>
  <c r="L373" i="12841"/>
  <c r="L374" i="12841" s="1"/>
  <c r="I374" i="12841"/>
  <c r="C200" i="12841"/>
  <c r="C201" i="12841" s="1"/>
  <c r="C1243" i="12841" s="1"/>
  <c r="C1246" i="12841" s="1"/>
  <c r="C236" i="12841"/>
  <c r="L1057" i="12841"/>
  <c r="I926" i="12841"/>
  <c r="I907" i="12841" s="1"/>
  <c r="I908" i="12841" s="1"/>
  <c r="I1058" i="12841"/>
  <c r="I927" i="12841" l="1"/>
  <c r="L926" i="12841"/>
  <c r="L907" i="12841" s="1"/>
  <c r="L98" i="12841"/>
  <c r="L99" i="12841" s="1"/>
  <c r="P100" i="12841" s="1"/>
  <c r="I99" i="12841"/>
  <c r="L1001" i="12841"/>
  <c r="I1002" i="12841"/>
  <c r="P29" i="12841"/>
  <c r="I200" i="12841"/>
  <c r="L235" i="12841"/>
  <c r="L236" i="12841" s="1"/>
  <c r="I236" i="12841"/>
  <c r="L200" i="12841" l="1"/>
  <c r="L201" i="12841" s="1"/>
  <c r="P202" i="12841" s="1"/>
  <c r="I201" i="12841"/>
  <c r="I1243" i="12841" s="1"/>
  <c r="I1246" i="12841" s="1"/>
  <c r="C1250" i="12841" l="1"/>
  <c r="P1096" i="12841" l="1"/>
  <c r="C1251" i="12841"/>
  <c r="C1253" i="12841" s="1"/>
  <c r="P927" i="12841" l="1"/>
  <c r="P908" i="12841"/>
  <c r="P1243" i="12841" l="1"/>
  <c r="I1250" i="12841" l="1"/>
  <c r="I1251" i="12841" l="1"/>
  <c r="I1253" i="12841" s="1"/>
  <c r="G126" i="12822" l="1"/>
  <c r="C126" i="12822"/>
  <c r="L117" i="12822"/>
  <c r="F116" i="12822" s="1"/>
  <c r="H116" i="12822" s="1"/>
  <c r="F115" i="12822" l="1"/>
  <c r="H115" i="12822" s="1"/>
  <c r="B115" i="12822"/>
  <c r="F123" i="12822"/>
  <c r="H123" i="12822" s="1"/>
  <c r="B123" i="12822"/>
  <c r="F119" i="12822"/>
  <c r="H119" i="12822" s="1"/>
  <c r="B119" i="12822"/>
  <c r="B126" i="12822"/>
  <c r="B122" i="12822"/>
  <c r="B118" i="12822"/>
  <c r="F126" i="12822"/>
  <c r="H126" i="12822" s="1"/>
  <c r="F122" i="12822"/>
  <c r="H122" i="12822" s="1"/>
  <c r="F118" i="12822"/>
  <c r="H118" i="12822" s="1"/>
  <c r="B125" i="12822"/>
  <c r="B121" i="12822"/>
  <c r="B117" i="12822"/>
  <c r="F125" i="12822"/>
  <c r="H125" i="12822" s="1"/>
  <c r="F121" i="12822"/>
  <c r="H121" i="12822" s="1"/>
  <c r="F117" i="12822"/>
  <c r="H117" i="12822" s="1"/>
  <c r="B124" i="12822"/>
  <c r="B120" i="12822"/>
  <c r="B116" i="12822"/>
  <c r="F124" i="12822"/>
  <c r="H124" i="12822" s="1"/>
  <c r="F120" i="12822"/>
  <c r="H120" i="12822" s="1"/>
  <c r="F127" i="12822" l="1"/>
  <c r="H127" i="12822"/>
  <c r="D117" i="12822"/>
  <c r="D121" i="12822"/>
  <c r="D125" i="12822"/>
  <c r="D126" i="12822"/>
  <c r="D124" i="12822"/>
  <c r="D123" i="12822"/>
  <c r="D122" i="12822"/>
  <c r="D120" i="12822"/>
  <c r="D119" i="12822"/>
  <c r="D118" i="12822"/>
  <c r="D116" i="12822"/>
  <c r="D115" i="12822"/>
  <c r="C1027" i="12843" l="1"/>
  <c r="C1025" i="12767"/>
  <c r="C1027" i="12767" s="1"/>
  <c r="P1027" i="12767" s="1"/>
  <c r="D127" i="12822"/>
  <c r="H49" i="12812" s="1"/>
  <c r="B127" i="12822"/>
  <c r="C969" i="12843" s="1"/>
  <c r="AD19" i="12774" l="1"/>
  <c r="C971" i="12843"/>
  <c r="P969" i="12843"/>
  <c r="C972" i="12843"/>
  <c r="C949" i="12843"/>
  <c r="I969" i="12843"/>
  <c r="I972" i="12843" s="1"/>
  <c r="F969" i="12843"/>
  <c r="F972" i="12843" s="1"/>
  <c r="C1029" i="12843"/>
  <c r="F1027" i="12843"/>
  <c r="P1027" i="12843"/>
  <c r="C1063" i="12843"/>
  <c r="C1006" i="12843"/>
  <c r="C1030" i="12843"/>
  <c r="I1027" i="12843"/>
  <c r="AD19" i="12775"/>
  <c r="J49" i="12811"/>
  <c r="C968" i="12767"/>
  <c r="C970" i="12767" s="1"/>
  <c r="C1063" i="12767" s="1"/>
  <c r="L1204" i="12767"/>
  <c r="P1204" i="12767" s="1"/>
  <c r="T1204" i="12767" s="1"/>
  <c r="X1204" i="12767" s="1"/>
  <c r="C1010" i="12843" l="1"/>
  <c r="C1008" i="12843"/>
  <c r="I1006" i="12843"/>
  <c r="F1006" i="12843"/>
  <c r="F1010" i="12843" s="1"/>
  <c r="C951" i="12843"/>
  <c r="I1030" i="12843"/>
  <c r="I1063" i="12843"/>
  <c r="P1063" i="12843"/>
  <c r="P912" i="12843" s="1"/>
  <c r="P971" i="12843"/>
  <c r="T971" i="12843"/>
  <c r="C1065" i="12843"/>
  <c r="T1029" i="12843"/>
  <c r="P1029" i="12843"/>
  <c r="C1066" i="12843"/>
  <c r="F1063" i="12843"/>
  <c r="F931" i="12843" s="1"/>
  <c r="F912" i="12843" s="1"/>
  <c r="F1030" i="12843"/>
  <c r="F1066" i="12843" s="1"/>
  <c r="I949" i="12843"/>
  <c r="I953" i="12843" s="1"/>
  <c r="F949" i="12843"/>
  <c r="F953" i="12843" s="1"/>
  <c r="C953" i="12843"/>
  <c r="C934" i="12843" s="1"/>
  <c r="C931" i="12843"/>
  <c r="C912" i="12843" s="1"/>
  <c r="C1026" i="12767"/>
  <c r="C1023" i="12767"/>
  <c r="C1021" i="12767"/>
  <c r="C1018" i="12767"/>
  <c r="P1065" i="12843" l="1"/>
  <c r="F934" i="12843"/>
  <c r="F915" i="12843" s="1"/>
  <c r="I1066" i="12843"/>
  <c r="C914" i="12843"/>
  <c r="C915" i="12843"/>
  <c r="T1065" i="12843"/>
  <c r="I931" i="12843"/>
  <c r="I912" i="12843" s="1"/>
  <c r="I1010" i="12843"/>
  <c r="I934" i="12843" s="1"/>
  <c r="I915" i="12843" s="1"/>
  <c r="C933" i="12843"/>
  <c r="U74" i="12822"/>
  <c r="T74" i="12822"/>
  <c r="S74" i="12822"/>
  <c r="F109" i="12822" l="1"/>
  <c r="E109" i="12822"/>
  <c r="C91" i="12822"/>
  <c r="H74" i="12822"/>
  <c r="G74" i="12822"/>
  <c r="F74" i="12822"/>
  <c r="F57" i="12822"/>
  <c r="E57" i="12822"/>
  <c r="F39" i="12822"/>
  <c r="E39" i="12822"/>
  <c r="F21" i="12822"/>
  <c r="E21" i="12822"/>
  <c r="B99" i="12822" l="1"/>
  <c r="B100" i="12822"/>
  <c r="B101" i="12822"/>
  <c r="B102" i="12822"/>
  <c r="B103" i="12822"/>
  <c r="B104" i="12822"/>
  <c r="B105" i="12822"/>
  <c r="B106" i="12822"/>
  <c r="B107" i="12822"/>
  <c r="B108" i="12822"/>
  <c r="B109" i="12822"/>
  <c r="B98" i="12822"/>
  <c r="L100" i="12822"/>
  <c r="B81" i="12822"/>
  <c r="B82" i="12822"/>
  <c r="B83" i="12822"/>
  <c r="B84" i="12822"/>
  <c r="B85" i="12822"/>
  <c r="B86" i="12822"/>
  <c r="B87" i="12822"/>
  <c r="B88" i="12822"/>
  <c r="B89" i="12822"/>
  <c r="B90" i="12822"/>
  <c r="B91" i="12822"/>
  <c r="B80" i="12822"/>
  <c r="B47" i="12822"/>
  <c r="B48" i="12822"/>
  <c r="B49" i="12822"/>
  <c r="B50" i="12822"/>
  <c r="B51" i="12822"/>
  <c r="B52" i="12822"/>
  <c r="B53" i="12822"/>
  <c r="B54" i="12822"/>
  <c r="B55" i="12822"/>
  <c r="B56" i="12822"/>
  <c r="B57" i="12822"/>
  <c r="B46" i="12822"/>
  <c r="B29" i="12822"/>
  <c r="B30" i="12822"/>
  <c r="B31" i="12822"/>
  <c r="B32" i="12822"/>
  <c r="B33" i="12822"/>
  <c r="B34" i="12822"/>
  <c r="B35" i="12822"/>
  <c r="B36" i="12822"/>
  <c r="B37" i="12822"/>
  <c r="B38" i="12822"/>
  <c r="B39" i="12822"/>
  <c r="B28" i="12822"/>
  <c r="B11" i="12822"/>
  <c r="B12" i="12822"/>
  <c r="B13" i="12822"/>
  <c r="B14" i="12822"/>
  <c r="B15" i="12822"/>
  <c r="B16" i="12822"/>
  <c r="B17" i="12822"/>
  <c r="B18" i="12822"/>
  <c r="B19" i="12822"/>
  <c r="B20" i="12822"/>
  <c r="B21" i="12822"/>
  <c r="B10" i="12822"/>
  <c r="B110" i="12822" l="1"/>
  <c r="Q46" i="12839"/>
  <c r="AJ46" i="12839" s="1"/>
  <c r="P46" i="12839"/>
  <c r="AI46" i="12839" s="1"/>
  <c r="Q45" i="12839"/>
  <c r="AJ45" i="12839" s="1"/>
  <c r="P45" i="12839"/>
  <c r="AI45" i="12839" s="1"/>
  <c r="Q44" i="12839"/>
  <c r="AJ44" i="12839" s="1"/>
  <c r="P44" i="12839"/>
  <c r="AI44" i="12839" s="1"/>
  <c r="Q43" i="12839"/>
  <c r="P43" i="12839"/>
  <c r="Q39" i="12839"/>
  <c r="Q40" i="12839" s="1"/>
  <c r="P39" i="12839"/>
  <c r="P40" i="12839" s="1"/>
  <c r="AM35" i="12839"/>
  <c r="AL35" i="12839"/>
  <c r="AK35" i="12839"/>
  <c r="AJ35" i="12839"/>
  <c r="AI35" i="12839"/>
  <c r="AH35" i="12839"/>
  <c r="AG35" i="12839"/>
  <c r="AF35" i="12839"/>
  <c r="AE35" i="12839"/>
  <c r="AD35" i="12839"/>
  <c r="AC35" i="12839"/>
  <c r="AB35" i="12839"/>
  <c r="AA35" i="12839"/>
  <c r="Z35" i="12839"/>
  <c r="Y35" i="12839"/>
  <c r="U35" i="12839"/>
  <c r="Q34" i="12839"/>
  <c r="AJ34" i="12839" s="1"/>
  <c r="P34" i="12839"/>
  <c r="AI34" i="12839" s="1"/>
  <c r="Q33" i="12839"/>
  <c r="AJ33" i="12839" s="1"/>
  <c r="P33" i="12839"/>
  <c r="AI33" i="12839" s="1"/>
  <c r="Q32" i="12839"/>
  <c r="AJ32" i="12839" s="1"/>
  <c r="P32" i="12839"/>
  <c r="AI32" i="12839" s="1"/>
  <c r="Q31" i="12839"/>
  <c r="AJ31" i="12839" s="1"/>
  <c r="P31" i="12839"/>
  <c r="AI31" i="12839" s="1"/>
  <c r="Q30" i="12839"/>
  <c r="P30" i="12839"/>
  <c r="Q26" i="12839"/>
  <c r="AJ26" i="12839" s="1"/>
  <c r="P26" i="12839"/>
  <c r="AI26" i="12839" s="1"/>
  <c r="Q25" i="12839"/>
  <c r="AJ25" i="12839" s="1"/>
  <c r="P25" i="12839"/>
  <c r="AI25" i="12839" s="1"/>
  <c r="Q24" i="12839"/>
  <c r="AJ24" i="12839" s="1"/>
  <c r="P24" i="12839"/>
  <c r="AI24" i="12839" s="1"/>
  <c r="Q23" i="12839"/>
  <c r="AJ23" i="12839" s="1"/>
  <c r="P23" i="12839"/>
  <c r="AI23" i="12839" s="1"/>
  <c r="Q22" i="12839"/>
  <c r="P22" i="12839"/>
  <c r="P27" i="12839" s="1"/>
  <c r="W18" i="12839"/>
  <c r="Q18" i="12839"/>
  <c r="AJ18" i="12839" s="1"/>
  <c r="P18" i="12839"/>
  <c r="W17" i="12839"/>
  <c r="Q17" i="12839"/>
  <c r="AJ17" i="12839" s="1"/>
  <c r="P17" i="12839"/>
  <c r="Q16" i="12839"/>
  <c r="AJ16" i="12839" s="1"/>
  <c r="P16" i="12839"/>
  <c r="AI16" i="12839" s="1"/>
  <c r="Q15" i="12839"/>
  <c r="P15" i="12839"/>
  <c r="F10" i="12839"/>
  <c r="Y9" i="12839" s="1"/>
  <c r="C8" i="12839"/>
  <c r="N16" i="12839"/>
  <c r="L23" i="12839"/>
  <c r="M17" i="12839"/>
  <c r="O39" i="12839"/>
  <c r="N32" i="12839"/>
  <c r="M46" i="12839"/>
  <c r="M33" i="12839"/>
  <c r="O33" i="12839"/>
  <c r="O31" i="12839"/>
  <c r="O34" i="12839"/>
  <c r="L26" i="12839"/>
  <c r="N34" i="12839"/>
  <c r="N18" i="12839"/>
  <c r="N43" i="12839"/>
  <c r="M16" i="12839"/>
  <c r="M18" i="12839"/>
  <c r="M24" i="12839"/>
  <c r="L16" i="12839"/>
  <c r="O25" i="12839"/>
  <c r="L30" i="12839"/>
  <c r="M43" i="12839"/>
  <c r="M23" i="12839"/>
  <c r="N15" i="12839"/>
  <c r="M32" i="12839"/>
  <c r="O22" i="12839"/>
  <c r="O30" i="12839"/>
  <c r="O16" i="12839"/>
  <c r="M39" i="12839"/>
  <c r="O23" i="12839"/>
  <c r="L25" i="12839"/>
  <c r="M25" i="12839"/>
  <c r="N44" i="12839"/>
  <c r="O44" i="12839"/>
  <c r="N23" i="12839"/>
  <c r="L34" i="12839"/>
  <c r="L22" i="12839"/>
  <c r="N22" i="12839"/>
  <c r="M45" i="12839"/>
  <c r="O18" i="12839"/>
  <c r="N31" i="12839"/>
  <c r="N46" i="12839"/>
  <c r="N39" i="12839"/>
  <c r="L18" i="12839"/>
  <c r="O43" i="12839"/>
  <c r="L24" i="12839"/>
  <c r="O24" i="12839"/>
  <c r="N24" i="12839"/>
  <c r="L15" i="12839"/>
  <c r="N25" i="12839"/>
  <c r="N30" i="12839"/>
  <c r="L39" i="12839"/>
  <c r="N45" i="12839"/>
  <c r="M44" i="12839"/>
  <c r="M31" i="12839"/>
  <c r="L32" i="12839"/>
  <c r="N26" i="12839"/>
  <c r="L31" i="12839"/>
  <c r="L46" i="12839"/>
  <c r="O46" i="12839"/>
  <c r="N33" i="12839"/>
  <c r="O26" i="12839"/>
  <c r="M15" i="12839"/>
  <c r="L43" i="12839"/>
  <c r="O45" i="12839"/>
  <c r="L33" i="12839"/>
  <c r="O15" i="12839"/>
  <c r="L45" i="12839"/>
  <c r="M26" i="12839"/>
  <c r="N17" i="12839"/>
  <c r="L17" i="12839"/>
  <c r="O32" i="12839"/>
  <c r="M22" i="12839"/>
  <c r="O17" i="12839"/>
  <c r="M34" i="12839"/>
  <c r="L44" i="12839"/>
  <c r="M30" i="12839"/>
  <c r="AI18" i="12839" l="1"/>
  <c r="AI17" i="12839"/>
  <c r="Q27" i="12839"/>
  <c r="P36" i="12839"/>
  <c r="P47" i="12839"/>
  <c r="Q19" i="12839"/>
  <c r="Q36" i="12839"/>
  <c r="AD18" i="12775"/>
  <c r="J46" i="12811"/>
  <c r="E38" i="12764"/>
  <c r="M19" i="12839"/>
  <c r="AF15" i="12839"/>
  <c r="O19" i="12839"/>
  <c r="AH15" i="12839"/>
  <c r="AF16" i="12839"/>
  <c r="AH16" i="12839"/>
  <c r="AE17" i="12839"/>
  <c r="AF18" i="12839"/>
  <c r="L19" i="12839"/>
  <c r="AE15" i="12839"/>
  <c r="N19" i="12839"/>
  <c r="AG15" i="12839"/>
  <c r="AE16" i="12839"/>
  <c r="AG16" i="12839"/>
  <c r="AG17" i="12839"/>
  <c r="AH18" i="12839"/>
  <c r="AF17" i="12839"/>
  <c r="AH17" i="12839"/>
  <c r="AE18" i="12839"/>
  <c r="AG18" i="12839"/>
  <c r="M27" i="12839"/>
  <c r="AF22" i="12839"/>
  <c r="O27" i="12839"/>
  <c r="AH22" i="12839"/>
  <c r="AF23" i="12839"/>
  <c r="AH23" i="12839"/>
  <c r="AF24" i="12839"/>
  <c r="AH24" i="12839"/>
  <c r="AF25" i="12839"/>
  <c r="AH25" i="12839"/>
  <c r="AF26" i="12839"/>
  <c r="AH26" i="12839"/>
  <c r="M36" i="12839"/>
  <c r="AF30" i="12839"/>
  <c r="O36" i="12839"/>
  <c r="AH30" i="12839"/>
  <c r="AF31" i="12839"/>
  <c r="AH31" i="12839"/>
  <c r="AH32" i="12839"/>
  <c r="AF33" i="12839"/>
  <c r="L27" i="12839"/>
  <c r="AE22" i="12839"/>
  <c r="N27" i="12839"/>
  <c r="AG22" i="12839"/>
  <c r="AE23" i="12839"/>
  <c r="AG23" i="12839"/>
  <c r="AE24" i="12839"/>
  <c r="AG24" i="12839"/>
  <c r="AE25" i="12839"/>
  <c r="AG25" i="12839"/>
  <c r="AE26" i="12839"/>
  <c r="AG26" i="12839"/>
  <c r="L36" i="12839"/>
  <c r="AE30" i="12839"/>
  <c r="N36" i="12839"/>
  <c r="AG30" i="12839"/>
  <c r="AE31" i="12839"/>
  <c r="AG31" i="12839"/>
  <c r="AF32" i="12839"/>
  <c r="AH33" i="12839"/>
  <c r="AE32" i="12839"/>
  <c r="AG32" i="12839"/>
  <c r="AE33" i="12839"/>
  <c r="AG33" i="12839"/>
  <c r="AE34" i="12839"/>
  <c r="AG34" i="12839"/>
  <c r="M40" i="12839"/>
  <c r="AF39" i="12839"/>
  <c r="AF40" i="12839" s="1"/>
  <c r="O40" i="12839"/>
  <c r="AH39" i="12839"/>
  <c r="AH40" i="12839" s="1"/>
  <c r="M47" i="12839"/>
  <c r="AF43" i="12839"/>
  <c r="O47" i="12839"/>
  <c r="AH43" i="12839"/>
  <c r="AG44" i="12839"/>
  <c r="AF34" i="12839"/>
  <c r="AH34" i="12839"/>
  <c r="L40" i="12839"/>
  <c r="AE39" i="12839"/>
  <c r="AE40" i="12839" s="1"/>
  <c r="N40" i="12839"/>
  <c r="AG39" i="12839"/>
  <c r="AG40" i="12839" s="1"/>
  <c r="L47" i="12839"/>
  <c r="AE43" i="12839"/>
  <c r="N47" i="12839"/>
  <c r="AG43" i="12839"/>
  <c r="AG47" i="12839" s="1"/>
  <c r="AE44" i="12839"/>
  <c r="AF44" i="12839"/>
  <c r="AH44" i="12839"/>
  <c r="AF45" i="12839"/>
  <c r="AH45" i="12839"/>
  <c r="AF46" i="12839"/>
  <c r="AH46" i="12839"/>
  <c r="AE45" i="12839"/>
  <c r="AG45" i="12839"/>
  <c r="AE46" i="12839"/>
  <c r="AG46" i="12839"/>
  <c r="F46" i="12839"/>
  <c r="F45" i="12839"/>
  <c r="F43" i="12839"/>
  <c r="F39" i="12839"/>
  <c r="F44" i="12839"/>
  <c r="F34" i="12839"/>
  <c r="F33" i="12839"/>
  <c r="F32" i="12839"/>
  <c r="F31" i="12839"/>
  <c r="F30" i="12839"/>
  <c r="F26" i="12839"/>
  <c r="F25" i="12839"/>
  <c r="F24" i="12839"/>
  <c r="F23" i="12839"/>
  <c r="F22" i="12839"/>
  <c r="F18" i="12839"/>
  <c r="AJ15" i="12839"/>
  <c r="AJ19" i="12839" s="1"/>
  <c r="U9" i="12839"/>
  <c r="AN9" i="12839"/>
  <c r="G10" i="12839"/>
  <c r="F15" i="12839"/>
  <c r="P19" i="12839"/>
  <c r="AI15" i="12839"/>
  <c r="F16" i="12839"/>
  <c r="F17" i="12839"/>
  <c r="AJ22" i="12839"/>
  <c r="AJ27" i="12839" s="1"/>
  <c r="AJ30" i="12839"/>
  <c r="AJ36" i="12839" s="1"/>
  <c r="AI22" i="12839"/>
  <c r="AI27" i="12839" s="1"/>
  <c r="AI30" i="12839"/>
  <c r="AI36" i="12839" s="1"/>
  <c r="AJ39" i="12839"/>
  <c r="AJ40" i="12839" s="1"/>
  <c r="Q47" i="12839"/>
  <c r="AJ43" i="12839"/>
  <c r="AJ47" i="12839" s="1"/>
  <c r="AI39" i="12839"/>
  <c r="AI40" i="12839" s="1"/>
  <c r="AI43" i="12839"/>
  <c r="AI47" i="12839" s="1"/>
  <c r="AI19" i="12839" l="1"/>
  <c r="P49" i="12839"/>
  <c r="P51" i="12839" s="1"/>
  <c r="Q49" i="12839"/>
  <c r="Q51" i="12839" s="1"/>
  <c r="Y17" i="12839"/>
  <c r="AI49" i="12839"/>
  <c r="AJ49" i="12839"/>
  <c r="Y16" i="12839"/>
  <c r="G46" i="12839"/>
  <c r="Z46" i="12839" s="1"/>
  <c r="G45" i="12839"/>
  <c r="Z45" i="12839" s="1"/>
  <c r="G44" i="12839"/>
  <c r="Z44" i="12839" s="1"/>
  <c r="G34" i="12839"/>
  <c r="Z34" i="12839" s="1"/>
  <c r="G43" i="12839"/>
  <c r="G39" i="12839"/>
  <c r="G33" i="12839"/>
  <c r="Z33" i="12839" s="1"/>
  <c r="G32" i="12839"/>
  <c r="Z32" i="12839" s="1"/>
  <c r="G31" i="12839"/>
  <c r="Z31" i="12839" s="1"/>
  <c r="G30" i="12839"/>
  <c r="G26" i="12839"/>
  <c r="Z26" i="12839" s="1"/>
  <c r="G25" i="12839"/>
  <c r="Z25" i="12839" s="1"/>
  <c r="G24" i="12839"/>
  <c r="Z24" i="12839" s="1"/>
  <c r="G23" i="12839"/>
  <c r="Z23" i="12839" s="1"/>
  <c r="G22" i="12839"/>
  <c r="G18" i="12839"/>
  <c r="Z18" i="12839" s="1"/>
  <c r="Z9" i="12839"/>
  <c r="G17" i="12839"/>
  <c r="Z17" i="12839" s="1"/>
  <c r="G16" i="12839"/>
  <c r="Z16" i="12839" s="1"/>
  <c r="G15" i="12839"/>
  <c r="H10" i="12839"/>
  <c r="F27" i="12839"/>
  <c r="Y22" i="12839"/>
  <c r="Y24" i="12839"/>
  <c r="Y26" i="12839"/>
  <c r="Y31" i="12839"/>
  <c r="Y33" i="12839"/>
  <c r="Y44" i="12839"/>
  <c r="F47" i="12839"/>
  <c r="Y43" i="12839"/>
  <c r="Y46" i="12839"/>
  <c r="AH47" i="12839"/>
  <c r="AF47" i="12839"/>
  <c r="AG36" i="12839"/>
  <c r="AE36" i="12839"/>
  <c r="AG27" i="12839"/>
  <c r="AE27" i="12839"/>
  <c r="AH36" i="12839"/>
  <c r="AF36" i="12839"/>
  <c r="AH27" i="12839"/>
  <c r="AF27" i="12839"/>
  <c r="AG19" i="12839"/>
  <c r="AE19" i="12839"/>
  <c r="AH19" i="12839"/>
  <c r="AF19" i="12839"/>
  <c r="F19" i="12839"/>
  <c r="Y15" i="12839"/>
  <c r="Y18" i="12839"/>
  <c r="Y23" i="12839"/>
  <c r="Y25" i="12839"/>
  <c r="F36" i="12839"/>
  <c r="Y30" i="12839"/>
  <c r="Y32" i="12839"/>
  <c r="Y34" i="12839"/>
  <c r="F40" i="12839"/>
  <c r="Y39" i="12839"/>
  <c r="Y45" i="12839"/>
  <c r="AE47" i="12839"/>
  <c r="N49" i="12839"/>
  <c r="L49" i="12839"/>
  <c r="O49" i="12839"/>
  <c r="M49" i="12839"/>
  <c r="O51" i="12839"/>
  <c r="N51" i="12839"/>
  <c r="M51" i="12839"/>
  <c r="L51" i="12839"/>
  <c r="AE49" i="12839" l="1"/>
  <c r="AG49" i="12839"/>
  <c r="G19" i="12839"/>
  <c r="Z15" i="12839"/>
  <c r="Z19" i="12839" s="1"/>
  <c r="Y40" i="12839"/>
  <c r="Y19" i="12839"/>
  <c r="AF49" i="12839"/>
  <c r="Y27" i="12839"/>
  <c r="H46" i="12839"/>
  <c r="H45" i="12839"/>
  <c r="H44" i="12839"/>
  <c r="H43" i="12839"/>
  <c r="H39" i="12839"/>
  <c r="H34" i="12839"/>
  <c r="H33" i="12839"/>
  <c r="H32" i="12839"/>
  <c r="H31" i="12839"/>
  <c r="H30" i="12839"/>
  <c r="H26" i="12839"/>
  <c r="H25" i="12839"/>
  <c r="H24" i="12839"/>
  <c r="H23" i="12839"/>
  <c r="H22" i="12839"/>
  <c r="H18" i="12839"/>
  <c r="H17" i="12839"/>
  <c r="AA17" i="12839" s="1"/>
  <c r="H16" i="12839"/>
  <c r="AA16" i="12839" s="1"/>
  <c r="H15" i="12839"/>
  <c r="I10" i="12839"/>
  <c r="AA9" i="12839"/>
  <c r="G27" i="12839"/>
  <c r="Z22" i="12839"/>
  <c r="Z27" i="12839" s="1"/>
  <c r="G47" i="12839"/>
  <c r="Z43" i="12839"/>
  <c r="Z47" i="12839" s="1"/>
  <c r="Y36" i="12839"/>
  <c r="F49" i="12839"/>
  <c r="AH49" i="12839"/>
  <c r="Y47" i="12839"/>
  <c r="G36" i="12839"/>
  <c r="Z30" i="12839"/>
  <c r="Z36" i="12839" s="1"/>
  <c r="G40" i="12839"/>
  <c r="Z39" i="12839"/>
  <c r="Z40" i="12839" s="1"/>
  <c r="AA15" i="12839" l="1"/>
  <c r="H19" i="12839"/>
  <c r="H27" i="12839"/>
  <c r="AA22" i="12839"/>
  <c r="AA24" i="12839"/>
  <c r="AA26" i="12839"/>
  <c r="AA31" i="12839"/>
  <c r="AA33" i="12839"/>
  <c r="H40" i="12839"/>
  <c r="AA39" i="12839"/>
  <c r="AA40" i="12839" s="1"/>
  <c r="AA44" i="12839"/>
  <c r="AA46" i="12839"/>
  <c r="Y49" i="12839"/>
  <c r="Z49" i="12839"/>
  <c r="F51" i="12839"/>
  <c r="I46" i="12839"/>
  <c r="AB46" i="12839" s="1"/>
  <c r="I45" i="12839"/>
  <c r="AB45" i="12839" s="1"/>
  <c r="I44" i="12839"/>
  <c r="AB44" i="12839" s="1"/>
  <c r="I34" i="12839"/>
  <c r="AB34" i="12839" s="1"/>
  <c r="I43" i="12839"/>
  <c r="I39" i="12839"/>
  <c r="I32" i="12839"/>
  <c r="AB32" i="12839" s="1"/>
  <c r="I33" i="12839"/>
  <c r="AB33" i="12839" s="1"/>
  <c r="I31" i="12839"/>
  <c r="AB31" i="12839" s="1"/>
  <c r="I30" i="12839"/>
  <c r="I26" i="12839"/>
  <c r="AB26" i="12839" s="1"/>
  <c r="I25" i="12839"/>
  <c r="AB25" i="12839" s="1"/>
  <c r="I24" i="12839"/>
  <c r="AB24" i="12839" s="1"/>
  <c r="I23" i="12839"/>
  <c r="AB23" i="12839" s="1"/>
  <c r="I22" i="12839"/>
  <c r="AB9" i="12839"/>
  <c r="I18" i="12839"/>
  <c r="AB18" i="12839" s="1"/>
  <c r="I17" i="12839"/>
  <c r="I16" i="12839"/>
  <c r="I15" i="12839"/>
  <c r="J10" i="12839"/>
  <c r="AA18" i="12839"/>
  <c r="AA23" i="12839"/>
  <c r="AA25" i="12839"/>
  <c r="H36" i="12839"/>
  <c r="AA30" i="12839"/>
  <c r="AA32" i="12839"/>
  <c r="AA34" i="12839"/>
  <c r="H47" i="12839"/>
  <c r="AA43" i="12839"/>
  <c r="AA45" i="12839"/>
  <c r="G49" i="12839"/>
  <c r="G51" i="12839" s="1"/>
  <c r="AA47" i="12839" l="1"/>
  <c r="AB17" i="12839"/>
  <c r="AA36" i="12839"/>
  <c r="J46" i="12839"/>
  <c r="AC46" i="12839" s="1"/>
  <c r="J45" i="12839"/>
  <c r="J43" i="12839"/>
  <c r="J39" i="12839"/>
  <c r="J44" i="12839"/>
  <c r="AC44" i="12839" s="1"/>
  <c r="J34" i="12839"/>
  <c r="J33" i="12839"/>
  <c r="AC33" i="12839" s="1"/>
  <c r="J32" i="12839"/>
  <c r="J31" i="12839"/>
  <c r="AC31" i="12839" s="1"/>
  <c r="J30" i="12839"/>
  <c r="J26" i="12839"/>
  <c r="AC26" i="12839" s="1"/>
  <c r="J25" i="12839"/>
  <c r="J24" i="12839"/>
  <c r="AC24" i="12839" s="1"/>
  <c r="J23" i="12839"/>
  <c r="AC23" i="12839" s="1"/>
  <c r="J22" i="12839"/>
  <c r="J18" i="12839"/>
  <c r="J17" i="12839"/>
  <c r="AC17" i="12839" s="1"/>
  <c r="J16" i="12839"/>
  <c r="AC16" i="12839" s="1"/>
  <c r="J15" i="12839"/>
  <c r="K10" i="12839"/>
  <c r="AC9" i="12839"/>
  <c r="AB16" i="12839"/>
  <c r="I27" i="12839"/>
  <c r="AB22" i="12839"/>
  <c r="I47" i="12839"/>
  <c r="AB43" i="12839"/>
  <c r="AB47" i="12839" s="1"/>
  <c r="AA27" i="12839"/>
  <c r="H49" i="12839"/>
  <c r="H51" i="12839" s="1"/>
  <c r="I19" i="12839"/>
  <c r="AB15" i="12839"/>
  <c r="I36" i="12839"/>
  <c r="AB30" i="12839"/>
  <c r="AB36" i="12839" s="1"/>
  <c r="I40" i="12839"/>
  <c r="AB39" i="12839"/>
  <c r="AA19" i="12839"/>
  <c r="K46" i="12839" l="1"/>
  <c r="K45" i="12839"/>
  <c r="AD45" i="12839" s="1"/>
  <c r="K44" i="12839"/>
  <c r="K34" i="12839"/>
  <c r="AD34" i="12839" s="1"/>
  <c r="K43" i="12839"/>
  <c r="K39" i="12839"/>
  <c r="K33" i="12839"/>
  <c r="K32" i="12839"/>
  <c r="AD32" i="12839" s="1"/>
  <c r="K31" i="12839"/>
  <c r="K30" i="12839"/>
  <c r="K26" i="12839"/>
  <c r="K25" i="12839"/>
  <c r="AD25" i="12839" s="1"/>
  <c r="K24" i="12839"/>
  <c r="K23" i="12839"/>
  <c r="AD23" i="12839" s="1"/>
  <c r="K22" i="12839"/>
  <c r="K17" i="12839"/>
  <c r="AD17" i="12839" s="1"/>
  <c r="K18" i="12839"/>
  <c r="AD18" i="12839" s="1"/>
  <c r="AD9" i="12839"/>
  <c r="L9" i="12839"/>
  <c r="K16" i="12839"/>
  <c r="AD16" i="12839" s="1"/>
  <c r="K15" i="12839"/>
  <c r="J36" i="12839"/>
  <c r="AC30" i="12839"/>
  <c r="AC32" i="12839"/>
  <c r="AC34" i="12839"/>
  <c r="J40" i="12839"/>
  <c r="AC39" i="12839"/>
  <c r="AC40" i="12839" s="1"/>
  <c r="AC45" i="12839"/>
  <c r="AA49" i="12839"/>
  <c r="I49" i="12839"/>
  <c r="I51" i="12839" s="1"/>
  <c r="AB27" i="12839"/>
  <c r="J19" i="12839"/>
  <c r="AC15" i="12839"/>
  <c r="J27" i="12839"/>
  <c r="AC22" i="12839"/>
  <c r="J47" i="12839"/>
  <c r="AC43" i="12839"/>
  <c r="AB40" i="12839"/>
  <c r="AB19" i="12839"/>
  <c r="AC18" i="12839"/>
  <c r="AC25" i="12839"/>
  <c r="AB49" i="12839" l="1"/>
  <c r="K36" i="12839"/>
  <c r="AD30" i="12839"/>
  <c r="K40" i="12839"/>
  <c r="AD39" i="12839"/>
  <c r="J49" i="12839"/>
  <c r="J51" i="12839" s="1"/>
  <c r="AC47" i="12839"/>
  <c r="AC27" i="12839"/>
  <c r="AC19" i="12839"/>
  <c r="AC36" i="12839"/>
  <c r="K19" i="12839"/>
  <c r="AD15" i="12839"/>
  <c r="N9" i="12839"/>
  <c r="AE8" i="12839"/>
  <c r="AF8" i="12839" s="1"/>
  <c r="M9" i="12839"/>
  <c r="K27" i="12839"/>
  <c r="AD22" i="12839"/>
  <c r="AD24" i="12839"/>
  <c r="AD26" i="12839"/>
  <c r="AD31" i="12839"/>
  <c r="AD33" i="12839"/>
  <c r="K47" i="12839"/>
  <c r="AD43" i="12839"/>
  <c r="AD44" i="12839"/>
  <c r="AD46" i="12839"/>
  <c r="AD47" i="12839" l="1"/>
  <c r="K49" i="12839"/>
  <c r="AD27" i="12839"/>
  <c r="P9" i="12839"/>
  <c r="AG8" i="12839"/>
  <c r="AH8" i="12839" s="1"/>
  <c r="O9" i="12839"/>
  <c r="AD19" i="12839"/>
  <c r="AC49" i="12839"/>
  <c r="AD40" i="12839"/>
  <c r="AD36" i="12839"/>
  <c r="AD49" i="12839" l="1"/>
  <c r="AI8" i="12839"/>
  <c r="AJ8" i="12839" s="1"/>
  <c r="R10" i="12839"/>
  <c r="Q9" i="12839"/>
  <c r="K51" i="12839"/>
  <c r="R46" i="12839" l="1"/>
  <c r="R45" i="12839"/>
  <c r="R44" i="12839"/>
  <c r="R43" i="12839"/>
  <c r="R39" i="12839"/>
  <c r="R34" i="12839"/>
  <c r="R33" i="12839"/>
  <c r="R32" i="12839"/>
  <c r="R31" i="12839"/>
  <c r="R30" i="12839"/>
  <c r="R26" i="12839"/>
  <c r="R25" i="12839"/>
  <c r="R24" i="12839"/>
  <c r="R23" i="12839"/>
  <c r="R22" i="12839"/>
  <c r="R18" i="12839"/>
  <c r="R16" i="12839"/>
  <c r="R15" i="12839"/>
  <c r="S10" i="12839"/>
  <c r="R17" i="12839"/>
  <c r="AK9" i="12839"/>
  <c r="R19" i="12839" l="1"/>
  <c r="AK15" i="12839"/>
  <c r="S46" i="12839"/>
  <c r="AL46" i="12839" s="1"/>
  <c r="S45" i="12839"/>
  <c r="AL45" i="12839" s="1"/>
  <c r="S44" i="12839"/>
  <c r="AL44" i="12839" s="1"/>
  <c r="S34" i="12839"/>
  <c r="AL34" i="12839" s="1"/>
  <c r="S43" i="12839"/>
  <c r="S39" i="12839"/>
  <c r="S32" i="12839"/>
  <c r="AL32" i="12839" s="1"/>
  <c r="S33" i="12839"/>
  <c r="AL33" i="12839" s="1"/>
  <c r="S31" i="12839"/>
  <c r="AL31" i="12839" s="1"/>
  <c r="S30" i="12839"/>
  <c r="S26" i="12839"/>
  <c r="AL26" i="12839" s="1"/>
  <c r="S25" i="12839"/>
  <c r="AL25" i="12839" s="1"/>
  <c r="S24" i="12839"/>
  <c r="AL24" i="12839" s="1"/>
  <c r="S23" i="12839"/>
  <c r="AL23" i="12839" s="1"/>
  <c r="S22" i="12839"/>
  <c r="S17" i="12839"/>
  <c r="AL17" i="12839" s="1"/>
  <c r="AL9" i="12839"/>
  <c r="S18" i="12839"/>
  <c r="AL18" i="12839" s="1"/>
  <c r="S16" i="12839"/>
  <c r="AL16" i="12839" s="1"/>
  <c r="S15" i="12839"/>
  <c r="T10" i="12839"/>
  <c r="T16" i="12839" s="1"/>
  <c r="AK16" i="12839"/>
  <c r="R27" i="12839"/>
  <c r="AK22" i="12839"/>
  <c r="AK24" i="12839"/>
  <c r="AK26" i="12839"/>
  <c r="AK31" i="12839"/>
  <c r="AK33" i="12839"/>
  <c r="R40" i="12839"/>
  <c r="AK39" i="12839"/>
  <c r="AK44" i="12839"/>
  <c r="AK46" i="12839"/>
  <c r="AK17" i="12839"/>
  <c r="AK18" i="12839"/>
  <c r="AK23" i="12839"/>
  <c r="AK25" i="12839"/>
  <c r="R36" i="12839"/>
  <c r="AK30" i="12839"/>
  <c r="AK32" i="12839"/>
  <c r="AK34" i="12839"/>
  <c r="R47" i="12839"/>
  <c r="AK43" i="12839"/>
  <c r="AK45" i="12839"/>
  <c r="S19" i="12839" l="1"/>
  <c r="AL15" i="12839"/>
  <c r="AL19" i="12839" s="1"/>
  <c r="AK47" i="12839"/>
  <c r="AK27" i="12839"/>
  <c r="T46" i="12839"/>
  <c r="T45" i="12839"/>
  <c r="T43" i="12839"/>
  <c r="T39" i="12839"/>
  <c r="T44" i="12839"/>
  <c r="T34" i="12839"/>
  <c r="T33" i="12839"/>
  <c r="T32" i="12839"/>
  <c r="T31" i="12839"/>
  <c r="T30" i="12839"/>
  <c r="T26" i="12839"/>
  <c r="T25" i="12839"/>
  <c r="T24" i="12839"/>
  <c r="T23" i="12839"/>
  <c r="T22" i="12839"/>
  <c r="T18" i="12839"/>
  <c r="T17" i="12839"/>
  <c r="T15" i="12839"/>
  <c r="AM9" i="12839"/>
  <c r="S27" i="12839"/>
  <c r="AL22" i="12839"/>
  <c r="AL27" i="12839" s="1"/>
  <c r="S47" i="12839"/>
  <c r="AL43" i="12839"/>
  <c r="AL47" i="12839" s="1"/>
  <c r="AK19" i="12839"/>
  <c r="AK36" i="12839"/>
  <c r="AK40" i="12839"/>
  <c r="S36" i="12839"/>
  <c r="AL30" i="12839"/>
  <c r="AL36" i="12839" s="1"/>
  <c r="S40" i="12839"/>
  <c r="AL39" i="12839"/>
  <c r="AL40" i="12839" s="1"/>
  <c r="R49" i="12839"/>
  <c r="R51" i="12839" s="1"/>
  <c r="T19" i="12839" l="1"/>
  <c r="AM15" i="12839"/>
  <c r="U15" i="12839"/>
  <c r="T27" i="12839"/>
  <c r="AM22" i="12839"/>
  <c r="U22" i="12839"/>
  <c r="AM26" i="12839"/>
  <c r="E25" i="12764" s="1"/>
  <c r="U26" i="12839"/>
  <c r="AM17" i="12839"/>
  <c r="E8" i="12764" s="1"/>
  <c r="U17" i="12839"/>
  <c r="AM24" i="12839"/>
  <c r="U24" i="12839"/>
  <c r="AM31" i="12839"/>
  <c r="U31" i="12839"/>
  <c r="AM33" i="12839"/>
  <c r="E36" i="12764" s="1"/>
  <c r="U33" i="12839"/>
  <c r="AM44" i="12839"/>
  <c r="E51" i="12764" s="1"/>
  <c r="U44" i="12839"/>
  <c r="T47" i="12839"/>
  <c r="AM43" i="12839"/>
  <c r="U43" i="12839"/>
  <c r="AM46" i="12839"/>
  <c r="E55" i="12764" s="1"/>
  <c r="U46" i="12839"/>
  <c r="AL49" i="12839"/>
  <c r="AM16" i="12839"/>
  <c r="U16" i="12839"/>
  <c r="AM18" i="12839"/>
  <c r="U18" i="12839"/>
  <c r="AM23" i="12839"/>
  <c r="U23" i="12839"/>
  <c r="AM25" i="12839"/>
  <c r="E23" i="12764" s="1"/>
  <c r="U25" i="12839"/>
  <c r="T36" i="12839"/>
  <c r="AM30" i="12839"/>
  <c r="U30" i="12839"/>
  <c r="AM32" i="12839"/>
  <c r="E35" i="12764" s="1"/>
  <c r="U32" i="12839"/>
  <c r="AM34" i="12839"/>
  <c r="E37" i="12764" s="1"/>
  <c r="U34" i="12839"/>
  <c r="T40" i="12839"/>
  <c r="AM39" i="12839"/>
  <c r="U39" i="12839"/>
  <c r="U40" i="12839" s="1"/>
  <c r="AM45" i="12839"/>
  <c r="U45" i="12839"/>
  <c r="AK49" i="12839"/>
  <c r="S49" i="12839"/>
  <c r="S51" i="12839" s="1"/>
  <c r="AM36" i="12839" l="1"/>
  <c r="AM47" i="12839"/>
  <c r="U27" i="12839"/>
  <c r="AM19" i="12839"/>
  <c r="AM40" i="12839"/>
  <c r="U36" i="12839"/>
  <c r="U47" i="12839"/>
  <c r="AM27" i="12839"/>
  <c r="U19" i="12839"/>
  <c r="T49" i="12839"/>
  <c r="AM49" i="12839" l="1"/>
  <c r="AO12" i="12839" s="1"/>
  <c r="E24" i="12764"/>
  <c r="E54" i="12764"/>
  <c r="E40" i="12764"/>
  <c r="E12" i="12764"/>
  <c r="V12" i="12839"/>
  <c r="T51" i="12839"/>
  <c r="U49" i="12839"/>
  <c r="I794" i="12838" l="1"/>
  <c r="L794" i="12838"/>
  <c r="C1122" i="12838" l="1"/>
  <c r="F1115" i="12838"/>
  <c r="F1114" i="12838"/>
  <c r="F1109" i="12838"/>
  <c r="P1104" i="12838"/>
  <c r="F1103" i="12838"/>
  <c r="C1102" i="12838"/>
  <c r="C1101" i="12838"/>
  <c r="J1100" i="12838"/>
  <c r="L1100" i="12838" s="1"/>
  <c r="I1100" i="12838"/>
  <c r="F1100" i="12838"/>
  <c r="J1098" i="12838"/>
  <c r="N1098" i="12838" s="1"/>
  <c r="I1098" i="12838"/>
  <c r="F1098" i="12838"/>
  <c r="J1097" i="12838"/>
  <c r="N1097" i="12838" s="1"/>
  <c r="C1097" i="12838"/>
  <c r="J1096" i="12838"/>
  <c r="N1096" i="12838" s="1"/>
  <c r="C1096" i="12838"/>
  <c r="J1094" i="12838"/>
  <c r="N1094" i="12838" s="1"/>
  <c r="I1094" i="12838"/>
  <c r="F1094" i="12838"/>
  <c r="J1093" i="12838"/>
  <c r="N1093" i="12838" s="1"/>
  <c r="I1093" i="12838"/>
  <c r="F1093" i="12838"/>
  <c r="J1091" i="12838"/>
  <c r="N1091" i="12838" s="1"/>
  <c r="I1091" i="12838"/>
  <c r="F1091" i="12838"/>
  <c r="J1090" i="12838"/>
  <c r="N1090" i="12838" s="1"/>
  <c r="I1090" i="12838"/>
  <c r="F1090" i="12838"/>
  <c r="J1089" i="12838"/>
  <c r="N1089" i="12838" s="1"/>
  <c r="I1089" i="12838"/>
  <c r="F1089" i="12838"/>
  <c r="J1086" i="12838"/>
  <c r="N1086" i="12838" s="1"/>
  <c r="I1086" i="12838"/>
  <c r="F1086" i="12838"/>
  <c r="J1085" i="12838"/>
  <c r="N1085" i="12838" s="1"/>
  <c r="I1085" i="12838"/>
  <c r="F1085" i="12838"/>
  <c r="J1083" i="12838"/>
  <c r="N1083" i="12838" s="1"/>
  <c r="I1083" i="12838"/>
  <c r="F1083" i="12838"/>
  <c r="J1082" i="12838"/>
  <c r="N1082" i="12838" s="1"/>
  <c r="C1082" i="12838"/>
  <c r="J1081" i="12838"/>
  <c r="N1081" i="12838" s="1"/>
  <c r="C1081" i="12838"/>
  <c r="J1078" i="12838"/>
  <c r="L1078" i="12838" s="1"/>
  <c r="I1078" i="12838"/>
  <c r="F1078" i="12838"/>
  <c r="J1077" i="12838"/>
  <c r="N1077" i="12838" s="1"/>
  <c r="F1077" i="12838"/>
  <c r="C1077" i="12838"/>
  <c r="I1077" i="12838" s="1"/>
  <c r="J1075" i="12838"/>
  <c r="N1075" i="12838" s="1"/>
  <c r="I1075" i="12838"/>
  <c r="F1075" i="12838"/>
  <c r="J1074" i="12838"/>
  <c r="N1074" i="12838" s="1"/>
  <c r="C1074" i="12838"/>
  <c r="J1073" i="12838"/>
  <c r="N1073" i="12838" s="1"/>
  <c r="N1102" i="12838" s="1"/>
  <c r="C1073" i="12838"/>
  <c r="P1067" i="12838"/>
  <c r="F1066" i="12838"/>
  <c r="C1066" i="12838"/>
  <c r="N1064" i="12838"/>
  <c r="C1064" i="12838"/>
  <c r="C1065" i="12838" s="1"/>
  <c r="N1062" i="12838"/>
  <c r="C1062" i="12838"/>
  <c r="L1062" i="12838" s="1"/>
  <c r="N1061" i="12838"/>
  <c r="N1065" i="12838" s="1"/>
  <c r="C1061" i="12838"/>
  <c r="C1063" i="12838" s="1"/>
  <c r="F1055" i="12838"/>
  <c r="C1053" i="12838"/>
  <c r="C1052" i="12838"/>
  <c r="C1054" i="12838" s="1"/>
  <c r="J1051" i="12838"/>
  <c r="J1052" i="12838" s="1"/>
  <c r="I1051" i="12838"/>
  <c r="F1051" i="12838"/>
  <c r="L1050" i="12838"/>
  <c r="F1044" i="12838"/>
  <c r="C1042" i="12838"/>
  <c r="C1040" i="12838"/>
  <c r="L1040" i="12838" s="1"/>
  <c r="T1038" i="12838"/>
  <c r="J1038" i="12838"/>
  <c r="L1038" i="12838" s="1"/>
  <c r="I1038" i="12838"/>
  <c r="F1038" i="12838"/>
  <c r="T1037" i="12838"/>
  <c r="J1037" i="12838"/>
  <c r="L1037" i="12838" s="1"/>
  <c r="I1037" i="12838"/>
  <c r="F1037" i="12838"/>
  <c r="T1036" i="12838"/>
  <c r="J1036" i="12838"/>
  <c r="L1036" i="12838" s="1"/>
  <c r="I1036" i="12838"/>
  <c r="F1036" i="12838"/>
  <c r="T1035" i="12838"/>
  <c r="J1035" i="12838"/>
  <c r="L1035" i="12838" s="1"/>
  <c r="I1035" i="12838"/>
  <c r="F1035" i="12838"/>
  <c r="T1034" i="12838"/>
  <c r="J1034" i="12838"/>
  <c r="L1034" i="12838" s="1"/>
  <c r="I1034" i="12838"/>
  <c r="F1034" i="12838"/>
  <c r="T1031" i="12838"/>
  <c r="J1031" i="12838"/>
  <c r="L1031" i="12838" s="1"/>
  <c r="F1031" i="12838"/>
  <c r="C1031" i="12838"/>
  <c r="I1031" i="12838" s="1"/>
  <c r="T1030" i="12838"/>
  <c r="J1030" i="12838"/>
  <c r="L1030" i="12838" s="1"/>
  <c r="F1030" i="12838"/>
  <c r="C1030" i="12838"/>
  <c r="I1030" i="12838" s="1"/>
  <c r="T1029" i="12838"/>
  <c r="J1029" i="12838"/>
  <c r="L1029" i="12838" s="1"/>
  <c r="F1029" i="12838"/>
  <c r="C1029" i="12838"/>
  <c r="I1029" i="12838" s="1"/>
  <c r="T1028" i="12838"/>
  <c r="J1028" i="12838"/>
  <c r="L1028" i="12838" s="1"/>
  <c r="F1028" i="12838"/>
  <c r="C1028" i="12838"/>
  <c r="I1028" i="12838" s="1"/>
  <c r="T1027" i="12838"/>
  <c r="J1027" i="12838"/>
  <c r="L1027" i="12838" s="1"/>
  <c r="F1027" i="12838"/>
  <c r="C1027" i="12838"/>
  <c r="I1027" i="12838" s="1"/>
  <c r="T1026" i="12838"/>
  <c r="J1026" i="12838"/>
  <c r="L1026" i="12838" s="1"/>
  <c r="F1026" i="12838"/>
  <c r="F1015" i="12838" s="1"/>
  <c r="C1026" i="12838"/>
  <c r="I1026" i="12838" s="1"/>
  <c r="I1024" i="12838"/>
  <c r="F1024" i="12838"/>
  <c r="F1013" i="12838" s="1"/>
  <c r="P1019" i="12838"/>
  <c r="F1018" i="12838"/>
  <c r="C1016" i="12838"/>
  <c r="N1015" i="12838"/>
  <c r="I1015" i="12838"/>
  <c r="N1014" i="12838"/>
  <c r="I1013" i="12838"/>
  <c r="P1008" i="12838"/>
  <c r="F1007" i="12838"/>
  <c r="C1005" i="12838"/>
  <c r="J1004" i="12838"/>
  <c r="N1004" i="12838" s="1"/>
  <c r="I1004" i="12838"/>
  <c r="F1004" i="12838"/>
  <c r="N1003" i="12838"/>
  <c r="C1003" i="12838"/>
  <c r="C1006" i="12838" s="1"/>
  <c r="I1002" i="12838"/>
  <c r="L1002" i="12838" s="1"/>
  <c r="N1002" i="12838" s="1"/>
  <c r="N1006" i="12838" s="1"/>
  <c r="P997" i="12838"/>
  <c r="F996" i="12838"/>
  <c r="C995" i="12838"/>
  <c r="C994" i="12838"/>
  <c r="J993" i="12838"/>
  <c r="N993" i="12838" s="1"/>
  <c r="I993" i="12838"/>
  <c r="F993" i="12838"/>
  <c r="J992" i="12838"/>
  <c r="L992" i="12838" s="1"/>
  <c r="I992" i="12838"/>
  <c r="F992" i="12838"/>
  <c r="J991" i="12838"/>
  <c r="N991" i="12838" s="1"/>
  <c r="I991" i="12838"/>
  <c r="F991" i="12838"/>
  <c r="J990" i="12838"/>
  <c r="L990" i="12838" s="1"/>
  <c r="I990" i="12838"/>
  <c r="F990" i="12838"/>
  <c r="J989" i="12838"/>
  <c r="N989" i="12838" s="1"/>
  <c r="I989" i="12838"/>
  <c r="F989" i="12838"/>
  <c r="J988" i="12838"/>
  <c r="L988" i="12838" s="1"/>
  <c r="I988" i="12838"/>
  <c r="F988" i="12838"/>
  <c r="J987" i="12838"/>
  <c r="N987" i="12838" s="1"/>
  <c r="I987" i="12838"/>
  <c r="F987" i="12838"/>
  <c r="J985" i="12838"/>
  <c r="F985" i="12838"/>
  <c r="C985" i="12838"/>
  <c r="I985" i="12838" s="1"/>
  <c r="J984" i="12838"/>
  <c r="C984" i="12838"/>
  <c r="I984" i="12838" s="1"/>
  <c r="J983" i="12838"/>
  <c r="C983" i="12838"/>
  <c r="I983" i="12838" s="1"/>
  <c r="J982" i="12838"/>
  <c r="L982" i="12838" s="1"/>
  <c r="I982" i="12838"/>
  <c r="F982" i="12838"/>
  <c r="J981" i="12838"/>
  <c r="N981" i="12838" s="1"/>
  <c r="I981" i="12838"/>
  <c r="F981" i="12838"/>
  <c r="J980" i="12838"/>
  <c r="L980" i="12838" s="1"/>
  <c r="F980" i="12838"/>
  <c r="C980" i="12838"/>
  <c r="I980" i="12838" s="1"/>
  <c r="J979" i="12838"/>
  <c r="L979" i="12838" s="1"/>
  <c r="I979" i="12838"/>
  <c r="F979" i="12838"/>
  <c r="J978" i="12838"/>
  <c r="N978" i="12838" s="1"/>
  <c r="I978" i="12838"/>
  <c r="F978" i="12838"/>
  <c r="J977" i="12838"/>
  <c r="C977" i="12838"/>
  <c r="I977" i="12838" s="1"/>
  <c r="J976" i="12838"/>
  <c r="L976" i="12838" s="1"/>
  <c r="F976" i="12838"/>
  <c r="C976" i="12838"/>
  <c r="I976" i="12838" s="1"/>
  <c r="Q970" i="12838"/>
  <c r="J966" i="12838" s="1"/>
  <c r="F969" i="12838"/>
  <c r="J967" i="12838"/>
  <c r="L967" i="12838" s="1"/>
  <c r="C967" i="12838"/>
  <c r="I967" i="12838" s="1"/>
  <c r="C966" i="12838"/>
  <c r="C968" i="12838" s="1"/>
  <c r="C964" i="12838"/>
  <c r="I964" i="12838" s="1"/>
  <c r="J963" i="12838"/>
  <c r="C963" i="12838"/>
  <c r="I963" i="12838" s="1"/>
  <c r="L962" i="12838"/>
  <c r="I962" i="12838"/>
  <c r="F962" i="12838"/>
  <c r="C961" i="12838"/>
  <c r="J960" i="12838"/>
  <c r="L960" i="12838" s="1"/>
  <c r="I960" i="12838"/>
  <c r="F960" i="12838"/>
  <c r="L959" i="12838"/>
  <c r="I959" i="12838"/>
  <c r="F959" i="12838"/>
  <c r="F952" i="12838"/>
  <c r="C946" i="12838"/>
  <c r="C943" i="12838"/>
  <c r="F934" i="12838"/>
  <c r="F812" i="12838" s="1"/>
  <c r="C934" i="12838"/>
  <c r="C928" i="12838"/>
  <c r="C806" i="12838" s="1"/>
  <c r="C788" i="12838" s="1"/>
  <c r="C925" i="12838"/>
  <c r="C915" i="12838"/>
  <c r="I915" i="12838" s="1"/>
  <c r="C914" i="12838"/>
  <c r="F914" i="12838" s="1"/>
  <c r="C912" i="12838"/>
  <c r="I912" i="12838" s="1"/>
  <c r="I911" i="12838"/>
  <c r="F911" i="12838"/>
  <c r="C910" i="12838"/>
  <c r="F910" i="12838" s="1"/>
  <c r="I908" i="12838"/>
  <c r="F908" i="12838"/>
  <c r="C907" i="12838"/>
  <c r="I907" i="12838" s="1"/>
  <c r="C898" i="12838"/>
  <c r="F898" i="12838" s="1"/>
  <c r="C897" i="12838"/>
  <c r="C899" i="12838" s="1"/>
  <c r="C895" i="12838"/>
  <c r="F895" i="12838" s="1"/>
  <c r="I894" i="12838"/>
  <c r="F894" i="12838"/>
  <c r="C893" i="12838"/>
  <c r="I893" i="12838" s="1"/>
  <c r="I891" i="12838"/>
  <c r="F891" i="12838"/>
  <c r="C890" i="12838"/>
  <c r="C924" i="12838" s="1"/>
  <c r="J879" i="12838"/>
  <c r="J915" i="12838" s="1"/>
  <c r="J875" i="12838"/>
  <c r="Q875" i="12838" s="1"/>
  <c r="C875" i="12838"/>
  <c r="J874" i="12838"/>
  <c r="Q874" i="12838" s="1"/>
  <c r="J872" i="12838"/>
  <c r="C872" i="12838"/>
  <c r="I872" i="12838" s="1"/>
  <c r="J871" i="12838"/>
  <c r="F862" i="12838"/>
  <c r="C862" i="12838"/>
  <c r="I862" i="12838" s="1"/>
  <c r="C861" i="12838"/>
  <c r="F861" i="12838" s="1"/>
  <c r="C859" i="12838"/>
  <c r="I859" i="12838" s="1"/>
  <c r="I858" i="12838"/>
  <c r="F858" i="12838"/>
  <c r="C857" i="12838"/>
  <c r="F857" i="12838" s="1"/>
  <c r="I855" i="12838"/>
  <c r="F855" i="12838"/>
  <c r="C854" i="12838"/>
  <c r="I854" i="12838" s="1"/>
  <c r="C845" i="12838"/>
  <c r="I845" i="12838" s="1"/>
  <c r="C844" i="12838"/>
  <c r="C931" i="12838" s="1"/>
  <c r="C842" i="12838"/>
  <c r="I842" i="12838" s="1"/>
  <c r="I841" i="12838"/>
  <c r="F841" i="12838"/>
  <c r="F840" i="12838"/>
  <c r="C840" i="12838"/>
  <c r="C839" i="12838"/>
  <c r="I838" i="12838"/>
  <c r="F838" i="12838"/>
  <c r="I837" i="12838"/>
  <c r="F837" i="12838"/>
  <c r="J827" i="12838"/>
  <c r="J862" i="12838" s="1"/>
  <c r="C827" i="12838"/>
  <c r="L827" i="12838" s="1"/>
  <c r="J823" i="12838"/>
  <c r="J858" i="12838" s="1"/>
  <c r="L858" i="12838" s="1"/>
  <c r="C823" i="12838"/>
  <c r="J822" i="12838"/>
  <c r="J857" i="12838" s="1"/>
  <c r="L857" i="12838" s="1"/>
  <c r="C822" i="12838"/>
  <c r="J820" i="12838"/>
  <c r="J855" i="12838" s="1"/>
  <c r="L855" i="12838" s="1"/>
  <c r="C820" i="12838"/>
  <c r="I820" i="12838" s="1"/>
  <c r="J819" i="12838"/>
  <c r="J854" i="12838" s="1"/>
  <c r="Q813" i="12838"/>
  <c r="J826" i="12838" s="1"/>
  <c r="C808" i="12838"/>
  <c r="E807" i="12838"/>
  <c r="D807" i="12838"/>
  <c r="C803" i="12838"/>
  <c r="C785" i="12838" s="1"/>
  <c r="Q795" i="12838"/>
  <c r="N792" i="12838"/>
  <c r="N791" i="12838"/>
  <c r="N789" i="12838"/>
  <c r="N788" i="12838"/>
  <c r="N787" i="12838"/>
  <c r="N785" i="12838"/>
  <c r="N784" i="12838"/>
  <c r="N793" i="12838" s="1"/>
  <c r="Q778" i="12838"/>
  <c r="P778" i="12838"/>
  <c r="F777" i="12838"/>
  <c r="C775" i="12838"/>
  <c r="C774" i="12838"/>
  <c r="C773" i="12838"/>
  <c r="N772" i="12838"/>
  <c r="L772" i="12838"/>
  <c r="I772" i="12838"/>
  <c r="F772" i="12838"/>
  <c r="I771" i="12838"/>
  <c r="F771" i="12838"/>
  <c r="C770" i="12838"/>
  <c r="F768" i="12838"/>
  <c r="C768" i="12838"/>
  <c r="I768" i="12838" s="1"/>
  <c r="I767" i="12838"/>
  <c r="F767" i="12838"/>
  <c r="C766" i="12838"/>
  <c r="I766" i="12838" s="1"/>
  <c r="J765" i="12838"/>
  <c r="C765" i="12838"/>
  <c r="I764" i="12838"/>
  <c r="F764" i="12838"/>
  <c r="I763" i="12838"/>
  <c r="F763" i="12838"/>
  <c r="F756" i="12838"/>
  <c r="I754" i="12838"/>
  <c r="F754" i="12838"/>
  <c r="I753" i="12838"/>
  <c r="I651" i="12838" s="1"/>
  <c r="F753" i="12838"/>
  <c r="I752" i="12838"/>
  <c r="F752" i="12838"/>
  <c r="I751" i="12838"/>
  <c r="I649" i="12838" s="1"/>
  <c r="F751" i="12838"/>
  <c r="I749" i="12838"/>
  <c r="F749" i="12838"/>
  <c r="I748" i="12838"/>
  <c r="I646" i="12838" s="1"/>
  <c r="F748" i="12838"/>
  <c r="I746" i="12838"/>
  <c r="F746" i="12838"/>
  <c r="I745" i="12838"/>
  <c r="I643" i="12838" s="1"/>
  <c r="F745" i="12838"/>
  <c r="I744" i="12838"/>
  <c r="F744" i="12838"/>
  <c r="I743" i="12838"/>
  <c r="I641" i="12838" s="1"/>
  <c r="F743" i="12838"/>
  <c r="I742" i="12838"/>
  <c r="F742" i="12838"/>
  <c r="I740" i="12838"/>
  <c r="I638" i="12838" s="1"/>
  <c r="F740" i="12838"/>
  <c r="I739" i="12838"/>
  <c r="F739" i="12838"/>
  <c r="I738" i="12838"/>
  <c r="I636" i="12838" s="1"/>
  <c r="F738" i="12838"/>
  <c r="I737" i="12838"/>
  <c r="F737" i="12838"/>
  <c r="I735" i="12838"/>
  <c r="I633" i="12838" s="1"/>
  <c r="F735" i="12838"/>
  <c r="F733" i="12838"/>
  <c r="C733" i="12838"/>
  <c r="I733" i="12838" s="1"/>
  <c r="C732" i="12838"/>
  <c r="C755" i="12838" s="1"/>
  <c r="F730" i="12838"/>
  <c r="C730" i="12838"/>
  <c r="I730" i="12838" s="1"/>
  <c r="C729" i="12838"/>
  <c r="I729" i="12838" s="1"/>
  <c r="C727" i="12838"/>
  <c r="I727" i="12838" s="1"/>
  <c r="C726" i="12838"/>
  <c r="F726" i="12838" s="1"/>
  <c r="I725" i="12838"/>
  <c r="F725" i="12838"/>
  <c r="F724" i="12838"/>
  <c r="C724" i="12838"/>
  <c r="I724" i="12838" s="1"/>
  <c r="C723" i="12838"/>
  <c r="F723" i="12838" s="1"/>
  <c r="C721" i="12838"/>
  <c r="I721" i="12838" s="1"/>
  <c r="C719" i="12838"/>
  <c r="C718" i="12838"/>
  <c r="I716" i="12838"/>
  <c r="F716" i="12838"/>
  <c r="C715" i="12838"/>
  <c r="I715" i="12838" s="1"/>
  <c r="J714" i="12838"/>
  <c r="J737" i="12838" s="1"/>
  <c r="L737" i="12838" s="1"/>
  <c r="C714" i="12838"/>
  <c r="I714" i="12838" s="1"/>
  <c r="C712" i="12838"/>
  <c r="I712" i="12838" s="1"/>
  <c r="F705" i="12838"/>
  <c r="F654" i="12838" s="1"/>
  <c r="I703" i="12838"/>
  <c r="F703" i="12838"/>
  <c r="F652" i="12838" s="1"/>
  <c r="I702" i="12838"/>
  <c r="F702" i="12838"/>
  <c r="F651" i="12838" s="1"/>
  <c r="I701" i="12838"/>
  <c r="I650" i="12838" s="1"/>
  <c r="F701" i="12838"/>
  <c r="F650" i="12838" s="1"/>
  <c r="I700" i="12838"/>
  <c r="F700" i="12838"/>
  <c r="F649" i="12838" s="1"/>
  <c r="I698" i="12838"/>
  <c r="F698" i="12838"/>
  <c r="F647" i="12838" s="1"/>
  <c r="I697" i="12838"/>
  <c r="F697" i="12838"/>
  <c r="I695" i="12838"/>
  <c r="I644" i="12838" s="1"/>
  <c r="F695" i="12838"/>
  <c r="F644" i="12838" s="1"/>
  <c r="I694" i="12838"/>
  <c r="F694" i="12838"/>
  <c r="I693" i="12838"/>
  <c r="I642" i="12838" s="1"/>
  <c r="F693" i="12838"/>
  <c r="F642" i="12838" s="1"/>
  <c r="I692" i="12838"/>
  <c r="F692" i="12838"/>
  <c r="F641" i="12838" s="1"/>
  <c r="I691" i="12838"/>
  <c r="I640" i="12838" s="1"/>
  <c r="F691" i="12838"/>
  <c r="F640" i="12838" s="1"/>
  <c r="I689" i="12838"/>
  <c r="F689" i="12838"/>
  <c r="F638" i="12838" s="1"/>
  <c r="I688" i="12838"/>
  <c r="F688" i="12838"/>
  <c r="F637" i="12838" s="1"/>
  <c r="I687" i="12838"/>
  <c r="F687" i="12838"/>
  <c r="I686" i="12838"/>
  <c r="I635" i="12838" s="1"/>
  <c r="F686" i="12838"/>
  <c r="F635" i="12838" s="1"/>
  <c r="I684" i="12838"/>
  <c r="F684" i="12838"/>
  <c r="C682" i="12838"/>
  <c r="I682" i="12838" s="1"/>
  <c r="I631" i="12838" s="1"/>
  <c r="C681" i="12838"/>
  <c r="C704" i="12838" s="1"/>
  <c r="C679" i="12838"/>
  <c r="I679" i="12838" s="1"/>
  <c r="I628" i="12838" s="1"/>
  <c r="C678" i="12838"/>
  <c r="I678" i="12838" s="1"/>
  <c r="I627" i="12838" s="1"/>
  <c r="C676" i="12838"/>
  <c r="I676" i="12838" s="1"/>
  <c r="C675" i="12838"/>
  <c r="I675" i="12838" s="1"/>
  <c r="I674" i="12838"/>
  <c r="F674" i="12838"/>
  <c r="C673" i="12838"/>
  <c r="I673" i="12838" s="1"/>
  <c r="I622" i="12838" s="1"/>
  <c r="F672" i="12838"/>
  <c r="C672" i="12838"/>
  <c r="I672" i="12838" s="1"/>
  <c r="C670" i="12838"/>
  <c r="I670" i="12838" s="1"/>
  <c r="C668" i="12838"/>
  <c r="C667" i="12838"/>
  <c r="I665" i="12838"/>
  <c r="F665" i="12838"/>
  <c r="F614" i="12838" s="1"/>
  <c r="C664" i="12838"/>
  <c r="I664" i="12838" s="1"/>
  <c r="I613" i="12838" s="1"/>
  <c r="J663" i="12838"/>
  <c r="J686" i="12838" s="1"/>
  <c r="L686" i="12838" s="1"/>
  <c r="C663" i="12838"/>
  <c r="I663" i="12838" s="1"/>
  <c r="C661" i="12838"/>
  <c r="I661" i="12838" s="1"/>
  <c r="Q655" i="12838"/>
  <c r="J630" i="12838" s="1"/>
  <c r="P655" i="12838"/>
  <c r="J652" i="12838"/>
  <c r="J754" i="12838" s="1"/>
  <c r="L754" i="12838" s="1"/>
  <c r="I652" i="12838"/>
  <c r="C652" i="12838"/>
  <c r="J651" i="12838"/>
  <c r="J753" i="12838" s="1"/>
  <c r="L753" i="12838" s="1"/>
  <c r="C651" i="12838"/>
  <c r="C650" i="12838"/>
  <c r="C649" i="12838"/>
  <c r="I647" i="12838"/>
  <c r="C647" i="12838"/>
  <c r="C646" i="12838"/>
  <c r="C644" i="12838"/>
  <c r="F643" i="12838"/>
  <c r="C643" i="12838"/>
  <c r="C642" i="12838"/>
  <c r="C641" i="12838"/>
  <c r="C640" i="12838"/>
  <c r="C638" i="12838"/>
  <c r="I637" i="12838"/>
  <c r="C637" i="12838"/>
  <c r="C636" i="12838"/>
  <c r="J635" i="12838"/>
  <c r="N635" i="12838" s="1"/>
  <c r="C635" i="12838"/>
  <c r="C633" i="12838"/>
  <c r="J631" i="12838"/>
  <c r="J733" i="12838" s="1"/>
  <c r="C628" i="12838"/>
  <c r="C627" i="12838"/>
  <c r="I623" i="12838"/>
  <c r="C623" i="12838"/>
  <c r="C622" i="12838"/>
  <c r="F621" i="12838"/>
  <c r="C617" i="12838"/>
  <c r="C616" i="12838"/>
  <c r="J614" i="12838"/>
  <c r="J716" i="12838" s="1"/>
  <c r="C614" i="12838"/>
  <c r="J613" i="12838"/>
  <c r="J715" i="12838" s="1"/>
  <c r="N612" i="12838"/>
  <c r="J610" i="12838"/>
  <c r="N610" i="12838" s="1"/>
  <c r="N653" i="12838" s="1"/>
  <c r="F603" i="12838"/>
  <c r="F600" i="12838"/>
  <c r="C600" i="12838"/>
  <c r="I600" i="12838" s="1"/>
  <c r="C599" i="12838"/>
  <c r="I599" i="12838" s="1"/>
  <c r="C597" i="12838"/>
  <c r="I597" i="12838" s="1"/>
  <c r="F596" i="12838"/>
  <c r="C596" i="12838"/>
  <c r="I596" i="12838" s="1"/>
  <c r="C595" i="12838"/>
  <c r="I595" i="12838" s="1"/>
  <c r="C594" i="12838"/>
  <c r="I594" i="12838" s="1"/>
  <c r="C593" i="12838"/>
  <c r="C592" i="12838"/>
  <c r="I592" i="12838" s="1"/>
  <c r="C591" i="12838"/>
  <c r="I591" i="12838" s="1"/>
  <c r="I590" i="12838"/>
  <c r="F590" i="12838"/>
  <c r="C588" i="12838"/>
  <c r="I588" i="12838" s="1"/>
  <c r="C586" i="12838"/>
  <c r="F586" i="12838" s="1"/>
  <c r="C584" i="12838"/>
  <c r="I584" i="12838" s="1"/>
  <c r="F583" i="12838"/>
  <c r="C583" i="12838"/>
  <c r="I583" i="12838" s="1"/>
  <c r="C581" i="12838"/>
  <c r="I581" i="12838" s="1"/>
  <c r="C580" i="12838"/>
  <c r="I580" i="12838" s="1"/>
  <c r="C578" i="12838"/>
  <c r="I578" i="12838" s="1"/>
  <c r="C577" i="12838"/>
  <c r="C576" i="12838"/>
  <c r="I576" i="12838" s="1"/>
  <c r="F569" i="12838"/>
  <c r="F535" i="12838" s="1"/>
  <c r="C569" i="12838"/>
  <c r="C567" i="12838"/>
  <c r="I567" i="12838" s="1"/>
  <c r="C566" i="12838"/>
  <c r="I566" i="12838" s="1"/>
  <c r="I532" i="12838" s="1"/>
  <c r="C565" i="12838"/>
  <c r="I565" i="12838" s="1"/>
  <c r="I531" i="12838" s="1"/>
  <c r="C563" i="12838"/>
  <c r="I563" i="12838" s="1"/>
  <c r="I529" i="12838" s="1"/>
  <c r="C562" i="12838"/>
  <c r="I562" i="12838" s="1"/>
  <c r="I528" i="12838" s="1"/>
  <c r="C561" i="12838"/>
  <c r="I561" i="12838" s="1"/>
  <c r="I527" i="12838" s="1"/>
  <c r="C560" i="12838"/>
  <c r="I560" i="12838" s="1"/>
  <c r="I526" i="12838" s="1"/>
  <c r="C559" i="12838"/>
  <c r="I559" i="12838" s="1"/>
  <c r="C558" i="12838"/>
  <c r="I558" i="12838" s="1"/>
  <c r="C557" i="12838"/>
  <c r="I557" i="12838" s="1"/>
  <c r="I556" i="12838"/>
  <c r="I522" i="12838" s="1"/>
  <c r="F556" i="12838"/>
  <c r="C554" i="12838"/>
  <c r="I554" i="12838" s="1"/>
  <c r="C552" i="12838"/>
  <c r="C518" i="12838" s="1"/>
  <c r="C550" i="12838"/>
  <c r="I550" i="12838" s="1"/>
  <c r="I516" i="12838" s="1"/>
  <c r="C549" i="12838"/>
  <c r="I549" i="12838" s="1"/>
  <c r="I515" i="12838" s="1"/>
  <c r="C547" i="12838"/>
  <c r="I547" i="12838" s="1"/>
  <c r="C546" i="12838"/>
  <c r="I546" i="12838" s="1"/>
  <c r="C544" i="12838"/>
  <c r="I544" i="12838" s="1"/>
  <c r="I510" i="12838" s="1"/>
  <c r="C543" i="12838"/>
  <c r="C542" i="12838"/>
  <c r="I542" i="12838" s="1"/>
  <c r="Q536" i="12838"/>
  <c r="J518" i="12838" s="1"/>
  <c r="J586" i="12838" s="1"/>
  <c r="P536" i="12838"/>
  <c r="J533" i="12838"/>
  <c r="N533" i="12838" s="1"/>
  <c r="J532" i="12838"/>
  <c r="J600" i="12838" s="1"/>
  <c r="L600" i="12838" s="1"/>
  <c r="C522" i="12838"/>
  <c r="J520" i="12838"/>
  <c r="J588" i="12838" s="1"/>
  <c r="C515" i="12838"/>
  <c r="J513" i="12838"/>
  <c r="J526" i="12838" s="1"/>
  <c r="N526" i="12838" s="1"/>
  <c r="J512" i="12838"/>
  <c r="J580" i="12838" s="1"/>
  <c r="J510" i="12838"/>
  <c r="J578" i="12838" s="1"/>
  <c r="J509" i="12838"/>
  <c r="J523" i="12838" s="1"/>
  <c r="N523" i="12838" s="1"/>
  <c r="J508" i="12838"/>
  <c r="J576" i="12838" s="1"/>
  <c r="C500" i="12838"/>
  <c r="C502" i="12838" s="1"/>
  <c r="I499" i="12838"/>
  <c r="F499" i="12838"/>
  <c r="L496" i="12838"/>
  <c r="I496" i="12838"/>
  <c r="F496" i="12838"/>
  <c r="L495" i="12838"/>
  <c r="I495" i="12838"/>
  <c r="F495" i="12838"/>
  <c r="I494" i="12838"/>
  <c r="F494" i="12838"/>
  <c r="I493" i="12838"/>
  <c r="F493" i="12838"/>
  <c r="I492" i="12838"/>
  <c r="F492" i="12838"/>
  <c r="J491" i="12838"/>
  <c r="L491" i="12838" s="1"/>
  <c r="I491" i="12838"/>
  <c r="F491" i="12838"/>
  <c r="I490" i="12838"/>
  <c r="F490" i="12838"/>
  <c r="I489" i="12838"/>
  <c r="F489" i="12838"/>
  <c r="I488" i="12838"/>
  <c r="F488" i="12838"/>
  <c r="I487" i="12838"/>
  <c r="F487" i="12838"/>
  <c r="I486" i="12838"/>
  <c r="F486" i="12838"/>
  <c r="I485" i="12838"/>
  <c r="F485" i="12838"/>
  <c r="J483" i="12838"/>
  <c r="J494" i="12838" s="1"/>
  <c r="L494" i="12838" s="1"/>
  <c r="I483" i="12838"/>
  <c r="F483" i="12838"/>
  <c r="I482" i="12838"/>
  <c r="F482" i="12838"/>
  <c r="I481" i="12838"/>
  <c r="F481" i="12838"/>
  <c r="I480" i="12838"/>
  <c r="F480" i="12838"/>
  <c r="I478" i="12838"/>
  <c r="F478" i="12838"/>
  <c r="J476" i="12838"/>
  <c r="J489" i="12838" s="1"/>
  <c r="L489" i="12838" s="1"/>
  <c r="I476" i="12838"/>
  <c r="F476" i="12838"/>
  <c r="J475" i="12838"/>
  <c r="J488" i="12838" s="1"/>
  <c r="L488" i="12838" s="1"/>
  <c r="I475" i="12838"/>
  <c r="F475" i="12838"/>
  <c r="C474" i="12838"/>
  <c r="I473" i="12838"/>
  <c r="F473" i="12838"/>
  <c r="J472" i="12838"/>
  <c r="L472" i="12838" s="1"/>
  <c r="I472" i="12838"/>
  <c r="F472" i="12838"/>
  <c r="I471" i="12838"/>
  <c r="F471" i="12838"/>
  <c r="F463" i="12838"/>
  <c r="C462" i="12838"/>
  <c r="I461" i="12838"/>
  <c r="F461" i="12838"/>
  <c r="I460" i="12838"/>
  <c r="F460" i="12838"/>
  <c r="I459" i="12838"/>
  <c r="F459" i="12838"/>
  <c r="I458" i="12838"/>
  <c r="F458" i="12838"/>
  <c r="I457" i="12838"/>
  <c r="F457" i="12838"/>
  <c r="I456" i="12838"/>
  <c r="F456" i="12838"/>
  <c r="I455" i="12838"/>
  <c r="F455" i="12838"/>
  <c r="I454" i="12838"/>
  <c r="F454" i="12838"/>
  <c r="I453" i="12838"/>
  <c r="F453" i="12838"/>
  <c r="I452" i="12838"/>
  <c r="F452" i="12838"/>
  <c r="I450" i="12838"/>
  <c r="F450" i="12838"/>
  <c r="I449" i="12838"/>
  <c r="F449" i="12838"/>
  <c r="I448" i="12838"/>
  <c r="F448" i="12838"/>
  <c r="I447" i="12838"/>
  <c r="F447" i="12838"/>
  <c r="F389" i="12838" s="1"/>
  <c r="I446" i="12838"/>
  <c r="F446" i="12838"/>
  <c r="C444" i="12838"/>
  <c r="I443" i="12838"/>
  <c r="F443" i="12838"/>
  <c r="I442" i="12838"/>
  <c r="F442" i="12838"/>
  <c r="I441" i="12838"/>
  <c r="F441" i="12838"/>
  <c r="F434" i="12838"/>
  <c r="C434" i="12838"/>
  <c r="I432" i="12838"/>
  <c r="F432" i="12838"/>
  <c r="I431" i="12838"/>
  <c r="F431" i="12838"/>
  <c r="I430" i="12838"/>
  <c r="I401" i="12838" s="1"/>
  <c r="F430" i="12838"/>
  <c r="F401" i="12838" s="1"/>
  <c r="I429" i="12838"/>
  <c r="F429" i="12838"/>
  <c r="I428" i="12838"/>
  <c r="F428" i="12838"/>
  <c r="I427" i="12838"/>
  <c r="F427" i="12838"/>
  <c r="I426" i="12838"/>
  <c r="I397" i="12838" s="1"/>
  <c r="F426" i="12838"/>
  <c r="F397" i="12838" s="1"/>
  <c r="I425" i="12838"/>
  <c r="F425" i="12838"/>
  <c r="I424" i="12838"/>
  <c r="I395" i="12838" s="1"/>
  <c r="F424" i="12838"/>
  <c r="F395" i="12838" s="1"/>
  <c r="I423" i="12838"/>
  <c r="F423" i="12838"/>
  <c r="I421" i="12838"/>
  <c r="I392" i="12838" s="1"/>
  <c r="F421" i="12838"/>
  <c r="F392" i="12838" s="1"/>
  <c r="I420" i="12838"/>
  <c r="F420" i="12838"/>
  <c r="C419" i="12838"/>
  <c r="C433" i="12838" s="1"/>
  <c r="F418" i="12838"/>
  <c r="C418" i="12838"/>
  <c r="I418" i="12838" s="1"/>
  <c r="I417" i="12838"/>
  <c r="F417" i="12838"/>
  <c r="F388" i="12838" s="1"/>
  <c r="C416" i="12838"/>
  <c r="C387" i="12838" s="1"/>
  <c r="C415" i="12838"/>
  <c r="I414" i="12838"/>
  <c r="F414" i="12838"/>
  <c r="F385" i="12838" s="1"/>
  <c r="F150" i="12838" s="1"/>
  <c r="I413" i="12838"/>
  <c r="F413" i="12838"/>
  <c r="I412" i="12838"/>
  <c r="F412" i="12838"/>
  <c r="F403" i="12838"/>
  <c r="I400" i="12838"/>
  <c r="F399" i="12838"/>
  <c r="I396" i="12838"/>
  <c r="C392" i="12838"/>
  <c r="C391" i="12838"/>
  <c r="C389" i="12838"/>
  <c r="I388" i="12838"/>
  <c r="C388" i="12838"/>
  <c r="C385" i="12838"/>
  <c r="C150" i="12838" s="1"/>
  <c r="I384" i="12838"/>
  <c r="I149" i="12838" s="1"/>
  <c r="C384" i="12838"/>
  <c r="C383" i="12838"/>
  <c r="F375" i="12838"/>
  <c r="I373" i="12838"/>
  <c r="F373" i="12838"/>
  <c r="I372" i="12838"/>
  <c r="F372" i="12838"/>
  <c r="I371" i="12838"/>
  <c r="F371" i="12838"/>
  <c r="I370" i="12838"/>
  <c r="F370" i="12838"/>
  <c r="I369" i="12838"/>
  <c r="F369" i="12838"/>
  <c r="I368" i="12838"/>
  <c r="F368" i="12838"/>
  <c r="I367" i="12838"/>
  <c r="F367" i="12838"/>
  <c r="I366" i="12838"/>
  <c r="F366" i="12838"/>
  <c r="I365" i="12838"/>
  <c r="F365" i="12838"/>
  <c r="I364" i="12838"/>
  <c r="F364" i="12838"/>
  <c r="I362" i="12838"/>
  <c r="F362" i="12838"/>
  <c r="I361" i="12838"/>
  <c r="F361" i="12838"/>
  <c r="I360" i="12838"/>
  <c r="F360" i="12838"/>
  <c r="C359" i="12838"/>
  <c r="I359" i="12838" s="1"/>
  <c r="I358" i="12838"/>
  <c r="F358" i="12838"/>
  <c r="C356" i="12838"/>
  <c r="I355" i="12838"/>
  <c r="F355" i="12838"/>
  <c r="I354" i="12838"/>
  <c r="F354" i="12838"/>
  <c r="I353" i="12838"/>
  <c r="F353" i="12838"/>
  <c r="F346" i="12838"/>
  <c r="C346" i="12838"/>
  <c r="I344" i="12838"/>
  <c r="F344" i="12838"/>
  <c r="F315" i="12838" s="1"/>
  <c r="I343" i="12838"/>
  <c r="F343" i="12838"/>
  <c r="I342" i="12838"/>
  <c r="F342" i="12838"/>
  <c r="F313" i="12838" s="1"/>
  <c r="I341" i="12838"/>
  <c r="F341" i="12838"/>
  <c r="I340" i="12838"/>
  <c r="F340" i="12838"/>
  <c r="F311" i="12838" s="1"/>
  <c r="I339" i="12838"/>
  <c r="F339" i="12838"/>
  <c r="I338" i="12838"/>
  <c r="F338" i="12838"/>
  <c r="F309" i="12838" s="1"/>
  <c r="I337" i="12838"/>
  <c r="F337" i="12838"/>
  <c r="I336" i="12838"/>
  <c r="F336" i="12838"/>
  <c r="F307" i="12838" s="1"/>
  <c r="I335" i="12838"/>
  <c r="F335" i="12838"/>
  <c r="I333" i="12838"/>
  <c r="F333" i="12838"/>
  <c r="C332" i="12838"/>
  <c r="I332" i="12838" s="1"/>
  <c r="C331" i="12838"/>
  <c r="I331" i="12838" s="1"/>
  <c r="C330" i="12838"/>
  <c r="I330" i="12838" s="1"/>
  <c r="I329" i="12838"/>
  <c r="F329" i="12838"/>
  <c r="C328" i="12838"/>
  <c r="I326" i="12838"/>
  <c r="F326" i="12838"/>
  <c r="I325" i="12838"/>
  <c r="F325" i="12838"/>
  <c r="F296" i="12838" s="1"/>
  <c r="C324" i="12838"/>
  <c r="I324" i="12838" s="1"/>
  <c r="I315" i="12838"/>
  <c r="I314" i="12838"/>
  <c r="I313" i="12838"/>
  <c r="I312" i="12838"/>
  <c r="I311" i="12838"/>
  <c r="I310" i="12838"/>
  <c r="I309" i="12838"/>
  <c r="I308" i="12838"/>
  <c r="I307" i="12838"/>
  <c r="I306" i="12838"/>
  <c r="F304" i="12838"/>
  <c r="C304" i="12838"/>
  <c r="I304" i="12838" s="1"/>
  <c r="C300" i="12838"/>
  <c r="I300" i="12838" s="1"/>
  <c r="C299" i="12838"/>
  <c r="C297" i="12838"/>
  <c r="I297" i="12838" s="1"/>
  <c r="C296" i="12838"/>
  <c r="C153" i="12838" s="1"/>
  <c r="F288" i="12838"/>
  <c r="C287" i="12838"/>
  <c r="C286" i="12838"/>
  <c r="I286" i="12838" s="1"/>
  <c r="F285" i="12838"/>
  <c r="C285" i="12838"/>
  <c r="I285" i="12838" s="1"/>
  <c r="I284" i="12838"/>
  <c r="F284" i="12838"/>
  <c r="I283" i="12838"/>
  <c r="F283" i="12838"/>
  <c r="I282" i="12838"/>
  <c r="F282" i="12838"/>
  <c r="I281" i="12838"/>
  <c r="F281" i="12838"/>
  <c r="I280" i="12838"/>
  <c r="F280" i="12838"/>
  <c r="I279" i="12838"/>
  <c r="F279" i="12838"/>
  <c r="I278" i="12838"/>
  <c r="F278" i="12838"/>
  <c r="F193" i="12838" s="1"/>
  <c r="I277" i="12838"/>
  <c r="F277" i="12838"/>
  <c r="I275" i="12838"/>
  <c r="F275" i="12838"/>
  <c r="F190" i="12838" s="1"/>
  <c r="F161" i="12838" s="1"/>
  <c r="I274" i="12838"/>
  <c r="F274" i="12838"/>
  <c r="I273" i="12838"/>
  <c r="F273" i="12838"/>
  <c r="F188" i="12838" s="1"/>
  <c r="I272" i="12838"/>
  <c r="F272" i="12838"/>
  <c r="I271" i="12838"/>
  <c r="F271" i="12838"/>
  <c r="F186" i="12838" s="1"/>
  <c r="C270" i="12838"/>
  <c r="I269" i="12838"/>
  <c r="F269" i="12838"/>
  <c r="I268" i="12838"/>
  <c r="F268" i="12838"/>
  <c r="I267" i="12838"/>
  <c r="F267" i="12838"/>
  <c r="F260" i="12838"/>
  <c r="F203" i="12838" s="1"/>
  <c r="C260" i="12838"/>
  <c r="C259" i="12838"/>
  <c r="C258" i="12838"/>
  <c r="I258" i="12838" s="1"/>
  <c r="I257" i="12838"/>
  <c r="F257" i="12838"/>
  <c r="I256" i="12838"/>
  <c r="F256" i="12838"/>
  <c r="I255" i="12838"/>
  <c r="F255" i="12838"/>
  <c r="I254" i="12838"/>
  <c r="F254" i="12838"/>
  <c r="I253" i="12838"/>
  <c r="F253" i="12838"/>
  <c r="I252" i="12838"/>
  <c r="F252" i="12838"/>
  <c r="I251" i="12838"/>
  <c r="F251" i="12838"/>
  <c r="I250" i="12838"/>
  <c r="F250" i="12838"/>
  <c r="I249" i="12838"/>
  <c r="F249" i="12838"/>
  <c r="I247" i="12838"/>
  <c r="F247" i="12838"/>
  <c r="I246" i="12838"/>
  <c r="F246" i="12838"/>
  <c r="I245" i="12838"/>
  <c r="F245" i="12838"/>
  <c r="I244" i="12838"/>
  <c r="I187" i="12838" s="1"/>
  <c r="F244" i="12838"/>
  <c r="I243" i="12838"/>
  <c r="F243" i="12838"/>
  <c r="C242" i="12838"/>
  <c r="I241" i="12838"/>
  <c r="F241" i="12838"/>
  <c r="I240" i="12838"/>
  <c r="F240" i="12838"/>
  <c r="F183" i="12838" s="1"/>
  <c r="I239" i="12838"/>
  <c r="F239" i="12838"/>
  <c r="F231" i="12838"/>
  <c r="I229" i="12838"/>
  <c r="F229" i="12838"/>
  <c r="I228" i="12838"/>
  <c r="F228" i="12838"/>
  <c r="I227" i="12838"/>
  <c r="I199" i="12838" s="1"/>
  <c r="I170" i="12838" s="1"/>
  <c r="F227" i="12838"/>
  <c r="I226" i="12838"/>
  <c r="F226" i="12838"/>
  <c r="I225" i="12838"/>
  <c r="F225" i="12838"/>
  <c r="I224" i="12838"/>
  <c r="F224" i="12838"/>
  <c r="F223" i="12838"/>
  <c r="C223" i="12838"/>
  <c r="I223" i="12838" s="1"/>
  <c r="I222" i="12838"/>
  <c r="F222" i="12838"/>
  <c r="I221" i="12838"/>
  <c r="I193" i="12838" s="1"/>
  <c r="F221" i="12838"/>
  <c r="I220" i="12838"/>
  <c r="F220" i="12838"/>
  <c r="C219" i="12838"/>
  <c r="C218" i="12838"/>
  <c r="I218" i="12838" s="1"/>
  <c r="I190" i="12838" s="1"/>
  <c r="C217" i="12838"/>
  <c r="C230" i="12838" s="1"/>
  <c r="I216" i="12838"/>
  <c r="I188" i="12838" s="1"/>
  <c r="F216" i="12838"/>
  <c r="I215" i="12838"/>
  <c r="F215" i="12838"/>
  <c r="I214" i="12838"/>
  <c r="I186" i="12838" s="1"/>
  <c r="I157" i="12838" s="1"/>
  <c r="F214" i="12838"/>
  <c r="C213" i="12838"/>
  <c r="I212" i="12838"/>
  <c r="I184" i="12838" s="1"/>
  <c r="F212" i="12838"/>
  <c r="I211" i="12838"/>
  <c r="F211" i="12838"/>
  <c r="I210" i="12838"/>
  <c r="F210" i="12838"/>
  <c r="C200" i="12838"/>
  <c r="C171" i="12838" s="1"/>
  <c r="C199" i="12838"/>
  <c r="C170" i="12838" s="1"/>
  <c r="F198" i="12838"/>
  <c r="C198" i="12838"/>
  <c r="C197" i="12838"/>
  <c r="C168" i="12838" s="1"/>
  <c r="F196" i="12838"/>
  <c r="C196" i="12838"/>
  <c r="C195" i="12838"/>
  <c r="F194" i="12838"/>
  <c r="C194" i="12838"/>
  <c r="C193" i="12838"/>
  <c r="C164" i="12838" s="1"/>
  <c r="F192" i="12838"/>
  <c r="C192" i="12838"/>
  <c r="C190" i="12838"/>
  <c r="F189" i="12838"/>
  <c r="C188" i="12838"/>
  <c r="F187" i="12838"/>
  <c r="C187" i="12838"/>
  <c r="C186" i="12838"/>
  <c r="F184" i="12838"/>
  <c r="C184" i="12838"/>
  <c r="C154" i="12838" s="1"/>
  <c r="C183" i="12838"/>
  <c r="I182" i="12838"/>
  <c r="C182" i="12838"/>
  <c r="C185" i="12838" s="1"/>
  <c r="C156" i="12838" s="1"/>
  <c r="Q175" i="12838"/>
  <c r="J160" i="12838" s="1"/>
  <c r="P175" i="12838"/>
  <c r="J172" i="12838"/>
  <c r="J461" i="12838" s="1"/>
  <c r="L461" i="12838" s="1"/>
  <c r="J171" i="12838"/>
  <c r="J460" i="12838" s="1"/>
  <c r="L460" i="12838" s="1"/>
  <c r="C169" i="12838"/>
  <c r="C167" i="12838"/>
  <c r="C166" i="12838"/>
  <c r="C165" i="12838"/>
  <c r="C163" i="12838"/>
  <c r="J161" i="12838"/>
  <c r="J450" i="12838" s="1"/>
  <c r="J159" i="12838"/>
  <c r="J448" i="12838" s="1"/>
  <c r="J154" i="12838"/>
  <c r="J326" i="12838" s="1"/>
  <c r="J153" i="12838"/>
  <c r="J325" i="12838" s="1"/>
  <c r="J152" i="12838"/>
  <c r="J324" i="12838" s="1"/>
  <c r="C149" i="12838"/>
  <c r="C148" i="12838"/>
  <c r="F141" i="12838"/>
  <c r="I139" i="12838"/>
  <c r="F139" i="12838"/>
  <c r="I138" i="12838"/>
  <c r="F138" i="12838"/>
  <c r="J137" i="12838"/>
  <c r="J139" i="12838" s="1"/>
  <c r="L139" i="12838" s="1"/>
  <c r="I137" i="12838"/>
  <c r="F137" i="12838"/>
  <c r="C136" i="12838"/>
  <c r="I136" i="12838" s="1"/>
  <c r="I135" i="12838"/>
  <c r="F135" i="12838"/>
  <c r="J134" i="12838"/>
  <c r="L134" i="12838" s="1"/>
  <c r="I134" i="12838"/>
  <c r="F134" i="12838"/>
  <c r="F128" i="12838"/>
  <c r="F89" i="12838" s="1"/>
  <c r="I126" i="12838"/>
  <c r="F126" i="12838"/>
  <c r="C125" i="12838"/>
  <c r="I125" i="12838" s="1"/>
  <c r="J124" i="12838"/>
  <c r="J126" i="12838" s="1"/>
  <c r="L126" i="12838" s="1"/>
  <c r="C124" i="12838"/>
  <c r="L124" i="12838" s="1"/>
  <c r="C122" i="12838"/>
  <c r="J121" i="12838"/>
  <c r="C121" i="12838"/>
  <c r="I121" i="12838" s="1"/>
  <c r="F115" i="12838"/>
  <c r="F113" i="12838"/>
  <c r="F112" i="12838"/>
  <c r="J111" i="12838"/>
  <c r="J113" i="12838" s="1"/>
  <c r="L113" i="12838" s="1"/>
  <c r="F111" i="12838"/>
  <c r="C109" i="12838"/>
  <c r="I109" i="12838" s="1"/>
  <c r="J108" i="12838"/>
  <c r="L108" i="12838" s="1"/>
  <c r="I108" i="12838"/>
  <c r="F108" i="12838"/>
  <c r="F102" i="12838"/>
  <c r="F100" i="12838"/>
  <c r="F99" i="12838"/>
  <c r="J98" i="12838"/>
  <c r="J100" i="12838" s="1"/>
  <c r="L100" i="12838" s="1"/>
  <c r="F98" i="12838"/>
  <c r="C96" i="12838"/>
  <c r="I96" i="12838" s="1"/>
  <c r="J95" i="12838"/>
  <c r="C95" i="12838"/>
  <c r="Q90" i="12838"/>
  <c r="P90" i="12838"/>
  <c r="J87" i="12838"/>
  <c r="N87" i="12838" s="1"/>
  <c r="C87" i="12838"/>
  <c r="J86" i="12838"/>
  <c r="J138" i="12838" s="1"/>
  <c r="L138" i="12838" s="1"/>
  <c r="R85" i="12838"/>
  <c r="N85" i="12838"/>
  <c r="J84" i="12838"/>
  <c r="J123" i="12838" s="1"/>
  <c r="S83" i="12838"/>
  <c r="J83" i="12838"/>
  <c r="J122" i="12838" s="1"/>
  <c r="R82" i="12838"/>
  <c r="N82" i="12838"/>
  <c r="N88" i="12838" s="1"/>
  <c r="F76" i="12838"/>
  <c r="C75" i="12838"/>
  <c r="C74" i="12838"/>
  <c r="C73" i="12838"/>
  <c r="F73" i="12838" s="1"/>
  <c r="C72" i="12838"/>
  <c r="I72" i="12838" s="1"/>
  <c r="C71" i="12838"/>
  <c r="F71" i="12838" s="1"/>
  <c r="C70" i="12838"/>
  <c r="I70" i="12838" s="1"/>
  <c r="C68" i="12838"/>
  <c r="F68" i="12838" s="1"/>
  <c r="F67" i="12838"/>
  <c r="C67" i="12838"/>
  <c r="I67" i="12838" s="1"/>
  <c r="C66" i="12838"/>
  <c r="F66" i="12838" s="1"/>
  <c r="F59" i="12838"/>
  <c r="C59" i="12838"/>
  <c r="C58" i="12838"/>
  <c r="C57" i="12838"/>
  <c r="C56" i="12838"/>
  <c r="F56" i="12838" s="1"/>
  <c r="F55" i="12838"/>
  <c r="C55" i="12838"/>
  <c r="I55" i="12838" s="1"/>
  <c r="C54" i="12838"/>
  <c r="F54" i="12838" s="1"/>
  <c r="C53" i="12838"/>
  <c r="I53" i="12838" s="1"/>
  <c r="C51" i="12838"/>
  <c r="F51" i="12838" s="1"/>
  <c r="C50" i="12838"/>
  <c r="I50" i="12838" s="1"/>
  <c r="C49" i="12838"/>
  <c r="F49" i="12838" s="1"/>
  <c r="F42" i="12838"/>
  <c r="C41" i="12838"/>
  <c r="C40" i="12838"/>
  <c r="C39" i="12838"/>
  <c r="C22" i="12838" s="1"/>
  <c r="C38" i="12838"/>
  <c r="I38" i="12838" s="1"/>
  <c r="C37" i="12838"/>
  <c r="F37" i="12838" s="1"/>
  <c r="C36" i="12838"/>
  <c r="I36" i="12838" s="1"/>
  <c r="I34" i="12838"/>
  <c r="F34" i="12838"/>
  <c r="C33" i="12838"/>
  <c r="F33" i="12838" s="1"/>
  <c r="C32" i="12838"/>
  <c r="I32" i="12838" s="1"/>
  <c r="Q26" i="12838"/>
  <c r="J21" i="12838" s="1"/>
  <c r="N21" i="12838" s="1"/>
  <c r="P26" i="12838"/>
  <c r="J22" i="12838"/>
  <c r="J73" i="12838" s="1"/>
  <c r="H51" i="12837"/>
  <c r="H50" i="12837"/>
  <c r="H49" i="12837"/>
  <c r="H48" i="12837"/>
  <c r="H39" i="12837"/>
  <c r="H41" i="12837" s="1"/>
  <c r="H34" i="12837"/>
  <c r="H33" i="12837"/>
  <c r="H32" i="12837"/>
  <c r="H31" i="12837"/>
  <c r="H30" i="12837"/>
  <c r="J26" i="12837"/>
  <c r="J25" i="12837"/>
  <c r="N25" i="12837" s="1"/>
  <c r="T25" i="12837" s="1"/>
  <c r="H25" i="12837"/>
  <c r="J24" i="12837"/>
  <c r="N24" i="12837" s="1"/>
  <c r="T24" i="12837" s="1"/>
  <c r="H24" i="12837"/>
  <c r="J23" i="12837"/>
  <c r="N23" i="12837" s="1"/>
  <c r="T23" i="12837" s="1"/>
  <c r="H23" i="12837"/>
  <c r="J22" i="12837"/>
  <c r="N22" i="12837" s="1"/>
  <c r="T22" i="12837" s="1"/>
  <c r="H22" i="12837"/>
  <c r="J21" i="12837"/>
  <c r="H21" i="12837"/>
  <c r="H16" i="12837"/>
  <c r="B16" i="12837"/>
  <c r="H15" i="12837"/>
  <c r="F12" i="12837"/>
  <c r="B5" i="12837"/>
  <c r="I164" i="12838" l="1"/>
  <c r="C19" i="12838"/>
  <c r="F70" i="12838"/>
  <c r="C23" i="12838"/>
  <c r="F125" i="12838"/>
  <c r="C161" i="12838"/>
  <c r="F195" i="12838"/>
  <c r="F166" i="12838" s="1"/>
  <c r="F197" i="12838"/>
  <c r="F168" i="12838" s="1"/>
  <c r="F199" i="12838"/>
  <c r="F170" i="12838" s="1"/>
  <c r="F324" i="12838"/>
  <c r="F297" i="12838"/>
  <c r="F154" i="12838" s="1"/>
  <c r="F306" i="12838"/>
  <c r="F308" i="12838"/>
  <c r="F310" i="12838"/>
  <c r="F312" i="12838"/>
  <c r="F314" i="12838"/>
  <c r="F317" i="12838"/>
  <c r="F174" i="12838" s="1"/>
  <c r="F384" i="12838"/>
  <c r="F149" i="12838" s="1"/>
  <c r="C386" i="12838"/>
  <c r="I394" i="12838"/>
  <c r="I398" i="12838"/>
  <c r="I402" i="12838"/>
  <c r="F405" i="12838"/>
  <c r="C512" i="12838"/>
  <c r="F522" i="12838"/>
  <c r="F562" i="12838"/>
  <c r="F576" i="12838"/>
  <c r="F580" i="12838"/>
  <c r="F663" i="12838"/>
  <c r="F678" i="12838"/>
  <c r="F682" i="12838"/>
  <c r="F631" i="12838" s="1"/>
  <c r="F714" i="12838"/>
  <c r="I614" i="12838"/>
  <c r="F721" i="12838"/>
  <c r="F623" i="12838"/>
  <c r="F820" i="12838"/>
  <c r="L823" i="12838"/>
  <c r="L862" i="12838"/>
  <c r="F859" i="12838"/>
  <c r="C871" i="12838"/>
  <c r="C874" i="12838"/>
  <c r="C876" i="12838"/>
  <c r="F963" i="12838"/>
  <c r="F968" i="12838" s="1"/>
  <c r="F970" i="12838" s="1"/>
  <c r="F977" i="12838"/>
  <c r="F984" i="12838"/>
  <c r="L985" i="12838"/>
  <c r="L1089" i="12838"/>
  <c r="L73" i="12838"/>
  <c r="I140" i="12838"/>
  <c r="C327" i="12838"/>
  <c r="C579" i="12838"/>
  <c r="C631" i="12838"/>
  <c r="C878" i="12838"/>
  <c r="F878" i="12838" s="1"/>
  <c r="F794" i="12838"/>
  <c r="L963" i="12838"/>
  <c r="L977" i="12838"/>
  <c r="L984" i="12838"/>
  <c r="L1074" i="12838"/>
  <c r="F25" i="12838"/>
  <c r="C86" i="12838"/>
  <c r="F86" i="12838"/>
  <c r="F200" i="12838"/>
  <c r="C295" i="12838"/>
  <c r="J486" i="12838"/>
  <c r="L486" i="12838" s="1"/>
  <c r="C528" i="12838"/>
  <c r="I512" i="12838"/>
  <c r="C612" i="12838"/>
  <c r="C619" i="12838"/>
  <c r="F636" i="12838"/>
  <c r="F646" i="12838"/>
  <c r="C776" i="12838"/>
  <c r="L822" i="12838"/>
  <c r="C824" i="12838"/>
  <c r="I824" i="12838" s="1"/>
  <c r="L122" i="12838"/>
  <c r="J157" i="12838"/>
  <c r="J446" i="12838" s="1"/>
  <c r="J455" i="12838" s="1"/>
  <c r="L455" i="12838" s="1"/>
  <c r="F164" i="12838"/>
  <c r="C15" i="12838"/>
  <c r="F53" i="12838"/>
  <c r="F58" i="12838" s="1"/>
  <c r="F60" i="12838" s="1"/>
  <c r="C85" i="12838"/>
  <c r="I374" i="12838"/>
  <c r="F394" i="12838"/>
  <c r="F398" i="12838"/>
  <c r="F167" i="12838" s="1"/>
  <c r="F402" i="12838"/>
  <c r="F171" i="12838" s="1"/>
  <c r="I523" i="12838"/>
  <c r="F588" i="12838"/>
  <c r="F594" i="12838"/>
  <c r="F675" i="12838"/>
  <c r="F624" i="12838" s="1"/>
  <c r="F633" i="12838"/>
  <c r="C819" i="12838"/>
  <c r="I819" i="12838" s="1"/>
  <c r="F844" i="12838"/>
  <c r="F966" i="12838"/>
  <c r="C1014" i="12838"/>
  <c r="L1094" i="12838"/>
  <c r="C16" i="12838"/>
  <c r="C21" i="12838"/>
  <c r="F32" i="12838"/>
  <c r="I21" i="12838"/>
  <c r="C24" i="12838"/>
  <c r="F50" i="12838"/>
  <c r="F72" i="12838"/>
  <c r="F87" i="12838"/>
  <c r="L121" i="12838"/>
  <c r="I86" i="12838"/>
  <c r="C201" i="12838"/>
  <c r="C172" i="12838" s="1"/>
  <c r="I161" i="12838"/>
  <c r="I192" i="12838"/>
  <c r="I163" i="12838" s="1"/>
  <c r="I194" i="12838"/>
  <c r="I165" i="12838" s="1"/>
  <c r="I259" i="12838"/>
  <c r="I197" i="12838"/>
  <c r="F258" i="12838"/>
  <c r="F259" i="12838" s="1"/>
  <c r="F261" i="12838" s="1"/>
  <c r="C302" i="12838"/>
  <c r="I302" i="12838" s="1"/>
  <c r="F331" i="12838"/>
  <c r="F302" i="12838" s="1"/>
  <c r="C509" i="12838"/>
  <c r="C520" i="12838"/>
  <c r="C523" i="12838"/>
  <c r="F542" i="12838"/>
  <c r="F508" i="12838" s="1"/>
  <c r="I513" i="12838"/>
  <c r="I520" i="12838"/>
  <c r="I524" i="12838"/>
  <c r="F578" i="12838"/>
  <c r="F592" i="12838"/>
  <c r="C610" i="12838"/>
  <c r="C613" i="12838"/>
  <c r="C630" i="12838"/>
  <c r="I625" i="12838"/>
  <c r="I723" i="12838"/>
  <c r="P810" i="12838"/>
  <c r="Q810" i="12838" s="1"/>
  <c r="L854" i="12838"/>
  <c r="I928" i="12838"/>
  <c r="I943" i="12838"/>
  <c r="C879" i="12838"/>
  <c r="I879" i="12838" s="1"/>
  <c r="F893" i="12838"/>
  <c r="F927" i="12838" s="1"/>
  <c r="F805" i="12838" s="1"/>
  <c r="F787" i="12838" s="1"/>
  <c r="F907" i="12838"/>
  <c r="L966" i="12838"/>
  <c r="L983" i="12838"/>
  <c r="L989" i="12838"/>
  <c r="L1061" i="12838"/>
  <c r="C892" i="12838"/>
  <c r="C20" i="12838"/>
  <c r="I37" i="12838"/>
  <c r="F121" i="12838"/>
  <c r="I385" i="12838"/>
  <c r="I150" i="12838" s="1"/>
  <c r="F391" i="12838"/>
  <c r="F396" i="12838"/>
  <c r="F165" i="12838" s="1"/>
  <c r="F400" i="12838"/>
  <c r="C516" i="12838"/>
  <c r="C624" i="12838"/>
  <c r="F727" i="12838"/>
  <c r="F770" i="12838"/>
  <c r="I861" i="12838"/>
  <c r="F890" i="12838"/>
  <c r="F899" i="12838" s="1"/>
  <c r="C909" i="12838"/>
  <c r="C873" i="12838" s="1"/>
  <c r="F983" i="12838"/>
  <c r="F1052" i="12838"/>
  <c r="F1061" i="12838"/>
  <c r="C17" i="12838"/>
  <c r="F16" i="12838"/>
  <c r="F36" i="12838"/>
  <c r="F38" i="12838"/>
  <c r="F41" i="12838" s="1"/>
  <c r="C82" i="12838"/>
  <c r="L95" i="12838"/>
  <c r="C157" i="12838"/>
  <c r="F163" i="12838"/>
  <c r="I183" i="12838"/>
  <c r="F218" i="12838"/>
  <c r="F295" i="12838"/>
  <c r="C390" i="12838"/>
  <c r="F383" i="12838"/>
  <c r="F148" i="12838" s="1"/>
  <c r="I399" i="12838"/>
  <c r="I403" i="12838"/>
  <c r="I500" i="12838"/>
  <c r="I502" i="12838" s="1"/>
  <c r="C508" i="12838"/>
  <c r="F528" i="12838"/>
  <c r="C587" i="12838"/>
  <c r="I587" i="12838" s="1"/>
  <c r="C601" i="12838"/>
  <c r="F601" i="12838" s="1"/>
  <c r="C621" i="12838"/>
  <c r="C625" i="12838"/>
  <c r="F612" i="12838"/>
  <c r="I621" i="12838"/>
  <c r="C826" i="12838"/>
  <c r="C828" i="12838" s="1"/>
  <c r="C927" i="12838"/>
  <c r="C846" i="12838"/>
  <c r="C933" i="12838" s="1"/>
  <c r="F945" i="12838"/>
  <c r="L915" i="12838"/>
  <c r="L950" i="12838" s="1"/>
  <c r="F897" i="12838"/>
  <c r="F964" i="12838"/>
  <c r="F967" i="12838"/>
  <c r="I995" i="12838"/>
  <c r="L993" i="12838"/>
  <c r="L1004" i="12838"/>
  <c r="L1052" i="12838"/>
  <c r="L1014" i="12838" s="1"/>
  <c r="L1073" i="12838"/>
  <c r="J15" i="12838"/>
  <c r="J66" i="12838" s="1"/>
  <c r="L66" i="12838" s="1"/>
  <c r="J17" i="12838"/>
  <c r="J68" i="12838" s="1"/>
  <c r="L68" i="12838" s="1"/>
  <c r="C261" i="12838"/>
  <c r="J515" i="12838"/>
  <c r="J527" i="12838" s="1"/>
  <c r="N527" i="12838" s="1"/>
  <c r="C526" i="12838"/>
  <c r="J964" i="12838"/>
  <c r="L964" i="12838" s="1"/>
  <c r="J20" i="12838"/>
  <c r="J71" i="12838" s="1"/>
  <c r="L71" i="12838" s="1"/>
  <c r="C510" i="12838"/>
  <c r="C529" i="12838"/>
  <c r="J619" i="12838"/>
  <c r="J721" i="12838" s="1"/>
  <c r="J740" i="12838" s="1"/>
  <c r="L740" i="12838" s="1"/>
  <c r="C524" i="12838"/>
  <c r="H27" i="12837"/>
  <c r="J16" i="12838"/>
  <c r="J33" i="12838" s="1"/>
  <c r="L33" i="12838" s="1"/>
  <c r="J19" i="12838"/>
  <c r="N19" i="12838" s="1"/>
  <c r="J200" i="12838"/>
  <c r="C513" i="12838"/>
  <c r="C1067" i="12838"/>
  <c r="C532" i="12838"/>
  <c r="H18" i="12837"/>
  <c r="C525" i="12838"/>
  <c r="C527" i="12838"/>
  <c r="C531" i="12838"/>
  <c r="F546" i="12838"/>
  <c r="F512" i="12838" s="1"/>
  <c r="F554" i="12838"/>
  <c r="J621" i="12838"/>
  <c r="J723" i="12838" s="1"/>
  <c r="J730" i="12838" s="1"/>
  <c r="J622" i="12838"/>
  <c r="J724" i="12838" s="1"/>
  <c r="L724" i="12838" s="1"/>
  <c r="C935" i="12838"/>
  <c r="J27" i="12837"/>
  <c r="C60" i="12838"/>
  <c r="F549" i="12838"/>
  <c r="F515" i="12838" s="1"/>
  <c r="F96" i="12838"/>
  <c r="F560" i="12838"/>
  <c r="F526" i="12838" s="1"/>
  <c r="H36" i="12837"/>
  <c r="H43" i="12837" s="1"/>
  <c r="H53" i="12837"/>
  <c r="J732" i="12838"/>
  <c r="J751" i="12838" s="1"/>
  <c r="L751" i="12838" s="1"/>
  <c r="Q630" i="12838"/>
  <c r="C553" i="12838"/>
  <c r="F553" i="12838" s="1"/>
  <c r="C83" i="12838"/>
  <c r="C97" i="12838"/>
  <c r="C101" i="12838" s="1"/>
  <c r="C511" i="12838"/>
  <c r="C545" i="12838"/>
  <c r="F544" i="12838"/>
  <c r="F552" i="12838"/>
  <c r="F518" i="12838" s="1"/>
  <c r="F558" i="12838"/>
  <c r="F524" i="12838" s="1"/>
  <c r="F566" i="12838"/>
  <c r="F532" i="12838" s="1"/>
  <c r="J623" i="12838"/>
  <c r="N623" i="12838" s="1"/>
  <c r="J96" i="12838"/>
  <c r="L96" i="12838" s="1"/>
  <c r="J135" i="12838"/>
  <c r="L135" i="12838" s="1"/>
  <c r="J32" i="12838"/>
  <c r="L32" i="12838" s="1"/>
  <c r="I19" i="12838"/>
  <c r="F21" i="12838"/>
  <c r="J72" i="12838"/>
  <c r="L72" i="12838" s="1"/>
  <c r="Q83" i="12838"/>
  <c r="R86" i="12838"/>
  <c r="L111" i="12838"/>
  <c r="J112" i="12838"/>
  <c r="L112" i="12838" s="1"/>
  <c r="L137" i="12838"/>
  <c r="I87" i="12838"/>
  <c r="J148" i="12838"/>
  <c r="J383" i="12838" s="1"/>
  <c r="J394" i="12838" s="1"/>
  <c r="J150" i="12838"/>
  <c r="J443" i="12838" s="1"/>
  <c r="J454" i="12838" s="1"/>
  <c r="L454" i="12838" s="1"/>
  <c r="Q152" i="12838"/>
  <c r="Q154" i="12838"/>
  <c r="F182" i="12838"/>
  <c r="F152" i="12838" s="1"/>
  <c r="J38" i="12838"/>
  <c r="L38" i="12838" s="1"/>
  <c r="J55" i="12838"/>
  <c r="L55" i="12838" s="1"/>
  <c r="J125" i="12838"/>
  <c r="L125" i="12838" s="1"/>
  <c r="I196" i="12838"/>
  <c r="I167" i="12838" s="1"/>
  <c r="I198" i="12838"/>
  <c r="I169" i="12838" s="1"/>
  <c r="I195" i="12838"/>
  <c r="I166" i="12838" s="1"/>
  <c r="I201" i="12838"/>
  <c r="I172" i="12838" s="1"/>
  <c r="I287" i="12838"/>
  <c r="I200" i="12838"/>
  <c r="I171" i="12838" s="1"/>
  <c r="I154" i="12838"/>
  <c r="F153" i="12838"/>
  <c r="F300" i="12838"/>
  <c r="F157" i="12838" s="1"/>
  <c r="I389" i="12838"/>
  <c r="I391" i="12838"/>
  <c r="I462" i="12838"/>
  <c r="F500" i="12838"/>
  <c r="F502" i="12838" s="1"/>
  <c r="J471" i="12838"/>
  <c r="J473" i="12838"/>
  <c r="J480" i="12838"/>
  <c r="L480" i="12838" s="1"/>
  <c r="J482" i="12838"/>
  <c r="J493" i="12838" s="1"/>
  <c r="L493" i="12838" s="1"/>
  <c r="Q508" i="12838"/>
  <c r="Q510" i="12838"/>
  <c r="Q512" i="12838"/>
  <c r="Q518" i="12838"/>
  <c r="J519" i="12838"/>
  <c r="J553" i="12838" s="1"/>
  <c r="Q520" i="12838"/>
  <c r="Q613" i="12838"/>
  <c r="I612" i="12838"/>
  <c r="L635" i="12838"/>
  <c r="I619" i="12838"/>
  <c r="F872" i="12838"/>
  <c r="I878" i="12838"/>
  <c r="J894" i="12838"/>
  <c r="L894" i="12838" s="1"/>
  <c r="J910" i="12838"/>
  <c r="L910" i="12838" s="1"/>
  <c r="F995" i="12838"/>
  <c r="F997" i="12838" s="1"/>
  <c r="L978" i="12838"/>
  <c r="L981" i="12838"/>
  <c r="L987" i="12838"/>
  <c r="L991" i="12838"/>
  <c r="L1015" i="12838"/>
  <c r="L1051" i="12838"/>
  <c r="F1054" i="12838"/>
  <c r="F1056" i="12838" s="1"/>
  <c r="L1081" i="12838"/>
  <c r="L1082" i="12838"/>
  <c r="L1085" i="12838"/>
  <c r="L1091" i="12838"/>
  <c r="L1096" i="12838"/>
  <c r="L1097" i="12838"/>
  <c r="J524" i="12838"/>
  <c r="N524" i="12838" s="1"/>
  <c r="J525" i="12838"/>
  <c r="N525" i="12838" s="1"/>
  <c r="J529" i="12838"/>
  <c r="N529" i="12838" s="1"/>
  <c r="J531" i="12838"/>
  <c r="N531" i="12838" s="1"/>
  <c r="C880" i="12838"/>
  <c r="J893" i="12838"/>
  <c r="L893" i="12838" s="1"/>
  <c r="F946" i="12838"/>
  <c r="J911" i="12838"/>
  <c r="L911" i="12838" s="1"/>
  <c r="L946" i="12838" s="1"/>
  <c r="L82" i="12838"/>
  <c r="I33" i="12838"/>
  <c r="I16" i="12838" s="1"/>
  <c r="F20" i="12838"/>
  <c r="F39" i="12838"/>
  <c r="F22" i="12838" s="1"/>
  <c r="I39" i="12838"/>
  <c r="F17" i="12838"/>
  <c r="L87" i="12838"/>
  <c r="J336" i="12838"/>
  <c r="L336" i="12838" s="1"/>
  <c r="L325" i="12838"/>
  <c r="J449" i="12838"/>
  <c r="J391" i="12838"/>
  <c r="J400" i="12838" s="1"/>
  <c r="J303" i="12838"/>
  <c r="J312" i="12838" s="1"/>
  <c r="J189" i="12838"/>
  <c r="J198" i="12838" s="1"/>
  <c r="Q160" i="12838"/>
  <c r="J420" i="12838"/>
  <c r="J361" i="12838"/>
  <c r="J332" i="12838"/>
  <c r="J274" i="12838"/>
  <c r="J246" i="12838"/>
  <c r="J217" i="12838"/>
  <c r="J169" i="12838"/>
  <c r="N169" i="12838" s="1"/>
  <c r="N160" i="12838"/>
  <c r="C202" i="12838"/>
  <c r="I345" i="12838"/>
  <c r="C435" i="12838"/>
  <c r="C404" i="12838"/>
  <c r="F15" i="12838"/>
  <c r="J335" i="12838"/>
  <c r="L335" i="12838" s="1"/>
  <c r="L324" i="12838"/>
  <c r="J337" i="12838"/>
  <c r="L337" i="12838" s="1"/>
  <c r="L326" i="12838"/>
  <c r="I49" i="12838"/>
  <c r="I51" i="12838"/>
  <c r="I54" i="12838"/>
  <c r="I56" i="12838"/>
  <c r="I66" i="12838"/>
  <c r="I68" i="12838"/>
  <c r="I71" i="12838"/>
  <c r="I73" i="12838"/>
  <c r="N22" i="12838"/>
  <c r="J39" i="12838"/>
  <c r="L39" i="12838" s="1"/>
  <c r="J56" i="12838"/>
  <c r="L56" i="12838" s="1"/>
  <c r="N83" i="12838"/>
  <c r="R83" i="12838"/>
  <c r="Q84" i="12838"/>
  <c r="S84" i="12838"/>
  <c r="N86" i="12838"/>
  <c r="R87" i="12838"/>
  <c r="F95" i="12838"/>
  <c r="J97" i="12838"/>
  <c r="L98" i="12838"/>
  <c r="J99" i="12838"/>
  <c r="L99" i="12838" s="1"/>
  <c r="F109" i="12838"/>
  <c r="J109" i="12838"/>
  <c r="L109" i="12838" s="1"/>
  <c r="C110" i="12838"/>
  <c r="C114" i="12838" s="1"/>
  <c r="F122" i="12838"/>
  <c r="C123" i="12838"/>
  <c r="C127" i="12838" s="1"/>
  <c r="F124" i="12838"/>
  <c r="F85" i="12838" s="1"/>
  <c r="F136" i="12838"/>
  <c r="F140" i="12838" s="1"/>
  <c r="F142" i="12838" s="1"/>
  <c r="J136" i="12838"/>
  <c r="L136" i="12838" s="1"/>
  <c r="C140" i="12838"/>
  <c r="J149" i="12838"/>
  <c r="N152" i="12838"/>
  <c r="Q153" i="12838"/>
  <c r="N154" i="12838"/>
  <c r="J158" i="12838"/>
  <c r="Q159" i="12838"/>
  <c r="Q161" i="12838"/>
  <c r="J163" i="12838"/>
  <c r="N163" i="12838" s="1"/>
  <c r="J164" i="12838"/>
  <c r="N164" i="12838" s="1"/>
  <c r="J165" i="12838"/>
  <c r="N165" i="12838" s="1"/>
  <c r="J168" i="12838"/>
  <c r="N168" i="12838" s="1"/>
  <c r="J170" i="12838"/>
  <c r="N170" i="12838" s="1"/>
  <c r="N171" i="12838"/>
  <c r="N172" i="12838"/>
  <c r="J182" i="12838"/>
  <c r="J192" i="12838" s="1"/>
  <c r="J184" i="12838"/>
  <c r="J194" i="12838" s="1"/>
  <c r="J188" i="12838"/>
  <c r="J197" i="12838" s="1"/>
  <c r="C189" i="12838"/>
  <c r="J190" i="12838"/>
  <c r="J199" i="12838" s="1"/>
  <c r="J201" i="12838"/>
  <c r="J210" i="12838"/>
  <c r="J211" i="12838"/>
  <c r="J212" i="12838"/>
  <c r="F217" i="12838"/>
  <c r="F230" i="12838" s="1"/>
  <c r="F232" i="12838" s="1"/>
  <c r="J245" i="12838"/>
  <c r="J247" i="12838"/>
  <c r="J257" i="12838"/>
  <c r="L257" i="12838" s="1"/>
  <c r="J273" i="12838"/>
  <c r="J275" i="12838"/>
  <c r="F286" i="12838"/>
  <c r="F201" i="12838" s="1"/>
  <c r="F172" i="12838" s="1"/>
  <c r="J286" i="12838"/>
  <c r="L286" i="12838" s="1"/>
  <c r="J296" i="12838"/>
  <c r="J307" i="12838" s="1"/>
  <c r="C301" i="12838"/>
  <c r="J302" i="12838"/>
  <c r="J311" i="12838" s="1"/>
  <c r="C303" i="12838"/>
  <c r="I303" i="12838" s="1"/>
  <c r="J304" i="12838"/>
  <c r="J313" i="12838" s="1"/>
  <c r="J314" i="12838"/>
  <c r="J315" i="12838"/>
  <c r="F330" i="12838"/>
  <c r="F332" i="12838"/>
  <c r="F303" i="12838" s="1"/>
  <c r="F160" i="12838" s="1"/>
  <c r="J333" i="12838"/>
  <c r="J343" i="12838"/>
  <c r="L343" i="12838" s="1"/>
  <c r="J344" i="12838"/>
  <c r="L344" i="12838" s="1"/>
  <c r="C345" i="12838"/>
  <c r="J353" i="12838"/>
  <c r="J354" i="12838"/>
  <c r="J355" i="12838"/>
  <c r="F359" i="12838"/>
  <c r="F374" i="12838" s="1"/>
  <c r="F376" i="12838" s="1"/>
  <c r="J360" i="12838"/>
  <c r="J362" i="12838"/>
  <c r="J372" i="12838"/>
  <c r="L372" i="12838" s="1"/>
  <c r="J373" i="12838"/>
  <c r="L373" i="12838" s="1"/>
  <c r="C374" i="12838"/>
  <c r="I383" i="12838"/>
  <c r="I148" i="12838" s="1"/>
  <c r="J390" i="12838"/>
  <c r="J399" i="12838" s="1"/>
  <c r="J392" i="12838"/>
  <c r="J401" i="12838" s="1"/>
  <c r="J402" i="12838"/>
  <c r="J403" i="12838"/>
  <c r="J414" i="12838"/>
  <c r="F419" i="12838"/>
  <c r="F390" i="12838" s="1"/>
  <c r="J419" i="12838"/>
  <c r="J421" i="12838"/>
  <c r="J432" i="12838"/>
  <c r="L432" i="12838" s="1"/>
  <c r="L403" i="12838" s="1"/>
  <c r="F462" i="12838"/>
  <c r="F464" i="12838" s="1"/>
  <c r="J739" i="12838"/>
  <c r="L739" i="12838" s="1"/>
  <c r="L716" i="12838"/>
  <c r="C653" i="12838"/>
  <c r="N84" i="12838"/>
  <c r="R84" i="12838"/>
  <c r="I95" i="12838"/>
  <c r="J110" i="12838"/>
  <c r="I122" i="12838"/>
  <c r="I124" i="12838"/>
  <c r="I85" i="12838" s="1"/>
  <c r="N153" i="12838"/>
  <c r="L448" i="12838"/>
  <c r="J457" i="12838"/>
  <c r="L457" i="12838" s="1"/>
  <c r="N159" i="12838"/>
  <c r="L450" i="12838"/>
  <c r="J459" i="12838"/>
  <c r="L459" i="12838" s="1"/>
  <c r="N161" i="12838"/>
  <c r="J183" i="12838"/>
  <c r="J193" i="12838" s="1"/>
  <c r="J216" i="12838"/>
  <c r="I217" i="12838"/>
  <c r="I189" i="12838" s="1"/>
  <c r="I160" i="12838" s="1"/>
  <c r="J218" i="12838"/>
  <c r="J228" i="12838"/>
  <c r="L228" i="12838" s="1"/>
  <c r="J229" i="12838"/>
  <c r="L229" i="12838" s="1"/>
  <c r="J239" i="12838"/>
  <c r="J240" i="12838"/>
  <c r="J241" i="12838"/>
  <c r="J258" i="12838"/>
  <c r="L258" i="12838" s="1"/>
  <c r="J267" i="12838"/>
  <c r="J268" i="12838"/>
  <c r="J269" i="12838"/>
  <c r="J285" i="12838"/>
  <c r="L285" i="12838" s="1"/>
  <c r="J295" i="12838"/>
  <c r="J306" i="12838" s="1"/>
  <c r="I296" i="12838"/>
  <c r="J297" i="12838"/>
  <c r="J308" i="12838" s="1"/>
  <c r="J331" i="12838"/>
  <c r="I419" i="12838"/>
  <c r="I390" i="12838" s="1"/>
  <c r="I159" i="12838" s="1"/>
  <c r="J431" i="12838"/>
  <c r="L431" i="12838" s="1"/>
  <c r="L402" i="12838" s="1"/>
  <c r="J590" i="12838"/>
  <c r="L590" i="12838" s="1"/>
  <c r="L576" i="12838"/>
  <c r="J592" i="12838"/>
  <c r="L592" i="12838" s="1"/>
  <c r="L578" i="12838"/>
  <c r="J593" i="12838"/>
  <c r="L593" i="12838" s="1"/>
  <c r="L580" i="12838"/>
  <c r="J597" i="12838"/>
  <c r="L597" i="12838" s="1"/>
  <c r="L586" i="12838"/>
  <c r="J599" i="12838"/>
  <c r="L599" i="12838" s="1"/>
  <c r="L588" i="12838"/>
  <c r="I508" i="12838"/>
  <c r="J738" i="12838"/>
  <c r="L738" i="12838" s="1"/>
  <c r="L715" i="12838"/>
  <c r="I610" i="12838"/>
  <c r="L475" i="12838"/>
  <c r="L476" i="12838"/>
  <c r="L483" i="12838"/>
  <c r="N508" i="12838"/>
  <c r="N534" i="12838" s="1"/>
  <c r="Q509" i="12838"/>
  <c r="N510" i="12838"/>
  <c r="N512" i="12838"/>
  <c r="Q513" i="12838"/>
  <c r="N518" i="12838"/>
  <c r="N520" i="12838"/>
  <c r="F543" i="12838"/>
  <c r="J543" i="12838"/>
  <c r="F547" i="12838"/>
  <c r="J547" i="12838"/>
  <c r="F550" i="12838"/>
  <c r="I552" i="12838"/>
  <c r="F557" i="12838"/>
  <c r="F559" i="12838"/>
  <c r="F561" i="12838"/>
  <c r="F563" i="12838"/>
  <c r="C564" i="12838"/>
  <c r="F565" i="12838"/>
  <c r="F567" i="12838"/>
  <c r="J567" i="12838"/>
  <c r="L567" i="12838" s="1"/>
  <c r="F577" i="12838"/>
  <c r="J577" i="12838"/>
  <c r="F581" i="12838"/>
  <c r="J581" i="12838"/>
  <c r="F584" i="12838"/>
  <c r="I586" i="12838"/>
  <c r="F587" i="12838"/>
  <c r="F591" i="12838"/>
  <c r="F593" i="12838"/>
  <c r="F595" i="12838"/>
  <c r="F597" i="12838"/>
  <c r="C598" i="12838"/>
  <c r="F599" i="12838"/>
  <c r="J601" i="12838"/>
  <c r="N613" i="12838"/>
  <c r="Q614" i="12838"/>
  <c r="N630" i="12838"/>
  <c r="Q631" i="12838"/>
  <c r="J633" i="12838"/>
  <c r="N633" i="12838" s="1"/>
  <c r="J636" i="12838"/>
  <c r="N636" i="12838" s="1"/>
  <c r="J637" i="12838"/>
  <c r="N637" i="12838" s="1"/>
  <c r="J649" i="12838"/>
  <c r="N649" i="12838" s="1"/>
  <c r="J650" i="12838"/>
  <c r="N650" i="12838" s="1"/>
  <c r="N651" i="12838"/>
  <c r="N652" i="12838"/>
  <c r="F661" i="12838"/>
  <c r="J661" i="12838"/>
  <c r="L663" i="12838"/>
  <c r="F664" i="12838"/>
  <c r="J664" i="12838"/>
  <c r="J665" i="12838"/>
  <c r="C666" i="12838"/>
  <c r="F670" i="12838"/>
  <c r="F619" i="12838" s="1"/>
  <c r="F673" i="12838"/>
  <c r="F622" i="12838" s="1"/>
  <c r="F676" i="12838"/>
  <c r="F679" i="12838"/>
  <c r="F628" i="12838" s="1"/>
  <c r="C680" i="12838"/>
  <c r="C629" i="12838" s="1"/>
  <c r="F681" i="12838"/>
  <c r="J681" i="12838"/>
  <c r="F712" i="12838"/>
  <c r="J712" i="12838"/>
  <c r="L714" i="12838"/>
  <c r="F715" i="12838"/>
  <c r="C717" i="12838"/>
  <c r="I726" i="12838"/>
  <c r="J861" i="12838"/>
  <c r="L861" i="12838" s="1"/>
  <c r="J844" i="12838"/>
  <c r="Q826" i="12838"/>
  <c r="J878" i="12838" s="1"/>
  <c r="N509" i="12838"/>
  <c r="N513" i="12838"/>
  <c r="J522" i="12838"/>
  <c r="N522" i="12838" s="1"/>
  <c r="N532" i="12838"/>
  <c r="J542" i="12838"/>
  <c r="I543" i="12838"/>
  <c r="J544" i="12838"/>
  <c r="J546" i="12838"/>
  <c r="J552" i="12838"/>
  <c r="J554" i="12838"/>
  <c r="J566" i="12838"/>
  <c r="L566" i="12838" s="1"/>
  <c r="L532" i="12838" s="1"/>
  <c r="I577" i="12838"/>
  <c r="I593" i="12838"/>
  <c r="I525" i="12838" s="1"/>
  <c r="N614" i="12838"/>
  <c r="J752" i="12838"/>
  <c r="L752" i="12838" s="1"/>
  <c r="L733" i="12838"/>
  <c r="N631" i="12838"/>
  <c r="I681" i="12838"/>
  <c r="J682" i="12838"/>
  <c r="J702" i="12838"/>
  <c r="L702" i="12838" s="1"/>
  <c r="L651" i="12838" s="1"/>
  <c r="J703" i="12838"/>
  <c r="L703" i="12838" s="1"/>
  <c r="L652" i="12838" s="1"/>
  <c r="I942" i="12838"/>
  <c r="F729" i="12838"/>
  <c r="F627" i="12838" s="1"/>
  <c r="F732" i="12838"/>
  <c r="F766" i="12838"/>
  <c r="I770" i="12838"/>
  <c r="F773" i="12838"/>
  <c r="F774" i="12838"/>
  <c r="F775" i="12838"/>
  <c r="L820" i="12838"/>
  <c r="F822" i="12838"/>
  <c r="Q822" i="12838"/>
  <c r="F823" i="12838"/>
  <c r="Q823" i="12838"/>
  <c r="F824" i="12838"/>
  <c r="J824" i="12838"/>
  <c r="F827" i="12838"/>
  <c r="Q827" i="12838"/>
  <c r="I840" i="12838"/>
  <c r="I927" i="12838" s="1"/>
  <c r="F842" i="12838"/>
  <c r="F929" i="12838" s="1"/>
  <c r="I844" i="12838"/>
  <c r="F845" i="12838"/>
  <c r="F932" i="12838" s="1"/>
  <c r="J845" i="12838"/>
  <c r="I857" i="12838"/>
  <c r="I863" i="12838" s="1"/>
  <c r="C863" i="12838"/>
  <c r="I871" i="12838"/>
  <c r="F871" i="12838"/>
  <c r="L872" i="12838"/>
  <c r="J908" i="12838"/>
  <c r="L908" i="12838" s="1"/>
  <c r="L943" i="12838" s="1"/>
  <c r="J891" i="12838"/>
  <c r="L891" i="12838" s="1"/>
  <c r="Q872" i="12838"/>
  <c r="F925" i="12838"/>
  <c r="L945" i="12838"/>
  <c r="I947" i="12838"/>
  <c r="F949" i="12838"/>
  <c r="I732" i="12838"/>
  <c r="I773" i="12838"/>
  <c r="I774" i="12838"/>
  <c r="I775" i="12838"/>
  <c r="Q819" i="12838"/>
  <c r="Q820" i="12838"/>
  <c r="I822" i="12838"/>
  <c r="I823" i="12838"/>
  <c r="I826" i="12838"/>
  <c r="I827" i="12838"/>
  <c r="J837" i="12838"/>
  <c r="J838" i="12838"/>
  <c r="J840" i="12838"/>
  <c r="J841" i="12838"/>
  <c r="C847" i="12838"/>
  <c r="C942" i="12838"/>
  <c r="C802" i="12838" s="1"/>
  <c r="C784" i="12838" s="1"/>
  <c r="C856" i="12838"/>
  <c r="C821" i="12838" s="1"/>
  <c r="F854" i="12838"/>
  <c r="L871" i="12838"/>
  <c r="J907" i="12838"/>
  <c r="L907" i="12838" s="1"/>
  <c r="J890" i="12838"/>
  <c r="L890" i="12838" s="1"/>
  <c r="Q871" i="12838"/>
  <c r="F874" i="12838"/>
  <c r="L874" i="12838"/>
  <c r="I874" i="12838"/>
  <c r="F875" i="12838"/>
  <c r="L875" i="12838"/>
  <c r="I875" i="12838"/>
  <c r="F876" i="12838"/>
  <c r="I876" i="12838"/>
  <c r="F879" i="12838"/>
  <c r="L879" i="12838"/>
  <c r="I950" i="12838"/>
  <c r="I925" i="12838"/>
  <c r="I803" i="12838" s="1"/>
  <c r="I785" i="12838" s="1"/>
  <c r="C926" i="12838"/>
  <c r="F928" i="12838"/>
  <c r="I895" i="12838"/>
  <c r="I929" i="12838" s="1"/>
  <c r="I807" i="12838" s="1"/>
  <c r="I789" i="12838" s="1"/>
  <c r="C900" i="12838"/>
  <c r="I898" i="12838"/>
  <c r="I932" i="12838" s="1"/>
  <c r="I810" i="12838" s="1"/>
  <c r="I792" i="12838" s="1"/>
  <c r="C949" i="12838"/>
  <c r="C809" i="12838" s="1"/>
  <c r="C791" i="12838" s="1"/>
  <c r="Q960" i="12838"/>
  <c r="Q963" i="12838"/>
  <c r="F942" i="12838"/>
  <c r="F943" i="12838"/>
  <c r="C945" i="12838"/>
  <c r="C805" i="12838" s="1"/>
  <c r="C787" i="12838" s="1"/>
  <c r="I946" i="12838"/>
  <c r="I806" i="12838" s="1"/>
  <c r="I788" i="12838" s="1"/>
  <c r="C947" i="12838"/>
  <c r="F912" i="12838"/>
  <c r="C950" i="12838"/>
  <c r="F915" i="12838"/>
  <c r="F950" i="12838" s="1"/>
  <c r="C929" i="12838"/>
  <c r="C807" i="12838" s="1"/>
  <c r="C789" i="12838" s="1"/>
  <c r="C932" i="12838"/>
  <c r="Q966" i="12838"/>
  <c r="Q967" i="12838"/>
  <c r="N976" i="12838"/>
  <c r="N995" i="12838" s="1"/>
  <c r="N977" i="12838"/>
  <c r="N979" i="12838"/>
  <c r="N980" i="12838"/>
  <c r="N982" i="12838"/>
  <c r="N983" i="12838"/>
  <c r="N984" i="12838"/>
  <c r="N985" i="12838"/>
  <c r="N988" i="12838"/>
  <c r="N990" i="12838"/>
  <c r="N992" i="12838"/>
  <c r="I1003" i="12838"/>
  <c r="I1006" i="12838" s="1"/>
  <c r="L1024" i="12838"/>
  <c r="Q879" i="12838"/>
  <c r="I890" i="12838"/>
  <c r="I897" i="12838"/>
  <c r="J898" i="12838"/>
  <c r="L898" i="12838" s="1"/>
  <c r="I910" i="12838"/>
  <c r="I945" i="12838" s="1"/>
  <c r="I914" i="12838"/>
  <c r="I949" i="12838" s="1"/>
  <c r="C916" i="12838"/>
  <c r="I966" i="12838"/>
  <c r="I968" i="12838" s="1"/>
  <c r="F1003" i="12838"/>
  <c r="F1006" i="12838" s="1"/>
  <c r="F1008" i="12838" s="1"/>
  <c r="L1003" i="12838"/>
  <c r="L1006" i="12838" s="1"/>
  <c r="I1040" i="12838"/>
  <c r="C1041" i="12838"/>
  <c r="C1043" i="12838" s="1"/>
  <c r="I1062" i="12838"/>
  <c r="I1064" i="12838"/>
  <c r="F1073" i="12838"/>
  <c r="F1074" i="12838"/>
  <c r="L1075" i="12838"/>
  <c r="L1077" i="12838"/>
  <c r="N1078" i="12838"/>
  <c r="F1081" i="12838"/>
  <c r="F1082" i="12838"/>
  <c r="L1083" i="12838"/>
  <c r="L1086" i="12838"/>
  <c r="L1090" i="12838"/>
  <c r="L1093" i="12838"/>
  <c r="F1096" i="12838"/>
  <c r="F1097" i="12838"/>
  <c r="L1098" i="12838"/>
  <c r="N1100" i="12838"/>
  <c r="F1040" i="12838"/>
  <c r="F1014" i="12838" s="1"/>
  <c r="F1017" i="12838" s="1"/>
  <c r="F1019" i="12838" s="1"/>
  <c r="I1052" i="12838"/>
  <c r="I1054" i="12838" s="1"/>
  <c r="I1061" i="12838"/>
  <c r="F1062" i="12838"/>
  <c r="F1064" i="12838"/>
  <c r="L1064" i="12838"/>
  <c r="L1065" i="12838" s="1"/>
  <c r="I1073" i="12838"/>
  <c r="I1074" i="12838"/>
  <c r="I1081" i="12838"/>
  <c r="I1082" i="12838"/>
  <c r="I1096" i="12838"/>
  <c r="I1097" i="12838"/>
  <c r="H12" i="12837"/>
  <c r="J12" i="12837" s="1"/>
  <c r="N21" i="12837"/>
  <c r="B17" i="12837"/>
  <c r="B18" i="12837" s="1"/>
  <c r="J674" i="12838" l="1"/>
  <c r="Q619" i="12838"/>
  <c r="J642" i="12838"/>
  <c r="N642" i="12838" s="1"/>
  <c r="N619" i="12838"/>
  <c r="Q157" i="12838"/>
  <c r="I295" i="12838"/>
  <c r="I152" i="12838" s="1"/>
  <c r="C152" i="12838"/>
  <c r="C155" i="12838" s="1"/>
  <c r="F613" i="12838"/>
  <c r="J329" i="12838"/>
  <c r="J338" i="12838" s="1"/>
  <c r="L338" i="12838" s="1"/>
  <c r="L446" i="12838"/>
  <c r="I601" i="12838"/>
  <c r="I533" i="12838" s="1"/>
  <c r="J412" i="12838"/>
  <c r="Q148" i="12838"/>
  <c r="C298" i="12838"/>
  <c r="F75" i="12838"/>
  <c r="F77" i="12838" s="1"/>
  <c r="F947" i="12838"/>
  <c r="F863" i="12838"/>
  <c r="F917" i="12838" s="1"/>
  <c r="F918" i="12838" s="1"/>
  <c r="L819" i="12838"/>
  <c r="J441" i="12838"/>
  <c r="J54" i="12838"/>
  <c r="L54" i="12838" s="1"/>
  <c r="L1054" i="12838"/>
  <c r="L995" i="12838"/>
  <c r="F169" i="12838"/>
  <c r="L968" i="12838"/>
  <c r="C159" i="12838"/>
  <c r="N148" i="12838"/>
  <c r="N173" i="12838" s="1"/>
  <c r="F520" i="12838"/>
  <c r="F931" i="12838"/>
  <c r="F809" i="12838" s="1"/>
  <c r="F791" i="12838" s="1"/>
  <c r="J300" i="12838"/>
  <c r="J309" i="12838" s="1"/>
  <c r="J388" i="12838"/>
  <c r="J397" i="12838" s="1"/>
  <c r="J186" i="12838"/>
  <c r="J195" i="12838" s="1"/>
  <c r="J214" i="12838"/>
  <c r="L214" i="12838" s="1"/>
  <c r="N157" i="12838"/>
  <c r="J358" i="12838"/>
  <c r="J367" i="12838" s="1"/>
  <c r="L367" i="12838" s="1"/>
  <c r="J417" i="12838"/>
  <c r="L417" i="12838" s="1"/>
  <c r="J271" i="12838"/>
  <c r="L271" i="12838" s="1"/>
  <c r="J243" i="12838"/>
  <c r="L243" i="12838" s="1"/>
  <c r="J166" i="12838"/>
  <c r="N166" i="12838" s="1"/>
  <c r="J49" i="12838"/>
  <c r="L49" i="12838" s="1"/>
  <c r="L15" i="12838" s="1"/>
  <c r="N15" i="12838"/>
  <c r="N24" i="12838" s="1"/>
  <c r="F826" i="12838"/>
  <c r="F828" i="12838" s="1"/>
  <c r="F924" i="12838"/>
  <c r="F846" i="12838"/>
  <c r="I846" i="12838"/>
  <c r="I847" i="12838" s="1"/>
  <c r="I848" i="12838" s="1"/>
  <c r="F625" i="12838"/>
  <c r="L601" i="12838"/>
  <c r="L533" i="12838" s="1"/>
  <c r="L482" i="12838"/>
  <c r="I153" i="12838"/>
  <c r="L443" i="12838"/>
  <c r="C533" i="12838"/>
  <c r="F159" i="12838"/>
  <c r="Q150" i="12838"/>
  <c r="L140" i="12838"/>
  <c r="L86" i="12838"/>
  <c r="F819" i="12838"/>
  <c r="F510" i="12838"/>
  <c r="F19" i="12838"/>
  <c r="C602" i="12838"/>
  <c r="I1065" i="12838"/>
  <c r="L826" i="12838"/>
  <c r="F533" i="12838"/>
  <c r="J385" i="12838"/>
  <c r="J396" i="12838" s="1"/>
  <c r="N150" i="12838"/>
  <c r="F1065" i="12838"/>
  <c r="F1067" i="12838" s="1"/>
  <c r="I1014" i="12838"/>
  <c r="I931" i="12838"/>
  <c r="I809" i="12838" s="1"/>
  <c r="I791" i="12838" s="1"/>
  <c r="F806" i="12838"/>
  <c r="F788" i="12838" s="1"/>
  <c r="L85" i="12838"/>
  <c r="I168" i="12838"/>
  <c r="J729" i="12838"/>
  <c r="L729" i="12838" s="1"/>
  <c r="J37" i="12838"/>
  <c r="L37" i="12838" s="1"/>
  <c r="J624" i="12838"/>
  <c r="J643" i="12838" s="1"/>
  <c r="N643" i="12838" s="1"/>
  <c r="J638" i="12838"/>
  <c r="N638" i="12838" s="1"/>
  <c r="J743" i="12838"/>
  <c r="L743" i="12838" s="1"/>
  <c r="J51" i="12838"/>
  <c r="L51" i="12838" s="1"/>
  <c r="J34" i="12838"/>
  <c r="L34" i="12838" s="1"/>
  <c r="N519" i="12838"/>
  <c r="Q519" i="12838"/>
  <c r="J67" i="12838"/>
  <c r="L67" i="12838" s="1"/>
  <c r="L110" i="12838"/>
  <c r="L114" i="12838" s="1"/>
  <c r="L732" i="12838"/>
  <c r="L97" i="12838"/>
  <c r="L101" i="12838" s="1"/>
  <c r="N20" i="12838"/>
  <c r="Q964" i="12838"/>
  <c r="N622" i="12838"/>
  <c r="J549" i="12838"/>
  <c r="J561" i="12838" s="1"/>
  <c r="L561" i="12838" s="1"/>
  <c r="J670" i="12838"/>
  <c r="L670" i="12838" s="1"/>
  <c r="Q622" i="12838"/>
  <c r="L721" i="12838"/>
  <c r="N17" i="12838"/>
  <c r="J36" i="12838"/>
  <c r="L36" i="12838" s="1"/>
  <c r="J627" i="12838"/>
  <c r="J646" i="12838" s="1"/>
  <c r="N646" i="12838" s="1"/>
  <c r="J673" i="12838"/>
  <c r="J692" i="12838" s="1"/>
  <c r="L692" i="12838" s="1"/>
  <c r="J641" i="12838"/>
  <c r="N641" i="12838" s="1"/>
  <c r="J742" i="12838"/>
  <c r="L742" i="12838" s="1"/>
  <c r="L201" i="12838"/>
  <c r="L723" i="12838"/>
  <c r="Q621" i="12838"/>
  <c r="H45" i="12837"/>
  <c r="J583" i="12838"/>
  <c r="J478" i="12838"/>
  <c r="J672" i="12838"/>
  <c r="J679" i="12838" s="1"/>
  <c r="J628" i="12838"/>
  <c r="N628" i="12838" s="1"/>
  <c r="J640" i="12838"/>
  <c r="N640" i="12838" s="1"/>
  <c r="N621" i="12838"/>
  <c r="N16" i="12838"/>
  <c r="J516" i="12838"/>
  <c r="J50" i="12838"/>
  <c r="L50" i="12838" s="1"/>
  <c r="J625" i="12838"/>
  <c r="J644" i="12838" s="1"/>
  <c r="N644" i="12838" s="1"/>
  <c r="J587" i="12838"/>
  <c r="J598" i="12838" s="1"/>
  <c r="L598" i="12838" s="1"/>
  <c r="N515" i="12838"/>
  <c r="I97" i="12838"/>
  <c r="I101" i="12838" s="1"/>
  <c r="Q515" i="12838"/>
  <c r="H57" i="12837"/>
  <c r="F97" i="12838"/>
  <c r="F101" i="12838" s="1"/>
  <c r="J53" i="12838"/>
  <c r="L53" i="12838" s="1"/>
  <c r="J70" i="12838"/>
  <c r="L70" i="12838" s="1"/>
  <c r="I553" i="12838"/>
  <c r="I519" i="12838" s="1"/>
  <c r="C519" i="12838"/>
  <c r="L21" i="12838"/>
  <c r="J725" i="12838"/>
  <c r="Q623" i="12838"/>
  <c r="C568" i="12838"/>
  <c r="I1102" i="12838"/>
  <c r="L1102" i="12838"/>
  <c r="C944" i="12838"/>
  <c r="I828" i="12838"/>
  <c r="F916" i="12838"/>
  <c r="F810" i="12838"/>
  <c r="F792" i="12838" s="1"/>
  <c r="F807" i="12838"/>
  <c r="F789" i="12838" s="1"/>
  <c r="I776" i="12838"/>
  <c r="I20" i="12838"/>
  <c r="L473" i="12838"/>
  <c r="J487" i="12838"/>
  <c r="L487" i="12838" s="1"/>
  <c r="F776" i="12838"/>
  <c r="F778" i="12838" s="1"/>
  <c r="I755" i="12838"/>
  <c r="F83" i="12838"/>
  <c r="I17" i="12838"/>
  <c r="J530" i="12838"/>
  <c r="N530" i="12838" s="1"/>
  <c r="J481" i="12838"/>
  <c r="L471" i="12838"/>
  <c r="J485" i="12838"/>
  <c r="L485" i="12838" s="1"/>
  <c r="C88" i="12838"/>
  <c r="F1043" i="12838"/>
  <c r="F1045" i="12838" s="1"/>
  <c r="C951" i="12838"/>
  <c r="I916" i="12838"/>
  <c r="F802" i="12838"/>
  <c r="F784" i="12838" s="1"/>
  <c r="J767" i="12838"/>
  <c r="L841" i="12838"/>
  <c r="L928" i="12838" s="1"/>
  <c r="L806" i="12838" s="1"/>
  <c r="L788" i="12838" s="1"/>
  <c r="P806" i="12838"/>
  <c r="Q806" i="12838" s="1"/>
  <c r="I880" i="12838"/>
  <c r="I630" i="12838"/>
  <c r="J565" i="12838"/>
  <c r="L565" i="12838" s="1"/>
  <c r="L531" i="12838" s="1"/>
  <c r="L554" i="12838"/>
  <c r="L520" i="12838" s="1"/>
  <c r="J558" i="12838"/>
  <c r="L558" i="12838" s="1"/>
  <c r="L524" i="12838" s="1"/>
  <c r="L544" i="12838"/>
  <c r="L510" i="12838" s="1"/>
  <c r="J556" i="12838"/>
  <c r="L556" i="12838" s="1"/>
  <c r="L522" i="12838" s="1"/>
  <c r="L542" i="12838"/>
  <c r="Q878" i="12838"/>
  <c r="J914" i="12838"/>
  <c r="L914" i="12838" s="1"/>
  <c r="L949" i="12838" s="1"/>
  <c r="J897" i="12838"/>
  <c r="L897" i="12838" s="1"/>
  <c r="L878" i="12838"/>
  <c r="J770" i="12838"/>
  <c r="L844" i="12838"/>
  <c r="F755" i="12838"/>
  <c r="F757" i="12838" s="1"/>
  <c r="F630" i="12838"/>
  <c r="J693" i="12838"/>
  <c r="L693" i="12838" s="1"/>
  <c r="L674" i="12838"/>
  <c r="J688" i="12838"/>
  <c r="L688" i="12838" s="1"/>
  <c r="L637" i="12838" s="1"/>
  <c r="L665" i="12838"/>
  <c r="L614" i="12838" s="1"/>
  <c r="J684" i="12838"/>
  <c r="L684" i="12838" s="1"/>
  <c r="L661" i="12838"/>
  <c r="F598" i="12838"/>
  <c r="F602" i="12838" s="1"/>
  <c r="F604" i="12838" s="1"/>
  <c r="I598" i="12838"/>
  <c r="I602" i="12838" s="1"/>
  <c r="F564" i="12838"/>
  <c r="I564" i="12838"/>
  <c r="I530" i="12838" s="1"/>
  <c r="C530" i="12838"/>
  <c r="F527" i="12838"/>
  <c r="F523" i="12838"/>
  <c r="F519" i="12838"/>
  <c r="F516" i="12838"/>
  <c r="F513" i="12838"/>
  <c r="F509" i="12838"/>
  <c r="I704" i="12838"/>
  <c r="J340" i="12838"/>
  <c r="L340" i="12838" s="1"/>
  <c r="L331" i="12838"/>
  <c r="J279" i="12838"/>
  <c r="L279" i="12838" s="1"/>
  <c r="L269" i="12838"/>
  <c r="J277" i="12838"/>
  <c r="L277" i="12838" s="1"/>
  <c r="L267" i="12838"/>
  <c r="J251" i="12838"/>
  <c r="L251" i="12838" s="1"/>
  <c r="L241" i="12838"/>
  <c r="J249" i="12838"/>
  <c r="L249" i="12838" s="1"/>
  <c r="L239" i="12838"/>
  <c r="I82" i="12838"/>
  <c r="I624" i="12838"/>
  <c r="J452" i="12838"/>
  <c r="L452" i="12838" s="1"/>
  <c r="L441" i="12838"/>
  <c r="L419" i="12838"/>
  <c r="L390" i="12838" s="1"/>
  <c r="J428" i="12838"/>
  <c r="L428" i="12838" s="1"/>
  <c r="L399" i="12838" s="1"/>
  <c r="L412" i="12838"/>
  <c r="J423" i="12838"/>
  <c r="L423" i="12838" s="1"/>
  <c r="L360" i="12838"/>
  <c r="J369" i="12838"/>
  <c r="L369" i="12838" s="1"/>
  <c r="L355" i="12838"/>
  <c r="J366" i="12838"/>
  <c r="L366" i="12838" s="1"/>
  <c r="L308" i="12838" s="1"/>
  <c r="L353" i="12838"/>
  <c r="L295" i="12838" s="1"/>
  <c r="J364" i="12838"/>
  <c r="L364" i="12838" s="1"/>
  <c r="L315" i="12838"/>
  <c r="L333" i="12838"/>
  <c r="J342" i="12838"/>
  <c r="L342" i="12838" s="1"/>
  <c r="F301" i="12838"/>
  <c r="F158" i="12838" s="1"/>
  <c r="C158" i="12838"/>
  <c r="I301" i="12838"/>
  <c r="I158" i="12838" s="1"/>
  <c r="L273" i="12838"/>
  <c r="J282" i="12838"/>
  <c r="L282" i="12838" s="1"/>
  <c r="L200" i="12838"/>
  <c r="L245" i="12838"/>
  <c r="J254" i="12838"/>
  <c r="L254" i="12838" s="1"/>
  <c r="L211" i="12838"/>
  <c r="J221" i="12838"/>
  <c r="L221" i="12838" s="1"/>
  <c r="C160" i="12838"/>
  <c r="F110" i="12838"/>
  <c r="F114" i="12838" s="1"/>
  <c r="F116" i="12838" s="1"/>
  <c r="I110" i="12838"/>
  <c r="I114" i="12838" s="1"/>
  <c r="C84" i="12838"/>
  <c r="I75" i="12838"/>
  <c r="I58" i="12838"/>
  <c r="I15" i="12838"/>
  <c r="F345" i="12838"/>
  <c r="F287" i="12838"/>
  <c r="L306" i="12838"/>
  <c r="I83" i="12838"/>
  <c r="I316" i="12838"/>
  <c r="L246" i="12838"/>
  <c r="J255" i="12838"/>
  <c r="L255" i="12838" s="1"/>
  <c r="L332" i="12838"/>
  <c r="J341" i="12838"/>
  <c r="L341" i="12838" s="1"/>
  <c r="J429" i="12838"/>
  <c r="L429" i="12838" s="1"/>
  <c r="L420" i="12838"/>
  <c r="I41" i="12838"/>
  <c r="L83" i="12838"/>
  <c r="C1017" i="12838"/>
  <c r="L1043" i="12838"/>
  <c r="L1013" i="12838"/>
  <c r="N1013" i="12838" s="1"/>
  <c r="N1017" i="12838" s="1"/>
  <c r="L942" i="12838"/>
  <c r="P803" i="12838"/>
  <c r="Q803" i="12838" s="1"/>
  <c r="L838" i="12838"/>
  <c r="L925" i="12838" s="1"/>
  <c r="L803" i="12838" s="1"/>
  <c r="L785" i="12838" s="1"/>
  <c r="J764" i="12838"/>
  <c r="F1102" i="12838"/>
  <c r="F1104" i="12838" s="1"/>
  <c r="I1041" i="12838"/>
  <c r="I1043" i="12838" s="1"/>
  <c r="U1041" i="12838"/>
  <c r="C1015" i="12838"/>
  <c r="I924" i="12838"/>
  <c r="I802" i="12838" s="1"/>
  <c r="I784" i="12838" s="1"/>
  <c r="I899" i="12838"/>
  <c r="C810" i="12838"/>
  <c r="C792" i="12838" s="1"/>
  <c r="C901" i="12838"/>
  <c r="C804" i="12838"/>
  <c r="C786" i="12838" s="1"/>
  <c r="I805" i="12838"/>
  <c r="I787" i="12838" s="1"/>
  <c r="C848" i="12838"/>
  <c r="L840" i="12838"/>
  <c r="L927" i="12838" s="1"/>
  <c r="L805" i="12838" s="1"/>
  <c r="L787" i="12838" s="1"/>
  <c r="P805" i="12838"/>
  <c r="Q805" i="12838" s="1"/>
  <c r="J766" i="12838"/>
  <c r="P802" i="12838"/>
  <c r="Q802" i="12838" s="1"/>
  <c r="J763" i="12838"/>
  <c r="L837" i="12838"/>
  <c r="F803" i="12838"/>
  <c r="F785" i="12838" s="1"/>
  <c r="F880" i="12838"/>
  <c r="L845" i="12838"/>
  <c r="L932" i="12838" s="1"/>
  <c r="L810" i="12838" s="1"/>
  <c r="L792" i="12838" s="1"/>
  <c r="J771" i="12838"/>
  <c r="J859" i="12838"/>
  <c r="L859" i="12838" s="1"/>
  <c r="L863" i="12838" s="1"/>
  <c r="L824" i="12838"/>
  <c r="J842" i="12838"/>
  <c r="Q824" i="12838"/>
  <c r="J876" i="12838" s="1"/>
  <c r="J701" i="12838"/>
  <c r="L701" i="12838" s="1"/>
  <c r="L650" i="12838" s="1"/>
  <c r="L682" i="12838"/>
  <c r="L631" i="12838" s="1"/>
  <c r="J563" i="12838"/>
  <c r="L563" i="12838" s="1"/>
  <c r="L529" i="12838" s="1"/>
  <c r="L552" i="12838"/>
  <c r="L518" i="12838" s="1"/>
  <c r="J559" i="12838"/>
  <c r="L559" i="12838" s="1"/>
  <c r="L525" i="12838" s="1"/>
  <c r="L546" i="12838"/>
  <c r="L512" i="12838" s="1"/>
  <c r="I509" i="12838"/>
  <c r="J735" i="12838"/>
  <c r="L735" i="12838" s="1"/>
  <c r="L712" i="12838"/>
  <c r="J700" i="12838"/>
  <c r="L700" i="12838" s="1"/>
  <c r="L649" i="12838" s="1"/>
  <c r="L681" i="12838"/>
  <c r="C615" i="12838"/>
  <c r="J687" i="12838"/>
  <c r="L687" i="12838" s="1"/>
  <c r="L636" i="12838" s="1"/>
  <c r="L664" i="12838"/>
  <c r="L613" i="12838" s="1"/>
  <c r="L612" i="12838"/>
  <c r="F610" i="12838"/>
  <c r="F704" i="12838"/>
  <c r="J749" i="12838"/>
  <c r="L749" i="12838" s="1"/>
  <c r="L730" i="12838"/>
  <c r="J594" i="12838"/>
  <c r="L594" i="12838" s="1"/>
  <c r="L581" i="12838"/>
  <c r="L577" i="12838"/>
  <c r="J591" i="12838"/>
  <c r="L591" i="12838" s="1"/>
  <c r="F531" i="12838"/>
  <c r="F529" i="12838"/>
  <c r="F525" i="12838"/>
  <c r="J564" i="12838"/>
  <c r="L564" i="12838" s="1"/>
  <c r="L553" i="12838"/>
  <c r="I518" i="12838"/>
  <c r="J560" i="12838"/>
  <c r="L560" i="12838" s="1"/>
  <c r="L547" i="12838"/>
  <c r="L543" i="12838"/>
  <c r="J557" i="12838"/>
  <c r="L557" i="12838" s="1"/>
  <c r="L329" i="12838"/>
  <c r="J278" i="12838"/>
  <c r="L278" i="12838" s="1"/>
  <c r="L268" i="12838"/>
  <c r="J250" i="12838"/>
  <c r="L250" i="12838" s="1"/>
  <c r="L240" i="12838"/>
  <c r="J227" i="12838"/>
  <c r="L227" i="12838" s="1"/>
  <c r="L218" i="12838"/>
  <c r="J225" i="12838"/>
  <c r="L225" i="12838" s="1"/>
  <c r="L216" i="12838"/>
  <c r="L421" i="12838"/>
  <c r="L392" i="12838" s="1"/>
  <c r="J430" i="12838"/>
  <c r="L430" i="12838" s="1"/>
  <c r="L401" i="12838" s="1"/>
  <c r="L414" i="12838"/>
  <c r="J425" i="12838"/>
  <c r="L425" i="12838" s="1"/>
  <c r="L396" i="12838" s="1"/>
  <c r="F433" i="12838"/>
  <c r="L362" i="12838"/>
  <c r="J371" i="12838"/>
  <c r="L371" i="12838" s="1"/>
  <c r="L354" i="12838"/>
  <c r="L296" i="12838" s="1"/>
  <c r="J365" i="12838"/>
  <c r="L365" i="12838" s="1"/>
  <c r="C347" i="12838"/>
  <c r="C316" i="12838"/>
  <c r="L314" i="12838"/>
  <c r="L275" i="12838"/>
  <c r="J284" i="12838"/>
  <c r="L284" i="12838" s="1"/>
  <c r="L247" i="12838"/>
  <c r="J256" i="12838"/>
  <c r="L256" i="12838" s="1"/>
  <c r="L212" i="12838"/>
  <c r="J222" i="12838"/>
  <c r="L222" i="12838" s="1"/>
  <c r="L210" i="12838"/>
  <c r="J220" i="12838"/>
  <c r="L220" i="12838" s="1"/>
  <c r="J447" i="12838"/>
  <c r="J418" i="12838"/>
  <c r="J389" i="12838"/>
  <c r="J398" i="12838" s="1"/>
  <c r="J301" i="12838"/>
  <c r="J310" i="12838" s="1"/>
  <c r="J215" i="12838"/>
  <c r="J187" i="12838"/>
  <c r="J196" i="12838" s="1"/>
  <c r="Q158" i="12838"/>
  <c r="J359" i="12838"/>
  <c r="J330" i="12838"/>
  <c r="J272" i="12838"/>
  <c r="J244" i="12838"/>
  <c r="J167" i="12838"/>
  <c r="N167" i="12838" s="1"/>
  <c r="N158" i="12838"/>
  <c r="J442" i="12838"/>
  <c r="Q149" i="12838"/>
  <c r="J413" i="12838"/>
  <c r="J384" i="12838"/>
  <c r="J395" i="12838" s="1"/>
  <c r="N149" i="12838"/>
  <c r="F123" i="12838"/>
  <c r="F127" i="12838" s="1"/>
  <c r="F129" i="12838" s="1"/>
  <c r="I123" i="12838"/>
  <c r="I127" i="12838" s="1"/>
  <c r="F82" i="12838"/>
  <c r="L22" i="12838"/>
  <c r="I433" i="12838"/>
  <c r="L297" i="12838"/>
  <c r="F43" i="12838"/>
  <c r="F24" i="12838"/>
  <c r="F26" i="12838" s="1"/>
  <c r="I230" i="12838"/>
  <c r="J226" i="12838"/>
  <c r="L226" i="12838" s="1"/>
  <c r="L217" i="12838"/>
  <c r="L274" i="12838"/>
  <c r="J283" i="12838"/>
  <c r="L283" i="12838" s="1"/>
  <c r="L361" i="12838"/>
  <c r="J370" i="12838"/>
  <c r="L370" i="12838" s="1"/>
  <c r="L449" i="12838"/>
  <c r="J458" i="12838"/>
  <c r="L458" i="12838" s="1"/>
  <c r="L307" i="12838"/>
  <c r="L123" i="12838"/>
  <c r="L127" i="12838" s="1"/>
  <c r="I22" i="12838"/>
  <c r="N27" i="12837"/>
  <c r="T21" i="12837"/>
  <c r="B21" i="12837"/>
  <c r="B22" i="12837" s="1"/>
  <c r="L12" i="12837"/>
  <c r="J223" i="12838" l="1"/>
  <c r="L223" i="12838" s="1"/>
  <c r="L20" i="12838"/>
  <c r="L388" i="12838"/>
  <c r="L385" i="12838"/>
  <c r="L150" i="12838" s="1"/>
  <c r="F864" i="12838"/>
  <c r="F865" i="12838" s="1"/>
  <c r="L358" i="12838"/>
  <c r="J426" i="12838"/>
  <c r="L426" i="12838" s="1"/>
  <c r="L397" i="12838" s="1"/>
  <c r="J252" i="12838"/>
  <c r="L252" i="12838" s="1"/>
  <c r="J280" i="12838"/>
  <c r="L280" i="12838" s="1"/>
  <c r="Q624" i="12838"/>
  <c r="J748" i="12838"/>
  <c r="L748" i="12838" s="1"/>
  <c r="F951" i="12838"/>
  <c r="F953" i="12838" s="1"/>
  <c r="L394" i="12838"/>
  <c r="L199" i="12838"/>
  <c r="C1120" i="12838"/>
  <c r="L828" i="12838"/>
  <c r="F900" i="12838"/>
  <c r="F881" i="12838" s="1"/>
  <c r="F847" i="12838"/>
  <c r="F829" i="12838" s="1"/>
  <c r="F830" i="12838" s="1"/>
  <c r="F530" i="12838"/>
  <c r="N624" i="12838"/>
  <c r="F933" i="12838"/>
  <c r="F935" i="12838" s="1"/>
  <c r="F813" i="12838" s="1"/>
  <c r="J726" i="12838"/>
  <c r="L726" i="12838" s="1"/>
  <c r="L630" i="12838"/>
  <c r="J675" i="12838"/>
  <c r="J694" i="12838" s="1"/>
  <c r="L694" i="12838" s="1"/>
  <c r="L549" i="12838"/>
  <c r="L41" i="12838"/>
  <c r="L17" i="12838"/>
  <c r="J550" i="12838"/>
  <c r="J562" i="12838" s="1"/>
  <c r="L562" i="12838" s="1"/>
  <c r="L75" i="12838"/>
  <c r="L641" i="12838"/>
  <c r="L16" i="12838"/>
  <c r="L58" i="12838"/>
  <c r="J678" i="12838"/>
  <c r="J697" i="12838" s="1"/>
  <c r="L697" i="12838" s="1"/>
  <c r="N627" i="12838"/>
  <c r="Q625" i="12838"/>
  <c r="L673" i="12838"/>
  <c r="L622" i="12838" s="1"/>
  <c r="L172" i="12838"/>
  <c r="L619" i="12838"/>
  <c r="J676" i="12838"/>
  <c r="L676" i="12838" s="1"/>
  <c r="J689" i="12838"/>
  <c r="L689" i="12838" s="1"/>
  <c r="L638" i="12838" s="1"/>
  <c r="J647" i="12838"/>
  <c r="N647" i="12838" s="1"/>
  <c r="J691" i="12838"/>
  <c r="L691" i="12838" s="1"/>
  <c r="L640" i="12838" s="1"/>
  <c r="L186" i="12838"/>
  <c r="J490" i="12838"/>
  <c r="L478" i="12838"/>
  <c r="I568" i="12838"/>
  <c r="I534" i="12838" s="1"/>
  <c r="L587" i="12838"/>
  <c r="L519" i="12838" s="1"/>
  <c r="N625" i="12838"/>
  <c r="J727" i="12838"/>
  <c r="L727" i="12838" s="1"/>
  <c r="L672" i="12838"/>
  <c r="L621" i="12838" s="1"/>
  <c r="F568" i="12838"/>
  <c r="F534" i="12838" s="1"/>
  <c r="F536" i="12838" s="1"/>
  <c r="L19" i="12838"/>
  <c r="J584" i="12838"/>
  <c r="L583" i="12838"/>
  <c r="J595" i="12838"/>
  <c r="L595" i="12838" s="1"/>
  <c r="L527" i="12838" s="1"/>
  <c r="J528" i="12838"/>
  <c r="N528" i="12838" s="1"/>
  <c r="Q516" i="12838"/>
  <c r="N516" i="12838"/>
  <c r="L300" i="12838"/>
  <c r="L309" i="12838"/>
  <c r="L530" i="12838"/>
  <c r="C534" i="12838"/>
  <c r="C570" i="12838"/>
  <c r="L725" i="12838"/>
  <c r="L623" i="12838" s="1"/>
  <c r="J744" i="12838"/>
  <c r="L744" i="12838" s="1"/>
  <c r="L642" i="12838" s="1"/>
  <c r="L190" i="12838"/>
  <c r="L193" i="12838"/>
  <c r="L523" i="12838"/>
  <c r="L513" i="12838"/>
  <c r="J499" i="12838"/>
  <c r="L499" i="12838" s="1"/>
  <c r="J492" i="12838"/>
  <c r="L492" i="12838" s="1"/>
  <c r="L481" i="12838"/>
  <c r="I404" i="12838"/>
  <c r="L413" i="12838"/>
  <c r="J424" i="12838"/>
  <c r="L424" i="12838" s="1"/>
  <c r="J453" i="12838"/>
  <c r="L453" i="12838" s="1"/>
  <c r="L442" i="12838"/>
  <c r="L272" i="12838"/>
  <c r="J281" i="12838"/>
  <c r="L281" i="12838" s="1"/>
  <c r="J427" i="12838"/>
  <c r="L427" i="12838" s="1"/>
  <c r="L418" i="12838"/>
  <c r="I84" i="12838"/>
  <c r="F706" i="12838"/>
  <c r="F653" i="12838"/>
  <c r="F655" i="12838" s="1"/>
  <c r="J698" i="12838"/>
  <c r="L698" i="12838" s="1"/>
  <c r="L647" i="12838" s="1"/>
  <c r="L679" i="12838"/>
  <c r="L628" i="12838" s="1"/>
  <c r="J912" i="12838"/>
  <c r="L912" i="12838" s="1"/>
  <c r="J895" i="12838"/>
  <c r="L895" i="12838" s="1"/>
  <c r="Q876" i="12838"/>
  <c r="L876" i="12838"/>
  <c r="L880" i="12838" s="1"/>
  <c r="L771" i="12838"/>
  <c r="N771" i="12838"/>
  <c r="N763" i="12838"/>
  <c r="N776" i="12838" s="1"/>
  <c r="L763" i="12838"/>
  <c r="L766" i="12838"/>
  <c r="N766" i="12838"/>
  <c r="F811" i="12838"/>
  <c r="F793" i="12838" s="1"/>
  <c r="F795" i="12838" s="1"/>
  <c r="I1017" i="12838"/>
  <c r="L1017" i="12838"/>
  <c r="L391" i="12838"/>
  <c r="L312" i="12838"/>
  <c r="L198" i="12838"/>
  <c r="F347" i="12838"/>
  <c r="F316" i="12838"/>
  <c r="F318" i="12838" s="1"/>
  <c r="F84" i="12838"/>
  <c r="L197" i="12838"/>
  <c r="L171" i="12838"/>
  <c r="L313" i="12838"/>
  <c r="I88" i="12838"/>
  <c r="L192" i="12838"/>
  <c r="L163" i="12838" s="1"/>
  <c r="L194" i="12838"/>
  <c r="L165" i="12838" s="1"/>
  <c r="L311" i="12838"/>
  <c r="L633" i="12838"/>
  <c r="N770" i="12838"/>
  <c r="J775" i="12838"/>
  <c r="L770" i="12838"/>
  <c r="L931" i="12838"/>
  <c r="L809" i="12838" s="1"/>
  <c r="L791" i="12838" s="1"/>
  <c r="N767" i="12838"/>
  <c r="L767" i="12838"/>
  <c r="I951" i="12838"/>
  <c r="C811" i="12838"/>
  <c r="C793" i="12838" s="1"/>
  <c r="F103" i="12838"/>
  <c r="F88" i="12838"/>
  <c r="F90" i="12838" s="1"/>
  <c r="L359" i="12838"/>
  <c r="J368" i="12838"/>
  <c r="L368" i="12838" s="1"/>
  <c r="I202" i="12838"/>
  <c r="L84" i="12838"/>
  <c r="L244" i="12838"/>
  <c r="J253" i="12838"/>
  <c r="L253" i="12838" s="1"/>
  <c r="L330" i="12838"/>
  <c r="J339" i="12838"/>
  <c r="L339" i="12838" s="1"/>
  <c r="J224" i="12838"/>
  <c r="L224" i="12838" s="1"/>
  <c r="L215" i="12838"/>
  <c r="L447" i="12838"/>
  <c r="J456" i="12838"/>
  <c r="L456" i="12838" s="1"/>
  <c r="F435" i="12838"/>
  <c r="F404" i="12838"/>
  <c r="F406" i="12838" s="1"/>
  <c r="L183" i="12838"/>
  <c r="L153" i="12838" s="1"/>
  <c r="L509" i="12838"/>
  <c r="L526" i="12838"/>
  <c r="L842" i="12838"/>
  <c r="L846" i="12838" s="1"/>
  <c r="J768" i="12838"/>
  <c r="P807" i="12838"/>
  <c r="Q807" i="12838" s="1"/>
  <c r="F882" i="12838"/>
  <c r="L924" i="12838"/>
  <c r="L802" i="12838" s="1"/>
  <c r="L784" i="12838" s="1"/>
  <c r="C1121" i="12838"/>
  <c r="C1123" i="12838" s="1"/>
  <c r="I900" i="12838"/>
  <c r="I901" i="12838" s="1"/>
  <c r="I933" i="12838"/>
  <c r="L764" i="12838"/>
  <c r="N764" i="12838"/>
  <c r="I24" i="12838"/>
  <c r="L400" i="12838"/>
  <c r="L303" i="12838"/>
  <c r="L189" i="12838"/>
  <c r="C173" i="12838"/>
  <c r="F289" i="12838"/>
  <c r="F202" i="12838"/>
  <c r="L188" i="12838"/>
  <c r="L304" i="12838"/>
  <c r="L161" i="12838" s="1"/>
  <c r="L383" i="12838"/>
  <c r="L148" i="12838" s="1"/>
  <c r="L182" i="12838"/>
  <c r="L152" i="12838" s="1"/>
  <c r="L184" i="12838"/>
  <c r="L154" i="12838" s="1"/>
  <c r="L302" i="12838"/>
  <c r="I653" i="12838"/>
  <c r="L610" i="12838"/>
  <c r="L847" i="12838"/>
  <c r="L508" i="12838"/>
  <c r="L88" i="12838"/>
  <c r="B23" i="12837"/>
  <c r="N12" i="12837"/>
  <c r="P12" i="12837" s="1"/>
  <c r="B24" i="12837"/>
  <c r="T27" i="12837"/>
  <c r="J745" i="12838" l="1"/>
  <c r="L745" i="12838" s="1"/>
  <c r="L195" i="12838"/>
  <c r="L166" i="12838" s="1"/>
  <c r="L646" i="12838"/>
  <c r="L678" i="12838"/>
  <c r="L627" i="12838" s="1"/>
  <c r="L170" i="12838"/>
  <c r="L24" i="12838"/>
  <c r="F901" i="12838"/>
  <c r="F848" i="12838"/>
  <c r="L675" i="12838"/>
  <c r="L515" i="12838"/>
  <c r="J695" i="12838"/>
  <c r="L695" i="12838" s="1"/>
  <c r="L550" i="12838"/>
  <c r="L568" i="12838" s="1"/>
  <c r="L259" i="12838"/>
  <c r="F570" i="12838"/>
  <c r="L433" i="12838"/>
  <c r="J746" i="12838"/>
  <c r="L746" i="12838" s="1"/>
  <c r="L755" i="12838" s="1"/>
  <c r="L287" i="12838"/>
  <c r="J596" i="12838"/>
  <c r="L596" i="12838" s="1"/>
  <c r="L528" i="12838" s="1"/>
  <c r="L584" i="12838"/>
  <c r="L157" i="12838"/>
  <c r="L490" i="12838"/>
  <c r="J498" i="12838"/>
  <c r="L498" i="12838" s="1"/>
  <c r="J497" i="12838"/>
  <c r="L497" i="12838" s="1"/>
  <c r="L624" i="12838"/>
  <c r="L643" i="12838"/>
  <c r="L230" i="12838"/>
  <c r="L310" i="12838"/>
  <c r="L196" i="12838"/>
  <c r="L374" i="12838"/>
  <c r="L160" i="12838"/>
  <c r="L848" i="12838"/>
  <c r="L462" i="12838"/>
  <c r="L395" i="12838"/>
  <c r="L164" i="12838" s="1"/>
  <c r="L159" i="12838"/>
  <c r="F204" i="12838"/>
  <c r="F173" i="12838"/>
  <c r="F175" i="12838" s="1"/>
  <c r="F1107" i="12838" s="1"/>
  <c r="F1110" i="12838" s="1"/>
  <c r="F1117" i="12838" s="1"/>
  <c r="I811" i="12838"/>
  <c r="I793" i="12838" s="1"/>
  <c r="N768" i="12838"/>
  <c r="J774" i="12838"/>
  <c r="J773" i="12838"/>
  <c r="L768" i="12838"/>
  <c r="L301" i="12838"/>
  <c r="L345" i="12838"/>
  <c r="L187" i="12838"/>
  <c r="N775" i="12838"/>
  <c r="L775" i="12838"/>
  <c r="L168" i="12838"/>
  <c r="L947" i="12838"/>
  <c r="L916" i="12838"/>
  <c r="L398" i="12838"/>
  <c r="L384" i="12838"/>
  <c r="L149" i="12838" s="1"/>
  <c r="I934" i="12838"/>
  <c r="L900" i="12838"/>
  <c r="L625" i="12838"/>
  <c r="I173" i="12838"/>
  <c r="L169" i="12838"/>
  <c r="L929" i="12838"/>
  <c r="L899" i="12838"/>
  <c r="L389" i="12838"/>
  <c r="R12" i="12837"/>
  <c r="T12" i="12837" s="1"/>
  <c r="V12" i="12837" s="1"/>
  <c r="B25" i="12837"/>
  <c r="L704" i="12838" l="1"/>
  <c r="L653" i="12838" s="1"/>
  <c r="L644" i="12838"/>
  <c r="L602" i="12838"/>
  <c r="L534" i="12838" s="1"/>
  <c r="L404" i="12838"/>
  <c r="L202" i="12838"/>
  <c r="L167" i="12838"/>
  <c r="L500" i="12838"/>
  <c r="L502" i="12838" s="1"/>
  <c r="L516" i="12838"/>
  <c r="L807" i="12838"/>
  <c r="L789" i="12838" s="1"/>
  <c r="L933" i="12838"/>
  <c r="L901" i="12838"/>
  <c r="L934" i="12838"/>
  <c r="L158" i="12838"/>
  <c r="N774" i="12838"/>
  <c r="L774" i="12838"/>
  <c r="L951" i="12838"/>
  <c r="L316" i="12838"/>
  <c r="N773" i="12838"/>
  <c r="L773" i="12838"/>
  <c r="L776" i="12838" s="1"/>
  <c r="I935" i="12838"/>
  <c r="B26" i="12837"/>
  <c r="B27" i="12837" s="1"/>
  <c r="B30" i="12837" l="1"/>
  <c r="L173" i="12838"/>
  <c r="L935" i="12838"/>
  <c r="L25" i="12837" s="1"/>
  <c r="L811" i="12838"/>
  <c r="L793" i="12838" s="1"/>
  <c r="B31" i="12837"/>
  <c r="B32" i="12837" s="1"/>
  <c r="B33" i="12837" l="1"/>
  <c r="B34" i="12837" s="1"/>
  <c r="B35" i="12837" s="1"/>
  <c r="B39" i="12837" s="1"/>
  <c r="B40" i="12837" s="1"/>
  <c r="B43" i="12837" s="1"/>
  <c r="B45" i="12837" s="1"/>
  <c r="B48" i="12837" s="1"/>
  <c r="B49" i="12837" s="1"/>
  <c r="B50" i="12837" s="1"/>
  <c r="B51" i="12837" s="1"/>
  <c r="B52" i="12837" s="1"/>
  <c r="B53" i="12837" s="1"/>
  <c r="B55" i="12837" s="1"/>
  <c r="B57" i="12837" s="1"/>
  <c r="J55" i="12837" l="1"/>
  <c r="J35" i="12837" l="1"/>
  <c r="J40" i="12837"/>
  <c r="J52" i="12837"/>
  <c r="J17" i="12837"/>
  <c r="L17" i="12837" l="1"/>
  <c r="P17" i="12837" s="1"/>
  <c r="L55" i="12837"/>
  <c r="P55" i="12837" s="1"/>
  <c r="L40" i="12837" l="1"/>
  <c r="P40" i="12837" s="1"/>
  <c r="L52" i="12837"/>
  <c r="P52" i="12837" s="1"/>
  <c r="L35" i="12837"/>
  <c r="P35" i="12837" s="1"/>
  <c r="L26" i="12837"/>
  <c r="P26" i="12837" s="1"/>
  <c r="J48" i="12837" l="1"/>
  <c r="J50" i="12837"/>
  <c r="N50" i="12837" s="1"/>
  <c r="T50" i="12837" s="1"/>
  <c r="J49" i="12837"/>
  <c r="N49" i="12837" s="1"/>
  <c r="T49" i="12837" s="1"/>
  <c r="J39" i="12837"/>
  <c r="J33" i="12837"/>
  <c r="N33" i="12837" s="1"/>
  <c r="T33" i="12837" s="1"/>
  <c r="J41" i="12837" l="1"/>
  <c r="N39" i="12837"/>
  <c r="J51" i="12837"/>
  <c r="N51" i="12837" s="1"/>
  <c r="T51" i="12837" s="1"/>
  <c r="J34" i="12837"/>
  <c r="N34" i="12837" s="1"/>
  <c r="T34" i="12837" s="1"/>
  <c r="N48" i="12837"/>
  <c r="J30" i="12837"/>
  <c r="J32" i="12837"/>
  <c r="N32" i="12837" s="1"/>
  <c r="T32" i="12837" s="1"/>
  <c r="J53" i="12837" l="1"/>
  <c r="N30" i="12837"/>
  <c r="J31" i="12837"/>
  <c r="N31" i="12837" s="1"/>
  <c r="T31" i="12837" s="1"/>
  <c r="N41" i="12837"/>
  <c r="T41" i="12837" s="1"/>
  <c r="T39" i="12837"/>
  <c r="J16" i="12837"/>
  <c r="N16" i="12837" s="1"/>
  <c r="T16" i="12837" s="1"/>
  <c r="T48" i="12837"/>
  <c r="N53" i="12837"/>
  <c r="T53" i="12837" s="1"/>
  <c r="J15" i="12837"/>
  <c r="T30" i="12837" l="1"/>
  <c r="N36" i="12837"/>
  <c r="J18" i="12837"/>
  <c r="N15" i="12837"/>
  <c r="J36" i="12837"/>
  <c r="J43" i="12837" l="1"/>
  <c r="J45" i="12837"/>
  <c r="J57" i="12837"/>
  <c r="N18" i="12837"/>
  <c r="T15" i="12837"/>
  <c r="T36" i="12837"/>
  <c r="N43" i="12837"/>
  <c r="T43" i="12837" s="1"/>
  <c r="N45" i="12837"/>
  <c r="T45" i="12837" s="1"/>
  <c r="N57" i="12837" l="1"/>
  <c r="T57" i="12837" s="1"/>
  <c r="T18" i="12837"/>
  <c r="R25" i="12837" l="1"/>
  <c r="P25" i="12837"/>
  <c r="V25" i="12837" s="1"/>
  <c r="J34" i="12774" l="1"/>
  <c r="O11" i="12774"/>
  <c r="K27" i="12764"/>
  <c r="K22" i="12764"/>
  <c r="G22" i="12764"/>
  <c r="P34" i="12774" l="1"/>
  <c r="E22" i="12763" l="1"/>
  <c r="C1044" i="12767" l="1"/>
  <c r="C1041" i="12767"/>
  <c r="C1039" i="12767"/>
  <c r="C1036" i="12767"/>
  <c r="C987" i="12767"/>
  <c r="C979" i="12767"/>
  <c r="C984" i="12767"/>
  <c r="C982" i="12767"/>
  <c r="C1043" i="12767" l="1"/>
  <c r="C1045" i="12767" s="1"/>
  <c r="C986" i="12767"/>
  <c r="C988" i="12767" s="1"/>
  <c r="C1137" i="12767"/>
  <c r="C1136" i="12767" s="1"/>
  <c r="K11" i="12764"/>
  <c r="K40" i="12764"/>
  <c r="K24" i="12764"/>
  <c r="K12" i="12764"/>
  <c r="K37" i="12764"/>
  <c r="I37" i="12763"/>
  <c r="K23" i="12764"/>
  <c r="I23" i="12763"/>
  <c r="C785" i="12767"/>
  <c r="C783" i="12767"/>
  <c r="C776" i="12767"/>
  <c r="X776" i="12767" s="1"/>
  <c r="D101" i="12812"/>
  <c r="C774" i="12767"/>
  <c r="C107" i="12767"/>
  <c r="I24" i="12763"/>
  <c r="I12" i="12763"/>
  <c r="I40" i="12763"/>
  <c r="C45" i="12767"/>
  <c r="C43" i="12767" s="1"/>
  <c r="C302" i="12767"/>
  <c r="C300" i="12767"/>
  <c r="C306" i="12767" s="1"/>
  <c r="C299" i="12767"/>
  <c r="C305" i="12767" s="1"/>
  <c r="C298" i="12767"/>
  <c r="C297" i="12767"/>
  <c r="C296" i="12767"/>
  <c r="C295" i="12767"/>
  <c r="C304" i="12767"/>
  <c r="T304" i="12767" s="1"/>
  <c r="C303" i="12767"/>
  <c r="P303" i="12767" s="1"/>
  <c r="C283" i="12767"/>
  <c r="C290" i="12767"/>
  <c r="C286" i="12767"/>
  <c r="C284" i="12767"/>
  <c r="C282" i="12767"/>
  <c r="C247" i="12767"/>
  <c r="C255" i="12767"/>
  <c r="C251" i="12767"/>
  <c r="C249" i="12767"/>
  <c r="C248" i="12767"/>
  <c r="C317" i="12767"/>
  <c r="C316" i="12767"/>
  <c r="C338" i="12767"/>
  <c r="T338" i="12767" s="1"/>
  <c r="C337" i="12767"/>
  <c r="P337" i="12767" s="1"/>
  <c r="C334" i="12767"/>
  <c r="C340" i="12767" s="1"/>
  <c r="C333" i="12767"/>
  <c r="C339" i="12767" s="1"/>
  <c r="C332" i="12767"/>
  <c r="C331" i="12767"/>
  <c r="C330" i="12767"/>
  <c r="C324" i="12767"/>
  <c r="C322" i="12767"/>
  <c r="C326" i="12767" s="1"/>
  <c r="C321" i="12767"/>
  <c r="C320" i="12767"/>
  <c r="C318" i="12767"/>
  <c r="C391" i="12767"/>
  <c r="C395" i="12767" s="1"/>
  <c r="C392" i="12767"/>
  <c r="C396" i="12767" s="1"/>
  <c r="C389" i="12767"/>
  <c r="C385" i="12767"/>
  <c r="C426" i="12767"/>
  <c r="C430" i="12767" s="1"/>
  <c r="C424" i="12767"/>
  <c r="C420" i="12767"/>
  <c r="C500" i="12767"/>
  <c r="C499" i="12767"/>
  <c r="C503" i="12767" s="1"/>
  <c r="C498" i="12767"/>
  <c r="C502" i="12767" s="1"/>
  <c r="C497" i="12767"/>
  <c r="C501" i="12767" s="1"/>
  <c r="C496" i="12767"/>
  <c r="C495" i="12767"/>
  <c r="F43" i="12811" s="1"/>
  <c r="C493" i="12767"/>
  <c r="C492" i="12767"/>
  <c r="C491" i="12767"/>
  <c r="C533" i="12767"/>
  <c r="C537" i="12767" s="1"/>
  <c r="C532" i="12767"/>
  <c r="C536" i="12767" s="1"/>
  <c r="C531" i="12767"/>
  <c r="C530" i="12767"/>
  <c r="F73" i="12811" s="1"/>
  <c r="C527" i="12767"/>
  <c r="C528" i="12767"/>
  <c r="C656" i="12767"/>
  <c r="C652" i="12767"/>
  <c r="C651" i="12767"/>
  <c r="C709" i="12767"/>
  <c r="C708" i="12767"/>
  <c r="C707" i="12767"/>
  <c r="C705" i="12767"/>
  <c r="C704" i="12767"/>
  <c r="C703" i="12767"/>
  <c r="C701" i="12767"/>
  <c r="C699" i="12767"/>
  <c r="C694" i="12767"/>
  <c r="C692" i="12767"/>
  <c r="C690" i="12767"/>
  <c r="C689" i="12767"/>
  <c r="C687" i="12767"/>
  <c r="C686" i="12767"/>
  <c r="C684" i="12767"/>
  <c r="C683" i="12767"/>
  <c r="C682" i="12767"/>
  <c r="C671" i="12767"/>
  <c r="C670" i="12767"/>
  <c r="C669" i="12767"/>
  <c r="C667" i="12767"/>
  <c r="C666" i="12767"/>
  <c r="C665" i="12767"/>
  <c r="C664" i="12767"/>
  <c r="C663" i="12767"/>
  <c r="C662" i="12767"/>
  <c r="C660" i="12767"/>
  <c r="C661" i="12767"/>
  <c r="C648" i="12767"/>
  <c r="C649" i="12767"/>
  <c r="C646" i="12767"/>
  <c r="C645" i="12767"/>
  <c r="C644" i="12767"/>
  <c r="C1264" i="12767"/>
  <c r="C1263" i="12767" s="1"/>
  <c r="C1262" i="12767"/>
  <c r="C1258" i="12767"/>
  <c r="C1257" i="12767"/>
  <c r="C1243" i="12767"/>
  <c r="C1242" i="12767"/>
  <c r="C1238" i="12767"/>
  <c r="C1235" i="12767"/>
  <c r="C1234" i="12767"/>
  <c r="C1221" i="12767"/>
  <c r="C1219" i="12767"/>
  <c r="X1219" i="12767" s="1"/>
  <c r="X1225" i="12843" s="1"/>
  <c r="C1218" i="12767"/>
  <c r="X1218" i="12767" s="1"/>
  <c r="X1224" i="12843" s="1"/>
  <c r="C1207" i="12767"/>
  <c r="C1206" i="12767"/>
  <c r="C1192" i="12767"/>
  <c r="C1193" i="12767" s="1"/>
  <c r="C1194" i="12767"/>
  <c r="T1263" i="12767" l="1"/>
  <c r="T1269" i="12843" s="1"/>
  <c r="P1263" i="12767"/>
  <c r="P1269" i="12843" s="1"/>
  <c r="P1136" i="12767"/>
  <c r="P1138" i="12843" s="1"/>
  <c r="T1136" i="12767"/>
  <c r="T1138" i="12843" s="1"/>
  <c r="X107" i="12767"/>
  <c r="X108" i="12843" s="1"/>
  <c r="P107" i="12767"/>
  <c r="P108" i="12843" s="1"/>
  <c r="P1045" i="12767"/>
  <c r="T107" i="12767"/>
  <c r="T108" i="12843" s="1"/>
  <c r="P1218" i="12767"/>
  <c r="P1224" i="12843" s="1"/>
  <c r="T1218" i="12767"/>
  <c r="T1224" i="12843" s="1"/>
  <c r="P1219" i="12767"/>
  <c r="P1225" i="12843" s="1"/>
  <c r="T1219" i="12767"/>
  <c r="T1225" i="12843" s="1"/>
  <c r="P776" i="12767"/>
  <c r="T776" i="12767"/>
  <c r="C1082" i="12767"/>
  <c r="C706" i="12767"/>
  <c r="C711" i="12767" s="1"/>
  <c r="C710" i="12767"/>
  <c r="C693" i="12767"/>
  <c r="C696" i="12767" s="1"/>
  <c r="C695" i="12767"/>
  <c r="C668" i="12767"/>
  <c r="C673" i="12767" s="1"/>
  <c r="C672" i="12767"/>
  <c r="C325" i="12767"/>
  <c r="C335" i="12767"/>
  <c r="C341" i="12767" s="1"/>
  <c r="C323" i="12767"/>
  <c r="C327" i="12767" s="1"/>
  <c r="C301" i="12767"/>
  <c r="C307" i="12767" s="1"/>
  <c r="C1183" i="12767"/>
  <c r="C1182" i="12767"/>
  <c r="C1181" i="12767"/>
  <c r="C1180" i="12767"/>
  <c r="C1179" i="12767"/>
  <c r="C1178" i="12767"/>
  <c r="I1176" i="12767"/>
  <c r="F1176" i="12767" s="1"/>
  <c r="I1147" i="12767"/>
  <c r="F1147" i="12767" s="1"/>
  <c r="C1150" i="12767"/>
  <c r="C1148" i="12767"/>
  <c r="C1121" i="12767"/>
  <c r="C1120" i="12767"/>
  <c r="C1119" i="12767"/>
  <c r="C1116" i="12767"/>
  <c r="C1113" i="12767"/>
  <c r="C1112" i="12767"/>
  <c r="C1135" i="12767"/>
  <c r="C1099" i="12767"/>
  <c r="P1099" i="12767" s="1"/>
  <c r="P1101" i="12843" s="1"/>
  <c r="C1098" i="12767"/>
  <c r="C1100" i="12767" s="1"/>
  <c r="C1096" i="12767"/>
  <c r="C1095" i="12767"/>
  <c r="C1092" i="12767"/>
  <c r="C969" i="12767"/>
  <c r="C966" i="12767"/>
  <c r="C964" i="12767"/>
  <c r="C961" i="12767"/>
  <c r="C887" i="12767"/>
  <c r="C885" i="12767"/>
  <c r="C890" i="12767"/>
  <c r="C894" i="12767"/>
  <c r="C893" i="12767"/>
  <c r="C892" i="12767"/>
  <c r="C889" i="12767"/>
  <c r="C895" i="12767" s="1"/>
  <c r="C882" i="12767"/>
  <c r="T1095" i="12767" l="1"/>
  <c r="T1097" i="12843" s="1"/>
  <c r="X1095" i="12767"/>
  <c r="X1097" i="12843" s="1"/>
  <c r="T1100" i="12767"/>
  <c r="T1102" i="12843" s="1"/>
  <c r="P1100" i="12767"/>
  <c r="P1102" i="12843" s="1"/>
  <c r="X1092" i="12767"/>
  <c r="X1094" i="12843" s="1"/>
  <c r="T1092" i="12767"/>
  <c r="T1094" i="12843" s="1"/>
  <c r="C848" i="12767"/>
  <c r="C847" i="12767"/>
  <c r="C849" i="12767" s="1"/>
  <c r="C845" i="12767"/>
  <c r="C844" i="12767"/>
  <c r="C842" i="12767"/>
  <c r="C841" i="12767"/>
  <c r="C840" i="12767"/>
  <c r="C839" i="12767"/>
  <c r="C838" i="12767"/>
  <c r="C836" i="12767"/>
  <c r="C834" i="12767"/>
  <c r="C833" i="12767"/>
  <c r="C831" i="12767"/>
  <c r="C830" i="12767"/>
  <c r="C829" i="12767"/>
  <c r="X829" i="12767" s="1"/>
  <c r="C827" i="12767"/>
  <c r="C814" i="12767"/>
  <c r="C800" i="12767"/>
  <c r="X800" i="12767" s="1"/>
  <c r="C805" i="12767"/>
  <c r="I817" i="12767"/>
  <c r="C816" i="12767"/>
  <c r="I816" i="12767" s="1"/>
  <c r="C787" i="12767"/>
  <c r="C786" i="12767"/>
  <c r="C780" i="12767"/>
  <c r="C795" i="12767"/>
  <c r="C792" i="12767"/>
  <c r="C791" i="12767"/>
  <c r="C789" i="12767"/>
  <c r="C788" i="12767"/>
  <c r="C781" i="12767"/>
  <c r="C778" i="12767"/>
  <c r="C777" i="12767"/>
  <c r="C157" i="12767"/>
  <c r="C156" i="12767"/>
  <c r="C155" i="12767"/>
  <c r="C153" i="12767"/>
  <c r="C142" i="12767"/>
  <c r="C141" i="12767"/>
  <c r="C140" i="12767"/>
  <c r="C152" i="12767"/>
  <c r="C137" i="12767"/>
  <c r="C122" i="12767"/>
  <c r="C81" i="12767"/>
  <c r="C79" i="12767" s="1"/>
  <c r="C80" i="12767"/>
  <c r="C78" i="12767"/>
  <c r="C77" i="12767"/>
  <c r="C76" i="12767"/>
  <c r="C75" i="12767"/>
  <c r="C73" i="12767"/>
  <c r="C72" i="12767"/>
  <c r="C71" i="12767"/>
  <c r="C63" i="12767"/>
  <c r="C61" i="12767" s="1"/>
  <c r="C62" i="12767"/>
  <c r="C60" i="12767"/>
  <c r="C59" i="12767"/>
  <c r="C58" i="12767"/>
  <c r="C57" i="12767"/>
  <c r="C55" i="12767"/>
  <c r="C54" i="12767"/>
  <c r="C53" i="12767"/>
  <c r="C44" i="12767"/>
  <c r="C42" i="12767"/>
  <c r="C41" i="12767"/>
  <c r="C40" i="12767"/>
  <c r="C39" i="12767"/>
  <c r="C36" i="12767"/>
  <c r="C35" i="12767"/>
  <c r="X152" i="12767" l="1"/>
  <c r="P152" i="12767"/>
  <c r="X122" i="12767"/>
  <c r="X123" i="12843" s="1"/>
  <c r="P122" i="12767"/>
  <c r="P123" i="12843" s="1"/>
  <c r="P89" i="12843" s="1"/>
  <c r="X137" i="12767"/>
  <c r="P137" i="12767"/>
  <c r="P849" i="12767"/>
  <c r="T152" i="12767"/>
  <c r="P155" i="12767"/>
  <c r="T155" i="12767"/>
  <c r="P829" i="12767"/>
  <c r="T829" i="12767"/>
  <c r="T122" i="12767"/>
  <c r="T123" i="12843" s="1"/>
  <c r="P141" i="12767"/>
  <c r="T141" i="12767"/>
  <c r="P156" i="12767"/>
  <c r="T156" i="12767"/>
  <c r="P800" i="12767"/>
  <c r="T800" i="12767"/>
  <c r="P140" i="12767"/>
  <c r="T140" i="12767"/>
  <c r="T137" i="12767"/>
  <c r="P142" i="12767"/>
  <c r="T142" i="12767"/>
  <c r="P157" i="12767"/>
  <c r="T157" i="12767"/>
  <c r="I814" i="12767"/>
  <c r="C818" i="12767"/>
  <c r="C154" i="12767"/>
  <c r="C158" i="12767"/>
  <c r="C23" i="12767"/>
  <c r="C779" i="12767"/>
  <c r="C88" i="12767"/>
  <c r="K126" i="12811"/>
  <c r="K87" i="12811"/>
  <c r="X88" i="12767" l="1"/>
  <c r="T23" i="12767"/>
  <c r="T23" i="12843" s="1"/>
  <c r="P23" i="12767"/>
  <c r="P23" i="12843" s="1"/>
  <c r="T88" i="12767"/>
  <c r="T91" i="12767"/>
  <c r="P818" i="12767"/>
  <c r="T93" i="12767"/>
  <c r="T92" i="12767"/>
  <c r="P93" i="12767"/>
  <c r="P91" i="12767"/>
  <c r="P92" i="12767"/>
  <c r="C159" i="12767"/>
  <c r="K34" i="12764"/>
  <c r="K20" i="12764"/>
  <c r="G20" i="12764"/>
  <c r="I34" i="12763" l="1"/>
  <c r="I20" i="12763"/>
  <c r="E20" i="12763"/>
  <c r="I33" i="12763"/>
  <c r="E19" i="12763"/>
  <c r="I19" i="12763"/>
  <c r="K33" i="12764"/>
  <c r="K19" i="12764"/>
  <c r="G19" i="12764"/>
  <c r="I18" i="12763" l="1"/>
  <c r="I32" i="12763"/>
  <c r="E32" i="12763"/>
  <c r="I26" i="12763"/>
  <c r="E26" i="12763"/>
  <c r="E18" i="12763"/>
  <c r="I13" i="12763"/>
  <c r="E13" i="12763"/>
  <c r="K32" i="12764"/>
  <c r="G32" i="12764"/>
  <c r="K26" i="12764"/>
  <c r="G26" i="12764"/>
  <c r="K18" i="12764"/>
  <c r="G18" i="12764"/>
  <c r="K13" i="12764"/>
  <c r="G13" i="12764"/>
  <c r="I46" i="12763" l="1"/>
  <c r="I45" i="12763"/>
  <c r="E46" i="12763"/>
  <c r="E45" i="12763"/>
  <c r="K46" i="12764"/>
  <c r="K45" i="12764"/>
  <c r="G46" i="12764"/>
  <c r="G45" i="12764"/>
  <c r="E40" i="12763" l="1"/>
  <c r="E24" i="12763"/>
  <c r="E12" i="12763"/>
  <c r="G40" i="12764"/>
  <c r="G24" i="12764"/>
  <c r="G12" i="12764"/>
  <c r="I54" i="12763" l="1"/>
  <c r="E54" i="12763"/>
  <c r="K54" i="12764"/>
  <c r="G54" i="12764"/>
  <c r="I53" i="12763"/>
  <c r="I52" i="12763"/>
  <c r="E53" i="12763"/>
  <c r="E52" i="12763"/>
  <c r="K52" i="12764"/>
  <c r="K53" i="12764"/>
  <c r="G53" i="12764"/>
  <c r="G52" i="12764"/>
  <c r="I55" i="12763" l="1"/>
  <c r="E55" i="12763"/>
  <c r="K55" i="12764"/>
  <c r="G55" i="12764"/>
  <c r="I51" i="12763"/>
  <c r="K51" i="12764"/>
  <c r="I25" i="12763" l="1"/>
  <c r="E25" i="12763"/>
  <c r="K25" i="12764"/>
  <c r="G25" i="12764"/>
  <c r="I27" i="12763"/>
  <c r="I35" i="12763"/>
  <c r="I22" i="12763"/>
  <c r="E35" i="12763"/>
  <c r="K35" i="12764"/>
  <c r="G35" i="12764"/>
  <c r="I36" i="12763" l="1"/>
  <c r="E36" i="12763"/>
  <c r="G36" i="12764"/>
  <c r="K36" i="12764"/>
  <c r="E37" i="12763" l="1"/>
  <c r="C38" i="12763"/>
  <c r="I38" i="12763"/>
  <c r="G37" i="12764"/>
  <c r="C38" i="12764"/>
  <c r="K38" i="12764"/>
  <c r="E23" i="12763"/>
  <c r="G23" i="12764"/>
  <c r="G8" i="12764" l="1"/>
  <c r="G7" i="12764"/>
  <c r="K10" i="12764"/>
  <c r="K9" i="12764"/>
  <c r="G10" i="12764"/>
  <c r="G9" i="12764"/>
  <c r="G11" i="12764"/>
  <c r="I11" i="12763" l="1"/>
  <c r="E11" i="12763"/>
  <c r="I10" i="12763" l="1"/>
  <c r="I9" i="12763"/>
  <c r="E10" i="12763"/>
  <c r="E9" i="12763"/>
  <c r="I8" i="12763"/>
  <c r="I7" i="12763"/>
  <c r="E8" i="12763"/>
  <c r="E7" i="12763"/>
  <c r="K8" i="12764"/>
  <c r="K7" i="12764"/>
  <c r="G122" i="12812" l="1"/>
  <c r="D135" i="12812"/>
  <c r="D133" i="12812"/>
  <c r="D132" i="12812"/>
  <c r="D131" i="12812"/>
  <c r="D129" i="12812"/>
  <c r="D126" i="12812"/>
  <c r="D125" i="12812"/>
  <c r="D124" i="12812"/>
  <c r="D123" i="12812"/>
  <c r="D122" i="12812"/>
  <c r="D121" i="12812"/>
  <c r="D93" i="12812"/>
  <c r="D92" i="12812"/>
  <c r="D91" i="12812"/>
  <c r="D90" i="12812"/>
  <c r="D89" i="12812"/>
  <c r="D87" i="12812"/>
  <c r="D84" i="12812"/>
  <c r="D79" i="12812"/>
  <c r="D76" i="12812"/>
  <c r="D73" i="12812"/>
  <c r="D72" i="12812"/>
  <c r="D71" i="12812"/>
  <c r="D66" i="12812"/>
  <c r="D64" i="12812"/>
  <c r="D63" i="12812"/>
  <c r="D62" i="12812"/>
  <c r="D61" i="12812"/>
  <c r="D60" i="12812"/>
  <c r="D59" i="12812"/>
  <c r="D58" i="12812"/>
  <c r="D56" i="12812"/>
  <c r="D53" i="12812"/>
  <c r="D52" i="12812"/>
  <c r="D49" i="12812"/>
  <c r="D46" i="12812"/>
  <c r="D43" i="12812"/>
  <c r="D42" i="12812"/>
  <c r="D41" i="12812"/>
  <c r="D36" i="12812"/>
  <c r="D34" i="12812"/>
  <c r="D33" i="12812"/>
  <c r="D32" i="12812"/>
  <c r="D31" i="12812"/>
  <c r="D30" i="12812"/>
  <c r="D29" i="12812"/>
  <c r="D28" i="12812"/>
  <c r="D27" i="12812"/>
  <c r="D26" i="12812"/>
  <c r="D24" i="12812"/>
  <c r="D21" i="12812"/>
  <c r="D18" i="12812"/>
  <c r="D17" i="12812"/>
  <c r="D16" i="12812"/>
  <c r="D15" i="12812"/>
  <c r="D14" i="12812"/>
  <c r="D13" i="12812"/>
  <c r="G135" i="12811"/>
  <c r="G133" i="12811"/>
  <c r="G132" i="12811"/>
  <c r="G131" i="12811"/>
  <c r="G129" i="12811"/>
  <c r="G126" i="12811"/>
  <c r="G125" i="12811"/>
  <c r="G124" i="12811"/>
  <c r="G123" i="12811"/>
  <c r="G122" i="12811"/>
  <c r="G121" i="12811"/>
  <c r="G115" i="12811"/>
  <c r="G113" i="12811"/>
  <c r="G112" i="12811"/>
  <c r="G111" i="12811"/>
  <c r="G110" i="12811"/>
  <c r="G109" i="12811"/>
  <c r="G108" i="12811"/>
  <c r="G107" i="12811"/>
  <c r="G105" i="12811"/>
  <c r="G102" i="12811"/>
  <c r="G101" i="12811"/>
  <c r="G66" i="12811"/>
  <c r="G64" i="12811"/>
  <c r="G63" i="12811"/>
  <c r="G62" i="12811"/>
  <c r="G61" i="12811"/>
  <c r="G60" i="12811"/>
  <c r="G59" i="12811"/>
  <c r="G58" i="12811"/>
  <c r="G56" i="12811"/>
  <c r="G53" i="12811"/>
  <c r="G52" i="12811"/>
  <c r="G49" i="12811"/>
  <c r="G46" i="12811"/>
  <c r="G43" i="12811"/>
  <c r="G42" i="12811"/>
  <c r="G41" i="12811"/>
  <c r="G36" i="12811"/>
  <c r="G34" i="12811"/>
  <c r="G33" i="12811"/>
  <c r="G32" i="12811"/>
  <c r="G31" i="12811"/>
  <c r="G30" i="12811"/>
  <c r="G29" i="12811"/>
  <c r="G28" i="12811"/>
  <c r="G27" i="12811"/>
  <c r="G26" i="12811"/>
  <c r="G24" i="12811"/>
  <c r="G21" i="12811"/>
  <c r="G18" i="12811"/>
  <c r="G17" i="12811"/>
  <c r="G16" i="12811"/>
  <c r="G15" i="12811"/>
  <c r="G14" i="12811"/>
  <c r="G13" i="12811"/>
  <c r="D122" i="12811"/>
  <c r="D132" i="12811"/>
  <c r="D131" i="12811"/>
  <c r="D126" i="12811"/>
  <c r="D125" i="12811"/>
  <c r="D124" i="12811"/>
  <c r="D123" i="12811"/>
  <c r="D121" i="12811"/>
  <c r="D109" i="12811"/>
  <c r="D108" i="12811"/>
  <c r="D107" i="12811"/>
  <c r="D90" i="12811"/>
  <c r="D89" i="12811"/>
  <c r="D84" i="12811"/>
  <c r="D81" i="12811"/>
  <c r="D80" i="12811"/>
  <c r="D79" i="12811"/>
  <c r="D76" i="12811"/>
  <c r="D73" i="12811"/>
  <c r="D72" i="12811"/>
  <c r="D71" i="12811"/>
  <c r="D59" i="12811"/>
  <c r="D58" i="12811"/>
  <c r="D53" i="12811"/>
  <c r="D52" i="12811"/>
  <c r="D49" i="12811"/>
  <c r="D46" i="12811"/>
  <c r="D43" i="12811"/>
  <c r="D42" i="12811"/>
  <c r="D41" i="12811"/>
  <c r="D27" i="12811"/>
  <c r="D26" i="12811"/>
  <c r="D21" i="12811"/>
  <c r="D18" i="12811"/>
  <c r="D17" i="12811"/>
  <c r="D16" i="12811"/>
  <c r="D15" i="12811"/>
  <c r="D14" i="12811"/>
  <c r="D13" i="12811"/>
  <c r="D102" i="12811"/>
  <c r="D101" i="12811"/>
  <c r="J98" i="12813"/>
  <c r="J47" i="12813"/>
  <c r="J146" i="12813"/>
  <c r="J113" i="12813"/>
  <c r="J74" i="12813"/>
  <c r="H146" i="12813"/>
  <c r="H47" i="12813"/>
  <c r="H98" i="12813"/>
  <c r="I98" i="12813"/>
  <c r="D132" i="12834"/>
  <c r="J1005" i="12767" l="1"/>
  <c r="J1007" i="12843" s="1"/>
  <c r="J949" i="12767"/>
  <c r="J950" i="12843" s="1"/>
  <c r="J741" i="12767"/>
  <c r="J742" i="12843" s="1"/>
  <c r="J614" i="12767"/>
  <c r="J615" i="12843" s="1"/>
  <c r="J630" i="12843" l="1"/>
  <c r="J695" i="12843"/>
  <c r="J657" i="12843"/>
  <c r="AA615" i="12843"/>
  <c r="AA742" i="12843"/>
  <c r="J763" i="12843"/>
  <c r="J849" i="12843"/>
  <c r="J796" i="12843"/>
  <c r="AA950" i="12843"/>
  <c r="Z932" i="12843"/>
  <c r="AA932" i="12843" s="1"/>
  <c r="J988" i="12843"/>
  <c r="L988" i="12843" s="1"/>
  <c r="J970" i="12843"/>
  <c r="L950" i="12843"/>
  <c r="J1046" i="12843"/>
  <c r="L1046" i="12843" s="1"/>
  <c r="J1028" i="12843"/>
  <c r="L1028" i="12843" s="1"/>
  <c r="AA1007" i="12843"/>
  <c r="L1007" i="12843"/>
  <c r="N987" i="12767"/>
  <c r="P987" i="12767" s="1"/>
  <c r="N969" i="12767"/>
  <c r="J629" i="12767"/>
  <c r="N1026" i="12767"/>
  <c r="P1026" i="12767" s="1"/>
  <c r="N1044" i="12767"/>
  <c r="P1044" i="12767" s="1"/>
  <c r="J720" i="12767"/>
  <c r="L796" i="12843" l="1"/>
  <c r="J816" i="12843"/>
  <c r="L816" i="12843" s="1"/>
  <c r="J721" i="12843"/>
  <c r="N720" i="12767"/>
  <c r="J869" i="12843"/>
  <c r="L869" i="12843" s="1"/>
  <c r="L849" i="12843"/>
  <c r="J708" i="12843"/>
  <c r="L708" i="12843" s="1"/>
  <c r="L695" i="12843"/>
  <c r="L657" i="12843"/>
  <c r="J670" i="12843"/>
  <c r="L670" i="12843" s="1"/>
  <c r="L1083" i="12843"/>
  <c r="L970" i="12843"/>
  <c r="L1064" i="12843" s="1"/>
  <c r="J891" i="12843"/>
  <c r="L891" i="12843" s="1"/>
  <c r="L932" i="12843"/>
  <c r="P1081" i="12767"/>
  <c r="N868" i="12767"/>
  <c r="P868" i="12767" s="1"/>
  <c r="P848" i="12767"/>
  <c r="N762" i="12767"/>
  <c r="N669" i="12767"/>
  <c r="P669" i="12767" s="1"/>
  <c r="P656" i="12767"/>
  <c r="N890" i="12767"/>
  <c r="P890" i="12767" s="1"/>
  <c r="P891" i="12843" s="1"/>
  <c r="P969" i="12767"/>
  <c r="P1062" i="12767" s="1"/>
  <c r="N815" i="12767"/>
  <c r="P815" i="12767" s="1"/>
  <c r="P795" i="12767"/>
  <c r="N707" i="12767"/>
  <c r="P707" i="12767" s="1"/>
  <c r="P694" i="12767"/>
  <c r="N573" i="12767"/>
  <c r="N574" i="12843" s="1"/>
  <c r="N572" i="12767"/>
  <c r="N573" i="12843" s="1"/>
  <c r="N629" i="12767"/>
  <c r="J1179" i="12767"/>
  <c r="J1183" i="12843" s="1"/>
  <c r="L1183" i="12843" s="1"/>
  <c r="J1180" i="12767"/>
  <c r="J1184" i="12843" s="1"/>
  <c r="L1184" i="12843" s="1"/>
  <c r="J1186" i="12767"/>
  <c r="J1190" i="12843" s="1"/>
  <c r="L1190" i="12843" s="1"/>
  <c r="J1188" i="12767"/>
  <c r="J1192" i="12843" s="1"/>
  <c r="L1192" i="12843" s="1"/>
  <c r="L615" i="12843" l="1"/>
  <c r="N586" i="12843"/>
  <c r="N774" i="12767"/>
  <c r="N798" i="12767" s="1"/>
  <c r="P798" i="12767" s="1"/>
  <c r="N827" i="12767"/>
  <c r="P827" i="12767" s="1"/>
  <c r="N721" i="12843"/>
  <c r="N587" i="12843"/>
  <c r="J746" i="12843"/>
  <c r="N775" i="12843"/>
  <c r="J828" i="12843"/>
  <c r="J775" i="12843"/>
  <c r="L630" i="12843"/>
  <c r="L763" i="12843"/>
  <c r="L742" i="12843"/>
  <c r="N586" i="12767"/>
  <c r="P586" i="12767" s="1"/>
  <c r="P573" i="12767"/>
  <c r="R851" i="12767"/>
  <c r="T851" i="12767" s="1"/>
  <c r="T827" i="12767"/>
  <c r="P572" i="12767"/>
  <c r="N585" i="12767"/>
  <c r="P585" i="12767" s="1"/>
  <c r="N745" i="12767"/>
  <c r="R798" i="12767"/>
  <c r="T798" i="12767" s="1"/>
  <c r="T774" i="12767"/>
  <c r="N851" i="12767"/>
  <c r="P851" i="12767" s="1"/>
  <c r="J1121" i="12767"/>
  <c r="J1123" i="12843" s="1"/>
  <c r="L1123" i="12843" s="1"/>
  <c r="J1116" i="12767"/>
  <c r="J1118" i="12843" s="1"/>
  <c r="L1118" i="12843" s="1"/>
  <c r="P774" i="12767" l="1"/>
  <c r="L775" i="12843"/>
  <c r="J799" i="12843"/>
  <c r="L799" i="12843" s="1"/>
  <c r="J852" i="12843"/>
  <c r="L852" i="12843" s="1"/>
  <c r="L828" i="12843"/>
  <c r="N799" i="12843"/>
  <c r="P799" i="12843" s="1"/>
  <c r="P775" i="12843"/>
  <c r="N746" i="12843"/>
  <c r="N828" i="12843"/>
  <c r="R745" i="12767"/>
  <c r="V720" i="12767"/>
  <c r="V724" i="12767"/>
  <c r="R749" i="12767"/>
  <c r="R748" i="12767"/>
  <c r="V723" i="12767"/>
  <c r="J1099" i="12767"/>
  <c r="J1101" i="12843" s="1"/>
  <c r="L746" i="12843" l="1"/>
  <c r="V748" i="12767"/>
  <c r="V777" i="12767"/>
  <c r="V830" i="12767"/>
  <c r="V724" i="12843"/>
  <c r="N852" i="12843"/>
  <c r="P852" i="12843" s="1"/>
  <c r="P828" i="12843"/>
  <c r="V749" i="12767"/>
  <c r="V778" i="12767"/>
  <c r="V831" i="12767"/>
  <c r="V725" i="12843"/>
  <c r="V745" i="12767"/>
  <c r="V827" i="12767"/>
  <c r="V774" i="12767"/>
  <c r="V721" i="12843"/>
  <c r="L721" i="12843"/>
  <c r="AA1101" i="12843"/>
  <c r="L1101" i="12843"/>
  <c r="L913" i="12843" s="1"/>
  <c r="J181" i="12767"/>
  <c r="J182" i="12843" s="1"/>
  <c r="V746" i="12843" l="1"/>
  <c r="V828" i="12843"/>
  <c r="V775" i="12843"/>
  <c r="X827" i="12767"/>
  <c r="V851" i="12767"/>
  <c r="X851" i="12767" s="1"/>
  <c r="V749" i="12843"/>
  <c r="V778" i="12843"/>
  <c r="V831" i="12843"/>
  <c r="J536" i="12843"/>
  <c r="AA182" i="12843"/>
  <c r="J222" i="12843"/>
  <c r="J234" i="12843" s="1"/>
  <c r="J360" i="12843"/>
  <c r="J372" i="12843" s="1"/>
  <c r="J501" i="12843"/>
  <c r="J430" i="12843"/>
  <c r="J466" i="12843"/>
  <c r="J478" i="12843" s="1"/>
  <c r="J291" i="12843"/>
  <c r="J325" i="12843"/>
  <c r="J395" i="12843"/>
  <c r="J197" i="12843"/>
  <c r="J256" i="12843"/>
  <c r="V750" i="12843"/>
  <c r="V832" i="12843"/>
  <c r="V779" i="12843"/>
  <c r="X774" i="12767"/>
  <c r="V798" i="12767"/>
  <c r="X798" i="12767" s="1"/>
  <c r="N371" i="12767"/>
  <c r="N477" i="12767"/>
  <c r="N233" i="12767"/>
  <c r="V856" i="12843" l="1"/>
  <c r="X856" i="12843" s="1"/>
  <c r="X832" i="12843"/>
  <c r="L395" i="12843"/>
  <c r="J407" i="12843"/>
  <c r="L407" i="12843" s="1"/>
  <c r="J442" i="12843"/>
  <c r="L442" i="12843" s="1"/>
  <c r="L430" i="12843"/>
  <c r="X778" i="12843"/>
  <c r="V802" i="12843"/>
  <c r="X802" i="12843" s="1"/>
  <c r="V799" i="12843"/>
  <c r="X799" i="12843" s="1"/>
  <c r="X775" i="12843"/>
  <c r="L325" i="12843"/>
  <c r="J337" i="12843"/>
  <c r="L337" i="12843" s="1"/>
  <c r="J513" i="12843"/>
  <c r="L513" i="12843" s="1"/>
  <c r="L501" i="12843"/>
  <c r="J548" i="12843"/>
  <c r="L548" i="12843" s="1"/>
  <c r="L536" i="12843"/>
  <c r="J268" i="12843"/>
  <c r="L268" i="12843" s="1"/>
  <c r="L256" i="12843"/>
  <c r="J303" i="12843"/>
  <c r="L303" i="12843" s="1"/>
  <c r="L291" i="12843"/>
  <c r="V852" i="12843"/>
  <c r="X852" i="12843" s="1"/>
  <c r="X828" i="12843"/>
  <c r="V803" i="12843"/>
  <c r="X803" i="12843" s="1"/>
  <c r="X779" i="12843"/>
  <c r="X831" i="12843"/>
  <c r="V855" i="12843"/>
  <c r="X855" i="12843" s="1"/>
  <c r="R1036" i="12767"/>
  <c r="T1036" i="12767" s="1"/>
  <c r="R1018" i="12767"/>
  <c r="T1018" i="12767" s="1"/>
  <c r="R1022" i="12767"/>
  <c r="T1022" i="12767" s="1"/>
  <c r="R1040" i="12767"/>
  <c r="T1040" i="12767" s="1"/>
  <c r="N267" i="12767"/>
  <c r="P267" i="12767" s="1"/>
  <c r="P255" i="12767"/>
  <c r="N336" i="12767"/>
  <c r="P336" i="12767" s="1"/>
  <c r="P324" i="12767"/>
  <c r="N406" i="12767"/>
  <c r="P406" i="12767" s="1"/>
  <c r="P394" i="12767"/>
  <c r="R1039" i="12767"/>
  <c r="T1039" i="12767" s="1"/>
  <c r="R1021" i="12767"/>
  <c r="T1021" i="12767" s="1"/>
  <c r="R980" i="12767"/>
  <c r="T980" i="12767" s="1"/>
  <c r="R962" i="12767"/>
  <c r="N512" i="12767"/>
  <c r="P512" i="12767" s="1"/>
  <c r="P500" i="12767"/>
  <c r="N196" i="12767"/>
  <c r="N441" i="12767"/>
  <c r="P441" i="12767" s="1"/>
  <c r="P429" i="12767"/>
  <c r="R961" i="12767"/>
  <c r="R979" i="12767"/>
  <c r="T979" i="12767" s="1"/>
  <c r="R964" i="12767"/>
  <c r="R982" i="12767"/>
  <c r="T982" i="12767" s="1"/>
  <c r="R965" i="12767"/>
  <c r="R983" i="12767"/>
  <c r="T983" i="12767" s="1"/>
  <c r="N302" i="12767"/>
  <c r="P302" i="12767" s="1"/>
  <c r="P290" i="12767"/>
  <c r="N547" i="12767"/>
  <c r="P547" i="12767" s="1"/>
  <c r="P535" i="12767"/>
  <c r="R1019" i="12767"/>
  <c r="T1019" i="12767" s="1"/>
  <c r="R1037" i="12767"/>
  <c r="T1037" i="12767" s="1"/>
  <c r="L478" i="12843" l="1"/>
  <c r="L222" i="12843"/>
  <c r="L372" i="12843"/>
  <c r="L234" i="12843"/>
  <c r="L360" i="12843"/>
  <c r="L466" i="12843"/>
  <c r="P233" i="12767"/>
  <c r="T1074" i="12767"/>
  <c r="T1076" i="12767"/>
  <c r="T1077" i="12767"/>
  <c r="P221" i="12767"/>
  <c r="P477" i="12767"/>
  <c r="R621" i="12767"/>
  <c r="R562" i="12767"/>
  <c r="R563" i="12843" s="1"/>
  <c r="T962" i="12767"/>
  <c r="T1055" i="12767" s="1"/>
  <c r="R883" i="12767"/>
  <c r="T883" i="12767" s="1"/>
  <c r="R882" i="12767"/>
  <c r="T882" i="12767" s="1"/>
  <c r="T883" i="12843" s="1"/>
  <c r="T961" i="12767"/>
  <c r="T1054" i="12767" s="1"/>
  <c r="V980" i="12767"/>
  <c r="X980" i="12767" s="1"/>
  <c r="V962" i="12767"/>
  <c r="V1021" i="12767"/>
  <c r="X1021" i="12767" s="1"/>
  <c r="V1039" i="12767"/>
  <c r="X1039" i="12767" s="1"/>
  <c r="R563" i="12767"/>
  <c r="R564" i="12843" s="1"/>
  <c r="R622" i="12767"/>
  <c r="V1040" i="12767"/>
  <c r="X1040" i="12767" s="1"/>
  <c r="V1022" i="12767"/>
  <c r="X1022" i="12767" s="1"/>
  <c r="T1073" i="12767"/>
  <c r="R624" i="12767"/>
  <c r="R566" i="12767"/>
  <c r="R567" i="12843" s="1"/>
  <c r="V965" i="12767"/>
  <c r="V983" i="12767"/>
  <c r="X983" i="12767" s="1"/>
  <c r="R885" i="12767"/>
  <c r="T885" i="12767" s="1"/>
  <c r="T886" i="12843" s="1"/>
  <c r="T964" i="12767"/>
  <c r="T1057" i="12767" s="1"/>
  <c r="V979" i="12767"/>
  <c r="X979" i="12767" s="1"/>
  <c r="V961" i="12767"/>
  <c r="R623" i="12767"/>
  <c r="R565" i="12767"/>
  <c r="R566" i="12843" s="1"/>
  <c r="P371" i="12767"/>
  <c r="V1037" i="12767"/>
  <c r="X1037" i="12767" s="1"/>
  <c r="V1019" i="12767"/>
  <c r="X1019" i="12767" s="1"/>
  <c r="R886" i="12767"/>
  <c r="T886" i="12767" s="1"/>
  <c r="T965" i="12767"/>
  <c r="T1058" i="12767" s="1"/>
  <c r="V982" i="12767"/>
  <c r="X982" i="12767" s="1"/>
  <c r="V964" i="12767"/>
  <c r="P465" i="12767"/>
  <c r="P359" i="12767"/>
  <c r="R561" i="12767"/>
  <c r="R562" i="12843" s="1"/>
  <c r="R620" i="12767"/>
  <c r="V1018" i="12767"/>
  <c r="X1018" i="12767" s="1"/>
  <c r="V1036" i="12767"/>
  <c r="X1036" i="12767" s="1"/>
  <c r="R24" i="12791"/>
  <c r="R25" i="12791" s="1"/>
  <c r="Q24" i="12773"/>
  <c r="Q25" i="12773" s="1"/>
  <c r="Q24" i="12772"/>
  <c r="Q25" i="12772" s="1"/>
  <c r="V27" i="12771"/>
  <c r="V28" i="12771" s="1"/>
  <c r="R26" i="12770"/>
  <c r="R27" i="12770" s="1"/>
  <c r="AA29" i="12769"/>
  <c r="AA30" i="12769" s="1"/>
  <c r="L197" i="12843" l="1"/>
  <c r="L182" i="12843"/>
  <c r="R579" i="12843"/>
  <c r="T482" i="12843"/>
  <c r="R581" i="12843"/>
  <c r="R582" i="12843"/>
  <c r="T481" i="12843"/>
  <c r="R578" i="12843"/>
  <c r="R580" i="12843"/>
  <c r="T483" i="12843"/>
  <c r="X1076" i="12767"/>
  <c r="X1074" i="12767"/>
  <c r="X1077" i="12767"/>
  <c r="X1073" i="12767"/>
  <c r="V561" i="12767"/>
  <c r="V562" i="12843" s="1"/>
  <c r="V620" i="12767"/>
  <c r="R191" i="12767"/>
  <c r="V174" i="12767"/>
  <c r="V885" i="12767"/>
  <c r="X885" i="12767" s="1"/>
  <c r="X886" i="12843" s="1"/>
  <c r="X964" i="12767"/>
  <c r="X1057" i="12767" s="1"/>
  <c r="R581" i="12767"/>
  <c r="T581" i="12767" s="1"/>
  <c r="T566" i="12767"/>
  <c r="R579" i="12767"/>
  <c r="T579" i="12767" s="1"/>
  <c r="T563" i="12767"/>
  <c r="T482" i="12767" s="1"/>
  <c r="X962" i="12767"/>
  <c r="X1055" i="12767" s="1"/>
  <c r="V883" i="12767"/>
  <c r="X883" i="12767" s="1"/>
  <c r="V562" i="12767"/>
  <c r="V563" i="12843" s="1"/>
  <c r="V621" i="12767"/>
  <c r="V886" i="12767"/>
  <c r="X886" i="12767" s="1"/>
  <c r="X965" i="12767"/>
  <c r="X1058" i="12767" s="1"/>
  <c r="V566" i="12767"/>
  <c r="V567" i="12843" s="1"/>
  <c r="V624" i="12767"/>
  <c r="R578" i="12767"/>
  <c r="T578" i="12767" s="1"/>
  <c r="T562" i="12767"/>
  <c r="T481" i="12767" s="1"/>
  <c r="R577" i="12767"/>
  <c r="T577" i="12767" s="1"/>
  <c r="T561" i="12767"/>
  <c r="T480" i="12767" s="1"/>
  <c r="V173" i="12767"/>
  <c r="R190" i="12767"/>
  <c r="V565" i="12767"/>
  <c r="V566" i="12843" s="1"/>
  <c r="V623" i="12767"/>
  <c r="T565" i="12767"/>
  <c r="R580" i="12767"/>
  <c r="T580" i="12767" s="1"/>
  <c r="V882" i="12767"/>
  <c r="X882" i="12767" s="1"/>
  <c r="X883" i="12843" s="1"/>
  <c r="X961" i="12767"/>
  <c r="X1054" i="12767" s="1"/>
  <c r="V563" i="12767"/>
  <c r="V564" i="12843" s="1"/>
  <c r="V622" i="12767"/>
  <c r="V172" i="12767"/>
  <c r="R189" i="12767"/>
  <c r="V385" i="12767" l="1"/>
  <c r="V316" i="12767"/>
  <c r="V247" i="12767"/>
  <c r="V420" i="12767"/>
  <c r="V350" i="12767"/>
  <c r="V282" i="12767"/>
  <c r="V213" i="12767"/>
  <c r="V173" i="12843"/>
  <c r="V581" i="12843"/>
  <c r="V582" i="12843"/>
  <c r="V579" i="12843"/>
  <c r="X482" i="12843"/>
  <c r="X481" i="12843"/>
  <c r="V578" i="12843"/>
  <c r="V422" i="12767"/>
  <c r="V352" i="12767"/>
  <c r="V284" i="12767"/>
  <c r="V215" i="12767"/>
  <c r="V387" i="12767"/>
  <c r="V318" i="12767"/>
  <c r="V249" i="12767"/>
  <c r="V175" i="12843"/>
  <c r="V580" i="12843"/>
  <c r="X483" i="12843"/>
  <c r="V421" i="12767"/>
  <c r="V351" i="12767"/>
  <c r="V283" i="12767"/>
  <c r="V214" i="12767"/>
  <c r="V386" i="12767"/>
  <c r="V317" i="12767"/>
  <c r="V248" i="12767"/>
  <c r="V174" i="12843"/>
  <c r="V191" i="12767"/>
  <c r="V577" i="12767"/>
  <c r="X577" i="12767" s="1"/>
  <c r="X561" i="12767"/>
  <c r="X480" i="12767" s="1"/>
  <c r="X563" i="12767"/>
  <c r="X482" i="12767" s="1"/>
  <c r="V579" i="12767"/>
  <c r="X579" i="12767" s="1"/>
  <c r="V580" i="12767"/>
  <c r="X580" i="12767" s="1"/>
  <c r="X565" i="12767"/>
  <c r="V190" i="12767"/>
  <c r="X566" i="12767"/>
  <c r="V581" i="12767"/>
  <c r="X581" i="12767" s="1"/>
  <c r="V578" i="12767"/>
  <c r="X578" i="12767" s="1"/>
  <c r="X562" i="12767"/>
  <c r="X481" i="12767" s="1"/>
  <c r="V189" i="12767"/>
  <c r="V216" i="12843" l="1"/>
  <c r="V229" i="12843" s="1"/>
  <c r="V388" i="12843"/>
  <c r="V192" i="12843"/>
  <c r="V353" i="12843"/>
  <c r="V367" i="12843" s="1"/>
  <c r="V285" i="12843"/>
  <c r="V250" i="12843"/>
  <c r="V423" i="12843"/>
  <c r="V319" i="12843"/>
  <c r="X175" i="12843"/>
  <c r="V190" i="12843"/>
  <c r="V283" i="12843"/>
  <c r="V421" i="12843"/>
  <c r="V214" i="12843"/>
  <c r="V227" i="12843" s="1"/>
  <c r="V317" i="12843"/>
  <c r="V351" i="12843"/>
  <c r="V365" i="12843" s="1"/>
  <c r="V248" i="12843"/>
  <c r="V386" i="12843"/>
  <c r="X173" i="12843"/>
  <c r="V422" i="12843"/>
  <c r="V191" i="12843"/>
  <c r="V249" i="12843"/>
  <c r="V387" i="12843"/>
  <c r="V284" i="12843"/>
  <c r="V318" i="12843"/>
  <c r="V352" i="12843"/>
  <c r="V366" i="12843" s="1"/>
  <c r="V215" i="12843"/>
  <c r="V228" i="12843" s="1"/>
  <c r="X174" i="12843"/>
  <c r="E14" i="12826"/>
  <c r="X318" i="12843" l="1"/>
  <c r="V331" i="12843"/>
  <c r="X331" i="12843" s="1"/>
  <c r="X248" i="12843"/>
  <c r="V261" i="12843"/>
  <c r="X261" i="12843" s="1"/>
  <c r="X421" i="12843"/>
  <c r="V435" i="12843"/>
  <c r="X435" i="12843" s="1"/>
  <c r="X319" i="12843"/>
  <c r="V332" i="12843"/>
  <c r="X332" i="12843" s="1"/>
  <c r="X284" i="12843"/>
  <c r="V297" i="12843"/>
  <c r="X297" i="12843" s="1"/>
  <c r="V436" i="12843"/>
  <c r="X436" i="12843" s="1"/>
  <c r="X422" i="12843"/>
  <c r="V296" i="12843"/>
  <c r="X296" i="12843" s="1"/>
  <c r="X283" i="12843"/>
  <c r="X423" i="12843"/>
  <c r="V437" i="12843"/>
  <c r="X437" i="12843" s="1"/>
  <c r="X387" i="12843"/>
  <c r="V401" i="12843"/>
  <c r="X401" i="12843" s="1"/>
  <c r="X317" i="12843"/>
  <c r="V330" i="12843"/>
  <c r="X330" i="12843" s="1"/>
  <c r="V263" i="12843"/>
  <c r="X263" i="12843" s="1"/>
  <c r="X250" i="12843"/>
  <c r="V402" i="12843"/>
  <c r="X402" i="12843" s="1"/>
  <c r="X388" i="12843"/>
  <c r="X249" i="12843"/>
  <c r="V262" i="12843"/>
  <c r="X262" i="12843" s="1"/>
  <c r="V400" i="12843"/>
  <c r="X400" i="12843" s="1"/>
  <c r="X386" i="12843"/>
  <c r="V298" i="12843"/>
  <c r="X298" i="12843" s="1"/>
  <c r="X285" i="12843"/>
  <c r="V759" i="12767"/>
  <c r="V756" i="12767"/>
  <c r="V752" i="12767"/>
  <c r="R759" i="12767"/>
  <c r="R756" i="12767"/>
  <c r="R752" i="12767"/>
  <c r="N986" i="12767"/>
  <c r="P986" i="12767" s="1"/>
  <c r="N968" i="12767"/>
  <c r="N570" i="12767"/>
  <c r="N627" i="12767"/>
  <c r="D11" i="12826"/>
  <c r="X353" i="12843" l="1"/>
  <c r="X351" i="12843"/>
  <c r="X365" i="12843"/>
  <c r="X227" i="12843"/>
  <c r="X216" i="12843"/>
  <c r="X366" i="12843"/>
  <c r="X214" i="12843"/>
  <c r="X228" i="12843"/>
  <c r="P570" i="12767"/>
  <c r="N571" i="12843"/>
  <c r="X367" i="12843"/>
  <c r="X229" i="12843"/>
  <c r="X352" i="12843"/>
  <c r="X215" i="12843"/>
  <c r="V750" i="12767"/>
  <c r="V755" i="12767"/>
  <c r="V758" i="12767"/>
  <c r="R750" i="12767"/>
  <c r="R758" i="12767"/>
  <c r="R755" i="12767"/>
  <c r="N1043" i="12767"/>
  <c r="P1043" i="12767" s="1"/>
  <c r="P1080" i="12767" s="1"/>
  <c r="N1025" i="12767"/>
  <c r="P1025" i="12767" s="1"/>
  <c r="P968" i="12767"/>
  <c r="N889" i="12767"/>
  <c r="N628" i="12767"/>
  <c r="N571" i="12767"/>
  <c r="N572" i="12843" s="1"/>
  <c r="N585" i="12843" l="1"/>
  <c r="N592" i="12843"/>
  <c r="R754" i="12767"/>
  <c r="V754" i="12767"/>
  <c r="R753" i="12767"/>
  <c r="V753" i="12767"/>
  <c r="P894" i="12767"/>
  <c r="P895" i="12843" s="1"/>
  <c r="P889" i="12767"/>
  <c r="P890" i="12843" s="1"/>
  <c r="P1061" i="12767"/>
  <c r="N591" i="12767"/>
  <c r="P591" i="12767" s="1"/>
  <c r="N584" i="12767"/>
  <c r="P584" i="12767" s="1"/>
  <c r="P571" i="12767"/>
  <c r="D33" i="12833"/>
  <c r="D28" i="12833"/>
  <c r="D23" i="12833"/>
  <c r="D16" i="12833"/>
  <c r="D32" i="12833"/>
  <c r="D29" i="12833"/>
  <c r="D27" i="12833"/>
  <c r="D25" i="12833"/>
  <c r="D22" i="12833"/>
  <c r="D20" i="12833"/>
  <c r="D17" i="12833"/>
  <c r="D15" i="12833"/>
  <c r="D11" i="12833"/>
  <c r="D10" i="12833"/>
  <c r="D31" i="12833"/>
  <c r="D26" i="12833"/>
  <c r="D21" i="12833"/>
  <c r="D19" i="12833"/>
  <c r="D14" i="12833"/>
  <c r="D12" i="12833"/>
  <c r="F33" i="12833"/>
  <c r="H33" i="12833" s="1"/>
  <c r="F31" i="12833"/>
  <c r="F28" i="12833"/>
  <c r="F26" i="12833"/>
  <c r="H26" i="12833" s="1"/>
  <c r="F23" i="12833"/>
  <c r="F21" i="12833"/>
  <c r="F19" i="12833"/>
  <c r="F16" i="12833"/>
  <c r="H16" i="12833" s="1"/>
  <c r="F14" i="12833"/>
  <c r="F12" i="12833"/>
  <c r="F32" i="12833"/>
  <c r="F29" i="12833"/>
  <c r="F27" i="12833"/>
  <c r="F25" i="12833"/>
  <c r="F22" i="12833"/>
  <c r="F20" i="12833"/>
  <c r="F17" i="12833"/>
  <c r="F15" i="12833"/>
  <c r="F11" i="12833"/>
  <c r="F10" i="12833"/>
  <c r="B45" i="12826"/>
  <c r="H11" i="12833" l="1"/>
  <c r="H32" i="12833"/>
  <c r="H22" i="12833"/>
  <c r="H15" i="12833"/>
  <c r="H12" i="12833"/>
  <c r="H25" i="12833"/>
  <c r="H10" i="12833"/>
  <c r="H20" i="12833"/>
  <c r="H29" i="12833"/>
  <c r="H17" i="12833"/>
  <c r="H27" i="12833"/>
  <c r="H14" i="12833"/>
  <c r="H23" i="12833"/>
  <c r="H21" i="12833"/>
  <c r="H28" i="12833"/>
  <c r="H19" i="12833"/>
  <c r="H31" i="12833"/>
  <c r="J1261" i="12767" l="1"/>
  <c r="J1267" i="12843" s="1"/>
  <c r="L1267" i="12843" s="1"/>
  <c r="J1259" i="12767"/>
  <c r="J1265" i="12843" s="1"/>
  <c r="L1265" i="12843" s="1"/>
  <c r="J1258" i="12767"/>
  <c r="J1264" i="12843" s="1"/>
  <c r="L1264" i="12843" s="1"/>
  <c r="J1257" i="12767"/>
  <c r="J1263" i="12843" s="1"/>
  <c r="L1263" i="12843" s="1"/>
  <c r="J1255" i="12767"/>
  <c r="J1261" i="12843" s="1"/>
  <c r="L1261" i="12843" s="1"/>
  <c r="J1254" i="12767"/>
  <c r="J1260" i="12843" s="1"/>
  <c r="L1260" i="12843" s="1"/>
  <c r="J1252" i="12767"/>
  <c r="J1258" i="12843" s="1"/>
  <c r="L1258" i="12843" s="1"/>
  <c r="J1251" i="12767"/>
  <c r="J1257" i="12843" s="1"/>
  <c r="L1257" i="12843" s="1"/>
  <c r="J1250" i="12767"/>
  <c r="J1256" i="12843" s="1"/>
  <c r="L1256" i="12843" s="1"/>
  <c r="J1247" i="12767"/>
  <c r="J1253" i="12843" s="1"/>
  <c r="L1253" i="12843" s="1"/>
  <c r="J1246" i="12767"/>
  <c r="J1252" i="12843" s="1"/>
  <c r="L1252" i="12843" s="1"/>
  <c r="J1244" i="12767"/>
  <c r="J1250" i="12843" s="1"/>
  <c r="L1250" i="12843" s="1"/>
  <c r="J1243" i="12767"/>
  <c r="J1249" i="12843" s="1"/>
  <c r="L1249" i="12843" s="1"/>
  <c r="J1242" i="12767"/>
  <c r="J1248" i="12843" s="1"/>
  <c r="L1248" i="12843" s="1"/>
  <c r="J1239" i="12767"/>
  <c r="J1245" i="12843" s="1"/>
  <c r="L1245" i="12843" s="1"/>
  <c r="J1238" i="12767"/>
  <c r="J1244" i="12843" s="1"/>
  <c r="L1244" i="12843" s="1"/>
  <c r="J1235" i="12767"/>
  <c r="J1241" i="12843" s="1"/>
  <c r="L1241" i="12843" s="1"/>
  <c r="J1236" i="12767"/>
  <c r="J1242" i="12843" s="1"/>
  <c r="L1242" i="12843" s="1"/>
  <c r="J1234" i="12767"/>
  <c r="J1240" i="12843" s="1"/>
  <c r="L1240" i="12843" s="1"/>
  <c r="J1149" i="12767"/>
  <c r="J1152" i="12843" l="1"/>
  <c r="L1152" i="12843" s="1"/>
  <c r="H42" i="12831"/>
  <c r="H32" i="12831"/>
  <c r="W23" i="12831"/>
  <c r="H19" i="12831"/>
  <c r="B19" i="12831"/>
  <c r="B22" i="12831" l="1"/>
  <c r="B23" i="12831" s="1"/>
  <c r="H44" i="12831"/>
  <c r="H48" i="12831" s="1"/>
  <c r="B24" i="12831" l="1"/>
  <c r="B25" i="12831" l="1"/>
  <c r="B26" i="12831" l="1"/>
  <c r="B27" i="12831"/>
  <c r="B28" i="12831" l="1"/>
  <c r="B29" i="12831" l="1"/>
  <c r="B32" i="12831" s="1"/>
  <c r="B35" i="12831" s="1"/>
  <c r="B36" i="12831" s="1"/>
  <c r="B37" i="12831" s="1"/>
  <c r="B38" i="12831" s="1"/>
  <c r="B39" i="12831" s="1"/>
  <c r="B42" i="12831" s="1"/>
  <c r="B44" i="12831" s="1"/>
  <c r="J33" i="12828" l="1"/>
  <c r="I33" i="12828"/>
  <c r="H33" i="12828"/>
  <c r="G33" i="12828"/>
  <c r="F33" i="12828"/>
  <c r="Y28" i="12850" s="1"/>
  <c r="E33" i="12828"/>
  <c r="D33" i="12828"/>
  <c r="Y95" i="12843" l="1"/>
  <c r="Y94" i="12767"/>
  <c r="Y183" i="12843"/>
  <c r="Y182" i="12767"/>
  <c r="Y616" i="12843"/>
  <c r="Y615" i="12767"/>
  <c r="Y1102" i="12843"/>
  <c r="Y1100" i="12767"/>
  <c r="J1100" i="12767" s="1"/>
  <c r="O1092" i="12841"/>
  <c r="J1092" i="12841" s="1"/>
  <c r="Y743" i="12843"/>
  <c r="Y742" i="12767"/>
  <c r="G47" i="12828"/>
  <c r="Y951" i="12843" l="1"/>
  <c r="O942" i="12841"/>
  <c r="J942" i="12841" s="1"/>
  <c r="Y950" i="12767"/>
  <c r="V1100" i="12767"/>
  <c r="J1102" i="12843"/>
  <c r="L1102" i="12843" s="1"/>
  <c r="L1100" i="12767"/>
  <c r="J1090" i="12841"/>
  <c r="L1092" i="12841"/>
  <c r="G48" i="12828"/>
  <c r="C929" i="12767"/>
  <c r="E928" i="12767"/>
  <c r="X1100" i="12767" l="1"/>
  <c r="X1102" i="12843" s="1"/>
  <c r="V1102" i="12843"/>
  <c r="J1093" i="12841"/>
  <c r="Q1093" i="12841" s="1"/>
  <c r="L1090" i="12841"/>
  <c r="L1094" i="12841" s="1"/>
  <c r="L1096" i="12841" s="1"/>
  <c r="Q1090" i="12841"/>
  <c r="L942" i="12841"/>
  <c r="J940" i="12841"/>
  <c r="J887" i="12841"/>
  <c r="L887" i="12841" s="1"/>
  <c r="J962" i="12841"/>
  <c r="L962" i="12841" s="1"/>
  <c r="J980" i="12841"/>
  <c r="L980" i="12841" s="1"/>
  <c r="Y1008" i="12843"/>
  <c r="Y1006" i="12767"/>
  <c r="O998" i="12841"/>
  <c r="J998" i="12841" s="1"/>
  <c r="B11" i="12785"/>
  <c r="D36" i="12826"/>
  <c r="F29" i="12826"/>
  <c r="P26" i="12826"/>
  <c r="S26" i="12826" s="1"/>
  <c r="L26" i="12826"/>
  <c r="P25" i="12826"/>
  <c r="S25" i="12826" s="1"/>
  <c r="T25" i="12826"/>
  <c r="P24" i="12826"/>
  <c r="S24" i="12826" s="1"/>
  <c r="L24" i="12826"/>
  <c r="P23" i="12826"/>
  <c r="S23" i="12826" s="1"/>
  <c r="T23" i="12826"/>
  <c r="P22" i="12826"/>
  <c r="S22" i="12826" s="1"/>
  <c r="L22" i="12826"/>
  <c r="P21" i="12826"/>
  <c r="S21" i="12826" s="1"/>
  <c r="T21" i="12826"/>
  <c r="P20" i="12826"/>
  <c r="S20" i="12826" s="1"/>
  <c r="L20" i="12826"/>
  <c r="P19" i="12826"/>
  <c r="S19" i="12826" s="1"/>
  <c r="T19" i="12826"/>
  <c r="P18" i="12826"/>
  <c r="S18" i="12826" s="1"/>
  <c r="L18" i="12826"/>
  <c r="P17" i="12826"/>
  <c r="S17" i="12826" s="1"/>
  <c r="T17" i="12826"/>
  <c r="P16" i="12826"/>
  <c r="S16" i="12826" s="1"/>
  <c r="L16" i="12826"/>
  <c r="P15" i="12826"/>
  <c r="S15" i="12826" s="1"/>
  <c r="H27" i="12826"/>
  <c r="G15" i="12826"/>
  <c r="D10" i="12826"/>
  <c r="P14" i="12826"/>
  <c r="S14" i="12826" s="1"/>
  <c r="T14" i="12826"/>
  <c r="S11" i="12826"/>
  <c r="C11" i="12826"/>
  <c r="E11" i="12826" s="1"/>
  <c r="T9" i="12826"/>
  <c r="L940" i="12841" l="1"/>
  <c r="L944" i="12841" s="1"/>
  <c r="L946" i="12841" s="1"/>
  <c r="Q940" i="12841"/>
  <c r="J996" i="12841" s="1"/>
  <c r="J978" i="12841"/>
  <c r="L978" i="12841" s="1"/>
  <c r="L981" i="12841" s="1"/>
  <c r="L983" i="12841" s="1"/>
  <c r="J943" i="12841"/>
  <c r="Q943" i="12841" s="1"/>
  <c r="J960" i="12841"/>
  <c r="Q1099" i="12841"/>
  <c r="P1097" i="12841"/>
  <c r="L998" i="12841"/>
  <c r="J1037" i="12841"/>
  <c r="L1037" i="12841" s="1"/>
  <c r="L1074" i="12841" s="1"/>
  <c r="J1019" i="12841"/>
  <c r="L1019" i="12841" s="1"/>
  <c r="L1055" i="12841" s="1"/>
  <c r="S10" i="12826"/>
  <c r="D39" i="12826"/>
  <c r="E36" i="12826"/>
  <c r="E47" i="12826"/>
  <c r="G23" i="12826"/>
  <c r="S12" i="12826"/>
  <c r="D12" i="12826"/>
  <c r="G19" i="12826"/>
  <c r="G14" i="12826"/>
  <c r="P27" i="12826"/>
  <c r="G17" i="12826"/>
  <c r="L19" i="12826"/>
  <c r="G21" i="12826"/>
  <c r="L23" i="12826"/>
  <c r="G25" i="12826"/>
  <c r="L14" i="12826"/>
  <c r="S27" i="12826"/>
  <c r="L17" i="12826"/>
  <c r="L21" i="12826"/>
  <c r="L25" i="12826"/>
  <c r="L15" i="12826"/>
  <c r="J16" i="12826"/>
  <c r="V16" i="12826" s="1"/>
  <c r="T16" i="12826"/>
  <c r="J18" i="12826"/>
  <c r="V18" i="12826" s="1"/>
  <c r="V17" i="12826" s="1"/>
  <c r="T18" i="12826"/>
  <c r="J20" i="12826"/>
  <c r="V20" i="12826" s="1"/>
  <c r="T20" i="12826"/>
  <c r="J22" i="12826"/>
  <c r="V22" i="12826" s="1"/>
  <c r="T22" i="12826"/>
  <c r="J24" i="12826"/>
  <c r="V24" i="12826" s="1"/>
  <c r="T24" i="12826"/>
  <c r="J26" i="12826"/>
  <c r="V26" i="12826" s="1"/>
  <c r="T26" i="12826"/>
  <c r="J14" i="12826"/>
  <c r="J15" i="12826"/>
  <c r="V15" i="12826" s="1"/>
  <c r="T15" i="12826"/>
  <c r="G16" i="12826"/>
  <c r="J17" i="12826"/>
  <c r="G18" i="12826"/>
  <c r="J19" i="12826"/>
  <c r="V19" i="12826" s="1"/>
  <c r="G20" i="12826"/>
  <c r="J21" i="12826"/>
  <c r="V21" i="12826" s="1"/>
  <c r="G22" i="12826"/>
  <c r="J23" i="12826"/>
  <c r="V23" i="12826" s="1"/>
  <c r="G24" i="12826"/>
  <c r="J25" i="12826"/>
  <c r="V25" i="12826" s="1"/>
  <c r="G26" i="12826"/>
  <c r="K32" i="12811"/>
  <c r="L32" i="12811" s="1"/>
  <c r="K31" i="12811"/>
  <c r="L31" i="12811" s="1"/>
  <c r="D12" i="12775"/>
  <c r="D22" i="12775"/>
  <c r="J1035" i="12841" l="1"/>
  <c r="L1035" i="12841" s="1"/>
  <c r="Q996" i="12841"/>
  <c r="L996" i="12841"/>
  <c r="L1000" i="12841" s="1"/>
  <c r="L1002" i="12841" s="1"/>
  <c r="Q1002" i="12841" s="1"/>
  <c r="J1017" i="12841"/>
  <c r="L1017" i="12841" s="1"/>
  <c r="J999" i="12841"/>
  <c r="Q999" i="12841" s="1"/>
  <c r="L924" i="12841"/>
  <c r="L905" i="12841" s="1"/>
  <c r="L960" i="12841"/>
  <c r="L963" i="12841" s="1"/>
  <c r="L965" i="12841" s="1"/>
  <c r="P922" i="12841"/>
  <c r="Q922" i="12841" s="1"/>
  <c r="J881" i="12841"/>
  <c r="T27" i="12826"/>
  <c r="J27" i="12826"/>
  <c r="V14" i="12826"/>
  <c r="T11" i="12826"/>
  <c r="F11" i="12826"/>
  <c r="L1053" i="12841" l="1"/>
  <c r="L1020" i="12841"/>
  <c r="J886" i="12841"/>
  <c r="N881" i="12841"/>
  <c r="L881" i="12841"/>
  <c r="L1072" i="12841"/>
  <c r="L1038" i="12841"/>
  <c r="V27" i="12826"/>
  <c r="E10" i="12826"/>
  <c r="E39" i="12826" s="1"/>
  <c r="N886" i="12841" l="1"/>
  <c r="L886" i="12841"/>
  <c r="L888" i="12841" s="1"/>
  <c r="L890" i="12841" s="1"/>
  <c r="L1056" i="12841"/>
  <c r="L1022" i="12841"/>
  <c r="L1075" i="12841"/>
  <c r="L1077" i="12841" s="1"/>
  <c r="L1040" i="12841"/>
  <c r="L922" i="12841"/>
  <c r="L903" i="12841" s="1"/>
  <c r="E12" i="12826"/>
  <c r="F12" i="12826" s="1"/>
  <c r="T10" i="12826"/>
  <c r="T12" i="12826" s="1"/>
  <c r="F10" i="12826"/>
  <c r="L925" i="12841" l="1"/>
  <c r="L906" i="12841" s="1"/>
  <c r="L908" i="12841" s="1"/>
  <c r="P909" i="12841" s="1"/>
  <c r="L1058" i="12841"/>
  <c r="L927" i="12841" s="1"/>
  <c r="O930" i="12841" s="1"/>
  <c r="P891" i="12841"/>
  <c r="K14" i="12812"/>
  <c r="L1243" i="12841" l="1"/>
  <c r="L1246" i="12841" s="1"/>
  <c r="Q930" i="12841"/>
  <c r="P928" i="12841"/>
  <c r="B92" i="12822"/>
  <c r="C795" i="12843" s="1"/>
  <c r="D91" i="12822"/>
  <c r="A91" i="12822"/>
  <c r="D90" i="12822"/>
  <c r="A90" i="12822"/>
  <c r="D89" i="12822"/>
  <c r="A89" i="12822"/>
  <c r="D88" i="12822"/>
  <c r="A88" i="12822"/>
  <c r="D87" i="12822"/>
  <c r="A87" i="12822"/>
  <c r="D86" i="12822"/>
  <c r="A86" i="12822"/>
  <c r="D85" i="12822"/>
  <c r="A85" i="12822"/>
  <c r="D84" i="12822"/>
  <c r="A84" i="12822"/>
  <c r="D83" i="12822"/>
  <c r="A83" i="12822"/>
  <c r="D82" i="12822"/>
  <c r="A82" i="12822"/>
  <c r="D81" i="12822"/>
  <c r="A81" i="12822"/>
  <c r="D80" i="12822"/>
  <c r="A80" i="12822"/>
  <c r="N74" i="12822"/>
  <c r="N73" i="12822"/>
  <c r="N72" i="12822"/>
  <c r="N71" i="12822"/>
  <c r="N70" i="12822"/>
  <c r="N69" i="12822"/>
  <c r="N68" i="12822"/>
  <c r="N67" i="12822"/>
  <c r="Y66" i="12822"/>
  <c r="N66" i="12822"/>
  <c r="L66" i="12822"/>
  <c r="N65" i="12822"/>
  <c r="N64" i="12822"/>
  <c r="N63" i="12822"/>
  <c r="B58" i="12822"/>
  <c r="A57" i="12822"/>
  <c r="A74" i="12822" s="1"/>
  <c r="A56" i="12822"/>
  <c r="A55" i="12822"/>
  <c r="A54" i="12822"/>
  <c r="A53" i="12822"/>
  <c r="A52" i="12822"/>
  <c r="A51" i="12822"/>
  <c r="A50" i="12822"/>
  <c r="A49" i="12822"/>
  <c r="A48" i="12822"/>
  <c r="A47" i="12822"/>
  <c r="A46" i="12822"/>
  <c r="B40" i="12822"/>
  <c r="A39" i="12822"/>
  <c r="A38" i="12822"/>
  <c r="A37" i="12822"/>
  <c r="A36" i="12822"/>
  <c r="A35" i="12822"/>
  <c r="A34" i="12822"/>
  <c r="A33" i="12822"/>
  <c r="A32" i="12822"/>
  <c r="A31" i="12822"/>
  <c r="L30" i="12822"/>
  <c r="C39" i="12822" s="1"/>
  <c r="A30" i="12822"/>
  <c r="A29" i="12822"/>
  <c r="A28" i="12822"/>
  <c r="K27" i="12822"/>
  <c r="K45" i="12822" s="1"/>
  <c r="K62" i="12822" s="1"/>
  <c r="X62" i="12822" s="1"/>
  <c r="B22" i="12822"/>
  <c r="L12" i="12822"/>
  <c r="C820" i="12843" l="1"/>
  <c r="C797" i="12843"/>
  <c r="F795" i="12843"/>
  <c r="C741" i="12843"/>
  <c r="C743" i="12843" s="1"/>
  <c r="I795" i="12843"/>
  <c r="P1244" i="12841"/>
  <c r="A63" i="12822"/>
  <c r="D21" i="12822"/>
  <c r="C109" i="12822"/>
  <c r="C108" i="12822"/>
  <c r="C101" i="12822"/>
  <c r="C105" i="12822"/>
  <c r="C104" i="12822"/>
  <c r="D99" i="12822"/>
  <c r="C100" i="12822"/>
  <c r="D104" i="12822"/>
  <c r="D108" i="12822"/>
  <c r="G108" i="12822" s="1"/>
  <c r="C103" i="12822"/>
  <c r="D100" i="12822"/>
  <c r="D101" i="12822"/>
  <c r="G101" i="12822" s="1"/>
  <c r="D105" i="12822"/>
  <c r="D109" i="12822"/>
  <c r="C106" i="12822"/>
  <c r="C107" i="12822"/>
  <c r="C98" i="12822"/>
  <c r="D102" i="12822"/>
  <c r="D106" i="12822"/>
  <c r="G106" i="12822" s="1"/>
  <c r="C102" i="12822"/>
  <c r="D98" i="12822"/>
  <c r="C99" i="12822"/>
  <c r="G99" i="12822" s="1"/>
  <c r="D103" i="12822"/>
  <c r="D107" i="12822"/>
  <c r="G107" i="12822" s="1"/>
  <c r="A67" i="12822"/>
  <c r="A71" i="12822"/>
  <c r="A64" i="12822"/>
  <c r="A68" i="12822"/>
  <c r="A72" i="12822"/>
  <c r="A65" i="12822"/>
  <c r="A69" i="12822"/>
  <c r="A73" i="12822"/>
  <c r="A66" i="12822"/>
  <c r="A70" i="12822"/>
  <c r="O74" i="12822"/>
  <c r="P74" i="12822" s="1"/>
  <c r="O72" i="12822"/>
  <c r="O70" i="12822"/>
  <c r="O68" i="12822"/>
  <c r="O66" i="12822"/>
  <c r="O64" i="12822"/>
  <c r="B74" i="12822"/>
  <c r="E74" i="12822" s="1"/>
  <c r="B72" i="12822"/>
  <c r="B70" i="12822"/>
  <c r="B68" i="12822"/>
  <c r="B66" i="12822"/>
  <c r="E66" i="12822" s="1"/>
  <c r="B64" i="12822"/>
  <c r="C64" i="12822" s="1"/>
  <c r="O73" i="12822"/>
  <c r="O71" i="12822"/>
  <c r="O69" i="12822"/>
  <c r="O67" i="12822"/>
  <c r="O65" i="12822"/>
  <c r="O63" i="12822"/>
  <c r="P63" i="12822" s="1"/>
  <c r="B73" i="12822"/>
  <c r="B71" i="12822"/>
  <c r="B69" i="12822"/>
  <c r="B67" i="12822"/>
  <c r="B65" i="12822"/>
  <c r="D65" i="12822" s="1"/>
  <c r="B63" i="12822"/>
  <c r="E63" i="12822" s="1"/>
  <c r="D28" i="12822"/>
  <c r="D29" i="12822"/>
  <c r="D30" i="12822"/>
  <c r="C10" i="12822"/>
  <c r="C11" i="12822"/>
  <c r="C21" i="12822"/>
  <c r="C12" i="12822"/>
  <c r="D10" i="12822"/>
  <c r="D11" i="12822"/>
  <c r="D12" i="12822"/>
  <c r="G12" i="12822" s="1"/>
  <c r="C13" i="12822"/>
  <c r="C17" i="12822"/>
  <c r="AD34" i="12775"/>
  <c r="AD36" i="12775" s="1"/>
  <c r="C794" i="12767"/>
  <c r="C15" i="12822"/>
  <c r="C19" i="12822"/>
  <c r="AD8" i="12775"/>
  <c r="J15" i="12811"/>
  <c r="D14" i="12822"/>
  <c r="D16" i="12822"/>
  <c r="D18" i="12822"/>
  <c r="D20" i="12822"/>
  <c r="AD6" i="12775"/>
  <c r="J13" i="12811"/>
  <c r="AD7" i="12775"/>
  <c r="J14" i="12811"/>
  <c r="D66" i="12822"/>
  <c r="D92" i="12822"/>
  <c r="C136" i="12822" s="1"/>
  <c r="B136" i="12822"/>
  <c r="J101" i="12811"/>
  <c r="D74" i="12822"/>
  <c r="C74" i="12822"/>
  <c r="D13" i="12822"/>
  <c r="C14" i="12822"/>
  <c r="D15" i="12822"/>
  <c r="G15" i="12822" s="1"/>
  <c r="C16" i="12822"/>
  <c r="D17" i="12822"/>
  <c r="C18" i="12822"/>
  <c r="D19" i="12822"/>
  <c r="C20" i="12822"/>
  <c r="C28" i="12822"/>
  <c r="C29" i="12822"/>
  <c r="C30" i="12822"/>
  <c r="G30" i="12822" s="1"/>
  <c r="D31" i="12822"/>
  <c r="D32" i="12822"/>
  <c r="D33" i="12822"/>
  <c r="D34" i="12822"/>
  <c r="D35" i="12822"/>
  <c r="D36" i="12822"/>
  <c r="D37" i="12822"/>
  <c r="D38" i="12822"/>
  <c r="D39" i="12822"/>
  <c r="G39" i="12822" s="1"/>
  <c r="E65" i="12822"/>
  <c r="C31" i="12822"/>
  <c r="C32" i="12822"/>
  <c r="C33" i="12822"/>
  <c r="C34" i="12822"/>
  <c r="C35" i="12822"/>
  <c r="C36" i="12822"/>
  <c r="C37" i="12822"/>
  <c r="C38" i="12822"/>
  <c r="L48" i="12822"/>
  <c r="C57" i="12822" s="1"/>
  <c r="R63" i="12822" l="1"/>
  <c r="T797" i="12843"/>
  <c r="T743" i="12843" s="1"/>
  <c r="P797" i="12843"/>
  <c r="G21" i="12822"/>
  <c r="F741" i="12843"/>
  <c r="F820" i="12843"/>
  <c r="F767" i="12843" s="1"/>
  <c r="G29" i="12822"/>
  <c r="G18" i="12822"/>
  <c r="D110" i="12822"/>
  <c r="G105" i="12822"/>
  <c r="I820" i="12843"/>
  <c r="I767" i="12843" s="1"/>
  <c r="I741" i="12843"/>
  <c r="C767" i="12843"/>
  <c r="C796" i="12767"/>
  <c r="G11" i="12822"/>
  <c r="Q74" i="12822"/>
  <c r="G104" i="12822"/>
  <c r="R74" i="12822"/>
  <c r="G100" i="12822"/>
  <c r="C110" i="12822"/>
  <c r="G98" i="12822"/>
  <c r="E64" i="12822"/>
  <c r="G14" i="12822"/>
  <c r="G102" i="12822"/>
  <c r="G109" i="12822"/>
  <c r="G103" i="12822"/>
  <c r="G36" i="12822"/>
  <c r="G32" i="12822"/>
  <c r="G38" i="12822"/>
  <c r="G34" i="12822"/>
  <c r="G20" i="12822"/>
  <c r="G16" i="12822"/>
  <c r="G10" i="12822"/>
  <c r="Q63" i="12822"/>
  <c r="V63" i="12822" s="1"/>
  <c r="G17" i="12822"/>
  <c r="D64" i="12822"/>
  <c r="I64" i="12822" s="1"/>
  <c r="G19" i="12822"/>
  <c r="C56" i="12822"/>
  <c r="C52" i="12822"/>
  <c r="G37" i="12822"/>
  <c r="G35" i="12822"/>
  <c r="G33" i="12822"/>
  <c r="G31" i="12822"/>
  <c r="C66" i="12822"/>
  <c r="C65" i="12822"/>
  <c r="I65" i="12822" s="1"/>
  <c r="C739" i="12767"/>
  <c r="C54" i="12822"/>
  <c r="C50" i="12822"/>
  <c r="D40" i="12822"/>
  <c r="D22" i="12822"/>
  <c r="C63" i="12822"/>
  <c r="D63" i="12822"/>
  <c r="H101" i="12812"/>
  <c r="AD34" i="12774"/>
  <c r="AD36" i="12774" s="1"/>
  <c r="D73" i="12822"/>
  <c r="E73" i="12822"/>
  <c r="C73" i="12822"/>
  <c r="D72" i="12822"/>
  <c r="E72" i="12822"/>
  <c r="C72" i="12822"/>
  <c r="D71" i="12822"/>
  <c r="E71" i="12822"/>
  <c r="C71" i="12822"/>
  <c r="D70" i="12822"/>
  <c r="E70" i="12822"/>
  <c r="C70" i="12822"/>
  <c r="D69" i="12822"/>
  <c r="E69" i="12822"/>
  <c r="C69" i="12822"/>
  <c r="D68" i="12822"/>
  <c r="E68" i="12822"/>
  <c r="C68" i="12822"/>
  <c r="D67" i="12822"/>
  <c r="E67" i="12822"/>
  <c r="C67" i="12822"/>
  <c r="R73" i="12822"/>
  <c r="P73" i="12822"/>
  <c r="Q73" i="12822"/>
  <c r="R72" i="12822"/>
  <c r="P72" i="12822"/>
  <c r="Q72" i="12822"/>
  <c r="R71" i="12822"/>
  <c r="P71" i="12822"/>
  <c r="Q71" i="12822"/>
  <c r="R70" i="12822"/>
  <c r="P70" i="12822"/>
  <c r="Q70" i="12822"/>
  <c r="R69" i="12822"/>
  <c r="P69" i="12822"/>
  <c r="Q69" i="12822"/>
  <c r="R68" i="12822"/>
  <c r="P68" i="12822"/>
  <c r="Q68" i="12822"/>
  <c r="R67" i="12822"/>
  <c r="P67" i="12822"/>
  <c r="Q67" i="12822"/>
  <c r="R64" i="12822"/>
  <c r="P64" i="12822"/>
  <c r="Q64" i="12822"/>
  <c r="C40" i="12822"/>
  <c r="G28" i="12822"/>
  <c r="C55" i="12822"/>
  <c r="C53" i="12822"/>
  <c r="C51" i="12822"/>
  <c r="C49" i="12822"/>
  <c r="C47" i="12822"/>
  <c r="B75" i="12822"/>
  <c r="B134" i="12822" s="1"/>
  <c r="I66" i="12822"/>
  <c r="D55" i="12822"/>
  <c r="D53" i="12822"/>
  <c r="D51" i="12822"/>
  <c r="D49" i="12822"/>
  <c r="C46" i="12822"/>
  <c r="G13" i="12822"/>
  <c r="I74" i="12822"/>
  <c r="Q66" i="12822"/>
  <c r="R66" i="12822"/>
  <c r="P66" i="12822"/>
  <c r="D48" i="12822"/>
  <c r="D46" i="12822"/>
  <c r="D47" i="12822"/>
  <c r="R65" i="12822"/>
  <c r="P65" i="12822"/>
  <c r="Q65" i="12822"/>
  <c r="D56" i="12822"/>
  <c r="D54" i="12822"/>
  <c r="D52" i="12822"/>
  <c r="D50" i="12822"/>
  <c r="C48" i="12822"/>
  <c r="O75" i="12822"/>
  <c r="AD11" i="12775" s="1"/>
  <c r="D57" i="12822"/>
  <c r="G57" i="12822" s="1"/>
  <c r="C22" i="12822"/>
  <c r="C67" i="12850" l="1"/>
  <c r="C654" i="12767"/>
  <c r="C655" i="12767" s="1"/>
  <c r="C655" i="12843"/>
  <c r="C656" i="12843" s="1"/>
  <c r="I63" i="12822"/>
  <c r="V74" i="12822"/>
  <c r="G50" i="12822"/>
  <c r="C123" i="12767"/>
  <c r="C128" i="12767" s="1"/>
  <c r="C124" i="12843"/>
  <c r="C108" i="12767"/>
  <c r="C112" i="12767" s="1"/>
  <c r="C109" i="12843"/>
  <c r="E75" i="12822"/>
  <c r="G54" i="12822"/>
  <c r="P796" i="12767"/>
  <c r="G110" i="12822"/>
  <c r="G56" i="12822"/>
  <c r="G40" i="12822"/>
  <c r="H14" i="12812" s="1"/>
  <c r="G52" i="12822"/>
  <c r="G22" i="12822"/>
  <c r="AD6" i="12774" s="1"/>
  <c r="AD14" i="12775"/>
  <c r="G48" i="12822"/>
  <c r="AD7" i="12774"/>
  <c r="G47" i="12822"/>
  <c r="C75" i="12822"/>
  <c r="V66" i="12822"/>
  <c r="J41" i="12811"/>
  <c r="B132" i="12822"/>
  <c r="D132" i="12822" s="1"/>
  <c r="J18" i="12811"/>
  <c r="R75" i="12822"/>
  <c r="V67" i="12822"/>
  <c r="V69" i="12822"/>
  <c r="V71" i="12822"/>
  <c r="V73" i="12822"/>
  <c r="I67" i="12822"/>
  <c r="D75" i="12822"/>
  <c r="I69" i="12822"/>
  <c r="Q75" i="12822"/>
  <c r="I71" i="12822"/>
  <c r="I73" i="12822"/>
  <c r="V65" i="12822"/>
  <c r="G49" i="12822"/>
  <c r="G53" i="12822"/>
  <c r="V64" i="12822"/>
  <c r="V68" i="12822"/>
  <c r="V70" i="12822"/>
  <c r="V72" i="12822"/>
  <c r="I68" i="12822"/>
  <c r="I70" i="12822"/>
  <c r="I72" i="12822"/>
  <c r="C58" i="12822"/>
  <c r="G46" i="12822"/>
  <c r="D58" i="12822"/>
  <c r="G51" i="12822"/>
  <c r="G55" i="12822"/>
  <c r="P75" i="12822"/>
  <c r="C657" i="12767" l="1"/>
  <c r="F67" i="12850"/>
  <c r="C68" i="12850"/>
  <c r="C70" i="12850"/>
  <c r="P67" i="12850"/>
  <c r="C25" i="12850"/>
  <c r="I67" i="12850"/>
  <c r="C124" i="12767"/>
  <c r="C252" i="12767"/>
  <c r="C256" i="12767" s="1"/>
  <c r="C253" i="12843"/>
  <c r="C288" i="12767"/>
  <c r="C289" i="12843"/>
  <c r="C138" i="12767"/>
  <c r="C139" i="12767" s="1"/>
  <c r="C139" i="12843"/>
  <c r="C90" i="12843" s="1"/>
  <c r="C95" i="12843" s="1"/>
  <c r="C125" i="12843"/>
  <c r="C131" i="12843" s="1"/>
  <c r="F124" i="12843"/>
  <c r="C129" i="12843"/>
  <c r="I124" i="12843"/>
  <c r="C253" i="12767"/>
  <c r="C271" i="12767" s="1"/>
  <c r="C254" i="12843"/>
  <c r="F655" i="12843"/>
  <c r="C658" i="12843"/>
  <c r="C613" i="12843"/>
  <c r="C675" i="12843"/>
  <c r="I655" i="12843"/>
  <c r="P655" i="12843"/>
  <c r="C287" i="12767"/>
  <c r="C289" i="12767" s="1"/>
  <c r="C288" i="12843"/>
  <c r="C109" i="12767"/>
  <c r="C113" i="12767" s="1"/>
  <c r="C110" i="12843"/>
  <c r="C116" i="12843" s="1"/>
  <c r="C113" i="12843"/>
  <c r="I109" i="12843"/>
  <c r="F109" i="12843"/>
  <c r="T112" i="12767"/>
  <c r="T113" i="12843" s="1"/>
  <c r="C292" i="12767"/>
  <c r="C129" i="12767"/>
  <c r="C143" i="12767"/>
  <c r="C658" i="12767"/>
  <c r="C291" i="12767"/>
  <c r="AD18" i="12774"/>
  <c r="H46" i="12812"/>
  <c r="H13" i="12812"/>
  <c r="I75" i="12822"/>
  <c r="C134" i="12822" s="1"/>
  <c r="V75" i="12822"/>
  <c r="G58" i="12822"/>
  <c r="P70" i="12850" l="1"/>
  <c r="T70" i="12850"/>
  <c r="I25" i="12850"/>
  <c r="C87" i="12850"/>
  <c r="C47" i="12850" s="1"/>
  <c r="C26" i="12850"/>
  <c r="F68" i="12850"/>
  <c r="F26" i="12850" s="1"/>
  <c r="C71" i="12850"/>
  <c r="P68" i="12850"/>
  <c r="I68" i="12850"/>
  <c r="I26" i="12850" s="1"/>
  <c r="P25" i="12850"/>
  <c r="C28" i="12850"/>
  <c r="F25" i="12850"/>
  <c r="C270" i="12767"/>
  <c r="C254" i="12767"/>
  <c r="C272" i="12767" s="1"/>
  <c r="C257" i="12767"/>
  <c r="C616" i="12843"/>
  <c r="C293" i="12843"/>
  <c r="I289" i="12843"/>
  <c r="F289" i="12843"/>
  <c r="C220" i="12843"/>
  <c r="F288" i="12843"/>
  <c r="I288" i="12843"/>
  <c r="C219" i="12843"/>
  <c r="C292" i="12843"/>
  <c r="C635" i="12843"/>
  <c r="P658" i="12843"/>
  <c r="T658" i="12843"/>
  <c r="C130" i="12843"/>
  <c r="I125" i="12843"/>
  <c r="I131" i="12843" s="1"/>
  <c r="F125" i="12843"/>
  <c r="F131" i="12843" s="1"/>
  <c r="P95" i="12843"/>
  <c r="T95" i="12843"/>
  <c r="I613" i="12843"/>
  <c r="F613" i="12843"/>
  <c r="C144" i="12843"/>
  <c r="F139" i="12843"/>
  <c r="F90" i="12843" s="1"/>
  <c r="C140" i="12843"/>
  <c r="C146" i="12843" s="1"/>
  <c r="C99" i="12843" s="1"/>
  <c r="I139" i="12843"/>
  <c r="I90" i="12843" s="1"/>
  <c r="C271" i="12843"/>
  <c r="I253" i="12843"/>
  <c r="F253" i="12843"/>
  <c r="C257" i="12843"/>
  <c r="I110" i="12843"/>
  <c r="C114" i="12843"/>
  <c r="F110" i="12843"/>
  <c r="C290" i="12843"/>
  <c r="C309" i="12843" s="1"/>
  <c r="C614" i="12843"/>
  <c r="F656" i="12843"/>
  <c r="F614" i="12843" s="1"/>
  <c r="C659" i="12843"/>
  <c r="I656" i="12843"/>
  <c r="I614" i="12843" s="1"/>
  <c r="P656" i="12843"/>
  <c r="F254" i="12843"/>
  <c r="C255" i="12843"/>
  <c r="C258" i="12843"/>
  <c r="I254" i="12843"/>
  <c r="C272" i="12843"/>
  <c r="T113" i="12767"/>
  <c r="T114" i="12843" s="1"/>
  <c r="C144" i="12767"/>
  <c r="C293" i="12767"/>
  <c r="AD8" i="12774"/>
  <c r="H15" i="12812"/>
  <c r="AD14" i="12774"/>
  <c r="H18" i="12812"/>
  <c r="AD11" i="12774"/>
  <c r="H41" i="12812"/>
  <c r="C132" i="12822"/>
  <c r="E132" i="12822" s="1"/>
  <c r="I87" i="12850" l="1"/>
  <c r="F87" i="12850"/>
  <c r="C258" i="12767"/>
  <c r="I47" i="12850"/>
  <c r="J28" i="12850"/>
  <c r="T28" i="12850"/>
  <c r="P28" i="12850"/>
  <c r="F47" i="12850"/>
  <c r="C29" i="12850"/>
  <c r="P26" i="12850"/>
  <c r="T71" i="12850"/>
  <c r="P71" i="12850"/>
  <c r="C91" i="12843"/>
  <c r="C96" i="12843" s="1"/>
  <c r="T96" i="12843" s="1"/>
  <c r="F219" i="12843"/>
  <c r="F179" i="12843" s="1"/>
  <c r="T257" i="12843"/>
  <c r="P257" i="12843"/>
  <c r="T144" i="12843"/>
  <c r="P144" i="12843"/>
  <c r="I675" i="12843"/>
  <c r="F116" i="12843"/>
  <c r="C180" i="12843"/>
  <c r="C184" i="12843" s="1"/>
  <c r="C224" i="12843"/>
  <c r="P272" i="12843"/>
  <c r="P238" i="12843" s="1"/>
  <c r="T272" i="12843"/>
  <c r="T238" i="12843" s="1"/>
  <c r="I140" i="12843"/>
  <c r="I146" i="12843" s="1"/>
  <c r="C145" i="12843"/>
  <c r="F140" i="12843"/>
  <c r="F146" i="12843" s="1"/>
  <c r="F675" i="12843"/>
  <c r="F220" i="12843"/>
  <c r="F180" i="12843" s="1"/>
  <c r="P258" i="12843"/>
  <c r="T258" i="12843"/>
  <c r="F290" i="12843"/>
  <c r="I290" i="12843"/>
  <c r="C221" i="12843"/>
  <c r="C294" i="12843"/>
  <c r="C223" i="12843"/>
  <c r="C179" i="12843"/>
  <c r="C183" i="12843" s="1"/>
  <c r="P293" i="12843"/>
  <c r="T293" i="12843"/>
  <c r="C259" i="12843"/>
  <c r="C273" i="12843"/>
  <c r="F255" i="12843"/>
  <c r="F274" i="12843" s="1"/>
  <c r="I255" i="12843"/>
  <c r="I274" i="12843" s="1"/>
  <c r="T659" i="12843"/>
  <c r="P659" i="12843"/>
  <c r="I219" i="12843"/>
  <c r="I179" i="12843" s="1"/>
  <c r="C617" i="12843"/>
  <c r="C274" i="12843"/>
  <c r="T271" i="12843"/>
  <c r="T237" i="12843" s="1"/>
  <c r="P271" i="12843"/>
  <c r="P237" i="12843" s="1"/>
  <c r="T292" i="12843"/>
  <c r="P292" i="12843"/>
  <c r="I116" i="12843"/>
  <c r="I220" i="12843"/>
  <c r="I180" i="12843" s="1"/>
  <c r="C233" i="12767"/>
  <c r="V28" i="12850" l="1"/>
  <c r="J70" i="12850"/>
  <c r="J45" i="12850"/>
  <c r="J108" i="12850"/>
  <c r="J29" i="12850"/>
  <c r="P29" i="12850"/>
  <c r="T29" i="12850"/>
  <c r="P96" i="12843"/>
  <c r="I221" i="12843"/>
  <c r="I181" i="12843" s="1"/>
  <c r="T184" i="12843"/>
  <c r="P184" i="12843"/>
  <c r="F99" i="12843"/>
  <c r="I91" i="12843"/>
  <c r="F221" i="12843"/>
  <c r="F181" i="12843" s="1"/>
  <c r="F309" i="12843"/>
  <c r="T145" i="12843"/>
  <c r="P145" i="12843"/>
  <c r="P273" i="12843"/>
  <c r="T273" i="12843"/>
  <c r="T239" i="12843" s="1"/>
  <c r="T183" i="12843"/>
  <c r="P183" i="12843"/>
  <c r="T294" i="12843"/>
  <c r="P294" i="12843"/>
  <c r="T224" i="12843"/>
  <c r="P223" i="12843"/>
  <c r="C240" i="12843"/>
  <c r="C203" i="12843" s="1"/>
  <c r="I99" i="12843"/>
  <c r="I309" i="12843"/>
  <c r="P259" i="12843"/>
  <c r="T259" i="12843"/>
  <c r="C181" i="12843"/>
  <c r="C185" i="12843" s="1"/>
  <c r="C225" i="12843"/>
  <c r="P224" i="12843"/>
  <c r="F635" i="12843"/>
  <c r="F91" i="12843"/>
  <c r="I635" i="12843"/>
  <c r="T223" i="12843"/>
  <c r="C226" i="12767"/>
  <c r="C234" i="12767"/>
  <c r="C228" i="12767"/>
  <c r="C263" i="12767"/>
  <c r="J123" i="12850" l="1"/>
  <c r="L123" i="12850" s="1"/>
  <c r="L108" i="12850"/>
  <c r="L70" i="12850"/>
  <c r="J85" i="12850"/>
  <c r="L85" i="12850" s="1"/>
  <c r="L45" i="12850" s="1"/>
  <c r="X45" i="12850" s="1"/>
  <c r="J109" i="12850"/>
  <c r="V29" i="12850"/>
  <c r="J46" i="12850"/>
  <c r="J71" i="12850"/>
  <c r="V108" i="12850"/>
  <c r="V45" i="12850"/>
  <c r="V70" i="12850"/>
  <c r="P225" i="12843"/>
  <c r="P185" i="12843"/>
  <c r="T185" i="12843"/>
  <c r="T225" i="12843"/>
  <c r="F240" i="12843"/>
  <c r="F203" i="12843" s="1"/>
  <c r="I240" i="12843"/>
  <c r="I203" i="12843" s="1"/>
  <c r="C219" i="12767"/>
  <c r="C223" i="12767" s="1"/>
  <c r="C218" i="12767"/>
  <c r="C222" i="12767" s="1"/>
  <c r="C221" i="12767"/>
  <c r="C229" i="12767"/>
  <c r="C213" i="12767"/>
  <c r="C215" i="12767"/>
  <c r="C230" i="12767"/>
  <c r="C236" i="12767" s="1"/>
  <c r="C214" i="12767"/>
  <c r="C217" i="12767"/>
  <c r="C227" i="12767"/>
  <c r="C231" i="12767"/>
  <c r="C237" i="12767" s="1"/>
  <c r="C235" i="12767"/>
  <c r="C232" i="12767"/>
  <c r="C238" i="12767" s="1"/>
  <c r="L28" i="12850" l="1"/>
  <c r="V85" i="12850"/>
  <c r="X85" i="12850" s="1"/>
  <c r="X70" i="12850"/>
  <c r="J86" i="12850"/>
  <c r="L86" i="12850" s="1"/>
  <c r="L71" i="12850"/>
  <c r="V109" i="12850"/>
  <c r="V71" i="12850"/>
  <c r="V46" i="12850"/>
  <c r="V123" i="12850"/>
  <c r="X123" i="12850" s="1"/>
  <c r="X108" i="12850"/>
  <c r="L109" i="12850"/>
  <c r="J124" i="12850"/>
  <c r="L124" i="12850" s="1"/>
  <c r="C220" i="12767"/>
  <c r="C224" i="12767" s="1"/>
  <c r="L29" i="12850" l="1"/>
  <c r="L46" i="12850"/>
  <c r="X46" i="12850" s="1"/>
  <c r="V86" i="12850"/>
  <c r="X86" i="12850" s="1"/>
  <c r="X71" i="12850"/>
  <c r="X29" i="12850" s="1"/>
  <c r="X28" i="12850"/>
  <c r="X109" i="12850"/>
  <c r="V124" i="12850"/>
  <c r="X124" i="12850" s="1"/>
  <c r="F42" i="12811"/>
  <c r="F72" i="12811"/>
  <c r="F17" i="12811"/>
  <c r="F16" i="12811"/>
  <c r="F14" i="12811"/>
  <c r="F13" i="12811"/>
  <c r="P20" i="12774" l="1"/>
  <c r="C763" i="12767"/>
  <c r="P763" i="12767" s="1"/>
  <c r="P764" i="12843" s="1"/>
  <c r="C764" i="12767"/>
  <c r="T764" i="12767" l="1"/>
  <c r="X764" i="12767"/>
  <c r="D81" i="12812"/>
  <c r="G81" i="12811"/>
  <c r="F15" i="12811"/>
  <c r="F122" i="12811"/>
  <c r="F123" i="12811"/>
  <c r="F125" i="12811"/>
  <c r="L1147" i="12767"/>
  <c r="F121" i="12811"/>
  <c r="F124" i="12811"/>
  <c r="F84" i="12811"/>
  <c r="F52" i="12811"/>
  <c r="F21" i="12811"/>
  <c r="F22" i="12811" s="1"/>
  <c r="P1147" i="12767" l="1"/>
  <c r="X1147" i="12767" s="1"/>
  <c r="L1150" i="12843"/>
  <c r="P1150" i="12843" s="1"/>
  <c r="M51" i="12828"/>
  <c r="M55" i="12828"/>
  <c r="F85" i="12811"/>
  <c r="F127" i="12811"/>
  <c r="F137" i="12811" s="1"/>
  <c r="E12" i="12775" l="1"/>
  <c r="F12" i="12775"/>
  <c r="G12" i="12775"/>
  <c r="H12" i="12775"/>
  <c r="I12" i="12775"/>
  <c r="J12" i="12775"/>
  <c r="K12" i="12775"/>
  <c r="L12" i="12775"/>
  <c r="M12" i="12775"/>
  <c r="N12" i="12775"/>
  <c r="O12" i="12775"/>
  <c r="P11" i="12775"/>
  <c r="E12" i="12774"/>
  <c r="F12" i="12774"/>
  <c r="G12" i="12774"/>
  <c r="H12" i="12774"/>
  <c r="I12" i="12774"/>
  <c r="J12" i="12774"/>
  <c r="K12" i="12774"/>
  <c r="L12" i="12774"/>
  <c r="M12" i="12774"/>
  <c r="N12" i="12774"/>
  <c r="O12" i="12774"/>
  <c r="D12" i="12774"/>
  <c r="AI11" i="12774"/>
  <c r="P11" i="12774"/>
  <c r="AJ11" i="12774" l="1"/>
  <c r="AD12" i="12775"/>
  <c r="AD12" i="12774"/>
  <c r="N79" i="12763" l="1"/>
  <c r="I79" i="12763"/>
  <c r="E79" i="12763"/>
  <c r="T80" i="12764"/>
  <c r="K80" i="12764"/>
  <c r="G80" i="12764"/>
  <c r="I14" i="12763"/>
  <c r="E14" i="12763"/>
  <c r="K14" i="12764"/>
  <c r="G14" i="12764"/>
  <c r="E140" i="12813"/>
  <c r="E138" i="12813"/>
  <c r="E136" i="12813"/>
  <c r="E135" i="12813"/>
  <c r="E133" i="12813"/>
  <c r="E132" i="12813"/>
  <c r="E131" i="12813"/>
  <c r="E129" i="12813"/>
  <c r="E127" i="12813"/>
  <c r="E125" i="12813"/>
  <c r="E124" i="12813"/>
  <c r="E123" i="12813"/>
  <c r="E122" i="12813"/>
  <c r="E121" i="12813"/>
  <c r="E120" i="12813"/>
  <c r="E119" i="12813"/>
  <c r="E118" i="12813"/>
  <c r="E111" i="12813"/>
  <c r="E110" i="12813"/>
  <c r="E109" i="12813"/>
  <c r="E108" i="12813"/>
  <c r="E107" i="12813"/>
  <c r="E106" i="12813"/>
  <c r="E105" i="12813"/>
  <c r="E104" i="12813"/>
  <c r="E103" i="12813"/>
  <c r="E102" i="12813"/>
  <c r="E95" i="12813"/>
  <c r="E94" i="12813"/>
  <c r="E93" i="12813"/>
  <c r="E92" i="12813"/>
  <c r="E90" i="12813"/>
  <c r="E89" i="12813"/>
  <c r="E88" i="12813"/>
  <c r="E87" i="12813"/>
  <c r="E86" i="12813"/>
  <c r="E84" i="12813"/>
  <c r="E83" i="12813"/>
  <c r="E82" i="12813"/>
  <c r="E81" i="12813"/>
  <c r="E80" i="12813"/>
  <c r="E79" i="12813"/>
  <c r="E72" i="12813"/>
  <c r="E70" i="12813"/>
  <c r="E68" i="12813"/>
  <c r="E66" i="12813"/>
  <c r="E64" i="12813"/>
  <c r="E63" i="12813"/>
  <c r="E62" i="12813"/>
  <c r="E61" i="12813"/>
  <c r="E60" i="12813"/>
  <c r="E59" i="12813"/>
  <c r="E58" i="12813"/>
  <c r="E57" i="12813"/>
  <c r="E56" i="12813"/>
  <c r="E55" i="12813"/>
  <c r="E54" i="12813"/>
  <c r="E53" i="12813"/>
  <c r="E44" i="12813"/>
  <c r="E42" i="12813"/>
  <c r="E41" i="12813"/>
  <c r="E40" i="12813"/>
  <c r="E39" i="12813"/>
  <c r="E37" i="12813"/>
  <c r="E35" i="12813"/>
  <c r="E33" i="12813"/>
  <c r="E31" i="12813"/>
  <c r="E29" i="12813"/>
  <c r="E28" i="12813"/>
  <c r="E27" i="12813"/>
  <c r="E26" i="12813"/>
  <c r="E25" i="12813"/>
  <c r="E24" i="12813"/>
  <c r="E23" i="12813"/>
  <c r="E22" i="12813"/>
  <c r="E21" i="12813"/>
  <c r="E20" i="12813"/>
  <c r="E19" i="12813"/>
  <c r="E18" i="12813"/>
  <c r="E17" i="12813"/>
  <c r="E16" i="12813"/>
  <c r="E14" i="12813"/>
  <c r="E13" i="12813"/>
  <c r="E12" i="12813"/>
  <c r="E11" i="12813"/>
  <c r="E10" i="12813"/>
  <c r="E9" i="12813"/>
  <c r="E15" i="12813"/>
  <c r="I269" i="12767"/>
  <c r="F269" i="12767"/>
  <c r="I268" i="12767"/>
  <c r="F268" i="12767"/>
  <c r="F267" i="12767"/>
  <c r="F265" i="12767"/>
  <c r="F266" i="12767"/>
  <c r="F263" i="12767"/>
  <c r="F262" i="12767"/>
  <c r="F261" i="12767"/>
  <c r="F260" i="12767"/>
  <c r="I255" i="12767"/>
  <c r="I267" i="12767"/>
  <c r="F255" i="12767"/>
  <c r="I266" i="12767"/>
  <c r="I254" i="12767"/>
  <c r="I265" i="12767"/>
  <c r="I264" i="12767"/>
  <c r="I251" i="12767"/>
  <c r="I263" i="12767"/>
  <c r="F251" i="12767"/>
  <c r="I262" i="12767"/>
  <c r="F249" i="12767"/>
  <c r="I261" i="12767"/>
  <c r="F248" i="12767"/>
  <c r="I260" i="12767"/>
  <c r="F247" i="12767"/>
  <c r="C37" i="12764" l="1"/>
  <c r="D80" i="12812" s="1"/>
  <c r="C45" i="12764"/>
  <c r="C46" i="12763"/>
  <c r="C45" i="12763"/>
  <c r="E45" i="12764" s="1"/>
  <c r="C23" i="12764"/>
  <c r="C23" i="12763"/>
  <c r="C40" i="12763"/>
  <c r="C26" i="12764"/>
  <c r="C54" i="12764"/>
  <c r="C13" i="12764"/>
  <c r="C18" i="12763"/>
  <c r="C22" i="12763"/>
  <c r="C32" i="12763"/>
  <c r="C19" i="12763"/>
  <c r="C24" i="12763"/>
  <c r="C35" i="12763"/>
  <c r="C37" i="12763"/>
  <c r="G80" i="12811" s="1"/>
  <c r="C18" i="12764"/>
  <c r="C22" i="12764"/>
  <c r="C24" i="12764"/>
  <c r="C35" i="12764"/>
  <c r="C7" i="12763"/>
  <c r="C9" i="12763"/>
  <c r="C11" i="12763"/>
  <c r="C13" i="12763"/>
  <c r="C26" i="12763"/>
  <c r="C34" i="12763"/>
  <c r="C36" i="12763"/>
  <c r="C52" i="12763"/>
  <c r="C54" i="12763"/>
  <c r="C19" i="12764"/>
  <c r="C20" i="12764"/>
  <c r="C32" i="12764"/>
  <c r="C40" i="12764"/>
  <c r="C8" i="12763"/>
  <c r="C10" i="12763"/>
  <c r="E10" i="12764" s="1"/>
  <c r="C12" i="12763"/>
  <c r="C20" i="12763"/>
  <c r="C25" i="12763"/>
  <c r="C27" i="12763"/>
  <c r="E27" i="12764" s="1"/>
  <c r="C33" i="12763"/>
  <c r="E33" i="12764" s="1"/>
  <c r="C51" i="12763"/>
  <c r="C53" i="12763"/>
  <c r="E53" i="12764" s="1"/>
  <c r="C55" i="12763"/>
  <c r="C46" i="12764"/>
  <c r="C8" i="12764"/>
  <c r="C10" i="12764"/>
  <c r="C12" i="12764"/>
  <c r="C25" i="12764"/>
  <c r="C27" i="12764"/>
  <c r="C33" i="12764"/>
  <c r="C51" i="12764"/>
  <c r="C53" i="12764"/>
  <c r="C55" i="12764"/>
  <c r="C7" i="12764"/>
  <c r="C9" i="12764"/>
  <c r="C11" i="12764"/>
  <c r="C34" i="12764"/>
  <c r="C36" i="12764"/>
  <c r="C52" i="12764"/>
  <c r="F254" i="12767"/>
  <c r="C250" i="12767"/>
  <c r="F18" i="12811" s="1"/>
  <c r="F19" i="12811" s="1"/>
  <c r="F264" i="12767"/>
  <c r="I247" i="12767"/>
  <c r="I248" i="12767"/>
  <c r="I249" i="12767"/>
  <c r="E7" i="12764" l="1"/>
  <c r="E11" i="12764"/>
  <c r="E22" i="12764"/>
  <c r="E34" i="12764"/>
  <c r="E9" i="12764"/>
  <c r="E18" i="12764"/>
  <c r="E46" i="12764"/>
  <c r="C79" i="12763"/>
  <c r="E20" i="12764"/>
  <c r="E26" i="12764"/>
  <c r="E19" i="12764"/>
  <c r="I13" i="12764"/>
  <c r="N13" i="12764" s="1"/>
  <c r="F18" i="12812" s="1"/>
  <c r="E52" i="12764"/>
  <c r="G13" i="12763"/>
  <c r="J13" i="12763" s="1"/>
  <c r="L13" i="12763" s="1"/>
  <c r="E13" i="12764"/>
  <c r="E80" i="12764" s="1"/>
  <c r="E32" i="12764"/>
  <c r="F38" i="12811"/>
  <c r="C80" i="12764"/>
  <c r="C14" i="12763"/>
  <c r="C14" i="12764"/>
  <c r="K13" i="12763" l="1"/>
  <c r="I18" i="12811" s="1"/>
  <c r="E14" i="12764"/>
  <c r="M13" i="12764"/>
  <c r="O13" i="12764" s="1"/>
  <c r="I162" i="12813"/>
  <c r="H162" i="12813"/>
  <c r="J161" i="12813"/>
  <c r="J163" i="12813" s="1"/>
  <c r="I161" i="12813"/>
  <c r="H161" i="12813"/>
  <c r="I156" i="12813"/>
  <c r="H156" i="12813"/>
  <c r="I146" i="12813"/>
  <c r="I113" i="12813"/>
  <c r="H113" i="12813"/>
  <c r="I74" i="12813"/>
  <c r="H74" i="12813"/>
  <c r="L47" i="12813"/>
  <c r="I47" i="12813"/>
  <c r="K137" i="12812"/>
  <c r="E135" i="12812"/>
  <c r="I135" i="12812" s="1"/>
  <c r="N135" i="12811" s="1"/>
  <c r="F133" i="12812"/>
  <c r="I133" i="12812" s="1"/>
  <c r="N133" i="12811" s="1"/>
  <c r="M132" i="12811"/>
  <c r="F131" i="12812"/>
  <c r="I129" i="12812"/>
  <c r="M129" i="12811"/>
  <c r="H127" i="12812"/>
  <c r="H137" i="12812" s="1"/>
  <c r="E20" i="12809" s="1"/>
  <c r="G126" i="12812"/>
  <c r="S126" i="12812" s="1"/>
  <c r="M126" i="12811"/>
  <c r="G125" i="12812"/>
  <c r="M125" i="12811"/>
  <c r="G124" i="12812"/>
  <c r="M124" i="12811"/>
  <c r="G123" i="12812"/>
  <c r="M123" i="12811"/>
  <c r="M122" i="12811"/>
  <c r="G121" i="12812"/>
  <c r="M121" i="12811"/>
  <c r="K117" i="12812"/>
  <c r="D115" i="12812"/>
  <c r="D113" i="12812"/>
  <c r="G113" i="12812" s="1"/>
  <c r="I113" i="12812" s="1"/>
  <c r="N113" i="12811" s="1"/>
  <c r="D112" i="12812"/>
  <c r="M112" i="12811" s="1"/>
  <c r="D111" i="12812"/>
  <c r="F111" i="12812" s="1"/>
  <c r="I111" i="12812" s="1"/>
  <c r="N111" i="12811" s="1"/>
  <c r="D110" i="12812"/>
  <c r="M110" i="12811" s="1"/>
  <c r="D109" i="12812"/>
  <c r="F109" i="12812" s="1"/>
  <c r="I109" i="12812" s="1"/>
  <c r="N109" i="12811" s="1"/>
  <c r="D108" i="12812"/>
  <c r="M108" i="12811" s="1"/>
  <c r="D107" i="12812"/>
  <c r="F107" i="12812" s="1"/>
  <c r="F153" i="12812" s="1"/>
  <c r="I105" i="12812"/>
  <c r="D105" i="12812"/>
  <c r="H103" i="12812"/>
  <c r="H117" i="12812" s="1"/>
  <c r="K102" i="12812"/>
  <c r="G102" i="12812"/>
  <c r="D102" i="12812"/>
  <c r="K101" i="12812"/>
  <c r="G101" i="12812"/>
  <c r="M101" i="12811"/>
  <c r="K97" i="12812"/>
  <c r="D95" i="12812"/>
  <c r="E95" i="12812" s="1"/>
  <c r="I95" i="12812" s="1"/>
  <c r="N95" i="12811" s="1"/>
  <c r="F93" i="12812"/>
  <c r="I93" i="12812" s="1"/>
  <c r="N93" i="12811" s="1"/>
  <c r="M92" i="12811"/>
  <c r="F91" i="12812"/>
  <c r="I91" i="12812" s="1"/>
  <c r="N91" i="12811" s="1"/>
  <c r="M90" i="12811"/>
  <c r="F89" i="12812"/>
  <c r="I89" i="12812" s="1"/>
  <c r="N89" i="12811" s="1"/>
  <c r="I87" i="12812"/>
  <c r="H85" i="12812"/>
  <c r="G84" i="12812"/>
  <c r="D85" i="12812"/>
  <c r="H82" i="12812"/>
  <c r="K81" i="12812"/>
  <c r="G81" i="12812"/>
  <c r="M81" i="12811"/>
  <c r="K80" i="12812"/>
  <c r="G80" i="12812"/>
  <c r="M80" i="12811"/>
  <c r="G79" i="12812"/>
  <c r="M79" i="12811"/>
  <c r="H77" i="12812"/>
  <c r="K76" i="12812"/>
  <c r="G76" i="12812"/>
  <c r="D77" i="12812"/>
  <c r="H74" i="12812"/>
  <c r="K73" i="12812"/>
  <c r="G73" i="12812"/>
  <c r="M73" i="12811"/>
  <c r="K72" i="12812"/>
  <c r="G72" i="12812"/>
  <c r="M72" i="12811"/>
  <c r="K71" i="12812"/>
  <c r="G71" i="12812"/>
  <c r="M71" i="12811"/>
  <c r="K68" i="12812"/>
  <c r="E66" i="12812"/>
  <c r="I66" i="12812" s="1"/>
  <c r="N66" i="12811" s="1"/>
  <c r="F64" i="12812"/>
  <c r="I64" i="12812" s="1"/>
  <c r="N64" i="12811" s="1"/>
  <c r="M63" i="12811"/>
  <c r="M61" i="12811"/>
  <c r="F60" i="12812"/>
  <c r="I60" i="12812" s="1"/>
  <c r="N60" i="12811" s="1"/>
  <c r="M59" i="12811"/>
  <c r="F58" i="12812"/>
  <c r="I58" i="12812" s="1"/>
  <c r="N58" i="12811" s="1"/>
  <c r="I56" i="12812"/>
  <c r="N56" i="12811" s="1"/>
  <c r="H54" i="12812"/>
  <c r="G53" i="12812"/>
  <c r="M53" i="12811"/>
  <c r="G52" i="12812"/>
  <c r="M52" i="12811"/>
  <c r="H50" i="12812"/>
  <c r="K49" i="12812"/>
  <c r="G49" i="12812"/>
  <c r="D50" i="12812"/>
  <c r="K46" i="12812"/>
  <c r="G46" i="12812"/>
  <c r="M46" i="12811"/>
  <c r="M47" i="12811" s="1"/>
  <c r="K43" i="12812"/>
  <c r="G43" i="12812"/>
  <c r="M43" i="12811"/>
  <c r="K42" i="12812"/>
  <c r="G42" i="12812"/>
  <c r="M42" i="12811"/>
  <c r="K41" i="12812"/>
  <c r="G41" i="12812"/>
  <c r="K38" i="12812"/>
  <c r="M34" i="12811"/>
  <c r="G33" i="12812"/>
  <c r="I33" i="12812" s="1"/>
  <c r="M32" i="12811"/>
  <c r="M30" i="12811"/>
  <c r="M28" i="12811"/>
  <c r="F27" i="12812"/>
  <c r="M26" i="12811"/>
  <c r="I24" i="12812"/>
  <c r="H22" i="12812"/>
  <c r="G21" i="12812"/>
  <c r="D22" i="12812"/>
  <c r="K18" i="12812"/>
  <c r="G18" i="12812"/>
  <c r="S18" i="12812" s="1"/>
  <c r="M18" i="12811"/>
  <c r="K17" i="12812"/>
  <c r="G17" i="12812"/>
  <c r="M17" i="12811"/>
  <c r="K16" i="12812"/>
  <c r="G16" i="12812"/>
  <c r="M16" i="12811"/>
  <c r="K15" i="12812"/>
  <c r="G15" i="12812"/>
  <c r="M15" i="12811"/>
  <c r="G14" i="12812"/>
  <c r="M14" i="12811"/>
  <c r="G13" i="12812"/>
  <c r="M13" i="12811"/>
  <c r="A6" i="12812"/>
  <c r="H135" i="12811"/>
  <c r="K135" i="12811" s="1"/>
  <c r="K133" i="12811"/>
  <c r="L133" i="12811" s="1"/>
  <c r="K132" i="12811"/>
  <c r="K131" i="12811"/>
  <c r="N129" i="12811"/>
  <c r="K129" i="12811"/>
  <c r="J127" i="12811"/>
  <c r="J137" i="12811" s="1"/>
  <c r="L126" i="12811"/>
  <c r="E126" i="12811"/>
  <c r="E123" i="12811"/>
  <c r="E122" i="12811"/>
  <c r="H115" i="12811"/>
  <c r="K115" i="12811" s="1"/>
  <c r="K113" i="12811"/>
  <c r="L113" i="12811" s="1"/>
  <c r="K112" i="12811"/>
  <c r="L112" i="12811" s="1"/>
  <c r="K111" i="12811"/>
  <c r="L111" i="12811" s="1"/>
  <c r="K110" i="12811"/>
  <c r="L110" i="12811" s="1"/>
  <c r="K109" i="12811"/>
  <c r="K108" i="12811"/>
  <c r="K107" i="12811"/>
  <c r="N105" i="12811"/>
  <c r="K105" i="12811"/>
  <c r="L105" i="12811" s="1"/>
  <c r="J103" i="12811"/>
  <c r="J117" i="12811" s="1"/>
  <c r="G95" i="12811"/>
  <c r="K93" i="12811"/>
  <c r="G93" i="12811"/>
  <c r="K92" i="12811"/>
  <c r="G92" i="12811"/>
  <c r="K91" i="12811"/>
  <c r="G91" i="12811"/>
  <c r="K90" i="12811"/>
  <c r="G90" i="12811"/>
  <c r="K89" i="12811"/>
  <c r="G89" i="12811"/>
  <c r="N87" i="12811"/>
  <c r="G87" i="12811"/>
  <c r="L87" i="12811" s="1"/>
  <c r="J85" i="12811"/>
  <c r="G84" i="12811"/>
  <c r="J82" i="12811"/>
  <c r="G79" i="12811"/>
  <c r="J77" i="12811"/>
  <c r="G76" i="12811"/>
  <c r="J74" i="12811"/>
  <c r="G73" i="12811"/>
  <c r="G72" i="12811"/>
  <c r="E72" i="12811"/>
  <c r="G71" i="12811"/>
  <c r="H66" i="12811"/>
  <c r="K66" i="12811" s="1"/>
  <c r="K64" i="12811"/>
  <c r="L64" i="12811" s="1"/>
  <c r="K63" i="12811"/>
  <c r="L63" i="12811" s="1"/>
  <c r="K62" i="12811"/>
  <c r="K61" i="12811"/>
  <c r="L61" i="12811" s="1"/>
  <c r="K60" i="12811"/>
  <c r="L60" i="12811" s="1"/>
  <c r="K59" i="12811"/>
  <c r="K58" i="12811"/>
  <c r="K56" i="12811"/>
  <c r="J54" i="12811"/>
  <c r="E52" i="12811"/>
  <c r="J50" i="12811"/>
  <c r="D47" i="12811"/>
  <c r="E42" i="12811"/>
  <c r="M41" i="12811"/>
  <c r="K34" i="12811"/>
  <c r="K33" i="12811"/>
  <c r="K30" i="12811"/>
  <c r="K29" i="12811"/>
  <c r="K28" i="12811"/>
  <c r="N24" i="12811"/>
  <c r="K24" i="12811"/>
  <c r="J22" i="12811"/>
  <c r="E18" i="12811"/>
  <c r="E17" i="12811"/>
  <c r="E16" i="12811"/>
  <c r="E15" i="12811"/>
  <c r="E14" i="12811"/>
  <c r="A6" i="12811"/>
  <c r="F24" i="12810"/>
  <c r="F23" i="12810"/>
  <c r="B6" i="12810"/>
  <c r="E19" i="12809"/>
  <c r="A6" i="12809"/>
  <c r="J97" i="12811" l="1"/>
  <c r="I1279" i="12843"/>
  <c r="G47" i="12812"/>
  <c r="G50" i="12812"/>
  <c r="M102" i="12811"/>
  <c r="M103" i="12811" s="1"/>
  <c r="G85" i="12812"/>
  <c r="G77" i="12812"/>
  <c r="H97" i="12812"/>
  <c r="E18" i="12809" s="1"/>
  <c r="J105" i="12812"/>
  <c r="L105" i="12812" s="1"/>
  <c r="M105" i="12812" s="1"/>
  <c r="O105" i="12811" s="1"/>
  <c r="P105" i="12811" s="1"/>
  <c r="L28" i="12811"/>
  <c r="L29" i="12811"/>
  <c r="L30" i="12811"/>
  <c r="L33" i="12811"/>
  <c r="L34" i="12811"/>
  <c r="J56" i="12812"/>
  <c r="L56" i="12812" s="1"/>
  <c r="M56" i="12812" s="1"/>
  <c r="O56" i="12811" s="1"/>
  <c r="P56" i="12811" s="1"/>
  <c r="J87" i="12812"/>
  <c r="L87" i="12812" s="1"/>
  <c r="M87" i="12812" s="1"/>
  <c r="O87" i="12811" s="1"/>
  <c r="P87" i="12811" s="1"/>
  <c r="F62" i="12812"/>
  <c r="I62" i="12812" s="1"/>
  <c r="J62" i="12812" s="1"/>
  <c r="F31" i="12812"/>
  <c r="I31" i="12812" s="1"/>
  <c r="N31" i="12811" s="1"/>
  <c r="M31" i="12811"/>
  <c r="L24" i="12811"/>
  <c r="L56" i="12811"/>
  <c r="L91" i="12811"/>
  <c r="L92" i="12811"/>
  <c r="L93" i="12811"/>
  <c r="L129" i="12811"/>
  <c r="D50" i="12811"/>
  <c r="F29" i="12812"/>
  <c r="D22" i="12811"/>
  <c r="E21" i="12811"/>
  <c r="E22" i="12811" s="1"/>
  <c r="E13" i="12811"/>
  <c r="E19" i="12811" s="1"/>
  <c r="E121" i="12811"/>
  <c r="E124" i="12811"/>
  <c r="E125" i="12811"/>
  <c r="D85" i="12811"/>
  <c r="E84" i="12811"/>
  <c r="E85" i="12811" s="1"/>
  <c r="D77" i="12811"/>
  <c r="D44" i="12811"/>
  <c r="AC37" i="12774"/>
  <c r="E115" i="12812"/>
  <c r="I115" i="12812" s="1"/>
  <c r="N115" i="12811" s="1"/>
  <c r="M36" i="12811"/>
  <c r="E36" i="12812"/>
  <c r="I36" i="12812" s="1"/>
  <c r="N36" i="12811" s="1"/>
  <c r="AC33" i="12775"/>
  <c r="H95" i="12811"/>
  <c r="I17" i="12811"/>
  <c r="K17" i="12811" s="1"/>
  <c r="AC13" i="12775"/>
  <c r="H36" i="12811"/>
  <c r="G103" i="12812"/>
  <c r="L66" i="12811"/>
  <c r="AC23" i="12775"/>
  <c r="G54" i="12811"/>
  <c r="M29" i="12811"/>
  <c r="M87" i="12811"/>
  <c r="M93" i="12811"/>
  <c r="M58" i="12811"/>
  <c r="M64" i="12811"/>
  <c r="M27" i="12811"/>
  <c r="M33" i="12811"/>
  <c r="M76" i="12811"/>
  <c r="M77" i="12811" s="1"/>
  <c r="I1273" i="12767"/>
  <c r="F1273" i="12767" s="1"/>
  <c r="M21" i="12811"/>
  <c r="M22" i="12811" s="1"/>
  <c r="M49" i="12811"/>
  <c r="M50" i="12811" s="1"/>
  <c r="M89" i="12811"/>
  <c r="M91" i="12811"/>
  <c r="M115" i="12811"/>
  <c r="M131" i="12811"/>
  <c r="M133" i="12811"/>
  <c r="M135" i="12811"/>
  <c r="AC44" i="12774"/>
  <c r="M95" i="12811"/>
  <c r="AC33" i="12774"/>
  <c r="M66" i="12811"/>
  <c r="AC23" i="12774"/>
  <c r="AC13" i="12774"/>
  <c r="L135" i="12811"/>
  <c r="AC44" i="12775"/>
  <c r="L115" i="12811"/>
  <c r="AC37" i="12775"/>
  <c r="H152" i="12813"/>
  <c r="H155" i="12813" s="1"/>
  <c r="H157" i="12813" s="1"/>
  <c r="J152" i="12813"/>
  <c r="L152" i="12813" s="1"/>
  <c r="D54" i="12811"/>
  <c r="G44" i="12812"/>
  <c r="J19" i="12811"/>
  <c r="J38" i="12811" s="1"/>
  <c r="J44" i="12811"/>
  <c r="J47" i="12811"/>
  <c r="M84" i="12811"/>
  <c r="M85" i="12811" s="1"/>
  <c r="M107" i="12811"/>
  <c r="M109" i="12811"/>
  <c r="M111" i="12811"/>
  <c r="M113" i="12811"/>
  <c r="M24" i="12811"/>
  <c r="M56" i="12811"/>
  <c r="M60" i="12811"/>
  <c r="M62" i="12811"/>
  <c r="M105" i="12811"/>
  <c r="G127" i="12812"/>
  <c r="G137" i="12812" s="1"/>
  <c r="H163" i="12813"/>
  <c r="I126" i="12812"/>
  <c r="N126" i="12811" s="1"/>
  <c r="G22" i="12812"/>
  <c r="D103" i="12811"/>
  <c r="G54" i="12812"/>
  <c r="G103" i="12811"/>
  <c r="G117" i="12811" s="1"/>
  <c r="D82" i="12811"/>
  <c r="M74" i="12811"/>
  <c r="G19" i="12811"/>
  <c r="G74" i="12811"/>
  <c r="M54" i="12811"/>
  <c r="M19" i="12811"/>
  <c r="I163" i="12813"/>
  <c r="M44" i="12811"/>
  <c r="D19" i="12811"/>
  <c r="G44" i="12811"/>
  <c r="G19" i="12812"/>
  <c r="D82" i="12812"/>
  <c r="G85" i="12811"/>
  <c r="M127" i="12811"/>
  <c r="I131" i="12812"/>
  <c r="J131" i="12812" s="1"/>
  <c r="L131" i="12812" s="1"/>
  <c r="M131" i="12812" s="1"/>
  <c r="N131" i="12812" s="1"/>
  <c r="N131" i="12811"/>
  <c r="G77" i="12811"/>
  <c r="J133" i="12812"/>
  <c r="L133" i="12812" s="1"/>
  <c r="M133" i="12812" s="1"/>
  <c r="N133" i="12812" s="1"/>
  <c r="G22" i="12811"/>
  <c r="D74" i="12811"/>
  <c r="G82" i="12811"/>
  <c r="M82" i="12811"/>
  <c r="D127" i="12811"/>
  <c r="D137" i="12811" s="1"/>
  <c r="D19" i="12812"/>
  <c r="D38" i="12812" s="1"/>
  <c r="D54" i="12812"/>
  <c r="G74" i="12812"/>
  <c r="G82" i="12812"/>
  <c r="N33" i="12811"/>
  <c r="J33" i="12812"/>
  <c r="D47" i="12812"/>
  <c r="J58" i="12812"/>
  <c r="J89" i="12812"/>
  <c r="J93" i="12812"/>
  <c r="J111" i="12812"/>
  <c r="G47" i="12811"/>
  <c r="G50" i="12811"/>
  <c r="G127" i="12811"/>
  <c r="G137" i="12811" s="1"/>
  <c r="J24" i="12812"/>
  <c r="D44" i="12812"/>
  <c r="J60" i="12812"/>
  <c r="J64" i="12812"/>
  <c r="J91" i="12812"/>
  <c r="J109" i="12812"/>
  <c r="J113" i="12812"/>
  <c r="F26" i="12812"/>
  <c r="I27" i="12812"/>
  <c r="F28" i="12812"/>
  <c r="F30" i="12812"/>
  <c r="F32" i="12812"/>
  <c r="F34" i="12812"/>
  <c r="F132" i="12812"/>
  <c r="J66" i="12812"/>
  <c r="D74" i="12812"/>
  <c r="J95" i="12812"/>
  <c r="D103" i="12812"/>
  <c r="D117" i="12812" s="1"/>
  <c r="D127" i="12812"/>
  <c r="D137" i="12812" s="1"/>
  <c r="J129" i="12812"/>
  <c r="J135" i="12812"/>
  <c r="F59" i="12812"/>
  <c r="I59" i="12812" s="1"/>
  <c r="F61" i="12812"/>
  <c r="I61" i="12812" s="1"/>
  <c r="J61" i="12812" s="1"/>
  <c r="G63" i="12812"/>
  <c r="I63" i="12812" s="1"/>
  <c r="F90" i="12812"/>
  <c r="I90" i="12812" s="1"/>
  <c r="G92" i="12812"/>
  <c r="I92" i="12812" s="1"/>
  <c r="J92" i="12812" s="1"/>
  <c r="I107" i="12812"/>
  <c r="F108" i="12812"/>
  <c r="I108" i="12812" s="1"/>
  <c r="J108" i="12812" s="1"/>
  <c r="F110" i="12812"/>
  <c r="I110" i="12812" s="1"/>
  <c r="G112" i="12812"/>
  <c r="I112" i="12812" s="1"/>
  <c r="J112" i="12812" s="1"/>
  <c r="I152" i="12813"/>
  <c r="I155" i="12813" s="1"/>
  <c r="I157" i="12813" s="1"/>
  <c r="O46" i="12849" l="1"/>
  <c r="Q46" i="12849" s="1"/>
  <c r="J155" i="12813"/>
  <c r="J157" i="12813" s="1"/>
  <c r="O46" i="12848"/>
  <c r="Q46" i="12848" s="1"/>
  <c r="S46" i="12848" s="1"/>
  <c r="F1279" i="12843"/>
  <c r="L1279" i="12843"/>
  <c r="P1279" i="12843" s="1"/>
  <c r="O46" i="12831"/>
  <c r="Q46" i="12831" s="1"/>
  <c r="S46" i="12831" s="1"/>
  <c r="O46" i="12783"/>
  <c r="K36" i="12811"/>
  <c r="L36" i="12811" s="1"/>
  <c r="K95" i="12811"/>
  <c r="L95" i="12811" s="1"/>
  <c r="J68" i="12811"/>
  <c r="J140" i="12811" s="1"/>
  <c r="I29" i="12812"/>
  <c r="N29" i="12811" s="1"/>
  <c r="D20" i="12810"/>
  <c r="D19" i="12810"/>
  <c r="N62" i="12811"/>
  <c r="D68" i="12811"/>
  <c r="J115" i="12812"/>
  <c r="L115" i="12812" s="1"/>
  <c r="M115" i="12812" s="1"/>
  <c r="N115" i="12812" s="1"/>
  <c r="D38" i="12811"/>
  <c r="E38" i="12811"/>
  <c r="E127" i="12811"/>
  <c r="E137" i="12811" s="1"/>
  <c r="J36" i="12812"/>
  <c r="L36" i="12812" s="1"/>
  <c r="M36" i="12812" s="1"/>
  <c r="O36" i="12811" s="1"/>
  <c r="P36" i="12811" s="1"/>
  <c r="Q36" i="12811" s="1"/>
  <c r="Q87" i="12811"/>
  <c r="L1273" i="12767"/>
  <c r="P1273" i="12767" s="1"/>
  <c r="X1273" i="12767" s="1"/>
  <c r="M38" i="12811"/>
  <c r="C16" i="12809" s="1"/>
  <c r="M137" i="12811"/>
  <c r="C20" i="12809" s="1"/>
  <c r="G38" i="12811"/>
  <c r="G38" i="12812"/>
  <c r="D117" i="12811"/>
  <c r="D97" i="12811"/>
  <c r="G68" i="12811"/>
  <c r="D97" i="12812"/>
  <c r="Q56" i="12811"/>
  <c r="M97" i="12811"/>
  <c r="C18" i="12809" s="1"/>
  <c r="M68" i="12811"/>
  <c r="C17" i="12809" s="1"/>
  <c r="M117" i="12811"/>
  <c r="C19" i="12809" s="1"/>
  <c r="J126" i="12812"/>
  <c r="L126" i="12812" s="1"/>
  <c r="M126" i="12812" s="1"/>
  <c r="Q105" i="12811"/>
  <c r="G97" i="12811"/>
  <c r="D68" i="12812"/>
  <c r="L92" i="12812"/>
  <c r="M92" i="12812" s="1"/>
  <c r="O92" i="12811" s="1"/>
  <c r="L61" i="12812"/>
  <c r="M61" i="12812" s="1"/>
  <c r="O61" i="12811" s="1"/>
  <c r="L112" i="12812"/>
  <c r="M112" i="12812" s="1"/>
  <c r="O112" i="12811" s="1"/>
  <c r="L108" i="12812"/>
  <c r="M108" i="12812" s="1"/>
  <c r="O108" i="12811" s="1"/>
  <c r="N110" i="12811"/>
  <c r="J107" i="12812"/>
  <c r="N107" i="12811"/>
  <c r="N90" i="12811"/>
  <c r="N63" i="12811"/>
  <c r="N59" i="12811"/>
  <c r="L129" i="12812"/>
  <c r="M129" i="12812" s="1"/>
  <c r="F150" i="12812"/>
  <c r="I34" i="12812"/>
  <c r="J31" i="12812"/>
  <c r="N27" i="12811"/>
  <c r="J27" i="12812"/>
  <c r="L33" i="12812"/>
  <c r="M33" i="12812" s="1"/>
  <c r="J90" i="12812"/>
  <c r="G97" i="12812"/>
  <c r="J63" i="12812"/>
  <c r="J59" i="12812"/>
  <c r="N105" i="12812"/>
  <c r="N87" i="12812"/>
  <c r="N56" i="12812"/>
  <c r="J110" i="12812"/>
  <c r="P105" i="12812"/>
  <c r="Q105" i="12812" s="1"/>
  <c r="G117" i="12812"/>
  <c r="P87" i="12812"/>
  <c r="Q87" i="12812" s="1"/>
  <c r="P56" i="12812"/>
  <c r="Q56" i="12812" s="1"/>
  <c r="G68" i="12812"/>
  <c r="F154" i="12812"/>
  <c r="N112" i="12811"/>
  <c r="N108" i="12811"/>
  <c r="N92" i="12811"/>
  <c r="N61" i="12811"/>
  <c r="P133" i="12812"/>
  <c r="Q133" i="12812" s="1"/>
  <c r="O133" i="12811"/>
  <c r="P133" i="12811" s="1"/>
  <c r="Q133" i="12811" s="1"/>
  <c r="P131" i="12812"/>
  <c r="Q131" i="12812" s="1"/>
  <c r="O131" i="12811"/>
  <c r="P131" i="12811" s="1"/>
  <c r="Q131" i="12811" s="1"/>
  <c r="L135" i="12812"/>
  <c r="M135" i="12812" s="1"/>
  <c r="N135" i="12812" s="1"/>
  <c r="L95" i="12812"/>
  <c r="M95" i="12812" s="1"/>
  <c r="N95" i="12812" s="1"/>
  <c r="L66" i="12812"/>
  <c r="M66" i="12812" s="1"/>
  <c r="N66" i="12812" s="1"/>
  <c r="I132" i="12812"/>
  <c r="N132" i="12811"/>
  <c r="F155" i="12812"/>
  <c r="I32" i="12812"/>
  <c r="N32" i="12811" s="1"/>
  <c r="I30" i="12812"/>
  <c r="I28" i="12812"/>
  <c r="F151" i="12812"/>
  <c r="I26" i="12812"/>
  <c r="L113" i="12812"/>
  <c r="M113" i="12812" s="1"/>
  <c r="N113" i="12812" s="1"/>
  <c r="L109" i="12812"/>
  <c r="M109" i="12812" s="1"/>
  <c r="N109" i="12812" s="1"/>
  <c r="L91" i="12812"/>
  <c r="M91" i="12812" s="1"/>
  <c r="N91" i="12812" s="1"/>
  <c r="L64" i="12812"/>
  <c r="M64" i="12812" s="1"/>
  <c r="N64" i="12812" s="1"/>
  <c r="L60" i="12812"/>
  <c r="M60" i="12812" s="1"/>
  <c r="N60" i="12812" s="1"/>
  <c r="L24" i="12812"/>
  <c r="M24" i="12812" s="1"/>
  <c r="N24" i="12812" s="1"/>
  <c r="L111" i="12812"/>
  <c r="M111" i="12812" s="1"/>
  <c r="L93" i="12812"/>
  <c r="M93" i="12812" s="1"/>
  <c r="L89" i="12812"/>
  <c r="M89" i="12812" s="1"/>
  <c r="L62" i="12812"/>
  <c r="M62" i="12812" s="1"/>
  <c r="L58" i="12812"/>
  <c r="M58" i="12812" s="1"/>
  <c r="F152" i="12812"/>
  <c r="J29" i="12812" l="1"/>
  <c r="L29" i="12812" s="1"/>
  <c r="M29" i="12812" s="1"/>
  <c r="D16" i="12810"/>
  <c r="D18" i="12810"/>
  <c r="D17" i="12810"/>
  <c r="N36" i="12812"/>
  <c r="P36" i="12812"/>
  <c r="Q36" i="12812" s="1"/>
  <c r="P112" i="12812"/>
  <c r="Q112" i="12812" s="1"/>
  <c r="P61" i="12811"/>
  <c r="Q61" i="12811" s="1"/>
  <c r="P108" i="12812"/>
  <c r="Q108" i="12812" s="1"/>
  <c r="D140" i="12811"/>
  <c r="D140" i="12812"/>
  <c r="P61" i="12812"/>
  <c r="Q61" i="12812" s="1"/>
  <c r="M140" i="12811"/>
  <c r="G140" i="12811"/>
  <c r="P108" i="12811"/>
  <c r="Q108" i="12811" s="1"/>
  <c r="P92" i="12811"/>
  <c r="Q92" i="12811" s="1"/>
  <c r="P92" i="12812"/>
  <c r="Q92" i="12812" s="1"/>
  <c r="P112" i="12811"/>
  <c r="Q112" i="12811" s="1"/>
  <c r="G140" i="12812"/>
  <c r="O58" i="12811"/>
  <c r="P58" i="12811" s="1"/>
  <c r="Q58" i="12811" s="1"/>
  <c r="P58" i="12812"/>
  <c r="Q58" i="12812" s="1"/>
  <c r="O62" i="12811"/>
  <c r="P62" i="12811" s="1"/>
  <c r="Q62" i="12811" s="1"/>
  <c r="P62" i="12812"/>
  <c r="Q62" i="12812" s="1"/>
  <c r="O89" i="12811"/>
  <c r="P89" i="12811" s="1"/>
  <c r="Q89" i="12811" s="1"/>
  <c r="P89" i="12812"/>
  <c r="Q89" i="12812" s="1"/>
  <c r="O93" i="12811"/>
  <c r="P93" i="12811" s="1"/>
  <c r="Q93" i="12811" s="1"/>
  <c r="P93" i="12812"/>
  <c r="Q93" i="12812" s="1"/>
  <c r="O111" i="12811"/>
  <c r="P111" i="12811" s="1"/>
  <c r="Q111" i="12811" s="1"/>
  <c r="P111" i="12812"/>
  <c r="Q111" i="12812" s="1"/>
  <c r="J132" i="12812"/>
  <c r="O126" i="12811"/>
  <c r="P126" i="12811" s="1"/>
  <c r="Q126" i="12811" s="1"/>
  <c r="P126" i="12812"/>
  <c r="Q126" i="12812" s="1"/>
  <c r="L59" i="12812"/>
  <c r="M59" i="12812" s="1"/>
  <c r="N59" i="12812" s="1"/>
  <c r="H44" i="12812"/>
  <c r="O33" i="12811"/>
  <c r="P33" i="12811" s="1"/>
  <c r="Q33" i="12811" s="1"/>
  <c r="P33" i="12812"/>
  <c r="Q33" i="12812" s="1"/>
  <c r="C21" i="12809"/>
  <c r="C25" i="12809" s="1"/>
  <c r="L27" i="12812"/>
  <c r="M27" i="12812" s="1"/>
  <c r="N27" i="12812" s="1"/>
  <c r="L31" i="12812"/>
  <c r="M31" i="12812" s="1"/>
  <c r="N34" i="12811"/>
  <c r="J34" i="12812"/>
  <c r="O129" i="12811"/>
  <c r="P129" i="12811" s="1"/>
  <c r="Q129" i="12811" s="1"/>
  <c r="P129" i="12812"/>
  <c r="Q129" i="12812" s="1"/>
  <c r="P24" i="12812"/>
  <c r="Q24" i="12812" s="1"/>
  <c r="O24" i="12811"/>
  <c r="P24" i="12811" s="1"/>
  <c r="Q24" i="12811" s="1"/>
  <c r="O60" i="12811"/>
  <c r="P60" i="12811" s="1"/>
  <c r="Q60" i="12811" s="1"/>
  <c r="P60" i="12812"/>
  <c r="Q60" i="12812" s="1"/>
  <c r="O64" i="12811"/>
  <c r="P64" i="12811" s="1"/>
  <c r="Q64" i="12811" s="1"/>
  <c r="P64" i="12812"/>
  <c r="Q64" i="12812" s="1"/>
  <c r="O91" i="12811"/>
  <c r="P91" i="12811" s="1"/>
  <c r="Q91" i="12811" s="1"/>
  <c r="P91" i="12812"/>
  <c r="Q91" i="12812" s="1"/>
  <c r="O109" i="12811"/>
  <c r="P109" i="12811" s="1"/>
  <c r="Q109" i="12811" s="1"/>
  <c r="P109" i="12812"/>
  <c r="Q109" i="12812" s="1"/>
  <c r="O113" i="12811"/>
  <c r="P113" i="12811" s="1"/>
  <c r="Q113" i="12811" s="1"/>
  <c r="P113" i="12812"/>
  <c r="Q113" i="12812" s="1"/>
  <c r="N26" i="12811"/>
  <c r="J26" i="12812"/>
  <c r="N28" i="12811"/>
  <c r="J28" i="12812"/>
  <c r="N30" i="12811"/>
  <c r="J30" i="12812"/>
  <c r="J32" i="12812"/>
  <c r="P66" i="12812"/>
  <c r="Q66" i="12812" s="1"/>
  <c r="O66" i="12811"/>
  <c r="P66" i="12811" s="1"/>
  <c r="Q66" i="12811" s="1"/>
  <c r="P95" i="12812"/>
  <c r="Q95" i="12812" s="1"/>
  <c r="O95" i="12811"/>
  <c r="P95" i="12811" s="1"/>
  <c r="Q95" i="12811" s="1"/>
  <c r="P135" i="12812"/>
  <c r="Q135" i="12812" s="1"/>
  <c r="O135" i="12811"/>
  <c r="P135" i="12811" s="1"/>
  <c r="Q135" i="12811" s="1"/>
  <c r="L110" i="12812"/>
  <c r="M110" i="12812" s="1"/>
  <c r="N110" i="12812" s="1"/>
  <c r="L63" i="12812"/>
  <c r="M63" i="12812" s="1"/>
  <c r="N63" i="12812" s="1"/>
  <c r="L90" i="12812"/>
  <c r="M90" i="12812" s="1"/>
  <c r="N90" i="12812" s="1"/>
  <c r="O115" i="12811"/>
  <c r="P115" i="12811" s="1"/>
  <c r="Q115" i="12811" s="1"/>
  <c r="P115" i="12812"/>
  <c r="Q115" i="12812" s="1"/>
  <c r="L107" i="12812"/>
  <c r="M107" i="12812" s="1"/>
  <c r="N107" i="12812" s="1"/>
  <c r="N58" i="12812"/>
  <c r="N62" i="12812"/>
  <c r="N89" i="12812"/>
  <c r="N93" i="12812"/>
  <c r="N111" i="12812"/>
  <c r="N126" i="12812"/>
  <c r="N33" i="12812"/>
  <c r="N129" i="12812"/>
  <c r="N108" i="12812"/>
  <c r="N112" i="12812"/>
  <c r="N61" i="12812"/>
  <c r="N92" i="12812"/>
  <c r="D21" i="12810" l="1"/>
  <c r="D25" i="12810" s="1"/>
  <c r="P31" i="12812"/>
  <c r="Q31" i="12812" s="1"/>
  <c r="O31" i="12811"/>
  <c r="P31" i="12811" s="1"/>
  <c r="Q31" i="12811" s="1"/>
  <c r="N29" i="12812"/>
  <c r="N31" i="12812"/>
  <c r="L28" i="12812"/>
  <c r="M28" i="12812" s="1"/>
  <c r="N28" i="12812" s="1"/>
  <c r="L34" i="12812"/>
  <c r="M34" i="12812" s="1"/>
  <c r="N34" i="12812" s="1"/>
  <c r="O107" i="12811"/>
  <c r="P107" i="12811" s="1"/>
  <c r="Q107" i="12811" s="1"/>
  <c r="P107" i="12812"/>
  <c r="Q107" i="12812" s="1"/>
  <c r="O29" i="12811"/>
  <c r="P29" i="12811" s="1"/>
  <c r="Q29" i="12811" s="1"/>
  <c r="P29" i="12812"/>
  <c r="Q29" i="12812" s="1"/>
  <c r="H19" i="12812"/>
  <c r="H38" i="12812" s="1"/>
  <c r="O90" i="12811"/>
  <c r="P90" i="12811" s="1"/>
  <c r="Q90" i="12811" s="1"/>
  <c r="P90" i="12812"/>
  <c r="Q90" i="12812" s="1"/>
  <c r="O63" i="12811"/>
  <c r="P63" i="12811" s="1"/>
  <c r="Q63" i="12811" s="1"/>
  <c r="P63" i="12812"/>
  <c r="Q63" i="12812" s="1"/>
  <c r="O110" i="12811"/>
  <c r="P110" i="12811" s="1"/>
  <c r="Q110" i="12811" s="1"/>
  <c r="P110" i="12812"/>
  <c r="Q110" i="12812" s="1"/>
  <c r="L32" i="12812"/>
  <c r="M32" i="12812" s="1"/>
  <c r="L30" i="12812"/>
  <c r="M30" i="12812" s="1"/>
  <c r="N30" i="12812" s="1"/>
  <c r="L26" i="12812"/>
  <c r="M26" i="12812" s="1"/>
  <c r="N26" i="12812" s="1"/>
  <c r="H47" i="12812"/>
  <c r="O27" i="12811"/>
  <c r="P27" i="12811" s="1"/>
  <c r="Q27" i="12811" s="1"/>
  <c r="P27" i="12812"/>
  <c r="Q27" i="12812" s="1"/>
  <c r="O59" i="12811"/>
  <c r="P59" i="12811" s="1"/>
  <c r="Q59" i="12811" s="1"/>
  <c r="P59" i="12812"/>
  <c r="Q59" i="12812" s="1"/>
  <c r="L132" i="12812"/>
  <c r="M132" i="12812" s="1"/>
  <c r="N132" i="12812" s="1"/>
  <c r="H68" i="12812"/>
  <c r="E17" i="12809" s="1"/>
  <c r="P32" i="12812" l="1"/>
  <c r="Q32" i="12812" s="1"/>
  <c r="O32" i="12811"/>
  <c r="P32" i="12811" s="1"/>
  <c r="Q32" i="12811" s="1"/>
  <c r="N32" i="12812"/>
  <c r="H140" i="12812"/>
  <c r="E16" i="12809"/>
  <c r="E21" i="12809" s="1"/>
  <c r="E25" i="12809" s="1"/>
  <c r="O28" i="12811"/>
  <c r="P28" i="12811" s="1"/>
  <c r="Q28" i="12811" s="1"/>
  <c r="P28" i="12812"/>
  <c r="Q28" i="12812" s="1"/>
  <c r="O132" i="12811"/>
  <c r="P132" i="12811" s="1"/>
  <c r="Q132" i="12811" s="1"/>
  <c r="P132" i="12812"/>
  <c r="Q132" i="12812" s="1"/>
  <c r="O26" i="12811"/>
  <c r="P26" i="12811" s="1"/>
  <c r="Q26" i="12811" s="1"/>
  <c r="P26" i="12812"/>
  <c r="Q26" i="12812" s="1"/>
  <c r="O30" i="12811"/>
  <c r="P30" i="12811" s="1"/>
  <c r="Q30" i="12811" s="1"/>
  <c r="P30" i="12812"/>
  <c r="Q30" i="12812" s="1"/>
  <c r="O34" i="12811"/>
  <c r="P34" i="12811" s="1"/>
  <c r="Q34" i="12811" s="1"/>
  <c r="P34" i="12812"/>
  <c r="Q34" i="12812" s="1"/>
  <c r="J1205" i="12767" l="1"/>
  <c r="J1210" i="12843" s="1"/>
  <c r="L1210" i="12843" l="1"/>
  <c r="J1211" i="12843"/>
  <c r="L1211" i="12843" s="1"/>
  <c r="L1166" i="12843" s="1"/>
  <c r="J1190" i="12767"/>
  <c r="J1194" i="12843" s="1"/>
  <c r="L1194" i="12843" s="1"/>
  <c r="J1189" i="12767"/>
  <c r="J1193" i="12843" s="1"/>
  <c r="L1193" i="12843" s="1"/>
  <c r="J1187" i="12767"/>
  <c r="J1191" i="12843" s="1"/>
  <c r="L1191" i="12843" s="1"/>
  <c r="J1181" i="12767" l="1"/>
  <c r="J1185" i="12843" s="1"/>
  <c r="L1185" i="12843" s="1"/>
  <c r="J1182" i="12767"/>
  <c r="J1186" i="12843" s="1"/>
  <c r="L1186" i="12843" s="1"/>
  <c r="J1183" i="12767"/>
  <c r="J1187" i="12843" s="1"/>
  <c r="L1187" i="12843" s="1"/>
  <c r="J1178" i="12767"/>
  <c r="J1182" i="12843" s="1"/>
  <c r="L1182" i="12843" s="1"/>
  <c r="L1167" i="12843" l="1"/>
  <c r="E94" i="12763" l="1"/>
  <c r="C896" i="12767"/>
  <c r="E76" i="12763" l="1"/>
  <c r="I94" i="12763"/>
  <c r="G38" i="12763"/>
  <c r="K38" i="12763" l="1"/>
  <c r="I81" i="12811" s="1"/>
  <c r="J38" i="12763"/>
  <c r="L38" i="12763" s="1"/>
  <c r="J1129" i="12767" l="1"/>
  <c r="J1131" i="12843" s="1"/>
  <c r="L1131" i="12843" s="1"/>
  <c r="J1130" i="12767"/>
  <c r="J1132" i="12843" s="1"/>
  <c r="L1132" i="12843" s="1"/>
  <c r="J1131" i="12767"/>
  <c r="J1133" i="12843" s="1"/>
  <c r="L1133" i="12843" s="1"/>
  <c r="J1132" i="12767"/>
  <c r="J1134" i="12843" s="1"/>
  <c r="L1134" i="12843" s="1"/>
  <c r="J1133" i="12767"/>
  <c r="J1135" i="12843" s="1"/>
  <c r="L1135" i="12843" s="1"/>
  <c r="J1134" i="12767"/>
  <c r="J1136" i="12843" s="1"/>
  <c r="L1136" i="12843" s="1"/>
  <c r="J1128" i="12767"/>
  <c r="J1130" i="12843" s="1"/>
  <c r="L1130" i="12843" s="1"/>
  <c r="J1113" i="12767"/>
  <c r="J1115" i="12843" s="1"/>
  <c r="L1115" i="12843" s="1"/>
  <c r="J1114" i="12767"/>
  <c r="J1116" i="12843" s="1"/>
  <c r="L1116" i="12843" s="1"/>
  <c r="J1115" i="12767"/>
  <c r="J1117" i="12843" s="1"/>
  <c r="L1117" i="12843" s="1"/>
  <c r="J1117" i="12767"/>
  <c r="J1119" i="12843" s="1"/>
  <c r="L1119" i="12843" s="1"/>
  <c r="J1118" i="12767"/>
  <c r="J1120" i="12843" s="1"/>
  <c r="L1120" i="12843" s="1"/>
  <c r="J1119" i="12767"/>
  <c r="J1121" i="12843" s="1"/>
  <c r="L1121" i="12843" s="1"/>
  <c r="J1120" i="12767"/>
  <c r="J1122" i="12843" s="1"/>
  <c r="L1122" i="12843" s="1"/>
  <c r="J1112" i="12767"/>
  <c r="J1114" i="12843" s="1"/>
  <c r="L1114" i="12843" s="1"/>
  <c r="AC89" i="12767" l="1"/>
  <c r="AB88" i="12767"/>
  <c r="J22" i="12767" l="1"/>
  <c r="J22" i="12843" s="1"/>
  <c r="J107" i="12767"/>
  <c r="J43" i="12843" l="1"/>
  <c r="L43" i="12843" s="1"/>
  <c r="J79" i="12843"/>
  <c r="L79" i="12843" s="1"/>
  <c r="J61" i="12843"/>
  <c r="L61" i="12843" s="1"/>
  <c r="V78" i="12767"/>
  <c r="X78" i="12767" s="1"/>
  <c r="V42" i="12767"/>
  <c r="X42" i="12767" s="1"/>
  <c r="V60" i="12767"/>
  <c r="X60" i="12767" s="1"/>
  <c r="R78" i="12767"/>
  <c r="T78" i="12767" s="1"/>
  <c r="R60" i="12767"/>
  <c r="T60" i="12767" s="1"/>
  <c r="N60" i="12767"/>
  <c r="P60" i="12767" s="1"/>
  <c r="R42" i="12767"/>
  <c r="T42" i="12767" s="1"/>
  <c r="N78" i="12767"/>
  <c r="P78" i="12767" s="1"/>
  <c r="N22" i="12767"/>
  <c r="N22" i="12843" s="1"/>
  <c r="N42" i="12767"/>
  <c r="P42" i="12767" s="1"/>
  <c r="AI42" i="12774"/>
  <c r="AI21" i="12774"/>
  <c r="AI40" i="12774"/>
  <c r="AI39" i="12774"/>
  <c r="AI38" i="12774"/>
  <c r="AI41" i="12774"/>
  <c r="AI29" i="12774"/>
  <c r="AI30" i="12774"/>
  <c r="AI19" i="12774"/>
  <c r="AI28" i="12774"/>
  <c r="AI35" i="12774"/>
  <c r="AI34" i="12774"/>
  <c r="AI27" i="12774"/>
  <c r="AI18" i="12774"/>
  <c r="AI26" i="12774"/>
  <c r="AI16" i="12774"/>
  <c r="AI25" i="12774"/>
  <c r="AI15" i="12774"/>
  <c r="AI24" i="12774"/>
  <c r="AI14" i="12774"/>
  <c r="AI31" i="12774"/>
  <c r="AI20" i="12774"/>
  <c r="AI10" i="12774"/>
  <c r="AI9" i="12774"/>
  <c r="AI8" i="12774"/>
  <c r="AI7" i="12774"/>
  <c r="AI6" i="12774"/>
  <c r="N61" i="12843" l="1"/>
  <c r="P61" i="12843" s="1"/>
  <c r="N79" i="12843"/>
  <c r="P79" i="12843" s="1"/>
  <c r="N43" i="12843"/>
  <c r="P43" i="12843" s="1"/>
  <c r="L22" i="12843"/>
  <c r="P15" i="12775"/>
  <c r="P9" i="12774"/>
  <c r="AJ9" i="12774" s="1"/>
  <c r="P7" i="12775"/>
  <c r="P39" i="12764" l="1"/>
  <c r="P27" i="12764"/>
  <c r="P26" i="12764"/>
  <c r="P11" i="12764"/>
  <c r="I1259" i="12767" l="1"/>
  <c r="I1258" i="12767"/>
  <c r="I1257" i="12767"/>
  <c r="I1255" i="12767"/>
  <c r="I1254" i="12767"/>
  <c r="I1252" i="12767"/>
  <c r="I1251" i="12767"/>
  <c r="I1250" i="12767"/>
  <c r="I1247" i="12767"/>
  <c r="I1246" i="12767"/>
  <c r="I1244" i="12767"/>
  <c r="I1243" i="12767"/>
  <c r="I1242" i="12767"/>
  <c r="I1239" i="12767"/>
  <c r="I1238" i="12767"/>
  <c r="I1235" i="12767"/>
  <c r="I1236" i="12767"/>
  <c r="I1234" i="12767"/>
  <c r="I1221" i="12767"/>
  <c r="I1219" i="12767"/>
  <c r="I1218" i="12767"/>
  <c r="L1176" i="12767" l="1"/>
  <c r="I1190" i="12767"/>
  <c r="I1189" i="12767"/>
  <c r="I1188" i="12767"/>
  <c r="I1187" i="12767"/>
  <c r="I1186" i="12767"/>
  <c r="I1179" i="12767"/>
  <c r="I1180" i="12767"/>
  <c r="I1181" i="12767"/>
  <c r="I1182" i="12767"/>
  <c r="I1183" i="12767"/>
  <c r="I1178" i="12767"/>
  <c r="I1193" i="12767"/>
  <c r="I1192" i="12767"/>
  <c r="L1205" i="12767"/>
  <c r="I1205" i="12767"/>
  <c r="L1149" i="12767"/>
  <c r="I1149" i="12767"/>
  <c r="I1148" i="12767"/>
  <c r="I1134" i="12767"/>
  <c r="I1133" i="12767"/>
  <c r="I1132" i="12767"/>
  <c r="I1131" i="12767"/>
  <c r="I1130" i="12767"/>
  <c r="I1129" i="12767"/>
  <c r="I1128" i="12767"/>
  <c r="I1113" i="12767"/>
  <c r="I1114" i="12767"/>
  <c r="I1115" i="12767"/>
  <c r="I1116" i="12767"/>
  <c r="I1117" i="12767"/>
  <c r="I1118" i="12767"/>
  <c r="I1119" i="12767"/>
  <c r="I1120" i="12767"/>
  <c r="I1121" i="12767"/>
  <c r="I1112" i="12767"/>
  <c r="C1074" i="12767"/>
  <c r="C1076" i="12767"/>
  <c r="C1077" i="12767"/>
  <c r="C1073" i="12767"/>
  <c r="F80" i="12811" s="1"/>
  <c r="E80" i="12811" s="1"/>
  <c r="C948" i="12767"/>
  <c r="C942" i="12767"/>
  <c r="C944" i="12767"/>
  <c r="C945" i="12767"/>
  <c r="C941" i="12767"/>
  <c r="C1081" i="12767"/>
  <c r="C1080" i="12767"/>
  <c r="C1078" i="12767"/>
  <c r="I948" i="12767"/>
  <c r="I942" i="12767"/>
  <c r="C989" i="12767"/>
  <c r="I987" i="12767"/>
  <c r="I986" i="12767"/>
  <c r="I984" i="12767"/>
  <c r="I983" i="12767"/>
  <c r="I982" i="12767"/>
  <c r="C981" i="12767"/>
  <c r="I980" i="12767"/>
  <c r="F980" i="12767"/>
  <c r="I979" i="12767"/>
  <c r="C1062" i="12767"/>
  <c r="C1061" i="12767"/>
  <c r="C1059" i="12767"/>
  <c r="C1058" i="12767"/>
  <c r="C1057" i="12767"/>
  <c r="C1055" i="12767"/>
  <c r="C1054" i="12767"/>
  <c r="I1037" i="12767"/>
  <c r="I1036" i="12767"/>
  <c r="C1038" i="12767"/>
  <c r="I1098" i="12767"/>
  <c r="I1099" i="12767"/>
  <c r="I1096" i="12767"/>
  <c r="I1095" i="12767"/>
  <c r="I1094" i="12767"/>
  <c r="I1092" i="12767"/>
  <c r="I1091" i="12767"/>
  <c r="I1025" i="12767"/>
  <c r="I1026" i="12767"/>
  <c r="I1023" i="12767"/>
  <c r="I1022" i="12767"/>
  <c r="I1021" i="12767"/>
  <c r="I1019" i="12767"/>
  <c r="I1018" i="12767"/>
  <c r="I968" i="12767"/>
  <c r="I969" i="12767"/>
  <c r="I966" i="12767"/>
  <c r="I965" i="12767"/>
  <c r="I964" i="12767"/>
  <c r="I962" i="12767"/>
  <c r="I961" i="12767"/>
  <c r="I891" i="12767"/>
  <c r="I848" i="12767"/>
  <c r="I869" i="12767"/>
  <c r="I847" i="12767"/>
  <c r="I842" i="12767"/>
  <c r="I841" i="12767"/>
  <c r="I840" i="12767"/>
  <c r="I839" i="12767"/>
  <c r="I838" i="12767"/>
  <c r="I836" i="12767"/>
  <c r="I831" i="12767"/>
  <c r="I830" i="12767"/>
  <c r="I829" i="12767"/>
  <c r="I827" i="12767"/>
  <c r="I795" i="12767"/>
  <c r="I794" i="12767"/>
  <c r="I789" i="12767"/>
  <c r="I788" i="12767"/>
  <c r="I787" i="12767"/>
  <c r="I786" i="12767"/>
  <c r="I785" i="12767"/>
  <c r="I783" i="12767"/>
  <c r="I778" i="12767"/>
  <c r="I777" i="12767"/>
  <c r="I776" i="12767"/>
  <c r="I774" i="12767"/>
  <c r="I652" i="12767"/>
  <c r="I689" i="12767"/>
  <c r="I686" i="12767"/>
  <c r="I683" i="12767"/>
  <c r="I670" i="12767"/>
  <c r="I694" i="12767"/>
  <c r="I692" i="12767"/>
  <c r="I687" i="12767"/>
  <c r="I684" i="12767"/>
  <c r="I682" i="12767"/>
  <c r="I656" i="12767"/>
  <c r="I651" i="12767"/>
  <c r="I649" i="12767"/>
  <c r="I648" i="12767"/>
  <c r="I646" i="12767"/>
  <c r="I645" i="12767"/>
  <c r="I644" i="12767"/>
  <c r="C393" i="12767"/>
  <c r="P1176" i="12767" l="1"/>
  <c r="X1176" i="12767" s="1"/>
  <c r="L1180" i="12843"/>
  <c r="X945" i="12767"/>
  <c r="T945" i="12767"/>
  <c r="X944" i="12767"/>
  <c r="X945" i="12843" s="1"/>
  <c r="T944" i="12767"/>
  <c r="T945" i="12843" s="1"/>
  <c r="T942" i="12767"/>
  <c r="X942" i="12767"/>
  <c r="X941" i="12767"/>
  <c r="X942" i="12843" s="1"/>
  <c r="T941" i="12767"/>
  <c r="T942" i="12843" s="1"/>
  <c r="C397" i="12767"/>
  <c r="I945" i="12767"/>
  <c r="F942" i="12767"/>
  <c r="X1162" i="12767"/>
  <c r="T1162" i="12767"/>
  <c r="I944" i="12767"/>
  <c r="I941" i="12767"/>
  <c r="C952" i="12767"/>
  <c r="P1162" i="12767"/>
  <c r="I1137" i="12767"/>
  <c r="I1073" i="12767"/>
  <c r="I1164" i="12767"/>
  <c r="I1074" i="12767"/>
  <c r="I1061" i="12767"/>
  <c r="I671" i="12767"/>
  <c r="I1055" i="12767"/>
  <c r="I1058" i="12767"/>
  <c r="I1062" i="12767"/>
  <c r="C1002" i="12767"/>
  <c r="F1002" i="12767" s="1"/>
  <c r="C1000" i="12767"/>
  <c r="C926" i="12767" s="1"/>
  <c r="C1004" i="12767"/>
  <c r="C930" i="12767" s="1"/>
  <c r="C946" i="12767"/>
  <c r="C928" i="12767" s="1"/>
  <c r="C997" i="12767"/>
  <c r="C923" i="12767" s="1"/>
  <c r="C1001" i="12767"/>
  <c r="C927" i="12767" s="1"/>
  <c r="C998" i="12767"/>
  <c r="C924" i="12767" s="1"/>
  <c r="C1005" i="12767"/>
  <c r="P1005" i="12767" s="1"/>
  <c r="P1007" i="12843" s="1"/>
  <c r="C949" i="12767"/>
  <c r="I1054" i="12767"/>
  <c r="I1057" i="12767"/>
  <c r="I1059" i="12767"/>
  <c r="I989" i="12767"/>
  <c r="C1075" i="12767"/>
  <c r="F1004" i="12767"/>
  <c r="F987" i="12767"/>
  <c r="F941" i="12767"/>
  <c r="F1040" i="12767"/>
  <c r="F1041" i="12767"/>
  <c r="F1043" i="12767"/>
  <c r="F1039" i="12767"/>
  <c r="F1001" i="12767"/>
  <c r="F982" i="12767"/>
  <c r="F983" i="12767"/>
  <c r="F984" i="12767"/>
  <c r="F986" i="12767"/>
  <c r="F944" i="12767"/>
  <c r="F945" i="12767"/>
  <c r="F948" i="12767"/>
  <c r="F979" i="12767"/>
  <c r="F1036" i="12767"/>
  <c r="F1037" i="12767"/>
  <c r="F1074" i="12767" s="1"/>
  <c r="I1039" i="12767"/>
  <c r="I1076" i="12767" s="1"/>
  <c r="I1040" i="12767"/>
  <c r="I1077" i="12767" s="1"/>
  <c r="I1041" i="12767"/>
  <c r="I1078" i="12767" s="1"/>
  <c r="I1043" i="12767"/>
  <c r="I1080" i="12767" s="1"/>
  <c r="I1044" i="12767"/>
  <c r="I1081" i="12767" s="1"/>
  <c r="C1046" i="12767"/>
  <c r="F1044" i="12767"/>
  <c r="I535" i="12767"/>
  <c r="I534" i="12767"/>
  <c r="I533" i="12767"/>
  <c r="I532" i="12767"/>
  <c r="I531" i="12767"/>
  <c r="I528" i="12767"/>
  <c r="I527" i="12767"/>
  <c r="I526" i="12767"/>
  <c r="I500" i="12767"/>
  <c r="I499" i="12767"/>
  <c r="I498" i="12767"/>
  <c r="I497" i="12767"/>
  <c r="I496" i="12767"/>
  <c r="I493" i="12767"/>
  <c r="I492" i="12767"/>
  <c r="I491" i="12767"/>
  <c r="I429" i="12767"/>
  <c r="I427" i="12767"/>
  <c r="I425" i="12767"/>
  <c r="I422" i="12767"/>
  <c r="I421" i="12767"/>
  <c r="I420" i="12767"/>
  <c r="I394" i="12767"/>
  <c r="I392" i="12767"/>
  <c r="I391" i="12767"/>
  <c r="I390" i="12767"/>
  <c r="I387" i="12767"/>
  <c r="I386" i="12767"/>
  <c r="I385" i="12767"/>
  <c r="I324" i="12767"/>
  <c r="I322" i="12767"/>
  <c r="I321" i="12767"/>
  <c r="I320" i="12767"/>
  <c r="I318" i="12767"/>
  <c r="I317" i="12767"/>
  <c r="I316" i="12767"/>
  <c r="I290" i="12767"/>
  <c r="I286" i="12767"/>
  <c r="I283" i="12767"/>
  <c r="I284" i="12767"/>
  <c r="I282" i="12767"/>
  <c r="I153" i="12767"/>
  <c r="I152" i="12767"/>
  <c r="I140" i="12767"/>
  <c r="I137" i="12767"/>
  <c r="I156" i="12767"/>
  <c r="I155" i="12767"/>
  <c r="I141" i="12767"/>
  <c r="I123" i="12767"/>
  <c r="I122" i="12767"/>
  <c r="I107" i="12767"/>
  <c r="P1180" i="12843" l="1"/>
  <c r="L1165" i="12843"/>
  <c r="P949" i="12767"/>
  <c r="C931" i="12767"/>
  <c r="C912" i="12767" s="1"/>
  <c r="T998" i="12767"/>
  <c r="X998" i="12767"/>
  <c r="X1001" i="12767"/>
  <c r="T1001" i="12767"/>
  <c r="T997" i="12767"/>
  <c r="X997" i="12767"/>
  <c r="X1000" i="12767"/>
  <c r="T1000" i="12767"/>
  <c r="F998" i="12767"/>
  <c r="I1001" i="12767"/>
  <c r="I927" i="12767" s="1"/>
  <c r="I908" i="12767" s="1"/>
  <c r="F1000" i="12767"/>
  <c r="I1005" i="12767"/>
  <c r="F946" i="12767"/>
  <c r="F949" i="12767"/>
  <c r="F997" i="12767"/>
  <c r="I1004" i="12767"/>
  <c r="I930" i="12767" s="1"/>
  <c r="I911" i="12767" s="1"/>
  <c r="C1006" i="12767"/>
  <c r="F1005" i="12767"/>
  <c r="F1077" i="12767"/>
  <c r="C908" i="12767"/>
  <c r="I215" i="12767"/>
  <c r="C1008" i="12767"/>
  <c r="C933" i="12767" s="1"/>
  <c r="F1081" i="12767"/>
  <c r="F1073" i="12767"/>
  <c r="I1000" i="12767"/>
  <c r="I926" i="12767" s="1"/>
  <c r="I907" i="12767" s="1"/>
  <c r="I214" i="12767"/>
  <c r="F1080" i="12767"/>
  <c r="I1002" i="12767"/>
  <c r="F1078" i="12767"/>
  <c r="F1076" i="12767"/>
  <c r="I213" i="12767"/>
  <c r="I221" i="12767"/>
  <c r="I217" i="12767"/>
  <c r="I949" i="12767"/>
  <c r="C905" i="12767"/>
  <c r="I998" i="12767"/>
  <c r="I924" i="12767" s="1"/>
  <c r="I905" i="12767" s="1"/>
  <c r="C904" i="12767"/>
  <c r="I997" i="12767"/>
  <c r="I923" i="12767" s="1"/>
  <c r="I904" i="12767" s="1"/>
  <c r="I946" i="12767"/>
  <c r="C911" i="12767"/>
  <c r="C909" i="12767"/>
  <c r="C907" i="12767"/>
  <c r="C1083" i="12767"/>
  <c r="F989" i="12767"/>
  <c r="I1046" i="12767"/>
  <c r="F1046" i="12767"/>
  <c r="I77" i="12767"/>
  <c r="I76" i="12767"/>
  <c r="I72" i="12767"/>
  <c r="I71" i="12767"/>
  <c r="I60" i="12767"/>
  <c r="I59" i="12767"/>
  <c r="I58" i="12767"/>
  <c r="I57" i="12767"/>
  <c r="I55" i="12767"/>
  <c r="I54" i="12767"/>
  <c r="I53" i="12767"/>
  <c r="I39" i="12767"/>
  <c r="I36" i="12767"/>
  <c r="I37" i="12767"/>
  <c r="I35" i="12767"/>
  <c r="I1206" i="12767"/>
  <c r="I1163" i="12767" s="1"/>
  <c r="I868" i="12767"/>
  <c r="I867" i="12767"/>
  <c r="I862" i="12767"/>
  <c r="I861" i="12767"/>
  <c r="I860" i="12767"/>
  <c r="I859" i="12767"/>
  <c r="I858" i="12767"/>
  <c r="I856" i="12767"/>
  <c r="I855" i="12767"/>
  <c r="I854" i="12767"/>
  <c r="I853" i="12767"/>
  <c r="I851" i="12767"/>
  <c r="I815" i="12767"/>
  <c r="I809" i="12767"/>
  <c r="I808" i="12767"/>
  <c r="I807" i="12767"/>
  <c r="I806" i="12767"/>
  <c r="I805" i="12767"/>
  <c r="I803" i="12767"/>
  <c r="I802" i="12767"/>
  <c r="I801" i="12767"/>
  <c r="I800" i="12767"/>
  <c r="I798" i="12767"/>
  <c r="I707" i="12767"/>
  <c r="I705" i="12767"/>
  <c r="I702" i="12767"/>
  <c r="I701" i="12767"/>
  <c r="I700" i="12767"/>
  <c r="I699" i="12767"/>
  <c r="I698" i="12767"/>
  <c r="I669" i="12767"/>
  <c r="I667" i="12767"/>
  <c r="I666" i="12767"/>
  <c r="I665" i="12767"/>
  <c r="I664" i="12767"/>
  <c r="I663" i="12767"/>
  <c r="I662" i="12767"/>
  <c r="I661" i="12767"/>
  <c r="I660" i="12767"/>
  <c r="I547" i="12767"/>
  <c r="I546" i="12767"/>
  <c r="I545" i="12767"/>
  <c r="I544" i="12767"/>
  <c r="I543" i="12767"/>
  <c r="I542" i="12767"/>
  <c r="I541" i="12767"/>
  <c r="I540" i="12767"/>
  <c r="I512" i="12767"/>
  <c r="I511" i="12767"/>
  <c r="I510" i="12767"/>
  <c r="I509" i="12767"/>
  <c r="I508" i="12767"/>
  <c r="I507" i="12767"/>
  <c r="I506" i="12767"/>
  <c r="I505" i="12767"/>
  <c r="I441" i="12767"/>
  <c r="I440" i="12767"/>
  <c r="I439" i="12767"/>
  <c r="I438" i="12767"/>
  <c r="I437" i="12767"/>
  <c r="I436" i="12767"/>
  <c r="I435" i="12767"/>
  <c r="I434" i="12767"/>
  <c r="I406" i="12767"/>
  <c r="I405" i="12767"/>
  <c r="I404" i="12767"/>
  <c r="I403" i="12767"/>
  <c r="I402" i="12767"/>
  <c r="I401" i="12767"/>
  <c r="I400" i="12767"/>
  <c r="I399" i="12767"/>
  <c r="I371" i="12767"/>
  <c r="I370" i="12767"/>
  <c r="I369" i="12767"/>
  <c r="I368" i="12767"/>
  <c r="I367" i="12767"/>
  <c r="I366" i="12767"/>
  <c r="I365" i="12767"/>
  <c r="I364" i="12767"/>
  <c r="I336" i="12767"/>
  <c r="I335" i="12767"/>
  <c r="I334" i="12767"/>
  <c r="I333" i="12767"/>
  <c r="I332" i="12767"/>
  <c r="I331" i="12767"/>
  <c r="I330" i="12767"/>
  <c r="I329" i="12767"/>
  <c r="I302" i="12767"/>
  <c r="I233" i="12767" s="1"/>
  <c r="I300" i="12767"/>
  <c r="I299" i="12767"/>
  <c r="I298" i="12767"/>
  <c r="I297" i="12767"/>
  <c r="I296" i="12767"/>
  <c r="I295" i="12767"/>
  <c r="I157" i="12767"/>
  <c r="I142" i="12767"/>
  <c r="I42" i="12767"/>
  <c r="X927" i="12767" l="1"/>
  <c r="X1003" i="12843"/>
  <c r="X928" i="12843" s="1"/>
  <c r="X909" i="12843" s="1"/>
  <c r="X923" i="12767"/>
  <c r="X904" i="12767" s="1"/>
  <c r="X999" i="12843"/>
  <c r="X924" i="12843" s="1"/>
  <c r="X905" i="12843" s="1"/>
  <c r="X924" i="12767"/>
  <c r="X905" i="12767" s="1"/>
  <c r="X1000" i="12843"/>
  <c r="X925" i="12843" s="1"/>
  <c r="X906" i="12843" s="1"/>
  <c r="T926" i="12767"/>
  <c r="T907" i="12767" s="1"/>
  <c r="T1002" i="12843"/>
  <c r="T927" i="12843" s="1"/>
  <c r="T908" i="12843" s="1"/>
  <c r="T927" i="12767"/>
  <c r="T1003" i="12843"/>
  <c r="T928" i="12843" s="1"/>
  <c r="T909" i="12843" s="1"/>
  <c r="X926" i="12767"/>
  <c r="X907" i="12767" s="1"/>
  <c r="X1002" i="12843"/>
  <c r="X927" i="12843" s="1"/>
  <c r="X908" i="12843" s="1"/>
  <c r="P931" i="12767"/>
  <c r="P912" i="12767" s="1"/>
  <c r="P950" i="12843"/>
  <c r="P932" i="12843" s="1"/>
  <c r="P913" i="12843" s="1"/>
  <c r="T923" i="12767"/>
  <c r="T904" i="12767" s="1"/>
  <c r="T999" i="12843"/>
  <c r="T924" i="12843" s="1"/>
  <c r="T905" i="12843" s="1"/>
  <c r="T924" i="12767"/>
  <c r="T905" i="12767" s="1"/>
  <c r="T1000" i="12843"/>
  <c r="T925" i="12843" s="1"/>
  <c r="T906" i="12843" s="1"/>
  <c r="I928" i="12767"/>
  <c r="I909" i="12767" s="1"/>
  <c r="F952" i="12767"/>
  <c r="I931" i="12767"/>
  <c r="I912" i="12767" s="1"/>
  <c r="F1008" i="12767"/>
  <c r="T1006" i="12767"/>
  <c r="T1008" i="12843" s="1"/>
  <c r="P1006" i="12767"/>
  <c r="P1008" i="12843" s="1"/>
  <c r="J1006" i="12767"/>
  <c r="J1008" i="12843" s="1"/>
  <c r="I1008" i="12767"/>
  <c r="I226" i="12767"/>
  <c r="I228" i="12767"/>
  <c r="I230" i="12767"/>
  <c r="I227" i="12767"/>
  <c r="I229" i="12767"/>
  <c r="I231" i="12767"/>
  <c r="I952" i="12767"/>
  <c r="I882" i="12767"/>
  <c r="I886" i="12767"/>
  <c r="I894" i="12767"/>
  <c r="I889" i="12767"/>
  <c r="I883" i="12767"/>
  <c r="I892" i="12767"/>
  <c r="I887" i="12767"/>
  <c r="I890" i="12767"/>
  <c r="I1083" i="12767"/>
  <c r="F1083" i="12767"/>
  <c r="I704" i="12767"/>
  <c r="I690" i="12767"/>
  <c r="I703" i="12767"/>
  <c r="I893" i="12767"/>
  <c r="I933" i="12767" l="1"/>
  <c r="J1047" i="12843"/>
  <c r="L1047" i="12843" s="1"/>
  <c r="L1008" i="12843"/>
  <c r="J1029" i="12843"/>
  <c r="L1029" i="12843" s="1"/>
  <c r="J1027" i="12767"/>
  <c r="L1027" i="12767" s="1"/>
  <c r="V1006" i="12767"/>
  <c r="V1008" i="12843" s="1"/>
  <c r="L1006" i="12767"/>
  <c r="J1045" i="12767"/>
  <c r="L1045" i="12767" s="1"/>
  <c r="P37" i="12764"/>
  <c r="I865" i="12767"/>
  <c r="I845" i="12767"/>
  <c r="I864" i="12767"/>
  <c r="I844" i="12767"/>
  <c r="I812" i="12767"/>
  <c r="I792" i="12767"/>
  <c r="I811" i="12767"/>
  <c r="I791" i="12767"/>
  <c r="V1029" i="12843" l="1"/>
  <c r="X1029" i="12843" s="1"/>
  <c r="V1047" i="12843"/>
  <c r="X1047" i="12843" s="1"/>
  <c r="X1006" i="12767"/>
  <c r="X1008" i="12843" s="1"/>
  <c r="V1045" i="12767"/>
  <c r="X1045" i="12767" s="1"/>
  <c r="V1027" i="12767"/>
  <c r="X1027" i="12767" s="1"/>
  <c r="R1027" i="12767"/>
  <c r="T1027" i="12767" s="1"/>
  <c r="R1045" i="12767"/>
  <c r="T1045" i="12767" s="1"/>
  <c r="K71" i="12764"/>
  <c r="G71" i="12764"/>
  <c r="E71" i="12764"/>
  <c r="T96" i="12764"/>
  <c r="K96" i="12764"/>
  <c r="G96" i="12764"/>
  <c r="T81" i="12764"/>
  <c r="P81" i="12764"/>
  <c r="K81" i="12764"/>
  <c r="E81" i="12764"/>
  <c r="T79" i="12764"/>
  <c r="T12" i="12764"/>
  <c r="V26" i="12764"/>
  <c r="U26" i="12764"/>
  <c r="R26" i="12764"/>
  <c r="G81" i="12764"/>
  <c r="N80" i="12763"/>
  <c r="I80" i="12763"/>
  <c r="E80" i="12763"/>
  <c r="N68" i="12763"/>
  <c r="I68" i="12763"/>
  <c r="E68" i="12763"/>
  <c r="E8" i="12785"/>
  <c r="Y20" i="12847" s="1"/>
  <c r="E9" i="12785"/>
  <c r="Y22" i="12847" s="1"/>
  <c r="E10" i="12785"/>
  <c r="Y24" i="12847" s="1"/>
  <c r="J763" i="12767"/>
  <c r="J764" i="12767"/>
  <c r="N764" i="12767" s="1"/>
  <c r="N765" i="12843" s="1"/>
  <c r="J630" i="12767"/>
  <c r="J631" i="12843" s="1"/>
  <c r="J631" i="12767"/>
  <c r="J197" i="12767"/>
  <c r="J198" i="12767"/>
  <c r="J199" i="12843" s="1"/>
  <c r="F408" i="12767"/>
  <c r="F407" i="12767"/>
  <c r="E15" i="12791"/>
  <c r="G15" i="12791" s="1"/>
  <c r="L122" i="12767"/>
  <c r="I124" i="12767"/>
  <c r="J137" i="12767"/>
  <c r="L137" i="12767" s="1"/>
  <c r="J152" i="12767"/>
  <c r="L152" i="12767" s="1"/>
  <c r="I154" i="12767"/>
  <c r="F107" i="12767"/>
  <c r="F110" i="12767"/>
  <c r="F111" i="12767"/>
  <c r="F114" i="12767"/>
  <c r="F122" i="12767"/>
  <c r="F123" i="12767"/>
  <c r="F124" i="12767"/>
  <c r="F125" i="12767"/>
  <c r="F126" i="12767"/>
  <c r="F127" i="12767"/>
  <c r="F137" i="12767"/>
  <c r="F140" i="12767"/>
  <c r="F141" i="12767"/>
  <c r="F142" i="12767"/>
  <c r="F152" i="12767"/>
  <c r="F153" i="12767"/>
  <c r="F154" i="12767"/>
  <c r="F155" i="12767"/>
  <c r="F156" i="12767"/>
  <c r="F157" i="12767"/>
  <c r="E16" i="12791"/>
  <c r="G16" i="12791" s="1"/>
  <c r="E17" i="12791"/>
  <c r="G17" i="12791" s="1"/>
  <c r="E19" i="12791"/>
  <c r="G19" i="12791" s="1"/>
  <c r="E20" i="12791"/>
  <c r="G20" i="12791" s="1"/>
  <c r="E21" i="12791"/>
  <c r="G21" i="12791" s="1"/>
  <c r="E23" i="12791"/>
  <c r="G23" i="12791" s="1"/>
  <c r="E24" i="12791"/>
  <c r="G24" i="12791" s="1"/>
  <c r="E25" i="12791"/>
  <c r="G25" i="12791" s="1"/>
  <c r="E27" i="12791"/>
  <c r="G27" i="12791" s="1"/>
  <c r="E28" i="12791"/>
  <c r="G28" i="12791" s="1"/>
  <c r="E29" i="12791"/>
  <c r="G29" i="12791" s="1"/>
  <c r="L1091" i="12767"/>
  <c r="L1094" i="12767"/>
  <c r="D32" i="12774"/>
  <c r="E32" i="12774"/>
  <c r="F32" i="12774"/>
  <c r="G32" i="12774"/>
  <c r="G45" i="12774" s="1"/>
  <c r="H32" i="12774"/>
  <c r="I32" i="12774"/>
  <c r="J32" i="12774"/>
  <c r="K32" i="12774"/>
  <c r="K45" i="12774" s="1"/>
  <c r="L32" i="12774"/>
  <c r="M32" i="12774"/>
  <c r="N32" i="12774"/>
  <c r="O32" i="12774"/>
  <c r="O45" i="12774" s="1"/>
  <c r="L891" i="12767"/>
  <c r="F493" i="12767"/>
  <c r="F491" i="12767"/>
  <c r="F492" i="12767"/>
  <c r="F496" i="12767"/>
  <c r="F509" i="12767"/>
  <c r="F499" i="12767"/>
  <c r="F500" i="12767"/>
  <c r="F511" i="12767"/>
  <c r="F512" i="12767"/>
  <c r="F528" i="12767"/>
  <c r="F526" i="12767"/>
  <c r="F527" i="12767"/>
  <c r="F531" i="12767"/>
  <c r="F532" i="12767"/>
  <c r="F533" i="12767"/>
  <c r="F534" i="12767"/>
  <c r="F535" i="12767"/>
  <c r="F541" i="12767"/>
  <c r="F284" i="12767"/>
  <c r="F329" i="12767"/>
  <c r="F317" i="12767"/>
  <c r="F318" i="12767"/>
  <c r="F332" i="12767"/>
  <c r="F321" i="12767"/>
  <c r="F334" i="12767"/>
  <c r="F335" i="12767"/>
  <c r="F336" i="12767"/>
  <c r="F330" i="12767"/>
  <c r="F333" i="12767"/>
  <c r="F399" i="12767"/>
  <c r="F386" i="12767"/>
  <c r="F387" i="12767"/>
  <c r="F390" i="12767"/>
  <c r="F403" i="12767"/>
  <c r="F404" i="12767"/>
  <c r="F405" i="12767"/>
  <c r="F394" i="12767"/>
  <c r="F406" i="12767"/>
  <c r="F420" i="12767"/>
  <c r="F421" i="12767"/>
  <c r="F422" i="12767"/>
  <c r="F425" i="12767"/>
  <c r="I426" i="12767"/>
  <c r="F427" i="12767"/>
  <c r="F440" i="12767"/>
  <c r="F429" i="12767"/>
  <c r="F435" i="12767"/>
  <c r="F439" i="12767"/>
  <c r="D22" i="12774"/>
  <c r="E22" i="12774"/>
  <c r="F22" i="12774"/>
  <c r="F45" i="12774" s="1"/>
  <c r="G22" i="12774"/>
  <c r="H22" i="12774"/>
  <c r="I22" i="12774"/>
  <c r="J22" i="12774"/>
  <c r="J45" i="12774" s="1"/>
  <c r="K22" i="12774"/>
  <c r="L22" i="12774"/>
  <c r="M22" i="12774"/>
  <c r="N22" i="12774"/>
  <c r="N45" i="12774" s="1"/>
  <c r="O22" i="12774"/>
  <c r="F660" i="12767"/>
  <c r="F646" i="12767"/>
  <c r="F664" i="12767"/>
  <c r="F698" i="12767"/>
  <c r="F682" i="12767"/>
  <c r="F700" i="12767"/>
  <c r="F702" i="12767"/>
  <c r="F689" i="12767"/>
  <c r="F690" i="12767"/>
  <c r="F692" i="12767"/>
  <c r="F694" i="12767"/>
  <c r="F701" i="12767"/>
  <c r="F704" i="12767"/>
  <c r="I706" i="12767"/>
  <c r="C631" i="12767"/>
  <c r="F774" i="12767"/>
  <c r="F800" i="12767"/>
  <c r="F802" i="12767"/>
  <c r="F806" i="12767"/>
  <c r="F807" i="12767"/>
  <c r="F788" i="12767"/>
  <c r="F789" i="12767"/>
  <c r="F814" i="12767"/>
  <c r="F815" i="12767"/>
  <c r="F801" i="12767"/>
  <c r="F809" i="12767"/>
  <c r="F827" i="12767"/>
  <c r="F829" i="12767"/>
  <c r="F830" i="12767"/>
  <c r="F831" i="12767"/>
  <c r="F836" i="12767"/>
  <c r="F858" i="12767"/>
  <c r="F859" i="12767"/>
  <c r="F840" i="12767"/>
  <c r="F841" i="12767"/>
  <c r="F842" i="12767"/>
  <c r="F867" i="12767"/>
  <c r="F868" i="12767"/>
  <c r="F851" i="12767"/>
  <c r="F856" i="12767"/>
  <c r="F861" i="12767"/>
  <c r="I870" i="12767"/>
  <c r="D36" i="12774"/>
  <c r="D45" i="12774" s="1"/>
  <c r="E36" i="12774"/>
  <c r="F36" i="12774"/>
  <c r="G36" i="12774"/>
  <c r="H36" i="12774"/>
  <c r="I36" i="12774"/>
  <c r="J36" i="12774"/>
  <c r="K36" i="12774"/>
  <c r="L36" i="12774"/>
  <c r="L45" i="12774" s="1"/>
  <c r="M36" i="12774"/>
  <c r="N36" i="12774"/>
  <c r="O36" i="12774"/>
  <c r="F882" i="12767"/>
  <c r="F883" i="12767"/>
  <c r="F885" i="12767"/>
  <c r="F886" i="12767"/>
  <c r="F887" i="12767"/>
  <c r="F889" i="12767"/>
  <c r="F891" i="12767"/>
  <c r="F892" i="12767"/>
  <c r="F893" i="12767"/>
  <c r="F1091" i="12767"/>
  <c r="F1092" i="12767"/>
  <c r="F1094" i="12767"/>
  <c r="F1095" i="12767"/>
  <c r="F1096" i="12767"/>
  <c r="F1098" i="12767"/>
  <c r="F1099" i="12767"/>
  <c r="F1218" i="12767"/>
  <c r="F1219" i="12767"/>
  <c r="F1221" i="12767"/>
  <c r="F35" i="12767"/>
  <c r="F37" i="12767"/>
  <c r="I40" i="12767"/>
  <c r="I41" i="12767"/>
  <c r="F42" i="12767"/>
  <c r="F53" i="12767"/>
  <c r="F54" i="12767"/>
  <c r="F57" i="12767"/>
  <c r="F72" i="12767"/>
  <c r="F77" i="12767"/>
  <c r="I78" i="12767"/>
  <c r="F1112" i="12767"/>
  <c r="F1113" i="12767"/>
  <c r="F1114" i="12767"/>
  <c r="F1115" i="12767"/>
  <c r="F1116" i="12767"/>
  <c r="F1117" i="12767"/>
  <c r="F1118" i="12767"/>
  <c r="F1119" i="12767"/>
  <c r="F1120" i="12767"/>
  <c r="F1121" i="12767"/>
  <c r="F1128" i="12767"/>
  <c r="F1129" i="12767"/>
  <c r="D43" i="12774"/>
  <c r="E43" i="12774"/>
  <c r="F43" i="12774"/>
  <c r="G43" i="12774"/>
  <c r="H43" i="12774"/>
  <c r="I43" i="12774"/>
  <c r="J43" i="12774"/>
  <c r="K43" i="12774"/>
  <c r="L43" i="12774"/>
  <c r="M43" i="12774"/>
  <c r="N43" i="12774"/>
  <c r="O43" i="12774"/>
  <c r="F1148" i="12767"/>
  <c r="F1149" i="12767"/>
  <c r="F1205" i="12767"/>
  <c r="F1178" i="12767"/>
  <c r="F1179" i="12767"/>
  <c r="F1180" i="12767"/>
  <c r="F1181" i="12767"/>
  <c r="F1182" i="12767"/>
  <c r="F1183" i="12767"/>
  <c r="F1186" i="12767"/>
  <c r="F1187" i="12767"/>
  <c r="F1188" i="12767"/>
  <c r="F1189" i="12767"/>
  <c r="F1190" i="12767"/>
  <c r="F1234" i="12767"/>
  <c r="F1235" i="12767"/>
  <c r="F1236" i="12767"/>
  <c r="F1238" i="12767"/>
  <c r="F1239" i="12767"/>
  <c r="F1242" i="12767"/>
  <c r="F1243" i="12767"/>
  <c r="F1244" i="12767"/>
  <c r="F1246" i="12767"/>
  <c r="F1247" i="12767"/>
  <c r="F1250" i="12767"/>
  <c r="F1251" i="12767"/>
  <c r="F1252" i="12767"/>
  <c r="F1254" i="12767"/>
  <c r="F1255" i="12767"/>
  <c r="F1257" i="12767"/>
  <c r="F1258" i="12767"/>
  <c r="F1259" i="12767"/>
  <c r="C24" i="12767"/>
  <c r="C354" i="12767"/>
  <c r="C460" i="12767"/>
  <c r="C602" i="12767"/>
  <c r="C603" i="12767"/>
  <c r="C604" i="12767"/>
  <c r="F101" i="12811"/>
  <c r="C832" i="12767"/>
  <c r="F102" i="12811" s="1"/>
  <c r="E102" i="12811" s="1"/>
  <c r="C884" i="12767"/>
  <c r="C963" i="12767"/>
  <c r="C1020" i="12767"/>
  <c r="C999" i="12767" s="1"/>
  <c r="C1093" i="12767"/>
  <c r="C1165" i="12767"/>
  <c r="C1220" i="12767"/>
  <c r="J583" i="12767"/>
  <c r="L583" i="12767" s="1"/>
  <c r="C971" i="12767"/>
  <c r="C950" i="12767" s="1"/>
  <c r="C1028" i="12767"/>
  <c r="C1102" i="12767"/>
  <c r="D32" i="12775"/>
  <c r="E32" i="12775"/>
  <c r="F32" i="12775"/>
  <c r="G32" i="12775"/>
  <c r="H32" i="12775"/>
  <c r="I32" i="12775"/>
  <c r="J32" i="12775"/>
  <c r="K32" i="12775"/>
  <c r="L32" i="12775"/>
  <c r="M32" i="12775"/>
  <c r="N32" i="12775"/>
  <c r="O32" i="12775"/>
  <c r="B19" i="12783"/>
  <c r="B22" i="12783" s="1"/>
  <c r="B23" i="12783" s="1"/>
  <c r="F965" i="12767"/>
  <c r="F961" i="12767"/>
  <c r="C518" i="12767"/>
  <c r="C553" i="12767"/>
  <c r="J774" i="12767"/>
  <c r="L774" i="12767" s="1"/>
  <c r="J776" i="12767"/>
  <c r="L776" i="12767" s="1"/>
  <c r="J829" i="12767"/>
  <c r="L829" i="12767" s="1"/>
  <c r="I723" i="12767"/>
  <c r="I724" i="12767"/>
  <c r="C872" i="12767"/>
  <c r="I729" i="12767" s="1"/>
  <c r="I735" i="12767"/>
  <c r="C819" i="12767"/>
  <c r="C712" i="12767"/>
  <c r="L1192" i="12767"/>
  <c r="J1206" i="12767"/>
  <c r="L1206" i="12767" s="1"/>
  <c r="L1178" i="12767"/>
  <c r="L1179" i="12767"/>
  <c r="L1180" i="12767"/>
  <c r="L1181" i="12767"/>
  <c r="L1182" i="12767"/>
  <c r="L1183" i="12767"/>
  <c r="L1186" i="12767"/>
  <c r="L1187" i="12767"/>
  <c r="L1188" i="12767"/>
  <c r="L1189" i="12767"/>
  <c r="L1190" i="12767"/>
  <c r="F1026" i="12767"/>
  <c r="F968" i="12767"/>
  <c r="F969" i="12767"/>
  <c r="C33" i="12787"/>
  <c r="D33" i="12787" s="1"/>
  <c r="C50" i="12787"/>
  <c r="C67" i="12787"/>
  <c r="C59" i="12787"/>
  <c r="D50" i="12787" s="1"/>
  <c r="C76" i="12787"/>
  <c r="E33" i="12787"/>
  <c r="E50" i="12787"/>
  <c r="G50" i="12787" s="1"/>
  <c r="E67" i="12787"/>
  <c r="E34" i="12787"/>
  <c r="C34" i="12787"/>
  <c r="E35" i="12787"/>
  <c r="G35" i="12787" s="1"/>
  <c r="E37" i="12787"/>
  <c r="C37" i="12787"/>
  <c r="E38" i="12787"/>
  <c r="C38" i="12787"/>
  <c r="E39" i="12787"/>
  <c r="C39" i="12787"/>
  <c r="G39" i="12787" s="1"/>
  <c r="E40" i="12787"/>
  <c r="C40" i="12787"/>
  <c r="E51" i="12787"/>
  <c r="C51" i="12787"/>
  <c r="E52" i="12787"/>
  <c r="C52" i="12787"/>
  <c r="E54" i="12787"/>
  <c r="C54" i="12787"/>
  <c r="E55" i="12787"/>
  <c r="C55" i="12787"/>
  <c r="E56" i="12787"/>
  <c r="C56" i="12787"/>
  <c r="E57" i="12787"/>
  <c r="C57" i="12787"/>
  <c r="D57" i="12787" s="1"/>
  <c r="E68" i="12787"/>
  <c r="C68" i="12787"/>
  <c r="G68" i="12787" s="1"/>
  <c r="E69" i="12787"/>
  <c r="C69" i="12787"/>
  <c r="E71" i="12787"/>
  <c r="C71" i="12787"/>
  <c r="E72" i="12787"/>
  <c r="C72" i="12787"/>
  <c r="E73" i="12787"/>
  <c r="C73" i="12787"/>
  <c r="E74" i="12787"/>
  <c r="C74" i="12787"/>
  <c r="D34" i="12787"/>
  <c r="D35" i="12787"/>
  <c r="I23" i="12787"/>
  <c r="I40" i="12787" s="1"/>
  <c r="C58" i="12787"/>
  <c r="C75" i="12787"/>
  <c r="D24" i="12787"/>
  <c r="D25" i="12787"/>
  <c r="D27" i="12787" s="1"/>
  <c r="E22" i="12775"/>
  <c r="F22" i="12775"/>
  <c r="G22" i="12775"/>
  <c r="H22" i="12775"/>
  <c r="I22" i="12775"/>
  <c r="J22" i="12775"/>
  <c r="K22" i="12775"/>
  <c r="L22" i="12775"/>
  <c r="M22" i="12775"/>
  <c r="N22" i="12775"/>
  <c r="O22" i="12775"/>
  <c r="D44" i="12787"/>
  <c r="D61" i="12787"/>
  <c r="D78" i="12787"/>
  <c r="C96" i="12787"/>
  <c r="C109" i="12787"/>
  <c r="D96" i="12787"/>
  <c r="D83" i="12787" s="1"/>
  <c r="M83" i="12787" s="1"/>
  <c r="E96" i="12787"/>
  <c r="E109" i="12787"/>
  <c r="E122" i="12787"/>
  <c r="G122" i="12787" s="1"/>
  <c r="E135" i="12787"/>
  <c r="G135" i="12787" s="1"/>
  <c r="I96" i="12787"/>
  <c r="I109" i="12787"/>
  <c r="I122" i="12787"/>
  <c r="K122" i="12787" s="1"/>
  <c r="I135" i="12787"/>
  <c r="K135" i="12787" s="1"/>
  <c r="O83" i="12787"/>
  <c r="C110" i="12787"/>
  <c r="C111" i="12787" s="1"/>
  <c r="D97" i="12787"/>
  <c r="D84" i="12787" s="1"/>
  <c r="E97" i="12787"/>
  <c r="E123" i="12787"/>
  <c r="H123" i="12787" s="1"/>
  <c r="E110" i="12787"/>
  <c r="G110" i="12787" s="1"/>
  <c r="E136" i="12787"/>
  <c r="G136" i="12787" s="1"/>
  <c r="I97" i="12787"/>
  <c r="I123" i="12787"/>
  <c r="I110" i="12787"/>
  <c r="K110" i="12787" s="1"/>
  <c r="I136" i="12787"/>
  <c r="K136" i="12787" s="1"/>
  <c r="O84" i="12787"/>
  <c r="Q84" i="12787"/>
  <c r="C137" i="12787"/>
  <c r="C141" i="12787" s="1"/>
  <c r="E98" i="12787"/>
  <c r="E124" i="12787"/>
  <c r="H124" i="12787" s="1"/>
  <c r="E111" i="12787"/>
  <c r="H111" i="12787" s="1"/>
  <c r="E137" i="12787"/>
  <c r="G137" i="12787" s="1"/>
  <c r="H137" i="12787"/>
  <c r="I85" i="12787"/>
  <c r="I98" i="12787" s="1"/>
  <c r="C86" i="12787"/>
  <c r="D86" i="12787"/>
  <c r="E99" i="12787"/>
  <c r="G99" i="12787" s="1"/>
  <c r="E112" i="12787"/>
  <c r="G112" i="12787" s="1"/>
  <c r="E125" i="12787"/>
  <c r="G125" i="12787" s="1"/>
  <c r="E138" i="12787"/>
  <c r="G138" i="12787" s="1"/>
  <c r="I99" i="12787"/>
  <c r="K99" i="12787" s="1"/>
  <c r="I112" i="12787"/>
  <c r="K112" i="12787" s="1"/>
  <c r="I125" i="12787"/>
  <c r="K125" i="12787" s="1"/>
  <c r="I138" i="12787"/>
  <c r="K138" i="12787" s="1"/>
  <c r="M86" i="12787"/>
  <c r="O86" i="12787"/>
  <c r="C87" i="12787"/>
  <c r="D87" i="12787"/>
  <c r="E100" i="12787"/>
  <c r="G100" i="12787" s="1"/>
  <c r="E113" i="12787"/>
  <c r="G113" i="12787" s="1"/>
  <c r="E126" i="12787"/>
  <c r="G126" i="12787" s="1"/>
  <c r="E139" i="12787"/>
  <c r="G139" i="12787" s="1"/>
  <c r="I87" i="12787"/>
  <c r="I100" i="12787" s="1"/>
  <c r="K100" i="12787" s="1"/>
  <c r="C88" i="12787"/>
  <c r="D88" i="12787"/>
  <c r="I88" i="12787"/>
  <c r="O88" i="12787" s="1"/>
  <c r="I127" i="12787"/>
  <c r="K127" i="12787" s="1"/>
  <c r="D90" i="12787"/>
  <c r="H90" i="12787"/>
  <c r="D117" i="12787"/>
  <c r="D130" i="12787"/>
  <c r="D143" i="12787"/>
  <c r="C149" i="12787"/>
  <c r="C387" i="12787"/>
  <c r="D384" i="12787" s="1"/>
  <c r="E384" i="12787"/>
  <c r="G384" i="12787" s="1"/>
  <c r="E413" i="12787"/>
  <c r="G413" i="12787" s="1"/>
  <c r="D413" i="12787"/>
  <c r="H413" i="12787" s="1"/>
  <c r="I149" i="12787"/>
  <c r="O149" i="12787" s="1"/>
  <c r="I413" i="12787"/>
  <c r="K413" i="12787" s="1"/>
  <c r="C356" i="12787"/>
  <c r="C150" i="12787" s="1"/>
  <c r="D385" i="12787"/>
  <c r="D414" i="12787"/>
  <c r="E385" i="12787"/>
  <c r="G385" i="12787" s="1"/>
  <c r="E414" i="12787"/>
  <c r="G414" i="12787" s="1"/>
  <c r="I154" i="12787"/>
  <c r="I150" i="12787" s="1"/>
  <c r="E211" i="12787"/>
  <c r="H211" i="12787" s="1"/>
  <c r="E239" i="12787"/>
  <c r="E249" i="12787" s="1"/>
  <c r="G249" i="12787" s="1"/>
  <c r="C239" i="12787"/>
  <c r="C240" i="12787"/>
  <c r="E296" i="12787"/>
  <c r="C300" i="12787"/>
  <c r="C271" i="12787" s="1"/>
  <c r="C296" i="12787"/>
  <c r="E325" i="12787"/>
  <c r="G325" i="12787" s="1"/>
  <c r="D325" i="12787"/>
  <c r="E212" i="12787"/>
  <c r="H212" i="12787" s="1"/>
  <c r="E240" i="12787"/>
  <c r="E297" i="12787"/>
  <c r="H297" i="12787" s="1"/>
  <c r="E326" i="12787"/>
  <c r="E337" i="12787" s="1"/>
  <c r="G337" i="12787" s="1"/>
  <c r="I211" i="12787"/>
  <c r="C211" i="12787"/>
  <c r="I239" i="12787"/>
  <c r="I249" i="12787" s="1"/>
  <c r="K249" i="12787" s="1"/>
  <c r="I296" i="12787"/>
  <c r="I325" i="12787"/>
  <c r="K325" i="12787" s="1"/>
  <c r="C212" i="12787"/>
  <c r="C214" i="12787" s="1"/>
  <c r="C357" i="12787"/>
  <c r="C151" i="12787" s="1"/>
  <c r="C390" i="12787"/>
  <c r="C361" i="12787" s="1"/>
  <c r="C391" i="12787"/>
  <c r="C362" i="12787" s="1"/>
  <c r="E386" i="12787"/>
  <c r="G386" i="12787" s="1"/>
  <c r="E415" i="12787"/>
  <c r="I386" i="12787"/>
  <c r="K386" i="12787" s="1"/>
  <c r="I415" i="12787"/>
  <c r="K415" i="12787" s="1"/>
  <c r="O151" i="12787"/>
  <c r="C213" i="12787"/>
  <c r="E213" i="12787"/>
  <c r="E241" i="12787"/>
  <c r="E251" i="12787" s="1"/>
  <c r="G251" i="12787" s="1"/>
  <c r="C244" i="12787"/>
  <c r="C245" i="12787"/>
  <c r="C241" i="12787"/>
  <c r="E298" i="12787"/>
  <c r="E309" i="12787" s="1"/>
  <c r="G309" i="12787" s="1"/>
  <c r="E327" i="12787"/>
  <c r="H327" i="12787" s="1"/>
  <c r="I213" i="12787"/>
  <c r="I241" i="12787"/>
  <c r="K241" i="12787" s="1"/>
  <c r="I298" i="12787"/>
  <c r="K298" i="12787" s="1"/>
  <c r="I327" i="12787"/>
  <c r="K327" i="12787" s="1"/>
  <c r="E216" i="12787"/>
  <c r="E225" i="12787" s="1"/>
  <c r="E244" i="12787"/>
  <c r="E302" i="12787"/>
  <c r="E311" i="12787" s="1"/>
  <c r="G311" i="12787" s="1"/>
  <c r="C302" i="12787"/>
  <c r="C303" i="12787"/>
  <c r="E331" i="12787"/>
  <c r="C331" i="12787"/>
  <c r="C333" i="12787" s="1"/>
  <c r="E390" i="12787"/>
  <c r="G390" i="12787" s="1"/>
  <c r="E419" i="12787"/>
  <c r="G419" i="12787" s="1"/>
  <c r="C434" i="12787"/>
  <c r="D421" i="12787" s="1"/>
  <c r="E217" i="12787"/>
  <c r="E226" i="12787" s="1"/>
  <c r="G226" i="12787" s="1"/>
  <c r="E245" i="12787"/>
  <c r="E303" i="12787"/>
  <c r="E312" i="12787" s="1"/>
  <c r="G312" i="12787" s="1"/>
  <c r="E332" i="12787"/>
  <c r="H332" i="12787" s="1"/>
  <c r="E189" i="12787"/>
  <c r="E391" i="12787" s="1"/>
  <c r="G391" i="12787" s="1"/>
  <c r="E218" i="12787"/>
  <c r="E246" i="12787"/>
  <c r="E304" i="12787"/>
  <c r="E333" i="12787"/>
  <c r="H333" i="12787" s="1"/>
  <c r="E392" i="12787"/>
  <c r="E401" i="12787" s="1"/>
  <c r="G401" i="12787" s="1"/>
  <c r="E421" i="12787"/>
  <c r="G421" i="12787" s="1"/>
  <c r="I216" i="12787"/>
  <c r="I225" i="12787" s="1"/>
  <c r="I244" i="12787"/>
  <c r="K244" i="12787" s="1"/>
  <c r="I302" i="12787"/>
  <c r="K302" i="12787" s="1"/>
  <c r="I331" i="12787"/>
  <c r="I390" i="12787"/>
  <c r="I419" i="12787"/>
  <c r="K419" i="12787" s="1"/>
  <c r="I160" i="12787"/>
  <c r="I303" i="12787" s="1"/>
  <c r="I161" i="12787"/>
  <c r="I304" i="12787" s="1"/>
  <c r="I313" i="12787" s="1"/>
  <c r="K313" i="12787" s="1"/>
  <c r="I333" i="12787"/>
  <c r="I342" i="12787" s="1"/>
  <c r="K342" i="12787" s="1"/>
  <c r="C183" i="12787"/>
  <c r="O153" i="12787"/>
  <c r="C215" i="12787"/>
  <c r="E215" i="12787"/>
  <c r="E224" i="12787" s="1"/>
  <c r="E243" i="12787"/>
  <c r="E252" i="12787" s="1"/>
  <c r="G252" i="12787" s="1"/>
  <c r="C243" i="12787"/>
  <c r="E301" i="12787"/>
  <c r="H301" i="12787" s="1"/>
  <c r="E330" i="12787"/>
  <c r="H330" i="12787" s="1"/>
  <c r="E389" i="12787"/>
  <c r="G389" i="12787" s="1"/>
  <c r="E418" i="12787"/>
  <c r="E427" i="12787" s="1"/>
  <c r="G427" i="12787" s="1"/>
  <c r="I215" i="12787"/>
  <c r="I224" i="12787" s="1"/>
  <c r="I243" i="12787"/>
  <c r="I301" i="12787"/>
  <c r="K301" i="12787" s="1"/>
  <c r="I330" i="12787"/>
  <c r="K330" i="12787" s="1"/>
  <c r="I389" i="12787"/>
  <c r="K389" i="12787" s="1"/>
  <c r="I418" i="12787"/>
  <c r="K418" i="12787" s="1"/>
  <c r="C184" i="12787"/>
  <c r="C268" i="12787"/>
  <c r="D268" i="12787"/>
  <c r="G326" i="12787"/>
  <c r="C269" i="12787"/>
  <c r="D269" i="12787"/>
  <c r="G298" i="12787"/>
  <c r="O155" i="12787"/>
  <c r="C388" i="12787"/>
  <c r="C359" i="12787" s="1"/>
  <c r="D271" i="12787"/>
  <c r="D416" i="12787"/>
  <c r="D358" i="12787" s="1"/>
  <c r="C272" i="12787"/>
  <c r="C360" i="12787"/>
  <c r="D272" i="12787"/>
  <c r="G301" i="12787"/>
  <c r="G418" i="12787"/>
  <c r="O158" i="12787"/>
  <c r="O159" i="12787"/>
  <c r="G303" i="12787"/>
  <c r="C363" i="12787"/>
  <c r="G392" i="12787"/>
  <c r="C219" i="12787"/>
  <c r="C247" i="12787"/>
  <c r="C276" i="12787"/>
  <c r="C364" i="12787"/>
  <c r="E219" i="12787"/>
  <c r="G219" i="12787" s="1"/>
  <c r="E247" i="12787"/>
  <c r="E256" i="12787" s="1"/>
  <c r="G256" i="12787" s="1"/>
  <c r="E305" i="12787"/>
  <c r="G305" i="12787" s="1"/>
  <c r="E334" i="12787"/>
  <c r="G334" i="12787" s="1"/>
  <c r="E393" i="12787"/>
  <c r="G393" i="12787" s="1"/>
  <c r="E422" i="12787"/>
  <c r="G422" i="12787" s="1"/>
  <c r="I219" i="12787"/>
  <c r="I247" i="12787"/>
  <c r="I256" i="12787" s="1"/>
  <c r="K256" i="12787" s="1"/>
  <c r="I305" i="12787"/>
  <c r="K305" i="12787" s="1"/>
  <c r="I334" i="12787"/>
  <c r="K334" i="12787" s="1"/>
  <c r="I393" i="12787"/>
  <c r="K393" i="12787" s="1"/>
  <c r="I422" i="12787"/>
  <c r="K422" i="12787" s="1"/>
  <c r="O162" i="12787"/>
  <c r="C221" i="12787"/>
  <c r="C193" i="12787" s="1"/>
  <c r="C164" i="12787" s="1"/>
  <c r="E164" i="12787"/>
  <c r="E221" i="12787"/>
  <c r="H221" i="12787" s="1"/>
  <c r="E307" i="12787"/>
  <c r="G307" i="12787" s="1"/>
  <c r="E336" i="12787"/>
  <c r="G336" i="12787" s="1"/>
  <c r="E424" i="12787"/>
  <c r="G424" i="12787" s="1"/>
  <c r="H336" i="12787"/>
  <c r="D395" i="12787"/>
  <c r="D424" i="12787"/>
  <c r="I164" i="12787"/>
  <c r="I221" i="12787"/>
  <c r="K221" i="12787" s="1"/>
  <c r="I307" i="12787"/>
  <c r="K307" i="12787" s="1"/>
  <c r="C222" i="12787"/>
  <c r="C194" i="12787" s="1"/>
  <c r="C165" i="12787" s="1"/>
  <c r="E165" i="12787"/>
  <c r="E222" i="12787"/>
  <c r="H222" i="12787" s="1"/>
  <c r="E250" i="12787"/>
  <c r="G250" i="12787" s="1"/>
  <c r="E308" i="12787"/>
  <c r="G308" i="12787" s="1"/>
  <c r="E425" i="12787"/>
  <c r="G425" i="12787" s="1"/>
  <c r="D396" i="12787"/>
  <c r="D425" i="12787"/>
  <c r="C223" i="12787"/>
  <c r="C195" i="12787" s="1"/>
  <c r="C166" i="12787" s="1"/>
  <c r="E166" i="12787"/>
  <c r="E223" i="12787"/>
  <c r="E338" i="12787"/>
  <c r="G338" i="12787" s="1"/>
  <c r="E397" i="12787"/>
  <c r="G397" i="12787" s="1"/>
  <c r="E426" i="12787"/>
  <c r="G426" i="12787" s="1"/>
  <c r="I166" i="12787"/>
  <c r="I223" i="12787"/>
  <c r="K223" i="12787" s="1"/>
  <c r="I251" i="12787"/>
  <c r="K251" i="12787" s="1"/>
  <c r="I338" i="12787"/>
  <c r="K338" i="12787" s="1"/>
  <c r="I397" i="12787"/>
  <c r="K397" i="12787" s="1"/>
  <c r="C224" i="12787"/>
  <c r="C196" i="12787" s="1"/>
  <c r="C167" i="12787" s="1"/>
  <c r="E167" i="12787"/>
  <c r="D427" i="12787"/>
  <c r="I167" i="12787"/>
  <c r="I252" i="12787"/>
  <c r="K252" i="12787" s="1"/>
  <c r="C225" i="12787"/>
  <c r="C197" i="12787" s="1"/>
  <c r="C168" i="12787" s="1"/>
  <c r="E168" i="12787"/>
  <c r="E253" i="12787"/>
  <c r="G253" i="12787" s="1"/>
  <c r="E340" i="12787"/>
  <c r="G340" i="12787" s="1"/>
  <c r="E399" i="12787"/>
  <c r="G399" i="12787" s="1"/>
  <c r="E428" i="12787"/>
  <c r="G428" i="12787" s="1"/>
  <c r="D428" i="12787"/>
  <c r="I168" i="12787"/>
  <c r="I311" i="12787"/>
  <c r="K311" i="12787" s="1"/>
  <c r="I399" i="12787"/>
  <c r="K399" i="12787" s="1"/>
  <c r="C226" i="12787"/>
  <c r="C198" i="12787" s="1"/>
  <c r="C169" i="12787" s="1"/>
  <c r="E169" i="12787"/>
  <c r="E254" i="12787"/>
  <c r="G254" i="12787" s="1"/>
  <c r="E341" i="12787"/>
  <c r="D429" i="12787"/>
  <c r="E170" i="12787"/>
  <c r="E227" i="12787"/>
  <c r="E255" i="12787"/>
  <c r="G255" i="12787" s="1"/>
  <c r="E313" i="12787"/>
  <c r="G313" i="12787" s="1"/>
  <c r="E430" i="12787"/>
  <c r="G430" i="12787" s="1"/>
  <c r="D430" i="12787"/>
  <c r="I170" i="12787"/>
  <c r="C228" i="12787"/>
  <c r="C200" i="12787" s="1"/>
  <c r="C171" i="12787" s="1"/>
  <c r="E171" i="12787"/>
  <c r="E402" i="12787"/>
  <c r="G402" i="12787" s="1"/>
  <c r="D431" i="12787"/>
  <c r="I171" i="12787"/>
  <c r="I228" i="12787"/>
  <c r="K228" i="12787" s="1"/>
  <c r="C229" i="12787"/>
  <c r="C201" i="12787" s="1"/>
  <c r="C172" i="12787" s="1"/>
  <c r="E172" i="12787"/>
  <c r="E229" i="12787" s="1"/>
  <c r="D403" i="12787"/>
  <c r="D432" i="12787"/>
  <c r="I172" i="12787"/>
  <c r="I229" i="12787" s="1"/>
  <c r="C230" i="12787"/>
  <c r="C202" i="12787" s="1"/>
  <c r="C173" i="12787" s="1"/>
  <c r="E173" i="12787"/>
  <c r="E230" i="12787" s="1"/>
  <c r="D433" i="12787"/>
  <c r="I173" i="12787"/>
  <c r="I230" i="12787" s="1"/>
  <c r="D203" i="12787"/>
  <c r="D288" i="12787"/>
  <c r="D376" i="12787"/>
  <c r="D204" i="12787"/>
  <c r="D289" i="12787"/>
  <c r="D377" i="12787"/>
  <c r="H204" i="12787"/>
  <c r="H289" i="12787"/>
  <c r="H377" i="12787"/>
  <c r="E183" i="12787"/>
  <c r="E193" i="12787" s="1"/>
  <c r="I183" i="12787"/>
  <c r="I193" i="12787" s="1"/>
  <c r="E184" i="12787"/>
  <c r="E194" i="12787" s="1"/>
  <c r="E185" i="12787"/>
  <c r="E195" i="12787" s="1"/>
  <c r="I185" i="12787"/>
  <c r="I195" i="12787" s="1"/>
  <c r="E187" i="12787"/>
  <c r="E196" i="12787" s="1"/>
  <c r="I187" i="12787"/>
  <c r="I196" i="12787" s="1"/>
  <c r="E188" i="12787"/>
  <c r="E197" i="12787" s="1"/>
  <c r="I188" i="12787"/>
  <c r="I197" i="12787" s="1"/>
  <c r="I189" i="12787"/>
  <c r="I198" i="12787" s="1"/>
  <c r="E190" i="12787"/>
  <c r="E199" i="12787" s="1"/>
  <c r="I190" i="12787"/>
  <c r="E191" i="12787"/>
  <c r="E200" i="12787" s="1"/>
  <c r="I191" i="12787"/>
  <c r="I200" i="12787" s="1"/>
  <c r="I199" i="12787"/>
  <c r="D214" i="12787"/>
  <c r="D233" i="12787"/>
  <c r="D261" i="12787"/>
  <c r="E267" i="12787"/>
  <c r="I267" i="12787"/>
  <c r="E268" i="12787"/>
  <c r="I268" i="12787"/>
  <c r="E269" i="12787"/>
  <c r="I269" i="12787"/>
  <c r="E272" i="12787"/>
  <c r="I272" i="12787"/>
  <c r="E273" i="12787"/>
  <c r="I273" i="12787"/>
  <c r="E274" i="12787"/>
  <c r="I274" i="12787"/>
  <c r="E275" i="12787"/>
  <c r="I275" i="12787"/>
  <c r="E276" i="12787"/>
  <c r="I276" i="12787"/>
  <c r="E278" i="12787"/>
  <c r="I278" i="12787"/>
  <c r="E279" i="12787"/>
  <c r="I279" i="12787"/>
  <c r="E280" i="12787"/>
  <c r="I280" i="12787"/>
  <c r="E281" i="12787"/>
  <c r="I281" i="12787"/>
  <c r="E282" i="12787"/>
  <c r="I282" i="12787"/>
  <c r="E283" i="12787"/>
  <c r="I283" i="12787"/>
  <c r="E284" i="12787"/>
  <c r="I284" i="12787"/>
  <c r="E285" i="12787"/>
  <c r="I285" i="12787"/>
  <c r="E286" i="12787"/>
  <c r="C299" i="12787"/>
  <c r="D319" i="12787"/>
  <c r="C328" i="12787"/>
  <c r="D328" i="12787" s="1"/>
  <c r="D348" i="12787"/>
  <c r="C355" i="12787"/>
  <c r="E355" i="12787"/>
  <c r="I355" i="12787"/>
  <c r="I366" i="12787" s="1"/>
  <c r="E356" i="12787"/>
  <c r="I356" i="12787"/>
  <c r="E357" i="12787"/>
  <c r="I357" i="12787"/>
  <c r="I368" i="12787" s="1"/>
  <c r="C416" i="12787"/>
  <c r="C358" i="12787" s="1"/>
  <c r="D388" i="12787"/>
  <c r="D359" i="12787" s="1"/>
  <c r="E360" i="12787"/>
  <c r="I360" i="12787"/>
  <c r="I369" i="12787" s="1"/>
  <c r="E361" i="12787"/>
  <c r="I361" i="12787"/>
  <c r="I370" i="12787" s="1"/>
  <c r="I362" i="12787"/>
  <c r="E363" i="12787"/>
  <c r="E372" i="12787" s="1"/>
  <c r="I363" i="12787"/>
  <c r="E364" i="12787"/>
  <c r="E373" i="12787" s="1"/>
  <c r="I364" i="12787"/>
  <c r="E366" i="12787"/>
  <c r="E367" i="12787"/>
  <c r="I367" i="12787"/>
  <c r="E368" i="12787"/>
  <c r="E369" i="12787"/>
  <c r="E370" i="12787"/>
  <c r="I371" i="12787"/>
  <c r="I372" i="12787"/>
  <c r="I373" i="12787"/>
  <c r="E374" i="12787"/>
  <c r="D407" i="12787"/>
  <c r="D436" i="12787"/>
  <c r="E443" i="12787"/>
  <c r="G443" i="12787" s="1"/>
  <c r="H443" i="12787"/>
  <c r="I443" i="12766"/>
  <c r="I443" i="12787" s="1"/>
  <c r="K443" i="12787" s="1"/>
  <c r="E444" i="12787"/>
  <c r="G444" i="12787" s="1"/>
  <c r="H444" i="12787"/>
  <c r="I444" i="12766"/>
  <c r="I444" i="12787" s="1"/>
  <c r="K444" i="12787" s="1"/>
  <c r="E445" i="12787"/>
  <c r="G445" i="12787" s="1"/>
  <c r="H445" i="12787"/>
  <c r="I445" i="12766"/>
  <c r="I445" i="12787" s="1"/>
  <c r="K445" i="12787" s="1"/>
  <c r="C446" i="12787"/>
  <c r="D446" i="12787"/>
  <c r="E447" i="12787"/>
  <c r="G447" i="12787" s="1"/>
  <c r="H447" i="12787"/>
  <c r="I447" i="12766"/>
  <c r="I447" i="12787" s="1"/>
  <c r="K447" i="12787" s="1"/>
  <c r="E448" i="12787"/>
  <c r="G448" i="12787" s="1"/>
  <c r="H448" i="12787"/>
  <c r="I448" i="12766"/>
  <c r="I448" i="12787" s="1"/>
  <c r="K448" i="12787" s="1"/>
  <c r="E450" i="12787"/>
  <c r="G450" i="12787" s="1"/>
  <c r="H450" i="12787"/>
  <c r="I450" i="12766"/>
  <c r="I450" i="12787" s="1"/>
  <c r="K450" i="12787" s="1"/>
  <c r="E452" i="12787"/>
  <c r="G452" i="12787" s="1"/>
  <c r="H452" i="12787"/>
  <c r="I452" i="12766"/>
  <c r="I452" i="12787" s="1"/>
  <c r="K452" i="12787" s="1"/>
  <c r="E453" i="12787"/>
  <c r="G453" i="12787" s="1"/>
  <c r="H453" i="12787"/>
  <c r="I491" i="12766"/>
  <c r="I453" i="12766" s="1"/>
  <c r="E454" i="12787"/>
  <c r="G454" i="12787" s="1"/>
  <c r="H454" i="12787"/>
  <c r="I454" i="12787"/>
  <c r="K454" i="12787" s="1"/>
  <c r="E455" i="12787"/>
  <c r="G455" i="12787" s="1"/>
  <c r="H455" i="12787"/>
  <c r="I455" i="12787"/>
  <c r="K455" i="12787" s="1"/>
  <c r="E494" i="12787"/>
  <c r="E457" i="12787" s="1"/>
  <c r="G457" i="12787" s="1"/>
  <c r="H457" i="12787"/>
  <c r="E495" i="12787"/>
  <c r="E458" i="12787" s="1"/>
  <c r="G458" i="12787" s="1"/>
  <c r="H458" i="12787"/>
  <c r="E496" i="12787"/>
  <c r="E459" i="12787" s="1"/>
  <c r="G459" i="12787" s="1"/>
  <c r="H459" i="12787"/>
  <c r="E497" i="12787"/>
  <c r="E460" i="12787" s="1"/>
  <c r="G460" i="12787" s="1"/>
  <c r="H460" i="12787"/>
  <c r="E498" i="12787"/>
  <c r="E461" i="12787" s="1"/>
  <c r="G461" i="12787" s="1"/>
  <c r="H461" i="12787"/>
  <c r="E499" i="12787"/>
  <c r="E462" i="12787" s="1"/>
  <c r="G462" i="12787" s="1"/>
  <c r="H462" i="12787"/>
  <c r="E501" i="12787"/>
  <c r="E463" i="12787" s="1"/>
  <c r="G463" i="12787" s="1"/>
  <c r="H463" i="12787"/>
  <c r="E502" i="12787"/>
  <c r="E464" i="12787" s="1"/>
  <c r="G464" i="12787" s="1"/>
  <c r="H464" i="12787"/>
  <c r="E503" i="12787"/>
  <c r="E465" i="12787" s="1"/>
  <c r="G465" i="12787" s="1"/>
  <c r="H465" i="12787"/>
  <c r="I465" i="12787"/>
  <c r="K465" i="12787" s="1"/>
  <c r="E466" i="12787"/>
  <c r="G466" i="12787" s="1"/>
  <c r="H466" i="12787"/>
  <c r="I466" i="12787"/>
  <c r="K466" i="12787" s="1"/>
  <c r="G467" i="12787"/>
  <c r="H467" i="12787"/>
  <c r="K467" i="12787"/>
  <c r="G468" i="12787"/>
  <c r="H468" i="12787"/>
  <c r="K468" i="12787"/>
  <c r="E470" i="12787"/>
  <c r="H471" i="12787"/>
  <c r="C472" i="12787"/>
  <c r="C474" i="12787" s="1"/>
  <c r="D472" i="12787"/>
  <c r="D474" i="12787" s="1"/>
  <c r="C514" i="12787"/>
  <c r="C548" i="12787"/>
  <c r="D480" i="12787"/>
  <c r="M480" i="12787" s="1"/>
  <c r="E514" i="12787"/>
  <c r="E548" i="12787"/>
  <c r="I514" i="12787"/>
  <c r="I528" i="12787" s="1"/>
  <c r="K528" i="12787" s="1"/>
  <c r="I548" i="12787"/>
  <c r="O480" i="12787"/>
  <c r="C518" i="12787"/>
  <c r="E518" i="12787"/>
  <c r="E552" i="12787"/>
  <c r="E565" i="12787" s="1"/>
  <c r="G565" i="12787" s="1"/>
  <c r="C558" i="12787"/>
  <c r="C559" i="12787" s="1"/>
  <c r="C574" i="12787" s="1"/>
  <c r="C552" i="12787"/>
  <c r="C484" i="12787" s="1"/>
  <c r="C519" i="12787"/>
  <c r="E519" i="12787"/>
  <c r="E532" i="12787" s="1"/>
  <c r="G532" i="12787" s="1"/>
  <c r="E553" i="12787"/>
  <c r="C553" i="12787"/>
  <c r="I515" i="12787"/>
  <c r="C515" i="12787"/>
  <c r="I549" i="12787"/>
  <c r="I563" i="12787" s="1"/>
  <c r="K563" i="12787" s="1"/>
  <c r="C549" i="12787"/>
  <c r="I516" i="12787"/>
  <c r="I530" i="12787" s="1"/>
  <c r="C516" i="12787"/>
  <c r="I550" i="12787"/>
  <c r="I564" i="12787" s="1"/>
  <c r="K564" i="12787" s="1"/>
  <c r="C550" i="12787"/>
  <c r="I518" i="12787"/>
  <c r="I552" i="12787"/>
  <c r="I519" i="12787"/>
  <c r="I553" i="12787"/>
  <c r="E515" i="12787"/>
  <c r="E549" i="12787"/>
  <c r="E516" i="12787"/>
  <c r="E550" i="12787"/>
  <c r="H550" i="12787" s="1"/>
  <c r="D481" i="12787"/>
  <c r="M481" i="12787" s="1"/>
  <c r="O481" i="12787"/>
  <c r="D482" i="12787"/>
  <c r="O482" i="12787"/>
  <c r="E524" i="12787"/>
  <c r="E558" i="12787"/>
  <c r="E525" i="12787"/>
  <c r="E559" i="12787"/>
  <c r="I524" i="12787"/>
  <c r="I558" i="12787"/>
  <c r="I491" i="12787"/>
  <c r="C521" i="12787"/>
  <c r="C487" i="12787" s="1"/>
  <c r="E521" i="12787"/>
  <c r="E522" i="12787" s="1"/>
  <c r="E555" i="12787"/>
  <c r="E567" i="12787" s="1"/>
  <c r="C555" i="12787"/>
  <c r="E556" i="12787"/>
  <c r="G556" i="12787" s="1"/>
  <c r="I521" i="12787"/>
  <c r="I555" i="12787"/>
  <c r="K555" i="12787" s="1"/>
  <c r="O484" i="12787"/>
  <c r="O485" i="12787"/>
  <c r="O487" i="12787"/>
  <c r="C488" i="12787"/>
  <c r="E488" i="12787"/>
  <c r="E500" i="12787" s="1"/>
  <c r="I488" i="12787"/>
  <c r="O490" i="12787"/>
  <c r="O491" i="12787"/>
  <c r="C526" i="12787"/>
  <c r="C560" i="12787"/>
  <c r="C492" i="12787" s="1"/>
  <c r="E526" i="12787"/>
  <c r="E560" i="12787"/>
  <c r="E571" i="12787" s="1"/>
  <c r="I526" i="12787"/>
  <c r="K526" i="12787" s="1"/>
  <c r="I560" i="12787"/>
  <c r="O492" i="12787"/>
  <c r="C494" i="12787"/>
  <c r="D494" i="12787"/>
  <c r="E562" i="12787"/>
  <c r="I494" i="12787"/>
  <c r="I562" i="12787"/>
  <c r="K562" i="12787" s="1"/>
  <c r="C529" i="12787"/>
  <c r="C495" i="12787" s="1"/>
  <c r="D495" i="12787"/>
  <c r="I495" i="12787"/>
  <c r="I529" i="12787"/>
  <c r="C530" i="12787"/>
  <c r="C496" i="12787" s="1"/>
  <c r="D496" i="12787"/>
  <c r="I496" i="12787"/>
  <c r="C531" i="12787"/>
  <c r="C497" i="12787" s="1"/>
  <c r="E531" i="12787"/>
  <c r="I497" i="12787"/>
  <c r="I531" i="12787"/>
  <c r="C498" i="12787"/>
  <c r="E566" i="12787"/>
  <c r="G566" i="12787" s="1"/>
  <c r="I498" i="12787"/>
  <c r="I532" i="12787"/>
  <c r="K532" i="12787" s="1"/>
  <c r="C533" i="12787"/>
  <c r="C567" i="12787"/>
  <c r="I499" i="12787"/>
  <c r="I533" i="12787"/>
  <c r="C500" i="12787"/>
  <c r="C535" i="12787"/>
  <c r="C536" i="12787" s="1"/>
  <c r="C569" i="12787"/>
  <c r="E535" i="12787"/>
  <c r="I501" i="12787"/>
  <c r="I535" i="12787"/>
  <c r="K535" i="12787" s="1"/>
  <c r="E536" i="12787"/>
  <c r="C537" i="12787"/>
  <c r="C571" i="12787"/>
  <c r="I503" i="12787"/>
  <c r="C538" i="12787"/>
  <c r="C572" i="12787"/>
  <c r="D504" i="12787"/>
  <c r="E504" i="12787"/>
  <c r="E538" i="12787" s="1"/>
  <c r="I504" i="12787"/>
  <c r="I538" i="12787" s="1"/>
  <c r="C539" i="12787"/>
  <c r="C573" i="12787"/>
  <c r="E505" i="12787"/>
  <c r="E539" i="12787" s="1"/>
  <c r="I505" i="12787"/>
  <c r="I539" i="12787" s="1"/>
  <c r="D506" i="12787"/>
  <c r="D507" i="12787"/>
  <c r="H507" i="12787"/>
  <c r="D517" i="12787"/>
  <c r="D551" i="12787"/>
  <c r="C633" i="12787"/>
  <c r="C582" i="12787" s="1"/>
  <c r="D582" i="12787"/>
  <c r="E633" i="12787"/>
  <c r="E684" i="12787"/>
  <c r="G684" i="12787" s="1"/>
  <c r="I582" i="12787"/>
  <c r="I633" i="12787" s="1"/>
  <c r="E635" i="12787"/>
  <c r="H635" i="12787" s="1"/>
  <c r="E686" i="12787"/>
  <c r="H686" i="12787" s="1"/>
  <c r="E636" i="12787"/>
  <c r="H636" i="12787" s="1"/>
  <c r="E687" i="12787"/>
  <c r="H687" i="12787" s="1"/>
  <c r="E637" i="12787"/>
  <c r="H637" i="12787" s="1"/>
  <c r="E688" i="12787"/>
  <c r="H688" i="12787" s="1"/>
  <c r="E642" i="12787"/>
  <c r="H642" i="12787" s="1"/>
  <c r="E693" i="12787"/>
  <c r="G693" i="12787" s="1"/>
  <c r="C704" i="12787"/>
  <c r="C727" i="12787" s="1"/>
  <c r="E644" i="12787"/>
  <c r="H644" i="12787" s="1"/>
  <c r="E695" i="12787"/>
  <c r="E714" i="12787" s="1"/>
  <c r="G714" i="12787" s="1"/>
  <c r="C695" i="12787"/>
  <c r="E645" i="12787"/>
  <c r="H645" i="12787" s="1"/>
  <c r="E696" i="12787"/>
  <c r="G696" i="12787" s="1"/>
  <c r="C696" i="12787"/>
  <c r="E646" i="12787"/>
  <c r="H646" i="12787" s="1"/>
  <c r="E697" i="12787"/>
  <c r="C697" i="12787"/>
  <c r="E647" i="12787"/>
  <c r="H647" i="12787" s="1"/>
  <c r="E698" i="12787"/>
  <c r="H698" i="12787" s="1"/>
  <c r="E648" i="12787"/>
  <c r="H648" i="12787" s="1"/>
  <c r="E699" i="12787"/>
  <c r="H699" i="12787" s="1"/>
  <c r="I635" i="12787"/>
  <c r="C635" i="12787"/>
  <c r="I686" i="12787"/>
  <c r="K686" i="12787" s="1"/>
  <c r="I585" i="12787"/>
  <c r="I636" i="12787" s="1"/>
  <c r="C636" i="12787"/>
  <c r="C585" i="12787" s="1"/>
  <c r="I586" i="12787"/>
  <c r="I688" i="12787" s="1"/>
  <c r="C637" i="12787"/>
  <c r="C586" i="12787" s="1"/>
  <c r="I591" i="12787"/>
  <c r="K589" i="12787" s="1"/>
  <c r="C642" i="12787"/>
  <c r="C591" i="12787" s="1"/>
  <c r="I593" i="12787"/>
  <c r="I644" i="12787" s="1"/>
  <c r="C644" i="12787"/>
  <c r="I594" i="12787"/>
  <c r="I645" i="12787" s="1"/>
  <c r="C645" i="12787"/>
  <c r="I595" i="12787"/>
  <c r="I646" i="12787" s="1"/>
  <c r="C646" i="12787"/>
  <c r="I697" i="12787"/>
  <c r="K697" i="12787" s="1"/>
  <c r="I596" i="12787"/>
  <c r="I597" i="12787"/>
  <c r="D584" i="12787"/>
  <c r="M584" i="12787" s="1"/>
  <c r="G686" i="12787"/>
  <c r="E653" i="12787"/>
  <c r="E672" i="12787" s="1"/>
  <c r="G672" i="12787" s="1"/>
  <c r="C653" i="12787"/>
  <c r="C676" i="12787" s="1"/>
  <c r="E704" i="12787"/>
  <c r="E723" i="12787" s="1"/>
  <c r="I602" i="12787"/>
  <c r="I653" i="12787" s="1"/>
  <c r="K653" i="12787" s="1"/>
  <c r="D585" i="12787"/>
  <c r="D586" i="12787"/>
  <c r="C689" i="12787"/>
  <c r="D587" i="12787"/>
  <c r="C639" i="12787"/>
  <c r="C690" i="12787"/>
  <c r="D588" i="12787"/>
  <c r="C640" i="12787"/>
  <c r="C691" i="12787"/>
  <c r="D589" i="12787"/>
  <c r="O595" i="12787"/>
  <c r="C596" i="12787"/>
  <c r="D596" i="12787"/>
  <c r="C597" i="12787"/>
  <c r="D597" i="12787"/>
  <c r="G648" i="12787"/>
  <c r="C599" i="12787"/>
  <c r="E599" i="12787"/>
  <c r="E618" i="12787" s="1"/>
  <c r="E650" i="12787"/>
  <c r="G650" i="12787" s="1"/>
  <c r="C600" i="12787"/>
  <c r="E600" i="12787"/>
  <c r="E619" i="12787" s="1"/>
  <c r="E702" i="12787"/>
  <c r="G702" i="12787" s="1"/>
  <c r="I600" i="12787"/>
  <c r="I619" i="12787" s="1"/>
  <c r="G704" i="12787"/>
  <c r="C654" i="12787"/>
  <c r="C705" i="12787"/>
  <c r="E654" i="12787"/>
  <c r="E673" i="12787" s="1"/>
  <c r="G673" i="12787" s="1"/>
  <c r="E705" i="12787"/>
  <c r="I654" i="12787"/>
  <c r="I705" i="12787"/>
  <c r="O603" i="12787"/>
  <c r="C605" i="12787"/>
  <c r="D605" i="12787"/>
  <c r="E605" i="12787"/>
  <c r="E707" i="12787"/>
  <c r="G707" i="12787" s="1"/>
  <c r="C607" i="12787"/>
  <c r="D607" i="12787"/>
  <c r="E607" i="12787"/>
  <c r="I607" i="12787"/>
  <c r="M607" i="12787" s="1"/>
  <c r="I658" i="12787"/>
  <c r="K658" i="12787" s="1"/>
  <c r="C608" i="12787"/>
  <c r="D608" i="12787"/>
  <c r="E608" i="12787"/>
  <c r="C609" i="12787"/>
  <c r="D609" i="12787"/>
  <c r="E609" i="12787"/>
  <c r="C610" i="12787"/>
  <c r="E610" i="12787"/>
  <c r="E661" i="12787"/>
  <c r="G661" i="12787" s="1"/>
  <c r="C612" i="12787"/>
  <c r="E612" i="12787"/>
  <c r="C613" i="12787"/>
  <c r="E613" i="12787"/>
  <c r="E664" i="12787"/>
  <c r="G664" i="12787" s="1"/>
  <c r="C614" i="12787"/>
  <c r="E614" i="12787"/>
  <c r="E716" i="12787"/>
  <c r="G716" i="12787" s="1"/>
  <c r="C615" i="12787"/>
  <c r="D615" i="12787"/>
  <c r="E615" i="12787"/>
  <c r="C616" i="12787"/>
  <c r="D616" i="12787"/>
  <c r="E616" i="12787"/>
  <c r="E667" i="12787"/>
  <c r="G667" i="12787" s="1"/>
  <c r="C618" i="12787"/>
  <c r="C619" i="12787"/>
  <c r="C723" i="12787"/>
  <c r="C621" i="12787" s="1"/>
  <c r="E621" i="12787"/>
  <c r="C622" i="12787"/>
  <c r="E622" i="12787"/>
  <c r="I622" i="12787"/>
  <c r="C725" i="12787"/>
  <c r="C623" i="12787" s="1"/>
  <c r="D623" i="12787"/>
  <c r="E623" i="12787"/>
  <c r="E674" i="12787" s="1"/>
  <c r="I623" i="12787"/>
  <c r="I674" i="12787" s="1"/>
  <c r="K674" i="12787" s="1"/>
  <c r="C726" i="12787"/>
  <c r="C624" i="12787" s="1"/>
  <c r="E624" i="12787"/>
  <c r="E675" i="12787" s="1"/>
  <c r="G675" i="12787" s="1"/>
  <c r="I624" i="12787"/>
  <c r="I675" i="12787" s="1"/>
  <c r="K675" i="12787" s="1"/>
  <c r="D625" i="12787"/>
  <c r="P34" i="12775"/>
  <c r="P35" i="12775"/>
  <c r="D626" i="12787"/>
  <c r="H626" i="12787"/>
  <c r="D678" i="12787"/>
  <c r="D729" i="12787"/>
  <c r="E794" i="12787"/>
  <c r="E735" i="12787" s="1"/>
  <c r="I735" i="12787"/>
  <c r="K735" i="12787" s="1"/>
  <c r="E795" i="12787"/>
  <c r="I736" i="12787"/>
  <c r="K736" i="12787" s="1"/>
  <c r="C737" i="12787"/>
  <c r="D737" i="12787"/>
  <c r="E737" i="12787"/>
  <c r="I737" i="12787"/>
  <c r="C738" i="12787"/>
  <c r="C758" i="12787"/>
  <c r="E797" i="12787"/>
  <c r="E738" i="12787" s="1"/>
  <c r="I738" i="12787"/>
  <c r="K738" i="12787" s="1"/>
  <c r="E798" i="12787"/>
  <c r="E739" i="12787" s="1"/>
  <c r="I739" i="12787"/>
  <c r="K739" i="12787" s="1"/>
  <c r="C740" i="12787"/>
  <c r="E799" i="12787"/>
  <c r="E740" i="12787" s="1"/>
  <c r="I740" i="12787"/>
  <c r="I756" i="12787" s="1"/>
  <c r="K756" i="12787" s="1"/>
  <c r="E801" i="12787"/>
  <c r="E742" i="12787" s="1"/>
  <c r="I742" i="12787"/>
  <c r="K742" i="12787" s="1"/>
  <c r="E802" i="12787"/>
  <c r="E743" i="12787" s="1"/>
  <c r="I743" i="12787"/>
  <c r="K743" i="12787" s="1"/>
  <c r="G744" i="12787"/>
  <c r="H744" i="12787"/>
  <c r="K744" i="12787"/>
  <c r="M744" i="12787"/>
  <c r="E745" i="12787"/>
  <c r="I745" i="12787"/>
  <c r="C747" i="12787"/>
  <c r="I748" i="12787"/>
  <c r="K748" i="12787" s="1"/>
  <c r="C749" i="12787"/>
  <c r="E749" i="12787"/>
  <c r="E811" i="12787"/>
  <c r="I783" i="12787"/>
  <c r="I811" i="12787" s="1"/>
  <c r="I753" i="12787" s="1"/>
  <c r="K753" i="12787" s="1"/>
  <c r="E812" i="12787"/>
  <c r="E754" i="12787" s="1"/>
  <c r="G754" i="12787" s="1"/>
  <c r="I784" i="12787"/>
  <c r="I812" i="12787" s="1"/>
  <c r="I755" i="12787"/>
  <c r="K755" i="12787" s="1"/>
  <c r="C822" i="12787"/>
  <c r="C824" i="12787" s="1"/>
  <c r="C850" i="12787"/>
  <c r="D794" i="12787"/>
  <c r="D766" i="12787" s="1"/>
  <c r="E877" i="12787"/>
  <c r="H877" i="12787" s="1"/>
  <c r="I822" i="12787"/>
  <c r="I850" i="12787"/>
  <c r="I860" i="12787" s="1"/>
  <c r="K860" i="12787" s="1"/>
  <c r="K877" i="12787"/>
  <c r="O766" i="12787"/>
  <c r="C851" i="12787"/>
  <c r="C795" i="12787" s="1"/>
  <c r="C767" i="12787" s="1"/>
  <c r="D795" i="12787"/>
  <c r="D767" i="12787" s="1"/>
  <c r="M767" i="12787" s="1"/>
  <c r="E878" i="12787"/>
  <c r="G878" i="12787" s="1"/>
  <c r="I823" i="12787"/>
  <c r="K823" i="12787" s="1"/>
  <c r="I851" i="12787"/>
  <c r="K878" i="12787"/>
  <c r="O767" i="12787"/>
  <c r="C825" i="12787"/>
  <c r="C829" i="12787"/>
  <c r="C841" i="12787" s="1"/>
  <c r="C857" i="12787"/>
  <c r="C853" i="12787"/>
  <c r="E880" i="12787"/>
  <c r="E889" i="12787" s="1"/>
  <c r="G889" i="12787" s="1"/>
  <c r="C826" i="12787"/>
  <c r="C854" i="12787"/>
  <c r="E881" i="12787"/>
  <c r="E890" i="12787" s="1"/>
  <c r="C896" i="12787"/>
  <c r="D881" i="12787" s="1"/>
  <c r="I825" i="12787"/>
  <c r="I853" i="12787"/>
  <c r="K880" i="12787"/>
  <c r="I826" i="12787"/>
  <c r="I854" i="12787"/>
  <c r="K881" i="12787"/>
  <c r="O769" i="12787"/>
  <c r="V769" i="12787"/>
  <c r="G881" i="12787"/>
  <c r="O770" i="12787"/>
  <c r="E827" i="12787"/>
  <c r="E836" i="12787" s="1"/>
  <c r="C827" i="12787"/>
  <c r="C855" i="12787"/>
  <c r="E882" i="12787"/>
  <c r="E891" i="12787" s="1"/>
  <c r="I827" i="12787"/>
  <c r="I855" i="12787"/>
  <c r="I864" i="12787" s="1"/>
  <c r="K882" i="12787"/>
  <c r="G882" i="12787"/>
  <c r="O771" i="12787"/>
  <c r="E884" i="12787"/>
  <c r="E892" i="12787" s="1"/>
  <c r="D884" i="12787"/>
  <c r="I829" i="12787"/>
  <c r="I837" i="12787" s="1"/>
  <c r="I857" i="12787"/>
  <c r="K884" i="12787"/>
  <c r="O773" i="12787"/>
  <c r="C830" i="12787"/>
  <c r="C858" i="12787"/>
  <c r="E885" i="12787"/>
  <c r="I830" i="12787"/>
  <c r="I838" i="12787" s="1"/>
  <c r="I858" i="12787"/>
  <c r="I866" i="12787" s="1"/>
  <c r="K885" i="12787"/>
  <c r="O774" i="12787"/>
  <c r="C804" i="12787"/>
  <c r="C776" i="12787" s="1"/>
  <c r="D804" i="12787"/>
  <c r="D776" i="12787" s="1"/>
  <c r="E776" i="12787"/>
  <c r="I776" i="12787"/>
  <c r="I887" i="12787"/>
  <c r="K887" i="12787" s="1"/>
  <c r="C861" i="12787"/>
  <c r="C805" i="12787" s="1"/>
  <c r="C777" i="12787" s="1"/>
  <c r="D805" i="12787"/>
  <c r="D777" i="12787" s="1"/>
  <c r="E777" i="12787"/>
  <c r="I777" i="12787"/>
  <c r="I888" i="12787"/>
  <c r="K888" i="12787" s="1"/>
  <c r="C806" i="12787"/>
  <c r="C778" i="12787" s="1"/>
  <c r="E778" i="12787"/>
  <c r="I778" i="12787"/>
  <c r="I889" i="12787"/>
  <c r="K889" i="12787" s="1"/>
  <c r="C863" i="12787"/>
  <c r="C807" i="12787" s="1"/>
  <c r="C779" i="12787" s="1"/>
  <c r="C890" i="12787"/>
  <c r="E779" i="12787"/>
  <c r="I779" i="12787"/>
  <c r="I890" i="12787"/>
  <c r="K890" i="12787" s="1"/>
  <c r="C836" i="12787"/>
  <c r="C864" i="12787"/>
  <c r="C808" i="12787" s="1"/>
  <c r="C780" i="12787" s="1"/>
  <c r="C891" i="12787"/>
  <c r="E780" i="12787"/>
  <c r="I780" i="12787"/>
  <c r="I891" i="12787"/>
  <c r="C837" i="12787"/>
  <c r="C865" i="12787"/>
  <c r="C892" i="12787"/>
  <c r="E781" i="12787"/>
  <c r="I781" i="12787"/>
  <c r="I892" i="12787"/>
  <c r="C838" i="12787"/>
  <c r="C866" i="12787"/>
  <c r="C810" i="12787" s="1"/>
  <c r="C782" i="12787" s="1"/>
  <c r="C893" i="12787"/>
  <c r="E782" i="12787"/>
  <c r="I782" i="12787"/>
  <c r="I893" i="12787"/>
  <c r="C839" i="12787"/>
  <c r="C867" i="12787"/>
  <c r="D811" i="12787"/>
  <c r="D783" i="12787" s="1"/>
  <c r="E839" i="12787"/>
  <c r="H839" i="12787" s="1"/>
  <c r="E894" i="12787"/>
  <c r="G894" i="12787" s="1"/>
  <c r="C840" i="12787"/>
  <c r="C895" i="12787"/>
  <c r="C868" i="12787" s="1"/>
  <c r="E868" i="12787"/>
  <c r="E895" i="12787"/>
  <c r="D813" i="12787"/>
  <c r="D785" i="12787" s="1"/>
  <c r="D814" i="12787"/>
  <c r="D786" i="12787" s="1"/>
  <c r="H814" i="12787"/>
  <c r="H786" i="12787" s="1"/>
  <c r="O798" i="12787"/>
  <c r="E804" i="12787"/>
  <c r="I804" i="12787"/>
  <c r="E805" i="12787"/>
  <c r="I805" i="12787"/>
  <c r="E806" i="12787"/>
  <c r="I806" i="12787"/>
  <c r="E807" i="12787"/>
  <c r="I807" i="12787"/>
  <c r="I808" i="12787"/>
  <c r="I809" i="12787"/>
  <c r="I810" i="12787"/>
  <c r="D824" i="12787"/>
  <c r="D852" i="12787"/>
  <c r="C879" i="12787"/>
  <c r="O881" i="12787"/>
  <c r="O884" i="12787"/>
  <c r="O885" i="12787"/>
  <c r="C904" i="12787"/>
  <c r="D904" i="12787" s="1"/>
  <c r="C905" i="12787"/>
  <c r="G905" i="12787" s="1"/>
  <c r="G906" i="12787"/>
  <c r="G907" i="12787"/>
  <c r="G908" i="12787"/>
  <c r="G909" i="12787"/>
  <c r="G910" i="12787"/>
  <c r="C911" i="12787"/>
  <c r="G911" i="12787" s="1"/>
  <c r="G912" i="12787"/>
  <c r="C913" i="12787"/>
  <c r="G913" i="12787" s="1"/>
  <c r="G915" i="12787"/>
  <c r="G916" i="12787"/>
  <c r="D906" i="12787"/>
  <c r="H906" i="12787" s="1"/>
  <c r="D907" i="12787"/>
  <c r="H907" i="12787" s="1"/>
  <c r="D908" i="12787"/>
  <c r="H908" i="12787" s="1"/>
  <c r="D909" i="12787"/>
  <c r="H909" i="12787" s="1"/>
  <c r="D910" i="12787"/>
  <c r="H910" i="12787" s="1"/>
  <c r="D912" i="12787"/>
  <c r="H912" i="12787" s="1"/>
  <c r="D915" i="12787"/>
  <c r="H915" i="12787" s="1"/>
  <c r="D916" i="12787"/>
  <c r="H916" i="12787" s="1"/>
  <c r="P906" i="12787"/>
  <c r="D917" i="12787"/>
  <c r="P917" i="12787" s="1"/>
  <c r="G917" i="12787"/>
  <c r="D918" i="12787"/>
  <c r="P918" i="12787" s="1"/>
  <c r="G918" i="12787"/>
  <c r="D919" i="12787"/>
  <c r="P919" i="12787" s="1"/>
  <c r="G919" i="12787"/>
  <c r="D920" i="12787"/>
  <c r="P920" i="12787" s="1"/>
  <c r="G920" i="12787"/>
  <c r="H920" i="12787"/>
  <c r="D921" i="12787"/>
  <c r="P921" i="12787" s="1"/>
  <c r="G921" i="12787"/>
  <c r="C922" i="12787"/>
  <c r="D43" i="12775"/>
  <c r="E43" i="12775"/>
  <c r="F43" i="12775"/>
  <c r="G43" i="12775"/>
  <c r="H43" i="12775"/>
  <c r="I43" i="12775"/>
  <c r="J43" i="12775"/>
  <c r="K43" i="12775"/>
  <c r="L43" i="12775"/>
  <c r="M43" i="12775"/>
  <c r="N43" i="12775"/>
  <c r="O43" i="12775"/>
  <c r="D925" i="12787"/>
  <c r="K930" i="12787"/>
  <c r="M930" i="12787" s="1"/>
  <c r="C934" i="12787"/>
  <c r="D931" i="12787" s="1"/>
  <c r="G931" i="12787"/>
  <c r="K931" i="12787"/>
  <c r="G932" i="12787"/>
  <c r="I932" i="12787"/>
  <c r="C933" i="12787"/>
  <c r="D936" i="12787"/>
  <c r="G941" i="12787"/>
  <c r="K941" i="12787" s="1"/>
  <c r="M941" i="12787" s="1"/>
  <c r="H941" i="12787"/>
  <c r="C968" i="12787"/>
  <c r="C942" i="12787" s="1"/>
  <c r="C969" i="12787"/>
  <c r="C943" i="12787" s="1"/>
  <c r="C982" i="12787"/>
  <c r="D979" i="12787" s="1"/>
  <c r="E968" i="12787"/>
  <c r="E979" i="12787"/>
  <c r="G979" i="12787" s="1"/>
  <c r="I939" i="12766"/>
  <c r="I942" i="12787" s="1"/>
  <c r="I943" i="12787" s="1"/>
  <c r="I979" i="12787"/>
  <c r="K979" i="12787" s="1"/>
  <c r="E943" i="12787"/>
  <c r="C954" i="12787"/>
  <c r="G954" i="12787" s="1"/>
  <c r="C955" i="12787"/>
  <c r="G955" i="12787" s="1"/>
  <c r="C956" i="12787"/>
  <c r="G956" i="12787" s="1"/>
  <c r="C957" i="12787"/>
  <c r="G957" i="12787" s="1"/>
  <c r="C958" i="12787"/>
  <c r="G958" i="12787" s="1"/>
  <c r="C959" i="12787"/>
  <c r="G959" i="12787" s="1"/>
  <c r="G962" i="12787"/>
  <c r="C963" i="12787"/>
  <c r="G963" i="12787" s="1"/>
  <c r="C964" i="12787"/>
  <c r="G964" i="12787" s="1"/>
  <c r="C965" i="12787"/>
  <c r="G965" i="12787" s="1"/>
  <c r="C966" i="12787"/>
  <c r="G966" i="12787" s="1"/>
  <c r="C970" i="12787"/>
  <c r="C944" i="12787" s="1"/>
  <c r="D944" i="12787"/>
  <c r="D945" i="12787"/>
  <c r="K952" i="12787"/>
  <c r="I954" i="12787"/>
  <c r="I955" i="12787"/>
  <c r="I956" i="12787"/>
  <c r="I957" i="12787"/>
  <c r="I958" i="12787"/>
  <c r="I959" i="12787"/>
  <c r="I962" i="12787"/>
  <c r="K962" i="12787" s="1"/>
  <c r="I963" i="12787"/>
  <c r="I964" i="12787"/>
  <c r="I965" i="12787"/>
  <c r="I966" i="12787"/>
  <c r="K978" i="12787"/>
  <c r="D946" i="12787"/>
  <c r="H946" i="12787"/>
  <c r="P954" i="12787"/>
  <c r="P955" i="12787"/>
  <c r="P956" i="12787"/>
  <c r="P957" i="12787"/>
  <c r="P958" i="12787"/>
  <c r="P959" i="12787"/>
  <c r="P962" i="12787"/>
  <c r="P963" i="12787"/>
  <c r="P964" i="12787"/>
  <c r="P965" i="12787"/>
  <c r="P966" i="12787"/>
  <c r="D973" i="12787"/>
  <c r="D984" i="12787"/>
  <c r="G989" i="12787"/>
  <c r="H989" i="12787"/>
  <c r="I989" i="12787"/>
  <c r="K989" i="12787" s="1"/>
  <c r="G990" i="12787"/>
  <c r="H990" i="12787"/>
  <c r="I990" i="12787"/>
  <c r="K990" i="12787" s="1"/>
  <c r="C991" i="12787"/>
  <c r="C992" i="12787"/>
  <c r="G992" i="12787" s="1"/>
  <c r="H992" i="12787"/>
  <c r="M992" i="12787"/>
  <c r="D993" i="12787"/>
  <c r="D995" i="12787"/>
  <c r="C1001" i="12787"/>
  <c r="C1030" i="12787"/>
  <c r="D1018" i="12787" s="1"/>
  <c r="H1018" i="12787" s="1"/>
  <c r="G1001" i="12787"/>
  <c r="C1002" i="12787"/>
  <c r="G1002" i="12787" s="1"/>
  <c r="G1003" i="12787"/>
  <c r="C1005" i="12787"/>
  <c r="G1005" i="12787" s="1"/>
  <c r="G1006" i="12787"/>
  <c r="C1009" i="12787"/>
  <c r="G1009" i="12787" s="1"/>
  <c r="C1010" i="12787"/>
  <c r="G1010" i="12787" s="1"/>
  <c r="G1011" i="12787"/>
  <c r="G1013" i="12787"/>
  <c r="G1014" i="12787"/>
  <c r="G1017" i="12787"/>
  <c r="G1018" i="12787"/>
  <c r="G1019" i="12787"/>
  <c r="G1021" i="12787"/>
  <c r="G1022" i="12787"/>
  <c r="C1024" i="12787"/>
  <c r="G1024" i="12787" s="1"/>
  <c r="C1025" i="12787"/>
  <c r="G1025" i="12787" s="1"/>
  <c r="G1026" i="12787"/>
  <c r="C1028" i="12787"/>
  <c r="G1028" i="12787" s="1"/>
  <c r="D1005" i="12787"/>
  <c r="H1005" i="12787" s="1"/>
  <c r="C1029" i="12787"/>
  <c r="D1032" i="12787"/>
  <c r="G1037" i="12787"/>
  <c r="K1037" i="12787" s="1"/>
  <c r="E34" i="12763"/>
  <c r="G46" i="12763"/>
  <c r="G89" i="12763" s="1"/>
  <c r="R27" i="12764"/>
  <c r="I19" i="12764"/>
  <c r="I33" i="12764"/>
  <c r="C84" i="12764"/>
  <c r="I36" i="12764"/>
  <c r="N36" i="12764" s="1"/>
  <c r="F79" i="12812" s="1"/>
  <c r="S79" i="12812" s="1"/>
  <c r="I38" i="12764"/>
  <c r="N38" i="12764" s="1"/>
  <c r="F81" i="12812" s="1"/>
  <c r="S81" i="12812" s="1"/>
  <c r="E96" i="12764"/>
  <c r="N39" i="12764"/>
  <c r="R39" i="12764"/>
  <c r="I51" i="12764"/>
  <c r="N51" i="12764" s="1"/>
  <c r="F121" i="12812" s="1"/>
  <c r="S121" i="12812" s="1"/>
  <c r="L1261" i="12767"/>
  <c r="L1259" i="12767"/>
  <c r="L1258" i="12767"/>
  <c r="L1257" i="12767"/>
  <c r="L1254" i="12767"/>
  <c r="L1252" i="12767"/>
  <c r="L1251" i="12767"/>
  <c r="L1250" i="12767"/>
  <c r="L1247" i="12767"/>
  <c r="L1246" i="12767"/>
  <c r="L1244" i="12767"/>
  <c r="L1242" i="12767"/>
  <c r="L1239" i="12767"/>
  <c r="L1238" i="12767"/>
  <c r="L1236" i="12767"/>
  <c r="L1234" i="12767"/>
  <c r="L1112" i="12767"/>
  <c r="L1113" i="12767"/>
  <c r="L1114" i="12767"/>
  <c r="L1115" i="12767"/>
  <c r="L1116" i="12767"/>
  <c r="L1117" i="12767"/>
  <c r="L1118" i="12767"/>
  <c r="L1119" i="12767"/>
  <c r="L1120" i="12767"/>
  <c r="L1121" i="12767"/>
  <c r="L1128" i="12767"/>
  <c r="L1129" i="12767"/>
  <c r="L1148" i="12767"/>
  <c r="C1153" i="12767"/>
  <c r="C1151" i="12767" s="1"/>
  <c r="C1209" i="12767"/>
  <c r="C1208" i="12767" s="1"/>
  <c r="L1162" i="12767"/>
  <c r="L1243" i="12767"/>
  <c r="L1255" i="12767"/>
  <c r="J42" i="12767"/>
  <c r="L42" i="12767" s="1"/>
  <c r="J78" i="12767"/>
  <c r="L78" i="12767" s="1"/>
  <c r="L1218" i="12767"/>
  <c r="L1219" i="12767"/>
  <c r="L1221" i="12767"/>
  <c r="L587" i="12767"/>
  <c r="L588" i="12767"/>
  <c r="F561" i="12767"/>
  <c r="F562" i="12767"/>
  <c r="F563" i="12767"/>
  <c r="F565" i="12767"/>
  <c r="F566" i="12767"/>
  <c r="F568" i="12767"/>
  <c r="F570" i="12767"/>
  <c r="F571" i="12767"/>
  <c r="F572" i="12767"/>
  <c r="F577" i="12767"/>
  <c r="F578" i="12767"/>
  <c r="F579" i="12767"/>
  <c r="F580" i="12767"/>
  <c r="F581" i="12767"/>
  <c r="F582" i="12767"/>
  <c r="F583" i="12767"/>
  <c r="F584" i="12767"/>
  <c r="F585" i="12767"/>
  <c r="F586" i="12767"/>
  <c r="F587" i="12767"/>
  <c r="F588" i="12767"/>
  <c r="I593" i="12766"/>
  <c r="I596" i="12766"/>
  <c r="I597" i="12766"/>
  <c r="I160" i="12766"/>
  <c r="I161" i="12766" s="1"/>
  <c r="I333" i="12766" s="1"/>
  <c r="K333" i="12766" s="1"/>
  <c r="I149" i="12766"/>
  <c r="I150" i="12766"/>
  <c r="I414" i="12766" s="1"/>
  <c r="I19" i="12783"/>
  <c r="C130" i="12767"/>
  <c r="C160" i="12767"/>
  <c r="H19" i="12783"/>
  <c r="K19" i="12783"/>
  <c r="N19" i="12783"/>
  <c r="C1224" i="12767"/>
  <c r="C1222" i="12767" s="1"/>
  <c r="H32" i="12783"/>
  <c r="K32" i="12783"/>
  <c r="N32" i="12783"/>
  <c r="C25" i="12767"/>
  <c r="C1197" i="12767"/>
  <c r="C1195" i="12767" s="1"/>
  <c r="H42" i="12783"/>
  <c r="K42" i="12783"/>
  <c r="N42" i="12783"/>
  <c r="C285" i="12767"/>
  <c r="F41" i="12811" s="1"/>
  <c r="C647" i="12767"/>
  <c r="F46" i="12811" s="1"/>
  <c r="C319" i="12767"/>
  <c r="F71" i="12811" s="1"/>
  <c r="C685" i="12767"/>
  <c r="F76" i="12811" s="1"/>
  <c r="E29" i="12773"/>
  <c r="E28" i="12773"/>
  <c r="E27" i="12773"/>
  <c r="E25" i="12773"/>
  <c r="E24" i="12773"/>
  <c r="E23" i="12773"/>
  <c r="E21" i="12773"/>
  <c r="E20" i="12773"/>
  <c r="E19" i="12773"/>
  <c r="E17" i="12773"/>
  <c r="E16" i="12773"/>
  <c r="E15" i="12773"/>
  <c r="E29" i="12772"/>
  <c r="E28" i="12772"/>
  <c r="E27" i="12772"/>
  <c r="E25" i="12772"/>
  <c r="E24" i="12772"/>
  <c r="E23" i="12772"/>
  <c r="E21" i="12772"/>
  <c r="E20" i="12772"/>
  <c r="E19" i="12772"/>
  <c r="E17" i="12772"/>
  <c r="E16" i="12772"/>
  <c r="E15" i="12772"/>
  <c r="E33" i="12771"/>
  <c r="E32" i="12771"/>
  <c r="E31" i="12771"/>
  <c r="E29" i="12771"/>
  <c r="E28" i="12771"/>
  <c r="E27" i="12771"/>
  <c r="E25" i="12771"/>
  <c r="E24" i="12771"/>
  <c r="E23" i="12771"/>
  <c r="E20" i="12771"/>
  <c r="E19" i="12771"/>
  <c r="E18" i="12771"/>
  <c r="E40" i="12770"/>
  <c r="E39" i="12770"/>
  <c r="E38" i="12770"/>
  <c r="E36" i="12770"/>
  <c r="E35" i="12770"/>
  <c r="E34" i="12770"/>
  <c r="E32" i="12770"/>
  <c r="E31" i="12770"/>
  <c r="E30" i="12770"/>
  <c r="E28" i="12770"/>
  <c r="E27" i="12770"/>
  <c r="E26" i="12770"/>
  <c r="E24" i="12770"/>
  <c r="E23" i="12770"/>
  <c r="E22" i="12770"/>
  <c r="E20" i="12770"/>
  <c r="E19" i="12770"/>
  <c r="E18" i="12770"/>
  <c r="E32" i="12769"/>
  <c r="E31" i="12769"/>
  <c r="E30" i="12769"/>
  <c r="E28" i="12769"/>
  <c r="E27" i="12769"/>
  <c r="E26" i="12769"/>
  <c r="D24" i="12769"/>
  <c r="E24" i="12769" s="1"/>
  <c r="D23" i="12769"/>
  <c r="E23" i="12769" s="1"/>
  <c r="D22" i="12769"/>
  <c r="E22" i="12769" s="1"/>
  <c r="E20" i="12769"/>
  <c r="E19" i="12769"/>
  <c r="E18" i="12769"/>
  <c r="Y15" i="12769"/>
  <c r="X15" i="12769"/>
  <c r="C1164" i="12767"/>
  <c r="C1163" i="12767"/>
  <c r="AE1193" i="12767"/>
  <c r="AD1190" i="12767"/>
  <c r="AD1189" i="12767"/>
  <c r="AD1188" i="12767"/>
  <c r="AD1187" i="12767"/>
  <c r="AD1186" i="12767"/>
  <c r="AD1179" i="12767"/>
  <c r="AD1180" i="12767"/>
  <c r="AD1181" i="12767"/>
  <c r="AD1182" i="12767"/>
  <c r="AD1183" i="12767"/>
  <c r="AD1178" i="12767"/>
  <c r="L1133" i="12767"/>
  <c r="F1133" i="12767"/>
  <c r="L1134" i="12767"/>
  <c r="F1134" i="12767"/>
  <c r="L1130" i="12767"/>
  <c r="F1130" i="12767"/>
  <c r="L1132" i="12767"/>
  <c r="F1132" i="12767"/>
  <c r="L1131" i="12767"/>
  <c r="F1131" i="12767"/>
  <c r="P31" i="12775"/>
  <c r="P29" i="12775"/>
  <c r="C594" i="12767"/>
  <c r="C596" i="12767" s="1"/>
  <c r="I64" i="12763"/>
  <c r="P6" i="12775"/>
  <c r="P8" i="12775"/>
  <c r="P9" i="12775"/>
  <c r="P10" i="12775"/>
  <c r="P14" i="12775"/>
  <c r="P16" i="12775"/>
  <c r="P17" i="12775"/>
  <c r="P18" i="12775"/>
  <c r="P19" i="12775"/>
  <c r="P20" i="12775"/>
  <c r="P21" i="12775"/>
  <c r="P24" i="12775"/>
  <c r="P25" i="12775"/>
  <c r="P26" i="12775"/>
  <c r="P27" i="12775"/>
  <c r="P28" i="12775"/>
  <c r="P30" i="12775"/>
  <c r="AD32" i="12775"/>
  <c r="D36" i="12775"/>
  <c r="E36" i="12775"/>
  <c r="F36" i="12775"/>
  <c r="G36" i="12775"/>
  <c r="H36" i="12775"/>
  <c r="I36" i="12775"/>
  <c r="J36" i="12775"/>
  <c r="K36" i="12775"/>
  <c r="L36" i="12775"/>
  <c r="M36" i="12775"/>
  <c r="N36" i="12775"/>
  <c r="O36" i="12775"/>
  <c r="P38" i="12775"/>
  <c r="P39" i="12775"/>
  <c r="P40" i="12775"/>
  <c r="P41" i="12775"/>
  <c r="P42" i="12775"/>
  <c r="AD43" i="12775"/>
  <c r="P6" i="12774"/>
  <c r="AJ6" i="12774" s="1"/>
  <c r="P7" i="12774"/>
  <c r="AJ7" i="12774" s="1"/>
  <c r="P8" i="12774"/>
  <c r="AJ8" i="12774" s="1"/>
  <c r="P10" i="12774"/>
  <c r="AJ10" i="12774" s="1"/>
  <c r="P14" i="12774"/>
  <c r="AJ14" i="12774" s="1"/>
  <c r="P15" i="12774"/>
  <c r="AJ15" i="12774" s="1"/>
  <c r="P16" i="12774"/>
  <c r="AJ16" i="12774" s="1"/>
  <c r="P17" i="12774"/>
  <c r="AJ17" i="12774" s="1"/>
  <c r="P18" i="12774"/>
  <c r="AJ18" i="12774" s="1"/>
  <c r="P19" i="12774"/>
  <c r="AJ19" i="12774" s="1"/>
  <c r="AJ20" i="12774"/>
  <c r="P21" i="12774"/>
  <c r="AJ21" i="12774" s="1"/>
  <c r="P24" i="12774"/>
  <c r="AJ24" i="12774" s="1"/>
  <c r="P25" i="12774"/>
  <c r="AJ25" i="12774" s="1"/>
  <c r="P26" i="12774"/>
  <c r="AJ26" i="12774" s="1"/>
  <c r="P27" i="12774"/>
  <c r="AJ27" i="12774" s="1"/>
  <c r="P28" i="12774"/>
  <c r="AJ28" i="12774" s="1"/>
  <c r="P29" i="12774"/>
  <c r="AJ29" i="12774" s="1"/>
  <c r="P30" i="12774"/>
  <c r="AJ30" i="12774" s="1"/>
  <c r="P31" i="12774"/>
  <c r="AJ31" i="12774" s="1"/>
  <c r="AD32" i="12774"/>
  <c r="P35" i="12774"/>
  <c r="AJ35" i="12774" s="1"/>
  <c r="P38" i="12774"/>
  <c r="AJ38" i="12774" s="1"/>
  <c r="P39" i="12774"/>
  <c r="AJ39" i="12774" s="1"/>
  <c r="P40" i="12774"/>
  <c r="AJ40" i="12774" s="1"/>
  <c r="P41" i="12774"/>
  <c r="AJ41" i="12774" s="1"/>
  <c r="P42" i="12774"/>
  <c r="AJ42" i="12774" s="1"/>
  <c r="AD43" i="12774"/>
  <c r="H45" i="12774"/>
  <c r="C33" i="12766"/>
  <c r="D33" i="12766" s="1"/>
  <c r="H33" i="12766" s="1"/>
  <c r="C50" i="12766"/>
  <c r="C67" i="12766"/>
  <c r="D67" i="12766" s="1"/>
  <c r="H67" i="12766" s="1"/>
  <c r="I33" i="12766"/>
  <c r="I50" i="12766"/>
  <c r="I67" i="12766"/>
  <c r="O27" i="12766"/>
  <c r="C34" i="12766"/>
  <c r="D34" i="12766" s="1"/>
  <c r="H34" i="12766" s="1"/>
  <c r="C35" i="12766"/>
  <c r="D35" i="12766" s="1"/>
  <c r="C37" i="12766"/>
  <c r="D37" i="12766" s="1"/>
  <c r="H37" i="12766" s="1"/>
  <c r="C38" i="12766"/>
  <c r="D38" i="12766" s="1"/>
  <c r="C39" i="12766"/>
  <c r="C40" i="12766"/>
  <c r="D40" i="12766" s="1"/>
  <c r="C51" i="12766"/>
  <c r="C52" i="12766"/>
  <c r="D52" i="12766" s="1"/>
  <c r="H52" i="12766" s="1"/>
  <c r="C54" i="12766"/>
  <c r="D54" i="12766" s="1"/>
  <c r="H54" i="12766" s="1"/>
  <c r="C55" i="12766"/>
  <c r="D55" i="12766" s="1"/>
  <c r="H55" i="12766" s="1"/>
  <c r="C56" i="12766"/>
  <c r="D56" i="12766" s="1"/>
  <c r="H56" i="12766" s="1"/>
  <c r="C57" i="12766"/>
  <c r="D57" i="12766" s="1"/>
  <c r="H57" i="12766" s="1"/>
  <c r="C68" i="12766"/>
  <c r="D68" i="12766" s="1"/>
  <c r="H68" i="12766" s="1"/>
  <c r="C69" i="12766"/>
  <c r="C71" i="12766"/>
  <c r="D71" i="12766" s="1"/>
  <c r="H71" i="12766" s="1"/>
  <c r="C72" i="12766"/>
  <c r="D72" i="12766" s="1"/>
  <c r="C73" i="12766"/>
  <c r="D73" i="12766" s="1"/>
  <c r="H73" i="12766" s="1"/>
  <c r="C74" i="12766"/>
  <c r="D74" i="12766" s="1"/>
  <c r="H74" i="12766" s="1"/>
  <c r="I40" i="12766"/>
  <c r="I57" i="12766"/>
  <c r="I74" i="12766"/>
  <c r="G51" i="12766"/>
  <c r="I34" i="12766"/>
  <c r="I51" i="12766"/>
  <c r="I68" i="12766"/>
  <c r="G35" i="12766"/>
  <c r="I35" i="12766"/>
  <c r="I52" i="12766"/>
  <c r="K52" i="12766" s="1"/>
  <c r="I69" i="12766"/>
  <c r="G37" i="12766"/>
  <c r="I37" i="12766"/>
  <c r="I54" i="12766"/>
  <c r="I71" i="12766"/>
  <c r="G55" i="12766"/>
  <c r="I38" i="12766"/>
  <c r="I55" i="12766"/>
  <c r="I72" i="12766"/>
  <c r="I39" i="12766"/>
  <c r="I56" i="12766"/>
  <c r="I73" i="12766"/>
  <c r="C75" i="12766"/>
  <c r="C24" i="12766" s="1"/>
  <c r="D24" i="12766"/>
  <c r="C25" i="12766"/>
  <c r="D25" i="12766"/>
  <c r="D27" i="12766" s="1"/>
  <c r="C26" i="12766"/>
  <c r="G26" i="12766"/>
  <c r="K26" i="12766"/>
  <c r="C44" i="12766"/>
  <c r="D44" i="12766"/>
  <c r="C61" i="12766"/>
  <c r="D61" i="12766"/>
  <c r="C78" i="12766"/>
  <c r="D78" i="12766"/>
  <c r="I96" i="12766"/>
  <c r="K96" i="12766" s="1"/>
  <c r="C102" i="12766"/>
  <c r="C104" i="12766" s="1"/>
  <c r="I97" i="12766"/>
  <c r="K97" i="12766" s="1"/>
  <c r="I98" i="12766"/>
  <c r="K98" i="12766" s="1"/>
  <c r="I99" i="12766"/>
  <c r="K99" i="12766" s="1"/>
  <c r="I100" i="12766"/>
  <c r="K100" i="12766" s="1"/>
  <c r="I88" i="12766"/>
  <c r="I109" i="12766"/>
  <c r="K109" i="12766" s="1"/>
  <c r="C111" i="12766"/>
  <c r="I110" i="12766"/>
  <c r="K110" i="12766" s="1"/>
  <c r="I111" i="12766"/>
  <c r="K111" i="12766" s="1"/>
  <c r="I112" i="12766"/>
  <c r="K112" i="12766" s="1"/>
  <c r="I113" i="12766"/>
  <c r="K113" i="12766" s="1"/>
  <c r="I122" i="12766"/>
  <c r="K122" i="12766" s="1"/>
  <c r="C128" i="12766"/>
  <c r="I123" i="12766"/>
  <c r="K123" i="12766" s="1"/>
  <c r="I124" i="12766"/>
  <c r="K124" i="12766" s="1"/>
  <c r="I125" i="12766"/>
  <c r="K125" i="12766" s="1"/>
  <c r="I126" i="12766"/>
  <c r="K126" i="12766" s="1"/>
  <c r="I135" i="12766"/>
  <c r="K135" i="12766" s="1"/>
  <c r="C137" i="12766"/>
  <c r="C141" i="12766" s="1"/>
  <c r="C143" i="12766" s="1"/>
  <c r="I136" i="12766"/>
  <c r="K136" i="12766" s="1"/>
  <c r="I137" i="12766"/>
  <c r="K137" i="12766" s="1"/>
  <c r="I138" i="12766"/>
  <c r="K138" i="12766" s="1"/>
  <c r="I139" i="12766"/>
  <c r="K139" i="12766" s="1"/>
  <c r="K90" i="12766"/>
  <c r="D84" i="12766"/>
  <c r="M84" i="12766" s="1"/>
  <c r="D85" i="12766"/>
  <c r="D83" i="12766"/>
  <c r="M83" i="12766" s="1"/>
  <c r="C96" i="12766"/>
  <c r="G109" i="12766"/>
  <c r="G122" i="12766"/>
  <c r="G135" i="12766"/>
  <c r="H96" i="12766"/>
  <c r="H109" i="12766"/>
  <c r="H122" i="12766"/>
  <c r="H135" i="12766"/>
  <c r="O83" i="12766"/>
  <c r="C84" i="12766"/>
  <c r="G97" i="12766"/>
  <c r="G123" i="12766"/>
  <c r="G110" i="12766"/>
  <c r="G136" i="12766"/>
  <c r="H97" i="12766"/>
  <c r="H110" i="12766"/>
  <c r="H123" i="12766"/>
  <c r="H136" i="12766"/>
  <c r="O84" i="12766"/>
  <c r="Q84" i="12766"/>
  <c r="G98" i="12766"/>
  <c r="G124" i="12766"/>
  <c r="G137" i="12766"/>
  <c r="H98" i="12766"/>
  <c r="H111" i="12766"/>
  <c r="H124" i="12766"/>
  <c r="H137" i="12766"/>
  <c r="O85" i="12766"/>
  <c r="Q85" i="12766"/>
  <c r="C86" i="12766"/>
  <c r="D86" i="12766"/>
  <c r="M86" i="12766" s="1"/>
  <c r="G99" i="12766"/>
  <c r="G112" i="12766"/>
  <c r="G125" i="12766"/>
  <c r="G138" i="12766"/>
  <c r="H125" i="12766"/>
  <c r="H138" i="12766"/>
  <c r="O86" i="12766"/>
  <c r="C87" i="12766"/>
  <c r="D87" i="12766"/>
  <c r="G100" i="12766"/>
  <c r="G113" i="12766"/>
  <c r="G126" i="12766"/>
  <c r="G139" i="12766"/>
  <c r="H126" i="12766"/>
  <c r="H139" i="12766"/>
  <c r="M87" i="12766"/>
  <c r="O87" i="12766"/>
  <c r="C88" i="12766"/>
  <c r="D88" i="12766"/>
  <c r="M88" i="12766" s="1"/>
  <c r="E88" i="12766"/>
  <c r="E101" i="12766"/>
  <c r="G101" i="12766" s="1"/>
  <c r="E114" i="12766"/>
  <c r="G114" i="12766" s="1"/>
  <c r="E127" i="12766"/>
  <c r="G127" i="12766" s="1"/>
  <c r="E140" i="12766"/>
  <c r="G140" i="12766" s="1"/>
  <c r="D89" i="12766"/>
  <c r="C90" i="12766"/>
  <c r="D90" i="12766"/>
  <c r="G90" i="12766"/>
  <c r="H90" i="12766"/>
  <c r="O91" i="12766"/>
  <c r="D104" i="12766"/>
  <c r="D117" i="12766"/>
  <c r="C130" i="12766"/>
  <c r="D130" i="12766"/>
  <c r="D143" i="12766"/>
  <c r="C149" i="12766"/>
  <c r="C387" i="12766"/>
  <c r="D384" i="12766" s="1"/>
  <c r="D149" i="12766" s="1"/>
  <c r="M149" i="12766" s="1"/>
  <c r="E149" i="12766"/>
  <c r="O149" i="12766" s="1"/>
  <c r="G384" i="12766"/>
  <c r="G413" i="12766"/>
  <c r="C417" i="12766"/>
  <c r="D413" i="12766" s="1"/>
  <c r="I384" i="12766"/>
  <c r="I413" i="12766"/>
  <c r="C356" i="12766"/>
  <c r="C150" i="12766" s="1"/>
  <c r="D385" i="12766"/>
  <c r="G385" i="12766"/>
  <c r="G414" i="12766"/>
  <c r="H385" i="12766"/>
  <c r="I385" i="12766"/>
  <c r="K385" i="12766" s="1"/>
  <c r="O150" i="12766"/>
  <c r="C386" i="12766"/>
  <c r="C357" i="12766" s="1"/>
  <c r="C151" i="12766" s="1"/>
  <c r="C390" i="12766"/>
  <c r="C391" i="12766"/>
  <c r="G391" i="12766" s="1"/>
  <c r="C392" i="12766"/>
  <c r="G392" i="12766" s="1"/>
  <c r="C419" i="12766"/>
  <c r="G419" i="12766" s="1"/>
  <c r="C420" i="12766"/>
  <c r="G415" i="12766"/>
  <c r="H415" i="12766"/>
  <c r="I386" i="12766"/>
  <c r="I415" i="12766"/>
  <c r="K415" i="12766" s="1"/>
  <c r="O151" i="12766"/>
  <c r="C211" i="12766"/>
  <c r="C239" i="12766"/>
  <c r="C296" i="12766"/>
  <c r="C267" i="12766" s="1"/>
  <c r="C212" i="12766"/>
  <c r="G212" i="12766" s="1"/>
  <c r="C240" i="12766"/>
  <c r="C300" i="12766"/>
  <c r="D325" i="12766"/>
  <c r="H325" i="12766" s="1"/>
  <c r="G239" i="12766"/>
  <c r="G325" i="12766"/>
  <c r="H211" i="12766"/>
  <c r="I211" i="12766"/>
  <c r="K211" i="12766" s="1"/>
  <c r="I239" i="12766"/>
  <c r="I296" i="12766"/>
  <c r="I325" i="12766"/>
  <c r="O153" i="12766"/>
  <c r="C268" i="12766"/>
  <c r="C328" i="12766"/>
  <c r="C299" i="12766"/>
  <c r="D268" i="12766"/>
  <c r="G297" i="12766"/>
  <c r="G326" i="12766"/>
  <c r="H212" i="12766"/>
  <c r="H297" i="12766"/>
  <c r="H326" i="12766"/>
  <c r="I212" i="12766"/>
  <c r="K212" i="12766" s="1"/>
  <c r="I240" i="12766"/>
  <c r="I250" i="12766" s="1"/>
  <c r="I297" i="12766"/>
  <c r="K297" i="12766" s="1"/>
  <c r="I326" i="12766"/>
  <c r="K326" i="12766" s="1"/>
  <c r="O154" i="12766"/>
  <c r="C213" i="12766"/>
  <c r="G213" i="12766" s="1"/>
  <c r="C241" i="12766"/>
  <c r="C269" i="12766"/>
  <c r="C231" i="12766"/>
  <c r="C244" i="12766"/>
  <c r="C188" i="12766" s="1"/>
  <c r="C245" i="12766"/>
  <c r="C331" i="12766"/>
  <c r="C333" i="12766" s="1"/>
  <c r="C346" i="12766" s="1"/>
  <c r="C302" i="12766"/>
  <c r="C303" i="12766"/>
  <c r="C274" i="12766" s="1"/>
  <c r="D269" i="12766"/>
  <c r="G298" i="12766"/>
  <c r="G327" i="12766"/>
  <c r="H298" i="12766"/>
  <c r="H269" i="12766" s="1"/>
  <c r="H327" i="12766"/>
  <c r="I213" i="12766"/>
  <c r="I241" i="12766"/>
  <c r="I251" i="12766" s="1"/>
  <c r="I298" i="12766"/>
  <c r="K298" i="12766" s="1"/>
  <c r="I327" i="12766"/>
  <c r="K327" i="12766" s="1"/>
  <c r="O155" i="12766"/>
  <c r="C416" i="12766"/>
  <c r="C358" i="12766" s="1"/>
  <c r="D271" i="12766"/>
  <c r="C215" i="12766"/>
  <c r="C243" i="12766"/>
  <c r="G243" i="12766" s="1"/>
  <c r="C272" i="12766"/>
  <c r="C389" i="12766"/>
  <c r="G389" i="12766" s="1"/>
  <c r="C418" i="12766"/>
  <c r="D272" i="12766"/>
  <c r="G301" i="12766"/>
  <c r="G330" i="12766"/>
  <c r="H301" i="12766"/>
  <c r="H330" i="12766"/>
  <c r="I215" i="12766"/>
  <c r="I243" i="12766"/>
  <c r="I252" i="12766" s="1"/>
  <c r="I301" i="12766"/>
  <c r="K301" i="12766" s="1"/>
  <c r="I330" i="12766"/>
  <c r="K330" i="12766" s="1"/>
  <c r="I389" i="12766"/>
  <c r="I398" i="12766" s="1"/>
  <c r="I418" i="12766"/>
  <c r="I427" i="12766" s="1"/>
  <c r="O158" i="12766"/>
  <c r="C273" i="12766"/>
  <c r="G216" i="12766"/>
  <c r="G302" i="12766"/>
  <c r="I216" i="12766"/>
  <c r="I225" i="12766" s="1"/>
  <c r="I244" i="12766"/>
  <c r="I302" i="12766"/>
  <c r="I331" i="12766"/>
  <c r="I340" i="12766" s="1"/>
  <c r="I390" i="12766"/>
  <c r="I399" i="12766" s="1"/>
  <c r="I419" i="12766"/>
  <c r="O159" i="12766"/>
  <c r="H332" i="12766"/>
  <c r="I245" i="12766"/>
  <c r="I254" i="12766" s="1"/>
  <c r="G217" i="12766"/>
  <c r="G332" i="12766"/>
  <c r="D218" i="12766"/>
  <c r="H218" i="12766" s="1"/>
  <c r="G218" i="12766"/>
  <c r="G421" i="12766"/>
  <c r="H333" i="12766"/>
  <c r="O161" i="12766"/>
  <c r="C219" i="12766"/>
  <c r="D219" i="12766" s="1"/>
  <c r="C247" i="12766"/>
  <c r="C276" i="12766"/>
  <c r="C393" i="12766"/>
  <c r="C364" i="12766" s="1"/>
  <c r="G219" i="12766"/>
  <c r="G305" i="12766"/>
  <c r="G334" i="12766"/>
  <c r="G393" i="12766"/>
  <c r="G422" i="12766"/>
  <c r="H334" i="12766"/>
  <c r="I219" i="12766"/>
  <c r="I247" i="12766"/>
  <c r="I305" i="12766"/>
  <c r="I314" i="12766" s="1"/>
  <c r="I334" i="12766"/>
  <c r="K334" i="12766" s="1"/>
  <c r="I393" i="12766"/>
  <c r="I422" i="12766"/>
  <c r="O162" i="12766"/>
  <c r="C221" i="12766"/>
  <c r="C193" i="12766" s="1"/>
  <c r="C164" i="12766" s="1"/>
  <c r="E164" i="12766"/>
  <c r="E221" i="12766"/>
  <c r="G221" i="12766" s="1"/>
  <c r="E249" i="12766"/>
  <c r="G249" i="12766" s="1"/>
  <c r="E307" i="12766"/>
  <c r="G307" i="12766" s="1"/>
  <c r="E336" i="12766"/>
  <c r="G336" i="12766" s="1"/>
  <c r="E395" i="12766"/>
  <c r="H395" i="12766" s="1"/>
  <c r="E424" i="12766"/>
  <c r="G424" i="12766" s="1"/>
  <c r="H336" i="12766"/>
  <c r="D395" i="12766"/>
  <c r="I164" i="12766"/>
  <c r="I221" i="12766"/>
  <c r="K221" i="12766" s="1"/>
  <c r="I249" i="12766"/>
  <c r="I395" i="12766"/>
  <c r="I424" i="12766"/>
  <c r="C222" i="12766"/>
  <c r="C194" i="12766" s="1"/>
  <c r="C165" i="12766" s="1"/>
  <c r="E165" i="12766"/>
  <c r="E222" i="12766"/>
  <c r="E250" i="12766"/>
  <c r="G250" i="12766" s="1"/>
  <c r="E308" i="12766"/>
  <c r="G308" i="12766" s="1"/>
  <c r="E337" i="12766"/>
  <c r="G337" i="12766" s="1"/>
  <c r="E396" i="12766"/>
  <c r="G396" i="12766" s="1"/>
  <c r="E425" i="12766"/>
  <c r="G425" i="12766" s="1"/>
  <c r="H222" i="12766"/>
  <c r="D396" i="12766"/>
  <c r="I165" i="12766"/>
  <c r="I337" i="12766"/>
  <c r="K337" i="12766" s="1"/>
  <c r="I396" i="12766"/>
  <c r="C223" i="12766"/>
  <c r="C195" i="12766" s="1"/>
  <c r="C166" i="12766" s="1"/>
  <c r="E166" i="12766"/>
  <c r="E223" i="12766"/>
  <c r="G223" i="12766" s="1"/>
  <c r="E251" i="12766"/>
  <c r="G251" i="12766" s="1"/>
  <c r="E309" i="12766"/>
  <c r="G309" i="12766" s="1"/>
  <c r="E338" i="12766"/>
  <c r="G338" i="12766" s="1"/>
  <c r="E397" i="12766"/>
  <c r="G397" i="12766" s="1"/>
  <c r="E426" i="12766"/>
  <c r="G426" i="12766" s="1"/>
  <c r="I166" i="12766"/>
  <c r="I223" i="12766"/>
  <c r="I309" i="12766"/>
  <c r="I338" i="12766"/>
  <c r="K338" i="12766" s="1"/>
  <c r="I397" i="12766"/>
  <c r="C224" i="12766"/>
  <c r="C196" i="12766" s="1"/>
  <c r="C167" i="12766" s="1"/>
  <c r="E167" i="12766"/>
  <c r="E224" i="12766"/>
  <c r="E252" i="12766"/>
  <c r="G252" i="12766" s="1"/>
  <c r="E310" i="12766"/>
  <c r="G310" i="12766" s="1"/>
  <c r="E339" i="12766"/>
  <c r="G339" i="12766" s="1"/>
  <c r="E398" i="12766"/>
  <c r="G398" i="12766" s="1"/>
  <c r="E427" i="12766"/>
  <c r="G427" i="12766" s="1"/>
  <c r="H339" i="12766"/>
  <c r="I167" i="12766"/>
  <c r="I224" i="12766"/>
  <c r="C225" i="12766"/>
  <c r="C197" i="12766" s="1"/>
  <c r="C168" i="12766" s="1"/>
  <c r="E168" i="12766"/>
  <c r="E225" i="12766"/>
  <c r="E253" i="12766"/>
  <c r="G253" i="12766" s="1"/>
  <c r="E311" i="12766"/>
  <c r="G311" i="12766" s="1"/>
  <c r="E340" i="12766"/>
  <c r="G340" i="12766" s="1"/>
  <c r="E399" i="12766"/>
  <c r="G399" i="12766" s="1"/>
  <c r="E428" i="12766"/>
  <c r="G428" i="12766" s="1"/>
  <c r="I168" i="12766"/>
  <c r="I220" i="12766"/>
  <c r="I253" i="12766"/>
  <c r="I248" i="12766"/>
  <c r="I306" i="12766"/>
  <c r="I335" i="12766"/>
  <c r="I394" i="12766"/>
  <c r="I428" i="12766"/>
  <c r="I423" i="12766"/>
  <c r="C226" i="12766"/>
  <c r="C198" i="12766" s="1"/>
  <c r="C169" i="12766" s="1"/>
  <c r="E169" i="12766"/>
  <c r="E226" i="12766"/>
  <c r="E254" i="12766"/>
  <c r="G254" i="12766" s="1"/>
  <c r="E312" i="12766"/>
  <c r="G312" i="12766" s="1"/>
  <c r="E341" i="12766"/>
  <c r="G341" i="12766" s="1"/>
  <c r="E400" i="12766"/>
  <c r="G400" i="12766" s="1"/>
  <c r="E429" i="12766"/>
  <c r="G429" i="12766" s="1"/>
  <c r="H341" i="12766"/>
  <c r="E170" i="12766"/>
  <c r="E227" i="12766"/>
  <c r="E255" i="12766"/>
  <c r="G255" i="12766" s="1"/>
  <c r="E313" i="12766"/>
  <c r="G313" i="12766" s="1"/>
  <c r="E342" i="12766"/>
  <c r="G342" i="12766" s="1"/>
  <c r="E401" i="12766"/>
  <c r="G401" i="12766" s="1"/>
  <c r="E430" i="12766"/>
  <c r="G430" i="12766" s="1"/>
  <c r="C228" i="12766"/>
  <c r="C200" i="12766" s="1"/>
  <c r="C171" i="12766" s="1"/>
  <c r="E171" i="12766"/>
  <c r="E228" i="12766"/>
  <c r="E256" i="12766"/>
  <c r="G256" i="12766" s="1"/>
  <c r="E314" i="12766"/>
  <c r="G314" i="12766" s="1"/>
  <c r="E343" i="12766"/>
  <c r="E402" i="12766"/>
  <c r="G402" i="12766" s="1"/>
  <c r="E431" i="12766"/>
  <c r="G431" i="12766" s="1"/>
  <c r="I171" i="12766"/>
  <c r="C229" i="12766"/>
  <c r="C201" i="12766" s="1"/>
  <c r="C172" i="12766" s="1"/>
  <c r="G257" i="12766"/>
  <c r="G315" i="12766"/>
  <c r="G344" i="12766"/>
  <c r="G403" i="12766"/>
  <c r="G432" i="12766"/>
  <c r="H344" i="12766"/>
  <c r="D432" i="12766"/>
  <c r="H432" i="12766" s="1"/>
  <c r="I229" i="12766"/>
  <c r="I257" i="12766"/>
  <c r="I315" i="12766"/>
  <c r="I344" i="12766"/>
  <c r="K344" i="12766" s="1"/>
  <c r="I403" i="12766"/>
  <c r="I432" i="12766"/>
  <c r="C230" i="12766"/>
  <c r="D230" i="12766" s="1"/>
  <c r="H230" i="12766" s="1"/>
  <c r="G258" i="12766"/>
  <c r="G316" i="12766"/>
  <c r="G345" i="12766"/>
  <c r="G404" i="12766"/>
  <c r="G433" i="12766"/>
  <c r="H345" i="12766"/>
  <c r="I230" i="12766"/>
  <c r="I258" i="12766"/>
  <c r="I316" i="12766"/>
  <c r="I345" i="12766"/>
  <c r="K345" i="12766" s="1"/>
  <c r="I404" i="12766"/>
  <c r="I433" i="12766"/>
  <c r="D203" i="12766"/>
  <c r="D205" i="12766" s="1"/>
  <c r="D288" i="12766"/>
  <c r="D376" i="12766"/>
  <c r="C204" i="12766"/>
  <c r="C289" i="12766"/>
  <c r="C377" i="12766"/>
  <c r="D204" i="12766"/>
  <c r="D289" i="12766"/>
  <c r="D377" i="12766"/>
  <c r="G204" i="12766"/>
  <c r="G289" i="12766"/>
  <c r="G377" i="12766"/>
  <c r="H289" i="12766"/>
  <c r="H377" i="12766"/>
  <c r="H204" i="12766"/>
  <c r="K204" i="12766"/>
  <c r="K289" i="12766"/>
  <c r="K377" i="12766"/>
  <c r="O176" i="12766"/>
  <c r="I183" i="12766"/>
  <c r="I184" i="12766"/>
  <c r="I194" i="12766" s="1"/>
  <c r="I185" i="12766"/>
  <c r="I195" i="12766" s="1"/>
  <c r="I187" i="12766"/>
  <c r="I196" i="12766" s="1"/>
  <c r="I188" i="12766"/>
  <c r="I197" i="12766" s="1"/>
  <c r="I189" i="12766"/>
  <c r="I198" i="12766" s="1"/>
  <c r="I191" i="12766"/>
  <c r="I200" i="12766" s="1"/>
  <c r="I192" i="12766"/>
  <c r="E193" i="12766"/>
  <c r="I193" i="12766"/>
  <c r="E194" i="12766"/>
  <c r="E195" i="12766"/>
  <c r="E196" i="12766"/>
  <c r="E197" i="12766"/>
  <c r="E198" i="12766"/>
  <c r="E199" i="12766"/>
  <c r="E200" i="12766"/>
  <c r="I201" i="12766"/>
  <c r="I202" i="12766"/>
  <c r="D214" i="12766"/>
  <c r="C233" i="12766"/>
  <c r="D233" i="12766"/>
  <c r="D261" i="12766"/>
  <c r="I267" i="12766"/>
  <c r="I268" i="12766"/>
  <c r="I278" i="12766" s="1"/>
  <c r="I269" i="12766"/>
  <c r="I279" i="12766" s="1"/>
  <c r="I272" i="12766"/>
  <c r="I281" i="12766" s="1"/>
  <c r="I273" i="12766"/>
  <c r="I282" i="12766" s="1"/>
  <c r="I276" i="12766"/>
  <c r="I285" i="12766" s="1"/>
  <c r="I277" i="12766"/>
  <c r="E278" i="12766"/>
  <c r="E279" i="12766"/>
  <c r="E280" i="12766"/>
  <c r="I280" i="12766"/>
  <c r="E281" i="12766"/>
  <c r="E282" i="12766"/>
  <c r="E283" i="12766"/>
  <c r="E284" i="12766"/>
  <c r="E285" i="12766"/>
  <c r="I286" i="12766"/>
  <c r="I287" i="12766"/>
  <c r="D319" i="12766"/>
  <c r="D328" i="12766"/>
  <c r="D348" i="12766"/>
  <c r="C355" i="12766"/>
  <c r="I355" i="12766"/>
  <c r="I366" i="12766" s="1"/>
  <c r="I357" i="12766"/>
  <c r="I368" i="12766" s="1"/>
  <c r="C388" i="12766"/>
  <c r="I360" i="12766"/>
  <c r="I369" i="12766" s="1"/>
  <c r="I361" i="12766"/>
  <c r="I370" i="12766" s="1"/>
  <c r="I364" i="12766"/>
  <c r="I373" i="12766" s="1"/>
  <c r="I365" i="12766"/>
  <c r="E366" i="12766"/>
  <c r="E367" i="12766"/>
  <c r="E368" i="12766"/>
  <c r="E369" i="12766"/>
  <c r="E370" i="12766"/>
  <c r="E371" i="12766"/>
  <c r="E372" i="12766"/>
  <c r="E373" i="12766"/>
  <c r="I374" i="12766"/>
  <c r="I375" i="12766"/>
  <c r="D407" i="12766"/>
  <c r="D436" i="12766"/>
  <c r="E443" i="12766"/>
  <c r="G443" i="12766" s="1"/>
  <c r="H443" i="12766"/>
  <c r="E444" i="12766"/>
  <c r="G444" i="12766" s="1"/>
  <c r="H444" i="12766"/>
  <c r="K444" i="12766"/>
  <c r="E445" i="12766"/>
  <c r="G445" i="12766" s="1"/>
  <c r="H445" i="12766"/>
  <c r="C446" i="12766"/>
  <c r="D446" i="12766"/>
  <c r="E447" i="12766"/>
  <c r="G447" i="12766" s="1"/>
  <c r="H447" i="12766"/>
  <c r="K447" i="12766"/>
  <c r="E448" i="12766"/>
  <c r="G448" i="12766" s="1"/>
  <c r="H448" i="12766"/>
  <c r="E450" i="12766"/>
  <c r="G450" i="12766" s="1"/>
  <c r="H450" i="12766"/>
  <c r="K450" i="12766"/>
  <c r="E452" i="12766"/>
  <c r="G452" i="12766" s="1"/>
  <c r="H452" i="12766"/>
  <c r="E453" i="12766"/>
  <c r="G453" i="12766" s="1"/>
  <c r="H453" i="12766"/>
  <c r="K453" i="12766"/>
  <c r="G454" i="12766"/>
  <c r="H454" i="12766"/>
  <c r="K454" i="12766"/>
  <c r="G455" i="12766"/>
  <c r="H455" i="12766"/>
  <c r="K455" i="12766"/>
  <c r="E457" i="12766"/>
  <c r="G457" i="12766" s="1"/>
  <c r="H457" i="12766"/>
  <c r="H458" i="12766"/>
  <c r="E459" i="12766"/>
  <c r="G459" i="12766" s="1"/>
  <c r="H459" i="12766"/>
  <c r="H460" i="12766"/>
  <c r="H461" i="12766"/>
  <c r="H462" i="12766"/>
  <c r="E463" i="12766"/>
  <c r="G463" i="12766" s="1"/>
  <c r="H463" i="12766"/>
  <c r="H464" i="12766"/>
  <c r="G465" i="12766"/>
  <c r="H465" i="12766"/>
  <c r="K465" i="12766"/>
  <c r="G466" i="12766"/>
  <c r="H466" i="12766"/>
  <c r="K466" i="12766"/>
  <c r="G467" i="12766"/>
  <c r="H467" i="12766"/>
  <c r="K467" i="12766"/>
  <c r="G468" i="12766"/>
  <c r="H468" i="12766"/>
  <c r="K468" i="12766"/>
  <c r="H471" i="12766"/>
  <c r="C472" i="12766"/>
  <c r="C474" i="12766" s="1"/>
  <c r="D472" i="12766"/>
  <c r="D474" i="12766" s="1"/>
  <c r="C514" i="12766"/>
  <c r="G514" i="12766" s="1"/>
  <c r="C548" i="12766"/>
  <c r="G548" i="12766" s="1"/>
  <c r="C515" i="12766"/>
  <c r="G515" i="12766" s="1"/>
  <c r="C516" i="12766"/>
  <c r="C549" i="12766"/>
  <c r="G549" i="12766" s="1"/>
  <c r="C550" i="12766"/>
  <c r="D480" i="12766"/>
  <c r="M480" i="12766" s="1"/>
  <c r="H514" i="12766"/>
  <c r="H548" i="12766"/>
  <c r="I514" i="12766"/>
  <c r="K514" i="12766" s="1"/>
  <c r="I548" i="12766"/>
  <c r="K548" i="12766" s="1"/>
  <c r="O480" i="12766"/>
  <c r="I515" i="12766"/>
  <c r="I549" i="12766"/>
  <c r="K549" i="12766" s="1"/>
  <c r="I516" i="12766"/>
  <c r="K516" i="12766" s="1"/>
  <c r="I550" i="12766"/>
  <c r="K550" i="12766" s="1"/>
  <c r="C540" i="12766"/>
  <c r="D518" i="12766" s="1"/>
  <c r="H518" i="12766" s="1"/>
  <c r="C518" i="12766"/>
  <c r="G518" i="12766" s="1"/>
  <c r="I518" i="12766"/>
  <c r="C558" i="12766"/>
  <c r="C559" i="12766" s="1"/>
  <c r="C574" i="12766" s="1"/>
  <c r="C552" i="12766"/>
  <c r="C484" i="12766" s="1"/>
  <c r="I552" i="12766"/>
  <c r="C519" i="12766"/>
  <c r="G519" i="12766" s="1"/>
  <c r="I519" i="12766"/>
  <c r="C553" i="12766"/>
  <c r="C485" i="12766" s="1"/>
  <c r="I553" i="12766"/>
  <c r="I566" i="12766" s="1"/>
  <c r="H515" i="12766"/>
  <c r="H549" i="12766"/>
  <c r="H516" i="12766"/>
  <c r="H550" i="12766"/>
  <c r="S480" i="12766"/>
  <c r="T480" i="12766"/>
  <c r="U480" i="12766"/>
  <c r="V480" i="12766"/>
  <c r="D481" i="12766"/>
  <c r="M481" i="12766" s="1"/>
  <c r="D482" i="12766"/>
  <c r="M482" i="12766" s="1"/>
  <c r="O481" i="12766"/>
  <c r="S481" i="12766"/>
  <c r="T481" i="12766"/>
  <c r="U481" i="12766"/>
  <c r="V481" i="12766"/>
  <c r="G516" i="12766"/>
  <c r="O482" i="12766"/>
  <c r="O484" i="12766"/>
  <c r="O485" i="12766"/>
  <c r="C521" i="12766"/>
  <c r="G521" i="12766" s="1"/>
  <c r="C555" i="12766"/>
  <c r="I521" i="12766"/>
  <c r="I533" i="12766" s="1"/>
  <c r="I555" i="12766"/>
  <c r="I567" i="12766" s="1"/>
  <c r="O487" i="12766"/>
  <c r="C522" i="12766"/>
  <c r="C556" i="12766"/>
  <c r="E488" i="12766"/>
  <c r="E500" i="12766" s="1"/>
  <c r="E522" i="12766"/>
  <c r="E534" i="12766" s="1"/>
  <c r="G534" i="12766" s="1"/>
  <c r="E556" i="12766"/>
  <c r="E568" i="12766" s="1"/>
  <c r="G568" i="12766" s="1"/>
  <c r="I488" i="12766"/>
  <c r="I500" i="12766" s="1"/>
  <c r="I556" i="12766"/>
  <c r="I568" i="12766" s="1"/>
  <c r="G524" i="12766"/>
  <c r="G558" i="12766"/>
  <c r="I524" i="12766"/>
  <c r="I535" i="12766" s="1"/>
  <c r="I558" i="12766"/>
  <c r="I569" i="12766" s="1"/>
  <c r="O490" i="12766"/>
  <c r="G525" i="12766"/>
  <c r="I525" i="12766"/>
  <c r="I536" i="12766" s="1"/>
  <c r="I559" i="12766"/>
  <c r="I570" i="12766" s="1"/>
  <c r="O491" i="12766"/>
  <c r="C526" i="12766"/>
  <c r="G526" i="12766" s="1"/>
  <c r="C560" i="12766"/>
  <c r="I526" i="12766"/>
  <c r="I537" i="12766" s="1"/>
  <c r="I560" i="12766"/>
  <c r="I571" i="12766" s="1"/>
  <c r="O492" i="12766"/>
  <c r="C494" i="12766"/>
  <c r="D494" i="12766"/>
  <c r="E494" i="12766"/>
  <c r="E528" i="12766"/>
  <c r="G528" i="12766" s="1"/>
  <c r="E562" i="12766"/>
  <c r="G562" i="12766" s="1"/>
  <c r="I494" i="12766"/>
  <c r="I528" i="12766"/>
  <c r="I527" i="12766"/>
  <c r="I561" i="12766"/>
  <c r="C529" i="12766"/>
  <c r="C563" i="12766"/>
  <c r="D495" i="12766"/>
  <c r="E495" i="12766"/>
  <c r="E529" i="12766"/>
  <c r="G529" i="12766" s="1"/>
  <c r="E563" i="12766"/>
  <c r="G563" i="12766" s="1"/>
  <c r="I495" i="12766"/>
  <c r="C530" i="12766"/>
  <c r="C564" i="12766"/>
  <c r="D496" i="12766"/>
  <c r="E496" i="12766"/>
  <c r="E530" i="12766"/>
  <c r="G530" i="12766" s="1"/>
  <c r="E564" i="12766"/>
  <c r="G564" i="12766" s="1"/>
  <c r="I496" i="12766"/>
  <c r="M496" i="12766" s="1"/>
  <c r="C531" i="12766"/>
  <c r="C565" i="12766"/>
  <c r="E497" i="12766"/>
  <c r="E531" i="12766"/>
  <c r="E565" i="12766"/>
  <c r="I497" i="12766"/>
  <c r="C532" i="12766"/>
  <c r="C498" i="12766" s="1"/>
  <c r="E498" i="12766"/>
  <c r="E532" i="12766"/>
  <c r="E566" i="12766"/>
  <c r="G566" i="12766" s="1"/>
  <c r="I498" i="12766"/>
  <c r="I532" i="12766"/>
  <c r="C533" i="12766"/>
  <c r="C567" i="12766"/>
  <c r="E499" i="12766"/>
  <c r="E533" i="12766"/>
  <c r="E567" i="12766"/>
  <c r="I499" i="12766"/>
  <c r="C500" i="12766"/>
  <c r="C535" i="12766"/>
  <c r="C536" i="12766" s="1"/>
  <c r="C569" i="12766"/>
  <c r="E501" i="12766"/>
  <c r="E535" i="12766"/>
  <c r="E569" i="12766"/>
  <c r="I501" i="12766"/>
  <c r="E502" i="12766"/>
  <c r="E536" i="12766"/>
  <c r="E570" i="12766"/>
  <c r="I502" i="12766"/>
  <c r="C537" i="12766"/>
  <c r="C503" i="12766" s="1"/>
  <c r="C571" i="12766"/>
  <c r="E503" i="12766"/>
  <c r="E537" i="12766"/>
  <c r="G537" i="12766" s="1"/>
  <c r="E571" i="12766"/>
  <c r="G571" i="12766" s="1"/>
  <c r="I503" i="12766"/>
  <c r="C538" i="12766"/>
  <c r="G538" i="12766" s="1"/>
  <c r="D504" i="12766"/>
  <c r="M504" i="12766" s="1"/>
  <c r="H538" i="12766"/>
  <c r="H572" i="12766"/>
  <c r="I538" i="12766"/>
  <c r="K538" i="12766" s="1"/>
  <c r="I572" i="12766"/>
  <c r="K572" i="12766" s="1"/>
  <c r="C539" i="12766"/>
  <c r="G539" i="12766" s="1"/>
  <c r="D506" i="12766"/>
  <c r="C507" i="12766"/>
  <c r="D507" i="12766"/>
  <c r="G507" i="12766"/>
  <c r="H507" i="12766"/>
  <c r="K507" i="12766"/>
  <c r="O508" i="12766"/>
  <c r="D517" i="12766"/>
  <c r="D551" i="12766"/>
  <c r="C633" i="12766"/>
  <c r="C582" i="12766" s="1"/>
  <c r="C635" i="12766"/>
  <c r="C636" i="12766"/>
  <c r="C637" i="12766"/>
  <c r="C686" i="12766"/>
  <c r="G686" i="12766" s="1"/>
  <c r="C687" i="12766"/>
  <c r="G687" i="12766" s="1"/>
  <c r="C688" i="12766"/>
  <c r="G688" i="12766" s="1"/>
  <c r="D582" i="12766"/>
  <c r="M582" i="12766" s="1"/>
  <c r="G684" i="12766"/>
  <c r="H633" i="12766"/>
  <c r="H684" i="12766"/>
  <c r="I633" i="12766"/>
  <c r="K633" i="12766" s="1"/>
  <c r="I684" i="12766"/>
  <c r="K684" i="12766" s="1"/>
  <c r="E593" i="12766"/>
  <c r="R582" i="12766" s="1"/>
  <c r="S582" i="12766"/>
  <c r="T582" i="12766"/>
  <c r="U582" i="12766"/>
  <c r="R583" i="12766"/>
  <c r="S583" i="12766"/>
  <c r="T583" i="12766"/>
  <c r="U583" i="12766"/>
  <c r="D584" i="12766"/>
  <c r="M584" i="12766" s="1"/>
  <c r="H635" i="12766"/>
  <c r="H686" i="12766"/>
  <c r="I635" i="12766"/>
  <c r="K635" i="12766" s="1"/>
  <c r="I686" i="12766"/>
  <c r="K686" i="12766" s="1"/>
  <c r="D585" i="12766"/>
  <c r="M585" i="12766" s="1"/>
  <c r="H636" i="12766"/>
  <c r="H687" i="12766"/>
  <c r="I636" i="12766"/>
  <c r="K636" i="12766" s="1"/>
  <c r="I687" i="12766"/>
  <c r="K687" i="12766" s="1"/>
  <c r="O585" i="12766"/>
  <c r="D586" i="12766"/>
  <c r="M586" i="12766" s="1"/>
  <c r="H637" i="12766"/>
  <c r="H688" i="12766"/>
  <c r="I637" i="12766"/>
  <c r="K637" i="12766" s="1"/>
  <c r="I688" i="12766"/>
  <c r="K688" i="12766" s="1"/>
  <c r="O586" i="12766"/>
  <c r="D587" i="12766"/>
  <c r="S587" i="12766"/>
  <c r="U587" i="12766"/>
  <c r="C639" i="12766"/>
  <c r="C690" i="12766"/>
  <c r="D588" i="12766"/>
  <c r="C640" i="12766"/>
  <c r="C691" i="12766"/>
  <c r="D589" i="12766"/>
  <c r="C642" i="12766"/>
  <c r="C693" i="12766"/>
  <c r="C653" i="12766"/>
  <c r="C676" i="12766" s="1"/>
  <c r="C704" i="12766"/>
  <c r="C727" i="12766" s="1"/>
  <c r="G642" i="12766"/>
  <c r="H642" i="12766"/>
  <c r="I642" i="12766"/>
  <c r="K642" i="12766" s="1"/>
  <c r="I693" i="12766"/>
  <c r="I712" i="12766" s="1"/>
  <c r="O591" i="12766"/>
  <c r="C644" i="12766"/>
  <c r="G644" i="12766" s="1"/>
  <c r="H644" i="12766"/>
  <c r="C695" i="12766"/>
  <c r="G695" i="12766" s="1"/>
  <c r="C645" i="12766"/>
  <c r="G645" i="12766" s="1"/>
  <c r="H645" i="12766"/>
  <c r="C696" i="12766"/>
  <c r="G696" i="12766" s="1"/>
  <c r="C646" i="12766"/>
  <c r="G646" i="12766" s="1"/>
  <c r="H646" i="12766"/>
  <c r="C697" i="12766"/>
  <c r="G697" i="12766" s="1"/>
  <c r="C647" i="12766"/>
  <c r="H647" i="12766"/>
  <c r="C698" i="12766"/>
  <c r="G698" i="12766" s="1"/>
  <c r="H698" i="12766"/>
  <c r="C648" i="12766"/>
  <c r="H648" i="12766"/>
  <c r="C699" i="12766"/>
  <c r="G699" i="12766" s="1"/>
  <c r="H699" i="12766"/>
  <c r="I644" i="12766"/>
  <c r="K644" i="12766" s="1"/>
  <c r="I695" i="12766"/>
  <c r="I714" i="12766" s="1"/>
  <c r="I645" i="12766"/>
  <c r="K645" i="12766" s="1"/>
  <c r="I696" i="12766"/>
  <c r="I715" i="12766" s="1"/>
  <c r="I646" i="12766"/>
  <c r="K646" i="12766" s="1"/>
  <c r="I697" i="12766"/>
  <c r="I716" i="12766" s="1"/>
  <c r="I647" i="12766"/>
  <c r="K647" i="12766" s="1"/>
  <c r="I648" i="12766"/>
  <c r="K648" i="12766" s="1"/>
  <c r="I699" i="12766"/>
  <c r="K699" i="12766" s="1"/>
  <c r="I653" i="12766"/>
  <c r="I704" i="12766"/>
  <c r="O594" i="12766"/>
  <c r="O595" i="12766"/>
  <c r="D596" i="12766"/>
  <c r="G647" i="12766"/>
  <c r="O596" i="12766"/>
  <c r="D597" i="12766"/>
  <c r="M597" i="12766" s="1"/>
  <c r="O597" i="12766"/>
  <c r="C650" i="12766"/>
  <c r="C701" i="12766"/>
  <c r="E599" i="12766"/>
  <c r="E618" i="12766" s="1"/>
  <c r="E650" i="12766"/>
  <c r="E701" i="12766"/>
  <c r="I599" i="12766"/>
  <c r="I618" i="12766" s="1"/>
  <c r="C651" i="12766"/>
  <c r="C702" i="12766"/>
  <c r="E651" i="12766"/>
  <c r="G651" i="12766" s="1"/>
  <c r="E702" i="12766"/>
  <c r="I600" i="12766"/>
  <c r="I619" i="12766" s="1"/>
  <c r="O602" i="12766"/>
  <c r="C654" i="12766"/>
  <c r="G654" i="12766" s="1"/>
  <c r="C705" i="12766"/>
  <c r="I654" i="12766"/>
  <c r="I705" i="12766"/>
  <c r="O603" i="12766"/>
  <c r="C605" i="12766"/>
  <c r="D605" i="12766"/>
  <c r="E605" i="12766"/>
  <c r="E656" i="12766"/>
  <c r="G656" i="12766" s="1"/>
  <c r="E707" i="12766"/>
  <c r="G707" i="12766" s="1"/>
  <c r="I605" i="12766"/>
  <c r="M605" i="12766" s="1"/>
  <c r="C607" i="12766"/>
  <c r="D607" i="12766"/>
  <c r="E607" i="12766"/>
  <c r="E658" i="12766"/>
  <c r="G658" i="12766" s="1"/>
  <c r="E709" i="12766"/>
  <c r="G709" i="12766" s="1"/>
  <c r="I607" i="12766"/>
  <c r="M607" i="12766" s="1"/>
  <c r="C608" i="12766"/>
  <c r="D608" i="12766"/>
  <c r="E608" i="12766"/>
  <c r="E659" i="12766"/>
  <c r="G659" i="12766" s="1"/>
  <c r="E710" i="12766"/>
  <c r="G710" i="12766" s="1"/>
  <c r="I608" i="12766"/>
  <c r="M608" i="12766" s="1"/>
  <c r="I659" i="12766"/>
  <c r="K659" i="12766" s="1"/>
  <c r="C609" i="12766"/>
  <c r="D609" i="12766"/>
  <c r="E609" i="12766"/>
  <c r="E660" i="12766"/>
  <c r="G660" i="12766" s="1"/>
  <c r="E711" i="12766"/>
  <c r="G711" i="12766" s="1"/>
  <c r="I609" i="12766"/>
  <c r="M609" i="12766" s="1"/>
  <c r="C610" i="12766"/>
  <c r="E610" i="12766"/>
  <c r="E661" i="12766"/>
  <c r="G661" i="12766" s="1"/>
  <c r="E712" i="12766"/>
  <c r="G712" i="12766" s="1"/>
  <c r="I610" i="12766"/>
  <c r="C612" i="12766"/>
  <c r="E663" i="12766"/>
  <c r="G663" i="12766" s="1"/>
  <c r="E714" i="12766"/>
  <c r="G714" i="12766" s="1"/>
  <c r="I612" i="12766"/>
  <c r="C613" i="12766"/>
  <c r="E613" i="12766"/>
  <c r="E664" i="12766"/>
  <c r="G664" i="12766" s="1"/>
  <c r="E715" i="12766"/>
  <c r="G715" i="12766" s="1"/>
  <c r="I613" i="12766"/>
  <c r="C614" i="12766"/>
  <c r="E614" i="12766"/>
  <c r="E665" i="12766"/>
  <c r="G665" i="12766" s="1"/>
  <c r="E716" i="12766"/>
  <c r="G716" i="12766" s="1"/>
  <c r="I614" i="12766"/>
  <c r="C615" i="12766"/>
  <c r="D615" i="12766"/>
  <c r="E615" i="12766"/>
  <c r="E666" i="12766"/>
  <c r="G666" i="12766" s="1"/>
  <c r="E717" i="12766"/>
  <c r="G717" i="12766" s="1"/>
  <c r="C616" i="12766"/>
  <c r="D616" i="12766"/>
  <c r="E616" i="12766"/>
  <c r="E667" i="12766"/>
  <c r="G667" i="12766" s="1"/>
  <c r="E718" i="12766"/>
  <c r="G718" i="12766" s="1"/>
  <c r="H667" i="12766"/>
  <c r="I616" i="12766"/>
  <c r="C618" i="12766"/>
  <c r="C619" i="12766"/>
  <c r="C723" i="12766"/>
  <c r="C621" i="12766" s="1"/>
  <c r="E621" i="12766"/>
  <c r="E672" i="12766"/>
  <c r="G672" i="12766" s="1"/>
  <c r="E723" i="12766"/>
  <c r="I621" i="12766"/>
  <c r="C622" i="12766"/>
  <c r="E622" i="12766"/>
  <c r="E673" i="12766"/>
  <c r="G673" i="12766" s="1"/>
  <c r="E724" i="12766"/>
  <c r="G724" i="12766" s="1"/>
  <c r="I622" i="12766"/>
  <c r="C725" i="12766"/>
  <c r="C623" i="12766" s="1"/>
  <c r="D623" i="12766"/>
  <c r="M623" i="12766" s="1"/>
  <c r="G674" i="12766"/>
  <c r="H674" i="12766"/>
  <c r="H725" i="12766"/>
  <c r="I674" i="12766"/>
  <c r="K674" i="12766" s="1"/>
  <c r="I725" i="12766"/>
  <c r="K725" i="12766" s="1"/>
  <c r="C726" i="12766"/>
  <c r="C624" i="12766" s="1"/>
  <c r="G675" i="12766"/>
  <c r="G726" i="12766"/>
  <c r="I675" i="12766"/>
  <c r="I726" i="12766"/>
  <c r="D625" i="12766"/>
  <c r="C626" i="12766"/>
  <c r="D626" i="12766"/>
  <c r="G626" i="12766"/>
  <c r="H626" i="12766"/>
  <c r="K626" i="12766"/>
  <c r="O627" i="12766"/>
  <c r="I655" i="12766"/>
  <c r="D678" i="12766"/>
  <c r="I706" i="12766"/>
  <c r="D729" i="12766"/>
  <c r="C737" i="12766"/>
  <c r="E735" i="12766"/>
  <c r="G735" i="12766" s="1"/>
  <c r="I794" i="12766"/>
  <c r="I735" i="12766" s="1"/>
  <c r="E736" i="12766"/>
  <c r="G736" i="12766" s="1"/>
  <c r="I795" i="12766"/>
  <c r="I736" i="12766" s="1"/>
  <c r="K736" i="12766" s="1"/>
  <c r="D737" i="12766"/>
  <c r="E737" i="12766"/>
  <c r="I737" i="12766"/>
  <c r="C738" i="12766"/>
  <c r="C742" i="12766"/>
  <c r="C758" i="12766" s="1"/>
  <c r="E738" i="12766"/>
  <c r="G738" i="12766" s="1"/>
  <c r="I797" i="12766"/>
  <c r="I738" i="12766" s="1"/>
  <c r="E739" i="12766"/>
  <c r="G739" i="12766" s="1"/>
  <c r="I798" i="12766"/>
  <c r="I739" i="12766" s="1"/>
  <c r="C740" i="12766"/>
  <c r="E740" i="12766"/>
  <c r="E756" i="12766" s="1"/>
  <c r="G756" i="12766" s="1"/>
  <c r="I799" i="12766"/>
  <c r="I740" i="12766" s="1"/>
  <c r="E742" i="12766"/>
  <c r="I801" i="12766"/>
  <c r="I742" i="12766" s="1"/>
  <c r="C743" i="12766"/>
  <c r="E743" i="12766"/>
  <c r="I802" i="12766"/>
  <c r="I743" i="12766" s="1"/>
  <c r="G744" i="12766"/>
  <c r="H744" i="12766"/>
  <c r="K744" i="12766"/>
  <c r="M744" i="12766"/>
  <c r="E745" i="12766"/>
  <c r="I803" i="12766"/>
  <c r="I745" i="12766" s="1"/>
  <c r="C747" i="12766"/>
  <c r="C749" i="12766"/>
  <c r="E752" i="12766"/>
  <c r="G752" i="12766" s="1"/>
  <c r="E753" i="12766"/>
  <c r="G753" i="12766" s="1"/>
  <c r="I811" i="12766"/>
  <c r="I753" i="12766" s="1"/>
  <c r="E754" i="12766"/>
  <c r="G754" i="12766" s="1"/>
  <c r="I812" i="12766"/>
  <c r="I754" i="12766" s="1"/>
  <c r="K754" i="12766" s="1"/>
  <c r="C755" i="12766"/>
  <c r="O760" i="12766"/>
  <c r="C822" i="12766"/>
  <c r="G822" i="12766" s="1"/>
  <c r="C850" i="12766"/>
  <c r="C851" i="12766"/>
  <c r="G851" i="12766" s="1"/>
  <c r="D794" i="12766"/>
  <c r="D766" i="12766" s="1"/>
  <c r="M766" i="12766" s="1"/>
  <c r="C879" i="12766"/>
  <c r="G877" i="12766"/>
  <c r="H822" i="12766"/>
  <c r="H850" i="12766"/>
  <c r="H877" i="12766"/>
  <c r="I822" i="12766"/>
  <c r="K822" i="12766" s="1"/>
  <c r="I850" i="12766"/>
  <c r="K850" i="12766" s="1"/>
  <c r="I877" i="12766"/>
  <c r="K877" i="12766" s="1"/>
  <c r="O766" i="12766"/>
  <c r="I823" i="12766"/>
  <c r="K823" i="12766" s="1"/>
  <c r="I851" i="12766"/>
  <c r="K851" i="12766" s="1"/>
  <c r="I878" i="12766"/>
  <c r="K878" i="12766" s="1"/>
  <c r="C825" i="12766"/>
  <c r="G825" i="12766" s="1"/>
  <c r="C829" i="12766"/>
  <c r="C841" i="12766" s="1"/>
  <c r="I825" i="12766"/>
  <c r="I834" i="12766" s="1"/>
  <c r="C857" i="12766"/>
  <c r="C869" i="12766" s="1"/>
  <c r="C853" i="12766"/>
  <c r="C797" i="12766" s="1"/>
  <c r="C769" i="12766" s="1"/>
  <c r="I853" i="12766"/>
  <c r="I862" i="12766" s="1"/>
  <c r="C884" i="12766"/>
  <c r="C896" i="12766" s="1"/>
  <c r="I880" i="12766"/>
  <c r="K880" i="12766" s="1"/>
  <c r="C826" i="12766"/>
  <c r="G826" i="12766" s="1"/>
  <c r="I826" i="12766"/>
  <c r="C854" i="12766"/>
  <c r="G854" i="12766" s="1"/>
  <c r="I854" i="12766"/>
  <c r="I863" i="12766" s="1"/>
  <c r="I881" i="12766"/>
  <c r="I890" i="12766" s="1"/>
  <c r="H823" i="12766"/>
  <c r="H851" i="12766"/>
  <c r="H878" i="12766"/>
  <c r="H880" i="12766"/>
  <c r="R766" i="12766"/>
  <c r="S766" i="12766"/>
  <c r="D795" i="12766"/>
  <c r="D767" i="12766" s="1"/>
  <c r="G823" i="12766"/>
  <c r="G878" i="12766"/>
  <c r="O767" i="12766"/>
  <c r="R767" i="12766"/>
  <c r="S767" i="12766"/>
  <c r="G880" i="12766"/>
  <c r="O769" i="12766"/>
  <c r="G881" i="12766"/>
  <c r="O770" i="12766"/>
  <c r="S770" i="12766"/>
  <c r="C827" i="12766"/>
  <c r="G827" i="12766" s="1"/>
  <c r="C855" i="12766"/>
  <c r="G882" i="12766"/>
  <c r="I827" i="12766"/>
  <c r="I855" i="12766"/>
  <c r="I882" i="12766"/>
  <c r="I891" i="12766" s="1"/>
  <c r="O771" i="12766"/>
  <c r="I829" i="12766"/>
  <c r="I837" i="12766" s="1"/>
  <c r="I857" i="12766"/>
  <c r="I865" i="12766" s="1"/>
  <c r="I884" i="12766"/>
  <c r="I892" i="12766" s="1"/>
  <c r="O773" i="12766"/>
  <c r="C830" i="12766"/>
  <c r="G830" i="12766" s="1"/>
  <c r="C858" i="12766"/>
  <c r="G885" i="12766"/>
  <c r="I830" i="12766"/>
  <c r="I838" i="12766" s="1"/>
  <c r="I858" i="12766"/>
  <c r="I866" i="12766" s="1"/>
  <c r="I885" i="12766"/>
  <c r="I893" i="12766" s="1"/>
  <c r="O774" i="12766"/>
  <c r="C804" i="12766"/>
  <c r="C776" i="12766" s="1"/>
  <c r="D804" i="12766"/>
  <c r="D776" i="12766" s="1"/>
  <c r="E776" i="12766"/>
  <c r="E832" i="12766"/>
  <c r="G832" i="12766" s="1"/>
  <c r="E860" i="12766"/>
  <c r="G860" i="12766" s="1"/>
  <c r="E887" i="12766"/>
  <c r="G887" i="12766" s="1"/>
  <c r="I776" i="12766"/>
  <c r="C805" i="12766"/>
  <c r="C777" i="12766" s="1"/>
  <c r="D805" i="12766"/>
  <c r="D777" i="12766" s="1"/>
  <c r="E777" i="12766"/>
  <c r="E833" i="12766"/>
  <c r="G833" i="12766" s="1"/>
  <c r="E861" i="12766"/>
  <c r="G861" i="12766" s="1"/>
  <c r="E888" i="12766"/>
  <c r="G888" i="12766" s="1"/>
  <c r="I777" i="12766"/>
  <c r="I888" i="12766"/>
  <c r="K888" i="12766" s="1"/>
  <c r="C806" i="12766"/>
  <c r="C778" i="12766" s="1"/>
  <c r="E778" i="12766"/>
  <c r="E834" i="12766"/>
  <c r="G834" i="12766" s="1"/>
  <c r="E862" i="12766"/>
  <c r="G862" i="12766" s="1"/>
  <c r="E889" i="12766"/>
  <c r="G889" i="12766" s="1"/>
  <c r="I778" i="12766"/>
  <c r="C863" i="12766"/>
  <c r="C807" i="12766" s="1"/>
  <c r="C779" i="12766" s="1"/>
  <c r="E779" i="12766"/>
  <c r="E835" i="12766"/>
  <c r="G835" i="12766" s="1"/>
  <c r="E863" i="12766"/>
  <c r="E890" i="12766"/>
  <c r="G890" i="12766" s="1"/>
  <c r="I779" i="12766"/>
  <c r="I835" i="12766"/>
  <c r="C836" i="12766"/>
  <c r="C864" i="12766"/>
  <c r="E780" i="12766"/>
  <c r="E836" i="12766"/>
  <c r="E864" i="12766"/>
  <c r="E891" i="12766"/>
  <c r="G891" i="12766" s="1"/>
  <c r="I780" i="12766"/>
  <c r="C837" i="12766"/>
  <c r="C865" i="12766"/>
  <c r="E781" i="12766"/>
  <c r="E837" i="12766"/>
  <c r="E865" i="12766"/>
  <c r="E892" i="12766"/>
  <c r="I781" i="12766"/>
  <c r="C838" i="12766"/>
  <c r="C866" i="12766"/>
  <c r="E782" i="12766"/>
  <c r="E838" i="12766"/>
  <c r="E866" i="12766"/>
  <c r="E893" i="12766"/>
  <c r="G893" i="12766" s="1"/>
  <c r="I782" i="12766"/>
  <c r="C839" i="12766"/>
  <c r="G839" i="12766" s="1"/>
  <c r="C867" i="12766"/>
  <c r="G867" i="12766" s="1"/>
  <c r="D811" i="12766"/>
  <c r="D783" i="12766" s="1"/>
  <c r="M783" i="12766" s="1"/>
  <c r="G894" i="12766"/>
  <c r="H839" i="12766"/>
  <c r="H867" i="12766"/>
  <c r="H894" i="12766"/>
  <c r="I839" i="12766"/>
  <c r="K839" i="12766" s="1"/>
  <c r="I867" i="12766"/>
  <c r="K867" i="12766" s="1"/>
  <c r="I894" i="12766"/>
  <c r="K894" i="12766" s="1"/>
  <c r="O783" i="12766"/>
  <c r="C840" i="12766"/>
  <c r="C868" i="12766"/>
  <c r="G840" i="12766"/>
  <c r="G895" i="12766"/>
  <c r="I840" i="12766"/>
  <c r="I868" i="12766"/>
  <c r="I895" i="12766"/>
  <c r="D813" i="12766"/>
  <c r="D785" i="12766" s="1"/>
  <c r="C814" i="12766"/>
  <c r="C786" i="12766" s="1"/>
  <c r="D814" i="12766"/>
  <c r="D786" i="12766" s="1"/>
  <c r="G814" i="12766"/>
  <c r="G786" i="12766" s="1"/>
  <c r="H814" i="12766"/>
  <c r="H786" i="12766" s="1"/>
  <c r="K814" i="12766"/>
  <c r="K786" i="12766" s="1"/>
  <c r="O787" i="12766"/>
  <c r="E804" i="12766"/>
  <c r="E805" i="12766"/>
  <c r="E806" i="12766"/>
  <c r="E807" i="12766"/>
  <c r="E808" i="12766"/>
  <c r="I808" i="12766"/>
  <c r="E809" i="12766"/>
  <c r="E810" i="12766"/>
  <c r="D824" i="12766"/>
  <c r="I831" i="12766"/>
  <c r="D852" i="12766"/>
  <c r="I859" i="12766"/>
  <c r="I886" i="12766"/>
  <c r="C904" i="12766"/>
  <c r="D904" i="12766" s="1"/>
  <c r="O911" i="12766"/>
  <c r="C905" i="12766"/>
  <c r="D905" i="12766" s="1"/>
  <c r="C906" i="12766"/>
  <c r="D906" i="12766" s="1"/>
  <c r="C907" i="12766"/>
  <c r="D907" i="12766" s="1"/>
  <c r="C908" i="12766"/>
  <c r="C911" i="12766"/>
  <c r="D911" i="12766"/>
  <c r="K916" i="12766"/>
  <c r="M916" i="12766" s="1"/>
  <c r="C917" i="12766"/>
  <c r="C920" i="12766" s="1"/>
  <c r="G918" i="12766"/>
  <c r="C919" i="12766"/>
  <c r="D922" i="12766"/>
  <c r="O922" i="12766"/>
  <c r="G927" i="12766"/>
  <c r="K927" i="12766" s="1"/>
  <c r="M927" i="12766" s="1"/>
  <c r="H927" i="12766"/>
  <c r="C939" i="12766"/>
  <c r="C928" i="12766" s="1"/>
  <c r="C940" i="12766"/>
  <c r="C951" i="12766"/>
  <c r="C953" i="12766" s="1"/>
  <c r="G950" i="12766"/>
  <c r="I950" i="12766"/>
  <c r="I951" i="12766" s="1"/>
  <c r="E929" i="12766"/>
  <c r="E940" i="12766"/>
  <c r="G940" i="12766" s="1"/>
  <c r="E951" i="12766"/>
  <c r="I929" i="12766"/>
  <c r="I940" i="12766"/>
  <c r="C941" i="12766"/>
  <c r="C952" i="12766"/>
  <c r="D930" i="12766"/>
  <c r="D931" i="12766"/>
  <c r="K938" i="12766"/>
  <c r="K949" i="12766"/>
  <c r="C932" i="12766"/>
  <c r="D932" i="12766"/>
  <c r="G932" i="12766"/>
  <c r="H932" i="12766"/>
  <c r="K932" i="12766"/>
  <c r="D933" i="12766"/>
  <c r="O933" i="12766"/>
  <c r="D944" i="12766"/>
  <c r="D955" i="12766"/>
  <c r="C962" i="12766"/>
  <c r="G960" i="12766"/>
  <c r="H960" i="12766"/>
  <c r="K960" i="12766"/>
  <c r="M960" i="12766"/>
  <c r="G961" i="12766"/>
  <c r="H961" i="12766"/>
  <c r="K961" i="12766"/>
  <c r="M961" i="12766"/>
  <c r="C963" i="12766"/>
  <c r="C964" i="12766" s="1"/>
  <c r="C966" i="12766" s="1"/>
  <c r="H963" i="12766"/>
  <c r="K963" i="12766"/>
  <c r="M963" i="12766"/>
  <c r="D964" i="12766"/>
  <c r="D966" i="12766"/>
  <c r="O966" i="12766"/>
  <c r="C972" i="12766"/>
  <c r="D972" i="12766" s="1"/>
  <c r="O1003" i="12766"/>
  <c r="C973" i="12766"/>
  <c r="D973" i="12766" s="1"/>
  <c r="C974" i="12766"/>
  <c r="D974" i="12766" s="1"/>
  <c r="C976" i="12766"/>
  <c r="D976" i="12766" s="1"/>
  <c r="C977" i="12766"/>
  <c r="D977" i="12766" s="1"/>
  <c r="H977" i="12766" s="1"/>
  <c r="C980" i="12766"/>
  <c r="D980" i="12766" s="1"/>
  <c r="C981" i="12766"/>
  <c r="D981" i="12766" s="1"/>
  <c r="D982" i="12766"/>
  <c r="H982" i="12766" s="1"/>
  <c r="D984" i="12766"/>
  <c r="H984" i="12766" s="1"/>
  <c r="D985" i="12766"/>
  <c r="H985" i="12766" s="1"/>
  <c r="D988" i="12766"/>
  <c r="H988" i="12766" s="1"/>
  <c r="D989" i="12766"/>
  <c r="H989" i="12766" s="1"/>
  <c r="D990" i="12766"/>
  <c r="H990" i="12766" s="1"/>
  <c r="D992" i="12766"/>
  <c r="H992" i="12766" s="1"/>
  <c r="D993" i="12766"/>
  <c r="H993" i="12766" s="1"/>
  <c r="C995" i="12766"/>
  <c r="D995" i="12766" s="1"/>
  <c r="C996" i="12766"/>
  <c r="D996" i="12766" s="1"/>
  <c r="H996" i="12766" s="1"/>
  <c r="D997" i="12766"/>
  <c r="H997" i="12766" s="1"/>
  <c r="C999" i="12766"/>
  <c r="D999" i="12766" s="1"/>
  <c r="G981" i="12766"/>
  <c r="G982" i="12766"/>
  <c r="G984" i="12766"/>
  <c r="G985" i="12766"/>
  <c r="G988" i="12766"/>
  <c r="M988" i="12766"/>
  <c r="G989" i="12766"/>
  <c r="G990" i="12766"/>
  <c r="G992" i="12766"/>
  <c r="G993" i="12766"/>
  <c r="M993" i="12766"/>
  <c r="G997" i="12766"/>
  <c r="G999" i="12766"/>
  <c r="C1000" i="12766"/>
  <c r="C1003" i="12766"/>
  <c r="D1003" i="12766"/>
  <c r="K1008" i="12766"/>
  <c r="O1008" i="12766"/>
  <c r="C15" i="12767"/>
  <c r="C16" i="12767"/>
  <c r="C17" i="12767"/>
  <c r="C19" i="12767"/>
  <c r="C20" i="12767"/>
  <c r="C22" i="12767"/>
  <c r="C91" i="12767"/>
  <c r="C92" i="12767"/>
  <c r="C93" i="12767"/>
  <c r="C168" i="12767"/>
  <c r="C494" i="12767"/>
  <c r="E43" i="12811" s="1"/>
  <c r="C457" i="12767"/>
  <c r="C169" i="12767" s="1"/>
  <c r="C423" i="12767"/>
  <c r="C388" i="12767"/>
  <c r="C458" i="12767"/>
  <c r="C170" i="12767" s="1"/>
  <c r="I458" i="12767"/>
  <c r="I170" i="12767" s="1"/>
  <c r="C350" i="12767"/>
  <c r="C351" i="12767"/>
  <c r="C352" i="12767"/>
  <c r="I352" i="12767" s="1"/>
  <c r="C529" i="12767"/>
  <c r="E73" i="12811" s="1"/>
  <c r="C355" i="12767"/>
  <c r="I355" i="12767" s="1"/>
  <c r="C461" i="12767"/>
  <c r="C356" i="12767"/>
  <c r="C462" i="12767"/>
  <c r="C466" i="12767" s="1"/>
  <c r="C357" i="12767"/>
  <c r="C463" i="12767"/>
  <c r="C467" i="12767" s="1"/>
  <c r="C464" i="12767"/>
  <c r="C468" i="12767" s="1"/>
  <c r="C359" i="12767"/>
  <c r="I359" i="12767" s="1"/>
  <c r="C465" i="12767"/>
  <c r="C189" i="12767"/>
  <c r="C190" i="12767"/>
  <c r="C191" i="12767"/>
  <c r="C192" i="12767"/>
  <c r="C193" i="12767"/>
  <c r="C199" i="12767" s="1"/>
  <c r="C194" i="12767"/>
  <c r="C200" i="12767" s="1"/>
  <c r="C196" i="12767"/>
  <c r="P196" i="12767" s="1"/>
  <c r="P197" i="12843" s="1"/>
  <c r="C197" i="12767"/>
  <c r="P197" i="12767" s="1"/>
  <c r="P198" i="12843" s="1"/>
  <c r="C198" i="12767"/>
  <c r="T198" i="12767" s="1"/>
  <c r="T199" i="12843" s="1"/>
  <c r="C456" i="12767"/>
  <c r="I561" i="12767"/>
  <c r="I562" i="12767"/>
  <c r="I563" i="12767"/>
  <c r="C564" i="12767"/>
  <c r="I565" i="12767"/>
  <c r="I566" i="12767"/>
  <c r="I568" i="12767"/>
  <c r="I570" i="12767"/>
  <c r="I571" i="12767"/>
  <c r="I572" i="12767"/>
  <c r="I573" i="12767"/>
  <c r="I577" i="12767"/>
  <c r="I578" i="12767"/>
  <c r="I579" i="12767"/>
  <c r="I580" i="12767"/>
  <c r="I581" i="12767"/>
  <c r="I582" i="12767"/>
  <c r="I583" i="12767"/>
  <c r="I584" i="12767"/>
  <c r="I585" i="12767"/>
  <c r="I586" i="12767"/>
  <c r="I587" i="12767"/>
  <c r="I588" i="12767"/>
  <c r="I591" i="12767"/>
  <c r="I604" i="12767"/>
  <c r="C606" i="12767"/>
  <c r="C607" i="12767"/>
  <c r="C609" i="12767"/>
  <c r="C610" i="12767"/>
  <c r="C614" i="12767"/>
  <c r="P614" i="12767" s="1"/>
  <c r="P615" i="12843" s="1"/>
  <c r="C620" i="12767"/>
  <c r="I620" i="12767"/>
  <c r="C621" i="12767"/>
  <c r="C622" i="12767"/>
  <c r="I622" i="12767"/>
  <c r="C623" i="12767"/>
  <c r="C624" i="12767"/>
  <c r="C625" i="12767"/>
  <c r="C626" i="12767"/>
  <c r="C627" i="12767"/>
  <c r="C629" i="12767"/>
  <c r="P629" i="12767" s="1"/>
  <c r="P630" i="12843" s="1"/>
  <c r="C630" i="12767"/>
  <c r="P630" i="12767" s="1"/>
  <c r="P631" i="12843" s="1"/>
  <c r="C720" i="12767"/>
  <c r="C722" i="12767"/>
  <c r="C723" i="12767"/>
  <c r="C724" i="12767"/>
  <c r="C726" i="12767"/>
  <c r="C727" i="12767"/>
  <c r="C729" i="12767"/>
  <c r="C731" i="12767"/>
  <c r="C732" i="12767"/>
  <c r="C733" i="12767"/>
  <c r="C734" i="12767"/>
  <c r="C735" i="12767"/>
  <c r="C737" i="12767"/>
  <c r="C738" i="12767"/>
  <c r="C740" i="12767"/>
  <c r="C742" i="12767" s="1"/>
  <c r="C741" i="12767"/>
  <c r="P741" i="12767" s="1"/>
  <c r="P742" i="12843" s="1"/>
  <c r="C745" i="12767"/>
  <c r="I745" i="12767"/>
  <c r="J745" i="12767"/>
  <c r="C747" i="12767"/>
  <c r="J747" i="12767"/>
  <c r="C748" i="12767"/>
  <c r="C749" i="12767"/>
  <c r="C750" i="12767"/>
  <c r="C752" i="12767"/>
  <c r="C753" i="12767"/>
  <c r="C754" i="12767"/>
  <c r="C755" i="12767"/>
  <c r="C756" i="12767"/>
  <c r="C758" i="12767"/>
  <c r="C759" i="12767"/>
  <c r="C761" i="12767"/>
  <c r="C765" i="12767" s="1"/>
  <c r="C762" i="12767"/>
  <c r="P762" i="12767" s="1"/>
  <c r="J884" i="12767"/>
  <c r="I1153" i="12767"/>
  <c r="I1162" i="12767"/>
  <c r="F1162" i="12767" s="1"/>
  <c r="Y18" i="12769"/>
  <c r="Y20" i="12769"/>
  <c r="I18" i="12771"/>
  <c r="I19" i="12771"/>
  <c r="I20" i="12771"/>
  <c r="I23" i="12771"/>
  <c r="I24" i="12771"/>
  <c r="I25" i="12771"/>
  <c r="I27" i="12771"/>
  <c r="I28" i="12771"/>
  <c r="I29" i="12771"/>
  <c r="I31" i="12771"/>
  <c r="I32" i="12771"/>
  <c r="I33" i="12771"/>
  <c r="I11" i="12764"/>
  <c r="C105" i="12764"/>
  <c r="G21" i="12763"/>
  <c r="K21" i="12763" s="1"/>
  <c r="L21" i="12763"/>
  <c r="E28" i="12763"/>
  <c r="I28" i="12763"/>
  <c r="L28" i="12763"/>
  <c r="E41" i="12763"/>
  <c r="I41" i="12763"/>
  <c r="E47" i="12763"/>
  <c r="I47" i="12763"/>
  <c r="K48" i="12763"/>
  <c r="K49" i="12763"/>
  <c r="K50" i="12763"/>
  <c r="E56" i="12763"/>
  <c r="I56" i="12763"/>
  <c r="N58" i="12763"/>
  <c r="E63" i="12763"/>
  <c r="I63" i="12763"/>
  <c r="N63" i="12763"/>
  <c r="E64" i="12763"/>
  <c r="N64" i="12763"/>
  <c r="E67" i="12763"/>
  <c r="I67" i="12763"/>
  <c r="N67" i="12763"/>
  <c r="E69" i="12763"/>
  <c r="I69" i="12763"/>
  <c r="N69" i="12763"/>
  <c r="E72" i="12763"/>
  <c r="I72" i="12763"/>
  <c r="N72" i="12763"/>
  <c r="E73" i="12763"/>
  <c r="I73" i="12763"/>
  <c r="N73" i="12763"/>
  <c r="I76" i="12763"/>
  <c r="N76" i="12763"/>
  <c r="E77" i="12763"/>
  <c r="I77" i="12763"/>
  <c r="N77" i="12763"/>
  <c r="E78" i="12763"/>
  <c r="I78" i="12763"/>
  <c r="N78" i="12763"/>
  <c r="E83" i="12763"/>
  <c r="I83" i="12763"/>
  <c r="N83" i="12763"/>
  <c r="N85" i="12763" s="1"/>
  <c r="E84" i="12763"/>
  <c r="I84" i="12763"/>
  <c r="N84" i="12763"/>
  <c r="E88" i="12763"/>
  <c r="I88" i="12763"/>
  <c r="N88" i="12763"/>
  <c r="E89" i="12763"/>
  <c r="I89" i="12763"/>
  <c r="N89" i="12763"/>
  <c r="E92" i="12763"/>
  <c r="I92" i="12763"/>
  <c r="N92" i="12763"/>
  <c r="N94" i="12763"/>
  <c r="E95" i="12763"/>
  <c r="E96" i="12763" s="1"/>
  <c r="I95" i="12763"/>
  <c r="N95" i="12763"/>
  <c r="E98" i="12763"/>
  <c r="I98" i="12763"/>
  <c r="N98" i="12763"/>
  <c r="E100" i="12763"/>
  <c r="I100" i="12763"/>
  <c r="N100" i="12763"/>
  <c r="E102" i="12763"/>
  <c r="I102" i="12763"/>
  <c r="N102" i="12763"/>
  <c r="E103" i="12763"/>
  <c r="I103" i="12763"/>
  <c r="N103" i="12763"/>
  <c r="E106" i="12763"/>
  <c r="I106" i="12763"/>
  <c r="N106" i="12763"/>
  <c r="E108" i="12763"/>
  <c r="I108" i="12763"/>
  <c r="N108" i="12763"/>
  <c r="I21" i="12764"/>
  <c r="N21" i="12764" s="1"/>
  <c r="X21" i="12764" s="1"/>
  <c r="O21" i="12764"/>
  <c r="R21" i="12764"/>
  <c r="V21" i="12764"/>
  <c r="U27" i="12764"/>
  <c r="V27" i="12764"/>
  <c r="E28" i="12764"/>
  <c r="G28" i="12764"/>
  <c r="K28" i="12764"/>
  <c r="Q39" i="12764"/>
  <c r="U39" i="12764"/>
  <c r="V39" i="12764"/>
  <c r="E41" i="12764"/>
  <c r="G41" i="12764"/>
  <c r="K41" i="12764"/>
  <c r="T41" i="12764"/>
  <c r="C47" i="12764"/>
  <c r="E47" i="12764"/>
  <c r="G47" i="12764"/>
  <c r="K47" i="12764"/>
  <c r="T47" i="12764"/>
  <c r="M51" i="12764"/>
  <c r="O51" i="12764" s="1"/>
  <c r="E56" i="12764"/>
  <c r="G56" i="12764"/>
  <c r="K56" i="12764"/>
  <c r="T56" i="12764"/>
  <c r="E63" i="12764"/>
  <c r="G63" i="12764"/>
  <c r="K63" i="12764"/>
  <c r="E64" i="12764"/>
  <c r="G64" i="12764"/>
  <c r="K64" i="12764"/>
  <c r="T64" i="12764"/>
  <c r="E67" i="12764"/>
  <c r="G67" i="12764"/>
  <c r="K67" i="12764"/>
  <c r="E68" i="12764"/>
  <c r="G68" i="12764"/>
  <c r="K68" i="12764"/>
  <c r="E73" i="12764"/>
  <c r="G73" i="12764"/>
  <c r="K73" i="12764"/>
  <c r="E74" i="12764"/>
  <c r="G74" i="12764"/>
  <c r="K74" i="12764"/>
  <c r="E77" i="12764"/>
  <c r="G77" i="12764"/>
  <c r="K77" i="12764"/>
  <c r="T77" i="12764"/>
  <c r="C78" i="12764"/>
  <c r="E78" i="12764"/>
  <c r="G78" i="12764"/>
  <c r="K78" i="12764"/>
  <c r="T78" i="12764"/>
  <c r="E84" i="12764"/>
  <c r="G84" i="12764"/>
  <c r="K84" i="12764"/>
  <c r="E85" i="12764"/>
  <c r="G85" i="12764"/>
  <c r="K85" i="12764"/>
  <c r="P85" i="12764"/>
  <c r="T85" i="12764"/>
  <c r="C89" i="12764"/>
  <c r="E89" i="12764"/>
  <c r="G89" i="12764"/>
  <c r="K89" i="12764"/>
  <c r="T89" i="12764"/>
  <c r="C90" i="12764"/>
  <c r="E90" i="12764"/>
  <c r="G90" i="12764"/>
  <c r="K90" i="12764"/>
  <c r="T90" i="12764"/>
  <c r="C93" i="12764"/>
  <c r="E93" i="12764"/>
  <c r="G93" i="12764"/>
  <c r="K93" i="12764"/>
  <c r="T93" i="12764"/>
  <c r="E95" i="12764"/>
  <c r="G95" i="12764"/>
  <c r="K95" i="12764"/>
  <c r="T95" i="12764"/>
  <c r="C97" i="12764"/>
  <c r="E97" i="12764"/>
  <c r="G97" i="12764"/>
  <c r="K97" i="12764"/>
  <c r="T97" i="12764"/>
  <c r="E100" i="12764"/>
  <c r="G100" i="12764"/>
  <c r="K100" i="12764"/>
  <c r="T100" i="12764"/>
  <c r="C102" i="12764"/>
  <c r="E102" i="12764"/>
  <c r="G102" i="12764"/>
  <c r="I102" i="12764"/>
  <c r="K102" i="12764"/>
  <c r="T102" i="12764"/>
  <c r="C104" i="12764"/>
  <c r="E104" i="12764"/>
  <c r="G104" i="12764"/>
  <c r="K104" i="12764"/>
  <c r="T104" i="12764"/>
  <c r="E105" i="12764"/>
  <c r="G105" i="12764"/>
  <c r="K105" i="12764"/>
  <c r="T105" i="12764"/>
  <c r="E108" i="12764"/>
  <c r="G108" i="12764"/>
  <c r="K108" i="12764"/>
  <c r="T108" i="12764"/>
  <c r="E110" i="12764"/>
  <c r="G110" i="12764"/>
  <c r="K110" i="12764"/>
  <c r="T110" i="12764"/>
  <c r="A2" i="12761"/>
  <c r="A3" i="12761"/>
  <c r="A4" i="12761"/>
  <c r="E7" i="12761"/>
  <c r="F7" i="12761" s="1"/>
  <c r="G7" i="12761" s="1"/>
  <c r="H7" i="12761" s="1"/>
  <c r="J7" i="12761"/>
  <c r="K7" i="12761" s="1"/>
  <c r="L7" i="12761" s="1"/>
  <c r="M7" i="12761" s="1"/>
  <c r="N7" i="12761" s="1"/>
  <c r="O8" i="12761"/>
  <c r="R8" i="12761" s="1"/>
  <c r="O9" i="12761"/>
  <c r="R9" i="12761" s="1"/>
  <c r="O10" i="12761"/>
  <c r="R10" i="12761" s="1"/>
  <c r="O11" i="12761"/>
  <c r="R11" i="12761" s="1"/>
  <c r="O12" i="12761"/>
  <c r="R12" i="12761" s="1"/>
  <c r="O13" i="12761"/>
  <c r="R13" i="12761" s="1"/>
  <c r="O14" i="12761"/>
  <c r="R14" i="12761" s="1"/>
  <c r="O15" i="12761"/>
  <c r="R15" i="12761" s="1"/>
  <c r="O16" i="12761"/>
  <c r="O17" i="12761"/>
  <c r="O18" i="12761"/>
  <c r="O19" i="12761"/>
  <c r="O20" i="12761"/>
  <c r="O21" i="12761"/>
  <c r="O22" i="12761"/>
  <c r="O23" i="12761"/>
  <c r="O24" i="12761"/>
  <c r="R24" i="12761" s="1"/>
  <c r="O25" i="12761"/>
  <c r="R25" i="12761" s="1"/>
  <c r="O26" i="12761"/>
  <c r="R26" i="12761" s="1"/>
  <c r="O27" i="12761"/>
  <c r="R27" i="12761" s="1"/>
  <c r="O28" i="12761"/>
  <c r="O29" i="12761"/>
  <c r="O30" i="12761"/>
  <c r="O31" i="12761"/>
  <c r="C33" i="12761"/>
  <c r="D33" i="12761"/>
  <c r="E33" i="12761"/>
  <c r="F33" i="12761"/>
  <c r="G33" i="12761"/>
  <c r="H33" i="12761"/>
  <c r="I33" i="12761"/>
  <c r="J33" i="12761"/>
  <c r="K33" i="12761"/>
  <c r="L33" i="12761"/>
  <c r="M33" i="12761"/>
  <c r="N33" i="12761"/>
  <c r="E35" i="12761"/>
  <c r="F35" i="12761" s="1"/>
  <c r="G35" i="12761" s="1"/>
  <c r="H35" i="12761" s="1"/>
  <c r="J35" i="12761"/>
  <c r="K35" i="12761" s="1"/>
  <c r="L35" i="12761" s="1"/>
  <c r="M35" i="12761" s="1"/>
  <c r="N35" i="12761" s="1"/>
  <c r="O36" i="12761"/>
  <c r="R36" i="12761" s="1"/>
  <c r="O37" i="12761"/>
  <c r="R37" i="12761" s="1"/>
  <c r="O38" i="12761"/>
  <c r="R38" i="12761" s="1"/>
  <c r="O39" i="12761"/>
  <c r="R39" i="12761" s="1"/>
  <c r="O40" i="12761"/>
  <c r="R40" i="12761" s="1"/>
  <c r="O41" i="12761"/>
  <c r="R41" i="12761" s="1"/>
  <c r="O42" i="12761"/>
  <c r="R42" i="12761" s="1"/>
  <c r="O43" i="12761"/>
  <c r="R43" i="12761" s="1"/>
  <c r="O44" i="12761"/>
  <c r="R44" i="12761" s="1"/>
  <c r="O45" i="12761"/>
  <c r="O46" i="12761"/>
  <c r="R46" i="12761" s="1"/>
  <c r="O47" i="12761"/>
  <c r="R47" i="12761" s="1"/>
  <c r="O48" i="12761"/>
  <c r="R48" i="12761" s="1"/>
  <c r="C54" i="12761"/>
  <c r="D54" i="12761"/>
  <c r="E54" i="12761"/>
  <c r="F54" i="12761"/>
  <c r="G54" i="12761"/>
  <c r="H54" i="12761"/>
  <c r="I54" i="12761"/>
  <c r="J54" i="12761"/>
  <c r="K54" i="12761"/>
  <c r="L54" i="12761"/>
  <c r="M54" i="12761"/>
  <c r="N54" i="12761"/>
  <c r="E56" i="12761"/>
  <c r="F56" i="12761" s="1"/>
  <c r="G56" i="12761" s="1"/>
  <c r="H56" i="12761" s="1"/>
  <c r="J56" i="12761"/>
  <c r="K56" i="12761" s="1"/>
  <c r="L56" i="12761" s="1"/>
  <c r="M56" i="12761" s="1"/>
  <c r="N56" i="12761" s="1"/>
  <c r="O57" i="12761"/>
  <c r="R57" i="12761" s="1"/>
  <c r="O58" i="12761"/>
  <c r="R58" i="12761" s="1"/>
  <c r="O59" i="12761"/>
  <c r="O60" i="12761"/>
  <c r="O61" i="12761"/>
  <c r="O62" i="12761"/>
  <c r="O63" i="12761"/>
  <c r="O64" i="12761"/>
  <c r="O65" i="12761"/>
  <c r="O66" i="12761"/>
  <c r="O67" i="12761"/>
  <c r="O68" i="12761"/>
  <c r="C69" i="12761"/>
  <c r="G69" i="12761" s="1"/>
  <c r="E71" i="12761"/>
  <c r="F71" i="12761" s="1"/>
  <c r="G71" i="12761" s="1"/>
  <c r="H71" i="12761" s="1"/>
  <c r="J71" i="12761"/>
  <c r="K71" i="12761" s="1"/>
  <c r="L71" i="12761" s="1"/>
  <c r="M71" i="12761" s="1"/>
  <c r="N71" i="12761" s="1"/>
  <c r="O72" i="12761"/>
  <c r="O73" i="12761"/>
  <c r="R73" i="12761" s="1"/>
  <c r="O74" i="12761"/>
  <c r="R74" i="12761" s="1"/>
  <c r="O75" i="12761"/>
  <c r="R75" i="12761" s="1"/>
  <c r="O76" i="12761"/>
  <c r="R76" i="12761" s="1"/>
  <c r="O77" i="12761"/>
  <c r="R77" i="12761" s="1"/>
  <c r="C81" i="12761"/>
  <c r="D81" i="12761"/>
  <c r="E81" i="12761"/>
  <c r="F81" i="12761"/>
  <c r="G81" i="12761"/>
  <c r="H81" i="12761"/>
  <c r="I81" i="12761"/>
  <c r="J81" i="12761"/>
  <c r="K81" i="12761"/>
  <c r="L81" i="12761"/>
  <c r="M81" i="12761"/>
  <c r="N81" i="12761"/>
  <c r="E83" i="12761"/>
  <c r="F83" i="12761" s="1"/>
  <c r="G83" i="12761" s="1"/>
  <c r="H83" i="12761" s="1"/>
  <c r="J83" i="12761"/>
  <c r="K83" i="12761" s="1"/>
  <c r="L83" i="12761" s="1"/>
  <c r="M83" i="12761" s="1"/>
  <c r="N83" i="12761" s="1"/>
  <c r="O84" i="12761"/>
  <c r="O85" i="12761"/>
  <c r="O86" i="12761"/>
  <c r="R86" i="12761" s="1"/>
  <c r="O87" i="12761"/>
  <c r="R87" i="12761" s="1"/>
  <c r="O88" i="12761"/>
  <c r="R88" i="12761" s="1"/>
  <c r="O89" i="12761"/>
  <c r="R89" i="12761" s="1"/>
  <c r="O90" i="12761"/>
  <c r="R90" i="12761" s="1"/>
  <c r="O91" i="12761"/>
  <c r="O92" i="12761"/>
  <c r="O93" i="12761"/>
  <c r="O94" i="12761"/>
  <c r="O95" i="12761"/>
  <c r="C97" i="12761"/>
  <c r="D97" i="12761"/>
  <c r="E97" i="12761"/>
  <c r="F97" i="12761"/>
  <c r="G97" i="12761"/>
  <c r="H97" i="12761"/>
  <c r="I97" i="12761"/>
  <c r="J97" i="12761"/>
  <c r="K97" i="12761"/>
  <c r="L97" i="12761"/>
  <c r="M97" i="12761"/>
  <c r="N97" i="12761"/>
  <c r="P997" i="12766" l="1"/>
  <c r="I809" i="12766"/>
  <c r="I832" i="12766"/>
  <c r="K832" i="12766" s="1"/>
  <c r="K804" i="12766" s="1"/>
  <c r="C824" i="12766"/>
  <c r="H753" i="12766"/>
  <c r="E748" i="12766"/>
  <c r="G748" i="12766" s="1"/>
  <c r="C596" i="12766"/>
  <c r="C542" i="12766"/>
  <c r="G532" i="12766"/>
  <c r="G552" i="12766"/>
  <c r="E461" i="12766"/>
  <c r="G461" i="12766" s="1"/>
  <c r="I275" i="12766"/>
  <c r="I284" i="12766" s="1"/>
  <c r="H340" i="12766"/>
  <c r="K219" i="12766"/>
  <c r="I392" i="12766"/>
  <c r="I401" i="12766" s="1"/>
  <c r="G67" i="12766"/>
  <c r="O45" i="12775"/>
  <c r="G45" i="12775"/>
  <c r="G884" i="12787"/>
  <c r="I613" i="12787"/>
  <c r="O586" i="12787"/>
  <c r="G539" i="12787"/>
  <c r="E310" i="12787"/>
  <c r="G310" i="12787" s="1"/>
  <c r="E396" i="12787"/>
  <c r="G396" i="12787" s="1"/>
  <c r="I246" i="12787"/>
  <c r="I255" i="12787" s="1"/>
  <c r="K255" i="12787" s="1"/>
  <c r="K225" i="12787"/>
  <c r="G244" i="12787"/>
  <c r="K296" i="12787"/>
  <c r="K267" i="12787" s="1"/>
  <c r="D356" i="12787"/>
  <c r="D150" i="12787" s="1"/>
  <c r="F762" i="12767"/>
  <c r="C603" i="12766"/>
  <c r="H529" i="12766"/>
  <c r="G553" i="12766"/>
  <c r="I362" i="12766"/>
  <c r="I371" i="12766" s="1"/>
  <c r="I304" i="12766"/>
  <c r="I420" i="12766"/>
  <c r="I429" i="12766" s="1"/>
  <c r="H115" i="12766"/>
  <c r="H117" i="12766" s="1"/>
  <c r="M596" i="12766"/>
  <c r="H919" i="12787"/>
  <c r="D299" i="12787"/>
  <c r="E342" i="12787"/>
  <c r="I309" i="12787"/>
  <c r="K309" i="12787" s="1"/>
  <c r="K331" i="12787"/>
  <c r="M45" i="12774"/>
  <c r="I45" i="12774"/>
  <c r="E45" i="12774"/>
  <c r="G725" i="12766"/>
  <c r="G623" i="12766" s="1"/>
  <c r="M616" i="12766"/>
  <c r="I308" i="12766"/>
  <c r="K308" i="12766" s="1"/>
  <c r="I218" i="12766"/>
  <c r="I227" i="12766" s="1"/>
  <c r="I332" i="12766"/>
  <c r="H272" i="12766"/>
  <c r="M45" i="12775"/>
  <c r="I45" i="12775"/>
  <c r="E45" i="12775"/>
  <c r="I610" i="12787"/>
  <c r="E711" i="12787"/>
  <c r="G711" i="12787" s="1"/>
  <c r="I608" i="12787"/>
  <c r="M608" i="12787" s="1"/>
  <c r="E431" i="12787"/>
  <c r="G431" i="12787" s="1"/>
  <c r="G373" i="12787" s="1"/>
  <c r="I421" i="12787"/>
  <c r="K518" i="12766"/>
  <c r="I425" i="12766"/>
  <c r="K688" i="12787"/>
  <c r="I711" i="12787"/>
  <c r="K711" i="12787" s="1"/>
  <c r="K340" i="12766"/>
  <c r="J709" i="12843"/>
  <c r="L709" i="12843" s="1"/>
  <c r="J671" i="12843"/>
  <c r="L671" i="12843" s="1"/>
  <c r="K964" i="12766"/>
  <c r="K966" i="12766" s="1"/>
  <c r="G907" i="12766"/>
  <c r="D837" i="12766"/>
  <c r="K837" i="12766" s="1"/>
  <c r="I833" i="12766"/>
  <c r="K833" i="12766" s="1"/>
  <c r="K805" i="12766" s="1"/>
  <c r="K777" i="12766" s="1"/>
  <c r="G857" i="12766"/>
  <c r="H795" i="12766"/>
  <c r="H767" i="12766" s="1"/>
  <c r="C794" i="12766"/>
  <c r="I615" i="12766"/>
  <c r="M615" i="12766" s="1"/>
  <c r="I664" i="12766"/>
  <c r="H661" i="12766"/>
  <c r="I698" i="12766"/>
  <c r="K698" i="12766" s="1"/>
  <c r="K596" i="12766" s="1"/>
  <c r="G535" i="12766"/>
  <c r="G501" i="12766" s="1"/>
  <c r="I564" i="12766"/>
  <c r="K564" i="12766" s="1"/>
  <c r="I563" i="12766"/>
  <c r="K563" i="12766" s="1"/>
  <c r="V486" i="12766"/>
  <c r="V485" i="12766"/>
  <c r="D519" i="12766"/>
  <c r="H519" i="12766" s="1"/>
  <c r="E471" i="12766"/>
  <c r="G471" i="12766" s="1"/>
  <c r="K448" i="12766"/>
  <c r="K445" i="12766"/>
  <c r="I363" i="12766"/>
  <c r="I372" i="12766" s="1"/>
  <c r="D403" i="12766"/>
  <c r="H403" i="12766" s="1"/>
  <c r="I343" i="12766"/>
  <c r="K343" i="12766" s="1"/>
  <c r="I170" i="12766"/>
  <c r="I426" i="12766"/>
  <c r="G395" i="12766"/>
  <c r="G276" i="12766"/>
  <c r="I421" i="12766"/>
  <c r="I430" i="12766" s="1"/>
  <c r="I246" i="12766"/>
  <c r="I255" i="12766" s="1"/>
  <c r="I303" i="12766"/>
  <c r="I312" i="12766" s="1"/>
  <c r="D414" i="12766"/>
  <c r="K384" i="12766"/>
  <c r="H127" i="12766"/>
  <c r="K963" i="12787"/>
  <c r="D980" i="12787"/>
  <c r="P915" i="12787"/>
  <c r="O801" i="12787"/>
  <c r="K866" i="12787"/>
  <c r="G892" i="12787"/>
  <c r="C799" i="12787"/>
  <c r="C771" i="12787" s="1"/>
  <c r="K851" i="12787"/>
  <c r="I750" i="12787"/>
  <c r="K750" i="12787" s="1"/>
  <c r="I747" i="12787"/>
  <c r="K747" i="12787" s="1"/>
  <c r="K740" i="12787"/>
  <c r="E665" i="12787"/>
  <c r="G665" i="12787" s="1"/>
  <c r="E715" i="12787"/>
  <c r="G715" i="12787" s="1"/>
  <c r="E710" i="12787"/>
  <c r="G710" i="12787" s="1"/>
  <c r="C603" i="12787"/>
  <c r="E362" i="12787"/>
  <c r="E371" i="12787" s="1"/>
  <c r="E198" i="12787"/>
  <c r="I402" i="12787"/>
  <c r="K402" i="12787" s="1"/>
  <c r="E228" i="12787"/>
  <c r="G228" i="12787" s="1"/>
  <c r="G200" i="12787" s="1"/>
  <c r="E400" i="12787"/>
  <c r="G400" i="12787" s="1"/>
  <c r="I340" i="12787"/>
  <c r="K340" i="12787" s="1"/>
  <c r="K282" i="12787" s="1"/>
  <c r="H428" i="12787"/>
  <c r="E398" i="12787"/>
  <c r="G398" i="12787" s="1"/>
  <c r="G369" i="12787" s="1"/>
  <c r="I426" i="12787"/>
  <c r="K426" i="12787" s="1"/>
  <c r="G223" i="12787"/>
  <c r="G195" i="12787" s="1"/>
  <c r="I165" i="12787"/>
  <c r="I424" i="12787"/>
  <c r="K424" i="12787" s="1"/>
  <c r="E395" i="12787"/>
  <c r="G395" i="12787" s="1"/>
  <c r="O161" i="12787"/>
  <c r="O160" i="12787"/>
  <c r="C273" i="12787"/>
  <c r="G327" i="12787"/>
  <c r="O154" i="12787"/>
  <c r="I392" i="12787"/>
  <c r="I218" i="12787"/>
  <c r="I227" i="12787" s="1"/>
  <c r="G331" i="12787"/>
  <c r="H298" i="12787"/>
  <c r="I297" i="12787"/>
  <c r="H326" i="12787"/>
  <c r="G240" i="12787"/>
  <c r="D296" i="12787"/>
  <c r="H296" i="12787" s="1"/>
  <c r="G239" i="12787"/>
  <c r="H385" i="12787"/>
  <c r="I384" i="12787"/>
  <c r="H126" i="12787"/>
  <c r="I137" i="12787"/>
  <c r="D39" i="12787"/>
  <c r="H39" i="12787" s="1"/>
  <c r="J409" i="12843"/>
  <c r="L409" i="12843" s="1"/>
  <c r="J550" i="12843"/>
  <c r="L550" i="12843" s="1"/>
  <c r="J444" i="12843"/>
  <c r="L444" i="12843" s="1"/>
  <c r="J515" i="12843"/>
  <c r="L515" i="12843" s="1"/>
  <c r="J339" i="12843"/>
  <c r="L339" i="12843" s="1"/>
  <c r="J480" i="12843"/>
  <c r="J270" i="12843"/>
  <c r="L270" i="12843" s="1"/>
  <c r="J305" i="12843"/>
  <c r="L305" i="12843" s="1"/>
  <c r="J374" i="12843"/>
  <c r="J236" i="12843"/>
  <c r="N871" i="12843"/>
  <c r="P871" i="12843" s="1"/>
  <c r="N818" i="12843"/>
  <c r="P818" i="12843" s="1"/>
  <c r="M777" i="12766"/>
  <c r="H666" i="12766"/>
  <c r="G702" i="12766"/>
  <c r="I531" i="12766"/>
  <c r="G226" i="12766"/>
  <c r="G198" i="12766" s="1"/>
  <c r="G225" i="12766"/>
  <c r="G224" i="12766"/>
  <c r="H221" i="12766"/>
  <c r="C27" i="12766"/>
  <c r="H921" i="12787"/>
  <c r="H917" i="12787"/>
  <c r="P910" i="12787"/>
  <c r="O878" i="12787"/>
  <c r="E888" i="12787"/>
  <c r="K857" i="12787"/>
  <c r="E857" i="12787"/>
  <c r="G613" i="12787"/>
  <c r="I612" i="12787"/>
  <c r="E651" i="12787"/>
  <c r="G651" i="12787" s="1"/>
  <c r="I695" i="12787"/>
  <c r="I687" i="12787"/>
  <c r="K687" i="12787" s="1"/>
  <c r="G571" i="12787"/>
  <c r="G222" i="12787"/>
  <c r="K219" i="12787"/>
  <c r="K191" i="12787" s="1"/>
  <c r="K333" i="12787"/>
  <c r="K213" i="12787"/>
  <c r="K185" i="12787" s="1"/>
  <c r="I139" i="12787"/>
  <c r="K139" i="12787" s="1"/>
  <c r="H125" i="12787"/>
  <c r="D71" i="12787"/>
  <c r="G963" i="12766"/>
  <c r="C930" i="12766"/>
  <c r="G951" i="12766"/>
  <c r="H861" i="12766"/>
  <c r="I661" i="12766"/>
  <c r="K661" i="12766" s="1"/>
  <c r="C501" i="12766"/>
  <c r="G567" i="12766"/>
  <c r="G499" i="12766" s="1"/>
  <c r="T485" i="12766"/>
  <c r="H481" i="12766"/>
  <c r="H480" i="12766"/>
  <c r="K452" i="12766"/>
  <c r="K443" i="12766"/>
  <c r="I356" i="12766"/>
  <c r="I367" i="12766" s="1"/>
  <c r="I274" i="12766"/>
  <c r="I283" i="12766" s="1"/>
  <c r="I190" i="12766"/>
  <c r="I199" i="12766" s="1"/>
  <c r="K403" i="12766"/>
  <c r="I169" i="12766"/>
  <c r="K395" i="12766"/>
  <c r="G364" i="12766"/>
  <c r="O160" i="12766"/>
  <c r="I391" i="12766"/>
  <c r="I400" i="12766" s="1"/>
  <c r="I217" i="12766"/>
  <c r="H87" i="12766"/>
  <c r="G57" i="12766"/>
  <c r="K965" i="12787"/>
  <c r="H918" i="12787"/>
  <c r="P908" i="12787"/>
  <c r="O882" i="12787"/>
  <c r="E809" i="12787"/>
  <c r="D796" i="12787"/>
  <c r="K837" i="12787"/>
  <c r="K809" i="12787" s="1"/>
  <c r="K827" i="12787"/>
  <c r="G890" i="12787"/>
  <c r="H878" i="12787"/>
  <c r="E717" i="12787"/>
  <c r="I614" i="12787"/>
  <c r="E663" i="12787"/>
  <c r="G663" i="12787" s="1"/>
  <c r="G612" i="12787" s="1"/>
  <c r="H661" i="12787"/>
  <c r="E709" i="12787"/>
  <c r="I605" i="12787"/>
  <c r="M605" i="12787" s="1"/>
  <c r="G698" i="12787"/>
  <c r="M585" i="12787"/>
  <c r="I696" i="12787"/>
  <c r="C593" i="12787"/>
  <c r="G535" i="12787"/>
  <c r="K531" i="12787"/>
  <c r="G526" i="12787"/>
  <c r="I184" i="12787"/>
  <c r="I194" i="12787" s="1"/>
  <c r="E314" i="12787"/>
  <c r="G314" i="12787" s="1"/>
  <c r="I169" i="12787"/>
  <c r="I336" i="12787"/>
  <c r="K336" i="12787" s="1"/>
  <c r="G333" i="12787"/>
  <c r="G297" i="12787"/>
  <c r="G268" i="12787" s="1"/>
  <c r="C186" i="12787"/>
  <c r="I332" i="12787"/>
  <c r="G245" i="12787"/>
  <c r="G241" i="12787"/>
  <c r="G185" i="12787" s="1"/>
  <c r="G213" i="12787"/>
  <c r="K211" i="12787"/>
  <c r="H325" i="12787"/>
  <c r="I113" i="12787"/>
  <c r="K113" i="12787" s="1"/>
  <c r="N631" i="12767"/>
  <c r="N632" i="12843" s="1"/>
  <c r="J632" i="12843"/>
  <c r="T750" i="12767"/>
  <c r="X750" i="12767"/>
  <c r="X754" i="12767"/>
  <c r="T754" i="12767"/>
  <c r="X749" i="12767"/>
  <c r="T749" i="12767"/>
  <c r="T756" i="12767"/>
  <c r="X756" i="12767"/>
  <c r="T745" i="12767"/>
  <c r="X745" i="12767"/>
  <c r="X755" i="12767"/>
  <c r="T755" i="12767"/>
  <c r="T759" i="12767"/>
  <c r="X759" i="12767"/>
  <c r="T758" i="12767"/>
  <c r="X758" i="12767"/>
  <c r="T753" i="12767"/>
  <c r="X753" i="12767"/>
  <c r="X748" i="12767"/>
  <c r="T748" i="12767"/>
  <c r="M38" i="12764"/>
  <c r="O38" i="12764" s="1"/>
  <c r="C932" i="12767"/>
  <c r="J950" i="12767"/>
  <c r="J951" i="12843" s="1"/>
  <c r="M50" i="12828"/>
  <c r="T1195" i="12767"/>
  <c r="T1199" i="12843" s="1"/>
  <c r="P1195" i="12767"/>
  <c r="P1199" i="12843" s="1"/>
  <c r="P1222" i="12767"/>
  <c r="P1228" i="12843" s="1"/>
  <c r="T1222" i="12767"/>
  <c r="T1228" i="12843" s="1"/>
  <c r="T1151" i="12767"/>
  <c r="T1154" i="12843" s="1"/>
  <c r="P1151" i="12767"/>
  <c r="P1154" i="12843" s="1"/>
  <c r="X22" i="12767"/>
  <c r="X22" i="12843" s="1"/>
  <c r="T22" i="12767"/>
  <c r="T22" i="12843" s="1"/>
  <c r="X734" i="12767"/>
  <c r="X735" i="12843" s="1"/>
  <c r="T734" i="12767"/>
  <c r="T735" i="12843" s="1"/>
  <c r="X621" i="12767"/>
  <c r="X622" i="12843" s="1"/>
  <c r="T621" i="12767"/>
  <c r="T622" i="12843" s="1"/>
  <c r="T169" i="12767"/>
  <c r="X169" i="12767"/>
  <c r="X604" i="12767"/>
  <c r="X605" i="12843" s="1"/>
  <c r="T604" i="12767"/>
  <c r="T605" i="12843" s="1"/>
  <c r="X738" i="12767"/>
  <c r="X739" i="12843" s="1"/>
  <c r="T738" i="12767"/>
  <c r="T739" i="12843" s="1"/>
  <c r="C632" i="12767"/>
  <c r="P627" i="12767"/>
  <c r="P628" i="12843" s="1"/>
  <c r="X170" i="12767"/>
  <c r="T170" i="12767"/>
  <c r="X752" i="12767"/>
  <c r="X753" i="12843" s="1"/>
  <c r="T752" i="12767"/>
  <c r="T753" i="12843" s="1"/>
  <c r="X737" i="12767"/>
  <c r="X738" i="12843" s="1"/>
  <c r="T737" i="12767"/>
  <c r="T738" i="12843" s="1"/>
  <c r="X732" i="12767"/>
  <c r="X733" i="12843" s="1"/>
  <c r="T732" i="12767"/>
  <c r="T733" i="12843" s="1"/>
  <c r="X720" i="12767"/>
  <c r="X721" i="12843" s="1"/>
  <c r="T720" i="12767"/>
  <c r="T721" i="12843" s="1"/>
  <c r="X620" i="12767"/>
  <c r="X621" i="12843" s="1"/>
  <c r="T620" i="12767"/>
  <c r="T621" i="12843" s="1"/>
  <c r="X607" i="12767"/>
  <c r="X608" i="12843" s="1"/>
  <c r="T607" i="12767"/>
  <c r="T608" i="12843" s="1"/>
  <c r="T189" i="12767"/>
  <c r="T190" i="12843" s="1"/>
  <c r="X189" i="12767"/>
  <c r="X190" i="12843" s="1"/>
  <c r="T168" i="12767"/>
  <c r="X168" i="12767"/>
  <c r="X602" i="12767"/>
  <c r="X603" i="12843" s="1"/>
  <c r="T602" i="12767"/>
  <c r="T603" i="12843" s="1"/>
  <c r="J742" i="12767"/>
  <c r="T742" i="12767"/>
  <c r="P742" i="12767"/>
  <c r="P743" i="12843" s="1"/>
  <c r="X729" i="12767"/>
  <c r="X730" i="12843" s="1"/>
  <c r="T729" i="12767"/>
  <c r="T730" i="12843" s="1"/>
  <c r="X723" i="12767"/>
  <c r="X724" i="12843" s="1"/>
  <c r="T723" i="12767"/>
  <c r="T724" i="12843" s="1"/>
  <c r="X624" i="12767"/>
  <c r="X625" i="12843" s="1"/>
  <c r="T624" i="12767"/>
  <c r="T625" i="12843" s="1"/>
  <c r="X191" i="12767"/>
  <c r="X192" i="12843" s="1"/>
  <c r="T191" i="12767"/>
  <c r="T192" i="12843" s="1"/>
  <c r="X733" i="12767"/>
  <c r="X734" i="12843" s="1"/>
  <c r="T733" i="12767"/>
  <c r="T734" i="12843" s="1"/>
  <c r="X722" i="12767"/>
  <c r="X723" i="12843" s="1"/>
  <c r="T722" i="12767"/>
  <c r="T723" i="12843" s="1"/>
  <c r="X623" i="12767"/>
  <c r="X624" i="12843" s="1"/>
  <c r="T623" i="12767"/>
  <c r="T624" i="12843" s="1"/>
  <c r="X190" i="12767"/>
  <c r="X191" i="12843" s="1"/>
  <c r="T190" i="12767"/>
  <c r="T191" i="12843" s="1"/>
  <c r="X603" i="12767"/>
  <c r="X604" i="12843" s="1"/>
  <c r="T603" i="12767"/>
  <c r="T604" i="12843" s="1"/>
  <c r="P765" i="12767"/>
  <c r="P766" i="12843" s="1"/>
  <c r="X747" i="12767"/>
  <c r="X748" i="12843" s="1"/>
  <c r="T747" i="12767"/>
  <c r="T748" i="12843" s="1"/>
  <c r="X735" i="12767"/>
  <c r="X736" i="12843" s="1"/>
  <c r="T735" i="12767"/>
  <c r="T736" i="12843" s="1"/>
  <c r="X731" i="12767"/>
  <c r="X732" i="12843" s="1"/>
  <c r="T731" i="12767"/>
  <c r="T732" i="12843" s="1"/>
  <c r="X724" i="12767"/>
  <c r="X725" i="12843" s="1"/>
  <c r="T724" i="12767"/>
  <c r="T725" i="12843" s="1"/>
  <c r="T622" i="12767"/>
  <c r="T623" i="12843" s="1"/>
  <c r="X622" i="12767"/>
  <c r="X623" i="12843" s="1"/>
  <c r="X606" i="12767"/>
  <c r="X607" i="12843" s="1"/>
  <c r="T606" i="12767"/>
  <c r="T607" i="12843" s="1"/>
  <c r="X631" i="12767"/>
  <c r="X632" i="12843" s="1"/>
  <c r="T631" i="12767"/>
  <c r="T632" i="12843" s="1"/>
  <c r="X870" i="12767"/>
  <c r="X817" i="12767"/>
  <c r="V372" i="12767"/>
  <c r="P1208" i="12767"/>
  <c r="X709" i="12767"/>
  <c r="X671" i="12767"/>
  <c r="X549" i="12767"/>
  <c r="X443" i="12767"/>
  <c r="X408" i="12767"/>
  <c r="X514" i="12767"/>
  <c r="V373" i="12767"/>
  <c r="V235" i="12767"/>
  <c r="T514" i="12767"/>
  <c r="T408" i="12767"/>
  <c r="T549" i="12767"/>
  <c r="R235" i="12767"/>
  <c r="T443" i="12767"/>
  <c r="R373" i="12767"/>
  <c r="R372" i="12767"/>
  <c r="T671" i="12767"/>
  <c r="T709" i="12767"/>
  <c r="T870" i="12767"/>
  <c r="T817" i="12767"/>
  <c r="R849" i="12767"/>
  <c r="T849" i="12767" s="1"/>
  <c r="R765" i="12767"/>
  <c r="T765" i="12767" s="1"/>
  <c r="T766" i="12843" s="1"/>
  <c r="R796" i="12767"/>
  <c r="T796" i="12767" s="1"/>
  <c r="J269" i="12767"/>
  <c r="L269" i="12767" s="1"/>
  <c r="P269" i="12767" s="1"/>
  <c r="N549" i="12767"/>
  <c r="P549" i="12767" s="1"/>
  <c r="N408" i="12767"/>
  <c r="P408" i="12767" s="1"/>
  <c r="N373" i="12767"/>
  <c r="N479" i="12767"/>
  <c r="N443" i="12767"/>
  <c r="P443" i="12767" s="1"/>
  <c r="N235" i="12767"/>
  <c r="N514" i="12767"/>
  <c r="P514" i="12767" s="1"/>
  <c r="N870" i="12767"/>
  <c r="P870" i="12767" s="1"/>
  <c r="N817" i="12767"/>
  <c r="P817" i="12767" s="1"/>
  <c r="J268" i="12767"/>
  <c r="L268" i="12767" s="1"/>
  <c r="P513" i="12767"/>
  <c r="P548" i="12767"/>
  <c r="P407" i="12767"/>
  <c r="N372" i="12767"/>
  <c r="P442" i="12767"/>
  <c r="N234" i="12767"/>
  <c r="P816" i="12767"/>
  <c r="P869" i="12767"/>
  <c r="N970" i="12767"/>
  <c r="P970" i="12767" s="1"/>
  <c r="N895" i="12767"/>
  <c r="P895" i="12767" s="1"/>
  <c r="P896" i="12843" s="1"/>
  <c r="N988" i="12767"/>
  <c r="P988" i="12767" s="1"/>
  <c r="P1082" i="12767" s="1"/>
  <c r="N671" i="12767"/>
  <c r="P671" i="12767" s="1"/>
  <c r="N709" i="12767"/>
  <c r="P709" i="12767" s="1"/>
  <c r="P708" i="12767"/>
  <c r="P670" i="12767"/>
  <c r="J798" i="12767"/>
  <c r="L798" i="12767" s="1"/>
  <c r="F465" i="12767"/>
  <c r="I357" i="12767"/>
  <c r="F92" i="12767"/>
  <c r="J869" i="12767"/>
  <c r="L869" i="12767" s="1"/>
  <c r="F93" i="12767"/>
  <c r="F91" i="12767"/>
  <c r="F88" i="12767"/>
  <c r="J46" i="12763"/>
  <c r="L46" i="12763" s="1"/>
  <c r="C766" i="12767"/>
  <c r="F215" i="12767"/>
  <c r="K997" i="12766"/>
  <c r="G996" i="12766"/>
  <c r="M990" i="12766"/>
  <c r="M984" i="12766"/>
  <c r="G974" i="12766"/>
  <c r="G964" i="12766"/>
  <c r="G966" i="12766" s="1"/>
  <c r="H811" i="12766"/>
  <c r="H783" i="12766" s="1"/>
  <c r="G866" i="12766"/>
  <c r="G864" i="12766"/>
  <c r="G808" i="12766" s="1"/>
  <c r="G780" i="12766" s="1"/>
  <c r="H832" i="12766"/>
  <c r="C798" i="12766"/>
  <c r="C770" i="12766" s="1"/>
  <c r="H739" i="12766"/>
  <c r="H735" i="12766"/>
  <c r="E612" i="12766"/>
  <c r="H585" i="12766"/>
  <c r="H584" i="12766"/>
  <c r="C586" i="12766"/>
  <c r="C584" i="12766"/>
  <c r="G533" i="12766"/>
  <c r="C499" i="12766"/>
  <c r="G556" i="12766"/>
  <c r="G375" i="12766"/>
  <c r="G228" i="12766"/>
  <c r="D228" i="12766"/>
  <c r="H228" i="12766" s="1"/>
  <c r="G268" i="12766"/>
  <c r="D296" i="12766"/>
  <c r="C183" i="12766"/>
  <c r="G356" i="12766"/>
  <c r="G150" i="12766" s="1"/>
  <c r="G33" i="12766"/>
  <c r="G885" i="12787"/>
  <c r="E893" i="12787"/>
  <c r="G893" i="12787" s="1"/>
  <c r="E736" i="12787"/>
  <c r="G736" i="12787" s="1"/>
  <c r="E851" i="12787"/>
  <c r="G851" i="12787" s="1"/>
  <c r="O795" i="12787"/>
  <c r="I648" i="12787"/>
  <c r="I699" i="12787"/>
  <c r="M597" i="12787"/>
  <c r="I616" i="12787"/>
  <c r="H597" i="12766"/>
  <c r="G595" i="12766"/>
  <c r="C595" i="12766"/>
  <c r="G593" i="12766"/>
  <c r="C593" i="12766"/>
  <c r="H44" i="12783"/>
  <c r="H48" i="12783" s="1"/>
  <c r="I861" i="12787"/>
  <c r="K861" i="12787" s="1"/>
  <c r="E753" i="12787"/>
  <c r="E867" i="12787"/>
  <c r="I647" i="12787"/>
  <c r="I698" i="12787"/>
  <c r="O596" i="12787"/>
  <c r="I637" i="12787"/>
  <c r="I609" i="12787"/>
  <c r="M609" i="12787" s="1"/>
  <c r="G567" i="12787"/>
  <c r="G224" i="12787"/>
  <c r="G363" i="12787"/>
  <c r="D67" i="12787"/>
  <c r="M783" i="12787"/>
  <c r="K864" i="12787"/>
  <c r="K838" i="12787"/>
  <c r="C802" i="12787"/>
  <c r="C774" i="12787" s="1"/>
  <c r="H884" i="12787"/>
  <c r="K826" i="12787"/>
  <c r="C797" i="12787"/>
  <c r="C769" i="12787" s="1"/>
  <c r="D627" i="12787"/>
  <c r="E666" i="12787"/>
  <c r="E660" i="12787"/>
  <c r="G660" i="12787" s="1"/>
  <c r="E659" i="12787"/>
  <c r="G659" i="12787" s="1"/>
  <c r="G608" i="12787" s="1"/>
  <c r="E658" i="12787"/>
  <c r="G658" i="12787" s="1"/>
  <c r="K705" i="12787"/>
  <c r="G705" i="12787"/>
  <c r="G637" i="12787"/>
  <c r="G645" i="12787"/>
  <c r="G594" i="12787" s="1"/>
  <c r="C503" i="12787"/>
  <c r="D483" i="12787"/>
  <c r="K516" i="12787"/>
  <c r="C551" i="12787"/>
  <c r="C517" i="12787"/>
  <c r="G514" i="12787"/>
  <c r="C480" i="12787"/>
  <c r="I469" i="12766"/>
  <c r="D290" i="12787"/>
  <c r="I314" i="12787"/>
  <c r="K314" i="12787" s="1"/>
  <c r="I428" i="12787"/>
  <c r="K428" i="12787" s="1"/>
  <c r="K370" i="12787" s="1"/>
  <c r="I253" i="12787"/>
  <c r="K253" i="12787" s="1"/>
  <c r="H340" i="12787"/>
  <c r="G225" i="12787"/>
  <c r="G197" i="12787" s="1"/>
  <c r="I427" i="12787"/>
  <c r="K427" i="12787" s="1"/>
  <c r="I339" i="12787"/>
  <c r="K339" i="12787" s="1"/>
  <c r="C191" i="12787"/>
  <c r="C162" i="12787" s="1"/>
  <c r="I101" i="12787"/>
  <c r="K101" i="12787" s="1"/>
  <c r="H136" i="12787"/>
  <c r="D68" i="12787"/>
  <c r="G73" i="12787"/>
  <c r="G71" i="12787"/>
  <c r="G69" i="12787"/>
  <c r="G67" i="12787"/>
  <c r="G33" i="12787"/>
  <c r="G16" i="12787" s="1"/>
  <c r="H50" i="12787"/>
  <c r="P32" i="12775"/>
  <c r="E85" i="12763"/>
  <c r="E81" i="12763"/>
  <c r="I85" i="12763"/>
  <c r="I81" i="12763"/>
  <c r="N74" i="12763"/>
  <c r="K86" i="12764"/>
  <c r="E86" i="12764"/>
  <c r="G86" i="12764"/>
  <c r="C483" i="12767"/>
  <c r="F370" i="12767"/>
  <c r="F620" i="12767"/>
  <c r="F359" i="12767"/>
  <c r="C21" i="12767"/>
  <c r="F458" i="12767"/>
  <c r="F170" i="12767" s="1"/>
  <c r="J853" i="12767"/>
  <c r="L853" i="12767" s="1"/>
  <c r="P992" i="12766"/>
  <c r="O967" i="12766"/>
  <c r="G904" i="12766"/>
  <c r="C812" i="12766"/>
  <c r="C784" i="12766" s="1"/>
  <c r="G811" i="12766"/>
  <c r="G783" i="12766" s="1"/>
  <c r="C811" i="12766"/>
  <c r="C783" i="12766" s="1"/>
  <c r="G837" i="12766"/>
  <c r="C809" i="12766"/>
  <c r="G836" i="12766"/>
  <c r="C808" i="12766"/>
  <c r="C780" i="12766" s="1"/>
  <c r="G863" i="12766"/>
  <c r="G806" i="12766"/>
  <c r="G778" i="12766" s="1"/>
  <c r="G805" i="12766"/>
  <c r="I860" i="12766"/>
  <c r="K860" i="12766" s="1"/>
  <c r="C799" i="12766"/>
  <c r="C771" i="12766" s="1"/>
  <c r="H754" i="12766"/>
  <c r="H752" i="12766"/>
  <c r="E747" i="12766"/>
  <c r="G747" i="12766" s="1"/>
  <c r="I718" i="12766"/>
  <c r="K718" i="12766" s="1"/>
  <c r="I717" i="12766"/>
  <c r="K717" i="12766" s="1"/>
  <c r="I663" i="12766"/>
  <c r="I710" i="12766"/>
  <c r="K710" i="12766" s="1"/>
  <c r="I709" i="12766"/>
  <c r="K709" i="12766" s="1"/>
  <c r="G705" i="12766"/>
  <c r="G704" i="12766"/>
  <c r="K597" i="12766"/>
  <c r="C597" i="12766"/>
  <c r="C589" i="12766"/>
  <c r="H586" i="12766"/>
  <c r="G637" i="12766"/>
  <c r="G586" i="12766" s="1"/>
  <c r="C689" i="12766"/>
  <c r="G569" i="12766"/>
  <c r="G531" i="12766"/>
  <c r="C497" i="12766"/>
  <c r="I530" i="12766"/>
  <c r="K530" i="12766" s="1"/>
  <c r="H564" i="12766"/>
  <c r="G496" i="12766"/>
  <c r="M495" i="12766"/>
  <c r="C495" i="12766"/>
  <c r="I562" i="12766"/>
  <c r="K562" i="12766" s="1"/>
  <c r="H562" i="12766"/>
  <c r="M494" i="12766"/>
  <c r="O488" i="12766"/>
  <c r="G522" i="12766"/>
  <c r="C488" i="12766"/>
  <c r="G485" i="12766"/>
  <c r="G484" i="12766"/>
  <c r="E470" i="12766"/>
  <c r="E469" i="12766"/>
  <c r="E464" i="12766"/>
  <c r="G464" i="12766" s="1"/>
  <c r="E462" i="12766"/>
  <c r="G462" i="12766" s="1"/>
  <c r="E460" i="12766"/>
  <c r="G460" i="12766" s="1"/>
  <c r="E458" i="12766"/>
  <c r="G458" i="12766" s="1"/>
  <c r="H175" i="12766"/>
  <c r="K230" i="12766"/>
  <c r="H342" i="12766"/>
  <c r="C227" i="12766"/>
  <c r="C199" i="12766" s="1"/>
  <c r="C170" i="12766" s="1"/>
  <c r="H308" i="12766"/>
  <c r="D213" i="12766"/>
  <c r="C185" i="12766"/>
  <c r="C155" i="12766" s="1"/>
  <c r="C270" i="12766"/>
  <c r="K56" i="12766"/>
  <c r="G56" i="12766"/>
  <c r="K55" i="12766"/>
  <c r="G72" i="12766"/>
  <c r="G38" i="12766"/>
  <c r="G71" i="12766"/>
  <c r="D50" i="12766"/>
  <c r="H50" i="12766" s="1"/>
  <c r="G50" i="12766"/>
  <c r="G16" i="12766" s="1"/>
  <c r="O97" i="12761"/>
  <c r="H102" i="12766"/>
  <c r="H104" i="12766" s="1"/>
  <c r="I660" i="12787"/>
  <c r="K660" i="12787" s="1"/>
  <c r="K637" i="12787"/>
  <c r="K586" i="12787" s="1"/>
  <c r="D693" i="12787"/>
  <c r="H693" i="12787" s="1"/>
  <c r="H591" i="12787" s="1"/>
  <c r="D695" i="12787"/>
  <c r="D697" i="12787"/>
  <c r="D595" i="12787" s="1"/>
  <c r="D721" i="12787"/>
  <c r="D724" i="12787"/>
  <c r="D715" i="12787"/>
  <c r="D716" i="12787"/>
  <c r="H993" i="12787"/>
  <c r="H995" i="12787" s="1"/>
  <c r="G562" i="12787"/>
  <c r="H562" i="12787"/>
  <c r="O488" i="12787"/>
  <c r="I500" i="12787"/>
  <c r="H549" i="12787"/>
  <c r="G549" i="12787"/>
  <c r="K552" i="12787"/>
  <c r="I565" i="12787"/>
  <c r="K565" i="12787" s="1"/>
  <c r="D1001" i="12787"/>
  <c r="H1001" i="12787" s="1"/>
  <c r="K966" i="12787"/>
  <c r="K964" i="12787"/>
  <c r="K958" i="12787"/>
  <c r="K956" i="12787"/>
  <c r="K954" i="12787"/>
  <c r="G904" i="12787"/>
  <c r="O880" i="12787"/>
  <c r="G895" i="12787"/>
  <c r="G839" i="12787"/>
  <c r="C811" i="12787"/>
  <c r="C783" i="12787" s="1"/>
  <c r="K893" i="12787"/>
  <c r="D892" i="12787"/>
  <c r="C809" i="12787"/>
  <c r="C781" i="12787" s="1"/>
  <c r="K891" i="12787"/>
  <c r="I836" i="12787"/>
  <c r="K836" i="12787" s="1"/>
  <c r="K808" i="12787" s="1"/>
  <c r="K780" i="12787" s="1"/>
  <c r="G891" i="12787"/>
  <c r="I833" i="12787"/>
  <c r="K833" i="12787" s="1"/>
  <c r="K855" i="12787"/>
  <c r="K854" i="12787"/>
  <c r="I752" i="12787"/>
  <c r="I621" i="12787"/>
  <c r="H667" i="12787"/>
  <c r="I599" i="12787"/>
  <c r="I618" i="12787" s="1"/>
  <c r="G647" i="12787"/>
  <c r="G596" i="12787" s="1"/>
  <c r="G646" i="12787"/>
  <c r="O593" i="12787"/>
  <c r="G688" i="12787"/>
  <c r="M586" i="12787"/>
  <c r="I704" i="12787"/>
  <c r="K704" i="12787" s="1"/>
  <c r="K602" i="12787" s="1"/>
  <c r="U584" i="12787" s="1"/>
  <c r="W584" i="12787" s="1"/>
  <c r="C595" i="12787"/>
  <c r="G644" i="12787"/>
  <c r="I642" i="12787"/>
  <c r="K635" i="12787"/>
  <c r="K584" i="12787" s="1"/>
  <c r="K539" i="12787"/>
  <c r="E563" i="12787"/>
  <c r="G563" i="12787" s="1"/>
  <c r="I525" i="12787"/>
  <c r="I536" i="12787" s="1"/>
  <c r="K536" i="12787" s="1"/>
  <c r="I559" i="12787"/>
  <c r="I502" i="12787"/>
  <c r="M482" i="12787"/>
  <c r="H516" i="12787"/>
  <c r="G516" i="12787"/>
  <c r="E530" i="12787"/>
  <c r="H515" i="12787"/>
  <c r="E529" i="12787"/>
  <c r="K518" i="12787"/>
  <c r="K484" i="12787" s="1"/>
  <c r="G548" i="12787"/>
  <c r="H548" i="12787"/>
  <c r="C505" i="12787"/>
  <c r="C501" i="12787"/>
  <c r="K553" i="12787"/>
  <c r="K550" i="12787"/>
  <c r="G553" i="12787"/>
  <c r="G518" i="12787"/>
  <c r="K548" i="12787"/>
  <c r="D378" i="12787"/>
  <c r="I431" i="12787"/>
  <c r="K431" i="12787" s="1"/>
  <c r="I343" i="12787"/>
  <c r="K343" i="12787" s="1"/>
  <c r="K285" i="12787" s="1"/>
  <c r="E343" i="12787"/>
  <c r="I398" i="12787"/>
  <c r="K398" i="12787" s="1"/>
  <c r="I310" i="12787"/>
  <c r="K310" i="12787" s="1"/>
  <c r="K281" i="12787" s="1"/>
  <c r="E339" i="12787"/>
  <c r="D426" i="12787"/>
  <c r="G221" i="12787"/>
  <c r="G269" i="12787"/>
  <c r="C185" i="12787"/>
  <c r="C155" i="12787" s="1"/>
  <c r="K243" i="12787"/>
  <c r="D418" i="12787"/>
  <c r="C187" i="12787"/>
  <c r="C158" i="12787" s="1"/>
  <c r="O87" i="12787"/>
  <c r="I126" i="12787"/>
  <c r="K126" i="12787" s="1"/>
  <c r="Q85" i="12787"/>
  <c r="I124" i="12787"/>
  <c r="H97" i="12787"/>
  <c r="K109" i="12787"/>
  <c r="G109" i="12787"/>
  <c r="C25" i="12787"/>
  <c r="D73" i="12787"/>
  <c r="H73" i="12787" s="1"/>
  <c r="D55" i="12787"/>
  <c r="H35" i="12787"/>
  <c r="G55" i="12787"/>
  <c r="G52" i="12787"/>
  <c r="G51" i="12787"/>
  <c r="G40" i="12787"/>
  <c r="N44" i="12783"/>
  <c r="N48" i="12783" s="1"/>
  <c r="C1167" i="12767"/>
  <c r="C1166" i="12767" s="1"/>
  <c r="F624" i="12767"/>
  <c r="M54" i="12828"/>
  <c r="M52" i="12828"/>
  <c r="J479" i="12767"/>
  <c r="J373" i="12767"/>
  <c r="J235" i="12767"/>
  <c r="J372" i="12767"/>
  <c r="J234" i="12767"/>
  <c r="H907" i="12766"/>
  <c r="M907" i="12766"/>
  <c r="I750" i="12766"/>
  <c r="I755" i="12766"/>
  <c r="O81" i="12761"/>
  <c r="G977" i="12766"/>
  <c r="P985" i="12766"/>
  <c r="C929" i="12766"/>
  <c r="G917" i="12766"/>
  <c r="G920" i="12766" s="1"/>
  <c r="G922" i="12766" s="1"/>
  <c r="I806" i="12766"/>
  <c r="I805" i="12766"/>
  <c r="G838" i="12766"/>
  <c r="C810" i="12766"/>
  <c r="C782" i="12766" s="1"/>
  <c r="G865" i="12766"/>
  <c r="H889" i="12766"/>
  <c r="I861" i="12766"/>
  <c r="K861" i="12766" s="1"/>
  <c r="H887" i="12766"/>
  <c r="G853" i="12766"/>
  <c r="G797" i="12766" s="1"/>
  <c r="G769" i="12766" s="1"/>
  <c r="S769" i="12766"/>
  <c r="C795" i="12766"/>
  <c r="C767" i="12766" s="1"/>
  <c r="K795" i="12766"/>
  <c r="K767" i="12766" s="1"/>
  <c r="K794" i="12766"/>
  <c r="H794" i="12766"/>
  <c r="H766" i="12766" s="1"/>
  <c r="E749" i="12766"/>
  <c r="E746" i="12766"/>
  <c r="G743" i="12766"/>
  <c r="G740" i="12766"/>
  <c r="H736" i="12766"/>
  <c r="G624" i="12766"/>
  <c r="H623" i="12766"/>
  <c r="G622" i="12766"/>
  <c r="G723" i="12766"/>
  <c r="G621" i="12766" s="1"/>
  <c r="I667" i="12766"/>
  <c r="K667" i="12766" s="1"/>
  <c r="H718" i="12766"/>
  <c r="H616" i="12766" s="1"/>
  <c r="I666" i="12766"/>
  <c r="K666" i="12766" s="1"/>
  <c r="H717" i="12766"/>
  <c r="I665" i="12766"/>
  <c r="G613" i="12766"/>
  <c r="H711" i="12766"/>
  <c r="G609" i="12766"/>
  <c r="K608" i="12766"/>
  <c r="H710" i="12766"/>
  <c r="G608" i="12766"/>
  <c r="I658" i="12766"/>
  <c r="K658" i="12766" s="1"/>
  <c r="K607" i="12766" s="1"/>
  <c r="H709" i="12766"/>
  <c r="G607" i="12766"/>
  <c r="H707" i="12766"/>
  <c r="G605" i="12766"/>
  <c r="G603" i="12766"/>
  <c r="C600" i="12766"/>
  <c r="G650" i="12766"/>
  <c r="C599" i="12766"/>
  <c r="G648" i="12766"/>
  <c r="G597" i="12766" s="1"/>
  <c r="G635" i="12766"/>
  <c r="G584" i="12766" s="1"/>
  <c r="S585" i="12766"/>
  <c r="H582" i="12766"/>
  <c r="G633" i="12766"/>
  <c r="G582" i="12766" s="1"/>
  <c r="C638" i="12766"/>
  <c r="K504" i="12766"/>
  <c r="C570" i="12766"/>
  <c r="G570" i="12766" s="1"/>
  <c r="G536" i="12766"/>
  <c r="G540" i="12766" s="1"/>
  <c r="G565" i="12766"/>
  <c r="H563" i="12766"/>
  <c r="H495" i="12766" s="1"/>
  <c r="G490" i="12766"/>
  <c r="I522" i="12766"/>
  <c r="C517" i="12766"/>
  <c r="C480" i="12766"/>
  <c r="G286" i="12766"/>
  <c r="H338" i="12766"/>
  <c r="G368" i="12766"/>
  <c r="G280" i="12766"/>
  <c r="G195" i="12766"/>
  <c r="H337" i="12766"/>
  <c r="H279" i="12766" s="1"/>
  <c r="D217" i="12766"/>
  <c r="H217" i="12766" s="1"/>
  <c r="G331" i="12766"/>
  <c r="G273" i="12766" s="1"/>
  <c r="G244" i="12766"/>
  <c r="D216" i="12766"/>
  <c r="G272" i="12766"/>
  <c r="G241" i="12766"/>
  <c r="G185" i="12766" s="1"/>
  <c r="C304" i="12766"/>
  <c r="C246" i="12766"/>
  <c r="C190" i="12766" s="1"/>
  <c r="K296" i="12766"/>
  <c r="G296" i="12766"/>
  <c r="G267" i="12766" s="1"/>
  <c r="C242" i="12766"/>
  <c r="C214" i="12766"/>
  <c r="C434" i="12766"/>
  <c r="D427" i="12766" s="1"/>
  <c r="G363" i="12766"/>
  <c r="C115" i="12766"/>
  <c r="G111" i="12766"/>
  <c r="G85" i="12766" s="1"/>
  <c r="I101" i="12766"/>
  <c r="K101" i="12766" s="1"/>
  <c r="K102" i="12766" s="1"/>
  <c r="I114" i="12766"/>
  <c r="K114" i="12766" s="1"/>
  <c r="I127" i="12766"/>
  <c r="K127" i="12766" s="1"/>
  <c r="D69" i="12766"/>
  <c r="H69" i="12766" s="1"/>
  <c r="G69" i="12766"/>
  <c r="D51" i="12766"/>
  <c r="H51" i="12766" s="1"/>
  <c r="C17" i="12766"/>
  <c r="D39" i="12766"/>
  <c r="H39" i="12766" s="1"/>
  <c r="H22" i="12766" s="1"/>
  <c r="C22" i="12766"/>
  <c r="D16" i="12766"/>
  <c r="D829" i="12787"/>
  <c r="D843" i="12787" s="1"/>
  <c r="D827" i="12787"/>
  <c r="H827" i="12787" s="1"/>
  <c r="D834" i="12787"/>
  <c r="P51" i="12764"/>
  <c r="M776" i="12766"/>
  <c r="G798" i="12766"/>
  <c r="G770" i="12766" s="1"/>
  <c r="G596" i="12766"/>
  <c r="G594" i="12766"/>
  <c r="C594" i="12766"/>
  <c r="G481" i="12766"/>
  <c r="G480" i="12766"/>
  <c r="C83" i="12766"/>
  <c r="G96" i="12766"/>
  <c r="G83" i="12766" s="1"/>
  <c r="T85" i="12766"/>
  <c r="D91" i="12766"/>
  <c r="H16" i="12766"/>
  <c r="H86" i="12766"/>
  <c r="G84" i="12766"/>
  <c r="K71" i="12766"/>
  <c r="K37" i="12766"/>
  <c r="K67" i="12766"/>
  <c r="K33" i="12766"/>
  <c r="C16" i="12766"/>
  <c r="K44" i="12783"/>
  <c r="K48" i="12783" s="1"/>
  <c r="D1024" i="12787"/>
  <c r="H1024" i="12787" s="1"/>
  <c r="D1011" i="12787"/>
  <c r="H1011" i="12787" s="1"/>
  <c r="Q969" i="12787"/>
  <c r="K959" i="12787"/>
  <c r="K957" i="12787"/>
  <c r="K955" i="12787"/>
  <c r="K968" i="12787"/>
  <c r="E980" i="12787"/>
  <c r="G980" i="12787" s="1"/>
  <c r="G968" i="12787"/>
  <c r="G942" i="12787" s="1"/>
  <c r="C971" i="12787"/>
  <c r="D932" i="12787"/>
  <c r="K932" i="12787" s="1"/>
  <c r="K934" i="12787" s="1"/>
  <c r="G934" i="12787"/>
  <c r="K45" i="12775"/>
  <c r="P916" i="12787"/>
  <c r="P912" i="12787"/>
  <c r="P909" i="12787"/>
  <c r="P907" i="12787"/>
  <c r="O877" i="12787"/>
  <c r="E810" i="12787"/>
  <c r="E808" i="12787"/>
  <c r="E840" i="12787"/>
  <c r="G840" i="12787" s="1"/>
  <c r="G812" i="12787" s="1"/>
  <c r="G784" i="12787" s="1"/>
  <c r="H894" i="12787"/>
  <c r="G867" i="12787"/>
  <c r="I863" i="12787"/>
  <c r="K863" i="12787" s="1"/>
  <c r="I835" i="12787"/>
  <c r="K835" i="12787" s="1"/>
  <c r="D890" i="12787"/>
  <c r="H890" i="12787" s="1"/>
  <c r="K858" i="12787"/>
  <c r="D885" i="12787"/>
  <c r="H885" i="12787" s="1"/>
  <c r="K829" i="12787"/>
  <c r="K801" i="12787" s="1"/>
  <c r="K773" i="12787" s="1"/>
  <c r="U771" i="12787" s="1"/>
  <c r="W771" i="12787" s="1"/>
  <c r="K799" i="12787"/>
  <c r="K771" i="12787" s="1"/>
  <c r="U770" i="12787" s="1"/>
  <c r="W770" i="12787" s="1"/>
  <c r="D882" i="12787"/>
  <c r="H882" i="12787" s="1"/>
  <c r="E823" i="12787"/>
  <c r="H823" i="12787" s="1"/>
  <c r="K822" i="12787"/>
  <c r="C794" i="12787"/>
  <c r="C766" i="12787" s="1"/>
  <c r="C768" i="12787" s="1"/>
  <c r="I757" i="12787"/>
  <c r="K757" i="12787" s="1"/>
  <c r="I751" i="12787"/>
  <c r="G749" i="12787"/>
  <c r="D738" i="12787"/>
  <c r="M738" i="12787" s="1"/>
  <c r="M736" i="12787"/>
  <c r="M735" i="12787"/>
  <c r="E724" i="12787"/>
  <c r="M616" i="12787"/>
  <c r="I615" i="12787"/>
  <c r="M615" i="12787" s="1"/>
  <c r="G654" i="12787"/>
  <c r="G603" i="12787" s="1"/>
  <c r="O602" i="12787"/>
  <c r="M596" i="12787"/>
  <c r="C589" i="12787"/>
  <c r="G723" i="12787"/>
  <c r="G621" i="12787" s="1"/>
  <c r="H684" i="12787"/>
  <c r="G633" i="12787"/>
  <c r="G538" i="12787"/>
  <c r="E568" i="12787"/>
  <c r="G568" i="12787" s="1"/>
  <c r="K533" i="12787"/>
  <c r="C499" i="12787"/>
  <c r="G498" i="12787"/>
  <c r="G531" i="12787"/>
  <c r="G497" i="12787" s="1"/>
  <c r="K529" i="12787"/>
  <c r="H563" i="12787"/>
  <c r="K521" i="12787"/>
  <c r="K487" i="12787" s="1"/>
  <c r="G555" i="12787"/>
  <c r="G487" i="12787" s="1"/>
  <c r="K558" i="12787"/>
  <c r="G559" i="12787"/>
  <c r="G558" i="12787"/>
  <c r="C482" i="12787"/>
  <c r="K519" i="12787"/>
  <c r="K549" i="12787"/>
  <c r="K515" i="12787"/>
  <c r="K230" i="12787"/>
  <c r="H430" i="12787"/>
  <c r="H426" i="12787"/>
  <c r="D947" i="12787"/>
  <c r="N45" i="12775"/>
  <c r="L45" i="12775"/>
  <c r="J45" i="12775"/>
  <c r="H45" i="12775"/>
  <c r="F45" i="12775"/>
  <c r="D45" i="12775"/>
  <c r="D838" i="12787"/>
  <c r="D836" i="12787"/>
  <c r="G836" i="12787"/>
  <c r="K609" i="12787"/>
  <c r="K530" i="12787"/>
  <c r="D174" i="12787"/>
  <c r="G342" i="12787"/>
  <c r="H342" i="12787"/>
  <c r="G341" i="12787"/>
  <c r="G283" i="12787" s="1"/>
  <c r="H341" i="12787"/>
  <c r="M84" i="12787"/>
  <c r="G360" i="12787"/>
  <c r="G296" i="12787"/>
  <c r="G267" i="12787" s="1"/>
  <c r="F53" i="12811"/>
  <c r="F81" i="12811"/>
  <c r="G230" i="12787"/>
  <c r="K229" i="12787"/>
  <c r="G372" i="12787"/>
  <c r="K197" i="12787"/>
  <c r="K224" i="12787"/>
  <c r="G367" i="12787"/>
  <c r="G194" i="12787"/>
  <c r="K193" i="12787"/>
  <c r="K247" i="12787"/>
  <c r="G247" i="12787"/>
  <c r="D422" i="12787"/>
  <c r="G332" i="12787"/>
  <c r="G274" i="12787" s="1"/>
  <c r="G330" i="12787"/>
  <c r="G272" i="12787" s="1"/>
  <c r="G215" i="12787"/>
  <c r="K360" i="12787"/>
  <c r="K215" i="12787"/>
  <c r="K187" i="12787" s="1"/>
  <c r="G243" i="12787"/>
  <c r="K390" i="12787"/>
  <c r="K361" i="12787" s="1"/>
  <c r="E420" i="12787"/>
  <c r="G361" i="12787"/>
  <c r="C304" i="12787"/>
  <c r="C275" i="12787" s="1"/>
  <c r="G302" i="12787"/>
  <c r="G273" i="12787" s="1"/>
  <c r="C405" i="12787"/>
  <c r="D391" i="12787" s="1"/>
  <c r="G212" i="12787"/>
  <c r="G184" i="12787" s="1"/>
  <c r="G154" i="12787" s="1"/>
  <c r="K239" i="12787"/>
  <c r="M150" i="12787"/>
  <c r="I140" i="12787"/>
  <c r="K140" i="12787" s="1"/>
  <c r="I114" i="12787"/>
  <c r="K114" i="12787" s="1"/>
  <c r="K137" i="12787"/>
  <c r="D98" i="12787"/>
  <c r="D102" i="12787" s="1"/>
  <c r="H110" i="12787"/>
  <c r="H135" i="12787"/>
  <c r="C21" i="12787"/>
  <c r="G74" i="12787"/>
  <c r="G57" i="12787"/>
  <c r="G56" i="12787"/>
  <c r="G22" i="12787" s="1"/>
  <c r="G37" i="12787"/>
  <c r="F79" i="12811"/>
  <c r="F103" i="12811"/>
  <c r="E101" i="12811"/>
  <c r="E103" i="12811" s="1"/>
  <c r="E117" i="12811" s="1"/>
  <c r="I356" i="12767"/>
  <c r="C178" i="12767"/>
  <c r="C182" i="12767" s="1"/>
  <c r="F44" i="12811"/>
  <c r="E41" i="12811"/>
  <c r="E44" i="12811" s="1"/>
  <c r="F74" i="12811"/>
  <c r="E71" i="12811"/>
  <c r="E74" i="12811" s="1"/>
  <c r="E46" i="12811"/>
  <c r="E47" i="12811" s="1"/>
  <c r="F47" i="12811"/>
  <c r="F77" i="12811"/>
  <c r="E76" i="12811"/>
  <c r="E77" i="12811" s="1"/>
  <c r="I65" i="12763"/>
  <c r="J478" i="12767"/>
  <c r="M989" i="12787"/>
  <c r="I867" i="12787"/>
  <c r="K867" i="12787" s="1"/>
  <c r="E573" i="12787"/>
  <c r="G573" i="12787" s="1"/>
  <c r="G505" i="12787" s="1"/>
  <c r="C41" i="12764"/>
  <c r="E572" i="12787"/>
  <c r="G572" i="12787" s="1"/>
  <c r="S24" i="12775"/>
  <c r="F70" i="12775" s="1"/>
  <c r="S27" i="12775"/>
  <c r="F73" i="12775" s="1"/>
  <c r="AA28" i="12775"/>
  <c r="N74" i="12775" s="1"/>
  <c r="U24" i="12775"/>
  <c r="H70" i="12775" s="1"/>
  <c r="Y25" i="12775"/>
  <c r="L71" i="12775" s="1"/>
  <c r="Q27" i="12775"/>
  <c r="D73" i="12775" s="1"/>
  <c r="U28" i="12775"/>
  <c r="H74" i="12775" s="1"/>
  <c r="Z30" i="12775"/>
  <c r="M76" i="12775" s="1"/>
  <c r="W26" i="12775"/>
  <c r="J72" i="12775" s="1"/>
  <c r="X30" i="12775"/>
  <c r="K76" i="12775" s="1"/>
  <c r="I97" i="12764"/>
  <c r="M97" i="12764" s="1"/>
  <c r="O97" i="12764" s="1"/>
  <c r="I93" i="12764"/>
  <c r="M93" i="12764" s="1"/>
  <c r="O93" i="12764" s="1"/>
  <c r="C77" i="12764"/>
  <c r="M36" i="12764"/>
  <c r="O36" i="12764" s="1"/>
  <c r="C89" i="12763"/>
  <c r="AD22" i="12775"/>
  <c r="AD44" i="12775" s="1"/>
  <c r="I894" i="12787"/>
  <c r="K894" i="12787" s="1"/>
  <c r="I839" i="12787"/>
  <c r="K839" i="12787" s="1"/>
  <c r="I725" i="12787"/>
  <c r="K725" i="12787" s="1"/>
  <c r="K623" i="12787" s="1"/>
  <c r="M504" i="12787"/>
  <c r="H572" i="12787"/>
  <c r="I375" i="12787"/>
  <c r="E287" i="12787"/>
  <c r="I201" i="12787"/>
  <c r="I345" i="12787"/>
  <c r="K345" i="12787" s="1"/>
  <c r="K218" i="12766"/>
  <c r="F457" i="12767"/>
  <c r="F169" i="12767" s="1"/>
  <c r="L1235" i="12767"/>
  <c r="F464" i="12767"/>
  <c r="J800" i="12767"/>
  <c r="L800" i="12767" s="1"/>
  <c r="F41" i="12767"/>
  <c r="P45" i="12774"/>
  <c r="F734" i="12767"/>
  <c r="F761" i="12767"/>
  <c r="F860" i="12767"/>
  <c r="F754" i="12767" s="1"/>
  <c r="F854" i="12767"/>
  <c r="F748" i="12767" s="1"/>
  <c r="F839" i="12767"/>
  <c r="F808" i="12767"/>
  <c r="F755" i="12767" s="1"/>
  <c r="F795" i="12767"/>
  <c r="F787" i="12767"/>
  <c r="F733" i="12767" s="1"/>
  <c r="F662" i="12767"/>
  <c r="F622" i="12767" s="1"/>
  <c r="F402" i="12767"/>
  <c r="F546" i="12767"/>
  <c r="F476" i="12767" s="1"/>
  <c r="J303" i="12767"/>
  <c r="L303" i="12767" s="1"/>
  <c r="J670" i="12767"/>
  <c r="L670" i="12767" s="1"/>
  <c r="J817" i="12767"/>
  <c r="L817" i="12767" s="1"/>
  <c r="J304" i="12767"/>
  <c r="L304" i="12767" s="1"/>
  <c r="P304" i="12767" s="1"/>
  <c r="J671" i="12767"/>
  <c r="L671" i="12767" s="1"/>
  <c r="J816" i="12767"/>
  <c r="L816" i="12767" s="1"/>
  <c r="C459" i="12767"/>
  <c r="F369" i="12767"/>
  <c r="F735" i="12767"/>
  <c r="W31" i="12775"/>
  <c r="J77" i="12775" s="1"/>
  <c r="C110" i="12764"/>
  <c r="N11" i="12764"/>
  <c r="F17" i="12812" s="1"/>
  <c r="S17" i="12812" s="1"/>
  <c r="M11" i="12764"/>
  <c r="O11" i="12764" s="1"/>
  <c r="G45" i="12763"/>
  <c r="K45" i="12763" s="1"/>
  <c r="I101" i="12811" s="1"/>
  <c r="E345" i="12787"/>
  <c r="G345" i="12787" s="1"/>
  <c r="Y30" i="12775"/>
  <c r="L76" i="12775" s="1"/>
  <c r="Q30" i="12775"/>
  <c r="D76" i="12775" s="1"/>
  <c r="I895" i="12787"/>
  <c r="K895" i="12787" s="1"/>
  <c r="X28" i="12775"/>
  <c r="K74" i="12775" s="1"/>
  <c r="AB27" i="12775"/>
  <c r="O73" i="12775" s="1"/>
  <c r="T27" i="12775"/>
  <c r="G73" i="12775" s="1"/>
  <c r="X26" i="12775"/>
  <c r="K72" i="12775" s="1"/>
  <c r="AB25" i="12775"/>
  <c r="O71" i="12775" s="1"/>
  <c r="T25" i="12775"/>
  <c r="G71" i="12775" s="1"/>
  <c r="X24" i="12775"/>
  <c r="K70" i="12775" s="1"/>
  <c r="E433" i="12787"/>
  <c r="E258" i="12787"/>
  <c r="G258" i="12787" s="1"/>
  <c r="X31" i="12775"/>
  <c r="K77" i="12775" s="1"/>
  <c r="F513" i="12767"/>
  <c r="J443" i="12767"/>
  <c r="L443" i="12767" s="1"/>
  <c r="E726" i="12787"/>
  <c r="I374" i="12787"/>
  <c r="I202" i="12787"/>
  <c r="E201" i="12787"/>
  <c r="I433" i="12787"/>
  <c r="K433" i="12787" s="1"/>
  <c r="I258" i="12787"/>
  <c r="K258" i="12787" s="1"/>
  <c r="I344" i="12787"/>
  <c r="K344" i="12787" s="1"/>
  <c r="E344" i="12787"/>
  <c r="F548" i="12767"/>
  <c r="F442" i="12767"/>
  <c r="F372" i="12767" s="1"/>
  <c r="J549" i="12767"/>
  <c r="L549" i="12767" s="1"/>
  <c r="J408" i="12767"/>
  <c r="L408" i="12767" s="1"/>
  <c r="F1261" i="12767"/>
  <c r="F1264" i="12767" s="1"/>
  <c r="I1261" i="12767"/>
  <c r="I1264" i="12767" s="1"/>
  <c r="F75" i="12767"/>
  <c r="I75" i="12767"/>
  <c r="I19" i="12767" s="1"/>
  <c r="F73" i="12767"/>
  <c r="I73" i="12767"/>
  <c r="I17" i="12767" s="1"/>
  <c r="I885" i="12767"/>
  <c r="F753" i="12767"/>
  <c r="F798" i="12767"/>
  <c r="F745" i="12767" s="1"/>
  <c r="F778" i="12767"/>
  <c r="F724" i="12767" s="1"/>
  <c r="F776" i="12767"/>
  <c r="F722" i="12767" s="1"/>
  <c r="F707" i="12767"/>
  <c r="F687" i="12767"/>
  <c r="F656" i="12767"/>
  <c r="F614" i="12767" s="1"/>
  <c r="F648" i="12767"/>
  <c r="F645" i="12767"/>
  <c r="F437" i="12767"/>
  <c r="F400" i="12767"/>
  <c r="F365" i="12767" s="1"/>
  <c r="F385" i="12767"/>
  <c r="F350" i="12767" s="1"/>
  <c r="F331" i="12767"/>
  <c r="F316" i="12767"/>
  <c r="F297" i="12767"/>
  <c r="F286" i="12767"/>
  <c r="F283" i="12767"/>
  <c r="F214" i="12767" s="1"/>
  <c r="F544" i="12767"/>
  <c r="F474" i="12767" s="1"/>
  <c r="J338" i="12767"/>
  <c r="L338" i="12767" s="1"/>
  <c r="P338" i="12767" s="1"/>
  <c r="M582" i="12787"/>
  <c r="F549" i="12767"/>
  <c r="F337" i="12767"/>
  <c r="J514" i="12767"/>
  <c r="L514" i="12767" s="1"/>
  <c r="J708" i="12767"/>
  <c r="L708" i="12767" s="1"/>
  <c r="J870" i="12767"/>
  <c r="L870" i="12767" s="1"/>
  <c r="C1064" i="12767"/>
  <c r="C1056" i="12767"/>
  <c r="F49" i="12811" s="1"/>
  <c r="C943" i="12767"/>
  <c r="C173" i="12767"/>
  <c r="I351" i="12767"/>
  <c r="I173" i="12767" s="1"/>
  <c r="I42" i="12783"/>
  <c r="P43" i="12774"/>
  <c r="P43" i="12775"/>
  <c r="P22" i="12775"/>
  <c r="P22" i="12774"/>
  <c r="S19" i="12774" s="1"/>
  <c r="F65" i="12774" s="1"/>
  <c r="P12" i="12774"/>
  <c r="R10" i="12774" s="1"/>
  <c r="E56" i="12774" s="1"/>
  <c r="P12" i="12775"/>
  <c r="T82" i="12764"/>
  <c r="AA19" i="12774"/>
  <c r="N65" i="12774" s="1"/>
  <c r="F1062" i="12767"/>
  <c r="F931" i="12767" s="1"/>
  <c r="F912" i="12767" s="1"/>
  <c r="F573" i="12767"/>
  <c r="C725" i="12767"/>
  <c r="I755" i="12767"/>
  <c r="F693" i="12767"/>
  <c r="I693" i="12767"/>
  <c r="C605" i="12767"/>
  <c r="F706" i="12767"/>
  <c r="C172" i="12767"/>
  <c r="I350" i="12767"/>
  <c r="I172" i="12767" s="1"/>
  <c r="C216" i="12767"/>
  <c r="C176" i="12767" s="1"/>
  <c r="F352" i="12767"/>
  <c r="C177" i="12767"/>
  <c r="F355" i="12767"/>
  <c r="F351" i="12767"/>
  <c r="F299" i="12767"/>
  <c r="F230" i="12767" s="1"/>
  <c r="I92" i="12767"/>
  <c r="I88" i="12767"/>
  <c r="I549" i="12767"/>
  <c r="I514" i="12767"/>
  <c r="I443" i="12767"/>
  <c r="I408" i="12767"/>
  <c r="I373" i="12767"/>
  <c r="I338" i="12767"/>
  <c r="I304" i="12767"/>
  <c r="I548" i="12767"/>
  <c r="I513" i="12767"/>
  <c r="I442" i="12767"/>
  <c r="I407" i="12767"/>
  <c r="I372" i="12767"/>
  <c r="I337" i="12767"/>
  <c r="I303" i="12767"/>
  <c r="I709" i="12767"/>
  <c r="I708" i="12767"/>
  <c r="I630" i="12767" s="1"/>
  <c r="C174" i="12767"/>
  <c r="F1022" i="12767"/>
  <c r="F1058" i="12767" s="1"/>
  <c r="F927" i="12767" s="1"/>
  <c r="F908" i="12767" s="1"/>
  <c r="F1021" i="12767"/>
  <c r="F1025" i="12767"/>
  <c r="F1061" i="12767" s="1"/>
  <c r="F930" i="12767" s="1"/>
  <c r="F911" i="12767" s="1"/>
  <c r="F791" i="12767"/>
  <c r="F699" i="12767"/>
  <c r="F438" i="12767"/>
  <c r="F368" i="12767" s="1"/>
  <c r="F295" i="12767"/>
  <c r="F226" i="12767" s="1"/>
  <c r="F1019" i="12767"/>
  <c r="F1018" i="12767"/>
  <c r="F1054" i="12767" s="1"/>
  <c r="F923" i="12767" s="1"/>
  <c r="F904" i="12767" s="1"/>
  <c r="F1023" i="12767"/>
  <c r="I602" i="12767"/>
  <c r="I594" i="12767"/>
  <c r="I596" i="12767" s="1"/>
  <c r="I457" i="12767"/>
  <c r="I169" i="12767" s="1"/>
  <c r="I91" i="12767"/>
  <c r="I15" i="12767"/>
  <c r="L1163" i="12767"/>
  <c r="I720" i="12767"/>
  <c r="L722" i="12767"/>
  <c r="P722" i="12767" s="1"/>
  <c r="P723" i="12843" s="1"/>
  <c r="F1153" i="12767"/>
  <c r="F78" i="12767"/>
  <c r="F59" i="12767"/>
  <c r="F58" i="12767"/>
  <c r="F39" i="12767"/>
  <c r="F720" i="12767"/>
  <c r="F785" i="12767"/>
  <c r="F783" i="12767"/>
  <c r="F729" i="12767" s="1"/>
  <c r="F684" i="12767"/>
  <c r="F604" i="12767" s="1"/>
  <c r="F683" i="12767"/>
  <c r="F669" i="12767"/>
  <c r="F651" i="12767"/>
  <c r="F609" i="12767" s="1"/>
  <c r="F426" i="12767"/>
  <c r="F401" i="12767"/>
  <c r="F392" i="12767"/>
  <c r="F357" i="12767" s="1"/>
  <c r="F391" i="12767"/>
  <c r="F322" i="12767"/>
  <c r="F497" i="12767"/>
  <c r="F462" i="12767" s="1"/>
  <c r="F705" i="12767"/>
  <c r="F661" i="12767"/>
  <c r="F296" i="12767"/>
  <c r="F227" i="12767" s="1"/>
  <c r="E65" i="12763"/>
  <c r="E70" i="12763"/>
  <c r="I74" i="12763"/>
  <c r="C91" i="12764"/>
  <c r="M39" i="12764"/>
  <c r="O39" i="12764" s="1"/>
  <c r="E104" i="12763"/>
  <c r="E74" i="12763"/>
  <c r="G75" i="12764"/>
  <c r="G58" i="12764"/>
  <c r="I58" i="12763"/>
  <c r="E58" i="12763"/>
  <c r="K79" i="12764"/>
  <c r="K82" i="12764" s="1"/>
  <c r="E79" i="12764"/>
  <c r="E82" i="12764" s="1"/>
  <c r="I46" i="12764"/>
  <c r="N46" i="12764" s="1"/>
  <c r="F102" i="12812" s="1"/>
  <c r="S102" i="12812" s="1"/>
  <c r="I34" i="12764"/>
  <c r="M34" i="12764" s="1"/>
  <c r="O34" i="12764" s="1"/>
  <c r="M33" i="12764"/>
  <c r="O33" i="12764" s="1"/>
  <c r="G79" i="12764"/>
  <c r="G82" i="12764" s="1"/>
  <c r="E91" i="12764"/>
  <c r="E65" i="12764"/>
  <c r="E98" i="12764"/>
  <c r="E75" i="12764"/>
  <c r="E69" i="12764"/>
  <c r="G106" i="12764"/>
  <c r="G91" i="12764"/>
  <c r="R81" i="12764"/>
  <c r="I90" i="12763"/>
  <c r="I45" i="12764"/>
  <c r="N45" i="12764" s="1"/>
  <c r="F101" i="12812" s="1"/>
  <c r="S101" i="12812" s="1"/>
  <c r="I40" i="12764"/>
  <c r="E58" i="12764"/>
  <c r="F149" i="12812" s="1"/>
  <c r="F158" i="12812" s="1"/>
  <c r="I20" i="12764"/>
  <c r="I18" i="12764"/>
  <c r="M18" i="12764" s="1"/>
  <c r="O18" i="12764" s="1"/>
  <c r="V81" i="12764"/>
  <c r="P96" i="12764"/>
  <c r="R96" i="12764" s="1"/>
  <c r="C96" i="12764"/>
  <c r="I96" i="12764"/>
  <c r="U81" i="12764"/>
  <c r="C79" i="12764"/>
  <c r="I12" i="12764"/>
  <c r="M12" i="12764" s="1"/>
  <c r="O12" i="12764" s="1"/>
  <c r="C47" i="12763"/>
  <c r="C88" i="12763"/>
  <c r="G10" i="12763"/>
  <c r="K10" i="12763" s="1"/>
  <c r="I16" i="12811" s="1"/>
  <c r="G26" i="12763"/>
  <c r="G80" i="12763" s="1"/>
  <c r="K80" i="12763" s="1"/>
  <c r="G51" i="12763"/>
  <c r="G9" i="12763"/>
  <c r="G11" i="12763"/>
  <c r="K11" i="12763" s="1"/>
  <c r="G98" i="12764"/>
  <c r="K106" i="12764"/>
  <c r="N102" i="12764"/>
  <c r="E106" i="12764"/>
  <c r="I104" i="12763"/>
  <c r="N104" i="12763"/>
  <c r="E90" i="12763"/>
  <c r="I96" i="12763"/>
  <c r="N90" i="12763"/>
  <c r="N65" i="12763"/>
  <c r="N81" i="12763"/>
  <c r="N70" i="12763"/>
  <c r="N96" i="12763"/>
  <c r="C73" i="12764"/>
  <c r="I9" i="12764"/>
  <c r="G22" i="12763"/>
  <c r="K22" i="12763" s="1"/>
  <c r="C73" i="12763"/>
  <c r="G37" i="12763"/>
  <c r="J37" i="12763" s="1"/>
  <c r="L37" i="12763" s="1"/>
  <c r="C347" i="12787"/>
  <c r="M102" i="12764"/>
  <c r="O102" i="12764" s="1"/>
  <c r="C106" i="12764"/>
  <c r="I25" i="12764"/>
  <c r="C28" i="12764"/>
  <c r="C108" i="12764"/>
  <c r="M19" i="12764"/>
  <c r="O19" i="12764" s="1"/>
  <c r="I78" i="12764"/>
  <c r="J89" i="12763"/>
  <c r="L89" i="12763" s="1"/>
  <c r="G40" i="12763"/>
  <c r="J40" i="12763" s="1"/>
  <c r="L40" i="12763" s="1"/>
  <c r="G19" i="12763"/>
  <c r="H974" i="12766"/>
  <c r="M974" i="12766"/>
  <c r="D950" i="12766"/>
  <c r="H950" i="12766" s="1"/>
  <c r="D951" i="12766"/>
  <c r="H951" i="12766" s="1"/>
  <c r="D917" i="12766"/>
  <c r="D918" i="12766"/>
  <c r="C922" i="12766"/>
  <c r="H905" i="12766"/>
  <c r="M905" i="12766"/>
  <c r="D738" i="12766"/>
  <c r="K738" i="12766" s="1"/>
  <c r="D743" i="12766"/>
  <c r="H743" i="12766" s="1"/>
  <c r="D755" i="12766"/>
  <c r="K755" i="12766" s="1"/>
  <c r="D757" i="12766"/>
  <c r="I474" i="12767"/>
  <c r="H981" i="12766"/>
  <c r="M981" i="12766"/>
  <c r="K904" i="12766"/>
  <c r="M904" i="12766"/>
  <c r="H904" i="12766"/>
  <c r="D857" i="12766"/>
  <c r="D858" i="12766"/>
  <c r="H858" i="12766" s="1"/>
  <c r="D862" i="12766"/>
  <c r="K862" i="12766" s="1"/>
  <c r="D865" i="12766"/>
  <c r="K865" i="12766" s="1"/>
  <c r="C871" i="12766"/>
  <c r="D853" i="12766"/>
  <c r="D854" i="12766"/>
  <c r="D855" i="12766"/>
  <c r="H855" i="12766" s="1"/>
  <c r="D864" i="12766"/>
  <c r="H864" i="12766" s="1"/>
  <c r="D868" i="12766"/>
  <c r="I751" i="12766"/>
  <c r="I757" i="12766"/>
  <c r="C492" i="12766"/>
  <c r="G560" i="12766"/>
  <c r="G492" i="12766" s="1"/>
  <c r="C487" i="12766"/>
  <c r="G555" i="12766"/>
  <c r="G487" i="12766" s="1"/>
  <c r="D522" i="12766"/>
  <c r="D521" i="12766"/>
  <c r="H521" i="12766" s="1"/>
  <c r="D526" i="12766"/>
  <c r="H526" i="12766" s="1"/>
  <c r="D531" i="12766"/>
  <c r="K515" i="12766"/>
  <c r="I529" i="12766"/>
  <c r="K529" i="12766" s="1"/>
  <c r="C359" i="12766"/>
  <c r="D388" i="12766"/>
  <c r="D359" i="12766" s="1"/>
  <c r="C202" i="12766"/>
  <c r="C173" i="12766" s="1"/>
  <c r="G230" i="12766"/>
  <c r="G202" i="12766" s="1"/>
  <c r="C191" i="12766"/>
  <c r="G247" i="12766"/>
  <c r="G191" i="12766" s="1"/>
  <c r="G162" i="12766" s="1"/>
  <c r="O69" i="12761"/>
  <c r="O54" i="12761"/>
  <c r="G65" i="12764"/>
  <c r="K89" i="12763"/>
  <c r="I70" i="12763"/>
  <c r="I1224" i="12767"/>
  <c r="I748" i="12767"/>
  <c r="I621" i="12767"/>
  <c r="I603" i="12767"/>
  <c r="I465" i="12767"/>
  <c r="I456" i="12767"/>
  <c r="I168" i="12767" s="1"/>
  <c r="I93" i="12767"/>
  <c r="M996" i="12766"/>
  <c r="K992" i="12766"/>
  <c r="K989" i="12766"/>
  <c r="K985" i="12766"/>
  <c r="K982" i="12766"/>
  <c r="M977" i="12766"/>
  <c r="P989" i="12766"/>
  <c r="P982" i="12766"/>
  <c r="G972" i="12766"/>
  <c r="K951" i="12766"/>
  <c r="G905" i="12766"/>
  <c r="H865" i="12766"/>
  <c r="H888" i="12766"/>
  <c r="H833" i="12766"/>
  <c r="C802" i="12766"/>
  <c r="C774" i="12766" s="1"/>
  <c r="G884" i="12766"/>
  <c r="C801" i="12766"/>
  <c r="C773" i="12766" s="1"/>
  <c r="G850" i="12766"/>
  <c r="G794" i="12766" s="1"/>
  <c r="G766" i="12766" s="1"/>
  <c r="D796" i="12766"/>
  <c r="M754" i="12766"/>
  <c r="H748" i="12766"/>
  <c r="H747" i="12766"/>
  <c r="G742" i="12766"/>
  <c r="M736" i="12766"/>
  <c r="D627" i="12766"/>
  <c r="G701" i="12766"/>
  <c r="G599" i="12766" s="1"/>
  <c r="H596" i="12766"/>
  <c r="C591" i="12766"/>
  <c r="C588" i="12766"/>
  <c r="U585" i="12766"/>
  <c r="H504" i="12766"/>
  <c r="G503" i="12766"/>
  <c r="K496" i="12766"/>
  <c r="D483" i="12766"/>
  <c r="K482" i="12766"/>
  <c r="K480" i="12766"/>
  <c r="H472" i="12766"/>
  <c r="H474" i="12766" s="1"/>
  <c r="K175" i="12766"/>
  <c r="G175" i="12766"/>
  <c r="C175" i="12766"/>
  <c r="G284" i="12766"/>
  <c r="G282" i="12766"/>
  <c r="K396" i="12766"/>
  <c r="G366" i="12766"/>
  <c r="G193" i="12766"/>
  <c r="G164" i="12766" s="1"/>
  <c r="G88" i="12766"/>
  <c r="G343" i="12766"/>
  <c r="G285" i="12766" s="1"/>
  <c r="H343" i="12766"/>
  <c r="K217" i="12766"/>
  <c r="I226" i="12766"/>
  <c r="C360" i="12766"/>
  <c r="G418" i="12766"/>
  <c r="G360" i="12766" s="1"/>
  <c r="D215" i="12766"/>
  <c r="G215" i="12766"/>
  <c r="G187" i="12766" s="1"/>
  <c r="O33" i="12761"/>
  <c r="T91" i="12764"/>
  <c r="U85" i="12764"/>
  <c r="I741" i="12767"/>
  <c r="I476" i="12767"/>
  <c r="C181" i="12767"/>
  <c r="P181" i="12767" s="1"/>
  <c r="I461" i="12767"/>
  <c r="I160" i="12767"/>
  <c r="I63" i="12767"/>
  <c r="M964" i="12766"/>
  <c r="H964" i="12766"/>
  <c r="H966" i="12766" s="1"/>
  <c r="K811" i="12766"/>
  <c r="K783" i="12766" s="1"/>
  <c r="K855" i="12766"/>
  <c r="G616" i="12766"/>
  <c r="G615" i="12766"/>
  <c r="G614" i="12766"/>
  <c r="G612" i="12766"/>
  <c r="G610" i="12766"/>
  <c r="K585" i="12766"/>
  <c r="K584" i="12766"/>
  <c r="C585" i="12766"/>
  <c r="G500" i="12766"/>
  <c r="G498" i="12766"/>
  <c r="G495" i="12766"/>
  <c r="W480" i="12766"/>
  <c r="G472" i="12766"/>
  <c r="G474" i="12766" s="1"/>
  <c r="D175" i="12766"/>
  <c r="G373" i="12766"/>
  <c r="G200" i="12766"/>
  <c r="G283" i="12766"/>
  <c r="G281" i="12766"/>
  <c r="G279" i="12766"/>
  <c r="G102" i="12766"/>
  <c r="G104" i="12766" s="1"/>
  <c r="P904" i="12787"/>
  <c r="H904" i="12787"/>
  <c r="G743" i="12787"/>
  <c r="E752" i="12787"/>
  <c r="G752" i="12787" s="1"/>
  <c r="G740" i="12787"/>
  <c r="E750" i="12787"/>
  <c r="G750" i="12787" s="1"/>
  <c r="E756" i="12787"/>
  <c r="G738" i="12787"/>
  <c r="H738" i="12787"/>
  <c r="K645" i="12787"/>
  <c r="I664" i="12787"/>
  <c r="K664" i="12787" s="1"/>
  <c r="I453" i="12787"/>
  <c r="K453" i="12787" s="1"/>
  <c r="I464" i="12766"/>
  <c r="D393" i="12787"/>
  <c r="H393" i="12787" s="1"/>
  <c r="D397" i="12787"/>
  <c r="H397" i="12787" s="1"/>
  <c r="H368" i="12787" s="1"/>
  <c r="D404" i="12787"/>
  <c r="D399" i="12787"/>
  <c r="H399" i="12787" s="1"/>
  <c r="H370" i="12787" s="1"/>
  <c r="C376" i="12787"/>
  <c r="C115" i="12787"/>
  <c r="G111" i="12787"/>
  <c r="R10" i="12775"/>
  <c r="E56" i="12775" s="1"/>
  <c r="C496" i="12766"/>
  <c r="K528" i="12766"/>
  <c r="K494" i="12766" s="1"/>
  <c r="T486" i="12766"/>
  <c r="H482" i="12766"/>
  <c r="C482" i="12766"/>
  <c r="C481" i="12766"/>
  <c r="D290" i="12766"/>
  <c r="D378" i="12766"/>
  <c r="D174" i="12766"/>
  <c r="G287" i="12766"/>
  <c r="K432" i="12766"/>
  <c r="H374" i="12766"/>
  <c r="G374" i="12766"/>
  <c r="G372" i="12766"/>
  <c r="G371" i="12766"/>
  <c r="G370" i="12766"/>
  <c r="G197" i="12766"/>
  <c r="G168" i="12766" s="1"/>
  <c r="K279" i="12766"/>
  <c r="I222" i="12766"/>
  <c r="K222" i="12766" s="1"/>
  <c r="D425" i="12766"/>
  <c r="G367" i="12766"/>
  <c r="G222" i="12766"/>
  <c r="G194" i="12766" s="1"/>
  <c r="G278" i="12766"/>
  <c r="C162" i="12766"/>
  <c r="C363" i="12766"/>
  <c r="G303" i="12766"/>
  <c r="G274" i="12766" s="1"/>
  <c r="C362" i="12766"/>
  <c r="C189" i="12766"/>
  <c r="G188" i="12766"/>
  <c r="C187" i="12766"/>
  <c r="G269" i="12766"/>
  <c r="C317" i="12766"/>
  <c r="H268" i="12766"/>
  <c r="G240" i="12766"/>
  <c r="G184" i="12766" s="1"/>
  <c r="C184" i="12766"/>
  <c r="K325" i="12766"/>
  <c r="G386" i="12766"/>
  <c r="G357" i="12766" s="1"/>
  <c r="G151" i="12766" s="1"/>
  <c r="G355" i="12766"/>
  <c r="G149" i="12766" s="1"/>
  <c r="H140" i="12766"/>
  <c r="H88" i="12766" s="1"/>
  <c r="G87" i="12766"/>
  <c r="H128" i="12766"/>
  <c r="H130" i="12766" s="1"/>
  <c r="H85" i="12766"/>
  <c r="H84" i="12766"/>
  <c r="N81" i="12766"/>
  <c r="K73" i="12766"/>
  <c r="G73" i="12766"/>
  <c r="G39" i="12766"/>
  <c r="K54" i="12766"/>
  <c r="G54" i="12766"/>
  <c r="G20" i="12766" s="1"/>
  <c r="C20" i="12766"/>
  <c r="G52" i="12766"/>
  <c r="K68" i="12766"/>
  <c r="K34" i="12766"/>
  <c r="G68" i="12766"/>
  <c r="G34" i="12766"/>
  <c r="K74" i="12766"/>
  <c r="K40" i="12766"/>
  <c r="J60" i="12767"/>
  <c r="I55" i="12764"/>
  <c r="I54" i="12764"/>
  <c r="I53" i="12764"/>
  <c r="I52" i="12764"/>
  <c r="I37" i="12764"/>
  <c r="N37" i="12764" s="1"/>
  <c r="F80" i="12812" s="1"/>
  <c r="I35" i="12764"/>
  <c r="M35" i="12764" s="1"/>
  <c r="O35" i="12764" s="1"/>
  <c r="I32" i="12764"/>
  <c r="I22" i="12764"/>
  <c r="K46" i="12763"/>
  <c r="I102" i="12811" s="1"/>
  <c r="G982" i="12787"/>
  <c r="G86" i="12787"/>
  <c r="G742" i="12787"/>
  <c r="E751" i="12787"/>
  <c r="K648" i="12787"/>
  <c r="I667" i="12787"/>
  <c r="K667" i="12787" s="1"/>
  <c r="E534" i="12787"/>
  <c r="G534" i="12787" s="1"/>
  <c r="G522" i="12787"/>
  <c r="G488" i="12787" s="1"/>
  <c r="D267" i="12787"/>
  <c r="D270" i="12787" s="1"/>
  <c r="D149" i="12787"/>
  <c r="M149" i="12787" s="1"/>
  <c r="H384" i="12787"/>
  <c r="H355" i="12787" s="1"/>
  <c r="H149" i="12787" s="1"/>
  <c r="D355" i="12787"/>
  <c r="K269" i="12766"/>
  <c r="C153" i="12766"/>
  <c r="C405" i="12766"/>
  <c r="G141" i="12766"/>
  <c r="G143" i="12766" s="1"/>
  <c r="G86" i="12766"/>
  <c r="H83" i="12766"/>
  <c r="T84" i="12766" s="1"/>
  <c r="G128" i="12766"/>
  <c r="K57" i="12766"/>
  <c r="I27" i="12764"/>
  <c r="G34" i="12763"/>
  <c r="G614" i="12787"/>
  <c r="G370" i="12787"/>
  <c r="G278" i="12787"/>
  <c r="K364" i="12787"/>
  <c r="G364" i="12787"/>
  <c r="G191" i="12787"/>
  <c r="G87" i="12787"/>
  <c r="Q21" i="12774"/>
  <c r="U21" i="12774"/>
  <c r="H67" i="12774" s="1"/>
  <c r="Y21" i="12774"/>
  <c r="L67" i="12774" s="1"/>
  <c r="Q20" i="12774"/>
  <c r="D66" i="12774" s="1"/>
  <c r="U20" i="12774"/>
  <c r="H66" i="12774" s="1"/>
  <c r="Y20" i="12774"/>
  <c r="L66" i="12774" s="1"/>
  <c r="R21" i="12774"/>
  <c r="E67" i="12774" s="1"/>
  <c r="V21" i="12774"/>
  <c r="I67" i="12774" s="1"/>
  <c r="Z21" i="12774"/>
  <c r="M67" i="12774" s="1"/>
  <c r="R20" i="12774"/>
  <c r="E66" i="12774" s="1"/>
  <c r="V20" i="12774"/>
  <c r="I66" i="12774" s="1"/>
  <c r="Z20" i="12774"/>
  <c r="M66" i="12774" s="1"/>
  <c r="R19" i="12774"/>
  <c r="E65" i="12774" s="1"/>
  <c r="V19" i="12774"/>
  <c r="I65" i="12774" s="1"/>
  <c r="Z19" i="12774"/>
  <c r="M65" i="12774" s="1"/>
  <c r="C94" i="12763"/>
  <c r="D1026" i="12787"/>
  <c r="H1026" i="12787" s="1"/>
  <c r="D1021" i="12787"/>
  <c r="H1021" i="12787" s="1"/>
  <c r="D1014" i="12787"/>
  <c r="H1014" i="12787" s="1"/>
  <c r="D1009" i="12787"/>
  <c r="H1009" i="12787" s="1"/>
  <c r="D1002" i="12787"/>
  <c r="H1002" i="12787" s="1"/>
  <c r="K942" i="12787"/>
  <c r="H979" i="12787"/>
  <c r="D911" i="12787"/>
  <c r="D898" i="12787"/>
  <c r="C852" i="12787"/>
  <c r="O802" i="12787"/>
  <c r="O799" i="12787"/>
  <c r="O797" i="12787"/>
  <c r="C796" i="12787"/>
  <c r="O794" i="12787"/>
  <c r="G868" i="12787"/>
  <c r="D895" i="12787"/>
  <c r="H895" i="12787" s="1"/>
  <c r="G811" i="12787"/>
  <c r="G783" i="12787" s="1"/>
  <c r="D893" i="12787"/>
  <c r="K892" i="12787"/>
  <c r="I865" i="12787"/>
  <c r="K865" i="12787" s="1"/>
  <c r="H892" i="12787"/>
  <c r="D837" i="12787"/>
  <c r="D891" i="12787"/>
  <c r="H891" i="12787" s="1"/>
  <c r="D835" i="12787"/>
  <c r="H889" i="12787"/>
  <c r="M777" i="12787"/>
  <c r="I832" i="12787"/>
  <c r="K832" i="12787" s="1"/>
  <c r="K804" i="12787" s="1"/>
  <c r="K776" i="12787" s="1"/>
  <c r="E858" i="12787"/>
  <c r="E830" i="12787"/>
  <c r="D830" i="12787"/>
  <c r="H830" i="12787" s="1"/>
  <c r="E829" i="12787"/>
  <c r="E855" i="12787"/>
  <c r="E853" i="12787"/>
  <c r="E862" i="12787" s="1"/>
  <c r="G862" i="12787" s="1"/>
  <c r="E825" i="12787"/>
  <c r="D757" i="12787"/>
  <c r="D756" i="12787"/>
  <c r="M756" i="12787" s="1"/>
  <c r="D755" i="12787"/>
  <c r="H754" i="12787"/>
  <c r="H749" i="12787"/>
  <c r="M747" i="12787"/>
  <c r="D743" i="12787"/>
  <c r="M743" i="12787" s="1"/>
  <c r="D742" i="12787"/>
  <c r="D740" i="12787"/>
  <c r="M740" i="12787" s="1"/>
  <c r="M739" i="12787"/>
  <c r="P36" i="12775"/>
  <c r="G726" i="12787"/>
  <c r="G624" i="12787" s="1"/>
  <c r="M623" i="12787"/>
  <c r="I672" i="12787"/>
  <c r="K672" i="12787" s="1"/>
  <c r="D720" i="12787"/>
  <c r="E718" i="12787"/>
  <c r="I716" i="12787"/>
  <c r="K716" i="12787" s="1"/>
  <c r="D714" i="12787"/>
  <c r="H714" i="12787" s="1"/>
  <c r="I661" i="12787"/>
  <c r="K661" i="12787" s="1"/>
  <c r="E712" i="12787"/>
  <c r="G712" i="12787" s="1"/>
  <c r="G610" i="12787" s="1"/>
  <c r="D712" i="12787"/>
  <c r="D610" i="12787" s="1"/>
  <c r="M610" i="12787" s="1"/>
  <c r="H711" i="12787"/>
  <c r="I710" i="12787"/>
  <c r="K710" i="12787" s="1"/>
  <c r="H710" i="12787"/>
  <c r="I709" i="12787"/>
  <c r="K709" i="12787" s="1"/>
  <c r="H707" i="12787"/>
  <c r="E656" i="12787"/>
  <c r="G656" i="12787" s="1"/>
  <c r="K654" i="12787"/>
  <c r="D705" i="12787"/>
  <c r="H705" i="12787" s="1"/>
  <c r="E701" i="12787"/>
  <c r="G701" i="12787" s="1"/>
  <c r="G599" i="12787" s="1"/>
  <c r="O597" i="12787"/>
  <c r="O594" i="12787"/>
  <c r="C588" i="12787"/>
  <c r="G687" i="12787"/>
  <c r="G635" i="12787"/>
  <c r="G584" i="12787" s="1"/>
  <c r="C584" i="12787"/>
  <c r="K538" i="12787"/>
  <c r="C504" i="12787"/>
  <c r="E537" i="12787"/>
  <c r="G537" i="12787" s="1"/>
  <c r="E570" i="12787"/>
  <c r="C570" i="12787"/>
  <c r="I569" i="12787"/>
  <c r="K569" i="12787" s="1"/>
  <c r="K501" i="12787" s="1"/>
  <c r="E569" i="12787"/>
  <c r="G569" i="12787" s="1"/>
  <c r="I567" i="12787"/>
  <c r="K567" i="12787" s="1"/>
  <c r="E533" i="12787"/>
  <c r="G533" i="12787" s="1"/>
  <c r="I566" i="12787"/>
  <c r="K566" i="12787" s="1"/>
  <c r="K498" i="12787" s="1"/>
  <c r="E564" i="12787"/>
  <c r="E528" i="12787"/>
  <c r="K560" i="12787"/>
  <c r="G560" i="12787"/>
  <c r="G492" i="12787" s="1"/>
  <c r="G521" i="12787"/>
  <c r="G515" i="12787"/>
  <c r="C481" i="12787"/>
  <c r="C485" i="12787"/>
  <c r="G552" i="12787"/>
  <c r="K514" i="12787"/>
  <c r="K480" i="12787" s="1"/>
  <c r="E471" i="12787"/>
  <c r="G471" i="12787" s="1"/>
  <c r="I470" i="12766"/>
  <c r="E469" i="12787"/>
  <c r="I463" i="12766"/>
  <c r="I462" i="12766"/>
  <c r="I461" i="12766"/>
  <c r="I460" i="12766"/>
  <c r="I459" i="12766"/>
  <c r="I458" i="12766"/>
  <c r="I457" i="12766"/>
  <c r="H472" i="12787"/>
  <c r="H474" i="12787" s="1"/>
  <c r="E375" i="12787"/>
  <c r="I287" i="12787"/>
  <c r="I286" i="12787"/>
  <c r="D205" i="12787"/>
  <c r="E202" i="12787"/>
  <c r="D175" i="12787"/>
  <c r="I404" i="12787"/>
  <c r="K404" i="12787" s="1"/>
  <c r="I316" i="12787"/>
  <c r="K316" i="12787" s="1"/>
  <c r="E404" i="12787"/>
  <c r="E316" i="12787"/>
  <c r="G316" i="12787" s="1"/>
  <c r="I315" i="12787"/>
  <c r="K315" i="12787" s="1"/>
  <c r="K286" i="12787" s="1"/>
  <c r="K200" i="12787"/>
  <c r="H431" i="12787"/>
  <c r="K284" i="12787"/>
  <c r="K369" i="12787"/>
  <c r="K196" i="12787"/>
  <c r="H427" i="12787"/>
  <c r="G196" i="12787"/>
  <c r="K280" i="12787"/>
  <c r="H338" i="12787"/>
  <c r="G280" i="12787"/>
  <c r="H425" i="12787"/>
  <c r="H396" i="12787"/>
  <c r="H308" i="12787"/>
  <c r="H307" i="12787"/>
  <c r="H278" i="12787" s="1"/>
  <c r="H422" i="12787"/>
  <c r="H364" i="12787" s="1"/>
  <c r="D364" i="12787"/>
  <c r="C274" i="12787"/>
  <c r="C157" i="12787"/>
  <c r="C154" i="12787"/>
  <c r="H418" i="12787"/>
  <c r="G211" i="12787"/>
  <c r="C267" i="12787"/>
  <c r="H391" i="12787"/>
  <c r="H421" i="12787"/>
  <c r="C246" i="12787"/>
  <c r="G246" i="12787" s="1"/>
  <c r="K357" i="12787"/>
  <c r="K151" i="12787" s="1"/>
  <c r="I326" i="12787"/>
  <c r="I212" i="12787"/>
  <c r="C242" i="12787"/>
  <c r="G356" i="12787"/>
  <c r="G150" i="12787" s="1"/>
  <c r="E140" i="12787"/>
  <c r="E127" i="12787"/>
  <c r="E114" i="12787"/>
  <c r="G114" i="12787" s="1"/>
  <c r="E101" i="12787"/>
  <c r="G101" i="12787" s="1"/>
  <c r="H139" i="12787"/>
  <c r="H87" i="12787" s="1"/>
  <c r="M87" i="12787"/>
  <c r="H138" i="12787"/>
  <c r="O85" i="12787"/>
  <c r="I111" i="12787"/>
  <c r="K111" i="12787" s="1"/>
  <c r="K115" i="12787" s="1"/>
  <c r="K96" i="12787"/>
  <c r="H109" i="12787"/>
  <c r="G96" i="12787"/>
  <c r="G83" i="12787" s="1"/>
  <c r="C83" i="12787"/>
  <c r="C24" i="12787"/>
  <c r="K40" i="12787"/>
  <c r="C23" i="12787"/>
  <c r="D37" i="12787"/>
  <c r="H37" i="12787" s="1"/>
  <c r="D52" i="12787"/>
  <c r="C18" i="12787"/>
  <c r="G72" i="12787"/>
  <c r="H71" i="12787"/>
  <c r="H57" i="12787"/>
  <c r="G54" i="12787"/>
  <c r="H52" i="12787"/>
  <c r="G38" i="12787"/>
  <c r="G21" i="12787" s="1"/>
  <c r="G34" i="12787"/>
  <c r="G17" i="12787" s="1"/>
  <c r="C16" i="12787"/>
  <c r="L1164" i="12767"/>
  <c r="I740" i="12767"/>
  <c r="I734" i="12767"/>
  <c r="I722" i="12767"/>
  <c r="F130" i="12767"/>
  <c r="I462" i="12767"/>
  <c r="F456" i="12767"/>
  <c r="F168" i="12767" s="1"/>
  <c r="F498" i="12767"/>
  <c r="F463" i="12767" s="1"/>
  <c r="T10" i="12774"/>
  <c r="G56" i="12774" s="1"/>
  <c r="X10" i="12774"/>
  <c r="K56" i="12774" s="1"/>
  <c r="AB10" i="12774"/>
  <c r="O56" i="12774" s="1"/>
  <c r="S10" i="12774"/>
  <c r="F56" i="12774" s="1"/>
  <c r="W10" i="12774"/>
  <c r="J56" i="12774" s="1"/>
  <c r="AA10" i="12774"/>
  <c r="N56" i="12774" s="1"/>
  <c r="G993" i="12787"/>
  <c r="C812" i="12787"/>
  <c r="C784" i="12787" s="1"/>
  <c r="K807" i="12787"/>
  <c r="M776" i="12787"/>
  <c r="H716" i="12787"/>
  <c r="K607" i="12787"/>
  <c r="H596" i="12787"/>
  <c r="H697" i="12787"/>
  <c r="H595" i="12787" s="1"/>
  <c r="C594" i="12787"/>
  <c r="H586" i="12787"/>
  <c r="H584" i="12787"/>
  <c r="K499" i="12787"/>
  <c r="M496" i="12787"/>
  <c r="M495" i="12787"/>
  <c r="M494" i="12787"/>
  <c r="K492" i="12787"/>
  <c r="H175" i="12787"/>
  <c r="K368" i="12787"/>
  <c r="K195" i="12787"/>
  <c r="G368" i="12787"/>
  <c r="H272" i="12787"/>
  <c r="G183" i="12787"/>
  <c r="M88" i="12787"/>
  <c r="K86" i="12787"/>
  <c r="H68" i="12787"/>
  <c r="H55" i="12787"/>
  <c r="F1192" i="12767"/>
  <c r="F76" i="12767"/>
  <c r="F71" i="12767"/>
  <c r="F15" i="12767" s="1"/>
  <c r="F60" i="12767"/>
  <c r="F55" i="12767"/>
  <c r="F40" i="12767"/>
  <c r="F36" i="12767"/>
  <c r="F16" i="12767" s="1"/>
  <c r="F1224" i="12767"/>
  <c r="F865" i="12767"/>
  <c r="F848" i="12767"/>
  <c r="F847" i="12767"/>
  <c r="F838" i="12767"/>
  <c r="F786" i="12767"/>
  <c r="F686" i="12767"/>
  <c r="F665" i="12767"/>
  <c r="F649" i="12767"/>
  <c r="F663" i="12767"/>
  <c r="F623" i="12767" s="1"/>
  <c r="F644" i="12767"/>
  <c r="F602" i="12767" s="1"/>
  <c r="I428" i="12767"/>
  <c r="I393" i="12767"/>
  <c r="F324" i="12767"/>
  <c r="F320" i="12767"/>
  <c r="F302" i="12767"/>
  <c r="F233" i="12767" s="1"/>
  <c r="F290" i="12767"/>
  <c r="F298" i="12767"/>
  <c r="F229" i="12767" s="1"/>
  <c r="F282" i="12767"/>
  <c r="J709" i="12767"/>
  <c r="L709" i="12767" s="1"/>
  <c r="P36" i="12774"/>
  <c r="F300" i="12767"/>
  <c r="F231" i="12767" s="1"/>
  <c r="F461" i="12767"/>
  <c r="P32" i="12774"/>
  <c r="T29" i="12774" s="1"/>
  <c r="G75" i="12774" s="1"/>
  <c r="R20" i="12775"/>
  <c r="E66" i="12775" s="1"/>
  <c r="S14" i="12775"/>
  <c r="F60" i="12775" s="1"/>
  <c r="AA14" i="12775"/>
  <c r="N60" i="12775" s="1"/>
  <c r="X15" i="12775"/>
  <c r="K61" i="12775" s="1"/>
  <c r="S16" i="12775"/>
  <c r="F62" i="12775" s="1"/>
  <c r="AA16" i="12775"/>
  <c r="N62" i="12775" s="1"/>
  <c r="W18" i="12775"/>
  <c r="J64" i="12775" s="1"/>
  <c r="T19" i="12775"/>
  <c r="G65" i="12775" s="1"/>
  <c r="AB19" i="12775"/>
  <c r="O65" i="12775" s="1"/>
  <c r="U21" i="12775"/>
  <c r="H67" i="12775" s="1"/>
  <c r="W21" i="12775"/>
  <c r="J67" i="12775" s="1"/>
  <c r="T20" i="12775"/>
  <c r="G66" i="12775" s="1"/>
  <c r="X20" i="12775"/>
  <c r="K66" i="12775" s="1"/>
  <c r="T14" i="12775"/>
  <c r="G60" i="12775" s="1"/>
  <c r="V14" i="12775"/>
  <c r="I60" i="12775" s="1"/>
  <c r="AB14" i="12775"/>
  <c r="O60" i="12775" s="1"/>
  <c r="Q15" i="12775"/>
  <c r="D61" i="12775" s="1"/>
  <c r="W15" i="12775"/>
  <c r="J61" i="12775" s="1"/>
  <c r="Y15" i="12775"/>
  <c r="L61" i="12775" s="1"/>
  <c r="T16" i="12775"/>
  <c r="G62" i="12775" s="1"/>
  <c r="V16" i="12775"/>
  <c r="I62" i="12775" s="1"/>
  <c r="AB16" i="12775"/>
  <c r="O62" i="12775" s="1"/>
  <c r="R18" i="12775"/>
  <c r="E64" i="12775" s="1"/>
  <c r="X18" i="12775"/>
  <c r="K64" i="12775" s="1"/>
  <c r="Z18" i="12775"/>
  <c r="M64" i="12775" s="1"/>
  <c r="S19" i="12775"/>
  <c r="F65" i="12775" s="1"/>
  <c r="U19" i="12775"/>
  <c r="H65" i="12775" s="1"/>
  <c r="AA19" i="12775"/>
  <c r="N65" i="12775" s="1"/>
  <c r="R21" i="12775"/>
  <c r="X21" i="12775"/>
  <c r="K67" i="12775" s="1"/>
  <c r="Z21" i="12775"/>
  <c r="M67" i="12775" s="1"/>
  <c r="P967" i="12766"/>
  <c r="Z38" i="12775"/>
  <c r="S40" i="12775"/>
  <c r="F86" i="12775" s="1"/>
  <c r="W42" i="12775"/>
  <c r="J88" i="12775" s="1"/>
  <c r="AB38" i="12775"/>
  <c r="T40" i="12775"/>
  <c r="G86" i="12775" s="1"/>
  <c r="X42" i="12775"/>
  <c r="K88" i="12775" s="1"/>
  <c r="I754" i="12787"/>
  <c r="I840" i="12787"/>
  <c r="K840" i="12787" s="1"/>
  <c r="I868" i="12787"/>
  <c r="K868" i="12787" s="1"/>
  <c r="Q46" i="12783"/>
  <c r="S46" i="12783" s="1"/>
  <c r="T41" i="12774"/>
  <c r="G87" i="12774" s="1"/>
  <c r="X41" i="12774"/>
  <c r="K87" i="12774" s="1"/>
  <c r="AB41" i="12774"/>
  <c r="O87" i="12774" s="1"/>
  <c r="S38" i="12774"/>
  <c r="F84" i="12774" s="1"/>
  <c r="W38" i="12774"/>
  <c r="J84" i="12774" s="1"/>
  <c r="AA38" i="12774"/>
  <c r="N84" i="12774" s="1"/>
  <c r="S39" i="12774"/>
  <c r="F85" i="12774" s="1"/>
  <c r="W39" i="12774"/>
  <c r="J85" i="12774" s="1"/>
  <c r="AA39" i="12774"/>
  <c r="N85" i="12774" s="1"/>
  <c r="T40" i="12774"/>
  <c r="G86" i="12774" s="1"/>
  <c r="X40" i="12774"/>
  <c r="K86" i="12774" s="1"/>
  <c r="AB40" i="12774"/>
  <c r="O86" i="12774" s="1"/>
  <c r="Q42" i="12774"/>
  <c r="D88" i="12774" s="1"/>
  <c r="U42" i="12774"/>
  <c r="H88" i="12774" s="1"/>
  <c r="Y42" i="12774"/>
  <c r="L88" i="12774" s="1"/>
  <c r="R41" i="12774"/>
  <c r="E87" i="12774" s="1"/>
  <c r="V41" i="12774"/>
  <c r="I87" i="12774" s="1"/>
  <c r="Z41" i="12774"/>
  <c r="M87" i="12774" s="1"/>
  <c r="Q38" i="12774"/>
  <c r="D84" i="12774" s="1"/>
  <c r="U38" i="12774"/>
  <c r="H84" i="12774" s="1"/>
  <c r="Y38" i="12774"/>
  <c r="L84" i="12774" s="1"/>
  <c r="Q39" i="12774"/>
  <c r="D85" i="12774" s="1"/>
  <c r="U39" i="12774"/>
  <c r="H85" i="12774" s="1"/>
  <c r="Y39" i="12774"/>
  <c r="L85" i="12774" s="1"/>
  <c r="R40" i="12774"/>
  <c r="E86" i="12774" s="1"/>
  <c r="V40" i="12774"/>
  <c r="I86" i="12774" s="1"/>
  <c r="Z40" i="12774"/>
  <c r="M86" i="12774" s="1"/>
  <c r="S42" i="12774"/>
  <c r="F88" i="12774" s="1"/>
  <c r="W42" i="12774"/>
  <c r="J88" i="12774" s="1"/>
  <c r="AA42" i="12774"/>
  <c r="N88" i="12774" s="1"/>
  <c r="T98" i="12764"/>
  <c r="R85" i="12764"/>
  <c r="K526" i="12766"/>
  <c r="K521" i="12766"/>
  <c r="E315" i="12787"/>
  <c r="G315" i="12787" s="1"/>
  <c r="Q20" i="12775"/>
  <c r="D66" i="12775" s="1"/>
  <c r="N33" i="12764"/>
  <c r="F72" i="12812" s="1"/>
  <c r="S72" i="12812" s="1"/>
  <c r="N19" i="12764"/>
  <c r="F42" i="12812" s="1"/>
  <c r="S42" i="12812" s="1"/>
  <c r="M990" i="12787"/>
  <c r="M993" i="12787" s="1"/>
  <c r="Q41" i="12775"/>
  <c r="D87" i="12775" s="1"/>
  <c r="Q41" i="12774"/>
  <c r="D87" i="12774" s="1"/>
  <c r="J548" i="12767"/>
  <c r="L548" i="12767" s="1"/>
  <c r="J513" i="12767"/>
  <c r="L513" i="12767" s="1"/>
  <c r="J442" i="12767"/>
  <c r="L442" i="12767" s="1"/>
  <c r="P999" i="12766"/>
  <c r="K999" i="12766"/>
  <c r="H999" i="12766"/>
  <c r="M999" i="12766"/>
  <c r="M995" i="12766"/>
  <c r="H995" i="12766"/>
  <c r="P995" i="12766"/>
  <c r="K995" i="12766"/>
  <c r="M976" i="12766"/>
  <c r="H976" i="12766"/>
  <c r="P976" i="12766"/>
  <c r="K976" i="12766"/>
  <c r="H972" i="12766"/>
  <c r="M972" i="12766"/>
  <c r="K972" i="12766"/>
  <c r="P972" i="12766"/>
  <c r="M906" i="12766"/>
  <c r="H906" i="12766"/>
  <c r="P906" i="12766"/>
  <c r="K906" i="12766"/>
  <c r="D884" i="12766"/>
  <c r="D890" i="12766"/>
  <c r="D893" i="12766"/>
  <c r="D881" i="12766"/>
  <c r="D882" i="12766"/>
  <c r="D885" i="12766"/>
  <c r="D891" i="12766"/>
  <c r="D895" i="12766"/>
  <c r="C898" i="12766"/>
  <c r="D827" i="12766"/>
  <c r="D830" i="12766"/>
  <c r="K830" i="12766" s="1"/>
  <c r="D834" i="12766"/>
  <c r="K834" i="12766" s="1"/>
  <c r="K806" i="12766" s="1"/>
  <c r="D836" i="12766"/>
  <c r="D840" i="12766"/>
  <c r="K840" i="12766" s="1"/>
  <c r="C813" i="12766"/>
  <c r="C843" i="12766"/>
  <c r="D825" i="12766"/>
  <c r="D826" i="12766"/>
  <c r="D829" i="12766"/>
  <c r="D835" i="12766"/>
  <c r="K835" i="12766" s="1"/>
  <c r="D838" i="12766"/>
  <c r="G795" i="12766"/>
  <c r="G767" i="12766" s="1"/>
  <c r="C766" i="12766"/>
  <c r="C768" i="12766" s="1"/>
  <c r="C796" i="12766"/>
  <c r="M753" i="12766"/>
  <c r="K753" i="12766"/>
  <c r="M743" i="12766"/>
  <c r="K743" i="12766"/>
  <c r="I752" i="12766"/>
  <c r="M739" i="12766"/>
  <c r="K739" i="12766"/>
  <c r="I749" i="12766"/>
  <c r="M735" i="12766"/>
  <c r="K735" i="12766"/>
  <c r="I746" i="12766"/>
  <c r="D654" i="12766"/>
  <c r="K654" i="12766" s="1"/>
  <c r="D663" i="12766"/>
  <c r="D664" i="12766"/>
  <c r="D665" i="12766"/>
  <c r="D669" i="12766"/>
  <c r="D670" i="12766"/>
  <c r="C625" i="12766"/>
  <c r="C627" i="12766" s="1"/>
  <c r="C678" i="12766"/>
  <c r="D653" i="12766"/>
  <c r="D650" i="12766"/>
  <c r="D651" i="12766"/>
  <c r="D672" i="12766"/>
  <c r="D673" i="12766"/>
  <c r="H673" i="12766" s="1"/>
  <c r="D675" i="12766"/>
  <c r="G494" i="12766"/>
  <c r="D552" i="12766"/>
  <c r="K552" i="12766" s="1"/>
  <c r="K484" i="12766" s="1"/>
  <c r="D555" i="12766"/>
  <c r="D560" i="12766"/>
  <c r="D565" i="12766"/>
  <c r="D553" i="12766"/>
  <c r="D485" i="12766" s="1"/>
  <c r="M485" i="12766" s="1"/>
  <c r="D556" i="12766"/>
  <c r="H556" i="12766" s="1"/>
  <c r="D558" i="12766"/>
  <c r="K558" i="12766" s="1"/>
  <c r="D559" i="12766"/>
  <c r="D566" i="12766"/>
  <c r="H566" i="12766" s="1"/>
  <c r="D567" i="12766"/>
  <c r="H567" i="12766" s="1"/>
  <c r="D568" i="12766"/>
  <c r="H568" i="12766" s="1"/>
  <c r="D569" i="12766"/>
  <c r="H569" i="12766" s="1"/>
  <c r="D570" i="12766"/>
  <c r="H570" i="12766" s="1"/>
  <c r="D571" i="12766"/>
  <c r="C506" i="12766"/>
  <c r="C508" i="12766" s="1"/>
  <c r="C576" i="12766"/>
  <c r="H522" i="12766"/>
  <c r="K481" i="12766"/>
  <c r="H219" i="12766"/>
  <c r="D331" i="12766"/>
  <c r="C348" i="12766"/>
  <c r="C259" i="12766"/>
  <c r="K267" i="12766"/>
  <c r="D240" i="12766"/>
  <c r="D239" i="12766"/>
  <c r="D422" i="12766"/>
  <c r="H422" i="12766" s="1"/>
  <c r="D426" i="12766"/>
  <c r="D429" i="12766"/>
  <c r="H429" i="12766" s="1"/>
  <c r="D430" i="12766"/>
  <c r="H430" i="12766" s="1"/>
  <c r="D419" i="12766"/>
  <c r="D420" i="12766"/>
  <c r="C436" i="12766"/>
  <c r="D389" i="12766"/>
  <c r="D390" i="12766"/>
  <c r="D392" i="12766"/>
  <c r="D397" i="12766"/>
  <c r="D398" i="12766"/>
  <c r="H398" i="12766" s="1"/>
  <c r="D399" i="12766"/>
  <c r="D400" i="12766"/>
  <c r="H400" i="12766" s="1"/>
  <c r="D401" i="12766"/>
  <c r="H401" i="12766" s="1"/>
  <c r="D404" i="12766"/>
  <c r="C407" i="12766"/>
  <c r="D386" i="12766"/>
  <c r="D391" i="12766"/>
  <c r="D393" i="12766"/>
  <c r="K393" i="12766" s="1"/>
  <c r="D402" i="12766"/>
  <c r="H402" i="12766" s="1"/>
  <c r="H413" i="12766"/>
  <c r="K413" i="12766"/>
  <c r="K355" i="12766" s="1"/>
  <c r="K149" i="12766" s="1"/>
  <c r="D355" i="12766"/>
  <c r="G130" i="12766"/>
  <c r="K115" i="12766"/>
  <c r="K117" i="12766" s="1"/>
  <c r="K83" i="12766"/>
  <c r="U84" i="12766" s="1"/>
  <c r="W84" i="12766" s="1"/>
  <c r="H40" i="12766"/>
  <c r="H23" i="12766" s="1"/>
  <c r="D23" i="12766"/>
  <c r="M23" i="12766" s="1"/>
  <c r="H35" i="12766"/>
  <c r="K35" i="12766"/>
  <c r="I22" i="12767"/>
  <c r="I20" i="12767"/>
  <c r="K838" i="12766"/>
  <c r="K884" i="12766"/>
  <c r="K665" i="12766"/>
  <c r="K663" i="12766"/>
  <c r="K569" i="12766"/>
  <c r="G173" i="12766"/>
  <c r="G369" i="12766"/>
  <c r="G196" i="12766"/>
  <c r="G165" i="12766"/>
  <c r="K422" i="12766"/>
  <c r="K128" i="12766"/>
  <c r="K130" i="12766" s="1"/>
  <c r="K87" i="12766"/>
  <c r="K85" i="12766"/>
  <c r="K20" i="12766"/>
  <c r="H20" i="12766"/>
  <c r="I45" i="12767"/>
  <c r="I16" i="12767"/>
  <c r="M980" i="12766"/>
  <c r="H980" i="12766"/>
  <c r="P980" i="12766"/>
  <c r="K980" i="12766"/>
  <c r="M973" i="12766"/>
  <c r="H973" i="12766"/>
  <c r="P973" i="12766"/>
  <c r="K973" i="12766"/>
  <c r="H917" i="12766"/>
  <c r="M917" i="12766"/>
  <c r="K917" i="12766"/>
  <c r="D809" i="12766"/>
  <c r="H837" i="12766"/>
  <c r="M767" i="12766"/>
  <c r="D768" i="12766"/>
  <c r="H857" i="12766"/>
  <c r="D871" i="12766"/>
  <c r="K857" i="12766"/>
  <c r="H738" i="12766"/>
  <c r="M738" i="12766"/>
  <c r="D701" i="12766"/>
  <c r="H701" i="12766" s="1"/>
  <c r="D702" i="12766"/>
  <c r="H702" i="12766" s="1"/>
  <c r="D723" i="12766"/>
  <c r="H723" i="12766" s="1"/>
  <c r="D724" i="12766"/>
  <c r="H724" i="12766" s="1"/>
  <c r="D726" i="12766"/>
  <c r="C729" i="12766"/>
  <c r="D693" i="12766"/>
  <c r="K693" i="12766" s="1"/>
  <c r="K591" i="12766" s="1"/>
  <c r="D695" i="12766"/>
  <c r="D696" i="12766"/>
  <c r="D697" i="12766"/>
  <c r="K697" i="12766" s="1"/>
  <c r="K595" i="12766" s="1"/>
  <c r="D704" i="12766"/>
  <c r="H704" i="12766" s="1"/>
  <c r="D705" i="12766"/>
  <c r="H705" i="12766" s="1"/>
  <c r="D712" i="12766"/>
  <c r="K712" i="12766" s="1"/>
  <c r="D714" i="12766"/>
  <c r="H714" i="12766" s="1"/>
  <c r="D715" i="12766"/>
  <c r="H715" i="12766" s="1"/>
  <c r="D716" i="12766"/>
  <c r="H716" i="12766" s="1"/>
  <c r="D720" i="12766"/>
  <c r="D721" i="12766"/>
  <c r="K582" i="12766"/>
  <c r="D304" i="12766"/>
  <c r="K304" i="12766" s="1"/>
  <c r="K275" i="12766" s="1"/>
  <c r="D309" i="12766"/>
  <c r="D310" i="12766"/>
  <c r="H310" i="12766" s="1"/>
  <c r="H281" i="12766" s="1"/>
  <c r="D311" i="12766"/>
  <c r="H311" i="12766" s="1"/>
  <c r="H282" i="12766" s="1"/>
  <c r="D312" i="12766"/>
  <c r="H312" i="12766" s="1"/>
  <c r="H283" i="12766" s="1"/>
  <c r="D313" i="12766"/>
  <c r="H313" i="12766" s="1"/>
  <c r="H284" i="12766" s="1"/>
  <c r="D316" i="12766"/>
  <c r="H316" i="12766" s="1"/>
  <c r="H287" i="12766" s="1"/>
  <c r="C288" i="12766"/>
  <c r="C290" i="12766" s="1"/>
  <c r="D302" i="12766"/>
  <c r="K302" i="12766" s="1"/>
  <c r="D303" i="12766"/>
  <c r="D305" i="12766"/>
  <c r="D314" i="12766"/>
  <c r="D315" i="12766"/>
  <c r="C319" i="12766"/>
  <c r="D267" i="12766"/>
  <c r="D270" i="12766" s="1"/>
  <c r="H296" i="12766"/>
  <c r="C117" i="12766"/>
  <c r="C89" i="12766"/>
  <c r="C91" i="12766" s="1"/>
  <c r="H72" i="12766"/>
  <c r="K72" i="12766"/>
  <c r="D21" i="12766"/>
  <c r="H38" i="12766"/>
  <c r="K38" i="12766"/>
  <c r="H17" i="12766"/>
  <c r="R97" i="12761"/>
  <c r="I464" i="12767"/>
  <c r="I21" i="12767"/>
  <c r="H953" i="12766"/>
  <c r="H955" i="12766" s="1"/>
  <c r="H909" i="12766"/>
  <c r="H911" i="12766" s="1"/>
  <c r="P909" i="12766" s="1"/>
  <c r="G810" i="12766"/>
  <c r="G782" i="12766" s="1"/>
  <c r="G807" i="12766"/>
  <c r="G779" i="12766" s="1"/>
  <c r="G777" i="12766"/>
  <c r="G804" i="12766"/>
  <c r="G776" i="12766" s="1"/>
  <c r="K827" i="12766"/>
  <c r="K799" i="12766" s="1"/>
  <c r="K766" i="12766"/>
  <c r="K623" i="12766"/>
  <c r="K616" i="12766"/>
  <c r="K664" i="12766"/>
  <c r="G600" i="12766"/>
  <c r="K653" i="12766"/>
  <c r="K586" i="12766"/>
  <c r="K566" i="12766"/>
  <c r="G497" i="12766"/>
  <c r="K556" i="12766"/>
  <c r="G166" i="12766"/>
  <c r="K272" i="12766"/>
  <c r="C158" i="12766"/>
  <c r="K268" i="12766"/>
  <c r="K386" i="12766"/>
  <c r="K86" i="12766"/>
  <c r="K84" i="12766"/>
  <c r="H59" i="12766"/>
  <c r="H61" i="12766" s="1"/>
  <c r="P45" i="12775"/>
  <c r="T106" i="12764"/>
  <c r="K98" i="12764"/>
  <c r="K91" i="12764"/>
  <c r="V85" i="12764"/>
  <c r="K75" i="12764"/>
  <c r="K69" i="12764"/>
  <c r="G69" i="12764"/>
  <c r="K65" i="12764"/>
  <c r="K58" i="12764"/>
  <c r="C69" i="12763"/>
  <c r="I762" i="12767"/>
  <c r="I761" i="12767"/>
  <c r="I754" i="12767"/>
  <c r="I753" i="12767"/>
  <c r="C353" i="12767"/>
  <c r="I130" i="12767"/>
  <c r="P8" i="12764" s="1"/>
  <c r="M997" i="12766"/>
  <c r="K996" i="12766"/>
  <c r="G995" i="12766"/>
  <c r="K993" i="12766"/>
  <c r="M992" i="12766"/>
  <c r="K990" i="12766"/>
  <c r="M989" i="12766"/>
  <c r="K988" i="12766"/>
  <c r="M985" i="12766"/>
  <c r="K984" i="12766"/>
  <c r="M982" i="12766"/>
  <c r="K981" i="12766"/>
  <c r="G980" i="12766"/>
  <c r="K977" i="12766"/>
  <c r="G976" i="12766"/>
  <c r="K974" i="12766"/>
  <c r="G973" i="12766"/>
  <c r="P996" i="12766"/>
  <c r="P993" i="12766"/>
  <c r="P990" i="12766"/>
  <c r="P988" i="12766"/>
  <c r="P984" i="12766"/>
  <c r="P981" i="12766"/>
  <c r="P977" i="12766"/>
  <c r="P974" i="12766"/>
  <c r="C955" i="12766"/>
  <c r="G939" i="12766"/>
  <c r="C942" i="12766"/>
  <c r="K907" i="12766"/>
  <c r="G906" i="12766"/>
  <c r="K905" i="12766"/>
  <c r="P907" i="12766"/>
  <c r="P905" i="12766"/>
  <c r="P904" i="12766"/>
  <c r="I810" i="12766"/>
  <c r="I807" i="12766"/>
  <c r="I804" i="12766"/>
  <c r="G868" i="12766"/>
  <c r="G812" i="12766" s="1"/>
  <c r="G784" i="12766" s="1"/>
  <c r="D866" i="12766"/>
  <c r="K866" i="12766" s="1"/>
  <c r="C892" i="12766"/>
  <c r="C781" i="12766" s="1"/>
  <c r="I864" i="12766"/>
  <c r="K864" i="12766" s="1"/>
  <c r="I836" i="12766"/>
  <c r="K836" i="12766" s="1"/>
  <c r="D863" i="12766"/>
  <c r="K863" i="12766" s="1"/>
  <c r="I889" i="12766"/>
  <c r="K889" i="12766" s="1"/>
  <c r="H862" i="12766"/>
  <c r="I887" i="12766"/>
  <c r="K887" i="12766" s="1"/>
  <c r="H860" i="12766"/>
  <c r="G858" i="12766"/>
  <c r="G802" i="12766" s="1"/>
  <c r="G774" i="12766" s="1"/>
  <c r="G829" i="12766"/>
  <c r="G801" i="12766" s="1"/>
  <c r="G773" i="12766" s="1"/>
  <c r="G855" i="12766"/>
  <c r="G799" i="12766" s="1"/>
  <c r="G771" i="12766" s="1"/>
  <c r="C852" i="12766"/>
  <c r="C760" i="12766"/>
  <c r="K757" i="12766"/>
  <c r="E757" i="12766"/>
  <c r="G757" i="12766" s="1"/>
  <c r="I756" i="12766"/>
  <c r="D756" i="12766"/>
  <c r="E755" i="12766"/>
  <c r="E751" i="12766"/>
  <c r="E750" i="12766"/>
  <c r="I748" i="12766"/>
  <c r="I747" i="12766"/>
  <c r="D742" i="12766"/>
  <c r="D740" i="12766"/>
  <c r="I724" i="12766"/>
  <c r="K724" i="12766" s="1"/>
  <c r="I673" i="12766"/>
  <c r="I723" i="12766"/>
  <c r="I672" i="12766"/>
  <c r="H672" i="12766"/>
  <c r="H621" i="12766" s="1"/>
  <c r="E721" i="12766"/>
  <c r="E670" i="12766"/>
  <c r="E720" i="12766"/>
  <c r="E669" i="12766"/>
  <c r="I711" i="12766"/>
  <c r="K711" i="12766" s="1"/>
  <c r="I660" i="12766"/>
  <c r="K660" i="12766" s="1"/>
  <c r="H660" i="12766"/>
  <c r="H609" i="12766" s="1"/>
  <c r="H659" i="12766"/>
  <c r="H608" i="12766" s="1"/>
  <c r="H658" i="12766"/>
  <c r="I707" i="12766"/>
  <c r="K707" i="12766" s="1"/>
  <c r="I656" i="12766"/>
  <c r="K656" i="12766" s="1"/>
  <c r="H656" i="12766"/>
  <c r="H605" i="12766" s="1"/>
  <c r="G653" i="12766"/>
  <c r="G602" i="12766" s="1"/>
  <c r="C602" i="12766"/>
  <c r="I702" i="12766"/>
  <c r="I651" i="12766"/>
  <c r="H651" i="12766"/>
  <c r="H600" i="12766" s="1"/>
  <c r="E600" i="12766"/>
  <c r="E619" i="12766" s="1"/>
  <c r="I701" i="12766"/>
  <c r="I650" i="12766"/>
  <c r="H650" i="12766"/>
  <c r="O593" i="12766"/>
  <c r="G693" i="12766"/>
  <c r="G636" i="12766"/>
  <c r="G585" i="12766" s="1"/>
  <c r="D539" i="12766"/>
  <c r="C573" i="12766"/>
  <c r="C572" i="12766"/>
  <c r="D537" i="12766"/>
  <c r="D536" i="12766"/>
  <c r="D535" i="12766"/>
  <c r="D534" i="12766"/>
  <c r="D533" i="12766"/>
  <c r="D532" i="12766"/>
  <c r="I565" i="12766"/>
  <c r="H530" i="12766"/>
  <c r="H496" i="12766" s="1"/>
  <c r="H528" i="12766"/>
  <c r="H494" i="12766" s="1"/>
  <c r="G559" i="12766"/>
  <c r="G491" i="12766" s="1"/>
  <c r="D525" i="12766"/>
  <c r="D524" i="12766"/>
  <c r="K524" i="12766" s="1"/>
  <c r="G550" i="12766"/>
  <c r="G482" i="12766" s="1"/>
  <c r="W481" i="12766"/>
  <c r="C551" i="12766"/>
  <c r="D299" i="12766"/>
  <c r="G229" i="12766"/>
  <c r="G201" i="12766" s="1"/>
  <c r="D229" i="12766"/>
  <c r="I431" i="12766"/>
  <c r="I402" i="12766"/>
  <c r="K402" i="12766" s="1"/>
  <c r="I256" i="12766"/>
  <c r="I228" i="12766"/>
  <c r="K228" i="12766" s="1"/>
  <c r="I342" i="12766"/>
  <c r="K342" i="12766" s="1"/>
  <c r="I313" i="12766"/>
  <c r="K313" i="12766" s="1"/>
  <c r="D227" i="12766"/>
  <c r="D226" i="12766"/>
  <c r="I311" i="12766"/>
  <c r="K311" i="12766" s="1"/>
  <c r="K282" i="12766" s="1"/>
  <c r="D225" i="12766"/>
  <c r="I339" i="12766"/>
  <c r="K339" i="12766" s="1"/>
  <c r="I310" i="12766"/>
  <c r="D224" i="12766"/>
  <c r="K224" i="12766" s="1"/>
  <c r="D223" i="12766"/>
  <c r="H396" i="12766"/>
  <c r="I307" i="12766"/>
  <c r="K307" i="12766" s="1"/>
  <c r="I336" i="12766"/>
  <c r="K336" i="12766" s="1"/>
  <c r="D424" i="12766"/>
  <c r="H424" i="12766" s="1"/>
  <c r="H366" i="12766" s="1"/>
  <c r="H307" i="12766"/>
  <c r="H278" i="12766" s="1"/>
  <c r="G333" i="12766"/>
  <c r="G420" i="12766"/>
  <c r="G362" i="12766" s="1"/>
  <c r="G245" i="12766"/>
  <c r="G189" i="12766" s="1"/>
  <c r="G390" i="12766"/>
  <c r="C361" i="12766"/>
  <c r="C159" i="12766" s="1"/>
  <c r="C271" i="12766"/>
  <c r="G211" i="12766"/>
  <c r="H384" i="12766"/>
  <c r="O88" i="12766"/>
  <c r="U85" i="12766"/>
  <c r="W85" i="12766" s="1"/>
  <c r="M85" i="12766"/>
  <c r="M89" i="12766" s="1"/>
  <c r="C85" i="12766"/>
  <c r="I140" i="12766"/>
  <c r="K140" i="12766" s="1"/>
  <c r="K141" i="12766" s="1"/>
  <c r="K143" i="12766" s="1"/>
  <c r="G74" i="12766"/>
  <c r="G40" i="12766"/>
  <c r="C23" i="12766"/>
  <c r="C21" i="12766"/>
  <c r="C18" i="12766"/>
  <c r="D20" i="12766"/>
  <c r="D17" i="12766"/>
  <c r="H931" i="12787"/>
  <c r="M931" i="12787"/>
  <c r="H836" i="12787"/>
  <c r="G923" i="12787"/>
  <c r="K781" i="12787"/>
  <c r="K779" i="12787"/>
  <c r="F591" i="12767"/>
  <c r="X39" i="12764"/>
  <c r="G1030" i="12787"/>
  <c r="G943" i="12787"/>
  <c r="G971" i="12787"/>
  <c r="G827" i="12787"/>
  <c r="K825" i="12787"/>
  <c r="I834" i="12787"/>
  <c r="K834" i="12787" s="1"/>
  <c r="D826" i="12787"/>
  <c r="C798" i="12787"/>
  <c r="C770" i="12787" s="1"/>
  <c r="H880" i="12787"/>
  <c r="G880" i="12787"/>
  <c r="G823" i="12787"/>
  <c r="E833" i="12787"/>
  <c r="M766" i="12787"/>
  <c r="U767" i="12787"/>
  <c r="G739" i="12787"/>
  <c r="H739" i="12787"/>
  <c r="Q34" i="12775"/>
  <c r="D80" i="12775" s="1"/>
  <c r="S34" i="12775"/>
  <c r="F80" i="12775" s="1"/>
  <c r="U34" i="12775"/>
  <c r="H80" i="12775" s="1"/>
  <c r="W34" i="12775"/>
  <c r="J80" i="12775" s="1"/>
  <c r="Y34" i="12775"/>
  <c r="L80" i="12775" s="1"/>
  <c r="AA34" i="12775"/>
  <c r="N80" i="12775" s="1"/>
  <c r="R35" i="12775"/>
  <c r="E81" i="12775" s="1"/>
  <c r="T35" i="12775"/>
  <c r="G81" i="12775" s="1"/>
  <c r="V35" i="12775"/>
  <c r="I81" i="12775" s="1"/>
  <c r="X35" i="12775"/>
  <c r="K81" i="12775" s="1"/>
  <c r="Z35" i="12775"/>
  <c r="M81" i="12775" s="1"/>
  <c r="AB35" i="12775"/>
  <c r="O81" i="12775" s="1"/>
  <c r="R34" i="12775"/>
  <c r="E80" i="12775" s="1"/>
  <c r="T34" i="12775"/>
  <c r="G80" i="12775" s="1"/>
  <c r="V34" i="12775"/>
  <c r="I80" i="12775" s="1"/>
  <c r="X34" i="12775"/>
  <c r="K80" i="12775" s="1"/>
  <c r="Z34" i="12775"/>
  <c r="M80" i="12775" s="1"/>
  <c r="AB34" i="12775"/>
  <c r="O80" i="12775" s="1"/>
  <c r="Q35" i="12775"/>
  <c r="S35" i="12775"/>
  <c r="F81" i="12775" s="1"/>
  <c r="U35" i="12775"/>
  <c r="H81" i="12775" s="1"/>
  <c r="W35" i="12775"/>
  <c r="J81" i="12775" s="1"/>
  <c r="Y35" i="12775"/>
  <c r="L81" i="12775" s="1"/>
  <c r="AA35" i="12775"/>
  <c r="N81" i="12775" s="1"/>
  <c r="G674" i="12787"/>
  <c r="H674" i="12787"/>
  <c r="D653" i="12787"/>
  <c r="D650" i="12787"/>
  <c r="D651" i="12787"/>
  <c r="H651" i="12787" s="1"/>
  <c r="D672" i="12787"/>
  <c r="H672" i="12787" s="1"/>
  <c r="D673" i="12787"/>
  <c r="D675" i="12787"/>
  <c r="H675" i="12787" s="1"/>
  <c r="D654" i="12787"/>
  <c r="D663" i="12787"/>
  <c r="D664" i="12787"/>
  <c r="D665" i="12787"/>
  <c r="D669" i="12787"/>
  <c r="D618" i="12787" s="1"/>
  <c r="D670" i="12787"/>
  <c r="D619" i="12787" s="1"/>
  <c r="M619" i="12787" s="1"/>
  <c r="C625" i="12787"/>
  <c r="I663" i="12787"/>
  <c r="K663" i="12787" s="1"/>
  <c r="K644" i="12787"/>
  <c r="I651" i="12787"/>
  <c r="K633" i="12787"/>
  <c r="I656" i="12787"/>
  <c r="K656" i="12787" s="1"/>
  <c r="G536" i="12787"/>
  <c r="D553" i="12787"/>
  <c r="H553" i="12787" s="1"/>
  <c r="D559" i="12787"/>
  <c r="H559" i="12787" s="1"/>
  <c r="D556" i="12787"/>
  <c r="H556" i="12787" s="1"/>
  <c r="D560" i="12787"/>
  <c r="H560" i="12787" s="1"/>
  <c r="D566" i="12787"/>
  <c r="H566" i="12787" s="1"/>
  <c r="D568" i="12787"/>
  <c r="H568" i="12787" s="1"/>
  <c r="D569" i="12787"/>
  <c r="H569" i="12787" s="1"/>
  <c r="D571" i="12787"/>
  <c r="H571" i="12787" s="1"/>
  <c r="D552" i="12787"/>
  <c r="H552" i="12787" s="1"/>
  <c r="D558" i="12787"/>
  <c r="D555" i="12787"/>
  <c r="H555" i="12787" s="1"/>
  <c r="D565" i="12787"/>
  <c r="H565" i="12787" s="1"/>
  <c r="D567" i="12787"/>
  <c r="H567" i="12787" s="1"/>
  <c r="D570" i="12787"/>
  <c r="H570" i="12787" s="1"/>
  <c r="D573" i="12787"/>
  <c r="H573" i="12787" s="1"/>
  <c r="G366" i="12787"/>
  <c r="G276" i="12787"/>
  <c r="G162" i="12787" s="1"/>
  <c r="K272" i="12787"/>
  <c r="D1028" i="12787"/>
  <c r="H1028" i="12787" s="1"/>
  <c r="D1025" i="12787"/>
  <c r="H1025" i="12787" s="1"/>
  <c r="D1022" i="12787"/>
  <c r="H1022" i="12787" s="1"/>
  <c r="D1019" i="12787"/>
  <c r="H1019" i="12787" s="1"/>
  <c r="D1017" i="12787"/>
  <c r="H1017" i="12787" s="1"/>
  <c r="D1013" i="12787"/>
  <c r="H1013" i="12787" s="1"/>
  <c r="D1010" i="12787"/>
  <c r="H1010" i="12787" s="1"/>
  <c r="D1006" i="12787"/>
  <c r="H1006" i="12787" s="1"/>
  <c r="D1003" i="12787"/>
  <c r="H1003" i="12787" s="1"/>
  <c r="C993" i="12787"/>
  <c r="K992" i="12787"/>
  <c r="K993" i="12787" s="1"/>
  <c r="I980" i="12787"/>
  <c r="K980" i="12787" s="1"/>
  <c r="K943" i="12787" s="1"/>
  <c r="Y38" i="12775"/>
  <c r="Q38" i="12775"/>
  <c r="AA41" i="12775"/>
  <c r="N87" i="12775" s="1"/>
  <c r="U41" i="12775"/>
  <c r="H87" i="12775" s="1"/>
  <c r="D913" i="12787"/>
  <c r="D905" i="12787"/>
  <c r="D840" i="12787"/>
  <c r="H867" i="12787"/>
  <c r="H811" i="12787" s="1"/>
  <c r="H783" i="12787" s="1"/>
  <c r="K830" i="12787"/>
  <c r="K802" i="12787" s="1"/>
  <c r="K774" i="12787" s="1"/>
  <c r="H829" i="12787"/>
  <c r="K798" i="12787"/>
  <c r="K770" i="12787" s="1"/>
  <c r="H881" i="12787"/>
  <c r="D825" i="12787"/>
  <c r="D768" i="12787"/>
  <c r="T767" i="12787"/>
  <c r="K795" i="12787"/>
  <c r="K767" i="12787" s="1"/>
  <c r="K850" i="12787"/>
  <c r="M757" i="12787"/>
  <c r="M755" i="12787"/>
  <c r="M753" i="12787"/>
  <c r="H752" i="12787"/>
  <c r="H750" i="12787"/>
  <c r="M748" i="12787"/>
  <c r="G609" i="12787"/>
  <c r="G605" i="12787"/>
  <c r="K603" i="12787"/>
  <c r="G600" i="12787"/>
  <c r="H597" i="12787"/>
  <c r="H585" i="12787"/>
  <c r="K497" i="12787"/>
  <c r="K496" i="12787"/>
  <c r="K495" i="12787"/>
  <c r="K494" i="12787"/>
  <c r="H482" i="12787"/>
  <c r="K485" i="12787"/>
  <c r="K202" i="12787"/>
  <c r="G202" i="12787"/>
  <c r="G284" i="12787"/>
  <c r="G198" i="12787"/>
  <c r="G282" i="12787"/>
  <c r="G279" i="12787"/>
  <c r="K278" i="12787"/>
  <c r="G193" i="12787"/>
  <c r="K276" i="12787"/>
  <c r="K853" i="12787"/>
  <c r="I862" i="12787"/>
  <c r="K862" i="12787" s="1"/>
  <c r="C869" i="12787"/>
  <c r="C801" i="12787"/>
  <c r="C773" i="12787" s="1"/>
  <c r="H851" i="12787"/>
  <c r="H795" i="12787" s="1"/>
  <c r="H767" i="12787" s="1"/>
  <c r="E861" i="12787"/>
  <c r="G877" i="12787"/>
  <c r="E887" i="12787"/>
  <c r="G735" i="12787"/>
  <c r="E746" i="12787"/>
  <c r="H735" i="12787"/>
  <c r="I665" i="12787"/>
  <c r="K665" i="12787" s="1"/>
  <c r="K614" i="12787" s="1"/>
  <c r="K646" i="12787"/>
  <c r="K595" i="12787" s="1"/>
  <c r="K636" i="12787"/>
  <c r="K585" i="12787" s="1"/>
  <c r="I659" i="12787"/>
  <c r="K659" i="12787" s="1"/>
  <c r="D591" i="12787"/>
  <c r="M591" i="12787" s="1"/>
  <c r="G582" i="12787"/>
  <c r="G229" i="12787"/>
  <c r="K303" i="12787"/>
  <c r="I312" i="12787"/>
  <c r="K312" i="12787" s="1"/>
  <c r="M618" i="12787"/>
  <c r="G472" i="12787"/>
  <c r="G474" i="12787" s="1"/>
  <c r="G415" i="12787"/>
  <c r="H415" i="12787"/>
  <c r="I385" i="12787"/>
  <c r="I414" i="12787"/>
  <c r="O150" i="12787"/>
  <c r="E854" i="12787"/>
  <c r="E826" i="12787"/>
  <c r="E850" i="12787"/>
  <c r="E822" i="12787"/>
  <c r="E757" i="12787"/>
  <c r="G757" i="12787" s="1"/>
  <c r="E755" i="12787"/>
  <c r="I749" i="12787"/>
  <c r="E748" i="12787"/>
  <c r="I746" i="12787"/>
  <c r="I726" i="12787"/>
  <c r="K726" i="12787" s="1"/>
  <c r="K624" i="12787" s="1"/>
  <c r="D726" i="12787"/>
  <c r="E725" i="12787"/>
  <c r="I724" i="12787"/>
  <c r="K724" i="12787" s="1"/>
  <c r="I673" i="12787"/>
  <c r="K673" i="12787" s="1"/>
  <c r="H673" i="12787"/>
  <c r="D723" i="12787"/>
  <c r="H723" i="12787" s="1"/>
  <c r="E721" i="12787"/>
  <c r="E670" i="12787"/>
  <c r="E669" i="12787"/>
  <c r="H712" i="12787"/>
  <c r="H610" i="12787" s="1"/>
  <c r="H660" i="12787"/>
  <c r="H609" i="12787" s="1"/>
  <c r="H656" i="12787"/>
  <c r="H605" i="12787" s="1"/>
  <c r="G653" i="12787"/>
  <c r="G602" i="12787" s="1"/>
  <c r="C602" i="12787"/>
  <c r="I702" i="12787"/>
  <c r="D702" i="12787"/>
  <c r="H702" i="12787" s="1"/>
  <c r="H650" i="12787"/>
  <c r="D701" i="12787"/>
  <c r="H701" i="12787" s="1"/>
  <c r="G699" i="12787"/>
  <c r="G597" i="12787" s="1"/>
  <c r="M595" i="12787"/>
  <c r="G697" i="12787"/>
  <c r="G595" i="12787" s="1"/>
  <c r="G695" i="12787"/>
  <c r="G593" i="12787" s="1"/>
  <c r="O591" i="12787"/>
  <c r="G642" i="12787"/>
  <c r="G591" i="12787" s="1"/>
  <c r="C638" i="12787"/>
  <c r="C587" i="12787" s="1"/>
  <c r="O585" i="12787"/>
  <c r="G636" i="12787"/>
  <c r="D704" i="12787"/>
  <c r="H704" i="12787" s="1"/>
  <c r="I693" i="12787"/>
  <c r="D696" i="12787"/>
  <c r="I684" i="12787"/>
  <c r="H633" i="12787"/>
  <c r="I573" i="12787"/>
  <c r="K573" i="12787" s="1"/>
  <c r="K505" i="12787" s="1"/>
  <c r="I572" i="12787"/>
  <c r="K572" i="12787" s="1"/>
  <c r="H538" i="12787"/>
  <c r="H504" i="12787" s="1"/>
  <c r="I571" i="12787"/>
  <c r="K571" i="12787" s="1"/>
  <c r="I537" i="12787"/>
  <c r="K537" i="12787" s="1"/>
  <c r="G519" i="12787"/>
  <c r="I556" i="12787"/>
  <c r="I522" i="12787"/>
  <c r="G550" i="12787"/>
  <c r="H514" i="12787"/>
  <c r="I471" i="12766"/>
  <c r="I432" i="12787"/>
  <c r="K432" i="12787" s="1"/>
  <c r="I403" i="12787"/>
  <c r="K403" i="12787" s="1"/>
  <c r="I257" i="12787"/>
  <c r="K257" i="12787" s="1"/>
  <c r="E432" i="12787"/>
  <c r="E403" i="12787"/>
  <c r="E257" i="12787"/>
  <c r="C227" i="12787"/>
  <c r="H337" i="12787"/>
  <c r="H279" i="12787" s="1"/>
  <c r="H424" i="12787"/>
  <c r="H395" i="12787"/>
  <c r="H334" i="12787"/>
  <c r="C346" i="12787"/>
  <c r="C317" i="12787"/>
  <c r="C259" i="12787"/>
  <c r="K183" i="12787"/>
  <c r="H268" i="12787"/>
  <c r="G355" i="12787"/>
  <c r="G149" i="12787" s="1"/>
  <c r="G23" i="12787"/>
  <c r="G18" i="12787"/>
  <c r="I217" i="12787"/>
  <c r="I245" i="12787"/>
  <c r="I391" i="12787"/>
  <c r="I420" i="12787"/>
  <c r="D419" i="12787"/>
  <c r="H419" i="12787" s="1"/>
  <c r="D420" i="12787"/>
  <c r="D362" i="12787" s="1"/>
  <c r="D392" i="12787"/>
  <c r="D363" i="12787" s="1"/>
  <c r="K83" i="12787"/>
  <c r="U84" i="12787" s="1"/>
  <c r="W84" i="12787" s="1"/>
  <c r="K273" i="12787"/>
  <c r="K269" i="12787"/>
  <c r="K155" i="12787" s="1"/>
  <c r="U151" i="12787" s="1"/>
  <c r="W151" i="12787" s="1"/>
  <c r="H269" i="12787"/>
  <c r="G59" i="12787"/>
  <c r="R29" i="12775"/>
  <c r="T29" i="12775"/>
  <c r="V29" i="12775"/>
  <c r="X29" i="12775"/>
  <c r="Z29" i="12775"/>
  <c r="AB29" i="12775"/>
  <c r="T34" i="12774"/>
  <c r="G80" i="12774" s="1"/>
  <c r="V34" i="12774"/>
  <c r="I80" i="12774" s="1"/>
  <c r="AB34" i="12774"/>
  <c r="O80" i="12774" s="1"/>
  <c r="Q35" i="12774"/>
  <c r="W35" i="12774"/>
  <c r="J81" i="12774" s="1"/>
  <c r="Y35" i="12774"/>
  <c r="L81" i="12774" s="1"/>
  <c r="S34" i="12774"/>
  <c r="F80" i="12774" s="1"/>
  <c r="U34" i="12774"/>
  <c r="H80" i="12774" s="1"/>
  <c r="AA34" i="12774"/>
  <c r="N80" i="12774" s="1"/>
  <c r="R35" i="12774"/>
  <c r="E81" i="12774" s="1"/>
  <c r="X35" i="12774"/>
  <c r="K81" i="12774" s="1"/>
  <c r="Z35" i="12774"/>
  <c r="M81" i="12774" s="1"/>
  <c r="F652" i="12767"/>
  <c r="F610" i="12767" s="1"/>
  <c r="R29" i="12774"/>
  <c r="E75" i="12774" s="1"/>
  <c r="V29" i="12774"/>
  <c r="I75" i="12774" s="1"/>
  <c r="AA29" i="12774"/>
  <c r="N75" i="12774" s="1"/>
  <c r="T27" i="12774"/>
  <c r="G73" i="12774" s="1"/>
  <c r="T24" i="12774"/>
  <c r="X24" i="12774"/>
  <c r="W25" i="12774"/>
  <c r="J71" i="12774" s="1"/>
  <c r="AA25" i="12774"/>
  <c r="N71" i="12774" s="1"/>
  <c r="AB26" i="12774"/>
  <c r="O72" i="12774" s="1"/>
  <c r="U29" i="12774"/>
  <c r="H75" i="12774" s="1"/>
  <c r="Y27" i="12774"/>
  <c r="L73" i="12774" s="1"/>
  <c r="Q24" i="12774"/>
  <c r="R25" i="12774"/>
  <c r="E71" i="12774" s="1"/>
  <c r="V25" i="12774"/>
  <c r="I71" i="12774" s="1"/>
  <c r="U26" i="12774"/>
  <c r="H72" i="12774" s="1"/>
  <c r="Y26" i="12774"/>
  <c r="L72" i="12774" s="1"/>
  <c r="Y28" i="12774"/>
  <c r="L74" i="12774" s="1"/>
  <c r="R31" i="12774"/>
  <c r="E77" i="12774" s="1"/>
  <c r="R28" i="12774"/>
  <c r="E74" i="12774" s="1"/>
  <c r="V28" i="12774"/>
  <c r="I74" i="12774" s="1"/>
  <c r="U31" i="12774"/>
  <c r="H77" i="12774" s="1"/>
  <c r="Y31" i="12774"/>
  <c r="L77" i="12774" s="1"/>
  <c r="I240" i="12787"/>
  <c r="H414" i="12787"/>
  <c r="H122" i="12787"/>
  <c r="H96" i="12787"/>
  <c r="W20" i="12775"/>
  <c r="J66" i="12775" s="1"/>
  <c r="U20" i="12775"/>
  <c r="H66" i="12775" s="1"/>
  <c r="Y10" i="12775"/>
  <c r="L56" i="12775" s="1"/>
  <c r="W10" i="12775"/>
  <c r="J56" i="12775" s="1"/>
  <c r="I74" i="12787"/>
  <c r="K74" i="12787" s="1"/>
  <c r="I57" i="12787"/>
  <c r="K57" i="12787" s="1"/>
  <c r="D74" i="12787"/>
  <c r="H74" i="12787" s="1"/>
  <c r="D40" i="12787"/>
  <c r="D56" i="12787"/>
  <c r="H56" i="12787" s="1"/>
  <c r="C22" i="12787"/>
  <c r="D72" i="12787"/>
  <c r="H72" i="12787" s="1"/>
  <c r="D38" i="12787"/>
  <c r="D54" i="12787"/>
  <c r="H54" i="12787" s="1"/>
  <c r="C20" i="12787"/>
  <c r="D69" i="12787"/>
  <c r="H34" i="12787"/>
  <c r="D51" i="12787"/>
  <c r="H51" i="12787" s="1"/>
  <c r="C17" i="12787"/>
  <c r="H33" i="12787"/>
  <c r="I971" i="12767"/>
  <c r="J827" i="12767"/>
  <c r="F1164" i="12767"/>
  <c r="F160" i="12767"/>
  <c r="Q6" i="12775"/>
  <c r="D52" i="12775" s="1"/>
  <c r="U6" i="12775"/>
  <c r="H52" i="12775" s="1"/>
  <c r="AA6" i="12775"/>
  <c r="N52" i="12775" s="1"/>
  <c r="R7" i="12775"/>
  <c r="E53" i="12775" s="1"/>
  <c r="X7" i="12775"/>
  <c r="K53" i="12775" s="1"/>
  <c r="Z7" i="12775"/>
  <c r="M53" i="12775" s="1"/>
  <c r="S8" i="12775"/>
  <c r="F54" i="12775" s="1"/>
  <c r="U8" i="12775"/>
  <c r="H54" i="12775" s="1"/>
  <c r="AA8" i="12775"/>
  <c r="N54" i="12775" s="1"/>
  <c r="R9" i="12775"/>
  <c r="E55" i="12775" s="1"/>
  <c r="X9" i="12775"/>
  <c r="K55" i="12775" s="1"/>
  <c r="Z9" i="12775"/>
  <c r="M55" i="12775" s="1"/>
  <c r="V6" i="12775"/>
  <c r="I52" i="12775" s="1"/>
  <c r="Z6" i="12775"/>
  <c r="M52" i="12775" s="1"/>
  <c r="AA7" i="12775"/>
  <c r="N53" i="12775" s="1"/>
  <c r="T8" i="12775"/>
  <c r="G54" i="12775" s="1"/>
  <c r="Q9" i="12775"/>
  <c r="U9" i="12775"/>
  <c r="H55" i="12775" s="1"/>
  <c r="X6" i="12775"/>
  <c r="K52" i="12775" s="1"/>
  <c r="AB6" i="12775"/>
  <c r="O52" i="12775" s="1"/>
  <c r="Y7" i="12775"/>
  <c r="L53" i="12775" s="1"/>
  <c r="R8" i="12775"/>
  <c r="E54" i="12775" s="1"/>
  <c r="S9" i="12775"/>
  <c r="F55" i="12775" s="1"/>
  <c r="W9" i="12775"/>
  <c r="J55" i="12775" s="1"/>
  <c r="B24" i="12783"/>
  <c r="B25" i="12783" s="1"/>
  <c r="F890" i="12767"/>
  <c r="F792" i="12767"/>
  <c r="F1137" i="12767"/>
  <c r="F870" i="12767"/>
  <c r="Q18" i="12774"/>
  <c r="D64" i="12774" s="1"/>
  <c r="U18" i="12774"/>
  <c r="H64" i="12774" s="1"/>
  <c r="Y18" i="12774"/>
  <c r="L64" i="12774" s="1"/>
  <c r="Q14" i="12774"/>
  <c r="D60" i="12774" s="1"/>
  <c r="U14" i="12774"/>
  <c r="H60" i="12774" s="1"/>
  <c r="Y14" i="12774"/>
  <c r="L60" i="12774" s="1"/>
  <c r="R15" i="12774"/>
  <c r="E61" i="12774" s="1"/>
  <c r="V15" i="12774"/>
  <c r="I61" i="12774" s="1"/>
  <c r="Z15" i="12774"/>
  <c r="M61" i="12774" s="1"/>
  <c r="Q16" i="12774"/>
  <c r="U16" i="12774"/>
  <c r="H62" i="12774" s="1"/>
  <c r="Y16" i="12774"/>
  <c r="L62" i="12774" s="1"/>
  <c r="R18" i="12774"/>
  <c r="E64" i="12774" s="1"/>
  <c r="V18" i="12774"/>
  <c r="I64" i="12774" s="1"/>
  <c r="Z18" i="12774"/>
  <c r="M64" i="12774" s="1"/>
  <c r="R14" i="12774"/>
  <c r="E60" i="12774" s="1"/>
  <c r="V14" i="12774"/>
  <c r="I60" i="12774" s="1"/>
  <c r="Z14" i="12774"/>
  <c r="M60" i="12774" s="1"/>
  <c r="Q15" i="12774"/>
  <c r="U15" i="12774"/>
  <c r="H61" i="12774" s="1"/>
  <c r="Y15" i="12774"/>
  <c r="L61" i="12774" s="1"/>
  <c r="R16" i="12774"/>
  <c r="E62" i="12774" s="1"/>
  <c r="V16" i="12774"/>
  <c r="I62" i="12774" s="1"/>
  <c r="Z16" i="12774"/>
  <c r="M62" i="12774" s="1"/>
  <c r="T6" i="12774"/>
  <c r="G52" i="12774" s="1"/>
  <c r="X6" i="12774"/>
  <c r="K52" i="12774" s="1"/>
  <c r="AB6" i="12774"/>
  <c r="O52" i="12774" s="1"/>
  <c r="S7" i="12774"/>
  <c r="F53" i="12774" s="1"/>
  <c r="W7" i="12774"/>
  <c r="J53" i="12774" s="1"/>
  <c r="AA7" i="12774"/>
  <c r="N53" i="12774" s="1"/>
  <c r="T8" i="12774"/>
  <c r="G54" i="12774" s="1"/>
  <c r="X8" i="12774"/>
  <c r="K54" i="12774" s="1"/>
  <c r="AB8" i="12774"/>
  <c r="O54" i="12774" s="1"/>
  <c r="S9" i="12774"/>
  <c r="F55" i="12774" s="1"/>
  <c r="W9" i="12774"/>
  <c r="J55" i="12774" s="1"/>
  <c r="AA9" i="12774"/>
  <c r="N55" i="12774" s="1"/>
  <c r="S6" i="12774"/>
  <c r="F52" i="12774" s="1"/>
  <c r="W6" i="12774"/>
  <c r="J52" i="12774" s="1"/>
  <c r="AA6" i="12774"/>
  <c r="N52" i="12774" s="1"/>
  <c r="T7" i="12774"/>
  <c r="G53" i="12774" s="1"/>
  <c r="X7" i="12774"/>
  <c r="K53" i="12774" s="1"/>
  <c r="AB7" i="12774"/>
  <c r="O53" i="12774" s="1"/>
  <c r="S8" i="12774"/>
  <c r="F54" i="12774" s="1"/>
  <c r="W8" i="12774"/>
  <c r="J54" i="12774" s="1"/>
  <c r="AA8" i="12774"/>
  <c r="N54" i="12774" s="1"/>
  <c r="T9" i="12774"/>
  <c r="G55" i="12774" s="1"/>
  <c r="X9" i="12774"/>
  <c r="K55" i="12774" s="1"/>
  <c r="AB9" i="12774"/>
  <c r="O55" i="12774" s="1"/>
  <c r="F708" i="12767"/>
  <c r="F670" i="12767"/>
  <c r="F962" i="12767"/>
  <c r="F964" i="12767"/>
  <c r="F966" i="12767"/>
  <c r="AA29" i="12775"/>
  <c r="Y29" i="12775"/>
  <c r="W29" i="12775"/>
  <c r="U29" i="12775"/>
  <c r="S29" i="12775"/>
  <c r="AB42" i="12774"/>
  <c r="O88" i="12774" s="1"/>
  <c r="Z42" i="12774"/>
  <c r="M88" i="12774" s="1"/>
  <c r="X42" i="12774"/>
  <c r="K88" i="12774" s="1"/>
  <c r="V42" i="12774"/>
  <c r="I88" i="12774" s="1"/>
  <c r="T42" i="12774"/>
  <c r="G88" i="12774" s="1"/>
  <c r="R42" i="12774"/>
  <c r="AA40" i="12774"/>
  <c r="Y40" i="12774"/>
  <c r="W40" i="12774"/>
  <c r="U40" i="12774"/>
  <c r="S40" i="12774"/>
  <c r="Q40" i="12774"/>
  <c r="AB39" i="12774"/>
  <c r="O85" i="12774" s="1"/>
  <c r="Z39" i="12774"/>
  <c r="M85" i="12774" s="1"/>
  <c r="X39" i="12774"/>
  <c r="K85" i="12774" s="1"/>
  <c r="V39" i="12774"/>
  <c r="I85" i="12774" s="1"/>
  <c r="T39" i="12774"/>
  <c r="G85" i="12774" s="1"/>
  <c r="R39" i="12774"/>
  <c r="AB38" i="12774"/>
  <c r="Z38" i="12774"/>
  <c r="X38" i="12774"/>
  <c r="V38" i="12774"/>
  <c r="T38" i="12774"/>
  <c r="R38" i="12774"/>
  <c r="AA41" i="12774"/>
  <c r="N87" i="12774" s="1"/>
  <c r="Y41" i="12774"/>
  <c r="L87" i="12774" s="1"/>
  <c r="W41" i="12774"/>
  <c r="J87" i="12774" s="1"/>
  <c r="U41" i="12774"/>
  <c r="H87" i="12774" s="1"/>
  <c r="S41" i="12774"/>
  <c r="F794" i="12767"/>
  <c r="F777" i="12767"/>
  <c r="F703" i="12767"/>
  <c r="I668" i="12767"/>
  <c r="F667" i="12767"/>
  <c r="I323" i="12767"/>
  <c r="I301" i="12767"/>
  <c r="I232" i="12767" s="1"/>
  <c r="L107" i="12767"/>
  <c r="L88" i="12767" s="1"/>
  <c r="F303" i="12767"/>
  <c r="F709" i="12767"/>
  <c r="F671" i="12767"/>
  <c r="J407" i="12767"/>
  <c r="L407" i="12767" s="1"/>
  <c r="J337" i="12767"/>
  <c r="L337" i="12767" s="1"/>
  <c r="D22" i="12766" l="1"/>
  <c r="K429" i="12766"/>
  <c r="K567" i="12766"/>
  <c r="M742" i="12787"/>
  <c r="D760" i="12787"/>
  <c r="K531" i="12766"/>
  <c r="H531" i="12766"/>
  <c r="G502" i="12766"/>
  <c r="K332" i="12787"/>
  <c r="I341" i="12787"/>
  <c r="K341" i="12787" s="1"/>
  <c r="K696" i="12787"/>
  <c r="K594" i="12787" s="1"/>
  <c r="I715" i="12787"/>
  <c r="K715" i="12787" s="1"/>
  <c r="K613" i="12787" s="1"/>
  <c r="G709" i="12787"/>
  <c r="H709" i="12787"/>
  <c r="G717" i="12787"/>
  <c r="H717" i="12787"/>
  <c r="G929" i="12766"/>
  <c r="G953" i="12766"/>
  <c r="G955" i="12766" s="1"/>
  <c r="K332" i="12766"/>
  <c r="K346" i="12766" s="1"/>
  <c r="K348" i="12766" s="1"/>
  <c r="I341" i="12766"/>
  <c r="K341" i="12766" s="1"/>
  <c r="H571" i="12766"/>
  <c r="K571" i="12766"/>
  <c r="H853" i="12766"/>
  <c r="K853" i="12766"/>
  <c r="H216" i="12766"/>
  <c r="K216" i="12766"/>
  <c r="I534" i="12766"/>
  <c r="K534" i="12766" s="1"/>
  <c r="K522" i="12766"/>
  <c r="K153" i="12787"/>
  <c r="K283" i="12787"/>
  <c r="K488" i="12766"/>
  <c r="K314" i="12766"/>
  <c r="K285" i="12766" s="1"/>
  <c r="H314" i="12766"/>
  <c r="H285" i="12766" s="1"/>
  <c r="K69" i="12766"/>
  <c r="G246" i="12766"/>
  <c r="G190" i="12766" s="1"/>
  <c r="H331" i="12766"/>
  <c r="H346" i="12766" s="1"/>
  <c r="H348" i="12766" s="1"/>
  <c r="K331" i="12766"/>
  <c r="H891" i="12766"/>
  <c r="K891" i="12766"/>
  <c r="K750" i="12766"/>
  <c r="M750" i="12766"/>
  <c r="G607" i="12787"/>
  <c r="H67" i="12787"/>
  <c r="H16" i="12787" s="1"/>
  <c r="D16" i="12787"/>
  <c r="K647" i="12787"/>
  <c r="I666" i="12787"/>
  <c r="K666" i="12787" s="1"/>
  <c r="K699" i="12787"/>
  <c r="K597" i="12787" s="1"/>
  <c r="I718" i="12787"/>
  <c r="K718" i="12787" s="1"/>
  <c r="H868" i="12766"/>
  <c r="K868" i="12766"/>
  <c r="K274" i="12787"/>
  <c r="H76" i="12766"/>
  <c r="H78" i="12766" s="1"/>
  <c r="D18" i="12766"/>
  <c r="K364" i="12766"/>
  <c r="K616" i="12787"/>
  <c r="K39" i="12766"/>
  <c r="K22" i="12766" s="1"/>
  <c r="S6" i="12775"/>
  <c r="F52" i="12775" s="1"/>
  <c r="V10" i="12775"/>
  <c r="I56" i="12775" s="1"/>
  <c r="X10" i="12775"/>
  <c r="K56" i="12775" s="1"/>
  <c r="AB10" i="12775"/>
  <c r="O56" i="12775" s="1"/>
  <c r="AB41" i="12775"/>
  <c r="O87" i="12775" s="1"/>
  <c r="T41" i="12775"/>
  <c r="G87" i="12775" s="1"/>
  <c r="V39" i="12775"/>
  <c r="I85" i="12775" s="1"/>
  <c r="Y40" i="12775"/>
  <c r="L86" i="12775" s="1"/>
  <c r="R41" i="12775"/>
  <c r="E87" i="12775" s="1"/>
  <c r="U39" i="12775"/>
  <c r="H85" i="12775" s="1"/>
  <c r="Z40" i="12775"/>
  <c r="M86" i="12775" s="1"/>
  <c r="W38" i="12775"/>
  <c r="S41" i="12775"/>
  <c r="F87" i="12775" s="1"/>
  <c r="X41" i="12775"/>
  <c r="K87" i="12775" s="1"/>
  <c r="X39" i="12775"/>
  <c r="K85" i="12775" s="1"/>
  <c r="AA40" i="12775"/>
  <c r="N86" i="12775" s="1"/>
  <c r="V41" i="12775"/>
  <c r="I87" i="12775" s="1"/>
  <c r="W39" i="12775"/>
  <c r="J85" i="12775" s="1"/>
  <c r="AB40" i="12775"/>
  <c r="O86" i="12775" s="1"/>
  <c r="V38" i="12775"/>
  <c r="Q40" i="12775"/>
  <c r="D86" i="12775" s="1"/>
  <c r="U42" i="12775"/>
  <c r="H88" i="12775" s="1"/>
  <c r="X38" i="12775"/>
  <c r="K84" i="12775" s="1"/>
  <c r="K89" i="12775" s="1"/>
  <c r="R40" i="12775"/>
  <c r="V42" i="12775"/>
  <c r="I88" i="12775" s="1"/>
  <c r="G344" i="12787"/>
  <c r="G286" i="12787" s="1"/>
  <c r="H344" i="12787"/>
  <c r="G433" i="12787"/>
  <c r="H433" i="12787"/>
  <c r="AA24" i="12775"/>
  <c r="N70" i="12775" s="1"/>
  <c r="AA27" i="12775"/>
  <c r="N73" i="12775" s="1"/>
  <c r="AB30" i="12775"/>
  <c r="O76" i="12775" s="1"/>
  <c r="Y24" i="12775"/>
  <c r="L70" i="12775" s="1"/>
  <c r="Q26" i="12775"/>
  <c r="D72" i="12775" s="1"/>
  <c r="U27" i="12775"/>
  <c r="H73" i="12775" s="1"/>
  <c r="Y28" i="12775"/>
  <c r="L74" i="12775" s="1"/>
  <c r="W24" i="12775"/>
  <c r="J70" i="12775" s="1"/>
  <c r="AA26" i="12775"/>
  <c r="N72" i="12775" s="1"/>
  <c r="Y31" i="12775"/>
  <c r="L77" i="12775" s="1"/>
  <c r="S31" i="12775"/>
  <c r="F77" i="12775" s="1"/>
  <c r="W30" i="12775"/>
  <c r="J76" i="12775" s="1"/>
  <c r="V28" i="12775"/>
  <c r="I74" i="12775" s="1"/>
  <c r="Z27" i="12775"/>
  <c r="M73" i="12775" s="1"/>
  <c r="R27" i="12775"/>
  <c r="E73" i="12775" s="1"/>
  <c r="V26" i="12775"/>
  <c r="I72" i="12775" s="1"/>
  <c r="Z25" i="12775"/>
  <c r="M71" i="12775" s="1"/>
  <c r="R25" i="12775"/>
  <c r="E71" i="12775" s="1"/>
  <c r="V24" i="12775"/>
  <c r="I70" i="12775" s="1"/>
  <c r="V31" i="12775"/>
  <c r="I77" i="12775" s="1"/>
  <c r="Q29" i="12775"/>
  <c r="D75" i="12775" s="1"/>
  <c r="W25" i="12775"/>
  <c r="J71" i="12775" s="1"/>
  <c r="S28" i="12775"/>
  <c r="F74" i="12775" s="1"/>
  <c r="Q31" i="12775"/>
  <c r="D77" i="12775" s="1"/>
  <c r="Q25" i="12775"/>
  <c r="D71" i="12775" s="1"/>
  <c r="U26" i="12775"/>
  <c r="H72" i="12775" s="1"/>
  <c r="Y27" i="12775"/>
  <c r="L73" i="12775" s="1"/>
  <c r="R30" i="12775"/>
  <c r="E76" i="12775" s="1"/>
  <c r="S25" i="12775"/>
  <c r="F71" i="12775" s="1"/>
  <c r="W27" i="12775"/>
  <c r="J73" i="12775" s="1"/>
  <c r="AA31" i="12775"/>
  <c r="N77" i="12775" s="1"/>
  <c r="U30" i="12775"/>
  <c r="H76" i="12775" s="1"/>
  <c r="AB28" i="12775"/>
  <c r="O74" i="12775" s="1"/>
  <c r="T28" i="12775"/>
  <c r="G74" i="12775" s="1"/>
  <c r="X27" i="12775"/>
  <c r="K73" i="12775" s="1"/>
  <c r="AB26" i="12775"/>
  <c r="O72" i="12775" s="1"/>
  <c r="T26" i="12775"/>
  <c r="G72" i="12775" s="1"/>
  <c r="X25" i="12775"/>
  <c r="K71" i="12775" s="1"/>
  <c r="AB24" i="12775"/>
  <c r="O70" i="12775" s="1"/>
  <c r="T24" i="12775"/>
  <c r="G70" i="12775" s="1"/>
  <c r="AB31" i="12775"/>
  <c r="O77" i="12775" s="1"/>
  <c r="T31" i="12775"/>
  <c r="G77" i="12775" s="1"/>
  <c r="S26" i="12775"/>
  <c r="F72" i="12775" s="1"/>
  <c r="W28" i="12775"/>
  <c r="J74" i="12775" s="1"/>
  <c r="Q24" i="12775"/>
  <c r="D70" i="12775" s="1"/>
  <c r="U25" i="12775"/>
  <c r="H71" i="12775" s="1"/>
  <c r="Y26" i="12775"/>
  <c r="L72" i="12775" s="1"/>
  <c r="Q28" i="12775"/>
  <c r="D74" i="12775" s="1"/>
  <c r="V30" i="12775"/>
  <c r="I76" i="12775" s="1"/>
  <c r="AA25" i="12775"/>
  <c r="N71" i="12775" s="1"/>
  <c r="T30" i="12775"/>
  <c r="G76" i="12775" s="1"/>
  <c r="R31" i="12775"/>
  <c r="E77" i="12775" s="1"/>
  <c r="U31" i="12775"/>
  <c r="H77" i="12775" s="1"/>
  <c r="AA30" i="12775"/>
  <c r="N76" i="12775" s="1"/>
  <c r="S30" i="12775"/>
  <c r="F76" i="12775" s="1"/>
  <c r="Z28" i="12775"/>
  <c r="M74" i="12775" s="1"/>
  <c r="R28" i="12775"/>
  <c r="E74" i="12775" s="1"/>
  <c r="V27" i="12775"/>
  <c r="I73" i="12775" s="1"/>
  <c r="Z26" i="12775"/>
  <c r="M72" i="12775" s="1"/>
  <c r="R26" i="12775"/>
  <c r="E72" i="12775" s="1"/>
  <c r="V25" i="12775"/>
  <c r="I71" i="12775" s="1"/>
  <c r="Z24" i="12775"/>
  <c r="M70" i="12775" s="1"/>
  <c r="R24" i="12775"/>
  <c r="E70" i="12775" s="1"/>
  <c r="Z31" i="12775"/>
  <c r="M77" i="12775" s="1"/>
  <c r="D176" i="12787"/>
  <c r="G171" i="12766"/>
  <c r="K481" i="12787"/>
  <c r="G504" i="12787"/>
  <c r="K615" i="12766"/>
  <c r="G76" i="12787"/>
  <c r="G25" i="12787" s="1"/>
  <c r="C483" i="12787"/>
  <c r="K373" i="12787"/>
  <c r="K171" i="12787" s="1"/>
  <c r="H86" i="12787"/>
  <c r="K23" i="12766"/>
  <c r="K168" i="12787"/>
  <c r="C483" i="12766"/>
  <c r="C587" i="12766"/>
  <c r="G480" i="12787"/>
  <c r="K87" i="12787"/>
  <c r="G155" i="12787"/>
  <c r="G501" i="12787"/>
  <c r="G503" i="12787"/>
  <c r="H267" i="12787"/>
  <c r="K495" i="12766"/>
  <c r="G165" i="12787"/>
  <c r="G945" i="12787"/>
  <c r="K672" i="12766"/>
  <c r="H809" i="12766"/>
  <c r="K42" i="12766"/>
  <c r="H488" i="12766"/>
  <c r="K166" i="12787"/>
  <c r="K167" i="12787"/>
  <c r="K287" i="12787"/>
  <c r="G500" i="12787"/>
  <c r="T86" i="12766"/>
  <c r="M755" i="12766"/>
  <c r="K375" i="12787"/>
  <c r="K173" i="12787" s="1"/>
  <c r="K896" i="12787"/>
  <c r="K811" i="12787"/>
  <c r="K783" i="12787" s="1"/>
  <c r="H84" i="12787"/>
  <c r="K141" i="12787"/>
  <c r="H481" i="12787"/>
  <c r="G21" i="12766"/>
  <c r="K805" i="12787"/>
  <c r="K777" i="12787" s="1"/>
  <c r="G488" i="12766"/>
  <c r="K374" i="12766"/>
  <c r="G169" i="12766"/>
  <c r="K421" i="12787"/>
  <c r="I430" i="12787"/>
  <c r="K430" i="12787" s="1"/>
  <c r="L374" i="12843"/>
  <c r="D603" i="12787"/>
  <c r="M603" i="12787" s="1"/>
  <c r="H654" i="12787"/>
  <c r="H603" i="12787" s="1"/>
  <c r="K430" i="12766"/>
  <c r="H397" i="12766"/>
  <c r="H368" i="12766" s="1"/>
  <c r="K397" i="12766"/>
  <c r="K88" i="12787"/>
  <c r="K158" i="12787"/>
  <c r="K401" i="12766"/>
  <c r="K372" i="12766" s="1"/>
  <c r="H426" i="12766"/>
  <c r="K426" i="12766"/>
  <c r="H622" i="12766"/>
  <c r="M754" i="12787"/>
  <c r="K754" i="12787"/>
  <c r="X34" i="12774"/>
  <c r="K80" i="12774" s="1"/>
  <c r="K82" i="12774" s="1"/>
  <c r="S35" i="12774"/>
  <c r="F81" i="12774" s="1"/>
  <c r="F82" i="12774" s="1"/>
  <c r="AA35" i="12774"/>
  <c r="N81" i="12774" s="1"/>
  <c r="N82" i="12774" s="1"/>
  <c r="W34" i="12774"/>
  <c r="J80" i="12774" s="1"/>
  <c r="J82" i="12774" s="1"/>
  <c r="T35" i="12774"/>
  <c r="G81" i="12774" s="1"/>
  <c r="G82" i="12774" s="1"/>
  <c r="AB35" i="12774"/>
  <c r="O81" i="12774" s="1"/>
  <c r="O82" i="12774" s="1"/>
  <c r="R34" i="12774"/>
  <c r="E80" i="12774" s="1"/>
  <c r="E82" i="12774" s="1"/>
  <c r="Z34" i="12774"/>
  <c r="M80" i="12774" s="1"/>
  <c r="M82" i="12774" s="1"/>
  <c r="U35" i="12774"/>
  <c r="H81" i="12774" s="1"/>
  <c r="H82" i="12774" s="1"/>
  <c r="Q34" i="12774"/>
  <c r="D80" i="12774" s="1"/>
  <c r="Y34" i="12774"/>
  <c r="L80" i="12774" s="1"/>
  <c r="L82" i="12774" s="1"/>
  <c r="V35" i="12774"/>
  <c r="I81" i="12774" s="1"/>
  <c r="I82" i="12774" s="1"/>
  <c r="H854" i="12766"/>
  <c r="K854" i="12766"/>
  <c r="Q17" i="12775"/>
  <c r="D63" i="12775" s="1"/>
  <c r="V20" i="12775"/>
  <c r="I66" i="12775" s="1"/>
  <c r="U14" i="12775"/>
  <c r="H60" i="12775" s="1"/>
  <c r="R15" i="12775"/>
  <c r="Z15" i="12775"/>
  <c r="M61" i="12775" s="1"/>
  <c r="U16" i="12775"/>
  <c r="H62" i="12775" s="1"/>
  <c r="Q18" i="12775"/>
  <c r="D64" i="12775" s="1"/>
  <c r="Y18" i="12775"/>
  <c r="L64" i="12775" s="1"/>
  <c r="V19" i="12775"/>
  <c r="I65" i="12775" s="1"/>
  <c r="P65" i="12775" s="1"/>
  <c r="Q21" i="12775"/>
  <c r="D67" i="12775" s="1"/>
  <c r="Y21" i="12775"/>
  <c r="L67" i="12775" s="1"/>
  <c r="AB20" i="12775"/>
  <c r="O66" i="12775" s="1"/>
  <c r="X14" i="12775"/>
  <c r="K60" i="12775" s="1"/>
  <c r="S15" i="12775"/>
  <c r="F61" i="12775" s="1"/>
  <c r="AA15" i="12775"/>
  <c r="N61" i="12775" s="1"/>
  <c r="X16" i="12775"/>
  <c r="K62" i="12775" s="1"/>
  <c r="T18" i="12775"/>
  <c r="G64" i="12775" s="1"/>
  <c r="AB18" i="12775"/>
  <c r="O64" i="12775" s="1"/>
  <c r="W19" i="12775"/>
  <c r="J65" i="12775" s="1"/>
  <c r="T21" i="12775"/>
  <c r="G67" i="12775" s="1"/>
  <c r="AB21" i="12775"/>
  <c r="O67" i="12775" s="1"/>
  <c r="AA20" i="12775"/>
  <c r="N66" i="12775" s="1"/>
  <c r="S20" i="12775"/>
  <c r="F66" i="12775" s="1"/>
  <c r="Q14" i="12775"/>
  <c r="D60" i="12775" s="1"/>
  <c r="Y14" i="12775"/>
  <c r="L60" i="12775" s="1"/>
  <c r="L68" i="12775" s="1"/>
  <c r="V15" i="12775"/>
  <c r="I61" i="12775" s="1"/>
  <c r="Q16" i="12775"/>
  <c r="Y16" i="12775"/>
  <c r="L62" i="12775" s="1"/>
  <c r="U18" i="12775"/>
  <c r="H64" i="12775" s="1"/>
  <c r="H68" i="12775" s="1"/>
  <c r="Z19" i="12775"/>
  <c r="M65" i="12775" s="1"/>
  <c r="Z20" i="12775"/>
  <c r="M66" i="12775" s="1"/>
  <c r="W14" i="12775"/>
  <c r="J60" i="12775" s="1"/>
  <c r="T15" i="12775"/>
  <c r="G61" i="12775" s="1"/>
  <c r="G68" i="12775" s="1"/>
  <c r="AB15" i="12775"/>
  <c r="O61" i="12775" s="1"/>
  <c r="W16" i="12775"/>
  <c r="J62" i="12775" s="1"/>
  <c r="S18" i="12775"/>
  <c r="F64" i="12775" s="1"/>
  <c r="AA18" i="12775"/>
  <c r="N64" i="12775" s="1"/>
  <c r="N68" i="12775" s="1"/>
  <c r="X19" i="12775"/>
  <c r="K65" i="12775" s="1"/>
  <c r="S21" i="12775"/>
  <c r="F67" i="12775" s="1"/>
  <c r="AA21" i="12775"/>
  <c r="N67" i="12775" s="1"/>
  <c r="R14" i="12775"/>
  <c r="E60" i="12775" s="1"/>
  <c r="Z14" i="12775"/>
  <c r="M60" i="12775" s="1"/>
  <c r="U15" i="12775"/>
  <c r="H61" i="12775" s="1"/>
  <c r="R16" i="12775"/>
  <c r="E62" i="12775" s="1"/>
  <c r="Z16" i="12775"/>
  <c r="M62" i="12775" s="1"/>
  <c r="V18" i="12775"/>
  <c r="I64" i="12775" s="1"/>
  <c r="Q19" i="12775"/>
  <c r="D65" i="12775" s="1"/>
  <c r="Y19" i="12775"/>
  <c r="L65" i="12775" s="1"/>
  <c r="V21" i="12775"/>
  <c r="I67" i="12775" s="1"/>
  <c r="Y20" i="12775"/>
  <c r="L66" i="12775" s="1"/>
  <c r="R19" i="12775"/>
  <c r="E65" i="12775" s="1"/>
  <c r="O16" i="12766"/>
  <c r="M16" i="12766"/>
  <c r="K971" i="12787"/>
  <c r="D593" i="12787"/>
  <c r="M593" i="12787" s="1"/>
  <c r="H695" i="12787"/>
  <c r="H593" i="12787" s="1"/>
  <c r="H213" i="12766"/>
  <c r="K213" i="12766"/>
  <c r="G809" i="12766"/>
  <c r="K392" i="12787"/>
  <c r="K363" i="12787" s="1"/>
  <c r="I401" i="12787"/>
  <c r="K401" i="12787" s="1"/>
  <c r="K372" i="12787" s="1"/>
  <c r="H414" i="12766"/>
  <c r="H356" i="12766" s="1"/>
  <c r="H150" i="12766" s="1"/>
  <c r="D356" i="12766"/>
  <c r="D150" i="12766" s="1"/>
  <c r="M150" i="12766" s="1"/>
  <c r="D416" i="12766"/>
  <c r="D358" i="12766" s="1"/>
  <c r="K414" i="12766"/>
  <c r="K356" i="12766" s="1"/>
  <c r="K150" i="12766" s="1"/>
  <c r="I570" i="12787"/>
  <c r="K559" i="12787"/>
  <c r="H59" i="12787"/>
  <c r="H61" i="12787" s="1"/>
  <c r="H22" i="12787"/>
  <c r="H658" i="12787"/>
  <c r="G482" i="12787"/>
  <c r="G42" i="12787"/>
  <c r="K164" i="12787"/>
  <c r="K673" i="12766"/>
  <c r="G1001" i="12766"/>
  <c r="G1003" i="12766" s="1"/>
  <c r="H559" i="12766"/>
  <c r="K559" i="12766"/>
  <c r="H345" i="12787"/>
  <c r="K76" i="12766"/>
  <c r="K78" i="12766" s="1"/>
  <c r="N110" i="12763"/>
  <c r="I723" i="12787"/>
  <c r="K723" i="12787" s="1"/>
  <c r="K621" i="12787" s="1"/>
  <c r="D968" i="12787"/>
  <c r="D969" i="12787"/>
  <c r="C945" i="12787"/>
  <c r="H427" i="12766"/>
  <c r="H369" i="12766" s="1"/>
  <c r="K427" i="12766"/>
  <c r="G888" i="12787"/>
  <c r="H888" i="12787"/>
  <c r="G166" i="12787"/>
  <c r="K312" i="12766"/>
  <c r="G481" i="12787"/>
  <c r="G499" i="12787"/>
  <c r="H615" i="12766"/>
  <c r="K384" i="12787"/>
  <c r="K355" i="12787" s="1"/>
  <c r="K149" i="12787" s="1"/>
  <c r="I395" i="12787"/>
  <c r="K395" i="12787" s="1"/>
  <c r="K366" i="12787" s="1"/>
  <c r="Z8" i="12775"/>
  <c r="M54" i="12775" s="1"/>
  <c r="U7" i="12775"/>
  <c r="H53" i="12775" s="1"/>
  <c r="T6" i="12775"/>
  <c r="G52" i="12775" s="1"/>
  <c r="AB8" i="12775"/>
  <c r="O54" i="12775" s="1"/>
  <c r="W7" i="12775"/>
  <c r="J53" i="12775" s="1"/>
  <c r="R6" i="12775"/>
  <c r="E52" i="12775" s="1"/>
  <c r="V9" i="12775"/>
  <c r="I55" i="12775" s="1"/>
  <c r="Y8" i="12775"/>
  <c r="L54" i="12775" s="1"/>
  <c r="Q8" i="12775"/>
  <c r="D54" i="12775" s="1"/>
  <c r="V7" i="12775"/>
  <c r="I53" i="12775" s="1"/>
  <c r="Y6" i="12775"/>
  <c r="L52" i="12775" s="1"/>
  <c r="S10" i="12775"/>
  <c r="F56" i="12775" s="1"/>
  <c r="AA10" i="12775"/>
  <c r="N56" i="12775" s="1"/>
  <c r="Q31" i="12774"/>
  <c r="D77" i="12774" s="1"/>
  <c r="Z31" i="12774"/>
  <c r="M77" i="12774" s="1"/>
  <c r="U28" i="12774"/>
  <c r="H74" i="12774" s="1"/>
  <c r="Q26" i="12774"/>
  <c r="D72" i="12774" s="1"/>
  <c r="Y24" i="12774"/>
  <c r="L70" i="12774" s="1"/>
  <c r="U27" i="12774"/>
  <c r="H73" i="12774" s="1"/>
  <c r="X26" i="12774"/>
  <c r="K72" i="12774" s="1"/>
  <c r="S25" i="12774"/>
  <c r="F71" i="12774" s="1"/>
  <c r="AB27" i="12774"/>
  <c r="O73" i="12774" s="1"/>
  <c r="S29" i="12774"/>
  <c r="F75" i="12774" s="1"/>
  <c r="D390" i="12787"/>
  <c r="H390" i="12787" s="1"/>
  <c r="H361" i="12787" s="1"/>
  <c r="G585" i="12787"/>
  <c r="H659" i="12787"/>
  <c r="H608" i="12787" s="1"/>
  <c r="E720" i="12787"/>
  <c r="G168" i="12787"/>
  <c r="W41" i="12775"/>
  <c r="J87" i="12775" s="1"/>
  <c r="S38" i="12775"/>
  <c r="S43" i="12775" s="1"/>
  <c r="AA38" i="12775"/>
  <c r="D622" i="12787"/>
  <c r="M622" i="12787" s="1"/>
  <c r="G172" i="12766"/>
  <c r="K565" i="12766"/>
  <c r="K497" i="12766" s="1"/>
  <c r="K723" i="12766"/>
  <c r="H804" i="12766"/>
  <c r="H776" i="12766" s="1"/>
  <c r="K909" i="12766"/>
  <c r="K911" i="12766" s="1"/>
  <c r="P912" i="12766" s="1"/>
  <c r="C376" i="12766"/>
  <c r="C378" i="12766" s="1"/>
  <c r="H371" i="12766"/>
  <c r="D431" i="12766"/>
  <c r="H431" i="12766" s="1"/>
  <c r="D418" i="12766"/>
  <c r="K418" i="12766" s="1"/>
  <c r="D428" i="12766"/>
  <c r="K428" i="12766" s="1"/>
  <c r="AB42" i="12775"/>
  <c r="O88" i="12775" s="1"/>
  <c r="T42" i="12775"/>
  <c r="G88" i="12775" s="1"/>
  <c r="X40" i="12775"/>
  <c r="K86" i="12775" s="1"/>
  <c r="AA39" i="12775"/>
  <c r="N85" i="12775" s="1"/>
  <c r="S39" i="12775"/>
  <c r="F85" i="12775" s="1"/>
  <c r="T38" i="12775"/>
  <c r="G84" i="12775" s="1"/>
  <c r="AA42" i="12775"/>
  <c r="N88" i="12775" s="1"/>
  <c r="S42" i="12775"/>
  <c r="F88" i="12775" s="1"/>
  <c r="W40" i="12775"/>
  <c r="J86" i="12775" s="1"/>
  <c r="AB39" i="12775"/>
  <c r="O85" i="12775" s="1"/>
  <c r="T39" i="12775"/>
  <c r="G85" i="12775" s="1"/>
  <c r="R38" i="12775"/>
  <c r="AC38" i="12775" s="1"/>
  <c r="H121" i="12811" s="1"/>
  <c r="C1157" i="12843" s="1"/>
  <c r="C1158" i="12843" s="1"/>
  <c r="G20" i="12787"/>
  <c r="H115" i="12787"/>
  <c r="H117" i="12787" s="1"/>
  <c r="G115" i="12787"/>
  <c r="G287" i="12787"/>
  <c r="G484" i="12787"/>
  <c r="G59" i="12766"/>
  <c r="G61" i="12766" s="1"/>
  <c r="T10" i="12775"/>
  <c r="G56" i="12775" s="1"/>
  <c r="Q10" i="12775"/>
  <c r="D56" i="12775" s="1"/>
  <c r="P56" i="12775" s="1"/>
  <c r="D401" i="12787"/>
  <c r="H401" i="12787" s="1"/>
  <c r="H372" i="12787" s="1"/>
  <c r="D402" i="12787"/>
  <c r="H402" i="12787" s="1"/>
  <c r="D389" i="12787"/>
  <c r="D360" i="12787" s="1"/>
  <c r="K858" i="12766"/>
  <c r="K802" i="12766" s="1"/>
  <c r="K482" i="12787"/>
  <c r="G586" i="12787"/>
  <c r="K810" i="12787"/>
  <c r="K782" i="12787" s="1"/>
  <c r="M750" i="12787"/>
  <c r="J672" i="12843"/>
  <c r="L672" i="12843" s="1"/>
  <c r="J710" i="12843"/>
  <c r="L710" i="12843" s="1"/>
  <c r="K695" i="12787"/>
  <c r="K593" i="12787" s="1"/>
  <c r="I714" i="12787"/>
  <c r="K714" i="12787" s="1"/>
  <c r="K612" i="12787" s="1"/>
  <c r="E865" i="12787"/>
  <c r="G865" i="12787" s="1"/>
  <c r="G857" i="12787"/>
  <c r="L236" i="12843"/>
  <c r="L480" i="12843"/>
  <c r="K570" i="12787"/>
  <c r="K502" i="12787" s="1"/>
  <c r="G154" i="12766"/>
  <c r="K425" i="12766"/>
  <c r="AA9" i="12775"/>
  <c r="N55" i="12775" s="1"/>
  <c r="V8" i="12775"/>
  <c r="I54" i="12775" s="1"/>
  <c r="Q7" i="12775"/>
  <c r="D53" i="12775" s="1"/>
  <c r="Y9" i="12775"/>
  <c r="L55" i="12775" s="1"/>
  <c r="X8" i="12775"/>
  <c r="K54" i="12775" s="1"/>
  <c r="S7" i="12775"/>
  <c r="F53" i="12775" s="1"/>
  <c r="AB9" i="12775"/>
  <c r="O55" i="12775" s="1"/>
  <c r="T9" i="12775"/>
  <c r="G55" i="12775" s="1"/>
  <c r="W8" i="12775"/>
  <c r="J54" i="12775" s="1"/>
  <c r="AB7" i="12775"/>
  <c r="O53" i="12775" s="1"/>
  <c r="T7" i="12775"/>
  <c r="G53" i="12775" s="1"/>
  <c r="W6" i="12775"/>
  <c r="J52" i="12775" s="1"/>
  <c r="U10" i="12775"/>
  <c r="H56" i="12775" s="1"/>
  <c r="Z28" i="12774"/>
  <c r="M74" i="12774" s="1"/>
  <c r="V31" i="12774"/>
  <c r="I77" i="12774" s="1"/>
  <c r="Q28" i="12774"/>
  <c r="D74" i="12774" s="1"/>
  <c r="Z25" i="12774"/>
  <c r="M71" i="12774" s="1"/>
  <c r="U24" i="12774"/>
  <c r="H70" i="12774" s="1"/>
  <c r="Q27" i="12774"/>
  <c r="D73" i="12774" s="1"/>
  <c r="T26" i="12774"/>
  <c r="G72" i="12774" s="1"/>
  <c r="AB24" i="12774"/>
  <c r="O70" i="12774" s="1"/>
  <c r="X27" i="12774"/>
  <c r="K73" i="12774" s="1"/>
  <c r="Z29" i="12774"/>
  <c r="M75" i="12774" s="1"/>
  <c r="D386" i="12787"/>
  <c r="D357" i="12787" s="1"/>
  <c r="D151" i="12787" s="1"/>
  <c r="M151" i="12787" s="1"/>
  <c r="K201" i="12787"/>
  <c r="G485" i="12787"/>
  <c r="K504" i="12787"/>
  <c r="H726" i="12787"/>
  <c r="H624" i="12787" s="1"/>
  <c r="E747" i="12787"/>
  <c r="H747" i="12787" s="1"/>
  <c r="K608" i="12787"/>
  <c r="K162" i="12787"/>
  <c r="Y41" i="12775"/>
  <c r="L87" i="12775" s="1"/>
  <c r="U38" i="12775"/>
  <c r="H84" i="12775" s="1"/>
  <c r="H89" i="12775" s="1"/>
  <c r="C502" i="12787"/>
  <c r="G76" i="12766"/>
  <c r="G78" i="12766" s="1"/>
  <c r="H425" i="12766"/>
  <c r="H367" i="12766" s="1"/>
  <c r="H607" i="12766"/>
  <c r="K776" i="12766"/>
  <c r="G909" i="12766"/>
  <c r="G911" i="12766" s="1"/>
  <c r="K812" i="12766"/>
  <c r="K610" i="12766"/>
  <c r="D421" i="12766"/>
  <c r="D433" i="12766"/>
  <c r="M909" i="12766"/>
  <c r="Z42" i="12775"/>
  <c r="M88" i="12775" s="1"/>
  <c r="R42" i="12775"/>
  <c r="E88" i="12775" s="1"/>
  <c r="V40" i="12775"/>
  <c r="I86" i="12775" s="1"/>
  <c r="Y39" i="12775"/>
  <c r="L85" i="12775" s="1"/>
  <c r="Q39" i="12775"/>
  <c r="D85" i="12775" s="1"/>
  <c r="Z41" i="12775"/>
  <c r="M87" i="12775" s="1"/>
  <c r="Y42" i="12775"/>
  <c r="L88" i="12775" s="1"/>
  <c r="Q42" i="12775"/>
  <c r="U40" i="12775"/>
  <c r="H86" i="12775" s="1"/>
  <c r="Z39" i="12775"/>
  <c r="M85" i="12775" s="1"/>
  <c r="R39" i="12775"/>
  <c r="E85" i="12775" s="1"/>
  <c r="G153" i="12787"/>
  <c r="H715" i="12787"/>
  <c r="H736" i="12787"/>
  <c r="H893" i="12787"/>
  <c r="Z10" i="12775"/>
  <c r="M56" i="12775" s="1"/>
  <c r="D400" i="12787"/>
  <c r="H400" i="12787" s="1"/>
  <c r="D398" i="12787"/>
  <c r="H398" i="12787" s="1"/>
  <c r="H369" i="12787" s="1"/>
  <c r="C502" i="12766"/>
  <c r="G158" i="12766"/>
  <c r="H805" i="12766"/>
  <c r="P479" i="12767"/>
  <c r="N672" i="12843"/>
  <c r="P672" i="12843" s="1"/>
  <c r="N710" i="12843"/>
  <c r="P710" i="12843" s="1"/>
  <c r="K297" i="12787"/>
  <c r="I308" i="12787"/>
  <c r="K308" i="12787" s="1"/>
  <c r="L631" i="12843"/>
  <c r="K519" i="12766"/>
  <c r="G69" i="12763"/>
  <c r="J69" i="12763" s="1"/>
  <c r="L69" i="12763" s="1"/>
  <c r="J989" i="12843"/>
  <c r="L989" i="12843" s="1"/>
  <c r="L1084" i="12843" s="1"/>
  <c r="J896" i="12843"/>
  <c r="L896" i="12843" s="1"/>
  <c r="L951" i="12843"/>
  <c r="J971" i="12843"/>
  <c r="L971" i="12843" s="1"/>
  <c r="L1065" i="12843" s="1"/>
  <c r="V742" i="12767"/>
  <c r="V743" i="12843" s="1"/>
  <c r="J743" i="12843"/>
  <c r="T1166" i="12767"/>
  <c r="P1166" i="12767"/>
  <c r="J765" i="12767"/>
  <c r="J818" i="12767" s="1"/>
  <c r="L818" i="12767" s="1"/>
  <c r="J796" i="12767"/>
  <c r="L796" i="12767" s="1"/>
  <c r="J849" i="12767"/>
  <c r="L849" i="12767" s="1"/>
  <c r="T235" i="12767"/>
  <c r="T632" i="12767"/>
  <c r="T633" i="12843" s="1"/>
  <c r="T173" i="12767"/>
  <c r="X173" i="12767"/>
  <c r="T182" i="12767"/>
  <c r="P182" i="12767"/>
  <c r="T174" i="12767"/>
  <c r="X174" i="12767"/>
  <c r="T172" i="12767"/>
  <c r="X172" i="12767"/>
  <c r="X373" i="12767"/>
  <c r="X235" i="12767"/>
  <c r="X479" i="12767"/>
  <c r="T373" i="12767"/>
  <c r="P373" i="12767"/>
  <c r="R818" i="12767"/>
  <c r="T818" i="12767" s="1"/>
  <c r="R871" i="12767"/>
  <c r="T871" i="12767" s="1"/>
  <c r="T479" i="12767"/>
  <c r="F1197" i="12767"/>
  <c r="P1063" i="12767"/>
  <c r="P372" i="12767"/>
  <c r="P478" i="12767"/>
  <c r="P234" i="12767"/>
  <c r="F213" i="12767"/>
  <c r="F172" i="12767" s="1"/>
  <c r="P235" i="12767"/>
  <c r="C914" i="12767"/>
  <c r="C913" i="12767"/>
  <c r="F594" i="12767"/>
  <c r="F596" i="12767" s="1"/>
  <c r="L747" i="12767"/>
  <c r="P747" i="12767" s="1"/>
  <c r="P748" i="12843" s="1"/>
  <c r="L373" i="12767"/>
  <c r="L763" i="12767"/>
  <c r="F81" i="12767"/>
  <c r="G73" i="12763"/>
  <c r="K73" i="12763" s="1"/>
  <c r="J11" i="12763"/>
  <c r="L11" i="12763" s="1"/>
  <c r="K40" i="12763"/>
  <c r="I84" i="12811" s="1"/>
  <c r="I85" i="12811" s="1"/>
  <c r="K37" i="12763"/>
  <c r="I80" i="12811" s="1"/>
  <c r="F740" i="12767"/>
  <c r="C90" i="12763"/>
  <c r="F19" i="12767"/>
  <c r="E110" i="12763"/>
  <c r="E112" i="12763" s="1"/>
  <c r="F629" i="12767"/>
  <c r="F228" i="12767"/>
  <c r="F234" i="12767"/>
  <c r="N18" i="12764"/>
  <c r="F741" i="12767"/>
  <c r="U96" i="12764"/>
  <c r="I110" i="12763"/>
  <c r="I112" i="12763" s="1"/>
  <c r="G112" i="12764"/>
  <c r="K112" i="12764"/>
  <c r="S103" i="12812"/>
  <c r="F82" i="12812"/>
  <c r="S80" i="12812"/>
  <c r="S82" i="12812" s="1"/>
  <c r="F607" i="12767"/>
  <c r="H599" i="12787"/>
  <c r="H600" i="12787"/>
  <c r="K278" i="12766"/>
  <c r="K398" i="12766"/>
  <c r="K369" i="12766" s="1"/>
  <c r="F221" i="12767"/>
  <c r="F181" i="12767" s="1"/>
  <c r="D176" i="12766"/>
  <c r="H777" i="12766"/>
  <c r="F217" i="12767"/>
  <c r="F177" i="12767" s="1"/>
  <c r="G115" i="12766"/>
  <c r="K50" i="12766"/>
  <c r="K16" i="12766" s="1"/>
  <c r="G227" i="12766"/>
  <c r="G199" i="12766" s="1"/>
  <c r="G170" i="12766" s="1"/>
  <c r="K698" i="12787"/>
  <c r="K596" i="12787" s="1"/>
  <c r="I717" i="12787"/>
  <c r="K717" i="12787" s="1"/>
  <c r="K615" i="12787" s="1"/>
  <c r="H42" i="12766"/>
  <c r="O99" i="12761"/>
  <c r="I469" i="12787"/>
  <c r="K469" i="12787" s="1"/>
  <c r="K469" i="12766"/>
  <c r="G666" i="12787"/>
  <c r="H666" i="12787"/>
  <c r="H615" i="12787" s="1"/>
  <c r="H753" i="12787"/>
  <c r="G753" i="12787"/>
  <c r="F606" i="12767"/>
  <c r="N34" i="12764"/>
  <c r="F73" i="12812" s="1"/>
  <c r="S73" i="12812" s="1"/>
  <c r="N35" i="12764"/>
  <c r="F76" i="12812" s="1"/>
  <c r="S76" i="12812" s="1"/>
  <c r="J10" i="12763"/>
  <c r="L10" i="12763" s="1"/>
  <c r="L60" i="12767"/>
  <c r="L22" i="12767" s="1"/>
  <c r="P22" i="12767" s="1"/>
  <c r="P22" i="12843" s="1"/>
  <c r="F20" i="12767"/>
  <c r="F22" i="12767"/>
  <c r="F17" i="12767"/>
  <c r="F367" i="12767"/>
  <c r="F603" i="12767"/>
  <c r="I553" i="12767"/>
  <c r="P34" i="12764" s="1"/>
  <c r="F63" i="12767"/>
  <c r="F627" i="12767"/>
  <c r="F45" i="12767"/>
  <c r="F732" i="12767"/>
  <c r="F21" i="12767"/>
  <c r="G164" i="12787"/>
  <c r="K714" i="12766"/>
  <c r="K716" i="12766"/>
  <c r="G18" i="12766"/>
  <c r="G22" i="12766"/>
  <c r="G155" i="12766"/>
  <c r="C160" i="12766"/>
  <c r="K950" i="12766"/>
  <c r="K953" i="12766" s="1"/>
  <c r="K955" i="12766" s="1"/>
  <c r="G187" i="12787"/>
  <c r="G158" i="12787" s="1"/>
  <c r="G343" i="12787"/>
  <c r="G285" i="12787" s="1"/>
  <c r="G171" i="12787" s="1"/>
  <c r="H343" i="12787"/>
  <c r="G529" i="12787"/>
  <c r="G495" i="12787" s="1"/>
  <c r="H529" i="12787"/>
  <c r="H495" i="12787" s="1"/>
  <c r="H530" i="12787"/>
  <c r="G530" i="12787"/>
  <c r="I650" i="12787"/>
  <c r="K642" i="12787"/>
  <c r="K752" i="12787"/>
  <c r="M752" i="12787"/>
  <c r="G339" i="12787"/>
  <c r="H339" i="12787"/>
  <c r="F478" i="12767"/>
  <c r="L479" i="12767"/>
  <c r="M53" i="12828"/>
  <c r="M56" i="12828" s="1"/>
  <c r="F193" i="12767"/>
  <c r="I81" i="12767"/>
  <c r="P40" i="12764" s="1"/>
  <c r="I234" i="12767"/>
  <c r="F174" i="12767"/>
  <c r="F173" i="12767"/>
  <c r="L235" i="12767"/>
  <c r="L630" i="12767"/>
  <c r="M756" i="12766"/>
  <c r="K316" i="12766"/>
  <c r="K287" i="12766" s="1"/>
  <c r="K705" i="12766"/>
  <c r="K603" i="12766" s="1"/>
  <c r="K400" i="12766"/>
  <c r="K246" i="12787"/>
  <c r="H367" i="12787"/>
  <c r="G570" i="12787"/>
  <c r="G502" i="12787" s="1"/>
  <c r="P10" i="12764"/>
  <c r="R10" i="12764" s="1"/>
  <c r="L16" i="12812" s="1"/>
  <c r="M757" i="12766"/>
  <c r="F117" i="12811"/>
  <c r="D85" i="12787"/>
  <c r="H98" i="12787"/>
  <c r="H85" i="12787" s="1"/>
  <c r="G724" i="12787"/>
  <c r="G622" i="12787" s="1"/>
  <c r="H724" i="12787"/>
  <c r="H622" i="12787" s="1"/>
  <c r="H980" i="12787"/>
  <c r="H982" i="12787" s="1"/>
  <c r="H984" i="12787" s="1"/>
  <c r="K51" i="12766"/>
  <c r="G746" i="12766"/>
  <c r="H746" i="12766"/>
  <c r="H20" i="12787"/>
  <c r="P54" i="12764"/>
  <c r="P12" i="12764"/>
  <c r="R12" i="12764" s="1"/>
  <c r="L21" i="12812" s="1"/>
  <c r="P24" i="12764"/>
  <c r="P55" i="12764"/>
  <c r="R55" i="12764" s="1"/>
  <c r="L125" i="12812" s="1"/>
  <c r="P25" i="12764"/>
  <c r="R25" i="12764" s="1"/>
  <c r="L53" i="12812" s="1"/>
  <c r="F50" i="12811"/>
  <c r="E49" i="12811"/>
  <c r="E50" i="12811" s="1"/>
  <c r="F82" i="12811"/>
  <c r="F97" i="12811" s="1"/>
  <c r="E79" i="12811"/>
  <c r="D89" i="12787"/>
  <c r="D104" i="12787"/>
  <c r="G420" i="12787"/>
  <c r="G362" i="12787" s="1"/>
  <c r="E429" i="12787"/>
  <c r="E81" i="12811"/>
  <c r="F54" i="12811"/>
  <c r="E53" i="12811"/>
  <c r="E54" i="12811" s="1"/>
  <c r="G304" i="12787"/>
  <c r="K304" i="12787"/>
  <c r="K275" i="12787" s="1"/>
  <c r="K751" i="12787"/>
  <c r="M751" i="12787"/>
  <c r="M932" i="12787"/>
  <c r="M934" i="12787" s="1"/>
  <c r="H932" i="12787"/>
  <c r="H934" i="12787" s="1"/>
  <c r="H936" i="12787" s="1"/>
  <c r="C275" i="12766"/>
  <c r="C161" i="12766" s="1"/>
  <c r="G304" i="12766"/>
  <c r="G317" i="12766" s="1"/>
  <c r="G749" i="12766"/>
  <c r="H749" i="12766"/>
  <c r="L234" i="12767"/>
  <c r="I103" i="12811"/>
  <c r="I117" i="12811" s="1"/>
  <c r="I235" i="12767"/>
  <c r="AB16" i="12774"/>
  <c r="O62" i="12774" s="1"/>
  <c r="X16" i="12774"/>
  <c r="K62" i="12774" s="1"/>
  <c r="T16" i="12774"/>
  <c r="G62" i="12774" s="1"/>
  <c r="AA15" i="12774"/>
  <c r="N61" i="12774" s="1"/>
  <c r="W15" i="12774"/>
  <c r="J61" i="12774" s="1"/>
  <c r="S15" i="12774"/>
  <c r="F61" i="12774" s="1"/>
  <c r="AB14" i="12774"/>
  <c r="O60" i="12774" s="1"/>
  <c r="X14" i="12774"/>
  <c r="K60" i="12774" s="1"/>
  <c r="T14" i="12774"/>
  <c r="G60" i="12774" s="1"/>
  <c r="AB18" i="12774"/>
  <c r="O64" i="12774" s="1"/>
  <c r="X18" i="12774"/>
  <c r="K64" i="12774" s="1"/>
  <c r="T18" i="12774"/>
  <c r="G64" i="12774" s="1"/>
  <c r="AA16" i="12774"/>
  <c r="N62" i="12774" s="1"/>
  <c r="W16" i="12774"/>
  <c r="J62" i="12774" s="1"/>
  <c r="S16" i="12774"/>
  <c r="F62" i="12774" s="1"/>
  <c r="AB15" i="12774"/>
  <c r="O61" i="12774" s="1"/>
  <c r="X15" i="12774"/>
  <c r="K61" i="12774" s="1"/>
  <c r="T15" i="12774"/>
  <c r="G61" i="12774" s="1"/>
  <c r="AA14" i="12774"/>
  <c r="N60" i="12774" s="1"/>
  <c r="W14" i="12774"/>
  <c r="J60" i="12774" s="1"/>
  <c r="S14" i="12774"/>
  <c r="F60" i="12774" s="1"/>
  <c r="AA18" i="12774"/>
  <c r="N64" i="12774" s="1"/>
  <c r="W18" i="12774"/>
  <c r="J64" i="12774" s="1"/>
  <c r="S18" i="12774"/>
  <c r="F64" i="12774" s="1"/>
  <c r="AB19" i="12774"/>
  <c r="O65" i="12774" s="1"/>
  <c r="X19" i="12774"/>
  <c r="K65" i="12774" s="1"/>
  <c r="T19" i="12774"/>
  <c r="G65" i="12774" s="1"/>
  <c r="AB20" i="12774"/>
  <c r="O66" i="12774" s="1"/>
  <c r="X20" i="12774"/>
  <c r="K66" i="12774" s="1"/>
  <c r="T20" i="12774"/>
  <c r="G66" i="12774" s="1"/>
  <c r="AB21" i="12774"/>
  <c r="O67" i="12774" s="1"/>
  <c r="X21" i="12774"/>
  <c r="K67" i="12774" s="1"/>
  <c r="T21" i="12774"/>
  <c r="G67" i="12774" s="1"/>
  <c r="AA20" i="12774"/>
  <c r="N66" i="12774" s="1"/>
  <c r="W20" i="12774"/>
  <c r="J66" i="12774" s="1"/>
  <c r="S20" i="12774"/>
  <c r="F66" i="12774" s="1"/>
  <c r="AA21" i="12774"/>
  <c r="N67" i="12774" s="1"/>
  <c r="W21" i="12774"/>
  <c r="J67" i="12774" s="1"/>
  <c r="S21" i="12774"/>
  <c r="F67" i="12774" s="1"/>
  <c r="Z9" i="12774"/>
  <c r="M55" i="12774" s="1"/>
  <c r="V9" i="12774"/>
  <c r="I55" i="12774" s="1"/>
  <c r="R9" i="12774"/>
  <c r="E55" i="12774" s="1"/>
  <c r="Y8" i="12774"/>
  <c r="L54" i="12774" s="1"/>
  <c r="U8" i="12774"/>
  <c r="H54" i="12774" s="1"/>
  <c r="Q8" i="12774"/>
  <c r="D54" i="12774" s="1"/>
  <c r="Z7" i="12774"/>
  <c r="M53" i="12774" s="1"/>
  <c r="V7" i="12774"/>
  <c r="I53" i="12774" s="1"/>
  <c r="R7" i="12774"/>
  <c r="E53" i="12774" s="1"/>
  <c r="Y6" i="12774"/>
  <c r="L52" i="12774" s="1"/>
  <c r="U6" i="12774"/>
  <c r="H52" i="12774" s="1"/>
  <c r="Q6" i="12774"/>
  <c r="D52" i="12774" s="1"/>
  <c r="Y9" i="12774"/>
  <c r="L55" i="12774" s="1"/>
  <c r="U9" i="12774"/>
  <c r="H55" i="12774" s="1"/>
  <c r="Q9" i="12774"/>
  <c r="D55" i="12774" s="1"/>
  <c r="Z8" i="12774"/>
  <c r="M54" i="12774" s="1"/>
  <c r="V8" i="12774"/>
  <c r="I54" i="12774" s="1"/>
  <c r="R8" i="12774"/>
  <c r="E54" i="12774" s="1"/>
  <c r="Y7" i="12774"/>
  <c r="L53" i="12774" s="1"/>
  <c r="U7" i="12774"/>
  <c r="H53" i="12774" s="1"/>
  <c r="Q7" i="12774"/>
  <c r="D53" i="12774" s="1"/>
  <c r="Z6" i="12774"/>
  <c r="M52" i="12774" s="1"/>
  <c r="V6" i="12774"/>
  <c r="I52" i="12774" s="1"/>
  <c r="R6" i="12774"/>
  <c r="E52" i="12774" s="1"/>
  <c r="Y10" i="12774"/>
  <c r="L56" i="12774" s="1"/>
  <c r="U10" i="12774"/>
  <c r="H56" i="12774" s="1"/>
  <c r="Q10" i="12774"/>
  <c r="D56" i="12774" s="1"/>
  <c r="Z10" i="12774"/>
  <c r="M56" i="12774" s="1"/>
  <c r="V10" i="12774"/>
  <c r="I56" i="12774" s="1"/>
  <c r="AA31" i="12774"/>
  <c r="N77" i="12774" s="1"/>
  <c r="W31" i="12774"/>
  <c r="J77" i="12774" s="1"/>
  <c r="S31" i="12774"/>
  <c r="F77" i="12774" s="1"/>
  <c r="AB28" i="12774"/>
  <c r="O74" i="12774" s="1"/>
  <c r="X28" i="12774"/>
  <c r="K74" i="12774" s="1"/>
  <c r="T28" i="12774"/>
  <c r="G74" i="12774" s="1"/>
  <c r="AB31" i="12774"/>
  <c r="O77" i="12774" s="1"/>
  <c r="X31" i="12774"/>
  <c r="K77" i="12774" s="1"/>
  <c r="T31" i="12774"/>
  <c r="G77" i="12774" s="1"/>
  <c r="AA28" i="12774"/>
  <c r="N74" i="12774" s="1"/>
  <c r="W28" i="12774"/>
  <c r="J74" i="12774" s="1"/>
  <c r="S28" i="12774"/>
  <c r="F74" i="12774" s="1"/>
  <c r="AA26" i="12774"/>
  <c r="N72" i="12774" s="1"/>
  <c r="W26" i="12774"/>
  <c r="J72" i="12774" s="1"/>
  <c r="S26" i="12774"/>
  <c r="F72" i="12774" s="1"/>
  <c r="AB25" i="12774"/>
  <c r="O71" i="12774" s="1"/>
  <c r="X25" i="12774"/>
  <c r="K71" i="12774" s="1"/>
  <c r="T25" i="12774"/>
  <c r="G71" i="12774" s="1"/>
  <c r="AA24" i="12774"/>
  <c r="N70" i="12774" s="1"/>
  <c r="W24" i="12774"/>
  <c r="J70" i="12774" s="1"/>
  <c r="S24" i="12774"/>
  <c r="F70" i="12774" s="1"/>
  <c r="AA27" i="12774"/>
  <c r="N73" i="12774" s="1"/>
  <c r="W27" i="12774"/>
  <c r="J73" i="12774" s="1"/>
  <c r="S27" i="12774"/>
  <c r="F73" i="12774" s="1"/>
  <c r="Y29" i="12774"/>
  <c r="L75" i="12774" s="1"/>
  <c r="Q29" i="12774"/>
  <c r="D75" i="12774" s="1"/>
  <c r="Z26" i="12774"/>
  <c r="M72" i="12774" s="1"/>
  <c r="V26" i="12774"/>
  <c r="I72" i="12774" s="1"/>
  <c r="R26" i="12774"/>
  <c r="E72" i="12774" s="1"/>
  <c r="Y25" i="12774"/>
  <c r="L71" i="12774" s="1"/>
  <c r="U25" i="12774"/>
  <c r="H71" i="12774" s="1"/>
  <c r="Q25" i="12774"/>
  <c r="D71" i="12774" s="1"/>
  <c r="Z24" i="12774"/>
  <c r="M70" i="12774" s="1"/>
  <c r="V24" i="12774"/>
  <c r="I70" i="12774" s="1"/>
  <c r="R24" i="12774"/>
  <c r="Z27" i="12774"/>
  <c r="M73" i="12774" s="1"/>
  <c r="V27" i="12774"/>
  <c r="I73" i="12774" s="1"/>
  <c r="R27" i="12774"/>
  <c r="E73" i="12774" s="1"/>
  <c r="W29" i="12774"/>
  <c r="J75" i="12774" s="1"/>
  <c r="AB29" i="12774"/>
  <c r="O75" i="12774" s="1"/>
  <c r="X29" i="12774"/>
  <c r="K75" i="12774" s="1"/>
  <c r="C175" i="12767"/>
  <c r="N93" i="12764"/>
  <c r="N97" i="12764"/>
  <c r="Y11" i="12775"/>
  <c r="L57" i="12775" s="1"/>
  <c r="U11" i="12775"/>
  <c r="H57" i="12775" s="1"/>
  <c r="Q11" i="12775"/>
  <c r="D57" i="12775" s="1"/>
  <c r="Z11" i="12775"/>
  <c r="M57" i="12775" s="1"/>
  <c r="V11" i="12775"/>
  <c r="I57" i="12775" s="1"/>
  <c r="R11" i="12775"/>
  <c r="E57" i="12775" s="1"/>
  <c r="AA11" i="12775"/>
  <c r="N57" i="12775" s="1"/>
  <c r="W11" i="12775"/>
  <c r="J57" i="12775" s="1"/>
  <c r="S11" i="12775"/>
  <c r="F57" i="12775" s="1"/>
  <c r="AB11" i="12775"/>
  <c r="O57" i="12775" s="1"/>
  <c r="X11" i="12775"/>
  <c r="K57" i="12775" s="1"/>
  <c r="T11" i="12775"/>
  <c r="G57" i="12775" s="1"/>
  <c r="Y11" i="12774"/>
  <c r="L57" i="12774" s="1"/>
  <c r="U11" i="12774"/>
  <c r="H57" i="12774" s="1"/>
  <c r="Q11" i="12774"/>
  <c r="D57" i="12774" s="1"/>
  <c r="Z11" i="12774"/>
  <c r="M57" i="12774" s="1"/>
  <c r="V11" i="12774"/>
  <c r="I57" i="12774" s="1"/>
  <c r="R11" i="12774"/>
  <c r="E57" i="12774" s="1"/>
  <c r="AA11" i="12774"/>
  <c r="N57" i="12774" s="1"/>
  <c r="W11" i="12774"/>
  <c r="J57" i="12774" s="1"/>
  <c r="S11" i="12774"/>
  <c r="F57" i="12774" s="1"/>
  <c r="AB11" i="12774"/>
  <c r="O57" i="12774" s="1"/>
  <c r="X11" i="12774"/>
  <c r="K57" i="12774" s="1"/>
  <c r="T11" i="12774"/>
  <c r="G57" i="12774" s="1"/>
  <c r="I79" i="12764"/>
  <c r="M79" i="12764" s="1"/>
  <c r="O79" i="12764" s="1"/>
  <c r="I80" i="12764"/>
  <c r="C273" i="12767"/>
  <c r="I252" i="12767"/>
  <c r="F252" i="12767"/>
  <c r="I253" i="12767"/>
  <c r="F253" i="12767"/>
  <c r="K570" i="12766"/>
  <c r="K273" i="12766"/>
  <c r="C100" i="12763"/>
  <c r="K310" i="12766"/>
  <c r="K568" i="12766"/>
  <c r="C72" i="12763"/>
  <c r="C74" i="12763" s="1"/>
  <c r="K26" i="12763"/>
  <c r="J26" i="12763"/>
  <c r="L26" i="12763" s="1"/>
  <c r="C80" i="12763"/>
  <c r="C63" i="12764"/>
  <c r="K23" i="12787"/>
  <c r="F621" i="12767"/>
  <c r="F731" i="12767"/>
  <c r="L764" i="12767"/>
  <c r="P764" i="12767" s="1"/>
  <c r="AB17" i="12775"/>
  <c r="O63" i="12775" s="1"/>
  <c r="Z17" i="12775"/>
  <c r="M63" i="12775" s="1"/>
  <c r="M68" i="12775" s="1"/>
  <c r="X17" i="12775"/>
  <c r="K63" i="12775" s="1"/>
  <c r="V17" i="12775"/>
  <c r="I63" i="12775" s="1"/>
  <c r="T17" i="12775"/>
  <c r="G63" i="12775" s="1"/>
  <c r="N47" i="12764"/>
  <c r="J80" i="12763"/>
  <c r="L80" i="12763" s="1"/>
  <c r="E112" i="12764"/>
  <c r="N12" i="12764"/>
  <c r="F21" i="12812" s="1"/>
  <c r="S21" i="12812" s="1"/>
  <c r="I63" i="12764"/>
  <c r="M63" i="12764" s="1"/>
  <c r="O63" i="12764" s="1"/>
  <c r="C100" i="12764"/>
  <c r="C56" i="12764"/>
  <c r="I23" i="12764"/>
  <c r="C95" i="12764"/>
  <c r="C98" i="12764" s="1"/>
  <c r="R51" i="12764"/>
  <c r="L121" i="12812" s="1"/>
  <c r="Q51" i="12764"/>
  <c r="V51" i="12764"/>
  <c r="U51" i="12764"/>
  <c r="P102" i="12764"/>
  <c r="I1102" i="12767"/>
  <c r="C925" i="12767"/>
  <c r="T8" i="12764"/>
  <c r="T68" i="12764" s="1"/>
  <c r="R17" i="12775"/>
  <c r="E63" i="12775" s="1"/>
  <c r="AA17" i="12775"/>
  <c r="N63" i="12775" s="1"/>
  <c r="W17" i="12775"/>
  <c r="J63" i="12775" s="1"/>
  <c r="J68" i="12775" s="1"/>
  <c r="S17" i="12775"/>
  <c r="F63" i="12775" s="1"/>
  <c r="Y17" i="12775"/>
  <c r="L63" i="12775" s="1"/>
  <c r="U17" i="12775"/>
  <c r="H63" i="12775" s="1"/>
  <c r="W19" i="12774"/>
  <c r="J65" i="12774" s="1"/>
  <c r="U19" i="12774"/>
  <c r="H65" i="12774" s="1"/>
  <c r="Q17" i="12774"/>
  <c r="S17" i="12774"/>
  <c r="U17" i="12774"/>
  <c r="W17" i="12774"/>
  <c r="Y17" i="12774"/>
  <c r="AA17" i="12774"/>
  <c r="R63" i="12774"/>
  <c r="T63" i="12774"/>
  <c r="V63" i="12774"/>
  <c r="X63" i="12774"/>
  <c r="Z63" i="12774"/>
  <c r="AB63" i="12774"/>
  <c r="Q19" i="12774"/>
  <c r="D65" i="12774" s="1"/>
  <c r="Y19" i="12774"/>
  <c r="L65" i="12774" s="1"/>
  <c r="R17" i="12774"/>
  <c r="R22" i="12774" s="1"/>
  <c r="T17" i="12774"/>
  <c r="V17" i="12774"/>
  <c r="V22" i="12774" s="1"/>
  <c r="X17" i="12774"/>
  <c r="Z17" i="12774"/>
  <c r="Z22" i="12774" s="1"/>
  <c r="AB17" i="12774"/>
  <c r="S63" i="12774"/>
  <c r="U63" i="12774"/>
  <c r="W63" i="12774"/>
  <c r="Y63" i="12774"/>
  <c r="AA63" i="12774"/>
  <c r="Q96" i="12764"/>
  <c r="F1059" i="12767"/>
  <c r="F1055" i="12767"/>
  <c r="F924" i="12767" s="1"/>
  <c r="F905" i="12767" s="1"/>
  <c r="F1057" i="12767"/>
  <c r="F926" i="12767" s="1"/>
  <c r="F907" i="12767" s="1"/>
  <c r="I478" i="12767"/>
  <c r="F817" i="12767"/>
  <c r="F764" i="12767" s="1"/>
  <c r="I764" i="12767"/>
  <c r="F816" i="12767"/>
  <c r="F540" i="12767"/>
  <c r="F545" i="12767"/>
  <c r="F436" i="12767"/>
  <c r="F366" i="12767" s="1"/>
  <c r="F803" i="12767"/>
  <c r="F750" i="12767" s="1"/>
  <c r="F845" i="12767"/>
  <c r="F738" i="12767" s="1"/>
  <c r="I738" i="12767"/>
  <c r="F542" i="12767"/>
  <c r="F543" i="12767"/>
  <c r="F547" i="12767"/>
  <c r="F477" i="12767" s="1"/>
  <c r="I477" i="12767"/>
  <c r="F434" i="12767"/>
  <c r="F364" i="12767" s="1"/>
  <c r="F441" i="12767"/>
  <c r="F371" i="12767" s="1"/>
  <c r="F894" i="12767"/>
  <c r="F896" i="12767" s="1"/>
  <c r="F811" i="12767"/>
  <c r="F356" i="12767"/>
  <c r="J22" i="12763"/>
  <c r="L22" i="12763" s="1"/>
  <c r="M46" i="12764"/>
  <c r="O46" i="12764" s="1"/>
  <c r="I90" i="12764"/>
  <c r="C81" i="12764"/>
  <c r="C82" i="12764" s="1"/>
  <c r="C71" i="12764"/>
  <c r="N20" i="12764"/>
  <c r="F43" i="12812" s="1"/>
  <c r="S43" i="12812" s="1"/>
  <c r="M20" i="12764"/>
  <c r="O20" i="12764" s="1"/>
  <c r="M45" i="12764"/>
  <c r="O45" i="12764" s="1"/>
  <c r="I47" i="12764"/>
  <c r="I89" i="12764"/>
  <c r="V96" i="12764"/>
  <c r="N40" i="12764"/>
  <c r="F84" i="12812" s="1"/>
  <c r="S84" i="12812" s="1"/>
  <c r="M40" i="12764"/>
  <c r="O40" i="12764" s="1"/>
  <c r="N96" i="12764"/>
  <c r="X96" i="12764" s="1"/>
  <c r="M96" i="12764"/>
  <c r="O96" i="12764" s="1"/>
  <c r="I24" i="12764"/>
  <c r="C64" i="12764"/>
  <c r="I26" i="12764"/>
  <c r="C85" i="12764"/>
  <c r="C86" i="12764" s="1"/>
  <c r="J45" i="12763"/>
  <c r="L45" i="12763" s="1"/>
  <c r="G47" i="12763"/>
  <c r="K47" i="12763" s="1"/>
  <c r="G88" i="12763"/>
  <c r="C63" i="12763"/>
  <c r="G12" i="12763"/>
  <c r="C68" i="12763"/>
  <c r="G8" i="12763"/>
  <c r="I8" i="12764"/>
  <c r="C68" i="12764"/>
  <c r="I7" i="12764"/>
  <c r="C67" i="12764"/>
  <c r="J9" i="12763"/>
  <c r="L9" i="12763" s="1"/>
  <c r="G72" i="12763"/>
  <c r="K9" i="12763"/>
  <c r="I15" i="12811" s="1"/>
  <c r="K51" i="12763"/>
  <c r="I121" i="12811" s="1"/>
  <c r="J51" i="12763"/>
  <c r="L51" i="12763" s="1"/>
  <c r="G100" i="12763"/>
  <c r="N9" i="12764"/>
  <c r="F15" i="12812" s="1"/>
  <c r="S15" i="12812" s="1"/>
  <c r="M9" i="12764"/>
  <c r="O9" i="12764" s="1"/>
  <c r="I73" i="12764"/>
  <c r="G52" i="12763"/>
  <c r="C102" i="12763"/>
  <c r="I10" i="12764"/>
  <c r="C74" i="12764"/>
  <c r="C75" i="12764" s="1"/>
  <c r="G55" i="12763"/>
  <c r="C108" i="12763"/>
  <c r="C575" i="12787"/>
  <c r="C576" i="12787" s="1"/>
  <c r="C77" i="12787"/>
  <c r="C78" i="12787" s="1"/>
  <c r="P87" i="12775"/>
  <c r="K19" i="12763"/>
  <c r="I42" i="12811" s="1"/>
  <c r="J19" i="12763"/>
  <c r="L19" i="12763" s="1"/>
  <c r="N78" i="12764"/>
  <c r="M78" i="12764"/>
  <c r="O78" i="12764" s="1"/>
  <c r="N25" i="12764"/>
  <c r="F53" i="12812" s="1"/>
  <c r="S53" i="12812" s="1"/>
  <c r="M25" i="12764"/>
  <c r="O25" i="12764" s="1"/>
  <c r="I108" i="12764"/>
  <c r="F393" i="12767"/>
  <c r="C412" i="12767"/>
  <c r="C358" i="12767"/>
  <c r="I358" i="12767" s="1"/>
  <c r="F853" i="12767"/>
  <c r="F747" i="12767" s="1"/>
  <c r="I747" i="12767"/>
  <c r="F862" i="12767"/>
  <c r="F756" i="12767" s="1"/>
  <c r="I756" i="12767"/>
  <c r="I463" i="12767"/>
  <c r="I731" i="12767"/>
  <c r="I733" i="12767"/>
  <c r="G127" i="12787"/>
  <c r="H127" i="12787"/>
  <c r="H128" i="12787" s="1"/>
  <c r="H130" i="12787" s="1"/>
  <c r="K212" i="12787"/>
  <c r="I222" i="12787"/>
  <c r="K222" i="12787" s="1"/>
  <c r="C153" i="12787"/>
  <c r="C156" i="12787" s="1"/>
  <c r="C270" i="12787"/>
  <c r="I458" i="12787"/>
  <c r="K458" i="12787" s="1"/>
  <c r="K458" i="12766"/>
  <c r="I460" i="12787"/>
  <c r="K460" i="12787" s="1"/>
  <c r="K460" i="12766"/>
  <c r="I462" i="12787"/>
  <c r="K462" i="12787" s="1"/>
  <c r="K462" i="12766"/>
  <c r="G528" i="12787"/>
  <c r="G494" i="12787" s="1"/>
  <c r="H528" i="12787"/>
  <c r="H494" i="12787" s="1"/>
  <c r="G718" i="12787"/>
  <c r="G616" i="12787" s="1"/>
  <c r="H718" i="12787"/>
  <c r="H616" i="12787" s="1"/>
  <c r="G855" i="12787"/>
  <c r="E864" i="12787"/>
  <c r="G864" i="12787" s="1"/>
  <c r="G808" i="12787" s="1"/>
  <c r="G780" i="12787" s="1"/>
  <c r="G858" i="12787"/>
  <c r="E866" i="12787"/>
  <c r="G866" i="12787" s="1"/>
  <c r="H911" i="12787"/>
  <c r="P911" i="12787"/>
  <c r="G7" i="12763"/>
  <c r="C67" i="12763"/>
  <c r="C70" i="12763" s="1"/>
  <c r="G24" i="12763"/>
  <c r="C64" i="12763"/>
  <c r="C65" i="12763" s="1"/>
  <c r="G25" i="12763"/>
  <c r="C106" i="12763"/>
  <c r="D67" i="12774"/>
  <c r="K34" i="12763"/>
  <c r="I73" i="12811" s="1"/>
  <c r="J34" i="12763"/>
  <c r="L34" i="12763" s="1"/>
  <c r="G53" i="12763"/>
  <c r="C56" i="12763"/>
  <c r="C103" i="12763"/>
  <c r="N22" i="12764"/>
  <c r="M22" i="12764"/>
  <c r="O22" i="12764" s="1"/>
  <c r="I84" i="12764"/>
  <c r="M37" i="12764"/>
  <c r="O37" i="12764" s="1"/>
  <c r="N52" i="12764"/>
  <c r="F122" i="12812" s="1"/>
  <c r="S122" i="12812" s="1"/>
  <c r="I104" i="12764"/>
  <c r="M52" i="12764"/>
  <c r="O52" i="12764" s="1"/>
  <c r="I56" i="12764"/>
  <c r="N54" i="12764"/>
  <c r="F124" i="12812" s="1"/>
  <c r="S124" i="12812" s="1"/>
  <c r="M54" i="12764"/>
  <c r="O54" i="12764" s="1"/>
  <c r="I100" i="12764"/>
  <c r="C154" i="12766"/>
  <c r="C156" i="12766" s="1"/>
  <c r="C186" i="12766"/>
  <c r="C1020" i="12766" s="1"/>
  <c r="G39" i="12763"/>
  <c r="C95" i="12763"/>
  <c r="G32" i="12763"/>
  <c r="C41" i="12763"/>
  <c r="I1197" i="12767"/>
  <c r="K751" i="12766"/>
  <c r="M751" i="12766"/>
  <c r="B26" i="12783"/>
  <c r="B28" i="12783" s="1"/>
  <c r="K374" i="12787"/>
  <c r="K503" i="12787"/>
  <c r="G23" i="12766"/>
  <c r="K281" i="12766"/>
  <c r="K605" i="12766"/>
  <c r="K621" i="12766"/>
  <c r="K808" i="12766"/>
  <c r="H866" i="12766"/>
  <c r="K809" i="12766"/>
  <c r="H742" i="12787"/>
  <c r="H743" i="12787"/>
  <c r="K367" i="12766"/>
  <c r="R30" i="12774"/>
  <c r="T30" i="12774"/>
  <c r="G76" i="12774" s="1"/>
  <c r="V30" i="12774"/>
  <c r="I76" i="12774" s="1"/>
  <c r="X30" i="12774"/>
  <c r="K76" i="12774" s="1"/>
  <c r="Z30" i="12774"/>
  <c r="M76" i="12774" s="1"/>
  <c r="AB30" i="12774"/>
  <c r="O76" i="12774" s="1"/>
  <c r="S30" i="12774"/>
  <c r="F76" i="12774" s="1"/>
  <c r="W30" i="12774"/>
  <c r="J76" i="12774" s="1"/>
  <c r="AA30" i="12774"/>
  <c r="N76" i="12774" s="1"/>
  <c r="Q30" i="12774"/>
  <c r="D76" i="12774" s="1"/>
  <c r="U30" i="12774"/>
  <c r="H76" i="12774" s="1"/>
  <c r="Y30" i="12774"/>
  <c r="L76" i="12774" s="1"/>
  <c r="F507" i="12767"/>
  <c r="I472" i="12767"/>
  <c r="F428" i="12767"/>
  <c r="C447" i="12767"/>
  <c r="C362" i="12767" s="1"/>
  <c r="F844" i="12767"/>
  <c r="F737" i="12767" s="1"/>
  <c r="I737" i="12767"/>
  <c r="F855" i="12767"/>
  <c r="F749" i="12767" s="1"/>
  <c r="I749" i="12767"/>
  <c r="F1206" i="12767"/>
  <c r="G18" i="12763"/>
  <c r="C76" i="12763"/>
  <c r="F510" i="12767"/>
  <c r="I475" i="12767"/>
  <c r="I732" i="12767"/>
  <c r="G140" i="12787"/>
  <c r="G141" i="12787" s="1"/>
  <c r="H140" i="12787"/>
  <c r="H141" i="12787" s="1"/>
  <c r="H143" i="12787" s="1"/>
  <c r="D239" i="12787"/>
  <c r="D240" i="12787"/>
  <c r="K326" i="12787"/>
  <c r="I337" i="12787"/>
  <c r="K337" i="12787" s="1"/>
  <c r="K279" i="12787" s="1"/>
  <c r="G404" i="12787"/>
  <c r="G375" i="12787" s="1"/>
  <c r="H404" i="12787"/>
  <c r="H375" i="12787" s="1"/>
  <c r="I457" i="12787"/>
  <c r="K457" i="12787" s="1"/>
  <c r="K457" i="12766"/>
  <c r="I459" i="12787"/>
  <c r="K459" i="12787" s="1"/>
  <c r="K459" i="12766"/>
  <c r="I461" i="12787"/>
  <c r="K461" i="12787" s="1"/>
  <c r="K461" i="12766"/>
  <c r="I463" i="12787"/>
  <c r="K463" i="12787" s="1"/>
  <c r="K463" i="12766"/>
  <c r="I470" i="12787"/>
  <c r="K470" i="12787" s="1"/>
  <c r="K470" i="12766"/>
  <c r="G564" i="12787"/>
  <c r="H564" i="12787"/>
  <c r="E834" i="12787"/>
  <c r="G825" i="12787"/>
  <c r="G829" i="12787"/>
  <c r="E837" i="12787"/>
  <c r="G830" i="12787"/>
  <c r="E838" i="12787"/>
  <c r="G23" i="12763"/>
  <c r="G33" i="12763"/>
  <c r="C77" i="12763"/>
  <c r="G35" i="12763"/>
  <c r="C83" i="12763"/>
  <c r="G54" i="12763"/>
  <c r="C98" i="12763"/>
  <c r="N27" i="12764"/>
  <c r="X27" i="12764" s="1"/>
  <c r="M27" i="12764"/>
  <c r="O27" i="12764" s="1"/>
  <c r="Q27" i="12764"/>
  <c r="I85" i="12764"/>
  <c r="G751" i="12787"/>
  <c r="H751" i="12787"/>
  <c r="N32" i="12764"/>
  <c r="F71" i="12812" s="1"/>
  <c r="I41" i="12764"/>
  <c r="M32" i="12764"/>
  <c r="O32" i="12764" s="1"/>
  <c r="I77" i="12764"/>
  <c r="N53" i="12764"/>
  <c r="F123" i="12812" s="1"/>
  <c r="S123" i="12812" s="1"/>
  <c r="M53" i="12764"/>
  <c r="O53" i="12764" s="1"/>
  <c r="I105" i="12764"/>
  <c r="N55" i="12764"/>
  <c r="F125" i="12812" s="1"/>
  <c r="S125" i="12812" s="1"/>
  <c r="M55" i="12764"/>
  <c r="O55" i="12764" s="1"/>
  <c r="I110" i="12764"/>
  <c r="H389" i="12787"/>
  <c r="H360" i="12787" s="1"/>
  <c r="I464" i="12787"/>
  <c r="K464" i="12787" s="1"/>
  <c r="K464" i="12766"/>
  <c r="G756" i="12787"/>
  <c r="H756" i="12787"/>
  <c r="G36" i="12763"/>
  <c r="C92" i="12763"/>
  <c r="H215" i="12766"/>
  <c r="K215" i="12766"/>
  <c r="K918" i="12766"/>
  <c r="K920" i="12766" s="1"/>
  <c r="K922" i="12766" s="1"/>
  <c r="M918" i="12766"/>
  <c r="M920" i="12766" s="1"/>
  <c r="H918" i="12766"/>
  <c r="H920" i="12766" s="1"/>
  <c r="H922" i="12766" s="1"/>
  <c r="I1028" i="12767"/>
  <c r="H1030" i="12787"/>
  <c r="H1032" i="12787" s="1"/>
  <c r="G799" i="12787"/>
  <c r="G771" i="12787" s="1"/>
  <c r="G160" i="12766"/>
  <c r="G434" i="12766"/>
  <c r="G436" i="12766" s="1"/>
  <c r="P908" i="12766"/>
  <c r="K21" i="12766"/>
  <c r="K18" i="12766"/>
  <c r="H373" i="12766"/>
  <c r="H372" i="12766"/>
  <c r="D488" i="12766"/>
  <c r="M488" i="12766" s="1"/>
  <c r="L478" i="12767"/>
  <c r="G853" i="12787"/>
  <c r="G17" i="12766"/>
  <c r="H373" i="12787"/>
  <c r="H740" i="12787"/>
  <c r="H141" i="12766"/>
  <c r="G60" i="12787"/>
  <c r="K60" i="12787" s="1"/>
  <c r="C435" i="12787"/>
  <c r="C436" i="12787" s="1"/>
  <c r="E86" i="12775"/>
  <c r="V43" i="12775"/>
  <c r="I84" i="12775"/>
  <c r="D62" i="12775"/>
  <c r="E61" i="12775"/>
  <c r="C260" i="12787"/>
  <c r="C261" i="12787" s="1"/>
  <c r="O84" i="12775"/>
  <c r="T43" i="12775"/>
  <c r="M84" i="12775"/>
  <c r="E84" i="12775"/>
  <c r="E67" i="12775"/>
  <c r="F630" i="12767"/>
  <c r="K812" i="12787"/>
  <c r="K784" i="12787" s="1"/>
  <c r="C10" i="12785"/>
  <c r="D10" i="12785" s="1"/>
  <c r="C9" i="12785"/>
  <c r="D9" i="12785" s="1"/>
  <c r="F869" i="12767"/>
  <c r="I763" i="12767"/>
  <c r="L372" i="12767"/>
  <c r="P88" i="12767"/>
  <c r="F505" i="12767"/>
  <c r="F508" i="12767"/>
  <c r="I473" i="12767"/>
  <c r="C342" i="12767"/>
  <c r="F323" i="12767"/>
  <c r="F668" i="12767"/>
  <c r="F628" i="12767" s="1"/>
  <c r="C628" i="12767"/>
  <c r="F723" i="12767"/>
  <c r="F805" i="12767"/>
  <c r="F752" i="12767" s="1"/>
  <c r="AC38" i="12774"/>
  <c r="E121" i="12812" s="1"/>
  <c r="I1157" i="12843" s="1"/>
  <c r="R43" i="12774"/>
  <c r="E84" i="12774"/>
  <c r="V43" i="12774"/>
  <c r="I84" i="12774"/>
  <c r="I89" i="12774" s="1"/>
  <c r="Z43" i="12774"/>
  <c r="M84" i="12774"/>
  <c r="M89" i="12774" s="1"/>
  <c r="K490" i="12766"/>
  <c r="F631" i="12767"/>
  <c r="F338" i="12767"/>
  <c r="F506" i="12767"/>
  <c r="F471" i="12767" s="1"/>
  <c r="F190" i="12767" s="1"/>
  <c r="I471" i="12767"/>
  <c r="F301" i="12767"/>
  <c r="C195" i="12767"/>
  <c r="C201" i="12767" s="1"/>
  <c r="F625" i="12767"/>
  <c r="F712" i="12767"/>
  <c r="F87" i="12774"/>
  <c r="P87" i="12774" s="1"/>
  <c r="AC41" i="12774"/>
  <c r="E124" i="12812" s="1"/>
  <c r="I1140" i="12843" s="1"/>
  <c r="T43" i="12774"/>
  <c r="G84" i="12774"/>
  <c r="G89" i="12774" s="1"/>
  <c r="X43" i="12774"/>
  <c r="K84" i="12774"/>
  <c r="K89" i="12774" s="1"/>
  <c r="AB43" i="12774"/>
  <c r="O84" i="12774"/>
  <c r="O89" i="12774" s="1"/>
  <c r="S43" i="12774"/>
  <c r="F86" i="12774"/>
  <c r="W43" i="12774"/>
  <c r="J86" i="12774"/>
  <c r="J89" i="12774" s="1"/>
  <c r="AA43" i="12774"/>
  <c r="N86" i="12774"/>
  <c r="N89" i="12774" s="1"/>
  <c r="H75" i="12775"/>
  <c r="L75" i="12775"/>
  <c r="F443" i="12767"/>
  <c r="F812" i="12767"/>
  <c r="F759" i="12767" s="1"/>
  <c r="I759" i="12767"/>
  <c r="AC9" i="12775"/>
  <c r="H16" i="12811" s="1"/>
  <c r="D55" i="12775"/>
  <c r="T10" i="12764"/>
  <c r="D21" i="12787"/>
  <c r="H38" i="12787"/>
  <c r="H21" i="12787" s="1"/>
  <c r="D23" i="12787"/>
  <c r="M23" i="12787" s="1"/>
  <c r="H40" i="12787"/>
  <c r="H23" i="12787" s="1"/>
  <c r="H83" i="12787"/>
  <c r="T84" i="12787" s="1"/>
  <c r="H102" i="12787"/>
  <c r="H356" i="12787"/>
  <c r="H150" i="12787" s="1"/>
  <c r="O75" i="12775"/>
  <c r="K75" i="12775"/>
  <c r="G75" i="12775"/>
  <c r="I429" i="12787"/>
  <c r="K429" i="12787" s="1"/>
  <c r="K420" i="12787"/>
  <c r="K245" i="12787"/>
  <c r="I254" i="12787"/>
  <c r="K254" i="12787" s="1"/>
  <c r="D244" i="12787"/>
  <c r="H244" i="12787" s="1"/>
  <c r="D245" i="12787"/>
  <c r="H245" i="12787" s="1"/>
  <c r="D246" i="12787"/>
  <c r="H246" i="12787" s="1"/>
  <c r="D243" i="12787"/>
  <c r="H243" i="12787" s="1"/>
  <c r="D249" i="12787"/>
  <c r="D252" i="12787"/>
  <c r="H252" i="12787" s="1"/>
  <c r="D254" i="12787"/>
  <c r="H254" i="12787" s="1"/>
  <c r="D256" i="12787"/>
  <c r="H256" i="12787" s="1"/>
  <c r="D258" i="12787"/>
  <c r="H258" i="12787" s="1"/>
  <c r="D241" i="12787"/>
  <c r="H241" i="12787" s="1"/>
  <c r="D247" i="12787"/>
  <c r="H247" i="12787" s="1"/>
  <c r="D250" i="12787"/>
  <c r="D251" i="12787"/>
  <c r="H251" i="12787" s="1"/>
  <c r="D253" i="12787"/>
  <c r="H253" i="12787" s="1"/>
  <c r="D255" i="12787"/>
  <c r="H255" i="12787" s="1"/>
  <c r="D257" i="12787"/>
  <c r="D302" i="12787"/>
  <c r="D303" i="12787"/>
  <c r="D304" i="12787"/>
  <c r="D309" i="12787"/>
  <c r="H309" i="12787" s="1"/>
  <c r="H280" i="12787" s="1"/>
  <c r="D311" i="12787"/>
  <c r="H311" i="12787" s="1"/>
  <c r="H282" i="12787" s="1"/>
  <c r="D313" i="12787"/>
  <c r="H313" i="12787" s="1"/>
  <c r="H284" i="12787" s="1"/>
  <c r="D315" i="12787"/>
  <c r="H315" i="12787" s="1"/>
  <c r="H286" i="12787" s="1"/>
  <c r="C288" i="12787"/>
  <c r="D305" i="12787"/>
  <c r="D310" i="12787"/>
  <c r="H310" i="12787" s="1"/>
  <c r="H281" i="12787" s="1"/>
  <c r="D312" i="12787"/>
  <c r="H312" i="12787" s="1"/>
  <c r="H283" i="12787" s="1"/>
  <c r="D314" i="12787"/>
  <c r="H314" i="12787" s="1"/>
  <c r="D316" i="12787"/>
  <c r="H316" i="12787" s="1"/>
  <c r="H287" i="12787" s="1"/>
  <c r="G257" i="12787"/>
  <c r="G259" i="12787" s="1"/>
  <c r="H257" i="12787"/>
  <c r="G432" i="12787"/>
  <c r="H432" i="12787"/>
  <c r="H480" i="12787"/>
  <c r="K522" i="12787"/>
  <c r="I534" i="12787"/>
  <c r="K534" i="12787" s="1"/>
  <c r="K684" i="12787"/>
  <c r="K582" i="12787" s="1"/>
  <c r="I707" i="12787"/>
  <c r="K707" i="12787" s="1"/>
  <c r="K693" i="12787"/>
  <c r="K591" i="12787" s="1"/>
  <c r="I712" i="12787"/>
  <c r="K712" i="12787" s="1"/>
  <c r="K610" i="12787" s="1"/>
  <c r="I701" i="12787"/>
  <c r="C1048" i="12787"/>
  <c r="C1049" i="12787"/>
  <c r="K702" i="12787"/>
  <c r="I721" i="12787"/>
  <c r="K721" i="12787" s="1"/>
  <c r="G720" i="12787"/>
  <c r="H720" i="12787"/>
  <c r="G721" i="12787"/>
  <c r="H721" i="12787"/>
  <c r="G725" i="12787"/>
  <c r="H725" i="12787"/>
  <c r="H623" i="12787" s="1"/>
  <c r="M746" i="12787"/>
  <c r="K746" i="12787"/>
  <c r="H748" i="12787"/>
  <c r="G748" i="12787"/>
  <c r="H755" i="12787"/>
  <c r="G755" i="12787"/>
  <c r="H850" i="12787"/>
  <c r="G850" i="12787"/>
  <c r="E860" i="12787"/>
  <c r="G854" i="12787"/>
  <c r="E863" i="12787"/>
  <c r="K414" i="12787"/>
  <c r="I425" i="12787"/>
  <c r="K425" i="12787" s="1"/>
  <c r="G746" i="12787"/>
  <c r="H746" i="12787"/>
  <c r="H887" i="12787"/>
  <c r="G887" i="12787"/>
  <c r="G896" i="12787" s="1"/>
  <c r="H861" i="12787"/>
  <c r="G861" i="12787"/>
  <c r="D853" i="12787"/>
  <c r="H853" i="12787" s="1"/>
  <c r="D854" i="12787"/>
  <c r="H854" i="12787" s="1"/>
  <c r="D858" i="12787"/>
  <c r="D862" i="12787"/>
  <c r="D855" i="12787"/>
  <c r="D863" i="12787"/>
  <c r="D807" i="12787" s="1"/>
  <c r="D779" i="12787" s="1"/>
  <c r="M779" i="12787" s="1"/>
  <c r="D864" i="12787"/>
  <c r="D865" i="12787"/>
  <c r="D866" i="12787"/>
  <c r="D868" i="12787"/>
  <c r="H868" i="12787" s="1"/>
  <c r="C813" i="12787"/>
  <c r="C785" i="12787" s="1"/>
  <c r="D857" i="12787"/>
  <c r="H905" i="12787"/>
  <c r="P905" i="12787"/>
  <c r="D84" i="12775"/>
  <c r="U43" i="12775"/>
  <c r="L84" i="12775"/>
  <c r="D943" i="12787"/>
  <c r="M943" i="12787" s="1"/>
  <c r="H969" i="12787"/>
  <c r="H943" i="12787" s="1"/>
  <c r="G27" i="12763"/>
  <c r="C84" i="12763"/>
  <c r="U481" i="12787"/>
  <c r="W481" i="12787" s="1"/>
  <c r="H558" i="12787"/>
  <c r="H574" i="12787" s="1"/>
  <c r="H576" i="12787" s="1"/>
  <c r="D576" i="12787"/>
  <c r="K651" i="12787"/>
  <c r="I670" i="12787"/>
  <c r="K670" i="12787" s="1"/>
  <c r="H664" i="12787"/>
  <c r="H613" i="12787" s="1"/>
  <c r="D613" i="12787"/>
  <c r="M613" i="12787" s="1"/>
  <c r="D602" i="12787"/>
  <c r="M602" i="12787" s="1"/>
  <c r="H653" i="12787"/>
  <c r="H602" i="12787" s="1"/>
  <c r="T584" i="12787" s="1"/>
  <c r="AC35" i="12775"/>
  <c r="H102" i="12811" s="1"/>
  <c r="D81" i="12775"/>
  <c r="P81" i="12775" s="1"/>
  <c r="Z36" i="12775"/>
  <c r="M82" i="12775"/>
  <c r="V36" i="12775"/>
  <c r="I82" i="12775"/>
  <c r="R36" i="12775"/>
  <c r="E82" i="12775"/>
  <c r="Y36" i="12775"/>
  <c r="L82" i="12775"/>
  <c r="U36" i="12775"/>
  <c r="H82" i="12775"/>
  <c r="AC34" i="12775"/>
  <c r="H101" i="12811" s="1"/>
  <c r="Q36" i="12775"/>
  <c r="K841" i="12787"/>
  <c r="K797" i="12787"/>
  <c r="K769" i="12787" s="1"/>
  <c r="M20" i="12766"/>
  <c r="O20" i="12766"/>
  <c r="K44" i="12766"/>
  <c r="H355" i="12766"/>
  <c r="H149" i="12766" s="1"/>
  <c r="G361" i="12766"/>
  <c r="G159" i="12766" s="1"/>
  <c r="G405" i="12766"/>
  <c r="H226" i="12766"/>
  <c r="H227" i="12766"/>
  <c r="W482" i="12766"/>
  <c r="D491" i="12766"/>
  <c r="M491" i="12766" s="1"/>
  <c r="H525" i="12766"/>
  <c r="H491" i="12766" s="1"/>
  <c r="D498" i="12766"/>
  <c r="M498" i="12766" s="1"/>
  <c r="H532" i="12766"/>
  <c r="H498" i="12766" s="1"/>
  <c r="D500" i="12766"/>
  <c r="M500" i="12766" s="1"/>
  <c r="H534" i="12766"/>
  <c r="H500" i="12766" s="1"/>
  <c r="D502" i="12766"/>
  <c r="M502" i="12766" s="1"/>
  <c r="H536" i="12766"/>
  <c r="H502" i="12766" s="1"/>
  <c r="G572" i="12766"/>
  <c r="G504" i="12766" s="1"/>
  <c r="C504" i="12766"/>
  <c r="H539" i="12766"/>
  <c r="K539" i="12766"/>
  <c r="K650" i="12766"/>
  <c r="I669" i="12766"/>
  <c r="K669" i="12766" s="1"/>
  <c r="K651" i="12766"/>
  <c r="I670" i="12766"/>
  <c r="K670" i="12766" s="1"/>
  <c r="G669" i="12766"/>
  <c r="H669" i="12766"/>
  <c r="G670" i="12766"/>
  <c r="H670" i="12766"/>
  <c r="H742" i="12766"/>
  <c r="M742" i="12766"/>
  <c r="D760" i="12766"/>
  <c r="M748" i="12766"/>
  <c r="K748" i="12766"/>
  <c r="H751" i="12766"/>
  <c r="G751" i="12766"/>
  <c r="H756" i="12766"/>
  <c r="K756" i="12766"/>
  <c r="G928" i="12766"/>
  <c r="G942" i="12766"/>
  <c r="H44" i="12766"/>
  <c r="H25" i="12766"/>
  <c r="H27" i="12766" s="1"/>
  <c r="H267" i="12766"/>
  <c r="H303" i="12766"/>
  <c r="H274" i="12766" s="1"/>
  <c r="D274" i="12766"/>
  <c r="H309" i="12766"/>
  <c r="H280" i="12766" s="1"/>
  <c r="K309" i="12766"/>
  <c r="K280" i="12766" s="1"/>
  <c r="H697" i="12766"/>
  <c r="H595" i="12766" s="1"/>
  <c r="D595" i="12766"/>
  <c r="M595" i="12766" s="1"/>
  <c r="H695" i="12766"/>
  <c r="H593" i="12766" s="1"/>
  <c r="D593" i="12766"/>
  <c r="M593" i="12766" s="1"/>
  <c r="D364" i="12766"/>
  <c r="H393" i="12766"/>
  <c r="H364" i="12766" s="1"/>
  <c r="D357" i="12766"/>
  <c r="D151" i="12766" s="1"/>
  <c r="M151" i="12766" s="1"/>
  <c r="H386" i="12766"/>
  <c r="H357" i="12766" s="1"/>
  <c r="H151" i="12766" s="1"/>
  <c r="H404" i="12766"/>
  <c r="K404" i="12766"/>
  <c r="D363" i="12766"/>
  <c r="H392" i="12766"/>
  <c r="K392" i="12766"/>
  <c r="H389" i="12766"/>
  <c r="K389" i="12766"/>
  <c r="H420" i="12766"/>
  <c r="K420" i="12766"/>
  <c r="H418" i="12766"/>
  <c r="D183" i="12766"/>
  <c r="H239" i="12766"/>
  <c r="K239" i="12766"/>
  <c r="D241" i="12766"/>
  <c r="D245" i="12766"/>
  <c r="D246" i="12766"/>
  <c r="D249" i="12766"/>
  <c r="D256" i="12766"/>
  <c r="K256" i="12766" s="1"/>
  <c r="K200" i="12766" s="1"/>
  <c r="D258" i="12766"/>
  <c r="D243" i="12766"/>
  <c r="D244" i="12766"/>
  <c r="D247" i="12766"/>
  <c r="D250" i="12766"/>
  <c r="D251" i="12766"/>
  <c r="D195" i="12766" s="1"/>
  <c r="D166" i="12766" s="1"/>
  <c r="M166" i="12766" s="1"/>
  <c r="D252" i="12766"/>
  <c r="D253" i="12766"/>
  <c r="D197" i="12766" s="1"/>
  <c r="D168" i="12766" s="1"/>
  <c r="M168" i="12766" s="1"/>
  <c r="D254" i="12766"/>
  <c r="D255" i="12766"/>
  <c r="D199" i="12766" s="1"/>
  <c r="D170" i="12766" s="1"/>
  <c r="M170" i="12766" s="1"/>
  <c r="D257" i="12766"/>
  <c r="C203" i="12766"/>
  <c r="C261" i="12766"/>
  <c r="D497" i="12766"/>
  <c r="M497" i="12766" s="1"/>
  <c r="H565" i="12766"/>
  <c r="H497" i="12766" s="1"/>
  <c r="H555" i="12766"/>
  <c r="H487" i="12766" s="1"/>
  <c r="D487" i="12766"/>
  <c r="M487" i="12766" s="1"/>
  <c r="K555" i="12766"/>
  <c r="K487" i="12766" s="1"/>
  <c r="G542" i="12766"/>
  <c r="D624" i="12766"/>
  <c r="M624" i="12766" s="1"/>
  <c r="H675" i="12766"/>
  <c r="K675" i="12766"/>
  <c r="D614" i="12766"/>
  <c r="M614" i="12766" s="1"/>
  <c r="H665" i="12766"/>
  <c r="H614" i="12766" s="1"/>
  <c r="D612" i="12766"/>
  <c r="M612" i="12766" s="1"/>
  <c r="H663" i="12766"/>
  <c r="H612" i="12766" s="1"/>
  <c r="K746" i="12766"/>
  <c r="M746" i="12766"/>
  <c r="K752" i="12766"/>
  <c r="M752" i="12766"/>
  <c r="D807" i="12766"/>
  <c r="D779" i="12766" s="1"/>
  <c r="M779" i="12766" s="1"/>
  <c r="H835" i="12766"/>
  <c r="D798" i="12766"/>
  <c r="D770" i="12766" s="1"/>
  <c r="M770" i="12766" s="1"/>
  <c r="K826" i="12766"/>
  <c r="K798" i="12766" s="1"/>
  <c r="H826" i="12766"/>
  <c r="H798" i="12766" s="1"/>
  <c r="D812" i="12766"/>
  <c r="D784" i="12766" s="1"/>
  <c r="M784" i="12766" s="1"/>
  <c r="H840" i="12766"/>
  <c r="H812" i="12766" s="1"/>
  <c r="D806" i="12766"/>
  <c r="D778" i="12766" s="1"/>
  <c r="M778" i="12766" s="1"/>
  <c r="H834" i="12766"/>
  <c r="H806" i="12766" s="1"/>
  <c r="H778" i="12766" s="1"/>
  <c r="D799" i="12766"/>
  <c r="D771" i="12766" s="1"/>
  <c r="M771" i="12766" s="1"/>
  <c r="H827" i="12766"/>
  <c r="H799" i="12766" s="1"/>
  <c r="H895" i="12766"/>
  <c r="K895" i="12766"/>
  <c r="H882" i="12766"/>
  <c r="K882" i="12766"/>
  <c r="K771" i="12766" s="1"/>
  <c r="S776" i="12766" s="1"/>
  <c r="U776" i="12766" s="1"/>
  <c r="H893" i="12766"/>
  <c r="K893" i="12766"/>
  <c r="H884" i="12766"/>
  <c r="D898" i="12766"/>
  <c r="K69" i="12763"/>
  <c r="H17" i="12787"/>
  <c r="D17" i="12787"/>
  <c r="D22" i="12787"/>
  <c r="H366" i="12787"/>
  <c r="H621" i="12787"/>
  <c r="K622" i="12787"/>
  <c r="K605" i="12787"/>
  <c r="D600" i="12787"/>
  <c r="M600" i="12787" s="1"/>
  <c r="G623" i="12787"/>
  <c r="G795" i="12787"/>
  <c r="G767" i="12787" s="1"/>
  <c r="D798" i="12787"/>
  <c r="D770" i="12787" s="1"/>
  <c r="M770" i="12787" s="1"/>
  <c r="AC41" i="12775"/>
  <c r="H124" i="12811" s="1"/>
  <c r="C1140" i="12843" s="1"/>
  <c r="C1141" i="12843" s="1"/>
  <c r="K982" i="12787"/>
  <c r="K283" i="12766"/>
  <c r="K284" i="12766"/>
  <c r="K609" i="12766"/>
  <c r="K622" i="12766"/>
  <c r="H863" i="12766"/>
  <c r="H869" i="12766" s="1"/>
  <c r="H871" i="12766" s="1"/>
  <c r="S22" i="12775"/>
  <c r="U86" i="12766"/>
  <c r="W86" i="12766" s="1"/>
  <c r="K88" i="12766"/>
  <c r="H757" i="12766"/>
  <c r="P910" i="12766"/>
  <c r="H21" i="12766"/>
  <c r="C157" i="12766"/>
  <c r="C1019" i="12766" s="1"/>
  <c r="K303" i="12766"/>
  <c r="K424" i="12766"/>
  <c r="K366" i="12766" s="1"/>
  <c r="G167" i="12766"/>
  <c r="K226" i="12766"/>
  <c r="K695" i="12766"/>
  <c r="K593" i="12766" s="1"/>
  <c r="K715" i="12766"/>
  <c r="K613" i="12766" s="1"/>
  <c r="K807" i="12766"/>
  <c r="G892" i="12766"/>
  <c r="H18" i="12766"/>
  <c r="D621" i="12766"/>
  <c r="M621" i="12766" s="1"/>
  <c r="D599" i="12766"/>
  <c r="M599" i="12766" s="1"/>
  <c r="D619" i="12766"/>
  <c r="M619" i="12766" s="1"/>
  <c r="K1001" i="12766"/>
  <c r="K1003" i="12766" s="1"/>
  <c r="H1001" i="12766"/>
  <c r="H1003" i="12766" s="1"/>
  <c r="P1000" i="12766" s="1"/>
  <c r="P1001" i="12766" s="1"/>
  <c r="AC39" i="12774"/>
  <c r="E122" i="12812" s="1"/>
  <c r="I1202" i="12843" s="1"/>
  <c r="E85" i="12774"/>
  <c r="P85" i="12774" s="1"/>
  <c r="AC40" i="12774"/>
  <c r="E123" i="12812" s="1"/>
  <c r="I1215" i="12843" s="1"/>
  <c r="Q43" i="12774"/>
  <c r="D86" i="12774"/>
  <c r="U43" i="12774"/>
  <c r="H86" i="12774"/>
  <c r="H89" i="12774" s="1"/>
  <c r="Y43" i="12774"/>
  <c r="L86" i="12774"/>
  <c r="L89" i="12774" s="1"/>
  <c r="AC42" i="12774"/>
  <c r="E125" i="12812" s="1"/>
  <c r="I1271" i="12843" s="1"/>
  <c r="E88" i="12774"/>
  <c r="P88" i="12774" s="1"/>
  <c r="F75" i="12775"/>
  <c r="J75" i="12775"/>
  <c r="N75" i="12775"/>
  <c r="F971" i="12767"/>
  <c r="F514" i="12767"/>
  <c r="F479" i="12767" s="1"/>
  <c r="I479" i="12767"/>
  <c r="F304" i="12767"/>
  <c r="D61" i="12774"/>
  <c r="D62" i="12774"/>
  <c r="I896" i="12767"/>
  <c r="AC8" i="12775"/>
  <c r="H15" i="12811" s="1"/>
  <c r="C147" i="12843" s="1"/>
  <c r="C148" i="12843" s="1"/>
  <c r="L827" i="12767"/>
  <c r="J851" i="12767"/>
  <c r="D18" i="12787"/>
  <c r="H69" i="12787"/>
  <c r="H18" i="12787" s="1"/>
  <c r="K240" i="12787"/>
  <c r="I250" i="12787"/>
  <c r="K250" i="12787" s="1"/>
  <c r="K194" i="12787" s="1"/>
  <c r="D70" i="12774"/>
  <c r="K70" i="12774"/>
  <c r="G70" i="12774"/>
  <c r="F666" i="12767"/>
  <c r="F626" i="12767" s="1"/>
  <c r="D81" i="12774"/>
  <c r="M75" i="12775"/>
  <c r="I75" i="12775"/>
  <c r="E75" i="12775"/>
  <c r="K391" i="12787"/>
  <c r="K362" i="12787" s="1"/>
  <c r="I400" i="12787"/>
  <c r="K400" i="12787" s="1"/>
  <c r="I226" i="12787"/>
  <c r="K226" i="12787" s="1"/>
  <c r="K198" i="12787" s="1"/>
  <c r="D331" i="12787"/>
  <c r="H331" i="12787" s="1"/>
  <c r="C348" i="12787"/>
  <c r="C199" i="12787"/>
  <c r="C170" i="12787" s="1"/>
  <c r="G227" i="12787"/>
  <c r="G199" i="12787" s="1"/>
  <c r="G170" i="12787" s="1"/>
  <c r="K227" i="12787"/>
  <c r="K199" i="12787" s="1"/>
  <c r="G403" i="12787"/>
  <c r="H403" i="12787"/>
  <c r="I471" i="12787"/>
  <c r="K471" i="12787" s="1"/>
  <c r="K471" i="12766"/>
  <c r="K556" i="12787"/>
  <c r="I568" i="12787"/>
  <c r="K568" i="12787" s="1"/>
  <c r="H582" i="12787"/>
  <c r="H696" i="12787"/>
  <c r="D594" i="12787"/>
  <c r="M594" i="12787" s="1"/>
  <c r="G669" i="12787"/>
  <c r="G618" i="12787" s="1"/>
  <c r="H669" i="12787"/>
  <c r="H618" i="12787" s="1"/>
  <c r="G670" i="12787"/>
  <c r="G619" i="12787" s="1"/>
  <c r="H670" i="12787"/>
  <c r="H619" i="12787" s="1"/>
  <c r="G747" i="12787"/>
  <c r="M749" i="12787"/>
  <c r="K749" i="12787"/>
  <c r="H822" i="12787"/>
  <c r="G822" i="12787"/>
  <c r="E832" i="12787"/>
  <c r="G826" i="12787"/>
  <c r="G798" i="12787" s="1"/>
  <c r="G770" i="12787" s="1"/>
  <c r="H826" i="12787"/>
  <c r="E835" i="12787"/>
  <c r="K385" i="12787"/>
  <c r="I396" i="12787"/>
  <c r="K396" i="12787" s="1"/>
  <c r="G357" i="12787"/>
  <c r="G151" i="12787" s="1"/>
  <c r="K794" i="12787"/>
  <c r="K766" i="12787" s="1"/>
  <c r="K869" i="12787"/>
  <c r="H825" i="12787"/>
  <c r="D797" i="12787"/>
  <c r="D769" i="12787" s="1"/>
  <c r="M769" i="12787" s="1"/>
  <c r="H840" i="12787"/>
  <c r="H812" i="12787" s="1"/>
  <c r="H784" i="12787" s="1"/>
  <c r="D812" i="12787"/>
  <c r="D784" i="12787" s="1"/>
  <c r="M784" i="12787" s="1"/>
  <c r="H913" i="12787"/>
  <c r="P913" i="12787"/>
  <c r="J84" i="12775"/>
  <c r="N84" i="12775"/>
  <c r="N89" i="12775" s="1"/>
  <c r="G20" i="12763"/>
  <c r="G79" i="12763" s="1"/>
  <c r="C28" i="12763"/>
  <c r="C78" i="12763"/>
  <c r="H665" i="12787"/>
  <c r="H614" i="12787" s="1"/>
  <c r="D614" i="12787"/>
  <c r="M614" i="12787" s="1"/>
  <c r="H663" i="12787"/>
  <c r="H612" i="12787" s="1"/>
  <c r="D612" i="12787"/>
  <c r="M612" i="12787" s="1"/>
  <c r="AB36" i="12775"/>
  <c r="O82" i="12775"/>
  <c r="X36" i="12775"/>
  <c r="K82" i="12775"/>
  <c r="T36" i="12775"/>
  <c r="G82" i="12775"/>
  <c r="AA36" i="12775"/>
  <c r="N82" i="12775"/>
  <c r="W36" i="12775"/>
  <c r="J82" i="12775"/>
  <c r="S36" i="12775"/>
  <c r="F82" i="12775"/>
  <c r="W767" i="12787"/>
  <c r="H833" i="12787"/>
  <c r="G833" i="12787"/>
  <c r="G805" i="12787" s="1"/>
  <c r="P71" i="12764"/>
  <c r="R71" i="12764" s="1"/>
  <c r="M17" i="12766"/>
  <c r="O17" i="12766"/>
  <c r="M22" i="12766"/>
  <c r="O22" i="12766"/>
  <c r="G183" i="12766"/>
  <c r="G153" i="12766" s="1"/>
  <c r="G275" i="12766"/>
  <c r="G346" i="12766"/>
  <c r="G348" i="12766" s="1"/>
  <c r="H223" i="12766"/>
  <c r="D196" i="12766"/>
  <c r="D167" i="12766" s="1"/>
  <c r="M167" i="12766" s="1"/>
  <c r="H224" i="12766"/>
  <c r="H225" i="12766"/>
  <c r="K225" i="12766"/>
  <c r="D201" i="12766"/>
  <c r="D172" i="12766" s="1"/>
  <c r="M172" i="12766" s="1"/>
  <c r="H229" i="12766"/>
  <c r="D490" i="12766"/>
  <c r="H524" i="12766"/>
  <c r="D542" i="12766"/>
  <c r="D499" i="12766"/>
  <c r="M499" i="12766" s="1"/>
  <c r="H533" i="12766"/>
  <c r="H499" i="12766" s="1"/>
  <c r="D501" i="12766"/>
  <c r="M501" i="12766" s="1"/>
  <c r="H535" i="12766"/>
  <c r="H501" i="12766" s="1"/>
  <c r="D503" i="12766"/>
  <c r="M503" i="12766" s="1"/>
  <c r="H537" i="12766"/>
  <c r="H503" i="12766" s="1"/>
  <c r="G573" i="12766"/>
  <c r="G505" i="12766" s="1"/>
  <c r="C505" i="12766"/>
  <c r="G591" i="12766"/>
  <c r="H599" i="12766"/>
  <c r="K701" i="12766"/>
  <c r="I720" i="12766"/>
  <c r="K720" i="12766" s="1"/>
  <c r="K702" i="12766"/>
  <c r="I721" i="12766"/>
  <c r="K721" i="12766" s="1"/>
  <c r="H720" i="12766"/>
  <c r="G720" i="12766"/>
  <c r="H721" i="12766"/>
  <c r="G721" i="12766"/>
  <c r="H740" i="12766"/>
  <c r="M740" i="12766"/>
  <c r="M747" i="12766"/>
  <c r="K747" i="12766"/>
  <c r="H750" i="12766"/>
  <c r="G750" i="12766"/>
  <c r="H755" i="12766"/>
  <c r="G755" i="12766"/>
  <c r="D940" i="12766"/>
  <c r="D939" i="12766"/>
  <c r="C931" i="12766"/>
  <c r="C933" i="12766" s="1"/>
  <c r="C944" i="12766"/>
  <c r="I750" i="12767"/>
  <c r="K89" i="12766"/>
  <c r="K91" i="12766" s="1"/>
  <c r="K104" i="12766"/>
  <c r="K357" i="12766"/>
  <c r="K151" i="12766" s="1"/>
  <c r="O21" i="12766"/>
  <c r="M21" i="12766"/>
  <c r="H315" i="12766"/>
  <c r="H286" i="12766" s="1"/>
  <c r="K315" i="12766"/>
  <c r="K286" i="12766" s="1"/>
  <c r="D276" i="12766"/>
  <c r="H305" i="12766"/>
  <c r="H276" i="12766" s="1"/>
  <c r="K305" i="12766"/>
  <c r="K276" i="12766" s="1"/>
  <c r="D273" i="12766"/>
  <c r="H302" i="12766"/>
  <c r="H273" i="12766" s="1"/>
  <c r="D275" i="12766"/>
  <c r="H304" i="12766"/>
  <c r="H275" i="12766" s="1"/>
  <c r="D610" i="12766"/>
  <c r="M610" i="12766" s="1"/>
  <c r="H712" i="12766"/>
  <c r="H610" i="12766" s="1"/>
  <c r="H696" i="12766"/>
  <c r="H594" i="12766" s="1"/>
  <c r="K696" i="12766"/>
  <c r="K594" i="12766" s="1"/>
  <c r="D594" i="12766"/>
  <c r="M594" i="12766" s="1"/>
  <c r="D591" i="12766"/>
  <c r="M591" i="12766" s="1"/>
  <c r="H693" i="12766"/>
  <c r="H726" i="12766"/>
  <c r="K726" i="12766"/>
  <c r="G319" i="12766"/>
  <c r="O18" i="12766"/>
  <c r="M18" i="12766"/>
  <c r="H391" i="12766"/>
  <c r="D362" i="12766"/>
  <c r="K391" i="12766"/>
  <c r="H399" i="12766"/>
  <c r="K399" i="12766"/>
  <c r="D361" i="12766"/>
  <c r="H390" i="12766"/>
  <c r="K390" i="12766"/>
  <c r="H421" i="12766"/>
  <c r="K421" i="12766"/>
  <c r="H419" i="12766"/>
  <c r="K419" i="12766"/>
  <c r="H433" i="12766"/>
  <c r="K433" i="12766"/>
  <c r="H240" i="12766"/>
  <c r="H184" i="12766" s="1"/>
  <c r="H154" i="12766" s="1"/>
  <c r="D184" i="12766"/>
  <c r="D154" i="12766" s="1"/>
  <c r="M154" i="12766" s="1"/>
  <c r="K240" i="12766"/>
  <c r="K184" i="12766" s="1"/>
  <c r="K154" i="12766" s="1"/>
  <c r="D576" i="12766"/>
  <c r="H558" i="12766"/>
  <c r="K553" i="12766"/>
  <c r="H553" i="12766"/>
  <c r="H485" i="12766" s="1"/>
  <c r="H560" i="12766"/>
  <c r="H492" i="12766" s="1"/>
  <c r="D492" i="12766"/>
  <c r="M492" i="12766" s="1"/>
  <c r="K560" i="12766"/>
  <c r="K492" i="12766" s="1"/>
  <c r="H552" i="12766"/>
  <c r="D484" i="12766"/>
  <c r="M484" i="12766" s="1"/>
  <c r="H653" i="12766"/>
  <c r="H602" i="12766" s="1"/>
  <c r="R593" i="12766" s="1"/>
  <c r="D602" i="12766"/>
  <c r="M602" i="12766" s="1"/>
  <c r="D613" i="12766"/>
  <c r="M613" i="12766" s="1"/>
  <c r="H664" i="12766"/>
  <c r="H613" i="12766" s="1"/>
  <c r="D603" i="12766"/>
  <c r="M603" i="12766" s="1"/>
  <c r="H654" i="12766"/>
  <c r="H603" i="12766" s="1"/>
  <c r="K749" i="12766"/>
  <c r="M749" i="12766"/>
  <c r="D810" i="12766"/>
  <c r="D782" i="12766" s="1"/>
  <c r="M782" i="12766" s="1"/>
  <c r="H838" i="12766"/>
  <c r="D801" i="12766"/>
  <c r="H829" i="12766"/>
  <c r="H801" i="12766" s="1"/>
  <c r="H773" i="12766" s="1"/>
  <c r="R777" i="12766" s="1"/>
  <c r="K829" i="12766"/>
  <c r="K801" i="12766" s="1"/>
  <c r="K773" i="12766" s="1"/>
  <c r="S777" i="12766" s="1"/>
  <c r="U777" i="12766" s="1"/>
  <c r="D843" i="12766"/>
  <c r="H825" i="12766"/>
  <c r="D797" i="12766"/>
  <c r="D769" i="12766" s="1"/>
  <c r="M769" i="12766" s="1"/>
  <c r="K825" i="12766"/>
  <c r="C785" i="12766"/>
  <c r="C787" i="12766" s="1"/>
  <c r="C815" i="12766"/>
  <c r="D808" i="12766"/>
  <c r="D780" i="12766" s="1"/>
  <c r="M780" i="12766" s="1"/>
  <c r="H836" i="12766"/>
  <c r="H808" i="12766" s="1"/>
  <c r="H780" i="12766" s="1"/>
  <c r="D802" i="12766"/>
  <c r="D774" i="12766" s="1"/>
  <c r="M774" i="12766" s="1"/>
  <c r="H830" i="12766"/>
  <c r="H802" i="12766" s="1"/>
  <c r="H885" i="12766"/>
  <c r="K885" i="12766"/>
  <c r="H881" i="12766"/>
  <c r="K881" i="12766"/>
  <c r="H890" i="12766"/>
  <c r="K890" i="12766"/>
  <c r="L631" i="12767"/>
  <c r="P631" i="12767" s="1"/>
  <c r="P632" i="12843" s="1"/>
  <c r="I712" i="12767"/>
  <c r="H76" i="12787"/>
  <c r="H78" i="12787" s="1"/>
  <c r="D20" i="12787"/>
  <c r="AC20" i="12775"/>
  <c r="H52" i="12811" s="1"/>
  <c r="C65" i="12843" s="1"/>
  <c r="C66" i="12843" s="1"/>
  <c r="H420" i="12787"/>
  <c r="H362" i="12787" s="1"/>
  <c r="H392" i="12787"/>
  <c r="H363" i="12787" s="1"/>
  <c r="H757" i="12787"/>
  <c r="K317" i="12787"/>
  <c r="D624" i="12787"/>
  <c r="M624" i="12787" s="1"/>
  <c r="D621" i="12787"/>
  <c r="M621" i="12787" s="1"/>
  <c r="D599" i="12787"/>
  <c r="M599" i="12787" s="1"/>
  <c r="K806" i="12787"/>
  <c r="K778" i="12787" s="1"/>
  <c r="G42" i="12766"/>
  <c r="K223" i="12766"/>
  <c r="K533" i="12766"/>
  <c r="K499" i="12766" s="1"/>
  <c r="K535" i="12766"/>
  <c r="K501" i="12766" s="1"/>
  <c r="K537" i="12766"/>
  <c r="K503" i="12766" s="1"/>
  <c r="K742" i="12766"/>
  <c r="K368" i="12766"/>
  <c r="K371" i="12766"/>
  <c r="K227" i="12766"/>
  <c r="K229" i="12766"/>
  <c r="K525" i="12766"/>
  <c r="K532" i="12766"/>
  <c r="K498" i="12766" s="1"/>
  <c r="K536" i="12766"/>
  <c r="K704" i="12766"/>
  <c r="K602" i="12766" s="1"/>
  <c r="S593" i="12766" s="1"/>
  <c r="U593" i="12766" s="1"/>
  <c r="K612" i="12766"/>
  <c r="K614" i="12766"/>
  <c r="K740" i="12766"/>
  <c r="G841" i="12766"/>
  <c r="K778" i="12766"/>
  <c r="K810" i="12766"/>
  <c r="D573" i="12766"/>
  <c r="D505" i="12766" s="1"/>
  <c r="M505" i="12766" s="1"/>
  <c r="D622" i="12766"/>
  <c r="M622" i="12766" s="1"/>
  <c r="D600" i="12766"/>
  <c r="M600" i="12766" s="1"/>
  <c r="D618" i="12766"/>
  <c r="M618" i="12766" s="1"/>
  <c r="G869" i="12766"/>
  <c r="G871" i="12766" s="1"/>
  <c r="D892" i="12766"/>
  <c r="D781" i="12766" s="1"/>
  <c r="M781" i="12766" s="1"/>
  <c r="M1001" i="12766"/>
  <c r="N79" i="12764" l="1"/>
  <c r="Q32" i="12775"/>
  <c r="D78" i="12775"/>
  <c r="AC29" i="12775"/>
  <c r="H81" i="12811" s="1"/>
  <c r="K81" i="12811" s="1"/>
  <c r="S32" i="12775"/>
  <c r="O78" i="12775"/>
  <c r="P77" i="12775"/>
  <c r="AC27" i="12775"/>
  <c r="H76" i="12811" s="1"/>
  <c r="C126" i="12850" s="1"/>
  <c r="Z32" i="12775"/>
  <c r="N78" i="12775"/>
  <c r="AB32" i="12775"/>
  <c r="P70" i="12775"/>
  <c r="P76" i="12775"/>
  <c r="P74" i="12775"/>
  <c r="P72" i="12775"/>
  <c r="P71" i="12775"/>
  <c r="P73" i="12775"/>
  <c r="R32" i="12775"/>
  <c r="G78" i="12775"/>
  <c r="AC28" i="12775"/>
  <c r="AE28" i="12775" s="1"/>
  <c r="Q74" i="12775" s="1"/>
  <c r="F78" i="12775"/>
  <c r="Y32" i="12775"/>
  <c r="AC26" i="12775"/>
  <c r="H73" i="12811" s="1"/>
  <c r="O923" i="12766"/>
  <c r="P923" i="12766"/>
  <c r="H797" i="12787"/>
  <c r="H769" i="12787" s="1"/>
  <c r="I78" i="12775"/>
  <c r="H428" i="12766"/>
  <c r="T32" i="12775"/>
  <c r="L78" i="12775"/>
  <c r="Z22" i="12775"/>
  <c r="R43" i="12775"/>
  <c r="O89" i="12775"/>
  <c r="P62" i="12775"/>
  <c r="G173" i="12787"/>
  <c r="K172" i="12787"/>
  <c r="AC31" i="12775"/>
  <c r="H84" i="12811" s="1"/>
  <c r="G615" i="12787"/>
  <c r="AC42" i="12775"/>
  <c r="H125" i="12811" s="1"/>
  <c r="C1271" i="12843" s="1"/>
  <c r="C1272" i="12843" s="1"/>
  <c r="L39" i="12783" s="1"/>
  <c r="K784" i="12766"/>
  <c r="P54" i="12775"/>
  <c r="P53" i="12775"/>
  <c r="AA32" i="12775"/>
  <c r="S495" i="12766"/>
  <c r="G676" i="12787"/>
  <c r="K370" i="12766"/>
  <c r="G758" i="12787"/>
  <c r="K78" i="12775"/>
  <c r="U32" i="12775"/>
  <c r="K869" i="12766"/>
  <c r="K871" i="12766" s="1"/>
  <c r="AC19" i="12775"/>
  <c r="H49" i="12811" s="1"/>
  <c r="C1067" i="12843" s="1"/>
  <c r="C1031" i="12843" s="1"/>
  <c r="C1032" i="12843" s="1"/>
  <c r="M89" i="12775"/>
  <c r="X22" i="12775"/>
  <c r="AC30" i="12775"/>
  <c r="H80" i="12811" s="1"/>
  <c r="C1086" i="12843" s="1"/>
  <c r="C1087" i="12843" s="1"/>
  <c r="G89" i="12775"/>
  <c r="K502" i="12766"/>
  <c r="H362" i="12766"/>
  <c r="F84" i="12775"/>
  <c r="F89" i="12775" s="1"/>
  <c r="V32" i="12775"/>
  <c r="J78" i="12775"/>
  <c r="K274" i="12766"/>
  <c r="AA22" i="12775"/>
  <c r="K782" i="12766"/>
  <c r="G161" i="12766"/>
  <c r="U768" i="12787"/>
  <c r="W768" i="12787" s="1"/>
  <c r="K170" i="12787"/>
  <c r="M78" i="12775"/>
  <c r="W32" i="12775"/>
  <c r="G259" i="12766"/>
  <c r="G261" i="12766" s="1"/>
  <c r="T495" i="12766"/>
  <c r="V495" i="12766" s="1"/>
  <c r="X32" i="12775"/>
  <c r="H78" i="12775"/>
  <c r="Z43" i="12775"/>
  <c r="I89" i="12775"/>
  <c r="P86" i="12775"/>
  <c r="K780" i="12766"/>
  <c r="AC24" i="12775"/>
  <c r="H71" i="12811" s="1"/>
  <c r="AC25" i="12775"/>
  <c r="AE25" i="12775" s="1"/>
  <c r="Q71" i="12775" s="1"/>
  <c r="H607" i="12787"/>
  <c r="P64" i="12775"/>
  <c r="K68" i="12775"/>
  <c r="O68" i="12775"/>
  <c r="F68" i="12775"/>
  <c r="P66" i="12775"/>
  <c r="S36" i="12774"/>
  <c r="Q36" i="12774"/>
  <c r="AB36" i="12774"/>
  <c r="L199" i="12843"/>
  <c r="R36" i="12774"/>
  <c r="AA36" i="12774"/>
  <c r="X36" i="12774"/>
  <c r="Z36" i="12774"/>
  <c r="U36" i="12774"/>
  <c r="AC34" i="12774"/>
  <c r="E101" i="12812" s="1"/>
  <c r="T36" i="12774"/>
  <c r="F1202" i="12843"/>
  <c r="F1203" i="12843" s="1"/>
  <c r="I1171" i="12843"/>
  <c r="L1202" i="12843"/>
  <c r="I1203" i="12843"/>
  <c r="L36" i="12831"/>
  <c r="L36" i="12783"/>
  <c r="L36" i="12849"/>
  <c r="L36" i="12848"/>
  <c r="K101" i="12811"/>
  <c r="C821" i="12843"/>
  <c r="L37" i="12848"/>
  <c r="L37" i="12831"/>
  <c r="L37" i="12783"/>
  <c r="L37" i="12849"/>
  <c r="K16" i="12811"/>
  <c r="L16" i="12811" s="1"/>
  <c r="C162" i="12843"/>
  <c r="C163" i="12843" s="1"/>
  <c r="G574" i="12787"/>
  <c r="AA43" i="12775"/>
  <c r="H346" i="12787"/>
  <c r="H348" i="12787" s="1"/>
  <c r="P81" i="12774"/>
  <c r="Y22" i="12775"/>
  <c r="D360" i="12766"/>
  <c r="H285" i="12787"/>
  <c r="O912" i="12766"/>
  <c r="AC16" i="12775"/>
  <c r="H43" i="12811" s="1"/>
  <c r="C520" i="12843" s="1"/>
  <c r="C521" i="12843" s="1"/>
  <c r="X43" i="12775"/>
  <c r="G802" i="12787"/>
  <c r="G774" i="12787" s="1"/>
  <c r="J73" i="12763"/>
  <c r="L73" i="12763" s="1"/>
  <c r="H810" i="12766"/>
  <c r="H782" i="12766" s="1"/>
  <c r="H370" i="12766"/>
  <c r="G777" i="12787"/>
  <c r="J89" i="12775"/>
  <c r="V36" i="12774"/>
  <c r="AC35" i="12774"/>
  <c r="E102" i="12812" s="1"/>
  <c r="AC6" i="12775"/>
  <c r="L1215" i="12843"/>
  <c r="F1215" i="12843"/>
  <c r="F1216" i="12843" s="1"/>
  <c r="I1216" i="12843"/>
  <c r="W22" i="12775"/>
  <c r="H386" i="12787"/>
  <c r="H405" i="12787" s="1"/>
  <c r="G676" i="12766"/>
  <c r="G678" i="12766" s="1"/>
  <c r="L89" i="12775"/>
  <c r="H896" i="12787"/>
  <c r="H898" i="12787" s="1"/>
  <c r="D361" i="12787"/>
  <c r="W36" i="12774"/>
  <c r="AC7" i="12775"/>
  <c r="H14" i="12811" s="1"/>
  <c r="C132" i="12843" s="1"/>
  <c r="C133" i="12843" s="1"/>
  <c r="F1157" i="12843"/>
  <c r="F1158" i="12843" s="1"/>
  <c r="L1157" i="12843"/>
  <c r="I1158" i="12843"/>
  <c r="R22" i="12775"/>
  <c r="AC18" i="12775"/>
  <c r="H46" i="12811" s="1"/>
  <c r="AC21" i="12775"/>
  <c r="H53" i="12811" s="1"/>
  <c r="C1231" i="12843" s="1"/>
  <c r="C1232" i="12843" s="1"/>
  <c r="AB43" i="12775"/>
  <c r="P61" i="12775"/>
  <c r="T22" i="12775"/>
  <c r="AB22" i="12775"/>
  <c r="D88" i="12775"/>
  <c r="P88" i="12775" s="1"/>
  <c r="P85" i="12775"/>
  <c r="H496" i="12787"/>
  <c r="I68" i="12775"/>
  <c r="L632" i="12843"/>
  <c r="D942" i="12787"/>
  <c r="M942" i="12787" s="1"/>
  <c r="M945" i="12787" s="1"/>
  <c r="H968" i="12787"/>
  <c r="H942" i="12787" s="1"/>
  <c r="K102" i="12811"/>
  <c r="L102" i="12811" s="1"/>
  <c r="C874" i="12843"/>
  <c r="C875" i="12843" s="1"/>
  <c r="K500" i="12766"/>
  <c r="K472" i="12766"/>
  <c r="K474" i="12766" s="1"/>
  <c r="L1140" i="12843"/>
  <c r="F1140" i="12843"/>
  <c r="F1141" i="12843" s="1"/>
  <c r="I1141" i="12843"/>
  <c r="P67" i="12775"/>
  <c r="AC14" i="12775"/>
  <c r="H41" i="12811" s="1"/>
  <c r="C310" i="12843" s="1"/>
  <c r="C311" i="12843" s="1"/>
  <c r="AC40" i="12775"/>
  <c r="H123" i="12811" s="1"/>
  <c r="C1215" i="12843" s="1"/>
  <c r="C1216" i="12843" s="1"/>
  <c r="Q22" i="12775"/>
  <c r="K491" i="12766"/>
  <c r="T494" i="12766" s="1"/>
  <c r="V494" i="12766" s="1"/>
  <c r="K774" i="12766"/>
  <c r="G231" i="12766"/>
  <c r="G233" i="12766" s="1"/>
  <c r="H805" i="12787"/>
  <c r="H777" i="12787" s="1"/>
  <c r="W43" i="12775"/>
  <c r="K367" i="12787"/>
  <c r="K165" i="12787" s="1"/>
  <c r="H374" i="12787"/>
  <c r="K371" i="12787"/>
  <c r="Y36" i="12774"/>
  <c r="F1271" i="12843"/>
  <c r="F1272" i="12843" s="1"/>
  <c r="L1271" i="12843"/>
  <c r="I1272" i="12843"/>
  <c r="U22" i="12775"/>
  <c r="AC10" i="12775"/>
  <c r="H21" i="12811" s="1"/>
  <c r="C47" i="12843" s="1"/>
  <c r="C48" i="12843" s="1"/>
  <c r="Y43" i="12775"/>
  <c r="Q43" i="12775"/>
  <c r="G727" i="12787"/>
  <c r="P55" i="12775"/>
  <c r="V22" i="12775"/>
  <c r="AC15" i="12775"/>
  <c r="H42" i="12811" s="1"/>
  <c r="C414" i="12843" s="1"/>
  <c r="C415" i="12843" s="1"/>
  <c r="AC39" i="12775"/>
  <c r="H122" i="12811" s="1"/>
  <c r="C1202" i="12843" s="1"/>
  <c r="G801" i="12787"/>
  <c r="G773" i="12787" s="1"/>
  <c r="G496" i="12787"/>
  <c r="K431" i="12766"/>
  <c r="K373" i="12766" s="1"/>
  <c r="K171" i="12766" s="1"/>
  <c r="V849" i="12767"/>
  <c r="X849" i="12767" s="1"/>
  <c r="V765" i="12767"/>
  <c r="V818" i="12767" s="1"/>
  <c r="X818" i="12767" s="1"/>
  <c r="G74" i="12763"/>
  <c r="K74" i="12763" s="1"/>
  <c r="L933" i="12843"/>
  <c r="V796" i="12767"/>
  <c r="X796" i="12767" s="1"/>
  <c r="J797" i="12843"/>
  <c r="L797" i="12843" s="1"/>
  <c r="J766" i="12843"/>
  <c r="J850" i="12843"/>
  <c r="L850" i="12843" s="1"/>
  <c r="V766" i="12843"/>
  <c r="V797" i="12843"/>
  <c r="X797" i="12843" s="1"/>
  <c r="V850" i="12843"/>
  <c r="X850" i="12843" s="1"/>
  <c r="L742" i="12767"/>
  <c r="X742" i="12767" s="1"/>
  <c r="X743" i="12843" s="1"/>
  <c r="J871" i="12767"/>
  <c r="L871" i="12767" s="1"/>
  <c r="L765" i="12767" s="1"/>
  <c r="C633" i="12767"/>
  <c r="P628" i="12767"/>
  <c r="P629" i="12843" s="1"/>
  <c r="L851" i="12767"/>
  <c r="L745" i="12767" s="1"/>
  <c r="P745" i="12767" s="1"/>
  <c r="F472" i="12767"/>
  <c r="F191" i="12767" s="1"/>
  <c r="C69" i="12764"/>
  <c r="F197" i="12767"/>
  <c r="Q10" i="12764"/>
  <c r="Q25" i="12764"/>
  <c r="P74" i="12764"/>
  <c r="R74" i="12764" s="1"/>
  <c r="Q12" i="12764"/>
  <c r="F235" i="12767"/>
  <c r="G14" i="12763"/>
  <c r="I25" i="12767"/>
  <c r="Q55" i="12764"/>
  <c r="F74" i="12812"/>
  <c r="S71" i="12812"/>
  <c r="S74" i="12812" s="1"/>
  <c r="S127" i="12812"/>
  <c r="E70" i="12774"/>
  <c r="P70" i="12774" s="1"/>
  <c r="H758" i="12787"/>
  <c r="H760" i="12787" s="1"/>
  <c r="H758" i="12766"/>
  <c r="H760" i="12766" s="1"/>
  <c r="K600" i="12787"/>
  <c r="K121" i="12811"/>
  <c r="F232" i="12767"/>
  <c r="F195" i="12767" s="1"/>
  <c r="C85" i="12763"/>
  <c r="K42" i="12811"/>
  <c r="L42" i="12811" s="1"/>
  <c r="K15" i="12811"/>
  <c r="L15" i="12811" s="1"/>
  <c r="G117" i="12766"/>
  <c r="G89" i="12766"/>
  <c r="G91" i="12766" s="1"/>
  <c r="C81" i="12763"/>
  <c r="I86" i="12764"/>
  <c r="E68" i="12811"/>
  <c r="D68" i="12775"/>
  <c r="L198" i="12767"/>
  <c r="P198" i="12767" s="1"/>
  <c r="P199" i="12843" s="1"/>
  <c r="T11" i="12764"/>
  <c r="T71" i="12764" s="1"/>
  <c r="V71" i="12764" s="1"/>
  <c r="U55" i="12764"/>
  <c r="U25" i="12764"/>
  <c r="F25" i="12767"/>
  <c r="P110" i="12764"/>
  <c r="V55" i="12764"/>
  <c r="V25" i="12764"/>
  <c r="P108" i="12764"/>
  <c r="Q108" i="12764" s="1"/>
  <c r="F473" i="12767"/>
  <c r="F192" i="12767" s="1"/>
  <c r="F475" i="12767"/>
  <c r="F194" i="12767" s="1"/>
  <c r="G281" i="12787"/>
  <c r="G167" i="12787" s="1"/>
  <c r="G346" i="12787"/>
  <c r="H434" i="12766"/>
  <c r="H436" i="12766" s="1"/>
  <c r="K362" i="12766"/>
  <c r="G288" i="12766"/>
  <c r="G290" i="12766" s="1"/>
  <c r="K169" i="12787"/>
  <c r="H971" i="12787"/>
  <c r="I669" i="12787"/>
  <c r="K669" i="12787" s="1"/>
  <c r="K650" i="12787"/>
  <c r="G201" i="12787"/>
  <c r="J55" i="12828"/>
  <c r="J53" i="12828"/>
  <c r="J51" i="12828"/>
  <c r="J54" i="12828"/>
  <c r="J52" i="12828"/>
  <c r="J50" i="12828"/>
  <c r="I1210" i="12767"/>
  <c r="H103" i="12811"/>
  <c r="H117" i="12811" s="1"/>
  <c r="I1154" i="12767"/>
  <c r="L1154" i="12767" s="1"/>
  <c r="I1265" i="12767"/>
  <c r="I1138" i="12767"/>
  <c r="F928" i="12767"/>
  <c r="F909" i="12767" s="1"/>
  <c r="V12" i="12764"/>
  <c r="U12" i="12764"/>
  <c r="F68" i="12811"/>
  <c r="F140" i="12811" s="1"/>
  <c r="P36" i="12764"/>
  <c r="U583" i="12787"/>
  <c r="W583" i="12787" s="1"/>
  <c r="P38" i="12764"/>
  <c r="U85" i="12787"/>
  <c r="W85" i="12787" s="1"/>
  <c r="T85" i="12787"/>
  <c r="T86" i="12787" s="1"/>
  <c r="D91" i="12787"/>
  <c r="M85" i="12787"/>
  <c r="M89" i="12787" s="1"/>
  <c r="P35" i="12764"/>
  <c r="R35" i="12764" s="1"/>
  <c r="L76" i="12812" s="1"/>
  <c r="K758" i="12766"/>
  <c r="K760" i="12766" s="1"/>
  <c r="P761" i="12766" s="1"/>
  <c r="G574" i="12766"/>
  <c r="G576" i="12766" s="1"/>
  <c r="K619" i="12787"/>
  <c r="P52" i="12764"/>
  <c r="R52" i="12764" s="1"/>
  <c r="L122" i="12812" s="1"/>
  <c r="G275" i="12787"/>
  <c r="G317" i="12787"/>
  <c r="G429" i="12787"/>
  <c r="H429" i="12787"/>
  <c r="H371" i="12787" s="1"/>
  <c r="E82" i="12811"/>
  <c r="E97" i="12811" s="1"/>
  <c r="K59" i="12766"/>
  <c r="K17" i="12766"/>
  <c r="I14" i="12764"/>
  <c r="F46" i="12812"/>
  <c r="S46" i="12812" s="1"/>
  <c r="P67" i="12774"/>
  <c r="AC14" i="12774"/>
  <c r="E41" i="12812" s="1"/>
  <c r="I310" i="12843" s="1"/>
  <c r="AC16" i="12774"/>
  <c r="E43" i="12812" s="1"/>
  <c r="I520" i="12843" s="1"/>
  <c r="AC15" i="12774"/>
  <c r="E42" i="12812" s="1"/>
  <c r="I414" i="12843" s="1"/>
  <c r="N68" i="12774"/>
  <c r="AC9" i="12774"/>
  <c r="AE9" i="12774" s="1"/>
  <c r="Q55" i="12774" s="1"/>
  <c r="AC7" i="12774"/>
  <c r="E14" i="12812" s="1"/>
  <c r="I132" i="12843" s="1"/>
  <c r="AC8" i="12774"/>
  <c r="E15" i="12812" s="1"/>
  <c r="I147" i="12843" s="1"/>
  <c r="P56" i="12774"/>
  <c r="AB22" i="12774"/>
  <c r="X22" i="12774"/>
  <c r="T22" i="12774"/>
  <c r="AA22" i="12774"/>
  <c r="S22" i="12774"/>
  <c r="P66" i="12774"/>
  <c r="P53" i="12774"/>
  <c r="P55" i="12774"/>
  <c r="AC10" i="12774"/>
  <c r="E21" i="12812" s="1"/>
  <c r="I47" i="12843" s="1"/>
  <c r="F68" i="12774"/>
  <c r="AC18" i="12774"/>
  <c r="E46" i="12812" s="1"/>
  <c r="P62" i="12774"/>
  <c r="P61" i="12774"/>
  <c r="AC6" i="12774"/>
  <c r="E13" i="12812" s="1"/>
  <c r="I117" i="12843" s="1"/>
  <c r="AC21" i="12774"/>
  <c r="E53" i="12812" s="1"/>
  <c r="AC20" i="12774"/>
  <c r="E52" i="12812" s="1"/>
  <c r="I65" i="12843" s="1"/>
  <c r="N63" i="12764"/>
  <c r="AC24" i="12774"/>
  <c r="E71" i="12812" s="1"/>
  <c r="P71" i="12774"/>
  <c r="AC27" i="12774"/>
  <c r="E76" i="12812" s="1"/>
  <c r="I126" i="12850" s="1"/>
  <c r="AC26" i="12774"/>
  <c r="E73" i="12812" s="1"/>
  <c r="AC28" i="12774"/>
  <c r="E79" i="12812" s="1"/>
  <c r="AC31" i="12774"/>
  <c r="E84" i="12812" s="1"/>
  <c r="H13" i="12811"/>
  <c r="C117" i="12843" s="1"/>
  <c r="AE6" i="12775"/>
  <c r="P75" i="12774"/>
  <c r="P73" i="12774"/>
  <c r="P72" i="12774"/>
  <c r="P74" i="12774"/>
  <c r="P77" i="12774"/>
  <c r="AC25" i="12774"/>
  <c r="E72" i="12812" s="1"/>
  <c r="AC29" i="12774"/>
  <c r="E81" i="12812" s="1"/>
  <c r="R32" i="12774"/>
  <c r="Q22" i="12774"/>
  <c r="T32" i="12774"/>
  <c r="X32" i="12774"/>
  <c r="AB32" i="12774"/>
  <c r="C64" i="12767"/>
  <c r="C413" i="12767"/>
  <c r="C519" i="12767"/>
  <c r="H47" i="12811"/>
  <c r="C675" i="12767"/>
  <c r="C1065" i="12767"/>
  <c r="E127" i="12812"/>
  <c r="E137" i="12812" s="1"/>
  <c r="I1198" i="12767"/>
  <c r="I125" i="12812"/>
  <c r="N125" i="12811" s="1"/>
  <c r="I122" i="12812"/>
  <c r="N122" i="12811" s="1"/>
  <c r="I17" i="12812"/>
  <c r="N17" i="12811" s="1"/>
  <c r="C1138" i="12767"/>
  <c r="C1198" i="12767"/>
  <c r="C1154" i="12767"/>
  <c r="C873" i="12767"/>
  <c r="C820" i="12767"/>
  <c r="L17" i="12811"/>
  <c r="C146" i="12767"/>
  <c r="C161" i="12767"/>
  <c r="C58" i="12763"/>
  <c r="I121" i="12812"/>
  <c r="F22" i="12812"/>
  <c r="J78" i="12774"/>
  <c r="V32" i="12774"/>
  <c r="Z32" i="12774"/>
  <c r="F78" i="12774"/>
  <c r="N78" i="12774"/>
  <c r="U32" i="12774"/>
  <c r="U22" i="12774"/>
  <c r="G78" i="12774"/>
  <c r="K78" i="12774"/>
  <c r="O78" i="12774"/>
  <c r="Q32" i="12774"/>
  <c r="L78" i="12774"/>
  <c r="Y22" i="12774"/>
  <c r="H78" i="12774"/>
  <c r="W22" i="12774"/>
  <c r="Y32" i="12774"/>
  <c r="W32" i="12774"/>
  <c r="T12" i="12774"/>
  <c r="G58" i="12774"/>
  <c r="AB12" i="12774"/>
  <c r="O58" i="12774"/>
  <c r="W12" i="12774"/>
  <c r="J58" i="12774"/>
  <c r="R12" i="12774"/>
  <c r="E58" i="12774"/>
  <c r="Z12" i="12774"/>
  <c r="M58" i="12774"/>
  <c r="U12" i="12774"/>
  <c r="H58" i="12774"/>
  <c r="X12" i="12774"/>
  <c r="K58" i="12774"/>
  <c r="S12" i="12774"/>
  <c r="F58" i="12774"/>
  <c r="AA12" i="12774"/>
  <c r="N58" i="12774"/>
  <c r="V12" i="12774"/>
  <c r="I58" i="12774"/>
  <c r="Q12" i="12774"/>
  <c r="D58" i="12774"/>
  <c r="Y12" i="12774"/>
  <c r="L58" i="12774"/>
  <c r="X12" i="12775"/>
  <c r="K58" i="12775"/>
  <c r="S12" i="12775"/>
  <c r="F58" i="12775"/>
  <c r="AA12" i="12775"/>
  <c r="N58" i="12775"/>
  <c r="V12" i="12775"/>
  <c r="I58" i="12775"/>
  <c r="Q12" i="12775"/>
  <c r="D58" i="12775"/>
  <c r="Y12" i="12775"/>
  <c r="L58" i="12775"/>
  <c r="T12" i="12775"/>
  <c r="G58" i="12775"/>
  <c r="AB12" i="12775"/>
  <c r="O58" i="12775"/>
  <c r="W12" i="12775"/>
  <c r="J58" i="12775"/>
  <c r="R12" i="12775"/>
  <c r="E58" i="12775"/>
  <c r="Z12" i="12775"/>
  <c r="M58" i="12775"/>
  <c r="U12" i="12775"/>
  <c r="H58" i="12775"/>
  <c r="AC11" i="12775"/>
  <c r="H18" i="12811" s="1"/>
  <c r="AC11" i="12774"/>
  <c r="P63" i="12775"/>
  <c r="K79" i="12763"/>
  <c r="J79" i="12763"/>
  <c r="L79" i="12763" s="1"/>
  <c r="N80" i="12764"/>
  <c r="M80" i="12764"/>
  <c r="O80" i="12764" s="1"/>
  <c r="C58" i="12764"/>
  <c r="C65" i="12764"/>
  <c r="F273" i="12767"/>
  <c r="I273" i="12767"/>
  <c r="I28" i="12764"/>
  <c r="J68" i="12774"/>
  <c r="K472" i="12787"/>
  <c r="K474" i="12787" s="1"/>
  <c r="L197" i="12767"/>
  <c r="X25" i="12764"/>
  <c r="I78" i="12774"/>
  <c r="M78" i="12774"/>
  <c r="S32" i="12774"/>
  <c r="AA32" i="12774"/>
  <c r="N41" i="12764"/>
  <c r="I95" i="12764"/>
  <c r="I98" i="12764" s="1"/>
  <c r="C104" i="12763"/>
  <c r="K317" i="12766"/>
  <c r="K288" i="12766" s="1"/>
  <c r="K290" i="12766" s="1"/>
  <c r="X12" i="12764"/>
  <c r="F196" i="12767"/>
  <c r="N23" i="12764"/>
  <c r="F49" i="12812" s="1"/>
  <c r="M23" i="12764"/>
  <c r="O23" i="12764" s="1"/>
  <c r="Q102" i="12764"/>
  <c r="V102" i="12764"/>
  <c r="R102" i="12764"/>
  <c r="X102" i="12764" s="1"/>
  <c r="U102" i="12764"/>
  <c r="X51" i="12764"/>
  <c r="I289" i="12767"/>
  <c r="I220" i="12767" s="1"/>
  <c r="I288" i="12767"/>
  <c r="I219" i="12767" s="1"/>
  <c r="I287" i="12767"/>
  <c r="I218" i="12767" s="1"/>
  <c r="I654" i="12767"/>
  <c r="I138" i="12767"/>
  <c r="N56" i="12764"/>
  <c r="I108" i="12767"/>
  <c r="C906" i="12767"/>
  <c r="C1285" i="12767" s="1"/>
  <c r="I32" i="12783"/>
  <c r="I44" i="12783" s="1"/>
  <c r="I48" i="12783" s="1"/>
  <c r="AC17" i="12775"/>
  <c r="AE17" i="12775" s="1"/>
  <c r="P65" i="12774"/>
  <c r="AC19" i="12774"/>
  <c r="E49" i="12812" s="1"/>
  <c r="D63" i="12774"/>
  <c r="P63" i="12774" s="1"/>
  <c r="AC17" i="12774"/>
  <c r="AE17" i="12774" s="1"/>
  <c r="Q63" i="12774" s="1"/>
  <c r="AC63" i="12774" s="1"/>
  <c r="X55" i="12764"/>
  <c r="I1064" i="12767"/>
  <c r="P23" i="12764" s="1"/>
  <c r="F1028" i="12767"/>
  <c r="F553" i="12767"/>
  <c r="N90" i="12764"/>
  <c r="M90" i="12764"/>
  <c r="O90" i="12764" s="1"/>
  <c r="I81" i="12764"/>
  <c r="Q81" i="12764" s="1"/>
  <c r="I71" i="12764"/>
  <c r="N89" i="12764"/>
  <c r="I91" i="12764"/>
  <c r="M89" i="12764"/>
  <c r="O89" i="12764" s="1"/>
  <c r="M47" i="12764"/>
  <c r="O47" i="12764" s="1"/>
  <c r="N24" i="12764"/>
  <c r="F52" i="12812" s="1"/>
  <c r="S52" i="12812" s="1"/>
  <c r="S54" i="12812" s="1"/>
  <c r="M24" i="12764"/>
  <c r="O24" i="12764" s="1"/>
  <c r="I64" i="12764"/>
  <c r="J88" i="12763"/>
  <c r="L88" i="12763" s="1"/>
  <c r="K88" i="12763"/>
  <c r="G90" i="12763"/>
  <c r="M26" i="12764"/>
  <c r="O26" i="12764" s="1"/>
  <c r="N26" i="12764"/>
  <c r="F41" i="12812" s="1"/>
  <c r="S41" i="12812" s="1"/>
  <c r="S44" i="12812" s="1"/>
  <c r="Q26" i="12764"/>
  <c r="G68" i="12763"/>
  <c r="K8" i="12763"/>
  <c r="I14" i="12811" s="1"/>
  <c r="J8" i="12763"/>
  <c r="L8" i="12763" s="1"/>
  <c r="K12" i="12763"/>
  <c r="I21" i="12811" s="1"/>
  <c r="G63" i="12763"/>
  <c r="J12" i="12763"/>
  <c r="L12" i="12763" s="1"/>
  <c r="N8" i="12764"/>
  <c r="F14" i="12812" s="1"/>
  <c r="S14" i="12812" s="1"/>
  <c r="M8" i="12764"/>
  <c r="O8" i="12764" s="1"/>
  <c r="I68" i="12764"/>
  <c r="N7" i="12764"/>
  <c r="F13" i="12812" s="1"/>
  <c r="S13" i="12812" s="1"/>
  <c r="M7" i="12764"/>
  <c r="O7" i="12764" s="1"/>
  <c r="Y7" i="12764" s="1"/>
  <c r="I67" i="12764"/>
  <c r="K72" i="12763"/>
  <c r="J72" i="12763"/>
  <c r="L72" i="12763" s="1"/>
  <c r="K100" i="12763"/>
  <c r="J100" i="12763"/>
  <c r="L100" i="12763" s="1"/>
  <c r="N73" i="12764"/>
  <c r="M73" i="12764"/>
  <c r="O73" i="12764" s="1"/>
  <c r="N10" i="12764"/>
  <c r="I74" i="12764"/>
  <c r="M10" i="12764"/>
  <c r="O10" i="12764" s="1"/>
  <c r="K52" i="12763"/>
  <c r="I122" i="12811" s="1"/>
  <c r="J52" i="12763"/>
  <c r="L52" i="12763" s="1"/>
  <c r="G102" i="12763"/>
  <c r="K55" i="12763"/>
  <c r="I125" i="12811" s="1"/>
  <c r="J55" i="12763"/>
  <c r="L55" i="12763" s="1"/>
  <c r="G108" i="12763"/>
  <c r="E68" i="12775"/>
  <c r="E89" i="12775"/>
  <c r="N108" i="12764"/>
  <c r="M108" i="12764"/>
  <c r="O108" i="12764" s="1"/>
  <c r="K36" i="12763"/>
  <c r="I79" i="12811" s="1"/>
  <c r="I82" i="12811" s="1"/>
  <c r="G92" i="12763"/>
  <c r="J36" i="12763"/>
  <c r="L36" i="12763" s="1"/>
  <c r="M110" i="12764"/>
  <c r="O110" i="12764" s="1"/>
  <c r="N110" i="12764"/>
  <c r="N77" i="12764"/>
  <c r="M77" i="12764"/>
  <c r="O77" i="12764" s="1"/>
  <c r="M41" i="12764"/>
  <c r="O41" i="12764" s="1"/>
  <c r="K54" i="12763"/>
  <c r="I124" i="12811" s="1"/>
  <c r="J54" i="12763"/>
  <c r="L54" i="12763" s="1"/>
  <c r="G98" i="12763"/>
  <c r="K35" i="12763"/>
  <c r="I76" i="12811" s="1"/>
  <c r="I77" i="12811" s="1"/>
  <c r="G83" i="12763"/>
  <c r="J35" i="12763"/>
  <c r="L35" i="12763" s="1"/>
  <c r="K33" i="12763"/>
  <c r="I72" i="12811" s="1"/>
  <c r="J33" i="12763"/>
  <c r="L33" i="12763" s="1"/>
  <c r="G77" i="12763"/>
  <c r="K23" i="12763"/>
  <c r="I49" i="12811" s="1"/>
  <c r="J23" i="12763"/>
  <c r="L23" i="12763" s="1"/>
  <c r="G834" i="12787"/>
  <c r="G806" i="12787" s="1"/>
  <c r="G778" i="12787" s="1"/>
  <c r="H834" i="12787"/>
  <c r="H240" i="12787"/>
  <c r="H184" i="12787" s="1"/>
  <c r="H154" i="12787" s="1"/>
  <c r="D184" i="12787"/>
  <c r="D154" i="12787" s="1"/>
  <c r="M154" i="12787" s="1"/>
  <c r="I1209" i="12767"/>
  <c r="AC30" i="12774"/>
  <c r="E80" i="12812" s="1"/>
  <c r="E76" i="12774"/>
  <c r="P76" i="12774" s="1"/>
  <c r="K32" i="12763"/>
  <c r="I71" i="12811" s="1"/>
  <c r="J32" i="12763"/>
  <c r="L32" i="12763" s="1"/>
  <c r="G41" i="12763"/>
  <c r="K39" i="12763"/>
  <c r="J39" i="12763"/>
  <c r="L39" i="12763" s="1"/>
  <c r="G95" i="12763"/>
  <c r="M56" i="12764"/>
  <c r="O56" i="12764" s="1"/>
  <c r="N104" i="12764"/>
  <c r="I106" i="12764"/>
  <c r="M104" i="12764"/>
  <c r="O104" i="12764" s="1"/>
  <c r="N84" i="12764"/>
  <c r="M84" i="12764"/>
  <c r="O84" i="12764" s="1"/>
  <c r="K53" i="12763"/>
  <c r="I123" i="12811" s="1"/>
  <c r="G56" i="12763"/>
  <c r="G103" i="12763"/>
  <c r="J53" i="12763"/>
  <c r="L53" i="12763" s="1"/>
  <c r="K25" i="12763"/>
  <c r="I53" i="12811" s="1"/>
  <c r="G106" i="12763"/>
  <c r="J25" i="12763"/>
  <c r="L25" i="12763" s="1"/>
  <c r="K24" i="12763"/>
  <c r="I52" i="12811" s="1"/>
  <c r="K52" i="12811" s="1"/>
  <c r="G64" i="12763"/>
  <c r="J64" i="12763" s="1"/>
  <c r="L64" i="12763" s="1"/>
  <c r="J24" i="12763"/>
  <c r="L24" i="12763" s="1"/>
  <c r="J7" i="12763"/>
  <c r="L7" i="12763" s="1"/>
  <c r="G67" i="12763"/>
  <c r="K7" i="12763"/>
  <c r="F412" i="12767"/>
  <c r="F358" i="12767"/>
  <c r="M758" i="12766"/>
  <c r="G727" i="12766"/>
  <c r="G729" i="12766" s="1"/>
  <c r="K574" i="12787"/>
  <c r="H771" i="12766"/>
  <c r="R776" i="12766" s="1"/>
  <c r="H784" i="12766"/>
  <c r="G61" i="12787"/>
  <c r="G88" i="12787"/>
  <c r="B27" i="12783"/>
  <c r="H88" i="12787"/>
  <c r="H143" i="12766"/>
  <c r="H89" i="12766"/>
  <c r="H91" i="12766" s="1"/>
  <c r="N105" i="12764"/>
  <c r="M105" i="12764"/>
  <c r="O105" i="12764" s="1"/>
  <c r="Q85" i="12764"/>
  <c r="M85" i="12764"/>
  <c r="O85" i="12764" s="1"/>
  <c r="N85" i="12764"/>
  <c r="X85" i="12764" s="1"/>
  <c r="G94" i="12763"/>
  <c r="C96" i="12763"/>
  <c r="G838" i="12787"/>
  <c r="G810" i="12787" s="1"/>
  <c r="G782" i="12787" s="1"/>
  <c r="H838" i="12787"/>
  <c r="G837" i="12787"/>
  <c r="G809" i="12787" s="1"/>
  <c r="G781" i="12787" s="1"/>
  <c r="H837" i="12787"/>
  <c r="K268" i="12787"/>
  <c r="K346" i="12787"/>
  <c r="K288" i="12787" s="1"/>
  <c r="D183" i="12787"/>
  <c r="H239" i="12787"/>
  <c r="H183" i="12787" s="1"/>
  <c r="H153" i="12787" s="1"/>
  <c r="T150" i="12787" s="1"/>
  <c r="J18" i="12763"/>
  <c r="L18" i="12763" s="1"/>
  <c r="G76" i="12763"/>
  <c r="K18" i="12763"/>
  <c r="I41" i="12811" s="1"/>
  <c r="F1209" i="12767"/>
  <c r="F1163" i="12767"/>
  <c r="F1167" i="12767" s="1"/>
  <c r="F1102" i="12767"/>
  <c r="F864" i="12767"/>
  <c r="F758" i="12767" s="1"/>
  <c r="N100" i="12764"/>
  <c r="M100" i="12764"/>
  <c r="O100" i="12764" s="1"/>
  <c r="C377" i="12767"/>
  <c r="M625" i="12787"/>
  <c r="K434" i="12766"/>
  <c r="K436" i="12766" s="1"/>
  <c r="U769" i="12787"/>
  <c r="W769" i="12787" s="1"/>
  <c r="S592" i="12766"/>
  <c r="U592" i="12766" s="1"/>
  <c r="G797" i="12787"/>
  <c r="G769" i="12787" s="1"/>
  <c r="AE18" i="12775"/>
  <c r="Q64" i="12775" s="1"/>
  <c r="R64" i="12775" s="1"/>
  <c r="AE21" i="12775"/>
  <c r="C870" i="12787"/>
  <c r="C871" i="12787" s="1"/>
  <c r="G68" i="12774"/>
  <c r="K68" i="12774"/>
  <c r="O68" i="12774"/>
  <c r="P60" i="12775"/>
  <c r="AE14" i="12775"/>
  <c r="Q60" i="12775" s="1"/>
  <c r="AE15" i="12775"/>
  <c r="Q61" i="12775" s="1"/>
  <c r="AE39" i="12775"/>
  <c r="H68" i="12774"/>
  <c r="L68" i="12774"/>
  <c r="O761" i="12766"/>
  <c r="AE20" i="12775"/>
  <c r="C217" i="12787"/>
  <c r="K485" i="12766"/>
  <c r="H591" i="12766"/>
  <c r="R592" i="12766" s="1"/>
  <c r="H727" i="12766"/>
  <c r="H729" i="12766" s="1"/>
  <c r="K939" i="12766"/>
  <c r="D928" i="12766"/>
  <c r="M928" i="12766" s="1"/>
  <c r="H939" i="12766"/>
  <c r="M490" i="12766"/>
  <c r="D508" i="12766"/>
  <c r="G203" i="12766"/>
  <c r="J20" i="12763"/>
  <c r="L20" i="12763" s="1"/>
  <c r="G28" i="12763"/>
  <c r="G78" i="12763"/>
  <c r="K20" i="12763"/>
  <c r="I43" i="12811" s="1"/>
  <c r="G835" i="12787"/>
  <c r="H835" i="12787"/>
  <c r="G794" i="12787"/>
  <c r="G766" i="12787" s="1"/>
  <c r="G374" i="12787"/>
  <c r="G405" i="12787"/>
  <c r="P75" i="12775"/>
  <c r="E78" i="12775"/>
  <c r="AE8" i="12775"/>
  <c r="Q54" i="12775" s="1"/>
  <c r="R54" i="12775" s="1"/>
  <c r="P60" i="12774"/>
  <c r="C97" i="12787"/>
  <c r="AE42" i="12774"/>
  <c r="Q88" i="12774" s="1"/>
  <c r="R88" i="12774" s="1"/>
  <c r="Q972" i="12766"/>
  <c r="R972" i="12766" s="1"/>
  <c r="Q974" i="12766"/>
  <c r="R974" i="12766" s="1"/>
  <c r="Q977" i="12766"/>
  <c r="R977" i="12766" s="1"/>
  <c r="Q981" i="12766"/>
  <c r="R981" i="12766" s="1"/>
  <c r="Q984" i="12766"/>
  <c r="R984" i="12766" s="1"/>
  <c r="Q988" i="12766"/>
  <c r="R988" i="12766" s="1"/>
  <c r="Q990" i="12766"/>
  <c r="R990" i="12766" s="1"/>
  <c r="Q993" i="12766"/>
  <c r="R993" i="12766" s="1"/>
  <c r="Q996" i="12766"/>
  <c r="R996" i="12766" s="1"/>
  <c r="Q999" i="12766"/>
  <c r="R999" i="12766" s="1"/>
  <c r="Q973" i="12766"/>
  <c r="R973" i="12766" s="1"/>
  <c r="Q976" i="12766"/>
  <c r="R976" i="12766" s="1"/>
  <c r="Q980" i="12766"/>
  <c r="R980" i="12766" s="1"/>
  <c r="Q982" i="12766"/>
  <c r="R982" i="12766" s="1"/>
  <c r="Q985" i="12766"/>
  <c r="R985" i="12766" s="1"/>
  <c r="Q989" i="12766"/>
  <c r="R989" i="12766" s="1"/>
  <c r="Q992" i="12766"/>
  <c r="R992" i="12766" s="1"/>
  <c r="Q995" i="12766"/>
  <c r="R995" i="12766" s="1"/>
  <c r="Q997" i="12766"/>
  <c r="R997" i="12766" s="1"/>
  <c r="K945" i="12787"/>
  <c r="AE41" i="12775"/>
  <c r="Q87" i="12775" s="1"/>
  <c r="R87" i="12775" s="1"/>
  <c r="H357" i="12787"/>
  <c r="H151" i="12787" s="1"/>
  <c r="H257" i="12766"/>
  <c r="H201" i="12766" s="1"/>
  <c r="H172" i="12766" s="1"/>
  <c r="K257" i="12766"/>
  <c r="K254" i="12766"/>
  <c r="H254" i="12766"/>
  <c r="K252" i="12766"/>
  <c r="K196" i="12766" s="1"/>
  <c r="K167" i="12766" s="1"/>
  <c r="H252" i="12766"/>
  <c r="D194" i="12766"/>
  <c r="D165" i="12766" s="1"/>
  <c r="M165" i="12766" s="1"/>
  <c r="K250" i="12766"/>
  <c r="K194" i="12766" s="1"/>
  <c r="K165" i="12766" s="1"/>
  <c r="H250" i="12766"/>
  <c r="H194" i="12766" s="1"/>
  <c r="H165" i="12766" s="1"/>
  <c r="D188" i="12766"/>
  <c r="D159" i="12766" s="1"/>
  <c r="M159" i="12766" s="1"/>
  <c r="H244" i="12766"/>
  <c r="H188" i="12766" s="1"/>
  <c r="K244" i="12766"/>
  <c r="K188" i="12766" s="1"/>
  <c r="H258" i="12766"/>
  <c r="H202" i="12766" s="1"/>
  <c r="D202" i="12766"/>
  <c r="D173" i="12766" s="1"/>
  <c r="M173" i="12766" s="1"/>
  <c r="K258" i="12766"/>
  <c r="K202" i="12766" s="1"/>
  <c r="D193" i="12766"/>
  <c r="D164" i="12766" s="1"/>
  <c r="M164" i="12766" s="1"/>
  <c r="H249" i="12766"/>
  <c r="H193" i="12766" s="1"/>
  <c r="H164" i="12766" s="1"/>
  <c r="K249" i="12766"/>
  <c r="K193" i="12766" s="1"/>
  <c r="K164" i="12766" s="1"/>
  <c r="H245" i="12766"/>
  <c r="H189" i="12766" s="1"/>
  <c r="H160" i="12766" s="1"/>
  <c r="D189" i="12766"/>
  <c r="D160" i="12766" s="1"/>
  <c r="M160" i="12766" s="1"/>
  <c r="K245" i="12766"/>
  <c r="K189" i="12766" s="1"/>
  <c r="K160" i="12766" s="1"/>
  <c r="K183" i="12766"/>
  <c r="K153" i="12766" s="1"/>
  <c r="S166" i="12766" s="1"/>
  <c r="U166" i="12766" s="1"/>
  <c r="D153" i="12766"/>
  <c r="D186" i="12766"/>
  <c r="R40" i="12764"/>
  <c r="L84" i="12812" s="1"/>
  <c r="Q40" i="12764"/>
  <c r="V40" i="12764"/>
  <c r="U40" i="12764"/>
  <c r="R24" i="12764"/>
  <c r="L52" i="12812" s="1"/>
  <c r="Q24" i="12764"/>
  <c r="V24" i="12764"/>
  <c r="U24" i="12764"/>
  <c r="P64" i="12764"/>
  <c r="H973" i="12787"/>
  <c r="H945" i="12787"/>
  <c r="H947" i="12787" s="1"/>
  <c r="P80" i="12775"/>
  <c r="P82" i="12775" s="1"/>
  <c r="D82" i="12775"/>
  <c r="AE34" i="12775"/>
  <c r="AC36" i="12775"/>
  <c r="AE35" i="12775"/>
  <c r="Q81" i="12775" s="1"/>
  <c r="R81" i="12775" s="1"/>
  <c r="K27" i="12763"/>
  <c r="I46" i="12811" s="1"/>
  <c r="I47" i="12811" s="1"/>
  <c r="J27" i="12763"/>
  <c r="L27" i="12763" s="1"/>
  <c r="G84" i="12763"/>
  <c r="H857" i="12787"/>
  <c r="H801" i="12787" s="1"/>
  <c r="H773" i="12787" s="1"/>
  <c r="T771" i="12787" s="1"/>
  <c r="D871" i="12787"/>
  <c r="D801" i="12787"/>
  <c r="H865" i="12787"/>
  <c r="H809" i="12787" s="1"/>
  <c r="H781" i="12787" s="1"/>
  <c r="D809" i="12787"/>
  <c r="D781" i="12787" s="1"/>
  <c r="M781" i="12787" s="1"/>
  <c r="H862" i="12787"/>
  <c r="H806" i="12787" s="1"/>
  <c r="H778" i="12787" s="1"/>
  <c r="D806" i="12787"/>
  <c r="D778" i="12787" s="1"/>
  <c r="M778" i="12787" s="1"/>
  <c r="G863" i="12787"/>
  <c r="H863" i="12787"/>
  <c r="K701" i="12787"/>
  <c r="K599" i="12787" s="1"/>
  <c r="I720" i="12787"/>
  <c r="K720" i="12787" s="1"/>
  <c r="K488" i="12787"/>
  <c r="U483" i="12787" s="1"/>
  <c r="W483" i="12787" s="1"/>
  <c r="D276" i="12787"/>
  <c r="H305" i="12787"/>
  <c r="H276" i="12787" s="1"/>
  <c r="D275" i="12787"/>
  <c r="H304" i="12787"/>
  <c r="H275" i="12787" s="1"/>
  <c r="D273" i="12787"/>
  <c r="H302" i="12787"/>
  <c r="D194" i="12787"/>
  <c r="D165" i="12787" s="1"/>
  <c r="M165" i="12787" s="1"/>
  <c r="H250" i="12787"/>
  <c r="H194" i="12787" s="1"/>
  <c r="H165" i="12787" s="1"/>
  <c r="H104" i="12787"/>
  <c r="H89" i="12787"/>
  <c r="H91" i="12787" s="1"/>
  <c r="U10" i="12764"/>
  <c r="T74" i="12764"/>
  <c r="V10" i="12764"/>
  <c r="T63" i="12764"/>
  <c r="F373" i="12767"/>
  <c r="F447" i="12767"/>
  <c r="C524" i="12787"/>
  <c r="P84" i="12774"/>
  <c r="E89" i="12774"/>
  <c r="AE38" i="12774"/>
  <c r="I470" i="12767"/>
  <c r="I518" i="12767"/>
  <c r="M506" i="12766"/>
  <c r="K361" i="12766"/>
  <c r="K405" i="12766"/>
  <c r="G758" i="12766"/>
  <c r="G760" i="12766" s="1"/>
  <c r="H676" i="12766"/>
  <c r="H196" i="12766"/>
  <c r="H167" i="12766" s="1"/>
  <c r="O23" i="12766"/>
  <c r="O25" i="12766" s="1"/>
  <c r="K779" i="12766"/>
  <c r="K727" i="12766"/>
  <c r="K729" i="12766" s="1"/>
  <c r="K770" i="12766"/>
  <c r="H807" i="12766"/>
  <c r="H779" i="12766" s="1"/>
  <c r="K624" i="12766"/>
  <c r="G506" i="12766"/>
  <c r="G508" i="12766" s="1"/>
  <c r="H360" i="12766"/>
  <c r="K363" i="12766"/>
  <c r="H375" i="12766"/>
  <c r="H619" i="12766"/>
  <c r="H618" i="12766"/>
  <c r="K619" i="12766"/>
  <c r="K618" i="12766"/>
  <c r="D198" i="12766"/>
  <c r="D169" i="12766" s="1"/>
  <c r="M169" i="12766" s="1"/>
  <c r="P922" i="12787"/>
  <c r="K758" i="12787"/>
  <c r="H42" i="12787"/>
  <c r="F342" i="12767"/>
  <c r="H892" i="12766"/>
  <c r="H781" i="12766" s="1"/>
  <c r="K892" i="12766"/>
  <c r="K781" i="12766" s="1"/>
  <c r="K573" i="12766"/>
  <c r="K574" i="12766" s="1"/>
  <c r="K576" i="12766" s="1"/>
  <c r="H573" i="12766"/>
  <c r="H574" i="12766" s="1"/>
  <c r="H576" i="12766" s="1"/>
  <c r="K319" i="12766"/>
  <c r="G813" i="12766"/>
  <c r="G843" i="12766"/>
  <c r="K231" i="12766"/>
  <c r="G25" i="12766"/>
  <c r="G27" i="12766" s="1"/>
  <c r="G44" i="12766"/>
  <c r="G625" i="12787"/>
  <c r="C218" i="12787"/>
  <c r="K797" i="12766"/>
  <c r="K769" i="12766" s="1"/>
  <c r="K841" i="12766"/>
  <c r="H797" i="12766"/>
  <c r="H769" i="12766" s="1"/>
  <c r="H841" i="12766"/>
  <c r="D815" i="12766"/>
  <c r="D773" i="12766"/>
  <c r="H484" i="12766"/>
  <c r="M80" i="12766"/>
  <c r="P92" i="12766"/>
  <c r="O92" i="12766"/>
  <c r="D929" i="12766"/>
  <c r="M929" i="12766" s="1"/>
  <c r="H940" i="12766"/>
  <c r="H929" i="12766" s="1"/>
  <c r="K940" i="12766"/>
  <c r="K929" i="12766" s="1"/>
  <c r="H490" i="12766"/>
  <c r="S494" i="12766" s="1"/>
  <c r="H540" i="12766"/>
  <c r="R8" i="12764"/>
  <c r="U8" i="12764"/>
  <c r="Q8" i="12764"/>
  <c r="V8" i="12764"/>
  <c r="P68" i="12764"/>
  <c r="R54" i="12764"/>
  <c r="L124" i="12812" s="1"/>
  <c r="U54" i="12764"/>
  <c r="Q54" i="12764"/>
  <c r="V54" i="12764"/>
  <c r="P100" i="12764"/>
  <c r="R11" i="12764"/>
  <c r="Q11" i="12764"/>
  <c r="P63" i="12764"/>
  <c r="K356" i="12787"/>
  <c r="K150" i="12787" s="1"/>
  <c r="K405" i="12787"/>
  <c r="G832" i="12787"/>
  <c r="H832" i="12787"/>
  <c r="H794" i="12787"/>
  <c r="H766" i="12787" s="1"/>
  <c r="H594" i="12787"/>
  <c r="T583" i="12787" s="1"/>
  <c r="H727" i="12787"/>
  <c r="H729" i="12787" s="1"/>
  <c r="P80" i="12774"/>
  <c r="D82" i="12774"/>
  <c r="D78" i="12774"/>
  <c r="K259" i="12787"/>
  <c r="K184" i="12787"/>
  <c r="K154" i="12787" s="1"/>
  <c r="L720" i="12767"/>
  <c r="P720" i="12767" s="1"/>
  <c r="P721" i="12843" s="1"/>
  <c r="P52" i="12775"/>
  <c r="C216" i="12787"/>
  <c r="P52" i="12774"/>
  <c r="P86" i="12774"/>
  <c r="D89" i="12774"/>
  <c r="AE40" i="12774"/>
  <c r="Q86" i="12774" s="1"/>
  <c r="AE39" i="12774"/>
  <c r="Q85" i="12774" s="1"/>
  <c r="R85" i="12774" s="1"/>
  <c r="O1004" i="12766"/>
  <c r="P1004" i="12766"/>
  <c r="G781" i="12766"/>
  <c r="G896" i="12766"/>
  <c r="G898" i="12766" s="1"/>
  <c r="Q905" i="12766"/>
  <c r="R905" i="12766" s="1"/>
  <c r="Q907" i="12766"/>
  <c r="R907" i="12766" s="1"/>
  <c r="Q904" i="12766"/>
  <c r="R904" i="12766" s="1"/>
  <c r="Q906" i="12766"/>
  <c r="R906" i="12766" s="1"/>
  <c r="C174" i="12766"/>
  <c r="C176" i="12766" s="1"/>
  <c r="C1006" i="12766" s="1"/>
  <c r="C1009" i="12766" s="1"/>
  <c r="C1016" i="12766" s="1"/>
  <c r="C205" i="12766"/>
  <c r="K255" i="12766"/>
  <c r="K199" i="12766" s="1"/>
  <c r="K170" i="12766" s="1"/>
  <c r="H255" i="12766"/>
  <c r="K253" i="12766"/>
  <c r="K197" i="12766" s="1"/>
  <c r="K168" i="12766" s="1"/>
  <c r="H253" i="12766"/>
  <c r="H197" i="12766" s="1"/>
  <c r="K251" i="12766"/>
  <c r="K195" i="12766" s="1"/>
  <c r="K166" i="12766" s="1"/>
  <c r="H251" i="12766"/>
  <c r="H195" i="12766" s="1"/>
  <c r="H166" i="12766" s="1"/>
  <c r="H247" i="12766"/>
  <c r="H191" i="12766" s="1"/>
  <c r="H162" i="12766" s="1"/>
  <c r="D191" i="12766"/>
  <c r="D162" i="12766" s="1"/>
  <c r="M162" i="12766" s="1"/>
  <c r="K247" i="12766"/>
  <c r="K191" i="12766" s="1"/>
  <c r="K162" i="12766" s="1"/>
  <c r="D187" i="12766"/>
  <c r="H243" i="12766"/>
  <c r="H187" i="12766" s="1"/>
  <c r="H158" i="12766" s="1"/>
  <c r="K243" i="12766"/>
  <c r="K187" i="12766" s="1"/>
  <c r="D200" i="12766"/>
  <c r="D171" i="12766" s="1"/>
  <c r="M171" i="12766" s="1"/>
  <c r="H256" i="12766"/>
  <c r="H200" i="12766" s="1"/>
  <c r="H171" i="12766" s="1"/>
  <c r="D190" i="12766"/>
  <c r="D161" i="12766" s="1"/>
  <c r="M161" i="12766" s="1"/>
  <c r="H246" i="12766"/>
  <c r="H190" i="12766" s="1"/>
  <c r="K246" i="12766"/>
  <c r="K190" i="12766" s="1"/>
  <c r="D185" i="12766"/>
  <c r="D155" i="12766" s="1"/>
  <c r="M155" i="12766" s="1"/>
  <c r="H241" i="12766"/>
  <c r="H185" i="12766" s="1"/>
  <c r="H155" i="12766" s="1"/>
  <c r="R167" i="12766" s="1"/>
  <c r="K241" i="12766"/>
  <c r="K185" i="12766" s="1"/>
  <c r="K155" i="12766" s="1"/>
  <c r="S167" i="12766" s="1"/>
  <c r="U167" i="12766" s="1"/>
  <c r="H183" i="12766"/>
  <c r="H153" i="12766" s="1"/>
  <c r="R166" i="12766" s="1"/>
  <c r="G931" i="12766"/>
  <c r="G933" i="12766" s="1"/>
  <c r="G944" i="12766"/>
  <c r="K599" i="12766"/>
  <c r="K676" i="12766"/>
  <c r="G407" i="12766"/>
  <c r="G376" i="12766"/>
  <c r="G378" i="12766" s="1"/>
  <c r="R37" i="12764"/>
  <c r="L80" i="12812" s="1"/>
  <c r="U37" i="12764"/>
  <c r="V37" i="12764"/>
  <c r="Q37" i="12764"/>
  <c r="K813" i="12787"/>
  <c r="P84" i="12775"/>
  <c r="AC43" i="12775"/>
  <c r="AE38" i="12775"/>
  <c r="C759" i="12787"/>
  <c r="C760" i="12787" s="1"/>
  <c r="H866" i="12787"/>
  <c r="D810" i="12787"/>
  <c r="D782" i="12787" s="1"/>
  <c r="M782" i="12787" s="1"/>
  <c r="H864" i="12787"/>
  <c r="H808" i="12787" s="1"/>
  <c r="H780" i="12787" s="1"/>
  <c r="D808" i="12787"/>
  <c r="D780" i="12787" s="1"/>
  <c r="M780" i="12787" s="1"/>
  <c r="D799" i="12787"/>
  <c r="D771" i="12787" s="1"/>
  <c r="M771" i="12787" s="1"/>
  <c r="H855" i="12787"/>
  <c r="H799" i="12787" s="1"/>
  <c r="H771" i="12787" s="1"/>
  <c r="T770" i="12787" s="1"/>
  <c r="H858" i="12787"/>
  <c r="H802" i="12787" s="1"/>
  <c r="H774" i="12787" s="1"/>
  <c r="D802" i="12787"/>
  <c r="D774" i="12787" s="1"/>
  <c r="M774" i="12787" s="1"/>
  <c r="G860" i="12787"/>
  <c r="H860" i="12787"/>
  <c r="D274" i="12787"/>
  <c r="H303" i="12787"/>
  <c r="H274" i="12787" s="1"/>
  <c r="D193" i="12787"/>
  <c r="D164" i="12787" s="1"/>
  <c r="M164" i="12787" s="1"/>
  <c r="H249" i="12787"/>
  <c r="H193" i="12787" s="1"/>
  <c r="H164" i="12787" s="1"/>
  <c r="AE9" i="12775"/>
  <c r="Q55" i="12775" s="1"/>
  <c r="AE7" i="12775"/>
  <c r="Q53" i="12775" s="1"/>
  <c r="R53" i="12775" s="1"/>
  <c r="AE41" i="12774"/>
  <c r="Q87" i="12774" s="1"/>
  <c r="R87" i="12774" s="1"/>
  <c r="I752" i="12767"/>
  <c r="I819" i="12767"/>
  <c r="F470" i="12767"/>
  <c r="F189" i="12767" s="1"/>
  <c r="F518" i="12767"/>
  <c r="F763" i="12767"/>
  <c r="C123" i="12787"/>
  <c r="C8" i="12785"/>
  <c r="F11" i="12785"/>
  <c r="K201" i="12766"/>
  <c r="K172" i="12766" s="1"/>
  <c r="H774" i="12766"/>
  <c r="H361" i="12766"/>
  <c r="M625" i="12766"/>
  <c r="M25" i="12766"/>
  <c r="H798" i="12787"/>
  <c r="H770" i="12787" s="1"/>
  <c r="H676" i="12787"/>
  <c r="P64" i="12774"/>
  <c r="E68" i="12774"/>
  <c r="I68" i="12774"/>
  <c r="M68" i="12774"/>
  <c r="P54" i="12774"/>
  <c r="K198" i="12766"/>
  <c r="K169" i="12766" s="1"/>
  <c r="H770" i="12766"/>
  <c r="H624" i="12766"/>
  <c r="K360" i="12766"/>
  <c r="H363" i="12766"/>
  <c r="K375" i="12766"/>
  <c r="H317" i="12766"/>
  <c r="G619" i="12766"/>
  <c r="G618" i="12766"/>
  <c r="K600" i="12766"/>
  <c r="H199" i="12766"/>
  <c r="H170" i="12766" s="1"/>
  <c r="H198" i="12766"/>
  <c r="H169" i="12766" s="1"/>
  <c r="H405" i="12766"/>
  <c r="H923" i="12787"/>
  <c r="H925" i="12787" s="1"/>
  <c r="K434" i="12787"/>
  <c r="M758" i="12787"/>
  <c r="K500" i="12787"/>
  <c r="F89" i="12774"/>
  <c r="H231" i="12766"/>
  <c r="K540" i="12766"/>
  <c r="F819" i="12767"/>
  <c r="Q45" i="12775" l="1"/>
  <c r="L39" i="12849"/>
  <c r="AE24" i="12775"/>
  <c r="Q70" i="12775" s="1"/>
  <c r="C1105" i="12843"/>
  <c r="C1106" i="12843" s="1"/>
  <c r="AE26" i="12775"/>
  <c r="Q72" i="12775" s="1"/>
  <c r="R72" i="12775" s="1"/>
  <c r="AE31" i="12775"/>
  <c r="Q77" i="12775" s="1"/>
  <c r="R77" i="12775" s="1"/>
  <c r="R74" i="12775"/>
  <c r="AE29" i="12775"/>
  <c r="Q75" i="12775" s="1"/>
  <c r="R75" i="12775" s="1"/>
  <c r="O91" i="12775"/>
  <c r="L91" i="12775"/>
  <c r="H72" i="12811"/>
  <c r="C449" i="12843" s="1"/>
  <c r="C379" i="12843" s="1"/>
  <c r="C380" i="12843" s="1"/>
  <c r="N91" i="12775"/>
  <c r="C1084" i="12767"/>
  <c r="C1047" i="12767" s="1"/>
  <c r="C1048" i="12767" s="1"/>
  <c r="K80" i="12811"/>
  <c r="L80" i="12811" s="1"/>
  <c r="AE30" i="12775"/>
  <c r="Q76" i="12775" s="1"/>
  <c r="R76" i="12775" s="1"/>
  <c r="M91" i="12775"/>
  <c r="G91" i="12775"/>
  <c r="AE27" i="12775"/>
  <c r="Q73" i="12775" s="1"/>
  <c r="R73" i="12775" s="1"/>
  <c r="H91" i="12775"/>
  <c r="AC32" i="12775"/>
  <c r="H79" i="12811"/>
  <c r="C897" i="12767" s="1"/>
  <c r="C898" i="12767" s="1"/>
  <c r="P78" i="12775"/>
  <c r="R70" i="12775"/>
  <c r="J91" i="12775"/>
  <c r="K91" i="12775"/>
  <c r="R71" i="12775"/>
  <c r="AE10" i="12775"/>
  <c r="Q56" i="12775" s="1"/>
  <c r="R56" i="12775" s="1"/>
  <c r="AE42" i="12775"/>
  <c r="Q88" i="12775" s="1"/>
  <c r="R88" i="12775" s="1"/>
  <c r="K41" i="12811"/>
  <c r="K125" i="12811"/>
  <c r="C1265" i="12767"/>
  <c r="H50" i="12811"/>
  <c r="C1068" i="12843"/>
  <c r="L39" i="12831"/>
  <c r="AE16" i="12775"/>
  <c r="Q62" i="12775" s="1"/>
  <c r="R62" i="12775" s="1"/>
  <c r="I91" i="12775"/>
  <c r="F91" i="12775"/>
  <c r="C309" i="12767"/>
  <c r="C676" i="12843"/>
  <c r="C677" i="12843" s="1"/>
  <c r="C88" i="12850"/>
  <c r="C89" i="12850" s="1"/>
  <c r="C973" i="12843"/>
  <c r="C974" i="12843" s="1"/>
  <c r="L39" i="12848"/>
  <c r="G172" i="12787"/>
  <c r="D89" i="12775"/>
  <c r="R55" i="12775"/>
  <c r="H841" i="12787"/>
  <c r="H843" i="12787" s="1"/>
  <c r="AE19" i="12775"/>
  <c r="H44" i="12811"/>
  <c r="I676" i="12843"/>
  <c r="I88" i="12850"/>
  <c r="I48" i="12850" s="1"/>
  <c r="G288" i="12787"/>
  <c r="L126" i="12850"/>
  <c r="F126" i="12850"/>
  <c r="F127" i="12850" s="1"/>
  <c r="I127" i="12850"/>
  <c r="C127" i="12850"/>
  <c r="C48" i="12850"/>
  <c r="C49" i="12850" s="1"/>
  <c r="J74" i="12763"/>
  <c r="L74" i="12763" s="1"/>
  <c r="I874" i="12843"/>
  <c r="F874" i="12843" s="1"/>
  <c r="F875" i="12843" s="1"/>
  <c r="I821" i="12843"/>
  <c r="F821" i="12843" s="1"/>
  <c r="F822" i="12843" s="1"/>
  <c r="I820" i="12767"/>
  <c r="L820" i="12767" s="1"/>
  <c r="P82" i="12774"/>
  <c r="AC36" i="12774"/>
  <c r="E103" i="12812"/>
  <c r="E117" i="12812" s="1"/>
  <c r="F47" i="12843"/>
  <c r="F48" i="12843" s="1"/>
  <c r="L47" i="12843"/>
  <c r="I48" i="12843"/>
  <c r="L310" i="12843"/>
  <c r="F310" i="12843"/>
  <c r="F311" i="12843" s="1"/>
  <c r="I311" i="12843"/>
  <c r="C1171" i="12843"/>
  <c r="C1172" i="12843" s="1"/>
  <c r="C1203" i="12843"/>
  <c r="L29" i="12831"/>
  <c r="L29" i="12848"/>
  <c r="L29" i="12849"/>
  <c r="L29" i="12783"/>
  <c r="C768" i="12843"/>
  <c r="C769" i="12843" s="1"/>
  <c r="C822" i="12843"/>
  <c r="H505" i="12766"/>
  <c r="K896" i="12766"/>
  <c r="K898" i="12766" s="1"/>
  <c r="H168" i="12766"/>
  <c r="G625" i="12766"/>
  <c r="G627" i="12766" s="1"/>
  <c r="H434" i="12787"/>
  <c r="H436" i="12787" s="1"/>
  <c r="K618" i="12787"/>
  <c r="AE40" i="12775"/>
  <c r="Q86" i="12775" s="1"/>
  <c r="R86" i="12775" s="1"/>
  <c r="R61" i="12775"/>
  <c r="C131" i="12767"/>
  <c r="C1210" i="12767"/>
  <c r="H127" i="12811"/>
  <c r="H137" i="12811" s="1"/>
  <c r="C1225" i="12767"/>
  <c r="C100" i="12843"/>
  <c r="C101" i="12843" s="1"/>
  <c r="C118" i="12843"/>
  <c r="L65" i="12843"/>
  <c r="F65" i="12843"/>
  <c r="F66" i="12843" s="1"/>
  <c r="I66" i="12843"/>
  <c r="I873" i="12767"/>
  <c r="L873" i="12767" s="1"/>
  <c r="K676" i="12787"/>
  <c r="K625" i="12787" s="1"/>
  <c r="O39" i="12831"/>
  <c r="O39" i="12849"/>
  <c r="O39" i="12783"/>
  <c r="O39" i="12848"/>
  <c r="O36" i="12848"/>
  <c r="O36" i="12849"/>
  <c r="O36" i="12831"/>
  <c r="O36" i="12783"/>
  <c r="F1171" i="12843"/>
  <c r="F1172" i="12843" s="1"/>
  <c r="L1171" i="12843"/>
  <c r="I1172" i="12843"/>
  <c r="I53" i="12812"/>
  <c r="J53" i="12812" s="1"/>
  <c r="AF21" i="12774" s="1"/>
  <c r="I1231" i="12843"/>
  <c r="L676" i="12843"/>
  <c r="F676" i="12843"/>
  <c r="F677" i="12843" s="1"/>
  <c r="I677" i="12843"/>
  <c r="F147" i="12843"/>
  <c r="F148" i="12843" s="1"/>
  <c r="L147" i="12843"/>
  <c r="I148" i="12843"/>
  <c r="F414" i="12843"/>
  <c r="F415" i="12843" s="1"/>
  <c r="L414" i="12843"/>
  <c r="I415" i="12843"/>
  <c r="G869" i="12787"/>
  <c r="H810" i="12787"/>
  <c r="H782" i="12787" s="1"/>
  <c r="P89" i="12775"/>
  <c r="D158" i="12766"/>
  <c r="M158" i="12766" s="1"/>
  <c r="AE35" i="12774"/>
  <c r="Q81" i="12774" s="1"/>
  <c r="R81" i="12774" s="1"/>
  <c r="I1065" i="12767"/>
  <c r="F1065" i="12767" s="1"/>
  <c r="I1067" i="12843"/>
  <c r="K18" i="12811"/>
  <c r="C275" i="12843"/>
  <c r="C276" i="12843" s="1"/>
  <c r="H54" i="12811"/>
  <c r="H68" i="12811" s="1"/>
  <c r="L117" i="12843"/>
  <c r="F117" i="12843"/>
  <c r="F118" i="12843" s="1"/>
  <c r="I118" i="12843"/>
  <c r="L132" i="12843"/>
  <c r="F132" i="12843"/>
  <c r="F133" i="12843" s="1"/>
  <c r="I133" i="12843"/>
  <c r="F520" i="12843"/>
  <c r="F521" i="12843" s="1"/>
  <c r="L520" i="12843"/>
  <c r="I521" i="12843"/>
  <c r="O37" i="12849"/>
  <c r="O37" i="12848"/>
  <c r="O37" i="12831"/>
  <c r="O37" i="12783"/>
  <c r="X765" i="12767"/>
  <c r="X766" i="12843" s="1"/>
  <c r="V871" i="12767"/>
  <c r="X871" i="12767" s="1"/>
  <c r="C112" i="12764"/>
  <c r="L743" i="12843"/>
  <c r="V872" i="12843"/>
  <c r="X872" i="12843" s="1"/>
  <c r="V819" i="12843"/>
  <c r="X819" i="12843" s="1"/>
  <c r="J872" i="12843"/>
  <c r="L872" i="12843" s="1"/>
  <c r="J819" i="12843"/>
  <c r="L819" i="12843" s="1"/>
  <c r="Y23" i="12767"/>
  <c r="Y23" i="12843"/>
  <c r="Y1166" i="12767"/>
  <c r="V1166" i="12767" s="1"/>
  <c r="V1208" i="12767" s="1"/>
  <c r="Y1169" i="12843"/>
  <c r="Y1222" i="12767"/>
  <c r="J1222" i="12767" s="1"/>
  <c r="Y1228" i="12843"/>
  <c r="Y1136" i="12767"/>
  <c r="L1136" i="12767" s="1"/>
  <c r="Y1138" i="12843"/>
  <c r="Y1151" i="12767"/>
  <c r="J1151" i="12767" s="1"/>
  <c r="Y1154" i="12843"/>
  <c r="J1154" i="12843" s="1"/>
  <c r="Y1263" i="12767"/>
  <c r="L1263" i="12767" s="1"/>
  <c r="Y1269" i="12843"/>
  <c r="C991" i="12843"/>
  <c r="C992" i="12843" s="1"/>
  <c r="C1049" i="12843"/>
  <c r="C1011" i="12843" s="1"/>
  <c r="C1012" i="12843" s="1"/>
  <c r="I555" i="12843"/>
  <c r="I556" i="12843" s="1"/>
  <c r="C714" i="12843"/>
  <c r="C636" i="12843" s="1"/>
  <c r="C637" i="12843" s="1"/>
  <c r="I1105" i="12843"/>
  <c r="L1105" i="12843" s="1"/>
  <c r="I449" i="12843"/>
  <c r="I450" i="12843" s="1"/>
  <c r="I83" i="12843"/>
  <c r="L83" i="12843" s="1"/>
  <c r="I714" i="12843"/>
  <c r="I636" i="12843" s="1"/>
  <c r="I1086" i="12843"/>
  <c r="L1086" i="12843" s="1"/>
  <c r="C344" i="12843"/>
  <c r="C345" i="12843" s="1"/>
  <c r="C555" i="12843"/>
  <c r="C556" i="12843" s="1"/>
  <c r="C83" i="12843"/>
  <c r="C84" i="12843" s="1"/>
  <c r="I898" i="12843"/>
  <c r="F898" i="12843" s="1"/>
  <c r="F899" i="12843" s="1"/>
  <c r="I344" i="12843"/>
  <c r="F344" i="12843" s="1"/>
  <c r="F345" i="12843" s="1"/>
  <c r="C1286" i="12767"/>
  <c r="C1292" i="12843"/>
  <c r="C1293" i="12843" s="1"/>
  <c r="T633" i="12767"/>
  <c r="T634" i="12843" s="1"/>
  <c r="I1084" i="12767"/>
  <c r="K73" i="12811"/>
  <c r="L73" i="12811" s="1"/>
  <c r="K84" i="12811"/>
  <c r="R1208" i="12767"/>
  <c r="Q52" i="12764"/>
  <c r="Q74" i="12764"/>
  <c r="U11" i="12764"/>
  <c r="F198" i="12767"/>
  <c r="I58" i="12764"/>
  <c r="M58" i="12764" s="1"/>
  <c r="O58" i="12764" s="1"/>
  <c r="R108" i="12764"/>
  <c r="X108" i="12764" s="1"/>
  <c r="M28" i="12764"/>
  <c r="O28" i="12764" s="1"/>
  <c r="C110" i="12763"/>
  <c r="C112" i="12763" s="1"/>
  <c r="V11" i="12764"/>
  <c r="V110" i="12764"/>
  <c r="F50" i="12812"/>
  <c r="S49" i="12812"/>
  <c r="AJ34" i="12774"/>
  <c r="AE34" i="12774"/>
  <c r="U35" i="12764"/>
  <c r="K76" i="12811"/>
  <c r="L1265" i="12767"/>
  <c r="F1265" i="12767"/>
  <c r="K161" i="12766"/>
  <c r="L1198" i="12767"/>
  <c r="F1198" i="12767"/>
  <c r="L1138" i="12767"/>
  <c r="F1138" i="12767"/>
  <c r="F1154" i="12767"/>
  <c r="L1210" i="12767"/>
  <c r="F1210" i="12767"/>
  <c r="K46" i="12811"/>
  <c r="K47" i="12811" s="1"/>
  <c r="N95" i="12764"/>
  <c r="E140" i="12811"/>
  <c r="K43" i="12811"/>
  <c r="L43" i="12811" s="1"/>
  <c r="K53" i="12811"/>
  <c r="L53" i="12811" s="1"/>
  <c r="K123" i="12811"/>
  <c r="L123" i="12811" s="1"/>
  <c r="K122" i="12811"/>
  <c r="L122" i="12811" s="1"/>
  <c r="U71" i="12764"/>
  <c r="U108" i="12764"/>
  <c r="K124" i="12811"/>
  <c r="L124" i="12811" s="1"/>
  <c r="Q110" i="12764"/>
  <c r="I50" i="12811"/>
  <c r="K49" i="12811"/>
  <c r="L49" i="12811" s="1"/>
  <c r="K14" i="12811"/>
  <c r="L14" i="12811" s="1"/>
  <c r="R110" i="12764"/>
  <c r="X110" i="12764" s="1"/>
  <c r="K71" i="12811"/>
  <c r="L71" i="12811" s="1"/>
  <c r="I22" i="12811"/>
  <c r="K21" i="12811"/>
  <c r="P68" i="12775"/>
  <c r="N28" i="12764"/>
  <c r="G85" i="12763"/>
  <c r="G81" i="12763"/>
  <c r="I82" i="12764"/>
  <c r="N82" i="12764" s="1"/>
  <c r="L1065" i="12767"/>
  <c r="V108" i="12764"/>
  <c r="U110" i="12764"/>
  <c r="Q35" i="12764"/>
  <c r="P104" i="12764"/>
  <c r="V104" i="12764" s="1"/>
  <c r="X52" i="12764"/>
  <c r="C1029" i="12767"/>
  <c r="C1030" i="12767" s="1"/>
  <c r="H869" i="12787"/>
  <c r="H871" i="12787" s="1"/>
  <c r="K727" i="12787"/>
  <c r="H22" i="12811"/>
  <c r="H77" i="12811"/>
  <c r="I72" i="12812"/>
  <c r="J72" i="12812" s="1"/>
  <c r="E85" i="12812"/>
  <c r="I73" i="12812"/>
  <c r="N73" i="12811" s="1"/>
  <c r="I116" i="12767"/>
  <c r="I131" i="12767"/>
  <c r="I43" i="12812"/>
  <c r="J43" i="12812" s="1"/>
  <c r="E50" i="12812"/>
  <c r="H85" i="12811"/>
  <c r="I79" i="12812"/>
  <c r="N79" i="12811" s="1"/>
  <c r="E77" i="12812"/>
  <c r="I71" i="12812"/>
  <c r="J71" i="12812" s="1"/>
  <c r="I1225" i="12767"/>
  <c r="I21" i="12812"/>
  <c r="I22" i="12812" s="1"/>
  <c r="I146" i="12767"/>
  <c r="I42" i="12812"/>
  <c r="N42" i="12811" s="1"/>
  <c r="I309" i="12767"/>
  <c r="V35" i="12764"/>
  <c r="V52" i="12764"/>
  <c r="U52" i="12764"/>
  <c r="C1066" i="12767"/>
  <c r="C972" i="12767"/>
  <c r="C973" i="12767" s="1"/>
  <c r="K61" i="12766"/>
  <c r="K25" i="12766"/>
  <c r="K27" i="12766" s="1"/>
  <c r="G371" i="12787"/>
  <c r="G169" i="12787" s="1"/>
  <c r="G434" i="12787"/>
  <c r="H259" i="12766"/>
  <c r="H261" i="12766" s="1"/>
  <c r="P53" i="12764"/>
  <c r="P56" i="12764" s="1"/>
  <c r="V56" i="12764" s="1"/>
  <c r="I54" i="12811"/>
  <c r="I127" i="12811"/>
  <c r="I137" i="12811" s="1"/>
  <c r="X11" i="12764"/>
  <c r="L17" i="12812"/>
  <c r="M17" i="12812" s="1"/>
  <c r="I74" i="12811"/>
  <c r="I97" i="12811" s="1"/>
  <c r="L52" i="12811"/>
  <c r="AE16" i="12774"/>
  <c r="Q62" i="12774" s="1"/>
  <c r="R62" i="12774" s="1"/>
  <c r="I14" i="12812"/>
  <c r="N14" i="12811" s="1"/>
  <c r="L14" i="12812"/>
  <c r="I519" i="12767"/>
  <c r="I554" i="12767"/>
  <c r="I413" i="12767"/>
  <c r="I82" i="12767"/>
  <c r="R55" i="12774"/>
  <c r="E16" i="12812"/>
  <c r="I162" i="12843" s="1"/>
  <c r="I100" i="12843" s="1"/>
  <c r="I897" i="12767"/>
  <c r="AE18" i="12774"/>
  <c r="Q64" i="12774" s="1"/>
  <c r="R64" i="12774" s="1"/>
  <c r="AE15" i="12774"/>
  <c r="Q61" i="12774" s="1"/>
  <c r="R61" i="12774" s="1"/>
  <c r="AE8" i="12774"/>
  <c r="Q54" i="12774" s="1"/>
  <c r="R54" i="12774" s="1"/>
  <c r="AE10" i="12774"/>
  <c r="Q56" i="12774" s="1"/>
  <c r="R56" i="12774" s="1"/>
  <c r="AE21" i="12774"/>
  <c r="Q67" i="12774" s="1"/>
  <c r="R67" i="12774" s="1"/>
  <c r="E44" i="12812"/>
  <c r="AE7" i="12774"/>
  <c r="Q53" i="12774" s="1"/>
  <c r="R53" i="12774" s="1"/>
  <c r="AE20" i="12774"/>
  <c r="Q66" i="12774" s="1"/>
  <c r="R66" i="12774" s="1"/>
  <c r="M95" i="12764"/>
  <c r="O95" i="12764" s="1"/>
  <c r="AC22" i="12775"/>
  <c r="AE24" i="12774"/>
  <c r="Q70" i="12774" s="1"/>
  <c r="R70" i="12774" s="1"/>
  <c r="AE27" i="12774"/>
  <c r="Q73" i="12774" s="1"/>
  <c r="R73" i="12774" s="1"/>
  <c r="I343" i="12767"/>
  <c r="AE29" i="12774"/>
  <c r="Q75" i="12774" s="1"/>
  <c r="R75" i="12774" s="1"/>
  <c r="AE28" i="12774"/>
  <c r="Q74" i="12774" s="1"/>
  <c r="R74" i="12774" s="1"/>
  <c r="I713" i="12767"/>
  <c r="E74" i="12812"/>
  <c r="AE31" i="12774"/>
  <c r="Q77" i="12774" s="1"/>
  <c r="R77" i="12774" s="1"/>
  <c r="AE26" i="12774"/>
  <c r="Q72" i="12774" s="1"/>
  <c r="R72" i="12774" s="1"/>
  <c r="R45" i="12774"/>
  <c r="X26" i="12764"/>
  <c r="X10" i="12764"/>
  <c r="F16" i="12812"/>
  <c r="S16" i="12812" s="1"/>
  <c r="S19" i="12812" s="1"/>
  <c r="AE25" i="12774"/>
  <c r="Q71" i="12774" s="1"/>
  <c r="R71" i="12774" s="1"/>
  <c r="I448" i="12767"/>
  <c r="P45" i="12764"/>
  <c r="P20" i="12764"/>
  <c r="U20" i="12764" s="1"/>
  <c r="X45" i="12774"/>
  <c r="I44" i="12811"/>
  <c r="P13" i="12764"/>
  <c r="Q13" i="12764" s="1"/>
  <c r="AB45" i="12774"/>
  <c r="T45" i="12774"/>
  <c r="L125" i="12811"/>
  <c r="K14" i="12763"/>
  <c r="I13" i="12811"/>
  <c r="K13" i="12811" s="1"/>
  <c r="L41" i="12811"/>
  <c r="J125" i="12812"/>
  <c r="AF42" i="12774" s="1"/>
  <c r="J122" i="12812"/>
  <c r="M122" i="12812" s="1"/>
  <c r="AG17" i="12774"/>
  <c r="E82" i="12812"/>
  <c r="I80" i="12812"/>
  <c r="J80" i="12812" s="1"/>
  <c r="AC32" i="12774"/>
  <c r="I64" i="12767"/>
  <c r="F64" i="12767" s="1"/>
  <c r="F65" i="12767" s="1"/>
  <c r="E54" i="12812"/>
  <c r="I675" i="12767"/>
  <c r="E47" i="12812"/>
  <c r="I49" i="12812"/>
  <c r="J17" i="12812"/>
  <c r="I46" i="12767"/>
  <c r="F46" i="12767" s="1"/>
  <c r="E22" i="12812"/>
  <c r="AE11" i="12774"/>
  <c r="Q57" i="12774" s="1"/>
  <c r="E18" i="12812"/>
  <c r="I275" i="12843" s="1"/>
  <c r="Y45" i="12774"/>
  <c r="Z45" i="12774"/>
  <c r="L121" i="12811"/>
  <c r="K103" i="12811"/>
  <c r="K117" i="12811" s="1"/>
  <c r="L101" i="12811"/>
  <c r="L103" i="12811" s="1"/>
  <c r="C82" i="12767"/>
  <c r="L81" i="12811"/>
  <c r="C1103" i="12767"/>
  <c r="C713" i="12767"/>
  <c r="C714" i="12767" s="1"/>
  <c r="C554" i="12767"/>
  <c r="C555" i="12767" s="1"/>
  <c r="C343" i="12767"/>
  <c r="C46" i="12767"/>
  <c r="C116" i="12767"/>
  <c r="AE11" i="12775"/>
  <c r="Q57" i="12775" s="1"/>
  <c r="H19" i="12811"/>
  <c r="F77" i="12812"/>
  <c r="I76" i="12812"/>
  <c r="F54" i="12812"/>
  <c r="I52" i="12812"/>
  <c r="F85" i="12812"/>
  <c r="F97" i="12812" s="1"/>
  <c r="I84" i="12812"/>
  <c r="J121" i="12812"/>
  <c r="N121" i="12811"/>
  <c r="X54" i="12764"/>
  <c r="I124" i="12812"/>
  <c r="M53" i="12812"/>
  <c r="U45" i="12774"/>
  <c r="G91" i="12774"/>
  <c r="AA45" i="12774"/>
  <c r="N91" i="12774"/>
  <c r="L91" i="12774"/>
  <c r="V45" i="12774"/>
  <c r="J91" i="12774"/>
  <c r="Q45" i="12774"/>
  <c r="S45" i="12774"/>
  <c r="AC22" i="12774"/>
  <c r="P78" i="12774"/>
  <c r="H91" i="12774"/>
  <c r="O91" i="12774"/>
  <c r="W45" i="12774"/>
  <c r="E91" i="12775"/>
  <c r="P57" i="12774"/>
  <c r="P58" i="12774" s="1"/>
  <c r="AE63" i="12774"/>
  <c r="AG63" i="12774" s="1"/>
  <c r="P57" i="12775"/>
  <c r="P58" i="12775" s="1"/>
  <c r="AC12" i="12775"/>
  <c r="AC12" i="12774"/>
  <c r="I89" i="12767"/>
  <c r="F872" i="12767"/>
  <c r="F766" i="12767" s="1"/>
  <c r="I914" i="12767"/>
  <c r="G58" i="12763"/>
  <c r="K58" i="12763" s="1"/>
  <c r="K91" i="12774"/>
  <c r="C1284" i="12767"/>
  <c r="R34" i="12764"/>
  <c r="L73" i="12812" s="1"/>
  <c r="Q34" i="12764"/>
  <c r="U34" i="12764"/>
  <c r="V34" i="12764"/>
  <c r="X8" i="12764"/>
  <c r="X24" i="12764"/>
  <c r="X40" i="12764"/>
  <c r="D68" i="12774"/>
  <c r="D91" i="12774" s="1"/>
  <c r="E78" i="12774"/>
  <c r="E91" i="12774" s="1"/>
  <c r="Q63" i="12775"/>
  <c r="R63" i="12775" s="1"/>
  <c r="AG17" i="12775"/>
  <c r="AE19" i="12774"/>
  <c r="Q65" i="12774" s="1"/>
  <c r="R65" i="12774" s="1"/>
  <c r="X35" i="12764"/>
  <c r="X37" i="12764"/>
  <c r="K28" i="12763"/>
  <c r="K41" i="12763"/>
  <c r="K56" i="12763"/>
  <c r="I1167" i="12767"/>
  <c r="F1064" i="12767"/>
  <c r="N81" i="12764"/>
  <c r="X81" i="12764" s="1"/>
  <c r="M81" i="12764"/>
  <c r="O81" i="12764" s="1"/>
  <c r="Q71" i="12764"/>
  <c r="M71" i="12764"/>
  <c r="O71" i="12764" s="1"/>
  <c r="N71" i="12764"/>
  <c r="X71" i="12764" s="1"/>
  <c r="N91" i="12764"/>
  <c r="M91" i="12764"/>
  <c r="O91" i="12764" s="1"/>
  <c r="M64" i="12764"/>
  <c r="O64" i="12764" s="1"/>
  <c r="N64" i="12764"/>
  <c r="I65" i="12764"/>
  <c r="K63" i="12763"/>
  <c r="J63" i="12763"/>
  <c r="L63" i="12763" s="1"/>
  <c r="J68" i="12763"/>
  <c r="L68" i="12763" s="1"/>
  <c r="K68" i="12763"/>
  <c r="J90" i="12763"/>
  <c r="L90" i="12763" s="1"/>
  <c r="K90" i="12763"/>
  <c r="N68" i="12764"/>
  <c r="M68" i="12764"/>
  <c r="O68" i="12764" s="1"/>
  <c r="I69" i="12764"/>
  <c r="M67" i="12764"/>
  <c r="O67" i="12764" s="1"/>
  <c r="N67" i="12764"/>
  <c r="K108" i="12763"/>
  <c r="J108" i="12763"/>
  <c r="L108" i="12763" s="1"/>
  <c r="K102" i="12763"/>
  <c r="J102" i="12763"/>
  <c r="L102" i="12763" s="1"/>
  <c r="N74" i="12764"/>
  <c r="X74" i="12764" s="1"/>
  <c r="I75" i="12764"/>
  <c r="M74" i="12764"/>
  <c r="O74" i="12764" s="1"/>
  <c r="N14" i="12764"/>
  <c r="M14" i="12764"/>
  <c r="O14" i="12764" s="1"/>
  <c r="M91" i="12774"/>
  <c r="R60" i="12775"/>
  <c r="K76" i="12763"/>
  <c r="J76" i="12763"/>
  <c r="L76" i="12763" s="1"/>
  <c r="K67" i="12763"/>
  <c r="J67" i="12763"/>
  <c r="L67" i="12763" s="1"/>
  <c r="G70" i="12763"/>
  <c r="K106" i="12763"/>
  <c r="J106" i="12763"/>
  <c r="L106" i="12763" s="1"/>
  <c r="N86" i="12764"/>
  <c r="M86" i="12764"/>
  <c r="O86" i="12764" s="1"/>
  <c r="N98" i="12764"/>
  <c r="M98" i="12764"/>
  <c r="O98" i="12764" s="1"/>
  <c r="J95" i="12763"/>
  <c r="L95" i="12763" s="1"/>
  <c r="K95" i="12763"/>
  <c r="K77" i="12763"/>
  <c r="J77" i="12763"/>
  <c r="L77" i="12763" s="1"/>
  <c r="K83" i="12763"/>
  <c r="J83" i="12763"/>
  <c r="L83" i="12763" s="1"/>
  <c r="K98" i="12763"/>
  <c r="J98" i="12763"/>
  <c r="L98" i="12763" s="1"/>
  <c r="I758" i="12767"/>
  <c r="I872" i="12767"/>
  <c r="G43" i="12787"/>
  <c r="D153" i="12787"/>
  <c r="D186" i="12787"/>
  <c r="G96" i="12763"/>
  <c r="J94" i="12763"/>
  <c r="L94" i="12763" s="1"/>
  <c r="K94" i="12763"/>
  <c r="B29" i="12783"/>
  <c r="B32" i="12783" s="1"/>
  <c r="K64" i="12763"/>
  <c r="G65" i="12763"/>
  <c r="G994" i="12787"/>
  <c r="K103" i="12763"/>
  <c r="G104" i="12763"/>
  <c r="J103" i="12763"/>
  <c r="L103" i="12763" s="1"/>
  <c r="N106" i="12764"/>
  <c r="M106" i="12764"/>
  <c r="O106" i="12764" s="1"/>
  <c r="AE30" i="12774"/>
  <c r="Q76" i="12774" s="1"/>
  <c r="R76" i="12774" s="1"/>
  <c r="K92" i="12763"/>
  <c r="J92" i="12763"/>
  <c r="L92" i="12763" s="1"/>
  <c r="C983" i="12787"/>
  <c r="C984" i="12787" s="1"/>
  <c r="C972" i="12787"/>
  <c r="C1031" i="12787"/>
  <c r="C1032" i="12787" s="1"/>
  <c r="C406" i="12787"/>
  <c r="C318" i="12787"/>
  <c r="C232" i="12787"/>
  <c r="C204" i="12787" s="1"/>
  <c r="C994" i="12787"/>
  <c r="C995" i="12787" s="1"/>
  <c r="C842" i="12787"/>
  <c r="C541" i="12787"/>
  <c r="C507" i="12787" s="1"/>
  <c r="Q85" i="12775"/>
  <c r="R85" i="12775" s="1"/>
  <c r="Q67" i="12775"/>
  <c r="R67" i="12775" s="1"/>
  <c r="Q65" i="12775"/>
  <c r="R65" i="12775" s="1"/>
  <c r="R86" i="12774"/>
  <c r="K506" i="12766"/>
  <c r="K508" i="12766" s="1"/>
  <c r="K542" i="12766"/>
  <c r="H376" i="12766"/>
  <c r="H378" i="12766" s="1"/>
  <c r="H407" i="12766"/>
  <c r="F138" i="12767"/>
  <c r="I190" i="12767"/>
  <c r="K625" i="12766"/>
  <c r="K627" i="12766" s="1"/>
  <c r="K678" i="12766"/>
  <c r="G972" i="12787"/>
  <c r="I1211" i="12767"/>
  <c r="G983" i="12787"/>
  <c r="C308" i="12767"/>
  <c r="F287" i="12767"/>
  <c r="F218" i="12767" s="1"/>
  <c r="G318" i="12787"/>
  <c r="G406" i="12787"/>
  <c r="G407" i="12787" s="1"/>
  <c r="G260" i="12787"/>
  <c r="G728" i="12787"/>
  <c r="R63" i="12764"/>
  <c r="X63" i="12764" s="1"/>
  <c r="P65" i="12764"/>
  <c r="Q63" i="12764"/>
  <c r="Q68" i="12764"/>
  <c r="V68" i="12764"/>
  <c r="R68" i="12764"/>
  <c r="U68" i="12764"/>
  <c r="X480" i="12766"/>
  <c r="S493" i="12766"/>
  <c r="S775" i="12766"/>
  <c r="U775" i="12766" s="1"/>
  <c r="P766" i="12766"/>
  <c r="C190" i="12787"/>
  <c r="C161" i="12787" s="1"/>
  <c r="G218" i="12787"/>
  <c r="G190" i="12787" s="1"/>
  <c r="G161" i="12787" s="1"/>
  <c r="K218" i="12787"/>
  <c r="K190" i="12787" s="1"/>
  <c r="K161" i="12787" s="1"/>
  <c r="K233" i="12766"/>
  <c r="H25" i="12787"/>
  <c r="H27" i="12787" s="1"/>
  <c r="H44" i="12787"/>
  <c r="P16" i="12766"/>
  <c r="P18" i="12766"/>
  <c r="P21" i="12766"/>
  <c r="P17" i="12766"/>
  <c r="P20" i="12766"/>
  <c r="P22" i="12766"/>
  <c r="H625" i="12766"/>
  <c r="H627" i="12766" s="1"/>
  <c r="H678" i="12766"/>
  <c r="K407" i="12766"/>
  <c r="K376" i="12766"/>
  <c r="K378" i="12766" s="1"/>
  <c r="I1155" i="12767"/>
  <c r="G935" i="12787"/>
  <c r="I655" i="12767"/>
  <c r="C612" i="12767"/>
  <c r="F654" i="12767"/>
  <c r="K84" i="12763"/>
  <c r="J84" i="12763"/>
  <c r="L84" i="12763" s="1"/>
  <c r="C728" i="12787"/>
  <c r="C729" i="12787" s="1"/>
  <c r="AE36" i="12775"/>
  <c r="Q82" i="12775" s="1"/>
  <c r="R82" i="12775" s="1"/>
  <c r="Q80" i="12775"/>
  <c r="R80" i="12775" s="1"/>
  <c r="Q64" i="12764"/>
  <c r="V64" i="12764"/>
  <c r="R64" i="12764"/>
  <c r="X64" i="12764" s="1"/>
  <c r="U64" i="12764"/>
  <c r="D1020" i="12766"/>
  <c r="D157" i="12766"/>
  <c r="D1019" i="12766" s="1"/>
  <c r="C924" i="12787"/>
  <c r="C925" i="12787" s="1"/>
  <c r="I1266" i="12767"/>
  <c r="G1031" i="12787"/>
  <c r="C84" i="12787"/>
  <c r="G97" i="12787"/>
  <c r="K97" i="12787"/>
  <c r="C98" i="12787"/>
  <c r="C102" i="12787" s="1"/>
  <c r="G103" i="12787"/>
  <c r="G541" i="12787"/>
  <c r="Q52" i="12775"/>
  <c r="C103" i="12787"/>
  <c r="G575" i="12787"/>
  <c r="G376" i="12787"/>
  <c r="T493" i="12766"/>
  <c r="V493" i="12766" s="1"/>
  <c r="P480" i="12766"/>
  <c r="X481" i="12766"/>
  <c r="X482" i="12766" s="1"/>
  <c r="C189" i="12787"/>
  <c r="C160" i="12787" s="1"/>
  <c r="G217" i="12787"/>
  <c r="G189" i="12787" s="1"/>
  <c r="G160" i="12787" s="1"/>
  <c r="K217" i="12787"/>
  <c r="K189" i="12787" s="1"/>
  <c r="K160" i="12787" s="1"/>
  <c r="C60" i="12787"/>
  <c r="C61" i="12787" s="1"/>
  <c r="R36" i="12764"/>
  <c r="L79" i="12812" s="1"/>
  <c r="U36" i="12764"/>
  <c r="Q36" i="12764"/>
  <c r="V36" i="12764"/>
  <c r="P93" i="12764"/>
  <c r="H161" i="12766"/>
  <c r="K158" i="12766"/>
  <c r="T768" i="12787"/>
  <c r="T769" i="12787" s="1"/>
  <c r="G804" i="12787"/>
  <c r="G776" i="12787" s="1"/>
  <c r="U150" i="12787"/>
  <c r="W150" i="12787" s="1"/>
  <c r="R775" i="12766"/>
  <c r="H896" i="12766"/>
  <c r="H898" i="12766" s="1"/>
  <c r="P89" i="12774"/>
  <c r="K173" i="12766"/>
  <c r="H173" i="12766"/>
  <c r="H159" i="12766"/>
  <c r="Q159" i="12766" s="1"/>
  <c r="R169" i="12766" s="1"/>
  <c r="P68" i="12774"/>
  <c r="G841" i="12787"/>
  <c r="H807" i="12787"/>
  <c r="H779" i="12787" s="1"/>
  <c r="M931" i="12766"/>
  <c r="H203" i="12766"/>
  <c r="H233" i="12766"/>
  <c r="H288" i="12766"/>
  <c r="H290" i="12766" s="1"/>
  <c r="H319" i="12766"/>
  <c r="H625" i="12787"/>
  <c r="H627" i="12787" s="1"/>
  <c r="H678" i="12787"/>
  <c r="C11" i="12785"/>
  <c r="D8" i="12785"/>
  <c r="G123" i="12787"/>
  <c r="K123" i="12787"/>
  <c r="C124" i="12787"/>
  <c r="C128" i="12787" s="1"/>
  <c r="F483" i="12767"/>
  <c r="I189" i="12767"/>
  <c r="I1139" i="12767"/>
  <c r="G924" i="12787"/>
  <c r="C116" i="12787"/>
  <c r="C117" i="12787" s="1"/>
  <c r="C142" i="12787"/>
  <c r="C143" i="12787" s="1"/>
  <c r="G897" i="12787"/>
  <c r="G347" i="12787"/>
  <c r="Q84" i="12775"/>
  <c r="R84" i="12775" s="1"/>
  <c r="C935" i="12787"/>
  <c r="C936" i="12787" s="1"/>
  <c r="K785" i="12787"/>
  <c r="C43" i="12787"/>
  <c r="G142" i="12787"/>
  <c r="G116" i="12787"/>
  <c r="C231" i="12787"/>
  <c r="C188" i="12787"/>
  <c r="C159" i="12787" s="1"/>
  <c r="G216" i="12787"/>
  <c r="K216" i="12787"/>
  <c r="G232" i="12787"/>
  <c r="G77" i="12787"/>
  <c r="G759" i="12787"/>
  <c r="G435" i="12787"/>
  <c r="K376" i="12787"/>
  <c r="Q100" i="12764"/>
  <c r="V100" i="12764"/>
  <c r="R100" i="12764"/>
  <c r="X100" i="12764" s="1"/>
  <c r="U100" i="12764"/>
  <c r="H506" i="12766"/>
  <c r="H508" i="12766" s="1"/>
  <c r="H542" i="12766"/>
  <c r="M773" i="12766"/>
  <c r="M785" i="12766" s="1"/>
  <c r="D787" i="12766"/>
  <c r="D1006" i="12766" s="1"/>
  <c r="D1009" i="12766" s="1"/>
  <c r="D1016" i="12766" s="1"/>
  <c r="H813" i="12766"/>
  <c r="H843" i="12766"/>
  <c r="K813" i="12766"/>
  <c r="K843" i="12766"/>
  <c r="C180" i="12767"/>
  <c r="C184" i="12767" s="1"/>
  <c r="F289" i="12767"/>
  <c r="C897" i="12787"/>
  <c r="G785" i="12766"/>
  <c r="G787" i="12766" s="1"/>
  <c r="G815" i="12766"/>
  <c r="I483" i="12767"/>
  <c r="AE43" i="12774"/>
  <c r="Q84" i="12774"/>
  <c r="R84" i="12774" s="1"/>
  <c r="C525" i="12787"/>
  <c r="C540" i="12787" s="1"/>
  <c r="C490" i="12787"/>
  <c r="G524" i="12787"/>
  <c r="K524" i="12787"/>
  <c r="F377" i="12767"/>
  <c r="U63" i="12764"/>
  <c r="V63" i="12764"/>
  <c r="T65" i="12764"/>
  <c r="V74" i="12764"/>
  <c r="U74" i="12764"/>
  <c r="H273" i="12787"/>
  <c r="H317" i="12787"/>
  <c r="D773" i="12787"/>
  <c r="D815" i="12787"/>
  <c r="C677" i="12787"/>
  <c r="M153" i="12766"/>
  <c r="M174" i="12766" s="1"/>
  <c r="D156" i="12766"/>
  <c r="H407" i="12787"/>
  <c r="I109" i="12767"/>
  <c r="C89" i="12767"/>
  <c r="C94" i="12767" s="1"/>
  <c r="F108" i="12767"/>
  <c r="G129" i="12787"/>
  <c r="K129" i="12787" s="1"/>
  <c r="C129" i="12787"/>
  <c r="G677" i="12787"/>
  <c r="K78" i="12763"/>
  <c r="J78" i="12763"/>
  <c r="L78" i="12763" s="1"/>
  <c r="G174" i="12766"/>
  <c r="G176" i="12766" s="1"/>
  <c r="G205" i="12766"/>
  <c r="H942" i="12766"/>
  <c r="H928" i="12766"/>
  <c r="K928" i="12766"/>
  <c r="K942" i="12766"/>
  <c r="C179" i="12767"/>
  <c r="C183" i="12767" s="1"/>
  <c r="F288" i="12767"/>
  <c r="Q66" i="12775"/>
  <c r="R66" i="12775" s="1"/>
  <c r="AE22" i="12775"/>
  <c r="Q68" i="12775" s="1"/>
  <c r="I91" i="12774"/>
  <c r="I342" i="12767"/>
  <c r="D91" i="12775"/>
  <c r="H804" i="12787"/>
  <c r="H776" i="12787" s="1"/>
  <c r="F91" i="12774"/>
  <c r="K505" i="12766"/>
  <c r="K259" i="12766"/>
  <c r="K261" i="12766" s="1"/>
  <c r="K159" i="12766"/>
  <c r="AE6" i="12774"/>
  <c r="G807" i="12787"/>
  <c r="G779" i="12787" s="1"/>
  <c r="H259" i="12787"/>
  <c r="H261" i="12787" s="1"/>
  <c r="L28" i="12831" l="1"/>
  <c r="S140" i="12812"/>
  <c r="V1195" i="12767"/>
  <c r="V1199" i="12843" s="1"/>
  <c r="K72" i="12811"/>
  <c r="L72" i="12811" s="1"/>
  <c r="L74" i="12811" s="1"/>
  <c r="C448" i="12767"/>
  <c r="C449" i="12767" s="1"/>
  <c r="AF25" i="12775" s="1"/>
  <c r="AG25" i="12775" s="1"/>
  <c r="C990" i="12767"/>
  <c r="C953" i="12767" s="1"/>
  <c r="C1085" i="12767"/>
  <c r="AF30" i="12775" s="1"/>
  <c r="AG30" i="12775" s="1"/>
  <c r="H74" i="12811"/>
  <c r="K74" i="12811" s="1"/>
  <c r="AC45" i="12775"/>
  <c r="AE32" i="12775"/>
  <c r="K79" i="12811"/>
  <c r="L79" i="12811" s="1"/>
  <c r="L82" i="12811" s="1"/>
  <c r="C898" i="12843"/>
  <c r="C899" i="12843" s="1"/>
  <c r="H82" i="12811"/>
  <c r="K82" i="12811" s="1"/>
  <c r="I1029" i="12767"/>
  <c r="F1029" i="12767" s="1"/>
  <c r="L88" i="12850"/>
  <c r="F88" i="12850"/>
  <c r="F89" i="12850" s="1"/>
  <c r="I89" i="12850"/>
  <c r="AE43" i="12775"/>
  <c r="I972" i="12767"/>
  <c r="F972" i="12767" s="1"/>
  <c r="F48" i="12850"/>
  <c r="F49" i="12850" s="1"/>
  <c r="L48" i="12850"/>
  <c r="I49" i="12850"/>
  <c r="Y1277" i="12767"/>
  <c r="L1222" i="12767"/>
  <c r="X1222" i="12767" s="1"/>
  <c r="X1228" i="12843" s="1"/>
  <c r="N53" i="12811"/>
  <c r="I875" i="12843"/>
  <c r="L874" i="12843"/>
  <c r="I822" i="12843"/>
  <c r="L821" i="12843"/>
  <c r="I768" i="12843"/>
  <c r="I769" i="12843" s="1"/>
  <c r="F820" i="12767"/>
  <c r="F821" i="12767" s="1"/>
  <c r="F873" i="12767"/>
  <c r="F874" i="12767" s="1"/>
  <c r="F100" i="12843"/>
  <c r="F101" i="12843" s="1"/>
  <c r="L100" i="12843"/>
  <c r="I101" i="12843"/>
  <c r="F162" i="12843"/>
  <c r="F163" i="12843" s="1"/>
  <c r="L162" i="12843"/>
  <c r="I163" i="12843"/>
  <c r="O38" i="12849"/>
  <c r="O38" i="12831"/>
  <c r="O38" i="12783"/>
  <c r="O38" i="12848"/>
  <c r="L38" i="12848"/>
  <c r="L38" i="12831"/>
  <c r="L38" i="12783"/>
  <c r="L38" i="12849"/>
  <c r="H376" i="12787"/>
  <c r="H378" i="12787" s="1"/>
  <c r="R168" i="12766"/>
  <c r="F1067" i="12843"/>
  <c r="F1068" i="12843" s="1"/>
  <c r="L1067" i="12843"/>
  <c r="I973" i="12843"/>
  <c r="I1031" i="12843"/>
  <c r="I1068" i="12843"/>
  <c r="L25" i="12849"/>
  <c r="L25" i="12831"/>
  <c r="L25" i="12848"/>
  <c r="L25" i="12783"/>
  <c r="L16" i="12783"/>
  <c r="L16" i="12848"/>
  <c r="L19" i="12848" s="1"/>
  <c r="L16" i="12831"/>
  <c r="L19" i="12831" s="1"/>
  <c r="L16" i="12849"/>
  <c r="L19" i="12849" s="1"/>
  <c r="H813" i="12787"/>
  <c r="F275" i="12843"/>
  <c r="F276" i="12843" s="1"/>
  <c r="L275" i="12843"/>
  <c r="I276" i="12843"/>
  <c r="AE36" i="12774"/>
  <c r="Q82" i="12774" s="1"/>
  <c r="R82" i="12774" s="1"/>
  <c r="F1231" i="12843"/>
  <c r="F1232" i="12843" s="1"/>
  <c r="L1231" i="12843"/>
  <c r="I1232" i="12843"/>
  <c r="T1208" i="12767"/>
  <c r="R1213" i="12843"/>
  <c r="L24" i="12848"/>
  <c r="L24" i="12849"/>
  <c r="V1151" i="12767"/>
  <c r="L766" i="12843"/>
  <c r="J1213" i="12843"/>
  <c r="L1213" i="12843" s="1"/>
  <c r="L1214" i="12843" s="1"/>
  <c r="L1216" i="12843" s="1"/>
  <c r="AF27" i="12775"/>
  <c r="AG27" i="12775" s="1"/>
  <c r="AF26" i="12775"/>
  <c r="AG26" i="12775" s="1"/>
  <c r="J1152" i="12767"/>
  <c r="J1223" i="12767"/>
  <c r="L1151" i="12767"/>
  <c r="X1151" i="12767" s="1"/>
  <c r="X1154" i="12843" s="1"/>
  <c r="X1208" i="12767"/>
  <c r="V1213" i="12843"/>
  <c r="X1213" i="12843" s="1"/>
  <c r="V1263" i="12767"/>
  <c r="V1269" i="12843" s="1"/>
  <c r="J1269" i="12843"/>
  <c r="L1269" i="12843" s="1"/>
  <c r="L1166" i="12767"/>
  <c r="X1166" i="12767" s="1"/>
  <c r="J1155" i="12843"/>
  <c r="L1154" i="12843"/>
  <c r="Y1284" i="12843"/>
  <c r="V1169" i="12843"/>
  <c r="L1169" i="12843"/>
  <c r="V1136" i="12767"/>
  <c r="V1138" i="12843" s="1"/>
  <c r="J1138" i="12843"/>
  <c r="L1138" i="12843" s="1"/>
  <c r="J1199" i="12843"/>
  <c r="Y1276" i="12767"/>
  <c r="V1222" i="12767"/>
  <c r="J1228" i="12843"/>
  <c r="F555" i="12843"/>
  <c r="F556" i="12843" s="1"/>
  <c r="I1106" i="12843"/>
  <c r="I26" i="12843"/>
  <c r="L26" i="12843" s="1"/>
  <c r="C715" i="12843"/>
  <c r="C1050" i="12843"/>
  <c r="F1086" i="12843"/>
  <c r="F1087" i="12843" s="1"/>
  <c r="C450" i="12843"/>
  <c r="F1105" i="12843"/>
  <c r="F1106" i="12843" s="1"/>
  <c r="C954" i="12843"/>
  <c r="C935" i="12843" s="1"/>
  <c r="I84" i="12843"/>
  <c r="L555" i="12843"/>
  <c r="F83" i="12843"/>
  <c r="F26" i="12843" s="1"/>
  <c r="F27" i="12843" s="1"/>
  <c r="I485" i="12843"/>
  <c r="F485" i="12843" s="1"/>
  <c r="F486" i="12843" s="1"/>
  <c r="I241" i="12843"/>
  <c r="I242" i="12843" s="1"/>
  <c r="F449" i="12843"/>
  <c r="F450" i="12843" s="1"/>
  <c r="L449" i="12843"/>
  <c r="C485" i="12843"/>
  <c r="C486" i="12843" s="1"/>
  <c r="C26" i="12843"/>
  <c r="C27" i="12843" s="1"/>
  <c r="I345" i="12843"/>
  <c r="I991" i="12843"/>
  <c r="L991" i="12843" s="1"/>
  <c r="I899" i="12843"/>
  <c r="C241" i="12843"/>
  <c r="C242" i="12843" s="1"/>
  <c r="I379" i="12843"/>
  <c r="I380" i="12843" s="1"/>
  <c r="I715" i="12843"/>
  <c r="L898" i="12843"/>
  <c r="T898" i="12843" s="1"/>
  <c r="L714" i="12843"/>
  <c r="L344" i="12843"/>
  <c r="I1049" i="12843"/>
  <c r="F1049" i="12843" s="1"/>
  <c r="F1050" i="12843" s="1"/>
  <c r="F714" i="12843"/>
  <c r="F715" i="12843" s="1"/>
  <c r="I1087" i="12843"/>
  <c r="L24" i="12783"/>
  <c r="L24" i="12831"/>
  <c r="F1084" i="12767"/>
  <c r="P1105" i="12843"/>
  <c r="L636" i="12843"/>
  <c r="F636" i="12843"/>
  <c r="F637" i="12843" s="1"/>
  <c r="I637" i="12843"/>
  <c r="L1264" i="12767"/>
  <c r="L1266" i="12767" s="1"/>
  <c r="U39" i="12848" s="1"/>
  <c r="X1263" i="12767"/>
  <c r="X1269" i="12843" s="1"/>
  <c r="X1195" i="12767"/>
  <c r="X1199" i="12843" s="1"/>
  <c r="L1137" i="12767"/>
  <c r="L1139" i="12767" s="1"/>
  <c r="U36" i="12848" s="1"/>
  <c r="X1136" i="12767"/>
  <c r="X1138" i="12843" s="1"/>
  <c r="T184" i="12767"/>
  <c r="P184" i="12767"/>
  <c r="T183" i="12767"/>
  <c r="P183" i="12767"/>
  <c r="C615" i="12767"/>
  <c r="P612" i="12767"/>
  <c r="P613" i="12843" s="1"/>
  <c r="T950" i="12767"/>
  <c r="P950" i="12767"/>
  <c r="I990" i="12767"/>
  <c r="F990" i="12767" s="1"/>
  <c r="I1047" i="12767"/>
  <c r="F1047" i="12767" s="1"/>
  <c r="L767" i="12767"/>
  <c r="C83" i="12767"/>
  <c r="L46" i="12811"/>
  <c r="L47" i="12811" s="1"/>
  <c r="G110" i="12763"/>
  <c r="U53" i="12764"/>
  <c r="K54" i="12811"/>
  <c r="R56" i="12764"/>
  <c r="Q80" i="12774"/>
  <c r="R80" i="12774" s="1"/>
  <c r="X68" i="12764"/>
  <c r="R104" i="12764"/>
  <c r="X104" i="12764" s="1"/>
  <c r="R68" i="12775"/>
  <c r="K50" i="12811"/>
  <c r="X65" i="12764"/>
  <c r="I112" i="12764"/>
  <c r="M112" i="12764" s="1"/>
  <c r="O112" i="12764" s="1"/>
  <c r="L413" i="12767"/>
  <c r="F413" i="12767"/>
  <c r="F414" i="12767" s="1"/>
  <c r="L519" i="12767"/>
  <c r="F519" i="12767"/>
  <c r="F520" i="12767" s="1"/>
  <c r="L309" i="12767"/>
  <c r="F309" i="12767"/>
  <c r="L146" i="12767"/>
  <c r="F146" i="12767"/>
  <c r="L1225" i="12767"/>
  <c r="F1225" i="12767"/>
  <c r="F1226" i="12767" s="1"/>
  <c r="L116" i="12767"/>
  <c r="F116" i="12767"/>
  <c r="F219" i="12767"/>
  <c r="F179" i="12767" s="1"/>
  <c r="F220" i="12767"/>
  <c r="F180" i="12767" s="1"/>
  <c r="L675" i="12767"/>
  <c r="F675" i="12767"/>
  <c r="L131" i="12767"/>
  <c r="F131" i="12767"/>
  <c r="F132" i="12767" s="1"/>
  <c r="L897" i="12767"/>
  <c r="X897" i="12767" s="1"/>
  <c r="F897" i="12767"/>
  <c r="F898" i="12767" s="1"/>
  <c r="L713" i="12767"/>
  <c r="F713" i="12767"/>
  <c r="F714" i="12767" s="1"/>
  <c r="L554" i="12767"/>
  <c r="F554" i="12767"/>
  <c r="F555" i="12767" s="1"/>
  <c r="L448" i="12767"/>
  <c r="F448" i="12767"/>
  <c r="F449" i="12767" s="1"/>
  <c r="L343" i="12767"/>
  <c r="F343" i="12767"/>
  <c r="F344" i="12767" s="1"/>
  <c r="L82" i="12767"/>
  <c r="P82" i="12767" s="1"/>
  <c r="F82" i="12767"/>
  <c r="F26" i="12767" s="1"/>
  <c r="J58" i="12763"/>
  <c r="L58" i="12763" s="1"/>
  <c r="M82" i="12764"/>
  <c r="O82" i="12764" s="1"/>
  <c r="V13" i="12764"/>
  <c r="L44" i="12811"/>
  <c r="N58" i="12764"/>
  <c r="Q104" i="12764"/>
  <c r="I68" i="12811"/>
  <c r="K44" i="12811"/>
  <c r="C26" i="12767"/>
  <c r="U104" i="12764"/>
  <c r="P79" i="12764"/>
  <c r="R79" i="12764" s="1"/>
  <c r="X79" i="12764" s="1"/>
  <c r="C344" i="12767"/>
  <c r="G1006" i="12766"/>
  <c r="G1009" i="12766" s="1"/>
  <c r="G1016" i="12766" s="1"/>
  <c r="D11" i="12785"/>
  <c r="E11" i="12785"/>
  <c r="N43" i="12811"/>
  <c r="N72" i="12811"/>
  <c r="J73" i="12812"/>
  <c r="J74" i="12812" s="1"/>
  <c r="J21" i="12812"/>
  <c r="AF10" i="12774" s="1"/>
  <c r="N71" i="12811"/>
  <c r="N21" i="12811"/>
  <c r="N22" i="12811" s="1"/>
  <c r="J42" i="12812"/>
  <c r="AF15" i="12774" s="1"/>
  <c r="J79" i="12812"/>
  <c r="AF28" i="12774" s="1"/>
  <c r="I132" i="12767"/>
  <c r="H38" i="12811"/>
  <c r="I74" i="12812"/>
  <c r="I1226" i="12767"/>
  <c r="I161" i="12767"/>
  <c r="N80" i="12811"/>
  <c r="C239" i="12767"/>
  <c r="Q20" i="12764"/>
  <c r="Q56" i="12764"/>
  <c r="P105" i="12764"/>
  <c r="P106" i="12764" s="1"/>
  <c r="R53" i="12764"/>
  <c r="L123" i="12812" s="1"/>
  <c r="R20" i="12764"/>
  <c r="L43" i="12812" s="1"/>
  <c r="M43" i="12812" s="1"/>
  <c r="U56" i="12764"/>
  <c r="Q53" i="12764"/>
  <c r="V53" i="12764"/>
  <c r="P80" i="12764"/>
  <c r="R80" i="12764" s="1"/>
  <c r="X80" i="12764" s="1"/>
  <c r="U13" i="12764"/>
  <c r="P28" i="12766"/>
  <c r="O28" i="12766"/>
  <c r="O29" i="12766" s="1"/>
  <c r="R13" i="12764"/>
  <c r="L18" i="12812" s="1"/>
  <c r="I555" i="12767"/>
  <c r="I83" i="12767"/>
  <c r="AG21" i="12774"/>
  <c r="I898" i="12767"/>
  <c r="J14" i="12812"/>
  <c r="AF7" i="12774" s="1"/>
  <c r="P32" i="12764"/>
  <c r="R32" i="12764" s="1"/>
  <c r="L71" i="12812" s="1"/>
  <c r="E19" i="12810"/>
  <c r="F19" i="12810" s="1"/>
  <c r="I16" i="12812"/>
  <c r="N16" i="12811" s="1"/>
  <c r="I520" i="12767"/>
  <c r="E97" i="12812"/>
  <c r="I714" i="12767"/>
  <c r="AE12" i="12775"/>
  <c r="I26" i="12767"/>
  <c r="L26" i="12767" s="1"/>
  <c r="I41" i="12812"/>
  <c r="F44" i="12812"/>
  <c r="V20" i="12764"/>
  <c r="E68" i="12812"/>
  <c r="L46" i="12767"/>
  <c r="P46" i="12767" s="1"/>
  <c r="K127" i="12811"/>
  <c r="K137" i="12811" s="1"/>
  <c r="I19" i="12811"/>
  <c r="I38" i="12811" s="1"/>
  <c r="L13" i="12811"/>
  <c r="M125" i="12812"/>
  <c r="N125" i="12812" s="1"/>
  <c r="C1009" i="12767"/>
  <c r="C1010" i="12767" s="1"/>
  <c r="AF39" i="12774"/>
  <c r="AE12" i="12774"/>
  <c r="AF28" i="12775"/>
  <c r="AG28" i="12775" s="1"/>
  <c r="L54" i="12811"/>
  <c r="L50" i="12811"/>
  <c r="E19" i="12812"/>
  <c r="E38" i="12812" s="1"/>
  <c r="I274" i="12767"/>
  <c r="F274" i="12767" s="1"/>
  <c r="F275" i="12767" s="1"/>
  <c r="I1103" i="12767"/>
  <c r="I81" i="12812"/>
  <c r="AF30" i="12774"/>
  <c r="M80" i="12812"/>
  <c r="N80" i="12812" s="1"/>
  <c r="M73" i="12812"/>
  <c r="AF25" i="12774"/>
  <c r="AF24" i="12774"/>
  <c r="L64" i="12767"/>
  <c r="P64" i="12767" s="1"/>
  <c r="I65" i="12767"/>
  <c r="I50" i="12812"/>
  <c r="N49" i="12811"/>
  <c r="J49" i="12812"/>
  <c r="AF16" i="12774"/>
  <c r="O17" i="12811"/>
  <c r="P17" i="12811" s="1"/>
  <c r="Q17" i="12811" s="1"/>
  <c r="P17" i="12812"/>
  <c r="Q17" i="12812" s="1"/>
  <c r="I18" i="12812"/>
  <c r="N17" i="12812"/>
  <c r="M14" i="12812"/>
  <c r="M16" i="12812"/>
  <c r="L127" i="12811"/>
  <c r="L137" i="12811" s="1"/>
  <c r="L117" i="12811"/>
  <c r="K85" i="12811"/>
  <c r="L84" i="12811"/>
  <c r="K77" i="12811"/>
  <c r="L76" i="12811"/>
  <c r="K22" i="12811"/>
  <c r="L21" i="12811"/>
  <c r="L22" i="12811" s="1"/>
  <c r="C274" i="12767"/>
  <c r="N76" i="12811"/>
  <c r="J76" i="12812"/>
  <c r="I77" i="12812"/>
  <c r="I766" i="12767"/>
  <c r="P46" i="12764"/>
  <c r="R46" i="12764" s="1"/>
  <c r="L102" i="12812" s="1"/>
  <c r="N53" i="12812"/>
  <c r="O53" i="12811"/>
  <c r="P53" i="12812"/>
  <c r="Q53" i="12812" s="1"/>
  <c r="N124" i="12811"/>
  <c r="J124" i="12812"/>
  <c r="AF38" i="12774"/>
  <c r="I123" i="12812"/>
  <c r="F127" i="12812"/>
  <c r="N122" i="12812"/>
  <c r="O122" i="12811"/>
  <c r="P122" i="12811" s="1"/>
  <c r="Q122" i="12811" s="1"/>
  <c r="P122" i="12812"/>
  <c r="Q122" i="12812" s="1"/>
  <c r="J84" i="12812"/>
  <c r="N84" i="12811"/>
  <c r="I85" i="12812"/>
  <c r="I54" i="12812"/>
  <c r="J52" i="12812"/>
  <c r="N52" i="12811"/>
  <c r="Q58" i="12775"/>
  <c r="R58" i="12775" s="1"/>
  <c r="AC45" i="12774"/>
  <c r="P91" i="12775"/>
  <c r="R57" i="12774"/>
  <c r="AE32" i="12774"/>
  <c r="Q78" i="12774" s="1"/>
  <c r="R78" i="12774" s="1"/>
  <c r="R57" i="12775"/>
  <c r="C1287" i="12767"/>
  <c r="C874" i="12767"/>
  <c r="AF35" i="12775" s="1"/>
  <c r="AG35" i="12775" s="1"/>
  <c r="C1226" i="12767"/>
  <c r="C1155" i="12767"/>
  <c r="C162" i="12767"/>
  <c r="C132" i="12767"/>
  <c r="C65" i="12767"/>
  <c r="C1139" i="12767"/>
  <c r="C635" i="12767"/>
  <c r="C1266" i="12767"/>
  <c r="C1211" i="12767"/>
  <c r="AF40" i="12775" s="1"/>
  <c r="AG40" i="12775" s="1"/>
  <c r="X34" i="12764"/>
  <c r="X36" i="12764"/>
  <c r="F933" i="12767"/>
  <c r="F914" i="12767" s="1"/>
  <c r="G842" i="12787"/>
  <c r="K842" i="12787" s="1"/>
  <c r="K843" i="12787" s="1"/>
  <c r="P97" i="12764"/>
  <c r="R38" i="12764"/>
  <c r="L81" i="12812" s="1"/>
  <c r="V38" i="12764"/>
  <c r="Q38" i="12764"/>
  <c r="U38" i="12764"/>
  <c r="I1168" i="12767"/>
  <c r="I1199" i="12767"/>
  <c r="I47" i="12767"/>
  <c r="I484" i="12767"/>
  <c r="F484" i="12767" s="1"/>
  <c r="I378" i="12767"/>
  <c r="I635" i="12767"/>
  <c r="I874" i="12767"/>
  <c r="C145" i="12767"/>
  <c r="I139" i="12767"/>
  <c r="I145" i="12767" s="1"/>
  <c r="I115" i="12767"/>
  <c r="M65" i="12764"/>
  <c r="O65" i="12764" s="1"/>
  <c r="N65" i="12764"/>
  <c r="M69" i="12764"/>
  <c r="O69" i="12764" s="1"/>
  <c r="N69" i="12764"/>
  <c r="N75" i="12764"/>
  <c r="M75" i="12764"/>
  <c r="O75" i="12764" s="1"/>
  <c r="K104" i="12763"/>
  <c r="J104" i="12763"/>
  <c r="L104" i="12763" s="1"/>
  <c r="K994" i="12787"/>
  <c r="K995" i="12787" s="1"/>
  <c r="G995" i="12787"/>
  <c r="J65" i="12763"/>
  <c r="L65" i="12763" s="1"/>
  <c r="K65" i="12763"/>
  <c r="J96" i="12763"/>
  <c r="L96" i="12763" s="1"/>
  <c r="K96" i="12763"/>
  <c r="D156" i="12787"/>
  <c r="M153" i="12787"/>
  <c r="F47" i="12767"/>
  <c r="K70" i="12763"/>
  <c r="J70" i="12763"/>
  <c r="B35" i="12783"/>
  <c r="I412" i="12767"/>
  <c r="G870" i="12787"/>
  <c r="D1049" i="12787"/>
  <c r="D157" i="12787"/>
  <c r="D1048" i="12787" s="1"/>
  <c r="K43" i="12787"/>
  <c r="G44" i="12787"/>
  <c r="K85" i="12763"/>
  <c r="J85" i="12763"/>
  <c r="L85" i="12763" s="1"/>
  <c r="I447" i="12767"/>
  <c r="AF19" i="12775"/>
  <c r="AG19" i="12775" s="1"/>
  <c r="C414" i="12767"/>
  <c r="C520" i="12767"/>
  <c r="C484" i="12767"/>
  <c r="C407" i="12787"/>
  <c r="C377" i="12787"/>
  <c r="C378" i="12787" s="1"/>
  <c r="C946" i="12787"/>
  <c r="C947" i="12787" s="1"/>
  <c r="C973" i="12787"/>
  <c r="C1168" i="12767"/>
  <c r="C1199" i="12767"/>
  <c r="C843" i="12787"/>
  <c r="C814" i="12787"/>
  <c r="C815" i="12787" s="1"/>
  <c r="C289" i="12787"/>
  <c r="C290" i="12787" s="1"/>
  <c r="C319" i="12787"/>
  <c r="R159" i="12766"/>
  <c r="S168" i="12766" s="1"/>
  <c r="U168" i="12766" s="1"/>
  <c r="K931" i="12766"/>
  <c r="K933" i="12766" s="1"/>
  <c r="K944" i="12766"/>
  <c r="H288" i="12787"/>
  <c r="H290" i="12787" s="1"/>
  <c r="H319" i="12787"/>
  <c r="U65" i="12764"/>
  <c r="V65" i="12764"/>
  <c r="D525" i="12787"/>
  <c r="D521" i="12787"/>
  <c r="D522" i="12787"/>
  <c r="D531" i="12787"/>
  <c r="D533" i="12787"/>
  <c r="D536" i="12787"/>
  <c r="D539" i="12787"/>
  <c r="D518" i="12787"/>
  <c r="D519" i="12787"/>
  <c r="D524" i="12787"/>
  <c r="D526" i="12787"/>
  <c r="D532" i="12787"/>
  <c r="D534" i="12787"/>
  <c r="D535" i="12787"/>
  <c r="D537" i="12787"/>
  <c r="C506" i="12787"/>
  <c r="C508" i="12787" s="1"/>
  <c r="C542" i="12787"/>
  <c r="K785" i="12766"/>
  <c r="K787" i="12766" s="1"/>
  <c r="K815" i="12766"/>
  <c r="H815" i="12766"/>
  <c r="H785" i="12766"/>
  <c r="H787" i="12766" s="1"/>
  <c r="K435" i="12787"/>
  <c r="K436" i="12787" s="1"/>
  <c r="G436" i="12787"/>
  <c r="G26" i="12787"/>
  <c r="K77" i="12787"/>
  <c r="G78" i="12787"/>
  <c r="G188" i="12787"/>
  <c r="G159" i="12787" s="1"/>
  <c r="G231" i="12787"/>
  <c r="D213" i="12787"/>
  <c r="D216" i="12787"/>
  <c r="D217" i="12787"/>
  <c r="D218" i="12787"/>
  <c r="D219" i="12787"/>
  <c r="D223" i="12787"/>
  <c r="D225" i="12787"/>
  <c r="D227" i="12787"/>
  <c r="D229" i="12787"/>
  <c r="D215" i="12787"/>
  <c r="D224" i="12787"/>
  <c r="D226" i="12787"/>
  <c r="D228" i="12787"/>
  <c r="D230" i="12787"/>
  <c r="C203" i="12787"/>
  <c r="C233" i="12787"/>
  <c r="Q89" i="12775"/>
  <c r="R89" i="12775" s="1"/>
  <c r="K924" i="12787"/>
  <c r="G925" i="12787"/>
  <c r="F1139" i="12767"/>
  <c r="G813" i="12787"/>
  <c r="Q93" i="12764"/>
  <c r="V93" i="12764"/>
  <c r="R93" i="12764"/>
  <c r="X93" i="12764" s="1"/>
  <c r="U93" i="12764"/>
  <c r="R52" i="12775"/>
  <c r="G90" i="12787"/>
  <c r="K90" i="12787" s="1"/>
  <c r="K103" i="12787"/>
  <c r="C89" i="12787"/>
  <c r="C104" i="12787"/>
  <c r="K84" i="12787"/>
  <c r="F1266" i="12767"/>
  <c r="F612" i="12767"/>
  <c r="C613" i="12767"/>
  <c r="F655" i="12767"/>
  <c r="F613" i="12767" s="1"/>
  <c r="K935" i="12787"/>
  <c r="K936" i="12787" s="1"/>
  <c r="G936" i="12787"/>
  <c r="R22" i="12766"/>
  <c r="Q22" i="12766"/>
  <c r="R17" i="12766"/>
  <c r="Q17" i="12766"/>
  <c r="R18" i="12766"/>
  <c r="Q18" i="12766"/>
  <c r="K260" i="12787"/>
  <c r="K261" i="12787" s="1"/>
  <c r="G261" i="12787"/>
  <c r="G377" i="12787"/>
  <c r="K377" i="12787" s="1"/>
  <c r="K378" i="12787" s="1"/>
  <c r="K406" i="12787"/>
  <c r="K407" i="12787" s="1"/>
  <c r="K318" i="12787"/>
  <c r="K319" i="12787" s="1"/>
  <c r="G289" i="12787"/>
  <c r="G319" i="12787"/>
  <c r="F178" i="12767"/>
  <c r="F308" i="12767"/>
  <c r="F239" i="12767" s="1"/>
  <c r="G984" i="12787"/>
  <c r="K983" i="12787"/>
  <c r="K984" i="12787" s="1"/>
  <c r="F1211" i="12767"/>
  <c r="F1199" i="12767"/>
  <c r="P628" i="12766"/>
  <c r="O628" i="12766"/>
  <c r="O630" i="12766" s="1"/>
  <c r="M630" i="12766"/>
  <c r="R45" i="12764"/>
  <c r="L101" i="12812" s="1"/>
  <c r="U45" i="12764"/>
  <c r="P89" i="12764"/>
  <c r="Q45" i="12764"/>
  <c r="V45" i="12764"/>
  <c r="R23" i="12764"/>
  <c r="L49" i="12812" s="1"/>
  <c r="U23" i="12764"/>
  <c r="P95" i="12764"/>
  <c r="Q23" i="12764"/>
  <c r="V23" i="12764"/>
  <c r="F139" i="12767"/>
  <c r="F145" i="12767" s="1"/>
  <c r="C130" i="12787"/>
  <c r="C90" i="12787"/>
  <c r="K81" i="12763"/>
  <c r="J81" i="12763"/>
  <c r="L81" i="12763" s="1"/>
  <c r="C90" i="12767"/>
  <c r="C95" i="12767" s="1"/>
  <c r="F109" i="12767"/>
  <c r="Q52" i="12774"/>
  <c r="Q58" i="12774" s="1"/>
  <c r="H931" i="12766"/>
  <c r="H933" i="12766" s="1"/>
  <c r="H944" i="12766"/>
  <c r="G626" i="12787"/>
  <c r="K677" i="12787"/>
  <c r="K678" i="12787" s="1"/>
  <c r="G678" i="12787"/>
  <c r="F89" i="12767"/>
  <c r="C767" i="12767"/>
  <c r="C821" i="12767"/>
  <c r="C626" i="12787"/>
  <c r="C627" i="12787" s="1"/>
  <c r="C678" i="12787"/>
  <c r="M773" i="12787"/>
  <c r="M785" i="12787" s="1"/>
  <c r="D787" i="12787"/>
  <c r="K490" i="12787"/>
  <c r="G490" i="12787"/>
  <c r="C491" i="12787"/>
  <c r="G525" i="12787"/>
  <c r="G491" i="12787" s="1"/>
  <c r="K525" i="12787"/>
  <c r="K491" i="12787" s="1"/>
  <c r="Q89" i="12774"/>
  <c r="R89" i="12774" s="1"/>
  <c r="C898" i="12787"/>
  <c r="C1104" i="12767"/>
  <c r="H785" i="12787"/>
  <c r="H787" i="12787" s="1"/>
  <c r="H815" i="12787"/>
  <c r="K759" i="12787"/>
  <c r="K760" i="12787" s="1"/>
  <c r="G760" i="12787"/>
  <c r="G204" i="12787"/>
  <c r="K232" i="12787"/>
  <c r="K188" i="12787"/>
  <c r="K159" i="12787" s="1"/>
  <c r="K231" i="12787"/>
  <c r="K116" i="12787"/>
  <c r="K117" i="12787" s="1"/>
  <c r="G117" i="12787"/>
  <c r="K142" i="12787"/>
  <c r="K143" i="12787" s="1"/>
  <c r="G143" i="12787"/>
  <c r="C47" i="12767"/>
  <c r="C44" i="12787"/>
  <c r="C26" i="12787"/>
  <c r="C27" i="12787" s="1"/>
  <c r="K347" i="12787"/>
  <c r="K348" i="12787" s="1"/>
  <c r="G348" i="12787"/>
  <c r="K897" i="12787"/>
  <c r="K898" i="12787" s="1"/>
  <c r="G898" i="12787"/>
  <c r="G124" i="12787"/>
  <c r="G128" i="12787" s="1"/>
  <c r="G130" i="12787" s="1"/>
  <c r="K124" i="12787"/>
  <c r="K128" i="12787" s="1"/>
  <c r="K130" i="12787" s="1"/>
  <c r="H174" i="12766"/>
  <c r="H176" i="12766" s="1"/>
  <c r="H205" i="12766"/>
  <c r="K575" i="12787"/>
  <c r="K576" i="12787" s="1"/>
  <c r="G576" i="12787"/>
  <c r="G507" i="12787"/>
  <c r="K507" i="12787" s="1"/>
  <c r="K541" i="12787"/>
  <c r="C85" i="12787"/>
  <c r="G98" i="12787"/>
  <c r="G102" i="12787" s="1"/>
  <c r="K98" i="12787"/>
  <c r="G84" i="12787"/>
  <c r="K1031" i="12787"/>
  <c r="G1032" i="12787"/>
  <c r="F1155" i="12767"/>
  <c r="R20" i="12766"/>
  <c r="Q20" i="12766"/>
  <c r="R21" i="12766"/>
  <c r="Q21" i="12766"/>
  <c r="R16" i="12766"/>
  <c r="Q16" i="12766"/>
  <c r="AD22" i="12774"/>
  <c r="AD44" i="12774" s="1"/>
  <c r="AE14" i="12774"/>
  <c r="R65" i="12764"/>
  <c r="Q65" i="12764"/>
  <c r="K728" i="12787"/>
  <c r="K729" i="12787" s="1"/>
  <c r="G729" i="12787"/>
  <c r="C310" i="12767"/>
  <c r="G946" i="12787"/>
  <c r="K972" i="12787"/>
  <c r="K973" i="12787" s="1"/>
  <c r="G973" i="12787"/>
  <c r="P509" i="12766"/>
  <c r="M512" i="12766"/>
  <c r="O509" i="12766"/>
  <c r="O511" i="12766" s="1"/>
  <c r="C115" i="12767"/>
  <c r="P91" i="12774"/>
  <c r="C99" i="12767"/>
  <c r="C674" i="12767"/>
  <c r="K203" i="12766"/>
  <c r="L26" i="12783" l="1"/>
  <c r="P932" i="12767"/>
  <c r="P951" i="12843"/>
  <c r="P933" i="12843" s="1"/>
  <c r="T932" i="12767"/>
  <c r="T951" i="12843"/>
  <c r="T933" i="12843" s="1"/>
  <c r="P1213" i="12843"/>
  <c r="T1213" i="12843"/>
  <c r="L972" i="12767"/>
  <c r="L1029" i="12767"/>
  <c r="C991" i="12767"/>
  <c r="AE44" i="12775"/>
  <c r="Q91" i="12775" s="1"/>
  <c r="R91" i="12775" s="1"/>
  <c r="C378" i="12767"/>
  <c r="C379" i="12767" s="1"/>
  <c r="L26" i="12849"/>
  <c r="H97" i="12811"/>
  <c r="H140" i="12811" s="1"/>
  <c r="L26" i="12831"/>
  <c r="L26" i="12848"/>
  <c r="S169" i="12766"/>
  <c r="U169" i="12766" s="1"/>
  <c r="Y1278" i="12767"/>
  <c r="O28" i="12831"/>
  <c r="L1224" i="12767"/>
  <c r="V1228" i="12843"/>
  <c r="V1154" i="12843"/>
  <c r="O25" i="12848"/>
  <c r="L35" i="12849"/>
  <c r="L42" i="12849" s="1"/>
  <c r="P53" i="12811"/>
  <c r="Q53" i="12811" s="1"/>
  <c r="L768" i="12843"/>
  <c r="O25" i="12831"/>
  <c r="F768" i="12843"/>
  <c r="F769" i="12843" s="1"/>
  <c r="O25" i="12849"/>
  <c r="O25" i="12783"/>
  <c r="F936" i="12843"/>
  <c r="V39" i="12848"/>
  <c r="O16" i="12831"/>
  <c r="O19" i="12831" s="1"/>
  <c r="O16" i="12848"/>
  <c r="O19" i="12848" s="1"/>
  <c r="O16" i="12849"/>
  <c r="O19" i="12849" s="1"/>
  <c r="O16" i="12783"/>
  <c r="O29" i="12848"/>
  <c r="O29" i="12783"/>
  <c r="O29" i="12849"/>
  <c r="O29" i="12831"/>
  <c r="I1032" i="12843"/>
  <c r="F1031" i="12843"/>
  <c r="F1032" i="12843" s="1"/>
  <c r="L1031" i="12843"/>
  <c r="Q23" i="12766"/>
  <c r="I974" i="12843"/>
  <c r="F973" i="12843"/>
  <c r="F974" i="12843" s="1"/>
  <c r="L973" i="12843"/>
  <c r="V36" i="12848"/>
  <c r="L1153" i="12767"/>
  <c r="L1155" i="12767" s="1"/>
  <c r="U37" i="12848" s="1"/>
  <c r="O26" i="12848"/>
  <c r="O26" i="12849"/>
  <c r="O24" i="12848"/>
  <c r="O24" i="12849"/>
  <c r="L35" i="12783"/>
  <c r="L35" i="12848"/>
  <c r="L42" i="12848" s="1"/>
  <c r="L1195" i="12767"/>
  <c r="L1197" i="12767" s="1"/>
  <c r="L1199" i="12767" s="1"/>
  <c r="L1208" i="12767"/>
  <c r="L1209" i="12767" s="1"/>
  <c r="L1211" i="12767" s="1"/>
  <c r="AA1213" i="12767" s="1"/>
  <c r="J1196" i="12767"/>
  <c r="AF7" i="12775"/>
  <c r="AG7" i="12775" s="1"/>
  <c r="AF9" i="12775"/>
  <c r="AG9" i="12775" s="1"/>
  <c r="AF20" i="12775"/>
  <c r="AG20" i="12775" s="1"/>
  <c r="AF24" i="12775"/>
  <c r="AG24" i="12775" s="1"/>
  <c r="AF31" i="12775"/>
  <c r="AG31" i="12775" s="1"/>
  <c r="L1139" i="12843"/>
  <c r="L1141" i="12843" s="1"/>
  <c r="V23" i="12767"/>
  <c r="V43" i="12767" s="1"/>
  <c r="X43" i="12767" s="1"/>
  <c r="J23" i="12843"/>
  <c r="X1169" i="12843"/>
  <c r="L1270" i="12843"/>
  <c r="L1272" i="12843" s="1"/>
  <c r="Y1219" i="12843"/>
  <c r="Z1219" i="12843"/>
  <c r="AA1219" i="12843"/>
  <c r="J1229" i="12843"/>
  <c r="L1228" i="12843"/>
  <c r="L1199" i="12843"/>
  <c r="L1201" i="12843" s="1"/>
  <c r="J1200" i="12843"/>
  <c r="Z1196" i="12843" s="1"/>
  <c r="L1156" i="12843"/>
  <c r="L1158" i="12843" s="1"/>
  <c r="I27" i="12843"/>
  <c r="O26" i="12783"/>
  <c r="F241" i="12843"/>
  <c r="F242" i="12843" s="1"/>
  <c r="L241" i="12843"/>
  <c r="I486" i="12843"/>
  <c r="L485" i="12843"/>
  <c r="C955" i="12843"/>
  <c r="C936" i="12843" s="1"/>
  <c r="F84" i="12843"/>
  <c r="I954" i="12843"/>
  <c r="I955" i="12843" s="1"/>
  <c r="F991" i="12843"/>
  <c r="F992" i="12843" s="1"/>
  <c r="X898" i="12843"/>
  <c r="L379" i="12843"/>
  <c r="I204" i="12843"/>
  <c r="L204" i="12843" s="1"/>
  <c r="L35" i="12831"/>
  <c r="L42" i="12831" s="1"/>
  <c r="C204" i="12843"/>
  <c r="C205" i="12843" s="1"/>
  <c r="I992" i="12843"/>
  <c r="I1011" i="12843"/>
  <c r="F379" i="12843"/>
  <c r="F380" i="12843" s="1"/>
  <c r="P898" i="12843"/>
  <c r="O26" i="12831"/>
  <c r="L1049" i="12843"/>
  <c r="I1050" i="12843"/>
  <c r="O24" i="12783"/>
  <c r="O24" i="12831"/>
  <c r="C916" i="12843"/>
  <c r="C917" i="12843" s="1"/>
  <c r="C954" i="12767"/>
  <c r="C935" i="12767" s="1"/>
  <c r="C934" i="12767"/>
  <c r="C915" i="12767" s="1"/>
  <c r="C916" i="12767" s="1"/>
  <c r="P897" i="12767"/>
  <c r="T897" i="12767"/>
  <c r="Y1269" i="12767"/>
  <c r="Z1269" i="12767"/>
  <c r="AA1269" i="12767"/>
  <c r="Z1142" i="12767"/>
  <c r="Y1142" i="12767"/>
  <c r="AA1142" i="12767"/>
  <c r="C616" i="12767"/>
  <c r="P613" i="12767"/>
  <c r="P614" i="12843" s="1"/>
  <c r="T615" i="12767"/>
  <c r="T616" i="12843" s="1"/>
  <c r="P615" i="12767"/>
  <c r="P616" i="12843" s="1"/>
  <c r="J988" i="12767"/>
  <c r="L988" i="12767" s="1"/>
  <c r="L1082" i="12767" s="1"/>
  <c r="V950" i="12767"/>
  <c r="V951" i="12843" s="1"/>
  <c r="I1009" i="12767"/>
  <c r="F1009" i="12767" s="1"/>
  <c r="L1047" i="12767"/>
  <c r="I953" i="12767"/>
  <c r="L990" i="12767"/>
  <c r="T46" i="12767"/>
  <c r="X46" i="12767" s="1"/>
  <c r="J79" i="12767"/>
  <c r="L79" i="12767" s="1"/>
  <c r="J895" i="12767"/>
  <c r="L895" i="12767" s="1"/>
  <c r="T64" i="12767"/>
  <c r="X64" i="12767" s="1"/>
  <c r="T82" i="12767"/>
  <c r="X82" i="12767" s="1"/>
  <c r="J970" i="12767"/>
  <c r="L970" i="12767" s="1"/>
  <c r="L1063" i="12767" s="1"/>
  <c r="L1226" i="12767"/>
  <c r="U29" i="12848" s="1"/>
  <c r="L950" i="12767"/>
  <c r="L932" i="12767" s="1"/>
  <c r="J43" i="12767"/>
  <c r="L43" i="12767" s="1"/>
  <c r="J61" i="12767"/>
  <c r="L61" i="12767" s="1"/>
  <c r="X20" i="12764"/>
  <c r="X53" i="12764"/>
  <c r="X56" i="12764" s="1"/>
  <c r="K68" i="12811"/>
  <c r="E17" i="12810" s="1"/>
  <c r="F17" i="12810" s="1"/>
  <c r="N112" i="12764"/>
  <c r="F83" i="12767"/>
  <c r="R106" i="12764"/>
  <c r="L1168" i="12767"/>
  <c r="F1168" i="12767"/>
  <c r="F1169" i="12767" s="1"/>
  <c r="I162" i="12767"/>
  <c r="F161" i="12767"/>
  <c r="F162" i="12767" s="1"/>
  <c r="L1103" i="12767"/>
  <c r="F1103" i="12767"/>
  <c r="F1104" i="12767" s="1"/>
  <c r="L635" i="12767"/>
  <c r="F635" i="12767"/>
  <c r="L378" i="12767"/>
  <c r="F378" i="12767"/>
  <c r="F379" i="12767" s="1"/>
  <c r="V106" i="12764"/>
  <c r="V105" i="12764"/>
  <c r="I140" i="12811"/>
  <c r="Q106" i="12764"/>
  <c r="U105" i="12764"/>
  <c r="V80" i="12764"/>
  <c r="V79" i="12764"/>
  <c r="U79" i="12764"/>
  <c r="Q79" i="12764"/>
  <c r="U106" i="12764"/>
  <c r="R105" i="12764"/>
  <c r="X105" i="12764" s="1"/>
  <c r="X106" i="12764" s="1"/>
  <c r="Q105" i="12764"/>
  <c r="Q80" i="12764"/>
  <c r="AA1266" i="12767"/>
  <c r="AF26" i="12774"/>
  <c r="AG26" i="12774" s="1"/>
  <c r="N74" i="12811"/>
  <c r="J22" i="12812"/>
  <c r="I1169" i="12767"/>
  <c r="AA1139" i="12767"/>
  <c r="U32" i="12764"/>
  <c r="V32" i="12764"/>
  <c r="U80" i="12764"/>
  <c r="X32" i="12764"/>
  <c r="Q32" i="12764"/>
  <c r="C147" i="12767"/>
  <c r="AF21" i="12775"/>
  <c r="AG21" i="12775" s="1"/>
  <c r="P47" i="12764"/>
  <c r="U47" i="12764" s="1"/>
  <c r="X13" i="12764"/>
  <c r="G378" i="12787"/>
  <c r="H1006" i="12766"/>
  <c r="H1009" i="12766" s="1"/>
  <c r="H1016" i="12766" s="1"/>
  <c r="G843" i="12787"/>
  <c r="AF38" i="12775"/>
  <c r="AG38" i="12775" s="1"/>
  <c r="Q46" i="12764"/>
  <c r="J16" i="12812"/>
  <c r="AF9" i="12774" s="1"/>
  <c r="AG9" i="12774" s="1"/>
  <c r="E20" i="12810"/>
  <c r="F20" i="12810" s="1"/>
  <c r="F90" i="12767"/>
  <c r="P7" i="12764"/>
  <c r="P9" i="12764"/>
  <c r="R9" i="12764" s="1"/>
  <c r="E140" i="12812"/>
  <c r="I27" i="12767"/>
  <c r="N41" i="12811"/>
  <c r="N44" i="12811" s="1"/>
  <c r="J41" i="12812"/>
  <c r="I44" i="12812"/>
  <c r="P33" i="12764"/>
  <c r="U33" i="12764" s="1"/>
  <c r="P19" i="12764"/>
  <c r="U19" i="12764" s="1"/>
  <c r="O125" i="12811"/>
  <c r="P125" i="12811" s="1"/>
  <c r="Q125" i="12811" s="1"/>
  <c r="P125" i="12812"/>
  <c r="Q125" i="12812" s="1"/>
  <c r="AF41" i="12775"/>
  <c r="AG41" i="12775" s="1"/>
  <c r="AF42" i="12775"/>
  <c r="AG42" i="12775" s="1"/>
  <c r="I1104" i="12767"/>
  <c r="K97" i="12811"/>
  <c r="L68" i="12811"/>
  <c r="L274" i="12767"/>
  <c r="I275" i="12767"/>
  <c r="I240" i="12767"/>
  <c r="P80" i="12812"/>
  <c r="Q80" i="12812" s="1"/>
  <c r="O80" i="12811"/>
  <c r="P80" i="12811" s="1"/>
  <c r="Q80" i="12811" s="1"/>
  <c r="J81" i="12812"/>
  <c r="N81" i="12811"/>
  <c r="N82" i="12811" s="1"/>
  <c r="I82" i="12812"/>
  <c r="I97" i="12812" s="1"/>
  <c r="M79" i="12812"/>
  <c r="N73" i="12812"/>
  <c r="O73" i="12811"/>
  <c r="P73" i="12811" s="1"/>
  <c r="Q73" i="12811" s="1"/>
  <c r="P73" i="12812"/>
  <c r="Q73" i="12812" s="1"/>
  <c r="M71" i="12812"/>
  <c r="AF19" i="12774"/>
  <c r="J50" i="12812"/>
  <c r="N50" i="12811"/>
  <c r="N43" i="12812"/>
  <c r="O43" i="12811"/>
  <c r="P43" i="12811" s="1"/>
  <c r="Q43" i="12811" s="1"/>
  <c r="P43" i="12812"/>
  <c r="Q43" i="12812" s="1"/>
  <c r="N18" i="12811"/>
  <c r="J18" i="12812"/>
  <c r="L161" i="12767"/>
  <c r="I99" i="12767"/>
  <c r="I485" i="12767"/>
  <c r="L484" i="12767"/>
  <c r="O16" i="12811"/>
  <c r="P16" i="12811" s="1"/>
  <c r="Q16" i="12811" s="1"/>
  <c r="P16" i="12812"/>
  <c r="Q16" i="12812" s="1"/>
  <c r="N14" i="12812"/>
  <c r="O14" i="12811"/>
  <c r="P14" i="12811" s="1"/>
  <c r="Q14" i="12811" s="1"/>
  <c r="P14" i="12812"/>
  <c r="Q14" i="12812" s="1"/>
  <c r="L85" i="12811"/>
  <c r="L77" i="12811"/>
  <c r="C240" i="12767"/>
  <c r="C241" i="12767" s="1"/>
  <c r="C275" i="12767"/>
  <c r="L18" i="12811"/>
  <c r="L19" i="12811" s="1"/>
  <c r="K19" i="12811"/>
  <c r="K38" i="12811" s="1"/>
  <c r="X46" i="12764"/>
  <c r="I102" i="12812"/>
  <c r="I101" i="12812"/>
  <c r="N77" i="12811"/>
  <c r="AF27" i="12774"/>
  <c r="AG27" i="12774" s="1"/>
  <c r="J77" i="12812"/>
  <c r="AF20" i="12774"/>
  <c r="AG20" i="12774" s="1"/>
  <c r="J54" i="12812"/>
  <c r="N85" i="12811"/>
  <c r="J123" i="12812"/>
  <c r="N123" i="12811"/>
  <c r="N127" i="12811" s="1"/>
  <c r="I127" i="12812"/>
  <c r="I137" i="12812" s="1"/>
  <c r="M121" i="12812"/>
  <c r="AF41" i="12774"/>
  <c r="AG41" i="12774" s="1"/>
  <c r="M124" i="12812"/>
  <c r="N54" i="12811"/>
  <c r="AF31" i="12774"/>
  <c r="AG31" i="12774" s="1"/>
  <c r="J85" i="12812"/>
  <c r="F137" i="12812"/>
  <c r="P90" i="12764"/>
  <c r="P91" i="12764" s="1"/>
  <c r="U46" i="12764"/>
  <c r="V46" i="12764"/>
  <c r="M21" i="12812"/>
  <c r="L22" i="12812"/>
  <c r="C27" i="12767"/>
  <c r="C768" i="12767"/>
  <c r="C485" i="12767"/>
  <c r="C1169" i="12767"/>
  <c r="U36" i="12783"/>
  <c r="U39" i="12783"/>
  <c r="K85" i="12787"/>
  <c r="X23" i="12764"/>
  <c r="X45" i="12764"/>
  <c r="I449" i="12767"/>
  <c r="C786" i="12787"/>
  <c r="C787" i="12787" s="1"/>
  <c r="F1085" i="12767"/>
  <c r="F1066" i="12767"/>
  <c r="C175" i="12787"/>
  <c r="I147" i="12767"/>
  <c r="X38" i="12764"/>
  <c r="Q97" i="12764"/>
  <c r="R97" i="12764"/>
  <c r="X97" i="12764" s="1"/>
  <c r="U97" i="12764"/>
  <c r="V97" i="12764"/>
  <c r="I344" i="12767"/>
  <c r="I767" i="12767"/>
  <c r="F767" i="12767" s="1"/>
  <c r="F768" i="12767" s="1"/>
  <c r="I821" i="12767"/>
  <c r="I90" i="12767"/>
  <c r="I98" i="12767"/>
  <c r="I117" i="12767"/>
  <c r="F115" i="12767"/>
  <c r="F674" i="12767"/>
  <c r="K870" i="12787"/>
  <c r="K871" i="12787" s="1"/>
  <c r="G814" i="12787"/>
  <c r="G815" i="12787" s="1"/>
  <c r="G871" i="12787"/>
  <c r="B36" i="12783"/>
  <c r="I414" i="12767"/>
  <c r="I377" i="12767"/>
  <c r="I379" i="12767" s="1"/>
  <c r="Q161" i="12766"/>
  <c r="AF16" i="12775"/>
  <c r="AG16" i="12775" s="1"/>
  <c r="AF39" i="12775"/>
  <c r="AG39" i="12775" s="1"/>
  <c r="AF15" i="12775"/>
  <c r="AG15" i="12775" s="1"/>
  <c r="C634" i="12767"/>
  <c r="C676" i="12767"/>
  <c r="C98" i="12767"/>
  <c r="C117" i="12767"/>
  <c r="I195" i="12767"/>
  <c r="I191" i="12767"/>
  <c r="I179" i="12767"/>
  <c r="AE22" i="12774"/>
  <c r="Q60" i="12774"/>
  <c r="R60" i="12774" s="1"/>
  <c r="G89" i="12787"/>
  <c r="G91" i="12787" s="1"/>
  <c r="G104" i="12787"/>
  <c r="AF10" i="12775"/>
  <c r="AG10" i="12775" s="1"/>
  <c r="AG7" i="12774"/>
  <c r="K204" i="12787"/>
  <c r="G175" i="12787"/>
  <c r="K175" i="12787" s="1"/>
  <c r="F27" i="12767"/>
  <c r="AF29" i="12775"/>
  <c r="K626" i="12787"/>
  <c r="K627" i="12787" s="1"/>
  <c r="G627" i="12787"/>
  <c r="R95" i="12764"/>
  <c r="X95" i="12764" s="1"/>
  <c r="P98" i="12764"/>
  <c r="Q95" i="12764"/>
  <c r="V95" i="12764"/>
  <c r="U95" i="12764"/>
  <c r="R89" i="12764"/>
  <c r="X89" i="12764" s="1"/>
  <c r="Q89" i="12764"/>
  <c r="V89" i="12764"/>
  <c r="U89" i="12764"/>
  <c r="K289" i="12787"/>
  <c r="K290" i="12787" s="1"/>
  <c r="G290" i="12787"/>
  <c r="H230" i="12787"/>
  <c r="H202" i="12787" s="1"/>
  <c r="H173" i="12787" s="1"/>
  <c r="D202" i="12787"/>
  <c r="D173" i="12787" s="1"/>
  <c r="M173" i="12787" s="1"/>
  <c r="H226" i="12787"/>
  <c r="H198" i="12787" s="1"/>
  <c r="H169" i="12787" s="1"/>
  <c r="D198" i="12787"/>
  <c r="D169" i="12787" s="1"/>
  <c r="M169" i="12787" s="1"/>
  <c r="D187" i="12787"/>
  <c r="D158" i="12787" s="1"/>
  <c r="M158" i="12787" s="1"/>
  <c r="H215" i="12787"/>
  <c r="H187" i="12787" s="1"/>
  <c r="H158" i="12787" s="1"/>
  <c r="D199" i="12787"/>
  <c r="D170" i="12787" s="1"/>
  <c r="M170" i="12787" s="1"/>
  <c r="H227" i="12787"/>
  <c r="H199" i="12787" s="1"/>
  <c r="H170" i="12787" s="1"/>
  <c r="D195" i="12787"/>
  <c r="D166" i="12787" s="1"/>
  <c r="M166" i="12787" s="1"/>
  <c r="H223" i="12787"/>
  <c r="H195" i="12787" s="1"/>
  <c r="H166" i="12787" s="1"/>
  <c r="D190" i="12787"/>
  <c r="D161" i="12787" s="1"/>
  <c r="M161" i="12787" s="1"/>
  <c r="H218" i="12787"/>
  <c r="H190" i="12787" s="1"/>
  <c r="H161" i="12787" s="1"/>
  <c r="D188" i="12787"/>
  <c r="D159" i="12787" s="1"/>
  <c r="M159" i="12787" s="1"/>
  <c r="H216" i="12787"/>
  <c r="H188" i="12787" s="1"/>
  <c r="H159" i="12787" s="1"/>
  <c r="G203" i="12787"/>
  <c r="G233" i="12787"/>
  <c r="K26" i="12787"/>
  <c r="G27" i="12787"/>
  <c r="D503" i="12787"/>
  <c r="M503" i="12787" s="1"/>
  <c r="H537" i="12787"/>
  <c r="H503" i="12787" s="1"/>
  <c r="H534" i="12787"/>
  <c r="H500" i="12787" s="1"/>
  <c r="D500" i="12787"/>
  <c r="M500" i="12787" s="1"/>
  <c r="D492" i="12787"/>
  <c r="M492" i="12787" s="1"/>
  <c r="H526" i="12787"/>
  <c r="H492" i="12787" s="1"/>
  <c r="D485" i="12787"/>
  <c r="M485" i="12787" s="1"/>
  <c r="H519" i="12787"/>
  <c r="H485" i="12787" s="1"/>
  <c r="D505" i="12787"/>
  <c r="M505" i="12787" s="1"/>
  <c r="H539" i="12787"/>
  <c r="H505" i="12787" s="1"/>
  <c r="D499" i="12787"/>
  <c r="M499" i="12787" s="1"/>
  <c r="H533" i="12787"/>
  <c r="H499" i="12787" s="1"/>
  <c r="H522" i="12787"/>
  <c r="H488" i="12787" s="1"/>
  <c r="D488" i="12787"/>
  <c r="M488" i="12787" s="1"/>
  <c r="H525" i="12787"/>
  <c r="H491" i="12787" s="1"/>
  <c r="D491" i="12787"/>
  <c r="M491" i="12787" s="1"/>
  <c r="P934" i="12766"/>
  <c r="O934" i="12766"/>
  <c r="O936" i="12766" s="1"/>
  <c r="AG16" i="12774"/>
  <c r="U482" i="12787"/>
  <c r="W482" i="12787" s="1"/>
  <c r="K102" i="12787"/>
  <c r="I197" i="12767"/>
  <c r="I193" i="12767"/>
  <c r="I180" i="12767"/>
  <c r="C202" i="12767"/>
  <c r="K174" i="12766"/>
  <c r="K176" i="12766" s="1"/>
  <c r="K205" i="12766"/>
  <c r="G112" i="12763"/>
  <c r="K110" i="12763"/>
  <c r="K112" i="12763" s="1"/>
  <c r="J110" i="12763"/>
  <c r="L110" i="12763" s="1"/>
  <c r="K946" i="12787"/>
  <c r="K947" i="12787" s="1"/>
  <c r="G947" i="12787"/>
  <c r="I181" i="12767"/>
  <c r="I198" i="12767"/>
  <c r="I196" i="12767"/>
  <c r="I194" i="12767"/>
  <c r="I192" i="12767"/>
  <c r="I177" i="12767"/>
  <c r="AF14" i="12775"/>
  <c r="I178" i="12767"/>
  <c r="AG10" i="12774"/>
  <c r="AG42" i="12774"/>
  <c r="AG25" i="12774"/>
  <c r="K203" i="12787"/>
  <c r="K233" i="12787"/>
  <c r="AG28" i="12774"/>
  <c r="AF34" i="12775"/>
  <c r="R52" i="12774"/>
  <c r="R58" i="12774"/>
  <c r="F147" i="12767"/>
  <c r="T9" i="12764"/>
  <c r="F310" i="12767"/>
  <c r="G785" i="12787"/>
  <c r="C174" i="12787"/>
  <c r="C176" i="12787" s="1"/>
  <c r="C205" i="12787"/>
  <c r="H228" i="12787"/>
  <c r="H200" i="12787" s="1"/>
  <c r="H171" i="12787" s="1"/>
  <c r="D200" i="12787"/>
  <c r="D171" i="12787" s="1"/>
  <c r="M171" i="12787" s="1"/>
  <c r="H224" i="12787"/>
  <c r="H196" i="12787" s="1"/>
  <c r="H167" i="12787" s="1"/>
  <c r="D196" i="12787"/>
  <c r="D167" i="12787" s="1"/>
  <c r="M167" i="12787" s="1"/>
  <c r="D201" i="12787"/>
  <c r="D172" i="12787" s="1"/>
  <c r="M172" i="12787" s="1"/>
  <c r="H229" i="12787"/>
  <c r="H201" i="12787" s="1"/>
  <c r="H172" i="12787" s="1"/>
  <c r="D197" i="12787"/>
  <c r="D168" i="12787" s="1"/>
  <c r="M168" i="12787" s="1"/>
  <c r="H225" i="12787"/>
  <c r="H197" i="12787" s="1"/>
  <c r="H168" i="12787" s="1"/>
  <c r="D191" i="12787"/>
  <c r="D162" i="12787" s="1"/>
  <c r="M162" i="12787" s="1"/>
  <c r="H219" i="12787"/>
  <c r="H191" i="12787" s="1"/>
  <c r="H162" i="12787" s="1"/>
  <c r="D189" i="12787"/>
  <c r="D160" i="12787" s="1"/>
  <c r="M160" i="12787" s="1"/>
  <c r="H217" i="12787"/>
  <c r="H189" i="12787" s="1"/>
  <c r="H160" i="12787" s="1"/>
  <c r="D185" i="12787"/>
  <c r="D155" i="12787" s="1"/>
  <c r="M155" i="12787" s="1"/>
  <c r="H213" i="12787"/>
  <c r="P788" i="12766"/>
  <c r="O788" i="12766"/>
  <c r="O790" i="12766" s="1"/>
  <c r="D501" i="12787"/>
  <c r="M501" i="12787" s="1"/>
  <c r="H535" i="12787"/>
  <c r="H501" i="12787" s="1"/>
  <c r="D498" i="12787"/>
  <c r="M498" i="12787" s="1"/>
  <c r="H532" i="12787"/>
  <c r="H498" i="12787" s="1"/>
  <c r="D490" i="12787"/>
  <c r="D542" i="12787"/>
  <c r="H524" i="12787"/>
  <c r="H490" i="12787" s="1"/>
  <c r="T482" i="12787" s="1"/>
  <c r="D484" i="12787"/>
  <c r="M484" i="12787" s="1"/>
  <c r="H518" i="12787"/>
  <c r="D502" i="12787"/>
  <c r="M502" i="12787" s="1"/>
  <c r="H536" i="12787"/>
  <c r="H502" i="12787" s="1"/>
  <c r="D497" i="12787"/>
  <c r="M497" i="12787" s="1"/>
  <c r="H531" i="12787"/>
  <c r="H497" i="12787" s="1"/>
  <c r="H521" i="12787"/>
  <c r="H487" i="12787" s="1"/>
  <c r="T483" i="12787" s="1"/>
  <c r="D487" i="12787"/>
  <c r="M487" i="12787" s="1"/>
  <c r="G85" i="12787"/>
  <c r="G540" i="12787"/>
  <c r="K540" i="12787"/>
  <c r="F485" i="12767"/>
  <c r="U86" i="12787"/>
  <c r="W86" i="12787" s="1"/>
  <c r="C91" i="12787"/>
  <c r="O35" i="12849" l="1"/>
  <c r="O42" i="12849" s="1"/>
  <c r="L22" i="12849"/>
  <c r="L27" i="12849"/>
  <c r="Z1158" i="12767"/>
  <c r="AA1155" i="12767"/>
  <c r="V29" i="12848"/>
  <c r="AA1158" i="12767"/>
  <c r="V37" i="12848"/>
  <c r="Y1158" i="12767"/>
  <c r="U37" i="12783"/>
  <c r="J182" i="12767"/>
  <c r="J183" i="12843" s="1"/>
  <c r="Q37" i="12848"/>
  <c r="Q39" i="12848"/>
  <c r="Q36" i="12848"/>
  <c r="L22" i="12831"/>
  <c r="L22" i="12848"/>
  <c r="L27" i="12848"/>
  <c r="O35" i="12783"/>
  <c r="O35" i="12848"/>
  <c r="J95" i="12767"/>
  <c r="J90" i="12767" s="1"/>
  <c r="J94" i="12767"/>
  <c r="J89" i="12767" s="1"/>
  <c r="L23" i="12767"/>
  <c r="X23" i="12767" s="1"/>
  <c r="X23" i="12843" s="1"/>
  <c r="J184" i="12767"/>
  <c r="J185" i="12843" s="1"/>
  <c r="J183" i="12767"/>
  <c r="J184" i="12843" s="1"/>
  <c r="I935" i="12843"/>
  <c r="I916" i="12843" s="1"/>
  <c r="I917" i="12843" s="1"/>
  <c r="AF11" i="12775"/>
  <c r="AG11" i="12775" s="1"/>
  <c r="Z1213" i="12767"/>
  <c r="Y1213" i="12767"/>
  <c r="L1167" i="12767"/>
  <c r="L1169" i="12767" s="1"/>
  <c r="U38" i="12848" s="1"/>
  <c r="AF8" i="12775"/>
  <c r="AG8" i="12775" s="1"/>
  <c r="V61" i="12767"/>
  <c r="X61" i="12767" s="1"/>
  <c r="V79" i="12767"/>
  <c r="X79" i="12767" s="1"/>
  <c r="L1203" i="12843"/>
  <c r="L1170" i="12843"/>
  <c r="L1172" i="12843" s="1"/>
  <c r="Y1201" i="12767"/>
  <c r="AA1201" i="12767"/>
  <c r="Z1201" i="12767"/>
  <c r="Q37" i="12783"/>
  <c r="AA1158" i="12843"/>
  <c r="Y1161" i="12843"/>
  <c r="Z1161" i="12843"/>
  <c r="AA1161" i="12843"/>
  <c r="Q39" i="12783"/>
  <c r="AA1272" i="12843"/>
  <c r="Y1275" i="12843"/>
  <c r="Z1275" i="12843"/>
  <c r="AA1275" i="12843"/>
  <c r="J62" i="12843"/>
  <c r="J44" i="12843"/>
  <c r="L44" i="12843" s="1"/>
  <c r="V23" i="12843"/>
  <c r="J80" i="12843"/>
  <c r="Q36" i="12783"/>
  <c r="AA1141" i="12843"/>
  <c r="Y1145" i="12843"/>
  <c r="AA1145" i="12843"/>
  <c r="Z1145" i="12843"/>
  <c r="L1230" i="12843"/>
  <c r="L1232" i="12843" s="1"/>
  <c r="O35" i="12831"/>
  <c r="O42" i="12831" s="1"/>
  <c r="F954" i="12843"/>
  <c r="F955" i="12843" s="1"/>
  <c r="F204" i="12843"/>
  <c r="F205" i="12843" s="1"/>
  <c r="L954" i="12843"/>
  <c r="L27" i="12783"/>
  <c r="I205" i="12843"/>
  <c r="L22" i="12783"/>
  <c r="L27" i="12831"/>
  <c r="I1012" i="12843"/>
  <c r="I936" i="12843" s="1"/>
  <c r="C1277" i="12843"/>
  <c r="C1280" i="12843" s="1"/>
  <c r="L1011" i="12843"/>
  <c r="F1011" i="12843"/>
  <c r="F1012" i="12843" s="1"/>
  <c r="V896" i="12843"/>
  <c r="V989" i="12843"/>
  <c r="X989" i="12843" s="1"/>
  <c r="X1084" i="12843" s="1"/>
  <c r="V971" i="12843"/>
  <c r="X971" i="12843" s="1"/>
  <c r="X1065" i="12843" s="1"/>
  <c r="I934" i="12767"/>
  <c r="F953" i="12767"/>
  <c r="P1265" i="12767"/>
  <c r="P1250" i="12767" s="1"/>
  <c r="P1256" i="12843" s="1"/>
  <c r="X1265" i="12767"/>
  <c r="X1261" i="12767" s="1"/>
  <c r="X1267" i="12843" s="1"/>
  <c r="T1265" i="12767"/>
  <c r="T1242" i="12767" s="1"/>
  <c r="T1248" i="12843" s="1"/>
  <c r="AA1226" i="12767"/>
  <c r="Z1229" i="12767"/>
  <c r="Y1229" i="12767"/>
  <c r="AA1229" i="12767"/>
  <c r="X1138" i="12767"/>
  <c r="X1112" i="12767" s="1"/>
  <c r="X1114" i="12843" s="1"/>
  <c r="P1138" i="12767"/>
  <c r="P1121" i="12767" s="1"/>
  <c r="T1138" i="12767"/>
  <c r="T1112" i="12767" s="1"/>
  <c r="T1114" i="12843" s="1"/>
  <c r="P616" i="12767"/>
  <c r="P617" i="12843" s="1"/>
  <c r="P1284" i="12843" s="1"/>
  <c r="T616" i="12767"/>
  <c r="T617" i="12843" s="1"/>
  <c r="X950" i="12767"/>
  <c r="V970" i="12767"/>
  <c r="X970" i="12767" s="1"/>
  <c r="X1063" i="12767" s="1"/>
  <c r="V988" i="12767"/>
  <c r="X988" i="12767" s="1"/>
  <c r="X1082" i="12767" s="1"/>
  <c r="V895" i="12767"/>
  <c r="X895" i="12767" s="1"/>
  <c r="X896" i="12843" s="1"/>
  <c r="L1009" i="12767"/>
  <c r="P1103" i="12767"/>
  <c r="L953" i="12767"/>
  <c r="R43" i="12767"/>
  <c r="T43" i="12767" s="1"/>
  <c r="R61" i="12767"/>
  <c r="T61" i="12767" s="1"/>
  <c r="R79" i="12767"/>
  <c r="T79" i="12767" s="1"/>
  <c r="N113" i="12767"/>
  <c r="P113" i="12767" s="1"/>
  <c r="P114" i="12843" s="1"/>
  <c r="U29" i="12783"/>
  <c r="N112" i="12767"/>
  <c r="P112" i="12767" s="1"/>
  <c r="P113" i="12843" s="1"/>
  <c r="R47" i="12764"/>
  <c r="Q9" i="12764"/>
  <c r="Q33" i="12764"/>
  <c r="V47" i="12764"/>
  <c r="Q47" i="12764"/>
  <c r="X98" i="12764"/>
  <c r="P73" i="12764"/>
  <c r="R73" i="12764" s="1"/>
  <c r="X73" i="12764" s="1"/>
  <c r="X75" i="12764" s="1"/>
  <c r="L99" i="12767"/>
  <c r="F99" i="12767"/>
  <c r="F935" i="12767"/>
  <c r="L240" i="12767"/>
  <c r="F240" i="12767"/>
  <c r="F241" i="12767" s="1"/>
  <c r="X47" i="12764"/>
  <c r="R33" i="12764"/>
  <c r="L72" i="12812" s="1"/>
  <c r="P78" i="12764"/>
  <c r="R78" i="12764" s="1"/>
  <c r="X78" i="12764" s="1"/>
  <c r="V19" i="12764"/>
  <c r="P14" i="12764"/>
  <c r="P41" i="12764"/>
  <c r="Q41" i="12764" s="1"/>
  <c r="V33" i="12764"/>
  <c r="T22" i="12764"/>
  <c r="T28" i="12764" s="1"/>
  <c r="N16" i="12812"/>
  <c r="E18" i="12810"/>
  <c r="F18" i="12810" s="1"/>
  <c r="F117" i="12767"/>
  <c r="I15" i="12812"/>
  <c r="J15" i="12812" s="1"/>
  <c r="L15" i="12812"/>
  <c r="AF14" i="12774"/>
  <c r="J44" i="12812"/>
  <c r="Q19" i="12764"/>
  <c r="R19" i="12764"/>
  <c r="N97" i="12811"/>
  <c r="D18" i="12809" s="1"/>
  <c r="F18" i="12809" s="1"/>
  <c r="G18" i="12809" s="1"/>
  <c r="I203" i="12767"/>
  <c r="L203" i="12767" s="1"/>
  <c r="C203" i="12767"/>
  <c r="C204" i="12767" s="1"/>
  <c r="AF43" i="12775"/>
  <c r="AG43" i="12775" s="1"/>
  <c r="L97" i="12811"/>
  <c r="AF29" i="12774"/>
  <c r="J82" i="12812"/>
  <c r="J97" i="12812" s="1"/>
  <c r="O79" i="12811"/>
  <c r="P79" i="12812"/>
  <c r="N79" i="12812"/>
  <c r="O71" i="12811"/>
  <c r="P71" i="12812"/>
  <c r="N71" i="12812"/>
  <c r="M49" i="12812"/>
  <c r="L50" i="12812"/>
  <c r="M18" i="12812"/>
  <c r="AF11" i="12774"/>
  <c r="AG11" i="12774" s="1"/>
  <c r="I768" i="12767"/>
  <c r="L38" i="12811"/>
  <c r="E16" i="12810"/>
  <c r="K140" i="12811"/>
  <c r="F103" i="12812"/>
  <c r="F117" i="12812" s="1"/>
  <c r="N102" i="12811"/>
  <c r="J102" i="12812"/>
  <c r="N101" i="12811"/>
  <c r="I103" i="12812"/>
  <c r="I117" i="12812" s="1"/>
  <c r="J101" i="12812"/>
  <c r="M76" i="12812"/>
  <c r="L77" i="12812"/>
  <c r="O124" i="12811"/>
  <c r="P124" i="12811" s="1"/>
  <c r="Q124" i="12811" s="1"/>
  <c r="P124" i="12812"/>
  <c r="Q124" i="12812" s="1"/>
  <c r="N137" i="12811"/>
  <c r="M52" i="12812"/>
  <c r="L54" i="12812"/>
  <c r="Q90" i="12764"/>
  <c r="V90" i="12764"/>
  <c r="U90" i="12764"/>
  <c r="R90" i="12764"/>
  <c r="X90" i="12764" s="1"/>
  <c r="X91" i="12764" s="1"/>
  <c r="M84" i="12812"/>
  <c r="L85" i="12812"/>
  <c r="O121" i="12811"/>
  <c r="P121" i="12812"/>
  <c r="N121" i="12812"/>
  <c r="AF40" i="12774"/>
  <c r="J127" i="12812"/>
  <c r="J137" i="12812" s="1"/>
  <c r="N124" i="12812"/>
  <c r="M22" i="12812"/>
  <c r="O21" i="12811"/>
  <c r="P21" i="12812"/>
  <c r="N21" i="12812"/>
  <c r="N22" i="12812" s="1"/>
  <c r="F98" i="12767"/>
  <c r="F634" i="12767"/>
  <c r="F636" i="12767" s="1"/>
  <c r="AG30" i="12774"/>
  <c r="F676" i="12767"/>
  <c r="T7" i="12764"/>
  <c r="U7" i="12764" s="1"/>
  <c r="I991" i="12767"/>
  <c r="F991" i="12767"/>
  <c r="F973" i="12767"/>
  <c r="I973" i="12767"/>
  <c r="F1048" i="12767"/>
  <c r="I1048" i="12767"/>
  <c r="F1030" i="12767"/>
  <c r="I1030" i="12767"/>
  <c r="X9" i="12764"/>
  <c r="L1084" i="12767"/>
  <c r="I1085" i="12767"/>
  <c r="I1066" i="12767"/>
  <c r="C1035" i="12787"/>
  <c r="C1038" i="12787" s="1"/>
  <c r="I100" i="12767"/>
  <c r="C636" i="12767"/>
  <c r="C100" i="12767"/>
  <c r="K814" i="12787"/>
  <c r="K815" i="12787" s="1"/>
  <c r="G786" i="12787"/>
  <c r="K786" i="12787" s="1"/>
  <c r="K787" i="12787" s="1"/>
  <c r="B37" i="12783"/>
  <c r="V39" i="12783"/>
  <c r="K542" i="12787"/>
  <c r="K506" i="12787"/>
  <c r="K508" i="12787" s="1"/>
  <c r="AF36" i="12775"/>
  <c r="AG34" i="12775"/>
  <c r="M179" i="12766"/>
  <c r="P177" i="12766"/>
  <c r="O177" i="12766"/>
  <c r="K1006" i="12766"/>
  <c r="K1009" i="12766" s="1"/>
  <c r="K89" i="12787"/>
  <c r="K91" i="12787" s="1"/>
  <c r="K104" i="12787"/>
  <c r="R98" i="12764"/>
  <c r="Q98" i="12764"/>
  <c r="V98" i="12764"/>
  <c r="U98" i="12764"/>
  <c r="R7" i="12764"/>
  <c r="L13" i="12812" s="1"/>
  <c r="Q7" i="12764"/>
  <c r="P67" i="12764"/>
  <c r="Q68" i="12774"/>
  <c r="R68" i="12774" s="1"/>
  <c r="AE44" i="12774"/>
  <c r="Q91" i="12774" s="1"/>
  <c r="R91" i="12774" s="1"/>
  <c r="I308" i="12767"/>
  <c r="I174" i="12767"/>
  <c r="AF6" i="12775"/>
  <c r="I629" i="12767"/>
  <c r="I626" i="12767"/>
  <c r="I631" i="12767"/>
  <c r="I625" i="12767"/>
  <c r="I614" i="12767"/>
  <c r="I612" i="12767"/>
  <c r="I613" i="12767"/>
  <c r="M174" i="12787"/>
  <c r="Q159" i="12787"/>
  <c r="T152" i="12787" s="1"/>
  <c r="R159" i="12787"/>
  <c r="V36" i="12783"/>
  <c r="G542" i="12787"/>
  <c r="G506" i="12787"/>
  <c r="G508" i="12787" s="1"/>
  <c r="H484" i="12787"/>
  <c r="H540" i="12787"/>
  <c r="M490" i="12787"/>
  <c r="M506" i="12787" s="1"/>
  <c r="D508" i="12787"/>
  <c r="D1035" i="12787" s="1"/>
  <c r="D1038" i="12787" s="1"/>
  <c r="D1045" i="12787" s="1"/>
  <c r="H185" i="12787"/>
  <c r="H155" i="12787" s="1"/>
  <c r="T151" i="12787" s="1"/>
  <c r="H231" i="12787"/>
  <c r="F202" i="12767"/>
  <c r="V9" i="12764"/>
  <c r="U9" i="12764"/>
  <c r="T73" i="12764"/>
  <c r="K174" i="12787"/>
  <c r="K176" i="12787" s="1"/>
  <c r="K205" i="12787"/>
  <c r="AG14" i="12775"/>
  <c r="AG39" i="12774"/>
  <c r="G174" i="12787"/>
  <c r="G176" i="12787" s="1"/>
  <c r="G205" i="12787"/>
  <c r="AG38" i="12774"/>
  <c r="R91" i="12764"/>
  <c r="Q91" i="12764"/>
  <c r="V91" i="12764"/>
  <c r="U91" i="12764"/>
  <c r="AG29" i="12775"/>
  <c r="AF32" i="12775"/>
  <c r="AG32" i="12775" s="1"/>
  <c r="I627" i="12767"/>
  <c r="I624" i="12767"/>
  <c r="I628" i="12767"/>
  <c r="I623" i="12767"/>
  <c r="AF18" i="12775"/>
  <c r="AG18" i="12775" s="1"/>
  <c r="I609" i="12767"/>
  <c r="I610" i="12767"/>
  <c r="I607" i="12767"/>
  <c r="X932" i="12767" l="1"/>
  <c r="X951" i="12843"/>
  <c r="X933" i="12843" s="1"/>
  <c r="N1121" i="12767"/>
  <c r="N1123" i="12843" s="1"/>
  <c r="P1123" i="12843"/>
  <c r="V1112" i="12767"/>
  <c r="J616" i="12767"/>
  <c r="J575" i="12767" s="1"/>
  <c r="L32" i="12849"/>
  <c r="L44" i="12849" s="1"/>
  <c r="L48" i="12849" s="1"/>
  <c r="O22" i="12849"/>
  <c r="T1258" i="12767"/>
  <c r="T1264" i="12843" s="1"/>
  <c r="X1238" i="12767"/>
  <c r="T1247" i="12767"/>
  <c r="T1253" i="12843" s="1"/>
  <c r="X1246" i="12767"/>
  <c r="X1252" i="12843" s="1"/>
  <c r="X1244" i="12767"/>
  <c r="X1250" i="12843" s="1"/>
  <c r="X1250" i="12767"/>
  <c r="X1256" i="12843" s="1"/>
  <c r="T1243" i="12767"/>
  <c r="T1249" i="12843" s="1"/>
  <c r="X1242" i="12767"/>
  <c r="T1261" i="12767"/>
  <c r="T1267" i="12843" s="1"/>
  <c r="T1235" i="12767"/>
  <c r="T1241" i="12843" s="1"/>
  <c r="T1254" i="12767"/>
  <c r="T1260" i="12843" s="1"/>
  <c r="X1259" i="12767"/>
  <c r="X1265" i="12843" s="1"/>
  <c r="X1243" i="12767"/>
  <c r="X1249" i="12843" s="1"/>
  <c r="T1234" i="12767"/>
  <c r="T1240" i="12843" s="1"/>
  <c r="T1244" i="12767"/>
  <c r="T1250" i="12843" s="1"/>
  <c r="T1239" i="12767"/>
  <c r="T1245" i="12843" s="1"/>
  <c r="T1257" i="12767"/>
  <c r="T1263" i="12843" s="1"/>
  <c r="X1235" i="12767"/>
  <c r="X1234" i="12767"/>
  <c r="X1240" i="12843" s="1"/>
  <c r="T1238" i="12767"/>
  <c r="T1244" i="12843" s="1"/>
  <c r="T1246" i="12767"/>
  <c r="T1252" i="12843" s="1"/>
  <c r="T1250" i="12767"/>
  <c r="T1256" i="12843" s="1"/>
  <c r="T1236" i="12767"/>
  <c r="T1242" i="12843" s="1"/>
  <c r="T1259" i="12767"/>
  <c r="T1265" i="12843" s="1"/>
  <c r="X1239" i="12767"/>
  <c r="X1245" i="12843" s="1"/>
  <c r="X1247" i="12767"/>
  <c r="X1253" i="12843" s="1"/>
  <c r="X1251" i="12767"/>
  <c r="X1257" i="12843" s="1"/>
  <c r="X1258" i="12767"/>
  <c r="X1255" i="12767"/>
  <c r="X1261" i="12843" s="1"/>
  <c r="T1251" i="12767"/>
  <c r="T1257" i="12843" s="1"/>
  <c r="T1252" i="12767"/>
  <c r="T1258" i="12843" s="1"/>
  <c r="T1255" i="12767"/>
  <c r="T1261" i="12843" s="1"/>
  <c r="X1252" i="12767"/>
  <c r="X1258" i="12843" s="1"/>
  <c r="X1254" i="12767"/>
  <c r="X1260" i="12843" s="1"/>
  <c r="X1257" i="12767"/>
  <c r="X1236" i="12767"/>
  <c r="X1242" i="12843" s="1"/>
  <c r="X1154" i="12767"/>
  <c r="X1148" i="12767" s="1"/>
  <c r="T1154" i="12767"/>
  <c r="T1148" i="12767" s="1"/>
  <c r="V37" i="12783"/>
  <c r="P1154" i="12767"/>
  <c r="P1148" i="12767" s="1"/>
  <c r="V38" i="12848"/>
  <c r="Q38" i="12848"/>
  <c r="Q29" i="12848"/>
  <c r="O42" i="12848"/>
  <c r="O27" i="12848"/>
  <c r="O27" i="12849"/>
  <c r="L32" i="12831"/>
  <c r="L44" i="12831" s="1"/>
  <c r="L48" i="12831" s="1"/>
  <c r="L32" i="12848"/>
  <c r="L44" i="12848" s="1"/>
  <c r="L48" i="12848" s="1"/>
  <c r="O22" i="12848"/>
  <c r="L935" i="12843"/>
  <c r="L916" i="12843" s="1"/>
  <c r="P1261" i="12767"/>
  <c r="P1267" i="12843" s="1"/>
  <c r="P1236" i="12767"/>
  <c r="P1242" i="12843" s="1"/>
  <c r="P1234" i="12767"/>
  <c r="P1240" i="12843" s="1"/>
  <c r="P1254" i="12767"/>
  <c r="P1260" i="12843" s="1"/>
  <c r="P1258" i="12767"/>
  <c r="P1264" i="12843" s="1"/>
  <c r="P1259" i="12767"/>
  <c r="P1265" i="12843" s="1"/>
  <c r="P1235" i="12767"/>
  <c r="P1241" i="12843" s="1"/>
  <c r="P1239" i="12767"/>
  <c r="P1245" i="12843" s="1"/>
  <c r="P1257" i="12767"/>
  <c r="P1263" i="12843" s="1"/>
  <c r="P1255" i="12767"/>
  <c r="P1261" i="12843" s="1"/>
  <c r="P1242" i="12767"/>
  <c r="P1248" i="12843" s="1"/>
  <c r="P1244" i="12767"/>
  <c r="P1250" i="12843" s="1"/>
  <c r="P1246" i="12767"/>
  <c r="P1252" i="12843" s="1"/>
  <c r="P1243" i="12767"/>
  <c r="P1249" i="12843" s="1"/>
  <c r="P1238" i="12767"/>
  <c r="P1244" i="12843" s="1"/>
  <c r="P1247" i="12767"/>
  <c r="P1253" i="12843" s="1"/>
  <c r="P1251" i="12767"/>
  <c r="P1257" i="12843" s="1"/>
  <c r="P1252" i="12767"/>
  <c r="P1258" i="12843" s="1"/>
  <c r="F916" i="12843"/>
  <c r="F917" i="12843" s="1"/>
  <c r="F1277" i="12843" s="1"/>
  <c r="F1280" i="12843" s="1"/>
  <c r="F935" i="12843"/>
  <c r="AF12" i="12775"/>
  <c r="J96" i="12843"/>
  <c r="J114" i="12843" s="1"/>
  <c r="J95" i="12843"/>
  <c r="J113" i="12843" s="1"/>
  <c r="L113" i="12843" s="1"/>
  <c r="T1140" i="12843"/>
  <c r="X1157" i="12843"/>
  <c r="J517" i="12843"/>
  <c r="L517" i="12843" s="1"/>
  <c r="J307" i="12843"/>
  <c r="L307" i="12843" s="1"/>
  <c r="J503" i="12843"/>
  <c r="L503" i="12843" s="1"/>
  <c r="J538" i="12843"/>
  <c r="L538" i="12843" s="1"/>
  <c r="J432" i="12843"/>
  <c r="L432" i="12843" s="1"/>
  <c r="J201" i="12843"/>
  <c r="J362" i="12843"/>
  <c r="J376" i="12843"/>
  <c r="J224" i="12843"/>
  <c r="J468" i="12843"/>
  <c r="J552" i="12843"/>
  <c r="L552" i="12843" s="1"/>
  <c r="J411" i="12843"/>
  <c r="L411" i="12843" s="1"/>
  <c r="J327" i="12843"/>
  <c r="L327" i="12843" s="1"/>
  <c r="J238" i="12843"/>
  <c r="J397" i="12843"/>
  <c r="L397" i="12843" s="1"/>
  <c r="J446" i="12843"/>
  <c r="L446" i="12843" s="1"/>
  <c r="J482" i="12843"/>
  <c r="J293" i="12843"/>
  <c r="L293" i="12843" s="1"/>
  <c r="J272" i="12843"/>
  <c r="L272" i="12843" s="1"/>
  <c r="J341" i="12843"/>
  <c r="L341" i="12843" s="1"/>
  <c r="J258" i="12843"/>
  <c r="L258" i="12843" s="1"/>
  <c r="J539" i="12843"/>
  <c r="L539" i="12843" s="1"/>
  <c r="J294" i="12843"/>
  <c r="L294" i="12843" s="1"/>
  <c r="J377" i="12843"/>
  <c r="J202" i="12843"/>
  <c r="J225" i="12843"/>
  <c r="J239" i="12843"/>
  <c r="J433" i="12843"/>
  <c r="L433" i="12843" s="1"/>
  <c r="J308" i="12843"/>
  <c r="L308" i="12843" s="1"/>
  <c r="J469" i="12843"/>
  <c r="J412" i="12843"/>
  <c r="L412" i="12843" s="1"/>
  <c r="J447" i="12843"/>
  <c r="L447" i="12843" s="1"/>
  <c r="J273" i="12843"/>
  <c r="L273" i="12843" s="1"/>
  <c r="J483" i="12843"/>
  <c r="J504" i="12843"/>
  <c r="L504" i="12843" s="1"/>
  <c r="J363" i="12843"/>
  <c r="J398" i="12843"/>
  <c r="L398" i="12843" s="1"/>
  <c r="J518" i="12843"/>
  <c r="L518" i="12843" s="1"/>
  <c r="J328" i="12843"/>
  <c r="L328" i="12843" s="1"/>
  <c r="J342" i="12843"/>
  <c r="L342" i="12843" s="1"/>
  <c r="J553" i="12843"/>
  <c r="L553" i="12843" s="1"/>
  <c r="J259" i="12843"/>
  <c r="L259" i="12843" s="1"/>
  <c r="T1271" i="12843"/>
  <c r="J537" i="12843"/>
  <c r="L537" i="12843" s="1"/>
  <c r="J292" i="12843"/>
  <c r="L292" i="12843" s="1"/>
  <c r="J361" i="12843"/>
  <c r="J306" i="12843"/>
  <c r="L306" i="12843" s="1"/>
  <c r="J467" i="12843"/>
  <c r="J502" i="12843"/>
  <c r="L502" i="12843" s="1"/>
  <c r="J375" i="12843"/>
  <c r="J200" i="12843"/>
  <c r="J326" i="12843"/>
  <c r="L326" i="12843" s="1"/>
  <c r="J340" i="12843"/>
  <c r="L340" i="12843" s="1"/>
  <c r="J551" i="12843"/>
  <c r="L551" i="12843" s="1"/>
  <c r="J481" i="12843"/>
  <c r="J516" i="12843"/>
  <c r="L516" i="12843" s="1"/>
  <c r="J257" i="12843"/>
  <c r="L257" i="12843" s="1"/>
  <c r="J271" i="12843"/>
  <c r="L271" i="12843" s="1"/>
  <c r="J396" i="12843"/>
  <c r="L396" i="12843" s="1"/>
  <c r="J431" i="12843"/>
  <c r="L431" i="12843" s="1"/>
  <c r="J223" i="12843"/>
  <c r="J237" i="12843"/>
  <c r="J410" i="12843"/>
  <c r="L410" i="12843" s="1"/>
  <c r="J445" i="12843"/>
  <c r="L445" i="12843" s="1"/>
  <c r="P1271" i="12843"/>
  <c r="X1140" i="12843"/>
  <c r="L62" i="12843"/>
  <c r="T62" i="12843"/>
  <c r="T1157" i="12843"/>
  <c r="Q38" i="12783"/>
  <c r="AA1172" i="12843"/>
  <c r="Y1176" i="12843"/>
  <c r="Z1176" i="12843"/>
  <c r="AA1176" i="12843"/>
  <c r="V80" i="12843"/>
  <c r="X80" i="12843" s="1"/>
  <c r="V44" i="12843"/>
  <c r="X44" i="12843" s="1"/>
  <c r="V62" i="12843"/>
  <c r="X62" i="12843" s="1"/>
  <c r="Q29" i="12783"/>
  <c r="AD29" i="12783" s="1"/>
  <c r="AA1232" i="12843"/>
  <c r="Y1235" i="12843"/>
  <c r="AA1235" i="12843"/>
  <c r="Z1235" i="12843"/>
  <c r="P1140" i="12843"/>
  <c r="T80" i="12843"/>
  <c r="L80" i="12843"/>
  <c r="X1271" i="12843"/>
  <c r="P1157" i="12843"/>
  <c r="Y1206" i="12843"/>
  <c r="Z1206" i="12843"/>
  <c r="AA1206" i="12843"/>
  <c r="O22" i="12831"/>
  <c r="I1277" i="12843"/>
  <c r="I1280" i="12843" s="1"/>
  <c r="O22" i="12783"/>
  <c r="O27" i="12831"/>
  <c r="O27" i="12783"/>
  <c r="L934" i="12767"/>
  <c r="Z1172" i="12767"/>
  <c r="Y1172" i="12767"/>
  <c r="AA1172" i="12767"/>
  <c r="X1225" i="12767"/>
  <c r="X1221" i="12767" s="1"/>
  <c r="X1227" i="12843" s="1"/>
  <c r="P1225" i="12767"/>
  <c r="P1221" i="12767" s="1"/>
  <c r="P1227" i="12843" s="1"/>
  <c r="T1225" i="12767"/>
  <c r="T1221" i="12767" s="1"/>
  <c r="T1227" i="12843" s="1"/>
  <c r="P1114" i="12767"/>
  <c r="P1116" i="12843" s="1"/>
  <c r="P1129" i="12767"/>
  <c r="P1131" i="12843" s="1"/>
  <c r="P1134" i="12767"/>
  <c r="P1136" i="12843" s="1"/>
  <c r="P1113" i="12767"/>
  <c r="P1131" i="12767"/>
  <c r="P1133" i="12843" s="1"/>
  <c r="P1132" i="12767"/>
  <c r="P1134" i="12843" s="1"/>
  <c r="P1133" i="12767"/>
  <c r="P1135" i="12843" s="1"/>
  <c r="P1112" i="12767"/>
  <c r="P1114" i="12843" s="1"/>
  <c r="P1128" i="12767"/>
  <c r="P1130" i="12843" s="1"/>
  <c r="P1130" i="12767"/>
  <c r="P1118" i="12767"/>
  <c r="P1120" i="12843" s="1"/>
  <c r="P1115" i="12767"/>
  <c r="P1117" i="12843" s="1"/>
  <c r="P1116" i="12767"/>
  <c r="P1117" i="12767"/>
  <c r="P1119" i="12843" s="1"/>
  <c r="P1119" i="12767"/>
  <c r="P1120" i="12767"/>
  <c r="J432" i="12767"/>
  <c r="L432" i="12767" s="1"/>
  <c r="V184" i="12767"/>
  <c r="V183" i="12767"/>
  <c r="AA1169" i="12767"/>
  <c r="V182" i="12767"/>
  <c r="V29" i="12783"/>
  <c r="J112" i="12767"/>
  <c r="V112" i="12767" s="1"/>
  <c r="X112" i="12767" s="1"/>
  <c r="X113" i="12843" s="1"/>
  <c r="V94" i="12767"/>
  <c r="J113" i="12767"/>
  <c r="V95" i="12767"/>
  <c r="U38" i="12783"/>
  <c r="V38" i="12783" s="1"/>
  <c r="N129" i="12767"/>
  <c r="P129" i="12767" s="1"/>
  <c r="P130" i="12843" s="1"/>
  <c r="N128" i="12767"/>
  <c r="P128" i="12767" s="1"/>
  <c r="P129" i="12843" s="1"/>
  <c r="J238" i="12767"/>
  <c r="J293" i="12767"/>
  <c r="L293" i="12767" s="1"/>
  <c r="F100" i="12767"/>
  <c r="J615" i="12767"/>
  <c r="J574" i="12767" s="1"/>
  <c r="J201" i="12767"/>
  <c r="J272" i="12767"/>
  <c r="L272" i="12767" s="1"/>
  <c r="J376" i="12767"/>
  <c r="J341" i="12767"/>
  <c r="L341" i="12767" s="1"/>
  <c r="J397" i="12767"/>
  <c r="L397" i="12767" s="1"/>
  <c r="J224" i="12767"/>
  <c r="J446" i="12767"/>
  <c r="L446" i="12767" s="1"/>
  <c r="J537" i="12767"/>
  <c r="L537" i="12767" s="1"/>
  <c r="J551" i="12767"/>
  <c r="L551" i="12767" s="1"/>
  <c r="J307" i="12767"/>
  <c r="L307" i="12767" s="1"/>
  <c r="J536" i="12767"/>
  <c r="L536" i="12767" s="1"/>
  <c r="J550" i="12767"/>
  <c r="L550" i="12767" s="1"/>
  <c r="J468" i="12767"/>
  <c r="J552" i="12767"/>
  <c r="L552" i="12767" s="1"/>
  <c r="J258" i="12767"/>
  <c r="L258" i="12767" s="1"/>
  <c r="J327" i="12767"/>
  <c r="L327" i="12767" s="1"/>
  <c r="J362" i="12767"/>
  <c r="J482" i="12767"/>
  <c r="J538" i="12767"/>
  <c r="L538" i="12767" s="1"/>
  <c r="J502" i="12767"/>
  <c r="L502" i="12767" s="1"/>
  <c r="L467" i="12767" s="1"/>
  <c r="J516" i="12767"/>
  <c r="L516" i="12767" s="1"/>
  <c r="J411" i="12767"/>
  <c r="L411" i="12767" s="1"/>
  <c r="J501" i="12767"/>
  <c r="L501" i="12767" s="1"/>
  <c r="L466" i="12767" s="1"/>
  <c r="J515" i="12767"/>
  <c r="L515" i="12767" s="1"/>
  <c r="J503" i="12767"/>
  <c r="L503" i="12767" s="1"/>
  <c r="J517" i="12767"/>
  <c r="L517" i="12767" s="1"/>
  <c r="J467" i="12767"/>
  <c r="J481" i="12767"/>
  <c r="J466" i="12767"/>
  <c r="J480" i="12767"/>
  <c r="J431" i="12767"/>
  <c r="L431" i="12767" s="1"/>
  <c r="J445" i="12767"/>
  <c r="L445" i="12767" s="1"/>
  <c r="J430" i="12767"/>
  <c r="L430" i="12767" s="1"/>
  <c r="J444" i="12767"/>
  <c r="L444" i="12767" s="1"/>
  <c r="J396" i="12767"/>
  <c r="L396" i="12767" s="1"/>
  <c r="J410" i="12767"/>
  <c r="L410" i="12767" s="1"/>
  <c r="J395" i="12767"/>
  <c r="L395" i="12767" s="1"/>
  <c r="L360" i="12767" s="1"/>
  <c r="J409" i="12767"/>
  <c r="L409" i="12767" s="1"/>
  <c r="L374" i="12767" s="1"/>
  <c r="J361" i="12767"/>
  <c r="J375" i="12767"/>
  <c r="J360" i="12767"/>
  <c r="J374" i="12767"/>
  <c r="J326" i="12767"/>
  <c r="L326" i="12767" s="1"/>
  <c r="J340" i="12767"/>
  <c r="L340" i="12767" s="1"/>
  <c r="J325" i="12767"/>
  <c r="L325" i="12767" s="1"/>
  <c r="J339" i="12767"/>
  <c r="L339" i="12767" s="1"/>
  <c r="J292" i="12767"/>
  <c r="L292" i="12767" s="1"/>
  <c r="J306" i="12767"/>
  <c r="L306" i="12767" s="1"/>
  <c r="J291" i="12767"/>
  <c r="L291" i="12767" s="1"/>
  <c r="J305" i="12767"/>
  <c r="L305" i="12767" s="1"/>
  <c r="J257" i="12767"/>
  <c r="L257" i="12767" s="1"/>
  <c r="L223" i="12767" s="1"/>
  <c r="J271" i="12767"/>
  <c r="L271" i="12767" s="1"/>
  <c r="L237" i="12767" s="1"/>
  <c r="J256" i="12767"/>
  <c r="L256" i="12767" s="1"/>
  <c r="J270" i="12767"/>
  <c r="L270" i="12767" s="1"/>
  <c r="L236" i="12767" s="1"/>
  <c r="J223" i="12767"/>
  <c r="J237" i="12767"/>
  <c r="J222" i="12767"/>
  <c r="J236" i="12767"/>
  <c r="J199" i="12767"/>
  <c r="J200" i="12767"/>
  <c r="AC95" i="12767"/>
  <c r="X33" i="12764"/>
  <c r="X41" i="12764" s="1"/>
  <c r="Q73" i="12764"/>
  <c r="P75" i="12764"/>
  <c r="R75" i="12764" s="1"/>
  <c r="I915" i="12767"/>
  <c r="F915" i="12767" s="1"/>
  <c r="F916" i="12767" s="1"/>
  <c r="F934" i="12767"/>
  <c r="F203" i="12767"/>
  <c r="F204" i="12767" s="1"/>
  <c r="U41" i="12764"/>
  <c r="V41" i="12764"/>
  <c r="U78" i="12764"/>
  <c r="T84" i="12764"/>
  <c r="T86" i="12764" s="1"/>
  <c r="V78" i="12764"/>
  <c r="Q78" i="12764"/>
  <c r="R41" i="12764"/>
  <c r="N15" i="12811"/>
  <c r="V7" i="12764"/>
  <c r="T14" i="12764"/>
  <c r="V14" i="12764" s="1"/>
  <c r="L42" i="12812"/>
  <c r="M42" i="12812" s="1"/>
  <c r="X19" i="12764"/>
  <c r="M72" i="12812"/>
  <c r="L74" i="12812"/>
  <c r="P18" i="12764"/>
  <c r="P77" i="12764" s="1"/>
  <c r="P82" i="12764" s="1"/>
  <c r="L42" i="12783"/>
  <c r="AF8" i="12774"/>
  <c r="M15" i="12812"/>
  <c r="N15" i="12812" s="1"/>
  <c r="I239" i="12767"/>
  <c r="L19" i="12783"/>
  <c r="L140" i="12811"/>
  <c r="M81" i="12812"/>
  <c r="L82" i="12812"/>
  <c r="Q79" i="12812"/>
  <c r="P79" i="12811"/>
  <c r="Q71" i="12812"/>
  <c r="P71" i="12811"/>
  <c r="O49" i="12811"/>
  <c r="M50" i="12812"/>
  <c r="P49" i="12812"/>
  <c r="N49" i="12812"/>
  <c r="N50" i="12812" s="1"/>
  <c r="N18" i="12812"/>
  <c r="O18" i="12811"/>
  <c r="P18" i="12811" s="1"/>
  <c r="Q18" i="12811" s="1"/>
  <c r="P18" i="12812"/>
  <c r="Q18" i="12812" s="1"/>
  <c r="E21" i="12810"/>
  <c r="E25" i="12810" s="1"/>
  <c r="F16" i="12810"/>
  <c r="F19" i="12812"/>
  <c r="F38" i="12812" s="1"/>
  <c r="I13" i="12812"/>
  <c r="M102" i="12812"/>
  <c r="N102" i="12812" s="1"/>
  <c r="AF35" i="12774"/>
  <c r="AG35" i="12774" s="1"/>
  <c r="AF34" i="12774"/>
  <c r="J103" i="12812"/>
  <c r="J117" i="12812" s="1"/>
  <c r="N103" i="12811"/>
  <c r="N117" i="12811" s="1"/>
  <c r="D19" i="12809" s="1"/>
  <c r="F19" i="12809" s="1"/>
  <c r="G19" i="12809" s="1"/>
  <c r="O76" i="12811"/>
  <c r="M77" i="12812"/>
  <c r="P76" i="12812"/>
  <c r="N76" i="12812"/>
  <c r="N77" i="12812" s="1"/>
  <c r="T67" i="12764"/>
  <c r="V67" i="12764" s="1"/>
  <c r="M123" i="12812"/>
  <c r="L127" i="12812"/>
  <c r="L137" i="12812" s="1"/>
  <c r="Q121" i="12812"/>
  <c r="P121" i="12811"/>
  <c r="Q121" i="12811" s="1"/>
  <c r="M85" i="12812"/>
  <c r="O84" i="12811"/>
  <c r="P84" i="12812"/>
  <c r="N84" i="12812"/>
  <c r="N85" i="12812" s="1"/>
  <c r="O52" i="12811"/>
  <c r="M54" i="12812"/>
  <c r="P52" i="12812"/>
  <c r="N52" i="12812"/>
  <c r="N54" i="12812" s="1"/>
  <c r="D20" i="12809"/>
  <c r="Q21" i="12812"/>
  <c r="Q22" i="12812" s="1"/>
  <c r="P22" i="12812"/>
  <c r="O22" i="12811"/>
  <c r="P21" i="12811"/>
  <c r="AG40" i="12774"/>
  <c r="I954" i="12767"/>
  <c r="F954" i="12767"/>
  <c r="C1271" i="12767"/>
  <c r="C1274" i="12767" s="1"/>
  <c r="I1010" i="12767"/>
  <c r="F1010" i="12767"/>
  <c r="X7" i="12764"/>
  <c r="X14" i="12764" s="1"/>
  <c r="O19" i="12783"/>
  <c r="AF43" i="12774"/>
  <c r="AG43" i="12774" s="1"/>
  <c r="G787" i="12787"/>
  <c r="G1035" i="12787" s="1"/>
  <c r="G1038" i="12787" s="1"/>
  <c r="B38" i="12783"/>
  <c r="B39" i="12783" s="1"/>
  <c r="P788" i="12787"/>
  <c r="O788" i="12787"/>
  <c r="T153" i="12787"/>
  <c r="O42" i="12783"/>
  <c r="AD39" i="12783"/>
  <c r="P480" i="12787"/>
  <c r="T481" i="12787"/>
  <c r="C1042" i="12787"/>
  <c r="AG6" i="12775"/>
  <c r="I310" i="12767"/>
  <c r="Q67" i="12764"/>
  <c r="P69" i="12764"/>
  <c r="R67" i="12764"/>
  <c r="X67" i="12764" s="1"/>
  <c r="X69" i="12764" s="1"/>
  <c r="AG19" i="12774"/>
  <c r="O1009" i="12766"/>
  <c r="K1012" i="12766"/>
  <c r="P1009" i="12766"/>
  <c r="AF22" i="12775"/>
  <c r="AG22" i="12775" s="1"/>
  <c r="AD36" i="12783"/>
  <c r="U73" i="12764"/>
  <c r="V73" i="12764"/>
  <c r="T75" i="12764"/>
  <c r="H233" i="12787"/>
  <c r="H203" i="12787"/>
  <c r="H506" i="12787"/>
  <c r="H508" i="12787" s="1"/>
  <c r="H542" i="12787"/>
  <c r="U152" i="12787"/>
  <c r="W152" i="12787" s="1"/>
  <c r="U153" i="12787"/>
  <c r="W153" i="12787" s="1"/>
  <c r="Q161" i="12787"/>
  <c r="I606" i="12767"/>
  <c r="I674" i="12767"/>
  <c r="P22" i="12764" s="1"/>
  <c r="AD37" i="12783"/>
  <c r="Q14" i="12764"/>
  <c r="R14" i="12764"/>
  <c r="N1116" i="12767" l="1"/>
  <c r="N1118" i="12843" s="1"/>
  <c r="P1118" i="12843"/>
  <c r="R1148" i="12767"/>
  <c r="R1152" i="12767" s="1"/>
  <c r="T1151" i="12843"/>
  <c r="V1235" i="12767"/>
  <c r="X1241" i="12843"/>
  <c r="V1238" i="12767"/>
  <c r="X1244" i="12843"/>
  <c r="N1120" i="12767"/>
  <c r="N1122" i="12843" s="1"/>
  <c r="P1122" i="12843"/>
  <c r="N1113" i="12767"/>
  <c r="N1115" i="12843" s="1"/>
  <c r="P1115" i="12843"/>
  <c r="V1148" i="12767"/>
  <c r="X1151" i="12843"/>
  <c r="N1119" i="12767"/>
  <c r="N1121" i="12843" s="1"/>
  <c r="P1121" i="12843"/>
  <c r="N1148" i="12767"/>
  <c r="N1149" i="12767" s="1"/>
  <c r="P1151" i="12843"/>
  <c r="V1258" i="12767"/>
  <c r="X1264" i="12843"/>
  <c r="V1242" i="12767"/>
  <c r="X1248" i="12843"/>
  <c r="T1116" i="12767"/>
  <c r="P1132" i="12843"/>
  <c r="V1257" i="12767"/>
  <c r="X1263" i="12843"/>
  <c r="V1259" i="12767"/>
  <c r="V1252" i="12767"/>
  <c r="V1244" i="12767"/>
  <c r="V1236" i="12767"/>
  <c r="V1251" i="12767"/>
  <c r="V1255" i="12767"/>
  <c r="V1247" i="12767"/>
  <c r="V1250" i="12767"/>
  <c r="V1239" i="12767"/>
  <c r="J575" i="12843"/>
  <c r="L575" i="12843" s="1"/>
  <c r="L574" i="12767"/>
  <c r="J576" i="12843"/>
  <c r="L576" i="12843" s="1"/>
  <c r="L575" i="12767"/>
  <c r="J616" i="12843"/>
  <c r="J658" i="12843" s="1"/>
  <c r="L361" i="12767"/>
  <c r="L183" i="12767" s="1"/>
  <c r="X183" i="12767" s="1"/>
  <c r="X184" i="12843" s="1"/>
  <c r="AB89" i="12767"/>
  <c r="AB90" i="12767"/>
  <c r="V1254" i="12767"/>
  <c r="V1246" i="12767"/>
  <c r="N1125" i="12767"/>
  <c r="N1127" i="12843" s="1"/>
  <c r="N1126" i="12767"/>
  <c r="N1128" i="12843" s="1"/>
  <c r="N1123" i="12767"/>
  <c r="N1125" i="12843" s="1"/>
  <c r="N1124" i="12767"/>
  <c r="N1126" i="12843" s="1"/>
  <c r="O32" i="12849"/>
  <c r="O44" i="12849" s="1"/>
  <c r="O48" i="12849" s="1"/>
  <c r="O32" i="12848"/>
  <c r="O44" i="12848" s="1"/>
  <c r="V95" i="12843"/>
  <c r="X95" i="12843" s="1"/>
  <c r="V96" i="12843"/>
  <c r="X96" i="12843" s="1"/>
  <c r="V185" i="12843"/>
  <c r="V483" i="12843" s="1"/>
  <c r="V184" i="12843"/>
  <c r="V327" i="12843" s="1"/>
  <c r="X327" i="12843" s="1"/>
  <c r="V183" i="12843"/>
  <c r="V113" i="12843"/>
  <c r="V129" i="12843" s="1"/>
  <c r="L362" i="12843"/>
  <c r="AC96" i="12843"/>
  <c r="J129" i="12843"/>
  <c r="J144" i="12843" s="1"/>
  <c r="L223" i="12843"/>
  <c r="L467" i="12843"/>
  <c r="L375" i="12843"/>
  <c r="L361" i="12843"/>
  <c r="L469" i="12843"/>
  <c r="L377" i="12843"/>
  <c r="L238" i="12843"/>
  <c r="L468" i="12843"/>
  <c r="L23" i="12843"/>
  <c r="J161" i="12845" s="1"/>
  <c r="L237" i="12843"/>
  <c r="L225" i="12843"/>
  <c r="V616" i="12767"/>
  <c r="V575" i="12767" s="1"/>
  <c r="J617" i="12843"/>
  <c r="L376" i="12843"/>
  <c r="L224" i="12843"/>
  <c r="X1231" i="12843"/>
  <c r="P1202" i="12843"/>
  <c r="T1215" i="12843"/>
  <c r="T1202" i="12843"/>
  <c r="P1231" i="12843"/>
  <c r="T1231" i="12843"/>
  <c r="X1215" i="12843"/>
  <c r="X1202" i="12843"/>
  <c r="P1215" i="12843"/>
  <c r="O32" i="12831"/>
  <c r="O44" i="12831" s="1"/>
  <c r="V55" i="12831" s="1"/>
  <c r="C1284" i="12843"/>
  <c r="N1132" i="12767"/>
  <c r="N1134" i="12843" s="1"/>
  <c r="N1128" i="12767"/>
  <c r="N1114" i="12767"/>
  <c r="N1116" i="12843" s="1"/>
  <c r="N1131" i="12767"/>
  <c r="N1118" i="12767"/>
  <c r="N1120" i="12843" s="1"/>
  <c r="N1134" i="12767"/>
  <c r="N1136" i="12843" s="1"/>
  <c r="N1130" i="12767"/>
  <c r="N1117" i="12767"/>
  <c r="N1119" i="12843" s="1"/>
  <c r="N1133" i="12767"/>
  <c r="N1135" i="12843" s="1"/>
  <c r="N1129" i="12767"/>
  <c r="N1115" i="12767"/>
  <c r="N1117" i="12843" s="1"/>
  <c r="V1152" i="12767"/>
  <c r="V1151" i="12843"/>
  <c r="L114" i="12843"/>
  <c r="J130" i="12843"/>
  <c r="V114" i="12843"/>
  <c r="I935" i="12767"/>
  <c r="X1198" i="12767"/>
  <c r="X1210" i="12767"/>
  <c r="X1206" i="12767" s="1"/>
  <c r="P1198" i="12767"/>
  <c r="P1210" i="12767"/>
  <c r="P1206" i="12767" s="1"/>
  <c r="T1210" i="12767"/>
  <c r="T1206" i="12767" s="1"/>
  <c r="T1198" i="12767"/>
  <c r="T1128" i="12767"/>
  <c r="T1130" i="12843" s="1"/>
  <c r="T1114" i="12767"/>
  <c r="T1116" i="12843" s="1"/>
  <c r="R1221" i="12767"/>
  <c r="T1224" i="12767"/>
  <c r="T1226" i="12767" s="1"/>
  <c r="N1221" i="12767"/>
  <c r="P1224" i="12767"/>
  <c r="P1226" i="12767" s="1"/>
  <c r="V1221" i="12767"/>
  <c r="X1224" i="12767"/>
  <c r="X1226" i="12767" s="1"/>
  <c r="T1131" i="12767"/>
  <c r="T1133" i="12843" s="1"/>
  <c r="T1117" i="12767"/>
  <c r="T1119" i="12843" s="1"/>
  <c r="T1130" i="12767"/>
  <c r="T1134" i="12767"/>
  <c r="T1136" i="12843" s="1"/>
  <c r="T1132" i="12767"/>
  <c r="T1134" i="12843" s="1"/>
  <c r="T1133" i="12767"/>
  <c r="T1135" i="12843" s="1"/>
  <c r="T1119" i="12767"/>
  <c r="T1129" i="12767"/>
  <c r="T1131" i="12843" s="1"/>
  <c r="T1121" i="12767"/>
  <c r="T1118" i="12767"/>
  <c r="T1120" i="12843" s="1"/>
  <c r="T1115" i="12767"/>
  <c r="T1117" i="12843" s="1"/>
  <c r="T1120" i="12767"/>
  <c r="N1152" i="12767"/>
  <c r="T1113" i="12767"/>
  <c r="T1115" i="12843" s="1"/>
  <c r="J592" i="12767"/>
  <c r="L592" i="12767" s="1"/>
  <c r="V615" i="12767"/>
  <c r="V574" i="12767" s="1"/>
  <c r="L112" i="12767"/>
  <c r="J128" i="12767"/>
  <c r="J129" i="12767"/>
  <c r="V113" i="12767"/>
  <c r="X113" i="12767" s="1"/>
  <c r="X114" i="12843" s="1"/>
  <c r="U14" i="12764"/>
  <c r="V128" i="12767"/>
  <c r="X128" i="12767" s="1"/>
  <c r="X129" i="12843" s="1"/>
  <c r="R593" i="12767"/>
  <c r="T593" i="12767" s="1"/>
  <c r="R658" i="12767"/>
  <c r="R696" i="12767"/>
  <c r="R128" i="12767"/>
  <c r="T128" i="12767" s="1"/>
  <c r="T129" i="12843" s="1"/>
  <c r="N143" i="12767"/>
  <c r="P143" i="12767" s="1"/>
  <c r="N144" i="12767"/>
  <c r="P144" i="12767" s="1"/>
  <c r="L222" i="12767"/>
  <c r="L182" i="12767" s="1"/>
  <c r="X182" i="12767" s="1"/>
  <c r="X183" i="12843" s="1"/>
  <c r="J633" i="12767"/>
  <c r="J593" i="12767"/>
  <c r="J657" i="12767"/>
  <c r="J672" i="12767" s="1"/>
  <c r="L672" i="12767" s="1"/>
  <c r="J695" i="12767"/>
  <c r="J658" i="12767"/>
  <c r="J673" i="12767" s="1"/>
  <c r="L673" i="12767" s="1"/>
  <c r="J696" i="12767"/>
  <c r="J632" i="12767"/>
  <c r="L375" i="12767"/>
  <c r="L468" i="12767"/>
  <c r="L376" i="12767"/>
  <c r="L224" i="12767"/>
  <c r="L113" i="12767"/>
  <c r="Q75" i="12764"/>
  <c r="I916" i="12767"/>
  <c r="F1271" i="12767"/>
  <c r="F1274" i="12767" s="1"/>
  <c r="Q18" i="12764"/>
  <c r="T58" i="12764"/>
  <c r="U67" i="12764"/>
  <c r="R18" i="12764"/>
  <c r="L41" i="12812" s="1"/>
  <c r="L97" i="12812"/>
  <c r="H18" i="12809" s="1"/>
  <c r="I18" i="12809" s="1"/>
  <c r="J18" i="12809" s="1"/>
  <c r="B42" i="12783"/>
  <c r="B44" i="12783" s="1"/>
  <c r="L32" i="12783"/>
  <c r="L44" i="12783" s="1"/>
  <c r="L48" i="12783" s="1"/>
  <c r="R22" i="12764"/>
  <c r="L46" i="12812" s="1"/>
  <c r="C1278" i="12767"/>
  <c r="N42" i="12812"/>
  <c r="P42" i="12812"/>
  <c r="Q42" i="12812" s="1"/>
  <c r="O42" i="12811"/>
  <c r="P42" i="12811" s="1"/>
  <c r="Q42" i="12811" s="1"/>
  <c r="N72" i="12812"/>
  <c r="N74" i="12812" s="1"/>
  <c r="O72" i="12811"/>
  <c r="P72" i="12812"/>
  <c r="M74" i="12812"/>
  <c r="O15" i="12811"/>
  <c r="P15" i="12811" s="1"/>
  <c r="Q15" i="12811" s="1"/>
  <c r="P15" i="12812"/>
  <c r="Q15" i="12812" s="1"/>
  <c r="V18" i="12764"/>
  <c r="U18" i="12764"/>
  <c r="T69" i="12764"/>
  <c r="U69" i="12764" s="1"/>
  <c r="U22" i="12764"/>
  <c r="N81" i="12812"/>
  <c r="N82" i="12812" s="1"/>
  <c r="O81" i="12811"/>
  <c r="P81" i="12812"/>
  <c r="M82" i="12812"/>
  <c r="Q79" i="12811"/>
  <c r="Q71" i="12811"/>
  <c r="Q49" i="12812"/>
  <c r="Q50" i="12812" s="1"/>
  <c r="P50" i="12812"/>
  <c r="O50" i="12811"/>
  <c r="P49" i="12811"/>
  <c r="F21" i="12810"/>
  <c r="I19" i="12812"/>
  <c r="I38" i="12812" s="1"/>
  <c r="J13" i="12812"/>
  <c r="N13" i="12811"/>
  <c r="P102" i="12812"/>
  <c r="Q102" i="12812" s="1"/>
  <c r="O102" i="12811"/>
  <c r="P102" i="12811" s="1"/>
  <c r="Q102" i="12811" s="1"/>
  <c r="M101" i="12812"/>
  <c r="L103" i="12812"/>
  <c r="L117" i="12812" s="1"/>
  <c r="H19" i="12809" s="1"/>
  <c r="I19" i="12809" s="1"/>
  <c r="J19" i="12809" s="1"/>
  <c r="U77" i="12764"/>
  <c r="V77" i="12764"/>
  <c r="R77" i="12764"/>
  <c r="X77" i="12764" s="1"/>
  <c r="X82" i="12764" s="1"/>
  <c r="Q77" i="12764"/>
  <c r="Q76" i="12812"/>
  <c r="Q77" i="12812" s="1"/>
  <c r="P77" i="12812"/>
  <c r="O77" i="12811"/>
  <c r="P76" i="12811"/>
  <c r="O85" i="12811"/>
  <c r="P84" i="12811"/>
  <c r="O123" i="12811"/>
  <c r="P123" i="12812"/>
  <c r="N123" i="12812"/>
  <c r="N127" i="12812" s="1"/>
  <c r="N137" i="12812" s="1"/>
  <c r="M127" i="12812"/>
  <c r="M137" i="12812" s="1"/>
  <c r="F20" i="12809"/>
  <c r="Q52" i="12812"/>
  <c r="Q54" i="12812" s="1"/>
  <c r="P54" i="12812"/>
  <c r="O54" i="12811"/>
  <c r="P52" i="12811"/>
  <c r="P85" i="12812"/>
  <c r="Q84" i="12812"/>
  <c r="Q85" i="12812" s="1"/>
  <c r="H20" i="12809"/>
  <c r="Q21" i="12811"/>
  <c r="P22" i="12811"/>
  <c r="AF44" i="12775"/>
  <c r="AG15" i="12774"/>
  <c r="L915" i="12767"/>
  <c r="AG29" i="12774"/>
  <c r="AD38" i="12783"/>
  <c r="AG24" i="12774"/>
  <c r="U75" i="12764"/>
  <c r="V75" i="12764"/>
  <c r="R82" i="12764"/>
  <c r="Q82" i="12764"/>
  <c r="V82" i="12764"/>
  <c r="U82" i="12764"/>
  <c r="I634" i="12767"/>
  <c r="I636" i="12767" s="1"/>
  <c r="I676" i="12767"/>
  <c r="H174" i="12787"/>
  <c r="H176" i="12787" s="1"/>
  <c r="H1035" i="12787" s="1"/>
  <c r="H1038" i="12787" s="1"/>
  <c r="H1045" i="12787" s="1"/>
  <c r="H205" i="12787"/>
  <c r="R69" i="12764"/>
  <c r="Q69" i="12764"/>
  <c r="C1043" i="12787"/>
  <c r="C1045" i="12787" s="1"/>
  <c r="I202" i="12767"/>
  <c r="I204" i="12767" s="1"/>
  <c r="I241" i="12767"/>
  <c r="R1151" i="12843" l="1"/>
  <c r="R1149" i="12767"/>
  <c r="V1149" i="12767" s="1"/>
  <c r="J633" i="12843"/>
  <c r="J696" i="12843"/>
  <c r="J711" i="12843" s="1"/>
  <c r="L711" i="12843" s="1"/>
  <c r="N1206" i="12767"/>
  <c r="N1192" i="12767" s="1"/>
  <c r="P1210" i="12843"/>
  <c r="R1121" i="12767"/>
  <c r="R1123" i="12843" s="1"/>
  <c r="T1123" i="12843"/>
  <c r="R1120" i="12767"/>
  <c r="R1122" i="12843" s="1"/>
  <c r="T1122" i="12843"/>
  <c r="V1206" i="12767"/>
  <c r="V1205" i="12767" s="1"/>
  <c r="V1210" i="12843" s="1"/>
  <c r="X1210" i="12843"/>
  <c r="N1151" i="12843"/>
  <c r="R1119" i="12767"/>
  <c r="R1121" i="12843" s="1"/>
  <c r="T1121" i="12843"/>
  <c r="X1128" i="12767"/>
  <c r="X1130" i="12843" s="1"/>
  <c r="T1132" i="12843"/>
  <c r="R1206" i="12767"/>
  <c r="R1205" i="12767" s="1"/>
  <c r="T1210" i="12843"/>
  <c r="J593" i="12843"/>
  <c r="L593" i="12843" s="1"/>
  <c r="R1116" i="12767"/>
  <c r="R1118" i="12843" s="1"/>
  <c r="T1118" i="12843"/>
  <c r="V575" i="12843"/>
  <c r="X574" i="12767"/>
  <c r="X575" i="12843" s="1"/>
  <c r="V576" i="12843"/>
  <c r="X575" i="12767"/>
  <c r="X576" i="12843" s="1"/>
  <c r="V616" i="12843"/>
  <c r="V696" i="12843" s="1"/>
  <c r="V617" i="12843"/>
  <c r="V594" i="12843" s="1"/>
  <c r="R1113" i="12767"/>
  <c r="R1115" i="12843" s="1"/>
  <c r="R1124" i="12767"/>
  <c r="R1126" i="12767"/>
  <c r="R1128" i="12843" s="1"/>
  <c r="R1123" i="12767"/>
  <c r="R1125" i="12843" s="1"/>
  <c r="R1125" i="12767"/>
  <c r="R1127" i="12843" s="1"/>
  <c r="N1133" i="12843"/>
  <c r="N1131" i="12843"/>
  <c r="N1130" i="12843"/>
  <c r="N1132" i="12843"/>
  <c r="V516" i="12843"/>
  <c r="X516" i="12843" s="1"/>
  <c r="V432" i="12843"/>
  <c r="X432" i="12843" s="1"/>
  <c r="V257" i="12843"/>
  <c r="X257" i="12843" s="1"/>
  <c r="N1155" i="12843"/>
  <c r="V200" i="12843"/>
  <c r="V410" i="12843"/>
  <c r="X410" i="12843" s="1"/>
  <c r="V412" i="12843"/>
  <c r="X412" i="12843" s="1"/>
  <c r="V431" i="12843"/>
  <c r="X431" i="12843" s="1"/>
  <c r="V202" i="12843"/>
  <c r="V469" i="12843"/>
  <c r="V272" i="12843"/>
  <c r="X272" i="12843" s="1"/>
  <c r="V259" i="12843"/>
  <c r="X259" i="12843" s="1"/>
  <c r="V342" i="12843"/>
  <c r="X342" i="12843" s="1"/>
  <c r="O48" i="12848"/>
  <c r="V375" i="12843"/>
  <c r="V361" i="12843"/>
  <c r="V467" i="12843"/>
  <c r="V237" i="12843"/>
  <c r="V292" i="12843"/>
  <c r="X292" i="12843" s="1"/>
  <c r="V340" i="12843"/>
  <c r="X340" i="12843" s="1"/>
  <c r="V326" i="12843"/>
  <c r="X326" i="12843" s="1"/>
  <c r="V502" i="12843"/>
  <c r="X502" i="12843" s="1"/>
  <c r="V223" i="12843"/>
  <c r="V271" i="12843"/>
  <c r="X271" i="12843" s="1"/>
  <c r="V537" i="12843"/>
  <c r="X537" i="12843" s="1"/>
  <c r="V446" i="12843"/>
  <c r="X446" i="12843" s="1"/>
  <c r="V551" i="12843"/>
  <c r="X551" i="12843" s="1"/>
  <c r="V445" i="12843"/>
  <c r="X445" i="12843" s="1"/>
  <c r="V481" i="12843"/>
  <c r="V306" i="12843"/>
  <c r="X306" i="12843" s="1"/>
  <c r="V396" i="12843"/>
  <c r="X396" i="12843" s="1"/>
  <c r="V293" i="12843"/>
  <c r="X293" i="12843" s="1"/>
  <c r="V307" i="12843"/>
  <c r="X307" i="12843" s="1"/>
  <c r="V294" i="12843"/>
  <c r="X294" i="12843" s="1"/>
  <c r="V433" i="12843"/>
  <c r="X433" i="12843" s="1"/>
  <c r="V398" i="12843"/>
  <c r="X398" i="12843" s="1"/>
  <c r="V238" i="12843"/>
  <c r="V538" i="12843"/>
  <c r="X538" i="12843" s="1"/>
  <c r="V224" i="12843"/>
  <c r="V539" i="12843"/>
  <c r="X539" i="12843" s="1"/>
  <c r="V308" i="12843"/>
  <c r="X308" i="12843" s="1"/>
  <c r="V504" i="12843"/>
  <c r="X504" i="12843" s="1"/>
  <c r="V328" i="12843"/>
  <c r="X328" i="12843" s="1"/>
  <c r="V553" i="12843"/>
  <c r="X553" i="12843" s="1"/>
  <c r="V341" i="12843"/>
  <c r="X341" i="12843" s="1"/>
  <c r="V201" i="12843"/>
  <c r="V468" i="12843"/>
  <c r="V258" i="12843"/>
  <c r="X258" i="12843" s="1"/>
  <c r="X224" i="12843" s="1"/>
  <c r="V482" i="12843"/>
  <c r="V239" i="12843"/>
  <c r="V225" i="12843"/>
  <c r="V503" i="12843"/>
  <c r="X503" i="12843" s="1"/>
  <c r="V411" i="12843"/>
  <c r="X411" i="12843" s="1"/>
  <c r="V517" i="12843"/>
  <c r="X517" i="12843" s="1"/>
  <c r="N1152" i="12843"/>
  <c r="V377" i="12843"/>
  <c r="V363" i="12843"/>
  <c r="V447" i="12843"/>
  <c r="X447" i="12843" s="1"/>
  <c r="V518" i="12843"/>
  <c r="X518" i="12843" s="1"/>
  <c r="V273" i="12843"/>
  <c r="X273" i="12843" s="1"/>
  <c r="V362" i="12843"/>
  <c r="V376" i="12843"/>
  <c r="V552" i="12843"/>
  <c r="X552" i="12843" s="1"/>
  <c r="V397" i="12843"/>
  <c r="X397" i="12843" s="1"/>
  <c r="V53" i="12831"/>
  <c r="V51" i="12831" s="1"/>
  <c r="L184" i="12843"/>
  <c r="L183" i="12843"/>
  <c r="L129" i="12843"/>
  <c r="X1118" i="12767"/>
  <c r="X1120" i="12843" s="1"/>
  <c r="X1171" i="12843"/>
  <c r="P1171" i="12843"/>
  <c r="T1171" i="12843"/>
  <c r="J673" i="12843"/>
  <c r="L673" i="12843" s="1"/>
  <c r="L658" i="12843"/>
  <c r="V658" i="12843"/>
  <c r="J634" i="12843"/>
  <c r="J697" i="12843"/>
  <c r="J659" i="12843"/>
  <c r="J594" i="12843"/>
  <c r="L594" i="12843" s="1"/>
  <c r="AB29" i="12831"/>
  <c r="W29" i="12831" s="1"/>
  <c r="X29" i="12831" s="1"/>
  <c r="AB37" i="12831"/>
  <c r="W37" i="12831" s="1"/>
  <c r="X37" i="12831" s="1"/>
  <c r="AB24" i="12831"/>
  <c r="W24" i="12831" s="1"/>
  <c r="X24" i="12831" s="1"/>
  <c r="AB38" i="12831"/>
  <c r="W38" i="12831" s="1"/>
  <c r="X38" i="12831" s="1"/>
  <c r="AB35" i="12831"/>
  <c r="W35" i="12831" s="1"/>
  <c r="X35" i="12831" s="1"/>
  <c r="AB44" i="12831"/>
  <c r="AB28" i="12831"/>
  <c r="W28" i="12831" s="1"/>
  <c r="X28" i="12831" s="1"/>
  <c r="AB25" i="12831"/>
  <c r="W25" i="12831" s="1"/>
  <c r="X25" i="12831" s="1"/>
  <c r="AB39" i="12831"/>
  <c r="W39" i="12831" s="1"/>
  <c r="AB16" i="12831"/>
  <c r="W16" i="12831" s="1"/>
  <c r="X16" i="12831" s="1"/>
  <c r="AB22" i="12831"/>
  <c r="W22" i="12831" s="1"/>
  <c r="X22" i="12831" s="1"/>
  <c r="AB26" i="12831"/>
  <c r="W26" i="12831" s="1"/>
  <c r="X26" i="12831" s="1"/>
  <c r="AB36" i="12831"/>
  <c r="W36" i="12831" s="1"/>
  <c r="X36" i="12831" s="1"/>
  <c r="O48" i="12831"/>
  <c r="V50" i="12831" s="1"/>
  <c r="C1285" i="12843"/>
  <c r="C1287" i="12843" s="1"/>
  <c r="X1117" i="12767"/>
  <c r="X1119" i="12843" s="1"/>
  <c r="X1129" i="12767"/>
  <c r="X1131" i="12843" s="1"/>
  <c r="X1130" i="12767"/>
  <c r="X1132" i="12843" s="1"/>
  <c r="R1134" i="12767"/>
  <c r="R1136" i="12843" s="1"/>
  <c r="R1130" i="12767"/>
  <c r="R1117" i="12767"/>
  <c r="R1119" i="12843" s="1"/>
  <c r="R1133" i="12767"/>
  <c r="R1135" i="12843" s="1"/>
  <c r="R1129" i="12767"/>
  <c r="R1115" i="12767"/>
  <c r="R1117" i="12843" s="1"/>
  <c r="R1114" i="12767"/>
  <c r="R1116" i="12843" s="1"/>
  <c r="R1132" i="12767"/>
  <c r="R1134" i="12843" s="1"/>
  <c r="R1128" i="12767"/>
  <c r="R1131" i="12767"/>
  <c r="R1118" i="12767"/>
  <c r="R1120" i="12843" s="1"/>
  <c r="N1205" i="12767"/>
  <c r="X1115" i="12767"/>
  <c r="X1117" i="12843" s="1"/>
  <c r="N1223" i="12767"/>
  <c r="N1227" i="12843"/>
  <c r="P1186" i="12767"/>
  <c r="P1190" i="12843" s="1"/>
  <c r="P1188" i="12767"/>
  <c r="P1192" i="12843" s="1"/>
  <c r="P1187" i="12767"/>
  <c r="P1191" i="12843" s="1"/>
  <c r="P1189" i="12767"/>
  <c r="P1193" i="12843" s="1"/>
  <c r="P1190" i="12767"/>
  <c r="P1194" i="12843" s="1"/>
  <c r="V1223" i="12767"/>
  <c r="V1227" i="12843"/>
  <c r="R1223" i="12767"/>
  <c r="R1227" i="12843"/>
  <c r="X1119" i="12767"/>
  <c r="V1192" i="12767"/>
  <c r="V1155" i="12843"/>
  <c r="R1155" i="12843"/>
  <c r="J145" i="12843"/>
  <c r="L130" i="12843"/>
  <c r="V144" i="12843"/>
  <c r="V130" i="12843"/>
  <c r="J159" i="12843"/>
  <c r="L159" i="12843" s="1"/>
  <c r="L144" i="12843"/>
  <c r="X1133" i="12767"/>
  <c r="X1135" i="12843" s="1"/>
  <c r="X1134" i="12767"/>
  <c r="X1136" i="12843" s="1"/>
  <c r="X1120" i="12767"/>
  <c r="X1114" i="12767"/>
  <c r="X1116" i="12843" s="1"/>
  <c r="X1116" i="12767"/>
  <c r="X1113" i="12767"/>
  <c r="X1115" i="12843" s="1"/>
  <c r="X1121" i="12767"/>
  <c r="X1132" i="12767"/>
  <c r="X1134" i="12843" s="1"/>
  <c r="X1131" i="12767"/>
  <c r="X1133" i="12843" s="1"/>
  <c r="P1168" i="12767"/>
  <c r="T1168" i="12767"/>
  <c r="X1168" i="12767"/>
  <c r="P1149" i="12767"/>
  <c r="R657" i="12767"/>
  <c r="T657" i="12767" s="1"/>
  <c r="R695" i="12767"/>
  <c r="R710" i="12767" s="1"/>
  <c r="T710" i="12767" s="1"/>
  <c r="R592" i="12767"/>
  <c r="T592" i="12767" s="1"/>
  <c r="J144" i="12767"/>
  <c r="L129" i="12767"/>
  <c r="V129" i="12767"/>
  <c r="X129" i="12767" s="1"/>
  <c r="X130" i="12843" s="1"/>
  <c r="V143" i="12767"/>
  <c r="X143" i="12767" s="1"/>
  <c r="T658" i="12767"/>
  <c r="R673" i="12767"/>
  <c r="T673" i="12767" s="1"/>
  <c r="R129" i="12767"/>
  <c r="T129" i="12767" s="1"/>
  <c r="T130" i="12843" s="1"/>
  <c r="R143" i="12767"/>
  <c r="T143" i="12767" s="1"/>
  <c r="R711" i="12767"/>
  <c r="T711" i="12767" s="1"/>
  <c r="T696" i="12767"/>
  <c r="N159" i="12767"/>
  <c r="P159" i="12767" s="1"/>
  <c r="N158" i="12767"/>
  <c r="P158" i="12767" s="1"/>
  <c r="L658" i="12767"/>
  <c r="L657" i="12767"/>
  <c r="L695" i="12767"/>
  <c r="J710" i="12767"/>
  <c r="L710" i="12767" s="1"/>
  <c r="L632" i="12767" s="1"/>
  <c r="X632" i="12767" s="1"/>
  <c r="X633" i="12843" s="1"/>
  <c r="L696" i="12767"/>
  <c r="J711" i="12767"/>
  <c r="L711" i="12767" s="1"/>
  <c r="L633" i="12767" s="1"/>
  <c r="X633" i="12767" s="1"/>
  <c r="X634" i="12843" s="1"/>
  <c r="L128" i="12767"/>
  <c r="J143" i="12767"/>
  <c r="AB27" i="12831"/>
  <c r="W27" i="12831" s="1"/>
  <c r="V69" i="12764"/>
  <c r="V22" i="12764"/>
  <c r="X18" i="12764"/>
  <c r="T112" i="12764"/>
  <c r="M97" i="12812"/>
  <c r="Q22" i="12764"/>
  <c r="P28" i="12764"/>
  <c r="U28" i="12764" s="1"/>
  <c r="P84" i="12764"/>
  <c r="N97" i="12812"/>
  <c r="Q72" i="12812"/>
  <c r="Q74" i="12812" s="1"/>
  <c r="P74" i="12812"/>
  <c r="P72" i="12811"/>
  <c r="O74" i="12811"/>
  <c r="L44" i="12812"/>
  <c r="M41" i="12812"/>
  <c r="X22" i="12764"/>
  <c r="F25" i="12810"/>
  <c r="C1279" i="12767"/>
  <c r="C1281" i="12767" s="1"/>
  <c r="P81" i="12811"/>
  <c r="O82" i="12811"/>
  <c r="Q81" i="12812"/>
  <c r="Q82" i="12812" s="1"/>
  <c r="P82" i="12812"/>
  <c r="Q49" i="12811"/>
  <c r="Q50" i="12811" s="1"/>
  <c r="P50" i="12811"/>
  <c r="AF6" i="12774"/>
  <c r="AF12" i="12774" s="1"/>
  <c r="J19" i="12812"/>
  <c r="J38" i="12812" s="1"/>
  <c r="N19" i="12811"/>
  <c r="N38" i="12811" s="1"/>
  <c r="D16" i="12809" s="1"/>
  <c r="F16" i="12809" s="1"/>
  <c r="G16" i="12809" s="1"/>
  <c r="O101" i="12811"/>
  <c r="M103" i="12812"/>
  <c r="M117" i="12812" s="1"/>
  <c r="P101" i="12812"/>
  <c r="N101" i="12812"/>
  <c r="N103" i="12812" s="1"/>
  <c r="N117" i="12812" s="1"/>
  <c r="Q76" i="12811"/>
  <c r="P77" i="12811"/>
  <c r="I1271" i="12767"/>
  <c r="I1274" i="12767" s="1"/>
  <c r="F47" i="12812"/>
  <c r="I46" i="12812"/>
  <c r="I20" i="12809"/>
  <c r="G20" i="12809"/>
  <c r="Q123" i="12812"/>
  <c r="Q127" i="12812" s="1"/>
  <c r="Q137" i="12812" s="1"/>
  <c r="P127" i="12812"/>
  <c r="P137" i="12812" s="1"/>
  <c r="Q84" i="12811"/>
  <c r="P85" i="12811"/>
  <c r="Q52" i="12811"/>
  <c r="P54" i="12811"/>
  <c r="P123" i="12811"/>
  <c r="Q123" i="12811" s="1"/>
  <c r="O127" i="12811"/>
  <c r="Q22" i="12811"/>
  <c r="AF32" i="12774"/>
  <c r="AG32" i="12774" s="1"/>
  <c r="AG8" i="12774"/>
  <c r="AG34" i="12774"/>
  <c r="AF36" i="12774"/>
  <c r="X362" i="12843" l="1"/>
  <c r="L696" i="12843"/>
  <c r="V593" i="12843"/>
  <c r="R1192" i="12767"/>
  <c r="R1196" i="12767" s="1"/>
  <c r="V633" i="12843"/>
  <c r="X376" i="12843"/>
  <c r="P1153" i="12767"/>
  <c r="P1155" i="12767" s="1"/>
  <c r="P1152" i="12843"/>
  <c r="V1116" i="12767"/>
  <c r="V1118" i="12843" s="1"/>
  <c r="X1118" i="12843"/>
  <c r="X239" i="12843"/>
  <c r="V1121" i="12767"/>
  <c r="V1123" i="12843" s="1"/>
  <c r="X1123" i="12843"/>
  <c r="V1120" i="12767"/>
  <c r="V1122" i="12843" s="1"/>
  <c r="X1122" i="12843"/>
  <c r="P1156" i="12843"/>
  <c r="P1158" i="12843" s="1"/>
  <c r="V1119" i="12767"/>
  <c r="X1121" i="12843"/>
  <c r="X377" i="12843"/>
  <c r="V1126" i="12767"/>
  <c r="V1128" i="12843" s="1"/>
  <c r="V1131" i="12767"/>
  <c r="V634" i="12843"/>
  <c r="V697" i="12843"/>
  <c r="X697" i="12843" s="1"/>
  <c r="V659" i="12843"/>
  <c r="X659" i="12843" s="1"/>
  <c r="V26" i="12831"/>
  <c r="V1128" i="12767"/>
  <c r="V1130" i="12843" s="1"/>
  <c r="V1115" i="12767"/>
  <c r="V1117" i="12843" s="1"/>
  <c r="V1134" i="12767"/>
  <c r="V1136" i="12843" s="1"/>
  <c r="V1125" i="12767"/>
  <c r="V1127" i="12843" s="1"/>
  <c r="V1129" i="12767"/>
  <c r="V1123" i="12767"/>
  <c r="V1125" i="12843" s="1"/>
  <c r="V1121" i="12843"/>
  <c r="R1126" i="12843"/>
  <c r="T1124" i="12767"/>
  <c r="T1126" i="12843" s="1"/>
  <c r="V1113" i="12767"/>
  <c r="V1115" i="12843" s="1"/>
  <c r="V1124" i="12767"/>
  <c r="R1133" i="12843"/>
  <c r="R1132" i="12843"/>
  <c r="R1130" i="12843"/>
  <c r="T1125" i="12767"/>
  <c r="T1127" i="12843" s="1"/>
  <c r="R1131" i="12843"/>
  <c r="R672" i="12767"/>
  <c r="T672" i="12767" s="1"/>
  <c r="X238" i="12843"/>
  <c r="X223" i="12843"/>
  <c r="X375" i="12843"/>
  <c r="X237" i="12843"/>
  <c r="X361" i="12843"/>
  <c r="X225" i="12843"/>
  <c r="X469" i="12843"/>
  <c r="X467" i="12843"/>
  <c r="X468" i="12843"/>
  <c r="R1152" i="12843"/>
  <c r="V22" i="12831"/>
  <c r="V37" i="12831"/>
  <c r="U37" i="12831" s="1"/>
  <c r="Q37" i="12831" s="1"/>
  <c r="V25" i="12831"/>
  <c r="V35" i="12831"/>
  <c r="V29" i="12831"/>
  <c r="U29" i="12831" s="1"/>
  <c r="Q29" i="12831" s="1"/>
  <c r="V36" i="12831"/>
  <c r="U36" i="12831" s="1"/>
  <c r="AF36" i="12831" s="1"/>
  <c r="V39" i="12831"/>
  <c r="U39" i="12831" s="1"/>
  <c r="AF39" i="12831" s="1"/>
  <c r="V38" i="12831"/>
  <c r="U38" i="12831" s="1"/>
  <c r="Y38" i="12831" s="1"/>
  <c r="Z38" i="12831" s="1"/>
  <c r="L95" i="12843"/>
  <c r="L616" i="12843"/>
  <c r="L659" i="12843"/>
  <c r="J674" i="12843"/>
  <c r="L674" i="12843" s="1"/>
  <c r="J712" i="12843"/>
  <c r="L712" i="12843" s="1"/>
  <c r="L697" i="12843"/>
  <c r="X658" i="12843"/>
  <c r="V673" i="12843"/>
  <c r="X673" i="12843" s="1"/>
  <c r="X696" i="12843"/>
  <c r="V711" i="12843"/>
  <c r="X711" i="12843" s="1"/>
  <c r="L633" i="12843"/>
  <c r="W19" i="12831"/>
  <c r="X19" i="12831" s="1"/>
  <c r="V27" i="12831"/>
  <c r="V23" i="12831"/>
  <c r="Z23" i="12831" s="1"/>
  <c r="V28" i="12831"/>
  <c r="V24" i="12831"/>
  <c r="AA49" i="12850" s="1"/>
  <c r="V16" i="12831"/>
  <c r="X39" i="12831"/>
  <c r="W42" i="12831"/>
  <c r="X42" i="12831" s="1"/>
  <c r="V1211" i="12843"/>
  <c r="V1130" i="12767"/>
  <c r="V1117" i="12767"/>
  <c r="V1119" i="12843" s="1"/>
  <c r="X1230" i="12843"/>
  <c r="X1232" i="12843" s="1"/>
  <c r="V1229" i="12843"/>
  <c r="V1132" i="12767"/>
  <c r="V1134" i="12843" s="1"/>
  <c r="V1114" i="12767"/>
  <c r="V1116" i="12843" s="1"/>
  <c r="V1133" i="12767"/>
  <c r="V1135" i="12843" s="1"/>
  <c r="V1118" i="12767"/>
  <c r="V1120" i="12843" s="1"/>
  <c r="R1210" i="12843"/>
  <c r="T1205" i="12767"/>
  <c r="P1230" i="12843"/>
  <c r="P1232" i="12843" s="1"/>
  <c r="N1229" i="12843"/>
  <c r="N1196" i="12843"/>
  <c r="P1192" i="12767"/>
  <c r="P1196" i="12843" s="1"/>
  <c r="N1196" i="12767"/>
  <c r="V1196" i="12843"/>
  <c r="X1192" i="12767"/>
  <c r="X1196" i="12843" s="1"/>
  <c r="V1196" i="12767"/>
  <c r="T1230" i="12843"/>
  <c r="T1232" i="12843" s="1"/>
  <c r="R1229" i="12843"/>
  <c r="N1210" i="12843"/>
  <c r="X1205" i="12767"/>
  <c r="X1209" i="12843" s="1"/>
  <c r="X1165" i="12843" s="1"/>
  <c r="P1205" i="12767"/>
  <c r="R1196" i="12843"/>
  <c r="V159" i="12843"/>
  <c r="X159" i="12843" s="1"/>
  <c r="X144" i="12843"/>
  <c r="L145" i="12843"/>
  <c r="J160" i="12843"/>
  <c r="L160" i="12843" s="1"/>
  <c r="V145" i="12843"/>
  <c r="T1149" i="12767"/>
  <c r="T695" i="12767"/>
  <c r="L144" i="12767"/>
  <c r="J159" i="12767"/>
  <c r="L159" i="12767" s="1"/>
  <c r="V144" i="12767"/>
  <c r="X144" i="12767" s="1"/>
  <c r="V158" i="12767"/>
  <c r="X158" i="12767" s="1"/>
  <c r="R158" i="12767"/>
  <c r="T158" i="12767" s="1"/>
  <c r="R144" i="12767"/>
  <c r="T144" i="12767" s="1"/>
  <c r="P94" i="12767"/>
  <c r="P95" i="12767"/>
  <c r="L615" i="12767"/>
  <c r="L616" i="12767"/>
  <c r="L143" i="12767"/>
  <c r="J158" i="12767"/>
  <c r="L158" i="12767" s="1"/>
  <c r="Q84" i="12764"/>
  <c r="P86" i="12764"/>
  <c r="P112" i="12764" s="1"/>
  <c r="X27" i="12831"/>
  <c r="W32" i="12831"/>
  <c r="X28" i="12764"/>
  <c r="X58" i="12764" s="1"/>
  <c r="R84" i="12764"/>
  <c r="X84" i="12764" s="1"/>
  <c r="X86" i="12764" s="1"/>
  <c r="X112" i="12764" s="1"/>
  <c r="R28" i="12764"/>
  <c r="O97" i="12811"/>
  <c r="V84" i="12764"/>
  <c r="U84" i="12764"/>
  <c r="P58" i="12764"/>
  <c r="V58" i="12764" s="1"/>
  <c r="V28" i="12764"/>
  <c r="Q28" i="12764"/>
  <c r="P97" i="12812"/>
  <c r="Q97" i="12812"/>
  <c r="Q72" i="12811"/>
  <c r="Q74" i="12811" s="1"/>
  <c r="P74" i="12811"/>
  <c r="M44" i="12812"/>
  <c r="P41" i="12812"/>
  <c r="O41" i="12811"/>
  <c r="N41" i="12812"/>
  <c r="N44" i="12812" s="1"/>
  <c r="Q81" i="12811"/>
  <c r="P82" i="12811"/>
  <c r="M13" i="12812"/>
  <c r="L19" i="12812"/>
  <c r="L38" i="12812" s="1"/>
  <c r="H16" i="12809" s="1"/>
  <c r="I16" i="12809" s="1"/>
  <c r="J16" i="12809" s="1"/>
  <c r="Q101" i="12812"/>
  <c r="Q103" i="12812" s="1"/>
  <c r="Q117" i="12812" s="1"/>
  <c r="P103" i="12812"/>
  <c r="P117" i="12812" s="1"/>
  <c r="O103" i="12811"/>
  <c r="O117" i="12811" s="1"/>
  <c r="P101" i="12811"/>
  <c r="Q77" i="12811"/>
  <c r="F68" i="12812"/>
  <c r="F140" i="12812" s="1"/>
  <c r="I47" i="12812"/>
  <c r="I68" i="12812" s="1"/>
  <c r="I140" i="12812" s="1"/>
  <c r="J46" i="12812"/>
  <c r="N46" i="12811"/>
  <c r="O137" i="12811"/>
  <c r="P127" i="12811"/>
  <c r="Q85" i="12811"/>
  <c r="J20" i="12809"/>
  <c r="Q54" i="12811"/>
  <c r="O32" i="12783"/>
  <c r="T1192" i="12767" l="1"/>
  <c r="T1163" i="12767" s="1"/>
  <c r="T1196" i="12843"/>
  <c r="T1153" i="12767"/>
  <c r="T1155" i="12767" s="1"/>
  <c r="T1152" i="12843"/>
  <c r="P1209" i="12767"/>
  <c r="P1211" i="12767" s="1"/>
  <c r="P1209" i="12843"/>
  <c r="P1165" i="12843" s="1"/>
  <c r="V674" i="12843"/>
  <c r="X674" i="12843" s="1"/>
  <c r="T1156" i="12843"/>
  <c r="T1158" i="12843" s="1"/>
  <c r="T1209" i="12767"/>
  <c r="T1209" i="12843"/>
  <c r="T1165" i="12843" s="1"/>
  <c r="V712" i="12843"/>
  <c r="X712" i="12843" s="1"/>
  <c r="J25" i="12850"/>
  <c r="J26" i="12850" s="1"/>
  <c r="AA636" i="12767"/>
  <c r="J612" i="12767" s="1"/>
  <c r="J613" i="12767" s="1"/>
  <c r="AC49" i="12850"/>
  <c r="J22" i="12850" s="1"/>
  <c r="AA1104" i="12767"/>
  <c r="J1098" i="12767" s="1"/>
  <c r="AA768" i="12767"/>
  <c r="J724" i="12767" s="1"/>
  <c r="AA935" i="12767"/>
  <c r="J948" i="12767" s="1"/>
  <c r="AA204" i="12767"/>
  <c r="J178" i="12767" s="1"/>
  <c r="AA899" i="12843"/>
  <c r="AA898" i="12767"/>
  <c r="U26" i="12831"/>
  <c r="Y26" i="12831" s="1"/>
  <c r="Z26" i="12831" s="1"/>
  <c r="AA637" i="12843"/>
  <c r="V1126" i="12843"/>
  <c r="X1124" i="12767"/>
  <c r="X1126" i="12843" s="1"/>
  <c r="V1132" i="12843"/>
  <c r="X1125" i="12767"/>
  <c r="X1127" i="12843" s="1"/>
  <c r="V1133" i="12843"/>
  <c r="T1126" i="12767"/>
  <c r="T1128" i="12843" s="1"/>
  <c r="T1123" i="12767"/>
  <c r="T1125" i="12843" s="1"/>
  <c r="V1131" i="12843"/>
  <c r="U28" i="12831"/>
  <c r="Q28" i="12831" s="1"/>
  <c r="AA27" i="12767"/>
  <c r="J15" i="12767" s="1"/>
  <c r="Z1232" i="12843"/>
  <c r="Z1233" i="12843" s="1"/>
  <c r="AC100" i="12767"/>
  <c r="J91" i="12767" s="1"/>
  <c r="AD37" i="12831"/>
  <c r="Q39" i="12831"/>
  <c r="AF29" i="12831"/>
  <c r="AA205" i="12843"/>
  <c r="Z1155" i="12767"/>
  <c r="Z1226" i="12767"/>
  <c r="U25" i="12831"/>
  <c r="AF25" i="12831" s="1"/>
  <c r="U35" i="12831"/>
  <c r="Y35" i="12831" s="1"/>
  <c r="Z35" i="12831" s="1"/>
  <c r="AA769" i="12843"/>
  <c r="Y29" i="12831"/>
  <c r="Z29" i="12831" s="1"/>
  <c r="Y39" i="12831"/>
  <c r="Z39" i="12831" s="1"/>
  <c r="AA27" i="12843"/>
  <c r="Z1158" i="12843"/>
  <c r="Z1159" i="12843" s="1"/>
  <c r="S37" i="12831"/>
  <c r="Y36" i="12831"/>
  <c r="Z36" i="12831" s="1"/>
  <c r="U22" i="12831"/>
  <c r="AF22" i="12831" s="1"/>
  <c r="AD29" i="12831"/>
  <c r="S29" i="12831"/>
  <c r="Y37" i="12831"/>
  <c r="Z37" i="12831" s="1"/>
  <c r="AF37" i="12831"/>
  <c r="AF38" i="12831"/>
  <c r="Q38" i="12831"/>
  <c r="Q36" i="12831"/>
  <c r="AC636" i="12767"/>
  <c r="AC936" i="12767"/>
  <c r="J946" i="12767" s="1"/>
  <c r="AC1104" i="12767"/>
  <c r="J1092" i="12767" s="1"/>
  <c r="AA101" i="12843"/>
  <c r="L634" i="12843"/>
  <c r="L617" i="12843"/>
  <c r="AA1106" i="12843"/>
  <c r="AA916" i="12767"/>
  <c r="U23" i="12831"/>
  <c r="Q23" i="12831" s="1"/>
  <c r="S23" i="12831" s="1"/>
  <c r="AA936" i="12843"/>
  <c r="AA917" i="12843"/>
  <c r="U27" i="12831"/>
  <c r="Q27" i="12831" s="1"/>
  <c r="U16" i="12831"/>
  <c r="Q16" i="12831" s="1"/>
  <c r="B6" i="12826"/>
  <c r="AA100" i="12767"/>
  <c r="U24" i="12831"/>
  <c r="Y24" i="12831" s="1"/>
  <c r="Z24" i="12831" s="1"/>
  <c r="X1214" i="12843"/>
  <c r="X1216" i="12843" s="1"/>
  <c r="X1149" i="12767"/>
  <c r="V1152" i="12843"/>
  <c r="T1186" i="12767"/>
  <c r="T1190" i="12843" s="1"/>
  <c r="T1183" i="12767"/>
  <c r="T1181" i="12767"/>
  <c r="T1189" i="12767"/>
  <c r="T1193" i="12843" s="1"/>
  <c r="T1180" i="12767"/>
  <c r="T1190" i="12767"/>
  <c r="T1194" i="12843" s="1"/>
  <c r="T1187" i="12767"/>
  <c r="T1191" i="12843" s="1"/>
  <c r="T1182" i="12767"/>
  <c r="T1188" i="12767"/>
  <c r="T1192" i="12843" s="1"/>
  <c r="T1179" i="12767"/>
  <c r="T1178" i="12767"/>
  <c r="T1182" i="12843" s="1"/>
  <c r="N1211" i="12843"/>
  <c r="X1180" i="12767"/>
  <c r="X1190" i="12767"/>
  <c r="X1194" i="12843" s="1"/>
  <c r="X1179" i="12767"/>
  <c r="X1178" i="12767"/>
  <c r="X1183" i="12767"/>
  <c r="X1187" i="12767"/>
  <c r="X1191" i="12843" s="1"/>
  <c r="X1182" i="12767"/>
  <c r="X1188" i="12767"/>
  <c r="X1192" i="12843" s="1"/>
  <c r="X1189" i="12767"/>
  <c r="X1193" i="12843" s="1"/>
  <c r="X1186" i="12767"/>
  <c r="X1190" i="12843" s="1"/>
  <c r="X1181" i="12767"/>
  <c r="X1185" i="12843" s="1"/>
  <c r="N1200" i="12843"/>
  <c r="R1211" i="12843"/>
  <c r="P1179" i="12767"/>
  <c r="P1178" i="12767"/>
  <c r="P1182" i="12843" s="1"/>
  <c r="P1183" i="12767"/>
  <c r="P1180" i="12767"/>
  <c r="P1182" i="12767"/>
  <c r="P1181" i="12767"/>
  <c r="P1163" i="12767"/>
  <c r="R1200" i="12843"/>
  <c r="X1166" i="12843"/>
  <c r="V1200" i="12843"/>
  <c r="L96" i="12843"/>
  <c r="X145" i="12843"/>
  <c r="V160" i="12843"/>
  <c r="X160" i="12843" s="1"/>
  <c r="X1163" i="12767"/>
  <c r="X1209" i="12767"/>
  <c r="T1211" i="12767"/>
  <c r="L95" i="12767"/>
  <c r="V159" i="12767"/>
  <c r="X94" i="12767"/>
  <c r="R159" i="12767"/>
  <c r="T159" i="12767" s="1"/>
  <c r="L94" i="12767"/>
  <c r="U86" i="12764"/>
  <c r="R86" i="12764"/>
  <c r="R112" i="12764" s="1"/>
  <c r="X32" i="12831"/>
  <c r="W44" i="12831"/>
  <c r="V86" i="12764"/>
  <c r="V112" i="12764" s="1"/>
  <c r="Q86" i="12764"/>
  <c r="U58" i="12764"/>
  <c r="R58" i="12764"/>
  <c r="Q58" i="12764"/>
  <c r="P97" i="12811"/>
  <c r="O44" i="12811"/>
  <c r="P41" i="12811"/>
  <c r="Q41" i="12812"/>
  <c r="Q44" i="12812" s="1"/>
  <c r="P44" i="12812"/>
  <c r="Q82" i="12811"/>
  <c r="Q97" i="12811" s="1"/>
  <c r="O13" i="12811"/>
  <c r="M19" i="12812"/>
  <c r="M38" i="12812" s="1"/>
  <c r="P13" i="12812"/>
  <c r="N13" i="12812"/>
  <c r="N19" i="12812" s="1"/>
  <c r="N38" i="12812" s="1"/>
  <c r="Q101" i="12811"/>
  <c r="Q103" i="12811" s="1"/>
  <c r="P103" i="12811"/>
  <c r="P117" i="12811" s="1"/>
  <c r="N47" i="12811"/>
  <c r="N68" i="12811" s="1"/>
  <c r="AF18" i="12774"/>
  <c r="AG18" i="12774" s="1"/>
  <c r="J47" i="12812"/>
  <c r="J68" i="12812" s="1"/>
  <c r="J140" i="12812" s="1"/>
  <c r="Q127" i="12811"/>
  <c r="Q137" i="12811" s="1"/>
  <c r="P137" i="12811"/>
  <c r="O44" i="12783"/>
  <c r="AG14" i="12774"/>
  <c r="AG12" i="12774"/>
  <c r="AG6" i="12774"/>
  <c r="N1182" i="12767" l="1"/>
  <c r="P1186" i="12843"/>
  <c r="N1179" i="12767"/>
  <c r="N1183" i="12843" s="1"/>
  <c r="P1183" i="12843"/>
  <c r="R1179" i="12767"/>
  <c r="R1183" i="12843" s="1"/>
  <c r="T1183" i="12843"/>
  <c r="R1183" i="12767"/>
  <c r="R1187" i="12843" s="1"/>
  <c r="T1187" i="12843"/>
  <c r="N1180" i="12767"/>
  <c r="N1184" i="12843" s="1"/>
  <c r="P1184" i="12843"/>
  <c r="V1183" i="12767"/>
  <c r="V1187" i="12843" s="1"/>
  <c r="X1187" i="12843"/>
  <c r="V1180" i="12767"/>
  <c r="V1184" i="12843" s="1"/>
  <c r="X1184" i="12843"/>
  <c r="R1180" i="12767"/>
  <c r="R1184" i="12843" s="1"/>
  <c r="T1184" i="12843"/>
  <c r="N1183" i="12767"/>
  <c r="N1187" i="12843" s="1"/>
  <c r="P1187" i="12843"/>
  <c r="V1186" i="12767"/>
  <c r="V1190" i="12843" s="1"/>
  <c r="X1182" i="12843"/>
  <c r="R1182" i="12767"/>
  <c r="R1186" i="12843" s="1"/>
  <c r="T1186" i="12843"/>
  <c r="N1181" i="12767"/>
  <c r="P1185" i="12843"/>
  <c r="V1182" i="12767"/>
  <c r="V1186" i="12843" s="1"/>
  <c r="X1186" i="12843"/>
  <c r="V1179" i="12767"/>
  <c r="V1183" i="12843" s="1"/>
  <c r="X1183" i="12843"/>
  <c r="R1181" i="12767"/>
  <c r="R1185" i="12843" s="1"/>
  <c r="T1185" i="12843"/>
  <c r="X1153" i="12767"/>
  <c r="X1155" i="12767" s="1"/>
  <c r="X1152" i="12843"/>
  <c r="X1156" i="12843" s="1"/>
  <c r="X1158" i="12843" s="1"/>
  <c r="V1181" i="12767"/>
  <c r="V1185" i="12843" s="1"/>
  <c r="V1178" i="12767"/>
  <c r="V1182" i="12843" s="1"/>
  <c r="J67" i="12850"/>
  <c r="J30" i="12850"/>
  <c r="AA30" i="12850" s="1"/>
  <c r="J40" i="12850"/>
  <c r="AA25" i="12850"/>
  <c r="J105" i="12850"/>
  <c r="J20" i="12850"/>
  <c r="J19" i="12850"/>
  <c r="J180" i="12767"/>
  <c r="J1096" i="12767"/>
  <c r="J179" i="12767"/>
  <c r="AA179" i="12767" s="1"/>
  <c r="Q26" i="12831"/>
  <c r="AF26" i="12831"/>
  <c r="J92" i="12767"/>
  <c r="J15" i="12843"/>
  <c r="J54" i="12843" s="1"/>
  <c r="L54" i="12843" s="1"/>
  <c r="X1126" i="12767"/>
  <c r="X1128" i="12843" s="1"/>
  <c r="X1123" i="12767"/>
  <c r="X1125" i="12843" s="1"/>
  <c r="N1185" i="12843"/>
  <c r="N1186" i="12843"/>
  <c r="J1095" i="12767"/>
  <c r="J177" i="12767"/>
  <c r="J21" i="12767"/>
  <c r="J733" i="12767"/>
  <c r="J731" i="12767"/>
  <c r="J19" i="12767"/>
  <c r="J17" i="12767"/>
  <c r="J16" i="12767"/>
  <c r="J20" i="12767"/>
  <c r="J140" i="12767"/>
  <c r="J142" i="12767" s="1"/>
  <c r="L142" i="12767" s="1"/>
  <c r="AB91" i="12767"/>
  <c r="V91" i="12767"/>
  <c r="J155" i="12767"/>
  <c r="L155" i="12767" s="1"/>
  <c r="J110" i="12767"/>
  <c r="L110" i="12767" s="1"/>
  <c r="J92" i="12843"/>
  <c r="J141" i="12843" s="1"/>
  <c r="J125" i="12767"/>
  <c r="L125" i="12767" s="1"/>
  <c r="J93" i="12767"/>
  <c r="AB93" i="12767" s="1"/>
  <c r="J732" i="12767"/>
  <c r="J723" i="12767"/>
  <c r="Z1266" i="12767"/>
  <c r="J740" i="12767"/>
  <c r="Z1169" i="12767"/>
  <c r="Z1170" i="12767" s="1"/>
  <c r="J729" i="12767"/>
  <c r="Z1141" i="12843"/>
  <c r="Z1143" i="12843" s="1"/>
  <c r="S39" i="12831"/>
  <c r="Z1272" i="12843"/>
  <c r="Z1273" i="12843" s="1"/>
  <c r="AD39" i="12831"/>
  <c r="V802" i="12767"/>
  <c r="X802" i="12767" s="1"/>
  <c r="V855" i="12767"/>
  <c r="X855" i="12767" s="1"/>
  <c r="N724" i="12767"/>
  <c r="Y25" i="12831"/>
  <c r="Z25" i="12831" s="1"/>
  <c r="T831" i="12767"/>
  <c r="R802" i="12767"/>
  <c r="T802" i="12767" s="1"/>
  <c r="J725" i="12843"/>
  <c r="AF35" i="12831"/>
  <c r="J173" i="12843"/>
  <c r="J248" i="12843" s="1"/>
  <c r="Q22" i="12831"/>
  <c r="Q25" i="12831"/>
  <c r="Q35" i="12831"/>
  <c r="Y22" i="12831"/>
  <c r="Z22" i="12831" s="1"/>
  <c r="U42" i="12831"/>
  <c r="Y42" i="12831" s="1"/>
  <c r="Z42" i="12831" s="1"/>
  <c r="AD36" i="12831"/>
  <c r="Z1139" i="12767"/>
  <c r="S36" i="12831"/>
  <c r="S38" i="12831"/>
  <c r="AD38" i="12831"/>
  <c r="Z1172" i="12843"/>
  <c r="AC1181" i="12843" s="1"/>
  <c r="J607" i="12767"/>
  <c r="J606" i="12767"/>
  <c r="J945" i="12767"/>
  <c r="J944" i="12767"/>
  <c r="P1166" i="12843"/>
  <c r="P1214" i="12843"/>
  <c r="P1216" i="12843" s="1"/>
  <c r="Y16" i="12831"/>
  <c r="Z16" i="12831" s="1"/>
  <c r="J947" i="12843"/>
  <c r="J967" i="12843" s="1"/>
  <c r="AD27" i="12831"/>
  <c r="J604" i="12843"/>
  <c r="J603" i="12843"/>
  <c r="AA603" i="12843" s="1"/>
  <c r="N71" i="12767"/>
  <c r="P71" i="12767" s="1"/>
  <c r="N35" i="12767"/>
  <c r="P35" i="12767" s="1"/>
  <c r="R53" i="12767"/>
  <c r="T53" i="12767" s="1"/>
  <c r="R35" i="12767"/>
  <c r="T35" i="12767" s="1"/>
  <c r="V35" i="12767"/>
  <c r="X35" i="12767" s="1"/>
  <c r="V71" i="12767"/>
  <c r="X71" i="12767" s="1"/>
  <c r="V53" i="12767"/>
  <c r="X53" i="12767" s="1"/>
  <c r="R71" i="12767"/>
  <c r="T71" i="12767" s="1"/>
  <c r="N53" i="12767"/>
  <c r="P53" i="12767" s="1"/>
  <c r="AF16" i="12831"/>
  <c r="Y23" i="12831"/>
  <c r="S27" i="12831"/>
  <c r="Q24" i="12831"/>
  <c r="Z49" i="12850" s="1"/>
  <c r="U19" i="12831"/>
  <c r="AF19" i="12831" s="1"/>
  <c r="AF24" i="12831"/>
  <c r="AF23" i="12831" s="1"/>
  <c r="AF27" i="12831"/>
  <c r="Y27" i="12831"/>
  <c r="Z27" i="12831" s="1"/>
  <c r="T1166" i="12843"/>
  <c r="T1214" i="12843"/>
  <c r="T1216" i="12843" s="1"/>
  <c r="Y28" i="12831"/>
  <c r="Z28" i="12831" s="1"/>
  <c r="AF28" i="12831"/>
  <c r="U32" i="12831"/>
  <c r="V32" i="12831" s="1"/>
  <c r="Z1106" i="12843"/>
  <c r="AD28" i="12831"/>
  <c r="Z1104" i="12767"/>
  <c r="S28" i="12831"/>
  <c r="N1178" i="12767"/>
  <c r="N1188" i="12767"/>
  <c r="N1190" i="12767"/>
  <c r="N1187" i="12767"/>
  <c r="N1186" i="12767"/>
  <c r="N1189" i="12767"/>
  <c r="V1190" i="12767"/>
  <c r="V1194" i="12843" s="1"/>
  <c r="V1187" i="12767"/>
  <c r="V1191" i="12843" s="1"/>
  <c r="V1188" i="12767"/>
  <c r="V1192" i="12843" s="1"/>
  <c r="V1189" i="12767"/>
  <c r="V1193" i="12843" s="1"/>
  <c r="X1164" i="12767"/>
  <c r="X1197" i="12767"/>
  <c r="X1199" i="12767" s="1"/>
  <c r="R1189" i="12767"/>
  <c r="R1193" i="12843" s="1"/>
  <c r="R1190" i="12767"/>
  <c r="R1194" i="12843" s="1"/>
  <c r="R1187" i="12767"/>
  <c r="R1191" i="12843" s="1"/>
  <c r="R1186" i="12767"/>
  <c r="R1190" i="12843" s="1"/>
  <c r="R1188" i="12767"/>
  <c r="R1192" i="12843" s="1"/>
  <c r="R1178" i="12767"/>
  <c r="R1182" i="12843" s="1"/>
  <c r="T1164" i="12767"/>
  <c r="T1197" i="12767"/>
  <c r="X1211" i="12767"/>
  <c r="X159" i="12767"/>
  <c r="X95" i="12767" s="1"/>
  <c r="T95" i="12767"/>
  <c r="T94" i="12767"/>
  <c r="X44" i="12831"/>
  <c r="W48" i="12831"/>
  <c r="X48" i="12831" s="1"/>
  <c r="Q112" i="12764"/>
  <c r="U112" i="12764"/>
  <c r="Q41" i="12811"/>
  <c r="Q44" i="12811" s="1"/>
  <c r="P44" i="12811"/>
  <c r="AF22" i="12774"/>
  <c r="AF44" i="12774" s="1"/>
  <c r="Q13" i="12812"/>
  <c r="Q19" i="12812" s="1"/>
  <c r="Q38" i="12812" s="1"/>
  <c r="P19" i="12812"/>
  <c r="P38" i="12812" s="1"/>
  <c r="O19" i="12811"/>
  <c r="O38" i="12811" s="1"/>
  <c r="P13" i="12811"/>
  <c r="Q117" i="12811"/>
  <c r="D17" i="12809"/>
  <c r="N140" i="12811"/>
  <c r="M46" i="12812"/>
  <c r="L47" i="12812"/>
  <c r="L68" i="12812" s="1"/>
  <c r="O48" i="12783"/>
  <c r="J80" i="12850" l="1"/>
  <c r="L80" i="12850" s="1"/>
  <c r="L67" i="12850"/>
  <c r="J100" i="12850"/>
  <c r="J62" i="12850"/>
  <c r="J37" i="12850"/>
  <c r="N20" i="12850"/>
  <c r="AA20" i="12850"/>
  <c r="J106" i="12850"/>
  <c r="J68" i="12850"/>
  <c r="AA26" i="12850"/>
  <c r="J41" i="12850"/>
  <c r="J31" i="12850"/>
  <c r="AA31" i="12850" s="1"/>
  <c r="J61" i="12850"/>
  <c r="J36" i="12850"/>
  <c r="AA19" i="12850"/>
  <c r="N19" i="12850"/>
  <c r="J99" i="12850"/>
  <c r="AE22" i="12850"/>
  <c r="L105" i="12850"/>
  <c r="J118" i="12850"/>
  <c r="L118" i="12850" s="1"/>
  <c r="J613" i="12843"/>
  <c r="Z899" i="12843"/>
  <c r="Z917" i="12843"/>
  <c r="Z898" i="12767"/>
  <c r="Z936" i="12843"/>
  <c r="AD26" i="12831"/>
  <c r="Z935" i="12767"/>
  <c r="S26" i="12831"/>
  <c r="Z916" i="12767"/>
  <c r="AA612" i="12767"/>
  <c r="J779" i="12843"/>
  <c r="J803" i="12843" s="1"/>
  <c r="L803" i="12843" s="1"/>
  <c r="J36" i="12843"/>
  <c r="L36" i="12843" s="1"/>
  <c r="J72" i="12843"/>
  <c r="L72" i="12843" s="1"/>
  <c r="J126" i="12767"/>
  <c r="L126" i="12767" s="1"/>
  <c r="AB92" i="12767"/>
  <c r="V92" i="12767"/>
  <c r="J111" i="12767"/>
  <c r="L111" i="12767" s="1"/>
  <c r="J93" i="12843"/>
  <c r="J127" i="12843" s="1"/>
  <c r="L127" i="12843" s="1"/>
  <c r="J156" i="12767"/>
  <c r="L156" i="12767" s="1"/>
  <c r="J141" i="12767"/>
  <c r="L141" i="12767" s="1"/>
  <c r="AA180" i="12767"/>
  <c r="N831" i="12767"/>
  <c r="N855" i="12767" s="1"/>
  <c r="P855" i="12767" s="1"/>
  <c r="J733" i="12843"/>
  <c r="N41" i="12767"/>
  <c r="P41" i="12767" s="1"/>
  <c r="AA178" i="12767"/>
  <c r="J19" i="12843"/>
  <c r="J40" i="12843" s="1"/>
  <c r="L40" i="12843" s="1"/>
  <c r="AA948" i="12767"/>
  <c r="J1004" i="12767" s="1"/>
  <c r="J20" i="12843"/>
  <c r="J41" i="12843" s="1"/>
  <c r="L41" i="12843" s="1"/>
  <c r="N731" i="12767"/>
  <c r="J1098" i="12843"/>
  <c r="R73" i="12767"/>
  <c r="T73" i="12767" s="1"/>
  <c r="J730" i="12843"/>
  <c r="V125" i="12767"/>
  <c r="X125" i="12767" s="1"/>
  <c r="X126" i="12843" s="1"/>
  <c r="R54" i="12767"/>
  <c r="T54" i="12767" s="1"/>
  <c r="J1097" i="12843"/>
  <c r="N725" i="12843"/>
  <c r="N750" i="12843" s="1"/>
  <c r="N778" i="12767"/>
  <c r="P778" i="12767" s="1"/>
  <c r="N1190" i="12843"/>
  <c r="N1194" i="12843"/>
  <c r="N1182" i="12843"/>
  <c r="N1191" i="12843"/>
  <c r="N1193" i="12843"/>
  <c r="N1192" i="12843"/>
  <c r="AA177" i="12767"/>
  <c r="J178" i="12843"/>
  <c r="J356" i="12843" s="1"/>
  <c r="J368" i="12843" s="1"/>
  <c r="N174" i="12767"/>
  <c r="R401" i="12767"/>
  <c r="T401" i="12767" s="1"/>
  <c r="V436" i="12767"/>
  <c r="X436" i="12767" s="1"/>
  <c r="T422" i="12767"/>
  <c r="V366" i="12767"/>
  <c r="V331" i="12767"/>
  <c r="X331" i="12767" s="1"/>
  <c r="T318" i="12767"/>
  <c r="X284" i="12767"/>
  <c r="V401" i="12767"/>
  <c r="X401" i="12767" s="1"/>
  <c r="R228" i="12767"/>
  <c r="R262" i="12767"/>
  <c r="T262" i="12767" s="1"/>
  <c r="V228" i="12767"/>
  <c r="J175" i="12843"/>
  <c r="J319" i="12843" s="1"/>
  <c r="J332" i="12843" s="1"/>
  <c r="L332" i="12843" s="1"/>
  <c r="R366" i="12767"/>
  <c r="V262" i="12767"/>
  <c r="X262" i="12767" s="1"/>
  <c r="R297" i="12767"/>
  <c r="T297" i="12767" s="1"/>
  <c r="N77" i="12767"/>
  <c r="P77" i="12767" s="1"/>
  <c r="V77" i="12767"/>
  <c r="X77" i="12767" s="1"/>
  <c r="V59" i="12767"/>
  <c r="X59" i="12767" s="1"/>
  <c r="V807" i="12767"/>
  <c r="X807" i="12767" s="1"/>
  <c r="J21" i="12843"/>
  <c r="J42" i="12843" s="1"/>
  <c r="L42" i="12843" s="1"/>
  <c r="N59" i="12767"/>
  <c r="P59" i="12767" s="1"/>
  <c r="R860" i="12767"/>
  <c r="T860" i="12767" s="1"/>
  <c r="J734" i="12843"/>
  <c r="N36" i="12767"/>
  <c r="P36" i="12767" s="1"/>
  <c r="V72" i="12767"/>
  <c r="X72" i="12767" s="1"/>
  <c r="X840" i="12767"/>
  <c r="N733" i="12767"/>
  <c r="R41" i="12767"/>
  <c r="T41" i="12767" s="1"/>
  <c r="R77" i="12767"/>
  <c r="T77" i="12767" s="1"/>
  <c r="R59" i="12767"/>
  <c r="T59" i="12767" s="1"/>
  <c r="R807" i="12767"/>
  <c r="T807" i="12767" s="1"/>
  <c r="J16" i="12843"/>
  <c r="J73" i="12843" s="1"/>
  <c r="L73" i="12843" s="1"/>
  <c r="V54" i="12767"/>
  <c r="X54" i="12767" s="1"/>
  <c r="V41" i="12767"/>
  <c r="X41" i="12767" s="1"/>
  <c r="V155" i="12767"/>
  <c r="V157" i="12767" s="1"/>
  <c r="X157" i="12767" s="1"/>
  <c r="L140" i="12767"/>
  <c r="L91" i="12767" s="1"/>
  <c r="J732" i="12843"/>
  <c r="V17" i="12771" s="1"/>
  <c r="X785" i="12767"/>
  <c r="R58" i="12767"/>
  <c r="T58" i="12767" s="1"/>
  <c r="T838" i="12767"/>
  <c r="R792" i="12767"/>
  <c r="R812" i="12767" s="1"/>
  <c r="T812" i="12767" s="1"/>
  <c r="V858" i="12767"/>
  <c r="X858" i="12767" s="1"/>
  <c r="V58" i="12767"/>
  <c r="X58" i="12767" s="1"/>
  <c r="R55" i="12767"/>
  <c r="T55" i="12767" s="1"/>
  <c r="N37" i="12767"/>
  <c r="P37" i="12767" s="1"/>
  <c r="R57" i="12767"/>
  <c r="T57" i="12767" s="1"/>
  <c r="N73" i="12767"/>
  <c r="P73" i="12767" s="1"/>
  <c r="V73" i="12767"/>
  <c r="X73" i="12767" s="1"/>
  <c r="N55" i="12767"/>
  <c r="P55" i="12767" s="1"/>
  <c r="R39" i="12767"/>
  <c r="T39" i="12767" s="1"/>
  <c r="N57" i="12767"/>
  <c r="P57" i="12767" s="1"/>
  <c r="R227" i="12767"/>
  <c r="V37" i="12767"/>
  <c r="X37" i="12767" s="1"/>
  <c r="R37" i="12767"/>
  <c r="T37" i="12767" s="1"/>
  <c r="J17" i="12843"/>
  <c r="J74" i="12843" s="1"/>
  <c r="L74" i="12843" s="1"/>
  <c r="R330" i="12767"/>
  <c r="T330" i="12767" s="1"/>
  <c r="V55" i="12767"/>
  <c r="X55" i="12767" s="1"/>
  <c r="R36" i="12767"/>
  <c r="T36" i="12767" s="1"/>
  <c r="N72" i="12767"/>
  <c r="P72" i="12767" s="1"/>
  <c r="R72" i="12767"/>
  <c r="T72" i="12767" s="1"/>
  <c r="N76" i="12767"/>
  <c r="P76" i="12767" s="1"/>
  <c r="N58" i="12767"/>
  <c r="P58" i="12767" s="1"/>
  <c r="N40" i="12767"/>
  <c r="P40" i="12767" s="1"/>
  <c r="R76" i="12767"/>
  <c r="T76" i="12767" s="1"/>
  <c r="N54" i="12767"/>
  <c r="P54" i="12767" s="1"/>
  <c r="V36" i="12767"/>
  <c r="X36" i="12767" s="1"/>
  <c r="V39" i="12767"/>
  <c r="X39" i="12767" s="1"/>
  <c r="R75" i="12767"/>
  <c r="T75" i="12767" s="1"/>
  <c r="R40" i="12767"/>
  <c r="T40" i="12767" s="1"/>
  <c r="V75" i="12767"/>
  <c r="X75" i="12767" s="1"/>
  <c r="N39" i="12767"/>
  <c r="P39" i="12767" s="1"/>
  <c r="V57" i="12767"/>
  <c r="X57" i="12767" s="1"/>
  <c r="N75" i="12767"/>
  <c r="P75" i="12767" s="1"/>
  <c r="V76" i="12767"/>
  <c r="X76" i="12767" s="1"/>
  <c r="V40" i="12767"/>
  <c r="X40" i="12767" s="1"/>
  <c r="X421" i="12767"/>
  <c r="V400" i="12767"/>
  <c r="X400" i="12767" s="1"/>
  <c r="T248" i="12767"/>
  <c r="T421" i="12767"/>
  <c r="J94" i="12843"/>
  <c r="AB94" i="12843" s="1"/>
  <c r="V261" i="12767"/>
  <c r="X261" i="12767" s="1"/>
  <c r="V296" i="12767"/>
  <c r="X296" i="12767" s="1"/>
  <c r="V801" i="12767"/>
  <c r="X801" i="12767" s="1"/>
  <c r="X786" i="12767"/>
  <c r="N732" i="12767"/>
  <c r="V110" i="12767"/>
  <c r="V114" i="12767" s="1"/>
  <c r="X114" i="12767" s="1"/>
  <c r="X115" i="12843" s="1"/>
  <c r="V365" i="12767"/>
  <c r="V227" i="12767"/>
  <c r="R365" i="12767"/>
  <c r="J174" i="12843"/>
  <c r="J191" i="12843" s="1"/>
  <c r="V93" i="12767"/>
  <c r="N729" i="12767"/>
  <c r="R296" i="12767"/>
  <c r="T296" i="12767" s="1"/>
  <c r="V330" i="12767"/>
  <c r="X330" i="12767" s="1"/>
  <c r="N173" i="12767"/>
  <c r="R801" i="12767"/>
  <c r="T801" i="12767" s="1"/>
  <c r="V92" i="12843"/>
  <c r="V141" i="12843" s="1"/>
  <c r="T836" i="12767"/>
  <c r="N723" i="12767"/>
  <c r="AB92" i="12843"/>
  <c r="J157" i="12767"/>
  <c r="L157" i="12767" s="1"/>
  <c r="V140" i="12767"/>
  <c r="X140" i="12767" s="1"/>
  <c r="V791" i="12767"/>
  <c r="V854" i="12767"/>
  <c r="X854" i="12767" s="1"/>
  <c r="J127" i="12767"/>
  <c r="L127" i="12767" s="1"/>
  <c r="V859" i="12767"/>
  <c r="X859" i="12767" s="1"/>
  <c r="J179" i="12843"/>
  <c r="AA179" i="12843" s="1"/>
  <c r="X831" i="12767"/>
  <c r="J114" i="12767"/>
  <c r="L114" i="12767" s="1"/>
  <c r="T786" i="12767"/>
  <c r="T839" i="12767"/>
  <c r="J185" i="12767"/>
  <c r="V856" i="12767"/>
  <c r="X856" i="12767" s="1"/>
  <c r="T830" i="12767"/>
  <c r="J724" i="12843"/>
  <c r="J111" i="12843"/>
  <c r="L111" i="12843" s="1"/>
  <c r="J126" i="12843"/>
  <c r="L126" i="12843" s="1"/>
  <c r="R803" i="12767"/>
  <c r="T803" i="12767" s="1"/>
  <c r="J156" i="12843"/>
  <c r="J158" i="12843" s="1"/>
  <c r="L158" i="12843" s="1"/>
  <c r="AA740" i="12767"/>
  <c r="J743" i="12767"/>
  <c r="AA743" i="12767" s="1"/>
  <c r="J741" i="12843"/>
  <c r="S25" i="12831"/>
  <c r="AD22" i="12831"/>
  <c r="Z27" i="12843"/>
  <c r="T778" i="12767"/>
  <c r="X778" i="12767"/>
  <c r="R855" i="12767"/>
  <c r="T855" i="12767" s="1"/>
  <c r="N749" i="12767"/>
  <c r="N779" i="12843"/>
  <c r="P779" i="12843" s="1"/>
  <c r="J750" i="12843"/>
  <c r="V21" i="12771"/>
  <c r="AA725" i="12843"/>
  <c r="J832" i="12843"/>
  <c r="L832" i="12843" s="1"/>
  <c r="J386" i="12843"/>
  <c r="J400" i="12843" s="1"/>
  <c r="L400" i="12843" s="1"/>
  <c r="R329" i="12767"/>
  <c r="T329" i="12767" s="1"/>
  <c r="V434" i="12767"/>
  <c r="X434" i="12767" s="1"/>
  <c r="X385" i="12767"/>
  <c r="X422" i="12767"/>
  <c r="J190" i="12843"/>
  <c r="J351" i="12843"/>
  <c r="J365" i="12843" s="1"/>
  <c r="V329" i="12767"/>
  <c r="X329" i="12767" s="1"/>
  <c r="V260" i="12767"/>
  <c r="X260" i="12767" s="1"/>
  <c r="R226" i="12767"/>
  <c r="J214" i="12843"/>
  <c r="J227" i="12843" s="1"/>
  <c r="R295" i="12767"/>
  <c r="T295" i="12767" s="1"/>
  <c r="T420" i="12767"/>
  <c r="X282" i="12767"/>
  <c r="AA173" i="12843"/>
  <c r="J421" i="12843"/>
  <c r="J435" i="12843" s="1"/>
  <c r="L435" i="12843" s="1"/>
  <c r="J317" i="12843"/>
  <c r="L317" i="12843" s="1"/>
  <c r="N172" i="12767"/>
  <c r="V226" i="12767"/>
  <c r="R260" i="12767"/>
  <c r="T260" i="12767" s="1"/>
  <c r="R399" i="12767"/>
  <c r="T399" i="12767" s="1"/>
  <c r="J283" i="12843"/>
  <c r="L283" i="12843" s="1"/>
  <c r="R364" i="12767"/>
  <c r="V364" i="12767"/>
  <c r="J181" i="12843"/>
  <c r="J187" i="12767"/>
  <c r="Z27" i="12767"/>
  <c r="Z1174" i="12843"/>
  <c r="J180" i="12843"/>
  <c r="V297" i="12767"/>
  <c r="X297" i="12767" s="1"/>
  <c r="J186" i="12767"/>
  <c r="S22" i="12831"/>
  <c r="Z205" i="12843"/>
  <c r="Z204" i="12767"/>
  <c r="AD25" i="12831"/>
  <c r="Z768" i="12767"/>
  <c r="Q42" i="12831"/>
  <c r="AD42" i="12831" s="1"/>
  <c r="Z769" i="12843"/>
  <c r="AD35" i="12831"/>
  <c r="S35" i="12831"/>
  <c r="S42" i="12831" s="1"/>
  <c r="V42" i="12831"/>
  <c r="AF42" i="12831"/>
  <c r="J143" i="12843"/>
  <c r="L143" i="12843" s="1"/>
  <c r="L141" i="12843"/>
  <c r="J1100" i="12843"/>
  <c r="AA1098" i="12767"/>
  <c r="J608" i="12843"/>
  <c r="J625" i="12843" s="1"/>
  <c r="V664" i="12767"/>
  <c r="X664" i="12767" s="1"/>
  <c r="V702" i="12767"/>
  <c r="X702" i="12767" s="1"/>
  <c r="R702" i="12767"/>
  <c r="T702" i="12767" s="1"/>
  <c r="N607" i="12767"/>
  <c r="T649" i="12767"/>
  <c r="J949" i="12843"/>
  <c r="AA949" i="12843" s="1"/>
  <c r="J1094" i="12843"/>
  <c r="N1092" i="12767"/>
  <c r="J951" i="12767"/>
  <c r="AA951" i="12767" s="1"/>
  <c r="J943" i="12843"/>
  <c r="N942" i="12767"/>
  <c r="J942" i="12843"/>
  <c r="N941" i="12767"/>
  <c r="J946" i="12843"/>
  <c r="N945" i="12767"/>
  <c r="J945" i="12843"/>
  <c r="N944" i="12767"/>
  <c r="J617" i="12767"/>
  <c r="AA617" i="12767" s="1"/>
  <c r="R400" i="12767"/>
  <c r="T400" i="12767" s="1"/>
  <c r="T386" i="12767"/>
  <c r="J261" i="12843"/>
  <c r="L261" i="12843" s="1"/>
  <c r="L248" i="12843"/>
  <c r="J108" i="12767"/>
  <c r="L108" i="12767" s="1"/>
  <c r="J96" i="12767"/>
  <c r="J123" i="12767"/>
  <c r="L123" i="12767" s="1"/>
  <c r="J138" i="12767"/>
  <c r="L138" i="12767" s="1"/>
  <c r="J90" i="12843"/>
  <c r="J153" i="12767"/>
  <c r="L153" i="12767" s="1"/>
  <c r="J97" i="12767"/>
  <c r="J109" i="12767"/>
  <c r="L109" i="12767" s="1"/>
  <c r="AC90" i="12767"/>
  <c r="J91" i="12843"/>
  <c r="J139" i="12767"/>
  <c r="L139" i="12767" s="1"/>
  <c r="J154" i="12767"/>
  <c r="L154" i="12767" s="1"/>
  <c r="J124" i="12767"/>
  <c r="L124" i="12767" s="1"/>
  <c r="J985" i="12843"/>
  <c r="L985" i="12843" s="1"/>
  <c r="AA947" i="12843"/>
  <c r="L947" i="12843"/>
  <c r="J1101" i="12767"/>
  <c r="AA1101" i="12767" s="1"/>
  <c r="V663" i="12767"/>
  <c r="X663" i="12767" s="1"/>
  <c r="N603" i="12767"/>
  <c r="T645" i="12767"/>
  <c r="T683" i="12767"/>
  <c r="AD24" i="12831"/>
  <c r="AD23" i="12831" s="1"/>
  <c r="Q19" i="12831"/>
  <c r="AD19" i="12831" s="1"/>
  <c r="N667" i="12767"/>
  <c r="P667" i="12767" s="1"/>
  <c r="N705" i="12767"/>
  <c r="P705" i="12767" s="1"/>
  <c r="V699" i="12767"/>
  <c r="X699" i="12767" s="1"/>
  <c r="T648" i="12767"/>
  <c r="X645" i="12767"/>
  <c r="V701" i="12767"/>
  <c r="X701" i="12767" s="1"/>
  <c r="J607" i="12843"/>
  <c r="J687" i="12843" s="1"/>
  <c r="J621" i="12843"/>
  <c r="N606" i="12767"/>
  <c r="T682" i="12767"/>
  <c r="V698" i="12767"/>
  <c r="X698" i="12767" s="1"/>
  <c r="J683" i="12843"/>
  <c r="J699" i="12843" s="1"/>
  <c r="L699" i="12843" s="1"/>
  <c r="N602" i="12767"/>
  <c r="X684" i="12767"/>
  <c r="V700" i="12767"/>
  <c r="X700" i="12767" s="1"/>
  <c r="J645" i="12843"/>
  <c r="R14" i="12770" s="1"/>
  <c r="J605" i="12843"/>
  <c r="N604" i="12767"/>
  <c r="T644" i="12767"/>
  <c r="R701" i="12767"/>
  <c r="T701" i="12767" s="1"/>
  <c r="T686" i="12767"/>
  <c r="J622" i="12843"/>
  <c r="AA604" i="12843"/>
  <c r="J684" i="12843"/>
  <c r="J646" i="12843"/>
  <c r="Q32" i="12831"/>
  <c r="S24" i="12831"/>
  <c r="Z636" i="12767"/>
  <c r="AE609" i="12767" s="1"/>
  <c r="V19" i="12831"/>
  <c r="Y19" i="12831"/>
  <c r="Z19" i="12831" s="1"/>
  <c r="S16" i="12831"/>
  <c r="S19" i="12831" s="1"/>
  <c r="Z637" i="12843"/>
  <c r="U44" i="12831"/>
  <c r="Y44" i="12831" s="1"/>
  <c r="Z44" i="12831" s="1"/>
  <c r="Y32" i="12831"/>
  <c r="AD16" i="12831"/>
  <c r="Z100" i="12767"/>
  <c r="AF32" i="12831"/>
  <c r="Z101" i="12843"/>
  <c r="X1167" i="12767"/>
  <c r="X1169" i="12767" s="1"/>
  <c r="Q17" i="12772"/>
  <c r="L967" i="12843"/>
  <c r="J888" i="12843"/>
  <c r="Z929" i="12843"/>
  <c r="AA929" i="12843" s="1"/>
  <c r="T1201" i="12843"/>
  <c r="T1167" i="12843"/>
  <c r="X1167" i="12843"/>
  <c r="X1201" i="12843"/>
  <c r="T1199" i="12767"/>
  <c r="T1167" i="12767"/>
  <c r="T1169" i="12767" s="1"/>
  <c r="AG22" i="12774"/>
  <c r="AG44" i="12774" s="1"/>
  <c r="P19" i="12811"/>
  <c r="P38" i="12811" s="1"/>
  <c r="Q13" i="12811"/>
  <c r="Q19" i="12811" s="1"/>
  <c r="H17" i="12809"/>
  <c r="L140" i="12812"/>
  <c r="F17" i="12809"/>
  <c r="D21" i="12809"/>
  <c r="D25" i="12809" s="1"/>
  <c r="O46" i="12811"/>
  <c r="M47" i="12812"/>
  <c r="M68" i="12812" s="1"/>
  <c r="M140" i="12812" s="1"/>
  <c r="P46" i="12812"/>
  <c r="N46" i="12812"/>
  <c r="N47" i="12812" s="1"/>
  <c r="N68" i="12812" s="1"/>
  <c r="N140" i="12812" s="1"/>
  <c r="S28" i="12783"/>
  <c r="Y28" i="12783"/>
  <c r="J784" i="12843" l="1"/>
  <c r="L784" i="12843" s="1"/>
  <c r="L40" i="12850"/>
  <c r="L106" i="12850"/>
  <c r="J119" i="12850"/>
  <c r="L119" i="12850" s="1"/>
  <c r="N37" i="12850"/>
  <c r="N62" i="12850"/>
  <c r="N100" i="12850"/>
  <c r="J114" i="12850"/>
  <c r="L114" i="12850" s="1"/>
  <c r="L99" i="12850"/>
  <c r="J76" i="12850"/>
  <c r="L76" i="12850" s="1"/>
  <c r="L61" i="12850"/>
  <c r="L62" i="12850"/>
  <c r="J77" i="12850"/>
  <c r="L77" i="12850" s="1"/>
  <c r="N99" i="12850"/>
  <c r="N61" i="12850"/>
  <c r="N36" i="12850"/>
  <c r="L68" i="12850"/>
  <c r="J81" i="12850"/>
  <c r="L81" i="12850" s="1"/>
  <c r="L100" i="12850"/>
  <c r="J115" i="12850"/>
  <c r="L115" i="12850" s="1"/>
  <c r="L25" i="12850"/>
  <c r="AA613" i="12767"/>
  <c r="J614" i="12843"/>
  <c r="J629" i="12843" s="1"/>
  <c r="L779" i="12843"/>
  <c r="L725" i="12843" s="1"/>
  <c r="AA733" i="12843"/>
  <c r="AA724" i="12843"/>
  <c r="J841" i="12843"/>
  <c r="J861" i="12843" s="1"/>
  <c r="L861" i="12843" s="1"/>
  <c r="L1098" i="12843"/>
  <c r="H160" i="12845" s="1"/>
  <c r="J786" i="12843"/>
  <c r="L786" i="12843" s="1"/>
  <c r="AA1097" i="12843"/>
  <c r="N732" i="12843"/>
  <c r="N839" i="12843" s="1"/>
  <c r="P839" i="12843" s="1"/>
  <c r="J157" i="12843"/>
  <c r="L157" i="12843" s="1"/>
  <c r="L15" i="12843"/>
  <c r="J787" i="12843"/>
  <c r="L787" i="12843" s="1"/>
  <c r="V18" i="12771"/>
  <c r="S16" i="12791"/>
  <c r="J837" i="12843"/>
  <c r="J845" i="12843" s="1"/>
  <c r="J840" i="12843"/>
  <c r="L840" i="12843" s="1"/>
  <c r="V127" i="12767"/>
  <c r="X127" i="12767" s="1"/>
  <c r="X128" i="12843" s="1"/>
  <c r="AA1098" i="12843"/>
  <c r="R17" i="12791"/>
  <c r="V111" i="12767"/>
  <c r="X111" i="12767" s="1"/>
  <c r="X112" i="12843" s="1"/>
  <c r="AA730" i="12843"/>
  <c r="V93" i="12843"/>
  <c r="V127" i="12843" s="1"/>
  <c r="J59" i="12843"/>
  <c r="L59" i="12843" s="1"/>
  <c r="V141" i="12767"/>
  <c r="X141" i="12767" s="1"/>
  <c r="J738" i="12843"/>
  <c r="J759" i="12843" s="1"/>
  <c r="J751" i="12843"/>
  <c r="V126" i="12767"/>
  <c r="X126" i="12767" s="1"/>
  <c r="X127" i="12843" s="1"/>
  <c r="P831" i="12767"/>
  <c r="V156" i="12767"/>
  <c r="X156" i="12767" s="1"/>
  <c r="J77" i="12843"/>
  <c r="L77" i="12843" s="1"/>
  <c r="J76" i="12843"/>
  <c r="L76" i="12843" s="1"/>
  <c r="L92" i="12767"/>
  <c r="J754" i="12843"/>
  <c r="J1007" i="12767"/>
  <c r="AA1007" i="12767" s="1"/>
  <c r="L1097" i="12843"/>
  <c r="H163" i="12845" s="1"/>
  <c r="J112" i="12843"/>
  <c r="L112" i="12843" s="1"/>
  <c r="J142" i="12843"/>
  <c r="L142" i="12843" s="1"/>
  <c r="AB93" i="12843"/>
  <c r="J1006" i="12843"/>
  <c r="AA1006" i="12843" s="1"/>
  <c r="N752" i="12767"/>
  <c r="N687" i="12767"/>
  <c r="N702" i="12767" s="1"/>
  <c r="P702" i="12767" s="1"/>
  <c r="N839" i="12767"/>
  <c r="P839" i="12767" s="1"/>
  <c r="N945" i="12843"/>
  <c r="N983" i="12843" s="1"/>
  <c r="P983" i="12843" s="1"/>
  <c r="N836" i="12767"/>
  <c r="P836" i="12767" s="1"/>
  <c r="N686" i="12767"/>
  <c r="N701" i="12767" s="1"/>
  <c r="P701" i="12767" s="1"/>
  <c r="N840" i="12767"/>
  <c r="P840" i="12767" s="1"/>
  <c r="N838" i="12767"/>
  <c r="N858" i="12767" s="1"/>
  <c r="P858" i="12767" s="1"/>
  <c r="N1094" i="12843"/>
  <c r="N830" i="12767"/>
  <c r="P830" i="12767" s="1"/>
  <c r="V94" i="12843"/>
  <c r="X94" i="12843" s="1"/>
  <c r="J58" i="12843"/>
  <c r="L58" i="12843" s="1"/>
  <c r="N785" i="12767"/>
  <c r="N805" i="12767" s="1"/>
  <c r="P805" i="12767" s="1"/>
  <c r="N169" i="12767"/>
  <c r="N421" i="12767"/>
  <c r="N435" i="12767" s="1"/>
  <c r="P435" i="12767" s="1"/>
  <c r="N351" i="12767"/>
  <c r="N365" i="12767" s="1"/>
  <c r="N283" i="12767"/>
  <c r="N296" i="12767" s="1"/>
  <c r="P296" i="12767" s="1"/>
  <c r="N214" i="12767"/>
  <c r="N227" i="12767" s="1"/>
  <c r="N386" i="12767"/>
  <c r="N400" i="12767" s="1"/>
  <c r="P400" i="12767" s="1"/>
  <c r="N317" i="12767"/>
  <c r="P317" i="12767" s="1"/>
  <c r="N248" i="12767"/>
  <c r="P248" i="12767" s="1"/>
  <c r="N621" i="12767"/>
  <c r="N683" i="12767"/>
  <c r="N699" i="12767" s="1"/>
  <c r="P699" i="12767" s="1"/>
  <c r="N645" i="12767"/>
  <c r="P645" i="12767" s="1"/>
  <c r="N173" i="12843"/>
  <c r="N283" i="12843" s="1"/>
  <c r="P283" i="12843" s="1"/>
  <c r="N420" i="12767"/>
  <c r="N434" i="12767" s="1"/>
  <c r="P434" i="12767" s="1"/>
  <c r="N350" i="12767"/>
  <c r="N364" i="12767" s="1"/>
  <c r="N282" i="12767"/>
  <c r="N295" i="12767" s="1"/>
  <c r="P295" i="12767" s="1"/>
  <c r="N213" i="12767"/>
  <c r="N226" i="12767" s="1"/>
  <c r="N385" i="12767"/>
  <c r="P385" i="12767" s="1"/>
  <c r="N316" i="12767"/>
  <c r="N329" i="12767" s="1"/>
  <c r="P329" i="12767" s="1"/>
  <c r="N247" i="12767"/>
  <c r="N260" i="12767" s="1"/>
  <c r="P260" i="12767" s="1"/>
  <c r="N175" i="12843"/>
  <c r="N423" i="12843" s="1"/>
  <c r="P423" i="12843" s="1"/>
  <c r="N387" i="12767"/>
  <c r="N401" i="12767" s="1"/>
  <c r="P401" i="12767" s="1"/>
  <c r="N318" i="12767"/>
  <c r="P318" i="12767" s="1"/>
  <c r="N249" i="12767"/>
  <c r="N422" i="12767"/>
  <c r="N352" i="12767"/>
  <c r="N366" i="12767" s="1"/>
  <c r="N284" i="12767"/>
  <c r="N297" i="12767" s="1"/>
  <c r="P297" i="12767" s="1"/>
  <c r="N215" i="12767"/>
  <c r="N228" i="12767" s="1"/>
  <c r="N684" i="12767"/>
  <c r="N700" i="12767" s="1"/>
  <c r="P700" i="12767" s="1"/>
  <c r="N646" i="12767"/>
  <c r="P646" i="12767" s="1"/>
  <c r="N561" i="12767"/>
  <c r="N562" i="12843" s="1"/>
  <c r="N578" i="12843" s="1"/>
  <c r="N682" i="12767"/>
  <c r="P682" i="12767" s="1"/>
  <c r="N644" i="12767"/>
  <c r="N660" i="12767" s="1"/>
  <c r="P660" i="12767" s="1"/>
  <c r="N754" i="12767"/>
  <c r="N787" i="12767"/>
  <c r="P787" i="12767" s="1"/>
  <c r="N753" i="12767"/>
  <c r="N786" i="12767"/>
  <c r="P786" i="12767" s="1"/>
  <c r="N832" i="12843"/>
  <c r="P832" i="12843" s="1"/>
  <c r="N750" i="12767"/>
  <c r="N783" i="12767"/>
  <c r="N791" i="12767" s="1"/>
  <c r="N811" i="12767" s="1"/>
  <c r="P811" i="12767" s="1"/>
  <c r="N802" i="12767"/>
  <c r="P802" i="12767" s="1"/>
  <c r="N748" i="12767"/>
  <c r="N777" i="12767"/>
  <c r="N624" i="12767"/>
  <c r="N649" i="12767"/>
  <c r="P649" i="12767" s="1"/>
  <c r="N565" i="12767"/>
  <c r="N648" i="12767"/>
  <c r="N663" i="12767" s="1"/>
  <c r="P663" i="12767" s="1"/>
  <c r="AA1100" i="12843"/>
  <c r="P1167" i="12843"/>
  <c r="P1201" i="12843"/>
  <c r="P1170" i="12843" s="1"/>
  <c r="P1172" i="12843" s="1"/>
  <c r="AB91" i="12843"/>
  <c r="AB90" i="12843"/>
  <c r="J287" i="12843"/>
  <c r="J299" i="12843" s="1"/>
  <c r="L299" i="12843" s="1"/>
  <c r="J218" i="12843"/>
  <c r="J252" i="12843"/>
  <c r="L252" i="12843" s="1"/>
  <c r="J462" i="12843"/>
  <c r="J474" i="12843" s="1"/>
  <c r="J321" i="12843"/>
  <c r="L321" i="12843" s="1"/>
  <c r="J497" i="12843"/>
  <c r="J509" i="12843" s="1"/>
  <c r="L509" i="12843" s="1"/>
  <c r="J762" i="12843"/>
  <c r="AA741" i="12843"/>
  <c r="J693" i="12843"/>
  <c r="J706" i="12843" s="1"/>
  <c r="L706" i="12843" s="1"/>
  <c r="AA613" i="12843"/>
  <c r="J465" i="12843"/>
  <c r="J477" i="12843" s="1"/>
  <c r="AA181" i="12843"/>
  <c r="J391" i="12843"/>
  <c r="L391" i="12843" s="1"/>
  <c r="J426" i="12843"/>
  <c r="L426" i="12843" s="1"/>
  <c r="J532" i="12843"/>
  <c r="L532" i="12843" s="1"/>
  <c r="J393" i="12843"/>
  <c r="J405" i="12843" s="1"/>
  <c r="L405" i="12843" s="1"/>
  <c r="AA180" i="12843"/>
  <c r="AA178" i="12843"/>
  <c r="J193" i="12843"/>
  <c r="R436" i="12767"/>
  <c r="T436" i="12767" s="1"/>
  <c r="T366" i="12767" s="1"/>
  <c r="R331" i="12767"/>
  <c r="T331" i="12767" s="1"/>
  <c r="T228" i="12767" s="1"/>
  <c r="X366" i="12767"/>
  <c r="T387" i="12767"/>
  <c r="T352" i="12767" s="1"/>
  <c r="P387" i="12767"/>
  <c r="T284" i="12767"/>
  <c r="N170" i="12767"/>
  <c r="J56" i="12843"/>
  <c r="L56" i="12843" s="1"/>
  <c r="N191" i="12767"/>
  <c r="P191" i="12767" s="1"/>
  <c r="P192" i="12843" s="1"/>
  <c r="P284" i="12767"/>
  <c r="X387" i="12767"/>
  <c r="X352" i="12767" s="1"/>
  <c r="X318" i="12767"/>
  <c r="N331" i="12767"/>
  <c r="P331" i="12767" s="1"/>
  <c r="X228" i="12767"/>
  <c r="L319" i="12843"/>
  <c r="AA175" i="12843"/>
  <c r="J250" i="12843"/>
  <c r="J263" i="12843" s="1"/>
  <c r="L263" i="12843" s="1"/>
  <c r="T249" i="12767"/>
  <c r="J192" i="12843"/>
  <c r="J423" i="12843"/>
  <c r="J437" i="12843" s="1"/>
  <c r="L437" i="12843" s="1"/>
  <c r="X249" i="12767"/>
  <c r="J388" i="12843"/>
  <c r="J402" i="12843" s="1"/>
  <c r="L402" i="12843" s="1"/>
  <c r="J353" i="12843"/>
  <c r="J367" i="12843" s="1"/>
  <c r="J216" i="12843"/>
  <c r="J229" i="12843" s="1"/>
  <c r="J285" i="12843"/>
  <c r="J298" i="12843" s="1"/>
  <c r="L298" i="12843" s="1"/>
  <c r="X787" i="12767"/>
  <c r="J78" i="12843"/>
  <c r="L78" i="12843" s="1"/>
  <c r="J60" i="12843"/>
  <c r="L60" i="12843" s="1"/>
  <c r="J55" i="12843"/>
  <c r="L55" i="12843" s="1"/>
  <c r="V860" i="12767"/>
  <c r="X860" i="12767" s="1"/>
  <c r="T840" i="12767"/>
  <c r="X155" i="12767"/>
  <c r="J788" i="12843"/>
  <c r="J808" i="12843" s="1"/>
  <c r="L808" i="12843" s="1"/>
  <c r="T787" i="12767"/>
  <c r="T63" i="12767"/>
  <c r="T65" i="12767" s="1"/>
  <c r="N734" i="12843"/>
  <c r="N755" i="12843" s="1"/>
  <c r="AA734" i="12843"/>
  <c r="J755" i="12843"/>
  <c r="V19" i="12771"/>
  <c r="J839" i="12843"/>
  <c r="J859" i="12843" s="1"/>
  <c r="L859" i="12843" s="1"/>
  <c r="J37" i="12843"/>
  <c r="L37" i="12843" s="1"/>
  <c r="R858" i="12767"/>
  <c r="T858" i="12767" s="1"/>
  <c r="T792" i="12767"/>
  <c r="T317" i="12767"/>
  <c r="J128" i="12843"/>
  <c r="L128" i="12843" s="1"/>
  <c r="R844" i="12767"/>
  <c r="R864" i="12767" s="1"/>
  <c r="T864" i="12767" s="1"/>
  <c r="V806" i="12767"/>
  <c r="X806" i="12767" s="1"/>
  <c r="J352" i="12843"/>
  <c r="J366" i="12843" s="1"/>
  <c r="P421" i="12767"/>
  <c r="X838" i="12767"/>
  <c r="T785" i="12767"/>
  <c r="V792" i="12767"/>
  <c r="X792" i="12767" s="1"/>
  <c r="V805" i="12767"/>
  <c r="X805" i="12767" s="1"/>
  <c r="X386" i="12767"/>
  <c r="X351" i="12767" s="1"/>
  <c r="AA732" i="12843"/>
  <c r="X63" i="12767"/>
  <c r="X65" i="12767" s="1"/>
  <c r="J739" i="12843"/>
  <c r="J760" i="12843" s="1"/>
  <c r="J753" i="12843"/>
  <c r="R805" i="12767"/>
  <c r="T805" i="12767" s="1"/>
  <c r="J38" i="12843"/>
  <c r="L38" i="12843" s="1"/>
  <c r="T45" i="12767"/>
  <c r="T47" i="12767" s="1"/>
  <c r="P63" i="12767"/>
  <c r="P65" i="12767" s="1"/>
  <c r="X783" i="12767"/>
  <c r="N724" i="12843"/>
  <c r="N831" i="12843" s="1"/>
  <c r="R845" i="12767"/>
  <c r="R865" i="12767" s="1"/>
  <c r="T865" i="12767" s="1"/>
  <c r="X45" i="12767"/>
  <c r="X47" i="12767" s="1"/>
  <c r="V845" i="12767"/>
  <c r="V865" i="12767" s="1"/>
  <c r="X865" i="12767" s="1"/>
  <c r="X248" i="12767"/>
  <c r="J422" i="12843"/>
  <c r="L422" i="12843" s="1"/>
  <c r="X81" i="12767"/>
  <c r="X83" i="12767" s="1"/>
  <c r="R791" i="12767"/>
  <c r="R811" i="12767" s="1"/>
  <c r="T811" i="12767" s="1"/>
  <c r="J387" i="12843"/>
  <c r="J401" i="12843" s="1"/>
  <c r="L401" i="12843" s="1"/>
  <c r="P386" i="12767"/>
  <c r="R435" i="12767"/>
  <c r="T435" i="12767" s="1"/>
  <c r="T365" i="12767" s="1"/>
  <c r="AA174" i="12843"/>
  <c r="R854" i="12767"/>
  <c r="T854" i="12767" s="1"/>
  <c r="P45" i="12767"/>
  <c r="P47" i="12767" s="1"/>
  <c r="P81" i="12767"/>
  <c r="P83" i="12767" s="1"/>
  <c r="T81" i="12767"/>
  <c r="T83" i="12767" s="1"/>
  <c r="N733" i="12843"/>
  <c r="N840" i="12843" s="1"/>
  <c r="T783" i="12767"/>
  <c r="R806" i="12767"/>
  <c r="T806" i="12767" s="1"/>
  <c r="V803" i="12767"/>
  <c r="X803" i="12767" s="1"/>
  <c r="J284" i="12843"/>
  <c r="L284" i="12843" s="1"/>
  <c r="J249" i="12843"/>
  <c r="J262" i="12843" s="1"/>
  <c r="L262" i="12843" s="1"/>
  <c r="T283" i="12767"/>
  <c r="J215" i="12843"/>
  <c r="J228" i="12843" s="1"/>
  <c r="J318" i="12843"/>
  <c r="L318" i="12843" s="1"/>
  <c r="X777" i="12767"/>
  <c r="V435" i="12767"/>
  <c r="X435" i="12767" s="1"/>
  <c r="X365" i="12767" s="1"/>
  <c r="R261" i="12767"/>
  <c r="T261" i="12767" s="1"/>
  <c r="T227" i="12767" s="1"/>
  <c r="J357" i="12843"/>
  <c r="J369" i="12843" s="1"/>
  <c r="X283" i="12767"/>
  <c r="X110" i="12767"/>
  <c r="X111" i="12843" s="1"/>
  <c r="X317" i="12767"/>
  <c r="N190" i="12767"/>
  <c r="P190" i="12767" s="1"/>
  <c r="P191" i="12843" s="1"/>
  <c r="V142" i="12767"/>
  <c r="X142" i="12767" s="1"/>
  <c r="N730" i="12843"/>
  <c r="N837" i="12843" s="1"/>
  <c r="X836" i="12767"/>
  <c r="V111" i="12843"/>
  <c r="R856" i="12767"/>
  <c r="T856" i="12767" s="1"/>
  <c r="N174" i="12843"/>
  <c r="N284" i="12843" s="1"/>
  <c r="T777" i="12767"/>
  <c r="V126" i="12843"/>
  <c r="X92" i="12843"/>
  <c r="V156" i="12843"/>
  <c r="V158" i="12843" s="1"/>
  <c r="X158" i="12843" s="1"/>
  <c r="J194" i="12843"/>
  <c r="L93" i="12767"/>
  <c r="X830" i="12767"/>
  <c r="J186" i="12843"/>
  <c r="J219" i="12843"/>
  <c r="R859" i="12767"/>
  <c r="T859" i="12767" s="1"/>
  <c r="X839" i="12767"/>
  <c r="J463" i="12843"/>
  <c r="J475" i="12843" s="1"/>
  <c r="J427" i="12843"/>
  <c r="L427" i="12843" s="1"/>
  <c r="J749" i="12843"/>
  <c r="J115" i="12843"/>
  <c r="L115" i="12843" s="1"/>
  <c r="J253" i="12843"/>
  <c r="J265" i="12843" s="1"/>
  <c r="L265" i="12843" s="1"/>
  <c r="J288" i="12843"/>
  <c r="L288" i="12843" s="1"/>
  <c r="J392" i="12843"/>
  <c r="J404" i="12843" s="1"/>
  <c r="L404" i="12843" s="1"/>
  <c r="J533" i="12843"/>
  <c r="J545" i="12843" s="1"/>
  <c r="L545" i="12843" s="1"/>
  <c r="J848" i="12843"/>
  <c r="L848" i="12843" s="1"/>
  <c r="J778" i="12843"/>
  <c r="L778" i="12843" s="1"/>
  <c r="L156" i="12843"/>
  <c r="L92" i="12843" s="1"/>
  <c r="J795" i="12843"/>
  <c r="J815" i="12843" s="1"/>
  <c r="L815" i="12843" s="1"/>
  <c r="N803" i="12843"/>
  <c r="P803" i="12843" s="1"/>
  <c r="J322" i="12843"/>
  <c r="J334" i="12843" s="1"/>
  <c r="L334" i="12843" s="1"/>
  <c r="J498" i="12843"/>
  <c r="J510" i="12843" s="1"/>
  <c r="L510" i="12843" s="1"/>
  <c r="V20" i="12771"/>
  <c r="V844" i="12767"/>
  <c r="V864" i="12767" s="1"/>
  <c r="X864" i="12767" s="1"/>
  <c r="N778" i="12843"/>
  <c r="P778" i="12843" s="1"/>
  <c r="J831" i="12843"/>
  <c r="L831" i="12843" s="1"/>
  <c r="J744" i="12843"/>
  <c r="AA744" i="12843" s="1"/>
  <c r="AA14" i="12769"/>
  <c r="J856" i="12843"/>
  <c r="L856" i="12843" s="1"/>
  <c r="L750" i="12843" s="1"/>
  <c r="L386" i="12843"/>
  <c r="T385" i="12767"/>
  <c r="T350" i="12767" s="1"/>
  <c r="N168" i="12767"/>
  <c r="X420" i="12767"/>
  <c r="X350" i="12767" s="1"/>
  <c r="T316" i="12767"/>
  <c r="V399" i="12767"/>
  <c r="X399" i="12767" s="1"/>
  <c r="X364" i="12767" s="1"/>
  <c r="R434" i="12767"/>
  <c r="T434" i="12767" s="1"/>
  <c r="T364" i="12767" s="1"/>
  <c r="T226" i="12767"/>
  <c r="J296" i="12843"/>
  <c r="L296" i="12843" s="1"/>
  <c r="T282" i="12767"/>
  <c r="X247" i="12767"/>
  <c r="V295" i="12767"/>
  <c r="X295" i="12767" s="1"/>
  <c r="X226" i="12767" s="1"/>
  <c r="X316" i="12767"/>
  <c r="J330" i="12843"/>
  <c r="L330" i="12843" s="1"/>
  <c r="L421" i="12843"/>
  <c r="T247" i="12767"/>
  <c r="N189" i="12767"/>
  <c r="P189" i="12767" s="1"/>
  <c r="P190" i="12843" s="1"/>
  <c r="P316" i="12767"/>
  <c r="J500" i="12843"/>
  <c r="J512" i="12843" s="1"/>
  <c r="L512" i="12843" s="1"/>
  <c r="J188" i="12843"/>
  <c r="J429" i="12843"/>
  <c r="J441" i="12843" s="1"/>
  <c r="L441" i="12843" s="1"/>
  <c r="J196" i="12843"/>
  <c r="J221" i="12843"/>
  <c r="J535" i="12843"/>
  <c r="L535" i="12843" s="1"/>
  <c r="J323" i="12843"/>
  <c r="J335" i="12843" s="1"/>
  <c r="L335" i="12843" s="1"/>
  <c r="J255" i="12843"/>
  <c r="J267" i="12843" s="1"/>
  <c r="L267" i="12843" s="1"/>
  <c r="J394" i="12843"/>
  <c r="L394" i="12843" s="1"/>
  <c r="J290" i="12843"/>
  <c r="L290" i="12843" s="1"/>
  <c r="J324" i="12843"/>
  <c r="J336" i="12843" s="1"/>
  <c r="L336" i="12843" s="1"/>
  <c r="J359" i="12843"/>
  <c r="J371" i="12843" s="1"/>
  <c r="J428" i="12843"/>
  <c r="J440" i="12843" s="1"/>
  <c r="L440" i="12843" s="1"/>
  <c r="J464" i="12843"/>
  <c r="J476" i="12843" s="1"/>
  <c r="J358" i="12843"/>
  <c r="J370" i="12843" s="1"/>
  <c r="J289" i="12843"/>
  <c r="L289" i="12843" s="1"/>
  <c r="J534" i="12843"/>
  <c r="L534" i="12843" s="1"/>
  <c r="J254" i="12843"/>
  <c r="J266" i="12843" s="1"/>
  <c r="L266" i="12843" s="1"/>
  <c r="J499" i="12843"/>
  <c r="L499" i="12843" s="1"/>
  <c r="J187" i="12843"/>
  <c r="J220" i="12843"/>
  <c r="J195" i="12843"/>
  <c r="S32" i="12831"/>
  <c r="S44" i="12831" s="1"/>
  <c r="S48" i="12831" s="1"/>
  <c r="Z1271" i="12767"/>
  <c r="J1103" i="12843"/>
  <c r="AA1103" i="12843" s="1"/>
  <c r="X141" i="12843"/>
  <c r="V143" i="12843"/>
  <c r="X143" i="12843" s="1"/>
  <c r="L1100" i="12843"/>
  <c r="H161" i="12845" s="1"/>
  <c r="X649" i="12767"/>
  <c r="J650" i="12843"/>
  <c r="AA608" i="12843"/>
  <c r="N566" i="12767"/>
  <c r="J688" i="12843"/>
  <c r="J703" i="12843" s="1"/>
  <c r="L703" i="12843" s="1"/>
  <c r="T687" i="12767"/>
  <c r="X687" i="12767"/>
  <c r="R664" i="12767"/>
  <c r="T664" i="12767" s="1"/>
  <c r="N608" i="12843"/>
  <c r="N625" i="12843" s="1"/>
  <c r="L949" i="12843"/>
  <c r="L130" i="12767"/>
  <c r="L132" i="12767" s="1"/>
  <c r="J987" i="12843"/>
  <c r="L987" i="12843" s="1"/>
  <c r="J952" i="12843"/>
  <c r="AA952" i="12843" s="1"/>
  <c r="J969" i="12843"/>
  <c r="R16" i="12791"/>
  <c r="L1094" i="12843"/>
  <c r="H162" i="12845" s="1"/>
  <c r="AA1094" i="12843"/>
  <c r="L943" i="12843"/>
  <c r="AA943" i="12843"/>
  <c r="J963" i="12843"/>
  <c r="J981" i="12843"/>
  <c r="L981" i="12843" s="1"/>
  <c r="J962" i="12843"/>
  <c r="J980" i="12843"/>
  <c r="L980" i="12843" s="1"/>
  <c r="L942" i="12843"/>
  <c r="AA942" i="12843"/>
  <c r="N943" i="12843"/>
  <c r="N980" i="12767"/>
  <c r="P980" i="12767" s="1"/>
  <c r="N962" i="12767"/>
  <c r="N942" i="12843"/>
  <c r="N961" i="12767"/>
  <c r="N979" i="12767"/>
  <c r="P979" i="12767" s="1"/>
  <c r="P941" i="12767"/>
  <c r="P942" i="12843" s="1"/>
  <c r="AA946" i="12843"/>
  <c r="J966" i="12843"/>
  <c r="L946" i="12843"/>
  <c r="J984" i="12843"/>
  <c r="L984" i="12843" s="1"/>
  <c r="N946" i="12843"/>
  <c r="N983" i="12767"/>
  <c r="P983" i="12767" s="1"/>
  <c r="N965" i="12767"/>
  <c r="J983" i="12843"/>
  <c r="L983" i="12843" s="1"/>
  <c r="AA945" i="12843"/>
  <c r="J965" i="12843"/>
  <c r="L945" i="12843"/>
  <c r="T351" i="12767"/>
  <c r="P365" i="12767"/>
  <c r="L365" i="12843"/>
  <c r="X227" i="12767"/>
  <c r="L214" i="12843"/>
  <c r="L90" i="12767"/>
  <c r="L89" i="12767"/>
  <c r="AC91" i="12843"/>
  <c r="J125" i="12843"/>
  <c r="L125" i="12843" s="1"/>
  <c r="J140" i="12843"/>
  <c r="L140" i="12843" s="1"/>
  <c r="J98" i="12843"/>
  <c r="J155" i="12843"/>
  <c r="L155" i="12843" s="1"/>
  <c r="J110" i="12843"/>
  <c r="L110" i="12843" s="1"/>
  <c r="L160" i="12767"/>
  <c r="L162" i="12767" s="1"/>
  <c r="L145" i="12767"/>
  <c r="L147" i="12767" s="1"/>
  <c r="L115" i="12767"/>
  <c r="J109" i="12843"/>
  <c r="L109" i="12843" s="1"/>
  <c r="J154" i="12843"/>
  <c r="L154" i="12843" s="1"/>
  <c r="J97" i="12843"/>
  <c r="J139" i="12843"/>
  <c r="L139" i="12843" s="1"/>
  <c r="J124" i="12843"/>
  <c r="L124" i="12843" s="1"/>
  <c r="AC97" i="12767"/>
  <c r="P683" i="12767"/>
  <c r="R661" i="12767"/>
  <c r="T661" i="12767" s="1"/>
  <c r="P692" i="12767"/>
  <c r="X648" i="12767"/>
  <c r="J618" i="12767"/>
  <c r="AA618" i="12767" s="1"/>
  <c r="N562" i="12767"/>
  <c r="N578" i="12767" s="1"/>
  <c r="P578" i="12767" s="1"/>
  <c r="P655" i="12767"/>
  <c r="P693" i="12767"/>
  <c r="P654" i="12767"/>
  <c r="N604" i="12843"/>
  <c r="N622" i="12843" s="1"/>
  <c r="R699" i="12767"/>
  <c r="T699" i="12767" s="1"/>
  <c r="J655" i="12843"/>
  <c r="J628" i="12843"/>
  <c r="R663" i="12767"/>
  <c r="T663" i="12767" s="1"/>
  <c r="J618" i="12843"/>
  <c r="AA618" i="12843" s="1"/>
  <c r="X683" i="12767"/>
  <c r="Q44" i="12831"/>
  <c r="Q48" i="12831" s="1"/>
  <c r="AD48" i="12831" s="1"/>
  <c r="X686" i="12767"/>
  <c r="X682" i="12767"/>
  <c r="V661" i="12767"/>
  <c r="X661" i="12767" s="1"/>
  <c r="N623" i="12767"/>
  <c r="N607" i="12843"/>
  <c r="N687" i="12843" s="1"/>
  <c r="L645" i="12843"/>
  <c r="J649" i="12843"/>
  <c r="AA607" i="12843"/>
  <c r="N620" i="12767"/>
  <c r="P561" i="12767"/>
  <c r="P480" i="12767" s="1"/>
  <c r="J624" i="12843"/>
  <c r="N577" i="12767"/>
  <c r="P577" i="12767" s="1"/>
  <c r="N603" i="12843"/>
  <c r="N645" i="12843" s="1"/>
  <c r="P645" i="12843" s="1"/>
  <c r="R698" i="12767"/>
  <c r="T698" i="12767" s="1"/>
  <c r="L683" i="12843"/>
  <c r="R660" i="12767"/>
  <c r="T660" i="12767" s="1"/>
  <c r="N698" i="12767"/>
  <c r="P698" i="12767" s="1"/>
  <c r="V662" i="12767"/>
  <c r="X662" i="12767" s="1"/>
  <c r="X646" i="12767"/>
  <c r="N662" i="12767"/>
  <c r="P662" i="12767" s="1"/>
  <c r="N605" i="12843"/>
  <c r="N563" i="12767"/>
  <c r="N622" i="12767"/>
  <c r="J661" i="12843"/>
  <c r="L661" i="12843" s="1"/>
  <c r="L621" i="12843" s="1"/>
  <c r="T646" i="12767"/>
  <c r="R662" i="12767"/>
  <c r="T662" i="12767" s="1"/>
  <c r="J623" i="12843"/>
  <c r="AA605" i="12843"/>
  <c r="J647" i="12843"/>
  <c r="J685" i="12843"/>
  <c r="T684" i="12767"/>
  <c r="R700" i="12767"/>
  <c r="T700" i="12767" s="1"/>
  <c r="V660" i="12767"/>
  <c r="X660" i="12767" s="1"/>
  <c r="X644" i="12767"/>
  <c r="J702" i="12843"/>
  <c r="L702" i="12843" s="1"/>
  <c r="L687" i="12843"/>
  <c r="R15" i="12770"/>
  <c r="L646" i="12843"/>
  <c r="J662" i="12843"/>
  <c r="L662" i="12843" s="1"/>
  <c r="L684" i="12843"/>
  <c r="J700" i="12843"/>
  <c r="L700" i="12843" s="1"/>
  <c r="AD32" i="12831"/>
  <c r="V44" i="12831"/>
  <c r="AF44" i="12831"/>
  <c r="U48" i="12831"/>
  <c r="AF48" i="12831" s="1"/>
  <c r="Z1277" i="12843"/>
  <c r="I1284" i="12843"/>
  <c r="J894" i="12843"/>
  <c r="L894" i="12843" s="1"/>
  <c r="J893" i="12843"/>
  <c r="L893" i="12843" s="1"/>
  <c r="L888" i="12843"/>
  <c r="X791" i="12767"/>
  <c r="V811" i="12767"/>
  <c r="X811" i="12767" s="1"/>
  <c r="X1170" i="12843"/>
  <c r="X1172" i="12843" s="1"/>
  <c r="X1203" i="12843"/>
  <c r="T1170" i="12843"/>
  <c r="T1172" i="12843" s="1"/>
  <c r="T1203" i="12843"/>
  <c r="B44" i="12826"/>
  <c r="I1278" i="12767"/>
  <c r="J255" i="12767"/>
  <c r="Q38" i="12811"/>
  <c r="Q46" i="12812"/>
  <c r="Q47" i="12812" s="1"/>
  <c r="Q68" i="12812" s="1"/>
  <c r="Q140" i="12812" s="1"/>
  <c r="P47" i="12812"/>
  <c r="P68" i="12812" s="1"/>
  <c r="P140" i="12812" s="1"/>
  <c r="O47" i="12811"/>
  <c r="O68" i="12811" s="1"/>
  <c r="O140" i="12811" s="1"/>
  <c r="P46" i="12811"/>
  <c r="G17" i="12809"/>
  <c r="G21" i="12809" s="1"/>
  <c r="F21" i="12809"/>
  <c r="F25" i="12809" s="1"/>
  <c r="I17" i="12809"/>
  <c r="H21" i="12809"/>
  <c r="Z1227" i="12767"/>
  <c r="J249" i="12767"/>
  <c r="O947" i="12787"/>
  <c r="O953" i="12787" s="1"/>
  <c r="O936" i="12787"/>
  <c r="Z1267" i="12767"/>
  <c r="O1032" i="12787"/>
  <c r="G1042" i="12787"/>
  <c r="J804" i="12843" l="1"/>
  <c r="L804" i="12843" s="1"/>
  <c r="J792" i="12843"/>
  <c r="L792" i="12843" s="1"/>
  <c r="P226" i="12767"/>
  <c r="N399" i="12767"/>
  <c r="P399" i="12767" s="1"/>
  <c r="P364" i="12767" s="1"/>
  <c r="P420" i="12767"/>
  <c r="P282" i="12767"/>
  <c r="P247" i="12767"/>
  <c r="L41" i="12850"/>
  <c r="L37" i="12850"/>
  <c r="P37" i="12850" s="1"/>
  <c r="L19" i="12850"/>
  <c r="P19" i="12850" s="1"/>
  <c r="N77" i="12850"/>
  <c r="P77" i="12850" s="1"/>
  <c r="P62" i="12850"/>
  <c r="P99" i="12850"/>
  <c r="N114" i="12850"/>
  <c r="P114" i="12850" s="1"/>
  <c r="L26" i="12850"/>
  <c r="L20" i="12850"/>
  <c r="P20" i="12850" s="1"/>
  <c r="N115" i="12850"/>
  <c r="P115" i="12850" s="1"/>
  <c r="P100" i="12850"/>
  <c r="P61" i="12850"/>
  <c r="N76" i="12850"/>
  <c r="P76" i="12850" s="1"/>
  <c r="L36" i="12850"/>
  <c r="P36" i="12850" s="1"/>
  <c r="AA614" i="12843"/>
  <c r="J694" i="12843"/>
  <c r="J707" i="12843" s="1"/>
  <c r="L707" i="12843" s="1"/>
  <c r="J656" i="12843"/>
  <c r="J619" i="12843"/>
  <c r="AA619" i="12843" s="1"/>
  <c r="L841" i="12843"/>
  <c r="J806" i="12843"/>
  <c r="L806" i="12843" s="1"/>
  <c r="L753" i="12843" s="1"/>
  <c r="J793" i="12843"/>
  <c r="L793" i="12843" s="1"/>
  <c r="J664" i="12843"/>
  <c r="L664" i="12843" s="1"/>
  <c r="L624" i="12843" s="1"/>
  <c r="S16" i="12770"/>
  <c r="AA20" i="12769"/>
  <c r="N846" i="12843"/>
  <c r="N866" i="12843" s="1"/>
  <c r="P866" i="12843" s="1"/>
  <c r="N739" i="12843"/>
  <c r="N760" i="12843" s="1"/>
  <c r="N859" i="12843"/>
  <c r="P859" i="12843" s="1"/>
  <c r="N753" i="12843"/>
  <c r="N786" i="12843"/>
  <c r="N806" i="12843" s="1"/>
  <c r="P806" i="12843" s="1"/>
  <c r="X93" i="12767"/>
  <c r="J860" i="12843"/>
  <c r="L860" i="12843" s="1"/>
  <c r="J807" i="12843"/>
  <c r="L807" i="12843" s="1"/>
  <c r="J857" i="12843"/>
  <c r="L857" i="12843" s="1"/>
  <c r="V112" i="12843"/>
  <c r="J1009" i="12843"/>
  <c r="AA1009" i="12843" s="1"/>
  <c r="L837" i="12843"/>
  <c r="L730" i="12843" s="1"/>
  <c r="V157" i="12843"/>
  <c r="X157" i="12843" s="1"/>
  <c r="P838" i="12767"/>
  <c r="L93" i="12843"/>
  <c r="L20" i="12843"/>
  <c r="J1027" i="12843"/>
  <c r="X93" i="12843"/>
  <c r="V142" i="12843"/>
  <c r="X142" i="12843" s="1"/>
  <c r="N845" i="12767"/>
  <c r="N865" i="12767" s="1"/>
  <c r="P865" i="12767" s="1"/>
  <c r="X92" i="12767"/>
  <c r="N965" i="12843"/>
  <c r="P965" i="12843" s="1"/>
  <c r="P687" i="12767"/>
  <c r="L1006" i="12843"/>
  <c r="L931" i="12843" s="1"/>
  <c r="G161" i="12845" s="1"/>
  <c r="N860" i="12767"/>
  <c r="P860" i="12767" s="1"/>
  <c r="L19" i="12843"/>
  <c r="J1045" i="12843"/>
  <c r="L1045" i="12843" s="1"/>
  <c r="L1082" i="12843" s="1"/>
  <c r="N792" i="12767"/>
  <c r="N812" i="12767" s="1"/>
  <c r="P812" i="12767" s="1"/>
  <c r="L82" i="12843"/>
  <c r="L84" i="12843" s="1"/>
  <c r="P785" i="12767"/>
  <c r="P566" i="12767"/>
  <c r="P567" i="12843" s="1"/>
  <c r="N844" i="12767"/>
  <c r="P844" i="12767" s="1"/>
  <c r="N854" i="12767"/>
  <c r="P854" i="12767" s="1"/>
  <c r="P686" i="12767"/>
  <c r="P565" i="12767"/>
  <c r="P566" i="12843" s="1"/>
  <c r="N856" i="12767"/>
  <c r="P856" i="12767" s="1"/>
  <c r="N859" i="12767"/>
  <c r="P859" i="12767" s="1"/>
  <c r="P350" i="12767"/>
  <c r="P481" i="12843"/>
  <c r="N317" i="12843"/>
  <c r="P317" i="12843" s="1"/>
  <c r="N296" i="12843"/>
  <c r="P296" i="12843" s="1"/>
  <c r="N192" i="12843"/>
  <c r="N437" i="12843"/>
  <c r="P437" i="12843" s="1"/>
  <c r="N190" i="12843"/>
  <c r="N351" i="12843"/>
  <c r="N365" i="12843" s="1"/>
  <c r="N169" i="12843"/>
  <c r="N526" i="12767"/>
  <c r="N491" i="12767"/>
  <c r="N456" i="12767"/>
  <c r="P249" i="12767"/>
  <c r="P215" i="12767" s="1"/>
  <c r="N262" i="12767"/>
  <c r="P262" i="12767" s="1"/>
  <c r="P228" i="12767" s="1"/>
  <c r="N421" i="12843"/>
  <c r="N435" i="12843" s="1"/>
  <c r="P435" i="12843" s="1"/>
  <c r="P283" i="12767"/>
  <c r="P214" i="12767" s="1"/>
  <c r="N330" i="12767"/>
  <c r="P330" i="12767" s="1"/>
  <c r="N261" i="12767"/>
  <c r="P261" i="12767" s="1"/>
  <c r="N388" i="12843"/>
  <c r="N402" i="12843" s="1"/>
  <c r="P402" i="12843" s="1"/>
  <c r="N216" i="12843"/>
  <c r="N229" i="12843" s="1"/>
  <c r="N319" i="12843"/>
  <c r="P319" i="12843" s="1"/>
  <c r="N436" i="12767"/>
  <c r="P436" i="12767" s="1"/>
  <c r="P366" i="12767" s="1"/>
  <c r="P422" i="12767"/>
  <c r="P352" i="12767" s="1"/>
  <c r="N214" i="12843"/>
  <c r="N227" i="12843" s="1"/>
  <c r="N171" i="12843"/>
  <c r="N493" i="12767"/>
  <c r="N458" i="12767"/>
  <c r="N528" i="12767"/>
  <c r="N353" i="12843"/>
  <c r="N367" i="12843" s="1"/>
  <c r="P644" i="12767"/>
  <c r="P684" i="12767"/>
  <c r="N661" i="12767"/>
  <c r="P661" i="12767" s="1"/>
  <c r="N248" i="12843"/>
  <c r="P248" i="12843" s="1"/>
  <c r="N386" i="12843"/>
  <c r="N400" i="12843" s="1"/>
  <c r="P400" i="12843" s="1"/>
  <c r="N285" i="12843"/>
  <c r="N298" i="12843" s="1"/>
  <c r="P298" i="12843" s="1"/>
  <c r="N250" i="12843"/>
  <c r="N170" i="12843"/>
  <c r="N527" i="12767"/>
  <c r="N492" i="12767"/>
  <c r="N457" i="12767"/>
  <c r="P1203" i="12843"/>
  <c r="X1205" i="12843" s="1"/>
  <c r="X1206" i="12843" s="1"/>
  <c r="N856" i="12843"/>
  <c r="P856" i="12843" s="1"/>
  <c r="N806" i="12767"/>
  <c r="P806" i="12767" s="1"/>
  <c r="N803" i="12767"/>
  <c r="P803" i="12767" s="1"/>
  <c r="N807" i="12767"/>
  <c r="P807" i="12767" s="1"/>
  <c r="N664" i="12767"/>
  <c r="P664" i="12767" s="1"/>
  <c r="P791" i="12767"/>
  <c r="P783" i="12767"/>
  <c r="P777" i="12767"/>
  <c r="N801" i="12767"/>
  <c r="P801" i="12767" s="1"/>
  <c r="P648" i="12767"/>
  <c r="N566" i="12843"/>
  <c r="N580" i="12767"/>
  <c r="P580" i="12767" s="1"/>
  <c r="P581" i="12843" s="1"/>
  <c r="P351" i="12767"/>
  <c r="L969" i="12843"/>
  <c r="J233" i="12843"/>
  <c r="J232" i="12843"/>
  <c r="X91" i="12767"/>
  <c r="H164" i="12845"/>
  <c r="H167" i="12845" s="1"/>
  <c r="L287" i="12843"/>
  <c r="L218" i="12843" s="1"/>
  <c r="J264" i="12843"/>
  <c r="L264" i="12843" s="1"/>
  <c r="J230" i="12843"/>
  <c r="J333" i="12843"/>
  <c r="L333" i="12843" s="1"/>
  <c r="J403" i="12843"/>
  <c r="L403" i="12843" s="1"/>
  <c r="L497" i="12843"/>
  <c r="L462" i="12843" s="1"/>
  <c r="J438" i="12843"/>
  <c r="L438" i="12843" s="1"/>
  <c r="L693" i="12843"/>
  <c r="L393" i="12843"/>
  <c r="J544" i="12843"/>
  <c r="L544" i="12843" s="1"/>
  <c r="L474" i="12843" s="1"/>
  <c r="L17" i="12843"/>
  <c r="T215" i="12767"/>
  <c r="X215" i="12767"/>
  <c r="L250" i="12843"/>
  <c r="L423" i="12843"/>
  <c r="L229" i="12843"/>
  <c r="L367" i="12843"/>
  <c r="L285" i="12843"/>
  <c r="AA18" i="12769"/>
  <c r="L388" i="12843"/>
  <c r="L21" i="12843"/>
  <c r="L64" i="12843"/>
  <c r="L66" i="12843" s="1"/>
  <c r="L16" i="12843"/>
  <c r="J846" i="12843"/>
  <c r="L846" i="12843" s="1"/>
  <c r="L788" i="12843"/>
  <c r="T214" i="12767"/>
  <c r="N788" i="12843"/>
  <c r="N808" i="12843" s="1"/>
  <c r="P808" i="12843" s="1"/>
  <c r="N841" i="12843"/>
  <c r="N861" i="12843" s="1"/>
  <c r="P861" i="12843" s="1"/>
  <c r="T844" i="12767"/>
  <c r="L839" i="12843"/>
  <c r="L732" i="12843" s="1"/>
  <c r="AB14" i="12769"/>
  <c r="L94" i="12843"/>
  <c r="N749" i="12843"/>
  <c r="X845" i="12767"/>
  <c r="L46" i="12843"/>
  <c r="L48" i="12843" s="1"/>
  <c r="T791" i="12767"/>
  <c r="L387" i="12843"/>
  <c r="L352" i="12843" s="1"/>
  <c r="J331" i="12843"/>
  <c r="L331" i="12843" s="1"/>
  <c r="J231" i="12843"/>
  <c r="J436" i="12843"/>
  <c r="L436" i="12843" s="1"/>
  <c r="L366" i="12843" s="1"/>
  <c r="V812" i="12767"/>
  <c r="X812" i="12767" s="1"/>
  <c r="J297" i="12843"/>
  <c r="L297" i="12843" s="1"/>
  <c r="L228" i="12843" s="1"/>
  <c r="N751" i="12843"/>
  <c r="T845" i="12767"/>
  <c r="N754" i="12843"/>
  <c r="L249" i="12843"/>
  <c r="L215" i="12843" s="1"/>
  <c r="N787" i="12843"/>
  <c r="N807" i="12843" s="1"/>
  <c r="P807" i="12843" s="1"/>
  <c r="N249" i="12843"/>
  <c r="N262" i="12843" s="1"/>
  <c r="P262" i="12843" s="1"/>
  <c r="J802" i="12843"/>
  <c r="L802" i="12843" s="1"/>
  <c r="L322" i="12843"/>
  <c r="N422" i="12843"/>
  <c r="N436" i="12843" s="1"/>
  <c r="P436" i="12843" s="1"/>
  <c r="X214" i="12767"/>
  <c r="N738" i="12843"/>
  <c r="N759" i="12843" s="1"/>
  <c r="N784" i="12843"/>
  <c r="N804" i="12843" s="1"/>
  <c r="P804" i="12843" s="1"/>
  <c r="V115" i="12843"/>
  <c r="N191" i="12843"/>
  <c r="X156" i="12843"/>
  <c r="J300" i="12843"/>
  <c r="L300" i="12843" s="1"/>
  <c r="L231" i="12843" s="1"/>
  <c r="N352" i="12843"/>
  <c r="N366" i="12843" s="1"/>
  <c r="N318" i="12843"/>
  <c r="N331" i="12843" s="1"/>
  <c r="P331" i="12843" s="1"/>
  <c r="V128" i="12843"/>
  <c r="N387" i="12843"/>
  <c r="P387" i="12843" s="1"/>
  <c r="N215" i="12843"/>
  <c r="N228" i="12843" s="1"/>
  <c r="N802" i="12843"/>
  <c r="P802" i="12843" s="1"/>
  <c r="L533" i="12843"/>
  <c r="L795" i="12843"/>
  <c r="L741" i="12843" s="1"/>
  <c r="X844" i="12767"/>
  <c r="J439" i="12843"/>
  <c r="L439" i="12843" s="1"/>
  <c r="L369" i="12843" s="1"/>
  <c r="L253" i="12843"/>
  <c r="L498" i="12843"/>
  <c r="L392" i="12843"/>
  <c r="L357" i="12843" s="1"/>
  <c r="J868" i="12843"/>
  <c r="L868" i="12843" s="1"/>
  <c r="L762" i="12843" s="1"/>
  <c r="J855" i="12843"/>
  <c r="L855" i="12843" s="1"/>
  <c r="L351" i="12843"/>
  <c r="L173" i="12843" s="1"/>
  <c r="L227" i="12843"/>
  <c r="X213" i="12767"/>
  <c r="T213" i="12767"/>
  <c r="N330" i="12843"/>
  <c r="P330" i="12843" s="1"/>
  <c r="L323" i="12843"/>
  <c r="J302" i="12843"/>
  <c r="L302" i="12843" s="1"/>
  <c r="L233" i="12843" s="1"/>
  <c r="L500" i="12843"/>
  <c r="L465" i="12843" s="1"/>
  <c r="L429" i="12843"/>
  <c r="L359" i="12843" s="1"/>
  <c r="J547" i="12843"/>
  <c r="L547" i="12843" s="1"/>
  <c r="L477" i="12843" s="1"/>
  <c r="L324" i="12843"/>
  <c r="L428" i="12843"/>
  <c r="J406" i="12843"/>
  <c r="L406" i="12843" s="1"/>
  <c r="L255" i="12843"/>
  <c r="J301" i="12843"/>
  <c r="L301" i="12843" s="1"/>
  <c r="L232" i="12843" s="1"/>
  <c r="L650" i="12843"/>
  <c r="J546" i="12843"/>
  <c r="L546" i="12843" s="1"/>
  <c r="L254" i="12843"/>
  <c r="L464" i="12843"/>
  <c r="J511" i="12843"/>
  <c r="L511" i="12843" s="1"/>
  <c r="N567" i="12843"/>
  <c r="J665" i="12843"/>
  <c r="L665" i="12843" s="1"/>
  <c r="L625" i="12843" s="1"/>
  <c r="N581" i="12767"/>
  <c r="P581" i="12767" s="1"/>
  <c r="P582" i="12843" s="1"/>
  <c r="N688" i="12843"/>
  <c r="N703" i="12843" s="1"/>
  <c r="P703" i="12843" s="1"/>
  <c r="L688" i="12843"/>
  <c r="N650" i="12843"/>
  <c r="N665" i="12843" s="1"/>
  <c r="P665" i="12843" s="1"/>
  <c r="L131" i="12843"/>
  <c r="L133" i="12843" s="1"/>
  <c r="J890" i="12843"/>
  <c r="L890" i="12843" s="1"/>
  <c r="L1104" i="12843"/>
  <c r="L1106" i="12843" s="1"/>
  <c r="Z1109" i="12843" s="1"/>
  <c r="N962" i="12843"/>
  <c r="N980" i="12843"/>
  <c r="P980" i="12843" s="1"/>
  <c r="P962" i="12767"/>
  <c r="N883" i="12767"/>
  <c r="P883" i="12767" s="1"/>
  <c r="Q16" i="12772"/>
  <c r="L963" i="12843"/>
  <c r="Z925" i="12843"/>
  <c r="AA925" i="12843" s="1"/>
  <c r="J884" i="12843"/>
  <c r="L884" i="12843" s="1"/>
  <c r="N882" i="12767"/>
  <c r="P882" i="12767" s="1"/>
  <c r="P883" i="12843" s="1"/>
  <c r="P961" i="12767"/>
  <c r="N963" i="12843"/>
  <c r="N981" i="12843"/>
  <c r="P981" i="12843" s="1"/>
  <c r="Q15" i="12772"/>
  <c r="Z924" i="12843"/>
  <c r="AA924" i="12843" s="1"/>
  <c r="L962" i="12843"/>
  <c r="J883" i="12843"/>
  <c r="L883" i="12843" s="1"/>
  <c r="L990" i="12843"/>
  <c r="L992" i="12843" s="1"/>
  <c r="L966" i="12843"/>
  <c r="R16" i="12772"/>
  <c r="Z928" i="12843"/>
  <c r="AA928" i="12843" s="1"/>
  <c r="J887" i="12843"/>
  <c r="L887" i="12843" s="1"/>
  <c r="R15" i="12772"/>
  <c r="Z927" i="12843"/>
  <c r="AA927" i="12843" s="1"/>
  <c r="L965" i="12843"/>
  <c r="J886" i="12843"/>
  <c r="L886" i="12843" s="1"/>
  <c r="P965" i="12767"/>
  <c r="N886" i="12767"/>
  <c r="P886" i="12767" s="1"/>
  <c r="P887" i="12843" s="1"/>
  <c r="L953" i="12843"/>
  <c r="L955" i="12843" s="1"/>
  <c r="Y957" i="12843" s="1"/>
  <c r="N966" i="12843"/>
  <c r="N984" i="12843"/>
  <c r="P984" i="12843" s="1"/>
  <c r="L724" i="12843"/>
  <c r="P831" i="12843"/>
  <c r="N855" i="12843"/>
  <c r="P855" i="12843" s="1"/>
  <c r="N297" i="12843"/>
  <c r="P284" i="12843"/>
  <c r="AC98" i="12843"/>
  <c r="L90" i="12843"/>
  <c r="L116" i="12843"/>
  <c r="L117" i="12767"/>
  <c r="L98" i="12767"/>
  <c r="L100" i="12767" s="1"/>
  <c r="L146" i="12843"/>
  <c r="L148" i="12843" s="1"/>
  <c r="L161" i="12843"/>
  <c r="L163" i="12843" s="1"/>
  <c r="L91" i="12843"/>
  <c r="P562" i="12767"/>
  <c r="P481" i="12767" s="1"/>
  <c r="N646" i="12843"/>
  <c r="N662" i="12843" s="1"/>
  <c r="P662" i="12843" s="1"/>
  <c r="N706" i="12767"/>
  <c r="P706" i="12767" s="1"/>
  <c r="L649" i="12843"/>
  <c r="L607" i="12843" s="1"/>
  <c r="N668" i="12767"/>
  <c r="P668" i="12767" s="1"/>
  <c r="L655" i="12843"/>
  <c r="N684" i="12843"/>
  <c r="N700" i="12843" s="1"/>
  <c r="P700" i="12843" s="1"/>
  <c r="N563" i="12843"/>
  <c r="P482" i="12843" s="1"/>
  <c r="J668" i="12843"/>
  <c r="L668" i="12843" s="1"/>
  <c r="L628" i="12843" s="1"/>
  <c r="AD44" i="12831"/>
  <c r="N624" i="12843"/>
  <c r="N649" i="12843"/>
  <c r="P649" i="12843" s="1"/>
  <c r="L603" i="12843"/>
  <c r="N661" i="12843"/>
  <c r="P661" i="12843" s="1"/>
  <c r="S15" i="12770"/>
  <c r="N621" i="12843"/>
  <c r="N683" i="12843"/>
  <c r="P683" i="12843" s="1"/>
  <c r="L647" i="12843"/>
  <c r="J663" i="12843"/>
  <c r="L663" i="12843" s="1"/>
  <c r="N647" i="12843"/>
  <c r="N623" i="12843"/>
  <c r="N685" i="12843"/>
  <c r="J701" i="12843"/>
  <c r="L701" i="12843" s="1"/>
  <c r="L685" i="12843"/>
  <c r="P563" i="12767"/>
  <c r="P482" i="12767" s="1"/>
  <c r="N564" i="12843"/>
  <c r="N579" i="12767"/>
  <c r="P579" i="12767" s="1"/>
  <c r="N702" i="12843"/>
  <c r="P702" i="12843" s="1"/>
  <c r="P687" i="12843"/>
  <c r="L622" i="12843"/>
  <c r="L604" i="12843"/>
  <c r="V48" i="12831"/>
  <c r="AD50" i="12831" s="1"/>
  <c r="L733" i="12843"/>
  <c r="L755" i="12843"/>
  <c r="L475" i="12843"/>
  <c r="L370" i="12843"/>
  <c r="N857" i="12843"/>
  <c r="P857" i="12843" s="1"/>
  <c r="P837" i="12843"/>
  <c r="N845" i="12843"/>
  <c r="P840" i="12843"/>
  <c r="N860" i="12843"/>
  <c r="P860" i="12843" s="1"/>
  <c r="L356" i="12843"/>
  <c r="J865" i="12843"/>
  <c r="L865" i="12843" s="1"/>
  <c r="L845" i="12843"/>
  <c r="AA1004" i="12767"/>
  <c r="J247" i="12767"/>
  <c r="J260" i="12767" s="1"/>
  <c r="L260" i="12767" s="1"/>
  <c r="J253" i="12767"/>
  <c r="L253" i="12767" s="1"/>
  <c r="J248" i="12767"/>
  <c r="L248" i="12767" s="1"/>
  <c r="J254" i="12767"/>
  <c r="J266" i="12767" s="1"/>
  <c r="L266" i="12767" s="1"/>
  <c r="J252" i="12767"/>
  <c r="O925" i="12787"/>
  <c r="P925" i="12787" s="1"/>
  <c r="AC1177" i="12767"/>
  <c r="Z1140" i="12767"/>
  <c r="O995" i="12787"/>
  <c r="P996" i="12787" s="1"/>
  <c r="J17" i="12809"/>
  <c r="I21" i="12809"/>
  <c r="J21" i="12809" s="1"/>
  <c r="G25" i="12809"/>
  <c r="Q46" i="12811"/>
  <c r="Q47" i="12811" s="1"/>
  <c r="P47" i="12811"/>
  <c r="P68" i="12811" s="1"/>
  <c r="P140" i="12811" s="1"/>
  <c r="Z1156" i="12767"/>
  <c r="J980" i="12767"/>
  <c r="L980" i="12767" s="1"/>
  <c r="L948" i="12767"/>
  <c r="J964" i="12767"/>
  <c r="Z926" i="12767" s="1"/>
  <c r="Z931" i="12767"/>
  <c r="AA931" i="12767" s="1"/>
  <c r="AA941" i="12767"/>
  <c r="J983" i="12767"/>
  <c r="L983" i="12767" s="1"/>
  <c r="J262" i="12767"/>
  <c r="L262" i="12767" s="1"/>
  <c r="L249" i="12767"/>
  <c r="J267" i="12767"/>
  <c r="L267" i="12767" s="1"/>
  <c r="L255" i="12767"/>
  <c r="J251" i="12767"/>
  <c r="AA1099" i="12767"/>
  <c r="L1098" i="12767"/>
  <c r="AA1096" i="12767"/>
  <c r="L1096" i="12767"/>
  <c r="U17" i="12791"/>
  <c r="AA1095" i="12767"/>
  <c r="L1095" i="12767"/>
  <c r="P1095" i="12767" s="1"/>
  <c r="AA1092" i="12767"/>
  <c r="L1092" i="12767"/>
  <c r="P1092" i="12767" s="1"/>
  <c r="P1094" i="12843" s="1"/>
  <c r="AA946" i="12767"/>
  <c r="J966" i="12767"/>
  <c r="Z928" i="12767" s="1"/>
  <c r="J984" i="12767"/>
  <c r="L984" i="12767" s="1"/>
  <c r="L946" i="12767"/>
  <c r="O91" i="12787"/>
  <c r="O92" i="12787" s="1"/>
  <c r="P937" i="12787"/>
  <c r="O937" i="12787"/>
  <c r="P1032" i="12787"/>
  <c r="L751" i="12843" l="1"/>
  <c r="J812" i="12843"/>
  <c r="L812" i="12843" s="1"/>
  <c r="P213" i="12767"/>
  <c r="N1095" i="12767"/>
  <c r="N1097" i="12843" s="1"/>
  <c r="P1097" i="12843"/>
  <c r="P174" i="12767"/>
  <c r="P175" i="12843" s="1"/>
  <c r="L694" i="12843"/>
  <c r="L656" i="12843"/>
  <c r="J669" i="12843"/>
  <c r="L669" i="12843" s="1"/>
  <c r="L629" i="12843" s="1"/>
  <c r="L739" i="12843"/>
  <c r="P846" i="12843"/>
  <c r="J813" i="12843"/>
  <c r="L813" i="12843" s="1"/>
  <c r="L734" i="12843"/>
  <c r="L1027" i="12843"/>
  <c r="L1063" i="12843" s="1"/>
  <c r="N793" i="12843"/>
  <c r="P793" i="12843" s="1"/>
  <c r="P786" i="12843"/>
  <c r="L754" i="12843"/>
  <c r="D160" i="12845"/>
  <c r="N886" i="12843"/>
  <c r="P845" i="12767"/>
  <c r="P792" i="12767"/>
  <c r="N864" i="12767"/>
  <c r="P864" i="12767" s="1"/>
  <c r="P227" i="12767"/>
  <c r="P367" i="12843"/>
  <c r="P388" i="12843"/>
  <c r="P353" i="12843" s="1"/>
  <c r="N529" i="12843"/>
  <c r="P529" i="12843" s="1"/>
  <c r="P214" i="12843"/>
  <c r="N457" i="12843"/>
  <c r="N471" i="12843" s="1"/>
  <c r="N494" i="12843"/>
  <c r="P494" i="12843" s="1"/>
  <c r="N492" i="12843"/>
  <c r="N506" i="12843" s="1"/>
  <c r="P506" i="12843" s="1"/>
  <c r="P386" i="12843"/>
  <c r="N261" i="12843"/>
  <c r="P261" i="12843" s="1"/>
  <c r="P227" i="12843" s="1"/>
  <c r="N527" i="12843"/>
  <c r="N541" i="12843" s="1"/>
  <c r="P541" i="12843" s="1"/>
  <c r="N459" i="12843"/>
  <c r="N473" i="12843" s="1"/>
  <c r="N332" i="12843"/>
  <c r="P332" i="12843" s="1"/>
  <c r="P365" i="12843"/>
  <c r="P285" i="12843"/>
  <c r="N493" i="12843"/>
  <c r="N528" i="12843"/>
  <c r="N458" i="12843"/>
  <c r="N472" i="12843" s="1"/>
  <c r="P250" i="12843"/>
  <c r="N263" i="12843"/>
  <c r="P263" i="12843" s="1"/>
  <c r="P421" i="12843"/>
  <c r="N581" i="12843"/>
  <c r="Z101" i="12767"/>
  <c r="U16" i="12848"/>
  <c r="J1002" i="12767"/>
  <c r="J1000" i="12767"/>
  <c r="H170" i="12845"/>
  <c r="H166" i="12845"/>
  <c r="H169" i="12845"/>
  <c r="I161" i="12845"/>
  <c r="H168" i="12845"/>
  <c r="L230" i="12843"/>
  <c r="L368" i="12843"/>
  <c r="L613" i="12843"/>
  <c r="L463" i="12843"/>
  <c r="L353" i="12843"/>
  <c r="L216" i="12843"/>
  <c r="P788" i="12843"/>
  <c r="P841" i="12843"/>
  <c r="J866" i="12843"/>
  <c r="L866" i="12843" s="1"/>
  <c r="L25" i="12843"/>
  <c r="K164" i="12845" s="1"/>
  <c r="P422" i="12843"/>
  <c r="P352" i="12843" s="1"/>
  <c r="L343" i="12843"/>
  <c r="L345" i="12843" s="1"/>
  <c r="L239" i="12843"/>
  <c r="P787" i="12843"/>
  <c r="P249" i="12843"/>
  <c r="P318" i="12843"/>
  <c r="L749" i="12843"/>
  <c r="N401" i="12843"/>
  <c r="P401" i="12843" s="1"/>
  <c r="P366" i="12843" s="1"/>
  <c r="L219" i="12843"/>
  <c r="P784" i="12843"/>
  <c r="N792" i="12843"/>
  <c r="P792" i="12843" s="1"/>
  <c r="L413" i="12843"/>
  <c r="L415" i="12843" s="1"/>
  <c r="L220" i="12843"/>
  <c r="L448" i="12843"/>
  <c r="L363" i="12843" s="1"/>
  <c r="L185" i="12843" s="1"/>
  <c r="L1284" i="12843" s="1"/>
  <c r="L371" i="12843"/>
  <c r="L196" i="12843" s="1"/>
  <c r="L358" i="12843"/>
  <c r="L221" i="12843"/>
  <c r="L181" i="12843" s="1"/>
  <c r="L608" i="12843"/>
  <c r="F163" i="12845" s="1"/>
  <c r="L274" i="12843"/>
  <c r="L276" i="12843" s="1"/>
  <c r="L476" i="12843"/>
  <c r="L195" i="12843" s="1"/>
  <c r="AA957" i="12843"/>
  <c r="N582" i="12843"/>
  <c r="J1001" i="12767"/>
  <c r="P688" i="12843"/>
  <c r="P650" i="12843"/>
  <c r="L912" i="12843"/>
  <c r="J895" i="12843"/>
  <c r="L895" i="12843" s="1"/>
  <c r="L897" i="12843" s="1"/>
  <c r="L899" i="12843" s="1"/>
  <c r="AA1109" i="12843"/>
  <c r="Z1107" i="12843"/>
  <c r="Y1109" i="12843"/>
  <c r="J1036" i="12767"/>
  <c r="L1036" i="12767" s="1"/>
  <c r="N998" i="12767"/>
  <c r="AA998" i="12767"/>
  <c r="P963" i="12843"/>
  <c r="N884" i="12843"/>
  <c r="Z957" i="12843"/>
  <c r="P962" i="12843"/>
  <c r="N883" i="12843"/>
  <c r="P966" i="12843"/>
  <c r="N887" i="12843"/>
  <c r="L972" i="12843"/>
  <c r="L974" i="12843" s="1"/>
  <c r="L174" i="12843"/>
  <c r="P297" i="12843"/>
  <c r="P228" i="12843" s="1"/>
  <c r="P308" i="12843"/>
  <c r="P239" i="12843" s="1"/>
  <c r="L118" i="12843"/>
  <c r="L99" i="12843"/>
  <c r="L101" i="12843" s="1"/>
  <c r="AA103" i="12767"/>
  <c r="Y103" i="12767"/>
  <c r="Z103" i="12767"/>
  <c r="U16" i="12783"/>
  <c r="D161" i="12845"/>
  <c r="P646" i="12843"/>
  <c r="N579" i="12843"/>
  <c r="P684" i="12843"/>
  <c r="N664" i="12843"/>
  <c r="P664" i="12843" s="1"/>
  <c r="N699" i="12843"/>
  <c r="P699" i="12843" s="1"/>
  <c r="N580" i="12843"/>
  <c r="P483" i="12843"/>
  <c r="P647" i="12843"/>
  <c r="N663" i="12843"/>
  <c r="P663" i="12843" s="1"/>
  <c r="N701" i="12843"/>
  <c r="P701" i="12843" s="1"/>
  <c r="P685" i="12843"/>
  <c r="L623" i="12843"/>
  <c r="L605" i="12843"/>
  <c r="I1285" i="12843"/>
  <c r="I1287" i="12843" s="1"/>
  <c r="L194" i="12843"/>
  <c r="L178" i="12843"/>
  <c r="L738" i="12843"/>
  <c r="P845" i="12843"/>
  <c r="N865" i="12843"/>
  <c r="P865" i="12843" s="1"/>
  <c r="L759" i="12843"/>
  <c r="L254" i="12767"/>
  <c r="AA1005" i="12767"/>
  <c r="J586" i="12767"/>
  <c r="L586" i="12767" s="1"/>
  <c r="L573" i="12767"/>
  <c r="J265" i="12767"/>
  <c r="L265" i="12767" s="1"/>
  <c r="J261" i="12767"/>
  <c r="L261" i="12767" s="1"/>
  <c r="L247" i="12767"/>
  <c r="P923" i="12787"/>
  <c r="P924" i="12787" s="1"/>
  <c r="Q907" i="12787" s="1"/>
  <c r="R907" i="12787" s="1"/>
  <c r="J25" i="12809"/>
  <c r="I1279" i="12767"/>
  <c r="O996" i="12787"/>
  <c r="Q68" i="12811"/>
  <c r="Q140" i="12811" s="1"/>
  <c r="J1037" i="12767"/>
  <c r="L1037" i="12767" s="1"/>
  <c r="L1074" i="12767" s="1"/>
  <c r="J969" i="12767"/>
  <c r="J890" i="12767" s="1"/>
  <c r="AA945" i="12767"/>
  <c r="O760" i="12787"/>
  <c r="P761" i="12787" s="1"/>
  <c r="AA944" i="12767"/>
  <c r="AA942" i="12767"/>
  <c r="L1004" i="12767"/>
  <c r="L930" i="12767" s="1"/>
  <c r="J965" i="12767"/>
  <c r="Z927" i="12767" s="1"/>
  <c r="AA927" i="12767" s="1"/>
  <c r="J982" i="12767"/>
  <c r="L982" i="12767" s="1"/>
  <c r="J986" i="12767"/>
  <c r="L986" i="12767" s="1"/>
  <c r="L942" i="12767"/>
  <c r="J1043" i="12767"/>
  <c r="L1043" i="12767" s="1"/>
  <c r="O176" i="12787"/>
  <c r="P177" i="12787" s="1"/>
  <c r="L945" i="12767"/>
  <c r="L944" i="12767"/>
  <c r="J968" i="12767"/>
  <c r="J962" i="12767"/>
  <c r="Z924" i="12767" s="1"/>
  <c r="AA924" i="12767" s="1"/>
  <c r="J1025" i="12767"/>
  <c r="L941" i="12767"/>
  <c r="L998" i="12767"/>
  <c r="P998" i="12767" s="1"/>
  <c r="P1000" i="12843" s="1"/>
  <c r="J961" i="12767"/>
  <c r="Z923" i="12767" s="1"/>
  <c r="AA923" i="12767" s="1"/>
  <c r="J1019" i="12767"/>
  <c r="L1019" i="12767" s="1"/>
  <c r="J1044" i="12767"/>
  <c r="L1044" i="12767" s="1"/>
  <c r="L949" i="12767"/>
  <c r="J987" i="12767"/>
  <c r="L987" i="12767" s="1"/>
  <c r="AA949" i="12767"/>
  <c r="J979" i="12767"/>
  <c r="L979" i="12767" s="1"/>
  <c r="J1026" i="12767"/>
  <c r="L1026" i="12767" s="1"/>
  <c r="J263" i="12767"/>
  <c r="L263" i="12767" s="1"/>
  <c r="L251" i="12767"/>
  <c r="J264" i="12767"/>
  <c r="L264" i="12767" s="1"/>
  <c r="L252" i="12767"/>
  <c r="O815" i="12787"/>
  <c r="P816" i="12787" s="1"/>
  <c r="P92" i="12787"/>
  <c r="L1099" i="12767"/>
  <c r="L1102" i="12767" s="1"/>
  <c r="O898" i="12787"/>
  <c r="O888" i="12787" s="1"/>
  <c r="L964" i="12767"/>
  <c r="J885" i="12767"/>
  <c r="AA926" i="12767"/>
  <c r="L966" i="12767"/>
  <c r="AA928" i="12767"/>
  <c r="J887" i="12767"/>
  <c r="T17" i="12772"/>
  <c r="J320" i="12767"/>
  <c r="J425" i="12767"/>
  <c r="J531" i="12767"/>
  <c r="J355" i="12767"/>
  <c r="J367" i="12767" s="1"/>
  <c r="J286" i="12767"/>
  <c r="J390" i="12767"/>
  <c r="J496" i="12767"/>
  <c r="J217" i="12767"/>
  <c r="J461" i="12767"/>
  <c r="J473" i="12767" s="1"/>
  <c r="J192" i="12767"/>
  <c r="J323" i="12767"/>
  <c r="J428" i="12767"/>
  <c r="J534" i="12767"/>
  <c r="J220" i="12767"/>
  <c r="J195" i="12767"/>
  <c r="J464" i="12767"/>
  <c r="J476" i="12767" s="1"/>
  <c r="J289" i="12767"/>
  <c r="J393" i="12767"/>
  <c r="J499" i="12767"/>
  <c r="J358" i="12767"/>
  <c r="J370" i="12767" s="1"/>
  <c r="J170" i="12767"/>
  <c r="J171" i="12843" s="1"/>
  <c r="AA174" i="12767"/>
  <c r="J284" i="12767"/>
  <c r="J387" i="12767"/>
  <c r="J215" i="12767"/>
  <c r="J191" i="12767"/>
  <c r="J318" i="12767"/>
  <c r="J422" i="12767"/>
  <c r="J352" i="12767"/>
  <c r="J366" i="12767" s="1"/>
  <c r="AA181" i="12767"/>
  <c r="J359" i="12767"/>
  <c r="J371" i="12767" s="1"/>
  <c r="J290" i="12767"/>
  <c r="J324" i="12767"/>
  <c r="J429" i="12767"/>
  <c r="J535" i="12767"/>
  <c r="J221" i="12767"/>
  <c r="J233" i="12767" s="1"/>
  <c r="J465" i="12767"/>
  <c r="J477" i="12767" s="1"/>
  <c r="J394" i="12767"/>
  <c r="J500" i="12767"/>
  <c r="J196" i="12767"/>
  <c r="O508" i="12787"/>
  <c r="O27" i="12787"/>
  <c r="P27" i="12787" s="1"/>
  <c r="AA606" i="12767"/>
  <c r="J686" i="12767"/>
  <c r="J565" i="12767"/>
  <c r="J648" i="12767"/>
  <c r="J623" i="12767"/>
  <c r="AA602" i="12767"/>
  <c r="J561" i="12767"/>
  <c r="J562" i="12843" s="1"/>
  <c r="J682" i="12767"/>
  <c r="J620" i="12767"/>
  <c r="J644" i="12767"/>
  <c r="AA603" i="12767"/>
  <c r="J683" i="12767"/>
  <c r="J562" i="12767"/>
  <c r="J563" i="12843" s="1"/>
  <c r="J645" i="12767"/>
  <c r="J621" i="12767"/>
  <c r="J39" i="12767"/>
  <c r="L39" i="12767" s="1"/>
  <c r="J75" i="12767"/>
  <c r="L75" i="12767" s="1"/>
  <c r="J57" i="12767"/>
  <c r="L57" i="12767" s="1"/>
  <c r="J71" i="12767"/>
  <c r="L71" i="12767" s="1"/>
  <c r="J35" i="12767"/>
  <c r="L35" i="12767" s="1"/>
  <c r="J53" i="12767"/>
  <c r="L53" i="12767" s="1"/>
  <c r="J76" i="12767"/>
  <c r="L76" i="12767" s="1"/>
  <c r="J40" i="12767"/>
  <c r="L40" i="12767" s="1"/>
  <c r="J58" i="12767"/>
  <c r="L58" i="12767" s="1"/>
  <c r="J169" i="12767"/>
  <c r="J170" i="12843" s="1"/>
  <c r="AA173" i="12767"/>
  <c r="J317" i="12767"/>
  <c r="J190" i="12767"/>
  <c r="J421" i="12767"/>
  <c r="J214" i="12767"/>
  <c r="J351" i="12767"/>
  <c r="J365" i="12767" s="1"/>
  <c r="J386" i="12767"/>
  <c r="J283" i="12767"/>
  <c r="J321" i="12767"/>
  <c r="J426" i="12767"/>
  <c r="J532" i="12767"/>
  <c r="J218" i="12767"/>
  <c r="J193" i="12767"/>
  <c r="J287" i="12767"/>
  <c r="J391" i="12767"/>
  <c r="J497" i="12767"/>
  <c r="J356" i="12767"/>
  <c r="J368" i="12767" s="1"/>
  <c r="J462" i="12767"/>
  <c r="J474" i="12767" s="1"/>
  <c r="J168" i="12767"/>
  <c r="J169" i="12843" s="1"/>
  <c r="AA172" i="12767"/>
  <c r="J282" i="12767"/>
  <c r="J385" i="12767"/>
  <c r="J213" i="12767"/>
  <c r="J316" i="12767"/>
  <c r="J420" i="12767"/>
  <c r="J350" i="12767"/>
  <c r="J364" i="12767" s="1"/>
  <c r="J189" i="12767"/>
  <c r="J322" i="12767"/>
  <c r="J427" i="12767"/>
  <c r="J533" i="12767"/>
  <c r="J288" i="12767"/>
  <c r="J392" i="12767"/>
  <c r="J498" i="12767"/>
  <c r="J219" i="12767"/>
  <c r="J463" i="12767"/>
  <c r="J475" i="12767" s="1"/>
  <c r="J194" i="12767"/>
  <c r="J357" i="12767"/>
  <c r="J369" i="12767" s="1"/>
  <c r="O627" i="12787"/>
  <c r="J794" i="12767"/>
  <c r="J847" i="12767"/>
  <c r="J761" i="12767"/>
  <c r="AA741" i="12767"/>
  <c r="J848" i="12767"/>
  <c r="J762" i="12767"/>
  <c r="J795" i="12767"/>
  <c r="AA604" i="12767"/>
  <c r="J563" i="12767"/>
  <c r="J564" i="12843" s="1"/>
  <c r="J684" i="12767"/>
  <c r="J646" i="12767"/>
  <c r="J622" i="12767"/>
  <c r="J692" i="12767"/>
  <c r="J654" i="12767"/>
  <c r="J570" i="12767"/>
  <c r="J627" i="12767"/>
  <c r="AA607" i="12767"/>
  <c r="J566" i="12767"/>
  <c r="J687" i="12767"/>
  <c r="J649" i="12767"/>
  <c r="J624" i="12767"/>
  <c r="J37" i="12767"/>
  <c r="L37" i="12767" s="1"/>
  <c r="J73" i="12767"/>
  <c r="L73" i="12767" s="1"/>
  <c r="J55" i="12767"/>
  <c r="L55" i="12767" s="1"/>
  <c r="J41" i="12767"/>
  <c r="L41" i="12767" s="1"/>
  <c r="J77" i="12767"/>
  <c r="L77" i="12767" s="1"/>
  <c r="J59" i="12767"/>
  <c r="L59" i="12767" s="1"/>
  <c r="J36" i="12767"/>
  <c r="L36" i="12767" s="1"/>
  <c r="J72" i="12767"/>
  <c r="L72" i="12767" s="1"/>
  <c r="J54" i="12767"/>
  <c r="L54" i="12767" s="1"/>
  <c r="I1002" i="12787"/>
  <c r="I1009" i="12787"/>
  <c r="I1014" i="12787"/>
  <c r="I1021" i="12787"/>
  <c r="I1026" i="12787"/>
  <c r="I1003" i="12787"/>
  <c r="I1010" i="12787"/>
  <c r="I1017" i="12787"/>
  <c r="I1022" i="12787"/>
  <c r="I1028" i="12787"/>
  <c r="I1005" i="12787"/>
  <c r="I1011" i="12787"/>
  <c r="I1018" i="12787"/>
  <c r="I1024" i="12787"/>
  <c r="I1001" i="12787"/>
  <c r="I1006" i="12787"/>
  <c r="I1013" i="12787"/>
  <c r="I1019" i="12787"/>
  <c r="I1025" i="12787"/>
  <c r="I906" i="12787"/>
  <c r="I910" i="12787"/>
  <c r="I915" i="12787"/>
  <c r="I920" i="12787"/>
  <c r="I905" i="12787"/>
  <c r="I909" i="12787"/>
  <c r="I913" i="12787"/>
  <c r="I917" i="12787"/>
  <c r="I921" i="12787"/>
  <c r="I908" i="12787"/>
  <c r="I912" i="12787"/>
  <c r="I918" i="12787"/>
  <c r="I904" i="12787"/>
  <c r="I907" i="12787"/>
  <c r="I911" i="12787"/>
  <c r="I916" i="12787"/>
  <c r="I919" i="12787"/>
  <c r="P229" i="12843" l="1"/>
  <c r="L614" i="12843"/>
  <c r="F161" i="12845" s="1"/>
  <c r="N813" i="12843"/>
  <c r="P813" i="12843" s="1"/>
  <c r="I163" i="12845"/>
  <c r="L760" i="12843"/>
  <c r="D164" i="12845"/>
  <c r="D167" i="12845" s="1"/>
  <c r="J567" i="12843"/>
  <c r="J582" i="12843" s="1"/>
  <c r="L582" i="12843" s="1"/>
  <c r="J566" i="12843"/>
  <c r="L566" i="12843" s="1"/>
  <c r="J1040" i="12767"/>
  <c r="L1040" i="12767" s="1"/>
  <c r="L1077" i="12767" s="1"/>
  <c r="L1000" i="12767"/>
  <c r="L926" i="12767" s="1"/>
  <c r="J1004" i="12843"/>
  <c r="AA1004" i="12843" s="1"/>
  <c r="N508" i="12843"/>
  <c r="P508" i="12843" s="1"/>
  <c r="P492" i="12843"/>
  <c r="N543" i="12843"/>
  <c r="P543" i="12843" s="1"/>
  <c r="P459" i="12843"/>
  <c r="P351" i="12843"/>
  <c r="P471" i="12843"/>
  <c r="P527" i="12843"/>
  <c r="P216" i="12843"/>
  <c r="N507" i="12843"/>
  <c r="P507" i="12843" s="1"/>
  <c r="P493" i="12843"/>
  <c r="N542" i="12843"/>
  <c r="P542" i="12843" s="1"/>
  <c r="P528" i="12843"/>
  <c r="Q16" i="12848"/>
  <c r="V16" i="12848"/>
  <c r="U19" i="12848"/>
  <c r="Q26" i="12848"/>
  <c r="F162" i="12845"/>
  <c r="J163" i="12845"/>
  <c r="J160" i="12845"/>
  <c r="J162" i="12845"/>
  <c r="L193" i="12843"/>
  <c r="E160" i="12845" s="1"/>
  <c r="L179" i="12843"/>
  <c r="L175" i="12843"/>
  <c r="L27" i="12843"/>
  <c r="L309" i="12843"/>
  <c r="L311" i="12843" s="1"/>
  <c r="P215" i="12843"/>
  <c r="N812" i="12843"/>
  <c r="P812" i="12843" s="1"/>
  <c r="L180" i="12843"/>
  <c r="L450" i="12843"/>
  <c r="L378" i="12843"/>
  <c r="L380" i="12843" s="1"/>
  <c r="T973" i="12843"/>
  <c r="X1105" i="12843"/>
  <c r="T1105" i="12843"/>
  <c r="L1001" i="12767"/>
  <c r="P1001" i="12767" s="1"/>
  <c r="P1003" i="12843" s="1"/>
  <c r="J1022" i="12767"/>
  <c r="L1022" i="12767" s="1"/>
  <c r="J1021" i="12767"/>
  <c r="L1021" i="12767" s="1"/>
  <c r="L1057" i="12767" s="1"/>
  <c r="J1018" i="12767"/>
  <c r="L1018" i="12767" s="1"/>
  <c r="AA1001" i="12767"/>
  <c r="N1001" i="12767"/>
  <c r="J1003" i="12843"/>
  <c r="AA1003" i="12843" s="1"/>
  <c r="AA1002" i="12767"/>
  <c r="J1039" i="12767"/>
  <c r="L1039" i="12767" s="1"/>
  <c r="L1076" i="12767" s="1"/>
  <c r="J1000" i="12843"/>
  <c r="J1039" i="12843" s="1"/>
  <c r="L1039" i="12843" s="1"/>
  <c r="L1076" i="12843" s="1"/>
  <c r="L1002" i="12767"/>
  <c r="L928" i="12767" s="1"/>
  <c r="J1041" i="12767"/>
  <c r="L1041" i="12767" s="1"/>
  <c r="L1078" i="12767" s="1"/>
  <c r="J1002" i="12843"/>
  <c r="N1000" i="12767"/>
  <c r="AA1000" i="12767"/>
  <c r="N1000" i="12843"/>
  <c r="N1037" i="12767"/>
  <c r="P1037" i="12767" s="1"/>
  <c r="P1074" i="12767" s="1"/>
  <c r="N1019" i="12767"/>
  <c r="P1019" i="12767" s="1"/>
  <c r="P1055" i="12767" s="1"/>
  <c r="J1023" i="12767"/>
  <c r="L1023" i="12767" s="1"/>
  <c r="L1059" i="12767" s="1"/>
  <c r="J999" i="12843"/>
  <c r="N997" i="12767"/>
  <c r="AA997" i="12767"/>
  <c r="L997" i="12767"/>
  <c r="L923" i="12767" s="1"/>
  <c r="T991" i="12843"/>
  <c r="X954" i="12843"/>
  <c r="P991" i="12843"/>
  <c r="P954" i="12843"/>
  <c r="X991" i="12843"/>
  <c r="P973" i="12843"/>
  <c r="P942" i="12767"/>
  <c r="P924" i="12767" s="1"/>
  <c r="P905" i="12767" s="1"/>
  <c r="L924" i="12767"/>
  <c r="T954" i="12843"/>
  <c r="X973" i="12843"/>
  <c r="P945" i="12767"/>
  <c r="P946" i="12843" s="1"/>
  <c r="J494" i="12843"/>
  <c r="J529" i="12843"/>
  <c r="AA171" i="12843"/>
  <c r="J459" i="12843"/>
  <c r="J473" i="12843" s="1"/>
  <c r="AA170" i="12843"/>
  <c r="J493" i="12843"/>
  <c r="J458" i="12843"/>
  <c r="J472" i="12843" s="1"/>
  <c r="J528" i="12843"/>
  <c r="J527" i="12843"/>
  <c r="J457" i="12843"/>
  <c r="J471" i="12843" s="1"/>
  <c r="AA169" i="12843"/>
  <c r="J492" i="12843"/>
  <c r="V16" i="12783"/>
  <c r="U19" i="12783"/>
  <c r="T99" i="12767"/>
  <c r="T89" i="12767" s="1"/>
  <c r="R89" i="12767" s="1"/>
  <c r="P99" i="12767"/>
  <c r="P90" i="12767" s="1"/>
  <c r="N90" i="12767" s="1"/>
  <c r="AA104" i="12843"/>
  <c r="Z104" i="12843"/>
  <c r="Q16" i="12783"/>
  <c r="Y104" i="12843"/>
  <c r="Z102" i="12843"/>
  <c r="X99" i="12767"/>
  <c r="X131" i="12767" s="1"/>
  <c r="L563" i="12843"/>
  <c r="L482" i="12843" s="1"/>
  <c r="L201" i="12843" s="1"/>
  <c r="J579" i="12843"/>
  <c r="L579" i="12843" s="1"/>
  <c r="L564" i="12843"/>
  <c r="L483" i="12843" s="1"/>
  <c r="L202" i="12843" s="1"/>
  <c r="J580" i="12843"/>
  <c r="L580" i="12843" s="1"/>
  <c r="J578" i="12843"/>
  <c r="L578" i="12843" s="1"/>
  <c r="L562" i="12843"/>
  <c r="L481" i="12843" s="1"/>
  <c r="L200" i="12843" s="1"/>
  <c r="Z900" i="12843"/>
  <c r="L989" i="12767"/>
  <c r="L991" i="12767" s="1"/>
  <c r="Q26" i="12783"/>
  <c r="L570" i="12767"/>
  <c r="J571" i="12843"/>
  <c r="L571" i="12843" s="1"/>
  <c r="V470" i="12767"/>
  <c r="R470" i="12767"/>
  <c r="N470" i="12767"/>
  <c r="V471" i="12767"/>
  <c r="R471" i="12767"/>
  <c r="N471" i="12767"/>
  <c r="N472" i="12767"/>
  <c r="V472" i="12767"/>
  <c r="R472" i="12767"/>
  <c r="L273" i="12767"/>
  <c r="L275" i="12767" s="1"/>
  <c r="L45" i="12767"/>
  <c r="L81" i="12767"/>
  <c r="L83" i="12767" s="1"/>
  <c r="L952" i="12767"/>
  <c r="L63" i="12767"/>
  <c r="L593" i="12767"/>
  <c r="L1005" i="12767"/>
  <c r="L931" i="12767" s="1"/>
  <c r="L969" i="12767"/>
  <c r="L1062" i="12767" s="1"/>
  <c r="L1104" i="12767"/>
  <c r="AA1107" i="12767" s="1"/>
  <c r="Q917" i="12787"/>
  <c r="R917" i="12787" s="1"/>
  <c r="Q919" i="12787"/>
  <c r="R919" i="12787" s="1"/>
  <c r="Q918" i="12787"/>
  <c r="R918" i="12787" s="1"/>
  <c r="Q920" i="12787"/>
  <c r="R920" i="12787" s="1"/>
  <c r="Q908" i="12787"/>
  <c r="R908" i="12787" s="1"/>
  <c r="Q909" i="12787"/>
  <c r="R909" i="12787" s="1"/>
  <c r="Q910" i="12787"/>
  <c r="R910" i="12787" s="1"/>
  <c r="Q911" i="12787"/>
  <c r="R911" i="12787" s="1"/>
  <c r="Q921" i="12787"/>
  <c r="R921" i="12787" s="1"/>
  <c r="Q912" i="12787"/>
  <c r="R912" i="12787" s="1"/>
  <c r="Q904" i="12787"/>
  <c r="R904" i="12787" s="1"/>
  <c r="Q913" i="12787"/>
  <c r="R913" i="12787" s="1"/>
  <c r="Q905" i="12787"/>
  <c r="R905" i="12787" s="1"/>
  <c r="Q915" i="12787"/>
  <c r="R915" i="12787" s="1"/>
  <c r="Q906" i="12787"/>
  <c r="R906" i="12787" s="1"/>
  <c r="Q916" i="12787"/>
  <c r="R916" i="12787" s="1"/>
  <c r="O761" i="12787"/>
  <c r="J889" i="12767"/>
  <c r="J894" i="12767" s="1"/>
  <c r="L1073" i="12767"/>
  <c r="L968" i="12767"/>
  <c r="L962" i="12767"/>
  <c r="L1055" i="12767" s="1"/>
  <c r="J886" i="12767"/>
  <c r="L1025" i="12767"/>
  <c r="J883" i="12767"/>
  <c r="L883" i="12767" s="1"/>
  <c r="L965" i="12767"/>
  <c r="O177" i="12787"/>
  <c r="L961" i="12767"/>
  <c r="L1080" i="12767"/>
  <c r="L1081" i="12767"/>
  <c r="O816" i="12787"/>
  <c r="J882" i="12767"/>
  <c r="O1035" i="12787"/>
  <c r="L16" i="12767"/>
  <c r="L21" i="12767"/>
  <c r="L17" i="12767"/>
  <c r="L20" i="12767"/>
  <c r="J892" i="12767"/>
  <c r="L887" i="12767"/>
  <c r="J893" i="12767"/>
  <c r="L885" i="12767"/>
  <c r="L890" i="12767"/>
  <c r="L649" i="12767"/>
  <c r="J664" i="12767"/>
  <c r="L664" i="12767" s="1"/>
  <c r="J581" i="12767"/>
  <c r="L581" i="12767" s="1"/>
  <c r="L566" i="12767"/>
  <c r="J705" i="12767"/>
  <c r="L705" i="12767" s="1"/>
  <c r="L692" i="12767"/>
  <c r="J655" i="12767"/>
  <c r="J571" i="12767"/>
  <c r="J628" i="12767"/>
  <c r="J693" i="12767"/>
  <c r="L684" i="12767"/>
  <c r="J700" i="12767"/>
  <c r="L700" i="12767" s="1"/>
  <c r="L795" i="12767"/>
  <c r="J815" i="12767"/>
  <c r="L815" i="12767" s="1"/>
  <c r="L848" i="12767"/>
  <c r="J868" i="12767"/>
  <c r="L868" i="12767" s="1"/>
  <c r="J867" i="12767"/>
  <c r="L867" i="12767" s="1"/>
  <c r="L847" i="12767"/>
  <c r="L498" i="12767"/>
  <c r="J510" i="12767"/>
  <c r="L510" i="12767" s="1"/>
  <c r="J300" i="12767"/>
  <c r="L300" i="12767" s="1"/>
  <c r="L288" i="12767"/>
  <c r="L427" i="12767"/>
  <c r="J439" i="12767"/>
  <c r="L439" i="12767" s="1"/>
  <c r="L420" i="12767"/>
  <c r="J434" i="12767"/>
  <c r="L434" i="12767" s="1"/>
  <c r="AA15" i="12769"/>
  <c r="J226" i="12767"/>
  <c r="L282" i="12767"/>
  <c r="J295" i="12767"/>
  <c r="L295" i="12767" s="1"/>
  <c r="AA168" i="12767"/>
  <c r="J456" i="12767"/>
  <c r="J470" i="12767" s="1"/>
  <c r="J526" i="12767"/>
  <c r="J491" i="12767"/>
  <c r="L497" i="12767"/>
  <c r="J509" i="12767"/>
  <c r="L509" i="12767" s="1"/>
  <c r="J299" i="12767"/>
  <c r="L299" i="12767" s="1"/>
  <c r="L287" i="12767"/>
  <c r="J230" i="12767"/>
  <c r="J438" i="12767"/>
  <c r="L438" i="12767" s="1"/>
  <c r="L426" i="12767"/>
  <c r="L283" i="12767"/>
  <c r="J296" i="12767"/>
  <c r="L421" i="12767"/>
  <c r="J435" i="12767"/>
  <c r="L435" i="12767" s="1"/>
  <c r="L317" i="12767"/>
  <c r="J330" i="12767"/>
  <c r="L330" i="12767" s="1"/>
  <c r="AA169" i="12767"/>
  <c r="J457" i="12767"/>
  <c r="J471" i="12767" s="1"/>
  <c r="J492" i="12767"/>
  <c r="J527" i="12767"/>
  <c r="J578" i="12767"/>
  <c r="L578" i="12767" s="1"/>
  <c r="L562" i="12767"/>
  <c r="L644" i="12767"/>
  <c r="J660" i="12767"/>
  <c r="L660" i="12767" s="1"/>
  <c r="L682" i="12767"/>
  <c r="J698" i="12767"/>
  <c r="L698" i="12767" s="1"/>
  <c r="L648" i="12767"/>
  <c r="J663" i="12767"/>
  <c r="L663" i="12767" s="1"/>
  <c r="L686" i="12767"/>
  <c r="J701" i="12767"/>
  <c r="L701" i="12767" s="1"/>
  <c r="AA731" i="12767"/>
  <c r="J785" i="12767"/>
  <c r="J752" i="12767"/>
  <c r="J735" i="12767"/>
  <c r="J838" i="12767"/>
  <c r="J738" i="12767"/>
  <c r="N738" i="12767" s="1"/>
  <c r="N759" i="12767" s="1"/>
  <c r="AA732" i="12767"/>
  <c r="J786" i="12767"/>
  <c r="J753" i="12767"/>
  <c r="J839" i="12767"/>
  <c r="AA733" i="12767"/>
  <c r="J840" i="12767"/>
  <c r="J787" i="12767"/>
  <c r="J754" i="12767"/>
  <c r="L394" i="12767"/>
  <c r="J406" i="12767"/>
  <c r="L406" i="12767" s="1"/>
  <c r="L429" i="12767"/>
  <c r="J441" i="12767"/>
  <c r="L441" i="12767" s="1"/>
  <c r="L290" i="12767"/>
  <c r="J302" i="12767"/>
  <c r="L302" i="12767" s="1"/>
  <c r="L318" i="12767"/>
  <c r="J331" i="12767"/>
  <c r="L331" i="12767" s="1"/>
  <c r="AB18" i="12769"/>
  <c r="J228" i="12767"/>
  <c r="L284" i="12767"/>
  <c r="J297" i="12767"/>
  <c r="L297" i="12767" s="1"/>
  <c r="AA170" i="12767"/>
  <c r="J493" i="12767"/>
  <c r="J528" i="12767"/>
  <c r="J458" i="12767"/>
  <c r="J472" i="12767" s="1"/>
  <c r="J405" i="12767"/>
  <c r="L405" i="12767" s="1"/>
  <c r="L393" i="12767"/>
  <c r="J232" i="12767"/>
  <c r="J440" i="12767"/>
  <c r="L440" i="12767" s="1"/>
  <c r="L428" i="12767"/>
  <c r="AB20" i="12769"/>
  <c r="J229" i="12767"/>
  <c r="L390" i="12767"/>
  <c r="J402" i="12767"/>
  <c r="L402" i="12767" s="1"/>
  <c r="L425" i="12767"/>
  <c r="J437" i="12767"/>
  <c r="L437" i="12767" s="1"/>
  <c r="L19" i="12767"/>
  <c r="L687" i="12767"/>
  <c r="J702" i="12767"/>
  <c r="L702" i="12767" s="1"/>
  <c r="J667" i="12767"/>
  <c r="L667" i="12767" s="1"/>
  <c r="L654" i="12767"/>
  <c r="L646" i="12767"/>
  <c r="J662" i="12767"/>
  <c r="L662" i="12767" s="1"/>
  <c r="R16" i="12770"/>
  <c r="J579" i="12767"/>
  <c r="L579" i="12767" s="1"/>
  <c r="L563" i="12767"/>
  <c r="L482" i="12767" s="1"/>
  <c r="J814" i="12767"/>
  <c r="L814" i="12767" s="1"/>
  <c r="L794" i="12767"/>
  <c r="P628" i="12787"/>
  <c r="O628" i="12787"/>
  <c r="O630" i="12787" s="1"/>
  <c r="J231" i="12767"/>
  <c r="L392" i="12767"/>
  <c r="J404" i="12767"/>
  <c r="L404" i="12767" s="1"/>
  <c r="L533" i="12767"/>
  <c r="J545" i="12767"/>
  <c r="L545" i="12767" s="1"/>
  <c r="L322" i="12767"/>
  <c r="J334" i="12767"/>
  <c r="L334" i="12767" s="1"/>
  <c r="L316" i="12767"/>
  <c r="J329" i="12767"/>
  <c r="L329" i="12767" s="1"/>
  <c r="L385" i="12767"/>
  <c r="J399" i="12767"/>
  <c r="L399" i="12767" s="1"/>
  <c r="L391" i="12767"/>
  <c r="J403" i="12767"/>
  <c r="L403" i="12767" s="1"/>
  <c r="L532" i="12767"/>
  <c r="J544" i="12767"/>
  <c r="L544" i="12767" s="1"/>
  <c r="L321" i="12767"/>
  <c r="J333" i="12767"/>
  <c r="L333" i="12767" s="1"/>
  <c r="J400" i="12767"/>
  <c r="L400" i="12767" s="1"/>
  <c r="L386" i="12767"/>
  <c r="AB15" i="12769"/>
  <c r="J227" i="12767"/>
  <c r="L15" i="12767"/>
  <c r="L645" i="12767"/>
  <c r="J661" i="12767"/>
  <c r="L661" i="12767" s="1"/>
  <c r="L683" i="12767"/>
  <c r="J699" i="12767"/>
  <c r="L699" i="12767" s="1"/>
  <c r="J577" i="12767"/>
  <c r="L577" i="12767" s="1"/>
  <c r="L561" i="12767"/>
  <c r="L480" i="12767" s="1"/>
  <c r="L199" i="12767" s="1"/>
  <c r="X199" i="12767" s="1"/>
  <c r="X200" i="12843" s="1"/>
  <c r="J580" i="12767"/>
  <c r="L580" i="12767" s="1"/>
  <c r="L565" i="12767"/>
  <c r="J830" i="12767"/>
  <c r="J777" i="12767"/>
  <c r="AA723" i="12767"/>
  <c r="J748" i="12767"/>
  <c r="AA729" i="12767"/>
  <c r="J734" i="12767"/>
  <c r="J737" i="12767"/>
  <c r="N737" i="12767" s="1"/>
  <c r="N758" i="12767" s="1"/>
  <c r="J783" i="12767"/>
  <c r="J836" i="12767"/>
  <c r="J750" i="12767"/>
  <c r="AA724" i="12767"/>
  <c r="J778" i="12767"/>
  <c r="J749" i="12767"/>
  <c r="J831" i="12767"/>
  <c r="I16" i="12787"/>
  <c r="I20" i="12787"/>
  <c r="I17" i="12787"/>
  <c r="I21" i="12787"/>
  <c r="I18" i="12787"/>
  <c r="I22" i="12787"/>
  <c r="P509" i="12787"/>
  <c r="O509" i="12787"/>
  <c r="O511" i="12787" s="1"/>
  <c r="L500" i="12767"/>
  <c r="J512" i="12767"/>
  <c r="L512" i="12767" s="1"/>
  <c r="L535" i="12767"/>
  <c r="J547" i="12767"/>
  <c r="L547" i="12767" s="1"/>
  <c r="L324" i="12767"/>
  <c r="J336" i="12767"/>
  <c r="L336" i="12767" s="1"/>
  <c r="L422" i="12767"/>
  <c r="J436" i="12767"/>
  <c r="L436" i="12767" s="1"/>
  <c r="L387" i="12767"/>
  <c r="J401" i="12767"/>
  <c r="L401" i="12767" s="1"/>
  <c r="L499" i="12767"/>
  <c r="J511" i="12767"/>
  <c r="L511" i="12767" s="1"/>
  <c r="J301" i="12767"/>
  <c r="L301" i="12767" s="1"/>
  <c r="L289" i="12767"/>
  <c r="L534" i="12767"/>
  <c r="J546" i="12767"/>
  <c r="L546" i="12767" s="1"/>
  <c r="J335" i="12767"/>
  <c r="L335" i="12767" s="1"/>
  <c r="L323" i="12767"/>
  <c r="L496" i="12767"/>
  <c r="J508" i="12767"/>
  <c r="L508" i="12767" s="1"/>
  <c r="L286" i="12767"/>
  <c r="J298" i="12767"/>
  <c r="L298" i="12767" s="1"/>
  <c r="L531" i="12767"/>
  <c r="J543" i="12767"/>
  <c r="L543" i="12767" s="1"/>
  <c r="L320" i="12767"/>
  <c r="J332" i="12767"/>
  <c r="L332" i="12767" s="1"/>
  <c r="I1281" i="12767"/>
  <c r="M919" i="12787"/>
  <c r="K919" i="12787"/>
  <c r="M911" i="12787"/>
  <c r="K911" i="12787"/>
  <c r="M904" i="12787"/>
  <c r="K904" i="12787"/>
  <c r="K912" i="12787"/>
  <c r="M912" i="12787"/>
  <c r="K921" i="12787"/>
  <c r="M921" i="12787"/>
  <c r="K913" i="12787"/>
  <c r="M913" i="12787"/>
  <c r="K905" i="12787"/>
  <c r="M905" i="12787"/>
  <c r="M915" i="12787"/>
  <c r="K915" i="12787"/>
  <c r="M906" i="12787"/>
  <c r="K906" i="12787"/>
  <c r="M1019" i="12787"/>
  <c r="K1019" i="12787"/>
  <c r="M1006" i="12787"/>
  <c r="K1006" i="12787"/>
  <c r="K1024" i="12787"/>
  <c r="M1024" i="12787"/>
  <c r="K1011" i="12787"/>
  <c r="M1011" i="12787"/>
  <c r="K1028" i="12787"/>
  <c r="M1028" i="12787"/>
  <c r="K1017" i="12787"/>
  <c r="M1017" i="12787"/>
  <c r="K1003" i="12787"/>
  <c r="M1003" i="12787"/>
  <c r="M1021" i="12787"/>
  <c r="K1021" i="12787"/>
  <c r="M1009" i="12787"/>
  <c r="K1009" i="12787"/>
  <c r="M916" i="12787"/>
  <c r="K916" i="12787"/>
  <c r="M907" i="12787"/>
  <c r="K907" i="12787"/>
  <c r="K918" i="12787"/>
  <c r="M918" i="12787"/>
  <c r="K908" i="12787"/>
  <c r="M908" i="12787"/>
  <c r="K917" i="12787"/>
  <c r="M917" i="12787"/>
  <c r="K909" i="12787"/>
  <c r="M909" i="12787"/>
  <c r="M920" i="12787"/>
  <c r="K920" i="12787"/>
  <c r="M910" i="12787"/>
  <c r="K910" i="12787"/>
  <c r="M1025" i="12787"/>
  <c r="K1025" i="12787"/>
  <c r="M1013" i="12787"/>
  <c r="K1013" i="12787"/>
  <c r="M1001" i="12787"/>
  <c r="K1001" i="12787"/>
  <c r="K1018" i="12787"/>
  <c r="M1018" i="12787"/>
  <c r="K1005" i="12787"/>
  <c r="M1005" i="12787"/>
  <c r="K1022" i="12787"/>
  <c r="M1022" i="12787"/>
  <c r="K1010" i="12787"/>
  <c r="M1010" i="12787"/>
  <c r="M1026" i="12787"/>
  <c r="K1026" i="12787"/>
  <c r="M1014" i="12787"/>
  <c r="K1014" i="12787"/>
  <c r="M1002" i="12787"/>
  <c r="K1002" i="12787"/>
  <c r="G1043" i="12787"/>
  <c r="G1045" i="12787" s="1"/>
  <c r="Q19" i="12848" l="1"/>
  <c r="P473" i="12843"/>
  <c r="D166" i="12845"/>
  <c r="D170" i="12845"/>
  <c r="D169" i="12845"/>
  <c r="D168" i="12845"/>
  <c r="L567" i="12843"/>
  <c r="L1004" i="12843"/>
  <c r="L929" i="12843" s="1"/>
  <c r="G160" i="12845" s="1"/>
  <c r="J1043" i="12843"/>
  <c r="L1043" i="12843" s="1"/>
  <c r="L1080" i="12843" s="1"/>
  <c r="J581" i="12843"/>
  <c r="L581" i="12843" s="1"/>
  <c r="N1040" i="12767"/>
  <c r="P1040" i="12767" s="1"/>
  <c r="P1077" i="12767" s="1"/>
  <c r="J1025" i="12843"/>
  <c r="P457" i="12843"/>
  <c r="P458" i="12843"/>
  <c r="P472" i="12843"/>
  <c r="X89" i="12767"/>
  <c r="V89" i="12767" s="1"/>
  <c r="AA31" i="12843"/>
  <c r="Q35" i="12848"/>
  <c r="V19" i="12848"/>
  <c r="E161" i="12845"/>
  <c r="C161" i="12845" s="1"/>
  <c r="J164" i="12845"/>
  <c r="J168" i="12845" s="1"/>
  <c r="L240" i="12843"/>
  <c r="L242" i="12843" s="1"/>
  <c r="Y31" i="12843"/>
  <c r="Q35" i="12783"/>
  <c r="Z29" i="12843"/>
  <c r="Z31" i="12843"/>
  <c r="AA1000" i="12843"/>
  <c r="T90" i="12767"/>
  <c r="R90" i="12767" s="1"/>
  <c r="L228" i="12767"/>
  <c r="L927" i="12767"/>
  <c r="L908" i="12767" s="1"/>
  <c r="P927" i="12767"/>
  <c r="J1024" i="12843"/>
  <c r="L1058" i="12767"/>
  <c r="L909" i="12767"/>
  <c r="J1042" i="12843"/>
  <c r="L1042" i="12843" s="1"/>
  <c r="L1079" i="12843" s="1"/>
  <c r="N1003" i="12843"/>
  <c r="N1024" i="12843" s="1"/>
  <c r="P1024" i="12843" s="1"/>
  <c r="P1060" i="12843" s="1"/>
  <c r="N1022" i="12767"/>
  <c r="P1022" i="12767" s="1"/>
  <c r="P1058" i="12767" s="1"/>
  <c r="L1003" i="12843"/>
  <c r="L928" i="12843" s="1"/>
  <c r="L909" i="12843" s="1"/>
  <c r="J1021" i="12843"/>
  <c r="L1021" i="12843" s="1"/>
  <c r="L1057" i="12843" s="1"/>
  <c r="L1000" i="12843"/>
  <c r="L925" i="12843" s="1"/>
  <c r="L906" i="12843" s="1"/>
  <c r="L1046" i="12767"/>
  <c r="L1048" i="12767" s="1"/>
  <c r="J1023" i="12843"/>
  <c r="L1002" i="12843"/>
  <c r="L927" i="12843" s="1"/>
  <c r="G163" i="12845" s="1"/>
  <c r="J1041" i="12843"/>
  <c r="L1041" i="12843" s="1"/>
  <c r="L1078" i="12843" s="1"/>
  <c r="AA1002" i="12843"/>
  <c r="N1002" i="12843"/>
  <c r="N1039" i="12767"/>
  <c r="P1039" i="12767" s="1"/>
  <c r="N1021" i="12767"/>
  <c r="P1021" i="12767" s="1"/>
  <c r="P1000" i="12767"/>
  <c r="P1002" i="12843" s="1"/>
  <c r="P925" i="12843"/>
  <c r="P906" i="12843" s="1"/>
  <c r="N1021" i="12843"/>
  <c r="P1021" i="12843" s="1"/>
  <c r="P1057" i="12843" s="1"/>
  <c r="N1039" i="12843"/>
  <c r="P1039" i="12843" s="1"/>
  <c r="P1076" i="12843" s="1"/>
  <c r="N999" i="12843"/>
  <c r="N1018" i="12767"/>
  <c r="P1018" i="12767" s="1"/>
  <c r="P1054" i="12767" s="1"/>
  <c r="N1036" i="12767"/>
  <c r="P1036" i="12767" s="1"/>
  <c r="P1073" i="12767" s="1"/>
  <c r="P997" i="12767"/>
  <c r="AA999" i="12843"/>
  <c r="J1038" i="12843"/>
  <c r="L1038" i="12843" s="1"/>
  <c r="L999" i="12843"/>
  <c r="J1020" i="12843"/>
  <c r="L905" i="12767"/>
  <c r="L529" i="12843"/>
  <c r="J543" i="12843"/>
  <c r="L543" i="12843" s="1"/>
  <c r="L494" i="12843"/>
  <c r="J508" i="12843"/>
  <c r="L508" i="12843" s="1"/>
  <c r="L493" i="12843"/>
  <c r="J507" i="12843"/>
  <c r="L507" i="12843" s="1"/>
  <c r="J542" i="12843"/>
  <c r="L542" i="12843" s="1"/>
  <c r="L528" i="12843"/>
  <c r="L492" i="12843"/>
  <c r="J506" i="12843"/>
  <c r="L506" i="12843" s="1"/>
  <c r="J541" i="12843"/>
  <c r="L541" i="12843" s="1"/>
  <c r="L527" i="12843"/>
  <c r="P89" i="12767"/>
  <c r="N89" i="12767" s="1"/>
  <c r="R90" i="12843"/>
  <c r="X100" i="12843"/>
  <c r="X90" i="12843" s="1"/>
  <c r="N109" i="12767"/>
  <c r="N91" i="12843"/>
  <c r="N124" i="12767"/>
  <c r="P124" i="12767" s="1"/>
  <c r="P125" i="12843" s="1"/>
  <c r="N97" i="12767"/>
  <c r="N154" i="12767"/>
  <c r="P154" i="12767" s="1"/>
  <c r="X116" i="12767"/>
  <c r="X146" i="12767"/>
  <c r="X161" i="12767"/>
  <c r="AD16" i="12783"/>
  <c r="Q19" i="12783"/>
  <c r="AD19" i="12783" s="1"/>
  <c r="T161" i="12767"/>
  <c r="T131" i="12767"/>
  <c r="T146" i="12767"/>
  <c r="T116" i="12767"/>
  <c r="V19" i="12783"/>
  <c r="T100" i="12843"/>
  <c r="P100" i="12843"/>
  <c r="X90" i="12767"/>
  <c r="V90" i="12767" s="1"/>
  <c r="P131" i="12767"/>
  <c r="P161" i="12767"/>
  <c r="P146" i="12767"/>
  <c r="P116" i="12767"/>
  <c r="J591" i="12767"/>
  <c r="L591" i="12767" s="1"/>
  <c r="J572" i="12843"/>
  <c r="N734" i="12767"/>
  <c r="J735" i="12843"/>
  <c r="N735" i="12767"/>
  <c r="J736" i="12843"/>
  <c r="L954" i="12767"/>
  <c r="Y956" i="12767" s="1"/>
  <c r="V542" i="12767"/>
  <c r="X542" i="12767" s="1"/>
  <c r="X528" i="12767"/>
  <c r="V541" i="12767"/>
  <c r="X541" i="12767" s="1"/>
  <c r="X527" i="12767"/>
  <c r="N542" i="12767"/>
  <c r="P542" i="12767" s="1"/>
  <c r="P528" i="12767"/>
  <c r="V507" i="12767"/>
  <c r="X507" i="12767" s="1"/>
  <c r="X493" i="12767"/>
  <c r="N541" i="12767"/>
  <c r="P541" i="12767" s="1"/>
  <c r="P527" i="12767"/>
  <c r="V506" i="12767"/>
  <c r="X506" i="12767" s="1"/>
  <c r="X492" i="12767"/>
  <c r="X457" i="12767" s="1"/>
  <c r="T526" i="12767"/>
  <c r="R540" i="12767"/>
  <c r="T540" i="12767" s="1"/>
  <c r="R542" i="12767"/>
  <c r="T542" i="12767" s="1"/>
  <c r="T528" i="12767"/>
  <c r="N507" i="12767"/>
  <c r="P507" i="12767" s="1"/>
  <c r="P493" i="12767"/>
  <c r="P458" i="12767" s="1"/>
  <c r="N506" i="12767"/>
  <c r="P506" i="12767" s="1"/>
  <c r="P492" i="12767"/>
  <c r="R505" i="12767"/>
  <c r="T505" i="12767" s="1"/>
  <c r="T491" i="12767"/>
  <c r="N505" i="12767"/>
  <c r="P505" i="12767" s="1"/>
  <c r="P491" i="12767"/>
  <c r="R507" i="12767"/>
  <c r="T507" i="12767" s="1"/>
  <c r="T493" i="12767"/>
  <c r="R541" i="12767"/>
  <c r="T541" i="12767" s="1"/>
  <c r="T527" i="12767"/>
  <c r="R506" i="12767"/>
  <c r="T506" i="12767" s="1"/>
  <c r="T492" i="12767"/>
  <c r="P526" i="12767"/>
  <c r="N540" i="12767"/>
  <c r="P540" i="12767" s="1"/>
  <c r="V505" i="12767"/>
  <c r="X505" i="12767" s="1"/>
  <c r="X491" i="12767"/>
  <c r="V540" i="12767"/>
  <c r="X540" i="12767" s="1"/>
  <c r="X526" i="12767"/>
  <c r="Y1107" i="12767"/>
  <c r="Z1107" i="12767"/>
  <c r="L412" i="12767"/>
  <c r="L1028" i="12767"/>
  <c r="L1030" i="12767" s="1"/>
  <c r="L342" i="12767"/>
  <c r="L344" i="12767" s="1"/>
  <c r="L971" i="12767"/>
  <c r="L447" i="12767"/>
  <c r="L449" i="12767" s="1"/>
  <c r="L1008" i="12767"/>
  <c r="L1010" i="12767" s="1"/>
  <c r="L481" i="12767"/>
  <c r="L200" i="12767" s="1"/>
  <c r="X200" i="12767" s="1"/>
  <c r="X201" i="12843" s="1"/>
  <c r="L296" i="12767"/>
  <c r="L227" i="12767" s="1"/>
  <c r="L238" i="12767"/>
  <c r="L201" i="12767" s="1"/>
  <c r="X201" i="12767" s="1"/>
  <c r="X202" i="12843" s="1"/>
  <c r="L359" i="12767"/>
  <c r="L358" i="12767"/>
  <c r="L65" i="12767"/>
  <c r="L215" i="12767"/>
  <c r="L741" i="12767"/>
  <c r="L907" i="12767"/>
  <c r="L1061" i="12767"/>
  <c r="L911" i="12767" s="1"/>
  <c r="Z1105" i="12767"/>
  <c r="L365" i="12767"/>
  <c r="L356" i="12767"/>
  <c r="L357" i="12767"/>
  <c r="L761" i="12767"/>
  <c r="L624" i="12767"/>
  <c r="P624" i="12767" s="1"/>
  <c r="P625" i="12843" s="1"/>
  <c r="L351" i="12767"/>
  <c r="L368" i="12767"/>
  <c r="L364" i="12767"/>
  <c r="L369" i="12767"/>
  <c r="L352" i="12767"/>
  <c r="L229" i="12767"/>
  <c r="L233" i="12767"/>
  <c r="L230" i="12767"/>
  <c r="L226" i="12767"/>
  <c r="L232" i="12767"/>
  <c r="L231" i="12767"/>
  <c r="L220" i="12767"/>
  <c r="L219" i="12767"/>
  <c r="L217" i="12767"/>
  <c r="L221" i="12767"/>
  <c r="L218" i="12767"/>
  <c r="L214" i="12767"/>
  <c r="L213" i="12767"/>
  <c r="L366" i="12767"/>
  <c r="L889" i="12767"/>
  <c r="L886" i="12767"/>
  <c r="L1054" i="12767"/>
  <c r="L904" i="12767" s="1"/>
  <c r="L882" i="12767"/>
  <c r="L912" i="12767"/>
  <c r="L604" i="12767"/>
  <c r="P604" i="12767" s="1"/>
  <c r="P605" i="12843" s="1"/>
  <c r="L627" i="12767"/>
  <c r="L612" i="12767"/>
  <c r="L893" i="12767"/>
  <c r="L892" i="12767"/>
  <c r="L621" i="12767"/>
  <c r="P621" i="12767" s="1"/>
  <c r="P622" i="12843" s="1"/>
  <c r="M22" i="12787"/>
  <c r="I73" i="12787"/>
  <c r="K73" i="12787" s="1"/>
  <c r="I56" i="12787"/>
  <c r="K56" i="12787" s="1"/>
  <c r="I39" i="12787"/>
  <c r="K39" i="12787" s="1"/>
  <c r="I72" i="12787"/>
  <c r="K72" i="12787" s="1"/>
  <c r="I55" i="12787"/>
  <c r="K55" i="12787" s="1"/>
  <c r="I38" i="12787"/>
  <c r="K38" i="12787" s="1"/>
  <c r="M21" i="12787"/>
  <c r="M20" i="12787"/>
  <c r="I71" i="12787"/>
  <c r="K71" i="12787" s="1"/>
  <c r="I54" i="12787"/>
  <c r="K54" i="12787" s="1"/>
  <c r="I37" i="12787"/>
  <c r="K37" i="12787" s="1"/>
  <c r="J802" i="12767"/>
  <c r="L802" i="12767" s="1"/>
  <c r="L778" i="12767"/>
  <c r="J803" i="12767"/>
  <c r="L803" i="12767" s="1"/>
  <c r="J791" i="12767"/>
  <c r="L783" i="12767"/>
  <c r="J854" i="12767"/>
  <c r="L854" i="12767" s="1"/>
  <c r="L830" i="12767"/>
  <c r="L528" i="12767"/>
  <c r="J542" i="12767"/>
  <c r="L542" i="12767" s="1"/>
  <c r="L839" i="12767"/>
  <c r="J859" i="12767"/>
  <c r="L859" i="12767" s="1"/>
  <c r="M31" i="12771"/>
  <c r="Q31" i="12771" s="1"/>
  <c r="M29" i="12771"/>
  <c r="Q29" i="12771" s="1"/>
  <c r="M28" i="12771"/>
  <c r="Q28" i="12771" s="1"/>
  <c r="M33" i="12771"/>
  <c r="Q33" i="12771" s="1"/>
  <c r="M27" i="12771"/>
  <c r="Q27" i="12771" s="1"/>
  <c r="M32" i="12771"/>
  <c r="Q32" i="12771" s="1"/>
  <c r="AA735" i="12767"/>
  <c r="J842" i="12767"/>
  <c r="J756" i="12767"/>
  <c r="J789" i="12767"/>
  <c r="M25" i="12771"/>
  <c r="Q25" i="12771" s="1"/>
  <c r="M24" i="12771"/>
  <c r="Q24" i="12771" s="1"/>
  <c r="M18" i="12771"/>
  <c r="Q18" i="12771" s="1"/>
  <c r="M20" i="12771"/>
  <c r="Q20" i="12771" s="1"/>
  <c r="M23" i="12771"/>
  <c r="Q23" i="12771" s="1"/>
  <c r="M19" i="12771"/>
  <c r="Q19" i="12771" s="1"/>
  <c r="L602" i="12767"/>
  <c r="P602" i="12767" s="1"/>
  <c r="P603" i="12843" s="1"/>
  <c r="J506" i="12767"/>
  <c r="L506" i="12767" s="1"/>
  <c r="L492" i="12767"/>
  <c r="J505" i="12767"/>
  <c r="L505" i="12767" s="1"/>
  <c r="L491" i="12767"/>
  <c r="J706" i="12767"/>
  <c r="L706" i="12767" s="1"/>
  <c r="L693" i="12767"/>
  <c r="J584" i="12767"/>
  <c r="L584" i="12767" s="1"/>
  <c r="L571" i="12767"/>
  <c r="L473" i="12767"/>
  <c r="L476" i="12767"/>
  <c r="L477" i="12767"/>
  <c r="L367" i="12767"/>
  <c r="L623" i="12767"/>
  <c r="P623" i="12767" s="1"/>
  <c r="P624" i="12843" s="1"/>
  <c r="L620" i="12767"/>
  <c r="P620" i="12767" s="1"/>
  <c r="P621" i="12843" s="1"/>
  <c r="L474" i="12767"/>
  <c r="L463" i="12767"/>
  <c r="L607" i="12767"/>
  <c r="P607" i="12767" s="1"/>
  <c r="P608" i="12843" s="1"/>
  <c r="L25" i="12767"/>
  <c r="L27" i="12767" s="1"/>
  <c r="L47" i="12767"/>
  <c r="I69" i="12787"/>
  <c r="K69" i="12787" s="1"/>
  <c r="I52" i="12787"/>
  <c r="K52" i="12787" s="1"/>
  <c r="I35" i="12787"/>
  <c r="K35" i="12787" s="1"/>
  <c r="M18" i="12787"/>
  <c r="M17" i="12787"/>
  <c r="I68" i="12787"/>
  <c r="K68" i="12787" s="1"/>
  <c r="I51" i="12787"/>
  <c r="K51" i="12787" s="1"/>
  <c r="I34" i="12787"/>
  <c r="K34" i="12787" s="1"/>
  <c r="I50" i="12787"/>
  <c r="K50" i="12787" s="1"/>
  <c r="I67" i="12787"/>
  <c r="K67" i="12787" s="1"/>
  <c r="K76" i="12787" s="1"/>
  <c r="K78" i="12787" s="1"/>
  <c r="M16" i="12787"/>
  <c r="I33" i="12787"/>
  <c r="K33" i="12787" s="1"/>
  <c r="J855" i="12767"/>
  <c r="L855" i="12767" s="1"/>
  <c r="L831" i="12767"/>
  <c r="L836" i="12767"/>
  <c r="J856" i="12767"/>
  <c r="L856" i="12767" s="1"/>
  <c r="J844" i="12767"/>
  <c r="J758" i="12767"/>
  <c r="AA734" i="12767"/>
  <c r="J788" i="12767"/>
  <c r="J841" i="12767"/>
  <c r="J755" i="12767"/>
  <c r="L777" i="12767"/>
  <c r="J801" i="12767"/>
  <c r="L801" i="12767" s="1"/>
  <c r="L350" i="12767"/>
  <c r="L493" i="12767"/>
  <c r="J507" i="12767"/>
  <c r="L507" i="12767" s="1"/>
  <c r="L787" i="12767"/>
  <c r="J807" i="12767"/>
  <c r="L807" i="12767" s="1"/>
  <c r="J860" i="12767"/>
  <c r="L860" i="12767" s="1"/>
  <c r="L840" i="12767"/>
  <c r="L786" i="12767"/>
  <c r="J806" i="12767"/>
  <c r="L806" i="12767" s="1"/>
  <c r="J759" i="12767"/>
  <c r="L838" i="12767"/>
  <c r="J858" i="12767"/>
  <c r="L858" i="12767" s="1"/>
  <c r="J845" i="12767"/>
  <c r="L785" i="12767"/>
  <c r="J792" i="12767"/>
  <c r="J805" i="12767"/>
  <c r="J541" i="12767"/>
  <c r="L541" i="12767" s="1"/>
  <c r="L527" i="12767"/>
  <c r="L526" i="12767"/>
  <c r="J540" i="12767"/>
  <c r="L540" i="12767" s="1"/>
  <c r="J668" i="12767"/>
  <c r="L668" i="12767" s="1"/>
  <c r="L655" i="12767"/>
  <c r="AA614" i="12767"/>
  <c r="J694" i="12767"/>
  <c r="J572" i="12767"/>
  <c r="J573" i="12843" s="1"/>
  <c r="J656" i="12767"/>
  <c r="L461" i="12767"/>
  <c r="L464" i="12767"/>
  <c r="L465" i="12767"/>
  <c r="L603" i="12767"/>
  <c r="P603" i="12767" s="1"/>
  <c r="P604" i="12843" s="1"/>
  <c r="L355" i="12767"/>
  <c r="L370" i="12767"/>
  <c r="L371" i="12767"/>
  <c r="L606" i="12767"/>
  <c r="P606" i="12767" s="1"/>
  <c r="P607" i="12843" s="1"/>
  <c r="L462" i="12767"/>
  <c r="L475" i="12767"/>
  <c r="L740" i="12767"/>
  <c r="L762" i="12767"/>
  <c r="L622" i="12767"/>
  <c r="P622" i="12767" s="1"/>
  <c r="P623" i="12843" s="1"/>
  <c r="K1030" i="12787"/>
  <c r="K1032" i="12787" s="1"/>
  <c r="M923" i="12787"/>
  <c r="M1030" i="12787"/>
  <c r="K923" i="12787"/>
  <c r="K925" i="12787" s="1"/>
  <c r="P923" i="12767" l="1"/>
  <c r="P904" i="12767" s="1"/>
  <c r="P999" i="12843"/>
  <c r="P924" i="12843" s="1"/>
  <c r="P905" i="12843" s="1"/>
  <c r="V90" i="12843"/>
  <c r="V124" i="12843" s="1"/>
  <c r="Q17" i="12773"/>
  <c r="T17" i="12773" s="1"/>
  <c r="R16" i="12773"/>
  <c r="L1025" i="12843"/>
  <c r="L1061" i="12843" s="1"/>
  <c r="L910" i="12843" s="1"/>
  <c r="V96" i="12767"/>
  <c r="L573" i="12843"/>
  <c r="J586" i="12843"/>
  <c r="L586" i="12843" s="1"/>
  <c r="N789" i="12767"/>
  <c r="P789" i="12767" s="1"/>
  <c r="N842" i="12767"/>
  <c r="P842" i="12767" s="1"/>
  <c r="N788" i="12767"/>
  <c r="P788" i="12767" s="1"/>
  <c r="N841" i="12767"/>
  <c r="P841" i="12767" s="1"/>
  <c r="X162" i="12843"/>
  <c r="X132" i="12843"/>
  <c r="U35" i="12848"/>
  <c r="Q42" i="12848"/>
  <c r="R124" i="12767"/>
  <c r="T124" i="12767" s="1"/>
  <c r="T125" i="12843" s="1"/>
  <c r="R96" i="12767"/>
  <c r="J166" i="12845"/>
  <c r="J169" i="12845"/>
  <c r="J170" i="12845"/>
  <c r="J167" i="12845"/>
  <c r="P472" i="12767"/>
  <c r="T26" i="12843"/>
  <c r="T83" i="12843" s="1"/>
  <c r="X26" i="12843"/>
  <c r="X47" i="12843" s="1"/>
  <c r="R109" i="12767"/>
  <c r="R139" i="12767" s="1"/>
  <c r="T139" i="12767" s="1"/>
  <c r="P26" i="12843"/>
  <c r="P65" i="12843" s="1"/>
  <c r="T1099" i="12767"/>
  <c r="R97" i="12767"/>
  <c r="R91" i="12843"/>
  <c r="T91" i="12843" s="1"/>
  <c r="T98" i="12767"/>
  <c r="T100" i="12767" s="1"/>
  <c r="R154" i="12767"/>
  <c r="T154" i="12767" s="1"/>
  <c r="R108" i="12767"/>
  <c r="T108" i="12767" s="1"/>
  <c r="T109" i="12843" s="1"/>
  <c r="P98" i="12767"/>
  <c r="P100" i="12767" s="1"/>
  <c r="X147" i="12843"/>
  <c r="R123" i="12767"/>
  <c r="T123" i="12767" s="1"/>
  <c r="T124" i="12843" s="1"/>
  <c r="L1024" i="12843"/>
  <c r="L1060" i="12843" s="1"/>
  <c r="N1042" i="12843"/>
  <c r="P1042" i="12843" s="1"/>
  <c r="P1079" i="12843" s="1"/>
  <c r="Q16" i="12773"/>
  <c r="P928" i="12843"/>
  <c r="P909" i="12843" s="1"/>
  <c r="L1083" i="12767"/>
  <c r="L1085" i="12767" s="1"/>
  <c r="N1041" i="12843"/>
  <c r="P1041" i="12843" s="1"/>
  <c r="P1078" i="12843" s="1"/>
  <c r="N1023" i="12843"/>
  <c r="P1023" i="12843" s="1"/>
  <c r="P1059" i="12843" s="1"/>
  <c r="L1023" i="12843"/>
  <c r="L1059" i="12843" s="1"/>
  <c r="L908" i="12843" s="1"/>
  <c r="R15" i="12773"/>
  <c r="N1020" i="12843"/>
  <c r="P1020" i="12843" s="1"/>
  <c r="P1056" i="12843" s="1"/>
  <c r="N1038" i="12843"/>
  <c r="P1038" i="12843" s="1"/>
  <c r="P1075" i="12843" s="1"/>
  <c r="L924" i="12843"/>
  <c r="G162" i="12845" s="1"/>
  <c r="G164" i="12845" s="1"/>
  <c r="L1010" i="12843"/>
  <c r="L1075" i="12843"/>
  <c r="L1048" i="12843"/>
  <c r="L1020" i="12843"/>
  <c r="Q15" i="12773"/>
  <c r="T471" i="12767"/>
  <c r="T472" i="12767"/>
  <c r="L473" i="12843"/>
  <c r="L192" i="12843" s="1"/>
  <c r="L459" i="12843"/>
  <c r="L171" i="12843" s="1"/>
  <c r="X472" i="12767"/>
  <c r="P471" i="12767"/>
  <c r="L471" i="12843"/>
  <c r="L190" i="12843" s="1"/>
  <c r="L472" i="12843"/>
  <c r="L191" i="12843" s="1"/>
  <c r="L458" i="12843"/>
  <c r="L170" i="12843" s="1"/>
  <c r="X470" i="12767"/>
  <c r="L457" i="12843"/>
  <c r="L169" i="12843" s="1"/>
  <c r="L554" i="12843"/>
  <c r="L556" i="12843" s="1"/>
  <c r="X456" i="12767"/>
  <c r="L519" i="12843"/>
  <c r="X117" i="12843"/>
  <c r="V123" i="12767"/>
  <c r="X123" i="12767" s="1"/>
  <c r="X124" i="12843" s="1"/>
  <c r="R138" i="12767"/>
  <c r="T138" i="12767" s="1"/>
  <c r="R153" i="12767"/>
  <c r="T153" i="12767" s="1"/>
  <c r="V91" i="12843"/>
  <c r="V154" i="12767"/>
  <c r="X154" i="12767" s="1"/>
  <c r="V97" i="12767"/>
  <c r="V109" i="12767"/>
  <c r="V124" i="12767"/>
  <c r="X124" i="12767" s="1"/>
  <c r="X125" i="12843" s="1"/>
  <c r="T132" i="12843"/>
  <c r="T117" i="12843"/>
  <c r="T162" i="12843"/>
  <c r="T147" i="12843"/>
  <c r="X98" i="12767"/>
  <c r="X100" i="12767" s="1"/>
  <c r="N98" i="12843"/>
  <c r="P91" i="12843"/>
  <c r="N155" i="12843"/>
  <c r="P155" i="12843" s="1"/>
  <c r="N110" i="12843"/>
  <c r="N125" i="12843"/>
  <c r="P147" i="12843"/>
  <c r="P117" i="12843"/>
  <c r="P132" i="12843"/>
  <c r="P162" i="12843"/>
  <c r="N90" i="12843"/>
  <c r="N96" i="12767"/>
  <c r="N123" i="12767"/>
  <c r="P123" i="12767" s="1"/>
  <c r="N138" i="12767"/>
  <c r="P138" i="12767" s="1"/>
  <c r="N108" i="12767"/>
  <c r="P108" i="12767" s="1"/>
  <c r="P109" i="12843" s="1"/>
  <c r="N153" i="12767"/>
  <c r="P153" i="12767" s="1"/>
  <c r="P160" i="12767" s="1"/>
  <c r="P162" i="12767" s="1"/>
  <c r="P109" i="12767"/>
  <c r="P110" i="12843" s="1"/>
  <c r="N139" i="12767"/>
  <c r="P139" i="12767" s="1"/>
  <c r="Z956" i="12767"/>
  <c r="AA956" i="12767"/>
  <c r="L935" i="12767"/>
  <c r="L933" i="12767"/>
  <c r="L572" i="12843"/>
  <c r="J592" i="12843"/>
  <c r="L592" i="12843" s="1"/>
  <c r="J585" i="12843"/>
  <c r="L585" i="12843" s="1"/>
  <c r="N755" i="12767"/>
  <c r="N735" i="12843"/>
  <c r="N756" i="12767"/>
  <c r="N736" i="12843"/>
  <c r="J789" i="12843"/>
  <c r="J842" i="12843"/>
  <c r="J756" i="12843"/>
  <c r="AA735" i="12843"/>
  <c r="J757" i="12843"/>
  <c r="AA736" i="12843"/>
  <c r="J790" i="12843"/>
  <c r="J843" i="12843"/>
  <c r="X1099" i="12767"/>
  <c r="AA30" i="12767"/>
  <c r="T457" i="12767"/>
  <c r="T458" i="12767"/>
  <c r="Y30" i="12767"/>
  <c r="Z30" i="12767"/>
  <c r="P457" i="12767"/>
  <c r="X458" i="12767"/>
  <c r="AA1010" i="12767"/>
  <c r="Y1012" i="12767"/>
  <c r="AA1012" i="12767"/>
  <c r="Z1012" i="12767"/>
  <c r="P456" i="12767"/>
  <c r="T456" i="12767"/>
  <c r="T470" i="12767"/>
  <c r="X471" i="12767"/>
  <c r="P470" i="12767"/>
  <c r="X1103" i="12767"/>
  <c r="T1103" i="12767"/>
  <c r="X908" i="12767"/>
  <c r="P911" i="12767"/>
  <c r="V695" i="12767"/>
  <c r="V657" i="12767"/>
  <c r="V632" i="12767"/>
  <c r="V592" i="12767"/>
  <c r="X592" i="12767" s="1"/>
  <c r="X593" i="12843" s="1"/>
  <c r="V808" i="12767"/>
  <c r="X808" i="12767" s="1"/>
  <c r="X788" i="12767"/>
  <c r="V862" i="12767"/>
  <c r="X862" i="12767" s="1"/>
  <c r="X842" i="12767"/>
  <c r="X789" i="12767"/>
  <c r="V809" i="12767"/>
  <c r="X809" i="12767" s="1"/>
  <c r="V861" i="12767"/>
  <c r="X861" i="12767" s="1"/>
  <c r="X841" i="12767"/>
  <c r="R895" i="12767"/>
  <c r="T895" i="12767" s="1"/>
  <c r="T896" i="12843" s="1"/>
  <c r="T1284" i="12843" s="1"/>
  <c r="R988" i="12767"/>
  <c r="T988" i="12767" s="1"/>
  <c r="T1082" i="12767" s="1"/>
  <c r="R970" i="12767"/>
  <c r="T970" i="12767" s="1"/>
  <c r="R862" i="12767"/>
  <c r="T862" i="12767" s="1"/>
  <c r="T842" i="12767"/>
  <c r="R808" i="12767"/>
  <c r="T808" i="12767" s="1"/>
  <c r="T788" i="12767"/>
  <c r="R861" i="12767"/>
  <c r="T861" i="12767" s="1"/>
  <c r="T841" i="12767"/>
  <c r="R809" i="12767"/>
  <c r="T809" i="12767" s="1"/>
  <c r="T789" i="12767"/>
  <c r="N632" i="12767"/>
  <c r="P632" i="12767" s="1"/>
  <c r="P633" i="12843" s="1"/>
  <c r="N695" i="12767"/>
  <c r="N657" i="12767"/>
  <c r="N592" i="12767"/>
  <c r="P592" i="12767" s="1"/>
  <c r="N617" i="12767"/>
  <c r="L308" i="12767"/>
  <c r="L239" i="12767" s="1"/>
  <c r="L553" i="12767"/>
  <c r="L518" i="12767"/>
  <c r="L805" i="12767"/>
  <c r="L752" i="12767" s="1"/>
  <c r="P752" i="12767" s="1"/>
  <c r="P753" i="12843" s="1"/>
  <c r="L362" i="12767"/>
  <c r="L184" i="12767" s="1"/>
  <c r="L174" i="12767"/>
  <c r="L173" i="12767"/>
  <c r="P173" i="12767" s="1"/>
  <c r="P174" i="12843" s="1"/>
  <c r="L753" i="12767"/>
  <c r="P753" i="12767" s="1"/>
  <c r="P754" i="12843" s="1"/>
  <c r="L472" i="12767"/>
  <c r="L191" i="12767" s="1"/>
  <c r="L732" i="12767"/>
  <c r="P732" i="12767" s="1"/>
  <c r="P733" i="12843" s="1"/>
  <c r="L458" i="12767"/>
  <c r="L894" i="12767"/>
  <c r="L896" i="12767" s="1"/>
  <c r="L628" i="12767"/>
  <c r="L613" i="12767"/>
  <c r="L1064" i="12767"/>
  <c r="L1066" i="12767" s="1"/>
  <c r="L973" i="12767"/>
  <c r="L470" i="12767"/>
  <c r="L189" i="12767" s="1"/>
  <c r="L179" i="12767"/>
  <c r="L193" i="12767"/>
  <c r="M25" i="12787"/>
  <c r="K59" i="12787"/>
  <c r="K61" i="12787" s="1"/>
  <c r="L748" i="12767"/>
  <c r="P748" i="12767" s="1"/>
  <c r="P749" i="12843" s="1"/>
  <c r="K17" i="12787"/>
  <c r="K20" i="12787"/>
  <c r="K22" i="12787"/>
  <c r="L177" i="12767"/>
  <c r="L733" i="12767"/>
  <c r="P733" i="12767" s="1"/>
  <c r="P734" i="12843" s="1"/>
  <c r="L195" i="12767"/>
  <c r="K18" i="12787"/>
  <c r="J585" i="12767"/>
  <c r="L585" i="12767" s="1"/>
  <c r="L572" i="12767"/>
  <c r="L377" i="12767"/>
  <c r="L379" i="12767" s="1"/>
  <c r="L414" i="12767"/>
  <c r="L723" i="12767"/>
  <c r="P723" i="12767" s="1"/>
  <c r="P724" i="12843" s="1"/>
  <c r="J861" i="12767"/>
  <c r="L861" i="12767" s="1"/>
  <c r="L841" i="12767"/>
  <c r="L788" i="12767"/>
  <c r="J808" i="12767"/>
  <c r="L808" i="12767" s="1"/>
  <c r="L844" i="12767"/>
  <c r="J864" i="12767"/>
  <c r="L864" i="12767" s="1"/>
  <c r="U35" i="12783"/>
  <c r="Z28" i="12767"/>
  <c r="J809" i="12767"/>
  <c r="L809" i="12767" s="1"/>
  <c r="L789" i="12767"/>
  <c r="L842" i="12767"/>
  <c r="J862" i="12767"/>
  <c r="L862" i="12767" s="1"/>
  <c r="L731" i="12767"/>
  <c r="P731" i="12767" s="1"/>
  <c r="P732" i="12843" s="1"/>
  <c r="L754" i="12767"/>
  <c r="P754" i="12767" s="1"/>
  <c r="P755" i="12843" s="1"/>
  <c r="L192" i="12767"/>
  <c r="L172" i="12767"/>
  <c r="P172" i="12767" s="1"/>
  <c r="P173" i="12843" s="1"/>
  <c r="L471" i="12767"/>
  <c r="L190" i="12767" s="1"/>
  <c r="L729" i="12767"/>
  <c r="P729" i="12767" s="1"/>
  <c r="P730" i="12843" s="1"/>
  <c r="L750" i="12767"/>
  <c r="P750" i="12767" s="1"/>
  <c r="P751" i="12843" s="1"/>
  <c r="L749" i="12767"/>
  <c r="P749" i="12767" s="1"/>
  <c r="P750" i="12843" s="1"/>
  <c r="K21" i="12787"/>
  <c r="L656" i="12767"/>
  <c r="J669" i="12767"/>
  <c r="L669" i="12767" s="1"/>
  <c r="L694" i="12767"/>
  <c r="J707" i="12767"/>
  <c r="L707" i="12767" s="1"/>
  <c r="L456" i="12767"/>
  <c r="J812" i="12767"/>
  <c r="L812" i="12767" s="1"/>
  <c r="L792" i="12767"/>
  <c r="J865" i="12767"/>
  <c r="L865" i="12767" s="1"/>
  <c r="L845" i="12767"/>
  <c r="K42" i="12787"/>
  <c r="K16" i="12787"/>
  <c r="J811" i="12767"/>
  <c r="L811" i="12767" s="1"/>
  <c r="L791" i="12767"/>
  <c r="L196" i="12767"/>
  <c r="L194" i="12767"/>
  <c r="L178" i="12767"/>
  <c r="L181" i="12767"/>
  <c r="L180" i="12767"/>
  <c r="L457" i="12767"/>
  <c r="L724" i="12767"/>
  <c r="P724" i="12767" s="1"/>
  <c r="P725" i="12843" s="1"/>
  <c r="P1033" i="12787"/>
  <c r="O1033" i="12787"/>
  <c r="O926" i="12787"/>
  <c r="P926" i="12787"/>
  <c r="P130" i="12767" l="1"/>
  <c r="P132" i="12767" s="1"/>
  <c r="P124" i="12843"/>
  <c r="V1099" i="12767"/>
  <c r="V1101" i="12843" s="1"/>
  <c r="X1101" i="12843"/>
  <c r="R1099" i="12767"/>
  <c r="R1101" i="12843" s="1"/>
  <c r="T1101" i="12843"/>
  <c r="V153" i="12767"/>
  <c r="X153" i="12767" s="1"/>
  <c r="X160" i="12767" s="1"/>
  <c r="X162" i="12767" s="1"/>
  <c r="V108" i="12767"/>
  <c r="X108" i="12767" s="1"/>
  <c r="X109" i="12843" s="1"/>
  <c r="V138" i="12767"/>
  <c r="X138" i="12767" s="1"/>
  <c r="N809" i="12767"/>
  <c r="P809" i="12767" s="1"/>
  <c r="N861" i="12767"/>
  <c r="P861" i="12767" s="1"/>
  <c r="T1084" i="12767"/>
  <c r="X1084" i="12767"/>
  <c r="P1084" i="12767"/>
  <c r="X1065" i="12767"/>
  <c r="T1047" i="12767"/>
  <c r="T1065" i="12767"/>
  <c r="P1065" i="12767"/>
  <c r="X1047" i="12767"/>
  <c r="P1047" i="12767"/>
  <c r="N862" i="12767"/>
  <c r="P862" i="12767" s="1"/>
  <c r="N808" i="12767"/>
  <c r="P808" i="12767" s="1"/>
  <c r="E163" i="12845"/>
  <c r="C163" i="12845" s="1"/>
  <c r="V35" i="12848"/>
  <c r="U42" i="12848"/>
  <c r="V42" i="12848" s="1"/>
  <c r="U27" i="12848"/>
  <c r="T130" i="12767"/>
  <c r="T132" i="12767" s="1"/>
  <c r="P145" i="12767"/>
  <c r="P147" i="12767" s="1"/>
  <c r="E162" i="12845"/>
  <c r="G170" i="12845"/>
  <c r="G168" i="12845"/>
  <c r="G167" i="12845"/>
  <c r="G166" i="12845"/>
  <c r="G169" i="12845"/>
  <c r="T47" i="12843"/>
  <c r="T65" i="12843"/>
  <c r="X65" i="12843"/>
  <c r="X83" i="12843"/>
  <c r="T109" i="12767"/>
  <c r="T145" i="12767"/>
  <c r="T147" i="12767" s="1"/>
  <c r="P83" i="12843"/>
  <c r="P47" i="12843"/>
  <c r="R110" i="12843"/>
  <c r="R140" i="12843" s="1"/>
  <c r="T140" i="12843" s="1"/>
  <c r="R125" i="12843"/>
  <c r="R155" i="12843"/>
  <c r="T155" i="12843" s="1"/>
  <c r="R98" i="12843"/>
  <c r="T160" i="12767"/>
  <c r="T162" i="12767" s="1"/>
  <c r="V154" i="12843"/>
  <c r="X154" i="12843" s="1"/>
  <c r="V109" i="12843"/>
  <c r="X130" i="12767"/>
  <c r="X132" i="12767" s="1"/>
  <c r="L1056" i="12843"/>
  <c r="L905" i="12843" s="1"/>
  <c r="L1030" i="12843"/>
  <c r="L1050" i="12843"/>
  <c r="L1085" i="12843"/>
  <c r="L1087" i="12843" s="1"/>
  <c r="L1012" i="12843"/>
  <c r="L934" i="12843"/>
  <c r="L521" i="12843"/>
  <c r="L484" i="12843"/>
  <c r="V97" i="12843"/>
  <c r="V139" i="12843"/>
  <c r="X139" i="12843" s="1"/>
  <c r="R109" i="12843"/>
  <c r="R124" i="12843"/>
  <c r="R139" i="12843"/>
  <c r="T139" i="12843" s="1"/>
  <c r="T90" i="12843"/>
  <c r="T99" i="12843" s="1"/>
  <c r="T101" i="12843" s="1"/>
  <c r="R154" i="12843"/>
  <c r="T154" i="12843" s="1"/>
  <c r="R97" i="12843"/>
  <c r="V139" i="12767"/>
  <c r="X139" i="12767" s="1"/>
  <c r="X109" i="12767"/>
  <c r="X110" i="12843" s="1"/>
  <c r="N140" i="12843"/>
  <c r="P140" i="12843" s="1"/>
  <c r="P115" i="12767"/>
  <c r="P117" i="12767" s="1"/>
  <c r="N139" i="12843"/>
  <c r="P139" i="12843" s="1"/>
  <c r="N109" i="12843"/>
  <c r="N124" i="12843"/>
  <c r="N154" i="12843"/>
  <c r="P154" i="12843" s="1"/>
  <c r="P161" i="12843" s="1"/>
  <c r="P163" i="12843" s="1"/>
  <c r="N97" i="12843"/>
  <c r="P90" i="12843"/>
  <c r="P99" i="12843" s="1"/>
  <c r="P101" i="12843" s="1"/>
  <c r="V125" i="12843"/>
  <c r="X131" i="12843" s="1"/>
  <c r="X133" i="12843" s="1"/>
  <c r="V110" i="12843"/>
  <c r="X91" i="12843"/>
  <c r="V98" i="12843"/>
  <c r="V155" i="12843"/>
  <c r="X155" i="12843" s="1"/>
  <c r="X990" i="12767"/>
  <c r="X953" i="12767"/>
  <c r="T972" i="12767"/>
  <c r="T990" i="12767"/>
  <c r="T953" i="12767"/>
  <c r="T949" i="12767"/>
  <c r="T950" i="12843" s="1"/>
  <c r="P990" i="12767"/>
  <c r="X972" i="12767"/>
  <c r="P953" i="12767"/>
  <c r="X949" i="12767"/>
  <c r="P972" i="12767"/>
  <c r="L790" i="12843"/>
  <c r="J810" i="12843"/>
  <c r="L810" i="12843" s="1"/>
  <c r="N757" i="12843"/>
  <c r="N790" i="12843"/>
  <c r="N843" i="12843"/>
  <c r="J862" i="12843"/>
  <c r="L862" i="12843" s="1"/>
  <c r="L842" i="12843"/>
  <c r="L843" i="12843"/>
  <c r="J863" i="12843"/>
  <c r="L863" i="12843" s="1"/>
  <c r="J809" i="12843"/>
  <c r="L809" i="12843" s="1"/>
  <c r="L789" i="12843"/>
  <c r="N756" i="12843"/>
  <c r="N842" i="12843"/>
  <c r="N789" i="12843"/>
  <c r="X1029" i="12767"/>
  <c r="P1029" i="12767"/>
  <c r="T1029" i="12767"/>
  <c r="X26" i="12767"/>
  <c r="T26" i="12767"/>
  <c r="T15" i="12767" s="1"/>
  <c r="P26" i="12767"/>
  <c r="X1005" i="12767"/>
  <c r="X1007" i="12843" s="1"/>
  <c r="T1009" i="12767"/>
  <c r="T1005" i="12767"/>
  <c r="T1007" i="12843" s="1"/>
  <c r="X1009" i="12767"/>
  <c r="P1009" i="12767"/>
  <c r="P1002" i="12767" s="1"/>
  <c r="P1004" i="12843" s="1"/>
  <c r="L1278" i="12767"/>
  <c r="X184" i="12767"/>
  <c r="P1096" i="12767"/>
  <c r="P1098" i="12843" s="1"/>
  <c r="P908" i="12767"/>
  <c r="V515" i="12767"/>
  <c r="X515" i="12767" s="1"/>
  <c r="V430" i="12767"/>
  <c r="X430" i="12767" s="1"/>
  <c r="V374" i="12767"/>
  <c r="V291" i="12767"/>
  <c r="X291" i="12767" s="1"/>
  <c r="V480" i="12767"/>
  <c r="V360" i="12767"/>
  <c r="V325" i="12767"/>
  <c r="X325" i="12767" s="1"/>
  <c r="V256" i="12767"/>
  <c r="X256" i="12767" s="1"/>
  <c r="V199" i="12767"/>
  <c r="V536" i="12767"/>
  <c r="X536" i="12767" s="1"/>
  <c r="V339" i="12767"/>
  <c r="X339" i="12767" s="1"/>
  <c r="V236" i="12767"/>
  <c r="V444" i="12767"/>
  <c r="X444" i="12767" s="1"/>
  <c r="V409" i="12767"/>
  <c r="X409" i="12767" s="1"/>
  <c r="V305" i="12767"/>
  <c r="X305" i="12767" s="1"/>
  <c r="V270" i="12767"/>
  <c r="X270" i="12767" s="1"/>
  <c r="V501" i="12767"/>
  <c r="X501" i="12767" s="1"/>
  <c r="V466" i="12767"/>
  <c r="V222" i="12767"/>
  <c r="V550" i="12767"/>
  <c r="X550" i="12767" s="1"/>
  <c r="V395" i="12767"/>
  <c r="X395" i="12767" s="1"/>
  <c r="V710" i="12767"/>
  <c r="X710" i="12767" s="1"/>
  <c r="X695" i="12767"/>
  <c r="V551" i="12767"/>
  <c r="X551" i="12767" s="1"/>
  <c r="V502" i="12767"/>
  <c r="X502" i="12767" s="1"/>
  <c r="V445" i="12767"/>
  <c r="X445" i="12767" s="1"/>
  <c r="V361" i="12767"/>
  <c r="V306" i="12767"/>
  <c r="X306" i="12767" s="1"/>
  <c r="V431" i="12767"/>
  <c r="X431" i="12767" s="1"/>
  <c r="V396" i="12767"/>
  <c r="X396" i="12767" s="1"/>
  <c r="V271" i="12767"/>
  <c r="X271" i="12767" s="1"/>
  <c r="V410" i="12767"/>
  <c r="X410" i="12767" s="1"/>
  <c r="V292" i="12767"/>
  <c r="X292" i="12767" s="1"/>
  <c r="V223" i="12767"/>
  <c r="V537" i="12767"/>
  <c r="X537" i="12767" s="1"/>
  <c r="V467" i="12767"/>
  <c r="V375" i="12767"/>
  <c r="V326" i="12767"/>
  <c r="X326" i="12767" s="1"/>
  <c r="V257" i="12767"/>
  <c r="X257" i="12767" s="1"/>
  <c r="V200" i="12767"/>
  <c r="V516" i="12767"/>
  <c r="X516" i="12767" s="1"/>
  <c r="V481" i="12767"/>
  <c r="V340" i="12767"/>
  <c r="X340" i="12767" s="1"/>
  <c r="V237" i="12767"/>
  <c r="V633" i="12767"/>
  <c r="V696" i="12767"/>
  <c r="V658" i="12767"/>
  <c r="V593" i="12767"/>
  <c r="X593" i="12767" s="1"/>
  <c r="X594" i="12843" s="1"/>
  <c r="V672" i="12767"/>
  <c r="X672" i="12767" s="1"/>
  <c r="X657" i="12767"/>
  <c r="V517" i="12767"/>
  <c r="X517" i="12767" s="1"/>
  <c r="V432" i="12767"/>
  <c r="X432" i="12767" s="1"/>
  <c r="V376" i="12767"/>
  <c r="V293" i="12767"/>
  <c r="X293" i="12767" s="1"/>
  <c r="V552" i="12767"/>
  <c r="X552" i="12767" s="1"/>
  <c r="V503" i="12767"/>
  <c r="X503" i="12767" s="1"/>
  <c r="V468" i="12767"/>
  <c r="V307" i="12767"/>
  <c r="X307" i="12767" s="1"/>
  <c r="V258" i="12767"/>
  <c r="X258" i="12767" s="1"/>
  <c r="V201" i="12767"/>
  <c r="V482" i="12767"/>
  <c r="V362" i="12767"/>
  <c r="V327" i="12767"/>
  <c r="X327" i="12767" s="1"/>
  <c r="V238" i="12767"/>
  <c r="V272" i="12767"/>
  <c r="X272" i="12767" s="1"/>
  <c r="V538" i="12767"/>
  <c r="X538" i="12767" s="1"/>
  <c r="V411" i="12767"/>
  <c r="X411" i="12767" s="1"/>
  <c r="V397" i="12767"/>
  <c r="X397" i="12767" s="1"/>
  <c r="V341" i="12767"/>
  <c r="X341" i="12767" s="1"/>
  <c r="V446" i="12767"/>
  <c r="X446" i="12767" s="1"/>
  <c r="V224" i="12767"/>
  <c r="T1063" i="12767"/>
  <c r="L310" i="12767"/>
  <c r="N710" i="12767"/>
  <c r="P710" i="12767" s="1"/>
  <c r="P695" i="12767"/>
  <c r="N538" i="12767"/>
  <c r="P538" i="12767" s="1"/>
  <c r="N482" i="12767"/>
  <c r="N397" i="12767"/>
  <c r="P397" i="12767" s="1"/>
  <c r="N341" i="12767"/>
  <c r="P341" i="12767" s="1"/>
  <c r="N468" i="12767"/>
  <c r="N432" i="12767"/>
  <c r="P432" i="12767" s="1"/>
  <c r="N272" i="12767"/>
  <c r="P272" i="12767" s="1"/>
  <c r="N552" i="12767"/>
  <c r="P552" i="12767" s="1"/>
  <c r="N446" i="12767"/>
  <c r="P446" i="12767" s="1"/>
  <c r="N327" i="12767"/>
  <c r="P327" i="12767" s="1"/>
  <c r="N224" i="12767"/>
  <c r="N517" i="12767"/>
  <c r="P517" i="12767" s="1"/>
  <c r="N503" i="12767"/>
  <c r="P503" i="12767" s="1"/>
  <c r="P468" i="12767" s="1"/>
  <c r="N362" i="12767"/>
  <c r="N293" i="12767"/>
  <c r="P293" i="12767" s="1"/>
  <c r="N258" i="12767"/>
  <c r="P258" i="12767" s="1"/>
  <c r="N307" i="12767"/>
  <c r="P307" i="12767" s="1"/>
  <c r="N201" i="12767"/>
  <c r="P201" i="12767" s="1"/>
  <c r="P202" i="12843" s="1"/>
  <c r="N411" i="12767"/>
  <c r="P411" i="12767" s="1"/>
  <c r="N376" i="12767"/>
  <c r="N238" i="12767"/>
  <c r="N551" i="12767"/>
  <c r="P551" i="12767" s="1"/>
  <c r="N467" i="12767"/>
  <c r="N410" i="12767"/>
  <c r="P410" i="12767" s="1"/>
  <c r="N326" i="12767"/>
  <c r="P326" i="12767" s="1"/>
  <c r="N516" i="12767"/>
  <c r="P516" i="12767" s="1"/>
  <c r="N396" i="12767"/>
  <c r="P396" i="12767" s="1"/>
  <c r="N361" i="12767"/>
  <c r="N257" i="12767"/>
  <c r="P257" i="12767" s="1"/>
  <c r="N200" i="12767"/>
  <c r="N375" i="12767"/>
  <c r="N292" i="12767"/>
  <c r="P292" i="12767" s="1"/>
  <c r="N237" i="12767"/>
  <c r="N223" i="12767"/>
  <c r="N537" i="12767"/>
  <c r="P537" i="12767" s="1"/>
  <c r="N502" i="12767"/>
  <c r="P502" i="12767" s="1"/>
  <c r="N481" i="12767"/>
  <c r="N431" i="12767"/>
  <c r="P431" i="12767" s="1"/>
  <c r="N306" i="12767"/>
  <c r="P306" i="12767" s="1"/>
  <c r="N445" i="12767"/>
  <c r="P445" i="12767" s="1"/>
  <c r="N340" i="12767"/>
  <c r="P340" i="12767" s="1"/>
  <c r="N271" i="12767"/>
  <c r="P271" i="12767" s="1"/>
  <c r="N536" i="12767"/>
  <c r="P536" i="12767" s="1"/>
  <c r="N480" i="12767"/>
  <c r="N395" i="12767"/>
  <c r="P395" i="12767" s="1"/>
  <c r="N339" i="12767"/>
  <c r="P339" i="12767" s="1"/>
  <c r="N444" i="12767"/>
  <c r="P444" i="12767" s="1"/>
  <c r="N325" i="12767"/>
  <c r="P325" i="12767" s="1"/>
  <c r="N270" i="12767"/>
  <c r="P270" i="12767" s="1"/>
  <c r="N515" i="12767"/>
  <c r="P515" i="12767" s="1"/>
  <c r="N501" i="12767"/>
  <c r="P501" i="12767" s="1"/>
  <c r="N305" i="12767"/>
  <c r="P305" i="12767" s="1"/>
  <c r="N222" i="12767"/>
  <c r="N236" i="12767"/>
  <c r="N430" i="12767"/>
  <c r="P430" i="12767" s="1"/>
  <c r="N374" i="12767"/>
  <c r="N199" i="12767"/>
  <c r="N550" i="12767"/>
  <c r="P550" i="12767" s="1"/>
  <c r="N360" i="12767"/>
  <c r="N256" i="12767"/>
  <c r="P256" i="12767" s="1"/>
  <c r="N291" i="12767"/>
  <c r="P291" i="12767" s="1"/>
  <c r="N466" i="12767"/>
  <c r="N409" i="12767"/>
  <c r="P409" i="12767" s="1"/>
  <c r="P374" i="12767" s="1"/>
  <c r="N658" i="12767"/>
  <c r="N696" i="12767"/>
  <c r="N593" i="12767"/>
  <c r="P593" i="12767" s="1"/>
  <c r="N633" i="12767"/>
  <c r="P633" i="12767" s="1"/>
  <c r="P634" i="12843" s="1"/>
  <c r="N618" i="12767"/>
  <c r="P657" i="12767"/>
  <c r="N672" i="12767"/>
  <c r="P672" i="12767" s="1"/>
  <c r="L819" i="12767"/>
  <c r="L872" i="12767"/>
  <c r="L874" i="12767" s="1"/>
  <c r="L555" i="12767"/>
  <c r="L169" i="12767"/>
  <c r="P169" i="12767" s="1"/>
  <c r="P170" i="12843" s="1"/>
  <c r="L168" i="12767"/>
  <c r="P168" i="12767" s="1"/>
  <c r="P169" i="12843" s="1"/>
  <c r="L170" i="12767"/>
  <c r="P170" i="12767" s="1"/>
  <c r="P171" i="12843" s="1"/>
  <c r="L898" i="12767"/>
  <c r="L913" i="12767"/>
  <c r="L758" i="12767"/>
  <c r="P758" i="12767" s="1"/>
  <c r="P759" i="12843" s="1"/>
  <c r="L737" i="12767"/>
  <c r="P737" i="12767" s="1"/>
  <c r="P738" i="12843" s="1"/>
  <c r="L755" i="12767"/>
  <c r="P755" i="12767" s="1"/>
  <c r="P756" i="12843" s="1"/>
  <c r="L756" i="12767"/>
  <c r="P756" i="12767" s="1"/>
  <c r="P757" i="12843" s="1"/>
  <c r="U27" i="12783"/>
  <c r="L483" i="12767"/>
  <c r="L485" i="12767" s="1"/>
  <c r="L520" i="12767"/>
  <c r="L738" i="12767"/>
  <c r="P738" i="12767" s="1"/>
  <c r="P739" i="12843" s="1"/>
  <c r="L629" i="12767"/>
  <c r="L241" i="12767"/>
  <c r="K44" i="12787"/>
  <c r="K25" i="12787"/>
  <c r="K27" i="12787" s="1"/>
  <c r="U42" i="12783"/>
  <c r="V35" i="12783"/>
  <c r="L759" i="12767"/>
  <c r="P759" i="12767" s="1"/>
  <c r="P760" i="12843" s="1"/>
  <c r="L614" i="12767"/>
  <c r="L735" i="12767"/>
  <c r="P735" i="12767" s="1"/>
  <c r="P736" i="12843" s="1"/>
  <c r="L734" i="12767"/>
  <c r="P734" i="12767" s="1"/>
  <c r="P735" i="12843" s="1"/>
  <c r="P131" i="12843" l="1"/>
  <c r="P133" i="12843" s="1"/>
  <c r="T115" i="12767"/>
  <c r="T117" i="12767" s="1"/>
  <c r="T110" i="12843"/>
  <c r="T116" i="12843" s="1"/>
  <c r="T118" i="12843" s="1"/>
  <c r="V949" i="12767"/>
  <c r="V950" i="12843" s="1"/>
  <c r="X950" i="12843"/>
  <c r="R15" i="12767"/>
  <c r="R15" i="12843" s="1"/>
  <c r="R72" i="12843" s="1"/>
  <c r="T72" i="12843" s="1"/>
  <c r="T15" i="12843"/>
  <c r="V1005" i="12767"/>
  <c r="V1044" i="12767" s="1"/>
  <c r="X1044" i="12767" s="1"/>
  <c r="R949" i="12767"/>
  <c r="R969" i="12767" s="1"/>
  <c r="R890" i="12767" s="1"/>
  <c r="T890" i="12767" s="1"/>
  <c r="T891" i="12843" s="1"/>
  <c r="X185" i="12843"/>
  <c r="X115" i="12767"/>
  <c r="X117" i="12767" s="1"/>
  <c r="X145" i="12767"/>
  <c r="X147" i="12767" s="1"/>
  <c r="X1096" i="12767"/>
  <c r="N1096" i="12767"/>
  <c r="X1002" i="12767"/>
  <c r="X1004" i="12843" s="1"/>
  <c r="N1002" i="12767"/>
  <c r="E164" i="12845"/>
  <c r="E167" i="12845" s="1"/>
  <c r="V27" i="12848"/>
  <c r="U26" i="12848"/>
  <c r="T1096" i="12767"/>
  <c r="X99" i="12843"/>
  <c r="X101" i="12843" s="1"/>
  <c r="X103" i="12843" s="1"/>
  <c r="T131" i="12843"/>
  <c r="T133" i="12843" s="1"/>
  <c r="T161" i="12843"/>
  <c r="T163" i="12843" s="1"/>
  <c r="X161" i="12843"/>
  <c r="X163" i="12843" s="1"/>
  <c r="L914" i="12843"/>
  <c r="L915" i="12843"/>
  <c r="L917" i="12843" s="1"/>
  <c r="L1032" i="12843"/>
  <c r="L1066" i="12843"/>
  <c r="L1068" i="12843" s="1"/>
  <c r="Y1014" i="12843"/>
  <c r="Y939" i="12843"/>
  <c r="AA939" i="12843" s="1"/>
  <c r="AA1014" i="12843"/>
  <c r="Z1014" i="12843"/>
  <c r="Z937" i="12843"/>
  <c r="AA1012" i="12843"/>
  <c r="L936" i="12843"/>
  <c r="L486" i="12843"/>
  <c r="L203" i="12843"/>
  <c r="L205" i="12843" s="1"/>
  <c r="P116" i="12843"/>
  <c r="P118" i="12843" s="1"/>
  <c r="T146" i="12843"/>
  <c r="T148" i="12843" s="1"/>
  <c r="P146" i="12843"/>
  <c r="P148" i="12843" s="1"/>
  <c r="V140" i="12843"/>
  <c r="X140" i="12843" s="1"/>
  <c r="X146" i="12843" s="1"/>
  <c r="X148" i="12843" s="1"/>
  <c r="X116" i="12843"/>
  <c r="X118" i="12843" s="1"/>
  <c r="X376" i="12767"/>
  <c r="X934" i="12767"/>
  <c r="X915" i="12767" s="1"/>
  <c r="T934" i="12767"/>
  <c r="T915" i="12767" s="1"/>
  <c r="T931" i="12767"/>
  <c r="L756" i="12843"/>
  <c r="N809" i="12843"/>
  <c r="P809" i="12843" s="1"/>
  <c r="P789" i="12843"/>
  <c r="L873" i="12843"/>
  <c r="L875" i="12843" s="1"/>
  <c r="P843" i="12843"/>
  <c r="N863" i="12843"/>
  <c r="P863" i="12843" s="1"/>
  <c r="L757" i="12843"/>
  <c r="N862" i="12843"/>
  <c r="P862" i="12843" s="1"/>
  <c r="P842" i="12843"/>
  <c r="L735" i="12843"/>
  <c r="L820" i="12843"/>
  <c r="N810" i="12843"/>
  <c r="P810" i="12843" s="1"/>
  <c r="P790" i="12843"/>
  <c r="L736" i="12843"/>
  <c r="X931" i="12767"/>
  <c r="P934" i="12767"/>
  <c r="P915" i="12767" s="1"/>
  <c r="R1005" i="12767"/>
  <c r="Z936" i="12767"/>
  <c r="Y938" i="12767"/>
  <c r="X361" i="12767"/>
  <c r="X374" i="12767"/>
  <c r="P17" i="12767"/>
  <c r="V1114" i="12843"/>
  <c r="X1139" i="12843" s="1"/>
  <c r="X1141" i="12843" s="1"/>
  <c r="X1137" i="12767"/>
  <c r="X1139" i="12767" s="1"/>
  <c r="P20" i="12767"/>
  <c r="P21" i="12767"/>
  <c r="P19" i="12767"/>
  <c r="P16" i="12767"/>
  <c r="X20" i="12767"/>
  <c r="X21" i="12767"/>
  <c r="X17" i="12767"/>
  <c r="X19" i="12767"/>
  <c r="X15" i="12767"/>
  <c r="X16" i="12767"/>
  <c r="T21" i="12767"/>
  <c r="T20" i="12767"/>
  <c r="T19" i="12767"/>
  <c r="T17" i="12767"/>
  <c r="T16" i="12767"/>
  <c r="P15" i="12767"/>
  <c r="T1002" i="12767"/>
  <c r="P1008" i="12767"/>
  <c r="P1010" i="12767" s="1"/>
  <c r="X224" i="12767"/>
  <c r="P1102" i="12767"/>
  <c r="P1104" i="12767" s="1"/>
  <c r="P467" i="12767"/>
  <c r="P222" i="12767"/>
  <c r="X223" i="12767"/>
  <c r="X236" i="12767"/>
  <c r="X222" i="12767"/>
  <c r="X615" i="12767"/>
  <c r="X616" i="12843" s="1"/>
  <c r="X658" i="12767"/>
  <c r="V673" i="12767"/>
  <c r="X673" i="12767" s="1"/>
  <c r="X238" i="12767"/>
  <c r="V711" i="12767"/>
  <c r="X711" i="12767" s="1"/>
  <c r="X696" i="12767"/>
  <c r="X467" i="12767"/>
  <c r="X237" i="12767"/>
  <c r="X468" i="12767"/>
  <c r="X375" i="12767"/>
  <c r="X360" i="12767"/>
  <c r="X466" i="12767"/>
  <c r="P223" i="12767"/>
  <c r="P466" i="12767"/>
  <c r="P375" i="12767"/>
  <c r="P696" i="12767"/>
  <c r="N711" i="12767"/>
  <c r="P711" i="12767" s="1"/>
  <c r="P361" i="12767"/>
  <c r="P224" i="12767"/>
  <c r="N673" i="12767"/>
  <c r="P673" i="12767" s="1"/>
  <c r="P658" i="12767"/>
  <c r="P236" i="12767"/>
  <c r="P360" i="12767"/>
  <c r="P237" i="12767"/>
  <c r="P376" i="12767"/>
  <c r="P238" i="12767"/>
  <c r="L821" i="12767"/>
  <c r="L768" i="12767" s="1"/>
  <c r="L766" i="12767"/>
  <c r="U26" i="12783"/>
  <c r="Z899" i="12767"/>
  <c r="L914" i="12767"/>
  <c r="L916" i="12767" s="1"/>
  <c r="L202" i="12767"/>
  <c r="L204" i="12767" s="1"/>
  <c r="V27" i="12783"/>
  <c r="AD35" i="12783"/>
  <c r="Q42" i="12783"/>
  <c r="V42" i="12783"/>
  <c r="K1035" i="12787"/>
  <c r="P28" i="12787"/>
  <c r="O28" i="12787"/>
  <c r="V969" i="12767" l="1"/>
  <c r="X969" i="12767" s="1"/>
  <c r="V1096" i="12767"/>
  <c r="V1098" i="12843" s="1"/>
  <c r="X1098" i="12843"/>
  <c r="R1096" i="12767"/>
  <c r="T1098" i="12843"/>
  <c r="V987" i="12767"/>
  <c r="X987" i="12767" s="1"/>
  <c r="X1081" i="12767" s="1"/>
  <c r="V1007" i="12843"/>
  <c r="V1028" i="12843" s="1"/>
  <c r="X1028" i="12843" s="1"/>
  <c r="V20" i="12767"/>
  <c r="V20" i="12843" s="1"/>
  <c r="V77" i="12843" s="1"/>
  <c r="X77" i="12843" s="1"/>
  <c r="X20" i="12843"/>
  <c r="V19" i="12767"/>
  <c r="X19" i="12843"/>
  <c r="V21" i="12767"/>
  <c r="V21" i="12843" s="1"/>
  <c r="X21" i="12843"/>
  <c r="V17" i="12767"/>
  <c r="X17" i="12843"/>
  <c r="V16" i="12767"/>
  <c r="V16" i="12843" s="1"/>
  <c r="X16" i="12843"/>
  <c r="R19" i="12767"/>
  <c r="R19" i="12843" s="1"/>
  <c r="R58" i="12843" s="1"/>
  <c r="T58" i="12843" s="1"/>
  <c r="T19" i="12843"/>
  <c r="R20" i="12767"/>
  <c r="R20" i="12843" s="1"/>
  <c r="R41" i="12843" s="1"/>
  <c r="T41" i="12843" s="1"/>
  <c r="T20" i="12843"/>
  <c r="R21" i="12767"/>
  <c r="R21" i="12843" s="1"/>
  <c r="R60" i="12843" s="1"/>
  <c r="T60" i="12843" s="1"/>
  <c r="T21" i="12843"/>
  <c r="R16" i="12767"/>
  <c r="R16" i="12843" s="1"/>
  <c r="R73" i="12843" s="1"/>
  <c r="T73" i="12843" s="1"/>
  <c r="T16" i="12843"/>
  <c r="R17" i="12767"/>
  <c r="R17" i="12843" s="1"/>
  <c r="R56" i="12843" s="1"/>
  <c r="T56" i="12843" s="1"/>
  <c r="T17" i="12843"/>
  <c r="N20" i="12767"/>
  <c r="N20" i="12843" s="1"/>
  <c r="N41" i="12843" s="1"/>
  <c r="P41" i="12843" s="1"/>
  <c r="P20" i="12843"/>
  <c r="N19" i="12767"/>
  <c r="N19" i="12843" s="1"/>
  <c r="P19" i="12843"/>
  <c r="N21" i="12767"/>
  <c r="N21" i="12843" s="1"/>
  <c r="N60" i="12843" s="1"/>
  <c r="P60" i="12843" s="1"/>
  <c r="P21" i="12843"/>
  <c r="N16" i="12767"/>
  <c r="N16" i="12843" s="1"/>
  <c r="P16" i="12843"/>
  <c r="N17" i="12767"/>
  <c r="N17" i="12843" s="1"/>
  <c r="N56" i="12843" s="1"/>
  <c r="P56" i="12843" s="1"/>
  <c r="P17" i="12843"/>
  <c r="R987" i="12767"/>
  <c r="T987" i="12767" s="1"/>
  <c r="V1026" i="12767"/>
  <c r="X1026" i="12767" s="1"/>
  <c r="V15" i="12767"/>
  <c r="V15" i="12843" s="1"/>
  <c r="V72" i="12843" s="1"/>
  <c r="X72" i="12843" s="1"/>
  <c r="X15" i="12843"/>
  <c r="N15" i="12767"/>
  <c r="N15" i="12843" s="1"/>
  <c r="P15" i="12843"/>
  <c r="R950" i="12843"/>
  <c r="V1002" i="12767"/>
  <c r="V1023" i="12767" s="1"/>
  <c r="X1023" i="12767" s="1"/>
  <c r="R1002" i="12767"/>
  <c r="R1023" i="12767" s="1"/>
  <c r="T1023" i="12767" s="1"/>
  <c r="T1004" i="12843"/>
  <c r="X1098" i="12767"/>
  <c r="X1004" i="12767"/>
  <c r="R36" i="12843"/>
  <c r="T36" i="12843" s="1"/>
  <c r="R54" i="12843"/>
  <c r="T54" i="12843" s="1"/>
  <c r="R1026" i="12767"/>
  <c r="T1026" i="12767" s="1"/>
  <c r="N1098" i="12843"/>
  <c r="P1104" i="12843" s="1"/>
  <c r="P1106" i="12843" s="1"/>
  <c r="E169" i="12845"/>
  <c r="E166" i="12845"/>
  <c r="E168" i="12845"/>
  <c r="E170" i="12845"/>
  <c r="U22" i="12848"/>
  <c r="V26" i="12848"/>
  <c r="U25" i="12848"/>
  <c r="V25" i="12848" s="1"/>
  <c r="Q22" i="12848"/>
  <c r="Q27" i="12848"/>
  <c r="I162" i="12845"/>
  <c r="T1098" i="12767"/>
  <c r="T1100" i="12843" s="1"/>
  <c r="T1031" i="12843"/>
  <c r="T1067" i="12843"/>
  <c r="T1086" i="12843"/>
  <c r="T1049" i="12843"/>
  <c r="T1011" i="12843"/>
  <c r="T935" i="12843" s="1"/>
  <c r="T916" i="12843" s="1"/>
  <c r="X1086" i="12843"/>
  <c r="X1067" i="12843"/>
  <c r="X1049" i="12843"/>
  <c r="X1031" i="12843"/>
  <c r="X1011" i="12843"/>
  <c r="X935" i="12843" s="1"/>
  <c r="X916" i="12843" s="1"/>
  <c r="Z918" i="12843"/>
  <c r="Q27" i="12783"/>
  <c r="P1086" i="12843"/>
  <c r="P1049" i="12843"/>
  <c r="P1031" i="12843"/>
  <c r="P1067" i="12843"/>
  <c r="P1011" i="12843"/>
  <c r="P935" i="12843" s="1"/>
  <c r="P916" i="12843" s="1"/>
  <c r="Z208" i="12843"/>
  <c r="Q22" i="12783"/>
  <c r="Z206" i="12843"/>
  <c r="Y208" i="12843"/>
  <c r="AA208" i="12843"/>
  <c r="L767" i="12843"/>
  <c r="L822" i="12843"/>
  <c r="L769" i="12843" s="1"/>
  <c r="V890" i="12767"/>
  <c r="X890" i="12767" s="1"/>
  <c r="X891" i="12843" s="1"/>
  <c r="X932" i="12843"/>
  <c r="X913" i="12843" s="1"/>
  <c r="R1044" i="12767"/>
  <c r="T1044" i="12767" s="1"/>
  <c r="R1007" i="12843"/>
  <c r="N1041" i="12767"/>
  <c r="P1041" i="12767" s="1"/>
  <c r="P1046" i="12767" s="1"/>
  <c r="P1048" i="12767" s="1"/>
  <c r="N1004" i="12843"/>
  <c r="T969" i="12767"/>
  <c r="V970" i="12843"/>
  <c r="V988" i="12843"/>
  <c r="X988" i="12843" s="1"/>
  <c r="N1112" i="12767"/>
  <c r="N1114" i="12843" s="1"/>
  <c r="R1112" i="12767"/>
  <c r="R1114" i="12843" s="1"/>
  <c r="T1139" i="12843" s="1"/>
  <c r="T1141" i="12843" s="1"/>
  <c r="T1137" i="12767"/>
  <c r="T1139" i="12767" s="1"/>
  <c r="P25" i="12767"/>
  <c r="P27" i="12767" s="1"/>
  <c r="T25" i="12767"/>
  <c r="T27" i="12767" s="1"/>
  <c r="X25" i="12767"/>
  <c r="X27" i="12767" s="1"/>
  <c r="N1023" i="12767"/>
  <c r="P1023" i="12767" s="1"/>
  <c r="P1028" i="12767" s="1"/>
  <c r="P1030" i="12767" s="1"/>
  <c r="Z876" i="12767"/>
  <c r="AA876" i="12767"/>
  <c r="Y876" i="12767"/>
  <c r="Y207" i="12767"/>
  <c r="Z207" i="12767"/>
  <c r="AA207" i="12767"/>
  <c r="X616" i="12767"/>
  <c r="Z917" i="12767"/>
  <c r="AA938" i="12767"/>
  <c r="AD26" i="12783"/>
  <c r="U22" i="12783"/>
  <c r="V26" i="12783"/>
  <c r="U25" i="12783"/>
  <c r="Z205" i="12767"/>
  <c r="Z769" i="12767"/>
  <c r="K1038" i="12787"/>
  <c r="P1036" i="12787" s="1"/>
  <c r="O1036" i="12787"/>
  <c r="AD42" i="12783"/>
  <c r="X617" i="12843" l="1"/>
  <c r="X1284" i="12843" s="1"/>
  <c r="X1278" i="12767"/>
  <c r="X1062" i="12767"/>
  <c r="V1098" i="12767"/>
  <c r="V1100" i="12843" s="1"/>
  <c r="V1103" i="12843" s="1"/>
  <c r="X1100" i="12843"/>
  <c r="X1104" i="12843" s="1"/>
  <c r="V1046" i="12843"/>
  <c r="X1046" i="12843" s="1"/>
  <c r="X1083" i="12843" s="1"/>
  <c r="T1081" i="12767"/>
  <c r="R1041" i="12767"/>
  <c r="T1041" i="12767" s="1"/>
  <c r="R988" i="12843"/>
  <c r="T988" i="12843" s="1"/>
  <c r="R970" i="12843"/>
  <c r="T970" i="12843" s="1"/>
  <c r="V1004" i="12843"/>
  <c r="V1043" i="12843" s="1"/>
  <c r="X1043" i="12843" s="1"/>
  <c r="R1004" i="12843"/>
  <c r="R1025" i="12843" s="1"/>
  <c r="T1025" i="12843" s="1"/>
  <c r="T1004" i="12767"/>
  <c r="T1006" i="12843" s="1"/>
  <c r="X1006" i="12843"/>
  <c r="V1004" i="12767"/>
  <c r="V1043" i="12767" s="1"/>
  <c r="X1043" i="12767" s="1"/>
  <c r="V1041" i="12767"/>
  <c r="X1041" i="12767" s="1"/>
  <c r="X1102" i="12767"/>
  <c r="X1104" i="12767" s="1"/>
  <c r="X1008" i="12767"/>
  <c r="X1010" i="12767" s="1"/>
  <c r="N42" i="12843"/>
  <c r="P42" i="12843" s="1"/>
  <c r="V59" i="12843"/>
  <c r="X59" i="12843" s="1"/>
  <c r="R55" i="12843"/>
  <c r="T55" i="12843" s="1"/>
  <c r="N72" i="12843"/>
  <c r="P72" i="12843" s="1"/>
  <c r="R77" i="12843"/>
  <c r="T77" i="12843" s="1"/>
  <c r="N78" i="12843"/>
  <c r="P78" i="12843" s="1"/>
  <c r="N37" i="12843"/>
  <c r="P37" i="12843" s="1"/>
  <c r="N73" i="12843"/>
  <c r="P73" i="12843" s="1"/>
  <c r="N59" i="12843"/>
  <c r="P59" i="12843" s="1"/>
  <c r="N36" i="12843"/>
  <c r="P36" i="12843" s="1"/>
  <c r="N40" i="12843"/>
  <c r="P40" i="12843" s="1"/>
  <c r="V54" i="12843"/>
  <c r="X54" i="12843" s="1"/>
  <c r="N54" i="12843"/>
  <c r="P54" i="12843" s="1"/>
  <c r="R59" i="12843"/>
  <c r="T59" i="12843" s="1"/>
  <c r="V36" i="12843"/>
  <c r="X36" i="12843" s="1"/>
  <c r="N58" i="12843"/>
  <c r="P58" i="12843" s="1"/>
  <c r="T1062" i="12767"/>
  <c r="T912" i="12767" s="1"/>
  <c r="N76" i="12843"/>
  <c r="P76" i="12843" s="1"/>
  <c r="R37" i="12843"/>
  <c r="T37" i="12843" s="1"/>
  <c r="V41" i="12843"/>
  <c r="X41" i="12843" s="1"/>
  <c r="N55" i="12843"/>
  <c r="P55" i="12843" s="1"/>
  <c r="N77" i="12843"/>
  <c r="P77" i="12843" s="1"/>
  <c r="V19" i="12843"/>
  <c r="V76" i="12843" s="1"/>
  <c r="X76" i="12843" s="1"/>
  <c r="N74" i="12843"/>
  <c r="P74" i="12843" s="1"/>
  <c r="R74" i="12843"/>
  <c r="T74" i="12843" s="1"/>
  <c r="R76" i="12843"/>
  <c r="T76" i="12843" s="1"/>
  <c r="R78" i="12843"/>
  <c r="T78" i="12843" s="1"/>
  <c r="R1098" i="12843"/>
  <c r="N38" i="12843"/>
  <c r="P38" i="12843" s="1"/>
  <c r="R38" i="12843"/>
  <c r="T38" i="12843" s="1"/>
  <c r="R42" i="12843"/>
  <c r="T42" i="12843" s="1"/>
  <c r="R40" i="12843"/>
  <c r="T40" i="12843" s="1"/>
  <c r="V17" i="12843"/>
  <c r="V74" i="12843" s="1"/>
  <c r="X74" i="12843" s="1"/>
  <c r="X873" i="12767"/>
  <c r="T873" i="12767"/>
  <c r="P873" i="12767"/>
  <c r="X820" i="12767"/>
  <c r="T820" i="12767"/>
  <c r="P820" i="12767"/>
  <c r="X554" i="12767"/>
  <c r="T554" i="12767"/>
  <c r="P554" i="12767"/>
  <c r="X519" i="12767"/>
  <c r="T519" i="12767"/>
  <c r="P519" i="12767"/>
  <c r="T484" i="12767"/>
  <c r="X484" i="12767"/>
  <c r="P484" i="12767"/>
  <c r="P448" i="12767"/>
  <c r="X448" i="12767"/>
  <c r="T448" i="12767"/>
  <c r="X413" i="12767"/>
  <c r="T413" i="12767"/>
  <c r="P413" i="12767"/>
  <c r="X337" i="12767"/>
  <c r="X378" i="12767"/>
  <c r="T378" i="12767"/>
  <c r="P378" i="12767"/>
  <c r="T337" i="12767"/>
  <c r="T303" i="12767"/>
  <c r="X303" i="12767"/>
  <c r="X268" i="12767"/>
  <c r="T268" i="12767"/>
  <c r="T234" i="12767"/>
  <c r="X343" i="12767"/>
  <c r="T343" i="12767"/>
  <c r="P343" i="12767"/>
  <c r="X309" i="12767"/>
  <c r="T309" i="12767"/>
  <c r="P309" i="12767"/>
  <c r="X240" i="12767"/>
  <c r="X274" i="12767"/>
  <c r="T274" i="12767"/>
  <c r="P274" i="12767"/>
  <c r="T240" i="12767"/>
  <c r="P240" i="12767"/>
  <c r="V22" i="12848"/>
  <c r="Q25" i="12848"/>
  <c r="V78" i="12843"/>
  <c r="X78" i="12843" s="1"/>
  <c r="V60" i="12843"/>
  <c r="X60" i="12843" s="1"/>
  <c r="V42" i="12843"/>
  <c r="X42" i="12843" s="1"/>
  <c r="V37" i="12843"/>
  <c r="X37" i="12843" s="1"/>
  <c r="V73" i="12843"/>
  <c r="X73" i="12843" s="1"/>
  <c r="V55" i="12843"/>
  <c r="X55" i="12843" s="1"/>
  <c r="I164" i="12845"/>
  <c r="I168" i="12845" s="1"/>
  <c r="R1098" i="12767"/>
  <c r="T1102" i="12767"/>
  <c r="T1104" i="12767" s="1"/>
  <c r="X204" i="12843"/>
  <c r="P204" i="12843"/>
  <c r="T204" i="12843"/>
  <c r="Q25" i="12783"/>
  <c r="Y877" i="12843"/>
  <c r="AA877" i="12843"/>
  <c r="Z877" i="12843"/>
  <c r="Z770" i="12843"/>
  <c r="C162" i="12845"/>
  <c r="T932" i="12843"/>
  <c r="T913" i="12843" s="1"/>
  <c r="P1010" i="12843"/>
  <c r="P1012" i="12843" s="1"/>
  <c r="R1046" i="12843"/>
  <c r="T1046" i="12843" s="1"/>
  <c r="R1028" i="12843"/>
  <c r="T1028" i="12843" s="1"/>
  <c r="N1043" i="12843"/>
  <c r="P1043" i="12843" s="1"/>
  <c r="P1048" i="12843" s="1"/>
  <c r="P1050" i="12843" s="1"/>
  <c r="N1025" i="12843"/>
  <c r="P1025" i="12843" s="1"/>
  <c r="P1030" i="12843" s="1"/>
  <c r="P1032" i="12843" s="1"/>
  <c r="V891" i="12843"/>
  <c r="V892" i="12843" s="1"/>
  <c r="X970" i="12843"/>
  <c r="X1064" i="12843" s="1"/>
  <c r="X912" i="12767"/>
  <c r="X741" i="12767"/>
  <c r="X742" i="12843" s="1"/>
  <c r="T741" i="12767"/>
  <c r="T742" i="12843" s="1"/>
  <c r="X763" i="12767"/>
  <c r="T763" i="12767"/>
  <c r="T767" i="12767"/>
  <c r="X767" i="12767"/>
  <c r="P767" i="12767"/>
  <c r="X197" i="12767"/>
  <c r="T197" i="12767"/>
  <c r="X181" i="12767"/>
  <c r="X182" i="12843" s="1"/>
  <c r="T181" i="12767"/>
  <c r="T182" i="12843" s="1"/>
  <c r="X203" i="12767"/>
  <c r="T203" i="12767"/>
  <c r="P203" i="12767"/>
  <c r="P1278" i="12767"/>
  <c r="AD27" i="12783"/>
  <c r="V22" i="12783"/>
  <c r="V25" i="12783"/>
  <c r="AD22" i="12783"/>
  <c r="V1101" i="12767" l="1"/>
  <c r="V763" i="12767"/>
  <c r="V816" i="12767" s="1"/>
  <c r="X816" i="12767" s="1"/>
  <c r="X764" i="12843"/>
  <c r="R763" i="12767"/>
  <c r="R869" i="12767" s="1"/>
  <c r="T869" i="12767" s="1"/>
  <c r="T764" i="12843"/>
  <c r="R1043" i="12843"/>
  <c r="T1043" i="12843" s="1"/>
  <c r="R891" i="12843"/>
  <c r="R892" i="12843" s="1"/>
  <c r="V1025" i="12843"/>
  <c r="X1025" i="12843" s="1"/>
  <c r="T1083" i="12843"/>
  <c r="T1008" i="12767"/>
  <c r="T1010" i="12767" s="1"/>
  <c r="R1004" i="12767"/>
  <c r="R1007" i="12767" s="1"/>
  <c r="V197" i="12767"/>
  <c r="V234" i="12767" s="1"/>
  <c r="X198" i="12843"/>
  <c r="V198" i="12843" s="1"/>
  <c r="V479" i="12843" s="1"/>
  <c r="R197" i="12767"/>
  <c r="R234" i="12767" s="1"/>
  <c r="T198" i="12843"/>
  <c r="R198" i="12843" s="1"/>
  <c r="R373" i="12843" s="1"/>
  <c r="V1007" i="12767"/>
  <c r="V1006" i="12843"/>
  <c r="X1010" i="12843" s="1"/>
  <c r="X1012" i="12843" s="1"/>
  <c r="V1025" i="12767"/>
  <c r="X1025" i="12767" s="1"/>
  <c r="X1028" i="12767" s="1"/>
  <c r="X1030" i="12767" s="1"/>
  <c r="T64" i="12843"/>
  <c r="T66" i="12843" s="1"/>
  <c r="P46" i="12843"/>
  <c r="P48" i="12843" s="1"/>
  <c r="V58" i="12843"/>
  <c r="X58" i="12843" s="1"/>
  <c r="V40" i="12843"/>
  <c r="X40" i="12843" s="1"/>
  <c r="P25" i="12843"/>
  <c r="P27" i="12843" s="1"/>
  <c r="P82" i="12843"/>
  <c r="P84" i="12843" s="1"/>
  <c r="P64" i="12843"/>
  <c r="P66" i="12843" s="1"/>
  <c r="T25" i="12843"/>
  <c r="T27" i="12843" s="1"/>
  <c r="T82" i="12843"/>
  <c r="T84" i="12843" s="1"/>
  <c r="V56" i="12843"/>
  <c r="X56" i="12843" s="1"/>
  <c r="T46" i="12843"/>
  <c r="T48" i="12843" s="1"/>
  <c r="T768" i="12843"/>
  <c r="T821" i="12843" s="1"/>
  <c r="V38" i="12843"/>
  <c r="X38" i="12843" s="1"/>
  <c r="X768" i="12843"/>
  <c r="X821" i="12843" s="1"/>
  <c r="P768" i="12843"/>
  <c r="P821" i="12843" s="1"/>
  <c r="X234" i="12767"/>
  <c r="X82" i="12843"/>
  <c r="X84" i="12843" s="1"/>
  <c r="I166" i="12845"/>
  <c r="I170" i="12845"/>
  <c r="I167" i="12845"/>
  <c r="I169" i="12845"/>
  <c r="R1100" i="12843"/>
  <c r="R1101" i="12767"/>
  <c r="X555" i="12843"/>
  <c r="X379" i="12843"/>
  <c r="X275" i="12843"/>
  <c r="X344" i="12843"/>
  <c r="X241" i="12843"/>
  <c r="X520" i="12843"/>
  <c r="X310" i="12843"/>
  <c r="X485" i="12843"/>
  <c r="X449" i="12843"/>
  <c r="X414" i="12843"/>
  <c r="T275" i="12843"/>
  <c r="T555" i="12843"/>
  <c r="T241" i="12843"/>
  <c r="T344" i="12843"/>
  <c r="T485" i="12843"/>
  <c r="T520" i="12843"/>
  <c r="T449" i="12843"/>
  <c r="T414" i="12843"/>
  <c r="T310" i="12843"/>
  <c r="T379" i="12843"/>
  <c r="P344" i="12843"/>
  <c r="P241" i="12843"/>
  <c r="P310" i="12843"/>
  <c r="P520" i="12843"/>
  <c r="P485" i="12843"/>
  <c r="P449" i="12843"/>
  <c r="P414" i="12843"/>
  <c r="P555" i="12843"/>
  <c r="P379" i="12843"/>
  <c r="P275" i="12843"/>
  <c r="X1106" i="12843"/>
  <c r="T1064" i="12843"/>
  <c r="V181" i="12767"/>
  <c r="R181" i="12767"/>
  <c r="X1046" i="12767"/>
  <c r="V741" i="12767"/>
  <c r="R741" i="12767"/>
  <c r="R395" i="12767"/>
  <c r="T395" i="12767" s="1"/>
  <c r="R396" i="12767"/>
  <c r="T396" i="12767" s="1"/>
  <c r="R468" i="12767"/>
  <c r="AD25" i="12783"/>
  <c r="V869" i="12767" l="1"/>
  <c r="X869" i="12767" s="1"/>
  <c r="V764" i="12843"/>
  <c r="V817" i="12843" s="1"/>
  <c r="X817" i="12843" s="1"/>
  <c r="R1006" i="12843"/>
  <c r="T1010" i="12843" s="1"/>
  <c r="T1012" i="12843" s="1"/>
  <c r="R816" i="12767"/>
  <c r="T816" i="12767" s="1"/>
  <c r="R764" i="12843"/>
  <c r="R817" i="12843" s="1"/>
  <c r="T817" i="12843" s="1"/>
  <c r="R1043" i="12767"/>
  <c r="T1043" i="12767" s="1"/>
  <c r="T1046" i="12767" s="1"/>
  <c r="R1025" i="12767"/>
  <c r="T1025" i="12767" s="1"/>
  <c r="T1028" i="12767" s="1"/>
  <c r="T1030" i="12767" s="1"/>
  <c r="V478" i="12767"/>
  <c r="R235" i="12843"/>
  <c r="V303" i="12767"/>
  <c r="V407" i="12767"/>
  <c r="X407" i="12767" s="1"/>
  <c r="V548" i="12767"/>
  <c r="X548" i="12767" s="1"/>
  <c r="V442" i="12767"/>
  <c r="X442" i="12767" s="1"/>
  <c r="V268" i="12767"/>
  <c r="V513" i="12767"/>
  <c r="X513" i="12767" s="1"/>
  <c r="V337" i="12767"/>
  <c r="V338" i="12843"/>
  <c r="X338" i="12843" s="1"/>
  <c r="V304" i="12843"/>
  <c r="X304" i="12843" s="1"/>
  <c r="V235" i="12843"/>
  <c r="V269" i="12843"/>
  <c r="X269" i="12843" s="1"/>
  <c r="V443" i="12843"/>
  <c r="X443" i="12843" s="1"/>
  <c r="R338" i="12843"/>
  <c r="T338" i="12843" s="1"/>
  <c r="R443" i="12843"/>
  <c r="T443" i="12843" s="1"/>
  <c r="R549" i="12843"/>
  <c r="T549" i="12843" s="1"/>
  <c r="R513" i="12767"/>
  <c r="T513" i="12767" s="1"/>
  <c r="R442" i="12767"/>
  <c r="T442" i="12767" s="1"/>
  <c r="R337" i="12767"/>
  <c r="R268" i="12767"/>
  <c r="R479" i="12843"/>
  <c r="R548" i="12767"/>
  <c r="T548" i="12767" s="1"/>
  <c r="R478" i="12767"/>
  <c r="R407" i="12767"/>
  <c r="T407" i="12767" s="1"/>
  <c r="R303" i="12767"/>
  <c r="V549" i="12843"/>
  <c r="X549" i="12843" s="1"/>
  <c r="V408" i="12843"/>
  <c r="X408" i="12843" s="1"/>
  <c r="R304" i="12843"/>
  <c r="T304" i="12843" s="1"/>
  <c r="R408" i="12843"/>
  <c r="T408" i="12843" s="1"/>
  <c r="V373" i="12843"/>
  <c r="V514" i="12843"/>
  <c r="X514" i="12843" s="1"/>
  <c r="R514" i="12843"/>
  <c r="T514" i="12843" s="1"/>
  <c r="R269" i="12843"/>
  <c r="T269" i="12843" s="1"/>
  <c r="V1027" i="12843"/>
  <c r="X1027" i="12843" s="1"/>
  <c r="X1030" i="12843" s="1"/>
  <c r="X1032" i="12843" s="1"/>
  <c r="V1009" i="12843"/>
  <c r="V1045" i="12843"/>
  <c r="X1045" i="12843" s="1"/>
  <c r="X1048" i="12843" s="1"/>
  <c r="X1050" i="12843" s="1"/>
  <c r="X46" i="12843"/>
  <c r="X48" i="12843" s="1"/>
  <c r="X64" i="12843"/>
  <c r="X66" i="12843" s="1"/>
  <c r="X25" i="12843"/>
  <c r="X27" i="12843" s="1"/>
  <c r="X30" i="12843" s="1"/>
  <c r="X874" i="12843"/>
  <c r="T874" i="12843"/>
  <c r="V500" i="12767"/>
  <c r="V512" i="12767" s="1"/>
  <c r="X512" i="12767" s="1"/>
  <c r="P874" i="12843"/>
  <c r="R500" i="12767"/>
  <c r="R512" i="12767" s="1"/>
  <c r="T512" i="12767" s="1"/>
  <c r="V795" i="12767"/>
  <c r="V815" i="12767" s="1"/>
  <c r="X815" i="12767" s="1"/>
  <c r="V848" i="12767"/>
  <c r="R795" i="12767"/>
  <c r="T795" i="12767" s="1"/>
  <c r="R848" i="12767"/>
  <c r="V465" i="12767"/>
  <c r="V477" i="12767" s="1"/>
  <c r="V535" i="12767"/>
  <c r="R465" i="12767"/>
  <c r="R477" i="12767" s="1"/>
  <c r="R535" i="12767"/>
  <c r="V394" i="12767"/>
  <c r="X394" i="12767" s="1"/>
  <c r="V429" i="12767"/>
  <c r="R394" i="12767"/>
  <c r="T394" i="12767" s="1"/>
  <c r="R429" i="12767"/>
  <c r="V324" i="12767"/>
  <c r="V336" i="12767" s="1"/>
  <c r="X336" i="12767" s="1"/>
  <c r="V359" i="12767"/>
  <c r="V371" i="12767" s="1"/>
  <c r="R324" i="12767"/>
  <c r="T324" i="12767" s="1"/>
  <c r="R359" i="12767"/>
  <c r="R371" i="12767" s="1"/>
  <c r="V255" i="12767"/>
  <c r="V267" i="12767" s="1"/>
  <c r="X267" i="12767" s="1"/>
  <c r="V290" i="12767"/>
  <c r="R255" i="12767"/>
  <c r="T255" i="12767" s="1"/>
  <c r="R290" i="12767"/>
  <c r="V182" i="12843"/>
  <c r="V536" i="12843" s="1"/>
  <c r="V221" i="12767"/>
  <c r="V233" i="12767" s="1"/>
  <c r="R182" i="12843"/>
  <c r="R501" i="12843" s="1"/>
  <c r="R221" i="12767"/>
  <c r="R233" i="12767" s="1"/>
  <c r="R1103" i="12843"/>
  <c r="T1104" i="12843"/>
  <c r="T1106" i="12843" s="1"/>
  <c r="V762" i="12767"/>
  <c r="X762" i="12767" s="1"/>
  <c r="X763" i="12843" s="1"/>
  <c r="V742" i="12843"/>
  <c r="R762" i="12767"/>
  <c r="T762" i="12767" s="1"/>
  <c r="T763" i="12843" s="1"/>
  <c r="R742" i="12843"/>
  <c r="V196" i="12767"/>
  <c r="X196" i="12767" s="1"/>
  <c r="X197" i="12843" s="1"/>
  <c r="R196" i="12767"/>
  <c r="T196" i="12767" s="1"/>
  <c r="T197" i="12843" s="1"/>
  <c r="X1048" i="12767"/>
  <c r="R326" i="12767"/>
  <c r="T326" i="12767" s="1"/>
  <c r="R467" i="12767"/>
  <c r="R446" i="12767"/>
  <c r="T446" i="12767" s="1"/>
  <c r="R538" i="12767"/>
  <c r="T538" i="12767" s="1"/>
  <c r="R536" i="12767"/>
  <c r="T536" i="12767" s="1"/>
  <c r="R550" i="12767"/>
  <c r="T550" i="12767" s="1"/>
  <c r="R222" i="12767"/>
  <c r="R430" i="12767"/>
  <c r="T430" i="12767" s="1"/>
  <c r="T360" i="12767" s="1"/>
  <c r="R291" i="12767"/>
  <c r="T291" i="12767" s="1"/>
  <c r="R501" i="12767"/>
  <c r="T501" i="12767" s="1"/>
  <c r="R537" i="12767"/>
  <c r="T537" i="12767" s="1"/>
  <c r="R410" i="12767"/>
  <c r="T410" i="12767" s="1"/>
  <c r="R502" i="12767"/>
  <c r="T502" i="12767" s="1"/>
  <c r="R551" i="12767"/>
  <c r="T551" i="12767" s="1"/>
  <c r="R361" i="12767"/>
  <c r="R516" i="12767"/>
  <c r="T516" i="12767" s="1"/>
  <c r="R327" i="12767"/>
  <c r="T327" i="12767" s="1"/>
  <c r="R503" i="12767"/>
  <c r="T503" i="12767" s="1"/>
  <c r="R258" i="12767"/>
  <c r="T258" i="12767" s="1"/>
  <c r="R340" i="12767"/>
  <c r="T340" i="12767" s="1"/>
  <c r="R257" i="12767"/>
  <c r="T257" i="12767" s="1"/>
  <c r="R445" i="12767"/>
  <c r="T445" i="12767" s="1"/>
  <c r="R292" i="12767"/>
  <c r="T292" i="12767" s="1"/>
  <c r="R223" i="12767"/>
  <c r="R375" i="12767"/>
  <c r="R271" i="12767"/>
  <c r="T271" i="12767" s="1"/>
  <c r="R481" i="12767"/>
  <c r="R224" i="12767"/>
  <c r="R201" i="12767"/>
  <c r="R397" i="12767"/>
  <c r="T397" i="12767" s="1"/>
  <c r="R293" i="12767"/>
  <c r="T293" i="12767" s="1"/>
  <c r="R411" i="12767"/>
  <c r="T411" i="12767" s="1"/>
  <c r="R360" i="12767"/>
  <c r="R270" i="12767"/>
  <c r="T270" i="12767" s="1"/>
  <c r="R339" i="12767"/>
  <c r="T339" i="12767" s="1"/>
  <c r="R409" i="12767"/>
  <c r="T409" i="12767" s="1"/>
  <c r="R376" i="12767"/>
  <c r="R432" i="12767"/>
  <c r="T432" i="12767" s="1"/>
  <c r="R272" i="12767"/>
  <c r="T272" i="12767" s="1"/>
  <c r="R307" i="12767"/>
  <c r="T307" i="12767" s="1"/>
  <c r="R362" i="12767"/>
  <c r="R482" i="12767"/>
  <c r="R305" i="12767"/>
  <c r="T305" i="12767" s="1"/>
  <c r="R374" i="12767"/>
  <c r="R325" i="12767"/>
  <c r="T325" i="12767" s="1"/>
  <c r="R444" i="12767"/>
  <c r="T444" i="12767" s="1"/>
  <c r="R236" i="12767"/>
  <c r="R238" i="12767"/>
  <c r="R341" i="12767"/>
  <c r="T341" i="12767" s="1"/>
  <c r="R517" i="12767"/>
  <c r="T517" i="12767" s="1"/>
  <c r="R552" i="12767"/>
  <c r="T552" i="12767" s="1"/>
  <c r="R256" i="12767"/>
  <c r="T256" i="12767" s="1"/>
  <c r="R480" i="12767"/>
  <c r="R466" i="12767"/>
  <c r="R199" i="12767"/>
  <c r="R515" i="12767"/>
  <c r="T515" i="12767" s="1"/>
  <c r="R200" i="12767"/>
  <c r="R237" i="12767"/>
  <c r="R306" i="12767"/>
  <c r="T306" i="12767" s="1"/>
  <c r="R431" i="12767"/>
  <c r="T431" i="12767" s="1"/>
  <c r="V870" i="12843" l="1"/>
  <c r="X870" i="12843" s="1"/>
  <c r="R1045" i="12843"/>
  <c r="T1045" i="12843" s="1"/>
  <c r="T1048" i="12843" s="1"/>
  <c r="T1050" i="12843" s="1"/>
  <c r="R1009" i="12843"/>
  <c r="R1027" i="12843"/>
  <c r="T1027" i="12843" s="1"/>
  <c r="T1030" i="12843" s="1"/>
  <c r="T1032" i="12843" s="1"/>
  <c r="R870" i="12843"/>
  <c r="T870" i="12843" s="1"/>
  <c r="T479" i="12843"/>
  <c r="X478" i="12767"/>
  <c r="T373" i="12843"/>
  <c r="X372" i="12767"/>
  <c r="T372" i="12767"/>
  <c r="X235" i="12843"/>
  <c r="X373" i="12843"/>
  <c r="T478" i="12767"/>
  <c r="T235" i="12843"/>
  <c r="X479" i="12843"/>
  <c r="T500" i="12767"/>
  <c r="X500" i="12767"/>
  <c r="X795" i="12767"/>
  <c r="R815" i="12767"/>
  <c r="T815" i="12767" s="1"/>
  <c r="V868" i="12767"/>
  <c r="X868" i="12767" s="1"/>
  <c r="X848" i="12767"/>
  <c r="R868" i="12767"/>
  <c r="T868" i="12767" s="1"/>
  <c r="T848" i="12767"/>
  <c r="X535" i="12767"/>
  <c r="V547" i="12767"/>
  <c r="X547" i="12767" s="1"/>
  <c r="X477" i="12767" s="1"/>
  <c r="V406" i="12767"/>
  <c r="X406" i="12767" s="1"/>
  <c r="T535" i="12767"/>
  <c r="R547" i="12767"/>
  <c r="T547" i="12767" s="1"/>
  <c r="T477" i="12767" s="1"/>
  <c r="R406" i="12767"/>
  <c r="T406" i="12767" s="1"/>
  <c r="V441" i="12767"/>
  <c r="X441" i="12767" s="1"/>
  <c r="X429" i="12767"/>
  <c r="X359" i="12767" s="1"/>
  <c r="R441" i="12767"/>
  <c r="T441" i="12767" s="1"/>
  <c r="T429" i="12767"/>
  <c r="T359" i="12767" s="1"/>
  <c r="X324" i="12767"/>
  <c r="R336" i="12767"/>
  <c r="T336" i="12767" s="1"/>
  <c r="X255" i="12767"/>
  <c r="R267" i="12767"/>
  <c r="T267" i="12767" s="1"/>
  <c r="X290" i="12767"/>
  <c r="V302" i="12767"/>
  <c r="X302" i="12767" s="1"/>
  <c r="X233" i="12767" s="1"/>
  <c r="T290" i="12767"/>
  <c r="T221" i="12767" s="1"/>
  <c r="R302" i="12767"/>
  <c r="T302" i="12767" s="1"/>
  <c r="V222" i="12843"/>
  <c r="V234" i="12843" s="1"/>
  <c r="V395" i="12843"/>
  <c r="V407" i="12843" s="1"/>
  <c r="X407" i="12843" s="1"/>
  <c r="V256" i="12843"/>
  <c r="V268" i="12843" s="1"/>
  <c r="X268" i="12843" s="1"/>
  <c r="V360" i="12843"/>
  <c r="V372" i="12843" s="1"/>
  <c r="V501" i="12843"/>
  <c r="X501" i="12843" s="1"/>
  <c r="V197" i="12843"/>
  <c r="V430" i="12843"/>
  <c r="X430" i="12843" s="1"/>
  <c r="V466" i="12843"/>
  <c r="V478" i="12843" s="1"/>
  <c r="V291" i="12843"/>
  <c r="X291" i="12843" s="1"/>
  <c r="V325" i="12843"/>
  <c r="V337" i="12843" s="1"/>
  <c r="X337" i="12843" s="1"/>
  <c r="R291" i="12843"/>
  <c r="R303" i="12843" s="1"/>
  <c r="T303" i="12843" s="1"/>
  <c r="R395" i="12843"/>
  <c r="R407" i="12843" s="1"/>
  <c r="T407" i="12843" s="1"/>
  <c r="R466" i="12843"/>
  <c r="R478" i="12843" s="1"/>
  <c r="R536" i="12843"/>
  <c r="T536" i="12843" s="1"/>
  <c r="R325" i="12843"/>
  <c r="R337" i="12843" s="1"/>
  <c r="T337" i="12843" s="1"/>
  <c r="R197" i="12843"/>
  <c r="R360" i="12843"/>
  <c r="R372" i="12843" s="1"/>
  <c r="R222" i="12843"/>
  <c r="R234" i="12843" s="1"/>
  <c r="R430" i="12843"/>
  <c r="T430" i="12843" s="1"/>
  <c r="R256" i="12843"/>
  <c r="R268" i="12843" s="1"/>
  <c r="T268" i="12843" s="1"/>
  <c r="T376" i="12767"/>
  <c r="V763" i="12843"/>
  <c r="V796" i="12843"/>
  <c r="V849" i="12843"/>
  <c r="R763" i="12843"/>
  <c r="R796" i="12843"/>
  <c r="R849" i="12843"/>
  <c r="X536" i="12843"/>
  <c r="V548" i="12843"/>
  <c r="X548" i="12843" s="1"/>
  <c r="T501" i="12843"/>
  <c r="R513" i="12843"/>
  <c r="T513" i="12843" s="1"/>
  <c r="T201" i="12767"/>
  <c r="T202" i="12843" s="1"/>
  <c r="T1048" i="12767"/>
  <c r="T466" i="12767"/>
  <c r="T468" i="12767"/>
  <c r="T375" i="12767"/>
  <c r="T467" i="12767"/>
  <c r="T224" i="12767"/>
  <c r="T236" i="12767"/>
  <c r="T237" i="12767"/>
  <c r="T222" i="12767"/>
  <c r="T223" i="12767"/>
  <c r="T238" i="12767"/>
  <c r="T374" i="12767"/>
  <c r="T361" i="12767"/>
  <c r="X465" i="12767" l="1"/>
  <c r="T465" i="12767"/>
  <c r="X371" i="12767"/>
  <c r="T371" i="12767"/>
  <c r="T233" i="12767"/>
  <c r="X221" i="12767"/>
  <c r="X395" i="12843"/>
  <c r="X360" i="12843" s="1"/>
  <c r="V513" i="12843"/>
  <c r="X513" i="12843" s="1"/>
  <c r="X478" i="12843" s="1"/>
  <c r="X256" i="12843"/>
  <c r="X325" i="12843"/>
  <c r="V303" i="12843"/>
  <c r="X303" i="12843" s="1"/>
  <c r="X234" i="12843" s="1"/>
  <c r="V442" i="12843"/>
  <c r="X442" i="12843" s="1"/>
  <c r="X372" i="12843" s="1"/>
  <c r="T291" i="12843"/>
  <c r="T395" i="12843"/>
  <c r="T360" i="12843" s="1"/>
  <c r="T325" i="12843"/>
  <c r="T256" i="12843"/>
  <c r="R548" i="12843"/>
  <c r="T548" i="12843" s="1"/>
  <c r="T478" i="12843" s="1"/>
  <c r="R442" i="12843"/>
  <c r="T442" i="12843" s="1"/>
  <c r="T372" i="12843" s="1"/>
  <c r="G16" i="12770"/>
  <c r="G14" i="12770"/>
  <c r="G15" i="12770"/>
  <c r="G24" i="12770"/>
  <c r="G22" i="12770"/>
  <c r="G19" i="12770"/>
  <c r="G31" i="12770"/>
  <c r="G34" i="12770"/>
  <c r="G32" i="12770"/>
  <c r="G35" i="12770"/>
  <c r="G36" i="12770"/>
  <c r="G20" i="12770"/>
  <c r="G40" i="12770"/>
  <c r="G27" i="12770"/>
  <c r="G30" i="12770"/>
  <c r="G18" i="12770"/>
  <c r="G39" i="12770"/>
  <c r="G26" i="12770"/>
  <c r="G23" i="12770"/>
  <c r="G38" i="12770"/>
  <c r="G28" i="12770"/>
  <c r="Y22" i="12769"/>
  <c r="Y23" i="12769"/>
  <c r="W10" i="12847"/>
  <c r="V869" i="12843"/>
  <c r="X869" i="12843" s="1"/>
  <c r="X849" i="12843"/>
  <c r="V816" i="12843"/>
  <c r="X816" i="12843" s="1"/>
  <c r="X796" i="12843"/>
  <c r="R816" i="12843"/>
  <c r="T816" i="12843" s="1"/>
  <c r="T796" i="12843"/>
  <c r="T849" i="12843"/>
  <c r="R869" i="12843"/>
  <c r="T869" i="12843" s="1"/>
  <c r="T466" i="12843"/>
  <c r="X466" i="12843"/>
  <c r="T234" i="12843"/>
  <c r="C16" i="12785"/>
  <c r="D37" i="12826"/>
  <c r="E44" i="12826"/>
  <c r="E46" i="12826" s="1"/>
  <c r="E48" i="12826" s="1"/>
  <c r="X222" i="12843" l="1"/>
  <c r="T222" i="12843"/>
  <c r="G19" i="12773"/>
  <c r="G21" i="12773"/>
  <c r="G20" i="12773"/>
  <c r="G24" i="12773"/>
  <c r="G23" i="12773"/>
  <c r="G15" i="12773"/>
  <c r="G28" i="12773"/>
  <c r="G29" i="12773"/>
  <c r="G27" i="12773"/>
  <c r="G17" i="12773"/>
  <c r="G25" i="12773"/>
  <c r="G16" i="12773"/>
  <c r="G17" i="12772"/>
  <c r="G23" i="12772"/>
  <c r="G28" i="12772"/>
  <c r="G19" i="12772"/>
  <c r="G24" i="12772"/>
  <c r="G29" i="12772"/>
  <c r="G15" i="12772"/>
  <c r="G20" i="12772"/>
  <c r="G25" i="12772"/>
  <c r="G16" i="12772"/>
  <c r="G21" i="12772"/>
  <c r="G27" i="12772"/>
  <c r="G19" i="12771"/>
  <c r="G23" i="12771"/>
  <c r="G25" i="12771"/>
  <c r="G28" i="12771"/>
  <c r="G31" i="12771"/>
  <c r="G33" i="12771"/>
  <c r="G18" i="12771"/>
  <c r="G20" i="12771"/>
  <c r="G24" i="12771"/>
  <c r="G27" i="12771"/>
  <c r="G29" i="12771"/>
  <c r="G32" i="12771"/>
  <c r="Y21" i="12769"/>
  <c r="G15" i="12769"/>
  <c r="G16" i="12769"/>
  <c r="G26" i="12769"/>
  <c r="G27" i="12769"/>
  <c r="G32" i="12769"/>
  <c r="G30" i="12769"/>
  <c r="G23" i="12769"/>
  <c r="G20" i="12769"/>
  <c r="G24" i="12769"/>
  <c r="G28" i="12769"/>
  <c r="G14" i="12769"/>
  <c r="G22" i="12769"/>
  <c r="G18" i="12769"/>
  <c r="G31" i="12769"/>
  <c r="G19" i="12769"/>
  <c r="W9" i="12847"/>
  <c r="J26" i="12847" s="1"/>
  <c r="J25" i="12833"/>
  <c r="J31" i="12833"/>
  <c r="J21" i="12833"/>
  <c r="J11" i="12833"/>
  <c r="J17" i="12833"/>
  <c r="J10" i="12833"/>
  <c r="J26" i="12833"/>
  <c r="J27" i="12833"/>
  <c r="J33" i="12833"/>
  <c r="J14" i="12833"/>
  <c r="J20" i="12833"/>
  <c r="J28" i="12833"/>
  <c r="J19" i="12833"/>
  <c r="J32" i="12833"/>
  <c r="J12" i="12833"/>
  <c r="J15" i="12833"/>
  <c r="J16" i="12833"/>
  <c r="J29" i="12833"/>
  <c r="J23" i="12833"/>
  <c r="J22" i="12833"/>
  <c r="T1278" i="12767"/>
  <c r="J29" i="12826"/>
  <c r="E35" i="12826"/>
  <c r="I15" i="12769" l="1"/>
  <c r="I30" i="12769"/>
  <c r="I24" i="12769"/>
  <c r="I19" i="12769"/>
  <c r="I16" i="12769"/>
  <c r="I27" i="12769"/>
  <c r="I31" i="12769"/>
  <c r="I20" i="12769"/>
  <c r="I14" i="12769"/>
  <c r="I28" i="12769"/>
  <c r="I23" i="12769"/>
  <c r="I18" i="12769"/>
  <c r="I32" i="12769"/>
  <c r="I22" i="12769"/>
  <c r="I26" i="12769"/>
  <c r="J28" i="12847"/>
  <c r="J14" i="12847"/>
  <c r="J17" i="12847"/>
  <c r="J31" i="12847"/>
  <c r="J19" i="12847"/>
  <c r="J23" i="12847"/>
  <c r="J32" i="12847"/>
  <c r="J15" i="12847"/>
  <c r="J11" i="12847"/>
  <c r="J20" i="12847"/>
  <c r="J25" i="12847"/>
  <c r="J33" i="12847"/>
  <c r="J16" i="12847"/>
  <c r="J10" i="12847"/>
  <c r="J21" i="12847"/>
  <c r="J27" i="12847"/>
  <c r="J12" i="12847"/>
  <c r="J29" i="12847"/>
  <c r="J22" i="12847"/>
  <c r="E40" i="12826"/>
  <c r="C17" i="12785" s="1"/>
  <c r="D17" i="12785"/>
  <c r="G35" i="12826"/>
  <c r="H35" i="12826" s="1"/>
  <c r="E37" i="12826"/>
  <c r="I1109" i="12838" l="1"/>
  <c r="L1109" i="12838" s="1"/>
  <c r="I756" i="12838" l="1"/>
  <c r="I1103" i="12838"/>
  <c r="C42" i="12838" l="1"/>
  <c r="C288" i="12838"/>
  <c r="C289" i="12838" s="1"/>
  <c r="C375" i="12838"/>
  <c r="C463" i="12838"/>
  <c r="C603" i="12838"/>
  <c r="C777" i="12838"/>
  <c r="C778" i="12838" s="1"/>
  <c r="C102" i="12838"/>
  <c r="C952" i="12838"/>
  <c r="C1055" i="12838"/>
  <c r="C1056" i="12838" s="1"/>
  <c r="C1044" i="12838"/>
  <c r="C1103" i="12838"/>
  <c r="C1104" i="12838" s="1"/>
  <c r="C115" i="12838"/>
  <c r="C116" i="12838" s="1"/>
  <c r="C141" i="12838"/>
  <c r="C142" i="12838" s="1"/>
  <c r="C1007" i="12838"/>
  <c r="C1008" i="12838" s="1"/>
  <c r="C756" i="12838"/>
  <c r="C757" i="12838" s="1"/>
  <c r="C705" i="12838"/>
  <c r="C996" i="12838"/>
  <c r="C997" i="12838" s="1"/>
  <c r="C128" i="12838"/>
  <c r="C129" i="12838" s="1"/>
  <c r="C76" i="12838"/>
  <c r="C77" i="12838" s="1"/>
  <c r="C969" i="12838"/>
  <c r="C970" i="12838" s="1"/>
  <c r="I996" i="12838"/>
  <c r="L1103" i="12838"/>
  <c r="L1104" i="12838" s="1"/>
  <c r="I1104" i="12838"/>
  <c r="I705" i="12838"/>
  <c r="I1007" i="12838"/>
  <c r="I1044" i="12838"/>
  <c r="I1055" i="12838"/>
  <c r="L756" i="12838"/>
  <c r="L757" i="12838" s="1"/>
  <c r="I757" i="12838"/>
  <c r="I375" i="12838"/>
  <c r="I76" i="12838"/>
  <c r="I463" i="12838"/>
  <c r="I59" i="12838"/>
  <c r="I102" i="12838"/>
  <c r="I115" i="12838"/>
  <c r="I434" i="12838"/>
  <c r="I969" i="12838"/>
  <c r="I777" i="12838"/>
  <c r="I603" i="12838"/>
  <c r="I288" i="12838"/>
  <c r="I569" i="12838"/>
  <c r="I42" i="12838"/>
  <c r="I128" i="12838"/>
  <c r="I346" i="12838"/>
  <c r="I260" i="12838"/>
  <c r="I141" i="12838"/>
  <c r="I231" i="12838"/>
  <c r="I203" i="12838" l="1"/>
  <c r="L231" i="12838"/>
  <c r="L232" i="12838" s="1"/>
  <c r="I232" i="12838"/>
  <c r="I89" i="12838"/>
  <c r="I142" i="12838"/>
  <c r="L141" i="12838"/>
  <c r="L142" i="12838" s="1"/>
  <c r="L1055" i="12838"/>
  <c r="L1056" i="12838" s="1"/>
  <c r="I1056" i="12838"/>
  <c r="L1044" i="12838"/>
  <c r="L1045" i="12838" s="1"/>
  <c r="I1045" i="12838"/>
  <c r="I1018" i="12838"/>
  <c r="I1008" i="12838"/>
  <c r="L1007" i="12838"/>
  <c r="L1008" i="12838" s="1"/>
  <c r="I654" i="12838"/>
  <c r="L705" i="12838"/>
  <c r="L706" i="12838" s="1"/>
  <c r="I706" i="12838"/>
  <c r="L996" i="12838"/>
  <c r="L997" i="12838" s="1"/>
  <c r="I997" i="12838"/>
  <c r="C654" i="12838"/>
  <c r="C655" i="12838" s="1"/>
  <c r="C706" i="12838"/>
  <c r="C1018" i="12838"/>
  <c r="C1019" i="12838" s="1"/>
  <c r="C1045" i="12838"/>
  <c r="C812" i="12838"/>
  <c r="C794" i="12838" s="1"/>
  <c r="C795" i="12838" s="1"/>
  <c r="C917" i="12838"/>
  <c r="I917" i="12838"/>
  <c r="I864" i="12838"/>
  <c r="C864" i="12838"/>
  <c r="C953" i="12838"/>
  <c r="C813" i="12838" s="1"/>
  <c r="C103" i="12838"/>
  <c r="C89" i="12838"/>
  <c r="C90" i="12838" s="1"/>
  <c r="C604" i="12838"/>
  <c r="C535" i="12838"/>
  <c r="C536" i="12838" s="1"/>
  <c r="C405" i="12838"/>
  <c r="C406" i="12838" s="1"/>
  <c r="C464" i="12838"/>
  <c r="C376" i="12838"/>
  <c r="C317" i="12838"/>
  <c r="C318" i="12838" s="1"/>
  <c r="C43" i="12838"/>
  <c r="C25" i="12838"/>
  <c r="C26" i="12838" s="1"/>
  <c r="C231" i="12838"/>
  <c r="I261" i="12838"/>
  <c r="L260" i="12838"/>
  <c r="L261" i="12838" s="1"/>
  <c r="L346" i="12838"/>
  <c r="L347" i="12838" s="1"/>
  <c r="I347" i="12838"/>
  <c r="I317" i="12838"/>
  <c r="I129" i="12838"/>
  <c r="L128" i="12838"/>
  <c r="L129" i="12838" s="1"/>
  <c r="L42" i="12838"/>
  <c r="L43" i="12838" s="1"/>
  <c r="L16" i="12837" s="1"/>
  <c r="I43" i="12838"/>
  <c r="I25" i="12838"/>
  <c r="I535" i="12838"/>
  <c r="L569" i="12838"/>
  <c r="L570" i="12838" s="1"/>
  <c r="L24" i="12837" s="1"/>
  <c r="I570" i="12838"/>
  <c r="I1066" i="12838"/>
  <c r="I289" i="12838"/>
  <c r="L288" i="12838"/>
  <c r="L289" i="12838" s="1"/>
  <c r="I604" i="12838"/>
  <c r="L603" i="12838"/>
  <c r="L604" i="12838" s="1"/>
  <c r="L32" i="12837" s="1"/>
  <c r="I778" i="12838"/>
  <c r="L777" i="12838"/>
  <c r="L778" i="12838" s="1"/>
  <c r="I970" i="12838"/>
  <c r="L969" i="12838"/>
  <c r="L970" i="12838" s="1"/>
  <c r="L434" i="12838"/>
  <c r="L435" i="12838" s="1"/>
  <c r="I435" i="12838"/>
  <c r="I405" i="12838"/>
  <c r="L115" i="12838"/>
  <c r="L116" i="12838" s="1"/>
  <c r="I116" i="12838"/>
  <c r="L102" i="12838"/>
  <c r="L103" i="12838" s="1"/>
  <c r="I103" i="12838"/>
  <c r="L59" i="12838"/>
  <c r="L60" i="12838" s="1"/>
  <c r="L21" i="12837" s="1"/>
  <c r="I60" i="12838"/>
  <c r="L463" i="12838"/>
  <c r="L464" i="12838" s="1"/>
  <c r="I464" i="12838"/>
  <c r="L76" i="12838"/>
  <c r="L77" i="12838" s="1"/>
  <c r="L30" i="12837" s="1"/>
  <c r="I77" i="12838"/>
  <c r="L375" i="12838"/>
  <c r="L376" i="12838" s="1"/>
  <c r="I376" i="12838"/>
  <c r="L51" i="12837"/>
  <c r="P1105" i="12838"/>
  <c r="Q1104" i="12838"/>
  <c r="Q973" i="12838" l="1"/>
  <c r="R51" i="12837"/>
  <c r="P51" i="12837"/>
  <c r="V51" i="12837" s="1"/>
  <c r="P30" i="12837"/>
  <c r="R30" i="12837"/>
  <c r="R21" i="12837"/>
  <c r="P21" i="12837"/>
  <c r="L33" i="12837"/>
  <c r="P779" i="12838"/>
  <c r="R32" i="12837"/>
  <c r="P32" i="12837"/>
  <c r="V32" i="12837" s="1"/>
  <c r="L31" i="12837"/>
  <c r="I1067" i="12838"/>
  <c r="L1066" i="12838"/>
  <c r="L1067" i="12838" s="1"/>
  <c r="I536" i="12838"/>
  <c r="L535" i="12838"/>
  <c r="L536" i="12838" s="1"/>
  <c r="P537" i="12838" s="1"/>
  <c r="I318" i="12838"/>
  <c r="L317" i="12838"/>
  <c r="L318" i="12838" s="1"/>
  <c r="C829" i="12838"/>
  <c r="C830" i="12838" s="1"/>
  <c r="C865" i="12838"/>
  <c r="I881" i="12838"/>
  <c r="I918" i="12838"/>
  <c r="L917" i="12838"/>
  <c r="L918" i="12838" s="1"/>
  <c r="L48" i="12837"/>
  <c r="Q997" i="12838"/>
  <c r="P998" i="12838"/>
  <c r="L49" i="12837"/>
  <c r="P1009" i="12838"/>
  <c r="Q1008" i="12838"/>
  <c r="I1019" i="12838"/>
  <c r="L1018" i="12838"/>
  <c r="L1019" i="12838" s="1"/>
  <c r="I90" i="12838"/>
  <c r="L89" i="12838"/>
  <c r="L90" i="12838" s="1"/>
  <c r="L23" i="12837"/>
  <c r="L405" i="12838"/>
  <c r="L406" i="12838" s="1"/>
  <c r="I406" i="12838"/>
  <c r="R24" i="12837"/>
  <c r="P24" i="12837"/>
  <c r="V24" i="12837" s="1"/>
  <c r="I26" i="12838"/>
  <c r="L25" i="12838"/>
  <c r="L26" i="12838" s="1"/>
  <c r="P16" i="12837"/>
  <c r="V16" i="12837" s="1"/>
  <c r="R16" i="12837"/>
  <c r="C232" i="12838"/>
  <c r="C203" i="12838"/>
  <c r="L864" i="12838"/>
  <c r="L865" i="12838" s="1"/>
  <c r="I829" i="12838"/>
  <c r="I952" i="12838"/>
  <c r="I865" i="12838"/>
  <c r="C918" i="12838"/>
  <c r="C881" i="12838"/>
  <c r="C882" i="12838" s="1"/>
  <c r="L654" i="12838"/>
  <c r="L655" i="12838" s="1"/>
  <c r="I655" i="12838"/>
  <c r="I174" i="12838"/>
  <c r="L203" i="12838"/>
  <c r="L204" i="12838" s="1"/>
  <c r="I204" i="12838"/>
  <c r="L174" i="12838" l="1"/>
  <c r="L175" i="12838" s="1"/>
  <c r="P176" i="12838" s="1"/>
  <c r="I175" i="12838"/>
  <c r="P656" i="12838"/>
  <c r="L39" i="12837"/>
  <c r="I812" i="12838"/>
  <c r="I795" i="12838" s="1"/>
  <c r="I953" i="12838"/>
  <c r="I813" i="12838" s="1"/>
  <c r="L952" i="12838"/>
  <c r="P91" i="12838"/>
  <c r="L15" i="12837"/>
  <c r="L50" i="12837"/>
  <c r="L53" i="12837" s="1"/>
  <c r="P1020" i="12838"/>
  <c r="Q1019" i="12838"/>
  <c r="S1025" i="12838"/>
  <c r="P49" i="12837"/>
  <c r="V49" i="12837" s="1"/>
  <c r="R49" i="12837"/>
  <c r="I882" i="12838"/>
  <c r="L881" i="12838"/>
  <c r="L882" i="12838" s="1"/>
  <c r="I830" i="12838"/>
  <c r="L829" i="12838"/>
  <c r="L830" i="12838" s="1"/>
  <c r="C174" i="12838"/>
  <c r="C175" i="12838" s="1"/>
  <c r="C1107" i="12838" s="1"/>
  <c r="C1110" i="12838" s="1"/>
  <c r="C204" i="12838"/>
  <c r="P27" i="12838"/>
  <c r="P23" i="12837"/>
  <c r="V23" i="12837" s="1"/>
  <c r="R23" i="12837"/>
  <c r="R48" i="12837"/>
  <c r="P48" i="12837"/>
  <c r="L22" i="12837"/>
  <c r="Q1067" i="12838"/>
  <c r="P1068" i="12838"/>
  <c r="R31" i="12837"/>
  <c r="P31" i="12837"/>
  <c r="V31" i="12837" s="1"/>
  <c r="P33" i="12837"/>
  <c r="V33" i="12837" s="1"/>
  <c r="R33" i="12837"/>
  <c r="V21" i="12837"/>
  <c r="V30" i="12837"/>
  <c r="I1107" i="12838" l="1"/>
  <c r="I1110" i="12838" s="1"/>
  <c r="P22" i="12837"/>
  <c r="R22" i="12837"/>
  <c r="L27" i="12837"/>
  <c r="V48" i="12837"/>
  <c r="Q882" i="12838"/>
  <c r="R15" i="12837"/>
  <c r="L18" i="12837"/>
  <c r="P15" i="12837"/>
  <c r="L953" i="12838"/>
  <c r="L812" i="12838"/>
  <c r="L795" i="12838" s="1"/>
  <c r="R53" i="12837"/>
  <c r="R50" i="12837"/>
  <c r="P50" i="12837"/>
  <c r="V50" i="12837" s="1"/>
  <c r="R39" i="12837"/>
  <c r="L41" i="12837"/>
  <c r="P39" i="12837"/>
  <c r="L813" i="12838" l="1"/>
  <c r="O816" i="12838" s="1"/>
  <c r="Q816" i="12838" s="1"/>
  <c r="L34" i="12837"/>
  <c r="P970" i="12838"/>
  <c r="P971" i="12838" s="1"/>
  <c r="V39" i="12837"/>
  <c r="P41" i="12837"/>
  <c r="V41" i="12837" s="1"/>
  <c r="R18" i="12837"/>
  <c r="C1114" i="12838"/>
  <c r="R41" i="12837"/>
  <c r="L1107" i="12838"/>
  <c r="L1110" i="12838" s="1"/>
  <c r="V15" i="12837"/>
  <c r="P18" i="12837"/>
  <c r="P53" i="12837"/>
  <c r="V53" i="12837" s="1"/>
  <c r="R27" i="12837"/>
  <c r="V22" i="12837"/>
  <c r="P27" i="12837"/>
  <c r="V27" i="12837" l="1"/>
  <c r="V18" i="12837"/>
  <c r="C1115" i="12838"/>
  <c r="C1117" i="12838" s="1"/>
  <c r="R34" i="12837"/>
  <c r="P34" i="12837"/>
  <c r="L36" i="12837"/>
  <c r="P813" i="12838" l="1"/>
  <c r="P795" i="12838"/>
  <c r="P796" i="12838" s="1"/>
  <c r="R36" i="12837"/>
  <c r="L43" i="12837"/>
  <c r="R43" i="12837" s="1"/>
  <c r="L57" i="12837"/>
  <c r="R57" i="12837" s="1"/>
  <c r="L45" i="12837"/>
  <c r="R45" i="12837" s="1"/>
  <c r="V34" i="12837"/>
  <c r="P36" i="12837"/>
  <c r="P43" i="12837" l="1"/>
  <c r="V43" i="12837" s="1"/>
  <c r="V36" i="12837"/>
  <c r="P45" i="12837"/>
  <c r="V45" i="12837" s="1"/>
  <c r="P57" i="12837"/>
  <c r="V57" i="12837" s="1"/>
  <c r="P814" i="12838"/>
  <c r="P1107" i="12838"/>
  <c r="P1108" i="12838" s="1"/>
  <c r="I1114" i="12838" l="1"/>
  <c r="I1115" i="12838" l="1"/>
  <c r="I1117" i="12838" s="1"/>
  <c r="T908" i="12767"/>
  <c r="P944" i="12767" l="1"/>
  <c r="P945" i="12843" s="1"/>
  <c r="P927" i="12843" s="1"/>
  <c r="P908" i="12843" s="1"/>
  <c r="N964" i="12767"/>
  <c r="N885" i="12767" s="1"/>
  <c r="P885" i="12767" s="1"/>
  <c r="P886" i="12843" s="1"/>
  <c r="N982" i="12767"/>
  <c r="P982" i="12767" s="1"/>
  <c r="P1076" i="12767" s="1"/>
  <c r="P964" i="12767" l="1"/>
  <c r="P1057" i="12767" s="1"/>
  <c r="P946" i="12767"/>
  <c r="P926" i="12767"/>
  <c r="P907" i="12767" s="1"/>
  <c r="P928" i="12767" l="1"/>
  <c r="P947" i="12843"/>
  <c r="T946" i="12767"/>
  <c r="P952" i="12767"/>
  <c r="P933" i="12767" s="1"/>
  <c r="N946" i="12767"/>
  <c r="X946" i="12767"/>
  <c r="X928" i="12767" l="1"/>
  <c r="X947" i="12843"/>
  <c r="T928" i="12767"/>
  <c r="T947" i="12843"/>
  <c r="N947" i="12843"/>
  <c r="P929" i="12843" s="1"/>
  <c r="R946" i="12767"/>
  <c r="N984" i="12767"/>
  <c r="P984" i="12767" s="1"/>
  <c r="P989" i="12767" s="1"/>
  <c r="P954" i="12767"/>
  <c r="P935" i="12767" s="1"/>
  <c r="N966" i="12767"/>
  <c r="P966" i="12767" s="1"/>
  <c r="X948" i="12767"/>
  <c r="V946" i="12767"/>
  <c r="X930" i="12767" l="1"/>
  <c r="X949" i="12843"/>
  <c r="N985" i="12843"/>
  <c r="P985" i="12843" s="1"/>
  <c r="P990" i="12843" s="1"/>
  <c r="P992" i="12843" s="1"/>
  <c r="N967" i="12843"/>
  <c r="N888" i="12843" s="1"/>
  <c r="N893" i="12843" s="1"/>
  <c r="P953" i="12843"/>
  <c r="P934" i="12843" s="1"/>
  <c r="P914" i="12843" s="1"/>
  <c r="V947" i="12843"/>
  <c r="X929" i="12843" s="1"/>
  <c r="X910" i="12843" s="1"/>
  <c r="R947" i="12843"/>
  <c r="T929" i="12843" s="1"/>
  <c r="R966" i="12767"/>
  <c r="T966" i="12767" s="1"/>
  <c r="T1059" i="12767" s="1"/>
  <c r="T909" i="12767" s="1"/>
  <c r="R984" i="12767"/>
  <c r="T984" i="12767" s="1"/>
  <c r="T1078" i="12767" s="1"/>
  <c r="P1078" i="12767"/>
  <c r="V948" i="12767"/>
  <c r="X952" i="12767"/>
  <c r="X933" i="12767" s="1"/>
  <c r="V966" i="12767"/>
  <c r="V887" i="12767" s="1"/>
  <c r="T948" i="12767"/>
  <c r="N887" i="12767"/>
  <c r="N893" i="12767" s="1"/>
  <c r="P893" i="12767" s="1"/>
  <c r="P894" i="12843" s="1"/>
  <c r="V984" i="12767"/>
  <c r="X984" i="12767" s="1"/>
  <c r="X1078" i="12767" s="1"/>
  <c r="P991" i="12767"/>
  <c r="P1083" i="12767"/>
  <c r="P1085" i="12767" s="1"/>
  <c r="P1059" i="12767"/>
  <c r="P909" i="12767" s="1"/>
  <c r="P971" i="12767"/>
  <c r="T930" i="12767" l="1"/>
  <c r="T949" i="12843"/>
  <c r="P955" i="12843"/>
  <c r="P936" i="12843" s="1"/>
  <c r="P967" i="12843"/>
  <c r="P972" i="12843" s="1"/>
  <c r="P1066" i="12843" s="1"/>
  <c r="P1068" i="12843" s="1"/>
  <c r="P915" i="12843"/>
  <c r="P917" i="12843" s="1"/>
  <c r="N894" i="12843"/>
  <c r="P1085" i="12843"/>
  <c r="P1087" i="12843" s="1"/>
  <c r="V985" i="12843"/>
  <c r="X985" i="12843" s="1"/>
  <c r="X1080" i="12843" s="1"/>
  <c r="P1080" i="12843"/>
  <c r="V967" i="12843"/>
  <c r="X967" i="12843" s="1"/>
  <c r="X1061" i="12843" s="1"/>
  <c r="R985" i="12843"/>
  <c r="T985" i="12843" s="1"/>
  <c r="T1080" i="12843" s="1"/>
  <c r="R967" i="12843"/>
  <c r="T967" i="12843" s="1"/>
  <c r="T1061" i="12843" s="1"/>
  <c r="T910" i="12843" s="1"/>
  <c r="V949" i="12843"/>
  <c r="X953" i="12843" s="1"/>
  <c r="X955" i="12843" s="1"/>
  <c r="X936" i="12843" s="1"/>
  <c r="R887" i="12767"/>
  <c r="R892" i="12767" s="1"/>
  <c r="T892" i="12767" s="1"/>
  <c r="T893" i="12843" s="1"/>
  <c r="N892" i="12767"/>
  <c r="P892" i="12767" s="1"/>
  <c r="P893" i="12843" s="1"/>
  <c r="V951" i="12767"/>
  <c r="V986" i="12767"/>
  <c r="X986" i="12767" s="1"/>
  <c r="X1080" i="12767" s="1"/>
  <c r="X954" i="12767"/>
  <c r="X935" i="12767" s="1"/>
  <c r="X966" i="12767"/>
  <c r="X1059" i="12767" s="1"/>
  <c r="X909" i="12767" s="1"/>
  <c r="V968" i="12767"/>
  <c r="X968" i="12767" s="1"/>
  <c r="X1061" i="12767" s="1"/>
  <c r="X911" i="12767" s="1"/>
  <c r="R948" i="12767"/>
  <c r="T952" i="12767"/>
  <c r="T933" i="12767" s="1"/>
  <c r="P887" i="12767"/>
  <c r="P888" i="12843" s="1"/>
  <c r="X887" i="12767"/>
  <c r="X888" i="12843" s="1"/>
  <c r="V892" i="12767"/>
  <c r="X892" i="12767" s="1"/>
  <c r="X893" i="12843" s="1"/>
  <c r="V893" i="12767"/>
  <c r="X893" i="12767" s="1"/>
  <c r="X894" i="12843" s="1"/>
  <c r="P1064" i="12767"/>
  <c r="P973" i="12767"/>
  <c r="P1061" i="12843" l="1"/>
  <c r="P910" i="12843" s="1"/>
  <c r="P974" i="12843"/>
  <c r="P897" i="12843"/>
  <c r="P899" i="12843" s="1"/>
  <c r="V888" i="12843"/>
  <c r="V894" i="12843" s="1"/>
  <c r="R888" i="12843"/>
  <c r="R894" i="12843" s="1"/>
  <c r="V987" i="12843"/>
  <c r="X987" i="12843" s="1"/>
  <c r="X990" i="12843" s="1"/>
  <c r="X1085" i="12843" s="1"/>
  <c r="X1087" i="12843" s="1"/>
  <c r="X931" i="12843"/>
  <c r="X912" i="12843" s="1"/>
  <c r="V952" i="12843"/>
  <c r="V969" i="12843"/>
  <c r="V890" i="12843" s="1"/>
  <c r="V895" i="12843" s="1"/>
  <c r="X934" i="12843"/>
  <c r="X915" i="12843" s="1"/>
  <c r="X917" i="12843" s="1"/>
  <c r="R949" i="12843"/>
  <c r="T931" i="12843" s="1"/>
  <c r="R893" i="12767"/>
  <c r="T893" i="12767" s="1"/>
  <c r="T894" i="12843" s="1"/>
  <c r="T887" i="12767"/>
  <c r="T888" i="12843" s="1"/>
  <c r="P896" i="12767"/>
  <c r="P898" i="12767" s="1"/>
  <c r="X989" i="12767"/>
  <c r="X991" i="12767" s="1"/>
  <c r="R968" i="12767"/>
  <c r="R889" i="12767" s="1"/>
  <c r="R894" i="12767" s="1"/>
  <c r="R951" i="12767"/>
  <c r="R986" i="12767"/>
  <c r="T986" i="12767" s="1"/>
  <c r="T989" i="12767" s="1"/>
  <c r="V889" i="12767"/>
  <c r="V894" i="12767" s="1"/>
  <c r="X894" i="12767" s="1"/>
  <c r="X895" i="12843" s="1"/>
  <c r="T954" i="12767"/>
  <c r="T935" i="12767" s="1"/>
  <c r="X971" i="12767"/>
  <c r="X973" i="12767" s="1"/>
  <c r="P1066" i="12767"/>
  <c r="V893" i="12843" l="1"/>
  <c r="X992" i="12843"/>
  <c r="X1082" i="12843"/>
  <c r="R893" i="12843"/>
  <c r="X969" i="12843"/>
  <c r="X1063" i="12843" s="1"/>
  <c r="R969" i="12843"/>
  <c r="T969" i="12843" s="1"/>
  <c r="T972" i="12843" s="1"/>
  <c r="X914" i="12843"/>
  <c r="R952" i="12843"/>
  <c r="R987" i="12843"/>
  <c r="T987" i="12843" s="1"/>
  <c r="T1082" i="12843" s="1"/>
  <c r="T953" i="12843"/>
  <c r="T955" i="12843" s="1"/>
  <c r="T936" i="12843" s="1"/>
  <c r="X1083" i="12767"/>
  <c r="X1085" i="12767" s="1"/>
  <c r="T968" i="12767"/>
  <c r="T971" i="12767" s="1"/>
  <c r="T1080" i="12767"/>
  <c r="X889" i="12767"/>
  <c r="X1064" i="12767"/>
  <c r="X1066" i="12767" s="1"/>
  <c r="T991" i="12767"/>
  <c r="T1083" i="12767"/>
  <c r="T1085" i="12767" s="1"/>
  <c r="T889" i="12767"/>
  <c r="T890" i="12843" s="1"/>
  <c r="T894" i="12767"/>
  <c r="T895" i="12843" s="1"/>
  <c r="P914" i="12767"/>
  <c r="P916" i="12767" s="1"/>
  <c r="P913" i="12767"/>
  <c r="X896" i="12767" l="1"/>
  <c r="X898" i="12767" s="1"/>
  <c r="X890" i="12843"/>
  <c r="X897" i="12843" s="1"/>
  <c r="X899" i="12843" s="1"/>
  <c r="X972" i="12843"/>
  <c r="X1066" i="12843" s="1"/>
  <c r="X1068" i="12843" s="1"/>
  <c r="R890" i="12843"/>
  <c r="T1063" i="12843"/>
  <c r="T912" i="12843" s="1"/>
  <c r="T934" i="12843"/>
  <c r="T914" i="12843" s="1"/>
  <c r="T990" i="12843"/>
  <c r="T992" i="12843" s="1"/>
  <c r="T1061" i="12767"/>
  <c r="T911" i="12767" s="1"/>
  <c r="T974" i="12843"/>
  <c r="T1066" i="12843"/>
  <c r="T1068" i="12843" s="1"/>
  <c r="T896" i="12767"/>
  <c r="T898" i="12767" s="1"/>
  <c r="X913" i="12767"/>
  <c r="X914" i="12767"/>
  <c r="X916" i="12767" s="1"/>
  <c r="T973" i="12767"/>
  <c r="T1064" i="12767"/>
  <c r="R895" i="12843" l="1"/>
  <c r="T897" i="12843" s="1"/>
  <c r="T899" i="12843" s="1"/>
  <c r="X974" i="12843"/>
  <c r="T915" i="12843"/>
  <c r="T917" i="12843" s="1"/>
  <c r="T1085" i="12843"/>
  <c r="T1087" i="12843" s="1"/>
  <c r="T1066" i="12767"/>
  <c r="T913" i="12767" l="1"/>
  <c r="T914" i="12767"/>
  <c r="T916" i="12767" s="1"/>
  <c r="P1164" i="12767"/>
  <c r="P1197" i="12767"/>
  <c r="P1199" i="12767" s="1"/>
  <c r="P1167" i="12767" l="1"/>
  <c r="P1169" i="12767" s="1"/>
  <c r="N1234" i="12767"/>
  <c r="N1240" i="12843" s="1"/>
  <c r="N1235" i="12767"/>
  <c r="N1241" i="12843" s="1"/>
  <c r="N1238" i="12767"/>
  <c r="N1244" i="12843" s="1"/>
  <c r="N1242" i="12767"/>
  <c r="N1248" i="12843" s="1"/>
  <c r="N1243" i="12767"/>
  <c r="N1249" i="12843" s="1"/>
  <c r="N1257" i="12767"/>
  <c r="N1263" i="12843" s="1"/>
  <c r="N1258" i="12767"/>
  <c r="N1264" i="12843" s="1"/>
  <c r="N1236" i="12767"/>
  <c r="N1242" i="12843" s="1"/>
  <c r="N1239" i="12767"/>
  <c r="N1245" i="12843" s="1"/>
  <c r="N1244" i="12767"/>
  <c r="N1250" i="12843" s="1"/>
  <c r="N1246" i="12767"/>
  <c r="N1252" i="12843" s="1"/>
  <c r="N1247" i="12767"/>
  <c r="N1253" i="12843" s="1"/>
  <c r="N1250" i="12767"/>
  <c r="N1256" i="12843" s="1"/>
  <c r="N1251" i="12767"/>
  <c r="N1257" i="12843" s="1"/>
  <c r="N1252" i="12767"/>
  <c r="N1258" i="12843" s="1"/>
  <c r="N1254" i="12767"/>
  <c r="N1260" i="12843" s="1"/>
  <c r="N1255" i="12767"/>
  <c r="N1261" i="12843" s="1"/>
  <c r="N1259" i="12767"/>
  <c r="N1265" i="12843" s="1"/>
  <c r="N1261" i="12767"/>
  <c r="N1267" i="12843" s="1"/>
  <c r="P1264" i="12767"/>
  <c r="P1266" i="12767" s="1"/>
  <c r="P1270" i="12843" l="1"/>
  <c r="P1272" i="12843" s="1"/>
  <c r="R1234" i="12767"/>
  <c r="R1240" i="12843" s="1"/>
  <c r="R1235" i="12767"/>
  <c r="R1241" i="12843" s="1"/>
  <c r="R1238" i="12767"/>
  <c r="R1244" i="12843" s="1"/>
  <c r="R1242" i="12767"/>
  <c r="R1248" i="12843" s="1"/>
  <c r="R1243" i="12767"/>
  <c r="R1249" i="12843" s="1"/>
  <c r="R1257" i="12767"/>
  <c r="R1263" i="12843" s="1"/>
  <c r="R1258" i="12767"/>
  <c r="R1264" i="12843" s="1"/>
  <c r="R1236" i="12767"/>
  <c r="R1242" i="12843" s="1"/>
  <c r="R1239" i="12767"/>
  <c r="R1245" i="12843" s="1"/>
  <c r="R1244" i="12767"/>
  <c r="R1250" i="12843" s="1"/>
  <c r="R1246" i="12767"/>
  <c r="R1252" i="12843" s="1"/>
  <c r="R1247" i="12767"/>
  <c r="R1253" i="12843" s="1"/>
  <c r="R1250" i="12767"/>
  <c r="R1256" i="12843" s="1"/>
  <c r="R1251" i="12767"/>
  <c r="R1257" i="12843" s="1"/>
  <c r="R1252" i="12767"/>
  <c r="R1258" i="12843" s="1"/>
  <c r="R1254" i="12767"/>
  <c r="R1260" i="12843" s="1"/>
  <c r="R1255" i="12767"/>
  <c r="R1261" i="12843" s="1"/>
  <c r="R1259" i="12767"/>
  <c r="R1265" i="12843" s="1"/>
  <c r="R1261" i="12767"/>
  <c r="R1267" i="12843" s="1"/>
  <c r="T1264" i="12767"/>
  <c r="T1266" i="12767" s="1"/>
  <c r="T1270" i="12843" l="1"/>
  <c r="T1272" i="12843" s="1"/>
  <c r="V1234" i="12767"/>
  <c r="V1240" i="12843" s="1"/>
  <c r="V1241" i="12843"/>
  <c r="V1244" i="12843"/>
  <c r="V1248" i="12843"/>
  <c r="V1243" i="12767"/>
  <c r="V1249" i="12843" s="1"/>
  <c r="V1263" i="12843"/>
  <c r="V1264" i="12843"/>
  <c r="V1242" i="12843"/>
  <c r="V1245" i="12843"/>
  <c r="V1250" i="12843"/>
  <c r="V1252" i="12843"/>
  <c r="V1253" i="12843"/>
  <c r="V1256" i="12843"/>
  <c r="V1257" i="12843"/>
  <c r="V1258" i="12843"/>
  <c r="V1260" i="12843"/>
  <c r="V1261" i="12843"/>
  <c r="V1265" i="12843"/>
  <c r="V1261" i="12767"/>
  <c r="V1267" i="12843" s="1"/>
  <c r="X1264" i="12767"/>
  <c r="X1266" i="12767" s="1"/>
  <c r="X1270" i="12843" l="1"/>
  <c r="X1272" i="12843" s="1"/>
  <c r="P1123" i="12767" l="1"/>
  <c r="P1125" i="12843" s="1"/>
  <c r="P1124" i="12767"/>
  <c r="P1126" i="12843" s="1"/>
  <c r="P1125" i="12767"/>
  <c r="P1127" i="12843" s="1"/>
  <c r="P1126" i="12767"/>
  <c r="P1128" i="12843" s="1"/>
  <c r="P1139" i="12843" l="1"/>
  <c r="P1141" i="12843" s="1"/>
  <c r="P1137" i="12767"/>
  <c r="P1139" i="12767" s="1"/>
  <c r="AA22" i="12850" l="1"/>
  <c r="J23" i="12850"/>
  <c r="J39" i="12850" s="1"/>
  <c r="J38" i="12850"/>
  <c r="J64" i="12850"/>
  <c r="L64" i="12850" s="1"/>
  <c r="J102" i="12850"/>
  <c r="J103" i="12850" s="1"/>
  <c r="J116" i="12850" l="1"/>
  <c r="L116" i="12850" s="1"/>
  <c r="L102" i="12850"/>
  <c r="L22" i="12850" s="1"/>
  <c r="AA23" i="12850"/>
  <c r="J117" i="12850"/>
  <c r="L117" i="12850" s="1"/>
  <c r="L103" i="12850"/>
  <c r="J78" i="12850"/>
  <c r="L78" i="12850" s="1"/>
  <c r="J65" i="12850"/>
  <c r="L65" i="12850" s="1"/>
  <c r="L38" i="12850" l="1"/>
  <c r="L125" i="12850"/>
  <c r="L127" i="12850" s="1"/>
  <c r="L23" i="12850"/>
  <c r="J79" i="12850"/>
  <c r="L79" i="12850" s="1"/>
  <c r="L39" i="12850" s="1"/>
  <c r="L87" i="12850" l="1"/>
  <c r="L47" i="12850" s="1"/>
  <c r="L49" i="12850" s="1"/>
  <c r="L89" i="12850" l="1"/>
  <c r="AA52" i="12850"/>
  <c r="Y52" i="12850"/>
  <c r="Z52" i="12850"/>
  <c r="Z50" i="12850"/>
  <c r="AC22" i="12850"/>
  <c r="T88" i="12850" l="1"/>
  <c r="T43" i="12850"/>
  <c r="R43" i="12850" s="1"/>
  <c r="T48" i="12850"/>
  <c r="T27" i="12850"/>
  <c r="R27" i="12850" s="1"/>
  <c r="T126" i="12850"/>
  <c r="P126" i="12850"/>
  <c r="P48" i="12850"/>
  <c r="P88" i="12850"/>
  <c r="X48" i="12850"/>
  <c r="X126" i="12850"/>
  <c r="X43" i="12850"/>
  <c r="V43" i="12850" s="1"/>
  <c r="X27" i="12850"/>
  <c r="V27" i="12850" s="1"/>
  <c r="X88" i="12850"/>
  <c r="V121" i="12850" l="1"/>
  <c r="X121" i="12850" s="1"/>
  <c r="V83" i="12850"/>
  <c r="X83" i="12850" s="1"/>
  <c r="R121" i="12850"/>
  <c r="T121" i="12850" s="1"/>
  <c r="R83" i="12850"/>
  <c r="T83" i="12850" s="1"/>
  <c r="V42" i="12850"/>
  <c r="V107" i="12850"/>
  <c r="V69" i="12850"/>
  <c r="R107" i="12850"/>
  <c r="R42" i="12850"/>
  <c r="R69" i="12850"/>
  <c r="X69" i="12850" l="1"/>
  <c r="V82" i="12850"/>
  <c r="X82" i="12850" s="1"/>
  <c r="R120" i="12850"/>
  <c r="T120" i="12850" s="1"/>
  <c r="T107" i="12850"/>
  <c r="T69" i="12850"/>
  <c r="R82" i="12850"/>
  <c r="T82" i="12850" s="1"/>
  <c r="V120" i="12850"/>
  <c r="X120" i="12850" s="1"/>
  <c r="X107" i="12850"/>
  <c r="T42" i="12850" l="1"/>
  <c r="X42" i="12850"/>
  <c r="C160" i="12845"/>
  <c r="F160" i="12845"/>
  <c r="C164" i="12845"/>
  <c r="F164" i="12845"/>
  <c r="C166" i="12845"/>
  <c r="F166" i="12845"/>
  <c r="C167" i="12845"/>
  <c r="F167" i="12845"/>
  <c r="C168" i="12845"/>
  <c r="F168" i="12845"/>
  <c r="C169" i="12845"/>
  <c r="F169" i="12845"/>
  <c r="C170" i="12845"/>
  <c r="F170" i="12845"/>
  <c r="S16" i="12783"/>
  <c r="W16" i="12783"/>
  <c r="X16" i="12783"/>
  <c r="Y16" i="12783"/>
  <c r="Z16" i="12783"/>
  <c r="AB16" i="12783"/>
  <c r="S19" i="12783"/>
  <c r="W19" i="12783"/>
  <c r="X19" i="12783"/>
  <c r="Y19" i="12783"/>
  <c r="Z19" i="12783"/>
  <c r="S22" i="12783"/>
  <c r="W22" i="12783"/>
  <c r="X22" i="12783"/>
  <c r="Y22" i="12783"/>
  <c r="Z22" i="12783"/>
  <c r="AB22" i="12783"/>
  <c r="Q23" i="12783"/>
  <c r="S23" i="12783"/>
  <c r="U23" i="12783"/>
  <c r="V23" i="12783"/>
  <c r="W23" i="12783"/>
  <c r="X23" i="12783"/>
  <c r="Y23" i="12783"/>
  <c r="Z23" i="12783"/>
  <c r="AB23" i="12783"/>
  <c r="Q24" i="12783"/>
  <c r="S24" i="12783"/>
  <c r="U24" i="12783"/>
  <c r="V24" i="12783"/>
  <c r="W24" i="12783"/>
  <c r="X24" i="12783"/>
  <c r="Y24" i="12783"/>
  <c r="Z24" i="12783"/>
  <c r="AB24" i="12783"/>
  <c r="AD24" i="12783"/>
  <c r="S25" i="12783"/>
  <c r="W25" i="12783"/>
  <c r="X25" i="12783"/>
  <c r="Y25" i="12783"/>
  <c r="Z25" i="12783"/>
  <c r="AB25" i="12783"/>
  <c r="S26" i="12783"/>
  <c r="W26" i="12783"/>
  <c r="X26" i="12783"/>
  <c r="Y26" i="12783"/>
  <c r="Z26" i="12783"/>
  <c r="AB26" i="12783"/>
  <c r="S27" i="12783"/>
  <c r="W27" i="12783"/>
  <c r="X27" i="12783"/>
  <c r="Y27" i="12783"/>
  <c r="Z27" i="12783"/>
  <c r="AB27" i="12783"/>
  <c r="AB28" i="12783"/>
  <c r="S29" i="12783"/>
  <c r="W29" i="12783"/>
  <c r="X29" i="12783"/>
  <c r="Y29" i="12783"/>
  <c r="Z29" i="12783"/>
  <c r="AB29" i="12783"/>
  <c r="Q32" i="12783"/>
  <c r="S32" i="12783"/>
  <c r="U32" i="12783"/>
  <c r="V32" i="12783"/>
  <c r="W32" i="12783"/>
  <c r="X32" i="12783"/>
  <c r="Y32" i="12783"/>
  <c r="AD32" i="12783"/>
  <c r="S35" i="12783"/>
  <c r="W35" i="12783"/>
  <c r="X35" i="12783"/>
  <c r="Y35" i="12783"/>
  <c r="Z35" i="12783"/>
  <c r="AB35" i="12783"/>
  <c r="S36" i="12783"/>
  <c r="W36" i="12783"/>
  <c r="X36" i="12783"/>
  <c r="Y36" i="12783"/>
  <c r="Z36" i="12783"/>
  <c r="AB36" i="12783"/>
  <c r="S37" i="12783"/>
  <c r="W37" i="12783"/>
  <c r="X37" i="12783"/>
  <c r="Y37" i="12783"/>
  <c r="Z37" i="12783"/>
  <c r="AB37" i="12783"/>
  <c r="S38" i="12783"/>
  <c r="W38" i="12783"/>
  <c r="X38" i="12783"/>
  <c r="Y38" i="12783"/>
  <c r="Z38" i="12783"/>
  <c r="AB38" i="12783"/>
  <c r="S39" i="12783"/>
  <c r="W39" i="12783"/>
  <c r="X39" i="12783"/>
  <c r="Y39" i="12783"/>
  <c r="Z39" i="12783"/>
  <c r="AB39" i="12783"/>
  <c r="S42" i="12783"/>
  <c r="W42" i="12783"/>
  <c r="X42" i="12783"/>
  <c r="Y42" i="12783"/>
  <c r="Z42" i="12783"/>
  <c r="Q44" i="12783"/>
  <c r="S44" i="12783"/>
  <c r="U44" i="12783"/>
  <c r="V44" i="12783"/>
  <c r="W44" i="12783"/>
  <c r="X44" i="12783"/>
  <c r="Y44" i="12783"/>
  <c r="Z44" i="12783"/>
  <c r="AB44" i="12783"/>
  <c r="AD44" i="12783"/>
  <c r="Q48" i="12783"/>
  <c r="S48" i="12783"/>
  <c r="U48" i="12783"/>
  <c r="V48" i="12783"/>
  <c r="W48" i="12783"/>
  <c r="X48" i="12783"/>
  <c r="AD48" i="12783"/>
  <c r="S16" i="12848"/>
  <c r="W16" i="12848"/>
  <c r="X16" i="12848"/>
  <c r="Y16" i="12848"/>
  <c r="Z16" i="12848"/>
  <c r="AB16" i="12848"/>
  <c r="S19" i="12848"/>
  <c r="W19" i="12848"/>
  <c r="X19" i="12848"/>
  <c r="Y19" i="12848"/>
  <c r="Z19" i="12848"/>
  <c r="S22" i="12848"/>
  <c r="W22" i="12848"/>
  <c r="X22" i="12848"/>
  <c r="Y22" i="12848"/>
  <c r="Z22" i="12848"/>
  <c r="AB22" i="12848"/>
  <c r="Q23" i="12848"/>
  <c r="S23" i="12848"/>
  <c r="U23" i="12848"/>
  <c r="V23" i="12848"/>
  <c r="W23" i="12848"/>
  <c r="X23" i="12848"/>
  <c r="Y23" i="12848"/>
  <c r="Z23" i="12848"/>
  <c r="AB23" i="12848"/>
  <c r="Q24" i="12848"/>
  <c r="S24" i="12848"/>
  <c r="U24" i="12848"/>
  <c r="V24" i="12848"/>
  <c r="W24" i="12848"/>
  <c r="X24" i="12848"/>
  <c r="Y24" i="12848"/>
  <c r="Z24" i="12848"/>
  <c r="AB24" i="12848"/>
  <c r="S25" i="12848"/>
  <c r="W25" i="12848"/>
  <c r="X25" i="12848"/>
  <c r="Y25" i="12848"/>
  <c r="Z25" i="12848"/>
  <c r="AB25" i="12848"/>
  <c r="S26" i="12848"/>
  <c r="W26" i="12848"/>
  <c r="X26" i="12848"/>
  <c r="Y26" i="12848"/>
  <c r="Z26" i="12848"/>
  <c r="AB26" i="12848"/>
  <c r="S27" i="12848"/>
  <c r="W27" i="12848"/>
  <c r="X27" i="12848"/>
  <c r="Y27" i="12848"/>
  <c r="Z27" i="12848"/>
  <c r="AB27" i="12848"/>
  <c r="AB28" i="12848"/>
  <c r="S29" i="12848"/>
  <c r="W29" i="12848"/>
  <c r="X29" i="12848"/>
  <c r="Y29" i="12848"/>
  <c r="Z29" i="12848"/>
  <c r="AB29" i="12848"/>
  <c r="Q32" i="12848"/>
  <c r="S32" i="12848"/>
  <c r="U32" i="12848"/>
  <c r="V32" i="12848"/>
  <c r="W32" i="12848"/>
  <c r="X32" i="12848"/>
  <c r="Y32" i="12848"/>
  <c r="S35" i="12848"/>
  <c r="W35" i="12848"/>
  <c r="X35" i="12848"/>
  <c r="Y35" i="12848"/>
  <c r="Z35" i="12848"/>
  <c r="AB35" i="12848"/>
  <c r="S36" i="12848"/>
  <c r="W36" i="12848"/>
  <c r="X36" i="12848"/>
  <c r="Y36" i="12848"/>
  <c r="Z36" i="12848"/>
  <c r="AB36" i="12848"/>
  <c r="S37" i="12848"/>
  <c r="W37" i="12848"/>
  <c r="X37" i="12848"/>
  <c r="Y37" i="12848"/>
  <c r="Z37" i="12848"/>
  <c r="AB37" i="12848"/>
  <c r="S38" i="12848"/>
  <c r="W38" i="12848"/>
  <c r="X38" i="12848"/>
  <c r="Y38" i="12848"/>
  <c r="Z38" i="12848"/>
  <c r="AB38" i="12848"/>
  <c r="S39" i="12848"/>
  <c r="W39" i="12848"/>
  <c r="X39" i="12848"/>
  <c r="Y39" i="12848"/>
  <c r="Z39" i="12848"/>
  <c r="AB39" i="12848"/>
  <c r="S42" i="12848"/>
  <c r="W42" i="12848"/>
  <c r="X42" i="12848"/>
  <c r="Y42" i="12848"/>
  <c r="Z42" i="12848"/>
  <c r="Q44" i="12848"/>
  <c r="S44" i="12848"/>
  <c r="U44" i="12848"/>
  <c r="V44" i="12848"/>
  <c r="W44" i="12848"/>
  <c r="X44" i="12848"/>
  <c r="Y44" i="12848"/>
  <c r="Z44" i="12848"/>
  <c r="AB44" i="12848"/>
  <c r="Q48" i="12848"/>
  <c r="S48" i="12848"/>
  <c r="U48" i="12848"/>
  <c r="V48" i="12848"/>
  <c r="W48" i="12848"/>
  <c r="X48" i="12848"/>
  <c r="Q16" i="12849"/>
  <c r="U16" i="12849"/>
  <c r="V16" i="12849"/>
  <c r="W16" i="12849"/>
  <c r="X16" i="12849"/>
  <c r="Y16" i="12849"/>
  <c r="Z16" i="12849"/>
  <c r="AB16" i="12849"/>
  <c r="AD16" i="12849"/>
  <c r="AF16" i="12849"/>
  <c r="Q19" i="12849"/>
  <c r="U19" i="12849"/>
  <c r="V19" i="12849"/>
  <c r="W19" i="12849"/>
  <c r="X19" i="12849"/>
  <c r="Y19" i="12849"/>
  <c r="Z19" i="12849"/>
  <c r="AD19" i="12849"/>
  <c r="AF19" i="12849"/>
  <c r="Q22" i="12849"/>
  <c r="U22" i="12849"/>
  <c r="V22" i="12849"/>
  <c r="W22" i="12849"/>
  <c r="X22" i="12849"/>
  <c r="Y22" i="12849"/>
  <c r="Z22" i="12849"/>
  <c r="AB22" i="12849"/>
  <c r="AD22" i="12849"/>
  <c r="AF22" i="12849"/>
  <c r="Q23" i="12849"/>
  <c r="U23" i="12849"/>
  <c r="V23" i="12849"/>
  <c r="W23" i="12849"/>
  <c r="X23" i="12849"/>
  <c r="Y23" i="12849"/>
  <c r="Z23" i="12849"/>
  <c r="AB23" i="12849"/>
  <c r="Q24" i="12849"/>
  <c r="U24" i="12849"/>
  <c r="V24" i="12849"/>
  <c r="W24" i="12849"/>
  <c r="X24" i="12849"/>
  <c r="Y24" i="12849"/>
  <c r="Z24" i="12849"/>
  <c r="AB24" i="12849"/>
  <c r="AD24" i="12849"/>
  <c r="AF24" i="12849"/>
  <c r="Q25" i="12849"/>
  <c r="U25" i="12849"/>
  <c r="V25" i="12849"/>
  <c r="W25" i="12849"/>
  <c r="X25" i="12849"/>
  <c r="Y25" i="12849"/>
  <c r="Z25" i="12849"/>
  <c r="AB25" i="12849"/>
  <c r="AD25" i="12849"/>
  <c r="AF25" i="12849"/>
  <c r="Q26" i="12849"/>
  <c r="U26" i="12849"/>
  <c r="V26" i="12849"/>
  <c r="W26" i="12849"/>
  <c r="X26" i="12849"/>
  <c r="Y26" i="12849"/>
  <c r="Z26" i="12849"/>
  <c r="AB26" i="12849"/>
  <c r="AD26" i="12849"/>
  <c r="AF26" i="12849"/>
  <c r="Q27" i="12849"/>
  <c r="U27" i="12849"/>
  <c r="V27" i="12849"/>
  <c r="W27" i="12849"/>
  <c r="X27" i="12849"/>
  <c r="Y27" i="12849"/>
  <c r="Z27" i="12849"/>
  <c r="AB27" i="12849"/>
  <c r="AD27" i="12849"/>
  <c r="AF27" i="12849"/>
  <c r="AB28" i="12849"/>
  <c r="Q29" i="12849"/>
  <c r="U29" i="12849"/>
  <c r="V29" i="12849"/>
  <c r="W29" i="12849"/>
  <c r="X29" i="12849"/>
  <c r="Y29" i="12849"/>
  <c r="Z29" i="12849"/>
  <c r="AB29" i="12849"/>
  <c r="AD29" i="12849"/>
  <c r="AF29" i="12849"/>
  <c r="Q32" i="12849"/>
  <c r="U32" i="12849"/>
  <c r="V32" i="12849"/>
  <c r="W32" i="12849"/>
  <c r="X32" i="12849"/>
  <c r="Y32" i="12849"/>
  <c r="AD32" i="12849"/>
  <c r="AF32" i="12849"/>
  <c r="Q35" i="12849"/>
  <c r="U35" i="12849"/>
  <c r="V35" i="12849"/>
  <c r="W35" i="12849"/>
  <c r="X35" i="12849"/>
  <c r="Y35" i="12849"/>
  <c r="Z35" i="12849"/>
  <c r="AB35" i="12849"/>
  <c r="AD35" i="12849"/>
  <c r="AF35" i="12849"/>
  <c r="Q36" i="12849"/>
  <c r="U36" i="12849"/>
  <c r="V36" i="12849"/>
  <c r="W36" i="12849"/>
  <c r="X36" i="12849"/>
  <c r="Y36" i="12849"/>
  <c r="Z36" i="12849"/>
  <c r="AB36" i="12849"/>
  <c r="AD36" i="12849"/>
  <c r="AF36" i="12849"/>
  <c r="Q37" i="12849"/>
  <c r="U37" i="12849"/>
  <c r="V37" i="12849"/>
  <c r="W37" i="12849"/>
  <c r="X37" i="12849"/>
  <c r="Y37" i="12849"/>
  <c r="Z37" i="12849"/>
  <c r="AB37" i="12849"/>
  <c r="AD37" i="12849"/>
  <c r="AF37" i="12849"/>
  <c r="Q38" i="12849"/>
  <c r="U38" i="12849"/>
  <c r="V38" i="12849"/>
  <c r="W38" i="12849"/>
  <c r="X38" i="12849"/>
  <c r="Y38" i="12849"/>
  <c r="Z38" i="12849"/>
  <c r="AB38" i="12849"/>
  <c r="AD38" i="12849"/>
  <c r="AF38" i="12849"/>
  <c r="Q39" i="12849"/>
  <c r="U39" i="12849"/>
  <c r="V39" i="12849"/>
  <c r="W39" i="12849"/>
  <c r="X39" i="12849"/>
  <c r="Y39" i="12849"/>
  <c r="Z39" i="12849"/>
  <c r="AB39" i="12849"/>
  <c r="AD39" i="12849"/>
  <c r="AF39" i="12849"/>
  <c r="Q42" i="12849"/>
  <c r="U42" i="12849"/>
  <c r="V42" i="12849"/>
  <c r="W42" i="12849"/>
  <c r="X42" i="12849"/>
  <c r="Y42" i="12849"/>
  <c r="Z42" i="12849"/>
  <c r="AD42" i="12849"/>
  <c r="AF42" i="12849"/>
  <c r="Q44" i="12849"/>
  <c r="U44" i="12849"/>
  <c r="V44" i="12849"/>
  <c r="W44" i="12849"/>
  <c r="X44" i="12849"/>
  <c r="Y44" i="12849"/>
  <c r="Z44" i="12849"/>
  <c r="AB44" i="12849"/>
  <c r="AD44" i="12849"/>
  <c r="AF44" i="12849"/>
  <c r="Q48" i="12849"/>
  <c r="U48" i="12849"/>
  <c r="V48" i="12849"/>
  <c r="W48" i="12849"/>
  <c r="X48" i="12849"/>
  <c r="AD48" i="12849"/>
  <c r="AF48" i="12849"/>
  <c r="N178" i="12843"/>
  <c r="P178" i="12843"/>
  <c r="R178" i="12843"/>
  <c r="T178" i="12843"/>
  <c r="V178" i="12843"/>
  <c r="X178" i="12843"/>
  <c r="N179" i="12843"/>
  <c r="P179" i="12843"/>
  <c r="R179" i="12843"/>
  <c r="T179" i="12843"/>
  <c r="V179" i="12843"/>
  <c r="X179" i="12843"/>
  <c r="N180" i="12843"/>
  <c r="P180" i="12843"/>
  <c r="R180" i="12843"/>
  <c r="T180" i="12843"/>
  <c r="V180" i="12843"/>
  <c r="X180" i="12843"/>
  <c r="N181" i="12843"/>
  <c r="P181" i="12843"/>
  <c r="R181" i="12843"/>
  <c r="T181" i="12843"/>
  <c r="V181" i="12843"/>
  <c r="X181" i="12843"/>
  <c r="N186" i="12843"/>
  <c r="R186" i="12843"/>
  <c r="V186" i="12843"/>
  <c r="N187" i="12843"/>
  <c r="R187" i="12843"/>
  <c r="V187" i="12843"/>
  <c r="N188" i="12843"/>
  <c r="R188" i="12843"/>
  <c r="V188" i="12843"/>
  <c r="N193" i="12843"/>
  <c r="P193" i="12843"/>
  <c r="R193" i="12843"/>
  <c r="T193" i="12843"/>
  <c r="V193" i="12843"/>
  <c r="X193" i="12843"/>
  <c r="N194" i="12843"/>
  <c r="P194" i="12843"/>
  <c r="R194" i="12843"/>
  <c r="T194" i="12843"/>
  <c r="V194" i="12843"/>
  <c r="X194" i="12843"/>
  <c r="N195" i="12843"/>
  <c r="P195" i="12843"/>
  <c r="R195" i="12843"/>
  <c r="T195" i="12843"/>
  <c r="V195" i="12843"/>
  <c r="X195" i="12843"/>
  <c r="N196" i="12843"/>
  <c r="P196" i="12843"/>
  <c r="R196" i="12843"/>
  <c r="T196" i="12843"/>
  <c r="V196" i="12843"/>
  <c r="X196" i="12843"/>
  <c r="P200" i="12843"/>
  <c r="T200" i="12843"/>
  <c r="P201" i="12843"/>
  <c r="T201" i="12843"/>
  <c r="P203" i="12843"/>
  <c r="T203" i="12843"/>
  <c r="X203" i="12843"/>
  <c r="P205" i="12843"/>
  <c r="T205" i="12843"/>
  <c r="X205" i="12843"/>
  <c r="N218" i="12843"/>
  <c r="P218" i="12843"/>
  <c r="R218" i="12843"/>
  <c r="T218" i="12843"/>
  <c r="V218" i="12843"/>
  <c r="X218" i="12843"/>
  <c r="N219" i="12843"/>
  <c r="P219" i="12843"/>
  <c r="R219" i="12843"/>
  <c r="T219" i="12843"/>
  <c r="V219" i="12843"/>
  <c r="X219" i="12843"/>
  <c r="N220" i="12843"/>
  <c r="P220" i="12843"/>
  <c r="R220" i="12843"/>
  <c r="T220" i="12843"/>
  <c r="V220" i="12843"/>
  <c r="X220" i="12843"/>
  <c r="N221" i="12843"/>
  <c r="P221" i="12843"/>
  <c r="R221" i="12843"/>
  <c r="T221" i="12843"/>
  <c r="V221" i="12843"/>
  <c r="X221" i="12843"/>
  <c r="N230" i="12843"/>
  <c r="P230" i="12843"/>
  <c r="R230" i="12843"/>
  <c r="T230" i="12843"/>
  <c r="V230" i="12843"/>
  <c r="X230" i="12843"/>
  <c r="N231" i="12843"/>
  <c r="P231" i="12843"/>
  <c r="R231" i="12843"/>
  <c r="T231" i="12843"/>
  <c r="V231" i="12843"/>
  <c r="X231" i="12843"/>
  <c r="N232" i="12843"/>
  <c r="P232" i="12843"/>
  <c r="R232" i="12843"/>
  <c r="T232" i="12843"/>
  <c r="V232" i="12843"/>
  <c r="X232" i="12843"/>
  <c r="N233" i="12843"/>
  <c r="P233" i="12843"/>
  <c r="R233" i="12843"/>
  <c r="T233" i="12843"/>
  <c r="V233" i="12843"/>
  <c r="X233" i="12843"/>
  <c r="P240" i="12843"/>
  <c r="T240" i="12843"/>
  <c r="X240" i="12843"/>
  <c r="P242" i="12843"/>
  <c r="T242" i="12843"/>
  <c r="X242" i="12843"/>
  <c r="N252" i="12843"/>
  <c r="P252" i="12843"/>
  <c r="R252" i="12843"/>
  <c r="T252" i="12843"/>
  <c r="V252" i="12843"/>
  <c r="X252" i="12843"/>
  <c r="N253" i="12843"/>
  <c r="P253" i="12843"/>
  <c r="R253" i="12843"/>
  <c r="T253" i="12843"/>
  <c r="V253" i="12843"/>
  <c r="X253" i="12843"/>
  <c r="N254" i="12843"/>
  <c r="P254" i="12843"/>
  <c r="R254" i="12843"/>
  <c r="T254" i="12843"/>
  <c r="V254" i="12843"/>
  <c r="X254" i="12843"/>
  <c r="N255" i="12843"/>
  <c r="P255" i="12843"/>
  <c r="R255" i="12843"/>
  <c r="T255" i="12843"/>
  <c r="V255" i="12843"/>
  <c r="X255" i="12843"/>
  <c r="N264" i="12843"/>
  <c r="P264" i="12843"/>
  <c r="R264" i="12843"/>
  <c r="T264" i="12843"/>
  <c r="V264" i="12843"/>
  <c r="X264" i="12843"/>
  <c r="N265" i="12843"/>
  <c r="P265" i="12843"/>
  <c r="R265" i="12843"/>
  <c r="T265" i="12843"/>
  <c r="V265" i="12843"/>
  <c r="X265" i="12843"/>
  <c r="N266" i="12843"/>
  <c r="P266" i="12843"/>
  <c r="R266" i="12843"/>
  <c r="T266" i="12843"/>
  <c r="V266" i="12843"/>
  <c r="X266" i="12843"/>
  <c r="N267" i="12843"/>
  <c r="P267" i="12843"/>
  <c r="R267" i="12843"/>
  <c r="T267" i="12843"/>
  <c r="V267" i="12843"/>
  <c r="X267" i="12843"/>
  <c r="P274" i="12843"/>
  <c r="T274" i="12843"/>
  <c r="X274" i="12843"/>
  <c r="P276" i="12843"/>
  <c r="T276" i="12843"/>
  <c r="X276" i="12843"/>
  <c r="N287" i="12843"/>
  <c r="P287" i="12843"/>
  <c r="R287" i="12843"/>
  <c r="T287" i="12843"/>
  <c r="V287" i="12843"/>
  <c r="X287" i="12843"/>
  <c r="N288" i="12843"/>
  <c r="P288" i="12843"/>
  <c r="R288" i="12843"/>
  <c r="T288" i="12843"/>
  <c r="V288" i="12843"/>
  <c r="X288" i="12843"/>
  <c r="N289" i="12843"/>
  <c r="P289" i="12843"/>
  <c r="R289" i="12843"/>
  <c r="T289" i="12843"/>
  <c r="V289" i="12843"/>
  <c r="X289" i="12843"/>
  <c r="N290" i="12843"/>
  <c r="P290" i="12843"/>
  <c r="R290" i="12843"/>
  <c r="T290" i="12843"/>
  <c r="V290" i="12843"/>
  <c r="X290" i="12843"/>
  <c r="N299" i="12843"/>
  <c r="P299" i="12843"/>
  <c r="R299" i="12843"/>
  <c r="T299" i="12843"/>
  <c r="V299" i="12843"/>
  <c r="X299" i="12843"/>
  <c r="N300" i="12843"/>
  <c r="P300" i="12843"/>
  <c r="R300" i="12843"/>
  <c r="T300" i="12843"/>
  <c r="V300" i="12843"/>
  <c r="X300" i="12843"/>
  <c r="N301" i="12843"/>
  <c r="P301" i="12843"/>
  <c r="R301" i="12843"/>
  <c r="T301" i="12843"/>
  <c r="V301" i="12843"/>
  <c r="X301" i="12843"/>
  <c r="N302" i="12843"/>
  <c r="P302" i="12843"/>
  <c r="R302" i="12843"/>
  <c r="T302" i="12843"/>
  <c r="V302" i="12843"/>
  <c r="X302" i="12843"/>
  <c r="P309" i="12843"/>
  <c r="T309" i="12843"/>
  <c r="X309" i="12843"/>
  <c r="P311" i="12843"/>
  <c r="T311" i="12843"/>
  <c r="X311" i="12843"/>
  <c r="N321" i="12843"/>
  <c r="P321" i="12843"/>
  <c r="R321" i="12843"/>
  <c r="T321" i="12843"/>
  <c r="V321" i="12843"/>
  <c r="X321" i="12843"/>
  <c r="N322" i="12843"/>
  <c r="P322" i="12843"/>
  <c r="R322" i="12843"/>
  <c r="T322" i="12843"/>
  <c r="V322" i="12843"/>
  <c r="X322" i="12843"/>
  <c r="N323" i="12843"/>
  <c r="P323" i="12843"/>
  <c r="R323" i="12843"/>
  <c r="T323" i="12843"/>
  <c r="V323" i="12843"/>
  <c r="X323" i="12843"/>
  <c r="N324" i="12843"/>
  <c r="P324" i="12843"/>
  <c r="R324" i="12843"/>
  <c r="T324" i="12843"/>
  <c r="V324" i="12843"/>
  <c r="X324" i="12843"/>
  <c r="N333" i="12843"/>
  <c r="P333" i="12843"/>
  <c r="R333" i="12843"/>
  <c r="T333" i="12843"/>
  <c r="V333" i="12843"/>
  <c r="X333" i="12843"/>
  <c r="N334" i="12843"/>
  <c r="P334" i="12843"/>
  <c r="R334" i="12843"/>
  <c r="T334" i="12843"/>
  <c r="V334" i="12843"/>
  <c r="X334" i="12843"/>
  <c r="N335" i="12843"/>
  <c r="P335" i="12843"/>
  <c r="R335" i="12843"/>
  <c r="T335" i="12843"/>
  <c r="V335" i="12843"/>
  <c r="X335" i="12843"/>
  <c r="N336" i="12843"/>
  <c r="P336" i="12843"/>
  <c r="R336" i="12843"/>
  <c r="T336" i="12843"/>
  <c r="V336" i="12843"/>
  <c r="X336" i="12843"/>
  <c r="P343" i="12843"/>
  <c r="T343" i="12843"/>
  <c r="X343" i="12843"/>
  <c r="P345" i="12843"/>
  <c r="T345" i="12843"/>
  <c r="X345" i="12843"/>
  <c r="N356" i="12843"/>
  <c r="P356" i="12843"/>
  <c r="R356" i="12843"/>
  <c r="T356" i="12843"/>
  <c r="V356" i="12843"/>
  <c r="X356" i="12843"/>
  <c r="N357" i="12843"/>
  <c r="P357" i="12843"/>
  <c r="R357" i="12843"/>
  <c r="T357" i="12843"/>
  <c r="V357" i="12843"/>
  <c r="X357" i="12843"/>
  <c r="N358" i="12843"/>
  <c r="P358" i="12843"/>
  <c r="R358" i="12843"/>
  <c r="T358" i="12843"/>
  <c r="V358" i="12843"/>
  <c r="X358" i="12843"/>
  <c r="N359" i="12843"/>
  <c r="P359" i="12843"/>
  <c r="R359" i="12843"/>
  <c r="T359" i="12843"/>
  <c r="V359" i="12843"/>
  <c r="X359" i="12843"/>
  <c r="X363" i="12843"/>
  <c r="N368" i="12843"/>
  <c r="P368" i="12843"/>
  <c r="R368" i="12843"/>
  <c r="T368" i="12843"/>
  <c r="V368" i="12843"/>
  <c r="X368" i="12843"/>
  <c r="N369" i="12843"/>
  <c r="P369" i="12843"/>
  <c r="R369" i="12843"/>
  <c r="T369" i="12843"/>
  <c r="V369" i="12843"/>
  <c r="X369" i="12843"/>
  <c r="N370" i="12843"/>
  <c r="P370" i="12843"/>
  <c r="R370" i="12843"/>
  <c r="T370" i="12843"/>
  <c r="V370" i="12843"/>
  <c r="X370" i="12843"/>
  <c r="N371" i="12843"/>
  <c r="P371" i="12843"/>
  <c r="R371" i="12843"/>
  <c r="T371" i="12843"/>
  <c r="V371" i="12843"/>
  <c r="X371" i="12843"/>
  <c r="P378" i="12843"/>
  <c r="T378" i="12843"/>
  <c r="X378" i="12843"/>
  <c r="P380" i="12843"/>
  <c r="T380" i="12843"/>
  <c r="X380" i="12843"/>
  <c r="N391" i="12843"/>
  <c r="P391" i="12843"/>
  <c r="R391" i="12843"/>
  <c r="T391" i="12843"/>
  <c r="V391" i="12843"/>
  <c r="X391" i="12843"/>
  <c r="N392" i="12843"/>
  <c r="P392" i="12843"/>
  <c r="R392" i="12843"/>
  <c r="T392" i="12843"/>
  <c r="V392" i="12843"/>
  <c r="X392" i="12843"/>
  <c r="N393" i="12843"/>
  <c r="P393" i="12843"/>
  <c r="R393" i="12843"/>
  <c r="T393" i="12843"/>
  <c r="V393" i="12843"/>
  <c r="X393" i="12843"/>
  <c r="N394" i="12843"/>
  <c r="P394" i="12843"/>
  <c r="R394" i="12843"/>
  <c r="T394" i="12843"/>
  <c r="V394" i="12843"/>
  <c r="X394" i="12843"/>
  <c r="N403" i="12843"/>
  <c r="P403" i="12843"/>
  <c r="R403" i="12843"/>
  <c r="T403" i="12843"/>
  <c r="V403" i="12843"/>
  <c r="X403" i="12843"/>
  <c r="N404" i="12843"/>
  <c r="P404" i="12843"/>
  <c r="R404" i="12843"/>
  <c r="T404" i="12843"/>
  <c r="V404" i="12843"/>
  <c r="X404" i="12843"/>
  <c r="N405" i="12843"/>
  <c r="P405" i="12843"/>
  <c r="R405" i="12843"/>
  <c r="T405" i="12843"/>
  <c r="V405" i="12843"/>
  <c r="X405" i="12843"/>
  <c r="N406" i="12843"/>
  <c r="P406" i="12843"/>
  <c r="R406" i="12843"/>
  <c r="T406" i="12843"/>
  <c r="V406" i="12843"/>
  <c r="X406" i="12843"/>
  <c r="P413" i="12843"/>
  <c r="T413" i="12843"/>
  <c r="X413" i="12843"/>
  <c r="P415" i="12843"/>
  <c r="T415" i="12843"/>
  <c r="X415" i="12843"/>
  <c r="N426" i="12843"/>
  <c r="P426" i="12843"/>
  <c r="R426" i="12843"/>
  <c r="T426" i="12843"/>
  <c r="V426" i="12843"/>
  <c r="X426" i="12843"/>
  <c r="N427" i="12843"/>
  <c r="P427" i="12843"/>
  <c r="R427" i="12843"/>
  <c r="T427" i="12843"/>
  <c r="V427" i="12843"/>
  <c r="X427" i="12843"/>
  <c r="N428" i="12843"/>
  <c r="P428" i="12843"/>
  <c r="R428" i="12843"/>
  <c r="T428" i="12843"/>
  <c r="V428" i="12843"/>
  <c r="X428" i="12843"/>
  <c r="N429" i="12843"/>
  <c r="P429" i="12843"/>
  <c r="R429" i="12843"/>
  <c r="T429" i="12843"/>
  <c r="V429" i="12843"/>
  <c r="X429" i="12843"/>
  <c r="N438" i="12843"/>
  <c r="P438" i="12843"/>
  <c r="R438" i="12843"/>
  <c r="T438" i="12843"/>
  <c r="V438" i="12843"/>
  <c r="X438" i="12843"/>
  <c r="N439" i="12843"/>
  <c r="P439" i="12843"/>
  <c r="R439" i="12843"/>
  <c r="T439" i="12843"/>
  <c r="V439" i="12843"/>
  <c r="X439" i="12843"/>
  <c r="N440" i="12843"/>
  <c r="P440" i="12843"/>
  <c r="R440" i="12843"/>
  <c r="T440" i="12843"/>
  <c r="V440" i="12843"/>
  <c r="X440" i="12843"/>
  <c r="N441" i="12843"/>
  <c r="P441" i="12843"/>
  <c r="R441" i="12843"/>
  <c r="T441" i="12843"/>
  <c r="V441" i="12843"/>
  <c r="X441" i="12843"/>
  <c r="P448" i="12843"/>
  <c r="T448" i="12843"/>
  <c r="X448" i="12843"/>
  <c r="P450" i="12843"/>
  <c r="T450" i="12843"/>
  <c r="X450" i="12843"/>
  <c r="N462" i="12843"/>
  <c r="P462" i="12843"/>
  <c r="R462" i="12843"/>
  <c r="T462" i="12843"/>
  <c r="V462" i="12843"/>
  <c r="X462" i="12843"/>
  <c r="N463" i="12843"/>
  <c r="P463" i="12843"/>
  <c r="R463" i="12843"/>
  <c r="T463" i="12843"/>
  <c r="V463" i="12843"/>
  <c r="X463" i="12843"/>
  <c r="N464" i="12843"/>
  <c r="P464" i="12843"/>
  <c r="R464" i="12843"/>
  <c r="T464" i="12843"/>
  <c r="V464" i="12843"/>
  <c r="X464" i="12843"/>
  <c r="N465" i="12843"/>
  <c r="P465" i="12843"/>
  <c r="R465" i="12843"/>
  <c r="T465" i="12843"/>
  <c r="V465" i="12843"/>
  <c r="X465" i="12843"/>
  <c r="N474" i="12843"/>
  <c r="P474" i="12843"/>
  <c r="R474" i="12843"/>
  <c r="T474" i="12843"/>
  <c r="V474" i="12843"/>
  <c r="X474" i="12843"/>
  <c r="N475" i="12843"/>
  <c r="P475" i="12843"/>
  <c r="R475" i="12843"/>
  <c r="T475" i="12843"/>
  <c r="V475" i="12843"/>
  <c r="X475" i="12843"/>
  <c r="N476" i="12843"/>
  <c r="P476" i="12843"/>
  <c r="R476" i="12843"/>
  <c r="T476" i="12843"/>
  <c r="V476" i="12843"/>
  <c r="X476" i="12843"/>
  <c r="N477" i="12843"/>
  <c r="P477" i="12843"/>
  <c r="R477" i="12843"/>
  <c r="T477" i="12843"/>
  <c r="V477" i="12843"/>
  <c r="X477" i="12843"/>
  <c r="P484" i="12843"/>
  <c r="T484" i="12843"/>
  <c r="X484" i="12843"/>
  <c r="P486" i="12843"/>
  <c r="T486" i="12843"/>
  <c r="X486" i="12843"/>
  <c r="N497" i="12843"/>
  <c r="P497" i="12843"/>
  <c r="R497" i="12843"/>
  <c r="T497" i="12843"/>
  <c r="V497" i="12843"/>
  <c r="X497" i="12843"/>
  <c r="N498" i="12843"/>
  <c r="P498" i="12843"/>
  <c r="R498" i="12843"/>
  <c r="T498" i="12843"/>
  <c r="V498" i="12843"/>
  <c r="X498" i="12843"/>
  <c r="N499" i="12843"/>
  <c r="P499" i="12843"/>
  <c r="R499" i="12843"/>
  <c r="T499" i="12843"/>
  <c r="V499" i="12843"/>
  <c r="X499" i="12843"/>
  <c r="N500" i="12843"/>
  <c r="P500" i="12843"/>
  <c r="R500" i="12843"/>
  <c r="T500" i="12843"/>
  <c r="V500" i="12843"/>
  <c r="X500" i="12843"/>
  <c r="N509" i="12843"/>
  <c r="P509" i="12843"/>
  <c r="R509" i="12843"/>
  <c r="T509" i="12843"/>
  <c r="V509" i="12843"/>
  <c r="X509" i="12843"/>
  <c r="N510" i="12843"/>
  <c r="P510" i="12843"/>
  <c r="R510" i="12843"/>
  <c r="T510" i="12843"/>
  <c r="V510" i="12843"/>
  <c r="X510" i="12843"/>
  <c r="N511" i="12843"/>
  <c r="P511" i="12843"/>
  <c r="R511" i="12843"/>
  <c r="T511" i="12843"/>
  <c r="V511" i="12843"/>
  <c r="X511" i="12843"/>
  <c r="N512" i="12843"/>
  <c r="P512" i="12843"/>
  <c r="R512" i="12843"/>
  <c r="T512" i="12843"/>
  <c r="V512" i="12843"/>
  <c r="X512" i="12843"/>
  <c r="P519" i="12843"/>
  <c r="T519" i="12843"/>
  <c r="X519" i="12843"/>
  <c r="P521" i="12843"/>
  <c r="T521" i="12843"/>
  <c r="X521" i="12843"/>
  <c r="N532" i="12843"/>
  <c r="P532" i="12843"/>
  <c r="R532" i="12843"/>
  <c r="T532" i="12843"/>
  <c r="V532" i="12843"/>
  <c r="X532" i="12843"/>
  <c r="N533" i="12843"/>
  <c r="P533" i="12843"/>
  <c r="R533" i="12843"/>
  <c r="T533" i="12843"/>
  <c r="V533" i="12843"/>
  <c r="X533" i="12843"/>
  <c r="N534" i="12843"/>
  <c r="P534" i="12843"/>
  <c r="R534" i="12843"/>
  <c r="T534" i="12843"/>
  <c r="V534" i="12843"/>
  <c r="X534" i="12843"/>
  <c r="N535" i="12843"/>
  <c r="P535" i="12843"/>
  <c r="R535" i="12843"/>
  <c r="T535" i="12843"/>
  <c r="V535" i="12843"/>
  <c r="X535" i="12843"/>
  <c r="N544" i="12843"/>
  <c r="P544" i="12843"/>
  <c r="R544" i="12843"/>
  <c r="T544" i="12843"/>
  <c r="V544" i="12843"/>
  <c r="X544" i="12843"/>
  <c r="N545" i="12843"/>
  <c r="P545" i="12843"/>
  <c r="R545" i="12843"/>
  <c r="T545" i="12843"/>
  <c r="V545" i="12843"/>
  <c r="X545" i="12843"/>
  <c r="N546" i="12843"/>
  <c r="P546" i="12843"/>
  <c r="R546" i="12843"/>
  <c r="T546" i="12843"/>
  <c r="V546" i="12843"/>
  <c r="X546" i="12843"/>
  <c r="N547" i="12843"/>
  <c r="P547" i="12843"/>
  <c r="R547" i="12843"/>
  <c r="T547" i="12843"/>
  <c r="V547" i="12843"/>
  <c r="X547" i="12843"/>
  <c r="P554" i="12843"/>
  <c r="T554" i="12843"/>
  <c r="X554" i="12843"/>
  <c r="P556" i="12843"/>
  <c r="T556" i="12843"/>
  <c r="X556" i="12843"/>
  <c r="J569" i="12843"/>
  <c r="L569" i="12843"/>
  <c r="N569" i="12843"/>
  <c r="P569" i="12843"/>
  <c r="R569" i="12843"/>
  <c r="T569" i="12843"/>
  <c r="V569" i="12843"/>
  <c r="X569" i="12843"/>
  <c r="R571" i="12843"/>
  <c r="T571" i="12843"/>
  <c r="V571" i="12843"/>
  <c r="X571" i="12843"/>
  <c r="R572" i="12843"/>
  <c r="T572" i="12843"/>
  <c r="V572" i="12843"/>
  <c r="X572" i="12843"/>
  <c r="R573" i="12843"/>
  <c r="T573" i="12843"/>
  <c r="V573" i="12843"/>
  <c r="X573" i="12843"/>
  <c r="R574" i="12843"/>
  <c r="T574" i="12843"/>
  <c r="V574" i="12843"/>
  <c r="X574" i="12843"/>
  <c r="J583" i="12843"/>
  <c r="L583" i="12843"/>
  <c r="N583" i="12843"/>
  <c r="P583" i="12843"/>
  <c r="R583" i="12843"/>
  <c r="T583" i="12843"/>
  <c r="V583" i="12843"/>
  <c r="X583" i="12843"/>
  <c r="R585" i="12843"/>
  <c r="T585" i="12843"/>
  <c r="V585" i="12843"/>
  <c r="X585" i="12843"/>
  <c r="R586" i="12843"/>
  <c r="T586" i="12843"/>
  <c r="V586" i="12843"/>
  <c r="X586" i="12843"/>
  <c r="R587" i="12843"/>
  <c r="T587" i="12843"/>
  <c r="V587" i="12843"/>
  <c r="X587" i="12843"/>
  <c r="J590" i="12843"/>
  <c r="L590" i="12843"/>
  <c r="N590" i="12843"/>
  <c r="P590" i="12843"/>
  <c r="R590" i="12843"/>
  <c r="T590" i="12843"/>
  <c r="V590" i="12843"/>
  <c r="X590" i="12843"/>
  <c r="J591" i="12843"/>
  <c r="L591" i="12843"/>
  <c r="N591" i="12843"/>
  <c r="P591" i="12843"/>
  <c r="R591" i="12843"/>
  <c r="T591" i="12843"/>
  <c r="V591" i="12843"/>
  <c r="X591" i="12843"/>
  <c r="R592" i="12843"/>
  <c r="T592" i="12843"/>
  <c r="V592" i="12843"/>
  <c r="X592" i="12843"/>
  <c r="L595" i="12843"/>
  <c r="P595" i="12843"/>
  <c r="T595" i="12843"/>
  <c r="X595" i="12843"/>
  <c r="L597" i="12843"/>
  <c r="P597" i="12843"/>
  <c r="T597" i="12843"/>
  <c r="X597" i="12843"/>
  <c r="J610" i="12843"/>
  <c r="L610" i="12843"/>
  <c r="N610" i="12843"/>
  <c r="P610" i="12843"/>
  <c r="R610" i="12843"/>
  <c r="T610" i="12843"/>
  <c r="V610" i="12843"/>
  <c r="X610" i="12843"/>
  <c r="AA610" i="12843"/>
  <c r="J611" i="12843"/>
  <c r="L611" i="12843"/>
  <c r="N611" i="12843"/>
  <c r="P611" i="12843"/>
  <c r="R611" i="12843"/>
  <c r="T611" i="12843"/>
  <c r="V611" i="12843"/>
  <c r="X611" i="12843"/>
  <c r="AA611" i="12843"/>
  <c r="R613" i="12843"/>
  <c r="T613" i="12843"/>
  <c r="V613" i="12843"/>
  <c r="X613" i="12843"/>
  <c r="R614" i="12843"/>
  <c r="T614" i="12843"/>
  <c r="V614" i="12843"/>
  <c r="X614" i="12843"/>
  <c r="R615" i="12843"/>
  <c r="T615" i="12843"/>
  <c r="V615" i="12843"/>
  <c r="X615" i="12843"/>
  <c r="R618" i="12843"/>
  <c r="V618" i="12843"/>
  <c r="R619" i="12843"/>
  <c r="V619" i="12843"/>
  <c r="J626" i="12843"/>
  <c r="L626" i="12843"/>
  <c r="N626" i="12843"/>
  <c r="P626" i="12843"/>
  <c r="R626" i="12843"/>
  <c r="T626" i="12843"/>
  <c r="V626" i="12843"/>
  <c r="X626" i="12843"/>
  <c r="J627" i="12843"/>
  <c r="L627" i="12843"/>
  <c r="N627" i="12843"/>
  <c r="P627" i="12843"/>
  <c r="R627" i="12843"/>
  <c r="T627" i="12843"/>
  <c r="V627" i="12843"/>
  <c r="X627" i="12843"/>
  <c r="R628" i="12843"/>
  <c r="T628" i="12843"/>
  <c r="V628" i="12843"/>
  <c r="X628" i="12843"/>
  <c r="R629" i="12843"/>
  <c r="T629" i="12843"/>
  <c r="V629" i="12843"/>
  <c r="X629" i="12843"/>
  <c r="R630" i="12843"/>
  <c r="T630" i="12843"/>
  <c r="V630" i="12843"/>
  <c r="X630" i="12843"/>
  <c r="R631" i="12843"/>
  <c r="T631" i="12843"/>
  <c r="V631" i="12843"/>
  <c r="X631" i="12843"/>
  <c r="L635" i="12843"/>
  <c r="P635" i="12843"/>
  <c r="T635" i="12843"/>
  <c r="X635" i="12843"/>
  <c r="P636" i="12843"/>
  <c r="T636" i="12843"/>
  <c r="X636" i="12843"/>
  <c r="L637" i="12843"/>
  <c r="P637" i="12843"/>
  <c r="T637" i="12843"/>
  <c r="X637" i="12843"/>
  <c r="Z638" i="12843"/>
  <c r="Y640" i="12843"/>
  <c r="Z640" i="12843"/>
  <c r="AA640" i="12843"/>
  <c r="J652" i="12843"/>
  <c r="L652" i="12843"/>
  <c r="N652" i="12843"/>
  <c r="P652" i="12843"/>
  <c r="R652" i="12843"/>
  <c r="T652" i="12843"/>
  <c r="V652" i="12843"/>
  <c r="X652" i="12843"/>
  <c r="J653" i="12843"/>
  <c r="L653" i="12843"/>
  <c r="N653" i="12843"/>
  <c r="P653" i="12843"/>
  <c r="R653" i="12843"/>
  <c r="T653" i="12843"/>
  <c r="V653" i="12843"/>
  <c r="X653" i="12843"/>
  <c r="R655" i="12843"/>
  <c r="T655" i="12843"/>
  <c r="V655" i="12843"/>
  <c r="X655" i="12843"/>
  <c r="R656" i="12843"/>
  <c r="T656" i="12843"/>
  <c r="V656" i="12843"/>
  <c r="X656" i="12843"/>
  <c r="R657" i="12843"/>
  <c r="T657" i="12843"/>
  <c r="V657" i="12843"/>
  <c r="X657" i="12843"/>
  <c r="J666" i="12843"/>
  <c r="L666" i="12843"/>
  <c r="N666" i="12843"/>
  <c r="P666" i="12843"/>
  <c r="R666" i="12843"/>
  <c r="T666" i="12843"/>
  <c r="V666" i="12843"/>
  <c r="X666" i="12843"/>
  <c r="J667" i="12843"/>
  <c r="L667" i="12843"/>
  <c r="N667" i="12843"/>
  <c r="P667" i="12843"/>
  <c r="R667" i="12843"/>
  <c r="T667" i="12843"/>
  <c r="V667" i="12843"/>
  <c r="X667" i="12843"/>
  <c r="R668" i="12843"/>
  <c r="T668" i="12843"/>
  <c r="V668" i="12843"/>
  <c r="X668" i="12843"/>
  <c r="R669" i="12843"/>
  <c r="T669" i="12843"/>
  <c r="V669" i="12843"/>
  <c r="X669" i="12843"/>
  <c r="R670" i="12843"/>
  <c r="T670" i="12843"/>
  <c r="V670" i="12843"/>
  <c r="X670" i="12843"/>
  <c r="R671" i="12843"/>
  <c r="T671" i="12843"/>
  <c r="V671" i="12843"/>
  <c r="X671" i="12843"/>
  <c r="L675" i="12843"/>
  <c r="P675" i="12843"/>
  <c r="T675" i="12843"/>
  <c r="X675" i="12843"/>
  <c r="P676" i="12843"/>
  <c r="T676" i="12843"/>
  <c r="X676" i="12843"/>
  <c r="L677" i="12843"/>
  <c r="P677" i="12843"/>
  <c r="T677" i="12843"/>
  <c r="X677" i="12843"/>
  <c r="J690" i="12843"/>
  <c r="L690" i="12843"/>
  <c r="N690" i="12843"/>
  <c r="P690" i="12843"/>
  <c r="R690" i="12843"/>
  <c r="T690" i="12843"/>
  <c r="V690" i="12843"/>
  <c r="X690" i="12843"/>
  <c r="J691" i="12843"/>
  <c r="L691" i="12843"/>
  <c r="N691" i="12843"/>
  <c r="P691" i="12843"/>
  <c r="R691" i="12843"/>
  <c r="T691" i="12843"/>
  <c r="V691" i="12843"/>
  <c r="X691" i="12843"/>
  <c r="R693" i="12843"/>
  <c r="T693" i="12843"/>
  <c r="V693" i="12843"/>
  <c r="X693" i="12843"/>
  <c r="R694" i="12843"/>
  <c r="T694" i="12843"/>
  <c r="V694" i="12843"/>
  <c r="X694" i="12843"/>
  <c r="R695" i="12843"/>
  <c r="T695" i="12843"/>
  <c r="V695" i="12843"/>
  <c r="X695" i="12843"/>
  <c r="J704" i="12843"/>
  <c r="L704" i="12843"/>
  <c r="N704" i="12843"/>
  <c r="P704" i="12843"/>
  <c r="R704" i="12843"/>
  <c r="T704" i="12843"/>
  <c r="V704" i="12843"/>
  <c r="X704" i="12843"/>
  <c r="J705" i="12843"/>
  <c r="L705" i="12843"/>
  <c r="N705" i="12843"/>
  <c r="P705" i="12843"/>
  <c r="R705" i="12843"/>
  <c r="T705" i="12843"/>
  <c r="V705" i="12843"/>
  <c r="X705" i="12843"/>
  <c r="R706" i="12843"/>
  <c r="T706" i="12843"/>
  <c r="V706" i="12843"/>
  <c r="X706" i="12843"/>
  <c r="R707" i="12843"/>
  <c r="T707" i="12843"/>
  <c r="V707" i="12843"/>
  <c r="X707" i="12843"/>
  <c r="R708" i="12843"/>
  <c r="T708" i="12843"/>
  <c r="V708" i="12843"/>
  <c r="X708" i="12843"/>
  <c r="R709" i="12843"/>
  <c r="T709" i="12843"/>
  <c r="V709" i="12843"/>
  <c r="X709" i="12843"/>
  <c r="L713" i="12843"/>
  <c r="P713" i="12843"/>
  <c r="T713" i="12843"/>
  <c r="X713" i="12843"/>
  <c r="P714" i="12843"/>
  <c r="T714" i="12843"/>
  <c r="X714" i="12843"/>
  <c r="L715" i="12843"/>
  <c r="P715" i="12843"/>
  <c r="T715" i="12843"/>
  <c r="X715" i="12843"/>
  <c r="N741" i="12843"/>
  <c r="P741" i="12843"/>
  <c r="R741" i="12843"/>
  <c r="T741" i="12843"/>
  <c r="V741" i="12843"/>
  <c r="X741" i="12843"/>
  <c r="N744" i="12843"/>
  <c r="R744" i="12843"/>
  <c r="V744" i="12843"/>
  <c r="N762" i="12843"/>
  <c r="P762" i="12843"/>
  <c r="R762" i="12843"/>
  <c r="T762" i="12843"/>
  <c r="V762" i="12843"/>
  <c r="X762" i="12843"/>
  <c r="P767" i="12843"/>
  <c r="T767" i="12843"/>
  <c r="X767" i="12843"/>
  <c r="P769" i="12843"/>
  <c r="T769" i="12843"/>
  <c r="X769" i="12843"/>
  <c r="N795" i="12843"/>
  <c r="P795" i="12843"/>
  <c r="R795" i="12843"/>
  <c r="T795" i="12843"/>
  <c r="V795" i="12843"/>
  <c r="X795" i="12843"/>
  <c r="N815" i="12843"/>
  <c r="P815" i="12843"/>
  <c r="R815" i="12843"/>
  <c r="T815" i="12843"/>
  <c r="V815" i="12843"/>
  <c r="X815" i="12843"/>
  <c r="P820" i="12843"/>
  <c r="T820" i="12843"/>
  <c r="X820" i="12843"/>
  <c r="P822" i="12843"/>
  <c r="T822" i="12843"/>
  <c r="X822" i="12843"/>
  <c r="N848" i="12843"/>
  <c r="P848" i="12843"/>
  <c r="R848" i="12843"/>
  <c r="T848" i="12843"/>
  <c r="V848" i="12843"/>
  <c r="X848" i="12843"/>
  <c r="N868" i="12843"/>
  <c r="P868" i="12843"/>
  <c r="R868" i="12843"/>
  <c r="T868" i="12843"/>
  <c r="V868" i="12843"/>
  <c r="X868" i="12843"/>
  <c r="P873" i="12843"/>
  <c r="T873" i="12843"/>
  <c r="X873" i="12843"/>
  <c r="P875" i="12843"/>
  <c r="T875" i="12843"/>
  <c r="X875" i="12843"/>
  <c r="L1277" i="12843"/>
  <c r="P1277" i="12843"/>
  <c r="T1277" i="12843"/>
  <c r="X1277" i="12843"/>
  <c r="Z1278" i="12843"/>
  <c r="L1280" i="12843"/>
  <c r="P1280" i="12843"/>
  <c r="T1280" i="12843"/>
  <c r="X1280" i="12843"/>
  <c r="Y9" i="12833"/>
  <c r="AA9" i="12833"/>
  <c r="L10" i="12833"/>
  <c r="N10" i="12833"/>
  <c r="P10" i="12833"/>
  <c r="R10" i="12833"/>
  <c r="T10" i="12833"/>
  <c r="Y10" i="12833"/>
  <c r="AA10" i="12833"/>
  <c r="L11" i="12833"/>
  <c r="N11" i="12833"/>
  <c r="P11" i="12833"/>
  <c r="R11" i="12833"/>
  <c r="T11" i="12833"/>
  <c r="L12" i="12833"/>
  <c r="N12" i="12833"/>
  <c r="P12" i="12833"/>
  <c r="R12" i="12833"/>
  <c r="T12" i="12833"/>
  <c r="L14" i="12833"/>
  <c r="N14" i="12833"/>
  <c r="P14" i="12833"/>
  <c r="R14" i="12833"/>
  <c r="T14" i="12833"/>
  <c r="L15" i="12833"/>
  <c r="N15" i="12833"/>
  <c r="P15" i="12833"/>
  <c r="R15" i="12833"/>
  <c r="T15" i="12833"/>
  <c r="L16" i="12833"/>
  <c r="N16" i="12833"/>
  <c r="P16" i="12833"/>
  <c r="R16" i="12833"/>
  <c r="T16" i="12833"/>
  <c r="L17" i="12833"/>
  <c r="N17" i="12833"/>
  <c r="P17" i="12833"/>
  <c r="R17" i="12833"/>
  <c r="T17" i="12833"/>
  <c r="L19" i="12833"/>
  <c r="N19" i="12833"/>
  <c r="P19" i="12833"/>
  <c r="R19" i="12833"/>
  <c r="T19" i="12833"/>
  <c r="Y19" i="12833"/>
  <c r="L20" i="12833"/>
  <c r="N20" i="12833"/>
  <c r="P20" i="12833"/>
  <c r="R20" i="12833"/>
  <c r="T20" i="12833"/>
  <c r="L21" i="12833"/>
  <c r="N21" i="12833"/>
  <c r="P21" i="12833"/>
  <c r="R21" i="12833"/>
  <c r="T21" i="12833"/>
  <c r="L22" i="12833"/>
  <c r="N22" i="12833"/>
  <c r="P22" i="12833"/>
  <c r="R22" i="12833"/>
  <c r="T22" i="12833"/>
  <c r="W22" i="12833"/>
  <c r="L23" i="12833"/>
  <c r="N23" i="12833"/>
  <c r="P23" i="12833"/>
  <c r="R23" i="12833"/>
  <c r="T23" i="12833"/>
  <c r="W23" i="12833"/>
  <c r="L25" i="12833"/>
  <c r="N25" i="12833"/>
  <c r="P25" i="12833"/>
  <c r="R25" i="12833"/>
  <c r="T25" i="12833"/>
  <c r="L26" i="12833"/>
  <c r="N26" i="12833"/>
  <c r="P26" i="12833"/>
  <c r="R26" i="12833"/>
  <c r="T26" i="12833"/>
  <c r="L27" i="12833"/>
  <c r="N27" i="12833"/>
  <c r="P27" i="12833"/>
  <c r="R27" i="12833"/>
  <c r="T27" i="12833"/>
  <c r="L28" i="12833"/>
  <c r="N28" i="12833"/>
  <c r="P28" i="12833"/>
  <c r="R28" i="12833"/>
  <c r="T28" i="12833"/>
  <c r="L29" i="12833"/>
  <c r="N29" i="12833"/>
  <c r="P29" i="12833"/>
  <c r="R29" i="12833"/>
  <c r="T29" i="12833"/>
  <c r="L31" i="12833"/>
  <c r="N31" i="12833"/>
  <c r="P31" i="12833"/>
  <c r="R31" i="12833"/>
  <c r="T31" i="12833"/>
  <c r="L32" i="12833"/>
  <c r="N32" i="12833"/>
  <c r="P32" i="12833"/>
  <c r="R32" i="12833"/>
  <c r="T32" i="12833"/>
  <c r="L33" i="12833"/>
  <c r="N33" i="12833"/>
  <c r="P33" i="12833"/>
  <c r="R33" i="12833"/>
  <c r="T33" i="12833"/>
  <c r="Y9" i="12847"/>
  <c r="AA9" i="12847"/>
  <c r="L10" i="12847"/>
  <c r="N10" i="12847"/>
  <c r="P10" i="12847"/>
  <c r="R10" i="12847"/>
  <c r="T10" i="12847"/>
  <c r="Y10" i="12847"/>
  <c r="AA10" i="12847"/>
  <c r="L11" i="12847"/>
  <c r="N11" i="12847"/>
  <c r="P11" i="12847"/>
  <c r="R11" i="12847"/>
  <c r="T11" i="12847"/>
  <c r="L12" i="12847"/>
  <c r="N12" i="12847"/>
  <c r="P12" i="12847"/>
  <c r="R12" i="12847"/>
  <c r="T12" i="12847"/>
  <c r="L14" i="12847"/>
  <c r="N14" i="12847"/>
  <c r="P14" i="12847"/>
  <c r="R14" i="12847"/>
  <c r="T14" i="12847"/>
  <c r="L15" i="12847"/>
  <c r="N15" i="12847"/>
  <c r="P15" i="12847"/>
  <c r="R15" i="12847"/>
  <c r="T15" i="12847"/>
  <c r="L16" i="12847"/>
  <c r="N16" i="12847"/>
  <c r="P16" i="12847"/>
  <c r="R16" i="12847"/>
  <c r="T16" i="12847"/>
  <c r="L17" i="12847"/>
  <c r="N17" i="12847"/>
  <c r="P17" i="12847"/>
  <c r="R17" i="12847"/>
  <c r="T17" i="12847"/>
  <c r="L19" i="12847"/>
  <c r="N19" i="12847"/>
  <c r="P19" i="12847"/>
  <c r="R19" i="12847"/>
  <c r="T19" i="12847"/>
  <c r="L20" i="12847"/>
  <c r="N20" i="12847"/>
  <c r="P20" i="12847"/>
  <c r="R20" i="12847"/>
  <c r="T20" i="12847"/>
  <c r="L21" i="12847"/>
  <c r="N21" i="12847"/>
  <c r="P21" i="12847"/>
  <c r="R21" i="12847"/>
  <c r="T21" i="12847"/>
  <c r="L22" i="12847"/>
  <c r="N22" i="12847"/>
  <c r="P22" i="12847"/>
  <c r="R22" i="12847"/>
  <c r="T22" i="12847"/>
  <c r="L23" i="12847"/>
  <c r="N23" i="12847"/>
  <c r="P23" i="12847"/>
  <c r="R23" i="12847"/>
  <c r="T23" i="12847"/>
  <c r="L25" i="12847"/>
  <c r="N25" i="12847"/>
  <c r="P25" i="12847"/>
  <c r="R25" i="12847"/>
  <c r="T25" i="12847"/>
  <c r="L26" i="12847"/>
  <c r="N26" i="12847"/>
  <c r="P26" i="12847"/>
  <c r="R26" i="12847"/>
  <c r="T26" i="12847"/>
  <c r="L27" i="12847"/>
  <c r="N27" i="12847"/>
  <c r="P27" i="12847"/>
  <c r="R27" i="12847"/>
  <c r="T27" i="12847"/>
  <c r="L28" i="12847"/>
  <c r="N28" i="12847"/>
  <c r="P28" i="12847"/>
  <c r="R28" i="12847"/>
  <c r="T28" i="12847"/>
  <c r="L29" i="12847"/>
  <c r="N29" i="12847"/>
  <c r="P29" i="12847"/>
  <c r="R29" i="12847"/>
  <c r="T29" i="12847"/>
  <c r="W30" i="12847"/>
  <c r="L31" i="12847"/>
  <c r="N31" i="12847"/>
  <c r="P31" i="12847"/>
  <c r="R31" i="12847"/>
  <c r="T31" i="12847"/>
  <c r="W31" i="12847"/>
  <c r="L32" i="12847"/>
  <c r="N32" i="12847"/>
  <c r="P32" i="12847"/>
  <c r="R32" i="12847"/>
  <c r="T32" i="12847"/>
  <c r="L33" i="12847"/>
  <c r="N33" i="12847"/>
  <c r="P33" i="12847"/>
  <c r="R33" i="12847"/>
  <c r="T33" i="12847"/>
  <c r="K14" i="12769"/>
  <c r="M14" i="12769"/>
  <c r="O14" i="12769"/>
  <c r="Q14" i="12769"/>
  <c r="S14" i="12769"/>
  <c r="U14" i="12769"/>
  <c r="K15" i="12769"/>
  <c r="M15" i="12769"/>
  <c r="O15" i="12769"/>
  <c r="Q15" i="12769"/>
  <c r="S15" i="12769"/>
  <c r="U15" i="12769"/>
  <c r="K16" i="12769"/>
  <c r="M16" i="12769"/>
  <c r="O16" i="12769"/>
  <c r="Q16" i="12769"/>
  <c r="S16" i="12769"/>
  <c r="U16" i="12769"/>
  <c r="K18" i="12769"/>
  <c r="M18" i="12769"/>
  <c r="O18" i="12769"/>
  <c r="Q18" i="12769"/>
  <c r="S18" i="12769"/>
  <c r="U18" i="12769"/>
  <c r="K19" i="12769"/>
  <c r="M19" i="12769"/>
  <c r="O19" i="12769"/>
  <c r="Q19" i="12769"/>
  <c r="S19" i="12769"/>
  <c r="U19" i="12769"/>
  <c r="K20" i="12769"/>
  <c r="M20" i="12769"/>
  <c r="O20" i="12769"/>
  <c r="Q20" i="12769"/>
  <c r="S20" i="12769"/>
  <c r="U20" i="12769"/>
  <c r="AA21" i="12769"/>
  <c r="AB21" i="12769"/>
  <c r="K22" i="12769"/>
  <c r="M22" i="12769"/>
  <c r="O22" i="12769"/>
  <c r="Q22" i="12769"/>
  <c r="S22" i="12769"/>
  <c r="U22" i="12769"/>
  <c r="AA22" i="12769"/>
  <c r="AB22" i="12769"/>
  <c r="K23" i="12769"/>
  <c r="M23" i="12769"/>
  <c r="O23" i="12769"/>
  <c r="Q23" i="12769"/>
  <c r="S23" i="12769"/>
  <c r="U23" i="12769"/>
  <c r="AA23" i="12769"/>
  <c r="AB23" i="12769"/>
  <c r="K24" i="12769"/>
  <c r="M24" i="12769"/>
  <c r="O24" i="12769"/>
  <c r="Q24" i="12769"/>
  <c r="S24" i="12769"/>
  <c r="U24" i="12769"/>
  <c r="K26" i="12769"/>
  <c r="M26" i="12769"/>
  <c r="O26" i="12769"/>
  <c r="Q26" i="12769"/>
  <c r="S26" i="12769"/>
  <c r="U26" i="12769"/>
  <c r="K27" i="12769"/>
  <c r="M27" i="12769"/>
  <c r="O27" i="12769"/>
  <c r="Q27" i="12769"/>
  <c r="S27" i="12769"/>
  <c r="U27" i="12769"/>
  <c r="K28" i="12769"/>
  <c r="M28" i="12769"/>
  <c r="O28" i="12769"/>
  <c r="Q28" i="12769"/>
  <c r="S28" i="12769"/>
  <c r="U28" i="12769"/>
  <c r="K30" i="12769"/>
  <c r="M30" i="12769"/>
  <c r="O30" i="12769"/>
  <c r="Q30" i="12769"/>
  <c r="S30" i="12769"/>
  <c r="U30" i="12769"/>
  <c r="K31" i="12769"/>
  <c r="M31" i="12769"/>
  <c r="O31" i="12769"/>
  <c r="Q31" i="12769"/>
  <c r="S31" i="12769"/>
  <c r="U31" i="12769"/>
  <c r="K32" i="12769"/>
  <c r="M32" i="12769"/>
  <c r="O32" i="12769"/>
  <c r="Q32" i="12769"/>
  <c r="S32" i="12769"/>
  <c r="U32" i="12769"/>
  <c r="AA32" i="12769"/>
  <c r="X34" i="12769"/>
  <c r="X35" i="12769"/>
  <c r="I14" i="12770"/>
  <c r="K14" i="12770"/>
  <c r="I15" i="12770"/>
  <c r="K15" i="12770"/>
  <c r="I16" i="12770"/>
  <c r="K16" i="12770"/>
  <c r="I18" i="12770"/>
  <c r="K18" i="12770"/>
  <c r="R18" i="12770"/>
  <c r="U18" i="12770"/>
  <c r="I19" i="12770"/>
  <c r="K19" i="12770"/>
  <c r="R19" i="12770"/>
  <c r="U19" i="12770"/>
  <c r="I20" i="12770"/>
  <c r="K20" i="12770"/>
  <c r="R20" i="12770"/>
  <c r="U20" i="12770"/>
  <c r="I22" i="12770"/>
  <c r="K22" i="12770"/>
  <c r="I23" i="12770"/>
  <c r="K23" i="12770"/>
  <c r="I24" i="12770"/>
  <c r="K24" i="12770"/>
  <c r="I26" i="12770"/>
  <c r="K26" i="12770"/>
  <c r="I27" i="12770"/>
  <c r="K27" i="12770"/>
  <c r="I28" i="12770"/>
  <c r="K28" i="12770"/>
  <c r="R29" i="12770"/>
  <c r="I30" i="12770"/>
  <c r="K30" i="12770"/>
  <c r="I31" i="12770"/>
  <c r="K31" i="12770"/>
  <c r="I32" i="12770"/>
  <c r="K32" i="12770"/>
  <c r="O32" i="12770"/>
  <c r="O33" i="12770"/>
  <c r="I34" i="12770"/>
  <c r="K34" i="12770"/>
  <c r="I35" i="12770"/>
  <c r="K35" i="12770"/>
  <c r="I36" i="12770"/>
  <c r="K36" i="12770"/>
  <c r="I38" i="12770"/>
  <c r="K38" i="12770"/>
  <c r="I39" i="12770"/>
  <c r="K39" i="12770"/>
  <c r="I40" i="12770"/>
  <c r="K40" i="12770"/>
  <c r="V14" i="12771"/>
  <c r="K18" i="12771"/>
  <c r="O18" i="12771"/>
  <c r="K19" i="12771"/>
  <c r="O19" i="12771"/>
  <c r="K20" i="12771"/>
  <c r="O20" i="12771"/>
  <c r="K23" i="12771"/>
  <c r="O23" i="12771"/>
  <c r="K24" i="12771"/>
  <c r="O24" i="12771"/>
  <c r="K25" i="12771"/>
  <c r="O25" i="12771"/>
  <c r="K27" i="12771"/>
  <c r="O27" i="12771"/>
  <c r="K28" i="12771"/>
  <c r="O28" i="12771"/>
  <c r="K29" i="12771"/>
  <c r="O29" i="12771"/>
  <c r="V30" i="12771"/>
  <c r="K31" i="12771"/>
  <c r="O31" i="12771"/>
  <c r="K32" i="12771"/>
  <c r="O32" i="12771"/>
  <c r="K33" i="12771"/>
  <c r="O33" i="12771"/>
  <c r="T33" i="12771"/>
  <c r="T34" i="12771"/>
  <c r="I15" i="12772"/>
  <c r="K15" i="12772"/>
  <c r="I16" i="12772"/>
  <c r="K16" i="12772"/>
  <c r="I17" i="12772"/>
  <c r="K17" i="12772"/>
  <c r="Q18" i="12772"/>
  <c r="T18" i="12772"/>
  <c r="I19" i="12772"/>
  <c r="K19" i="12772"/>
  <c r="I20" i="12772"/>
  <c r="K20" i="12772"/>
  <c r="I21" i="12772"/>
  <c r="K21" i="12772"/>
  <c r="I23" i="12772"/>
  <c r="K23" i="12772"/>
  <c r="I24" i="12772"/>
  <c r="K24" i="12772"/>
  <c r="I25" i="12772"/>
  <c r="K25" i="12772"/>
  <c r="I27" i="12772"/>
  <c r="K27" i="12772"/>
  <c r="Q27" i="12772"/>
  <c r="I28" i="12772"/>
  <c r="K28" i="12772"/>
  <c r="I29" i="12772"/>
  <c r="K29" i="12772"/>
  <c r="N30" i="12772"/>
  <c r="N31" i="12772"/>
  <c r="I15" i="12773"/>
  <c r="K15" i="12773"/>
  <c r="I16" i="12773"/>
  <c r="K16" i="12773"/>
  <c r="I17" i="12773"/>
  <c r="K17" i="12773"/>
  <c r="Q18" i="12773"/>
  <c r="T18" i="12773"/>
  <c r="I19" i="12773"/>
  <c r="K19" i="12773"/>
  <c r="I20" i="12773"/>
  <c r="K20" i="12773"/>
  <c r="I21" i="12773"/>
  <c r="K21" i="12773"/>
  <c r="I23" i="12773"/>
  <c r="K23" i="12773"/>
  <c r="I24" i="12773"/>
  <c r="K24" i="12773"/>
  <c r="I25" i="12773"/>
  <c r="K25" i="12773"/>
  <c r="I27" i="12773"/>
  <c r="K27" i="12773"/>
  <c r="Q27" i="12773"/>
  <c r="I28" i="12773"/>
  <c r="K28" i="12773"/>
  <c r="I29" i="12773"/>
  <c r="K29" i="12773"/>
  <c r="N30" i="12773"/>
  <c r="N31" i="12773"/>
  <c r="I15" i="12791"/>
  <c r="K15" i="12791"/>
  <c r="I16" i="12791"/>
  <c r="K16" i="12791"/>
  <c r="I17" i="12791"/>
  <c r="K17" i="12791"/>
  <c r="R18" i="12791"/>
  <c r="U18" i="12791"/>
  <c r="I19" i="12791"/>
  <c r="K19" i="12791"/>
  <c r="I20" i="12791"/>
  <c r="K20" i="12791"/>
  <c r="I21" i="12791"/>
  <c r="K21" i="12791"/>
  <c r="I23" i="12791"/>
  <c r="K23" i="12791"/>
  <c r="I24" i="12791"/>
  <c r="K24" i="12791"/>
  <c r="I25" i="12791"/>
  <c r="K25" i="12791"/>
  <c r="I27" i="12791"/>
  <c r="K27" i="12791"/>
  <c r="R27" i="12791"/>
  <c r="I28" i="12791"/>
  <c r="K28" i="12791"/>
  <c r="I29" i="12791"/>
  <c r="K29" i="12791"/>
  <c r="N30" i="12791"/>
  <c r="N31" i="12791"/>
  <c r="N177" i="12767"/>
  <c r="P177" i="12767"/>
  <c r="R177" i="12767"/>
  <c r="T177" i="12767"/>
  <c r="V177" i="12767"/>
  <c r="X177" i="12767"/>
  <c r="N178" i="12767"/>
  <c r="P178" i="12767"/>
  <c r="R178" i="12767"/>
  <c r="T178" i="12767"/>
  <c r="V178" i="12767"/>
  <c r="X178" i="12767"/>
  <c r="N179" i="12767"/>
  <c r="P179" i="12767"/>
  <c r="R179" i="12767"/>
  <c r="T179" i="12767"/>
  <c r="V179" i="12767"/>
  <c r="X179" i="12767"/>
  <c r="N180" i="12767"/>
  <c r="P180" i="12767"/>
  <c r="R180" i="12767"/>
  <c r="T180" i="12767"/>
  <c r="V180" i="12767"/>
  <c r="X180" i="12767"/>
  <c r="N185" i="12767"/>
  <c r="R185" i="12767"/>
  <c r="V185" i="12767"/>
  <c r="N186" i="12767"/>
  <c r="R186" i="12767"/>
  <c r="V186" i="12767"/>
  <c r="N187" i="12767"/>
  <c r="R187" i="12767"/>
  <c r="V187" i="12767"/>
  <c r="N192" i="12767"/>
  <c r="P192" i="12767"/>
  <c r="R192" i="12767"/>
  <c r="T192" i="12767"/>
  <c r="V192" i="12767"/>
  <c r="X192" i="12767"/>
  <c r="N193" i="12767"/>
  <c r="P193" i="12767"/>
  <c r="R193" i="12767"/>
  <c r="T193" i="12767"/>
  <c r="V193" i="12767"/>
  <c r="X193" i="12767"/>
  <c r="N194" i="12767"/>
  <c r="P194" i="12767"/>
  <c r="R194" i="12767"/>
  <c r="T194" i="12767"/>
  <c r="V194" i="12767"/>
  <c r="X194" i="12767"/>
  <c r="N195" i="12767"/>
  <c r="P195" i="12767"/>
  <c r="R195" i="12767"/>
  <c r="T195" i="12767"/>
  <c r="V195" i="12767"/>
  <c r="X195" i="12767"/>
  <c r="P199" i="12767"/>
  <c r="T199" i="12767"/>
  <c r="P200" i="12767"/>
  <c r="T200" i="12767"/>
  <c r="P202" i="12767"/>
  <c r="T202" i="12767"/>
  <c r="X202" i="12767"/>
  <c r="P204" i="12767"/>
  <c r="T204" i="12767"/>
  <c r="X204" i="12767"/>
  <c r="N217" i="12767"/>
  <c r="P217" i="12767"/>
  <c r="R217" i="12767"/>
  <c r="T217" i="12767"/>
  <c r="V217" i="12767"/>
  <c r="X217" i="12767"/>
  <c r="N218" i="12767"/>
  <c r="P218" i="12767"/>
  <c r="R218" i="12767"/>
  <c r="T218" i="12767"/>
  <c r="V218" i="12767"/>
  <c r="X218" i="12767"/>
  <c r="N219" i="12767"/>
  <c r="P219" i="12767"/>
  <c r="R219" i="12767"/>
  <c r="T219" i="12767"/>
  <c r="V219" i="12767"/>
  <c r="X219" i="12767"/>
  <c r="N220" i="12767"/>
  <c r="P220" i="12767"/>
  <c r="R220" i="12767"/>
  <c r="T220" i="12767"/>
  <c r="V220" i="12767"/>
  <c r="X220" i="12767"/>
  <c r="N229" i="12767"/>
  <c r="P229" i="12767"/>
  <c r="R229" i="12767"/>
  <c r="T229" i="12767"/>
  <c r="V229" i="12767"/>
  <c r="X229" i="12767"/>
  <c r="N230" i="12767"/>
  <c r="P230" i="12767"/>
  <c r="R230" i="12767"/>
  <c r="T230" i="12767"/>
  <c r="V230" i="12767"/>
  <c r="X230" i="12767"/>
  <c r="N231" i="12767"/>
  <c r="P231" i="12767"/>
  <c r="R231" i="12767"/>
  <c r="T231" i="12767"/>
  <c r="V231" i="12767"/>
  <c r="X231" i="12767"/>
  <c r="N232" i="12767"/>
  <c r="P232" i="12767"/>
  <c r="R232" i="12767"/>
  <c r="T232" i="12767"/>
  <c r="V232" i="12767"/>
  <c r="X232" i="12767"/>
  <c r="P239" i="12767"/>
  <c r="T239" i="12767"/>
  <c r="X239" i="12767"/>
  <c r="P241" i="12767"/>
  <c r="T241" i="12767"/>
  <c r="X241" i="12767"/>
  <c r="N251" i="12767"/>
  <c r="P251" i="12767"/>
  <c r="R251" i="12767"/>
  <c r="T251" i="12767"/>
  <c r="V251" i="12767"/>
  <c r="X251" i="12767"/>
  <c r="N252" i="12767"/>
  <c r="P252" i="12767"/>
  <c r="R252" i="12767"/>
  <c r="T252" i="12767"/>
  <c r="V252" i="12767"/>
  <c r="X252" i="12767"/>
  <c r="N253" i="12767"/>
  <c r="P253" i="12767"/>
  <c r="R253" i="12767"/>
  <c r="T253" i="12767"/>
  <c r="V253" i="12767"/>
  <c r="X253" i="12767"/>
  <c r="N254" i="12767"/>
  <c r="P254" i="12767"/>
  <c r="R254" i="12767"/>
  <c r="T254" i="12767"/>
  <c r="V254" i="12767"/>
  <c r="X254" i="12767"/>
  <c r="N263" i="12767"/>
  <c r="P263" i="12767"/>
  <c r="R263" i="12767"/>
  <c r="T263" i="12767"/>
  <c r="V263" i="12767"/>
  <c r="X263" i="12767"/>
  <c r="N264" i="12767"/>
  <c r="P264" i="12767"/>
  <c r="R264" i="12767"/>
  <c r="T264" i="12767"/>
  <c r="V264" i="12767"/>
  <c r="X264" i="12767"/>
  <c r="N265" i="12767"/>
  <c r="P265" i="12767"/>
  <c r="R265" i="12767"/>
  <c r="T265" i="12767"/>
  <c r="V265" i="12767"/>
  <c r="X265" i="12767"/>
  <c r="N266" i="12767"/>
  <c r="P266" i="12767"/>
  <c r="R266" i="12767"/>
  <c r="T266" i="12767"/>
  <c r="V266" i="12767"/>
  <c r="X266" i="12767"/>
  <c r="P273" i="12767"/>
  <c r="T273" i="12767"/>
  <c r="X273" i="12767"/>
  <c r="P275" i="12767"/>
  <c r="T275" i="12767"/>
  <c r="X275" i="12767"/>
  <c r="N286" i="12767"/>
  <c r="P286" i="12767"/>
  <c r="R286" i="12767"/>
  <c r="T286" i="12767"/>
  <c r="V286" i="12767"/>
  <c r="X286" i="12767"/>
  <c r="N287" i="12767"/>
  <c r="P287" i="12767"/>
  <c r="R287" i="12767"/>
  <c r="T287" i="12767"/>
  <c r="V287" i="12767"/>
  <c r="X287" i="12767"/>
  <c r="N288" i="12767"/>
  <c r="P288" i="12767"/>
  <c r="R288" i="12767"/>
  <c r="T288" i="12767"/>
  <c r="V288" i="12767"/>
  <c r="X288" i="12767"/>
  <c r="N289" i="12767"/>
  <c r="P289" i="12767"/>
  <c r="R289" i="12767"/>
  <c r="T289" i="12767"/>
  <c r="V289" i="12767"/>
  <c r="X289" i="12767"/>
  <c r="N298" i="12767"/>
  <c r="P298" i="12767"/>
  <c r="R298" i="12767"/>
  <c r="T298" i="12767"/>
  <c r="V298" i="12767"/>
  <c r="X298" i="12767"/>
  <c r="N299" i="12767"/>
  <c r="P299" i="12767"/>
  <c r="R299" i="12767"/>
  <c r="T299" i="12767"/>
  <c r="V299" i="12767"/>
  <c r="X299" i="12767"/>
  <c r="N300" i="12767"/>
  <c r="P300" i="12767"/>
  <c r="R300" i="12767"/>
  <c r="T300" i="12767"/>
  <c r="V300" i="12767"/>
  <c r="X300" i="12767"/>
  <c r="N301" i="12767"/>
  <c r="P301" i="12767"/>
  <c r="R301" i="12767"/>
  <c r="T301" i="12767"/>
  <c r="V301" i="12767"/>
  <c r="X301" i="12767"/>
  <c r="P308" i="12767"/>
  <c r="T308" i="12767"/>
  <c r="X308" i="12767"/>
  <c r="P310" i="12767"/>
  <c r="T310" i="12767"/>
  <c r="X310" i="12767"/>
  <c r="N320" i="12767"/>
  <c r="P320" i="12767"/>
  <c r="R320" i="12767"/>
  <c r="T320" i="12767"/>
  <c r="V320" i="12767"/>
  <c r="X320" i="12767"/>
  <c r="N321" i="12767"/>
  <c r="P321" i="12767"/>
  <c r="R321" i="12767"/>
  <c r="T321" i="12767"/>
  <c r="V321" i="12767"/>
  <c r="X321" i="12767"/>
  <c r="N322" i="12767"/>
  <c r="P322" i="12767"/>
  <c r="R322" i="12767"/>
  <c r="T322" i="12767"/>
  <c r="V322" i="12767"/>
  <c r="X322" i="12767"/>
  <c r="N323" i="12767"/>
  <c r="P323" i="12767"/>
  <c r="R323" i="12767"/>
  <c r="T323" i="12767"/>
  <c r="V323" i="12767"/>
  <c r="X323" i="12767"/>
  <c r="N332" i="12767"/>
  <c r="P332" i="12767"/>
  <c r="R332" i="12767"/>
  <c r="T332" i="12767"/>
  <c r="V332" i="12767"/>
  <c r="X332" i="12767"/>
  <c r="N333" i="12767"/>
  <c r="P333" i="12767"/>
  <c r="R333" i="12767"/>
  <c r="T333" i="12767"/>
  <c r="V333" i="12767"/>
  <c r="X333" i="12767"/>
  <c r="N334" i="12767"/>
  <c r="P334" i="12767"/>
  <c r="R334" i="12767"/>
  <c r="T334" i="12767"/>
  <c r="V334" i="12767"/>
  <c r="X334" i="12767"/>
  <c r="N335" i="12767"/>
  <c r="P335" i="12767"/>
  <c r="R335" i="12767"/>
  <c r="T335" i="12767"/>
  <c r="V335" i="12767"/>
  <c r="X335" i="12767"/>
  <c r="P342" i="12767"/>
  <c r="T342" i="12767"/>
  <c r="X342" i="12767"/>
  <c r="P344" i="12767"/>
  <c r="T344" i="12767"/>
  <c r="X344" i="12767"/>
  <c r="N355" i="12767"/>
  <c r="P355" i="12767"/>
  <c r="R355" i="12767"/>
  <c r="T355" i="12767"/>
  <c r="V355" i="12767"/>
  <c r="X355" i="12767"/>
  <c r="N356" i="12767"/>
  <c r="P356" i="12767"/>
  <c r="R356" i="12767"/>
  <c r="T356" i="12767"/>
  <c r="V356" i="12767"/>
  <c r="X356" i="12767"/>
  <c r="N357" i="12767"/>
  <c r="P357" i="12767"/>
  <c r="R357" i="12767"/>
  <c r="T357" i="12767"/>
  <c r="V357" i="12767"/>
  <c r="X357" i="12767"/>
  <c r="N358" i="12767"/>
  <c r="P358" i="12767"/>
  <c r="R358" i="12767"/>
  <c r="T358" i="12767"/>
  <c r="V358" i="12767"/>
  <c r="X358" i="12767"/>
  <c r="P362" i="12767"/>
  <c r="T362" i="12767"/>
  <c r="X362" i="12767"/>
  <c r="N367" i="12767"/>
  <c r="P367" i="12767"/>
  <c r="R367" i="12767"/>
  <c r="T367" i="12767"/>
  <c r="V367" i="12767"/>
  <c r="X367" i="12767"/>
  <c r="N368" i="12767"/>
  <c r="P368" i="12767"/>
  <c r="R368" i="12767"/>
  <c r="T368" i="12767"/>
  <c r="V368" i="12767"/>
  <c r="X368" i="12767"/>
  <c r="N369" i="12767"/>
  <c r="P369" i="12767"/>
  <c r="R369" i="12767"/>
  <c r="T369" i="12767"/>
  <c r="V369" i="12767"/>
  <c r="X369" i="12767"/>
  <c r="N370" i="12767"/>
  <c r="P370" i="12767"/>
  <c r="R370" i="12767"/>
  <c r="T370" i="12767"/>
  <c r="V370" i="12767"/>
  <c r="X370" i="12767"/>
  <c r="P377" i="12767"/>
  <c r="T377" i="12767"/>
  <c r="X377" i="12767"/>
  <c r="P379" i="12767"/>
  <c r="T379" i="12767"/>
  <c r="X379" i="12767"/>
  <c r="N390" i="12767"/>
  <c r="P390" i="12767"/>
  <c r="R390" i="12767"/>
  <c r="T390" i="12767"/>
  <c r="V390" i="12767"/>
  <c r="X390" i="12767"/>
  <c r="N391" i="12767"/>
  <c r="P391" i="12767"/>
  <c r="R391" i="12767"/>
  <c r="T391" i="12767"/>
  <c r="V391" i="12767"/>
  <c r="X391" i="12767"/>
  <c r="N392" i="12767"/>
  <c r="P392" i="12767"/>
  <c r="R392" i="12767"/>
  <c r="T392" i="12767"/>
  <c r="V392" i="12767"/>
  <c r="X392" i="12767"/>
  <c r="N393" i="12767"/>
  <c r="P393" i="12767"/>
  <c r="R393" i="12767"/>
  <c r="T393" i="12767"/>
  <c r="V393" i="12767"/>
  <c r="X393" i="12767"/>
  <c r="N402" i="12767"/>
  <c r="P402" i="12767"/>
  <c r="R402" i="12767"/>
  <c r="T402" i="12767"/>
  <c r="V402" i="12767"/>
  <c r="X402" i="12767"/>
  <c r="N403" i="12767"/>
  <c r="P403" i="12767"/>
  <c r="R403" i="12767"/>
  <c r="T403" i="12767"/>
  <c r="V403" i="12767"/>
  <c r="X403" i="12767"/>
  <c r="N404" i="12767"/>
  <c r="P404" i="12767"/>
  <c r="R404" i="12767"/>
  <c r="T404" i="12767"/>
  <c r="V404" i="12767"/>
  <c r="X404" i="12767"/>
  <c r="N405" i="12767"/>
  <c r="P405" i="12767"/>
  <c r="R405" i="12767"/>
  <c r="T405" i="12767"/>
  <c r="V405" i="12767"/>
  <c r="X405" i="12767"/>
  <c r="P412" i="12767"/>
  <c r="T412" i="12767"/>
  <c r="X412" i="12767"/>
  <c r="P414" i="12767"/>
  <c r="T414" i="12767"/>
  <c r="X414" i="12767"/>
  <c r="N425" i="12767"/>
  <c r="P425" i="12767"/>
  <c r="R425" i="12767"/>
  <c r="T425" i="12767"/>
  <c r="V425" i="12767"/>
  <c r="X425" i="12767"/>
  <c r="N426" i="12767"/>
  <c r="P426" i="12767"/>
  <c r="R426" i="12767"/>
  <c r="T426" i="12767"/>
  <c r="V426" i="12767"/>
  <c r="X426" i="12767"/>
  <c r="N427" i="12767"/>
  <c r="P427" i="12767"/>
  <c r="R427" i="12767"/>
  <c r="T427" i="12767"/>
  <c r="V427" i="12767"/>
  <c r="X427" i="12767"/>
  <c r="N428" i="12767"/>
  <c r="P428" i="12767"/>
  <c r="R428" i="12767"/>
  <c r="T428" i="12767"/>
  <c r="V428" i="12767"/>
  <c r="X428" i="12767"/>
  <c r="N437" i="12767"/>
  <c r="P437" i="12767"/>
  <c r="R437" i="12767"/>
  <c r="T437" i="12767"/>
  <c r="V437" i="12767"/>
  <c r="X437" i="12767"/>
  <c r="N438" i="12767"/>
  <c r="P438" i="12767"/>
  <c r="R438" i="12767"/>
  <c r="T438" i="12767"/>
  <c r="V438" i="12767"/>
  <c r="X438" i="12767"/>
  <c r="N439" i="12767"/>
  <c r="P439" i="12767"/>
  <c r="R439" i="12767"/>
  <c r="T439" i="12767"/>
  <c r="V439" i="12767"/>
  <c r="X439" i="12767"/>
  <c r="N440" i="12767"/>
  <c r="P440" i="12767"/>
  <c r="R440" i="12767"/>
  <c r="T440" i="12767"/>
  <c r="V440" i="12767"/>
  <c r="X440" i="12767"/>
  <c r="P447" i="12767"/>
  <c r="T447" i="12767"/>
  <c r="X447" i="12767"/>
  <c r="P449" i="12767"/>
  <c r="T449" i="12767"/>
  <c r="X449" i="12767"/>
  <c r="N461" i="12767"/>
  <c r="P461" i="12767"/>
  <c r="R461" i="12767"/>
  <c r="T461" i="12767"/>
  <c r="V461" i="12767"/>
  <c r="X461" i="12767"/>
  <c r="N462" i="12767"/>
  <c r="P462" i="12767"/>
  <c r="R462" i="12767"/>
  <c r="T462" i="12767"/>
  <c r="V462" i="12767"/>
  <c r="X462" i="12767"/>
  <c r="N463" i="12767"/>
  <c r="P463" i="12767"/>
  <c r="R463" i="12767"/>
  <c r="T463" i="12767"/>
  <c r="V463" i="12767"/>
  <c r="X463" i="12767"/>
  <c r="N464" i="12767"/>
  <c r="P464" i="12767"/>
  <c r="R464" i="12767"/>
  <c r="T464" i="12767"/>
  <c r="V464" i="12767"/>
  <c r="X464" i="12767"/>
  <c r="N473" i="12767"/>
  <c r="P473" i="12767"/>
  <c r="R473" i="12767"/>
  <c r="T473" i="12767"/>
  <c r="V473" i="12767"/>
  <c r="X473" i="12767"/>
  <c r="N474" i="12767"/>
  <c r="P474" i="12767"/>
  <c r="R474" i="12767"/>
  <c r="T474" i="12767"/>
  <c r="V474" i="12767"/>
  <c r="X474" i="12767"/>
  <c r="N475" i="12767"/>
  <c r="P475" i="12767"/>
  <c r="R475" i="12767"/>
  <c r="T475" i="12767"/>
  <c r="V475" i="12767"/>
  <c r="X475" i="12767"/>
  <c r="N476" i="12767"/>
  <c r="P476" i="12767"/>
  <c r="R476" i="12767"/>
  <c r="T476" i="12767"/>
  <c r="V476" i="12767"/>
  <c r="X476" i="12767"/>
  <c r="P483" i="12767"/>
  <c r="T483" i="12767"/>
  <c r="X483" i="12767"/>
  <c r="P485" i="12767"/>
  <c r="T485" i="12767"/>
  <c r="X485" i="12767"/>
  <c r="N496" i="12767"/>
  <c r="P496" i="12767"/>
  <c r="R496" i="12767"/>
  <c r="T496" i="12767"/>
  <c r="V496" i="12767"/>
  <c r="X496" i="12767"/>
  <c r="N497" i="12767"/>
  <c r="P497" i="12767"/>
  <c r="R497" i="12767"/>
  <c r="T497" i="12767"/>
  <c r="V497" i="12767"/>
  <c r="X497" i="12767"/>
  <c r="N498" i="12767"/>
  <c r="P498" i="12767"/>
  <c r="R498" i="12767"/>
  <c r="T498" i="12767"/>
  <c r="V498" i="12767"/>
  <c r="X498" i="12767"/>
  <c r="N499" i="12767"/>
  <c r="P499" i="12767"/>
  <c r="R499" i="12767"/>
  <c r="T499" i="12767"/>
  <c r="V499" i="12767"/>
  <c r="X499" i="12767"/>
  <c r="N508" i="12767"/>
  <c r="P508" i="12767"/>
  <c r="R508" i="12767"/>
  <c r="T508" i="12767"/>
  <c r="V508" i="12767"/>
  <c r="X508" i="12767"/>
  <c r="N509" i="12767"/>
  <c r="P509" i="12767"/>
  <c r="R509" i="12767"/>
  <c r="T509" i="12767"/>
  <c r="V509" i="12767"/>
  <c r="X509" i="12767"/>
  <c r="N510" i="12767"/>
  <c r="P510" i="12767"/>
  <c r="R510" i="12767"/>
  <c r="T510" i="12767"/>
  <c r="V510" i="12767"/>
  <c r="X510" i="12767"/>
  <c r="N511" i="12767"/>
  <c r="P511" i="12767"/>
  <c r="R511" i="12767"/>
  <c r="T511" i="12767"/>
  <c r="V511" i="12767"/>
  <c r="X511" i="12767"/>
  <c r="P518" i="12767"/>
  <c r="T518" i="12767"/>
  <c r="X518" i="12767"/>
  <c r="P520" i="12767"/>
  <c r="T520" i="12767"/>
  <c r="X520" i="12767"/>
  <c r="N531" i="12767"/>
  <c r="P531" i="12767"/>
  <c r="R531" i="12767"/>
  <c r="T531" i="12767"/>
  <c r="V531" i="12767"/>
  <c r="X531" i="12767"/>
  <c r="N532" i="12767"/>
  <c r="P532" i="12767"/>
  <c r="R532" i="12767"/>
  <c r="T532" i="12767"/>
  <c r="V532" i="12767"/>
  <c r="X532" i="12767"/>
  <c r="N533" i="12767"/>
  <c r="P533" i="12767"/>
  <c r="R533" i="12767"/>
  <c r="T533" i="12767"/>
  <c r="V533" i="12767"/>
  <c r="X533" i="12767"/>
  <c r="N534" i="12767"/>
  <c r="P534" i="12767"/>
  <c r="R534" i="12767"/>
  <c r="T534" i="12767"/>
  <c r="V534" i="12767"/>
  <c r="X534" i="12767"/>
  <c r="N543" i="12767"/>
  <c r="P543" i="12767"/>
  <c r="R543" i="12767"/>
  <c r="T543" i="12767"/>
  <c r="V543" i="12767"/>
  <c r="X543" i="12767"/>
  <c r="N544" i="12767"/>
  <c r="P544" i="12767"/>
  <c r="R544" i="12767"/>
  <c r="T544" i="12767"/>
  <c r="V544" i="12767"/>
  <c r="X544" i="12767"/>
  <c r="N545" i="12767"/>
  <c r="P545" i="12767"/>
  <c r="R545" i="12767"/>
  <c r="T545" i="12767"/>
  <c r="V545" i="12767"/>
  <c r="X545" i="12767"/>
  <c r="N546" i="12767"/>
  <c r="P546" i="12767"/>
  <c r="R546" i="12767"/>
  <c r="T546" i="12767"/>
  <c r="V546" i="12767"/>
  <c r="X546" i="12767"/>
  <c r="P553" i="12767"/>
  <c r="T553" i="12767"/>
  <c r="X553" i="12767"/>
  <c r="P555" i="12767"/>
  <c r="T555" i="12767"/>
  <c r="X555" i="12767"/>
  <c r="J568" i="12767"/>
  <c r="L568" i="12767"/>
  <c r="N568" i="12767"/>
  <c r="P568" i="12767"/>
  <c r="R568" i="12767"/>
  <c r="T568" i="12767"/>
  <c r="V568" i="12767"/>
  <c r="X568" i="12767"/>
  <c r="R570" i="12767"/>
  <c r="T570" i="12767"/>
  <c r="V570" i="12767"/>
  <c r="X570" i="12767"/>
  <c r="R571" i="12767"/>
  <c r="T571" i="12767"/>
  <c r="V571" i="12767"/>
  <c r="X571" i="12767"/>
  <c r="R572" i="12767"/>
  <c r="T572" i="12767"/>
  <c r="V572" i="12767"/>
  <c r="X572" i="12767"/>
  <c r="R573" i="12767"/>
  <c r="T573" i="12767"/>
  <c r="V573" i="12767"/>
  <c r="X573" i="12767"/>
  <c r="J582" i="12767"/>
  <c r="L582" i="12767"/>
  <c r="N582" i="12767"/>
  <c r="P582" i="12767"/>
  <c r="R582" i="12767"/>
  <c r="T582" i="12767"/>
  <c r="V582" i="12767"/>
  <c r="X582" i="12767"/>
  <c r="R584" i="12767"/>
  <c r="T584" i="12767"/>
  <c r="V584" i="12767"/>
  <c r="X584" i="12767"/>
  <c r="R585" i="12767"/>
  <c r="T585" i="12767"/>
  <c r="V585" i="12767"/>
  <c r="X585" i="12767"/>
  <c r="R586" i="12767"/>
  <c r="T586" i="12767"/>
  <c r="V586" i="12767"/>
  <c r="X586" i="12767"/>
  <c r="J589" i="12767"/>
  <c r="L589" i="12767"/>
  <c r="N589" i="12767"/>
  <c r="P589" i="12767"/>
  <c r="R589" i="12767"/>
  <c r="T589" i="12767"/>
  <c r="V589" i="12767"/>
  <c r="X589" i="12767"/>
  <c r="J590" i="12767"/>
  <c r="L590" i="12767"/>
  <c r="N590" i="12767"/>
  <c r="P590" i="12767"/>
  <c r="R590" i="12767"/>
  <c r="T590" i="12767"/>
  <c r="V590" i="12767"/>
  <c r="X590" i="12767"/>
  <c r="R591" i="12767"/>
  <c r="T591" i="12767"/>
  <c r="V591" i="12767"/>
  <c r="X591" i="12767"/>
  <c r="L594" i="12767"/>
  <c r="P594" i="12767"/>
  <c r="T594" i="12767"/>
  <c r="X594" i="12767"/>
  <c r="L596" i="12767"/>
  <c r="P596" i="12767"/>
  <c r="T596" i="12767"/>
  <c r="X596" i="12767"/>
  <c r="J609" i="12767"/>
  <c r="L609" i="12767"/>
  <c r="N609" i="12767"/>
  <c r="P609" i="12767"/>
  <c r="R609" i="12767"/>
  <c r="T609" i="12767"/>
  <c r="V609" i="12767"/>
  <c r="X609" i="12767"/>
  <c r="Y609" i="12767"/>
  <c r="Z609" i="12767"/>
  <c r="AA609" i="12767"/>
  <c r="AC609" i="12767"/>
  <c r="J610" i="12767"/>
  <c r="L610" i="12767"/>
  <c r="N610" i="12767"/>
  <c r="P610" i="12767"/>
  <c r="R610" i="12767"/>
  <c r="T610" i="12767"/>
  <c r="V610" i="12767"/>
  <c r="X610" i="12767"/>
  <c r="AA610" i="12767"/>
  <c r="R612" i="12767"/>
  <c r="T612" i="12767"/>
  <c r="V612" i="12767"/>
  <c r="X612" i="12767"/>
  <c r="R613" i="12767"/>
  <c r="T613" i="12767"/>
  <c r="V613" i="12767"/>
  <c r="X613" i="12767"/>
  <c r="AF613" i="12767"/>
  <c r="R614" i="12767"/>
  <c r="T614" i="12767"/>
  <c r="V614" i="12767"/>
  <c r="X614" i="12767"/>
  <c r="AF614" i="12767"/>
  <c r="AF615" i="12767"/>
  <c r="AF616" i="12767"/>
  <c r="R617" i="12767"/>
  <c r="V617" i="12767"/>
  <c r="R618" i="12767"/>
  <c r="V618" i="12767"/>
  <c r="J625" i="12767"/>
  <c r="L625" i="12767"/>
  <c r="N625" i="12767"/>
  <c r="P625" i="12767"/>
  <c r="R625" i="12767"/>
  <c r="T625" i="12767"/>
  <c r="V625" i="12767"/>
  <c r="X625" i="12767"/>
  <c r="J626" i="12767"/>
  <c r="L626" i="12767"/>
  <c r="N626" i="12767"/>
  <c r="P626" i="12767"/>
  <c r="R626" i="12767"/>
  <c r="T626" i="12767"/>
  <c r="V626" i="12767"/>
  <c r="X626" i="12767"/>
  <c r="R627" i="12767"/>
  <c r="T627" i="12767"/>
  <c r="V627" i="12767"/>
  <c r="X627" i="12767"/>
  <c r="R628" i="12767"/>
  <c r="T628" i="12767"/>
  <c r="V628" i="12767"/>
  <c r="X628" i="12767"/>
  <c r="R629" i="12767"/>
  <c r="T629" i="12767"/>
  <c r="V629" i="12767"/>
  <c r="X629" i="12767"/>
  <c r="R630" i="12767"/>
  <c r="T630" i="12767"/>
  <c r="V630" i="12767"/>
  <c r="X630" i="12767"/>
  <c r="L634" i="12767"/>
  <c r="P634" i="12767"/>
  <c r="T634" i="12767"/>
  <c r="X634" i="12767"/>
  <c r="P635" i="12767"/>
  <c r="T635" i="12767"/>
  <c r="X635" i="12767"/>
  <c r="L636" i="12767"/>
  <c r="P636" i="12767"/>
  <c r="T636" i="12767"/>
  <c r="X636" i="12767"/>
  <c r="Z637" i="12767"/>
  <c r="Y639" i="12767"/>
  <c r="Z639" i="12767"/>
  <c r="AA639" i="12767"/>
  <c r="J651" i="12767"/>
  <c r="L651" i="12767"/>
  <c r="N651" i="12767"/>
  <c r="P651" i="12767"/>
  <c r="R651" i="12767"/>
  <c r="T651" i="12767"/>
  <c r="V651" i="12767"/>
  <c r="X651" i="12767"/>
  <c r="J652" i="12767"/>
  <c r="L652" i="12767"/>
  <c r="N652" i="12767"/>
  <c r="P652" i="12767"/>
  <c r="R652" i="12767"/>
  <c r="T652" i="12767"/>
  <c r="V652" i="12767"/>
  <c r="X652" i="12767"/>
  <c r="R654" i="12767"/>
  <c r="T654" i="12767"/>
  <c r="V654" i="12767"/>
  <c r="X654" i="12767"/>
  <c r="R655" i="12767"/>
  <c r="T655" i="12767"/>
  <c r="V655" i="12767"/>
  <c r="X655" i="12767"/>
  <c r="R656" i="12767"/>
  <c r="T656" i="12767"/>
  <c r="V656" i="12767"/>
  <c r="X656" i="12767"/>
  <c r="J665" i="12767"/>
  <c r="L665" i="12767"/>
  <c r="N665" i="12767"/>
  <c r="P665" i="12767"/>
  <c r="R665" i="12767"/>
  <c r="T665" i="12767"/>
  <c r="V665" i="12767"/>
  <c r="X665" i="12767"/>
  <c r="J666" i="12767"/>
  <c r="L666" i="12767"/>
  <c r="N666" i="12767"/>
  <c r="P666" i="12767"/>
  <c r="R666" i="12767"/>
  <c r="T666" i="12767"/>
  <c r="V666" i="12767"/>
  <c r="X666" i="12767"/>
  <c r="R667" i="12767"/>
  <c r="T667" i="12767"/>
  <c r="V667" i="12767"/>
  <c r="X667" i="12767"/>
  <c r="R668" i="12767"/>
  <c r="T668" i="12767"/>
  <c r="V668" i="12767"/>
  <c r="X668" i="12767"/>
  <c r="R669" i="12767"/>
  <c r="T669" i="12767"/>
  <c r="V669" i="12767"/>
  <c r="X669" i="12767"/>
  <c r="R670" i="12767"/>
  <c r="T670" i="12767"/>
  <c r="V670" i="12767"/>
  <c r="X670" i="12767"/>
  <c r="L674" i="12767"/>
  <c r="P674" i="12767"/>
  <c r="T674" i="12767"/>
  <c r="X674" i="12767"/>
  <c r="P675" i="12767"/>
  <c r="T675" i="12767"/>
  <c r="X675" i="12767"/>
  <c r="L676" i="12767"/>
  <c r="P676" i="12767"/>
  <c r="T676" i="12767"/>
  <c r="X676" i="12767"/>
  <c r="J689" i="12767"/>
  <c r="L689" i="12767"/>
  <c r="N689" i="12767"/>
  <c r="P689" i="12767"/>
  <c r="R689" i="12767"/>
  <c r="T689" i="12767"/>
  <c r="V689" i="12767"/>
  <c r="X689" i="12767"/>
  <c r="J690" i="12767"/>
  <c r="L690" i="12767"/>
  <c r="N690" i="12767"/>
  <c r="P690" i="12767"/>
  <c r="R690" i="12767"/>
  <c r="T690" i="12767"/>
  <c r="V690" i="12767"/>
  <c r="X690" i="12767"/>
  <c r="R692" i="12767"/>
  <c r="T692" i="12767"/>
  <c r="V692" i="12767"/>
  <c r="X692" i="12767"/>
  <c r="R693" i="12767"/>
  <c r="T693" i="12767"/>
  <c r="V693" i="12767"/>
  <c r="X693" i="12767"/>
  <c r="R694" i="12767"/>
  <c r="T694" i="12767"/>
  <c r="V694" i="12767"/>
  <c r="X694" i="12767"/>
  <c r="J703" i="12767"/>
  <c r="L703" i="12767"/>
  <c r="N703" i="12767"/>
  <c r="P703" i="12767"/>
  <c r="R703" i="12767"/>
  <c r="T703" i="12767"/>
  <c r="V703" i="12767"/>
  <c r="X703" i="12767"/>
  <c r="J704" i="12767"/>
  <c r="L704" i="12767"/>
  <c r="N704" i="12767"/>
  <c r="P704" i="12767"/>
  <c r="R704" i="12767"/>
  <c r="T704" i="12767"/>
  <c r="V704" i="12767"/>
  <c r="X704" i="12767"/>
  <c r="R705" i="12767"/>
  <c r="T705" i="12767"/>
  <c r="V705" i="12767"/>
  <c r="X705" i="12767"/>
  <c r="R706" i="12767"/>
  <c r="T706" i="12767"/>
  <c r="V706" i="12767"/>
  <c r="X706" i="12767"/>
  <c r="R707" i="12767"/>
  <c r="T707" i="12767"/>
  <c r="V707" i="12767"/>
  <c r="X707" i="12767"/>
  <c r="R708" i="12767"/>
  <c r="T708" i="12767"/>
  <c r="V708" i="12767"/>
  <c r="X708" i="12767"/>
  <c r="L712" i="12767"/>
  <c r="P712" i="12767"/>
  <c r="T712" i="12767"/>
  <c r="X712" i="12767"/>
  <c r="P713" i="12767"/>
  <c r="T713" i="12767"/>
  <c r="X713" i="12767"/>
  <c r="L714" i="12767"/>
  <c r="P714" i="12767"/>
  <c r="T714" i="12767"/>
  <c r="X714" i="12767"/>
  <c r="N740" i="12767"/>
  <c r="P740" i="12767"/>
  <c r="R740" i="12767"/>
  <c r="T740" i="12767"/>
  <c r="V740" i="12767"/>
  <c r="X740" i="12767"/>
  <c r="N743" i="12767"/>
  <c r="R743" i="12767"/>
  <c r="V743" i="12767"/>
  <c r="N761" i="12767"/>
  <c r="P761" i="12767"/>
  <c r="R761" i="12767"/>
  <c r="T761" i="12767"/>
  <c r="V761" i="12767"/>
  <c r="X761" i="12767"/>
  <c r="P766" i="12767"/>
  <c r="T766" i="12767"/>
  <c r="X766" i="12767"/>
  <c r="P768" i="12767"/>
  <c r="T768" i="12767"/>
  <c r="X768" i="12767"/>
  <c r="N794" i="12767"/>
  <c r="P794" i="12767"/>
  <c r="R794" i="12767"/>
  <c r="T794" i="12767"/>
  <c r="V794" i="12767"/>
  <c r="X794" i="12767"/>
  <c r="N814" i="12767"/>
  <c r="P814" i="12767"/>
  <c r="R814" i="12767"/>
  <c r="T814" i="12767"/>
  <c r="V814" i="12767"/>
  <c r="X814" i="12767"/>
  <c r="P819" i="12767"/>
  <c r="T819" i="12767"/>
  <c r="X819" i="12767"/>
  <c r="P821" i="12767"/>
  <c r="T821" i="12767"/>
  <c r="X821" i="12767"/>
  <c r="N847" i="12767"/>
  <c r="P847" i="12767"/>
  <c r="R847" i="12767"/>
  <c r="T847" i="12767"/>
  <c r="V847" i="12767"/>
  <c r="X847" i="12767"/>
  <c r="N867" i="12767"/>
  <c r="P867" i="12767"/>
  <c r="R867" i="12767"/>
  <c r="T867" i="12767"/>
  <c r="V867" i="12767"/>
  <c r="X867" i="12767"/>
  <c r="P872" i="12767"/>
  <c r="T872" i="12767"/>
  <c r="X872" i="12767"/>
  <c r="P874" i="12767"/>
  <c r="T874" i="12767"/>
  <c r="X874" i="12767"/>
  <c r="L1271" i="12767"/>
  <c r="P1271" i="12767"/>
  <c r="T1271" i="12767"/>
  <c r="X1271" i="12767"/>
  <c r="Z1272" i="12767"/>
  <c r="L1274" i="12767"/>
  <c r="P1274" i="12767"/>
  <c r="T1274" i="12767"/>
  <c r="X1274" i="12767"/>
  <c r="N22" i="12850"/>
  <c r="P22" i="12850"/>
  <c r="R22" i="12850"/>
  <c r="T22" i="12850"/>
  <c r="V22" i="12850"/>
  <c r="X22" i="12850"/>
  <c r="N23" i="12850"/>
  <c r="P23" i="12850"/>
  <c r="R23" i="12850"/>
  <c r="T23" i="12850"/>
  <c r="V23" i="12850"/>
  <c r="X23" i="12850"/>
  <c r="R25" i="12850"/>
  <c r="T25" i="12850"/>
  <c r="V25" i="12850"/>
  <c r="X25" i="12850"/>
  <c r="R26" i="12850"/>
  <c r="T26" i="12850"/>
  <c r="V26" i="12850"/>
  <c r="X26" i="12850"/>
  <c r="AF26" i="12850"/>
  <c r="AF27" i="12850"/>
  <c r="AF28" i="12850"/>
  <c r="AF29" i="12850"/>
  <c r="R30" i="12850"/>
  <c r="V30" i="12850"/>
  <c r="R31" i="12850"/>
  <c r="V31" i="12850"/>
  <c r="N38" i="12850"/>
  <c r="P38" i="12850"/>
  <c r="R38" i="12850"/>
  <c r="T38" i="12850"/>
  <c r="V38" i="12850"/>
  <c r="X38" i="12850"/>
  <c r="N39" i="12850"/>
  <c r="P39" i="12850"/>
  <c r="R39" i="12850"/>
  <c r="T39" i="12850"/>
  <c r="V39" i="12850"/>
  <c r="X39" i="12850"/>
  <c r="R40" i="12850"/>
  <c r="T40" i="12850"/>
  <c r="V40" i="12850"/>
  <c r="X40" i="12850"/>
  <c r="R41" i="12850"/>
  <c r="T41" i="12850"/>
  <c r="V41" i="12850"/>
  <c r="X41" i="12850"/>
  <c r="P47" i="12850"/>
  <c r="T47" i="12850"/>
  <c r="X47" i="12850"/>
  <c r="P49" i="12850"/>
  <c r="T49" i="12850"/>
  <c r="X49" i="12850"/>
  <c r="N64" i="12850"/>
  <c r="P64" i="12850"/>
  <c r="R64" i="12850"/>
  <c r="T64" i="12850"/>
  <c r="V64" i="12850"/>
  <c r="X64" i="12850"/>
  <c r="N65" i="12850"/>
  <c r="P65" i="12850"/>
  <c r="R65" i="12850"/>
  <c r="T65" i="12850"/>
  <c r="V65" i="12850"/>
  <c r="X65" i="12850"/>
  <c r="R67" i="12850"/>
  <c r="T67" i="12850"/>
  <c r="V67" i="12850"/>
  <c r="X67" i="12850"/>
  <c r="R68" i="12850"/>
  <c r="T68" i="12850"/>
  <c r="V68" i="12850"/>
  <c r="X68" i="12850"/>
  <c r="N78" i="12850"/>
  <c r="P78" i="12850"/>
  <c r="R78" i="12850"/>
  <c r="T78" i="12850"/>
  <c r="V78" i="12850"/>
  <c r="X78" i="12850"/>
  <c r="N79" i="12850"/>
  <c r="P79" i="12850"/>
  <c r="R79" i="12850"/>
  <c r="T79" i="12850"/>
  <c r="V79" i="12850"/>
  <c r="X79" i="12850"/>
  <c r="R80" i="12850"/>
  <c r="T80" i="12850"/>
  <c r="V80" i="12850"/>
  <c r="X80" i="12850"/>
  <c r="R81" i="12850"/>
  <c r="T81" i="12850"/>
  <c r="V81" i="12850"/>
  <c r="X81" i="12850"/>
  <c r="P87" i="12850"/>
  <c r="T87" i="12850"/>
  <c r="X87" i="12850"/>
  <c r="P89" i="12850"/>
  <c r="T89" i="12850"/>
  <c r="X89" i="12850"/>
  <c r="N102" i="12850"/>
  <c r="P102" i="12850"/>
  <c r="R102" i="12850"/>
  <c r="T102" i="12850"/>
  <c r="V102" i="12850"/>
  <c r="X102" i="12850"/>
  <c r="N103" i="12850"/>
  <c r="P103" i="12850"/>
  <c r="R103" i="12850"/>
  <c r="T103" i="12850"/>
  <c r="V103" i="12850"/>
  <c r="X103" i="12850"/>
  <c r="R105" i="12850"/>
  <c r="T105" i="12850"/>
  <c r="V105" i="12850"/>
  <c r="X105" i="12850"/>
  <c r="R106" i="12850"/>
  <c r="T106" i="12850"/>
  <c r="V106" i="12850"/>
  <c r="X106" i="12850"/>
  <c r="N116" i="12850"/>
  <c r="P116" i="12850"/>
  <c r="R116" i="12850"/>
  <c r="T116" i="12850"/>
  <c r="V116" i="12850"/>
  <c r="X116" i="12850"/>
  <c r="N117" i="12850"/>
  <c r="P117" i="12850"/>
  <c r="R117" i="12850"/>
  <c r="T117" i="12850"/>
  <c r="V117" i="12850"/>
  <c r="X117" i="12850"/>
  <c r="R118" i="12850"/>
  <c r="T118" i="12850"/>
  <c r="V118" i="12850"/>
  <c r="X118" i="12850"/>
  <c r="R119" i="12850"/>
  <c r="T119" i="12850"/>
  <c r="V119" i="12850"/>
  <c r="X119" i="12850"/>
  <c r="P125" i="12850"/>
  <c r="T125" i="12850"/>
  <c r="X125" i="12850"/>
  <c r="P127" i="12850"/>
  <c r="T127" i="12850"/>
  <c r="X127" i="12850"/>
</calcChain>
</file>

<file path=xl/comments1.xml><?xml version="1.0" encoding="utf-8"?>
<comments xmlns="http://schemas.openxmlformats.org/spreadsheetml/2006/main">
  <authors>
    <author>Craig Paice</author>
  </authors>
  <commentList>
    <comment ref="B7" authorId="0">
      <text>
        <r>
          <rPr>
            <sz val="10"/>
            <color indexed="81"/>
            <rFont val="Tahoma"/>
            <family val="2"/>
          </rPr>
          <t xml:space="preserve">Indicates a selected target rate of return.
</t>
        </r>
      </text>
    </comment>
  </commentList>
</comments>
</file>

<file path=xl/comments2.xml><?xml version="1.0" encoding="utf-8"?>
<comments xmlns="http://schemas.openxmlformats.org/spreadsheetml/2006/main">
  <authors>
    <author>Judith M Ridenour</author>
    <author>P15223</author>
  </authors>
  <commentList>
    <comment ref="C5" authorId="0">
      <text>
        <r>
          <rPr>
            <sz val="10"/>
            <color indexed="81"/>
            <rFont val="Tahoma"/>
            <family val="2"/>
          </rPr>
          <t>BPA Revenues NOT INCLUDED
(Base Revenues)</t>
        </r>
      </text>
    </comment>
    <comment ref="K5" authorId="0">
      <text>
        <r>
          <rPr>
            <b/>
            <sz val="10"/>
            <color indexed="81"/>
            <rFont val="Tahoma"/>
            <family val="2"/>
          </rPr>
          <t>Mike Zimmerman:</t>
        </r>
        <r>
          <rPr>
            <sz val="10"/>
            <color indexed="81"/>
            <rFont val="Tahoma"/>
            <family val="2"/>
          </rPr>
          <t xml:space="preserve">
Low Income, BPA, SBC, REC and Hydro
 not included.</t>
        </r>
      </text>
    </comment>
    <comment ref="T13" authorId="1">
      <text>
        <r>
          <rPr>
            <b/>
            <sz val="8"/>
            <color indexed="81"/>
            <rFont val="Tahoma"/>
            <family val="2"/>
          </rPr>
          <t>P15223:</t>
        </r>
        <r>
          <rPr>
            <sz val="8"/>
            <color indexed="81"/>
            <rFont val="Tahoma"/>
            <family val="2"/>
          </rPr>
          <t xml:space="preserve">
Subtracts Net Metering.</t>
        </r>
      </text>
    </comment>
    <comment ref="T18" authorId="1">
      <text>
        <r>
          <rPr>
            <b/>
            <sz val="8"/>
            <color indexed="81"/>
            <rFont val="Tahoma"/>
            <family val="2"/>
          </rPr>
          <t>P15223:</t>
        </r>
        <r>
          <rPr>
            <sz val="8"/>
            <color indexed="81"/>
            <rFont val="Tahoma"/>
            <family val="2"/>
          </rPr>
          <t xml:space="preserve">
Subtracts Net Metering.</t>
        </r>
      </text>
    </comment>
  </commentList>
</comments>
</file>

<file path=xl/comments3.xml><?xml version="1.0" encoding="utf-8"?>
<comments xmlns="http://schemas.openxmlformats.org/spreadsheetml/2006/main">
  <authors>
    <author>P15223</author>
  </authors>
  <commentList>
    <comment ref="A1" authorId="0">
      <text>
        <r>
          <rPr>
            <b/>
            <sz val="8"/>
            <color indexed="81"/>
            <rFont val="Tahoma"/>
            <family val="2"/>
          </rPr>
          <t>P15223:</t>
        </r>
        <r>
          <rPr>
            <sz val="8"/>
            <color indexed="81"/>
            <rFont val="Tahoma"/>
            <family val="2"/>
          </rPr>
          <t xml:space="preserve">
Use this sheet if SBC changes mid-period.</t>
        </r>
      </text>
    </comment>
  </commentList>
</comments>
</file>

<file path=xl/sharedStrings.xml><?xml version="1.0" encoding="utf-8"?>
<sst xmlns="http://schemas.openxmlformats.org/spreadsheetml/2006/main" count="18787" uniqueCount="1096">
  <si>
    <t>Table 1</t>
  </si>
  <si>
    <t>Revenue</t>
  </si>
  <si>
    <t>Semi-Annual Report</t>
  </si>
  <si>
    <t>A</t>
  </si>
  <si>
    <t>B</t>
  </si>
  <si>
    <t>C</t>
  </si>
  <si>
    <t>D</t>
  </si>
  <si>
    <t>E</t>
  </si>
  <si>
    <t>I</t>
  </si>
  <si>
    <t>Total</t>
  </si>
  <si>
    <t xml:space="preserve">Total </t>
  </si>
  <si>
    <t>Normalizing</t>
  </si>
  <si>
    <t>Temperature</t>
  </si>
  <si>
    <t>Price</t>
  </si>
  <si>
    <t>Adjusted</t>
  </si>
  <si>
    <t>Adjustments</t>
  </si>
  <si>
    <t>Normalization</t>
  </si>
  <si>
    <t>Residential</t>
  </si>
  <si>
    <t>Commercial</t>
  </si>
  <si>
    <t>Public St &amp; Hwy</t>
  </si>
  <si>
    <t>Customer</t>
  </si>
  <si>
    <t>Source / Formula</t>
  </si>
  <si>
    <t>Info. Services</t>
  </si>
  <si>
    <t>MWh</t>
  </si>
  <si>
    <t>Month</t>
  </si>
  <si>
    <t>kWh</t>
  </si>
  <si>
    <t>Impact</t>
  </si>
  <si>
    <t>Total Residential</t>
  </si>
  <si>
    <t>Total Commercial</t>
  </si>
  <si>
    <t>Table 3</t>
  </si>
  <si>
    <t>Industrial</t>
  </si>
  <si>
    <t xml:space="preserve"> </t>
  </si>
  <si>
    <t>Rate</t>
  </si>
  <si>
    <t>Booked Revenues</t>
  </si>
  <si>
    <t>AGA</t>
  </si>
  <si>
    <t>Subtotal</t>
  </si>
  <si>
    <t>Public Street &amp; Highway Lighting</t>
  </si>
  <si>
    <t>Revenues</t>
  </si>
  <si>
    <t>Price*</t>
  </si>
  <si>
    <t>Average</t>
  </si>
  <si>
    <t>Customers</t>
  </si>
  <si>
    <t>Booked</t>
  </si>
  <si>
    <t>A + D</t>
  </si>
  <si>
    <t>B + C</t>
  </si>
  <si>
    <t>Adjustment</t>
  </si>
  <si>
    <t>Annualized</t>
  </si>
  <si>
    <t>Temperature Normalization</t>
  </si>
  <si>
    <t>State of Washington</t>
  </si>
  <si>
    <t>02RESD00016</t>
  </si>
  <si>
    <t>02RESD00018</t>
  </si>
  <si>
    <t>02OALTO15R</t>
  </si>
  <si>
    <t>02GNSV0024</t>
  </si>
  <si>
    <t>02GNSV024F</t>
  </si>
  <si>
    <t>02LGSV0036</t>
  </si>
  <si>
    <t>02LGSV048T</t>
  </si>
  <si>
    <t>02OALT015N</t>
  </si>
  <si>
    <t>02RCFL0054</t>
  </si>
  <si>
    <t>02GNSV24FP</t>
  </si>
  <si>
    <t>02APSV0040</t>
  </si>
  <si>
    <t>02APSV040X</t>
  </si>
  <si>
    <t>02LGSV048M</t>
  </si>
  <si>
    <t>02COSL0052</t>
  </si>
  <si>
    <t>02CUSL053F</t>
  </si>
  <si>
    <t>02CUSL053M</t>
  </si>
  <si>
    <t>02HPSV0051</t>
  </si>
  <si>
    <t>02MVSL0057</t>
  </si>
  <si>
    <t>Schedule 16</t>
  </si>
  <si>
    <t>Schedule 24</t>
  </si>
  <si>
    <t>Schedule 36</t>
  </si>
  <si>
    <t>Sub Total</t>
  </si>
  <si>
    <t>$</t>
  </si>
  <si>
    <t>48T</t>
  </si>
  <si>
    <t>Pacific Power &amp; Light Company</t>
  </si>
  <si>
    <t>Sch. 191</t>
  </si>
  <si>
    <t xml:space="preserve">  </t>
  </si>
  <si>
    <t xml:space="preserve">Adjustments </t>
  </si>
  <si>
    <t>Washington</t>
  </si>
  <si>
    <t>Total Washington</t>
  </si>
  <si>
    <t>Unbilled Rev</t>
  </si>
  <si>
    <t>Unbilled Rev.</t>
  </si>
  <si>
    <t>Unbilled Sales</t>
  </si>
  <si>
    <t>kWhs</t>
  </si>
  <si>
    <t>BPA Balance Acct.</t>
  </si>
  <si>
    <r>
      <t>Normalization</t>
    </r>
    <r>
      <rPr>
        <vertAlign val="superscript"/>
        <sz val="12"/>
        <rFont val="Times New Roman"/>
        <family val="1"/>
      </rPr>
      <t>1</t>
    </r>
  </si>
  <si>
    <t>Rev.</t>
  </si>
  <si>
    <t>Total Adj.</t>
  </si>
  <si>
    <t>Total Adj.Rev.</t>
  </si>
  <si>
    <t>Adj.</t>
  </si>
  <si>
    <t xml:space="preserve">Table 1 </t>
  </si>
  <si>
    <t>Other Non-Tariff Cont./Firm</t>
  </si>
  <si>
    <t>Other Non-Tariff Cont./Non-Firm</t>
  </si>
  <si>
    <t>Total with Contracts</t>
  </si>
  <si>
    <t>Non-Washington Contracts</t>
  </si>
  <si>
    <t>02RESD00017</t>
  </si>
  <si>
    <t>BPA Balancing Account</t>
  </si>
  <si>
    <t>BPA Balance Acct</t>
  </si>
  <si>
    <t>BPA Balancing Acct</t>
  </si>
  <si>
    <t>BPA</t>
  </si>
  <si>
    <t>Table 2</t>
  </si>
  <si>
    <t>Revenue Class Description</t>
  </si>
  <si>
    <t>Rate Description</t>
  </si>
  <si>
    <t>Rate Group Description</t>
  </si>
  <si>
    <t>Kwh</t>
  </si>
  <si>
    <t>Billing Count</t>
  </si>
  <si>
    <t>Customer Count</t>
  </si>
  <si>
    <t>COMMERCIAL SALES</t>
  </si>
  <si>
    <t>02GNSV0024-WA GEN SRVC</t>
  </si>
  <si>
    <t>02GNSV024F-WA GEN SRVC-FL</t>
  </si>
  <si>
    <t>02LGSV0036-WA LRG GEN SRV</t>
  </si>
  <si>
    <t>02LGSV048T-LRG GEN SRVC 1</t>
  </si>
  <si>
    <t>02LNX00102-LINE EXT 80% G</t>
  </si>
  <si>
    <t>02LNX00103-LINE EXT 80% G</t>
  </si>
  <si>
    <t>02LNX00105-CNTRCT $ MIN G</t>
  </si>
  <si>
    <t>02LNX00109-REF/NREF ADV +</t>
  </si>
  <si>
    <t>02LNX00110-REF/NREF ADV +</t>
  </si>
  <si>
    <t>02LNX00112-YR INCURRED CH</t>
  </si>
  <si>
    <t>02OALT015N-WA OUTD AR LGT</t>
  </si>
  <si>
    <t>02RCFL0054-WA REC FIELD L</t>
  </si>
  <si>
    <t>02RFNDCENT - CENTRALIA RFND</t>
  </si>
  <si>
    <t>02ZZMERGCR-MERGER CREDITS</t>
  </si>
  <si>
    <t>BPA BALANCING ACCOUNT</t>
  </si>
  <si>
    <t>CUSTOMER COUNT - BPA</t>
  </si>
  <si>
    <t>CUSTOMER COUNT - REGULAR</t>
  </si>
  <si>
    <t>UNBILLED REVENUE</t>
  </si>
  <si>
    <t>Sum:</t>
  </si>
  <si>
    <t>INDUSTRIAL SALES</t>
  </si>
  <si>
    <t>02LGSV048M-WA LRG GEN SRV</t>
  </si>
  <si>
    <t>02PRSV47TM-LRG PART REQMT</t>
  </si>
  <si>
    <t>IRRIGATION SALES</t>
  </si>
  <si>
    <t>02APSV0040-WA AG PMP SRVC</t>
  </si>
  <si>
    <t>02APSV040X-WA AG PMP SRVC</t>
  </si>
  <si>
    <t>02BPADEBIT-BPA ADJUST FEE</t>
  </si>
  <si>
    <t>CUSTOMER CNT - IRRIGATION</t>
  </si>
  <si>
    <t>CUSTOMER CNT - IRRIG BPA</t>
  </si>
  <si>
    <t>IRRIGATION BPA BAL ACCT</t>
  </si>
  <si>
    <t>IRRIGATION UNBILLED</t>
  </si>
  <si>
    <t>PUBLIC STREET&amp;HIGHWAY LIGHTING</t>
  </si>
  <si>
    <t>02CFR00012-STR LGTS (CONV</t>
  </si>
  <si>
    <t>02COSL0052-WA STR LGT SRV</t>
  </si>
  <si>
    <t>02CUSL053F-WA STR LGT SRV</t>
  </si>
  <si>
    <t>02CUSL053M-WA STR LGT SRV</t>
  </si>
  <si>
    <t>02HPSV0051-WA HI PRESSURE</t>
  </si>
  <si>
    <t>02MVSL0057-WA MERC VAPSTR</t>
  </si>
  <si>
    <t>RESIDENTIAL SALES</t>
  </si>
  <si>
    <t>02RESD0016-WA RES SRVC</t>
  </si>
  <si>
    <t>02RESD0017-BILL ASSISTANC</t>
  </si>
  <si>
    <t>02RESD0017-BILL ASSISTANCE</t>
  </si>
  <si>
    <t>02RESD0018-WA 3 PHASE RES</t>
  </si>
  <si>
    <t>02RESD018X-WA 3 PHASE RES</t>
  </si>
  <si>
    <t>24f</t>
  </si>
  <si>
    <t>aga</t>
  </si>
  <si>
    <t>15n</t>
  </si>
  <si>
    <t>bpa</t>
  </si>
  <si>
    <t>unbilled</t>
  </si>
  <si>
    <t>48m</t>
  </si>
  <si>
    <t>48t</t>
  </si>
  <si>
    <t>24fp</t>
  </si>
  <si>
    <t>40x</t>
  </si>
  <si>
    <t>53f</t>
  </si>
  <si>
    <t>53m</t>
  </si>
  <si>
    <t>15r</t>
  </si>
  <si>
    <t>18x</t>
  </si>
  <si>
    <t>02RESD0018X</t>
  </si>
  <si>
    <t>Centralia Refund</t>
  </si>
  <si>
    <t>BPA Adjustment Fee</t>
  </si>
  <si>
    <t>02PRSV47TM</t>
  </si>
  <si>
    <t>Washington Total</t>
  </si>
  <si>
    <t>Non BPA</t>
  </si>
  <si>
    <t>Check</t>
  </si>
  <si>
    <t>KWhs</t>
  </si>
  <si>
    <t>305 Report</t>
  </si>
  <si>
    <t>Change</t>
  </si>
  <si>
    <t>kWh &amp; Rev</t>
  </si>
  <si>
    <t>Revenue Detail</t>
  </si>
  <si>
    <t>MONTHLY KWH</t>
  </si>
  <si>
    <t>Regular only</t>
  </si>
  <si>
    <r>
      <t>Adjustments</t>
    </r>
    <r>
      <rPr>
        <vertAlign val="superscript"/>
        <sz val="12"/>
        <rFont val="Times New Roman"/>
        <family val="1"/>
      </rPr>
      <t>1</t>
    </r>
  </si>
  <si>
    <t>Merger Credit</t>
  </si>
  <si>
    <t>No BPA</t>
  </si>
  <si>
    <t>b24fp</t>
  </si>
  <si>
    <t>b40</t>
  </si>
  <si>
    <t>b16</t>
  </si>
  <si>
    <t>b17</t>
  </si>
  <si>
    <t>b18</t>
  </si>
  <si>
    <t>b18x</t>
  </si>
  <si>
    <t>PACIFIC POWER &amp; LIGHT COMPANY</t>
  </si>
  <si>
    <t>Line</t>
  </si>
  <si>
    <t>Base</t>
  </si>
  <si>
    <t>No.</t>
  </si>
  <si>
    <t>Rates</t>
  </si>
  <si>
    <t>Outdoor Area Lighting Service</t>
  </si>
  <si>
    <t>15</t>
  </si>
  <si>
    <t>Recreational Field Lighting</t>
  </si>
  <si>
    <t>54</t>
  </si>
  <si>
    <t>Public Street Lighting</t>
  </si>
  <si>
    <t>Total Sales to Ultimate Consumers</t>
  </si>
  <si>
    <t>Agricultural Pumping Service</t>
  </si>
  <si>
    <t>Present</t>
  </si>
  <si>
    <t>($000)</t>
  </si>
  <si>
    <t>Unbilled</t>
  </si>
  <si>
    <t>SBC</t>
  </si>
  <si>
    <t>Net</t>
  </si>
  <si>
    <t>Description</t>
  </si>
  <si>
    <t>02LNX00300-LINE EXT 80% G</t>
  </si>
  <si>
    <t>Irrigation</t>
  </si>
  <si>
    <t>Ratio</t>
  </si>
  <si>
    <t>First Block</t>
  </si>
  <si>
    <t>Second Block</t>
  </si>
  <si>
    <t>Ratio from</t>
  </si>
  <si>
    <t>First Block kWh</t>
  </si>
  <si>
    <t>Second Block kWh</t>
  </si>
  <si>
    <t>Third Block</t>
  </si>
  <si>
    <t>Third Block kWh</t>
  </si>
  <si>
    <t>*Energy base rate effective during the month indicated.</t>
  </si>
  <si>
    <t>Total Irrigation</t>
  </si>
  <si>
    <t>02NMT24135, Net metering, WA</t>
  </si>
  <si>
    <t>02LGSB048T - WA GEN SRVC, NO BPA</t>
  </si>
  <si>
    <t>301119 - UNBILLED REV - UNCOLLECTIBLE</t>
  </si>
  <si>
    <t>02NMT24135</t>
  </si>
  <si>
    <t>02GNSB024F-GEN SRVC DOM/F W/BPA</t>
  </si>
  <si>
    <t>02GNSB0024-WA GEN SRVC DO</t>
  </si>
  <si>
    <t>02GNSB24FP-WA GEN SVC SEASONAL</t>
  </si>
  <si>
    <t>ACQUISITION COMMITMENT-A and G CREDIT</t>
  </si>
  <si>
    <t>02LGSB0036-LRG GENSVC IRG W/BPA</t>
  </si>
  <si>
    <t>02OALTB15N-WA OUTD AR LGT NR W/BPA</t>
  </si>
  <si>
    <t>ACQUISITION COMMITMENT-WEST VALLEY LEASE</t>
  </si>
  <si>
    <t>02GNSB0024-WA GEN SRVC DO W/BPA</t>
  </si>
  <si>
    <t>02GNSB24FP-WA GEN SVC SEASONAL W/BPA</t>
  </si>
  <si>
    <t>02OALTB15N-WA OUTD AR LGT NR</t>
  </si>
  <si>
    <t>02GNSB024F-GEN SRVC DOM/F</t>
  </si>
  <si>
    <t>02LGSB0036-LRG GEN SVC IRG</t>
  </si>
  <si>
    <t>02OALTB15R-WA OUTD AR LGT RES</t>
  </si>
  <si>
    <t>02OALTB15R-WA OUTD AR LGT RES W/BPA</t>
  </si>
  <si>
    <t>kwh</t>
  </si>
  <si>
    <t>rev</t>
  </si>
  <si>
    <t>b24f</t>
  </si>
  <si>
    <t>b36</t>
  </si>
  <si>
    <t>b15n</t>
  </si>
  <si>
    <t>Acquisition  Commitment</t>
  </si>
  <si>
    <t>Acquisition Commitment</t>
  </si>
  <si>
    <t>b24</t>
  </si>
  <si>
    <t>b15r</t>
  </si>
  <si>
    <t>Schedule 18</t>
  </si>
  <si>
    <t>02LNX00311 - LINE EXT 80% GUARANTEE</t>
  </si>
  <si>
    <t>02LNX00310 - IRG, 80% ANNUAL MIN + 80%</t>
  </si>
  <si>
    <t>02LNX00312 - WA IRG LINE EXT</t>
  </si>
  <si>
    <t>02BLSKY01R-BLUESKY ENERGY</t>
  </si>
  <si>
    <t>Washington- 12 Months Ending December 2007 - Monthly KWH</t>
  </si>
  <si>
    <t>Effective</t>
  </si>
  <si>
    <t>02NETMT135 - WA RES NET METERING</t>
  </si>
  <si>
    <t>02NETMT135</t>
  </si>
  <si>
    <t>Error Check</t>
  </si>
  <si>
    <t>Increase</t>
  </si>
  <si>
    <t>Pro Forma</t>
  </si>
  <si>
    <t>Rate Schedule Tolerance Sheet</t>
  </si>
  <si>
    <t xml:space="preserve">Needed </t>
  </si>
  <si>
    <t>% Diff</t>
  </si>
  <si>
    <t>for</t>
  </si>
  <si>
    <t>Schedule</t>
  </si>
  <si>
    <t>Out of Period</t>
  </si>
  <si>
    <t>Adjusted 305A</t>
  </si>
  <si>
    <t>Cognos Run</t>
  </si>
  <si>
    <t>N - G</t>
  </si>
  <si>
    <t>Difference</t>
  </si>
  <si>
    <t>Tolerance</t>
  </si>
  <si>
    <t>RESIDENTIAL</t>
  </si>
  <si>
    <t>02RESD0016</t>
  </si>
  <si>
    <t>02RESD0017</t>
  </si>
  <si>
    <t>02RESD0018</t>
  </si>
  <si>
    <t>02RESD018X</t>
  </si>
  <si>
    <t>02OALTB15R</t>
  </si>
  <si>
    <t>TOT RES</t>
  </si>
  <si>
    <t>COMMERCIAL</t>
  </si>
  <si>
    <t>02PRSV033M</t>
  </si>
  <si>
    <t>TOT COM</t>
  </si>
  <si>
    <t>INDUSTRIAL</t>
  </si>
  <si>
    <t>TOT IND</t>
  </si>
  <si>
    <t>IRRIGATION</t>
  </si>
  <si>
    <t>TOT IRG</t>
  </si>
  <si>
    <t>PS&amp;H LIGHTING</t>
  </si>
  <si>
    <t>TOT LIGHT</t>
  </si>
  <si>
    <t>GRAND TOTAL</t>
  </si>
  <si>
    <t>SUMMARIES BY SCHEDULE</t>
  </si>
  <si>
    <t>Schedule 15 Total</t>
  </si>
  <si>
    <t>Schedule 16 Total</t>
  </si>
  <si>
    <t>Schedule 18 Total</t>
  </si>
  <si>
    <t>Schedule 24 Total</t>
  </si>
  <si>
    <t>Schedule 36 Total</t>
  </si>
  <si>
    <t>Schedule 40 Total</t>
  </si>
  <si>
    <t>Schedule 48 Total</t>
  </si>
  <si>
    <t>Schedule 53 Total</t>
  </si>
  <si>
    <t>and Error kWh</t>
  </si>
  <si>
    <t>Blocking b/4 Adj.</t>
  </si>
  <si>
    <t>K -I</t>
  </si>
  <si>
    <t>P - I</t>
  </si>
  <si>
    <t>P -K</t>
  </si>
  <si>
    <t>T - I</t>
  </si>
  <si>
    <t>T -P</t>
  </si>
  <si>
    <t>02GNSB24FP</t>
  </si>
  <si>
    <t>TABLE A. PRESENT AND PROPOSED RATES</t>
  </si>
  <si>
    <t>ESTIMATED EFFECT OF PROPOSED PRICES</t>
  </si>
  <si>
    <t>ON REVENUES FROM ELECTRIC SALES TO ULTIMATE CONSUMERS</t>
  </si>
  <si>
    <t>IN WASHINGTON</t>
  </si>
  <si>
    <t>12 MONTHS ENDED JUNE 2008 PRO FORMA</t>
  </si>
  <si>
    <t>Actual</t>
  </si>
  <si>
    <t>Proposed</t>
  </si>
  <si>
    <t>Surcharge</t>
  </si>
  <si>
    <t xml:space="preserve">Proposed </t>
  </si>
  <si>
    <t>Curr.</t>
  </si>
  <si>
    <t>Avg.</t>
  </si>
  <si>
    <t>Sch.</t>
  </si>
  <si>
    <t>Cust.</t>
  </si>
  <si>
    <t>MWH</t>
  </si>
  <si>
    <t>Deferral</t>
  </si>
  <si>
    <t>Cents/</t>
  </si>
  <si>
    <t>%</t>
  </si>
  <si>
    <t>(cents/kWh)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</si>
  <si>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</si>
  <si>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</si>
  <si>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</si>
  <si>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</si>
  <si>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</si>
  <si>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</si>
  <si>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</si>
  <si>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</si>
  <si>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</si>
  <si>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</si>
  <si>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(5)+(7)</t>
  </si>
  <si>
    <t>(7)/(5)</t>
  </si>
  <si>
    <t>(7/4)</t>
  </si>
  <si>
    <t>Residential Service</t>
  </si>
  <si>
    <t>16/18</t>
  </si>
  <si>
    <t xml:space="preserve">  Total Residential</t>
  </si>
  <si>
    <t>Commercial &amp; Industrial</t>
  </si>
  <si>
    <t>Small General Service</t>
  </si>
  <si>
    <t>Partial Requirements Service</t>
  </si>
  <si>
    <t>Large General Service &lt;1,000 kW</t>
  </si>
  <si>
    <t>40</t>
  </si>
  <si>
    <t>Partial Requirements Service =&gt; 1,000 kW</t>
  </si>
  <si>
    <t>Large General Service =&gt; 1,000 kW</t>
  </si>
  <si>
    <t xml:space="preserve">  Total Commercial &amp; Industrial</t>
  </si>
  <si>
    <t>Street Lighting Service</t>
  </si>
  <si>
    <t>51</t>
  </si>
  <si>
    <t xml:space="preserve">  Total Public Street Lighting</t>
  </si>
  <si>
    <t>Total Sales to Standard Tariff Customers</t>
  </si>
  <si>
    <t>Total AGA</t>
  </si>
  <si>
    <t>STATE OF WASHINGTON</t>
  </si>
  <si>
    <t>(Including Effects of Unbilled Revenue, Unbilled MWh and Weather Normalization)</t>
  </si>
  <si>
    <t>Units</t>
  </si>
  <si>
    <t>Dollars</t>
  </si>
  <si>
    <t>Error Checking</t>
  </si>
  <si>
    <t>SCHEDULE 15</t>
  </si>
  <si>
    <t>Outdoor Area Lighting Service-Grand Combined</t>
  </si>
  <si>
    <t>Mercury Vapor Lamp Charges</t>
  </si>
  <si>
    <t xml:space="preserve">     7,000 Lumens</t>
  </si>
  <si>
    <t xml:space="preserve">    21,000 Lumens</t>
  </si>
  <si>
    <t xml:space="preserve">    55,000 Lumens</t>
  </si>
  <si>
    <t>High Pressure Sodium Vapor Lamp Charges</t>
  </si>
  <si>
    <t xml:space="preserve">     5,800 Lumens</t>
  </si>
  <si>
    <t xml:space="preserve">    22,000 Lumens</t>
  </si>
  <si>
    <t xml:space="preserve">    50,000 Lumens</t>
  </si>
  <si>
    <t>Pole Charges</t>
  </si>
  <si>
    <t>Total Bills</t>
  </si>
  <si>
    <t xml:space="preserve">  Unbilled</t>
  </si>
  <si>
    <t>Target Dollars</t>
  </si>
  <si>
    <t>Outdoor Area Lighting Service-Residential</t>
  </si>
  <si>
    <t>Outdoor Area Lighting Service-Commercial</t>
  </si>
  <si>
    <t>Outdoor Area Lighting Service-Industrial</t>
  </si>
  <si>
    <t>SCHEDULE 16/18</t>
  </si>
  <si>
    <t>Residential Service-Combined</t>
  </si>
  <si>
    <t xml:space="preserve">  Basic Charge</t>
  </si>
  <si>
    <t>Current</t>
  </si>
  <si>
    <t>Unit Costs</t>
  </si>
  <si>
    <t xml:space="preserve">  1st 600 kWh</t>
  </si>
  <si>
    <t>¢</t>
  </si>
  <si>
    <t xml:space="preserve">  All addt'l kWh</t>
  </si>
  <si>
    <t>Energy</t>
  </si>
  <si>
    <t xml:space="preserve">  kW demand </t>
  </si>
  <si>
    <t>D and LS</t>
  </si>
  <si>
    <t>Minimum kW Charge</t>
  </si>
  <si>
    <t xml:space="preserve">  kW demand in minimum</t>
  </si>
  <si>
    <t xml:space="preserve">  Subtotal</t>
  </si>
  <si>
    <t xml:space="preserve">  Total</t>
  </si>
  <si>
    <t>SCHEDULE 16</t>
  </si>
  <si>
    <t>SCHEDULE 17</t>
  </si>
  <si>
    <t>SCHEDULE 18</t>
  </si>
  <si>
    <t>SCHEDULE 18X</t>
  </si>
  <si>
    <t>SCHEDULE 24</t>
  </si>
  <si>
    <t>Small General Service-Grand Combined</t>
  </si>
  <si>
    <t xml:space="preserve">Seasonal </t>
  </si>
  <si>
    <t xml:space="preserve">  Single Phase</t>
  </si>
  <si>
    <t xml:space="preserve">  Three Phase</t>
  </si>
  <si>
    <t xml:space="preserve">  Load Size &gt; 15 kW</t>
  </si>
  <si>
    <t>Basic Charge</t>
  </si>
  <si>
    <t>Total Basic Charges</t>
  </si>
  <si>
    <t xml:space="preserve">  All kW &gt;15</t>
  </si>
  <si>
    <t>demand dollars in energy charge</t>
  </si>
  <si>
    <t xml:space="preserve">  1st  1,000 kWh</t>
  </si>
  <si>
    <t xml:space="preserve">  Next 8,000 kWh</t>
  </si>
  <si>
    <t xml:space="preserve">  All additional kWh</t>
  </si>
  <si>
    <t xml:space="preserve">  Excess Kvar</t>
  </si>
  <si>
    <t>Discounts</t>
  </si>
  <si>
    <t xml:space="preserve">   Load Size &gt; 15 kW</t>
  </si>
  <si>
    <t xml:space="preserve">  All kW</t>
  </si>
  <si>
    <t>Load Size</t>
  </si>
  <si>
    <t xml:space="preserve">  1st 1,000 kWh</t>
  </si>
  <si>
    <t>Demand</t>
  </si>
  <si>
    <t xml:space="preserve">  High Voltage Charge</t>
  </si>
  <si>
    <t xml:space="preserve">  Load Size Discount</t>
  </si>
  <si>
    <t>Target</t>
  </si>
  <si>
    <t>Small General Service-Combined</t>
  </si>
  <si>
    <t>Small General Service-Commercial</t>
  </si>
  <si>
    <t>Includes Schedule 24 Net Metering</t>
  </si>
  <si>
    <t xml:space="preserve">  All kW&gt;15</t>
  </si>
  <si>
    <t>Small General Service-Industrial</t>
  </si>
  <si>
    <t>SCHEDULE 24F</t>
  </si>
  <si>
    <t xml:space="preserve">  Single Phase (units)</t>
  </si>
  <si>
    <t>SCHEDULE 24FP</t>
  </si>
  <si>
    <t>Seasonal</t>
  </si>
  <si>
    <t>Total Monthly Bills</t>
  </si>
  <si>
    <t>SCHEDULE 33</t>
  </si>
  <si>
    <t xml:space="preserve">  &lt;=100 kW</t>
  </si>
  <si>
    <t xml:space="preserve">  101 - 300 kW</t>
  </si>
  <si>
    <t xml:space="preserve">  &gt;300 kW</t>
  </si>
  <si>
    <t>Demand Charges</t>
  </si>
  <si>
    <t xml:space="preserve"> All kW</t>
  </si>
  <si>
    <t>Energy Charges</t>
  </si>
  <si>
    <t xml:space="preserve">  1st 40,000 kWh</t>
  </si>
  <si>
    <t xml:space="preserve">  Excess Kvarh</t>
  </si>
  <si>
    <t xml:space="preserve">  Excess kVar</t>
  </si>
  <si>
    <t xml:space="preserve">  Excess kVarh</t>
  </si>
  <si>
    <t>High Voltage Charge--Primary</t>
  </si>
  <si>
    <t>Load Size Discount - Primary</t>
  </si>
  <si>
    <t>Standby kW</t>
  </si>
  <si>
    <t>Overrun kW</t>
  </si>
  <si>
    <t>Overrun kWh</t>
  </si>
  <si>
    <t>SCHEDULE 36</t>
  </si>
  <si>
    <t>Large General Service &lt; 1,000 kW-Grand Combined</t>
  </si>
  <si>
    <t>Customer $</t>
  </si>
  <si>
    <t>Load Size $</t>
  </si>
  <si>
    <t>Marginal Changes</t>
  </si>
  <si>
    <t xml:space="preserve"> Minimum kW</t>
  </si>
  <si>
    <t>Cust and LS</t>
  </si>
  <si>
    <t>High Voltage Charge</t>
  </si>
  <si>
    <t>Load Size Discount</t>
  </si>
  <si>
    <t>Large General Service &lt; 1,000 kW-Commercial</t>
  </si>
  <si>
    <t>Large General Service &lt; 1,000 kW-Industrial</t>
  </si>
  <si>
    <t>SCHEDULE 40</t>
  </si>
  <si>
    <t>Agricultural Pumping Service-Grand Combined</t>
  </si>
  <si>
    <t>Annual Load Size Charge</t>
  </si>
  <si>
    <t xml:space="preserve">  Single Phase Bills</t>
  </si>
  <si>
    <t xml:space="preserve">  Three Phase Bills</t>
  </si>
  <si>
    <t xml:space="preserve">      &lt; 51 kW</t>
  </si>
  <si>
    <t xml:space="preserve">     &lt; 301 kW</t>
  </si>
  <si>
    <t xml:space="preserve">     &gt; 300 kW</t>
  </si>
  <si>
    <t>Monthly Bills</t>
  </si>
  <si>
    <t>Annual Load Size kW Charge</t>
  </si>
  <si>
    <t xml:space="preserve">  Single Phase kW</t>
  </si>
  <si>
    <t xml:space="preserve">  Three Phase kW</t>
  </si>
  <si>
    <t>E and D</t>
  </si>
  <si>
    <t>Single Phase Minimum Bills</t>
  </si>
  <si>
    <t>Three Phase &lt;51kW Minimum Bills</t>
  </si>
  <si>
    <t>KW in Minimum</t>
  </si>
  <si>
    <t xml:space="preserve">  Three Phase &lt;51kW, kW</t>
  </si>
  <si>
    <t xml:space="preserve">  All kWh</t>
  </si>
  <si>
    <t>Single Phase Min</t>
  </si>
  <si>
    <t>Three Phase &lt;51kW Min</t>
  </si>
  <si>
    <t>SCHEDULE 40X</t>
  </si>
  <si>
    <t>Agricultural Pumping Service-Industrial</t>
  </si>
  <si>
    <t>SCHEDULE 47T</t>
  </si>
  <si>
    <t>Large Partial Requirements Service</t>
  </si>
  <si>
    <t xml:space="preserve">  &lt;=3000 kW</t>
  </si>
  <si>
    <t xml:space="preserve">  &gt;3000 kW</t>
  </si>
  <si>
    <t xml:space="preserve">  &lt;=3000 kW variable</t>
  </si>
  <si>
    <t xml:space="preserve">  &gt;3000 kW variable</t>
  </si>
  <si>
    <t xml:space="preserve">High Voltage Charge </t>
  </si>
  <si>
    <t>SCHEDULE 48T</t>
  </si>
  <si>
    <t>Large General Service 1,000 kW and over-Grand Combined</t>
  </si>
  <si>
    <t>Large General Service 1,000 kW and over-Combined</t>
  </si>
  <si>
    <t>Large General Service 1,000 kW and over-Commercial</t>
  </si>
  <si>
    <t>Large General Service 1,000 kW and over-Industrial</t>
  </si>
  <si>
    <t>SCHEDULE 48M</t>
  </si>
  <si>
    <t>SCHEDULE 51</t>
  </si>
  <si>
    <t>High Pressure Sodium Vapor Street Lighting Service</t>
  </si>
  <si>
    <t>Per Lamp Charges</t>
  </si>
  <si>
    <t xml:space="preserve">     9,500 Lumens</t>
  </si>
  <si>
    <t>SCHEDULE 52</t>
  </si>
  <si>
    <t>Company-Owned Street Lighting Service</t>
  </si>
  <si>
    <t>Operation, Maintenance, Depreciation &amp; Fixed Costs</t>
  </si>
  <si>
    <t>Dusk to Dawn kWh</t>
  </si>
  <si>
    <t>Dusk to Midnight kWh</t>
  </si>
  <si>
    <t xml:space="preserve">    Subtotal</t>
  </si>
  <si>
    <t xml:space="preserve">    Unbilled</t>
  </si>
  <si>
    <t>SCHEDULE 53</t>
  </si>
  <si>
    <t>Customer-Owned Street Lighting Service - Grand Combined</t>
  </si>
  <si>
    <t>Option A (Co. O&amp;M) kWh</t>
  </si>
  <si>
    <t>Option B (Cust. O&amp;M) kWh</t>
  </si>
  <si>
    <t>SCHEDULE 53F</t>
  </si>
  <si>
    <t xml:space="preserve">Customer-Owned Street Lighting Service </t>
  </si>
  <si>
    <t>SCHEDULE 53M</t>
  </si>
  <si>
    <t>Customer-Owned Street Lighting Service</t>
  </si>
  <si>
    <t>SCHEDULE 54</t>
  </si>
  <si>
    <t xml:space="preserve">  Basic Charge 1 Phase</t>
  </si>
  <si>
    <t xml:space="preserve">  Basic Charge 3 Phase</t>
  </si>
  <si>
    <t xml:space="preserve">  Total Bills</t>
  </si>
  <si>
    <t>SCHEDULE 57</t>
  </si>
  <si>
    <t>Mercury Vapor Street Lighting Service</t>
  </si>
  <si>
    <t>Overhead System on Wood Poles</t>
  </si>
  <si>
    <t>Horizontal Lamp Charges</t>
  </si>
  <si>
    <t>Vertical Lamp Charges</t>
  </si>
  <si>
    <t>Overhead System on Metal Poles</t>
  </si>
  <si>
    <t>Underground System</t>
  </si>
  <si>
    <t>Post 1977 System</t>
  </si>
  <si>
    <t>Contract</t>
  </si>
  <si>
    <t xml:space="preserve">     21,000 Lumens</t>
  </si>
  <si>
    <t>Washington TOTALS</t>
  </si>
  <si>
    <t>Washington TOTALS with AGA</t>
  </si>
  <si>
    <t>Tables 2 &amp; 3</t>
  </si>
  <si>
    <t>Table1</t>
  </si>
  <si>
    <t>Bills</t>
  </si>
  <si>
    <t>Monthly Billing Comparison</t>
  </si>
  <si>
    <t>Schedule 16 - Residential Service</t>
  </si>
  <si>
    <t xml:space="preserve">Present </t>
  </si>
  <si>
    <t>Percent</t>
  </si>
  <si>
    <t>Present Price</t>
  </si>
  <si>
    <t>Proposed Price</t>
  </si>
  <si>
    <t>Basic</t>
  </si>
  <si>
    <t>Energy - 1st 600</t>
  </si>
  <si>
    <t>BPA Credit</t>
  </si>
  <si>
    <t>Notes:</t>
  </si>
  <si>
    <t>Schedule 24 - Small General Service</t>
  </si>
  <si>
    <t>kW</t>
  </si>
  <si>
    <t>Monthly Billing *</t>
  </si>
  <si>
    <t>Dollar</t>
  </si>
  <si>
    <t>Load Size/</t>
  </si>
  <si>
    <t>kWh per kW</t>
  </si>
  <si>
    <t>Present Price Schedule 24</t>
  </si>
  <si>
    <t>(Equiv Hours)</t>
  </si>
  <si>
    <t>Single Phase</t>
  </si>
  <si>
    <t>Three Phase</t>
  </si>
  <si>
    <t>Single</t>
  </si>
  <si>
    <t>Three P</t>
  </si>
  <si>
    <t>&lt;=15</t>
  </si>
  <si>
    <t>&gt;15</t>
  </si>
  <si>
    <t>1st 1,000 kWh</t>
  </si>
  <si>
    <t>Next 8,000 kWh</t>
  </si>
  <si>
    <t>Add'l kWh</t>
  </si>
  <si>
    <t>Schedule 36 - Large General Service &lt; 1,000 kW</t>
  </si>
  <si>
    <t xml:space="preserve">Schedule 36 </t>
  </si>
  <si>
    <t>Plus</t>
  </si>
  <si>
    <t>&lt;100</t>
  </si>
  <si>
    <t>101 - 300</t>
  </si>
  <si>
    <t>&gt;300</t>
  </si>
  <si>
    <t>1st 40,000</t>
  </si>
  <si>
    <t>Add'l</t>
  </si>
  <si>
    <t>Billing Comparison</t>
  </si>
  <si>
    <t>Schedule 40 - Agricultural Pumping Service</t>
  </si>
  <si>
    <t>Present Price Schedule 40 *</t>
  </si>
  <si>
    <t>Percent Difference</t>
  </si>
  <si>
    <t>Annual</t>
  </si>
  <si>
    <t>All kWh</t>
  </si>
  <si>
    <t>Monthly Bill</t>
  </si>
  <si>
    <t>Charge</t>
  </si>
  <si>
    <t>Bill</t>
  </si>
  <si>
    <t>0-50 kW</t>
  </si>
  <si>
    <t>51-300 kW</t>
  </si>
  <si>
    <t>&gt;300 kW</t>
  </si>
  <si>
    <t>Schedule 48T - Large General Service - Secondary</t>
  </si>
  <si>
    <t>1,000 kW and Over</t>
  </si>
  <si>
    <t>Price Schedule 48T</t>
  </si>
  <si>
    <t xml:space="preserve">Price Schedule 48T </t>
  </si>
  <si>
    <t>&lt;=3000</t>
  </si>
  <si>
    <t>&gt;3000</t>
  </si>
  <si>
    <t>Schedule 48T - Large General Service - Primary</t>
  </si>
  <si>
    <t>MONTHLY Revenues</t>
  </si>
  <si>
    <t>Normalized</t>
  </si>
  <si>
    <t>NO ADJUSTMENTS</t>
  </si>
  <si>
    <t>Monthly kWh</t>
  </si>
  <si>
    <t>LIGHTING</t>
  </si>
  <si>
    <t>Difference due to rounding.</t>
  </si>
  <si>
    <t>WITH TEMP AND UNBILLED ADJ.</t>
  </si>
  <si>
    <t>Diff</t>
  </si>
  <si>
    <t>Blocking</t>
  </si>
  <si>
    <t>PACIFIC POWER</t>
  </si>
  <si>
    <t>SCHEDULE 48B</t>
  </si>
  <si>
    <t>02LGSV048B - Boise</t>
  </si>
  <si>
    <t>48b</t>
  </si>
  <si>
    <t>02LGSV048B</t>
  </si>
  <si>
    <t>Prior</t>
  </si>
  <si>
    <t xml:space="preserve">     16,000 Lumens</t>
  </si>
  <si>
    <t xml:space="preserve">    27,500 Lumens</t>
  </si>
  <si>
    <t xml:space="preserve">Street Lighting Service Company-Owned </t>
  </si>
  <si>
    <t>High Pressure Sodium Vapor</t>
  </si>
  <si>
    <t>Metal Halide</t>
  </si>
  <si>
    <t xml:space="preserve">     9,500 Lumens-Decorative Series 1</t>
  </si>
  <si>
    <t xml:space="preserve">     9,500 Lumens-Decorative Series 2</t>
  </si>
  <si>
    <t xml:space="preserve">     16,000-Lumens Decorative Series 1</t>
  </si>
  <si>
    <t xml:space="preserve">    16,000-Lumens Decorative Series 2</t>
  </si>
  <si>
    <t xml:space="preserve">    9,000 Lumens-Decorative Series 1</t>
  </si>
  <si>
    <t xml:space="preserve">    9,000 Lumens-Decorative Series 2</t>
  </si>
  <si>
    <t xml:space="preserve">   12,000 Lumens</t>
  </si>
  <si>
    <t xml:space="preserve">    12,000 Lumens-Decorative Series 1</t>
  </si>
  <si>
    <t xml:space="preserve">    12,000 Lumens-Decorative Series 2</t>
  </si>
  <si>
    <t xml:space="preserve">   19,500 Lumens</t>
  </si>
  <si>
    <t xml:space="preserve">   32,000 Lumens</t>
  </si>
  <si>
    <t xml:space="preserve">     5,800 Lumens-Energy Only</t>
  </si>
  <si>
    <t xml:space="preserve">     9,500 Lumens-Energy Only</t>
  </si>
  <si>
    <t xml:space="preserve">     16,000 Lumens-Energy Only</t>
  </si>
  <si>
    <t xml:space="preserve">     22,000 Lumens-Energy Only</t>
  </si>
  <si>
    <t xml:space="preserve">     27,500 Lumens-Energy Only</t>
  </si>
  <si>
    <t xml:space="preserve">     50,000 Lumens-Energy Only</t>
  </si>
  <si>
    <t xml:space="preserve">     9,000 Lumens-Energy Only</t>
  </si>
  <si>
    <t xml:space="preserve">    12,000 Lumens-Energy Only</t>
  </si>
  <si>
    <t xml:space="preserve">     19,500 Lumens-Energy Only</t>
  </si>
  <si>
    <t xml:space="preserve">     32,000 Lumens-Energy Only</t>
  </si>
  <si>
    <t xml:space="preserve">     107,800 Lumens-Energy Only</t>
  </si>
  <si>
    <t>Non-Listed Lumen-Energy Only</t>
  </si>
  <si>
    <t>Listed Lumen-Energy Only-above</t>
  </si>
  <si>
    <t>Listed Lumen-Energy Only</t>
  </si>
  <si>
    <t>12 MONTHS ENDED JUNE 2008</t>
  </si>
  <si>
    <t>Large General Service 30,000 kW and over</t>
  </si>
  <si>
    <t>Proposed Price Schedule 24</t>
  </si>
  <si>
    <t>Proposed Price Schedule 40 *</t>
  </si>
  <si>
    <t>Schedule 40 **</t>
  </si>
  <si>
    <t>Monthly **</t>
  </si>
  <si>
    <t>TABLE A. PRESENT AND TARGETED RATES</t>
  </si>
  <si>
    <t>Washington Low Income</t>
  </si>
  <si>
    <t>Schedule 91 Surcharge Rates Proposal</t>
  </si>
  <si>
    <t>Program with</t>
  </si>
  <si>
    <t>Increase Over</t>
  </si>
  <si>
    <t xml:space="preserve">Current </t>
  </si>
  <si>
    <t>Est. Annual</t>
  </si>
  <si>
    <t>Estimated</t>
  </si>
  <si>
    <t>Current*</t>
  </si>
  <si>
    <t>Annual Revenues Collections</t>
  </si>
  <si>
    <t>Monthly</t>
  </si>
  <si>
    <t>Collections</t>
  </si>
  <si>
    <t xml:space="preserve">Prior </t>
  </si>
  <si>
    <t xml:space="preserve">   Increase</t>
  </si>
  <si>
    <t>Aug 05</t>
  </si>
  <si>
    <t>Schedule 91 Charges</t>
  </si>
  <si>
    <t>47T</t>
  </si>
  <si>
    <t>Number of Qualifying Customers</t>
  </si>
  <si>
    <t>% Increase</t>
  </si>
  <si>
    <t>Cost per Qualifying Customer</t>
  </si>
  <si>
    <t>/Customer</t>
  </si>
  <si>
    <t>Average Credit per Customer - (Credit/Customers)</t>
  </si>
  <si>
    <t>Agency Charge per Qualifying Customer</t>
  </si>
  <si>
    <t>Average Cost per Qualifying Customer</t>
  </si>
  <si>
    <t xml:space="preserve">Annual Revenues - (Average Cost x Customers) </t>
  </si>
  <si>
    <t>Proposed Credit Increase</t>
  </si>
  <si>
    <t xml:space="preserve">Washington Low Income </t>
  </si>
  <si>
    <t>Energy Rate Credit Proposal</t>
  </si>
  <si>
    <t>% of Federal</t>
  </si>
  <si>
    <t>Discount/</t>
  </si>
  <si>
    <t>Poverty Level (FPL)</t>
  </si>
  <si>
    <t>Credit</t>
  </si>
  <si>
    <t>¢/kWh</t>
  </si>
  <si>
    <t xml:space="preserve">kWh </t>
  </si>
  <si>
    <t>0-75%</t>
  </si>
  <si>
    <t>76-100%</t>
  </si>
  <si>
    <t>Temp Adjustment in MWHs</t>
  </si>
  <si>
    <t>Year</t>
  </si>
  <si>
    <t>Annual Credits to Customers</t>
  </si>
  <si>
    <t>Grand Total</t>
  </si>
  <si>
    <t>Total kWh</t>
  </si>
  <si>
    <t>Low Income-Current</t>
  </si>
  <si>
    <t>Low Income-Proposed</t>
  </si>
  <si>
    <t>Low Income-proposed</t>
  </si>
  <si>
    <t>Low Income-current</t>
  </si>
  <si>
    <t>Large General Service =&gt; 30,000 kW</t>
  </si>
  <si>
    <t>48</t>
  </si>
  <si>
    <t>Chehalis Deferral</t>
  </si>
  <si>
    <t xml:space="preserve">  &lt;=30000 kW</t>
  </si>
  <si>
    <t xml:space="preserve">  &gt;30000 kW</t>
  </si>
  <si>
    <t xml:space="preserve">  &gt;30000 kW variable</t>
  </si>
  <si>
    <t>&gt;30000</t>
  </si>
  <si>
    <t>Overall:</t>
  </si>
  <si>
    <t>30,000 kW and Over</t>
  </si>
  <si>
    <t>Served by Dedicated Facilities</t>
  </si>
  <si>
    <t>Revenue Class Desc</t>
  </si>
  <si>
    <t>Rate Desc</t>
  </si>
  <si>
    <t>T kWh</t>
  </si>
  <si>
    <t>T Revenue</t>
  </si>
  <si>
    <t>02NMT36135-WA NET METER LRG SVC &lt; 1000KW</t>
  </si>
  <si>
    <t>SMUD REVENUE IMPUTATIONS</t>
  </si>
  <si>
    <t>WASHINGTON - CHEHALIS DEFERRAL</t>
  </si>
  <si>
    <t>02NETMT135 - WA RES NET METERING-BPA</t>
  </si>
  <si>
    <t>smud</t>
  </si>
  <si>
    <t>b135</t>
  </si>
  <si>
    <t>SMUD</t>
  </si>
  <si>
    <t>02NMT36135</t>
  </si>
  <si>
    <t>Calc Rev</t>
  </si>
  <si>
    <t>Includes Schedule 16 Net Metering</t>
  </si>
  <si>
    <t>Large General Service 1,000 kW and over-Primary-Industrial</t>
  </si>
  <si>
    <t>Large General Service 1,000 kW and over-Primary-Commercial</t>
  </si>
  <si>
    <t>Large General Service 1,000 kW and over-Secondary-Industrial</t>
  </si>
  <si>
    <t>Large General Service 1,000 kW and over-Secondary-Commercial</t>
  </si>
  <si>
    <t>Large General Service 1,000 kW and over-Secondary Combined</t>
  </si>
  <si>
    <t>Large General Service 1,000 kW and over-Primary-Combined</t>
  </si>
  <si>
    <t>Large General Service 1,000 kW and over-Commercial-Combined</t>
  </si>
  <si>
    <t>Large General Service 1,000 kW and over-Industrial-Combined</t>
  </si>
  <si>
    <t>Monthly Revenues</t>
  </si>
  <si>
    <t>in MWHs</t>
  </si>
  <si>
    <t>Res</t>
  </si>
  <si>
    <t>Com</t>
  </si>
  <si>
    <t>Sch 16</t>
  </si>
  <si>
    <t>Sch 18</t>
  </si>
  <si>
    <t>Sch 24</t>
  </si>
  <si>
    <t>Sch 36</t>
  </si>
  <si>
    <t>*</t>
  </si>
  <si>
    <t>* Average Washington Customer</t>
  </si>
  <si>
    <t>101-150%</t>
  </si>
  <si>
    <t>REVENUE_ACCOUNTING ADJUSTMENTS</t>
  </si>
  <si>
    <t>301461-IRRIGATION DEMAND CHARGE ACCRUAL</t>
  </si>
  <si>
    <t>U</t>
  </si>
  <si>
    <t>R</t>
  </si>
  <si>
    <t>bpaadj</t>
  </si>
  <si>
    <t>Price Change</t>
  </si>
  <si>
    <t>Restating</t>
  </si>
  <si>
    <t>Total Restating</t>
  </si>
  <si>
    <t>Includes 47T</t>
  </si>
  <si>
    <t>Lighting</t>
  </si>
  <si>
    <t>Sum of Sum of Amount</t>
  </si>
  <si>
    <t>Sum of Sum of Billing Quantity</t>
  </si>
  <si>
    <t>Sum of Participants</t>
  </si>
  <si>
    <t>Bills during season for participants</t>
  </si>
  <si>
    <t>Administrative Costs ($/cust)</t>
  </si>
  <si>
    <t>Number of customers served</t>
  </si>
  <si>
    <t>Increase in average dollar subsidy/ client</t>
  </si>
  <si>
    <t>current</t>
  </si>
  <si>
    <t>proposed</t>
  </si>
  <si>
    <t>Prior Year</t>
  </si>
  <si>
    <t>Available for subsidy</t>
  </si>
  <si>
    <t>16/18(#2)</t>
  </si>
  <si>
    <t>(#1)</t>
  </si>
  <si>
    <t>Rev excess/(short)</t>
  </si>
  <si>
    <t>(#1) Annual Amount</t>
  </si>
  <si>
    <t>total participants</t>
  </si>
  <si>
    <t>Total benefits</t>
  </si>
  <si>
    <t>Admin Expense</t>
  </si>
  <si>
    <t>Total Program cost</t>
  </si>
  <si>
    <t>Admin Costs</t>
  </si>
  <si>
    <t>PacifiCorp</t>
  </si>
  <si>
    <t>J</t>
  </si>
  <si>
    <t>M</t>
  </si>
  <si>
    <t>G + J</t>
  </si>
  <si>
    <t>A + B</t>
  </si>
  <si>
    <r>
      <t>Adjustments</t>
    </r>
    <r>
      <rPr>
        <vertAlign val="superscript"/>
        <sz val="12"/>
        <rFont val="Times New Roman"/>
        <family val="1"/>
      </rPr>
      <t>2</t>
    </r>
  </si>
  <si>
    <t>02RGNSB024</t>
  </si>
  <si>
    <t>Rev Adjustment</t>
  </si>
  <si>
    <t>Irrigation Demand Charge</t>
  </si>
  <si>
    <t>02CFR0012</t>
  </si>
  <si>
    <t xml:space="preserve">   </t>
  </si>
  <si>
    <r>
      <t>1</t>
    </r>
    <r>
      <rPr>
        <sz val="12"/>
        <rFont val="Times New Roman"/>
        <family val="1"/>
      </rPr>
      <t xml:space="preserve"> Temperature normalization.</t>
    </r>
  </si>
  <si>
    <t>Total Annualized</t>
  </si>
  <si>
    <t>Restating and Annualized Adj.</t>
  </si>
  <si>
    <t>DSM</t>
  </si>
  <si>
    <t>Blue Sky</t>
  </si>
  <si>
    <t xml:space="preserve">DSM </t>
  </si>
  <si>
    <t>Revenue Accounting Adj</t>
  </si>
  <si>
    <t>Irrigation Demand Charge Accrual</t>
  </si>
  <si>
    <t>305 from Cognos (305 Reports)</t>
  </si>
  <si>
    <t>REVENUE ADJUSTMENT - DEFERRED NPC</t>
  </si>
  <si>
    <t>def</t>
  </si>
  <si>
    <t>dsm</t>
  </si>
  <si>
    <t>301270-DSM REVENUE-COMMERCIAL</t>
  </si>
  <si>
    <t>blue</t>
  </si>
  <si>
    <t>301280-BLUE SKY REVENUE-COMMERCIAL</t>
  </si>
  <si>
    <t>02NMT24135, Net metering, WA-BPA</t>
  </si>
  <si>
    <t>301370-DSM REVENUE-INDUSTRIAL</t>
  </si>
  <si>
    <t>irr</t>
  </si>
  <si>
    <t>301470-DSM REVENUE-IRRIGATION</t>
  </si>
  <si>
    <t>301480-BLUE SKY REVENUE-IRRIGATION</t>
  </si>
  <si>
    <t>bbpaadj</t>
  </si>
  <si>
    <t>301670-DSM REVENUE-PSHL</t>
  </si>
  <si>
    <t>301170-DSM REVENUE-RESIDENTIAL</t>
  </si>
  <si>
    <t>301180-BLUE SKY REVENUE-RESIDENTIAL</t>
  </si>
  <si>
    <t>02RGNSB024-WA SMALL GENERAL SVC-RES</t>
  </si>
  <si>
    <t>02RGNSB024-WA SMALL GENERAL SVC-RES-BPA</t>
  </si>
  <si>
    <t>Check:  305 Report</t>
  </si>
  <si>
    <t>Schedule 17</t>
  </si>
  <si>
    <t>Small General Service-Residential</t>
  </si>
  <si>
    <t>State Desc</t>
  </si>
  <si>
    <t>T Customers</t>
  </si>
  <si>
    <t>T Billing Count</t>
  </si>
  <si>
    <t>STATE OF WASHINGTON - PPL</t>
  </si>
  <si>
    <t>12 MONTHS ENDED JUNE 2012</t>
  </si>
  <si>
    <t xml:space="preserve">Normalization </t>
  </si>
  <si>
    <t>Irr</t>
  </si>
  <si>
    <t>Ind</t>
  </si>
  <si>
    <t>Sch 17</t>
  </si>
  <si>
    <t>Sch 48</t>
  </si>
  <si>
    <t>Sch 40</t>
  </si>
  <si>
    <t>Schedule 40</t>
  </si>
  <si>
    <t>Tolerance Adj</t>
  </si>
  <si>
    <r>
      <t>Rate Change</t>
    </r>
    <r>
      <rPr>
        <vertAlign val="superscript"/>
        <sz val="12"/>
        <rFont val="Times New Roman"/>
        <family val="1"/>
      </rPr>
      <t>2</t>
    </r>
  </si>
  <si>
    <t>Unit Price New</t>
  </si>
  <si>
    <t xml:space="preserve">      ** Does not include November Load Size Charge.</t>
  </si>
  <si>
    <t>Cost Of Service By Rate Schedule</t>
  </si>
  <si>
    <t>Demand Factors</t>
  </si>
  <si>
    <t>F</t>
  </si>
  <si>
    <t>G</t>
  </si>
  <si>
    <t>H</t>
  </si>
  <si>
    <t>Small General</t>
  </si>
  <si>
    <t>Large General</t>
  </si>
  <si>
    <t>Agricultural</t>
  </si>
  <si>
    <t>Street &amp; Area</t>
  </si>
  <si>
    <t>Service</t>
  </si>
  <si>
    <t>Service &lt;1,000 kW</t>
  </si>
  <si>
    <t>Service &gt;1,000 kW</t>
  </si>
  <si>
    <t>Dedicated Facilities</t>
  </si>
  <si>
    <t>Pumping</t>
  </si>
  <si>
    <t>Schedule 48T</t>
  </si>
  <si>
    <t>Sch. 15,51-54,57</t>
  </si>
  <si>
    <t>Secondary</t>
  </si>
  <si>
    <t>Primary</t>
  </si>
  <si>
    <t>Sub-Transmission</t>
  </si>
  <si>
    <t>Transmission</t>
  </si>
  <si>
    <t>Total KW @ Input</t>
  </si>
  <si>
    <t>Total MWH @ Input</t>
  </si>
  <si>
    <t>MWH %</t>
  </si>
  <si>
    <t>NPC Spread</t>
  </si>
  <si>
    <t>Sch 15</t>
  </si>
  <si>
    <t>Sch 51</t>
  </si>
  <si>
    <t>Sch 52</t>
  </si>
  <si>
    <t>Sch 53</t>
  </si>
  <si>
    <t>Sch 54</t>
  </si>
  <si>
    <t>Sch 57</t>
  </si>
  <si>
    <t>(11)</t>
  </si>
  <si>
    <t>(12)</t>
  </si>
  <si>
    <t>(8/4)</t>
  </si>
  <si>
    <t>(9/4)</t>
  </si>
  <si>
    <t>16/17/18</t>
  </si>
  <si>
    <t>(#2) Reduced number of customers by change in new Schedule 17 customers</t>
  </si>
  <si>
    <t>Monthly Basic Charge</t>
  </si>
  <si>
    <t>Program *</t>
  </si>
  <si>
    <t xml:space="preserve">*Ordered in Docket No. UE-130694 effective June 20, 2013. </t>
  </si>
  <si>
    <t>Large General Service 30,000 kW and over-Primary Dedicated Facilities</t>
  </si>
  <si>
    <r>
      <t xml:space="preserve">Monthly Energy Charge </t>
    </r>
    <r>
      <rPr>
        <vertAlign val="superscript"/>
        <sz val="11"/>
        <rFont val="Times New Roman"/>
        <family val="1"/>
      </rPr>
      <t>1</t>
    </r>
  </si>
  <si>
    <t>12 MONTHS ENDED DECEMBER 2013</t>
  </si>
  <si>
    <t>Rate Group Cd</t>
  </si>
  <si>
    <t>02NMT48135-WA LG SVC NET METER=&gt;1000 KW</t>
  </si>
  <si>
    <t>02NMT40135-WA NET METERING-IRG</t>
  </si>
  <si>
    <t>02NMT40135-WA NET METERING BPA-IRG</t>
  </si>
  <si>
    <t>02UPPL000R-BASE SCH FALL</t>
  </si>
  <si>
    <t>Washington- December 2013</t>
  </si>
  <si>
    <t>12 Months Ended December 2013</t>
  </si>
  <si>
    <t>Washington- 12 Months Ended December 2013</t>
  </si>
  <si>
    <t>Pacific Power &amp; Light</t>
  </si>
  <si>
    <t xml:space="preserve">Pacific Power &amp; Light </t>
  </si>
  <si>
    <r>
      <t>2</t>
    </r>
    <r>
      <rPr>
        <sz val="12"/>
        <rFont val="Times New Roman"/>
        <family val="1"/>
      </rPr>
      <t xml:space="preserve"> Impact $17.0 million price increase effective December 11, 2013.</t>
    </r>
  </si>
  <si>
    <t>SUMMARY OF PRESENT REVENUES FROM ELECTRIC SALES</t>
  </si>
  <si>
    <t>DISTRIBUTED BY RATE SCHEDULES IN WASHINGTON</t>
  </si>
  <si>
    <t>Pre</t>
  </si>
  <si>
    <t>Sch</t>
  </si>
  <si>
    <t>No. of</t>
  </si>
  <si>
    <r>
      <t>Revenues</t>
    </r>
    <r>
      <rPr>
        <b/>
        <vertAlign val="superscript"/>
        <sz val="11"/>
        <rFont val="Times New Roman"/>
        <family val="1"/>
      </rPr>
      <t>1</t>
    </r>
  </si>
  <si>
    <t>Cust</t>
  </si>
  <si>
    <t>$/kWh</t>
  </si>
  <si>
    <t>(5)/(4)</t>
  </si>
  <si>
    <t>(7)/(4)</t>
  </si>
  <si>
    <t>(8)/(4)</t>
  </si>
  <si>
    <t>16,17,18</t>
  </si>
  <si>
    <t>General Service</t>
  </si>
  <si>
    <t>Large Gen. Svc., Optional, &lt;1,000 kW</t>
  </si>
  <si>
    <t>Large General Service &gt;= 1,000 kW</t>
  </si>
  <si>
    <t>Partial Req. Svc. &gt;= 1,000 kW</t>
  </si>
  <si>
    <t>Total Industrial</t>
  </si>
  <si>
    <t>Total Industrial plus Irrigation</t>
  </si>
  <si>
    <t>Total Com., Ind. and Irrig.</t>
  </si>
  <si>
    <t>Street Lighting Service HPSV</t>
  </si>
  <si>
    <t>Street Lighting Service - Co. Own.</t>
  </si>
  <si>
    <t>Street Lighting Service - Cust. Own.</t>
  </si>
  <si>
    <t>Street Lighting Service MV</t>
  </si>
  <si>
    <t>Total Public Street Lighting</t>
  </si>
  <si>
    <r>
      <t>1</t>
    </r>
    <r>
      <rPr>
        <sz val="11"/>
        <rFont val="Times New Roman"/>
        <family val="1"/>
      </rPr>
      <t xml:space="preserve">  Excludes Low Income surcharge (Sch 91) and BPA adjustment (Sch 98).</t>
    </r>
  </si>
  <si>
    <t>Ordered</t>
  </si>
  <si>
    <t>RES</t>
  </si>
  <si>
    <t>COM</t>
  </si>
  <si>
    <t>IRR</t>
  </si>
  <si>
    <t>PacifiCorp - State of Washington</t>
  </si>
  <si>
    <t>System Benefits Charge - All Schedules</t>
  </si>
  <si>
    <t>Schedule 191 Revenues</t>
  </si>
  <si>
    <t>Pre-2013</t>
  </si>
  <si>
    <t>Pre 7/1/2013</t>
  </si>
  <si>
    <t>Post 7/1/2013</t>
  </si>
  <si>
    <t>KWH</t>
  </si>
  <si>
    <t>Class</t>
  </si>
  <si>
    <t>per KWH</t>
  </si>
  <si>
    <t>Residential Total</t>
  </si>
  <si>
    <t>36</t>
  </si>
  <si>
    <t>Commercial Total</t>
  </si>
  <si>
    <t>48T-Dedicated Facilities</t>
  </si>
  <si>
    <t>Industrial Total</t>
  </si>
  <si>
    <t>Irrigation Total</t>
  </si>
  <si>
    <t>52</t>
  </si>
  <si>
    <t>53</t>
  </si>
  <si>
    <t>PS&amp;H Lighting Total</t>
  </si>
  <si>
    <t>Totals</t>
  </si>
  <si>
    <t>Variance</t>
  </si>
  <si>
    <r>
      <rPr>
        <vertAlign val="superscript"/>
        <sz val="12"/>
        <rFont val="Times New Roman"/>
        <family val="1"/>
      </rPr>
      <t>1</t>
    </r>
    <r>
      <rPr>
        <sz val="12"/>
        <rFont val="Times New Roman"/>
        <family val="1"/>
      </rPr>
      <t xml:space="preserve"> Adjustments back out Schedule 191 (System Benefits Charge) -$11,140,249, SMUD -$310,869, BPA $6,996,494, Chehalis Deferral $3,000,000, Revenue Accounting Adjustments $11,878,340, DSM -$10,677,589, Blue Sky -$54,423,  Out of Period -$169,064 and tolerance adjustment -$8,153.</t>
    </r>
  </si>
  <si>
    <r>
      <rPr>
        <vertAlign val="superscript"/>
        <sz val="12"/>
        <rFont val="Times New Roman"/>
        <family val="1"/>
      </rPr>
      <t>1</t>
    </r>
    <r>
      <rPr>
        <sz val="12"/>
        <rFont val="Times New Roman"/>
        <family val="1"/>
      </rPr>
      <t xml:space="preserve"> Adjustments back out Schedule 191 (System Benefits Charge) -$11,140,249, SMUD -$310,869, Chehalis Deferral $3,000,000, Revenue Accounting Adjustments $11,878,340,</t>
    </r>
  </si>
  <si>
    <t xml:space="preserve"> DSM -$10,677,589, Blue Sky -$54,423 Out of Period -$169,064 and Tolerance Adjustment -$8,154.</t>
  </si>
  <si>
    <t>December 13 Blocking</t>
  </si>
  <si>
    <t>and tolerance adjustment 6,641.</t>
  </si>
  <si>
    <t xml:space="preserve"> I</t>
  </si>
  <si>
    <r>
      <t>2</t>
    </r>
    <r>
      <rPr>
        <sz val="12"/>
        <rFont val="Times New Roman"/>
        <family val="1"/>
      </rPr>
      <t xml:space="preserve"> Removes Schedule 98 (BPA), Schedule 191 (System Benefits Charge), SMUD, Revenue Accounting Adjustments, Chehalis Deferral, DSM, Blue Sky, Out-of-Period and Tolerance Adjustment.</t>
    </r>
  </si>
  <si>
    <t>Schedule 48</t>
  </si>
  <si>
    <t>Commercial (Sec)</t>
  </si>
  <si>
    <t>Commercial (Pri)</t>
  </si>
  <si>
    <r>
      <t>1</t>
    </r>
    <r>
      <rPr>
        <sz val="12"/>
        <rFont val="Times New Roman"/>
        <family val="1"/>
      </rPr>
      <t xml:space="preserve"> Temperature normalization -79,391,667 kWh, and Out of Period -3,141,513 </t>
    </r>
  </si>
  <si>
    <t>PCAM-Base - NPC per kWh</t>
  </si>
  <si>
    <t>NPC</t>
  </si>
  <si>
    <t>PCAM-Base - 1st 600 kWh</t>
  </si>
  <si>
    <t>PCAM-Base - All Addt'l kWh</t>
  </si>
  <si>
    <t>Total Rate - 1st 600 kWh</t>
  </si>
  <si>
    <t>Total Rate - All Addt'l kWh</t>
  </si>
  <si>
    <t>PCAM-Base - 1st 1,000 kWh</t>
  </si>
  <si>
    <t>PCAM-Base -Next 8,000 kWh</t>
  </si>
  <si>
    <t>PCAM-Base - All Additional kWh</t>
  </si>
  <si>
    <t>Total Rate - 1st 1,000 kWh</t>
  </si>
  <si>
    <t>Total Rate - Next 8,000 kWh</t>
  </si>
  <si>
    <t>Total Rate - All Additional kWh</t>
  </si>
  <si>
    <t>PCAM-Base - 1st 40,000 kWh</t>
  </si>
  <si>
    <t>PCAM-Base - All additional kWh</t>
  </si>
  <si>
    <t>Total Rate - 1st 40,000 kWh</t>
  </si>
  <si>
    <t>Total Rate - All additional kWh</t>
  </si>
  <si>
    <t>PCAM-Base - All kWh</t>
  </si>
  <si>
    <t>Total Rate - All kWh</t>
  </si>
  <si>
    <t>Large General Service 1,000 kW and over-Primary Dedicated Facilities</t>
  </si>
  <si>
    <t>Total Energy Rate per kWh</t>
  </si>
  <si>
    <t>Total Energy Rate</t>
  </si>
  <si>
    <t xml:space="preserve">Distribution </t>
  </si>
  <si>
    <t>Distribution</t>
  </si>
  <si>
    <t>Generation</t>
  </si>
  <si>
    <t>K</t>
  </si>
  <si>
    <t>L</t>
  </si>
  <si>
    <t>Return on</t>
  </si>
  <si>
    <t>Rate of</t>
  </si>
  <si>
    <t xml:space="preserve">Transmission </t>
  </si>
  <si>
    <t xml:space="preserve">Retail </t>
  </si>
  <si>
    <t>Misc</t>
  </si>
  <si>
    <t>Percentage</t>
  </si>
  <si>
    <t>Return</t>
  </si>
  <si>
    <t>Cost of</t>
  </si>
  <si>
    <t>(Decrease)</t>
  </si>
  <si>
    <t>Change from</t>
  </si>
  <si>
    <t>Index</t>
  </si>
  <si>
    <t>to = ROR</t>
  </si>
  <si>
    <t>Current Revenues</t>
  </si>
  <si>
    <t>16</t>
  </si>
  <si>
    <t>24</t>
  </si>
  <si>
    <t xml:space="preserve">Small General Service </t>
  </si>
  <si>
    <t>Large General Service &gt;1,000 kW</t>
  </si>
  <si>
    <t>15,52,54,57</t>
  </si>
  <si>
    <t>Street Lighting</t>
  </si>
  <si>
    <t>Total Washington Jurisdiction</t>
  </si>
  <si>
    <t>Targets</t>
  </si>
  <si>
    <t>Level 1 - 6.396</t>
  </si>
  <si>
    <t>Level 2 - 4.303</t>
  </si>
  <si>
    <t>Level 3 - 2.689</t>
  </si>
  <si>
    <t>Values</t>
  </si>
  <si>
    <t>2.68900E+0 Total</t>
  </si>
  <si>
    <t>4.30300E+0 Total</t>
  </si>
  <si>
    <t>6.39600E+0 Total</t>
  </si>
  <si>
    <t>@5192 participants</t>
  </si>
  <si>
    <t>Estimated kWh for 5,428 participants</t>
  </si>
  <si>
    <t>Unit Costs @ Target ROR</t>
  </si>
  <si>
    <t>12 Months Ending December 2013</t>
  </si>
  <si>
    <t>WCA Method - (100 Summer, 100 Winter Hours) - 43%D / 57%E</t>
  </si>
  <si>
    <t>Jurisdiction</t>
  </si>
  <si>
    <t>UNITS</t>
  </si>
  <si>
    <t>NCP KW</t>
  </si>
  <si>
    <t>Annual KWH</t>
  </si>
  <si>
    <t>Average Customers</t>
  </si>
  <si>
    <t>CP Load Factor</t>
  </si>
  <si>
    <t>GTDRM TOTAL</t>
  </si>
  <si>
    <t>Revenue Requirement</t>
  </si>
  <si>
    <t>Per KWH</t>
  </si>
  <si>
    <t>Per Customer</t>
  </si>
  <si>
    <t>GENERATION-TOTAL</t>
  </si>
  <si>
    <t>GENERATION-DEMAND</t>
  </si>
  <si>
    <t>GENERATION-ENERGY</t>
  </si>
  <si>
    <t>TRANSMISSION-TOTAL</t>
  </si>
  <si>
    <t>TRANSMISSION-DEMAND</t>
  </si>
  <si>
    <t>TRANSMISSION-ENERGY</t>
  </si>
  <si>
    <t>DISTRIBUTION-TOTAL</t>
  </si>
  <si>
    <t>DISTRIBUTION-SUBSTATION</t>
  </si>
  <si>
    <t>DISTRIBUTION- P &amp; C</t>
  </si>
  <si>
    <t>DISTRIBUTION-TRANSFORMER</t>
  </si>
  <si>
    <t>DISTRIBUTION-METER</t>
  </si>
  <si>
    <t>DISTRIBUTION-SERVICE</t>
  </si>
  <si>
    <t>RETAIL-TOTAL</t>
  </si>
  <si>
    <t>MISC - Total</t>
  </si>
  <si>
    <t>Classification Revenue Requirement</t>
  </si>
  <si>
    <t>Generation - Demand</t>
  </si>
  <si>
    <t>Transmission - Demand</t>
  </si>
  <si>
    <t>Distribution - Substation</t>
  </si>
  <si>
    <t>Demand - TOTAL Revenue Requirement</t>
  </si>
  <si>
    <t>Generation - Energy</t>
  </si>
  <si>
    <t>Transmission - Energy</t>
  </si>
  <si>
    <t>Misc - Total</t>
  </si>
  <si>
    <t>Energy - TOTAL Revenue Requirement</t>
  </si>
  <si>
    <t>Distribution - Meter</t>
  </si>
  <si>
    <t>Distribution - Service</t>
  </si>
  <si>
    <t>Retail Total</t>
  </si>
  <si>
    <t>Customer - TOTAL Revenue Requirement</t>
  </si>
  <si>
    <t>Distribution - P&amp;C</t>
  </si>
  <si>
    <t>Distribution - Transformer</t>
  </si>
  <si>
    <t>Load Size - TOTAL Revenue Requirement</t>
  </si>
  <si>
    <t>Total Classification Revenue Requirement</t>
  </si>
  <si>
    <t>GTDRM Revenue Requirement</t>
  </si>
  <si>
    <t>Load Factor</t>
  </si>
  <si>
    <t>100% Cost Based Rates</t>
  </si>
  <si>
    <t>Demand Charge</t>
  </si>
  <si>
    <t>Energy Charge</t>
  </si>
  <si>
    <t>Customer Charge</t>
  </si>
  <si>
    <t>Load Size Charge</t>
  </si>
  <si>
    <t>Demand Revenue Requirement</t>
  </si>
  <si>
    <t>Energy Revenue Requirement</t>
  </si>
  <si>
    <t>Customer Revenue Requirement</t>
  </si>
  <si>
    <t>Load Size Revenue Requirement</t>
  </si>
  <si>
    <t>Total Revenue Requirement</t>
  </si>
  <si>
    <t>From Pricing - type of rate</t>
  </si>
  <si>
    <t>half average</t>
  </si>
  <si>
    <t>NPC-Base - 1st 40,000 kWh</t>
  </si>
  <si>
    <t>NPC-Base - All additional kWh</t>
  </si>
  <si>
    <t>NPC-Base - NPC per kWh</t>
  </si>
  <si>
    <t>NPC-Base - per kWh</t>
  </si>
  <si>
    <t>NPC-Base - 1st 600 kWh</t>
  </si>
  <si>
    <t>NPC-Base - All Addt'l kWh</t>
  </si>
  <si>
    <t>NPC-Base - 1st 1,000 kWh</t>
  </si>
  <si>
    <t>NPC-Base -Next 8,000 kWh</t>
  </si>
  <si>
    <t>NPC-Base - All Additional kWh</t>
  </si>
  <si>
    <t>NPC-Base - All kWh</t>
  </si>
  <si>
    <t>7.76% Target Return on Rate Base</t>
  </si>
  <si>
    <t>FACTOR 10 - 43% D / 57% E</t>
  </si>
  <si>
    <t>Schedule 17 - Residential Service</t>
  </si>
  <si>
    <t>Low Income Credit 0-75% Curr</t>
  </si>
  <si>
    <t>Low Income Credit 0-75% Prop</t>
  </si>
  <si>
    <t>Low Income Credit 76-100% Curr</t>
  </si>
  <si>
    <t>Low Income Credit 76-100% Prop</t>
  </si>
  <si>
    <t>Low Income Credit 101-150% Curr</t>
  </si>
  <si>
    <t>Low Income Credit 101-150% Prop</t>
  </si>
  <si>
    <t>class increase</t>
  </si>
  <si>
    <t>class average</t>
  </si>
  <si>
    <t>7.76% = Target Return on Rate Base</t>
  </si>
  <si>
    <t xml:space="preserve">Current Credit per Participant plus 18.6% </t>
  </si>
  <si>
    <t>Deferrals</t>
  </si>
  <si>
    <t>(7)+(9)</t>
  </si>
  <si>
    <t>(11)/(5)</t>
  </si>
  <si>
    <t>ESTIMATED EFFECT OF PROPOSED BASE RATE INCREASE</t>
  </si>
  <si>
    <t>ESTIMATED EFFECT OF PROPOSED DEFERRAL SURCHARGE</t>
  </si>
  <si>
    <t>(5)+(6)</t>
  </si>
  <si>
    <t>(6)/(5)</t>
  </si>
  <si>
    <t>ESTIMATED COMBINED EFFECT OF PROPOSED BASE RATE INCREASE AND DEFERRAL SURCHARGE</t>
  </si>
  <si>
    <r>
      <t xml:space="preserve">       </t>
    </r>
    <r>
      <rPr>
        <vertAlign val="superscript"/>
        <sz val="10"/>
        <rFont val="Times New Roman"/>
        <family val="1"/>
      </rPr>
      <t>1</t>
    </r>
    <r>
      <rPr>
        <sz val="10"/>
        <rFont val="Times New Roman"/>
        <family val="1"/>
      </rPr>
      <t xml:space="preserve"> Includes SBC Charge, Low Income Charge, Deferral Surcharge and BPA Credit.</t>
    </r>
  </si>
  <si>
    <t xml:space="preserve">       * Includes SBC Charge, Deferral Surcharge and Low Income Charge.</t>
  </si>
  <si>
    <t xml:space="preserve">       * Includes SBC Charge BPA Credit, Deferral Surcharge and Low Income charge.</t>
  </si>
  <si>
    <t>(6)/(4)</t>
  </si>
  <si>
    <t>Large Partial Requirements Service - Secondary</t>
  </si>
  <si>
    <t>NPC-Base - NPC per kWh *</t>
  </si>
  <si>
    <t>*Included in Generation Price</t>
  </si>
  <si>
    <t>NPC-Base - All kWh *</t>
  </si>
  <si>
    <t>Source:Exhibit No.__(JRS-2).</t>
  </si>
  <si>
    <t>TABLE C. PRESENT AND PROPOSED RATES</t>
  </si>
  <si>
    <t>TABLE B. PRESENT AND PROPOSED RATES</t>
  </si>
  <si>
    <t>Source:Exhibit No.__(JRS-2)</t>
  </si>
  <si>
    <t xml:space="preserve">LED </t>
  </si>
  <si>
    <t xml:space="preserve">    4,000 Lumens</t>
  </si>
  <si>
    <t xml:space="preserve">    6,200 Lumens</t>
  </si>
  <si>
    <t xml:space="preserve">    13,000 Lumens</t>
  </si>
  <si>
    <t xml:space="preserve">    16,800 Lumens</t>
  </si>
  <si>
    <r>
      <t xml:space="preserve">       </t>
    </r>
    <r>
      <rPr>
        <vertAlign val="superscript"/>
        <sz val="10"/>
        <rFont val="Times New Roman"/>
        <family val="1"/>
      </rPr>
      <t>1</t>
    </r>
    <r>
      <rPr>
        <sz val="10"/>
        <rFont val="Times New Roman"/>
        <family val="1"/>
      </rPr>
      <t xml:space="preserve"> Includes SBC Charge, Deferral Surcharge, BPA Credit and Low Income Credit @0-75% FPL.</t>
    </r>
  </si>
  <si>
    <t>Summary fopr Unbundling</t>
  </si>
  <si>
    <t>* Schedule 17 Washington Customer Average Monthly Winter Usage</t>
  </si>
  <si>
    <t>Estimated increase</t>
  </si>
  <si>
    <t>501NPC</t>
  </si>
  <si>
    <t>503NPC</t>
  </si>
  <si>
    <t>547NPC</t>
  </si>
  <si>
    <t>565NPC</t>
  </si>
  <si>
    <t>T</t>
  </si>
  <si>
    <t>Source: Exhibit No.__(JRS-xx) Tab 5</t>
  </si>
  <si>
    <t>(6/4)</t>
  </si>
  <si>
    <t>Generation Demand</t>
  </si>
  <si>
    <t>Transmission Demand</t>
  </si>
  <si>
    <t>1/2 Generation Demand</t>
  </si>
  <si>
    <t>1/2 Transmission Demand</t>
  </si>
  <si>
    <t>Half way Generation Demand</t>
  </si>
  <si>
    <t>Half way Transmission Demand</t>
  </si>
  <si>
    <t>Transmission Demand Method Filed</t>
  </si>
  <si>
    <t>Generation Demand Method Filed</t>
  </si>
  <si>
    <t>Schedule 48 Overall:</t>
  </si>
  <si>
    <t>Residential Overall:</t>
  </si>
  <si>
    <t>Total Change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</si>
</sst>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1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&quot;$&quot;#,##0"/>
    <numFmt numFmtId="166" formatCode="0.0000%"/>
    <numFmt numFmtId="167" formatCode="_(&quot;$&quot;* #,##0_);_(&quot;$&quot;* \(#,##0\);_(&quot;$&quot;* &quot;-&quot;??_);_(@_)"/>
    <numFmt numFmtId="168" formatCode="_(* #,##0_);_(* \(#,##0\);_(* &quot;-&quot;??_);_(@_)"/>
    <numFmt numFmtId="169" formatCode="General_)"/>
    <numFmt numFmtId="170" formatCode="0.000000"/>
    <numFmt numFmtId="171" formatCode="0.0%"/>
    <numFmt numFmtId="172" formatCode="&quot;$&quot;#,##0.00"/>
    <numFmt numFmtId="173" formatCode="0.00000"/>
    <numFmt numFmtId="174" formatCode="&quot;$&quot;#,##0.00000_);\(&quot;$&quot;#,##0.00000\)"/>
    <numFmt numFmtId="175" formatCode="#,##0.0000"/>
    <numFmt numFmtId="176" formatCode="#,##0.00000"/>
    <numFmt numFmtId="177" formatCode="_(&quot;$&quot;* #,##0.00000_);_(&quot;$&quot;* \(#,##0.00000\);_(&quot;$&quot;* &quot;-&quot;?????_);_(@_)"/>
    <numFmt numFmtId="178" formatCode="0.0"/>
    <numFmt numFmtId="179" formatCode="_(* #,##0.0000_);_(* \(#,##0.0000\);_(* &quot;-&quot;??_);_(@_)"/>
    <numFmt numFmtId="180" formatCode="_(* #,##0.00000_);_(* \(#,##0.00000\);_(* &quot;-&quot;??_);_(@_)"/>
    <numFmt numFmtId="181" formatCode="0.000"/>
    <numFmt numFmtId="182" formatCode="########\-###\-###"/>
    <numFmt numFmtId="183" formatCode="#,##0.000_);\(#,##0.000\)"/>
    <numFmt numFmtId="184" formatCode="_(* #,##0.000_);_(* \(#,##0.000\);_(* &quot;-&quot;??_);_(@_)"/>
    <numFmt numFmtId="185" formatCode="0.000_)"/>
    <numFmt numFmtId="186" formatCode="0.000000_)"/>
    <numFmt numFmtId="187" formatCode="0.00000000_)"/>
    <numFmt numFmtId="188" formatCode="&quot;$&quot;#,##0.000_);\(&quot;$&quot;#,##0.000\)"/>
    <numFmt numFmtId="189" formatCode="0.0000_)"/>
    <numFmt numFmtId="190" formatCode="0.00_)"/>
    <numFmt numFmtId="191" formatCode="0.000000000_)"/>
    <numFmt numFmtId="192" formatCode="#,##0.0_);\(#,##0.0\)"/>
    <numFmt numFmtId="193" formatCode="#,##0.000"/>
    <numFmt numFmtId="194" formatCode="#,##0;\-#,##0;#,##0"/>
    <numFmt numFmtId="195" formatCode="&quot;$&quot;#,##0.00_);\-&quot;$&quot;#,##0.00_);&quot;$&quot;#,##0.00_)"/>
    <numFmt numFmtId="196" formatCode="&quot;$&quot;#,##0.000000_);\(&quot;$&quot;#,##0.000000\)"/>
    <numFmt numFmtId="197" formatCode="_(&quot;$&quot;* #,##0.00000_);_(&quot;$&quot;* \(#,##0.00000\);_(&quot;$&quot;* &quot;-&quot;??_);_(@_)"/>
    <numFmt numFmtId="198" formatCode="0.000%"/>
    <numFmt numFmtId="199" formatCode="0.00000%"/>
    <numFmt numFmtId="200" formatCode="0.000000%"/>
    <numFmt numFmtId="201" formatCode="#,##0.0000000"/>
    <numFmt numFmtId="202" formatCode="_(* #,##0.00000000_);_(* \(#,##0.00000000\);_(* &quot;-&quot;??_);_(@_)"/>
    <numFmt numFmtId="203" formatCode="0.0000000%"/>
    <numFmt numFmtId="204" formatCode="0.00000000000000%"/>
    <numFmt numFmtId="205" formatCode="_(&quot;$&quot;* #,##0.000000_);_(&quot;$&quot;* \(#,##0.000000\);_(&quot;$&quot;* &quot;-&quot;??_);_(@_)"/>
    <numFmt numFmtId="206" formatCode="&quot;$&quot;#,##0_);\-&quot;$&quot;#,##0_);&quot;$&quot;#,##0_)"/>
    <numFmt numFmtId="207" formatCode="0.00000E+0;\-0.00000E+0"/>
    <numFmt numFmtId="208" formatCode="#,##0_)"/>
    <numFmt numFmtId="209" formatCode="#,##0.00;\-#,##0.00"/>
    <numFmt numFmtId="210" formatCode="&quot;$&quot;#,##0.00_)"/>
    <numFmt numFmtId="211" formatCode="0_);\(0\)"/>
    <numFmt numFmtId="212" formatCode="_(* #,##0.000000_);_(* \(#,##0.000000\);_(* &quot;-&quot;??_);_(@_)"/>
    <numFmt numFmtId="213" formatCode="0_)"/>
    <numFmt numFmtId="214" formatCode="_(* #,##0.000_);_(* \(#,##0.000\);_(* &quot;-&quot;_);_(@_)"/>
    <numFmt numFmtId="215" formatCode="_(&quot;$&quot;* #,##0.0000_);_(&quot;$&quot;* \(#,##0.0000\);_(&quot;$&quot;* &quot;-&quot;??_);_(@_)"/>
    <numFmt numFmtId="216" formatCode="&quot;$&quot;#,##0.0_);\(&quot;$&quot;#,##0.0\)"/>
  </numFmts>
  <fonts count="102">
    <font>
      <sz val="12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color indexed="12"/>
      <name val="Times New Roman"/>
      <family val="1"/>
    </font>
    <font>
      <u/>
      <sz val="12"/>
      <name val="Times New Roman"/>
      <family val="1"/>
    </font>
    <font>
      <u val="singleAccounting"/>
      <sz val="12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u val="double"/>
      <sz val="12"/>
      <name val="Times New Roman"/>
      <family val="1"/>
    </font>
    <font>
      <vertAlign val="superscript"/>
      <sz val="12"/>
      <name val="Times New Roman"/>
      <family val="1"/>
    </font>
    <font>
      <sz val="10"/>
      <name val="Times New Roman"/>
      <family val="1"/>
    </font>
    <font>
      <b/>
      <sz val="18"/>
      <name val="Times New Roman"/>
      <family val="1"/>
    </font>
    <font>
      <b/>
      <sz val="16"/>
      <name val="Times New Roman"/>
      <family val="1"/>
    </font>
    <font>
      <sz val="7"/>
      <name val="Arial"/>
      <family val="2"/>
    </font>
    <font>
      <sz val="10"/>
      <name val="LinePrinter"/>
    </font>
    <font>
      <i/>
      <sz val="9"/>
      <color indexed="17"/>
      <name val="Times New Roman"/>
      <family val="1"/>
    </font>
    <font>
      <i/>
      <sz val="12"/>
      <color indexed="17"/>
      <name val="Times New Roman"/>
      <family val="1"/>
    </font>
    <font>
      <sz val="10"/>
      <color indexed="12"/>
      <name val="Times New Roman"/>
      <family val="1"/>
    </font>
    <font>
      <i/>
      <sz val="12"/>
      <name val="Times New Roman"/>
      <family val="1"/>
    </font>
    <font>
      <sz val="8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vertAlign val="superscript"/>
      <sz val="11"/>
      <name val="Times New Roman"/>
      <family val="1"/>
    </font>
    <font>
      <vertAlign val="superscript"/>
      <sz val="10"/>
      <name val="Times New Roman"/>
      <family val="1"/>
    </font>
    <font>
      <sz val="12"/>
      <color indexed="12"/>
      <name val="Times New Roman"/>
      <family val="1"/>
    </font>
    <font>
      <sz val="12"/>
      <color indexed="17"/>
      <name val="Times New Roman"/>
      <family val="1"/>
    </font>
    <font>
      <sz val="12"/>
      <color indexed="56"/>
      <name val="Times New Roman"/>
      <family val="1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sz val="10"/>
      <color indexed="12"/>
      <name val="Arial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b/>
      <sz val="11"/>
      <name val="TimesNewRomanPS"/>
    </font>
    <font>
      <sz val="11"/>
      <name val="TimesNewRomanPS"/>
    </font>
    <font>
      <b/>
      <sz val="11"/>
      <color indexed="8"/>
      <name val="TimesNewRomanPS"/>
    </font>
    <font>
      <b/>
      <sz val="14"/>
      <name val="Arial"/>
      <family val="2"/>
    </font>
    <font>
      <b/>
      <sz val="11"/>
      <name val="Arial"/>
      <family val="2"/>
    </font>
    <font>
      <b/>
      <sz val="12"/>
      <color indexed="8"/>
      <name val="Times New Roman"/>
      <family val="1"/>
    </font>
    <font>
      <sz val="12"/>
      <color indexed="10"/>
      <name val="Times New Roman"/>
      <family val="1"/>
    </font>
    <font>
      <sz val="12"/>
      <name val="Arial"/>
      <family val="2"/>
    </font>
    <font>
      <sz val="12"/>
      <color indexed="12"/>
      <name val="Arial"/>
      <family val="2"/>
    </font>
    <font>
      <sz val="12"/>
      <color indexed="56"/>
      <name val="Arial"/>
      <family val="2"/>
    </font>
    <font>
      <sz val="12"/>
      <color indexed="48"/>
      <name val="Times New Roman"/>
      <family val="1"/>
    </font>
    <font>
      <b/>
      <sz val="12"/>
      <color indexed="12"/>
      <name val="Times New Roman"/>
      <family val="1"/>
    </font>
    <font>
      <sz val="10"/>
      <color indexed="8"/>
      <name val="Times New Roman"/>
      <family val="1"/>
    </font>
    <font>
      <sz val="11"/>
      <name val="Times New Roman"/>
      <family val="1"/>
    </font>
    <font>
      <b/>
      <sz val="14"/>
      <name val="Times New Roman"/>
      <family val="1"/>
    </font>
    <font>
      <sz val="11"/>
      <color indexed="8"/>
      <name val="Times New Roman"/>
      <family val="1"/>
    </font>
    <font>
      <sz val="11"/>
      <color indexed="12"/>
      <name val="Times New Roman"/>
      <family val="1"/>
    </font>
    <font>
      <u/>
      <sz val="11"/>
      <name val="Times New Roman"/>
      <family val="1"/>
    </font>
    <font>
      <sz val="14"/>
      <name val="Times New Roman"/>
      <family val="1"/>
    </font>
    <font>
      <i/>
      <sz val="12"/>
      <color indexed="57"/>
      <name val="Times New Roman"/>
      <family val="1"/>
    </font>
    <font>
      <b/>
      <i/>
      <sz val="12"/>
      <color indexed="57"/>
      <name val="Times New Roman"/>
      <family val="1"/>
    </font>
    <font>
      <b/>
      <sz val="12"/>
      <name val="Times New Roman"/>
      <family val="1"/>
    </font>
    <font>
      <sz val="12"/>
      <color indexed="55"/>
      <name val="Times New Roman"/>
      <family val="1"/>
    </font>
    <font>
      <u/>
      <sz val="10"/>
      <name val="Arial"/>
      <family val="2"/>
    </font>
    <font>
      <u/>
      <sz val="12"/>
      <color indexed="8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vertAlign val="superscript"/>
      <sz val="16"/>
      <name val="Times New Roman"/>
      <family val="1"/>
    </font>
    <font>
      <sz val="18"/>
      <name val="Times New Roman"/>
      <family val="1"/>
    </font>
    <font>
      <sz val="12"/>
      <name val="Arial"/>
      <family val="2"/>
      <charset val="1"/>
    </font>
    <font>
      <sz val="7"/>
      <name val="Arial"/>
      <family val="2"/>
      <charset val="1"/>
    </font>
    <font>
      <sz val="10"/>
      <name val="Arial"/>
      <family val="2"/>
    </font>
    <font>
      <b/>
      <u/>
      <sz val="12"/>
      <color indexed="8"/>
      <name val="Times New Roman"/>
      <family val="1"/>
    </font>
    <font>
      <sz val="10"/>
      <name val="SWISS"/>
    </font>
    <font>
      <b/>
      <sz val="14"/>
      <color indexed="8"/>
      <name val="Times New Roman"/>
      <family val="1"/>
    </font>
    <font>
      <sz val="10"/>
      <name val="Arial"/>
      <family val="2"/>
    </font>
    <font>
      <sz val="10"/>
      <color rgb="FF000000"/>
      <name val="Arial"/>
      <family val="2"/>
    </font>
    <font>
      <sz val="12"/>
      <name val="Arial MT"/>
    </font>
    <font>
      <b/>
      <vertAlign val="superscript"/>
      <sz val="11"/>
      <name val="Times New Roman"/>
      <family val="1"/>
    </font>
    <font>
      <b/>
      <u/>
      <sz val="11"/>
      <name val="Times New Roman"/>
      <family val="1"/>
    </font>
    <font>
      <b/>
      <sz val="14"/>
      <name val="Arial MT"/>
    </font>
    <font>
      <sz val="14"/>
      <name val="Arial MT"/>
    </font>
    <font>
      <u/>
      <sz val="14"/>
      <name val="Arial MT"/>
    </font>
    <font>
      <b/>
      <sz val="14"/>
      <color rgb="FF0070C0"/>
      <name val="Arial MT"/>
    </font>
    <font>
      <sz val="14"/>
      <color rgb="FF0070C0"/>
      <name val="Arial MT"/>
    </font>
    <font>
      <b/>
      <u/>
      <sz val="14"/>
      <color rgb="FF0070C0"/>
      <name val="Arial MT"/>
    </font>
    <font>
      <b/>
      <u/>
      <sz val="14"/>
      <name val="Arial MT"/>
    </font>
    <font>
      <b/>
      <sz val="10"/>
      <color indexed="8"/>
      <name val="Arial"/>
      <family val="2"/>
    </font>
    <font>
      <b/>
      <sz val="10"/>
      <color indexed="8"/>
      <name val="Swiss"/>
      <family val="2"/>
    </font>
    <font>
      <sz val="10"/>
      <color indexed="8"/>
      <name val="Arial"/>
      <family val="2"/>
    </font>
    <font>
      <sz val="10"/>
      <name val="Swiss"/>
      <family val="2"/>
    </font>
    <font>
      <sz val="10"/>
      <color indexed="8"/>
      <name val="Swiss"/>
      <family val="2"/>
    </font>
    <font>
      <b/>
      <sz val="9"/>
      <color indexed="8"/>
      <name val="Arial"/>
      <family val="2"/>
    </font>
    <font>
      <b/>
      <u/>
      <sz val="10"/>
      <color indexed="8"/>
      <name val="Arial"/>
      <family val="2"/>
    </font>
    <font>
      <sz val="8"/>
      <color indexed="8"/>
      <name val="Arial"/>
      <family val="2"/>
    </font>
    <font>
      <b/>
      <sz val="10"/>
      <color indexed="10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Swiss"/>
      <family val="2"/>
    </font>
    <font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75">
    <border>
      <left/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double">
        <color indexed="8"/>
      </bottom>
      <diagonal/>
    </border>
    <border>
      <left/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/>
      <top style="thin">
        <color indexed="8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 style="double">
        <color indexed="8"/>
      </top>
      <bottom style="double">
        <color indexed="64"/>
      </bottom>
      <diagonal/>
    </border>
    <border>
      <left/>
      <right style="thin">
        <color indexed="8"/>
      </right>
      <top style="double">
        <color indexed="8"/>
      </top>
      <bottom style="double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double">
        <color indexed="1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64"/>
      </top>
      <bottom style="double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</borders>
  <cellStyleXfs count="46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9" fillId="0" borderId="0" applyFont="0" applyFill="0" applyBorder="0" applyAlignment="0" applyProtection="0">
      <alignment horizontal="left"/>
    </xf>
    <xf numFmtId="182" fontId="4" fillId="0" borderId="0"/>
    <xf numFmtId="168" fontId="8" fillId="0" borderId="0" applyFont="0" applyAlignment="0" applyProtection="0"/>
    <xf numFmtId="0" fontId="4" fillId="0" borderId="0"/>
    <xf numFmtId="0" fontId="4" fillId="0" borderId="0"/>
    <xf numFmtId="0" fontId="4" fillId="0" borderId="0"/>
    <xf numFmtId="0" fontId="12" fillId="0" borderId="0"/>
    <xf numFmtId="0" fontId="26" fillId="0" borderId="0"/>
    <xf numFmtId="0" fontId="26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169" fontId="20" fillId="0" borderId="0">
      <alignment horizontal="left"/>
    </xf>
    <xf numFmtId="0" fontId="4" fillId="0" borderId="0">
      <alignment wrapText="1"/>
    </xf>
    <xf numFmtId="0" fontId="67" fillId="0" borderId="0"/>
    <xf numFmtId="43" fontId="67" fillId="0" borderId="0" applyFont="0" applyFill="0" applyBorder="0" applyAlignment="0" applyProtection="0"/>
    <xf numFmtId="0" fontId="68" fillId="0" borderId="0"/>
    <xf numFmtId="0" fontId="69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11" fillId="0" borderId="0"/>
    <xf numFmtId="0" fontId="11" fillId="0" borderId="0"/>
    <xf numFmtId="0" fontId="4" fillId="0" borderId="0"/>
    <xf numFmtId="43" fontId="4" fillId="0" borderId="0" applyFont="0" applyFill="0" applyBorder="0" applyAlignment="0" applyProtection="0"/>
    <xf numFmtId="0" fontId="11" fillId="0" borderId="0"/>
    <xf numFmtId="0" fontId="4" fillId="0" borderId="0">
      <alignment wrapText="1"/>
    </xf>
    <xf numFmtId="0" fontId="74" fillId="0" borderId="0">
      <alignment wrapText="1"/>
    </xf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1" fontId="7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78" fillId="0" borderId="0">
      <alignment wrapText="1"/>
    </xf>
    <xf numFmtId="44" fontId="49" fillId="0" borderId="0" applyFont="0" applyFill="0" applyBorder="0" applyAlignment="0" applyProtection="0"/>
    <xf numFmtId="0" fontId="49" fillId="0" borderId="0"/>
    <xf numFmtId="0" fontId="4" fillId="0" borderId="0"/>
    <xf numFmtId="0" fontId="80" fillId="0" borderId="0"/>
    <xf numFmtId="0" fontId="4" fillId="0" borderId="0"/>
    <xf numFmtId="0" fontId="80" fillId="0" borderId="0"/>
    <xf numFmtId="9" fontId="4" fillId="0" borderId="0" applyFont="0" applyFill="0" applyBorder="0" applyAlignment="0" applyProtection="0"/>
    <xf numFmtId="41" fontId="93" fillId="0" borderId="0" applyFont="0" applyFill="0" applyBorder="0" applyAlignment="0" applyProtection="0"/>
    <xf numFmtId="0" fontId="11" fillId="0" borderId="0"/>
  </cellStyleXfs>
  <cellXfs count="1738">
    <xf numFmtId="0" fontId="0" fillId="0" borderId="0" xfId="0"/>
    <xf numFmtId="0" fontId="5" fillId="0" borderId="0" xfId="0" applyFont="1" applyFill="1" applyProtection="1"/>
    <xf numFmtId="5" fontId="5" fillId="0" borderId="0" xfId="0" applyNumberFormat="1" applyFont="1" applyFill="1" applyProtection="1"/>
    <xf numFmtId="0" fontId="0" fillId="0" borderId="0" xfId="0" applyFill="1"/>
    <xf numFmtId="0" fontId="11" fillId="0" borderId="0" xfId="0" applyFont="1" applyFill="1"/>
    <xf numFmtId="0" fontId="13" fillId="0" borderId="0" xfId="0" applyFont="1" applyFill="1"/>
    <xf numFmtId="0" fontId="11" fillId="0" borderId="4" xfId="0" applyFont="1" applyFill="1" applyBorder="1"/>
    <xf numFmtId="0" fontId="11" fillId="0" borderId="0" xfId="0" applyFont="1" applyFill="1" applyBorder="1"/>
    <xf numFmtId="168" fontId="11" fillId="0" borderId="0" xfId="0" applyNumberFormat="1" applyFont="1" applyFill="1"/>
    <xf numFmtId="168" fontId="11" fillId="0" borderId="0" xfId="0" applyNumberFormat="1" applyFont="1" applyFill="1" applyBorder="1"/>
    <xf numFmtId="168" fontId="11" fillId="0" borderId="5" xfId="0" applyNumberFormat="1" applyFont="1" applyFill="1" applyBorder="1"/>
    <xf numFmtId="0" fontId="9" fillId="0" borderId="0" xfId="0" applyFont="1" applyFill="1"/>
    <xf numFmtId="168" fontId="9" fillId="0" borderId="0" xfId="0" applyNumberFormat="1" applyFont="1" applyFill="1"/>
    <xf numFmtId="0" fontId="14" fillId="0" borderId="0" xfId="0" applyFont="1" applyFill="1"/>
    <xf numFmtId="171" fontId="12" fillId="0" borderId="0" xfId="14" applyNumberFormat="1" applyFont="1" applyFill="1"/>
    <xf numFmtId="168" fontId="0" fillId="0" borderId="0" xfId="0" applyNumberFormat="1" applyFill="1"/>
    <xf numFmtId="171" fontId="9" fillId="0" borderId="0" xfId="14" applyNumberFormat="1" applyFont="1" applyFill="1"/>
    <xf numFmtId="168" fontId="14" fillId="0" borderId="0" xfId="0" applyNumberFormat="1" applyFont="1" applyFill="1"/>
    <xf numFmtId="171" fontId="14" fillId="0" borderId="0" xfId="14" applyNumberFormat="1" applyFont="1" applyFill="1"/>
    <xf numFmtId="0" fontId="0" fillId="0" borderId="0" xfId="0" applyFill="1" applyAlignment="1">
      <alignment horizontal="center"/>
    </xf>
    <xf numFmtId="0" fontId="0" fillId="0" borderId="0" xfId="0" applyFill="1" applyBorder="1"/>
    <xf numFmtId="37" fontId="5" fillId="0" borderId="0" xfId="0" applyNumberFormat="1" applyFont="1" applyFill="1" applyProtection="1"/>
    <xf numFmtId="0" fontId="0" fillId="0" borderId="0" xfId="0" applyFill="1" applyAlignment="1">
      <alignment horizontal="left"/>
    </xf>
    <xf numFmtId="0" fontId="5" fillId="0" borderId="0" xfId="0" applyFont="1" applyFill="1" applyBorder="1" applyProtection="1"/>
    <xf numFmtId="0" fontId="5" fillId="0" borderId="0" xfId="0" applyFont="1" applyFill="1" applyBorder="1" applyAlignment="1" applyProtection="1">
      <alignment horizontal="center"/>
    </xf>
    <xf numFmtId="167" fontId="5" fillId="0" borderId="0" xfId="2" applyNumberFormat="1" applyFont="1" applyFill="1" applyProtection="1"/>
    <xf numFmtId="37" fontId="5" fillId="0" borderId="0" xfId="0" applyNumberFormat="1" applyFont="1" applyFill="1" applyBorder="1" applyProtection="1"/>
    <xf numFmtId="0" fontId="11" fillId="0" borderId="12" xfId="0" applyFont="1" applyFill="1" applyBorder="1" applyAlignment="1">
      <alignment horizontal="center"/>
    </xf>
    <xf numFmtId="0" fontId="11" fillId="0" borderId="13" xfId="0" applyFont="1" applyFill="1" applyBorder="1" applyAlignment="1">
      <alignment horizontal="center"/>
    </xf>
    <xf numFmtId="165" fontId="11" fillId="0" borderId="0" xfId="0" applyNumberFormat="1" applyFont="1" applyFill="1" applyBorder="1"/>
    <xf numFmtId="165" fontId="11" fillId="0" borderId="4" xfId="0" applyNumberFormat="1" applyFont="1" applyFill="1" applyBorder="1"/>
    <xf numFmtId="165" fontId="9" fillId="0" borderId="0" xfId="0" applyNumberFormat="1" applyFont="1" applyFill="1" applyBorder="1"/>
    <xf numFmtId="3" fontId="11" fillId="0" borderId="0" xfId="0" applyNumberFormat="1" applyFont="1" applyFill="1" applyBorder="1"/>
    <xf numFmtId="0" fontId="11" fillId="0" borderId="14" xfId="0" applyFont="1" applyFill="1" applyBorder="1"/>
    <xf numFmtId="0" fontId="11" fillId="0" borderId="15" xfId="0" applyFont="1" applyFill="1" applyBorder="1"/>
    <xf numFmtId="0" fontId="13" fillId="0" borderId="16" xfId="0" applyFont="1" applyFill="1" applyBorder="1"/>
    <xf numFmtId="168" fontId="11" fillId="0" borderId="16" xfId="0" applyNumberFormat="1" applyFont="1" applyFill="1" applyBorder="1"/>
    <xf numFmtId="165" fontId="11" fillId="0" borderId="15" xfId="0" applyNumberFormat="1" applyFont="1" applyFill="1" applyBorder="1"/>
    <xf numFmtId="0" fontId="14" fillId="0" borderId="17" xfId="0" applyFont="1" applyFill="1" applyBorder="1"/>
    <xf numFmtId="165" fontId="11" fillId="0" borderId="16" xfId="0" applyNumberFormat="1" applyFont="1" applyFill="1" applyBorder="1"/>
    <xf numFmtId="0" fontId="11" fillId="0" borderId="0" xfId="0" applyFont="1" applyFill="1" applyBorder="1" applyAlignment="1">
      <alignment horizontal="center"/>
    </xf>
    <xf numFmtId="3" fontId="11" fillId="0" borderId="18" xfId="0" applyNumberFormat="1" applyFont="1" applyFill="1" applyBorder="1"/>
    <xf numFmtId="0" fontId="0" fillId="0" borderId="5" xfId="0" applyFill="1" applyBorder="1"/>
    <xf numFmtId="0" fontId="18" fillId="0" borderId="0" xfId="0" quotePrefix="1" applyFont="1" applyFill="1" applyAlignment="1">
      <alignment horizontal="center"/>
    </xf>
    <xf numFmtId="0" fontId="15" fillId="0" borderId="0" xfId="0" applyFont="1" applyFill="1" applyAlignment="1"/>
    <xf numFmtId="0" fontId="11" fillId="0" borderId="0" xfId="0" applyFont="1" applyFill="1" applyBorder="1" applyAlignment="1"/>
    <xf numFmtId="3" fontId="11" fillId="0" borderId="4" xfId="0" applyNumberFormat="1" applyFont="1" applyFill="1" applyBorder="1" applyAlignment="1"/>
    <xf numFmtId="0" fontId="11" fillId="0" borderId="0" xfId="0" applyFont="1" applyFill="1" applyAlignment="1"/>
    <xf numFmtId="168" fontId="11" fillId="0" borderId="4" xfId="0" applyNumberFormat="1" applyFont="1" applyFill="1" applyBorder="1"/>
    <xf numFmtId="0" fontId="11" fillId="0" borderId="29" xfId="0" applyFont="1" applyFill="1" applyBorder="1"/>
    <xf numFmtId="0" fontId="17" fillId="0" borderId="0" xfId="0" applyFont="1" applyFill="1" applyAlignment="1">
      <alignment horizontal="centerContinuous"/>
    </xf>
    <xf numFmtId="5" fontId="5" fillId="0" borderId="0" xfId="0" applyNumberFormat="1" applyFont="1" applyFill="1" applyBorder="1" applyProtection="1"/>
    <xf numFmtId="0" fontId="26" fillId="0" borderId="0" xfId="10" applyFont="1" applyFill="1"/>
    <xf numFmtId="0" fontId="0" fillId="0" borderId="0" xfId="0" applyFill="1" applyAlignment="1">
      <alignment horizontal="right"/>
    </xf>
    <xf numFmtId="0" fontId="0" fillId="0" borderId="11" xfId="0" applyFill="1" applyBorder="1"/>
    <xf numFmtId="171" fontId="11" fillId="0" borderId="0" xfId="14" applyNumberFormat="1" applyFont="1" applyFill="1"/>
    <xf numFmtId="165" fontId="11" fillId="0" borderId="12" xfId="0" applyNumberFormat="1" applyFont="1" applyFill="1" applyBorder="1" applyAlignment="1">
      <alignment horizontal="center"/>
    </xf>
    <xf numFmtId="0" fontId="21" fillId="0" borderId="36" xfId="0" applyFont="1" applyFill="1" applyBorder="1" applyAlignment="1">
      <alignment horizontal="left"/>
    </xf>
    <xf numFmtId="0" fontId="0" fillId="0" borderId="28" xfId="0" applyFill="1" applyBorder="1"/>
    <xf numFmtId="3" fontId="13" fillId="0" borderId="0" xfId="0" applyNumberFormat="1" applyFont="1" applyFill="1"/>
    <xf numFmtId="49" fontId="7" fillId="0" borderId="0" xfId="9" applyNumberFormat="1" applyFont="1" applyFill="1"/>
    <xf numFmtId="49" fontId="7" fillId="0" borderId="0" xfId="9" applyNumberFormat="1" applyFont="1" applyFill="1" applyBorder="1"/>
    <xf numFmtId="165" fontId="11" fillId="0" borderId="0" xfId="0" applyNumberFormat="1" applyFont="1" applyFill="1" applyBorder="1" applyAlignment="1">
      <alignment horizontal="center"/>
    </xf>
    <xf numFmtId="0" fontId="16" fillId="0" borderId="0" xfId="0" applyFont="1" applyFill="1" applyAlignment="1">
      <alignment horizontal="center"/>
    </xf>
    <xf numFmtId="37" fontId="11" fillId="0" borderId="0" xfId="0" applyNumberFormat="1" applyFont="1" applyFill="1" applyProtection="1"/>
    <xf numFmtId="167" fontId="5" fillId="0" borderId="0" xfId="0" applyNumberFormat="1" applyFont="1" applyFill="1" applyProtection="1"/>
    <xf numFmtId="0" fontId="0" fillId="0" borderId="38" xfId="0" applyFill="1" applyBorder="1"/>
    <xf numFmtId="168" fontId="0" fillId="0" borderId="39" xfId="0" applyNumberFormat="1" applyFill="1" applyBorder="1"/>
    <xf numFmtId="168" fontId="0" fillId="0" borderId="40" xfId="0" applyNumberFormat="1" applyFill="1" applyBorder="1"/>
    <xf numFmtId="3" fontId="0" fillId="0" borderId="0" xfId="0" applyNumberFormat="1" applyFill="1"/>
    <xf numFmtId="168" fontId="0" fillId="0" borderId="11" xfId="0" applyNumberFormat="1" applyFill="1" applyBorder="1"/>
    <xf numFmtId="168" fontId="0" fillId="0" borderId="41" xfId="0" applyNumberFormat="1" applyFill="1" applyBorder="1"/>
    <xf numFmtId="168" fontId="0" fillId="0" borderId="5" xfId="0" applyNumberFormat="1" applyFill="1" applyBorder="1"/>
    <xf numFmtId="177" fontId="23" fillId="0" borderId="0" xfId="0" applyNumberFormat="1" applyFont="1" applyFill="1"/>
    <xf numFmtId="3" fontId="0" fillId="0" borderId="0" xfId="0" applyNumberFormat="1" applyFill="1" applyBorder="1"/>
    <xf numFmtId="0" fontId="11" fillId="0" borderId="1" xfId="0" applyFont="1" applyFill="1" applyBorder="1" applyAlignment="1" applyProtection="1">
      <alignment horizontal="center"/>
    </xf>
    <xf numFmtId="5" fontId="11" fillId="0" borderId="1" xfId="0" applyNumberFormat="1" applyFont="1" applyFill="1" applyBorder="1" applyAlignment="1" applyProtection="1">
      <alignment horizontal="center"/>
    </xf>
    <xf numFmtId="0" fontId="11" fillId="0" borderId="10" xfId="0" applyFont="1" applyFill="1" applyBorder="1" applyAlignment="1" applyProtection="1">
      <alignment horizontal="center"/>
    </xf>
    <xf numFmtId="165" fontId="9" fillId="0" borderId="4" xfId="0" applyNumberFormat="1" applyFont="1" applyFill="1" applyBorder="1"/>
    <xf numFmtId="165" fontId="11" fillId="0" borderId="42" xfId="0" applyNumberFormat="1" applyFont="1" applyFill="1" applyBorder="1"/>
    <xf numFmtId="165" fontId="11" fillId="0" borderId="14" xfId="0" applyNumberFormat="1" applyFont="1" applyFill="1" applyBorder="1"/>
    <xf numFmtId="0" fontId="0" fillId="0" borderId="4" xfId="0" applyFill="1" applyBorder="1"/>
    <xf numFmtId="0" fontId="24" fillId="0" borderId="0" xfId="0" applyFont="1" applyFill="1"/>
    <xf numFmtId="0" fontId="16" fillId="0" borderId="28" xfId="0" applyFont="1" applyFill="1" applyBorder="1" applyAlignment="1">
      <alignment horizontal="center"/>
    </xf>
    <xf numFmtId="5" fontId="0" fillId="0" borderId="0" xfId="0" applyNumberFormat="1" applyFill="1"/>
    <xf numFmtId="0" fontId="0" fillId="0" borderId="39" xfId="0" applyFill="1" applyBorder="1"/>
    <xf numFmtId="0" fontId="26" fillId="0" borderId="0" xfId="10" applyFont="1" applyFill="1" applyAlignment="1">
      <alignment horizontal="center"/>
    </xf>
    <xf numFmtId="0" fontId="27" fillId="0" borderId="0" xfId="10" applyFont="1" applyFill="1"/>
    <xf numFmtId="3" fontId="11" fillId="0" borderId="0" xfId="0" applyNumberFormat="1" applyFont="1" applyFill="1"/>
    <xf numFmtId="14" fontId="16" fillId="0" borderId="12" xfId="0" applyNumberFormat="1" applyFont="1" applyFill="1" applyBorder="1" applyAlignment="1">
      <alignment horizontal="center"/>
    </xf>
    <xf numFmtId="165" fontId="10" fillId="0" borderId="0" xfId="0" applyNumberFormat="1" applyFont="1" applyFill="1" applyBorder="1"/>
    <xf numFmtId="165" fontId="11" fillId="0" borderId="45" xfId="0" applyNumberFormat="1" applyFont="1" applyFill="1" applyBorder="1"/>
    <xf numFmtId="3" fontId="11" fillId="0" borderId="4" xfId="0" applyNumberFormat="1" applyFont="1" applyFill="1" applyBorder="1"/>
    <xf numFmtId="3" fontId="9" fillId="0" borderId="0" xfId="0" applyNumberFormat="1" applyFont="1" applyFill="1" applyBorder="1"/>
    <xf numFmtId="3" fontId="9" fillId="0" borderId="4" xfId="0" applyNumberFormat="1" applyFont="1" applyFill="1" applyBorder="1"/>
    <xf numFmtId="168" fontId="10" fillId="0" borderId="0" xfId="0" applyNumberFormat="1" applyFont="1" applyFill="1" applyBorder="1"/>
    <xf numFmtId="168" fontId="10" fillId="0" borderId="4" xfId="0" applyNumberFormat="1" applyFont="1" applyFill="1" applyBorder="1"/>
    <xf numFmtId="3" fontId="11" fillId="0" borderId="15" xfId="0" applyNumberFormat="1" applyFont="1" applyFill="1" applyBorder="1"/>
    <xf numFmtId="168" fontId="11" fillId="0" borderId="12" xfId="0" applyNumberFormat="1" applyFont="1" applyFill="1" applyBorder="1"/>
    <xf numFmtId="168" fontId="11" fillId="0" borderId="13" xfId="0" applyNumberFormat="1" applyFont="1" applyFill="1" applyBorder="1"/>
    <xf numFmtId="3" fontId="11" fillId="0" borderId="28" xfId="0" applyNumberFormat="1" applyFont="1" applyFill="1" applyBorder="1"/>
    <xf numFmtId="3" fontId="11" fillId="0" borderId="16" xfId="0" applyNumberFormat="1" applyFont="1" applyFill="1" applyBorder="1"/>
    <xf numFmtId="3" fontId="11" fillId="0" borderId="45" xfId="0" applyNumberFormat="1" applyFont="1" applyFill="1" applyBorder="1"/>
    <xf numFmtId="0" fontId="11" fillId="0" borderId="28" xfId="0" applyFont="1" applyFill="1" applyBorder="1"/>
    <xf numFmtId="0" fontId="11" fillId="0" borderId="38" xfId="0" applyFont="1" applyFill="1" applyBorder="1"/>
    <xf numFmtId="168" fontId="12" fillId="0" borderId="0" xfId="1" applyNumberFormat="1" applyFont="1" applyFill="1"/>
    <xf numFmtId="167" fontId="12" fillId="0" borderId="0" xfId="2" applyNumberFormat="1" applyFont="1" applyFill="1"/>
    <xf numFmtId="3" fontId="13" fillId="0" borderId="0" xfId="0" applyNumberFormat="1" applyFont="1" applyFill="1" applyBorder="1"/>
    <xf numFmtId="8" fontId="13" fillId="0" borderId="0" xfId="0" applyNumberFormat="1" applyFont="1" applyFill="1" applyBorder="1"/>
    <xf numFmtId="3" fontId="24" fillId="0" borderId="0" xfId="0" applyNumberFormat="1" applyFont="1" applyFill="1" applyBorder="1"/>
    <xf numFmtId="8" fontId="11" fillId="0" borderId="0" xfId="0" applyNumberFormat="1" applyFont="1" applyFill="1" applyBorder="1"/>
    <xf numFmtId="0" fontId="13" fillId="0" borderId="0" xfId="0" applyFont="1" applyFill="1" applyBorder="1"/>
    <xf numFmtId="0" fontId="0" fillId="0" borderId="19" xfId="0" applyFill="1" applyBorder="1"/>
    <xf numFmtId="0" fontId="0" fillId="0" borderId="12" xfId="0" applyFill="1" applyBorder="1"/>
    <xf numFmtId="0" fontId="11" fillId="0" borderId="12" xfId="0" applyFont="1" applyFill="1" applyBorder="1"/>
    <xf numFmtId="3" fontId="11" fillId="0" borderId="12" xfId="0" applyNumberFormat="1" applyFont="1" applyFill="1" applyBorder="1"/>
    <xf numFmtId="165" fontId="11" fillId="0" borderId="0" xfId="0" applyNumberFormat="1" applyFont="1" applyFill="1" applyBorder="1" applyAlignment="1"/>
    <xf numFmtId="0" fontId="15" fillId="0" borderId="0" xfId="0" applyFont="1" applyFill="1" applyAlignment="1">
      <alignment horizontal="center"/>
    </xf>
    <xf numFmtId="0" fontId="36" fillId="0" borderId="0" xfId="6" applyFont="1"/>
    <xf numFmtId="0" fontId="37" fillId="0" borderId="0" xfId="6" applyFont="1"/>
    <xf numFmtId="43" fontId="37" fillId="0" borderId="0" xfId="1" applyFont="1"/>
    <xf numFmtId="168" fontId="4" fillId="0" borderId="0" xfId="1" applyNumberFormat="1"/>
    <xf numFmtId="0" fontId="4" fillId="0" borderId="0" xfId="6"/>
    <xf numFmtId="43" fontId="4" fillId="0" borderId="0" xfId="1"/>
    <xf numFmtId="0" fontId="4" fillId="0" borderId="0" xfId="6" applyAlignment="1">
      <alignment horizontal="center"/>
    </xf>
    <xf numFmtId="0" fontId="4" fillId="0" borderId="0" xfId="1" applyNumberFormat="1" applyAlignment="1">
      <alignment horizontal="left"/>
    </xf>
    <xf numFmtId="43" fontId="4" fillId="0" borderId="0" xfId="1" applyFont="1"/>
    <xf numFmtId="168" fontId="4" fillId="0" borderId="0" xfId="1" applyNumberFormat="1" applyFont="1"/>
    <xf numFmtId="43" fontId="4" fillId="0" borderId="0" xfId="1" applyFill="1"/>
    <xf numFmtId="43" fontId="4" fillId="0" borderId="0" xfId="1" applyFont="1" applyFill="1"/>
    <xf numFmtId="168" fontId="4" fillId="0" borderId="0" xfId="1" applyNumberFormat="1" applyFont="1" applyFill="1"/>
    <xf numFmtId="0" fontId="4" fillId="0" borderId="0" xfId="6" applyFill="1"/>
    <xf numFmtId="0" fontId="4" fillId="0" borderId="0" xfId="6" applyFill="1" applyAlignment="1">
      <alignment horizontal="center"/>
    </xf>
    <xf numFmtId="168" fontId="4" fillId="0" borderId="0" xfId="1" applyNumberFormat="1" applyFill="1"/>
    <xf numFmtId="168" fontId="38" fillId="0" borderId="0" xfId="1" applyNumberFormat="1" applyFont="1" applyFill="1"/>
    <xf numFmtId="168" fontId="4" fillId="0" borderId="0" xfId="6" applyNumberFormat="1" applyFill="1"/>
    <xf numFmtId="43" fontId="4" fillId="0" borderId="0" xfId="6" applyNumberFormat="1" applyFill="1"/>
    <xf numFmtId="168" fontId="37" fillId="0" borderId="0" xfId="1" applyNumberFormat="1" applyFont="1" applyFill="1"/>
    <xf numFmtId="168" fontId="38" fillId="0" borderId="0" xfId="1" applyNumberFormat="1" applyFont="1"/>
    <xf numFmtId="43" fontId="4" fillId="0" borderId="0" xfId="1" applyNumberFormat="1" applyFont="1" applyFill="1"/>
    <xf numFmtId="172" fontId="4" fillId="0" borderId="0" xfId="1" applyNumberFormat="1" applyFill="1"/>
    <xf numFmtId="172" fontId="4" fillId="0" borderId="0" xfId="1" applyNumberFormat="1"/>
    <xf numFmtId="0" fontId="4" fillId="0" borderId="0" xfId="6" applyFont="1"/>
    <xf numFmtId="172" fontId="4" fillId="0" borderId="0" xfId="1" applyNumberFormat="1" applyFont="1" applyFill="1"/>
    <xf numFmtId="43" fontId="4" fillId="0" borderId="0" xfId="1" applyNumberFormat="1" applyFill="1"/>
    <xf numFmtId="168" fontId="4" fillId="0" borderId="0" xfId="6" applyNumberFormat="1" applyAlignment="1">
      <alignment horizontal="center"/>
    </xf>
    <xf numFmtId="168" fontId="4" fillId="0" borderId="0" xfId="6" applyNumberFormat="1"/>
    <xf numFmtId="0" fontId="4" fillId="0" borderId="0" xfId="6" applyFont="1" applyAlignment="1">
      <alignment horizontal="center"/>
    </xf>
    <xf numFmtId="172" fontId="38" fillId="0" borderId="0" xfId="1" applyNumberFormat="1" applyFont="1" applyFill="1"/>
    <xf numFmtId="172" fontId="4" fillId="0" borderId="0" xfId="6" applyNumberFormat="1" applyFill="1"/>
    <xf numFmtId="181" fontId="4" fillId="0" borderId="0" xfId="6" applyNumberFormat="1" applyFill="1"/>
    <xf numFmtId="172" fontId="4" fillId="0" borderId="0" xfId="6" applyNumberFormat="1"/>
    <xf numFmtId="0" fontId="11" fillId="0" borderId="0" xfId="13" applyFont="1" applyFill="1" applyBorder="1"/>
    <xf numFmtId="0" fontId="12" fillId="0" borderId="12" xfId="12" applyFont="1" applyFill="1" applyBorder="1" applyAlignment="1">
      <alignment horizontal="center"/>
    </xf>
    <xf numFmtId="0" fontId="5" fillId="0" borderId="0" xfId="12" applyFont="1" applyFill="1" applyAlignment="1">
      <alignment horizontal="center"/>
    </xf>
    <xf numFmtId="0" fontId="12" fillId="0" borderId="0" xfId="12" applyFill="1"/>
    <xf numFmtId="0" fontId="5" fillId="0" borderId="0" xfId="12" applyFont="1" applyFill="1"/>
    <xf numFmtId="0" fontId="12" fillId="0" borderId="0" xfId="12" applyFont="1" applyFill="1"/>
    <xf numFmtId="0" fontId="42" fillId="0" borderId="0" xfId="12" quotePrefix="1" applyFont="1" applyFill="1" applyAlignment="1">
      <alignment horizontal="centerContinuous"/>
    </xf>
    <xf numFmtId="0" fontId="42" fillId="0" borderId="0" xfId="12" applyFont="1" applyFill="1" applyAlignment="1">
      <alignment horizontal="centerContinuous"/>
    </xf>
    <xf numFmtId="0" fontId="42" fillId="0" borderId="0" xfId="12" applyFont="1" applyFill="1" applyAlignment="1"/>
    <xf numFmtId="0" fontId="42" fillId="0" borderId="0" xfId="12" quotePrefix="1" applyFont="1" applyFill="1" applyAlignment="1"/>
    <xf numFmtId="0" fontId="12" fillId="0" borderId="0" xfId="12" applyFill="1" applyBorder="1"/>
    <xf numFmtId="0" fontId="42" fillId="0" borderId="0" xfId="12" applyFont="1" applyFill="1" applyBorder="1" applyAlignment="1">
      <alignment horizontal="center"/>
    </xf>
    <xf numFmtId="0" fontId="43" fillId="0" borderId="0" xfId="12" applyFont="1" applyFill="1" applyBorder="1" applyAlignment="1">
      <alignment horizontal="center"/>
    </xf>
    <xf numFmtId="0" fontId="12" fillId="0" borderId="0" xfId="12" applyFont="1" applyFill="1" applyBorder="1" applyAlignment="1">
      <alignment horizontal="center"/>
    </xf>
    <xf numFmtId="0" fontId="12" fillId="0" borderId="0" xfId="12" applyFont="1" applyFill="1" applyAlignment="1">
      <alignment horizontal="center"/>
    </xf>
    <xf numFmtId="0" fontId="12" fillId="0" borderId="0" xfId="12" applyFont="1" applyFill="1" applyBorder="1" applyAlignment="1">
      <alignment horizontal="left"/>
    </xf>
    <xf numFmtId="0" fontId="12" fillId="0" borderId="0" xfId="12" applyFont="1" applyFill="1" applyBorder="1" applyAlignment="1"/>
    <xf numFmtId="0" fontId="12" fillId="0" borderId="0" xfId="12" quotePrefix="1" applyFont="1" applyFill="1" applyBorder="1" applyAlignment="1">
      <alignment horizontal="center"/>
    </xf>
    <xf numFmtId="0" fontId="12" fillId="0" borderId="28" xfId="12" applyFont="1" applyFill="1" applyBorder="1" applyAlignment="1">
      <alignment horizontal="center"/>
    </xf>
    <xf numFmtId="0" fontId="12" fillId="0" borderId="0" xfId="12" applyFill="1" applyAlignment="1">
      <alignment horizontal="center"/>
    </xf>
    <xf numFmtId="0" fontId="12" fillId="0" borderId="0" xfId="12" quotePrefix="1" applyFont="1" applyFill="1" applyAlignment="1">
      <alignment horizontal="center"/>
    </xf>
    <xf numFmtId="0" fontId="12" fillId="0" borderId="0" xfId="12" applyFill="1" applyBorder="1" applyAlignment="1">
      <alignment horizontal="center"/>
    </xf>
    <xf numFmtId="0" fontId="12" fillId="0" borderId="34" xfId="12" applyFill="1" applyBorder="1" applyAlignment="1">
      <alignment horizontal="center"/>
    </xf>
    <xf numFmtId="0" fontId="5" fillId="0" borderId="34" xfId="12" applyFont="1" applyFill="1" applyBorder="1" applyAlignment="1">
      <alignment horizontal="center"/>
    </xf>
    <xf numFmtId="0" fontId="5" fillId="0" borderId="0" xfId="12" applyFont="1" applyFill="1" applyBorder="1" applyAlignment="1">
      <alignment horizontal="center"/>
    </xf>
    <xf numFmtId="0" fontId="12" fillId="0" borderId="34" xfId="12" applyFont="1" applyFill="1" applyBorder="1" applyAlignment="1">
      <alignment horizontal="center"/>
    </xf>
    <xf numFmtId="6" fontId="12" fillId="0" borderId="34" xfId="12" quotePrefix="1" applyNumberFormat="1" applyFont="1" applyFill="1" applyBorder="1" applyAlignment="1">
      <alignment horizontal="center"/>
    </xf>
    <xf numFmtId="6" fontId="12" fillId="0" borderId="0" xfId="12" quotePrefix="1" applyNumberFormat="1" applyFont="1" applyFill="1" applyBorder="1" applyAlignment="1">
      <alignment horizontal="center"/>
    </xf>
    <xf numFmtId="0" fontId="12" fillId="0" borderId="12" xfId="12" quotePrefix="1" applyFont="1" applyFill="1" applyBorder="1" applyAlignment="1">
      <alignment horizontal="center"/>
    </xf>
    <xf numFmtId="6" fontId="12" fillId="0" borderId="12" xfId="12" quotePrefix="1" applyNumberFormat="1" applyFont="1" applyFill="1" applyBorder="1" applyAlignment="1">
      <alignment horizontal="center"/>
    </xf>
    <xf numFmtId="0" fontId="12" fillId="0" borderId="0" xfId="12" quotePrefix="1" applyFont="1" applyFill="1"/>
    <xf numFmtId="0" fontId="44" fillId="0" borderId="0" xfId="12" applyFont="1" applyFill="1"/>
    <xf numFmtId="0" fontId="5" fillId="0" borderId="0" xfId="12" quotePrefix="1" applyFont="1" applyFill="1" applyAlignment="1">
      <alignment horizontal="center"/>
    </xf>
    <xf numFmtId="37" fontId="12" fillId="0" borderId="0" xfId="12" applyNumberFormat="1" applyFont="1" applyFill="1" applyProtection="1"/>
    <xf numFmtId="5" fontId="5" fillId="0" borderId="0" xfId="12" applyNumberFormat="1" applyFont="1" applyFill="1" applyProtection="1">
      <protection locked="0"/>
    </xf>
    <xf numFmtId="10" fontId="5" fillId="0" borderId="0" xfId="14" applyNumberFormat="1" applyFont="1" applyFill="1" applyProtection="1">
      <protection locked="0"/>
    </xf>
    <xf numFmtId="5" fontId="5" fillId="0" borderId="0" xfId="14" applyNumberFormat="1" applyFont="1" applyFill="1" applyProtection="1">
      <protection locked="0"/>
    </xf>
    <xf numFmtId="171" fontId="5" fillId="0" borderId="0" xfId="14" applyNumberFormat="1" applyFont="1" applyFill="1" applyProtection="1">
      <protection locked="0"/>
    </xf>
    <xf numFmtId="184" fontId="5" fillId="0" borderId="0" xfId="1" applyNumberFormat="1" applyFont="1" applyFill="1" applyProtection="1">
      <protection locked="0"/>
    </xf>
    <xf numFmtId="183" fontId="12" fillId="0" borderId="0" xfId="12" applyNumberFormat="1" applyFont="1" applyFill="1" applyProtection="1"/>
    <xf numFmtId="185" fontId="0" fillId="0" borderId="0" xfId="0" applyNumberFormat="1" applyFill="1" applyBorder="1" applyProtection="1"/>
    <xf numFmtId="0" fontId="12" fillId="0" borderId="0" xfId="12" applyFont="1" applyFill="1" applyBorder="1"/>
    <xf numFmtId="10" fontId="5" fillId="0" borderId="0" xfId="14" applyNumberFormat="1" applyFont="1" applyFill="1" applyBorder="1" applyProtection="1">
      <protection locked="0"/>
    </xf>
    <xf numFmtId="2" fontId="12" fillId="0" borderId="0" xfId="12" applyNumberFormat="1" applyFont="1" applyFill="1"/>
    <xf numFmtId="0" fontId="12" fillId="0" borderId="34" xfId="12" applyFill="1" applyBorder="1"/>
    <xf numFmtId="0" fontId="12" fillId="0" borderId="12" xfId="12" applyFill="1" applyBorder="1"/>
    <xf numFmtId="171" fontId="12" fillId="0" borderId="12" xfId="14" applyNumberFormat="1" applyFont="1" applyFill="1" applyBorder="1"/>
    <xf numFmtId="171" fontId="12" fillId="0" borderId="12" xfId="12" applyNumberFormat="1" applyFill="1" applyBorder="1"/>
    <xf numFmtId="184" fontId="12" fillId="0" borderId="12" xfId="12" applyNumberFormat="1" applyFill="1" applyBorder="1"/>
    <xf numFmtId="185" fontId="12" fillId="0" borderId="12" xfId="12" applyNumberFormat="1" applyFill="1" applyBorder="1"/>
    <xf numFmtId="171" fontId="12" fillId="0" borderId="0" xfId="12" applyNumberFormat="1" applyFill="1"/>
    <xf numFmtId="184" fontId="12" fillId="0" borderId="0" xfId="12" applyNumberFormat="1" applyFill="1"/>
    <xf numFmtId="185" fontId="12" fillId="0" borderId="0" xfId="12" applyNumberFormat="1" applyFill="1"/>
    <xf numFmtId="37" fontId="12" fillId="0" borderId="0" xfId="12" applyNumberFormat="1" applyFill="1" applyProtection="1"/>
    <xf numFmtId="5" fontId="12" fillId="0" borderId="0" xfId="12" applyNumberFormat="1" applyFill="1" applyProtection="1"/>
    <xf numFmtId="184" fontId="5" fillId="0" borderId="0" xfId="14" applyNumberFormat="1" applyFont="1" applyFill="1" applyProtection="1">
      <protection locked="0"/>
    </xf>
    <xf numFmtId="37" fontId="12" fillId="0" borderId="0" xfId="12" applyNumberFormat="1" applyFill="1"/>
    <xf numFmtId="5" fontId="12" fillId="0" borderId="0" xfId="12" applyNumberFormat="1" applyFill="1"/>
    <xf numFmtId="37" fontId="12" fillId="0" borderId="34" xfId="12" applyNumberFormat="1" applyFill="1" applyBorder="1" applyProtection="1"/>
    <xf numFmtId="5" fontId="12" fillId="0" borderId="34" xfId="12" applyNumberFormat="1" applyFill="1" applyBorder="1" applyProtection="1"/>
    <xf numFmtId="5" fontId="12" fillId="0" borderId="0" xfId="12" applyNumberFormat="1" applyFill="1" applyBorder="1" applyProtection="1"/>
    <xf numFmtId="171" fontId="5" fillId="0" borderId="12" xfId="14" applyNumberFormat="1" applyFont="1" applyFill="1" applyBorder="1" applyProtection="1">
      <protection locked="0"/>
    </xf>
    <xf numFmtId="183" fontId="12" fillId="0" borderId="12" xfId="12" applyNumberFormat="1" applyFont="1" applyFill="1" applyBorder="1" applyProtection="1"/>
    <xf numFmtId="185" fontId="0" fillId="0" borderId="12" xfId="0" applyNumberFormat="1" applyFill="1" applyBorder="1" applyProtection="1"/>
    <xf numFmtId="185" fontId="11" fillId="0" borderId="0" xfId="0" applyNumberFormat="1" applyFont="1" applyFill="1" applyBorder="1" applyProtection="1"/>
    <xf numFmtId="37" fontId="12" fillId="0" borderId="0" xfId="12" applyNumberFormat="1" applyFill="1" applyBorder="1" applyProtection="1"/>
    <xf numFmtId="171" fontId="12" fillId="0" borderId="0" xfId="12" applyNumberFormat="1" applyFill="1" applyBorder="1" applyProtection="1"/>
    <xf numFmtId="10" fontId="12" fillId="0" borderId="0" xfId="12" applyNumberFormat="1" applyFill="1" applyBorder="1" applyProtection="1"/>
    <xf numFmtId="184" fontId="12" fillId="0" borderId="0" xfId="12" applyNumberFormat="1" applyFill="1" applyBorder="1" applyProtection="1"/>
    <xf numFmtId="185" fontId="12" fillId="0" borderId="0" xfId="12" applyNumberFormat="1" applyFill="1" applyBorder="1" applyProtection="1"/>
    <xf numFmtId="0" fontId="6" fillId="0" borderId="0" xfId="12" applyFont="1" applyFill="1"/>
    <xf numFmtId="37" fontId="12" fillId="0" borderId="37" xfId="12" applyNumberFormat="1" applyFill="1" applyBorder="1"/>
    <xf numFmtId="5" fontId="12" fillId="0" borderId="37" xfId="12" applyNumberFormat="1" applyFill="1" applyBorder="1"/>
    <xf numFmtId="5" fontId="12" fillId="0" borderId="0" xfId="12" applyNumberFormat="1" applyFill="1" applyBorder="1"/>
    <xf numFmtId="171" fontId="5" fillId="0" borderId="37" xfId="14" applyNumberFormat="1" applyFont="1" applyFill="1" applyBorder="1" applyProtection="1">
      <protection locked="0"/>
    </xf>
    <xf numFmtId="184" fontId="5" fillId="0" borderId="37" xfId="1" applyNumberFormat="1" applyFont="1" applyFill="1" applyBorder="1" applyProtection="1">
      <protection locked="0"/>
    </xf>
    <xf numFmtId="185" fontId="0" fillId="0" borderId="37" xfId="0" applyNumberFormat="1" applyFill="1" applyBorder="1" applyProtection="1"/>
    <xf numFmtId="37" fontId="12" fillId="0" borderId="0" xfId="12" applyNumberFormat="1" applyFill="1" applyBorder="1"/>
    <xf numFmtId="0" fontId="7" fillId="0" borderId="0" xfId="12" applyFont="1" applyFill="1"/>
    <xf numFmtId="10" fontId="5" fillId="0" borderId="0" xfId="14" quotePrefix="1" applyNumberFormat="1" applyFont="1" applyFill="1" applyBorder="1" applyProtection="1">
      <protection locked="0"/>
    </xf>
    <xf numFmtId="37" fontId="12" fillId="0" borderId="37" xfId="12" applyNumberFormat="1" applyFont="1" applyFill="1" applyBorder="1" applyProtection="1"/>
    <xf numFmtId="5" fontId="5" fillId="0" borderId="37" xfId="14" applyNumberFormat="1" applyFont="1" applyFill="1" applyBorder="1" applyProtection="1">
      <protection locked="0"/>
    </xf>
    <xf numFmtId="5" fontId="12" fillId="0" borderId="0" xfId="12" applyNumberFormat="1" applyFont="1" applyFill="1"/>
    <xf numFmtId="0" fontId="12" fillId="0" borderId="0" xfId="12" applyFont="1" applyFill="1" applyAlignment="1">
      <alignment horizontal="right"/>
    </xf>
    <xf numFmtId="43" fontId="12" fillId="0" borderId="0" xfId="1" applyFont="1" applyFill="1"/>
    <xf numFmtId="10" fontId="12" fillId="0" borderId="0" xfId="14" applyNumberFormat="1" applyFont="1" applyFill="1"/>
    <xf numFmtId="167" fontId="32" fillId="0" borderId="0" xfId="2" applyNumberFormat="1" applyFont="1" applyFill="1"/>
    <xf numFmtId="171" fontId="32" fillId="0" borderId="0" xfId="14" applyNumberFormat="1" applyFont="1" applyFill="1" applyBorder="1" applyProtection="1">
      <protection locked="0"/>
    </xf>
    <xf numFmtId="1" fontId="12" fillId="0" borderId="0" xfId="12" applyNumberFormat="1" applyFill="1"/>
    <xf numFmtId="171" fontId="12" fillId="0" borderId="0" xfId="14" applyNumberFormat="1" applyFont="1" applyFill="1" applyBorder="1"/>
    <xf numFmtId="1" fontId="32" fillId="0" borderId="0" xfId="12" applyNumberFormat="1" applyFont="1" applyFill="1"/>
    <xf numFmtId="171" fontId="32" fillId="0" borderId="0" xfId="14" applyNumberFormat="1" applyFont="1" applyFill="1"/>
    <xf numFmtId="204" fontId="12" fillId="0" borderId="0" xfId="12" applyNumberFormat="1" applyFill="1"/>
    <xf numFmtId="171" fontId="30" fillId="0" borderId="0" xfId="14" applyNumberFormat="1" applyFont="1" applyFill="1"/>
    <xf numFmtId="0" fontId="45" fillId="0" borderId="0" xfId="0" applyFont="1" applyFill="1" applyAlignment="1">
      <alignment horizontal="centerContinuous"/>
    </xf>
    <xf numFmtId="0" fontId="0" fillId="0" borderId="0" xfId="0" applyFill="1" applyAlignment="1" applyProtection="1">
      <alignment horizontal="centerContinuous"/>
    </xf>
    <xf numFmtId="37" fontId="0" fillId="0" borderId="0" xfId="0" applyNumberFormat="1" applyFill="1" applyAlignment="1" applyProtection="1">
      <alignment horizontal="centerContinuous"/>
    </xf>
    <xf numFmtId="0" fontId="46" fillId="0" borderId="0" xfId="0" quotePrefix="1" applyNumberFormat="1" applyFont="1" applyFill="1" applyAlignment="1">
      <alignment horizontal="centerContinuous"/>
    </xf>
    <xf numFmtId="0" fontId="46" fillId="0" borderId="0" xfId="0" applyFont="1" applyFill="1" applyAlignment="1" applyProtection="1">
      <alignment horizontal="centerContinuous"/>
    </xf>
    <xf numFmtId="37" fontId="46" fillId="0" borderId="0" xfId="0" applyNumberFormat="1" applyFont="1" applyFill="1" applyAlignment="1" applyProtection="1">
      <alignment horizontal="centerContinuous"/>
    </xf>
    <xf numFmtId="0" fontId="27" fillId="0" borderId="0" xfId="0" quotePrefix="1" applyFont="1" applyFill="1" applyAlignment="1" applyProtection="1">
      <alignment horizontal="centerContinuous"/>
    </xf>
    <xf numFmtId="0" fontId="46" fillId="0" borderId="0" xfId="0" applyFont="1" applyFill="1" applyProtection="1"/>
    <xf numFmtId="37" fontId="27" fillId="0" borderId="0" xfId="0" applyNumberFormat="1" applyFont="1" applyFill="1" applyAlignment="1" applyProtection="1">
      <alignment horizontal="center"/>
    </xf>
    <xf numFmtId="0" fontId="27" fillId="0" borderId="0" xfId="0" applyFont="1" applyFill="1" applyProtection="1"/>
    <xf numFmtId="0" fontId="27" fillId="0" borderId="0" xfId="0" applyFont="1" applyFill="1" applyAlignment="1" applyProtection="1">
      <alignment horizontal="center"/>
    </xf>
    <xf numFmtId="0" fontId="47" fillId="0" borderId="0" xfId="0" applyFont="1" applyFill="1" applyAlignment="1" applyProtection="1">
      <alignment horizontal="center"/>
    </xf>
    <xf numFmtId="0" fontId="27" fillId="0" borderId="0" xfId="0" applyFont="1" applyFill="1" applyBorder="1" applyAlignment="1" applyProtection="1">
      <alignment horizontal="center"/>
    </xf>
    <xf numFmtId="37" fontId="27" fillId="0" borderId="34" xfId="0" applyNumberFormat="1" applyFont="1" applyFill="1" applyBorder="1" applyAlignment="1" applyProtection="1">
      <alignment horizontal="center"/>
    </xf>
    <xf numFmtId="0" fontId="27" fillId="0" borderId="34" xfId="0" applyFont="1" applyFill="1" applyBorder="1" applyAlignment="1" applyProtection="1">
      <alignment horizontal="center"/>
    </xf>
    <xf numFmtId="0" fontId="27" fillId="0" borderId="34" xfId="0" applyFont="1" applyFill="1" applyBorder="1" applyProtection="1"/>
    <xf numFmtId="0" fontId="48" fillId="0" borderId="0" xfId="0" applyFont="1" applyFill="1"/>
    <xf numFmtId="5" fontId="0" fillId="0" borderId="0" xfId="0" applyNumberFormat="1" applyFill="1" applyProtection="1"/>
    <xf numFmtId="37" fontId="0" fillId="0" borderId="0" xfId="0" applyNumberFormat="1" applyFill="1"/>
    <xf numFmtId="7" fontId="8" fillId="0" borderId="0" xfId="2" applyNumberFormat="1" applyFont="1" applyFill="1"/>
    <xf numFmtId="43" fontId="0" fillId="0" borderId="0" xfId="0" applyNumberFormat="1" applyFill="1"/>
    <xf numFmtId="7" fontId="30" fillId="0" borderId="0" xfId="0" applyNumberFormat="1" applyFont="1" applyFill="1"/>
    <xf numFmtId="0" fontId="30" fillId="0" borderId="0" xfId="0" applyFont="1" applyFill="1"/>
    <xf numFmtId="7" fontId="8" fillId="0" borderId="0" xfId="2" applyNumberFormat="1" applyFont="1" applyFill="1" applyBorder="1"/>
    <xf numFmtId="37" fontId="0" fillId="0" borderId="0" xfId="0" applyNumberFormat="1" applyFill="1" applyBorder="1"/>
    <xf numFmtId="180" fontId="12" fillId="0" borderId="0" xfId="1" applyNumberFormat="1" applyFont="1" applyFill="1"/>
    <xf numFmtId="5" fontId="0" fillId="0" borderId="0" xfId="0" applyNumberFormat="1" applyFill="1" applyBorder="1" applyProtection="1"/>
    <xf numFmtId="37" fontId="0" fillId="0" borderId="46" xfId="0" applyNumberFormat="1" applyFont="1" applyFill="1" applyBorder="1" applyProtection="1"/>
    <xf numFmtId="5" fontId="5" fillId="0" borderId="46" xfId="0" applyNumberFormat="1" applyFont="1" applyFill="1" applyBorder="1" applyProtection="1"/>
    <xf numFmtId="37" fontId="0" fillId="0" borderId="0" xfId="0" applyNumberFormat="1" applyFill="1" applyProtection="1"/>
    <xf numFmtId="200" fontId="12" fillId="0" borderId="0" xfId="14" applyNumberFormat="1" applyFont="1" applyFill="1"/>
    <xf numFmtId="0" fontId="49" fillId="0" borderId="0" xfId="7" applyFont="1" applyFill="1"/>
    <xf numFmtId="0" fontId="49" fillId="0" borderId="0" xfId="7" applyFont="1" applyFill="1" applyBorder="1"/>
    <xf numFmtId="196" fontId="49" fillId="0" borderId="0" xfId="7" applyNumberFormat="1" applyFont="1" applyFill="1" applyBorder="1"/>
    <xf numFmtId="0" fontId="49" fillId="0" borderId="0" xfId="7" applyFont="1" applyFill="1" applyBorder="1" applyAlignment="1">
      <alignment horizontal="right"/>
    </xf>
    <xf numFmtId="168" fontId="49" fillId="0" borderId="0" xfId="1" applyNumberFormat="1" applyFont="1" applyFill="1" applyBorder="1"/>
    <xf numFmtId="0" fontId="49" fillId="0" borderId="0" xfId="7" applyFont="1" applyFill="1" applyBorder="1" applyAlignment="1">
      <alignment horizontal="left"/>
    </xf>
    <xf numFmtId="7" fontId="49" fillId="0" borderId="0" xfId="7" applyNumberFormat="1" applyFont="1" applyFill="1" applyBorder="1" applyAlignment="1">
      <alignment horizontal="right"/>
    </xf>
    <xf numFmtId="180" fontId="49" fillId="0" borderId="0" xfId="1" applyNumberFormat="1" applyFont="1" applyFill="1" applyBorder="1"/>
    <xf numFmtId="168" fontId="50" fillId="0" borderId="0" xfId="1" applyNumberFormat="1" applyFont="1" applyFill="1" applyBorder="1"/>
    <xf numFmtId="168" fontId="49" fillId="0" borderId="0" xfId="1" applyNumberFormat="1" applyFont="1" applyFill="1"/>
    <xf numFmtId="7" fontId="49" fillId="0" borderId="0" xfId="7" applyNumberFormat="1" applyFont="1" applyFill="1" applyBorder="1"/>
    <xf numFmtId="0" fontId="49" fillId="0" borderId="0" xfId="7" applyFont="1" applyFill="1" applyBorder="1" applyAlignment="1">
      <alignment horizontal="center"/>
    </xf>
    <xf numFmtId="10" fontId="51" fillId="0" borderId="0" xfId="7" applyNumberFormat="1" applyFont="1" applyFill="1"/>
    <xf numFmtId="7" fontId="49" fillId="0" borderId="0" xfId="7" applyNumberFormat="1" applyFont="1" applyFill="1"/>
    <xf numFmtId="5" fontId="49" fillId="0" borderId="0" xfId="7" applyNumberFormat="1" applyFont="1" applyFill="1"/>
    <xf numFmtId="10" fontId="49" fillId="0" borderId="0" xfId="14" applyNumberFormat="1" applyFont="1" applyFill="1"/>
    <xf numFmtId="0" fontId="48" fillId="0" borderId="0" xfId="0" applyFont="1" applyFill="1" applyProtection="1"/>
    <xf numFmtId="198" fontId="12" fillId="0" borderId="0" xfId="14" applyNumberFormat="1" applyFont="1" applyFill="1"/>
    <xf numFmtId="174" fontId="0" fillId="0" borderId="0" xfId="0" applyNumberFormat="1" applyFill="1" applyAlignment="1">
      <alignment horizontal="right"/>
    </xf>
    <xf numFmtId="168" fontId="12" fillId="0" borderId="0" xfId="1" applyNumberFormat="1" applyFont="1" applyFill="1" applyAlignment="1">
      <alignment horizontal="right"/>
    </xf>
    <xf numFmtId="0" fontId="5" fillId="0" borderId="0" xfId="0" applyFont="1" applyFill="1" applyProtection="1">
      <protection locked="0"/>
    </xf>
    <xf numFmtId="7" fontId="30" fillId="0" borderId="0" xfId="0" applyNumberFormat="1" applyFont="1" applyFill="1" applyProtection="1">
      <protection locked="0"/>
    </xf>
    <xf numFmtId="185" fontId="30" fillId="0" borderId="0" xfId="0" applyNumberFormat="1" applyFont="1" applyFill="1" applyProtection="1">
      <protection locked="0"/>
    </xf>
    <xf numFmtId="181" fontId="0" fillId="0" borderId="0" xfId="0" applyNumberFormat="1" applyFill="1"/>
    <xf numFmtId="7" fontId="8" fillId="0" borderId="0" xfId="0" applyNumberFormat="1" applyFont="1" applyFill="1" applyProtection="1">
      <protection locked="0"/>
    </xf>
    <xf numFmtId="11" fontId="0" fillId="0" borderId="0" xfId="0" applyNumberFormat="1" applyFill="1"/>
    <xf numFmtId="0" fontId="5" fillId="0" borderId="0" xfId="0" applyFont="1" applyFill="1"/>
    <xf numFmtId="7" fontId="5" fillId="0" borderId="0" xfId="0" applyNumberFormat="1" applyFont="1" applyFill="1" applyProtection="1">
      <protection locked="0"/>
    </xf>
    <xf numFmtId="168" fontId="5" fillId="0" borderId="0" xfId="0" applyNumberFormat="1" applyFont="1" applyFill="1" applyProtection="1"/>
    <xf numFmtId="185" fontId="7" fillId="0" borderId="0" xfId="0" applyNumberFormat="1" applyFont="1" applyFill="1" applyProtection="1">
      <protection locked="0"/>
    </xf>
    <xf numFmtId="168" fontId="5" fillId="0" borderId="0" xfId="1" applyNumberFormat="1" applyFont="1" applyFill="1" applyProtection="1"/>
    <xf numFmtId="37" fontId="5" fillId="0" borderId="12" xfId="0" applyNumberFormat="1" applyFont="1" applyFill="1" applyBorder="1" applyProtection="1"/>
    <xf numFmtId="0" fontId="0" fillId="0" borderId="0" xfId="0" applyFill="1" applyProtection="1"/>
    <xf numFmtId="5" fontId="5" fillId="0" borderId="34" xfId="0" applyNumberFormat="1" applyFont="1" applyFill="1" applyBorder="1" applyProtection="1"/>
    <xf numFmtId="37" fontId="0" fillId="0" borderId="47" xfId="0" applyNumberFormat="1" applyFont="1" applyFill="1" applyBorder="1" applyProtection="1"/>
    <xf numFmtId="5" fontId="5" fillId="0" borderId="47" xfId="0" applyNumberFormat="1" applyFont="1" applyFill="1" applyBorder="1" applyProtection="1"/>
    <xf numFmtId="186" fontId="5" fillId="0" borderId="0" xfId="0" applyNumberFormat="1" applyFont="1" applyFill="1" applyProtection="1"/>
    <xf numFmtId="166" fontId="12" fillId="0" borderId="0" xfId="14" applyNumberFormat="1" applyFont="1" applyFill="1"/>
    <xf numFmtId="201" fontId="0" fillId="0" borderId="0" xfId="0" applyNumberFormat="1" applyFill="1"/>
    <xf numFmtId="188" fontId="0" fillId="0" borderId="0" xfId="0" applyNumberFormat="1" applyFill="1"/>
    <xf numFmtId="37" fontId="5" fillId="0" borderId="34" xfId="0" applyNumberFormat="1" applyFont="1" applyFill="1" applyBorder="1" applyProtection="1"/>
    <xf numFmtId="167" fontId="12" fillId="0" borderId="47" xfId="2" applyNumberFormat="1" applyFont="1" applyFill="1" applyBorder="1" applyProtection="1"/>
    <xf numFmtId="37" fontId="0" fillId="0" borderId="0" xfId="0" applyNumberFormat="1" applyFont="1" applyFill="1" applyProtection="1"/>
    <xf numFmtId="10" fontId="0" fillId="0" borderId="0" xfId="0" applyNumberFormat="1" applyFill="1"/>
    <xf numFmtId="5" fontId="0" fillId="0" borderId="0" xfId="0" applyNumberFormat="1" applyFont="1" applyFill="1" applyProtection="1"/>
    <xf numFmtId="5" fontId="0" fillId="0" borderId="0" xfId="0" applyNumberFormat="1" applyFont="1" applyFill="1" applyBorder="1" applyProtection="1"/>
    <xf numFmtId="0" fontId="0" fillId="0" borderId="0" xfId="0" applyFont="1" applyFill="1" applyProtection="1"/>
    <xf numFmtId="5" fontId="30" fillId="0" borderId="0" xfId="0" applyNumberFormat="1" applyFont="1" applyFill="1" applyProtection="1">
      <protection locked="0"/>
    </xf>
    <xf numFmtId="0" fontId="30" fillId="0" borderId="0" xfId="0" applyFont="1" applyFill="1" applyProtection="1">
      <protection locked="0"/>
    </xf>
    <xf numFmtId="7" fontId="8" fillId="0" borderId="0" xfId="0" applyNumberFormat="1" applyFont="1" applyFill="1" applyProtection="1"/>
    <xf numFmtId="184" fontId="30" fillId="0" borderId="0" xfId="1" applyNumberFormat="1" applyFont="1" applyFill="1" applyProtection="1">
      <protection locked="0"/>
    </xf>
    <xf numFmtId="184" fontId="30" fillId="0" borderId="0" xfId="0" applyNumberFormat="1" applyFont="1" applyFill="1" applyProtection="1">
      <protection locked="0"/>
    </xf>
    <xf numFmtId="7" fontId="0" fillId="0" borderId="0" xfId="0" applyNumberFormat="1" applyFill="1"/>
    <xf numFmtId="190" fontId="30" fillId="0" borderId="0" xfId="0" applyNumberFormat="1" applyFont="1" applyFill="1" applyProtection="1">
      <protection locked="0"/>
    </xf>
    <xf numFmtId="0" fontId="6" fillId="0" borderId="0" xfId="0" applyFont="1" applyFill="1" applyProtection="1"/>
    <xf numFmtId="171" fontId="30" fillId="0" borderId="0" xfId="0" applyNumberFormat="1" applyFont="1" applyFill="1" applyProtection="1"/>
    <xf numFmtId="184" fontId="12" fillId="0" borderId="0" xfId="1" applyNumberFormat="1" applyFont="1" applyFill="1"/>
    <xf numFmtId="7" fontId="0" fillId="0" borderId="0" xfId="0" applyNumberFormat="1" applyFont="1" applyFill="1" applyProtection="1"/>
    <xf numFmtId="183" fontId="0" fillId="0" borderId="0" xfId="0" applyNumberFormat="1" applyFont="1" applyFill="1" applyProtection="1"/>
    <xf numFmtId="39" fontId="0" fillId="0" borderId="0" xfId="0" applyNumberFormat="1" applyFont="1" applyFill="1" applyProtection="1"/>
    <xf numFmtId="7" fontId="30" fillId="0" borderId="0" xfId="0" applyNumberFormat="1" applyFont="1" applyFill="1" applyProtection="1"/>
    <xf numFmtId="193" fontId="0" fillId="0" borderId="0" xfId="0" applyNumberFormat="1" applyFill="1"/>
    <xf numFmtId="39" fontId="30" fillId="0" borderId="0" xfId="0" applyNumberFormat="1" applyFont="1" applyFill="1" applyProtection="1">
      <protection locked="0"/>
    </xf>
    <xf numFmtId="37" fontId="0" fillId="0" borderId="12" xfId="0" applyNumberFormat="1" applyFont="1" applyFill="1" applyBorder="1" applyProtection="1"/>
    <xf numFmtId="5" fontId="0" fillId="0" borderId="34" xfId="0" applyNumberFormat="1" applyFont="1" applyFill="1" applyBorder="1" applyProtection="1"/>
    <xf numFmtId="171" fontId="0" fillId="0" borderId="47" xfId="0" applyNumberFormat="1" applyFont="1" applyFill="1" applyBorder="1" applyProtection="1"/>
    <xf numFmtId="10" fontId="48" fillId="0" borderId="47" xfId="0" applyNumberFormat="1" applyFont="1" applyFill="1" applyBorder="1" applyProtection="1"/>
    <xf numFmtId="5" fontId="0" fillId="0" borderId="47" xfId="0" applyNumberFormat="1" applyFont="1" applyFill="1" applyBorder="1" applyProtection="1"/>
    <xf numFmtId="0" fontId="5" fillId="0" borderId="47" xfId="0" applyFont="1" applyFill="1" applyBorder="1" applyProtection="1"/>
    <xf numFmtId="203" fontId="12" fillId="0" borderId="0" xfId="14" applyNumberFormat="1" applyFont="1" applyFill="1"/>
    <xf numFmtId="10" fontId="5" fillId="0" borderId="0" xfId="14" applyNumberFormat="1" applyFont="1" applyFill="1" applyProtection="1"/>
    <xf numFmtId="0" fontId="52" fillId="0" borderId="0" xfId="0" applyFont="1" applyFill="1" applyProtection="1"/>
    <xf numFmtId="37" fontId="0" fillId="0" borderId="34" xfId="0" applyNumberFormat="1" applyFont="1" applyFill="1" applyBorder="1" applyProtection="1"/>
    <xf numFmtId="37" fontId="0" fillId="0" borderId="0" xfId="0" applyNumberFormat="1" applyFont="1" applyFill="1" applyBorder="1" applyProtection="1"/>
    <xf numFmtId="171" fontId="0" fillId="0" borderId="0" xfId="0" applyNumberFormat="1" applyFont="1" applyFill="1" applyBorder="1" applyProtection="1"/>
    <xf numFmtId="10" fontId="48" fillId="0" borderId="0" xfId="0" applyNumberFormat="1" applyFont="1" applyFill="1" applyBorder="1" applyProtection="1"/>
    <xf numFmtId="7" fontId="11" fillId="0" borderId="0" xfId="0" applyNumberFormat="1" applyFont="1" applyFill="1" applyProtection="1"/>
    <xf numFmtId="37" fontId="30" fillId="0" borderId="0" xfId="0" applyNumberFormat="1" applyFont="1" applyFill="1" applyProtection="1"/>
    <xf numFmtId="7" fontId="7" fillId="0" borderId="0" xfId="0" applyNumberFormat="1" applyFont="1" applyFill="1" applyProtection="1">
      <protection locked="0"/>
    </xf>
    <xf numFmtId="7" fontId="48" fillId="0" borderId="0" xfId="0" applyNumberFormat="1" applyFont="1" applyFill="1" applyProtection="1"/>
    <xf numFmtId="184" fontId="7" fillId="0" borderId="0" xfId="1" applyNumberFormat="1" applyFont="1" applyFill="1" applyProtection="1">
      <protection locked="0"/>
    </xf>
    <xf numFmtId="178" fontId="0" fillId="0" borderId="0" xfId="0" applyNumberFormat="1" applyFont="1" applyFill="1" applyProtection="1"/>
    <xf numFmtId="174" fontId="8" fillId="0" borderId="0" xfId="0" applyNumberFormat="1" applyFont="1" applyFill="1" applyProtection="1"/>
    <xf numFmtId="0" fontId="13" fillId="0" borderId="0" xfId="0" applyFont="1" applyFill="1" applyProtection="1"/>
    <xf numFmtId="5" fontId="30" fillId="0" borderId="0" xfId="0" applyNumberFormat="1" applyFont="1" applyFill="1" applyProtection="1"/>
    <xf numFmtId="192" fontId="0" fillId="0" borderId="0" xfId="0" applyNumberFormat="1" applyFont="1" applyFill="1" applyProtection="1"/>
    <xf numFmtId="7" fontId="12" fillId="0" borderId="0" xfId="0" applyNumberFormat="1" applyFont="1" applyFill="1" applyProtection="1"/>
    <xf numFmtId="5" fontId="48" fillId="0" borderId="0" xfId="0" applyNumberFormat="1" applyFont="1" applyFill="1" applyProtection="1"/>
    <xf numFmtId="178" fontId="0" fillId="0" borderId="0" xfId="0" applyNumberFormat="1" applyFont="1" applyFill="1"/>
    <xf numFmtId="37" fontId="5" fillId="0" borderId="47" xfId="0" applyNumberFormat="1" applyFont="1" applyFill="1" applyBorder="1" applyProtection="1"/>
    <xf numFmtId="191" fontId="0" fillId="0" borderId="0" xfId="0" applyNumberFormat="1" applyFont="1" applyFill="1" applyProtection="1"/>
    <xf numFmtId="44" fontId="12" fillId="0" borderId="0" xfId="2" applyFont="1" applyFill="1"/>
    <xf numFmtId="7" fontId="12" fillId="0" borderId="0" xfId="0" applyNumberFormat="1" applyFont="1" applyFill="1" applyProtection="1">
      <protection locked="0"/>
    </xf>
    <xf numFmtId="183" fontId="30" fillId="0" borderId="0" xfId="0" applyNumberFormat="1" applyFont="1" applyFill="1" applyProtection="1">
      <protection locked="0"/>
    </xf>
    <xf numFmtId="176" fontId="0" fillId="0" borderId="0" xfId="0" applyNumberFormat="1" applyFill="1"/>
    <xf numFmtId="5" fontId="48" fillId="0" borderId="0" xfId="0" applyNumberFormat="1" applyFont="1" applyFill="1" applyProtection="1">
      <protection locked="0"/>
    </xf>
    <xf numFmtId="0" fontId="48" fillId="0" borderId="0" xfId="0" applyFont="1" applyFill="1" applyProtection="1">
      <protection locked="0"/>
    </xf>
    <xf numFmtId="185" fontId="5" fillId="0" borderId="0" xfId="0" applyNumberFormat="1" applyFont="1" applyFill="1" applyProtection="1">
      <protection locked="0"/>
    </xf>
    <xf numFmtId="190" fontId="5" fillId="0" borderId="0" xfId="0" applyNumberFormat="1" applyFont="1" applyFill="1" applyProtection="1">
      <protection locked="0"/>
    </xf>
    <xf numFmtId="4" fontId="0" fillId="0" borderId="0" xfId="0" applyNumberFormat="1" applyFill="1"/>
    <xf numFmtId="202" fontId="12" fillId="0" borderId="0" xfId="1" applyNumberFormat="1" applyFont="1" applyFill="1"/>
    <xf numFmtId="187" fontId="5" fillId="0" borderId="0" xfId="0" applyNumberFormat="1" applyFont="1" applyFill="1" applyProtection="1"/>
    <xf numFmtId="5" fontId="5" fillId="0" borderId="0" xfId="0" applyNumberFormat="1" applyFont="1" applyFill="1"/>
    <xf numFmtId="7" fontId="5" fillId="0" borderId="0" xfId="0" applyNumberFormat="1" applyFont="1" applyFill="1" applyProtection="1"/>
    <xf numFmtId="188" fontId="5" fillId="0" borderId="0" xfId="0" applyNumberFormat="1" applyFont="1" applyFill="1" applyProtection="1"/>
    <xf numFmtId="181" fontId="30" fillId="0" borderId="0" xfId="0" applyNumberFormat="1" applyFont="1" applyFill="1" applyProtection="1"/>
    <xf numFmtId="184" fontId="30" fillId="0" borderId="0" xfId="1" applyNumberFormat="1" applyFont="1" applyFill="1" applyProtection="1"/>
    <xf numFmtId="7" fontId="7" fillId="0" borderId="0" xfId="0" applyNumberFormat="1" applyFont="1" applyFill="1" applyProtection="1"/>
    <xf numFmtId="181" fontId="7" fillId="0" borderId="0" xfId="0" applyNumberFormat="1" applyFont="1" applyFill="1" applyProtection="1"/>
    <xf numFmtId="171" fontId="0" fillId="0" borderId="0" xfId="0" applyNumberFormat="1" applyFill="1" applyBorder="1" applyProtection="1"/>
    <xf numFmtId="185" fontId="7" fillId="0" borderId="0" xfId="0" applyNumberFormat="1" applyFont="1" applyFill="1" applyProtection="1"/>
    <xf numFmtId="174" fontId="7" fillId="0" borderId="0" xfId="0" applyNumberFormat="1" applyFont="1" applyFill="1" applyProtection="1"/>
    <xf numFmtId="171" fontId="7" fillId="0" borderId="0" xfId="0" applyNumberFormat="1" applyFont="1" applyFill="1" applyProtection="1"/>
    <xf numFmtId="183" fontId="7" fillId="0" borderId="0" xfId="0" applyNumberFormat="1" applyFont="1" applyFill="1" applyProtection="1"/>
    <xf numFmtId="188" fontId="0" fillId="0" borderId="0" xfId="0" applyNumberFormat="1" applyFont="1" applyFill="1" applyProtection="1"/>
    <xf numFmtId="181" fontId="0" fillId="0" borderId="0" xfId="0" applyNumberFormat="1" applyFont="1" applyFill="1"/>
    <xf numFmtId="37" fontId="5" fillId="0" borderId="46" xfId="0" applyNumberFormat="1" applyFont="1" applyFill="1" applyBorder="1" applyProtection="1"/>
    <xf numFmtId="171" fontId="0" fillId="0" borderId="0" xfId="0" applyNumberFormat="1" applyFill="1"/>
    <xf numFmtId="185" fontId="30" fillId="0" borderId="0" xfId="0" applyNumberFormat="1" applyFont="1" applyFill="1" applyProtection="1"/>
    <xf numFmtId="3" fontId="48" fillId="0" borderId="0" xfId="0" applyNumberFormat="1" applyFont="1" applyFill="1"/>
    <xf numFmtId="196" fontId="49" fillId="0" borderId="0" xfId="7" applyNumberFormat="1" applyFont="1" applyFill="1"/>
    <xf numFmtId="168" fontId="49" fillId="0" borderId="36" xfId="1" applyNumberFormat="1" applyFont="1" applyFill="1" applyBorder="1"/>
    <xf numFmtId="3" fontId="0" fillId="0" borderId="28" xfId="0" applyNumberFormat="1" applyFill="1" applyBorder="1"/>
    <xf numFmtId="44" fontId="49" fillId="0" borderId="28" xfId="7" applyNumberFormat="1" applyFont="1" applyFill="1" applyBorder="1"/>
    <xf numFmtId="7" fontId="49" fillId="0" borderId="38" xfId="7" applyNumberFormat="1" applyFont="1" applyFill="1" applyBorder="1" applyAlignment="1">
      <alignment horizontal="right"/>
    </xf>
    <xf numFmtId="168" fontId="49" fillId="0" borderId="5" xfId="1" applyNumberFormat="1" applyFont="1" applyFill="1" applyBorder="1"/>
    <xf numFmtId="44" fontId="49" fillId="0" borderId="0" xfId="7" applyNumberFormat="1" applyFont="1" applyFill="1" applyBorder="1"/>
    <xf numFmtId="7" fontId="49" fillId="0" borderId="4" xfId="7" applyNumberFormat="1" applyFont="1" applyFill="1" applyBorder="1" applyAlignment="1">
      <alignment horizontal="right"/>
    </xf>
    <xf numFmtId="5" fontId="12" fillId="0" borderId="0" xfId="2" applyNumberFormat="1" applyFont="1" applyFill="1" applyBorder="1"/>
    <xf numFmtId="7" fontId="49" fillId="0" borderId="4" xfId="7" applyNumberFormat="1" applyFont="1" applyFill="1" applyBorder="1"/>
    <xf numFmtId="7" fontId="49" fillId="0" borderId="19" xfId="7" applyNumberFormat="1" applyFont="1" applyFill="1" applyBorder="1"/>
    <xf numFmtId="44" fontId="49" fillId="0" borderId="12" xfId="7" applyNumberFormat="1" applyFont="1" applyFill="1" applyBorder="1"/>
    <xf numFmtId="0" fontId="0" fillId="0" borderId="13" xfId="0" applyFill="1" applyBorder="1"/>
    <xf numFmtId="5" fontId="49" fillId="0" borderId="0" xfId="7" applyNumberFormat="1" applyFont="1" applyFill="1" applyBorder="1" applyAlignment="1">
      <alignment horizontal="right"/>
    </xf>
    <xf numFmtId="5" fontId="49" fillId="0" borderId="0" xfId="7" applyNumberFormat="1" applyFont="1" applyFill="1" applyBorder="1"/>
    <xf numFmtId="5" fontId="7" fillId="0" borderId="0" xfId="0" applyNumberFormat="1" applyFont="1" applyFill="1" applyProtection="1"/>
    <xf numFmtId="0" fontId="30" fillId="0" borderId="0" xfId="0" applyFont="1" applyFill="1" applyProtection="1"/>
    <xf numFmtId="5" fontId="5" fillId="0" borderId="0" xfId="0" applyNumberFormat="1" applyFont="1" applyFill="1" applyAlignment="1" applyProtection="1">
      <alignment horizontal="right"/>
    </xf>
    <xf numFmtId="189" fontId="5" fillId="0" borderId="0" xfId="0" applyNumberFormat="1" applyFont="1" applyFill="1" applyProtection="1"/>
    <xf numFmtId="5" fontId="0" fillId="0" borderId="0" xfId="0" applyNumberFormat="1" applyFill="1" applyBorder="1"/>
    <xf numFmtId="185" fontId="5" fillId="0" borderId="46" xfId="0" applyNumberFormat="1" applyFont="1" applyFill="1" applyBorder="1" applyProtection="1"/>
    <xf numFmtId="0" fontId="5" fillId="0" borderId="46" xfId="0" applyFont="1" applyFill="1" applyBorder="1" applyProtection="1"/>
    <xf numFmtId="185" fontId="5" fillId="0" borderId="0" xfId="0" applyNumberFormat="1" applyFont="1" applyFill="1" applyProtection="1"/>
    <xf numFmtId="199" fontId="12" fillId="0" borderId="0" xfId="14" applyNumberFormat="1" applyFont="1" applyFill="1" applyBorder="1"/>
    <xf numFmtId="0" fontId="11" fillId="0" borderId="0" xfId="0" applyFont="1" applyFill="1" applyProtection="1"/>
    <xf numFmtId="185" fontId="5" fillId="0" borderId="0" xfId="0" applyNumberFormat="1" applyFont="1" applyFill="1" applyBorder="1" applyProtection="1"/>
    <xf numFmtId="203" fontId="12" fillId="0" borderId="0" xfId="14" applyNumberFormat="1" applyFont="1" applyFill="1" applyBorder="1"/>
    <xf numFmtId="181" fontId="11" fillId="0" borderId="0" xfId="0" applyNumberFormat="1" applyFont="1" applyFill="1" applyProtection="1"/>
    <xf numFmtId="9" fontId="12" fillId="0" borderId="0" xfId="14" applyFont="1" applyFill="1" applyBorder="1"/>
    <xf numFmtId="0" fontId="8" fillId="0" borderId="0" xfId="0" applyFont="1" applyFill="1" applyProtection="1"/>
    <xf numFmtId="0" fontId="0" fillId="0" borderId="34" xfId="0" applyFill="1" applyBorder="1" applyProtection="1"/>
    <xf numFmtId="5" fontId="5" fillId="0" borderId="34" xfId="0" applyNumberFormat="1" applyFont="1" applyFill="1" applyBorder="1" applyAlignment="1" applyProtection="1">
      <alignment horizontal="right"/>
    </xf>
    <xf numFmtId="7" fontId="0" fillId="0" borderId="0" xfId="0" applyNumberFormat="1" applyFill="1" applyBorder="1"/>
    <xf numFmtId="0" fontId="6" fillId="0" borderId="0" xfId="0" applyFont="1" applyFill="1"/>
    <xf numFmtId="43" fontId="49" fillId="0" borderId="0" xfId="1" applyNumberFormat="1" applyFont="1" applyFill="1" applyBorder="1"/>
    <xf numFmtId="0" fontId="32" fillId="0" borderId="0" xfId="0" applyFont="1" applyFill="1" applyBorder="1"/>
    <xf numFmtId="0" fontId="8" fillId="0" borderId="0" xfId="0" applyFont="1" applyFill="1"/>
    <xf numFmtId="3" fontId="0" fillId="0" borderId="5" xfId="0" applyNumberFormat="1" applyFill="1" applyBorder="1"/>
    <xf numFmtId="43" fontId="0" fillId="0" borderId="0" xfId="0" applyNumberFormat="1" applyFill="1" applyBorder="1"/>
    <xf numFmtId="7" fontId="30" fillId="0" borderId="4" xfId="0" applyNumberFormat="1" applyFont="1" applyFill="1" applyBorder="1"/>
    <xf numFmtId="10" fontId="12" fillId="0" borderId="0" xfId="14" applyNumberFormat="1" applyFont="1" applyFill="1" applyBorder="1"/>
    <xf numFmtId="5" fontId="30" fillId="0" borderId="4" xfId="0" applyNumberFormat="1" applyFont="1" applyFill="1" applyBorder="1"/>
    <xf numFmtId="7" fontId="12" fillId="0" borderId="0" xfId="2" applyNumberFormat="1" applyFont="1" applyFill="1"/>
    <xf numFmtId="44" fontId="12" fillId="0" borderId="0" xfId="2" applyFont="1" applyFill="1" applyBorder="1"/>
    <xf numFmtId="168" fontId="49" fillId="0" borderId="19" xfId="1" applyNumberFormat="1" applyFont="1" applyFill="1" applyBorder="1"/>
    <xf numFmtId="205" fontId="12" fillId="0" borderId="12" xfId="2" applyNumberFormat="1" applyFont="1" applyFill="1" applyBorder="1"/>
    <xf numFmtId="7" fontId="49" fillId="0" borderId="13" xfId="7" applyNumberFormat="1" applyFont="1" applyFill="1" applyBorder="1"/>
    <xf numFmtId="10" fontId="51" fillId="0" borderId="0" xfId="7" applyNumberFormat="1" applyFont="1" applyFill="1" applyBorder="1"/>
    <xf numFmtId="37" fontId="12" fillId="0" borderId="0" xfId="0" applyNumberFormat="1" applyFont="1" applyFill="1" applyProtection="1"/>
    <xf numFmtId="7" fontId="52" fillId="0" borderId="0" xfId="0" applyNumberFormat="1" applyFont="1" applyFill="1" applyProtection="1"/>
    <xf numFmtId="0" fontId="7" fillId="0" borderId="0" xfId="0" applyFont="1" applyFill="1" applyBorder="1" applyProtection="1"/>
    <xf numFmtId="186" fontId="7" fillId="0" borderId="0" xfId="0" applyNumberFormat="1" applyFont="1" applyFill="1" applyProtection="1"/>
    <xf numFmtId="37" fontId="7" fillId="0" borderId="48" xfId="0" applyNumberFormat="1" applyFont="1" applyFill="1" applyBorder="1" applyProtection="1"/>
    <xf numFmtId="5" fontId="8" fillId="0" borderId="48" xfId="0" applyNumberFormat="1" applyFont="1" applyFill="1" applyBorder="1" applyProtection="1"/>
    <xf numFmtId="5" fontId="7" fillId="0" borderId="48" xfId="0" applyNumberFormat="1" applyFont="1" applyFill="1" applyBorder="1" applyProtection="1"/>
    <xf numFmtId="168" fontId="11" fillId="0" borderId="0" xfId="1" applyNumberFormat="1" applyFont="1" applyFill="1" applyBorder="1"/>
    <xf numFmtId="37" fontId="5" fillId="0" borderId="28" xfId="0" applyNumberFormat="1" applyFont="1" applyFill="1" applyBorder="1" applyProtection="1"/>
    <xf numFmtId="7" fontId="30" fillId="0" borderId="28" xfId="0" applyNumberFormat="1" applyFont="1" applyFill="1" applyBorder="1" applyProtection="1"/>
    <xf numFmtId="5" fontId="5" fillId="0" borderId="28" xfId="0" applyNumberFormat="1" applyFont="1" applyFill="1" applyBorder="1" applyProtection="1"/>
    <xf numFmtId="7" fontId="11" fillId="0" borderId="28" xfId="0" applyNumberFormat="1" applyFont="1" applyFill="1" applyBorder="1" applyProtection="1"/>
    <xf numFmtId="0" fontId="5" fillId="0" borderId="28" xfId="0" applyFont="1" applyFill="1" applyBorder="1" applyProtection="1"/>
    <xf numFmtId="5" fontId="11" fillId="0" borderId="0" xfId="0" applyNumberFormat="1" applyFont="1" applyFill="1" applyBorder="1"/>
    <xf numFmtId="0" fontId="6" fillId="0" borderId="0" xfId="0" applyFont="1" applyFill="1" applyBorder="1" applyProtection="1"/>
    <xf numFmtId="186" fontId="6" fillId="0" borderId="0" xfId="0" applyNumberFormat="1" applyFont="1" applyFill="1" applyProtection="1"/>
    <xf numFmtId="37" fontId="6" fillId="0" borderId="48" xfId="0" applyNumberFormat="1" applyFont="1" applyFill="1" applyBorder="1" applyProtection="1"/>
    <xf numFmtId="168" fontId="53" fillId="0" borderId="48" xfId="1" applyNumberFormat="1" applyFont="1" applyFill="1" applyBorder="1" applyProtection="1"/>
    <xf numFmtId="5" fontId="6" fillId="0" borderId="48" xfId="0" applyNumberFormat="1" applyFont="1" applyFill="1" applyBorder="1" applyProtection="1"/>
    <xf numFmtId="167" fontId="6" fillId="0" borderId="48" xfId="2" applyNumberFormat="1" applyFont="1" applyFill="1" applyBorder="1" applyProtection="1"/>
    <xf numFmtId="7" fontId="53" fillId="0" borderId="48" xfId="0" applyNumberFormat="1" applyFont="1" applyFill="1" applyBorder="1" applyProtection="1"/>
    <xf numFmtId="167" fontId="30" fillId="0" borderId="0" xfId="0" applyNumberFormat="1" applyFont="1" applyFill="1" applyProtection="1"/>
    <xf numFmtId="37" fontId="7" fillId="0" borderId="0" xfId="0" applyNumberFormat="1" applyFont="1" applyFill="1" applyBorder="1" applyProtection="1"/>
    <xf numFmtId="197" fontId="12" fillId="0" borderId="0" xfId="2" applyNumberFormat="1" applyFont="1" applyFill="1"/>
    <xf numFmtId="0" fontId="54" fillId="0" borderId="0" xfId="0" applyFont="1" applyFill="1" applyProtection="1"/>
    <xf numFmtId="10" fontId="49" fillId="0" borderId="0" xfId="14" applyNumberFormat="1" applyFont="1" applyFill="1" applyBorder="1"/>
    <xf numFmtId="0" fontId="0" fillId="0" borderId="0" xfId="0" applyFill="1" applyBorder="1" applyAlignment="1">
      <alignment horizontal="right"/>
    </xf>
    <xf numFmtId="168" fontId="12" fillId="0" borderId="47" xfId="1" applyNumberFormat="1" applyFont="1" applyFill="1" applyBorder="1" applyProtection="1"/>
    <xf numFmtId="168" fontId="12" fillId="0" borderId="0" xfId="1" applyNumberFormat="1" applyFont="1" applyFill="1" applyBorder="1"/>
    <xf numFmtId="174" fontId="11" fillId="0" borderId="0" xfId="0" applyNumberFormat="1" applyFont="1" applyFill="1" applyProtection="1"/>
    <xf numFmtId="43" fontId="30" fillId="0" borderId="0" xfId="1" applyNumberFormat="1" applyFont="1" applyFill="1" applyProtection="1">
      <protection locked="0"/>
    </xf>
    <xf numFmtId="4" fontId="0" fillId="0" borderId="0" xfId="0" applyNumberFormat="1" applyFill="1" applyBorder="1"/>
    <xf numFmtId="168" fontId="5" fillId="0" borderId="0" xfId="1" applyNumberFormat="1" applyFont="1" applyFill="1" applyBorder="1" applyProtection="1"/>
    <xf numFmtId="43" fontId="30" fillId="0" borderId="0" xfId="1" applyNumberFormat="1" applyFont="1" applyFill="1" applyProtection="1"/>
    <xf numFmtId="5" fontId="6" fillId="0" borderId="28" xfId="0" applyNumberFormat="1" applyFont="1" applyFill="1" applyBorder="1" applyProtection="1"/>
    <xf numFmtId="0" fontId="55" fillId="0" borderId="0" xfId="11" applyFont="1" applyFill="1"/>
    <xf numFmtId="0" fontId="27" fillId="0" borderId="0" xfId="11" applyFont="1" applyFill="1"/>
    <xf numFmtId="0" fontId="27" fillId="0" borderId="0" xfId="11" applyFont="1" applyFill="1" applyAlignment="1">
      <alignment horizontal="centerContinuous"/>
    </xf>
    <xf numFmtId="0" fontId="56" fillId="0" borderId="0" xfId="11" applyFont="1" applyFill="1" applyBorder="1" applyAlignment="1">
      <alignment horizontal="centerContinuous"/>
    </xf>
    <xf numFmtId="0" fontId="56" fillId="0" borderId="0" xfId="11" applyFont="1" applyFill="1" applyAlignment="1">
      <alignment horizontal="centerContinuous"/>
    </xf>
    <xf numFmtId="0" fontId="55" fillId="0" borderId="0" xfId="11" applyFont="1" applyFill="1" applyAlignment="1">
      <alignment horizontal="centerContinuous"/>
    </xf>
    <xf numFmtId="0" fontId="55" fillId="0" borderId="12" xfId="11" applyFont="1" applyFill="1" applyBorder="1" applyAlignment="1">
      <alignment horizontal="centerContinuous"/>
    </xf>
    <xf numFmtId="0" fontId="26" fillId="0" borderId="0" xfId="11" applyFill="1"/>
    <xf numFmtId="0" fontId="55" fillId="0" borderId="0" xfId="11" applyFont="1" applyFill="1" applyBorder="1" applyAlignment="1">
      <alignment horizontal="center"/>
    </xf>
    <xf numFmtId="0" fontId="55" fillId="0" borderId="0" xfId="11" applyFont="1" applyFill="1" applyBorder="1" applyAlignment="1">
      <alignment horizontal="centerContinuous"/>
    </xf>
    <xf numFmtId="0" fontId="57" fillId="0" borderId="49" xfId="11" applyFont="1" applyFill="1" applyBorder="1"/>
    <xf numFmtId="0" fontId="57" fillId="0" borderId="50" xfId="11" applyFont="1" applyFill="1" applyBorder="1"/>
    <xf numFmtId="0" fontId="55" fillId="0" borderId="12" xfId="11" applyFont="1" applyFill="1" applyBorder="1" applyAlignment="1">
      <alignment horizontal="center"/>
    </xf>
    <xf numFmtId="0" fontId="55" fillId="0" borderId="34" xfId="11" applyFont="1" applyFill="1" applyBorder="1" applyAlignment="1">
      <alignment horizontal="centerContinuous"/>
    </xf>
    <xf numFmtId="0" fontId="28" fillId="0" borderId="0" xfId="11" applyFont="1" applyFill="1"/>
    <xf numFmtId="0" fontId="55" fillId="0" borderId="12" xfId="11" applyFont="1" applyFill="1" applyBorder="1"/>
    <xf numFmtId="0" fontId="57" fillId="0" borderId="51" xfId="11" applyFont="1" applyFill="1" applyBorder="1"/>
    <xf numFmtId="7" fontId="58" fillId="0" borderId="52" xfId="11" applyNumberFormat="1" applyFont="1" applyFill="1" applyBorder="1"/>
    <xf numFmtId="0" fontId="59" fillId="0" borderId="0" xfId="11" applyFont="1" applyFill="1"/>
    <xf numFmtId="181" fontId="58" fillId="0" borderId="52" xfId="11" applyNumberFormat="1" applyFont="1" applyFill="1" applyBorder="1"/>
    <xf numFmtId="184" fontId="58" fillId="0" borderId="52" xfId="1" applyNumberFormat="1" applyFont="1" applyFill="1" applyBorder="1" applyAlignment="1">
      <alignment horizontal="right"/>
    </xf>
    <xf numFmtId="43" fontId="55" fillId="0" borderId="0" xfId="11" applyNumberFormat="1" applyFont="1" applyFill="1"/>
    <xf numFmtId="37" fontId="55" fillId="0" borderId="0" xfId="11" applyNumberFormat="1" applyFont="1" applyFill="1" applyProtection="1"/>
    <xf numFmtId="7" fontId="26" fillId="0" borderId="0" xfId="11" applyNumberFormat="1" applyFill="1"/>
    <xf numFmtId="7" fontId="55" fillId="0" borderId="0" xfId="11" applyNumberFormat="1" applyFont="1" applyFill="1"/>
    <xf numFmtId="10" fontId="55" fillId="0" borderId="0" xfId="11" applyNumberFormat="1" applyFont="1" applyFill="1" applyProtection="1"/>
    <xf numFmtId="0" fontId="57" fillId="0" borderId="53" xfId="11" applyFont="1" applyFill="1" applyBorder="1"/>
    <xf numFmtId="181" fontId="58" fillId="0" borderId="54" xfId="11" applyNumberFormat="1" applyFont="1" applyFill="1" applyBorder="1"/>
    <xf numFmtId="0" fontId="57" fillId="0" borderId="0" xfId="11" applyFont="1" applyFill="1"/>
    <xf numFmtId="181" fontId="57" fillId="0" borderId="0" xfId="11" applyNumberFormat="1" applyFont="1" applyFill="1"/>
    <xf numFmtId="0" fontId="55" fillId="0" borderId="0" xfId="11" applyFont="1" applyFill="1" applyBorder="1"/>
    <xf numFmtId="7" fontId="55" fillId="0" borderId="0" xfId="11" applyNumberFormat="1" applyFont="1" applyFill="1" applyProtection="1"/>
    <xf numFmtId="171" fontId="57" fillId="0" borderId="0" xfId="11" applyNumberFormat="1" applyFont="1" applyFill="1"/>
    <xf numFmtId="190" fontId="55" fillId="0" borderId="0" xfId="11" applyNumberFormat="1" applyFont="1" applyFill="1" applyProtection="1"/>
    <xf numFmtId="37" fontId="55" fillId="0" borderId="12" xfId="11" applyNumberFormat="1" applyFont="1" applyFill="1" applyBorder="1" applyProtection="1"/>
    <xf numFmtId="7" fontId="55" fillId="0" borderId="12" xfId="11" applyNumberFormat="1" applyFont="1" applyFill="1" applyBorder="1" applyProtection="1"/>
    <xf numFmtId="190" fontId="55" fillId="0" borderId="12" xfId="11" applyNumberFormat="1" applyFont="1" applyFill="1" applyBorder="1" applyProtection="1"/>
    <xf numFmtId="0" fontId="16" fillId="0" borderId="0" xfId="11" applyFont="1" applyFill="1"/>
    <xf numFmtId="0" fontId="16" fillId="0" borderId="0" xfId="11" quotePrefix="1" applyFont="1" applyFill="1" applyBorder="1" applyAlignment="1">
      <alignment horizontal="left"/>
    </xf>
    <xf numFmtId="5" fontId="55" fillId="0" borderId="0" xfId="11" applyNumberFormat="1" applyFont="1" applyFill="1"/>
    <xf numFmtId="0" fontId="55" fillId="0" borderId="0" xfId="11" applyFont="1" applyFill="1" applyAlignment="1" applyProtection="1">
      <alignment horizontal="left"/>
    </xf>
    <xf numFmtId="44" fontId="55" fillId="0" borderId="0" xfId="2" applyFont="1" applyFill="1"/>
    <xf numFmtId="0" fontId="55" fillId="0" borderId="0" xfId="11" applyFont="1" applyFill="1" applyProtection="1"/>
    <xf numFmtId="0" fontId="27" fillId="0" borderId="0" xfId="11" applyFont="1" applyFill="1" applyAlignment="1" applyProtection="1">
      <alignment horizontal="centerContinuous"/>
    </xf>
    <xf numFmtId="0" fontId="56" fillId="0" borderId="0" xfId="11" applyFont="1" applyFill="1" applyBorder="1" applyAlignment="1" applyProtection="1">
      <alignment horizontal="center"/>
    </xf>
    <xf numFmtId="0" fontId="18" fillId="0" borderId="0" xfId="11" applyFont="1" applyFill="1" applyAlignment="1" applyProtection="1">
      <alignment horizontal="centerContinuous"/>
    </xf>
    <xf numFmtId="0" fontId="18" fillId="0" borderId="0" xfId="11" applyFont="1" applyFill="1" applyAlignment="1">
      <alignment horizontal="centerContinuous"/>
    </xf>
    <xf numFmtId="0" fontId="60" fillId="0" borderId="0" xfId="11" applyFont="1" applyFill="1" applyAlignment="1" applyProtection="1">
      <alignment horizontal="centerContinuous"/>
    </xf>
    <xf numFmtId="0" fontId="55" fillId="0" borderId="0" xfId="11" applyFont="1" applyFill="1" applyAlignment="1" applyProtection="1">
      <alignment horizontal="centerContinuous"/>
    </xf>
    <xf numFmtId="0" fontId="55" fillId="0" borderId="0" xfId="11" applyFont="1" applyFill="1" applyAlignment="1" applyProtection="1"/>
    <xf numFmtId="0" fontId="11" fillId="0" borderId="0" xfId="11" applyFont="1" applyFill="1" applyAlignment="1" applyProtection="1">
      <alignment horizontal="center"/>
    </xf>
    <xf numFmtId="0" fontId="11" fillId="0" borderId="0" xfId="11" applyFont="1" applyFill="1" applyProtection="1"/>
    <xf numFmtId="0" fontId="11" fillId="0" borderId="34" xfId="11" applyFont="1" applyFill="1" applyBorder="1" applyAlignment="1" applyProtection="1">
      <alignment horizontal="centerContinuous"/>
    </xf>
    <xf numFmtId="0" fontId="11" fillId="0" borderId="0" xfId="11" applyFont="1" applyFill="1" applyAlignment="1" applyProtection="1">
      <alignment horizontal="centerContinuous"/>
    </xf>
    <xf numFmtId="0" fontId="11" fillId="0" borderId="0" xfId="11" applyFont="1" applyFill="1"/>
    <xf numFmtId="0" fontId="11" fillId="0" borderId="0" xfId="11" applyFont="1" applyFill="1" applyBorder="1" applyAlignment="1" applyProtection="1">
      <alignment horizontal="center"/>
    </xf>
    <xf numFmtId="0" fontId="11" fillId="0" borderId="12" xfId="11" applyFont="1" applyFill="1" applyBorder="1" applyAlignment="1" applyProtection="1">
      <alignment horizontal="centerContinuous"/>
    </xf>
    <xf numFmtId="0" fontId="11" fillId="0" borderId="0" xfId="11" applyFont="1" applyFill="1" applyAlignment="1" applyProtection="1"/>
    <xf numFmtId="0" fontId="11" fillId="0" borderId="12" xfId="11" applyFont="1" applyFill="1" applyBorder="1" applyAlignment="1" applyProtection="1">
      <alignment horizontal="center"/>
    </xf>
    <xf numFmtId="0" fontId="9" fillId="0" borderId="0" xfId="11" applyFont="1" applyFill="1" applyProtection="1"/>
    <xf numFmtId="0" fontId="9" fillId="0" borderId="0" xfId="11" applyFont="1" applyFill="1" applyAlignment="1" applyProtection="1">
      <alignment horizontal="center"/>
    </xf>
    <xf numFmtId="0" fontId="11" fillId="0" borderId="34" xfId="11" applyFont="1" applyFill="1" applyBorder="1" applyAlignment="1" applyProtection="1">
      <alignment horizontal="center"/>
    </xf>
    <xf numFmtId="0" fontId="11" fillId="0" borderId="0" xfId="11" applyFont="1" applyFill="1" applyBorder="1" applyProtection="1"/>
    <xf numFmtId="0" fontId="55" fillId="0" borderId="49" xfId="11" applyFont="1" applyFill="1" applyBorder="1"/>
    <xf numFmtId="0" fontId="55" fillId="0" borderId="55" xfId="11" applyFont="1" applyFill="1" applyBorder="1"/>
    <xf numFmtId="0" fontId="55" fillId="0" borderId="50" xfId="11" applyFont="1" applyFill="1" applyBorder="1"/>
    <xf numFmtId="0" fontId="55" fillId="0" borderId="51" xfId="11" applyFont="1" applyFill="1" applyBorder="1"/>
    <xf numFmtId="0" fontId="55" fillId="0" borderId="52" xfId="11" applyFont="1" applyFill="1" applyBorder="1"/>
    <xf numFmtId="37" fontId="11" fillId="0" borderId="0" xfId="11" applyNumberFormat="1" applyFont="1" applyFill="1" applyProtection="1"/>
    <xf numFmtId="171" fontId="11" fillId="0" borderId="0" xfId="14" applyNumberFormat="1" applyFont="1" applyFill="1" applyProtection="1"/>
    <xf numFmtId="5" fontId="11" fillId="0" borderId="0" xfId="11" applyNumberFormat="1" applyFont="1" applyFill="1" applyProtection="1"/>
    <xf numFmtId="10" fontId="11" fillId="0" borderId="0" xfId="11" applyNumberFormat="1" applyFont="1" applyFill="1" applyProtection="1"/>
    <xf numFmtId="7" fontId="58" fillId="0" borderId="0" xfId="11" applyNumberFormat="1" applyFont="1" applyFill="1" applyBorder="1"/>
    <xf numFmtId="0" fontId="58" fillId="0" borderId="0" xfId="11" applyFont="1" applyFill="1" applyBorder="1"/>
    <xf numFmtId="7" fontId="55" fillId="0" borderId="0" xfId="2" applyNumberFormat="1" applyFont="1" applyFill="1"/>
    <xf numFmtId="7" fontId="57" fillId="0" borderId="0" xfId="11" applyNumberFormat="1" applyFont="1" applyFill="1" applyBorder="1"/>
    <xf numFmtId="0" fontId="55" fillId="0" borderId="51" xfId="11" applyFont="1" applyFill="1" applyBorder="1" applyAlignment="1">
      <alignment horizontal="right"/>
    </xf>
    <xf numFmtId="168" fontId="57" fillId="0" borderId="0" xfId="1" applyNumberFormat="1" applyFont="1" applyFill="1" applyBorder="1" applyAlignment="1">
      <alignment horizontal="right"/>
    </xf>
    <xf numFmtId="0" fontId="58" fillId="0" borderId="52" xfId="11" applyFont="1" applyFill="1" applyBorder="1"/>
    <xf numFmtId="0" fontId="55" fillId="0" borderId="0" xfId="11" applyFont="1" applyFill="1" applyBorder="1" applyAlignment="1">
      <alignment horizontal="right"/>
    </xf>
    <xf numFmtId="5" fontId="11" fillId="0" borderId="0" xfId="11" applyNumberFormat="1" applyFont="1" applyFill="1"/>
    <xf numFmtId="184" fontId="58" fillId="0" borderId="0" xfId="1" applyNumberFormat="1" applyFont="1" applyFill="1" applyBorder="1"/>
    <xf numFmtId="184" fontId="58" fillId="0" borderId="52" xfId="1" applyNumberFormat="1" applyFont="1" applyFill="1" applyBorder="1"/>
    <xf numFmtId="0" fontId="57" fillId="0" borderId="56" xfId="11" applyFont="1" applyFill="1" applyBorder="1"/>
    <xf numFmtId="0" fontId="57" fillId="0" borderId="54" xfId="11" applyFont="1" applyFill="1" applyBorder="1"/>
    <xf numFmtId="181" fontId="55" fillId="0" borderId="0" xfId="11" applyNumberFormat="1" applyFont="1" applyFill="1"/>
    <xf numFmtId="179" fontId="11" fillId="0" borderId="0" xfId="1" applyNumberFormat="1" applyFont="1" applyFill="1" applyProtection="1"/>
    <xf numFmtId="184" fontId="11" fillId="0" borderId="0" xfId="1" applyNumberFormat="1" applyFont="1" applyFill="1" applyProtection="1"/>
    <xf numFmtId="0" fontId="11" fillId="0" borderId="0" xfId="11" applyFont="1" applyFill="1" applyBorder="1"/>
    <xf numFmtId="171" fontId="11" fillId="0" borderId="0" xfId="14" applyNumberFormat="1" applyFont="1" applyFill="1" applyBorder="1" applyProtection="1"/>
    <xf numFmtId="0" fontId="16" fillId="0" borderId="0" xfId="11" quotePrefix="1" applyFont="1" applyFill="1"/>
    <xf numFmtId="0" fontId="56" fillId="0" borderId="0" xfId="11" applyFont="1" applyFill="1" applyBorder="1" applyAlignment="1" applyProtection="1">
      <alignment horizontal="centerContinuous"/>
    </xf>
    <xf numFmtId="0" fontId="11" fillId="0" borderId="0" xfId="11" applyFont="1" applyFill="1" applyAlignment="1">
      <alignment horizontal="center"/>
    </xf>
    <xf numFmtId="0" fontId="55" fillId="0" borderId="56" xfId="11" applyFont="1" applyFill="1" applyBorder="1"/>
    <xf numFmtId="0" fontId="11" fillId="0" borderId="0" xfId="11" applyFont="1" applyFill="1" applyAlignment="1" applyProtection="1">
      <alignment horizontal="left"/>
    </xf>
    <xf numFmtId="0" fontId="55" fillId="0" borderId="57" xfId="11" applyFont="1" applyFill="1" applyBorder="1" applyAlignment="1">
      <alignment horizontal="left"/>
    </xf>
    <xf numFmtId="0" fontId="55" fillId="0" borderId="55" xfId="11" applyFont="1" applyFill="1" applyBorder="1" applyAlignment="1">
      <alignment horizontal="centerContinuous"/>
    </xf>
    <xf numFmtId="0" fontId="55" fillId="0" borderId="50" xfId="11" applyFont="1" applyFill="1" applyBorder="1" applyAlignment="1">
      <alignment horizontal="centerContinuous"/>
    </xf>
    <xf numFmtId="0" fontId="55" fillId="0" borderId="52" xfId="11" applyFont="1" applyFill="1" applyBorder="1" applyAlignment="1">
      <alignment horizontal="center"/>
    </xf>
    <xf numFmtId="5" fontId="58" fillId="0" borderId="0" xfId="11" applyNumberFormat="1" applyFont="1" applyFill="1" applyBorder="1"/>
    <xf numFmtId="181" fontId="58" fillId="0" borderId="0" xfId="11" applyNumberFormat="1" applyFont="1" applyFill="1" applyBorder="1"/>
    <xf numFmtId="181" fontId="55" fillId="0" borderId="52" xfId="11" applyNumberFormat="1" applyFont="1" applyFill="1" applyBorder="1"/>
    <xf numFmtId="0" fontId="55" fillId="0" borderId="53" xfId="11" applyFont="1" applyFill="1" applyBorder="1"/>
    <xf numFmtId="184" fontId="57" fillId="0" borderId="56" xfId="1" applyNumberFormat="1" applyFont="1" applyFill="1" applyBorder="1"/>
    <xf numFmtId="0" fontId="55" fillId="0" borderId="54" xfId="11" applyFont="1" applyFill="1" applyBorder="1"/>
    <xf numFmtId="0" fontId="11" fillId="0" borderId="12" xfId="11" applyFont="1" applyFill="1" applyBorder="1" applyProtection="1"/>
    <xf numFmtId="0" fontId="11" fillId="0" borderId="12" xfId="11" applyFont="1" applyFill="1" applyBorder="1"/>
    <xf numFmtId="0" fontId="60" fillId="0" borderId="0" xfId="11" applyFont="1" applyFill="1" applyBorder="1" applyAlignment="1">
      <alignment horizontal="centerContinuous"/>
    </xf>
    <xf numFmtId="0" fontId="55" fillId="0" borderId="0" xfId="11" applyFont="1" applyFill="1" applyAlignment="1" applyProtection="1">
      <alignment horizontal="center"/>
    </xf>
    <xf numFmtId="0" fontId="55" fillId="0" borderId="0" xfId="11" applyFont="1" applyFill="1" applyAlignment="1">
      <alignment horizontal="center"/>
    </xf>
    <xf numFmtId="0" fontId="55" fillId="0" borderId="49" xfId="11" applyFont="1" applyFill="1" applyBorder="1" applyAlignment="1">
      <alignment horizontal="center"/>
    </xf>
    <xf numFmtId="0" fontId="55" fillId="0" borderId="0" xfId="11" applyFont="1" applyFill="1" applyBorder="1" applyAlignment="1" applyProtection="1">
      <alignment horizontal="center"/>
    </xf>
    <xf numFmtId="0" fontId="55" fillId="0" borderId="12" xfId="11" applyFont="1" applyFill="1" applyBorder="1" applyAlignment="1" applyProtection="1">
      <alignment horizontal="center"/>
    </xf>
    <xf numFmtId="0" fontId="59" fillId="0" borderId="0" xfId="11" applyFont="1" applyFill="1" applyAlignment="1">
      <alignment horizontal="center"/>
    </xf>
    <xf numFmtId="0" fontId="57" fillId="0" borderId="52" xfId="11" applyFont="1" applyFill="1" applyBorder="1"/>
    <xf numFmtId="0" fontId="57" fillId="0" borderId="0" xfId="11" applyFont="1" applyFill="1" applyBorder="1"/>
    <xf numFmtId="0" fontId="55" fillId="0" borderId="36" xfId="11" applyFont="1" applyFill="1" applyBorder="1"/>
    <xf numFmtId="0" fontId="55" fillId="0" borderId="28" xfId="11" applyFont="1" applyFill="1" applyBorder="1"/>
    <xf numFmtId="0" fontId="55" fillId="0" borderId="38" xfId="11" applyFont="1" applyFill="1" applyBorder="1"/>
    <xf numFmtId="0" fontId="59" fillId="0" borderId="0" xfId="11" applyFont="1" applyFill="1" applyBorder="1"/>
    <xf numFmtId="0" fontId="55" fillId="0" borderId="5" xfId="11" applyFont="1" applyFill="1" applyBorder="1"/>
    <xf numFmtId="7" fontId="58" fillId="0" borderId="4" xfId="11" applyNumberFormat="1" applyFont="1" applyFill="1" applyBorder="1"/>
    <xf numFmtId="5" fontId="55" fillId="0" borderId="0" xfId="11" applyNumberFormat="1" applyFont="1" applyFill="1" applyProtection="1"/>
    <xf numFmtId="5" fontId="58" fillId="0" borderId="4" xfId="11" applyNumberFormat="1" applyFont="1" applyFill="1" applyBorder="1"/>
    <xf numFmtId="0" fontId="55" fillId="0" borderId="19" xfId="11" applyFont="1" applyFill="1" applyBorder="1"/>
    <xf numFmtId="5" fontId="58" fillId="0" borderId="12" xfId="11" applyNumberFormat="1" applyFont="1" applyFill="1" applyBorder="1"/>
    <xf numFmtId="0" fontId="58" fillId="0" borderId="12" xfId="11" applyFont="1" applyFill="1" applyBorder="1"/>
    <xf numFmtId="5" fontId="58" fillId="0" borderId="13" xfId="11" applyNumberFormat="1" applyFont="1" applyFill="1" applyBorder="1"/>
    <xf numFmtId="0" fontId="16" fillId="0" borderId="0" xfId="11" quotePrefix="1" applyFont="1" applyFill="1" applyBorder="1"/>
    <xf numFmtId="10" fontId="55" fillId="0" borderId="0" xfId="14" applyNumberFormat="1" applyFont="1" applyFill="1"/>
    <xf numFmtId="0" fontId="60" fillId="0" borderId="0" xfId="11" applyFont="1" applyFill="1" applyAlignment="1">
      <alignment horizontal="centerContinuous"/>
    </xf>
    <xf numFmtId="0" fontId="55" fillId="0" borderId="49" xfId="11" applyFont="1" applyFill="1" applyBorder="1" applyAlignment="1">
      <alignment horizontal="centerContinuous"/>
    </xf>
    <xf numFmtId="43" fontId="30" fillId="0" borderId="0" xfId="1" applyFont="1" applyFill="1" applyProtection="1">
      <protection locked="0"/>
    </xf>
    <xf numFmtId="184" fontId="0" fillId="0" borderId="0" xfId="1" applyNumberFormat="1" applyFont="1" applyFill="1"/>
    <xf numFmtId="43" fontId="30" fillId="0" borderId="0" xfId="1" applyFont="1" applyFill="1" applyProtection="1"/>
    <xf numFmtId="0" fontId="0" fillId="0" borderId="0" xfId="0" applyAlignment="1">
      <alignment horizontal="right"/>
    </xf>
    <xf numFmtId="0" fontId="22" fillId="0" borderId="0" xfId="0" applyFont="1"/>
    <xf numFmtId="0" fontId="0" fillId="0" borderId="0" xfId="0" applyBorder="1"/>
    <xf numFmtId="0" fontId="0" fillId="0" borderId="0" xfId="0" applyFill="1" applyBorder="1" applyAlignment="1">
      <alignment horizontal="center"/>
    </xf>
    <xf numFmtId="0" fontId="61" fillId="0" borderId="0" xfId="0" applyFont="1"/>
    <xf numFmtId="6" fontId="30" fillId="0" borderId="0" xfId="1" applyNumberFormat="1" applyFont="1" applyBorder="1"/>
    <xf numFmtId="6" fontId="12" fillId="0" borderId="0" xfId="1" applyNumberFormat="1" applyFont="1" applyBorder="1"/>
    <xf numFmtId="168" fontId="30" fillId="0" borderId="0" xfId="1" applyNumberFormat="1" applyFont="1" applyBorder="1"/>
    <xf numFmtId="3" fontId="61" fillId="0" borderId="0" xfId="0" applyNumberFormat="1" applyFont="1" applyFill="1" applyBorder="1"/>
    <xf numFmtId="3" fontId="0" fillId="0" borderId="0" xfId="0" applyNumberFormat="1"/>
    <xf numFmtId="168" fontId="13" fillId="0" borderId="0" xfId="1" applyNumberFormat="1" applyFont="1" applyFill="1" applyBorder="1"/>
    <xf numFmtId="3" fontId="62" fillId="0" borderId="0" xfId="0" applyNumberFormat="1" applyFont="1" applyFill="1" applyBorder="1"/>
    <xf numFmtId="49" fontId="7" fillId="0" borderId="0" xfId="9" applyNumberFormat="1" applyFont="1"/>
    <xf numFmtId="49" fontId="7" fillId="0" borderId="0" xfId="9" applyNumberFormat="1" applyFont="1" applyBorder="1"/>
    <xf numFmtId="6" fontId="30" fillId="0" borderId="0" xfId="1" applyNumberFormat="1" applyFont="1" applyFill="1" applyBorder="1"/>
    <xf numFmtId="168" fontId="63" fillId="0" borderId="0" xfId="1" applyNumberFormat="1" applyFont="1" applyFill="1" applyBorder="1"/>
    <xf numFmtId="168" fontId="13" fillId="0" borderId="0" xfId="1" applyNumberFormat="1" applyFont="1" applyFill="1"/>
    <xf numFmtId="6" fontId="0" fillId="0" borderId="0" xfId="0" applyNumberFormat="1" applyBorder="1"/>
    <xf numFmtId="168" fontId="0" fillId="0" borderId="0" xfId="0" applyNumberFormat="1" applyBorder="1"/>
    <xf numFmtId="168" fontId="13" fillId="0" borderId="0" xfId="0" applyNumberFormat="1" applyFont="1" applyFill="1" applyBorder="1"/>
    <xf numFmtId="3" fontId="13" fillId="0" borderId="12" xfId="0" applyNumberFormat="1" applyFont="1" applyFill="1" applyBorder="1"/>
    <xf numFmtId="3" fontId="62" fillId="0" borderId="12" xfId="0" applyNumberFormat="1" applyFont="1" applyFill="1" applyBorder="1"/>
    <xf numFmtId="6" fontId="0" fillId="0" borderId="0" xfId="0" applyNumberFormat="1" applyFill="1" applyBorder="1"/>
    <xf numFmtId="0" fontId="0" fillId="0" borderId="15" xfId="0" applyBorder="1"/>
    <xf numFmtId="49" fontId="7" fillId="0" borderId="15" xfId="9" applyNumberFormat="1" applyFont="1" applyBorder="1"/>
    <xf numFmtId="6" fontId="0" fillId="0" borderId="15" xfId="0" applyNumberFormat="1" applyBorder="1"/>
    <xf numFmtId="168" fontId="24" fillId="0" borderId="0" xfId="1" applyNumberFormat="1" applyFont="1"/>
    <xf numFmtId="168" fontId="12" fillId="0" borderId="0" xfId="1" applyNumberFormat="1" applyFont="1"/>
    <xf numFmtId="3" fontId="31" fillId="0" borderId="0" xfId="0" applyNumberFormat="1" applyFont="1"/>
    <xf numFmtId="6" fontId="64" fillId="0" borderId="0" xfId="0" applyNumberFormat="1" applyFont="1" applyBorder="1"/>
    <xf numFmtId="6" fontId="13" fillId="0" borderId="0" xfId="0" applyNumberFormat="1" applyFont="1" applyBorder="1"/>
    <xf numFmtId="6" fontId="0" fillId="0" borderId="0" xfId="0" applyNumberFormat="1"/>
    <xf numFmtId="168" fontId="30" fillId="0" borderId="0" xfId="1" applyNumberFormat="1" applyFont="1" applyFill="1" applyBorder="1"/>
    <xf numFmtId="168" fontId="0" fillId="0" borderId="0" xfId="0" applyNumberFormat="1" applyFill="1" applyBorder="1"/>
    <xf numFmtId="38" fontId="0" fillId="0" borderId="0" xfId="0" applyNumberFormat="1" applyBorder="1"/>
    <xf numFmtId="3" fontId="0" fillId="0" borderId="0" xfId="0" applyNumberFormat="1" applyBorder="1"/>
    <xf numFmtId="38" fontId="64" fillId="0" borderId="0" xfId="0" applyNumberFormat="1" applyFont="1" applyBorder="1"/>
    <xf numFmtId="3" fontId="64" fillId="0" borderId="0" xfId="0" applyNumberFormat="1" applyFont="1" applyBorder="1"/>
    <xf numFmtId="3" fontId="13" fillId="0" borderId="0" xfId="0" applyNumberFormat="1" applyFont="1" applyBorder="1"/>
    <xf numFmtId="168" fontId="4" fillId="0" borderId="0" xfId="6" applyNumberFormat="1" applyFont="1" applyFill="1"/>
    <xf numFmtId="168" fontId="9" fillId="0" borderId="5" xfId="0" applyNumberFormat="1" applyFont="1" applyFill="1" applyBorder="1"/>
    <xf numFmtId="206" fontId="30" fillId="0" borderId="0" xfId="1" applyNumberFormat="1" applyFont="1" applyFill="1" applyBorder="1"/>
    <xf numFmtId="5" fontId="0" fillId="0" borderId="0" xfId="0" applyNumberFormat="1"/>
    <xf numFmtId="7" fontId="0" fillId="0" borderId="0" xfId="0" applyNumberFormat="1"/>
    <xf numFmtId="37" fontId="11" fillId="0" borderId="0" xfId="0" applyNumberFormat="1" applyFont="1" applyFill="1"/>
    <xf numFmtId="0" fontId="61" fillId="0" borderId="0" xfId="0" applyFont="1" applyFill="1"/>
    <xf numFmtId="6" fontId="12" fillId="0" borderId="0" xfId="1" applyNumberFormat="1" applyFont="1" applyFill="1" applyBorder="1"/>
    <xf numFmtId="165" fontId="9" fillId="0" borderId="0" xfId="0" applyNumberFormat="1" applyFont="1" applyFill="1"/>
    <xf numFmtId="165" fontId="11" fillId="0" borderId="0" xfId="0" applyNumberFormat="1" applyFont="1" applyFill="1"/>
    <xf numFmtId="176" fontId="0" fillId="0" borderId="0" xfId="0" applyNumberFormat="1" applyFill="1" applyBorder="1"/>
    <xf numFmtId="0" fontId="11" fillId="0" borderId="0" xfId="0" applyFont="1" applyFill="1" applyAlignment="1">
      <alignment horizontal="left"/>
    </xf>
    <xf numFmtId="10" fontId="0" fillId="0" borderId="0" xfId="14" applyNumberFormat="1" applyFont="1" applyFill="1"/>
    <xf numFmtId="0" fontId="4" fillId="0" borderId="0" xfId="8"/>
    <xf numFmtId="0" fontId="36" fillId="0" borderId="12" xfId="8" applyFont="1" applyBorder="1" applyAlignment="1">
      <alignment horizontal="center"/>
    </xf>
    <xf numFmtId="0" fontId="37" fillId="0" borderId="5" xfId="8" applyFont="1" applyBorder="1" applyAlignment="1">
      <alignment horizontal="center"/>
    </xf>
    <xf numFmtId="0" fontId="4" fillId="0" borderId="5" xfId="8" applyBorder="1" applyAlignment="1">
      <alignment horizontal="center"/>
    </xf>
    <xf numFmtId="0" fontId="4" fillId="0" borderId="4" xfId="8" applyBorder="1" applyAlignment="1">
      <alignment horizontal="center"/>
    </xf>
    <xf numFmtId="0" fontId="4" fillId="0" borderId="0" xfId="8" applyBorder="1"/>
    <xf numFmtId="0" fontId="4" fillId="0" borderId="0" xfId="8" applyBorder="1" applyAlignment="1">
      <alignment horizontal="center"/>
    </xf>
    <xf numFmtId="0" fontId="4" fillId="0" borderId="36" xfId="8" applyBorder="1"/>
    <xf numFmtId="0" fontId="4" fillId="0" borderId="28" xfId="8" applyBorder="1"/>
    <xf numFmtId="0" fontId="4" fillId="0" borderId="38" xfId="8" applyBorder="1"/>
    <xf numFmtId="10" fontId="37" fillId="0" borderId="0" xfId="14" applyNumberFormat="1" applyFont="1"/>
    <xf numFmtId="0" fontId="4" fillId="0" borderId="5" xfId="8" applyBorder="1" applyAlignment="1">
      <alignment horizontal="right"/>
    </xf>
    <xf numFmtId="0" fontId="4" fillId="0" borderId="12" xfId="8" applyBorder="1"/>
    <xf numFmtId="0" fontId="4" fillId="0" borderId="0" xfId="8" applyAlignment="1">
      <alignment horizontal="center"/>
    </xf>
    <xf numFmtId="0" fontId="4" fillId="0" borderId="5" xfId="8" applyBorder="1"/>
    <xf numFmtId="0" fontId="4" fillId="0" borderId="4" xfId="8" applyBorder="1"/>
    <xf numFmtId="171" fontId="4" fillId="0" borderId="4" xfId="8" applyNumberFormat="1" applyBorder="1" applyAlignment="1">
      <alignment horizontal="right"/>
    </xf>
    <xf numFmtId="0" fontId="4" fillId="0" borderId="0" xfId="8" applyAlignment="1">
      <alignment horizontal="right"/>
    </xf>
    <xf numFmtId="5" fontId="4" fillId="0" borderId="5" xfId="8" applyNumberFormat="1" applyBorder="1" applyAlignment="1">
      <alignment horizontal="right"/>
    </xf>
    <xf numFmtId="0" fontId="37" fillId="0" borderId="0" xfId="8" applyFont="1" applyBorder="1"/>
    <xf numFmtId="5" fontId="4" fillId="0" borderId="0" xfId="8" applyNumberFormat="1"/>
    <xf numFmtId="5" fontId="4" fillId="0" borderId="5" xfId="8" applyNumberFormat="1" applyBorder="1"/>
    <xf numFmtId="5" fontId="4" fillId="0" borderId="4" xfId="8" applyNumberFormat="1" applyBorder="1"/>
    <xf numFmtId="0" fontId="4" fillId="0" borderId="12" xfId="8" applyBorder="1" applyAlignment="1">
      <alignment horizontal="right"/>
    </xf>
    <xf numFmtId="16" fontId="4" fillId="0" borderId="0" xfId="8" quotePrefix="1" applyNumberFormat="1" applyBorder="1" applyAlignment="1">
      <alignment horizontal="center"/>
    </xf>
    <xf numFmtId="16" fontId="4" fillId="0" borderId="4" xfId="8" applyNumberFormat="1" applyBorder="1" applyAlignment="1">
      <alignment horizontal="center"/>
    </xf>
    <xf numFmtId="5" fontId="65" fillId="0" borderId="0" xfId="8" applyNumberFormat="1" applyFont="1" applyBorder="1"/>
    <xf numFmtId="5" fontId="4" fillId="0" borderId="36" xfId="8" applyNumberFormat="1" applyBorder="1" applyAlignment="1">
      <alignment horizontal="right"/>
    </xf>
    <xf numFmtId="5" fontId="4" fillId="0" borderId="28" xfId="8" applyNumberFormat="1" applyBorder="1" applyAlignment="1">
      <alignment horizontal="right"/>
    </xf>
    <xf numFmtId="0" fontId="65" fillId="0" borderId="0" xfId="8" applyFont="1" applyBorder="1" applyAlignment="1"/>
    <xf numFmtId="0" fontId="65" fillId="0" borderId="0" xfId="8" applyFont="1" applyBorder="1" applyAlignment="1">
      <alignment horizontal="center"/>
    </xf>
    <xf numFmtId="0" fontId="65" fillId="0" borderId="4" xfId="8" applyFont="1" applyBorder="1" applyAlignment="1">
      <alignment horizontal="center"/>
    </xf>
    <xf numFmtId="0" fontId="4" fillId="0" borderId="0" xfId="8" applyBorder="1" applyAlignment="1">
      <alignment horizontal="right"/>
    </xf>
    <xf numFmtId="0" fontId="4" fillId="0" borderId="0" xfId="8" applyAlignment="1">
      <alignment horizontal="left"/>
    </xf>
    <xf numFmtId="7" fontId="4" fillId="0" borderId="5" xfId="2" applyNumberFormat="1" applyBorder="1" applyAlignment="1">
      <alignment horizontal="right"/>
    </xf>
    <xf numFmtId="7" fontId="4" fillId="0" borderId="0" xfId="2" applyNumberFormat="1" applyBorder="1" applyAlignment="1">
      <alignment horizontal="right"/>
    </xf>
    <xf numFmtId="7" fontId="4" fillId="0" borderId="0" xfId="8" applyNumberFormat="1" applyBorder="1"/>
    <xf numFmtId="37" fontId="4" fillId="0" borderId="0" xfId="8" applyNumberFormat="1" applyBorder="1"/>
    <xf numFmtId="9" fontId="4" fillId="0" borderId="0" xfId="14" applyNumberFormat="1"/>
    <xf numFmtId="37" fontId="4" fillId="0" borderId="5" xfId="8" applyNumberFormat="1" applyBorder="1"/>
    <xf numFmtId="0" fontId="4" fillId="0" borderId="0" xfId="8" quotePrefix="1" applyBorder="1"/>
    <xf numFmtId="44" fontId="4" fillId="0" borderId="0" xfId="2" applyBorder="1" applyAlignment="1">
      <alignment horizontal="right"/>
    </xf>
    <xf numFmtId="37" fontId="65" fillId="0" borderId="0" xfId="8" applyNumberFormat="1" applyFont="1" applyBorder="1"/>
    <xf numFmtId="5" fontId="65" fillId="0" borderId="4" xfId="8" applyNumberFormat="1" applyFont="1" applyBorder="1"/>
    <xf numFmtId="7" fontId="65" fillId="0" borderId="0" xfId="8" applyNumberFormat="1" applyFont="1" applyBorder="1"/>
    <xf numFmtId="168" fontId="4" fillId="0" borderId="19" xfId="1" applyNumberFormat="1" applyBorder="1" applyAlignment="1">
      <alignment horizontal="right"/>
    </xf>
    <xf numFmtId="168" fontId="4" fillId="0" borderId="12" xfId="1" applyNumberFormat="1" applyFont="1" applyBorder="1" applyAlignment="1">
      <alignment horizontal="right"/>
    </xf>
    <xf numFmtId="168" fontId="4" fillId="0" borderId="0" xfId="1" applyNumberFormat="1" applyBorder="1" applyAlignment="1">
      <alignment horizontal="right"/>
    </xf>
    <xf numFmtId="168" fontId="4" fillId="0" borderId="0" xfId="1" applyNumberFormat="1" applyFont="1" applyBorder="1" applyAlignment="1">
      <alignment horizontal="right"/>
    </xf>
    <xf numFmtId="0" fontId="4" fillId="0" borderId="0" xfId="8" quotePrefix="1" applyAlignment="1">
      <alignment horizontal="left"/>
    </xf>
    <xf numFmtId="0" fontId="37" fillId="0" borderId="0" xfId="8" applyFont="1" applyAlignment="1">
      <alignment horizontal="left"/>
    </xf>
    <xf numFmtId="7" fontId="4" fillId="0" borderId="0" xfId="8" applyNumberFormat="1" applyAlignment="1">
      <alignment horizontal="right"/>
    </xf>
    <xf numFmtId="7" fontId="4" fillId="0" borderId="0" xfId="8" applyNumberFormat="1"/>
    <xf numFmtId="7" fontId="65" fillId="0" borderId="0" xfId="8" applyNumberFormat="1" applyFont="1" applyAlignment="1">
      <alignment horizontal="right"/>
    </xf>
    <xf numFmtId="5" fontId="4" fillId="0" borderId="0" xfId="8" applyNumberFormat="1" applyAlignment="1">
      <alignment horizontal="right"/>
    </xf>
    <xf numFmtId="0" fontId="65" fillId="0" borderId="0" xfId="8" applyFont="1" applyAlignment="1">
      <alignment horizontal="left"/>
    </xf>
    <xf numFmtId="0" fontId="65" fillId="0" borderId="0" xfId="8" applyFont="1" applyAlignment="1">
      <alignment horizontal="center"/>
    </xf>
    <xf numFmtId="0" fontId="66" fillId="0" borderId="0" xfId="8" quotePrefix="1" applyFont="1" applyFill="1" applyAlignment="1" applyProtection="1">
      <alignment horizontal="center"/>
    </xf>
    <xf numFmtId="37" fontId="4" fillId="0" borderId="0" xfId="8" applyNumberFormat="1" applyFill="1" applyBorder="1"/>
    <xf numFmtId="183" fontId="37" fillId="0" borderId="0" xfId="8" applyNumberFormat="1" applyFont="1"/>
    <xf numFmtId="0" fontId="8" fillId="0" borderId="0" xfId="2" applyNumberFormat="1" applyFont="1" applyFill="1"/>
    <xf numFmtId="171" fontId="0" fillId="0" borderId="0" xfId="14" applyNumberFormat="1" applyFont="1" applyFill="1"/>
    <xf numFmtId="7" fontId="30" fillId="0" borderId="0" xfId="0" applyNumberFormat="1" applyFont="1" applyFill="1" applyBorder="1"/>
    <xf numFmtId="5" fontId="30" fillId="0" borderId="0" xfId="0" applyNumberFormat="1" applyFont="1" applyFill="1" applyBorder="1"/>
    <xf numFmtId="205" fontId="12" fillId="0" borderId="0" xfId="2" applyNumberFormat="1" applyFont="1" applyFill="1" applyBorder="1"/>
    <xf numFmtId="0" fontId="4" fillId="0" borderId="0" xfId="8" applyFont="1" applyAlignment="1">
      <alignment horizontal="left"/>
    </xf>
    <xf numFmtId="0" fontId="4" fillId="0" borderId="0" xfId="8" applyFont="1"/>
    <xf numFmtId="0" fontId="0" fillId="0" borderId="0" xfId="0" applyAlignment="1">
      <alignment horizontal="center"/>
    </xf>
    <xf numFmtId="9" fontId="12" fillId="0" borderId="0" xfId="14" applyFont="1" applyFill="1"/>
    <xf numFmtId="9" fontId="0" fillId="0" borderId="0" xfId="14" applyFont="1" applyFill="1"/>
    <xf numFmtId="9" fontId="0" fillId="0" borderId="0" xfId="0" applyNumberFormat="1" applyFill="1"/>
    <xf numFmtId="9" fontId="12" fillId="0" borderId="0" xfId="14" applyNumberFormat="1" applyFont="1" applyFill="1"/>
    <xf numFmtId="167" fontId="0" fillId="0" borderId="0" xfId="0" applyNumberFormat="1" applyFill="1" applyBorder="1"/>
    <xf numFmtId="7" fontId="0" fillId="0" borderId="0" xfId="0" applyNumberFormat="1" applyFill="1" applyProtection="1"/>
    <xf numFmtId="0" fontId="55" fillId="0" borderId="0" xfId="11" applyFont="1" applyFill="1" applyAlignment="1">
      <alignment horizontal="right"/>
    </xf>
    <xf numFmtId="0" fontId="4" fillId="0" borderId="0" xfId="8" quotePrefix="1" applyFont="1" applyAlignment="1">
      <alignment horizontal="left"/>
    </xf>
    <xf numFmtId="5" fontId="4" fillId="0" borderId="0" xfId="8" applyNumberFormat="1" applyFont="1"/>
    <xf numFmtId="10" fontId="0" fillId="0" borderId="0" xfId="0" applyNumberFormat="1" applyFill="1" applyBorder="1"/>
    <xf numFmtId="0" fontId="37" fillId="0" borderId="28" xfId="8" applyFont="1" applyBorder="1" applyAlignment="1">
      <alignment horizontal="center"/>
    </xf>
    <xf numFmtId="0" fontId="4" fillId="0" borderId="4" xfId="8" applyFont="1" applyBorder="1" applyAlignment="1">
      <alignment horizontal="center"/>
    </xf>
    <xf numFmtId="5" fontId="4" fillId="0" borderId="12" xfId="8" applyNumberFormat="1" applyBorder="1" applyAlignment="1">
      <alignment horizontal="right"/>
    </xf>
    <xf numFmtId="5" fontId="4" fillId="0" borderId="0" xfId="8" applyNumberFormat="1" applyBorder="1"/>
    <xf numFmtId="0" fontId="11" fillId="0" borderId="0" xfId="0" applyFont="1" applyFill="1" applyAlignment="1">
      <alignment horizontal="right"/>
    </xf>
    <xf numFmtId="0" fontId="4" fillId="3" borderId="0" xfId="6" applyFill="1"/>
    <xf numFmtId="168" fontId="4" fillId="3" borderId="0" xfId="1" applyNumberFormat="1" applyFill="1"/>
    <xf numFmtId="168" fontId="38" fillId="3" borderId="0" xfId="1" applyNumberFormat="1" applyFont="1" applyFill="1" applyAlignment="1">
      <alignment horizontal="left"/>
    </xf>
    <xf numFmtId="43" fontId="4" fillId="3" borderId="0" xfId="1" applyFill="1"/>
    <xf numFmtId="168" fontId="38" fillId="3" borderId="0" xfId="1" applyNumberFormat="1" applyFont="1" applyFill="1"/>
    <xf numFmtId="168" fontId="4" fillId="3" borderId="0" xfId="6" applyNumberFormat="1" applyFill="1"/>
    <xf numFmtId="43" fontId="4" fillId="3" borderId="0" xfId="6" applyNumberFormat="1" applyFill="1"/>
    <xf numFmtId="43" fontId="37" fillId="0" borderId="0" xfId="1" applyNumberFormat="1" applyFont="1" applyFill="1"/>
    <xf numFmtId="0" fontId="4" fillId="0" borderId="0" xfId="1" applyNumberFormat="1" applyFill="1" applyAlignment="1">
      <alignment horizontal="left"/>
    </xf>
    <xf numFmtId="172" fontId="4" fillId="3" borderId="0" xfId="1" applyNumberFormat="1" applyFill="1"/>
    <xf numFmtId="172" fontId="38" fillId="3" borderId="0" xfId="1" applyNumberFormat="1" applyFont="1" applyFill="1"/>
    <xf numFmtId="172" fontId="4" fillId="3" borderId="0" xfId="6" applyNumberFormat="1" applyFill="1"/>
    <xf numFmtId="0" fontId="6" fillId="0" borderId="0" xfId="0" applyFont="1" applyFill="1" applyAlignment="1" applyProtection="1">
      <alignment horizontal="center"/>
    </xf>
    <xf numFmtId="37" fontId="0" fillId="0" borderId="37" xfId="0" applyNumberFormat="1" applyFont="1" applyFill="1" applyBorder="1" applyProtection="1"/>
    <xf numFmtId="5" fontId="5" fillId="0" borderId="12" xfId="0" applyNumberFormat="1" applyFont="1" applyFill="1" applyBorder="1" applyProtection="1"/>
    <xf numFmtId="5" fontId="5" fillId="0" borderId="59" xfId="0" applyNumberFormat="1" applyFont="1" applyFill="1" applyBorder="1" applyProtection="1"/>
    <xf numFmtId="5" fontId="5" fillId="0" borderId="37" xfId="0" applyNumberFormat="1" applyFont="1" applyFill="1" applyBorder="1" applyProtection="1"/>
    <xf numFmtId="37" fontId="0" fillId="0" borderId="59" xfId="0" applyNumberFormat="1" applyFont="1" applyFill="1" applyBorder="1" applyProtection="1"/>
    <xf numFmtId="0" fontId="0" fillId="0" borderId="0" xfId="0" applyFont="1" applyFill="1"/>
    <xf numFmtId="37" fontId="5" fillId="0" borderId="43" xfId="0" applyNumberFormat="1" applyFont="1" applyFill="1" applyBorder="1" applyProtection="1"/>
    <xf numFmtId="184" fontId="4" fillId="3" borderId="0" xfId="6" applyNumberFormat="1" applyFill="1"/>
    <xf numFmtId="184" fontId="4" fillId="0" borderId="0" xfId="6" applyNumberFormat="1" applyFill="1"/>
    <xf numFmtId="0" fontId="11" fillId="0" borderId="0" xfId="0" applyFont="1"/>
    <xf numFmtId="5" fontId="5" fillId="0" borderId="15" xfId="0" applyNumberFormat="1" applyFont="1" applyFill="1" applyBorder="1" applyProtection="1"/>
    <xf numFmtId="6" fontId="11" fillId="0" borderId="0" xfId="1" applyNumberFormat="1" applyFont="1" applyFill="1" applyBorder="1"/>
    <xf numFmtId="5" fontId="11" fillId="0" borderId="0" xfId="1" applyNumberFormat="1" applyFont="1" applyFill="1" applyBorder="1"/>
    <xf numFmtId="5" fontId="11" fillId="0" borderId="0" xfId="12" applyNumberFormat="1" applyFont="1" applyFill="1"/>
    <xf numFmtId="10" fontId="0" fillId="0" borderId="0" xfId="14" applyNumberFormat="1" applyFont="1" applyFill="1" applyBorder="1"/>
    <xf numFmtId="0" fontId="12" fillId="0" borderId="0" xfId="14" applyNumberFormat="1" applyFont="1" applyFill="1"/>
    <xf numFmtId="0" fontId="26" fillId="0" borderId="0" xfId="11" applyFont="1" applyFill="1"/>
    <xf numFmtId="0" fontId="68" fillId="0" borderId="0" xfId="19"/>
    <xf numFmtId="37" fontId="68" fillId="0" borderId="0" xfId="19" applyNumberFormat="1"/>
    <xf numFmtId="181" fontId="0" fillId="0" borderId="0" xfId="0" applyNumberFormat="1"/>
    <xf numFmtId="5" fontId="26" fillId="0" borderId="0" xfId="11" applyNumberFormat="1" applyFont="1" applyFill="1" applyProtection="1"/>
    <xf numFmtId="0" fontId="0" fillId="0" borderId="36" xfId="0" applyFill="1" applyBorder="1"/>
    <xf numFmtId="3" fontId="0" fillId="0" borderId="13" xfId="0" applyNumberFormat="1" applyFill="1" applyBorder="1"/>
    <xf numFmtId="5" fontId="0" fillId="0" borderId="13" xfId="0" applyNumberFormat="1" applyFill="1" applyBorder="1"/>
    <xf numFmtId="10" fontId="0" fillId="0" borderId="19" xfId="14" applyNumberFormat="1" applyFont="1" applyFill="1" applyBorder="1"/>
    <xf numFmtId="0" fontId="49" fillId="0" borderId="36" xfId="7" applyFont="1" applyFill="1" applyBorder="1"/>
    <xf numFmtId="0" fontId="49" fillId="0" borderId="19" xfId="7" applyFont="1" applyFill="1" applyBorder="1"/>
    <xf numFmtId="0" fontId="11" fillId="0" borderId="36" xfId="0" applyFont="1" applyFill="1" applyBorder="1"/>
    <xf numFmtId="5" fontId="11" fillId="0" borderId="38" xfId="0" applyNumberFormat="1" applyFont="1" applyFill="1" applyBorder="1"/>
    <xf numFmtId="3" fontId="11" fillId="0" borderId="0" xfId="0" applyNumberFormat="1" applyFont="1" applyFill="1" applyAlignment="1">
      <alignment horizontal="center"/>
    </xf>
    <xf numFmtId="3" fontId="11" fillId="0" borderId="0" xfId="0" applyNumberFormat="1" applyFont="1" applyFill="1" applyBorder="1" applyAlignment="1">
      <alignment horizontal="center"/>
    </xf>
    <xf numFmtId="0" fontId="4" fillId="0" borderId="0" xfId="19" applyFont="1"/>
    <xf numFmtId="181" fontId="4" fillId="3" borderId="0" xfId="6" applyNumberFormat="1" applyFill="1"/>
    <xf numFmtId="208" fontId="30" fillId="0" borderId="0" xfId="1" applyNumberFormat="1" applyFont="1" applyFill="1" applyBorder="1"/>
    <xf numFmtId="5" fontId="30" fillId="0" borderId="0" xfId="1" applyNumberFormat="1" applyFont="1" applyFill="1" applyBorder="1"/>
    <xf numFmtId="37" fontId="30" fillId="0" borderId="0" xfId="1" applyNumberFormat="1" applyFont="1" applyFill="1" applyBorder="1"/>
    <xf numFmtId="6" fontId="4" fillId="3" borderId="0" xfId="6" applyNumberFormat="1" applyFill="1"/>
    <xf numFmtId="6" fontId="4" fillId="0" borderId="0" xfId="6" applyNumberFormat="1"/>
    <xf numFmtId="10" fontId="11" fillId="0" borderId="0" xfId="14" applyNumberFormat="1" applyFont="1" applyFill="1"/>
    <xf numFmtId="185" fontId="8" fillId="0" borderId="0" xfId="0" applyNumberFormat="1" applyFont="1" applyFill="1" applyProtection="1">
      <protection locked="0"/>
    </xf>
    <xf numFmtId="190" fontId="8" fillId="0" borderId="0" xfId="0" applyNumberFormat="1" applyFont="1" applyFill="1" applyProtection="1">
      <protection locked="0"/>
    </xf>
    <xf numFmtId="202" fontId="11" fillId="0" borderId="0" xfId="1" applyNumberFormat="1" applyFont="1" applyFill="1"/>
    <xf numFmtId="7" fontId="11" fillId="0" borderId="0" xfId="0" applyNumberFormat="1" applyFont="1" applyFill="1" applyProtection="1">
      <protection locked="0"/>
    </xf>
    <xf numFmtId="184" fontId="8" fillId="0" borderId="0" xfId="1" applyNumberFormat="1" applyFont="1" applyFill="1" applyProtection="1">
      <protection locked="0"/>
    </xf>
    <xf numFmtId="171" fontId="8" fillId="0" borderId="0" xfId="0" applyNumberFormat="1" applyFont="1" applyFill="1" applyProtection="1"/>
    <xf numFmtId="185" fontId="8" fillId="0" borderId="0" xfId="0" applyNumberFormat="1" applyFont="1" applyFill="1" applyProtection="1"/>
    <xf numFmtId="5" fontId="0" fillId="0" borderId="28" xfId="0" applyNumberFormat="1" applyFill="1" applyBorder="1"/>
    <xf numFmtId="171" fontId="12" fillId="0" borderId="13" xfId="14" applyNumberFormat="1" applyFont="1" applyFill="1" applyBorder="1"/>
    <xf numFmtId="5" fontId="0" fillId="0" borderId="12" xfId="0" applyNumberFormat="1" applyFill="1" applyBorder="1"/>
    <xf numFmtId="5" fontId="49" fillId="0" borderId="12" xfId="7" applyNumberFormat="1" applyFont="1" applyFill="1" applyBorder="1"/>
    <xf numFmtId="166" fontId="12" fillId="0" borderId="13" xfId="14" applyNumberFormat="1" applyFont="1" applyFill="1" applyBorder="1"/>
    <xf numFmtId="200" fontId="12" fillId="0" borderId="13" xfId="14" applyNumberFormat="1" applyFont="1" applyFill="1" applyBorder="1"/>
    <xf numFmtId="168" fontId="11" fillId="0" borderId="0" xfId="1" applyNumberFormat="1" applyFont="1" applyFill="1"/>
    <xf numFmtId="171" fontId="11" fillId="0" borderId="13" xfId="14" applyNumberFormat="1" applyFont="1" applyFill="1" applyBorder="1"/>
    <xf numFmtId="5" fontId="49" fillId="0" borderId="28" xfId="7" applyNumberFormat="1" applyFont="1" applyFill="1" applyBorder="1" applyAlignment="1">
      <alignment horizontal="right"/>
    </xf>
    <xf numFmtId="171" fontId="0" fillId="0" borderId="38" xfId="14" applyNumberFormat="1" applyFont="1" applyFill="1" applyBorder="1"/>
    <xf numFmtId="0" fontId="4" fillId="0" borderId="0" xfId="23"/>
    <xf numFmtId="37" fontId="4" fillId="0" borderId="0" xfId="23" applyNumberFormat="1"/>
    <xf numFmtId="171" fontId="4" fillId="0" borderId="0" xfId="14" applyNumberFormat="1"/>
    <xf numFmtId="5" fontId="4" fillId="0" borderId="0" xfId="23" quotePrefix="1" applyNumberFormat="1"/>
    <xf numFmtId="166" fontId="12" fillId="0" borderId="0" xfId="14" applyNumberFormat="1" applyFont="1" applyFill="1" applyBorder="1"/>
    <xf numFmtId="10" fontId="11" fillId="0" borderId="0" xfId="14" applyNumberFormat="1" applyFont="1" applyFill="1" applyBorder="1"/>
    <xf numFmtId="200" fontId="12" fillId="0" borderId="0" xfId="14" applyNumberFormat="1" applyFont="1" applyFill="1" applyBorder="1"/>
    <xf numFmtId="171" fontId="11" fillId="0" borderId="0" xfId="14" applyNumberFormat="1" applyFont="1" applyFill="1" applyBorder="1"/>
    <xf numFmtId="171" fontId="0" fillId="0" borderId="0" xfId="14" applyNumberFormat="1" applyFont="1" applyFill="1" applyBorder="1"/>
    <xf numFmtId="171" fontId="11" fillId="0" borderId="38" xfId="14" applyNumberFormat="1" applyFont="1" applyFill="1" applyBorder="1"/>
    <xf numFmtId="0" fontId="26" fillId="0" borderId="34" xfId="11" applyFont="1" applyFill="1" applyBorder="1" applyAlignment="1">
      <alignment horizontal="centerContinuous"/>
    </xf>
    <xf numFmtId="181" fontId="8" fillId="0" borderId="0" xfId="0" applyNumberFormat="1" applyFont="1" applyFill="1" applyProtection="1"/>
    <xf numFmtId="198" fontId="4" fillId="0" borderId="0" xfId="8" applyNumberFormat="1" applyBorder="1" applyAlignment="1">
      <alignment horizontal="center"/>
    </xf>
    <xf numFmtId="44" fontId="4" fillId="0" borderId="0" xfId="2"/>
    <xf numFmtId="9" fontId="4" fillId="0" borderId="0" xfId="8" applyNumberFormat="1"/>
    <xf numFmtId="168" fontId="4" fillId="0" borderId="0" xfId="1" applyNumberFormat="1" applyFont="1" applyAlignment="1">
      <alignment horizontal="right"/>
    </xf>
    <xf numFmtId="168" fontId="4" fillId="0" borderId="0" xfId="1" applyNumberFormat="1" applyFont="1" applyAlignment="1">
      <alignment horizontal="center"/>
    </xf>
    <xf numFmtId="5" fontId="4" fillId="0" borderId="0" xfId="8" applyNumberFormat="1" applyFont="1" applyBorder="1" applyAlignment="1">
      <alignment horizontal="right"/>
    </xf>
    <xf numFmtId="5" fontId="4" fillId="0" borderId="4" xfId="8" applyNumberFormat="1" applyFont="1" applyBorder="1"/>
    <xf numFmtId="5" fontId="4" fillId="0" borderId="13" xfId="8" applyNumberFormat="1" applyBorder="1"/>
    <xf numFmtId="9" fontId="4" fillId="0" borderId="0" xfId="14" applyBorder="1" applyAlignment="1">
      <alignment horizontal="right"/>
    </xf>
    <xf numFmtId="0" fontId="4" fillId="0" borderId="5" xfId="1" applyNumberFormat="1" applyFont="1" applyBorder="1" applyAlignment="1">
      <alignment horizontal="right"/>
    </xf>
    <xf numFmtId="168" fontId="4" fillId="0" borderId="12" xfId="8" applyNumberFormat="1" applyFont="1" applyBorder="1"/>
    <xf numFmtId="43" fontId="4" fillId="0" borderId="0" xfId="1" applyNumberFormat="1" applyBorder="1" applyAlignment="1">
      <alignment horizontal="right"/>
    </xf>
    <xf numFmtId="10" fontId="4" fillId="0" borderId="0" xfId="14" applyNumberFormat="1"/>
    <xf numFmtId="0" fontId="4" fillId="0" borderId="0" xfId="8" applyFill="1" applyAlignment="1">
      <alignment horizontal="left"/>
    </xf>
    <xf numFmtId="5" fontId="4" fillId="0" borderId="0" xfId="0" applyNumberFormat="1" applyFont="1"/>
    <xf numFmtId="0" fontId="37" fillId="0" borderId="14" xfId="8" applyFont="1" applyBorder="1"/>
    <xf numFmtId="0" fontId="13" fillId="0" borderId="15" xfId="0" applyFont="1" applyBorder="1"/>
    <xf numFmtId="5" fontId="37" fillId="0" borderId="42" xfId="0" applyNumberFormat="1" applyFont="1" applyBorder="1"/>
    <xf numFmtId="0" fontId="11" fillId="0" borderId="0" xfId="0" applyFont="1" applyFill="1" applyAlignment="1" applyProtection="1">
      <alignment horizontal="left"/>
    </xf>
    <xf numFmtId="0" fontId="56" fillId="0" borderId="0" xfId="0" applyFont="1" applyFill="1" applyAlignment="1" applyProtection="1">
      <alignment horizontal="centerContinuous"/>
    </xf>
    <xf numFmtId="0" fontId="11" fillId="0" borderId="0" xfId="0" applyFont="1" applyFill="1" applyAlignment="1" applyProtection="1">
      <alignment horizontal="centerContinuous"/>
    </xf>
    <xf numFmtId="0" fontId="13" fillId="0" borderId="0" xfId="0" applyFont="1" applyFill="1" applyAlignment="1" applyProtection="1">
      <alignment horizontal="centerContinuous"/>
    </xf>
    <xf numFmtId="0" fontId="11" fillId="0" borderId="0" xfId="0" applyFont="1" applyFill="1" applyAlignment="1" applyProtection="1">
      <alignment horizontal="center"/>
    </xf>
    <xf numFmtId="0" fontId="11" fillId="0" borderId="6" xfId="0" applyFont="1" applyFill="1" applyBorder="1" applyAlignment="1" applyProtection="1">
      <alignment horizontal="centerContinuous"/>
    </xf>
    <xf numFmtId="0" fontId="11" fillId="0" borderId="3" xfId="0" applyFont="1" applyFill="1" applyBorder="1" applyAlignment="1" applyProtection="1">
      <alignment horizontal="centerContinuous"/>
    </xf>
    <xf numFmtId="0" fontId="11" fillId="0" borderId="64" xfId="0" applyFont="1" applyFill="1" applyBorder="1" applyAlignment="1" applyProtection="1">
      <alignment horizontal="center"/>
    </xf>
    <xf numFmtId="0" fontId="11" fillId="0" borderId="64" xfId="0" applyFont="1" applyFill="1" applyBorder="1" applyAlignment="1" applyProtection="1">
      <alignment horizontal="centerContinuous"/>
    </xf>
    <xf numFmtId="0" fontId="11" fillId="0" borderId="6" xfId="0" applyFont="1" applyFill="1" applyBorder="1" applyAlignment="1" applyProtection="1">
      <alignment horizontal="center"/>
    </xf>
    <xf numFmtId="0" fontId="11" fillId="0" borderId="2" xfId="0" applyFont="1" applyFill="1" applyBorder="1" applyAlignment="1" applyProtection="1">
      <alignment horizontal="centerContinuous"/>
    </xf>
    <xf numFmtId="0" fontId="11" fillId="0" borderId="1" xfId="0" applyFont="1" applyFill="1" applyBorder="1" applyAlignment="1" applyProtection="1">
      <alignment horizontal="centerContinuous"/>
    </xf>
    <xf numFmtId="0" fontId="11" fillId="0" borderId="0" xfId="0" quotePrefix="1" applyFont="1" applyFill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/>
    </xf>
    <xf numFmtId="0" fontId="11" fillId="0" borderId="35" xfId="0" applyFont="1" applyFill="1" applyBorder="1" applyAlignment="1" applyProtection="1">
      <alignment horizontal="center"/>
    </xf>
    <xf numFmtId="0" fontId="11" fillId="0" borderId="2" xfId="0" applyFont="1" applyFill="1" applyBorder="1" applyAlignment="1" applyProtection="1">
      <alignment horizontal="center"/>
    </xf>
    <xf numFmtId="0" fontId="11" fillId="0" borderId="27" xfId="0" applyFont="1" applyFill="1" applyBorder="1" applyAlignment="1" applyProtection="1">
      <alignment horizontal="center"/>
    </xf>
    <xf numFmtId="0" fontId="11" fillId="0" borderId="7" xfId="0" applyFont="1" applyFill="1" applyBorder="1" applyAlignment="1" applyProtection="1">
      <alignment horizontal="left"/>
    </xf>
    <xf numFmtId="0" fontId="11" fillId="0" borderId="8" xfId="0" applyFont="1" applyFill="1" applyBorder="1" applyProtection="1"/>
    <xf numFmtId="5" fontId="11" fillId="0" borderId="8" xfId="0" applyNumberFormat="1" applyFont="1" applyFill="1" applyBorder="1" applyProtection="1"/>
    <xf numFmtId="0" fontId="11" fillId="0" borderId="9" xfId="0" applyFont="1" applyFill="1" applyBorder="1" applyAlignment="1" applyProtection="1">
      <alignment horizontal="left"/>
    </xf>
    <xf numFmtId="0" fontId="11" fillId="0" borderId="10" xfId="0" applyFont="1" applyFill="1" applyBorder="1" applyProtection="1"/>
    <xf numFmtId="0" fontId="11" fillId="0" borderId="11" xfId="0" applyFont="1" applyFill="1" applyBorder="1" applyAlignment="1" applyProtection="1">
      <alignment horizontal="left"/>
    </xf>
    <xf numFmtId="0" fontId="11" fillId="0" borderId="1" xfId="0" applyFont="1" applyFill="1" applyBorder="1" applyProtection="1"/>
    <xf numFmtId="5" fontId="11" fillId="0" borderId="3" xfId="0" applyNumberFormat="1" applyFont="1" applyFill="1" applyBorder="1" applyProtection="1"/>
    <xf numFmtId="0" fontId="11" fillId="0" borderId="32" xfId="0" applyFont="1" applyFill="1" applyBorder="1" applyAlignment="1" applyProtection="1">
      <alignment horizontal="left"/>
    </xf>
    <xf numFmtId="0" fontId="11" fillId="0" borderId="33" xfId="0" applyFont="1" applyFill="1" applyBorder="1" applyProtection="1"/>
    <xf numFmtId="5" fontId="11" fillId="0" borderId="33" xfId="0" applyNumberFormat="1" applyFont="1" applyFill="1" applyBorder="1" applyProtection="1"/>
    <xf numFmtId="0" fontId="11" fillId="0" borderId="30" xfId="0" applyFont="1" applyFill="1" applyBorder="1" applyAlignment="1" applyProtection="1">
      <alignment horizontal="left"/>
    </xf>
    <xf numFmtId="0" fontId="11" fillId="0" borderId="31" xfId="0" applyFont="1" applyFill="1" applyBorder="1" applyProtection="1"/>
    <xf numFmtId="5" fontId="11" fillId="0" borderId="21" xfId="0" applyNumberFormat="1" applyFont="1" applyFill="1" applyBorder="1" applyProtection="1"/>
    <xf numFmtId="0" fontId="11" fillId="0" borderId="22" xfId="0" applyFont="1" applyFill="1" applyBorder="1" applyAlignment="1" applyProtection="1">
      <alignment horizontal="left"/>
    </xf>
    <xf numFmtId="0" fontId="11" fillId="0" borderId="23" xfId="0" applyFont="1" applyFill="1" applyBorder="1" applyProtection="1"/>
    <xf numFmtId="5" fontId="11" fillId="0" borderId="23" xfId="0" applyNumberFormat="1" applyFont="1" applyFill="1" applyBorder="1" applyProtection="1"/>
    <xf numFmtId="5" fontId="11" fillId="0" borderId="0" xfId="0" applyNumberFormat="1" applyFont="1" applyFill="1" applyProtection="1"/>
    <xf numFmtId="0" fontId="11" fillId="0" borderId="1" xfId="0" quotePrefix="1" applyFont="1" applyFill="1" applyBorder="1" applyAlignment="1" applyProtection="1">
      <alignment horizontal="center"/>
    </xf>
    <xf numFmtId="10" fontId="11" fillId="0" borderId="0" xfId="14" applyNumberFormat="1" applyFont="1" applyFill="1" applyProtection="1"/>
    <xf numFmtId="0" fontId="70" fillId="0" borderId="0" xfId="0" applyFont="1" applyFill="1" applyAlignment="1"/>
    <xf numFmtId="164" fontId="11" fillId="0" borderId="0" xfId="0" applyNumberFormat="1" applyFont="1" applyFill="1" applyProtection="1"/>
    <xf numFmtId="167" fontId="11" fillId="0" borderId="0" xfId="0" applyNumberFormat="1" applyFont="1" applyFill="1"/>
    <xf numFmtId="5" fontId="11" fillId="0" borderId="0" xfId="0" applyNumberFormat="1" applyFont="1" applyFill="1"/>
    <xf numFmtId="0" fontId="17" fillId="0" borderId="0" xfId="0" applyFont="1" applyFill="1" applyAlignment="1" applyProtection="1">
      <alignment horizontal="centerContinuous"/>
    </xf>
    <xf numFmtId="0" fontId="71" fillId="0" borderId="0" xfId="0" applyFont="1" applyFill="1" applyAlignment="1" applyProtection="1">
      <alignment horizontal="centerContinuous"/>
    </xf>
    <xf numFmtId="0" fontId="11" fillId="0" borderId="0" xfId="0" applyFont="1" applyFill="1" applyAlignment="1">
      <alignment horizontal="centerContinuous"/>
    </xf>
    <xf numFmtId="0" fontId="11" fillId="0" borderId="3" xfId="0" applyFont="1" applyFill="1" applyBorder="1" applyAlignment="1" applyProtection="1">
      <alignment horizontal="center"/>
    </xf>
    <xf numFmtId="0" fontId="11" fillId="0" borderId="21" xfId="0" applyFont="1" applyFill="1" applyBorder="1" applyAlignment="1" applyProtection="1">
      <alignment horizontal="center"/>
    </xf>
    <xf numFmtId="37" fontId="11" fillId="0" borderId="8" xfId="0" applyNumberFormat="1" applyFont="1" applyFill="1" applyBorder="1" applyProtection="1"/>
    <xf numFmtId="37" fontId="11" fillId="0" borderId="20" xfId="0" applyNumberFormat="1" applyFont="1" applyFill="1" applyBorder="1" applyProtection="1"/>
    <xf numFmtId="37" fontId="11" fillId="0" borderId="10" xfId="0" applyNumberFormat="1" applyFont="1" applyFill="1" applyBorder="1" applyProtection="1"/>
    <xf numFmtId="0" fontId="11" fillId="0" borderId="65" xfId="0" applyFont="1" applyFill="1" applyBorder="1" applyAlignment="1" applyProtection="1">
      <alignment horizontal="left"/>
    </xf>
    <xf numFmtId="0" fontId="11" fillId="0" borderId="66" xfId="0" applyFont="1" applyFill="1" applyBorder="1" applyProtection="1"/>
    <xf numFmtId="37" fontId="11" fillId="0" borderId="66" xfId="0" applyNumberFormat="1" applyFont="1" applyFill="1" applyBorder="1" applyProtection="1"/>
    <xf numFmtId="37" fontId="11" fillId="0" borderId="67" xfId="0" applyNumberFormat="1" applyFont="1" applyFill="1" applyBorder="1" applyProtection="1"/>
    <xf numFmtId="37" fontId="11" fillId="0" borderId="23" xfId="0" applyNumberFormat="1" applyFont="1" applyFill="1" applyBorder="1" applyProtection="1"/>
    <xf numFmtId="37" fontId="11" fillId="0" borderId="27" xfId="0" applyNumberFormat="1" applyFont="1" applyFill="1" applyBorder="1" applyProtection="1"/>
    <xf numFmtId="0" fontId="11" fillId="0" borderId="24" xfId="0" applyFont="1" applyFill="1" applyBorder="1" applyAlignment="1" applyProtection="1">
      <alignment horizontal="left"/>
    </xf>
    <xf numFmtId="0" fontId="11" fillId="0" borderId="25" xfId="0" applyFont="1" applyFill="1" applyBorder="1" applyProtection="1"/>
    <xf numFmtId="37" fontId="11" fillId="0" borderId="25" xfId="0" applyNumberFormat="1" applyFont="1" applyFill="1" applyBorder="1" applyProtection="1"/>
    <xf numFmtId="37" fontId="11" fillId="0" borderId="26" xfId="0" applyNumberFormat="1" applyFont="1" applyFill="1" applyBorder="1" applyProtection="1"/>
    <xf numFmtId="0" fontId="11" fillId="0" borderId="0" xfId="0" applyFont="1" applyFill="1" applyAlignment="1">
      <alignment horizontal="left" indent="1"/>
    </xf>
    <xf numFmtId="0" fontId="15" fillId="0" borderId="0" xfId="0" applyFont="1" applyFill="1" applyAlignment="1" applyProtection="1">
      <alignment horizontal="left"/>
    </xf>
    <xf numFmtId="0" fontId="11" fillId="0" borderId="0" xfId="0" applyFont="1" applyFill="1" applyAlignment="1">
      <alignment horizontal="center"/>
    </xf>
    <xf numFmtId="0" fontId="13" fillId="0" borderId="0" xfId="0" applyFont="1" applyFill="1" applyAlignment="1" applyProtection="1">
      <alignment horizontal="left"/>
    </xf>
    <xf numFmtId="0" fontId="56" fillId="0" borderId="0" xfId="0" applyFont="1" applyFill="1" applyAlignment="1" applyProtection="1">
      <alignment horizontal="center"/>
    </xf>
    <xf numFmtId="0" fontId="11" fillId="0" borderId="4" xfId="0" applyFont="1" applyFill="1" applyBorder="1" applyAlignment="1" applyProtection="1">
      <alignment horizontal="center"/>
    </xf>
    <xf numFmtId="3" fontId="11" fillId="0" borderId="0" xfId="5" applyNumberFormat="1" applyFont="1" applyFill="1" applyBorder="1"/>
    <xf numFmtId="49" fontId="11" fillId="0" borderId="0" xfId="25" applyNumberFormat="1" applyFont="1" applyFill="1"/>
    <xf numFmtId="0" fontId="11" fillId="0" borderId="4" xfId="0" applyFont="1" applyFill="1" applyBorder="1" applyAlignment="1">
      <alignment horizontal="center"/>
    </xf>
    <xf numFmtId="0" fontId="11" fillId="0" borderId="5" xfId="0" applyFont="1" applyFill="1" applyBorder="1" applyAlignment="1" applyProtection="1">
      <alignment horizontal="centerContinuous"/>
    </xf>
    <xf numFmtId="0" fontId="11" fillId="0" borderId="19" xfId="0" applyFont="1" applyFill="1" applyBorder="1" applyAlignment="1" applyProtection="1">
      <alignment horizontal="centerContinuous"/>
    </xf>
    <xf numFmtId="0" fontId="11" fillId="0" borderId="12" xfId="0" applyFont="1" applyFill="1" applyBorder="1" applyAlignment="1" applyProtection="1">
      <alignment horizontal="centerContinuous"/>
    </xf>
    <xf numFmtId="0" fontId="11" fillId="0" borderId="13" xfId="0" applyFont="1" applyFill="1" applyBorder="1" applyAlignment="1" applyProtection="1">
      <alignment horizontal="centerContinuous"/>
    </xf>
    <xf numFmtId="0" fontId="11" fillId="0" borderId="19" xfId="0" applyFont="1" applyFill="1" applyBorder="1" applyAlignment="1" applyProtection="1">
      <alignment horizontal="center"/>
    </xf>
    <xf numFmtId="0" fontId="11" fillId="0" borderId="12" xfId="0" applyFont="1" applyFill="1" applyBorder="1" applyAlignment="1" applyProtection="1">
      <alignment horizontal="center"/>
    </xf>
    <xf numFmtId="165" fontId="11" fillId="0" borderId="12" xfId="0" applyNumberFormat="1" applyFont="1" applyFill="1" applyBorder="1" applyAlignment="1" applyProtection="1">
      <alignment horizontal="center"/>
    </xf>
    <xf numFmtId="0" fontId="11" fillId="0" borderId="28" xfId="0" applyFont="1" applyFill="1" applyBorder="1" applyAlignment="1">
      <alignment horizontal="center"/>
    </xf>
    <xf numFmtId="0" fontId="11" fillId="0" borderId="28" xfId="0" applyFont="1" applyFill="1" applyBorder="1" applyAlignment="1" applyProtection="1">
      <alignment horizontal="center"/>
    </xf>
    <xf numFmtId="165" fontId="11" fillId="0" borderId="5" xfId="0" applyNumberFormat="1" applyFont="1" applyFill="1" applyBorder="1" applyAlignment="1">
      <alignment horizontal="center"/>
    </xf>
    <xf numFmtId="15" fontId="11" fillId="0" borderId="0" xfId="0" applyNumberFormat="1" applyFont="1" applyFill="1" applyBorder="1" applyAlignment="1" applyProtection="1">
      <alignment horizontal="center"/>
    </xf>
    <xf numFmtId="0" fontId="11" fillId="0" borderId="5" xfId="0" applyFont="1" applyFill="1" applyBorder="1" applyAlignment="1" applyProtection="1">
      <alignment horizontal="center"/>
    </xf>
    <xf numFmtId="0" fontId="11" fillId="0" borderId="19" xfId="0" applyFont="1" applyFill="1" applyBorder="1" applyAlignment="1">
      <alignment horizontal="center"/>
    </xf>
    <xf numFmtId="0" fontId="11" fillId="0" borderId="13" xfId="0" applyFont="1" applyFill="1" applyBorder="1" applyAlignment="1" applyProtection="1">
      <alignment horizontal="center"/>
    </xf>
    <xf numFmtId="165" fontId="11" fillId="0" borderId="4" xfId="0" applyNumberFormat="1" applyFont="1" applyFill="1" applyBorder="1" applyAlignment="1"/>
    <xf numFmtId="0" fontId="11" fillId="0" borderId="5" xfId="0" applyFont="1" applyFill="1" applyBorder="1" applyAlignment="1"/>
    <xf numFmtId="14" fontId="16" fillId="0" borderId="0" xfId="0" applyNumberFormat="1" applyFont="1" applyFill="1"/>
    <xf numFmtId="14" fontId="11" fillId="0" borderId="0" xfId="0" applyNumberFormat="1" applyFont="1" applyFill="1"/>
    <xf numFmtId="10" fontId="11" fillId="0" borderId="0" xfId="0" applyNumberFormat="1" applyFont="1" applyFill="1" applyBorder="1"/>
    <xf numFmtId="10" fontId="9" fillId="0" borderId="0" xfId="0" applyNumberFormat="1" applyFont="1" applyFill="1" applyBorder="1"/>
    <xf numFmtId="16" fontId="11" fillId="0" borderId="0" xfId="0" applyNumberFormat="1" applyFont="1" applyFill="1"/>
    <xf numFmtId="10" fontId="9" fillId="0" borderId="0" xfId="14" applyNumberFormat="1" applyFont="1" applyFill="1" applyBorder="1"/>
    <xf numFmtId="0" fontId="11" fillId="0" borderId="5" xfId="0" applyFont="1" applyFill="1" applyBorder="1"/>
    <xf numFmtId="0" fontId="9" fillId="0" borderId="4" xfId="0" applyFont="1" applyFill="1" applyBorder="1"/>
    <xf numFmtId="166" fontId="11" fillId="0" borderId="0" xfId="14" applyNumberFormat="1" applyFont="1" applyFill="1" applyBorder="1"/>
    <xf numFmtId="10" fontId="11" fillId="0" borderId="5" xfId="0" applyNumberFormat="1" applyFont="1" applyFill="1" applyBorder="1" applyProtection="1">
      <protection hidden="1"/>
    </xf>
    <xf numFmtId="10" fontId="10" fillId="0" borderId="0" xfId="0" applyNumberFormat="1" applyFont="1" applyFill="1" applyBorder="1"/>
    <xf numFmtId="0" fontId="9" fillId="0" borderId="5" xfId="0" applyFont="1" applyFill="1" applyBorder="1"/>
    <xf numFmtId="168" fontId="11" fillId="0" borderId="0" xfId="0" quotePrefix="1" applyNumberFormat="1" applyFont="1" applyFill="1"/>
    <xf numFmtId="165" fontId="11" fillId="0" borderId="37" xfId="0" applyNumberFormat="1" applyFont="1" applyFill="1" applyBorder="1"/>
    <xf numFmtId="168" fontId="11" fillId="0" borderId="68" xfId="0" applyNumberFormat="1" applyFont="1" applyFill="1" applyBorder="1"/>
    <xf numFmtId="165" fontId="11" fillId="0" borderId="18" xfId="0" applyNumberFormat="1" applyFont="1" applyFill="1" applyBorder="1"/>
    <xf numFmtId="0" fontId="11" fillId="0" borderId="0" xfId="0" applyFont="1" applyFill="1" applyAlignment="1">
      <alignment horizontal="left" wrapText="1"/>
    </xf>
    <xf numFmtId="168" fontId="11" fillId="0" borderId="0" xfId="14" applyNumberFormat="1" applyFont="1" applyFill="1" applyAlignment="1"/>
    <xf numFmtId="44" fontId="11" fillId="0" borderId="0" xfId="2" applyFont="1" applyFill="1" applyAlignment="1" applyProtection="1">
      <alignment horizontal="left"/>
    </xf>
    <xf numFmtId="166" fontId="11" fillId="0" borderId="0" xfId="0" applyNumberFormat="1" applyFont="1" applyFill="1"/>
    <xf numFmtId="0" fontId="24" fillId="0" borderId="36" xfId="0" applyFont="1" applyFill="1" applyBorder="1" applyAlignment="1">
      <alignment horizontal="left"/>
    </xf>
    <xf numFmtId="1" fontId="11" fillId="0" borderId="0" xfId="0" applyNumberFormat="1" applyFont="1" applyFill="1" applyBorder="1" applyAlignment="1">
      <alignment horizontal="right"/>
    </xf>
    <xf numFmtId="0" fontId="72" fillId="0" borderId="0" xfId="0" applyFont="1" applyFill="1" applyBorder="1" applyAlignment="1" applyProtection="1">
      <alignment horizontal="left" vertical="top"/>
      <protection locked="0"/>
    </xf>
    <xf numFmtId="194" fontId="72" fillId="0" borderId="0" xfId="0" applyNumberFormat="1" applyFont="1" applyFill="1" applyBorder="1" applyAlignment="1" applyProtection="1">
      <alignment horizontal="right" vertical="top"/>
      <protection locked="0"/>
    </xf>
    <xf numFmtId="209" fontId="72" fillId="0" borderId="0" xfId="0" applyNumberFormat="1" applyFont="1" applyFill="1" applyBorder="1" applyAlignment="1" applyProtection="1">
      <alignment horizontal="right" vertical="top"/>
      <protection locked="0"/>
    </xf>
    <xf numFmtId="1" fontId="11" fillId="0" borderId="0" xfId="1" applyNumberFormat="1" applyFont="1" applyFill="1" applyBorder="1" applyAlignment="1">
      <alignment horizontal="right"/>
    </xf>
    <xf numFmtId="194" fontId="13" fillId="0" borderId="0" xfId="0" applyNumberFormat="1" applyFont="1" applyFill="1"/>
    <xf numFmtId="209" fontId="13" fillId="0" borderId="0" xfId="0" applyNumberFormat="1" applyFont="1" applyFill="1"/>
    <xf numFmtId="0" fontId="11" fillId="0" borderId="0" xfId="0" applyFont="1" applyFill="1" applyBorder="1" applyAlignment="1">
      <alignment horizontal="right"/>
    </xf>
    <xf numFmtId="209" fontId="11" fillId="0" borderId="0" xfId="0" applyNumberFormat="1" applyFont="1" applyFill="1" applyBorder="1"/>
    <xf numFmtId="6" fontId="13" fillId="0" borderId="0" xfId="0" applyNumberFormat="1" applyFont="1" applyFill="1" applyBorder="1"/>
    <xf numFmtId="8" fontId="49" fillId="0" borderId="0" xfId="0" applyNumberFormat="1" applyFont="1" applyFill="1" applyBorder="1"/>
    <xf numFmtId="0" fontId="49" fillId="0" borderId="0" xfId="0" applyFont="1" applyFill="1" applyBorder="1"/>
    <xf numFmtId="194" fontId="49" fillId="0" borderId="0" xfId="0" applyNumberFormat="1" applyFont="1" applyFill="1" applyBorder="1" applyAlignment="1" applyProtection="1">
      <alignment horizontal="right" vertical="top"/>
      <protection locked="0"/>
    </xf>
    <xf numFmtId="8" fontId="11" fillId="0" borderId="0" xfId="0" applyNumberFormat="1" applyFont="1" applyFill="1"/>
    <xf numFmtId="194" fontId="13" fillId="0" borderId="0" xfId="0" applyNumberFormat="1" applyFont="1" applyFill="1" applyBorder="1"/>
    <xf numFmtId="0" fontId="11" fillId="0" borderId="19" xfId="0" applyFont="1" applyFill="1" applyBorder="1"/>
    <xf numFmtId="6" fontId="11" fillId="0" borderId="12" xfId="0" applyNumberFormat="1" applyFont="1" applyFill="1" applyBorder="1"/>
    <xf numFmtId="165" fontId="11" fillId="0" borderId="12" xfId="0" applyNumberFormat="1" applyFont="1" applyFill="1" applyBorder="1"/>
    <xf numFmtId="165" fontId="13" fillId="0" borderId="0" xfId="0" applyNumberFormat="1" applyFont="1" applyFill="1"/>
    <xf numFmtId="6" fontId="11" fillId="0" borderId="0" xfId="0" applyNumberFormat="1" applyFont="1" applyFill="1"/>
    <xf numFmtId="167" fontId="72" fillId="0" borderId="0" xfId="2" applyNumberFormat="1" applyFont="1" applyFill="1" applyBorder="1" applyAlignment="1" applyProtection="1">
      <alignment horizontal="right" vertical="top"/>
      <protection locked="0"/>
    </xf>
    <xf numFmtId="209" fontId="73" fillId="0" borderId="0" xfId="0" applyNumberFormat="1" applyFont="1" applyFill="1" applyBorder="1" applyAlignment="1" applyProtection="1">
      <alignment horizontal="right" vertical="top"/>
      <protection locked="0"/>
    </xf>
    <xf numFmtId="172" fontId="11" fillId="0" borderId="0" xfId="0" applyNumberFormat="1" applyFont="1" applyFill="1"/>
    <xf numFmtId="167" fontId="11" fillId="0" borderId="0" xfId="2" applyNumberFormat="1" applyFont="1" applyFill="1"/>
    <xf numFmtId="167" fontId="11" fillId="0" borderId="0" xfId="2" applyNumberFormat="1" applyFont="1" applyFill="1" applyBorder="1" applyProtection="1"/>
    <xf numFmtId="167" fontId="11" fillId="0" borderId="0" xfId="2" applyNumberFormat="1" applyFont="1" applyFill="1" applyProtection="1"/>
    <xf numFmtId="0" fontId="9" fillId="0" borderId="0" xfId="0" applyFont="1" applyFill="1" applyBorder="1"/>
    <xf numFmtId="0" fontId="11" fillId="0" borderId="28" xfId="0" applyFont="1" applyFill="1" applyBorder="1" applyAlignment="1"/>
    <xf numFmtId="0" fontId="13" fillId="0" borderId="0" xfId="13" applyFont="1" applyFill="1" applyBorder="1"/>
    <xf numFmtId="168" fontId="38" fillId="0" borderId="0" xfId="1" applyNumberFormat="1" applyFont="1" applyFill="1" applyAlignment="1">
      <alignment horizontal="left"/>
    </xf>
    <xf numFmtId="0" fontId="4" fillId="0" borderId="0" xfId="6" applyFont="1" applyFill="1"/>
    <xf numFmtId="168" fontId="4" fillId="3" borderId="0" xfId="1" applyNumberFormat="1" applyFont="1" applyFill="1"/>
    <xf numFmtId="172" fontId="4" fillId="3" borderId="0" xfId="6" applyNumberFormat="1" applyFont="1" applyFill="1"/>
    <xf numFmtId="44" fontId="4" fillId="3" borderId="0" xfId="2" applyFill="1"/>
    <xf numFmtId="5" fontId="7" fillId="0" borderId="0" xfId="0" applyNumberFormat="1" applyFont="1" applyFill="1" applyProtection="1">
      <protection locked="0"/>
    </xf>
    <xf numFmtId="168" fontId="0" fillId="0" borderId="47" xfId="0" applyNumberFormat="1" applyFont="1" applyFill="1" applyBorder="1" applyProtection="1"/>
    <xf numFmtId="185" fontId="0" fillId="0" borderId="0" xfId="0" applyNumberFormat="1" applyFont="1" applyFill="1" applyProtection="1"/>
    <xf numFmtId="43" fontId="30" fillId="0" borderId="0" xfId="0" applyNumberFormat="1" applyFont="1" applyFill="1" applyProtection="1">
      <protection locked="0"/>
    </xf>
    <xf numFmtId="185" fontId="30" fillId="0" borderId="0" xfId="1" applyNumberFormat="1" applyFont="1" applyFill="1" applyProtection="1"/>
    <xf numFmtId="0" fontId="4" fillId="3" borderId="0" xfId="6" applyFont="1" applyFill="1"/>
    <xf numFmtId="172" fontId="39" fillId="3" borderId="0" xfId="1" applyNumberFormat="1" applyFont="1" applyFill="1"/>
    <xf numFmtId="210" fontId="30" fillId="0" borderId="0" xfId="1" applyNumberFormat="1" applyFont="1" applyFill="1" applyBorder="1"/>
    <xf numFmtId="7" fontId="30" fillId="0" borderId="0" xfId="1" applyNumberFormat="1" applyFont="1" applyFill="1" applyBorder="1"/>
    <xf numFmtId="165" fontId="11" fillId="0" borderId="5" xfId="0" applyNumberFormat="1" applyFont="1" applyFill="1" applyBorder="1"/>
    <xf numFmtId="165" fontId="11" fillId="0" borderId="68" xfId="0" applyNumberFormat="1" applyFont="1" applyFill="1" applyBorder="1"/>
    <xf numFmtId="185" fontId="5" fillId="0" borderId="47" xfId="0" applyNumberFormat="1" applyFont="1" applyFill="1" applyBorder="1" applyProtection="1"/>
    <xf numFmtId="0" fontId="0" fillId="0" borderId="0" xfId="0" applyFill="1" applyBorder="1" applyProtection="1"/>
    <xf numFmtId="0" fontId="5" fillId="0" borderId="0" xfId="0" applyFont="1" applyFill="1" applyAlignment="1" applyProtection="1">
      <alignment horizontal="center"/>
    </xf>
    <xf numFmtId="0" fontId="56" fillId="0" borderId="0" xfId="28" applyFont="1" applyFill="1" applyAlignment="1" applyProtection="1">
      <alignment horizontal="left"/>
    </xf>
    <xf numFmtId="0" fontId="11" fillId="0" borderId="0" xfId="28" applyFont="1" applyFill="1" applyAlignment="1" applyProtection="1">
      <alignment horizontal="left"/>
    </xf>
    <xf numFmtId="0" fontId="11" fillId="0" borderId="0" xfId="28" applyFont="1" applyFill="1" applyAlignment="1">
      <alignment horizontal="left"/>
    </xf>
    <xf numFmtId="0" fontId="11" fillId="0" borderId="0" xfId="28" applyFont="1" applyFill="1"/>
    <xf numFmtId="0" fontId="11" fillId="0" borderId="0" xfId="28" applyFont="1" applyFill="1" applyAlignment="1" applyProtection="1">
      <alignment horizontal="center"/>
    </xf>
    <xf numFmtId="0" fontId="11" fillId="0" borderId="11" xfId="28" applyFont="1" applyFill="1" applyBorder="1" applyAlignment="1" applyProtection="1">
      <alignment horizontal="center"/>
    </xf>
    <xf numFmtId="0" fontId="11" fillId="0" borderId="0" xfId="28" applyFont="1" applyFill="1" applyAlignment="1" applyProtection="1">
      <alignment horizontal="centerContinuous"/>
    </xf>
    <xf numFmtId="0" fontId="11" fillId="0" borderId="0" xfId="28" applyFont="1" applyFill="1" applyProtection="1"/>
    <xf numFmtId="0" fontId="11" fillId="0" borderId="0" xfId="28" applyFont="1" applyFill="1" applyBorder="1" applyAlignment="1" applyProtection="1">
      <alignment horizontal="centerContinuous"/>
    </xf>
    <xf numFmtId="0" fontId="11" fillId="0" borderId="0" xfId="28" applyFont="1" applyFill="1" applyBorder="1" applyProtection="1"/>
    <xf numFmtId="0" fontId="11" fillId="0" borderId="0" xfId="28" applyFont="1" applyFill="1" applyBorder="1" applyAlignment="1" applyProtection="1">
      <alignment horizontal="center"/>
    </xf>
    <xf numFmtId="0" fontId="11" fillId="0" borderId="34" xfId="28" applyFont="1" applyFill="1" applyBorder="1" applyAlignment="1" applyProtection="1">
      <alignment horizontal="center"/>
    </xf>
    <xf numFmtId="0" fontId="11" fillId="0" borderId="9" xfId="28" applyFont="1" applyFill="1" applyBorder="1" applyAlignment="1" applyProtection="1">
      <alignment horizontal="center"/>
    </xf>
    <xf numFmtId="6" fontId="11" fillId="0" borderId="9" xfId="28" quotePrefix="1" applyNumberFormat="1" applyFont="1" applyFill="1" applyBorder="1" applyAlignment="1" applyProtection="1">
      <alignment horizontal="center"/>
    </xf>
    <xf numFmtId="0" fontId="11" fillId="0" borderId="12" xfId="28" applyFont="1" applyFill="1" applyBorder="1" applyAlignment="1" applyProtection="1">
      <alignment horizontal="centerContinuous"/>
    </xf>
    <xf numFmtId="17" fontId="11" fillId="0" borderId="0" xfId="28" applyNumberFormat="1" applyFont="1" applyFill="1" applyAlignment="1" applyProtection="1">
      <alignment horizontal="left"/>
    </xf>
    <xf numFmtId="37" fontId="11" fillId="0" borderId="0" xfId="28" applyNumberFormat="1" applyFont="1" applyFill="1" applyBorder="1" applyProtection="1"/>
    <xf numFmtId="37" fontId="11" fillId="0" borderId="11" xfId="28" applyNumberFormat="1" applyFont="1" applyFill="1" applyBorder="1" applyProtection="1"/>
    <xf numFmtId="173" fontId="11" fillId="0" borderId="11" xfId="28" applyNumberFormat="1" applyFont="1" applyFill="1" applyBorder="1"/>
    <xf numFmtId="173" fontId="11" fillId="0" borderId="0" xfId="28" applyNumberFormat="1" applyFont="1" applyFill="1"/>
    <xf numFmtId="42" fontId="11" fillId="0" borderId="11" xfId="28" applyNumberFormat="1" applyFont="1" applyFill="1" applyBorder="1" applyProtection="1"/>
    <xf numFmtId="17" fontId="11" fillId="0" borderId="0" xfId="28" applyNumberFormat="1" applyFont="1" applyFill="1"/>
    <xf numFmtId="17" fontId="11" fillId="0" borderId="0" xfId="28" applyNumberFormat="1" applyFont="1" applyFill="1" applyBorder="1" applyAlignment="1" applyProtection="1">
      <alignment horizontal="right"/>
    </xf>
    <xf numFmtId="37" fontId="11" fillId="0" borderId="28" xfId="28" applyNumberFormat="1" applyFont="1" applyFill="1" applyBorder="1" applyProtection="1"/>
    <xf numFmtId="37" fontId="11" fillId="0" borderId="0" xfId="28" applyNumberFormat="1" applyFont="1" applyFill="1" applyProtection="1"/>
    <xf numFmtId="17" fontId="11" fillId="0" borderId="12" xfId="28" applyNumberFormat="1" applyFont="1" applyFill="1" applyBorder="1" applyAlignment="1" applyProtection="1">
      <alignment horizontal="right"/>
    </xf>
    <xf numFmtId="37" fontId="11" fillId="0" borderId="12" xfId="28" applyNumberFormat="1" applyFont="1" applyFill="1" applyBorder="1" applyProtection="1"/>
    <xf numFmtId="17" fontId="11" fillId="0" borderId="0" xfId="28" applyNumberFormat="1" applyFont="1" applyFill="1" applyBorder="1" applyAlignment="1" applyProtection="1">
      <alignment horizontal="left"/>
    </xf>
    <xf numFmtId="17" fontId="11" fillId="0" borderId="0" xfId="28" applyNumberFormat="1" applyFont="1" applyFill="1" applyBorder="1"/>
    <xf numFmtId="42" fontId="11" fillId="0" borderId="5" xfId="28" applyNumberFormat="1" applyFont="1" applyFill="1" applyBorder="1" applyProtection="1"/>
    <xf numFmtId="37" fontId="11" fillId="0" borderId="34" xfId="28" applyNumberFormat="1" applyFont="1" applyFill="1" applyBorder="1" applyProtection="1"/>
    <xf numFmtId="37" fontId="11" fillId="0" borderId="9" xfId="28" applyNumberFormat="1" applyFont="1" applyFill="1" applyBorder="1" applyProtection="1"/>
    <xf numFmtId="173" fontId="11" fillId="0" borderId="9" xfId="28" applyNumberFormat="1" applyFont="1" applyFill="1" applyBorder="1"/>
    <xf numFmtId="173" fontId="11" fillId="0" borderId="10" xfId="28" applyNumberFormat="1" applyFont="1" applyFill="1" applyBorder="1"/>
    <xf numFmtId="42" fontId="11" fillId="0" borderId="30" xfId="28" applyNumberFormat="1" applyFont="1" applyFill="1" applyBorder="1" applyProtection="1"/>
    <xf numFmtId="0" fontId="11" fillId="0" borderId="11" xfId="28" applyFont="1" applyFill="1" applyBorder="1"/>
    <xf numFmtId="42" fontId="11" fillId="0" borderId="11" xfId="28" applyNumberFormat="1" applyFont="1" applyFill="1" applyBorder="1"/>
    <xf numFmtId="42" fontId="11" fillId="0" borderId="0" xfId="28" applyNumberFormat="1" applyFont="1" applyFill="1" applyBorder="1" applyProtection="1"/>
    <xf numFmtId="5" fontId="11" fillId="0" borderId="0" xfId="28" applyNumberFormat="1" applyFont="1" applyFill="1" applyBorder="1" applyProtection="1"/>
    <xf numFmtId="5" fontId="11" fillId="0" borderId="0" xfId="28" applyNumberFormat="1" applyFont="1" applyFill="1" applyProtection="1"/>
    <xf numFmtId="42" fontId="11" fillId="0" borderId="0" xfId="28" applyNumberFormat="1" applyFont="1" applyFill="1"/>
    <xf numFmtId="173" fontId="11" fillId="0" borderId="0" xfId="28" applyNumberFormat="1" applyFont="1" applyFill="1" applyBorder="1"/>
    <xf numFmtId="173" fontId="11" fillId="0" borderId="4" xfId="28" applyNumberFormat="1" applyFont="1" applyFill="1" applyBorder="1"/>
    <xf numFmtId="37" fontId="11" fillId="0" borderId="10" xfId="28" applyNumberFormat="1" applyFont="1" applyFill="1" applyBorder="1" applyProtection="1"/>
    <xf numFmtId="42" fontId="11" fillId="0" borderId="9" xfId="28" applyNumberFormat="1" applyFont="1" applyFill="1" applyBorder="1" applyProtection="1"/>
    <xf numFmtId="0" fontId="11" fillId="0" borderId="5" xfId="28" applyFont="1" applyFill="1" applyBorder="1" applyAlignment="1" applyProtection="1">
      <alignment horizontal="center"/>
    </xf>
    <xf numFmtId="0" fontId="11" fillId="0" borderId="12" xfId="28" applyFont="1" applyFill="1" applyBorder="1" applyAlignment="1" applyProtection="1">
      <alignment horizontal="center"/>
    </xf>
    <xf numFmtId="0" fontId="11" fillId="0" borderId="19" xfId="28" applyFont="1" applyFill="1" applyBorder="1" applyAlignment="1" applyProtection="1">
      <alignment horizontal="center"/>
    </xf>
    <xf numFmtId="37" fontId="11" fillId="0" borderId="5" xfId="28" applyNumberFormat="1" applyFont="1" applyFill="1" applyBorder="1" applyProtection="1"/>
    <xf numFmtId="0" fontId="11" fillId="0" borderId="12" xfId="28" applyFont="1" applyFill="1" applyBorder="1" applyAlignment="1">
      <alignment horizontal="right"/>
    </xf>
    <xf numFmtId="37" fontId="11" fillId="0" borderId="13" xfId="28" applyNumberFormat="1" applyFont="1" applyFill="1" applyBorder="1" applyProtection="1"/>
    <xf numFmtId="37" fontId="11" fillId="0" borderId="19" xfId="28" applyNumberFormat="1" applyFont="1" applyFill="1" applyBorder="1" applyProtection="1"/>
    <xf numFmtId="37" fontId="11" fillId="0" borderId="31" xfId="28" applyNumberFormat="1" applyFont="1" applyFill="1" applyBorder="1" applyProtection="1"/>
    <xf numFmtId="173" fontId="11" fillId="0" borderId="34" xfId="28" applyNumberFormat="1" applyFont="1" applyFill="1" applyBorder="1"/>
    <xf numFmtId="173" fontId="11" fillId="0" borderId="69" xfId="28" applyNumberFormat="1" applyFont="1" applyFill="1" applyBorder="1"/>
    <xf numFmtId="42" fontId="11" fillId="0" borderId="19" xfId="28" applyNumberFormat="1" applyFont="1" applyFill="1" applyBorder="1" applyProtection="1"/>
    <xf numFmtId="175" fontId="11" fillId="0" borderId="5" xfId="28" applyNumberFormat="1" applyFont="1" applyFill="1" applyBorder="1" applyProtection="1"/>
    <xf numFmtId="175" fontId="11" fillId="0" borderId="0" xfId="28" applyNumberFormat="1" applyFont="1" applyFill="1" applyProtection="1"/>
    <xf numFmtId="42" fontId="11" fillId="0" borderId="5" xfId="28" applyNumberFormat="1" applyFont="1" applyFill="1" applyBorder="1"/>
    <xf numFmtId="37" fontId="11" fillId="0" borderId="0" xfId="28" applyNumberFormat="1" applyFont="1" applyFill="1"/>
    <xf numFmtId="14" fontId="11" fillId="0" borderId="0" xfId="28" applyNumberFormat="1" applyFont="1" applyFill="1"/>
    <xf numFmtId="1" fontId="11" fillId="0" borderId="0" xfId="28" applyNumberFormat="1" applyFont="1" applyFill="1"/>
    <xf numFmtId="170" fontId="11" fillId="0" borderId="0" xfId="28" applyNumberFormat="1" applyFont="1" applyFill="1" applyBorder="1" applyProtection="1"/>
    <xf numFmtId="0" fontId="11" fillId="0" borderId="0" xfId="28" applyFont="1" applyFill="1" applyBorder="1"/>
    <xf numFmtId="167" fontId="11" fillId="0" borderId="0" xfId="28" applyNumberFormat="1" applyFont="1" applyFill="1" applyProtection="1"/>
    <xf numFmtId="3" fontId="30" fillId="0" borderId="0" xfId="1" applyNumberFormat="1" applyFont="1" applyFill="1" applyBorder="1"/>
    <xf numFmtId="42" fontId="0" fillId="0" borderId="0" xfId="0" applyNumberFormat="1" applyBorder="1"/>
    <xf numFmtId="3" fontId="9" fillId="0" borderId="0" xfId="0" applyNumberFormat="1" applyFont="1" applyFill="1"/>
    <xf numFmtId="183" fontId="11" fillId="0" borderId="0" xfId="28" applyNumberFormat="1" applyFont="1" applyFill="1" applyProtection="1"/>
    <xf numFmtId="37" fontId="13" fillId="0" borderId="0" xfId="0" applyNumberFormat="1" applyFont="1" applyFill="1"/>
    <xf numFmtId="0" fontId="36" fillId="0" borderId="0" xfId="8" applyFont="1" applyAlignment="1">
      <alignment horizontal="center"/>
    </xf>
    <xf numFmtId="0" fontId="4" fillId="0" borderId="0" xfId="8" applyBorder="1" applyAlignment="1">
      <alignment horizontal="center"/>
    </xf>
    <xf numFmtId="0" fontId="4" fillId="0" borderId="0" xfId="26"/>
    <xf numFmtId="37" fontId="4" fillId="0" borderId="0" xfId="19" applyNumberFormat="1" applyFont="1"/>
    <xf numFmtId="0" fontId="26" fillId="0" borderId="0" xfId="11" applyFont="1" applyFill="1" applyAlignment="1">
      <alignment horizontal="centerContinuous"/>
    </xf>
    <xf numFmtId="168" fontId="5" fillId="0" borderId="0" xfId="31" applyNumberFormat="1" applyFont="1" applyProtection="1"/>
    <xf numFmtId="3" fontId="6" fillId="0" borderId="0" xfId="32" applyNumberFormat="1" applyFont="1" applyAlignment="1" applyProtection="1">
      <alignment horizontal="centerContinuous"/>
    </xf>
    <xf numFmtId="168" fontId="5" fillId="0" borderId="0" xfId="31" applyNumberFormat="1" applyFont="1" applyAlignment="1">
      <alignment horizontal="centerContinuous"/>
    </xf>
    <xf numFmtId="3" fontId="5" fillId="0" borderId="0" xfId="32" applyNumberFormat="1" applyFont="1" applyAlignment="1">
      <alignment horizontal="centerContinuous"/>
    </xf>
    <xf numFmtId="3" fontId="5" fillId="0" borderId="0" xfId="32" applyNumberFormat="1" applyFont="1" applyFill="1" applyAlignment="1">
      <alignment horizontal="centerContinuous"/>
    </xf>
    <xf numFmtId="3" fontId="5" fillId="0" borderId="0" xfId="32" applyNumberFormat="1" applyFont="1"/>
    <xf numFmtId="0" fontId="3" fillId="0" borderId="0" xfId="32"/>
    <xf numFmtId="168" fontId="5" fillId="0" borderId="0" xfId="31" applyNumberFormat="1" applyFont="1"/>
    <xf numFmtId="168" fontId="6" fillId="0" borderId="0" xfId="32" applyNumberFormat="1" applyFont="1" applyFill="1" applyAlignment="1" applyProtection="1">
      <alignment horizontal="centerContinuous"/>
    </xf>
    <xf numFmtId="3" fontId="6" fillId="0" borderId="0" xfId="32" applyNumberFormat="1" applyFont="1"/>
    <xf numFmtId="168" fontId="6" fillId="0" borderId="0" xfId="31" applyNumberFormat="1" applyFont="1"/>
    <xf numFmtId="3" fontId="5" fillId="0" borderId="0" xfId="32" applyNumberFormat="1" applyFont="1" applyFill="1"/>
    <xf numFmtId="168" fontId="5" fillId="0" borderId="0" xfId="31" applyNumberFormat="1" applyFont="1" applyAlignment="1" applyProtection="1">
      <alignment horizontal="centerContinuous"/>
    </xf>
    <xf numFmtId="2" fontId="75" fillId="0" borderId="0" xfId="32" applyNumberFormat="1" applyFont="1" applyFill="1" applyBorder="1" applyAlignment="1">
      <alignment horizontal="center"/>
    </xf>
    <xf numFmtId="3" fontId="6" fillId="0" borderId="0" xfId="32" applyNumberFormat="1" applyFont="1" applyFill="1"/>
    <xf numFmtId="3" fontId="6" fillId="0" borderId="0" xfId="32" applyNumberFormat="1" applyFont="1" applyBorder="1"/>
    <xf numFmtId="0" fontId="6" fillId="0" borderId="0" xfId="32" applyFont="1" applyBorder="1" applyAlignment="1">
      <alignment horizontal="center"/>
    </xf>
    <xf numFmtId="0" fontId="6" fillId="0" borderId="0" xfId="32" applyFont="1" applyFill="1" applyBorder="1" applyAlignment="1">
      <alignment horizontal="center"/>
    </xf>
    <xf numFmtId="3" fontId="6" fillId="0" borderId="34" xfId="32" applyNumberFormat="1" applyFont="1" applyBorder="1" applyAlignment="1">
      <alignment horizontal="center"/>
    </xf>
    <xf numFmtId="168" fontId="6" fillId="0" borderId="34" xfId="31" applyNumberFormat="1" applyFont="1" applyBorder="1"/>
    <xf numFmtId="0" fontId="6" fillId="0" borderId="12" xfId="32" applyFont="1" applyBorder="1" applyAlignment="1">
      <alignment horizontal="center"/>
    </xf>
    <xf numFmtId="0" fontId="6" fillId="0" borderId="12" xfId="32" applyFont="1" applyFill="1" applyBorder="1" applyAlignment="1">
      <alignment horizontal="center"/>
    </xf>
    <xf numFmtId="3" fontId="5" fillId="0" borderId="0" xfId="32" applyNumberFormat="1" applyFont="1" applyFill="1" applyProtection="1"/>
    <xf numFmtId="168" fontId="5" fillId="0" borderId="0" xfId="31" applyNumberFormat="1" applyFont="1" applyFill="1"/>
    <xf numFmtId="168" fontId="5" fillId="0" borderId="0" xfId="31" applyNumberFormat="1" applyFont="1" applyBorder="1"/>
    <xf numFmtId="3" fontId="5" fillId="0" borderId="0" xfId="32" applyNumberFormat="1" applyFont="1" applyFill="1" applyBorder="1"/>
    <xf numFmtId="168" fontId="5" fillId="0" borderId="0" xfId="31" applyNumberFormat="1" applyFont="1" applyFill="1" applyBorder="1"/>
    <xf numFmtId="3" fontId="5" fillId="0" borderId="34" xfId="32" applyNumberFormat="1" applyFont="1" applyFill="1" applyBorder="1" applyProtection="1"/>
    <xf numFmtId="3" fontId="5" fillId="0" borderId="0" xfId="32" applyNumberFormat="1" applyFont="1" applyBorder="1"/>
    <xf numFmtId="166" fontId="5" fillId="0" borderId="0" xfId="32" applyNumberFormat="1" applyFont="1" applyFill="1" applyBorder="1" applyProtection="1"/>
    <xf numFmtId="166" fontId="5" fillId="0" borderId="12" xfId="32" applyNumberFormat="1" applyFont="1" applyFill="1" applyBorder="1" applyProtection="1"/>
    <xf numFmtId="166" fontId="5" fillId="0" borderId="0" xfId="32" applyNumberFormat="1" applyFont="1"/>
    <xf numFmtId="168" fontId="5" fillId="3" borderId="0" xfId="31" applyNumberFormat="1" applyFont="1" applyFill="1"/>
    <xf numFmtId="0" fontId="5" fillId="3" borderId="0" xfId="32" applyFont="1" applyFill="1" applyAlignment="1">
      <alignment horizontal="left"/>
    </xf>
    <xf numFmtId="168" fontId="5" fillId="0" borderId="0" xfId="31" applyNumberFormat="1" applyFont="1" applyBorder="1" applyAlignment="1">
      <alignment horizontal="center"/>
    </xf>
    <xf numFmtId="166" fontId="5" fillId="0" borderId="0" xfId="33" applyNumberFormat="1" applyFont="1" applyFill="1"/>
    <xf numFmtId="166" fontId="5" fillId="0" borderId="0" xfId="33" applyNumberFormat="1" applyFont="1"/>
    <xf numFmtId="5" fontId="5" fillId="0" borderId="0" xfId="32" applyNumberFormat="1" applyFont="1" applyFill="1" applyProtection="1"/>
    <xf numFmtId="5" fontId="3" fillId="0" borderId="0" xfId="32" applyNumberFormat="1"/>
    <xf numFmtId="37" fontId="3" fillId="0" borderId="0" xfId="32" applyNumberFormat="1"/>
    <xf numFmtId="0" fontId="11" fillId="0" borderId="0" xfId="12" applyFont="1" applyFill="1"/>
    <xf numFmtId="3" fontId="5" fillId="0" borderId="0" xfId="0" applyNumberFormat="1" applyFont="1" applyFill="1" applyProtection="1"/>
    <xf numFmtId="3" fontId="5" fillId="0" borderId="0" xfId="0" applyNumberFormat="1" applyFont="1" applyFill="1"/>
    <xf numFmtId="3" fontId="5" fillId="0" borderId="0" xfId="0" applyNumberFormat="1" applyFont="1"/>
    <xf numFmtId="168" fontId="5" fillId="0" borderId="34" xfId="0" applyNumberFormat="1" applyFont="1" applyFill="1" applyBorder="1" applyProtection="1"/>
    <xf numFmtId="3" fontId="5" fillId="0" borderId="0" xfId="0" applyNumberFormat="1" applyFont="1" applyProtection="1">
      <protection locked="0"/>
    </xf>
    <xf numFmtId="3" fontId="5" fillId="0" borderId="0" xfId="0" applyNumberFormat="1" applyFont="1" applyFill="1" applyProtection="1">
      <protection locked="0"/>
    </xf>
    <xf numFmtId="166" fontId="5" fillId="0" borderId="0" xfId="0" applyNumberFormat="1" applyFont="1" applyFill="1" applyBorder="1" applyProtection="1"/>
    <xf numFmtId="166" fontId="5" fillId="0" borderId="12" xfId="0" applyNumberFormat="1" applyFont="1" applyFill="1" applyBorder="1" applyProtection="1"/>
    <xf numFmtId="166" fontId="5" fillId="0" borderId="0" xfId="0" applyNumberFormat="1" applyFont="1" applyFill="1" applyProtection="1">
      <protection locked="0"/>
    </xf>
    <xf numFmtId="166" fontId="5" fillId="0" borderId="0" xfId="0" applyNumberFormat="1" applyFont="1" applyProtection="1">
      <protection locked="0"/>
    </xf>
    <xf numFmtId="0" fontId="11" fillId="0" borderId="0" xfId="12" applyFont="1" applyFill="1" applyBorder="1" applyAlignment="1">
      <alignment horizontal="center"/>
    </xf>
    <xf numFmtId="37" fontId="0" fillId="0" borderId="28" xfId="0" applyNumberFormat="1" applyFill="1" applyBorder="1"/>
    <xf numFmtId="0" fontId="12" fillId="0" borderId="12" xfId="12" applyFont="1" applyFill="1" applyBorder="1" applyAlignment="1"/>
    <xf numFmtId="5" fontId="11" fillId="0" borderId="0" xfId="24" applyNumberFormat="1" applyBorder="1" applyAlignment="1">
      <alignment horizontal="center"/>
    </xf>
    <xf numFmtId="5" fontId="11" fillId="0" borderId="12" xfId="24" quotePrefix="1" applyNumberFormat="1" applyBorder="1" applyAlignment="1">
      <alignment horizontal="center"/>
    </xf>
    <xf numFmtId="0" fontId="11" fillId="0" borderId="0" xfId="12" quotePrefix="1" applyFont="1" applyFill="1" applyAlignment="1">
      <alignment horizontal="center"/>
    </xf>
    <xf numFmtId="171" fontId="12" fillId="0" borderId="38" xfId="14" applyNumberFormat="1" applyFont="1" applyFill="1" applyBorder="1"/>
    <xf numFmtId="171" fontId="0" fillId="0" borderId="13" xfId="14" applyNumberFormat="1" applyFont="1" applyFill="1" applyBorder="1"/>
    <xf numFmtId="171" fontId="55" fillId="0" borderId="0" xfId="14" applyNumberFormat="1" applyFont="1" applyFill="1"/>
    <xf numFmtId="0" fontId="12" fillId="0" borderId="0" xfId="12" applyFont="1" applyFill="1" applyBorder="1" applyAlignment="1">
      <alignment horizontal="center"/>
    </xf>
    <xf numFmtId="0" fontId="12" fillId="0" borderId="12" xfId="12" applyFont="1" applyFill="1" applyBorder="1" applyAlignment="1">
      <alignment horizontal="center"/>
    </xf>
    <xf numFmtId="0" fontId="42" fillId="0" borderId="0" xfId="12" quotePrefix="1" applyFont="1" applyFill="1" applyAlignment="1">
      <alignment horizontal="center"/>
    </xf>
    <xf numFmtId="0" fontId="42" fillId="0" borderId="0" xfId="12" applyFont="1" applyFill="1" applyAlignment="1">
      <alignment horizontal="center"/>
    </xf>
    <xf numFmtId="5" fontId="2" fillId="0" borderId="0" xfId="32" applyNumberFormat="1" applyFont="1"/>
    <xf numFmtId="0" fontId="26" fillId="0" borderId="12" xfId="11" applyFont="1" applyFill="1" applyBorder="1" applyAlignment="1">
      <alignment horizontal="center"/>
    </xf>
    <xf numFmtId="0" fontId="55" fillId="0" borderId="12" xfId="11" applyFont="1" applyFill="1" applyBorder="1" applyAlignment="1">
      <alignment horizontal="center"/>
    </xf>
    <xf numFmtId="0" fontId="26" fillId="0" borderId="12" xfId="11" applyFont="1" applyFill="1" applyBorder="1" applyAlignment="1">
      <alignment horizontal="center"/>
    </xf>
    <xf numFmtId="0" fontId="26" fillId="0" borderId="0" xfId="11" applyFont="1" applyFill="1" applyBorder="1" applyAlignment="1">
      <alignment horizontal="center"/>
    </xf>
    <xf numFmtId="0" fontId="26" fillId="0" borderId="0" xfId="11" applyFont="1" applyFill="1" applyBorder="1" applyAlignment="1">
      <alignment horizontal="centerContinuous"/>
    </xf>
    <xf numFmtId="0" fontId="4" fillId="0" borderId="0" xfId="8" quotePrefix="1" applyFill="1" applyBorder="1" applyAlignment="1">
      <alignment horizontal="left"/>
    </xf>
    <xf numFmtId="10" fontId="12" fillId="0" borderId="0" xfId="12" applyNumberFormat="1" applyFill="1"/>
    <xf numFmtId="0" fontId="56" fillId="0" borderId="0" xfId="12" applyFont="1" applyFill="1"/>
    <xf numFmtId="0" fontId="77" fillId="0" borderId="0" xfId="12" applyFont="1" applyFill="1"/>
    <xf numFmtId="0" fontId="79" fillId="2" borderId="58" xfId="36" applyFont="1" applyFill="1" applyBorder="1" applyAlignment="1">
      <alignment horizontal="center" vertical="top" wrapText="1"/>
    </xf>
    <xf numFmtId="0" fontId="78" fillId="0" borderId="0" xfId="36" applyFont="1" applyAlignment="1">
      <alignment wrapText="1"/>
    </xf>
    <xf numFmtId="0" fontId="79" fillId="2" borderId="58" xfId="36" applyFont="1" applyFill="1" applyBorder="1" applyAlignment="1">
      <alignment horizontal="left" vertical="top"/>
    </xf>
    <xf numFmtId="195" fontId="79" fillId="2" borderId="58" xfId="36" applyNumberFormat="1" applyFont="1" applyFill="1" applyBorder="1" applyAlignment="1">
      <alignment horizontal="right" vertical="top"/>
    </xf>
    <xf numFmtId="194" fontId="79" fillId="2" borderId="58" xfId="36" applyNumberFormat="1" applyFont="1" applyFill="1" applyBorder="1" applyAlignment="1">
      <alignment horizontal="right" vertical="top"/>
    </xf>
    <xf numFmtId="0" fontId="78" fillId="2" borderId="61" xfId="36" applyFont="1" applyFill="1" applyBorder="1" applyAlignment="1">
      <alignment wrapText="1"/>
    </xf>
    <xf numFmtId="0" fontId="78" fillId="2" borderId="63" xfId="36" applyFont="1" applyFill="1" applyBorder="1" applyAlignment="1">
      <alignment wrapText="1"/>
    </xf>
    <xf numFmtId="0" fontId="79" fillId="2" borderId="62" xfId="36" applyFont="1" applyFill="1" applyBorder="1" applyAlignment="1">
      <alignment horizontal="left" vertical="top"/>
    </xf>
    <xf numFmtId="195" fontId="79" fillId="2" borderId="62" xfId="36" applyNumberFormat="1" applyFont="1" applyFill="1" applyBorder="1" applyAlignment="1">
      <alignment horizontal="right" vertical="top"/>
    </xf>
    <xf numFmtId="194" fontId="79" fillId="2" borderId="62" xfId="36" applyNumberFormat="1" applyFont="1" applyFill="1" applyBorder="1" applyAlignment="1">
      <alignment horizontal="right" vertical="top"/>
    </xf>
    <xf numFmtId="195" fontId="72" fillId="0" borderId="0" xfId="0" applyNumberFormat="1" applyFont="1" applyFill="1" applyBorder="1" applyAlignment="1" applyProtection="1">
      <alignment horizontal="right" vertical="top"/>
      <protection locked="0"/>
    </xf>
    <xf numFmtId="194" fontId="11" fillId="0" borderId="0" xfId="0" applyNumberFormat="1" applyFont="1" applyFill="1"/>
    <xf numFmtId="195" fontId="11" fillId="0" borderId="0" xfId="0" applyNumberFormat="1" applyFont="1" applyFill="1"/>
    <xf numFmtId="195" fontId="78" fillId="0" borderId="0" xfId="36" applyNumberFormat="1" applyFont="1" applyAlignment="1">
      <alignment wrapText="1"/>
    </xf>
    <xf numFmtId="194" fontId="11" fillId="0" borderId="0" xfId="0" applyNumberFormat="1" applyFont="1" applyFill="1" applyBorder="1"/>
    <xf numFmtId="195" fontId="11" fillId="0" borderId="0" xfId="0" applyNumberFormat="1" applyFont="1" applyFill="1" applyBorder="1"/>
    <xf numFmtId="0" fontId="4" fillId="0" borderId="0" xfId="36" applyFont="1" applyAlignment="1">
      <alignment wrapText="1"/>
    </xf>
    <xf numFmtId="5" fontId="4" fillId="3" borderId="0" xfId="6" applyNumberFormat="1" applyFill="1"/>
    <xf numFmtId="0" fontId="4" fillId="4" borderId="0" xfId="6" applyFill="1"/>
    <xf numFmtId="168" fontId="4" fillId="4" borderId="0" xfId="1" applyNumberFormat="1" applyFill="1"/>
    <xf numFmtId="168" fontId="38" fillId="4" borderId="0" xfId="1" applyNumberFormat="1" applyFont="1" applyFill="1" applyAlignment="1">
      <alignment horizontal="left"/>
    </xf>
    <xf numFmtId="43" fontId="4" fillId="4" borderId="0" xfId="1" applyFill="1"/>
    <xf numFmtId="168" fontId="38" fillId="4" borderId="0" xfId="1" applyNumberFormat="1" applyFont="1" applyFill="1"/>
    <xf numFmtId="168" fontId="4" fillId="4" borderId="0" xfId="6" applyNumberFormat="1" applyFill="1"/>
    <xf numFmtId="43" fontId="4" fillId="3" borderId="0" xfId="1" applyFont="1" applyFill="1"/>
    <xf numFmtId="190" fontId="0" fillId="0" borderId="0" xfId="0" applyNumberFormat="1" applyFont="1" applyFill="1" applyProtection="1"/>
    <xf numFmtId="43" fontId="11" fillId="0" borderId="0" xfId="0" applyNumberFormat="1" applyFont="1" applyFill="1" applyProtection="1"/>
    <xf numFmtId="7" fontId="53" fillId="0" borderId="48" xfId="1" applyNumberFormat="1" applyFont="1" applyFill="1" applyBorder="1" applyProtection="1"/>
    <xf numFmtId="43" fontId="8" fillId="0" borderId="0" xfId="0" applyNumberFormat="1" applyFont="1" applyFill="1" applyProtection="1"/>
    <xf numFmtId="166" fontId="4" fillId="3" borderId="0" xfId="14" applyNumberFormat="1" applyFont="1" applyFill="1"/>
    <xf numFmtId="6" fontId="4" fillId="3" borderId="0" xfId="6" quotePrefix="1" applyNumberFormat="1" applyFill="1"/>
    <xf numFmtId="166" fontId="4" fillId="3" borderId="0" xfId="14" applyNumberFormat="1" applyFill="1"/>
    <xf numFmtId="165" fontId="14" fillId="0" borderId="0" xfId="0" applyNumberFormat="1" applyFont="1" applyFill="1"/>
    <xf numFmtId="0" fontId="11" fillId="0" borderId="0" xfId="28" applyFill="1"/>
    <xf numFmtId="0" fontId="11" fillId="0" borderId="0" xfId="28" applyFill="1" applyBorder="1"/>
    <xf numFmtId="3" fontId="11" fillId="0" borderId="0" xfId="28" applyNumberFormat="1" applyFill="1" applyBorder="1"/>
    <xf numFmtId="0" fontId="27" fillId="0" borderId="0" xfId="28" quotePrefix="1" applyFont="1" applyFill="1" applyAlignment="1" applyProtection="1">
      <alignment horizontal="centerContinuous"/>
    </xf>
    <xf numFmtId="0" fontId="46" fillId="0" borderId="0" xfId="28" applyFont="1" applyFill="1" applyAlignment="1" applyProtection="1">
      <alignment horizontal="centerContinuous"/>
    </xf>
    <xf numFmtId="37" fontId="46" fillId="0" borderId="0" xfId="28" applyNumberFormat="1" applyFont="1" applyFill="1" applyAlignment="1" applyProtection="1">
      <alignment horizontal="centerContinuous"/>
    </xf>
    <xf numFmtId="3" fontId="11" fillId="0" borderId="0" xfId="28" applyNumberFormat="1" applyFill="1"/>
    <xf numFmtId="0" fontId="46" fillId="0" borderId="0" xfId="28" applyFont="1" applyFill="1" applyProtection="1"/>
    <xf numFmtId="37" fontId="27" fillId="0" borderId="0" xfId="28" applyNumberFormat="1" applyFont="1" applyFill="1" applyAlignment="1" applyProtection="1">
      <alignment horizontal="center"/>
    </xf>
    <xf numFmtId="0" fontId="27" fillId="0" borderId="0" xfId="28" applyFont="1" applyFill="1" applyProtection="1"/>
    <xf numFmtId="0" fontId="27" fillId="0" borderId="0" xfId="28" applyFont="1" applyFill="1" applyAlignment="1" applyProtection="1">
      <alignment horizontal="center"/>
    </xf>
    <xf numFmtId="0" fontId="6" fillId="0" borderId="0" xfId="28" applyFont="1" applyFill="1" applyAlignment="1" applyProtection="1">
      <alignment horizontal="center"/>
    </xf>
    <xf numFmtId="0" fontId="27" fillId="0" borderId="0" xfId="28" applyFont="1" applyFill="1" applyBorder="1" applyAlignment="1" applyProtection="1">
      <alignment horizontal="center"/>
    </xf>
    <xf numFmtId="37" fontId="27" fillId="0" borderId="34" xfId="28" applyNumberFormat="1" applyFont="1" applyFill="1" applyBorder="1" applyAlignment="1" applyProtection="1">
      <alignment horizontal="center"/>
    </xf>
    <xf numFmtId="0" fontId="27" fillId="0" borderId="34" xfId="28" applyFont="1" applyFill="1" applyBorder="1" applyAlignment="1" applyProtection="1">
      <alignment horizontal="center"/>
    </xf>
    <xf numFmtId="0" fontId="27" fillId="0" borderId="34" xfId="28" applyFont="1" applyFill="1" applyBorder="1" applyProtection="1"/>
    <xf numFmtId="0" fontId="48" fillId="0" borderId="0" xfId="28" applyFont="1" applyFill="1"/>
    <xf numFmtId="5" fontId="11" fillId="0" borderId="0" xfId="28" applyNumberFormat="1" applyFill="1" applyProtection="1"/>
    <xf numFmtId="37" fontId="11" fillId="0" borderId="0" xfId="28" applyNumberFormat="1" applyFill="1"/>
    <xf numFmtId="5" fontId="5" fillId="0" borderId="0" xfId="28" applyNumberFormat="1" applyFont="1" applyFill="1" applyProtection="1"/>
    <xf numFmtId="5" fontId="11" fillId="0" borderId="0" xfId="28" applyNumberFormat="1" applyFill="1"/>
    <xf numFmtId="43" fontId="11" fillId="0" borderId="0" xfId="28" applyNumberFormat="1" applyFill="1"/>
    <xf numFmtId="7" fontId="8" fillId="0" borderId="0" xfId="28" applyNumberFormat="1" applyFont="1" applyFill="1"/>
    <xf numFmtId="0" fontId="8" fillId="0" borderId="0" xfId="28" applyFont="1" applyFill="1"/>
    <xf numFmtId="37" fontId="11" fillId="0" borderId="0" xfId="28" applyNumberFormat="1" applyFill="1" applyBorder="1"/>
    <xf numFmtId="180" fontId="11" fillId="0" borderId="0" xfId="1" applyNumberFormat="1" applyFont="1" applyFill="1"/>
    <xf numFmtId="5" fontId="11" fillId="0" borderId="0" xfId="28" applyNumberFormat="1" applyFill="1" applyBorder="1" applyProtection="1"/>
    <xf numFmtId="3" fontId="11" fillId="0" borderId="0" xfId="28" applyNumberFormat="1" applyFont="1" applyFill="1" applyAlignment="1">
      <alignment horizontal="center"/>
    </xf>
    <xf numFmtId="37" fontId="11" fillId="0" borderId="46" xfId="28" applyNumberFormat="1" applyFont="1" applyFill="1" applyBorder="1" applyProtection="1"/>
    <xf numFmtId="5" fontId="5" fillId="0" borderId="46" xfId="28" applyNumberFormat="1" applyFont="1" applyFill="1" applyBorder="1" applyProtection="1"/>
    <xf numFmtId="5" fontId="5" fillId="0" borderId="47" xfId="28" applyNumberFormat="1" applyFont="1" applyFill="1" applyBorder="1" applyProtection="1"/>
    <xf numFmtId="0" fontId="11" fillId="0" borderId="36" xfId="28" applyFill="1" applyBorder="1"/>
    <xf numFmtId="5" fontId="11" fillId="0" borderId="28" xfId="28" applyNumberFormat="1" applyFill="1" applyBorder="1"/>
    <xf numFmtId="37" fontId="11" fillId="0" borderId="0" xfId="28" applyNumberFormat="1" applyFill="1" applyProtection="1"/>
    <xf numFmtId="0" fontId="11" fillId="0" borderId="0" xfId="28" applyFill="1" applyProtection="1"/>
    <xf numFmtId="0" fontId="5" fillId="0" borderId="0" xfId="28" applyFont="1" applyFill="1" applyProtection="1"/>
    <xf numFmtId="0" fontId="11" fillId="0" borderId="19" xfId="28" applyFill="1" applyBorder="1"/>
    <xf numFmtId="5" fontId="11" fillId="0" borderId="12" xfId="28" applyNumberFormat="1" applyFill="1" applyBorder="1"/>
    <xf numFmtId="0" fontId="11" fillId="0" borderId="13" xfId="28" applyFill="1" applyBorder="1"/>
    <xf numFmtId="200" fontId="11" fillId="0" borderId="0" xfId="14" applyNumberFormat="1" applyFont="1" applyFill="1"/>
    <xf numFmtId="0" fontId="48" fillId="0" borderId="0" xfId="28" applyFont="1" applyFill="1" applyProtection="1"/>
    <xf numFmtId="37" fontId="5" fillId="0" borderId="0" xfId="28" applyNumberFormat="1" applyFont="1" applyFill="1" applyProtection="1"/>
    <xf numFmtId="0" fontId="11" fillId="0" borderId="0" xfId="28" applyFill="1" applyBorder="1" applyAlignment="1">
      <alignment horizontal="right"/>
    </xf>
    <xf numFmtId="0" fontId="5" fillId="0" borderId="0" xfId="28" applyFont="1" applyFill="1" applyProtection="1">
      <protection locked="0"/>
    </xf>
    <xf numFmtId="3" fontId="11" fillId="0" borderId="0" xfId="28" applyNumberFormat="1" applyFont="1" applyFill="1" applyBorder="1" applyAlignment="1">
      <alignment horizontal="center"/>
    </xf>
    <xf numFmtId="7" fontId="8" fillId="0" borderId="0" xfId="28" applyNumberFormat="1" applyFont="1" applyFill="1" applyProtection="1">
      <protection locked="0"/>
    </xf>
    <xf numFmtId="185" fontId="8" fillId="0" borderId="0" xfId="28" applyNumberFormat="1" applyFont="1" applyFill="1" applyProtection="1">
      <protection locked="0"/>
    </xf>
    <xf numFmtId="3" fontId="11" fillId="0" borderId="0" xfId="28" applyNumberFormat="1" applyFont="1" applyFill="1"/>
    <xf numFmtId="181" fontId="11" fillId="0" borderId="0" xfId="28" applyNumberFormat="1" applyFill="1"/>
    <xf numFmtId="0" fontId="5" fillId="0" borderId="0" xfId="28" applyFont="1" applyFill="1"/>
    <xf numFmtId="7" fontId="5" fillId="0" borderId="0" xfId="28" applyNumberFormat="1" applyFont="1" applyFill="1" applyProtection="1">
      <protection locked="0"/>
    </xf>
    <xf numFmtId="168" fontId="5" fillId="0" borderId="0" xfId="28" applyNumberFormat="1" applyFont="1" applyFill="1" applyProtection="1"/>
    <xf numFmtId="185" fontId="5" fillId="0" borderId="0" xfId="28" applyNumberFormat="1" applyFont="1" applyFill="1" applyProtection="1">
      <protection locked="0"/>
    </xf>
    <xf numFmtId="5" fontId="5" fillId="0" borderId="0" xfId="28" applyNumberFormat="1" applyFont="1" applyFill="1" applyProtection="1">
      <protection locked="0"/>
    </xf>
    <xf numFmtId="37" fontId="5" fillId="0" borderId="12" xfId="28" applyNumberFormat="1" applyFont="1" applyFill="1" applyBorder="1" applyProtection="1"/>
    <xf numFmtId="5" fontId="5" fillId="0" borderId="34" xfId="28" applyNumberFormat="1" applyFont="1" applyFill="1" applyBorder="1" applyProtection="1"/>
    <xf numFmtId="37" fontId="11" fillId="0" borderId="47" xfId="28" applyNumberFormat="1" applyFont="1" applyFill="1" applyBorder="1" applyProtection="1"/>
    <xf numFmtId="37" fontId="11" fillId="0" borderId="28" xfId="28" applyNumberFormat="1" applyFill="1" applyBorder="1"/>
    <xf numFmtId="186" fontId="5" fillId="0" borderId="0" xfId="28" applyNumberFormat="1" applyFont="1" applyFill="1" applyProtection="1"/>
    <xf numFmtId="0" fontId="52" fillId="0" borderId="0" xfId="28" applyFont="1" applyFill="1" applyProtection="1"/>
    <xf numFmtId="5" fontId="5" fillId="0" borderId="0" xfId="28" applyNumberFormat="1" applyFont="1" applyFill="1" applyBorder="1" applyProtection="1"/>
    <xf numFmtId="37" fontId="5" fillId="0" borderId="34" xfId="28" applyNumberFormat="1" applyFont="1" applyFill="1" applyBorder="1" applyProtection="1"/>
    <xf numFmtId="0" fontId="11" fillId="0" borderId="0" xfId="28" applyFill="1" applyAlignment="1">
      <alignment horizontal="right"/>
    </xf>
    <xf numFmtId="9" fontId="11" fillId="0" borderId="0" xfId="14" applyNumberFormat="1" applyFont="1" applyFill="1"/>
    <xf numFmtId="10" fontId="11" fillId="0" borderId="0" xfId="28" applyNumberFormat="1" applyFill="1"/>
    <xf numFmtId="5" fontId="8" fillId="0" borderId="0" xfId="28" applyNumberFormat="1" applyFont="1" applyFill="1" applyProtection="1">
      <protection locked="0"/>
    </xf>
    <xf numFmtId="0" fontId="8" fillId="0" borderId="0" xfId="28" applyFont="1" applyFill="1" applyProtection="1">
      <protection locked="0"/>
    </xf>
    <xf numFmtId="9" fontId="11" fillId="0" borderId="0" xfId="28" applyNumberFormat="1" applyFill="1"/>
    <xf numFmtId="168" fontId="11" fillId="0" borderId="0" xfId="28" applyNumberFormat="1" applyFill="1"/>
    <xf numFmtId="43" fontId="11" fillId="0" borderId="0" xfId="1" applyFont="1" applyFill="1"/>
    <xf numFmtId="7" fontId="11" fillId="0" borderId="0" xfId="28" applyNumberFormat="1" applyFill="1"/>
    <xf numFmtId="190" fontId="8" fillId="0" borderId="0" xfId="28" applyNumberFormat="1" applyFont="1" applyFill="1" applyProtection="1">
      <protection locked="0"/>
    </xf>
    <xf numFmtId="0" fontId="6" fillId="0" borderId="0" xfId="28" applyFont="1" applyFill="1" applyProtection="1"/>
    <xf numFmtId="171" fontId="8" fillId="0" borderId="0" xfId="28" applyNumberFormat="1" applyFont="1" applyFill="1" applyProtection="1"/>
    <xf numFmtId="184" fontId="11" fillId="0" borderId="0" xfId="1" applyNumberFormat="1" applyFont="1" applyFill="1"/>
    <xf numFmtId="7" fontId="11" fillId="0" borderId="0" xfId="28" applyNumberFormat="1" applyFont="1" applyFill="1" applyProtection="1"/>
    <xf numFmtId="39" fontId="11" fillId="0" borderId="0" xfId="28" applyNumberFormat="1" applyFont="1" applyFill="1" applyProtection="1"/>
    <xf numFmtId="7" fontId="8" fillId="0" borderId="0" xfId="28" applyNumberFormat="1" applyFont="1" applyFill="1" applyProtection="1"/>
    <xf numFmtId="39" fontId="8" fillId="0" borderId="0" xfId="28" applyNumberFormat="1" applyFont="1" applyFill="1" applyProtection="1">
      <protection locked="0"/>
    </xf>
    <xf numFmtId="198" fontId="11" fillId="0" borderId="0" xfId="14" applyNumberFormat="1" applyFont="1" applyFill="1"/>
    <xf numFmtId="5" fontId="11" fillId="0" borderId="34" xfId="28" applyNumberFormat="1" applyFont="1" applyFill="1" applyBorder="1" applyProtection="1"/>
    <xf numFmtId="171" fontId="11" fillId="0" borderId="47" xfId="28" applyNumberFormat="1" applyFont="1" applyFill="1" applyBorder="1" applyProtection="1"/>
    <xf numFmtId="10" fontId="48" fillId="0" borderId="47" xfId="28" applyNumberFormat="1" applyFont="1" applyFill="1" applyBorder="1" applyProtection="1"/>
    <xf numFmtId="5" fontId="11" fillId="0" borderId="47" xfId="28" applyNumberFormat="1" applyFont="1" applyFill="1" applyBorder="1" applyProtection="1"/>
    <xf numFmtId="168" fontId="11" fillId="0" borderId="47" xfId="28" applyNumberFormat="1" applyFont="1" applyFill="1" applyBorder="1" applyProtection="1"/>
    <xf numFmtId="0" fontId="5" fillId="0" borderId="47" xfId="28" applyFont="1" applyFill="1" applyBorder="1" applyProtection="1"/>
    <xf numFmtId="168" fontId="11" fillId="0" borderId="47" xfId="1" applyNumberFormat="1" applyFont="1" applyFill="1" applyBorder="1" applyProtection="1"/>
    <xf numFmtId="200" fontId="11" fillId="0" borderId="13" xfId="14" applyNumberFormat="1" applyFont="1" applyFill="1" applyBorder="1"/>
    <xf numFmtId="200" fontId="11" fillId="0" borderId="0" xfId="14" applyNumberFormat="1" applyFont="1" applyFill="1" applyBorder="1"/>
    <xf numFmtId="203" fontId="11" fillId="0" borderId="0" xfId="14" applyNumberFormat="1" applyFont="1" applyFill="1"/>
    <xf numFmtId="5" fontId="11" fillId="0" borderId="0" xfId="28" applyNumberFormat="1" applyFill="1" applyBorder="1"/>
    <xf numFmtId="171" fontId="11" fillId="0" borderId="0" xfId="28" applyNumberFormat="1" applyFont="1" applyFill="1" applyBorder="1" applyProtection="1"/>
    <xf numFmtId="10" fontId="48" fillId="0" borderId="0" xfId="28" applyNumberFormat="1" applyFont="1" applyFill="1" applyBorder="1" applyProtection="1"/>
    <xf numFmtId="0" fontId="5" fillId="0" borderId="0" xfId="28" applyFont="1" applyFill="1" applyBorder="1" applyProtection="1"/>
    <xf numFmtId="37" fontId="8" fillId="0" borderId="0" xfId="28" applyNumberFormat="1" applyFont="1" applyFill="1" applyProtection="1"/>
    <xf numFmtId="7" fontId="48" fillId="0" borderId="0" xfId="28" applyNumberFormat="1" applyFont="1" applyFill="1" applyProtection="1"/>
    <xf numFmtId="192" fontId="11" fillId="0" borderId="0" xfId="28" applyNumberFormat="1" applyFont="1" applyFill="1" applyProtection="1"/>
    <xf numFmtId="174" fontId="8" fillId="0" borderId="0" xfId="28" applyNumberFormat="1" applyFont="1" applyFill="1" applyProtection="1"/>
    <xf numFmtId="43" fontId="8" fillId="0" borderId="0" xfId="1" applyFont="1" applyFill="1" applyProtection="1">
      <protection locked="0"/>
    </xf>
    <xf numFmtId="0" fontId="13" fillId="0" borderId="0" xfId="28" applyFont="1" applyFill="1" applyProtection="1"/>
    <xf numFmtId="5" fontId="8" fillId="0" borderId="0" xfId="28" applyNumberFormat="1" applyFont="1" applyFill="1" applyProtection="1"/>
    <xf numFmtId="185" fontId="11" fillId="0" borderId="0" xfId="28" applyNumberFormat="1" applyFont="1" applyFill="1" applyProtection="1"/>
    <xf numFmtId="190" fontId="5" fillId="0" borderId="0" xfId="28" applyNumberFormat="1" applyFont="1" applyFill="1" applyProtection="1">
      <protection locked="0"/>
    </xf>
    <xf numFmtId="174" fontId="11" fillId="0" borderId="0" xfId="28" applyNumberFormat="1" applyFont="1" applyFill="1" applyProtection="1"/>
    <xf numFmtId="5" fontId="48" fillId="0" borderId="0" xfId="28" applyNumberFormat="1" applyFont="1" applyFill="1" applyProtection="1"/>
    <xf numFmtId="37" fontId="5" fillId="0" borderId="47" xfId="28" applyNumberFormat="1" applyFont="1" applyFill="1" applyBorder="1" applyProtection="1"/>
    <xf numFmtId="191" fontId="11" fillId="0" borderId="0" xfId="28" applyNumberFormat="1" applyFont="1" applyFill="1" applyProtection="1"/>
    <xf numFmtId="0" fontId="11" fillId="0" borderId="0" xfId="28" applyFont="1" applyFill="1" applyBorder="1" applyAlignment="1">
      <alignment horizontal="center"/>
    </xf>
    <xf numFmtId="7" fontId="11" fillId="0" borderId="0" xfId="28" applyNumberFormat="1" applyFont="1" applyFill="1" applyProtection="1">
      <protection locked="0"/>
    </xf>
    <xf numFmtId="176" fontId="11" fillId="0" borderId="0" xfId="28" applyNumberFormat="1" applyFill="1"/>
    <xf numFmtId="5" fontId="48" fillId="0" borderId="0" xfId="28" applyNumberFormat="1" applyFont="1" applyFill="1" applyProtection="1">
      <protection locked="0"/>
    </xf>
    <xf numFmtId="0" fontId="48" fillId="0" borderId="0" xfId="28" applyFont="1" applyFill="1" applyProtection="1">
      <protection locked="0"/>
    </xf>
    <xf numFmtId="167" fontId="5" fillId="0" borderId="0" xfId="28" applyNumberFormat="1" applyFont="1" applyFill="1" applyProtection="1"/>
    <xf numFmtId="183" fontId="8" fillId="0" borderId="0" xfId="28" applyNumberFormat="1" applyFont="1" applyFill="1" applyProtection="1">
      <protection locked="0"/>
    </xf>
    <xf numFmtId="184" fontId="8" fillId="0" borderId="0" xfId="28" applyNumberFormat="1" applyFont="1" applyFill="1" applyProtection="1">
      <protection locked="0"/>
    </xf>
    <xf numFmtId="43" fontId="8" fillId="0" borderId="0" xfId="28" applyNumberFormat="1" applyFont="1" applyFill="1" applyProtection="1">
      <protection locked="0"/>
    </xf>
    <xf numFmtId="43" fontId="8" fillId="0" borderId="0" xfId="1" applyNumberFormat="1" applyFont="1" applyFill="1" applyProtection="1">
      <protection locked="0"/>
    </xf>
    <xf numFmtId="187" fontId="5" fillId="0" borderId="0" xfId="28" applyNumberFormat="1" applyFont="1" applyFill="1" applyProtection="1"/>
    <xf numFmtId="5" fontId="5" fillId="0" borderId="0" xfId="28" applyNumberFormat="1" applyFont="1" applyFill="1"/>
    <xf numFmtId="7" fontId="5" fillId="0" borderId="0" xfId="28" applyNumberFormat="1" applyFont="1" applyFill="1" applyProtection="1"/>
    <xf numFmtId="188" fontId="5" fillId="0" borderId="0" xfId="28" applyNumberFormat="1" applyFont="1" applyFill="1" applyProtection="1"/>
    <xf numFmtId="10" fontId="11" fillId="0" borderId="0" xfId="28" applyNumberFormat="1" applyFill="1" applyBorder="1"/>
    <xf numFmtId="7" fontId="11" fillId="0" borderId="0" xfId="28" applyNumberFormat="1" applyFill="1" applyProtection="1"/>
    <xf numFmtId="4" fontId="11" fillId="0" borderId="0" xfId="28" applyNumberFormat="1" applyFill="1"/>
    <xf numFmtId="184" fontId="8" fillId="0" borderId="0" xfId="1" applyNumberFormat="1" applyFont="1" applyFill="1" applyProtection="1"/>
    <xf numFmtId="193" fontId="11" fillId="0" borderId="0" xfId="28" applyNumberFormat="1" applyFill="1"/>
    <xf numFmtId="43" fontId="8" fillId="0" borderId="0" xfId="1" applyFont="1" applyFill="1" applyProtection="1"/>
    <xf numFmtId="181" fontId="5" fillId="0" borderId="0" xfId="28" applyNumberFormat="1" applyFont="1" applyFill="1" applyProtection="1"/>
    <xf numFmtId="43" fontId="8" fillId="0" borderId="0" xfId="1" applyNumberFormat="1" applyFont="1" applyFill="1" applyProtection="1"/>
    <xf numFmtId="37" fontId="5" fillId="0" borderId="0" xfId="28" applyNumberFormat="1" applyFont="1" applyFill="1" applyBorder="1" applyProtection="1"/>
    <xf numFmtId="171" fontId="11" fillId="0" borderId="0" xfId="28" applyNumberFormat="1" applyFill="1" applyBorder="1" applyProtection="1"/>
    <xf numFmtId="166" fontId="11" fillId="0" borderId="13" xfId="14" applyNumberFormat="1" applyFont="1" applyFill="1" applyBorder="1"/>
    <xf numFmtId="181" fontId="8" fillId="0" borderId="0" xfId="28" applyNumberFormat="1" applyFont="1" applyFill="1" applyProtection="1"/>
    <xf numFmtId="185" fontId="5" fillId="0" borderId="0" xfId="28" applyNumberFormat="1" applyFont="1" applyFill="1" applyProtection="1"/>
    <xf numFmtId="174" fontId="5" fillId="0" borderId="0" xfId="28" applyNumberFormat="1" applyFont="1" applyFill="1" applyProtection="1"/>
    <xf numFmtId="188" fontId="11" fillId="0" borderId="0" xfId="28" applyNumberFormat="1" applyFont="1" applyFill="1" applyProtection="1"/>
    <xf numFmtId="181" fontId="11" fillId="0" borderId="0" xfId="28" applyNumberFormat="1" applyFont="1" applyFill="1"/>
    <xf numFmtId="37" fontId="5" fillId="0" borderId="46" xfId="28" applyNumberFormat="1" applyFont="1" applyFill="1" applyBorder="1" applyProtection="1"/>
    <xf numFmtId="185" fontId="8" fillId="0" borderId="0" xfId="1" applyNumberFormat="1" applyFont="1" applyFill="1" applyProtection="1"/>
    <xf numFmtId="185" fontId="8" fillId="0" borderId="0" xfId="28" applyNumberFormat="1" applyFont="1" applyFill="1" applyProtection="1"/>
    <xf numFmtId="5" fontId="5" fillId="0" borderId="12" xfId="28" applyNumberFormat="1" applyFont="1" applyFill="1" applyBorder="1" applyProtection="1"/>
    <xf numFmtId="37" fontId="11" fillId="0" borderId="59" xfId="28" applyNumberFormat="1" applyFont="1" applyFill="1" applyBorder="1" applyProtection="1"/>
    <xf numFmtId="5" fontId="5" fillId="0" borderId="59" xfId="28" applyNumberFormat="1" applyFont="1" applyFill="1" applyBorder="1" applyProtection="1"/>
    <xf numFmtId="0" fontId="11" fillId="0" borderId="0" xfId="28" applyFill="1" applyAlignment="1">
      <alignment horizontal="center"/>
    </xf>
    <xf numFmtId="0" fontId="8" fillId="0" borderId="0" xfId="28" applyFont="1" applyFill="1" applyProtection="1"/>
    <xf numFmtId="9" fontId="11" fillId="0" borderId="0" xfId="14" applyFont="1" applyFill="1"/>
    <xf numFmtId="167" fontId="11" fillId="0" borderId="0" xfId="28" applyNumberFormat="1" applyFill="1" applyBorder="1"/>
    <xf numFmtId="37" fontId="11" fillId="0" borderId="37" xfId="28" applyNumberFormat="1" applyFont="1" applyFill="1" applyBorder="1" applyProtection="1"/>
    <xf numFmtId="5" fontId="5" fillId="0" borderId="37" xfId="28" applyNumberFormat="1" applyFont="1" applyFill="1" applyBorder="1" applyProtection="1"/>
    <xf numFmtId="3" fontId="11" fillId="0" borderId="13" xfId="28" applyNumberFormat="1" applyFill="1" applyBorder="1"/>
    <xf numFmtId="3" fontId="11" fillId="0" borderId="0" xfId="28" applyNumberFormat="1" applyFont="1" applyFill="1" applyBorder="1"/>
    <xf numFmtId="171" fontId="11" fillId="0" borderId="0" xfId="28" applyNumberFormat="1" applyFill="1" applyBorder="1"/>
    <xf numFmtId="37" fontId="11" fillId="3" borderId="12" xfId="28" applyNumberFormat="1" applyFont="1" applyFill="1" applyBorder="1" applyProtection="1"/>
    <xf numFmtId="0" fontId="11" fillId="0" borderId="0" xfId="14" applyNumberFormat="1" applyFont="1" applyFill="1"/>
    <xf numFmtId="171" fontId="11" fillId="0" borderId="0" xfId="28" applyNumberFormat="1" applyFill="1"/>
    <xf numFmtId="5" fontId="11" fillId="0" borderId="0" xfId="2" applyNumberFormat="1" applyFont="1" applyFill="1" applyBorder="1"/>
    <xf numFmtId="5" fontId="5" fillId="0" borderId="0" xfId="28" applyNumberFormat="1" applyFont="1" applyFill="1" applyAlignment="1" applyProtection="1">
      <alignment horizontal="right"/>
    </xf>
    <xf numFmtId="189" fontId="5" fillId="0" borderId="0" xfId="28" applyNumberFormat="1" applyFont="1" applyFill="1" applyProtection="1"/>
    <xf numFmtId="185" fontId="5" fillId="0" borderId="46" xfId="28" applyNumberFormat="1" applyFont="1" applyFill="1" applyBorder="1" applyProtection="1"/>
    <xf numFmtId="0" fontId="5" fillId="0" borderId="46" xfId="28" applyFont="1" applyFill="1" applyBorder="1" applyProtection="1"/>
    <xf numFmtId="185" fontId="5" fillId="0" borderId="47" xfId="28" applyNumberFormat="1" applyFont="1" applyFill="1" applyBorder="1" applyProtection="1"/>
    <xf numFmtId="181" fontId="11" fillId="0" borderId="0" xfId="28" applyNumberFormat="1" applyFont="1" applyFill="1" applyProtection="1"/>
    <xf numFmtId="185" fontId="5" fillId="0" borderId="0" xfId="28" applyNumberFormat="1" applyFont="1" applyFill="1" applyBorder="1" applyProtection="1"/>
    <xf numFmtId="176" fontId="11" fillId="0" borderId="0" xfId="28" applyNumberFormat="1" applyFill="1" applyBorder="1"/>
    <xf numFmtId="9" fontId="11" fillId="0" borderId="0" xfId="14" applyFont="1" applyFill="1" applyBorder="1"/>
    <xf numFmtId="0" fontId="11" fillId="0" borderId="34" xfId="28" applyFill="1" applyBorder="1" applyProtection="1"/>
    <xf numFmtId="5" fontId="5" fillId="0" borderId="34" xfId="28" applyNumberFormat="1" applyFont="1" applyFill="1" applyBorder="1" applyAlignment="1" applyProtection="1">
      <alignment horizontal="right"/>
    </xf>
    <xf numFmtId="0" fontId="11" fillId="0" borderId="0" xfId="28" applyFill="1" applyBorder="1" applyProtection="1"/>
    <xf numFmtId="0" fontId="6" fillId="0" borderId="0" xfId="28" applyFont="1" applyFill="1"/>
    <xf numFmtId="0" fontId="32" fillId="0" borderId="0" xfId="28" applyFont="1" applyFill="1" applyBorder="1"/>
    <xf numFmtId="7" fontId="11" fillId="0" borderId="0" xfId="28" applyNumberFormat="1" applyFill="1" applyBorder="1"/>
    <xf numFmtId="43" fontId="11" fillId="0" borderId="0" xfId="28" applyNumberFormat="1" applyFill="1" applyBorder="1"/>
    <xf numFmtId="7" fontId="8" fillId="0" borderId="0" xfId="28" applyNumberFormat="1" applyFont="1" applyFill="1" applyBorder="1"/>
    <xf numFmtId="0" fontId="13" fillId="0" borderId="0" xfId="28" applyFont="1" applyFill="1"/>
    <xf numFmtId="5" fontId="8" fillId="0" borderId="0" xfId="28" applyNumberFormat="1" applyFont="1" applyFill="1" applyBorder="1"/>
    <xf numFmtId="7" fontId="11" fillId="0" borderId="0" xfId="2" applyNumberFormat="1" applyFont="1" applyFill="1"/>
    <xf numFmtId="44" fontId="11" fillId="0" borderId="0" xfId="2" applyFont="1" applyFill="1" applyBorder="1"/>
    <xf numFmtId="205" fontId="11" fillId="0" borderId="0" xfId="2" applyNumberFormat="1" applyFont="1" applyFill="1" applyBorder="1"/>
    <xf numFmtId="37" fontId="5" fillId="0" borderId="43" xfId="28" applyNumberFormat="1" applyFont="1" applyFill="1" applyBorder="1" applyProtection="1"/>
    <xf numFmtId="7" fontId="52" fillId="0" borderId="0" xfId="28" applyNumberFormat="1" applyFont="1" applyFill="1" applyProtection="1"/>
    <xf numFmtId="37" fontId="5" fillId="0" borderId="48" xfId="28" applyNumberFormat="1" applyFont="1" applyFill="1" applyBorder="1" applyProtection="1"/>
    <xf numFmtId="5" fontId="8" fillId="0" borderId="48" xfId="28" applyNumberFormat="1" applyFont="1" applyFill="1" applyBorder="1" applyProtection="1"/>
    <xf numFmtId="5" fontId="5" fillId="0" borderId="48" xfId="28" applyNumberFormat="1" applyFont="1" applyFill="1" applyBorder="1" applyProtection="1"/>
    <xf numFmtId="0" fontId="11" fillId="0" borderId="36" xfId="28" applyFont="1" applyFill="1" applyBorder="1"/>
    <xf numFmtId="5" fontId="11" fillId="0" borderId="38" xfId="28" applyNumberFormat="1" applyFont="1" applyFill="1" applyBorder="1"/>
    <xf numFmtId="5" fontId="11" fillId="0" borderId="13" xfId="28" applyNumberFormat="1" applyFill="1" applyBorder="1"/>
    <xf numFmtId="166" fontId="11" fillId="0" borderId="0" xfId="14" applyNumberFormat="1" applyFont="1" applyFill="1"/>
    <xf numFmtId="37" fontId="5" fillId="0" borderId="28" xfId="28" applyNumberFormat="1" applyFont="1" applyFill="1" applyBorder="1" applyProtection="1"/>
    <xf numFmtId="7" fontId="8" fillId="0" borderId="28" xfId="28" applyNumberFormat="1" applyFont="1" applyFill="1" applyBorder="1" applyProtection="1"/>
    <xf numFmtId="5" fontId="5" fillId="0" borderId="28" xfId="28" applyNumberFormat="1" applyFont="1" applyFill="1" applyBorder="1" applyProtection="1"/>
    <xf numFmtId="0" fontId="5" fillId="0" borderId="28" xfId="28" applyFont="1" applyFill="1" applyBorder="1" applyProtection="1"/>
    <xf numFmtId="7" fontId="11" fillId="0" borderId="28" xfId="28" applyNumberFormat="1" applyFont="1" applyFill="1" applyBorder="1" applyProtection="1"/>
    <xf numFmtId="5" fontId="5" fillId="0" borderId="15" xfId="28" applyNumberFormat="1" applyFont="1" applyFill="1" applyBorder="1" applyProtection="1"/>
    <xf numFmtId="0" fontId="6" fillId="0" borderId="0" xfId="28" applyFont="1" applyFill="1" applyBorder="1" applyProtection="1"/>
    <xf numFmtId="186" fontId="6" fillId="0" borderId="0" xfId="28" applyNumberFormat="1" applyFont="1" applyFill="1" applyProtection="1"/>
    <xf numFmtId="37" fontId="6" fillId="0" borderId="48" xfId="28" applyNumberFormat="1" applyFont="1" applyFill="1" applyBorder="1" applyProtection="1"/>
    <xf numFmtId="5" fontId="6" fillId="0" borderId="48" xfId="28" applyNumberFormat="1" applyFont="1" applyFill="1" applyBorder="1" applyProtection="1"/>
    <xf numFmtId="7" fontId="53" fillId="0" borderId="48" xfId="28" applyNumberFormat="1" applyFont="1" applyFill="1" applyBorder="1" applyProtection="1"/>
    <xf numFmtId="167" fontId="8" fillId="0" borderId="0" xfId="28" applyNumberFormat="1" applyFont="1" applyFill="1" applyProtection="1"/>
    <xf numFmtId="197" fontId="11" fillId="0" borderId="0" xfId="2" applyNumberFormat="1" applyFont="1" applyFill="1"/>
    <xf numFmtId="0" fontId="54" fillId="0" borderId="0" xfId="28" applyFont="1" applyFill="1" applyProtection="1"/>
    <xf numFmtId="0" fontId="13" fillId="0" borderId="0" xfId="10" applyFont="1" applyFill="1" applyAlignment="1"/>
    <xf numFmtId="0" fontId="13" fillId="0" borderId="0" xfId="10" applyFont="1" applyFill="1" applyAlignment="1">
      <alignment horizontal="centerContinuous"/>
    </xf>
    <xf numFmtId="0" fontId="13" fillId="0" borderId="0" xfId="10" quotePrefix="1" applyFont="1" applyFill="1" applyAlignment="1">
      <alignment horizontal="centerContinuous"/>
    </xf>
    <xf numFmtId="0" fontId="26" fillId="0" borderId="0" xfId="10" applyFont="1" applyFill="1" applyAlignment="1">
      <alignment horizontal="centerContinuous"/>
    </xf>
    <xf numFmtId="0" fontId="26" fillId="0" borderId="35" xfId="10" applyFont="1" applyFill="1" applyBorder="1" applyAlignment="1">
      <alignment horizontal="centerContinuous"/>
    </xf>
    <xf numFmtId="0" fontId="27" fillId="0" borderId="0" xfId="10" applyFont="1" applyFill="1" applyBorder="1" applyAlignment="1">
      <alignment horizontal="center"/>
    </xf>
    <xf numFmtId="0" fontId="26" fillId="0" borderId="35" xfId="10" applyFont="1" applyFill="1" applyBorder="1"/>
    <xf numFmtId="0" fontId="27" fillId="0" borderId="0" xfId="10" applyFont="1" applyFill="1" applyBorder="1" applyAlignment="1">
      <alignment horizontal="centerContinuous"/>
    </xf>
    <xf numFmtId="0" fontId="26" fillId="0" borderId="0" xfId="10" applyFont="1" applyFill="1" applyBorder="1" applyAlignment="1">
      <alignment horizontal="center"/>
    </xf>
    <xf numFmtId="0" fontId="27" fillId="0" borderId="0" xfId="10" applyFont="1" applyFill="1" applyAlignment="1">
      <alignment horizontal="centerContinuous"/>
    </xf>
    <xf numFmtId="0" fontId="27" fillId="0" borderId="0" xfId="10" applyFont="1" applyFill="1" applyAlignment="1">
      <alignment horizontal="center"/>
    </xf>
    <xf numFmtId="0" fontId="26" fillId="0" borderId="0" xfId="10" applyFont="1" applyFill="1" applyBorder="1" applyAlignment="1">
      <alignment horizontal="centerContinuous"/>
    </xf>
    <xf numFmtId="0" fontId="27" fillId="0" borderId="35" xfId="10" applyFont="1" applyFill="1" applyBorder="1" applyAlignment="1">
      <alignment horizontal="center"/>
    </xf>
    <xf numFmtId="0" fontId="26" fillId="0" borderId="0" xfId="10" applyFont="1" applyFill="1" applyBorder="1"/>
    <xf numFmtId="0" fontId="27" fillId="0" borderId="34" xfId="10" applyFont="1" applyFill="1" applyBorder="1" applyAlignment="1">
      <alignment horizontal="center"/>
    </xf>
    <xf numFmtId="0" fontId="27" fillId="0" borderId="34" xfId="10" quotePrefix="1" applyFont="1" applyFill="1" applyBorder="1" applyAlignment="1">
      <alignment horizontal="center"/>
    </xf>
    <xf numFmtId="0" fontId="27" fillId="0" borderId="34" xfId="10" quotePrefix="1" applyFont="1" applyFill="1" applyBorder="1" applyAlignment="1">
      <alignment horizontal="centerContinuous"/>
    </xf>
    <xf numFmtId="0" fontId="27" fillId="0" borderId="12" xfId="10" applyFont="1" applyFill="1" applyBorder="1" applyAlignment="1">
      <alignment horizontal="center"/>
    </xf>
    <xf numFmtId="211" fontId="26" fillId="0" borderId="0" xfId="10" applyNumberFormat="1" applyFont="1" applyFill="1" applyAlignment="1">
      <alignment horizontal="center"/>
    </xf>
    <xf numFmtId="211" fontId="26" fillId="0" borderId="0" xfId="10" applyNumberFormat="1" applyFont="1" applyFill="1" applyAlignment="1">
      <alignment horizontal="centerContinuous"/>
    </xf>
    <xf numFmtId="0" fontId="26" fillId="0" borderId="0" xfId="10" quotePrefix="1" applyFont="1" applyFill="1" applyAlignment="1">
      <alignment horizontal="centerContinuous"/>
    </xf>
    <xf numFmtId="0" fontId="82" fillId="0" borderId="0" xfId="10" applyFont="1" applyFill="1"/>
    <xf numFmtId="0" fontId="26" fillId="0" borderId="0" xfId="10" applyFont="1" applyFill="1" applyAlignment="1">
      <alignment horizontal="left"/>
    </xf>
    <xf numFmtId="0" fontId="26" fillId="0" borderId="0" xfId="10" quotePrefix="1" applyFont="1" applyFill="1" applyAlignment="1">
      <alignment horizontal="center"/>
    </xf>
    <xf numFmtId="37" fontId="26" fillId="0" borderId="0" xfId="10" applyNumberFormat="1" applyFont="1" applyFill="1" applyAlignment="1" applyProtection="1">
      <alignment horizontal="right"/>
    </xf>
    <xf numFmtId="37" fontId="26" fillId="0" borderId="0" xfId="10" applyNumberFormat="1" applyFont="1" applyFill="1" applyProtection="1"/>
    <xf numFmtId="5" fontId="26" fillId="0" borderId="0" xfId="10" applyNumberFormat="1" applyFont="1" applyFill="1" applyProtection="1"/>
    <xf numFmtId="5" fontId="26" fillId="0" borderId="35" xfId="10" applyNumberFormat="1" applyFont="1" applyFill="1" applyBorder="1" applyProtection="1"/>
    <xf numFmtId="212" fontId="26" fillId="0" borderId="0" xfId="1" applyNumberFormat="1" applyFont="1" applyFill="1"/>
    <xf numFmtId="5" fontId="26" fillId="0" borderId="0" xfId="10" applyNumberFormat="1" applyFont="1" applyFill="1" applyBorder="1" applyProtection="1"/>
    <xf numFmtId="212" fontId="26" fillId="0" borderId="0" xfId="10" applyNumberFormat="1" applyFont="1" applyFill="1"/>
    <xf numFmtId="37" fontId="26" fillId="0" borderId="28" xfId="10" applyNumberFormat="1" applyFont="1" applyFill="1" applyBorder="1" applyProtection="1"/>
    <xf numFmtId="5" fontId="26" fillId="0" borderId="28" xfId="10" applyNumberFormat="1" applyFont="1" applyFill="1" applyBorder="1" applyProtection="1"/>
    <xf numFmtId="212" fontId="26" fillId="0" borderId="28" xfId="1" applyNumberFormat="1" applyFont="1" applyFill="1" applyBorder="1"/>
    <xf numFmtId="37" fontId="26" fillId="0" borderId="12" xfId="10" applyNumberFormat="1" applyFont="1" applyFill="1" applyBorder="1" applyAlignment="1" applyProtection="1">
      <alignment horizontal="right"/>
    </xf>
    <xf numFmtId="37" fontId="26" fillId="0" borderId="12" xfId="10" applyNumberFormat="1" applyFont="1" applyFill="1" applyBorder="1" applyProtection="1"/>
    <xf numFmtId="5" fontId="26" fillId="0" borderId="12" xfId="10" applyNumberFormat="1" applyFont="1" applyFill="1" applyBorder="1" applyProtection="1"/>
    <xf numFmtId="5" fontId="26" fillId="0" borderId="13" xfId="10" applyNumberFormat="1" applyFont="1" applyFill="1" applyBorder="1" applyProtection="1"/>
    <xf numFmtId="212" fontId="26" fillId="0" borderId="12" xfId="1" applyNumberFormat="1" applyFont="1" applyFill="1" applyBorder="1"/>
    <xf numFmtId="212" fontId="26" fillId="0" borderId="12" xfId="10" applyNumberFormat="1" applyFont="1" applyFill="1" applyBorder="1"/>
    <xf numFmtId="5" fontId="26" fillId="0" borderId="0" xfId="10" applyNumberFormat="1" applyFont="1" applyFill="1" applyAlignment="1" applyProtection="1">
      <alignment horizontal="right"/>
    </xf>
    <xf numFmtId="5" fontId="26" fillId="0" borderId="35" xfId="10" applyNumberFormat="1" applyFont="1" applyFill="1" applyBorder="1" applyAlignment="1" applyProtection="1">
      <alignment horizontal="right"/>
    </xf>
    <xf numFmtId="212" fontId="26" fillId="0" borderId="0" xfId="10" applyNumberFormat="1" applyFont="1" applyFill="1" applyBorder="1"/>
    <xf numFmtId="37" fontId="26" fillId="0" borderId="43" xfId="10" applyNumberFormat="1" applyFont="1" applyFill="1" applyBorder="1" applyProtection="1"/>
    <xf numFmtId="5" fontId="26" fillId="0" borderId="43" xfId="10" applyNumberFormat="1" applyFont="1" applyFill="1" applyBorder="1" applyProtection="1"/>
    <xf numFmtId="212" fontId="26" fillId="0" borderId="18" xfId="1" applyNumberFormat="1" applyFont="1" applyFill="1" applyBorder="1"/>
    <xf numFmtId="5" fontId="26" fillId="0" borderId="18" xfId="10" applyNumberFormat="1" applyFont="1" applyFill="1" applyBorder="1" applyProtection="1"/>
    <xf numFmtId="0" fontId="29" fillId="0" borderId="0" xfId="10" quotePrefix="1" applyFont="1" applyFill="1"/>
    <xf numFmtId="0" fontId="28" fillId="0" borderId="0" xfId="10" quotePrefix="1" applyFont="1" applyFill="1"/>
    <xf numFmtId="37" fontId="26" fillId="0" borderId="0" xfId="10" applyNumberFormat="1" applyFont="1" applyFill="1"/>
    <xf numFmtId="0" fontId="80" fillId="0" borderId="0" xfId="40" applyFill="1" applyAlignment="1">
      <alignment horizontal="center"/>
    </xf>
    <xf numFmtId="0" fontId="83" fillId="0" borderId="0" xfId="40" applyFont="1" applyFill="1" applyAlignment="1">
      <alignment horizontal="centerContinuous"/>
    </xf>
    <xf numFmtId="0" fontId="84" fillId="0" borderId="0" xfId="40" applyFont="1" applyFill="1" applyAlignment="1">
      <alignment horizontal="centerContinuous"/>
    </xf>
    <xf numFmtId="0" fontId="80" fillId="0" borderId="0" xfId="40" applyFill="1" applyAlignment="1">
      <alignment horizontal="centerContinuous"/>
    </xf>
    <xf numFmtId="0" fontId="80" fillId="0" borderId="0" xfId="40" applyFill="1"/>
    <xf numFmtId="37" fontId="83" fillId="0" borderId="0" xfId="40" applyNumberFormat="1" applyFont="1" applyFill="1" applyAlignment="1" applyProtection="1">
      <alignment horizontal="centerContinuous"/>
    </xf>
    <xf numFmtId="37" fontId="84" fillId="0" borderId="0" xfId="40" applyNumberFormat="1" applyFont="1" applyFill="1" applyAlignment="1" applyProtection="1">
      <alignment horizontal="centerContinuous"/>
    </xf>
    <xf numFmtId="0" fontId="84" fillId="0" borderId="0" xfId="40" applyFont="1" applyFill="1"/>
    <xf numFmtId="0" fontId="84" fillId="0" borderId="0" xfId="42" applyFont="1" applyFill="1" applyAlignment="1">
      <alignment horizontal="center"/>
    </xf>
    <xf numFmtId="0" fontId="84" fillId="0" borderId="0" xfId="40" applyFont="1" applyFill="1" applyAlignment="1">
      <alignment horizontal="center"/>
    </xf>
    <xf numFmtId="17" fontId="84" fillId="0" borderId="0" xfId="42" applyNumberFormat="1" applyFont="1" applyFill="1" applyAlignment="1">
      <alignment horizontal="center"/>
    </xf>
    <xf numFmtId="17" fontId="84" fillId="0" borderId="0" xfId="40" applyNumberFormat="1" applyFont="1" applyFill="1" applyAlignment="1">
      <alignment horizontal="center"/>
    </xf>
    <xf numFmtId="14" fontId="84" fillId="0" borderId="0" xfId="42" applyNumberFormat="1" applyFont="1" applyFill="1" applyAlignment="1">
      <alignment horizontal="center"/>
    </xf>
    <xf numFmtId="14" fontId="84" fillId="0" borderId="0" xfId="41" applyNumberFormat="1" applyFont="1" applyFill="1" applyAlignment="1">
      <alignment horizontal="center"/>
    </xf>
    <xf numFmtId="0" fontId="85" fillId="0" borderId="0" xfId="42" applyFont="1" applyFill="1" applyAlignment="1">
      <alignment horizontal="center"/>
    </xf>
    <xf numFmtId="0" fontId="85" fillId="0" borderId="0" xfId="40" applyFont="1" applyFill="1" applyAlignment="1">
      <alignment horizontal="center"/>
    </xf>
    <xf numFmtId="14" fontId="85" fillId="0" borderId="0" xfId="40" applyNumberFormat="1" applyFont="1" applyFill="1" applyAlignment="1">
      <alignment horizontal="center"/>
    </xf>
    <xf numFmtId="37" fontId="86" fillId="0" borderId="0" xfId="42" applyNumberFormat="1" applyFont="1" applyFill="1" applyProtection="1"/>
    <xf numFmtId="5" fontId="86" fillId="0" borderId="0" xfId="42" applyNumberFormat="1" applyFont="1" applyFill="1" applyProtection="1"/>
    <xf numFmtId="0" fontId="83" fillId="0" borderId="0" xfId="40" applyFont="1" applyFill="1"/>
    <xf numFmtId="37" fontId="83" fillId="0" borderId="0" xfId="40" applyNumberFormat="1" applyFont="1" applyFill="1"/>
    <xf numFmtId="5" fontId="83" fillId="0" borderId="0" xfId="40" applyNumberFormat="1" applyFont="1" applyFill="1" applyProtection="1"/>
    <xf numFmtId="37" fontId="87" fillId="0" borderId="0" xfId="42" applyNumberFormat="1" applyFont="1" applyFill="1" applyProtection="1"/>
    <xf numFmtId="5" fontId="87" fillId="0" borderId="0" xfId="42" applyNumberFormat="1" applyFont="1" applyFill="1" applyProtection="1"/>
    <xf numFmtId="37" fontId="84" fillId="0" borderId="0" xfId="40" applyNumberFormat="1" applyFont="1" applyFill="1" applyProtection="1"/>
    <xf numFmtId="5" fontId="84" fillId="0" borderId="0" xfId="40" applyNumberFormat="1" applyFont="1" applyFill="1" applyProtection="1"/>
    <xf numFmtId="174" fontId="84" fillId="0" borderId="0" xfId="40" applyNumberFormat="1" applyFont="1" applyFill="1" applyProtection="1"/>
    <xf numFmtId="5" fontId="84" fillId="0" borderId="0" xfId="42" applyNumberFormat="1" applyFont="1" applyFill="1" applyProtection="1"/>
    <xf numFmtId="37" fontId="85" fillId="0" borderId="0" xfId="40" applyNumberFormat="1" applyFont="1" applyFill="1" applyProtection="1"/>
    <xf numFmtId="5" fontId="85" fillId="0" borderId="0" xfId="42" applyNumberFormat="1" applyFont="1" applyFill="1" applyProtection="1"/>
    <xf numFmtId="5" fontId="85" fillId="0" borderId="0" xfId="40" applyNumberFormat="1" applyFont="1" applyFill="1" applyProtection="1"/>
    <xf numFmtId="0" fontId="84" fillId="0" borderId="0" xfId="40" applyFont="1" applyFill="1" applyAlignment="1">
      <alignment horizontal="right"/>
    </xf>
    <xf numFmtId="37" fontId="88" fillId="0" borderId="0" xfId="42" applyNumberFormat="1" applyFont="1" applyFill="1" applyProtection="1"/>
    <xf numFmtId="5" fontId="80" fillId="0" borderId="0" xfId="40" applyNumberFormat="1" applyFill="1"/>
    <xf numFmtId="37" fontId="80" fillId="0" borderId="0" xfId="40" applyNumberFormat="1" applyFill="1"/>
    <xf numFmtId="5" fontId="89" fillId="0" borderId="0" xfId="40" applyNumberFormat="1" applyFont="1" applyFill="1" applyProtection="1"/>
    <xf numFmtId="0" fontId="84" fillId="0" borderId="0" xfId="42" applyFont="1" applyFill="1" applyAlignment="1">
      <alignment horizontal="right"/>
    </xf>
    <xf numFmtId="168" fontId="84" fillId="0" borderId="0" xfId="1" applyNumberFormat="1" applyFont="1" applyFill="1" applyBorder="1" applyAlignment="1">
      <alignment horizontal="left"/>
    </xf>
    <xf numFmtId="179" fontId="80" fillId="0" borderId="0" xfId="1" applyNumberFormat="1" applyFont="1" applyFill="1"/>
    <xf numFmtId="184" fontId="84" fillId="0" borderId="0" xfId="1" applyNumberFormat="1" applyFont="1" applyFill="1" applyProtection="1"/>
    <xf numFmtId="174" fontId="85" fillId="0" borderId="0" xfId="40" applyNumberFormat="1" applyFont="1" applyFill="1" applyProtection="1"/>
    <xf numFmtId="5" fontId="11" fillId="0" borderId="26" xfId="0" applyNumberFormat="1" applyFont="1" applyFill="1" applyBorder="1" applyProtection="1"/>
    <xf numFmtId="5" fontId="11" fillId="0" borderId="70" xfId="0" applyNumberFormat="1" applyFont="1" applyFill="1" applyBorder="1" applyProtection="1"/>
    <xf numFmtId="0" fontId="4" fillId="0" borderId="0" xfId="39" applyFont="1" applyFill="1" applyBorder="1"/>
    <xf numFmtId="171" fontId="4" fillId="0" borderId="0" xfId="43" applyNumberFormat="1" applyFont="1" applyFill="1" applyBorder="1"/>
    <xf numFmtId="0" fontId="4" fillId="0" borderId="0" xfId="39" applyFill="1"/>
    <xf numFmtId="0" fontId="37" fillId="3" borderId="0" xfId="39" applyFont="1" applyFill="1" applyBorder="1"/>
    <xf numFmtId="168" fontId="37" fillId="3" borderId="0" xfId="27" applyNumberFormat="1" applyFont="1" applyFill="1" applyBorder="1"/>
    <xf numFmtId="0" fontId="37" fillId="0" borderId="0" xfId="39" applyFont="1" applyFill="1"/>
    <xf numFmtId="0" fontId="37" fillId="3" borderId="36" xfId="39" applyFont="1" applyFill="1" applyBorder="1"/>
    <xf numFmtId="0" fontId="37" fillId="3" borderId="28" xfId="39" applyFont="1" applyFill="1" applyBorder="1"/>
    <xf numFmtId="0" fontId="37" fillId="3" borderId="38" xfId="39" applyFont="1" applyFill="1" applyBorder="1"/>
    <xf numFmtId="0" fontId="37" fillId="3" borderId="60" xfId="39" applyFont="1" applyFill="1" applyBorder="1"/>
    <xf numFmtId="0" fontId="37" fillId="3" borderId="19" xfId="39" applyFont="1" applyFill="1" applyBorder="1"/>
    <xf numFmtId="0" fontId="37" fillId="3" borderId="12" xfId="39" applyFont="1" applyFill="1" applyBorder="1"/>
    <xf numFmtId="0" fontId="37" fillId="3" borderId="13" xfId="39" applyFont="1" applyFill="1" applyBorder="1"/>
    <xf numFmtId="0" fontId="37" fillId="3" borderId="44" xfId="39" applyFont="1" applyFill="1" applyBorder="1"/>
    <xf numFmtId="0" fontId="4" fillId="3" borderId="5" xfId="39" applyFont="1" applyFill="1" applyBorder="1"/>
    <xf numFmtId="0" fontId="4" fillId="3" borderId="4" xfId="39" applyFont="1" applyFill="1" applyBorder="1"/>
    <xf numFmtId="168" fontId="4" fillId="3" borderId="5" xfId="27" applyNumberFormat="1" applyFont="1" applyFill="1" applyBorder="1"/>
    <xf numFmtId="168" fontId="4" fillId="3" borderId="0" xfId="27" applyNumberFormat="1" applyFont="1" applyFill="1" applyBorder="1"/>
    <xf numFmtId="168" fontId="4" fillId="3" borderId="4" xfId="27" applyNumberFormat="1" applyFont="1" applyFill="1" applyBorder="1"/>
    <xf numFmtId="0" fontId="4" fillId="3" borderId="19" xfId="39" applyFont="1" applyFill="1" applyBorder="1"/>
    <xf numFmtId="0" fontId="4" fillId="3" borderId="13" xfId="39" applyFont="1" applyFill="1" applyBorder="1"/>
    <xf numFmtId="168" fontId="4" fillId="3" borderId="19" xfId="27" applyNumberFormat="1" applyFont="1" applyFill="1" applyBorder="1"/>
    <xf numFmtId="168" fontId="4" fillId="3" borderId="12" xfId="27" applyNumberFormat="1" applyFont="1" applyFill="1" applyBorder="1"/>
    <xf numFmtId="168" fontId="4" fillId="3" borderId="13" xfId="27" applyNumberFormat="1" applyFont="1" applyFill="1" applyBorder="1"/>
    <xf numFmtId="4" fontId="4" fillId="0" borderId="0" xfId="39" applyNumberFormat="1" applyFill="1"/>
    <xf numFmtId="0" fontId="4" fillId="0" borderId="0" xfId="39" applyFont="1" applyFill="1"/>
    <xf numFmtId="173" fontId="11" fillId="0" borderId="30" xfId="28" applyNumberFormat="1" applyFont="1" applyFill="1" applyBorder="1"/>
    <xf numFmtId="0" fontId="11" fillId="0" borderId="12" xfId="28" applyFont="1" applyFill="1" applyBorder="1" applyAlignment="1" applyProtection="1">
      <alignment horizontal="left"/>
    </xf>
    <xf numFmtId="0" fontId="45" fillId="0" borderId="0" xfId="28" applyFont="1" applyFill="1" applyAlignment="1">
      <alignment horizontal="centerContinuous"/>
    </xf>
    <xf numFmtId="0" fontId="11" fillId="0" borderId="0" xfId="28" applyFill="1" applyAlignment="1" applyProtection="1">
      <alignment horizontal="centerContinuous"/>
    </xf>
    <xf numFmtId="37" fontId="11" fillId="0" borderId="0" xfId="28" applyNumberFormat="1" applyFill="1" applyAlignment="1" applyProtection="1">
      <alignment horizontal="centerContinuous"/>
    </xf>
    <xf numFmtId="0" fontId="11" fillId="3" borderId="0" xfId="28" applyFont="1" applyFill="1"/>
    <xf numFmtId="0" fontId="11" fillId="3" borderId="0" xfId="28" applyFill="1"/>
    <xf numFmtId="37" fontId="5" fillId="3" borderId="0" xfId="28" applyNumberFormat="1" applyFont="1" applyFill="1" applyProtection="1"/>
    <xf numFmtId="7" fontId="8" fillId="3" borderId="0" xfId="2" applyNumberFormat="1" applyFont="1" applyFill="1" applyBorder="1"/>
    <xf numFmtId="0" fontId="11" fillId="3" borderId="0" xfId="28" applyFill="1" applyBorder="1"/>
    <xf numFmtId="5" fontId="5" fillId="3" borderId="0" xfId="28" applyNumberFormat="1" applyFont="1" applyFill="1" applyProtection="1"/>
    <xf numFmtId="185" fontId="8" fillId="3" borderId="0" xfId="28" applyNumberFormat="1" applyFont="1" applyFill="1" applyProtection="1">
      <protection locked="0"/>
    </xf>
    <xf numFmtId="0" fontId="5" fillId="3" borderId="0" xfId="28" applyFont="1" applyFill="1" applyProtection="1"/>
    <xf numFmtId="37" fontId="11" fillId="3" borderId="0" xfId="28" applyNumberFormat="1" applyFont="1" applyFill="1" applyProtection="1"/>
    <xf numFmtId="0" fontId="11" fillId="3" borderId="0" xfId="28" applyFont="1" applyFill="1" applyProtection="1"/>
    <xf numFmtId="5" fontId="11" fillId="3" borderId="0" xfId="28" applyNumberFormat="1" applyFont="1" applyFill="1" applyBorder="1" applyProtection="1"/>
    <xf numFmtId="184" fontId="8" fillId="3" borderId="0" xfId="1" applyNumberFormat="1" applyFont="1" applyFill="1" applyProtection="1">
      <protection locked="0"/>
    </xf>
    <xf numFmtId="5" fontId="11" fillId="3" borderId="0" xfId="28" applyNumberFormat="1" applyFont="1" applyFill="1" applyProtection="1"/>
    <xf numFmtId="184" fontId="8" fillId="3" borderId="0" xfId="1" applyNumberFormat="1" applyFont="1" applyFill="1" applyProtection="1"/>
    <xf numFmtId="185" fontId="8" fillId="3" borderId="0" xfId="28" applyNumberFormat="1" applyFont="1" applyFill="1" applyProtection="1"/>
    <xf numFmtId="37" fontId="11" fillId="3" borderId="0" xfId="28" applyNumberFormat="1" applyFill="1"/>
    <xf numFmtId="0" fontId="8" fillId="3" borderId="0" xfId="28" applyFont="1" applyFill="1" applyProtection="1"/>
    <xf numFmtId="181" fontId="8" fillId="3" borderId="0" xfId="28" applyNumberFormat="1" applyFont="1" applyFill="1" applyProtection="1"/>
    <xf numFmtId="176" fontId="11" fillId="0" borderId="0" xfId="0" applyNumberFormat="1" applyFont="1" applyFill="1"/>
    <xf numFmtId="5" fontId="11" fillId="0" borderId="12" xfId="28" applyNumberFormat="1" applyFont="1" applyFill="1" applyBorder="1" applyProtection="1"/>
    <xf numFmtId="5" fontId="5" fillId="0" borderId="0" xfId="0" applyNumberFormat="1" applyFont="1" applyFill="1" applyBorder="1" applyAlignment="1" applyProtection="1">
      <alignment horizontal="right"/>
    </xf>
    <xf numFmtId="41" fontId="90" fillId="0" borderId="0" xfId="34" applyFont="1" applyFill="1" applyAlignment="1">
      <alignment horizontal="left"/>
    </xf>
    <xf numFmtId="41" fontId="91" fillId="0" borderId="0" xfId="34" applyFont="1" applyFill="1"/>
    <xf numFmtId="41" fontId="92" fillId="0" borderId="0" xfId="34" applyFont="1" applyFill="1"/>
    <xf numFmtId="41" fontId="90" fillId="0" borderId="0" xfId="34" applyFont="1" applyFill="1" applyAlignment="1">
      <alignment horizontal="centerContinuous"/>
    </xf>
    <xf numFmtId="1" fontId="90" fillId="0" borderId="0" xfId="34" applyNumberFormat="1" applyFont="1" applyFill="1" applyAlignment="1">
      <alignment horizontal="centerContinuous"/>
    </xf>
    <xf numFmtId="41" fontId="90" fillId="0" borderId="0" xfId="34" applyFont="1" applyFill="1" applyAlignment="1" applyProtection="1">
      <alignment horizontal="centerContinuous"/>
      <protection locked="0"/>
    </xf>
    <xf numFmtId="41" fontId="92" fillId="0" borderId="0" xfId="34" applyFont="1" applyFill="1" applyProtection="1">
      <protection locked="0"/>
    </xf>
    <xf numFmtId="41" fontId="92" fillId="0" borderId="0" xfId="34" applyFont="1" applyFill="1" applyAlignment="1" applyProtection="1">
      <alignment horizontal="center"/>
      <protection locked="0"/>
    </xf>
    <xf numFmtId="41" fontId="92" fillId="0" borderId="71" xfId="44" applyFont="1" applyFill="1" applyBorder="1" applyProtection="1">
      <protection locked="0"/>
    </xf>
    <xf numFmtId="41" fontId="92" fillId="0" borderId="71" xfId="44" applyFont="1" applyFill="1" applyBorder="1" applyAlignment="1" applyProtection="1">
      <alignment horizontal="center"/>
      <protection locked="0"/>
    </xf>
    <xf numFmtId="41" fontId="92" fillId="0" borderId="0" xfId="44" applyFont="1" applyFill="1"/>
    <xf numFmtId="41" fontId="92" fillId="0" borderId="72" xfId="44" applyFont="1" applyFill="1" applyBorder="1" applyAlignment="1" applyProtection="1">
      <alignment horizontal="center"/>
      <protection locked="0"/>
    </xf>
    <xf numFmtId="41" fontId="92" fillId="0" borderId="73" xfId="44" applyFont="1" applyFill="1" applyBorder="1" applyAlignment="1" applyProtection="1">
      <alignment horizontal="center"/>
      <protection locked="0"/>
    </xf>
    <xf numFmtId="41" fontId="92" fillId="0" borderId="73" xfId="44" applyFont="1" applyFill="1" applyBorder="1" applyProtection="1">
      <protection locked="0"/>
    </xf>
    <xf numFmtId="41" fontId="92" fillId="0" borderId="0" xfId="44" applyFont="1" applyFill="1" applyBorder="1"/>
    <xf numFmtId="213" fontId="92" fillId="0" borderId="74" xfId="44" applyNumberFormat="1" applyFont="1" applyFill="1" applyBorder="1" applyAlignment="1" applyProtection="1">
      <alignment horizontal="center"/>
      <protection locked="0"/>
    </xf>
    <xf numFmtId="41" fontId="92" fillId="0" borderId="74" xfId="44" quotePrefix="1" applyFont="1" applyFill="1" applyBorder="1" applyAlignment="1" applyProtection="1">
      <alignment horizontal="center"/>
      <protection locked="0"/>
    </xf>
    <xf numFmtId="41" fontId="92" fillId="0" borderId="74" xfId="44" applyFont="1" applyFill="1" applyBorder="1" applyProtection="1">
      <protection locked="0"/>
    </xf>
    <xf numFmtId="37" fontId="92" fillId="0" borderId="74" xfId="44" applyNumberFormat="1" applyFont="1" applyFill="1" applyBorder="1" applyProtection="1">
      <protection locked="0"/>
    </xf>
    <xf numFmtId="10" fontId="92" fillId="0" borderId="74" xfId="44" applyNumberFormat="1" applyFont="1" applyFill="1" applyBorder="1" applyProtection="1">
      <protection locked="0"/>
    </xf>
    <xf numFmtId="39" fontId="92" fillId="0" borderId="74" xfId="44" applyNumberFormat="1" applyFont="1" applyFill="1" applyBorder="1" applyProtection="1">
      <protection locked="0"/>
    </xf>
    <xf numFmtId="37" fontId="92" fillId="0" borderId="74" xfId="44" applyNumberFormat="1" applyFont="1" applyFill="1" applyBorder="1" applyAlignment="1" applyProtection="1">
      <alignment horizontal="center"/>
      <protection locked="0"/>
    </xf>
    <xf numFmtId="41" fontId="92" fillId="0" borderId="74" xfId="44" applyFont="1" applyFill="1" applyBorder="1" applyAlignment="1" applyProtection="1">
      <alignment horizontal="center"/>
      <protection locked="0"/>
    </xf>
    <xf numFmtId="37" fontId="92" fillId="0" borderId="72" xfId="44" applyNumberFormat="1" applyFont="1" applyFill="1" applyBorder="1" applyAlignment="1" applyProtection="1">
      <alignment horizontal="center"/>
      <protection locked="0"/>
    </xf>
    <xf numFmtId="41" fontId="92" fillId="0" borderId="72" xfId="44" applyFont="1" applyFill="1" applyBorder="1" applyProtection="1">
      <protection locked="0"/>
    </xf>
    <xf numFmtId="37" fontId="92" fillId="0" borderId="72" xfId="44" applyNumberFormat="1" applyFont="1" applyFill="1" applyBorder="1" applyProtection="1">
      <protection locked="0"/>
    </xf>
    <xf numFmtId="39" fontId="92" fillId="0" borderId="72" xfId="44" applyNumberFormat="1" applyFont="1" applyFill="1" applyBorder="1" applyProtection="1">
      <protection locked="0"/>
    </xf>
    <xf numFmtId="10" fontId="92" fillId="0" borderId="72" xfId="44" applyNumberFormat="1" applyFont="1" applyFill="1" applyBorder="1" applyProtection="1">
      <protection locked="0"/>
    </xf>
    <xf numFmtId="10" fontId="92" fillId="0" borderId="72" xfId="14" applyNumberFormat="1" applyFont="1" applyFill="1" applyBorder="1" applyProtection="1">
      <protection locked="0"/>
    </xf>
    <xf numFmtId="37" fontId="92" fillId="0" borderId="73" xfId="44" applyNumberFormat="1" applyFont="1" applyFill="1" applyBorder="1" applyAlignment="1" applyProtection="1">
      <alignment horizontal="center"/>
      <protection locked="0"/>
    </xf>
    <xf numFmtId="5" fontId="92" fillId="0" borderId="73" xfId="44" applyNumberFormat="1" applyFont="1" applyFill="1" applyBorder="1" applyProtection="1">
      <protection locked="0"/>
    </xf>
    <xf numFmtId="10" fontId="92" fillId="0" borderId="73" xfId="44" applyNumberFormat="1" applyFont="1" applyFill="1" applyBorder="1" applyProtection="1">
      <protection locked="0"/>
    </xf>
    <xf numFmtId="39" fontId="92" fillId="0" borderId="73" xfId="44" applyNumberFormat="1" applyFont="1" applyFill="1" applyBorder="1" applyProtection="1">
      <protection locked="0"/>
    </xf>
    <xf numFmtId="37" fontId="92" fillId="0" borderId="73" xfId="44" applyNumberFormat="1" applyFont="1" applyFill="1" applyBorder="1" applyProtection="1">
      <protection locked="0"/>
    </xf>
    <xf numFmtId="10" fontId="92" fillId="0" borderId="73" xfId="14" applyNumberFormat="1" applyFont="1" applyFill="1" applyBorder="1" applyProtection="1">
      <protection locked="0"/>
    </xf>
    <xf numFmtId="5" fontId="92" fillId="0" borderId="0" xfId="14" applyNumberFormat="1" applyFont="1" applyFill="1" applyBorder="1" applyProtection="1">
      <protection locked="0"/>
    </xf>
    <xf numFmtId="5" fontId="92" fillId="0" borderId="0" xfId="44" applyNumberFormat="1" applyFont="1" applyFill="1" applyBorder="1" applyProtection="1">
      <protection locked="0"/>
    </xf>
    <xf numFmtId="7" fontId="92" fillId="0" borderId="0" xfId="14" applyNumberFormat="1" applyFont="1" applyFill="1" applyBorder="1" applyProtection="1">
      <protection locked="0"/>
    </xf>
    <xf numFmtId="37" fontId="92" fillId="0" borderId="0" xfId="14" applyNumberFormat="1" applyFont="1" applyFill="1" applyBorder="1" applyProtection="1">
      <protection locked="0"/>
    </xf>
    <xf numFmtId="214" fontId="92" fillId="0" borderId="0" xfId="44" applyNumberFormat="1" applyFont="1" applyFill="1" applyBorder="1"/>
    <xf numFmtId="41" fontId="90" fillId="0" borderId="71" xfId="44" applyFont="1" applyFill="1" applyBorder="1" applyAlignment="1" applyProtection="1">
      <alignment horizontal="center"/>
      <protection locked="0"/>
    </xf>
    <xf numFmtId="41" fontId="90" fillId="0" borderId="72" xfId="44" applyFont="1" applyFill="1" applyBorder="1" applyAlignment="1" applyProtection="1">
      <alignment horizontal="center"/>
      <protection locked="0"/>
    </xf>
    <xf numFmtId="41" fontId="90" fillId="0" borderId="73" xfId="44" applyFont="1" applyFill="1" applyBorder="1" applyAlignment="1" applyProtection="1">
      <alignment horizontal="center"/>
      <protection locked="0"/>
    </xf>
    <xf numFmtId="10" fontId="90" fillId="0" borderId="74" xfId="14" applyNumberFormat="1" applyFont="1" applyFill="1" applyBorder="1" applyProtection="1">
      <protection locked="0"/>
    </xf>
    <xf numFmtId="37" fontId="90" fillId="0" borderId="74" xfId="44" applyNumberFormat="1" applyFont="1" applyFill="1" applyBorder="1" applyProtection="1">
      <protection locked="0"/>
    </xf>
    <xf numFmtId="37" fontId="90" fillId="0" borderId="72" xfId="44" applyNumberFormat="1" applyFont="1" applyFill="1" applyBorder="1" applyProtection="1">
      <protection locked="0"/>
    </xf>
    <xf numFmtId="41" fontId="90" fillId="0" borderId="72" xfId="44" applyFont="1" applyFill="1" applyBorder="1" applyProtection="1">
      <protection locked="0"/>
    </xf>
    <xf numFmtId="5" fontId="90" fillId="0" borderId="73" xfId="44" applyNumberFormat="1" applyFont="1" applyFill="1" applyBorder="1" applyProtection="1">
      <protection locked="0"/>
    </xf>
    <xf numFmtId="37" fontId="90" fillId="0" borderId="73" xfId="44" applyNumberFormat="1" applyFont="1" applyFill="1" applyBorder="1" applyProtection="1">
      <protection locked="0"/>
    </xf>
    <xf numFmtId="10" fontId="5" fillId="0" borderId="0" xfId="0" applyNumberFormat="1" applyFont="1" applyFill="1" applyProtection="1"/>
    <xf numFmtId="5" fontId="8" fillId="0" borderId="0" xfId="0" applyNumberFormat="1" applyFont="1" applyFill="1" applyProtection="1">
      <protection locked="0"/>
    </xf>
    <xf numFmtId="10" fontId="0" fillId="0" borderId="36" xfId="0" applyNumberFormat="1" applyFill="1" applyBorder="1"/>
    <xf numFmtId="171" fontId="0" fillId="0" borderId="28" xfId="14" applyNumberFormat="1" applyFont="1" applyFill="1" applyBorder="1"/>
    <xf numFmtId="168" fontId="0" fillId="0" borderId="0" xfId="0" applyNumberFormat="1" applyFont="1" applyFill="1" applyBorder="1" applyProtection="1"/>
    <xf numFmtId="168" fontId="12" fillId="0" borderId="0" xfId="1" applyNumberFormat="1" applyFont="1" applyFill="1" applyBorder="1" applyProtection="1"/>
    <xf numFmtId="10" fontId="0" fillId="0" borderId="28" xfId="0" applyNumberFormat="1" applyFill="1" applyBorder="1"/>
    <xf numFmtId="10" fontId="49" fillId="0" borderId="0" xfId="7" applyNumberFormat="1" applyFont="1" applyFill="1" applyBorder="1"/>
    <xf numFmtId="39" fontId="8" fillId="0" borderId="0" xfId="0" applyNumberFormat="1" applyFont="1" applyFill="1" applyProtection="1">
      <protection locked="0"/>
    </xf>
    <xf numFmtId="171" fontId="0" fillId="0" borderId="0" xfId="0" applyNumberFormat="1" applyFill="1" applyBorder="1"/>
    <xf numFmtId="5" fontId="11" fillId="0" borderId="34" xfId="0" applyNumberFormat="1" applyFont="1" applyFill="1" applyBorder="1" applyProtection="1"/>
    <xf numFmtId="5" fontId="11" fillId="3" borderId="0" xfId="28" applyNumberFormat="1" applyFill="1"/>
    <xf numFmtId="168" fontId="11" fillId="3" borderId="0" xfId="1" applyNumberFormat="1" applyFont="1" applyFill="1"/>
    <xf numFmtId="171" fontId="0" fillId="3" borderId="0" xfId="14" applyNumberFormat="1" applyFont="1" applyFill="1" applyBorder="1"/>
    <xf numFmtId="43" fontId="11" fillId="3" borderId="0" xfId="28" applyNumberFormat="1" applyFill="1"/>
    <xf numFmtId="37" fontId="5" fillId="0" borderId="37" xfId="0" applyNumberFormat="1" applyFont="1" applyFill="1" applyBorder="1" applyProtection="1"/>
    <xf numFmtId="0" fontId="4" fillId="0" borderId="0" xfId="39"/>
    <xf numFmtId="0" fontId="4" fillId="0" borderId="0" xfId="39" applyNumberFormat="1"/>
    <xf numFmtId="1" fontId="90" fillId="0" borderId="0" xfId="34" applyNumberFormat="1" applyFont="1" applyFill="1"/>
    <xf numFmtId="41" fontId="94" fillId="0" borderId="0" xfId="34" applyFont="1" applyFill="1"/>
    <xf numFmtId="1" fontId="90" fillId="0" borderId="0" xfId="34" applyNumberFormat="1" applyFont="1" applyFill="1" applyAlignment="1"/>
    <xf numFmtId="1" fontId="95" fillId="0" borderId="0" xfId="34" quotePrefix="1" applyNumberFormat="1" applyFont="1" applyFill="1" applyAlignment="1">
      <alignment horizontal="center"/>
    </xf>
    <xf numFmtId="41" fontId="90" fillId="0" borderId="0" xfId="34" applyFont="1" applyFill="1" applyAlignment="1">
      <alignment horizontal="center"/>
    </xf>
    <xf numFmtId="37" fontId="90" fillId="0" borderId="0" xfId="34" applyNumberFormat="1" applyFont="1" applyFill="1" applyProtection="1"/>
    <xf numFmtId="1" fontId="95" fillId="0" borderId="0" xfId="34" applyNumberFormat="1" applyFont="1" applyFill="1" applyAlignment="1">
      <alignment horizontal="center"/>
    </xf>
    <xf numFmtId="41" fontId="92" fillId="0" borderId="56" xfId="34" applyFont="1" applyFill="1" applyBorder="1"/>
    <xf numFmtId="41" fontId="90" fillId="0" borderId="56" xfId="34" applyFont="1" applyFill="1" applyBorder="1" applyAlignment="1">
      <alignment horizontal="center"/>
    </xf>
    <xf numFmtId="37" fontId="90" fillId="0" borderId="56" xfId="34" applyNumberFormat="1" applyFont="1" applyFill="1" applyBorder="1" applyAlignment="1" applyProtection="1">
      <alignment horizontal="center"/>
    </xf>
    <xf numFmtId="168" fontId="90" fillId="0" borderId="0" xfId="1" applyNumberFormat="1" applyFont="1" applyFill="1" applyBorder="1"/>
    <xf numFmtId="1" fontId="92" fillId="0" borderId="0" xfId="34" applyNumberFormat="1" applyFont="1" applyFill="1" applyAlignment="1">
      <alignment horizontal="centerContinuous"/>
    </xf>
    <xf numFmtId="1" fontId="96" fillId="0" borderId="0" xfId="34" applyNumberFormat="1" applyFont="1" applyFill="1" applyBorder="1"/>
    <xf numFmtId="10" fontId="92" fillId="0" borderId="0" xfId="14" applyNumberFormat="1" applyFont="1" applyFill="1" applyAlignment="1">
      <alignment horizontal="right"/>
    </xf>
    <xf numFmtId="1" fontId="92" fillId="0" borderId="0" xfId="34" applyNumberFormat="1" applyFont="1" applyFill="1" applyAlignment="1">
      <alignment horizontal="left"/>
    </xf>
    <xf numFmtId="1" fontId="92" fillId="0" borderId="0" xfId="34" applyNumberFormat="1" applyFont="1" applyFill="1"/>
    <xf numFmtId="168" fontId="92" fillId="0" borderId="0" xfId="1" applyNumberFormat="1" applyFont="1" applyFill="1"/>
    <xf numFmtId="1" fontId="92" fillId="0" borderId="0" xfId="34" quotePrefix="1" applyNumberFormat="1" applyFont="1" applyFill="1" applyAlignment="1">
      <alignment horizontal="left"/>
    </xf>
    <xf numFmtId="9" fontId="92" fillId="0" borderId="0" xfId="14" applyFont="1" applyFill="1"/>
    <xf numFmtId="1" fontId="96" fillId="0" borderId="0" xfId="34" applyNumberFormat="1" applyFont="1" applyFill="1"/>
    <xf numFmtId="10" fontId="97" fillId="0" borderId="0" xfId="14" applyNumberFormat="1" applyFont="1" applyFill="1"/>
    <xf numFmtId="184" fontId="92" fillId="0" borderId="0" xfId="1" applyNumberFormat="1" applyFont="1" applyFill="1"/>
    <xf numFmtId="1" fontId="92" fillId="0" borderId="0" xfId="34" applyNumberFormat="1" applyFont="1" applyFill="1" applyBorder="1"/>
    <xf numFmtId="168" fontId="92" fillId="0" borderId="0" xfId="1" applyNumberFormat="1" applyFont="1" applyFill="1" applyBorder="1" applyAlignment="1">
      <alignment horizontal="center"/>
    </xf>
    <xf numFmtId="168" fontId="90" fillId="0" borderId="0" xfId="14" applyNumberFormat="1" applyFont="1" applyFill="1"/>
    <xf numFmtId="9" fontId="90" fillId="0" borderId="0" xfId="14" applyFont="1" applyFill="1"/>
    <xf numFmtId="1" fontId="98" fillId="0" borderId="0" xfId="34" applyNumberFormat="1" applyFont="1" applyFill="1" applyAlignment="1">
      <alignment horizontal="right"/>
    </xf>
    <xf numFmtId="44" fontId="92" fillId="0" borderId="0" xfId="2" applyFont="1" applyFill="1"/>
    <xf numFmtId="215" fontId="92" fillId="0" borderId="0" xfId="2" applyNumberFormat="1" applyFont="1" applyFill="1"/>
    <xf numFmtId="7" fontId="90" fillId="0" borderId="0" xfId="2" applyNumberFormat="1" applyFont="1" applyFill="1"/>
    <xf numFmtId="168" fontId="11" fillId="0" borderId="0" xfId="1" quotePrefix="1" applyNumberFormat="1" applyFont="1" applyFill="1"/>
    <xf numFmtId="10" fontId="12" fillId="0" borderId="12" xfId="14" applyNumberFormat="1" applyFont="1" applyFill="1" applyBorder="1"/>
    <xf numFmtId="10" fontId="12" fillId="0" borderId="12" xfId="12" applyNumberFormat="1" applyFill="1" applyBorder="1"/>
    <xf numFmtId="10" fontId="5" fillId="0" borderId="12" xfId="14" applyNumberFormat="1" applyFont="1" applyFill="1" applyBorder="1" applyProtection="1">
      <protection locked="0"/>
    </xf>
    <xf numFmtId="10" fontId="5" fillId="0" borderId="37" xfId="14" applyNumberFormat="1" applyFont="1" applyFill="1" applyBorder="1" applyProtection="1">
      <protection locked="0"/>
    </xf>
    <xf numFmtId="0" fontId="26" fillId="0" borderId="12" xfId="11" applyFont="1" applyFill="1" applyBorder="1" applyAlignment="1">
      <alignment horizontal="center"/>
    </xf>
    <xf numFmtId="43" fontId="92" fillId="0" borderId="0" xfId="1" applyFont="1" applyFill="1"/>
    <xf numFmtId="1" fontId="92" fillId="3" borderId="0" xfId="34" applyNumberFormat="1" applyFont="1" applyFill="1" applyAlignment="1">
      <alignment horizontal="centerContinuous"/>
    </xf>
    <xf numFmtId="1" fontId="92" fillId="3" borderId="0" xfId="34" applyNumberFormat="1" applyFont="1" applyFill="1"/>
    <xf numFmtId="167" fontId="92" fillId="3" borderId="0" xfId="2" applyNumberFormat="1" applyFont="1" applyFill="1"/>
    <xf numFmtId="168" fontId="37" fillId="3" borderId="0" xfId="1" applyNumberFormat="1" applyFont="1" applyFill="1"/>
    <xf numFmtId="1" fontId="90" fillId="3" borderId="0" xfId="34" applyNumberFormat="1" applyFont="1" applyFill="1"/>
    <xf numFmtId="41" fontId="94" fillId="3" borderId="0" xfId="34" applyFont="1" applyFill="1"/>
    <xf numFmtId="10" fontId="92" fillId="3" borderId="0" xfId="14" applyNumberFormat="1" applyFont="1" applyFill="1"/>
    <xf numFmtId="10" fontId="26" fillId="0" borderId="0" xfId="11" applyNumberFormat="1" applyFont="1" applyFill="1" applyProtection="1"/>
    <xf numFmtId="190" fontId="26" fillId="0" borderId="0" xfId="11" applyNumberFormat="1" applyFont="1" applyFill="1" applyProtection="1"/>
    <xf numFmtId="43" fontId="26" fillId="0" borderId="0" xfId="11" applyNumberFormat="1" applyFont="1" applyFill="1"/>
    <xf numFmtId="171" fontId="26" fillId="0" borderId="0" xfId="14" applyNumberFormat="1" applyFont="1" applyFill="1"/>
    <xf numFmtId="37" fontId="26" fillId="0" borderId="0" xfId="11" applyNumberFormat="1" applyFont="1" applyFill="1" applyProtection="1"/>
    <xf numFmtId="7" fontId="26" fillId="0" borderId="0" xfId="11" applyNumberFormat="1" applyFont="1" applyFill="1"/>
    <xf numFmtId="0" fontId="26" fillId="0" borderId="0" xfId="11" applyFont="1" applyFill="1" applyBorder="1"/>
    <xf numFmtId="7" fontId="26" fillId="0" borderId="0" xfId="11" applyNumberFormat="1" applyFont="1" applyFill="1" applyProtection="1"/>
    <xf numFmtId="181" fontId="26" fillId="0" borderId="0" xfId="11" applyNumberFormat="1" applyFont="1" applyFill="1"/>
    <xf numFmtId="0" fontId="26" fillId="0" borderId="0" xfId="11" applyFont="1" applyFill="1" applyAlignment="1">
      <alignment horizontal="right"/>
    </xf>
    <xf numFmtId="37" fontId="26" fillId="0" borderId="12" xfId="11" applyNumberFormat="1" applyFont="1" applyFill="1" applyBorder="1" applyProtection="1"/>
    <xf numFmtId="0" fontId="26" fillId="0" borderId="12" xfId="11" applyFont="1" applyFill="1" applyBorder="1"/>
    <xf numFmtId="7" fontId="26" fillId="0" borderId="12" xfId="11" applyNumberFormat="1" applyFont="1" applyFill="1" applyBorder="1" applyProtection="1"/>
    <xf numFmtId="190" fontId="26" fillId="0" borderId="12" xfId="11" applyNumberFormat="1" applyFont="1" applyFill="1" applyBorder="1" applyProtection="1"/>
    <xf numFmtId="5" fontId="26" fillId="0" borderId="0" xfId="11" applyNumberFormat="1" applyFont="1" applyFill="1"/>
    <xf numFmtId="0" fontId="26" fillId="0" borderId="15" xfId="11" applyFont="1" applyFill="1" applyBorder="1" applyAlignment="1">
      <alignment horizontal="center"/>
    </xf>
    <xf numFmtId="10" fontId="11" fillId="0" borderId="0" xfId="0" applyNumberFormat="1" applyFont="1" applyFill="1"/>
    <xf numFmtId="165" fontId="0" fillId="0" borderId="0" xfId="0" applyNumberFormat="1" applyFill="1" applyBorder="1"/>
    <xf numFmtId="5" fontId="4" fillId="0" borderId="0" xfId="8" applyNumberFormat="1" applyFill="1" applyAlignment="1">
      <alignment horizontal="right"/>
    </xf>
    <xf numFmtId="0" fontId="99" fillId="0" borderId="0" xfId="0" applyFont="1" applyFill="1" applyAlignment="1">
      <alignment horizontal="centerContinuous"/>
    </xf>
    <xf numFmtId="37" fontId="99" fillId="0" borderId="0" xfId="0" applyNumberFormat="1" applyFont="1" applyFill="1" applyAlignment="1" applyProtection="1">
      <alignment horizontal="centerContinuous"/>
      <protection locked="0"/>
    </xf>
    <xf numFmtId="1" fontId="99" fillId="0" borderId="0" xfId="0" applyNumberFormat="1" applyFont="1" applyFill="1" applyAlignment="1">
      <alignment horizontal="centerContinuous"/>
    </xf>
    <xf numFmtId="168" fontId="99" fillId="0" borderId="0" xfId="0" applyNumberFormat="1" applyFont="1" applyFill="1" applyAlignment="1" applyProtection="1">
      <alignment horizontal="centerContinuous"/>
    </xf>
    <xf numFmtId="0" fontId="99" fillId="0" borderId="0" xfId="0" applyFont="1" applyFill="1" applyAlignment="1" applyProtection="1">
      <alignment horizontal="centerContinuous"/>
      <protection locked="0"/>
    </xf>
    <xf numFmtId="198" fontId="100" fillId="0" borderId="0" xfId="14" quotePrefix="1" applyNumberFormat="1" applyFont="1" applyFill="1" applyAlignment="1">
      <alignment horizontal="centerContinuous"/>
    </xf>
    <xf numFmtId="1" fontId="100" fillId="0" borderId="0" xfId="0" quotePrefix="1" applyNumberFormat="1" applyFont="1" applyFill="1" applyAlignment="1">
      <alignment horizontal="centerContinuous"/>
    </xf>
    <xf numFmtId="37" fontId="90" fillId="0" borderId="0" xfId="34" applyNumberFormat="1" applyFont="1" applyFill="1" applyAlignment="1" applyProtection="1">
      <alignment horizontal="center"/>
    </xf>
    <xf numFmtId="0" fontId="12" fillId="0" borderId="12" xfId="12" applyFont="1" applyFill="1" applyBorder="1" applyAlignment="1">
      <alignment horizontal="center"/>
    </xf>
    <xf numFmtId="0" fontId="12" fillId="0" borderId="0" xfId="12" applyFont="1" applyFill="1" applyBorder="1" applyAlignment="1">
      <alignment horizontal="center"/>
    </xf>
    <xf numFmtId="0" fontId="11" fillId="0" borderId="0" xfId="12" applyFont="1" applyFill="1" applyBorder="1" applyAlignment="1"/>
    <xf numFmtId="0" fontId="11" fillId="0" borderId="0" xfId="12" applyFont="1" applyFill="1" applyAlignment="1">
      <alignment horizontal="center"/>
    </xf>
    <xf numFmtId="5" fontId="11" fillId="0" borderId="37" xfId="12" applyNumberFormat="1" applyFont="1" applyFill="1" applyBorder="1"/>
    <xf numFmtId="5" fontId="11" fillId="0" borderId="0" xfId="0" applyNumberFormat="1" applyFont="1" applyFill="1" applyBorder="1" applyProtection="1"/>
    <xf numFmtId="7" fontId="11" fillId="0" borderId="0" xfId="28" applyNumberFormat="1" applyFont="1" applyFill="1" applyBorder="1" applyProtection="1"/>
    <xf numFmtId="0" fontId="12" fillId="0" borderId="0" xfId="12" applyFont="1" applyFill="1" applyBorder="1" applyAlignment="1">
      <alignment horizontal="center"/>
    </xf>
    <xf numFmtId="171" fontId="0" fillId="0" borderId="4" xfId="14" applyNumberFormat="1" applyFont="1" applyFill="1" applyBorder="1"/>
    <xf numFmtId="0" fontId="0" fillId="0" borderId="0" xfId="0" quotePrefix="1" applyFont="1" applyFill="1"/>
    <xf numFmtId="0" fontId="49" fillId="0" borderId="5" xfId="7" applyFont="1" applyFill="1" applyBorder="1"/>
    <xf numFmtId="171" fontId="12" fillId="0" borderId="4" xfId="14" applyNumberFormat="1" applyFont="1" applyFill="1" applyBorder="1"/>
    <xf numFmtId="0" fontId="5" fillId="0" borderId="0" xfId="0" quotePrefix="1" applyFont="1" applyFill="1" applyProtection="1"/>
    <xf numFmtId="212" fontId="5" fillId="3" borderId="12" xfId="14" applyNumberFormat="1" applyFont="1" applyFill="1" applyBorder="1" applyProtection="1"/>
    <xf numFmtId="199" fontId="5" fillId="3" borderId="12" xfId="33" applyNumberFormat="1" applyFont="1" applyFill="1" applyBorder="1" applyProtection="1"/>
    <xf numFmtId="0" fontId="26" fillId="0" borderId="12" xfId="11" applyFont="1" applyFill="1" applyBorder="1" applyAlignment="1" applyProtection="1">
      <alignment horizontal="center"/>
    </xf>
    <xf numFmtId="0" fontId="26" fillId="0" borderId="51" xfId="11" applyFont="1" applyFill="1" applyBorder="1"/>
    <xf numFmtId="9" fontId="5" fillId="0" borderId="0" xfId="14" applyFont="1" applyFill="1" applyProtection="1"/>
    <xf numFmtId="216" fontId="5" fillId="0" borderId="0" xfId="14" applyNumberFormat="1" applyFont="1" applyFill="1" applyProtection="1">
      <protection locked="0"/>
    </xf>
    <xf numFmtId="0" fontId="1" fillId="0" borderId="0" xfId="32" applyFont="1"/>
    <xf numFmtId="0" fontId="0" fillId="0" borderId="0" xfId="32" applyFont="1" applyAlignment="1">
      <alignment horizontal="right"/>
    </xf>
    <xf numFmtId="0" fontId="0" fillId="0" borderId="0" xfId="32" applyFont="1"/>
    <xf numFmtId="5" fontId="66" fillId="0" borderId="0" xfId="32" applyNumberFormat="1" applyFont="1" applyFill="1" applyProtection="1"/>
    <xf numFmtId="5" fontId="101" fillId="0" borderId="0" xfId="32" applyNumberFormat="1" applyFont="1"/>
    <xf numFmtId="0" fontId="11" fillId="0" borderId="0" xfId="32" applyFont="1" applyAlignment="1">
      <alignment horizontal="right"/>
    </xf>
    <xf numFmtId="0" fontId="3" fillId="3" borderId="0" xfId="32" applyFill="1"/>
    <xf numFmtId="0" fontId="1" fillId="3" borderId="0" xfId="32" applyFont="1" applyFill="1"/>
    <xf numFmtId="5" fontId="9" fillId="0" borderId="0" xfId="0" applyNumberFormat="1" applyFont="1" applyFill="1" applyBorder="1"/>
    <xf numFmtId="5" fontId="11" fillId="0" borderId="0" xfId="12" applyNumberFormat="1" applyFont="1" applyFill="1" applyBorder="1"/>
    <xf numFmtId="171" fontId="5" fillId="0" borderId="0" xfId="14" applyNumberFormat="1" applyFont="1" applyFill="1" applyBorder="1" applyProtection="1">
      <protection locked="0"/>
    </xf>
    <xf numFmtId="1" fontId="92" fillId="4" borderId="0" xfId="34" applyNumberFormat="1" applyFont="1" applyFill="1"/>
    <xf numFmtId="171" fontId="5" fillId="0" borderId="0" xfId="14" applyNumberFormat="1" applyFont="1" applyFill="1" applyProtection="1"/>
    <xf numFmtId="2" fontId="92" fillId="0" borderId="0" xfId="34" applyNumberFormat="1" applyFont="1" applyFill="1"/>
    <xf numFmtId="0" fontId="11" fillId="0" borderId="0" xfId="0" quotePrefix="1" applyFont="1" applyFill="1"/>
    <xf numFmtId="10" fontId="0" fillId="0" borderId="28" xfId="14" applyNumberFormat="1" applyFont="1" applyFill="1" applyBorder="1"/>
    <xf numFmtId="7" fontId="11" fillId="0" borderId="0" xfId="28" applyNumberFormat="1" applyFont="1" applyFill="1"/>
    <xf numFmtId="43" fontId="11" fillId="0" borderId="0" xfId="1" applyNumberFormat="1" applyFont="1" applyFill="1"/>
    <xf numFmtId="10" fontId="12" fillId="0" borderId="0" xfId="12" applyNumberFormat="1" applyFont="1" applyFill="1"/>
    <xf numFmtId="10" fontId="55" fillId="0" borderId="0" xfId="14" applyNumberFormat="1" applyFont="1" applyFill="1" applyAlignment="1">
      <alignment horizontal="right"/>
    </xf>
    <xf numFmtId="10" fontId="26" fillId="0" borderId="0" xfId="14" applyNumberFormat="1" applyFont="1" applyFill="1" applyAlignment="1">
      <alignment horizontal="right"/>
    </xf>
    <xf numFmtId="5" fontId="55" fillId="0" borderId="0" xfId="11" applyNumberFormat="1" applyFont="1" applyFill="1" applyAlignment="1">
      <alignment horizontal="right"/>
    </xf>
    <xf numFmtId="0" fontId="26" fillId="0" borderId="12" xfId="11" applyFont="1" applyFill="1" applyBorder="1" applyAlignment="1">
      <alignment horizontal="center"/>
    </xf>
    <xf numFmtId="0" fontId="56" fillId="0" borderId="0" xfId="11" applyFont="1" applyFill="1" applyAlignment="1">
      <alignment horizontal="center"/>
    </xf>
    <xf numFmtId="0" fontId="26" fillId="0" borderId="15" xfId="11" applyFont="1" applyFill="1" applyBorder="1" applyAlignment="1">
      <alignment horizontal="centerContinuous"/>
    </xf>
    <xf numFmtId="0" fontId="26" fillId="0" borderId="34" xfId="11" applyFont="1" applyFill="1" applyBorder="1" applyAlignment="1">
      <alignment horizontal="center"/>
    </xf>
    <xf numFmtId="0" fontId="12" fillId="0" borderId="12" xfId="12" applyFont="1" applyFill="1" applyBorder="1" applyAlignment="1">
      <alignment horizontal="center"/>
    </xf>
    <xf numFmtId="0" fontId="12" fillId="0" borderId="0" xfId="12" applyFont="1" applyFill="1" applyAlignment="1">
      <alignment horizontal="left"/>
    </xf>
    <xf numFmtId="0" fontId="12" fillId="0" borderId="0" xfId="12" quotePrefix="1" applyFont="1" applyFill="1" applyAlignment="1">
      <alignment horizontal="left"/>
    </xf>
    <xf numFmtId="0" fontId="42" fillId="0" borderId="0" xfId="12" quotePrefix="1" applyFont="1" applyFill="1" applyAlignment="1">
      <alignment horizontal="center"/>
    </xf>
    <xf numFmtId="0" fontId="42" fillId="0" borderId="0" xfId="12" applyFont="1" applyFill="1" applyAlignment="1">
      <alignment horizontal="center"/>
    </xf>
    <xf numFmtId="0" fontId="11" fillId="0" borderId="12" xfId="12" quotePrefix="1" applyFont="1" applyFill="1" applyBorder="1" applyAlignment="1">
      <alignment horizontal="center"/>
    </xf>
    <xf numFmtId="0" fontId="45" fillId="0" borderId="0" xfId="0" applyFont="1" applyFill="1" applyAlignment="1">
      <alignment horizontal="center"/>
    </xf>
    <xf numFmtId="0" fontId="46" fillId="0" borderId="0" xfId="0" quotePrefix="1" applyNumberFormat="1" applyFont="1" applyFill="1" applyAlignment="1">
      <alignment horizontal="center"/>
    </xf>
    <xf numFmtId="0" fontId="27" fillId="0" borderId="0" xfId="0" quotePrefix="1" applyFont="1" applyFill="1" applyAlignment="1" applyProtection="1">
      <alignment horizontal="center"/>
    </xf>
    <xf numFmtId="0" fontId="36" fillId="0" borderId="0" xfId="8" applyFont="1" applyAlignment="1">
      <alignment horizontal="center"/>
    </xf>
    <xf numFmtId="0" fontId="4" fillId="0" borderId="12" xfId="8" applyBorder="1" applyAlignment="1">
      <alignment horizontal="center"/>
    </xf>
    <xf numFmtId="0" fontId="4" fillId="0" borderId="13" xfId="8" applyBorder="1" applyAlignment="1">
      <alignment horizontal="center"/>
    </xf>
    <xf numFmtId="207" fontId="36" fillId="0" borderId="0" xfId="8" applyNumberFormat="1" applyFont="1" applyBorder="1" applyAlignment="1">
      <alignment horizontal="center"/>
    </xf>
    <xf numFmtId="0" fontId="4" fillId="0" borderId="0" xfId="8" applyBorder="1" applyAlignment="1">
      <alignment horizontal="center"/>
    </xf>
    <xf numFmtId="0" fontId="26" fillId="0" borderId="12" xfId="11" applyFont="1" applyFill="1" applyBorder="1" applyAlignment="1">
      <alignment horizontal="center"/>
    </xf>
    <xf numFmtId="0" fontId="56" fillId="0" borderId="0" xfId="11" applyFont="1" applyFill="1" applyAlignment="1">
      <alignment horizontal="center"/>
    </xf>
    <xf numFmtId="0" fontId="55" fillId="0" borderId="12" xfId="11" applyFont="1" applyFill="1" applyBorder="1" applyAlignment="1">
      <alignment horizontal="center"/>
    </xf>
    <xf numFmtId="0" fontId="12" fillId="0" borderId="0" xfId="12" applyFont="1" applyFill="1" applyBorder="1" applyAlignment="1">
      <alignment horizontal="center"/>
    </xf>
    <xf numFmtId="37" fontId="90" fillId="0" borderId="0" xfId="34" applyNumberFormat="1" applyFont="1" applyFill="1" applyAlignment="1" applyProtection="1">
      <alignment horizontal="center"/>
    </xf>
    <xf numFmtId="0" fontId="11" fillId="0" borderId="0" xfId="0" applyFont="1" applyFill="1" applyAlignment="1">
      <alignment horizontal="left" wrapText="1"/>
    </xf>
    <xf numFmtId="0" fontId="11" fillId="0" borderId="12" xfId="0" applyFont="1" applyFill="1" applyBorder="1" applyAlignment="1" applyProtection="1">
      <alignment horizontal="center"/>
    </xf>
    <xf numFmtId="0" fontId="11" fillId="0" borderId="13" xfId="0" applyFont="1" applyFill="1" applyBorder="1" applyAlignment="1" applyProtection="1">
      <alignment horizontal="center"/>
    </xf>
    <xf numFmtId="0" fontId="45" fillId="0" borderId="0" xfId="28" applyFont="1" applyFill="1" applyAlignment="1">
      <alignment horizontal="center"/>
    </xf>
    <xf numFmtId="0" fontId="46" fillId="0" borderId="0" xfId="28" quotePrefix="1" applyNumberFormat="1" applyFont="1" applyFill="1" applyAlignment="1">
      <alignment horizontal="center"/>
    </xf>
    <xf numFmtId="0" fontId="27" fillId="0" borderId="0" xfId="28" quotePrefix="1" applyFont="1" applyFill="1" applyAlignment="1" applyProtection="1">
      <alignment horizontal="center"/>
    </xf>
  </cellXfs>
  <cellStyles count="46">
    <cellStyle name="Comma" xfId="1" builtinId="3"/>
    <cellStyle name="Comma 2" xfId="18"/>
    <cellStyle name="Comma 2 2" xfId="21"/>
    <cellStyle name="Comma 3" xfId="27"/>
    <cellStyle name="Comma 4" xfId="31"/>
    <cellStyle name="Currency" xfId="2" builtinId="4"/>
    <cellStyle name="Currency 2" xfId="35"/>
    <cellStyle name="Currency 3" xfId="37"/>
    <cellStyle name="General" xfId="3"/>
    <cellStyle name="Marathon" xfId="4"/>
    <cellStyle name="nONE" xfId="5"/>
    <cellStyle name="Normal" xfId="0" builtinId="0"/>
    <cellStyle name="Normal 10" xfId="36"/>
    <cellStyle name="Normal 11" xfId="38"/>
    <cellStyle name="Normal 12" xfId="39"/>
    <cellStyle name="Normal 13" xfId="42"/>
    <cellStyle name="Normal 14" xfId="45"/>
    <cellStyle name="Normal 2" xfId="16"/>
    <cellStyle name="Normal 2 2" xfId="34"/>
    <cellStyle name="Normal 3" xfId="17"/>
    <cellStyle name="Normal 3 2" xfId="26"/>
    <cellStyle name="Normal 4" xfId="19"/>
    <cellStyle name="Normal 4 2" xfId="29"/>
    <cellStyle name="Normal 5" xfId="20"/>
    <cellStyle name="Normal 6" xfId="23"/>
    <cellStyle name="Normal 7" xfId="28"/>
    <cellStyle name="Normal 8" xfId="30"/>
    <cellStyle name="Normal 9" xfId="32"/>
    <cellStyle name="Normal_305 versus Cognos" xfId="6"/>
    <cellStyle name="Normal_EAST Blocking 901 2" xfId="24"/>
    <cellStyle name="Normal_East for 38.6M" xfId="7"/>
    <cellStyle name="Normal_Low Income Proposal" xfId="8"/>
    <cellStyle name="Normal_OR 1999 SAS VS 305" xfId="9"/>
    <cellStyle name="Normal_OR 1999 SAS VS 305 2" xfId="25"/>
    <cellStyle name="Normal_OR Blocking 04" xfId="10"/>
    <cellStyle name="Normal_OR Blocking 98 No Forecast" xfId="11"/>
    <cellStyle name="Normal_RECOV01" xfId="40"/>
    <cellStyle name="Normal_RECOV02WA" xfId="41"/>
    <cellStyle name="Normal_Ut98 COS Study 5 Function" xfId="44"/>
    <cellStyle name="Normal_WA98" xfId="12"/>
    <cellStyle name="Normal_WAMar06 Blocking" xfId="13"/>
    <cellStyle name="Percent" xfId="14" builtinId="5"/>
    <cellStyle name="Percent 2" xfId="22"/>
    <cellStyle name="Percent 3" xfId="33"/>
    <cellStyle name="Percent 3 2" xfId="43"/>
    <cellStyle name="TRANSMISSION RELIABILITY PORTION OF PROJECT" xfId="15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7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.xml"/><Relationship Id="rId63" Type="http://schemas.openxmlformats.org/officeDocument/2006/relationships/externalLink" Target="externalLinks/externalLink22.xml"/><Relationship Id="rId84" Type="http://schemas.openxmlformats.org/officeDocument/2006/relationships/externalLink" Target="externalLinks/externalLink43.xml"/><Relationship Id="rId138" Type="http://schemas.openxmlformats.org/officeDocument/2006/relationships/externalLink" Target="externalLinks/externalLink97.xml"/><Relationship Id="rId107" Type="http://schemas.openxmlformats.org/officeDocument/2006/relationships/externalLink" Target="externalLinks/externalLink6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externalLink" Target="externalLinks/externalLink12.xml"/><Relationship Id="rId74" Type="http://schemas.openxmlformats.org/officeDocument/2006/relationships/externalLink" Target="externalLinks/externalLink33.xml"/><Relationship Id="rId128" Type="http://schemas.openxmlformats.org/officeDocument/2006/relationships/externalLink" Target="externalLinks/externalLink87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49.xml"/><Relationship Id="rId95" Type="http://schemas.openxmlformats.org/officeDocument/2006/relationships/externalLink" Target="externalLinks/externalLink5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2.xml"/><Relationship Id="rId48" Type="http://schemas.openxmlformats.org/officeDocument/2006/relationships/externalLink" Target="externalLinks/externalLink7.xml"/><Relationship Id="rId64" Type="http://schemas.openxmlformats.org/officeDocument/2006/relationships/externalLink" Target="externalLinks/externalLink23.xml"/><Relationship Id="rId69" Type="http://schemas.openxmlformats.org/officeDocument/2006/relationships/externalLink" Target="externalLinks/externalLink28.xml"/><Relationship Id="rId113" Type="http://schemas.openxmlformats.org/officeDocument/2006/relationships/externalLink" Target="externalLinks/externalLink72.xml"/><Relationship Id="rId118" Type="http://schemas.openxmlformats.org/officeDocument/2006/relationships/externalLink" Target="externalLinks/externalLink77.xml"/><Relationship Id="rId134" Type="http://schemas.openxmlformats.org/officeDocument/2006/relationships/externalLink" Target="externalLinks/externalLink93.xml"/><Relationship Id="rId139" Type="http://schemas.openxmlformats.org/officeDocument/2006/relationships/externalLink" Target="externalLinks/externalLink98.xml"/><Relationship Id="rId80" Type="http://schemas.openxmlformats.org/officeDocument/2006/relationships/externalLink" Target="externalLinks/externalLink39.xml"/><Relationship Id="rId85" Type="http://schemas.openxmlformats.org/officeDocument/2006/relationships/externalLink" Target="externalLinks/externalLink44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externalLink" Target="externalLinks/externalLink18.xml"/><Relationship Id="rId103" Type="http://schemas.openxmlformats.org/officeDocument/2006/relationships/externalLink" Target="externalLinks/externalLink62.xml"/><Relationship Id="rId108" Type="http://schemas.openxmlformats.org/officeDocument/2006/relationships/externalLink" Target="externalLinks/externalLink67.xml"/><Relationship Id="rId124" Type="http://schemas.openxmlformats.org/officeDocument/2006/relationships/externalLink" Target="externalLinks/externalLink83.xml"/><Relationship Id="rId129" Type="http://schemas.openxmlformats.org/officeDocument/2006/relationships/externalLink" Target="externalLinks/externalLink88.xml"/><Relationship Id="rId54" Type="http://schemas.openxmlformats.org/officeDocument/2006/relationships/externalLink" Target="externalLinks/externalLink13.xml"/><Relationship Id="rId70" Type="http://schemas.openxmlformats.org/officeDocument/2006/relationships/externalLink" Target="externalLinks/externalLink29.xml"/><Relationship Id="rId75" Type="http://schemas.openxmlformats.org/officeDocument/2006/relationships/externalLink" Target="externalLinks/externalLink34.xml"/><Relationship Id="rId91" Type="http://schemas.openxmlformats.org/officeDocument/2006/relationships/externalLink" Target="externalLinks/externalLink50.xml"/><Relationship Id="rId96" Type="http://schemas.openxmlformats.org/officeDocument/2006/relationships/externalLink" Target="externalLinks/externalLink55.xml"/><Relationship Id="rId140" Type="http://schemas.openxmlformats.org/officeDocument/2006/relationships/pivotCacheDefinition" Target="pivotCache/pivotCacheDefinition1.xml"/><Relationship Id="rId145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externalLink" Target="externalLinks/externalLink8.xml"/><Relationship Id="rId114" Type="http://schemas.openxmlformats.org/officeDocument/2006/relationships/externalLink" Target="externalLinks/externalLink73.xml"/><Relationship Id="rId119" Type="http://schemas.openxmlformats.org/officeDocument/2006/relationships/externalLink" Target="externalLinks/externalLink78.xml"/><Relationship Id="rId44" Type="http://schemas.openxmlformats.org/officeDocument/2006/relationships/externalLink" Target="externalLinks/externalLink3.xml"/><Relationship Id="rId60" Type="http://schemas.openxmlformats.org/officeDocument/2006/relationships/externalLink" Target="externalLinks/externalLink19.xml"/><Relationship Id="rId65" Type="http://schemas.openxmlformats.org/officeDocument/2006/relationships/externalLink" Target="externalLinks/externalLink24.xml"/><Relationship Id="rId81" Type="http://schemas.openxmlformats.org/officeDocument/2006/relationships/externalLink" Target="externalLinks/externalLink40.xml"/><Relationship Id="rId86" Type="http://schemas.openxmlformats.org/officeDocument/2006/relationships/externalLink" Target="externalLinks/externalLink45.xml"/><Relationship Id="rId130" Type="http://schemas.openxmlformats.org/officeDocument/2006/relationships/externalLink" Target="externalLinks/externalLink89.xml"/><Relationship Id="rId135" Type="http://schemas.openxmlformats.org/officeDocument/2006/relationships/externalLink" Target="externalLinks/externalLink94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68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9.xml"/><Relationship Id="rId55" Type="http://schemas.openxmlformats.org/officeDocument/2006/relationships/externalLink" Target="externalLinks/externalLink14.xml"/><Relationship Id="rId76" Type="http://schemas.openxmlformats.org/officeDocument/2006/relationships/externalLink" Target="externalLinks/externalLink35.xml"/><Relationship Id="rId97" Type="http://schemas.openxmlformats.org/officeDocument/2006/relationships/externalLink" Target="externalLinks/externalLink56.xml"/><Relationship Id="rId104" Type="http://schemas.openxmlformats.org/officeDocument/2006/relationships/externalLink" Target="externalLinks/externalLink63.xml"/><Relationship Id="rId120" Type="http://schemas.openxmlformats.org/officeDocument/2006/relationships/externalLink" Target="externalLinks/externalLink79.xml"/><Relationship Id="rId125" Type="http://schemas.openxmlformats.org/officeDocument/2006/relationships/externalLink" Target="externalLinks/externalLink84.xml"/><Relationship Id="rId141" Type="http://schemas.openxmlformats.org/officeDocument/2006/relationships/theme" Target="theme/theme1.xml"/><Relationship Id="rId146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0.xml"/><Relationship Id="rId92" Type="http://schemas.openxmlformats.org/officeDocument/2006/relationships/externalLink" Target="externalLinks/externalLink5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4.xml"/><Relationship Id="rId66" Type="http://schemas.openxmlformats.org/officeDocument/2006/relationships/externalLink" Target="externalLinks/externalLink25.xml"/><Relationship Id="rId87" Type="http://schemas.openxmlformats.org/officeDocument/2006/relationships/externalLink" Target="externalLinks/externalLink46.xml"/><Relationship Id="rId110" Type="http://schemas.openxmlformats.org/officeDocument/2006/relationships/externalLink" Target="externalLinks/externalLink69.xml"/><Relationship Id="rId115" Type="http://schemas.openxmlformats.org/officeDocument/2006/relationships/externalLink" Target="externalLinks/externalLink74.xml"/><Relationship Id="rId131" Type="http://schemas.openxmlformats.org/officeDocument/2006/relationships/externalLink" Target="externalLinks/externalLink90.xml"/><Relationship Id="rId136" Type="http://schemas.openxmlformats.org/officeDocument/2006/relationships/externalLink" Target="externalLinks/externalLink95.xml"/><Relationship Id="rId61" Type="http://schemas.openxmlformats.org/officeDocument/2006/relationships/externalLink" Target="externalLinks/externalLink20.xml"/><Relationship Id="rId82" Type="http://schemas.openxmlformats.org/officeDocument/2006/relationships/externalLink" Target="externalLinks/externalLink4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externalLink" Target="externalLinks/externalLink15.xml"/><Relationship Id="rId77" Type="http://schemas.openxmlformats.org/officeDocument/2006/relationships/externalLink" Target="externalLinks/externalLink36.xml"/><Relationship Id="rId100" Type="http://schemas.openxmlformats.org/officeDocument/2006/relationships/externalLink" Target="externalLinks/externalLink59.xml"/><Relationship Id="rId105" Type="http://schemas.openxmlformats.org/officeDocument/2006/relationships/externalLink" Target="externalLinks/externalLink64.xml"/><Relationship Id="rId126" Type="http://schemas.openxmlformats.org/officeDocument/2006/relationships/externalLink" Target="externalLinks/externalLink85.xml"/><Relationship Id="rId147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0.xml"/><Relationship Id="rId72" Type="http://schemas.openxmlformats.org/officeDocument/2006/relationships/externalLink" Target="externalLinks/externalLink31.xml"/><Relationship Id="rId93" Type="http://schemas.openxmlformats.org/officeDocument/2006/relationships/externalLink" Target="externalLinks/externalLink52.xml"/><Relationship Id="rId98" Type="http://schemas.openxmlformats.org/officeDocument/2006/relationships/externalLink" Target="externalLinks/externalLink57.xml"/><Relationship Id="rId121" Type="http://schemas.openxmlformats.org/officeDocument/2006/relationships/externalLink" Target="externalLinks/externalLink80.xml"/><Relationship Id="rId142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5.xml"/><Relationship Id="rId67" Type="http://schemas.openxmlformats.org/officeDocument/2006/relationships/externalLink" Target="externalLinks/externalLink26.xml"/><Relationship Id="rId116" Type="http://schemas.openxmlformats.org/officeDocument/2006/relationships/externalLink" Target="externalLinks/externalLink75.xml"/><Relationship Id="rId137" Type="http://schemas.openxmlformats.org/officeDocument/2006/relationships/externalLink" Target="externalLinks/externalLink9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externalLink" Target="externalLinks/externalLink21.xml"/><Relationship Id="rId83" Type="http://schemas.openxmlformats.org/officeDocument/2006/relationships/externalLink" Target="externalLinks/externalLink42.xml"/><Relationship Id="rId88" Type="http://schemas.openxmlformats.org/officeDocument/2006/relationships/externalLink" Target="externalLinks/externalLink47.xml"/><Relationship Id="rId111" Type="http://schemas.openxmlformats.org/officeDocument/2006/relationships/externalLink" Target="externalLinks/externalLink70.xml"/><Relationship Id="rId132" Type="http://schemas.openxmlformats.org/officeDocument/2006/relationships/externalLink" Target="externalLinks/externalLink9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externalLink" Target="externalLinks/externalLink16.xml"/><Relationship Id="rId106" Type="http://schemas.openxmlformats.org/officeDocument/2006/relationships/externalLink" Target="externalLinks/externalLink65.xml"/><Relationship Id="rId127" Type="http://schemas.openxmlformats.org/officeDocument/2006/relationships/externalLink" Target="externalLinks/externalLink8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externalLink" Target="externalLinks/externalLink11.xml"/><Relationship Id="rId73" Type="http://schemas.openxmlformats.org/officeDocument/2006/relationships/externalLink" Target="externalLinks/externalLink32.xml"/><Relationship Id="rId78" Type="http://schemas.openxmlformats.org/officeDocument/2006/relationships/externalLink" Target="externalLinks/externalLink37.xml"/><Relationship Id="rId94" Type="http://schemas.openxmlformats.org/officeDocument/2006/relationships/externalLink" Target="externalLinks/externalLink53.xml"/><Relationship Id="rId99" Type="http://schemas.openxmlformats.org/officeDocument/2006/relationships/externalLink" Target="externalLinks/externalLink58.xml"/><Relationship Id="rId101" Type="http://schemas.openxmlformats.org/officeDocument/2006/relationships/externalLink" Target="externalLinks/externalLink60.xml"/><Relationship Id="rId122" Type="http://schemas.openxmlformats.org/officeDocument/2006/relationships/externalLink" Target="externalLinks/externalLink81.xml"/><Relationship Id="rId143" Type="http://schemas.openxmlformats.org/officeDocument/2006/relationships/sharedStrings" Target="sharedStrings.xml"/><Relationship Id="rId148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externalLink" Target="externalLinks/externalLink6.xml"/><Relationship Id="rId68" Type="http://schemas.openxmlformats.org/officeDocument/2006/relationships/externalLink" Target="externalLinks/externalLink27.xml"/><Relationship Id="rId89" Type="http://schemas.openxmlformats.org/officeDocument/2006/relationships/externalLink" Target="externalLinks/externalLink48.xml"/><Relationship Id="rId112" Type="http://schemas.openxmlformats.org/officeDocument/2006/relationships/externalLink" Target="externalLinks/externalLink71.xml"/><Relationship Id="rId133" Type="http://schemas.openxmlformats.org/officeDocument/2006/relationships/externalLink" Target="externalLinks/externalLink92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externalLink" Target="externalLinks/externalLink17.xml"/><Relationship Id="rId79" Type="http://schemas.openxmlformats.org/officeDocument/2006/relationships/externalLink" Target="externalLinks/externalLink38.xml"/><Relationship Id="rId102" Type="http://schemas.openxmlformats.org/officeDocument/2006/relationships/externalLink" Target="externalLinks/externalLink61.xml"/><Relationship Id="rId123" Type="http://schemas.openxmlformats.org/officeDocument/2006/relationships/externalLink" Target="externalLinks/externalLink82.xml"/><Relationship Id="rId14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A%20GRC%202014%20(UE-XXXXXX)/COS/COS%20WA%20Dec%202013%20-%20N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74933\AppData\Local\Microsoft\Windows\Temporary%20Internet%20Files\Content.Outlook\6V34N0TJ\COS%20WA%20June%202012%20Settlement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yoming%20FY%202005/COS/COS%20Sep%202006/Wyoming%20Combined%20Sept%202006%20MSP-UCAM%20and%20AFOR-09-22-05%2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yoming%20FY%202005/COS/COS%20Sep%202006/Wyoming%20Combined%20Sept%202006%20MSP-UCAM%20and%20AFOR-09-09-05-JAM%20upda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CASES/Wyoming98/East%20West%20Rate%20Migration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ASES/Wyoming98/EAST97%20B.xlw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yoming%20FY%202005/COS/COS%20Sep%202006/Wyoming%20Combined%20Sept%202006%20MSP-UCAM%20and%20AFOR-09-12-05-JAM%20updat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SegCosts/03/Washington/MC_Washington_200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A%206-2007%20GRC/JAM/JAM%20-%20WA%20GRC%2012%20ME%20JUN%20200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6-2007%20GRC\JAM\JAM%20-%20WA%20GRC%2012%20ME%20JUN%20200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ash98\Stipulation\WA98%20with%20deferral%20separated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305A\Book4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4/Billing%20Determinants%20Excel/Schedule%2015%20BD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4/Billing%20Determinants%20Excel/Schedule%2016&amp;17%20BD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4/Billing%20Determinants%20Excel/Schedule%20135%20BD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4/Billing%20Determinants%20Excel/Schedule%2018%20BD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4/Billing%20Determinants%20Excel/Schedule%2024%20BD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4/Billing%20Determinants%20Excel/Schedule%2024F%20BD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4/Billing%20Determinants%20Excel/Schedule%2024FP%20B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ash%2002\Year%203%20of%20stipulation%201-1-200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4/Billing%20Determinants%20Excel/Schedule%2036%20BD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4/Billing%20Determinants%20Excel/Schedule%2040%20BD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4/Billing%20Determinants%20Excel/Schedule%2047%20BD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4/Billing%20Determinants%20Excel/Schedule%2048%20BD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4/Billing%20Determinants%20Excel/Schedule%2048%20BD%20Boise%20Cascade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4/Billing%20Determinants%20Excel/Schedule%2051%20BD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4/Billing%20Determinants%20Excel/Schedule%2052%20BD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4/Billing%20Determinants%20Excel/Schedule%2053%20BD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4/Billing%20Determinants%20Excel/Schedule%2054%20BD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4/Billing%20Determinants%20Excel/Schedule%2057%20BD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4/Billing%20Determinants%20Excel/Schedule%2016&amp;17%20out%20of%20period%20yearmonth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4/Billing%20Determinants%20Excel/Schedule%2016&amp;17%20out%20of%20period%20genyearmonth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4/Billing%20Determinants%20Excel/Schedule%2018%20out%20of%20period%20genyearmonth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4/Billing%20Determinants%20Excel/Schedule%20135%20out%20of%20period%20yearmonth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4/Billing%20Determinants%20Excel/Schedule%20135%20out%20of%20period%20genyearmonth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4/Billing%20Determinants%20Excel/Schedule%2015%20out%20of%20period%20genyearmonth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4/Billing%20Determinants%20Excel/Schedule%2015%20out%20of%20period%20yearmonth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4/Billing%20Determinants%20Excel/Schedule%2024%20out%20of%20period%20genyearmonth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4/Billing%20Determinants%20Excel/Schedule%2024%20out%20of%20period%20yearmonth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4/Billing%20Determinants%20Excel/Schedule%2024F%20out%20of%20period%20genyearmonth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ash01\Year%202%20of%20stipulation%201-1-2002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4/Billing%20Determinants%20Excel/Schedule%2024F%20out%20of%20period%20yearmonth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4/Billing%20Determinants%20Excel/Schedule%2024FP%20out%20of%20period%20genyearmonth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4/Billing%20Determinants%20Excel/Schedule%2024FP%20out%20of%20period%20yearmonth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4/Billing%20Determinants%20Excel/Schedule%2036%20out%20of%20period%20genyearmonth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4/Billing%20Determinants%20Excel/Schedule%2036%20out%20of%20period%20yearmonth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4/Billing%20Determinants%20Excel/Schedule%2048%20out%20of%20period%20yearmonth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4/Billing%20Determinants%20Excel/Schedule%2054%20out%20of%20period%20yearmonth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4/Billing%20Determinants%20Excel/Schedule%2036%20out%20of%20period%20genyearmonthv2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4/Billing%20Determinants%20Excel/Schedule%2036%20out%20of%20period%20yearmonthv2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4/Billing%20Determinants%20Excel/Schedule%2036%20BDv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DSMRecov/2001/RECOV0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4/Billing%20Determinants%20Excel/Schedule%2047%20out%20of%20period%20genyearmonth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4/Billing%20Determinants%20Excel/Schedule%2047%20out%20of%20period%20yearmonth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4/Billing%20Determinants%20Excel/Schedule%2048%20out%20of%20period%20genyearmonth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4/Billing%20Determinants%20Excel/Schedule%2048%20305%20Boise%20Cascade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4/Billing%20Determinants%20Excel/Schedule%2040%20out%20of%20period%20genyearmonth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4/Billing%20Determinants%20Excel/Schedule%2040%20out%20of%20period%20yearmonth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4/Billing%20Determinants%20Excel/Schedule%2053%20out%20of%20period%20genyearmonth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4/Billing%20Determinants%20Excel/Schedule%2053%20out%20of%20period%20yearmonth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4/Billing%20Determinants%20Excel/Schedule%2051%20out%20of%20period%20genyearmonth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4/Billing%20Determinants%20Excel/Schedule%2051%20out%20of%20period%20yearmonth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DSMRecov/2013/RECOV13.xlsx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4/Billing%20Determinants%20Excel/Schedule%2057%20out%20of%20period%20genyearmonth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4/Billing%20Determinants%20Excel/Schedule%2057%20out%20of%20period%20yearmonth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4/Billing%20Determinants%20Excel/Schedule%2018%20out%20of%20genyearmonth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4/Billing%20Determinants%20Excel/Schedule%2048%20305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3/WA%202012%20GRC%20for%20filing%20final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20326\Local%20Settings\Temporary%20Internet%20Files\Content.Outlook\9HOINJJQ\Billing%20Determinants%20Excel\Schedule%2024%20BD%202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3/WA%202012%20GRC%20for%20filing%20w%20Table%20A%20by%20class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3/Order/WA%202012%20GRC%20final%20@16.997M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%20GRC%2013/Order/WA%202012%20GRC%20final%20@16.997M%20filed%20rev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3">
          <cell r="C3" t="str">
            <v>PacifiCorp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0">
          <cell r="H10" t="str">
            <v>Washington</v>
          </cell>
        </row>
      </sheetData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>
        <row r="5">
          <cell r="C5" t="str">
            <v>12 Months Ending December 2013</v>
          </cell>
          <cell r="R5">
            <v>3</v>
          </cell>
          <cell r="T5">
            <v>3</v>
          </cell>
          <cell r="V5">
            <v>5</v>
          </cell>
        </row>
        <row r="6">
          <cell r="C6" t="str">
            <v>WCA Method</v>
          </cell>
        </row>
        <row r="8">
          <cell r="D8">
            <v>0.43</v>
          </cell>
          <cell r="G8">
            <v>0.62041000000000002</v>
          </cell>
        </row>
        <row r="9">
          <cell r="D9">
            <v>0.57000000000000006</v>
          </cell>
        </row>
        <row r="11">
          <cell r="D11">
            <v>0.5</v>
          </cell>
        </row>
        <row r="12">
          <cell r="D12">
            <v>0.5</v>
          </cell>
        </row>
        <row r="29">
          <cell r="G29">
            <v>7.6700000606913191E-2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58">
          <cell r="H58">
            <v>801511572.83903956</v>
          </cell>
        </row>
        <row r="61">
          <cell r="H61">
            <v>6.4915333034612444E-2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4">
          <cell r="K4">
            <v>0.7819910284357261</v>
          </cell>
        </row>
      </sheetData>
      <sheetData sheetId="19">
        <row r="250">
          <cell r="AB250" t="str">
            <v>DIS</v>
          </cell>
        </row>
        <row r="251">
          <cell r="AB251" t="str">
            <v>METER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1955.0779609128072</v>
          </cell>
        </row>
        <row r="296">
          <cell r="H296">
            <v>651520.17000000004</v>
          </cell>
          <cell r="AB296">
            <v>26885.103442808777</v>
          </cell>
        </row>
        <row r="302">
          <cell r="H302">
            <v>693936.56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219722.31</v>
          </cell>
          <cell r="AB307">
            <v>0</v>
          </cell>
        </row>
        <row r="308">
          <cell r="AB308">
            <v>0</v>
          </cell>
        </row>
        <row r="309">
          <cell r="AB309">
            <v>3.9840036232991123</v>
          </cell>
        </row>
        <row r="315">
          <cell r="AB315">
            <v>0</v>
          </cell>
        </row>
        <row r="318">
          <cell r="H318">
            <v>984996.96</v>
          </cell>
          <cell r="AB318">
            <v>27294.502614566958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2092.4533988547805</v>
          </cell>
        </row>
        <row r="322">
          <cell r="AB322">
            <v>29386.956013421739</v>
          </cell>
        </row>
        <row r="325">
          <cell r="H325">
            <v>-52645.62</v>
          </cell>
          <cell r="AB325">
            <v>0</v>
          </cell>
        </row>
        <row r="329">
          <cell r="AB329">
            <v>9.9779724577829008</v>
          </cell>
        </row>
        <row r="331">
          <cell r="AB331">
            <v>0</v>
          </cell>
        </row>
        <row r="332">
          <cell r="AB332">
            <v>9.9779724577829008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12.685995742590094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489487.3506365795</v>
          </cell>
        </row>
        <row r="683">
          <cell r="H683">
            <v>39488.823905398356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920107.42170380312</v>
          </cell>
          <cell r="AB791">
            <v>25496.397905001573</v>
          </cell>
        </row>
        <row r="796">
          <cell r="H796">
            <v>780156.71591661335</v>
          </cell>
          <cell r="AB796">
            <v>0</v>
          </cell>
        </row>
        <row r="801">
          <cell r="H801">
            <v>274509.77507148142</v>
          </cell>
          <cell r="AB801">
            <v>0</v>
          </cell>
        </row>
        <row r="806">
          <cell r="H806">
            <v>407726.12152153067</v>
          </cell>
          <cell r="AB806">
            <v>0</v>
          </cell>
        </row>
        <row r="811">
          <cell r="H811">
            <v>0</v>
          </cell>
          <cell r="AB811">
            <v>0</v>
          </cell>
        </row>
        <row r="816">
          <cell r="H816">
            <v>12695.389686075312</v>
          </cell>
          <cell r="AB816">
            <v>12695.389686075312</v>
          </cell>
        </row>
        <row r="821">
          <cell r="H821">
            <v>562228.18207807827</v>
          </cell>
          <cell r="AB821">
            <v>562228.18207807827</v>
          </cell>
        </row>
        <row r="826">
          <cell r="H826">
            <v>937780.99</v>
          </cell>
          <cell r="AB826">
            <v>0</v>
          </cell>
        </row>
        <row r="831">
          <cell r="H831">
            <v>326575.33075452445</v>
          </cell>
          <cell r="AB831">
            <v>0</v>
          </cell>
        </row>
        <row r="836">
          <cell r="H836">
            <v>136885.19523847551</v>
          </cell>
          <cell r="AB836">
            <v>0</v>
          </cell>
        </row>
        <row r="841">
          <cell r="H841">
            <v>359916.06997635623</v>
          </cell>
          <cell r="AB841">
            <v>9973.3608446815106</v>
          </cell>
        </row>
        <row r="846">
          <cell r="H846">
            <v>110467.06263530908</v>
          </cell>
          <cell r="AB846">
            <v>0</v>
          </cell>
        </row>
        <row r="851">
          <cell r="H851">
            <v>862642.95166276209</v>
          </cell>
          <cell r="AB851">
            <v>0</v>
          </cell>
        </row>
        <row r="856">
          <cell r="H856">
            <v>4819721.9087990262</v>
          </cell>
          <cell r="AB856">
            <v>0</v>
          </cell>
        </row>
        <row r="861">
          <cell r="H861">
            <v>943202.68831046403</v>
          </cell>
          <cell r="AB861">
            <v>0</v>
          </cell>
        </row>
        <row r="866">
          <cell r="H866">
            <v>64433.170866688131</v>
          </cell>
          <cell r="AB866">
            <v>0</v>
          </cell>
        </row>
        <row r="876">
          <cell r="H876">
            <v>191208.24</v>
          </cell>
          <cell r="AB876">
            <v>0</v>
          </cell>
        </row>
        <row r="881">
          <cell r="H881">
            <v>441523.84656962694</v>
          </cell>
          <cell r="AB881">
            <v>441523.84656962694</v>
          </cell>
        </row>
        <row r="886">
          <cell r="H886">
            <v>134759.36071689532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42344.847096161327</v>
          </cell>
        </row>
        <row r="989">
          <cell r="AB989">
            <v>0</v>
          </cell>
        </row>
        <row r="991">
          <cell r="AB991">
            <v>-11446.000193676864</v>
          </cell>
        </row>
        <row r="995">
          <cell r="AB995">
            <v>0</v>
          </cell>
        </row>
        <row r="997">
          <cell r="AB997">
            <v>9176.4519013927202</v>
          </cell>
        </row>
        <row r="1001">
          <cell r="AB1001">
            <v>3224.2348732445503</v>
          </cell>
        </row>
        <row r="1005">
          <cell r="AB1005">
            <v>20953.818464892429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-11506.561036423349</v>
          </cell>
        </row>
        <row r="1034">
          <cell r="AB1034">
            <v>18988.018395829338</v>
          </cell>
        </row>
        <row r="1039">
          <cell r="AB1039">
            <v>2898.7755083779871</v>
          </cell>
        </row>
        <row r="1045">
          <cell r="AB1045">
            <v>18923.022387099081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440072.68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32393.491743426082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7862.8664397929515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400.74788007793143</v>
          </cell>
        </row>
        <row r="1143">
          <cell r="AB1143">
            <v>0</v>
          </cell>
        </row>
        <row r="1146">
          <cell r="AB1146">
            <v>1599.7719914707814</v>
          </cell>
        </row>
        <row r="1151">
          <cell r="AB1151">
            <v>0</v>
          </cell>
        </row>
        <row r="1154">
          <cell r="AB1154">
            <v>0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8856.003901760012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1.3855120230303533</v>
          </cell>
        </row>
        <row r="1213">
          <cell r="AB1213">
            <v>112528.29985002885</v>
          </cell>
        </row>
        <row r="1221">
          <cell r="AB1221">
            <v>186722.91442094196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131533.10127539397</v>
          </cell>
        </row>
        <row r="1309">
          <cell r="AB1309">
            <v>0</v>
          </cell>
        </row>
        <row r="1325">
          <cell r="AB1325">
            <v>-192387.71888522815</v>
          </cell>
        </row>
        <row r="1340">
          <cell r="AB1340">
            <v>0</v>
          </cell>
        </row>
        <row r="1377">
          <cell r="AB1377">
            <v>0</v>
          </cell>
        </row>
        <row r="1395">
          <cell r="AB1395">
            <v>323845.65283614182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7165114.8620854728</v>
          </cell>
          <cell r="AB1628">
            <v>0</v>
          </cell>
        </row>
        <row r="1635">
          <cell r="H1635">
            <v>9277313.0790033638</v>
          </cell>
          <cell r="AB1635">
            <v>0</v>
          </cell>
        </row>
        <row r="1641">
          <cell r="H1641">
            <v>107016058.10830808</v>
          </cell>
          <cell r="AB1641">
            <v>0</v>
          </cell>
        </row>
        <row r="1647">
          <cell r="H1647">
            <v>42817959.34290795</v>
          </cell>
          <cell r="AB1647">
            <v>0</v>
          </cell>
        </row>
        <row r="1654">
          <cell r="H1654">
            <v>53804400.375875331</v>
          </cell>
          <cell r="AB1654">
            <v>0</v>
          </cell>
        </row>
        <row r="1660">
          <cell r="H1660">
            <v>68584211.288411736</v>
          </cell>
          <cell r="AB1660">
            <v>0</v>
          </cell>
        </row>
        <row r="1666">
          <cell r="H1666">
            <v>50924.940608408309</v>
          </cell>
          <cell r="AB1666">
            <v>0</v>
          </cell>
        </row>
        <row r="1672">
          <cell r="H1672">
            <v>74139.14374483061</v>
          </cell>
          <cell r="AB1672">
            <v>0</v>
          </cell>
        </row>
        <row r="1678">
          <cell r="H1678">
            <v>1605786.311501788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1568033.2870833301</v>
          </cell>
          <cell r="AB1698">
            <v>0</v>
          </cell>
        </row>
        <row r="1704">
          <cell r="H1704">
            <v>2490392.6079166601</v>
          </cell>
          <cell r="AB1704">
            <v>0</v>
          </cell>
        </row>
        <row r="1710">
          <cell r="H1710">
            <v>48858679.177083299</v>
          </cell>
          <cell r="AB1710">
            <v>0</v>
          </cell>
        </row>
        <row r="1717">
          <cell r="H1717">
            <v>94489562.033749998</v>
          </cell>
        </row>
        <row r="1724">
          <cell r="H1724">
            <v>59812283.216250002</v>
          </cell>
        </row>
        <row r="1731">
          <cell r="H1731">
            <v>16563197.074999999</v>
          </cell>
        </row>
        <row r="1738">
          <cell r="H1738">
            <v>23160054.565000001</v>
          </cell>
        </row>
        <row r="1744">
          <cell r="H1744">
            <v>101289339.523333</v>
          </cell>
          <cell r="AB1744">
            <v>0</v>
          </cell>
        </row>
        <row r="1751">
          <cell r="H1751">
            <v>53891111.255416602</v>
          </cell>
          <cell r="AB1751">
            <v>0</v>
          </cell>
        </row>
        <row r="1762">
          <cell r="H1762">
            <v>11477247.1554166</v>
          </cell>
          <cell r="AB1762">
            <v>11477247.1554166</v>
          </cell>
        </row>
        <row r="1769">
          <cell r="H1769">
            <v>514979.9325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4131476.76041666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23909.993484137914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3060.6215290158075</v>
          </cell>
        </row>
        <row r="1807">
          <cell r="AB1807">
            <v>290728.64792727225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50625.969346928563</v>
          </cell>
        </row>
        <row r="1817">
          <cell r="AB1817">
            <v>25677.577332896602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33947.831394241512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106206.28819918539</v>
          </cell>
        </row>
        <row r="1830">
          <cell r="AB1830">
            <v>3806.6046232541662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16207.646079805472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171.73628437276318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62977.652421162413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2029.3316803973712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36490.173700331208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2776.8320387578915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164542.10028211121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693.70092041313205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273256.54982711357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36417.194913940599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4553.9449499846442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1548.6949349980246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2217.0899309267256</v>
          </cell>
        </row>
        <row r="1929">
          <cell r="AB1929">
            <v>-2217.0899309267256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2594.0960713834702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24953.811896239346</v>
          </cell>
        </row>
        <row r="1977">
          <cell r="AB1977">
            <v>0</v>
          </cell>
        </row>
        <row r="1978">
          <cell r="AB1978">
            <v>193708.39852634614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-56.585502188388396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7033.4785224642264</v>
          </cell>
        </row>
        <row r="2083">
          <cell r="AB2083">
            <v>36161.752237520624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2702.0812287336703</v>
          </cell>
        </row>
        <row r="2108">
          <cell r="AB2108">
            <v>11220.660294995225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92.718668421001155</v>
          </cell>
        </row>
        <row r="2136">
          <cell r="AB2136">
            <v>0</v>
          </cell>
        </row>
        <row r="2148">
          <cell r="AB2148">
            <v>0</v>
          </cell>
        </row>
        <row r="2149">
          <cell r="AB2149">
            <v>22744.732374915879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-3326830.276821387</v>
          </cell>
        </row>
        <row r="2195">
          <cell r="AB2195">
            <v>-26406.60443833028</v>
          </cell>
        </row>
        <row r="2198">
          <cell r="H2198">
            <v>-224552.4783558597</v>
          </cell>
        </row>
        <row r="2200">
          <cell r="AB2200">
            <v>-1782.3778125692056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-4925.5470138388328</v>
          </cell>
        </row>
        <row r="2222">
          <cell r="AB2222">
            <v>0</v>
          </cell>
        </row>
        <row r="2230">
          <cell r="AB2230">
            <v>-12492.721903136755</v>
          </cell>
        </row>
        <row r="2235">
          <cell r="AB2235">
            <v>120433.99613623758</v>
          </cell>
        </row>
        <row r="2237">
          <cell r="AB2237">
            <v>0</v>
          </cell>
        </row>
        <row r="2243">
          <cell r="AB2243">
            <v>120433.99613623758</v>
          </cell>
        </row>
        <row r="2249">
          <cell r="AB2249">
            <v>0</v>
          </cell>
        </row>
        <row r="2255">
          <cell r="AB2255">
            <v>38378.168320941761</v>
          </cell>
        </row>
        <row r="2256">
          <cell r="AB2256">
            <v>0</v>
          </cell>
        </row>
        <row r="2259">
          <cell r="AB2259">
            <v>-694404.35318046215</v>
          </cell>
        </row>
        <row r="2265">
          <cell r="AB2265">
            <v>-30490.485125516283</v>
          </cell>
        </row>
        <row r="2271">
          <cell r="AB2271">
            <v>-63262.602032419985</v>
          </cell>
        </row>
        <row r="2284">
          <cell r="AB2284">
            <v>-1953.0672000609711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-2267995.3283333299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3719.3443314059409</v>
          </cell>
        </row>
        <row r="2425">
          <cell r="AB2425">
            <v>-431870.79567178135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-46115.037660136964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-6773.242864953856</v>
          </cell>
        </row>
        <row r="2487">
          <cell r="AB2487">
            <v>-33896.215389881232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-146571.18061821224</v>
          </cell>
        </row>
      </sheetData>
      <sheetData sheetId="20" refreshError="1"/>
      <sheetData sheetId="2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0.11796258547466039</v>
          </cell>
          <cell r="C19">
            <v>0.47966524096911572</v>
          </cell>
          <cell r="D19">
            <v>0.24454922999222883</v>
          </cell>
          <cell r="E19">
            <v>2.7710240460607067E-2</v>
          </cell>
          <cell r="F19">
            <v>0.13011270310338777</v>
          </cell>
          <cell r="G19">
            <v>0.99999999999999978</v>
          </cell>
        </row>
        <row r="20">
          <cell r="A20" t="str">
            <v>PLNT2</v>
          </cell>
          <cell r="B20">
            <v>0.19738469370913425</v>
          </cell>
          <cell r="C20">
            <v>0.80261530629086575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0.13253694689212164</v>
          </cell>
          <cell r="C21">
            <v>0.74296438047524793</v>
          </cell>
          <cell r="D21">
            <v>7.5097878626861165E-3</v>
          </cell>
          <cell r="E21">
            <v>0.11698888476994421</v>
          </cell>
          <cell r="F21">
            <v>0</v>
          </cell>
          <cell r="G21">
            <v>0.99999999999999978</v>
          </cell>
        </row>
        <row r="22">
          <cell r="A22" t="str">
            <v>INTN</v>
          </cell>
          <cell r="B22">
            <v>0.1179625854746604</v>
          </cell>
          <cell r="C22">
            <v>0.47966524096911572</v>
          </cell>
          <cell r="D22">
            <v>0.24454922999222883</v>
          </cell>
          <cell r="E22">
            <v>2.7710240460607067E-2</v>
          </cell>
          <cell r="F22">
            <v>0.13011270310338777</v>
          </cell>
          <cell r="G22">
            <v>0.99999999999999978</v>
          </cell>
        </row>
        <row r="23">
          <cell r="A23" t="str">
            <v>GENL</v>
          </cell>
          <cell r="B23">
            <v>0.1179625854746604</v>
          </cell>
          <cell r="C23">
            <v>0.47966524096911584</v>
          </cell>
          <cell r="D23">
            <v>0.24454922999222886</v>
          </cell>
          <cell r="E23">
            <v>2.771024046060707E-2</v>
          </cell>
          <cell r="F23">
            <v>0.13011270310338779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0.14845142422884314</v>
          </cell>
          <cell r="C25">
            <v>0.41946564167392336</v>
          </cell>
          <cell r="D25">
            <v>0.24009887733801799</v>
          </cell>
          <cell r="E25">
            <v>4.1265189752772775E-2</v>
          </cell>
          <cell r="F25">
            <v>0.15071886700644249</v>
          </cell>
          <cell r="G25">
            <v>0.99999999999999978</v>
          </cell>
        </row>
      </sheetData>
      <sheetData sheetId="22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0.7819910284357261</v>
          </cell>
          <cell r="C11">
            <v>9.1412445722398886E-2</v>
          </cell>
          <cell r="D11">
            <v>0.12659652584187503</v>
          </cell>
          <cell r="E11">
            <v>0.12212854165224496</v>
          </cell>
          <cell r="F11">
            <v>4.4679841896300447E-3</v>
          </cell>
          <cell r="G11">
            <v>0</v>
          </cell>
          <cell r="H11">
            <v>0.99999999999999978</v>
          </cell>
        </row>
        <row r="12">
          <cell r="A12" t="str">
            <v>BOOKDEPR</v>
          </cell>
          <cell r="B12">
            <v>0.51626954328578567</v>
          </cell>
          <cell r="C12">
            <v>0.14750280697562621</v>
          </cell>
          <cell r="D12">
            <v>0.33622764973858799</v>
          </cell>
          <cell r="E12">
            <v>0.33227614608228023</v>
          </cell>
          <cell r="F12">
            <v>3.9515036563077567E-3</v>
          </cell>
          <cell r="G12">
            <v>0</v>
          </cell>
          <cell r="H12">
            <v>0.99999999999999989</v>
          </cell>
        </row>
        <row r="13">
          <cell r="A13" t="str">
            <v>COM-EQ</v>
          </cell>
          <cell r="B13">
            <v>0.16884399999999999</v>
          </cell>
          <cell r="C13">
            <v>0.40790300000000002</v>
          </cell>
          <cell r="D13">
            <v>0.42325299999999999</v>
          </cell>
          <cell r="E13">
            <v>0.40942200000000001</v>
          </cell>
          <cell r="F13">
            <v>1.3831E-2</v>
          </cell>
          <cell r="G13">
            <v>0</v>
          </cell>
          <cell r="H13">
            <v>1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0.67431313284947281</v>
          </cell>
          <cell r="C15">
            <v>0.16468176868519432</v>
          </cell>
          <cell r="D15">
            <v>0.16100509846533284</v>
          </cell>
          <cell r="E15">
            <v>0.11968113361161217</v>
          </cell>
          <cell r="F15">
            <v>2.9407015860425621E-2</v>
          </cell>
          <cell r="G15">
            <v>1.191694899329504E-2</v>
          </cell>
          <cell r="H15">
            <v>1</v>
          </cell>
        </row>
        <row r="16">
          <cell r="A16" t="str">
            <v>DDS2</v>
          </cell>
          <cell r="B16">
            <v>0.8565598731168943</v>
          </cell>
          <cell r="C16">
            <v>1.5999729963921166E-2</v>
          </cell>
          <cell r="D16">
            <v>0.12744039691918455</v>
          </cell>
          <cell r="E16">
            <v>1.9283694441519701E-3</v>
          </cell>
          <cell r="F16">
            <v>0.15206487932583523</v>
          </cell>
          <cell r="G16">
            <v>-2.6552851850802667E-2</v>
          </cell>
          <cell r="H16">
            <v>0.99999999999999989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0.26974545467172423</v>
          </cell>
          <cell r="C18">
            <v>1.8073623929426793E-2</v>
          </cell>
          <cell r="D18">
            <v>0.71218092139884914</v>
          </cell>
          <cell r="E18">
            <v>0.10844493261073215</v>
          </cell>
          <cell r="F18">
            <v>0</v>
          </cell>
          <cell r="G18">
            <v>0.60373598878811696</v>
          </cell>
          <cell r="H18">
            <v>1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0.57145766391306674</v>
          </cell>
          <cell r="C20">
            <v>0.42854233608693332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0.94131555876816297</v>
          </cell>
          <cell r="C21">
            <v>-8.5185657072674534E-3</v>
          </cell>
          <cell r="D21">
            <v>6.7203006939104457E-2</v>
          </cell>
          <cell r="E21">
            <v>6.3766984267815616E-2</v>
          </cell>
          <cell r="F21">
            <v>3.43602267128884E-3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0.53973778598903943</v>
          </cell>
          <cell r="C25">
            <v>0.46026221401096062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-0.51960704274627467</v>
          </cell>
          <cell r="C26">
            <v>0.51136984225601467</v>
          </cell>
          <cell r="D26">
            <v>1.0082372004902598</v>
          </cell>
          <cell r="E26">
            <v>0.97064489557451128</v>
          </cell>
          <cell r="F26">
            <v>-5.241006048330674E-3</v>
          </cell>
          <cell r="G26">
            <v>4.2833310964079135E-2</v>
          </cell>
          <cell r="H26">
            <v>0.99999999999999956</v>
          </cell>
        </row>
        <row r="27">
          <cell r="A27" t="str">
            <v>G</v>
          </cell>
          <cell r="B27">
            <v>0.23693301221427837</v>
          </cell>
          <cell r="C27">
            <v>0.25823409648379203</v>
          </cell>
          <cell r="D27">
            <v>0.50483289130192954</v>
          </cell>
          <cell r="E27">
            <v>0.4777672793757155</v>
          </cell>
          <cell r="F27">
            <v>2.7065611926214001E-2</v>
          </cell>
          <cell r="G27">
            <v>0</v>
          </cell>
          <cell r="H27">
            <v>1</v>
          </cell>
        </row>
        <row r="28">
          <cell r="A28" t="str">
            <v>G-DGP</v>
          </cell>
          <cell r="B28">
            <v>0.6855986064245424</v>
          </cell>
          <cell r="C28">
            <v>0.31440139357545754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0.6855986064245424</v>
          </cell>
          <cell r="C29">
            <v>0.31440139357545754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0.50259603704883904</v>
          </cell>
          <cell r="C30">
            <v>0.18428798997612988</v>
          </cell>
          <cell r="D30">
            <v>0.3131159729750308</v>
          </cell>
          <cell r="E30">
            <v>0.30539907983856868</v>
          </cell>
          <cell r="F30">
            <v>7.7168931364621288E-3</v>
          </cell>
          <cell r="G30">
            <v>0</v>
          </cell>
          <cell r="H30">
            <v>0.99999999999999978</v>
          </cell>
        </row>
        <row r="31">
          <cell r="A31" t="str">
            <v>G-SG</v>
          </cell>
          <cell r="B31">
            <v>0.51476390366481295</v>
          </cell>
          <cell r="C31">
            <v>0.48523609633518716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0.21474610729651805</v>
          </cell>
          <cell r="D32">
            <v>0.785253892703482</v>
          </cell>
          <cell r="E32">
            <v>0.785253892703482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0.52236914578388716</v>
          </cell>
          <cell r="C33">
            <v>0.11489765260845204</v>
          </cell>
          <cell r="D33">
            <v>0.36273320160766076</v>
          </cell>
          <cell r="E33">
            <v>0.1808756921735459</v>
          </cell>
          <cell r="F33">
            <v>0.18185750943411488</v>
          </cell>
          <cell r="G33">
            <v>0</v>
          </cell>
          <cell r="H33">
            <v>1</v>
          </cell>
        </row>
        <row r="34">
          <cell r="A34" t="str">
            <v>IBT</v>
          </cell>
          <cell r="B34">
            <v>9.4155347792411248E-2</v>
          </cell>
          <cell r="C34">
            <v>0.3048298829088753</v>
          </cell>
          <cell r="D34">
            <v>0.60101476929871334</v>
          </cell>
          <cell r="E34">
            <v>0.57860582579280095</v>
          </cell>
          <cell r="F34">
            <v>-3.1241874823691868E-3</v>
          </cell>
          <cell r="G34">
            <v>2.5533130988281527E-2</v>
          </cell>
          <cell r="H34">
            <v>1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0.91411706073429855</v>
          </cell>
          <cell r="C37">
            <v>8.5882939265701341E-2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0.99999999999999989</v>
          </cell>
        </row>
        <row r="38">
          <cell r="A38" t="str">
            <v>I-SITUS</v>
          </cell>
          <cell r="B38">
            <v>3.9285109184297097E-2</v>
          </cell>
          <cell r="C38">
            <v>0.36222117241774748</v>
          </cell>
          <cell r="D38">
            <v>0.5984937183979554</v>
          </cell>
          <cell r="E38">
            <v>0.5984937183979554</v>
          </cell>
          <cell r="F38">
            <v>0</v>
          </cell>
          <cell r="G38">
            <v>0</v>
          </cell>
          <cell r="H38">
            <v>0.99999999999999989</v>
          </cell>
        </row>
        <row r="39">
          <cell r="A39" t="str">
            <v>LABOR</v>
          </cell>
          <cell r="B39">
            <v>0.44963792155873378</v>
          </cell>
          <cell r="C39">
            <v>6.6520721509520903E-2</v>
          </cell>
          <cell r="D39">
            <v>0.48384135693174535</v>
          </cell>
          <cell r="E39">
            <v>0.33592790122010735</v>
          </cell>
          <cell r="F39">
            <v>0.14791345571163803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0.80484912398185993</v>
          </cell>
          <cell r="C40">
            <v>5.6232060738029103E-3</v>
          </cell>
          <cell r="D40">
            <v>0.1895276699443372</v>
          </cell>
          <cell r="E40">
            <v>0.1895276699443372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0.41503605884962302</v>
          </cell>
          <cell r="C43">
            <v>0.58496394115037698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0.41503605884962302</v>
          </cell>
          <cell r="C44">
            <v>0.58496394115037698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0.41503605884962302</v>
          </cell>
          <cell r="C46">
            <v>0.58496394115037698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0.41503605884962302</v>
          </cell>
          <cell r="C47">
            <v>0.58496394115037698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0</v>
          </cell>
          <cell r="C48">
            <v>0</v>
          </cell>
          <cell r="D48">
            <v>1</v>
          </cell>
          <cell r="E48">
            <v>0</v>
          </cell>
          <cell r="F48">
            <v>0</v>
          </cell>
          <cell r="G48">
            <v>1</v>
          </cell>
          <cell r="H48">
            <v>1</v>
          </cell>
        </row>
        <row r="49">
          <cell r="A49" t="str">
            <v>OTHSO</v>
          </cell>
          <cell r="B49">
            <v>1.0103369101662424E-2</v>
          </cell>
          <cell r="C49">
            <v>3.7002980951139843E-3</v>
          </cell>
          <cell r="D49">
            <v>0.9861963328032235</v>
          </cell>
          <cell r="E49">
            <v>6.1139583623553298E-3</v>
          </cell>
          <cell r="F49">
            <v>0</v>
          </cell>
          <cell r="G49">
            <v>0.98008237444086821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0.72118319367819761</v>
          </cell>
          <cell r="C51">
            <v>0.27881680632180245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1</v>
          </cell>
        </row>
        <row r="52">
          <cell r="A52" t="str">
            <v>PTD</v>
          </cell>
          <cell r="B52">
            <v>0.51460369572061648</v>
          </cell>
          <cell r="C52">
            <v>0.19895105740115429</v>
          </cell>
          <cell r="D52">
            <v>0.28644524687822936</v>
          </cell>
          <cell r="E52">
            <v>0.28644524687822936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0.63774580296466943</v>
          </cell>
          <cell r="C53">
            <v>0.16821056185653391</v>
          </cell>
          <cell r="D53">
            <v>0.19404363517879647</v>
          </cell>
          <cell r="E53">
            <v>0.16218363468218552</v>
          </cell>
          <cell r="F53">
            <v>2.3059607557371832E-2</v>
          </cell>
          <cell r="G53">
            <v>8.8003929392391246E-3</v>
          </cell>
          <cell r="H53">
            <v>0.99999999999999978</v>
          </cell>
        </row>
        <row r="54">
          <cell r="A54" t="str">
            <v>SCHMA</v>
          </cell>
          <cell r="B54">
            <v>0.51401837990052557</v>
          </cell>
          <cell r="C54">
            <v>0.14478147958515292</v>
          </cell>
          <cell r="D54">
            <v>0.34120014051432135</v>
          </cell>
          <cell r="E54">
            <v>0.32673188684561133</v>
          </cell>
          <cell r="F54">
            <v>1.2731075645734743E-2</v>
          </cell>
          <cell r="G54">
            <v>1.7371780229752903E-3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0.45860116892742248</v>
          </cell>
          <cell r="C56">
            <v>7.6417907400419677E-2</v>
          </cell>
          <cell r="D56">
            <v>0.46498092367215782</v>
          </cell>
          <cell r="E56">
            <v>0.33099665637426279</v>
          </cell>
          <cell r="F56">
            <v>0.133984267297895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0.45468666812605935</v>
          </cell>
          <cell r="C57">
            <v>7.697043530145857E-2</v>
          </cell>
          <cell r="D57">
            <v>0.46834289657248207</v>
          </cell>
          <cell r="E57">
            <v>0.33338987668110881</v>
          </cell>
          <cell r="F57">
            <v>0.13495301989137329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0.51489679308711234</v>
          </cell>
          <cell r="C58">
            <v>0.14586510436948924</v>
          </cell>
          <cell r="D58">
            <v>0.33923810254339826</v>
          </cell>
          <cell r="E58">
            <v>0.32666428637048928</v>
          </cell>
          <cell r="F58">
            <v>1.0809102298597334E-2</v>
          </cell>
          <cell r="G58">
            <v>1.7647138743116363E-3</v>
          </cell>
          <cell r="H58">
            <v>0.99999999999999989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0.8179755530723346</v>
          </cell>
          <cell r="C61">
            <v>1.6196794643947719E-2</v>
          </cell>
          <cell r="D61">
            <v>0.16582765228371774</v>
          </cell>
          <cell r="E61">
            <v>0.112592991832294</v>
          </cell>
          <cell r="F61">
            <v>2.3769236820206655E-2</v>
          </cell>
          <cell r="G61">
            <v>2.9465423631217069E-2</v>
          </cell>
          <cell r="H61">
            <v>1.0000000000000002</v>
          </cell>
        </row>
        <row r="62">
          <cell r="A62" t="str">
            <v>SCHMAT-SNP</v>
          </cell>
          <cell r="B62">
            <v>0.50710186518949796</v>
          </cell>
          <cell r="C62">
            <v>0.18573019946893798</v>
          </cell>
          <cell r="D62">
            <v>0.30716793534156406</v>
          </cell>
          <cell r="E62">
            <v>0.30690995344581007</v>
          </cell>
          <cell r="F62">
            <v>2.5798189575397486E-4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0.44963792183947876</v>
          </cell>
          <cell r="C63">
            <v>6.6520722090596784E-2</v>
          </cell>
          <cell r="D63">
            <v>0.48384135606992451</v>
          </cell>
          <cell r="E63">
            <v>0.33592790107897574</v>
          </cell>
          <cell r="F63">
            <v>0.14791345499094874</v>
          </cell>
          <cell r="G63">
            <v>0</v>
          </cell>
          <cell r="H63">
            <v>0.99999999999999989</v>
          </cell>
        </row>
        <row r="64">
          <cell r="A64" t="str">
            <v>SCHMD</v>
          </cell>
          <cell r="B64">
            <v>0.66487773173164078</v>
          </cell>
          <cell r="C64">
            <v>0.11988668521162808</v>
          </cell>
          <cell r="D64">
            <v>0.21523558305673121</v>
          </cell>
          <cell r="E64">
            <v>0.19818203478289673</v>
          </cell>
          <cell r="F64">
            <v>7.9976902613497925E-3</v>
          </cell>
          <cell r="G64">
            <v>9.0558580124846782E-3</v>
          </cell>
          <cell r="H64">
            <v>1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0.46720978786452688</v>
          </cell>
          <cell r="C66">
            <v>6.6140403357222211E-2</v>
          </cell>
          <cell r="D66">
            <v>0.46664980877825113</v>
          </cell>
          <cell r="E66">
            <v>0.32528815003851841</v>
          </cell>
          <cell r="F66">
            <v>0.14136165873973269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0.44963792155873378</v>
          </cell>
          <cell r="C67">
            <v>6.6520721509520903E-2</v>
          </cell>
          <cell r="D67">
            <v>0.48384135693174535</v>
          </cell>
          <cell r="E67">
            <v>0.33592790122010735</v>
          </cell>
          <cell r="F67">
            <v>0.14791345571163803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0.66753637241967267</v>
          </cell>
          <cell r="C68">
            <v>0.1206095745631995</v>
          </cell>
          <cell r="D68">
            <v>0.21185405301712787</v>
          </cell>
          <cell r="E68">
            <v>0.19647245313245243</v>
          </cell>
          <cell r="F68">
            <v>6.2039402684202476E-3</v>
          </cell>
          <cell r="G68">
            <v>9.1776596162551783E-3</v>
          </cell>
          <cell r="H68">
            <v>0.99999999999999989</v>
          </cell>
        </row>
        <row r="69">
          <cell r="A69" t="str">
            <v>SCHMDT-GPS</v>
          </cell>
          <cell r="B69">
            <v>0.50699284886790674</v>
          </cell>
          <cell r="C69">
            <v>0.18569530591131403</v>
          </cell>
          <cell r="D69">
            <v>0.30731184522077915</v>
          </cell>
          <cell r="E69">
            <v>0.30687339859331486</v>
          </cell>
          <cell r="F69">
            <v>4.3844662746425888E-4</v>
          </cell>
          <cell r="G69">
            <v>0</v>
          </cell>
          <cell r="H69">
            <v>0.99999999999999989</v>
          </cell>
        </row>
        <row r="70">
          <cell r="A70" t="str">
            <v>SCHMDT-SG</v>
          </cell>
          <cell r="B70">
            <v>0.98671344180437104</v>
          </cell>
          <cell r="C70">
            <v>1.3286558195628882E-2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0.99999999999999989</v>
          </cell>
        </row>
        <row r="71">
          <cell r="A71" t="str">
            <v>SCHMDT-SITUS</v>
          </cell>
          <cell r="B71">
            <v>0.91534091636205983</v>
          </cell>
          <cell r="C71">
            <v>1.2870719633099216E-2</v>
          </cell>
          <cell r="D71">
            <v>7.178836400484101E-2</v>
          </cell>
          <cell r="E71">
            <v>4.5537696044685938E-2</v>
          </cell>
          <cell r="F71">
            <v>2.1663366936777024E-2</v>
          </cell>
          <cell r="G71">
            <v>4.5873010233780567E-3</v>
          </cell>
          <cell r="H71">
            <v>0.99999999999999989</v>
          </cell>
        </row>
        <row r="72">
          <cell r="A72" t="str">
            <v>SCHMDT-SNP</v>
          </cell>
          <cell r="B72">
            <v>0.50725770858917862</v>
          </cell>
          <cell r="C72">
            <v>0.18578008127165987</v>
          </cell>
          <cell r="D72">
            <v>0.30696221013916142</v>
          </cell>
          <cell r="E72">
            <v>0.30696221013916142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0.3647827649911205</v>
          </cell>
          <cell r="C73">
            <v>8.2168865801766439E-2</v>
          </cell>
          <cell r="D73">
            <v>0.55304836920711287</v>
          </cell>
          <cell r="E73">
            <v>0.15332823019364286</v>
          </cell>
          <cell r="F73">
            <v>1.3674887602677098E-2</v>
          </cell>
          <cell r="G73">
            <v>0.38604525141079293</v>
          </cell>
          <cell r="H73">
            <v>1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0.65553707728264621</v>
          </cell>
          <cell r="C75">
            <v>0.12855395579852585</v>
          </cell>
          <cell r="D75">
            <v>0.21590896691882802</v>
          </cell>
          <cell r="E75">
            <v>0.20955742057398441</v>
          </cell>
          <cell r="F75">
            <v>6.3515463448436012E-3</v>
          </cell>
          <cell r="G75">
            <v>0</v>
          </cell>
          <cell r="H75">
            <v>1.0000000000000002</v>
          </cell>
        </row>
        <row r="76">
          <cell r="A76" t="str">
            <v>TD</v>
          </cell>
          <cell r="B76">
            <v>0</v>
          </cell>
          <cell r="C76">
            <v>0.37703295314825469</v>
          </cell>
          <cell r="D76">
            <v>0.62296704685174531</v>
          </cell>
          <cell r="E76">
            <v>0.62296704685174531</v>
          </cell>
          <cell r="F76">
            <v>0</v>
          </cell>
          <cell r="G76">
            <v>0</v>
          </cell>
          <cell r="H76">
            <v>0.99999999999999989</v>
          </cell>
        </row>
        <row r="77">
          <cell r="A77" t="str">
            <v>WSF</v>
          </cell>
          <cell r="B77">
            <v>0.77628218715384489</v>
          </cell>
          <cell r="C77">
            <v>0.22371781284615508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1</v>
          </cell>
        </row>
      </sheetData>
      <sheetData sheetId="23" refreshError="1"/>
      <sheetData sheetId="24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0.43</v>
          </cell>
          <cell r="D15" t="str">
            <v>/</v>
          </cell>
          <cell r="E15">
            <v>0.57000000000000006</v>
          </cell>
          <cell r="F15">
            <v>0.42986524523464786</v>
          </cell>
          <cell r="G15">
            <v>0.13439073648238098</v>
          </cell>
          <cell r="H15">
            <v>0.21433542262855332</v>
          </cell>
          <cell r="I15">
            <v>8.745349578408107E-2</v>
          </cell>
          <cell r="J15">
            <v>9.6328837771136933E-2</v>
          </cell>
          <cell r="K15">
            <v>3.5273739368692297E-2</v>
          </cell>
          <cell r="L15">
            <v>2.3525227305076475E-3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0.4357609988025879</v>
          </cell>
          <cell r="G16">
            <v>0.13413653385630986</v>
          </cell>
          <cell r="H16">
            <v>0.21274663608571831</v>
          </cell>
          <cell r="I16">
            <v>8.5994175817366153E-2</v>
          </cell>
          <cell r="J16">
            <v>9.4189125238207244E-2</v>
          </cell>
          <cell r="K16">
            <v>3.4964252843505968E-2</v>
          </cell>
          <cell r="L16">
            <v>2.2082773563045933E-3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0.47787352428787405</v>
          </cell>
          <cell r="G17">
            <v>0.13232080081294492</v>
          </cell>
          <cell r="H17">
            <v>0.20139816077975409</v>
          </cell>
          <cell r="I17">
            <v>7.557046176940245E-2</v>
          </cell>
          <cell r="J17">
            <v>7.8905464288709565E-2</v>
          </cell>
          <cell r="K17">
            <v>3.2753634806460777E-2</v>
          </cell>
          <cell r="L17">
            <v>1.1779532548542083E-3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0.48908679631744228</v>
          </cell>
          <cell r="G24">
            <v>0.11714086869542226</v>
          </cell>
          <cell r="H24">
            <v>0.20172714746819323</v>
          </cell>
          <cell r="I24">
            <v>6.76476789049371E-2</v>
          </cell>
          <cell r="J24">
            <v>5.8725176190484299E-2</v>
          </cell>
          <cell r="K24">
            <v>6.2526139904892197E-2</v>
          </cell>
          <cell r="L24">
            <v>3.1461925186287766E-3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0.51960042268847295</v>
          </cell>
          <cell r="G25">
            <v>0.12444916801379134</v>
          </cell>
          <cell r="H25">
            <v>0.21431269844418618</v>
          </cell>
          <cell r="I25">
            <v>7.1868148593578929E-2</v>
          </cell>
          <cell r="J25">
            <v>0</v>
          </cell>
          <cell r="K25">
            <v>6.6427081999109669E-2</v>
          </cell>
          <cell r="L25">
            <v>3.3424802608610581E-3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0.60972399517851672</v>
          </cell>
          <cell r="G26">
            <v>0.13754164143911549</v>
          </cell>
          <cell r="H26">
            <v>0.1497735065695997</v>
          </cell>
          <cell r="I26">
            <v>4.4406492139736402E-2</v>
          </cell>
          <cell r="J26">
            <v>0</v>
          </cell>
          <cell r="K26">
            <v>5.646154753119384E-2</v>
          </cell>
          <cell r="L26">
            <v>2.0928171418379562E-3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0.81594009586514138</v>
          </cell>
          <cell r="G27">
            <v>0.18405990413485865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0.39364847331730179</v>
          </cell>
          <cell r="G28">
            <v>0.13595226689967482</v>
          </cell>
          <cell r="H28">
            <v>0.22409511139168253</v>
          </cell>
          <cell r="I28">
            <v>9.6417889865329856E-2</v>
          </cell>
          <cell r="J28">
            <v>0.10947278618770494</v>
          </cell>
          <cell r="K28">
            <v>3.7174870880551159E-2</v>
          </cell>
          <cell r="L28">
            <v>3.2386014577549787E-3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0.7880487430973292</v>
          </cell>
          <cell r="G32">
            <v>0.14150366322579663</v>
          </cell>
          <cell r="H32">
            <v>7.9374471411431408E-3</v>
          </cell>
          <cell r="I32">
            <v>4.5951049797102943E-4</v>
          </cell>
          <cell r="J32">
            <v>7.5314000743565124E-6</v>
          </cell>
          <cell r="K32">
            <v>3.9517481996404272E-2</v>
          </cell>
          <cell r="L32">
            <v>2.252562264128137E-2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0.80346540999401883</v>
          </cell>
          <cell r="G33">
            <v>0.14427191183950455</v>
          </cell>
          <cell r="H33">
            <v>9.2397992792885419E-3</v>
          </cell>
          <cell r="I33">
            <v>1.6837489680218233E-2</v>
          </cell>
          <cell r="J33">
            <v>1.4107467439492278E-3</v>
          </cell>
          <cell r="K33">
            <v>2.4774642463020646E-2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0.80778133322432677</v>
          </cell>
          <cell r="G34">
            <v>0.13696447558301839</v>
          </cell>
          <cell r="H34">
            <v>8.7530364121990931E-3</v>
          </cell>
          <cell r="I34">
            <v>1.6490847865133045E-3</v>
          </cell>
          <cell r="J34">
            <v>2.7028582238287683E-5</v>
          </cell>
          <cell r="K34">
            <v>2.3945399918245389E-2</v>
          </cell>
          <cell r="L34">
            <v>2.0879641493458737E-2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0.14389431025760049</v>
          </cell>
          <cell r="G35">
            <v>0.53423285749305016</v>
          </cell>
          <cell r="H35">
            <v>4.9131335047540563E-3</v>
          </cell>
          <cell r="I35">
            <v>0</v>
          </cell>
          <cell r="J35">
            <v>0</v>
          </cell>
          <cell r="K35">
            <v>0.30911015954644788</v>
          </cell>
          <cell r="L35">
            <v>7.8495391981474039E-3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0.81302612925031748</v>
          </cell>
          <cell r="G36">
            <v>8.8439480635248077E-2</v>
          </cell>
          <cell r="H36">
            <v>6.7555894126212088E-2</v>
          </cell>
          <cell r="I36">
            <v>0</v>
          </cell>
          <cell r="J36">
            <v>0</v>
          </cell>
          <cell r="K36">
            <v>3.0366044310865835E-2</v>
          </cell>
          <cell r="L36">
            <v>6.1245167735648044E-4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0.67664443963423104</v>
          </cell>
          <cell r="G37">
            <v>0.17288485976487628</v>
          </cell>
          <cell r="H37">
            <v>7.701264475644265E-2</v>
          </cell>
          <cell r="I37">
            <v>1.2193258429727788E-2</v>
          </cell>
          <cell r="J37">
            <v>7.1373550694756201E-4</v>
          </cell>
          <cell r="K37">
            <v>6.0551061907774519E-2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0.67712772973768365</v>
          </cell>
          <cell r="G38">
            <v>0.17300834196153236</v>
          </cell>
          <cell r="H38">
            <v>7.7067650675166535E-2</v>
          </cell>
          <cell r="I38">
            <v>1.2201967407120868E-2</v>
          </cell>
          <cell r="J38">
            <v>0</v>
          </cell>
          <cell r="K38">
            <v>6.0594310218496455E-2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0.72910717716856432</v>
          </cell>
          <cell r="G39">
            <v>0.20489973886974552</v>
          </cell>
          <cell r="H39">
            <v>5.2427541041581975E-2</v>
          </cell>
          <cell r="I39">
            <v>1.3565542920108302E-2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0.91240564707715077</v>
          </cell>
          <cell r="G40">
            <v>2.8312865546502225E-2</v>
          </cell>
          <cell r="H40">
            <v>3.2220562186139216E-2</v>
          </cell>
          <cell r="I40">
            <v>1.2556200969981866E-2</v>
          </cell>
          <cell r="J40">
            <v>1.2028141144996857E-2</v>
          </cell>
          <cell r="K40">
            <v>2.476583075228769E-3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0.48148068521218196</v>
          </cell>
          <cell r="G43">
            <v>0.13721473402624354</v>
          </cell>
          <cell r="H43">
            <v>0.19271599583705656</v>
          </cell>
          <cell r="I43">
            <v>7.4897617915666057E-2</v>
          </cell>
          <cell r="J43">
            <v>7.0853835096772039E-2</v>
          </cell>
          <cell r="K43">
            <v>3.7881006385996292E-2</v>
          </cell>
          <cell r="L43">
            <v>4.956125526083462E-3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0.42997840509225238</v>
          </cell>
          <cell r="G44">
            <v>0.13438978864463666</v>
          </cell>
          <cell r="H44">
            <v>0.21426929044694662</v>
          </cell>
          <cell r="I44">
            <v>8.7428363471998768E-2</v>
          </cell>
          <cell r="J44">
            <v>9.6309454250004325E-2</v>
          </cell>
          <cell r="K44">
            <v>3.5267118989095236E-2</v>
          </cell>
          <cell r="L44">
            <v>2.3575791050658951E-3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0.43041070053751457</v>
          </cell>
          <cell r="G45">
            <v>0.13364937085732487</v>
          </cell>
          <cell r="H45">
            <v>0.21469725673822287</v>
          </cell>
          <cell r="I45">
            <v>8.7611975820352156E-2</v>
          </cell>
          <cell r="J45">
            <v>9.6529729719121687E-2</v>
          </cell>
          <cell r="K45">
            <v>3.4759098257189647E-2</v>
          </cell>
          <cell r="L45">
            <v>2.3418680702744304E-3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0.60382515111639368</v>
          </cell>
          <cell r="G46">
            <v>0.14569881454955158</v>
          </cell>
          <cell r="H46">
            <v>0.14123811562048438</v>
          </cell>
          <cell r="I46">
            <v>4.4757186389693518E-2</v>
          </cell>
          <cell r="J46">
            <v>7.8688952068686185E-3</v>
          </cell>
          <cell r="K46">
            <v>4.5118032947368679E-2</v>
          </cell>
          <cell r="L46">
            <v>1.1493804169638813E-2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0.82006857464249983</v>
          </cell>
          <cell r="G47">
            <v>0.10343336033800132</v>
          </cell>
          <cell r="H47">
            <v>4.3407716599627527E-2</v>
          </cell>
          <cell r="I47">
            <v>-5.8770782867723493E-4</v>
          </cell>
          <cell r="J47">
            <v>-1.2648367960562345E-3</v>
          </cell>
          <cell r="K47">
            <v>2.7537530981128239E-2</v>
          </cell>
          <cell r="L47">
            <v>7.4053620634760998E-3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0.42986524523464786</v>
          </cell>
          <cell r="G48">
            <v>0.13439073648238098</v>
          </cell>
          <cell r="H48">
            <v>0.21433542262855332</v>
          </cell>
          <cell r="I48">
            <v>8.745349578408107E-2</v>
          </cell>
          <cell r="J48">
            <v>9.6328837771136933E-2</v>
          </cell>
          <cell r="K48">
            <v>3.527373936869229E-2</v>
          </cell>
          <cell r="L48">
            <v>2.3525227305076475E-3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0.47945256402565528</v>
          </cell>
          <cell r="G49">
            <v>0.1373006945580848</v>
          </cell>
          <cell r="H49">
            <v>0.19384160736868922</v>
          </cell>
          <cell r="I49">
            <v>7.5361097426232121E-2</v>
          </cell>
          <cell r="J49">
            <v>7.0129976403202482E-2</v>
          </cell>
          <cell r="K49">
            <v>3.8413465119919353E-2</v>
          </cell>
          <cell r="L49">
            <v>5.5005950982168466E-3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0.42986524523464797</v>
          </cell>
          <cell r="G50">
            <v>0.13439073648238101</v>
          </cell>
          <cell r="H50">
            <v>0.21433542262855335</v>
          </cell>
          <cell r="I50">
            <v>8.7453495784081084E-2</v>
          </cell>
          <cell r="J50">
            <v>9.6328837771136933E-2</v>
          </cell>
          <cell r="K50">
            <v>3.5273739368692297E-2</v>
          </cell>
          <cell r="L50">
            <v>2.352522730507648E-3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0.42986524523464792</v>
          </cell>
          <cell r="G51">
            <v>0.13439073648238098</v>
          </cell>
          <cell r="H51">
            <v>0.21433542262855337</v>
          </cell>
          <cell r="I51">
            <v>8.7453495784081084E-2</v>
          </cell>
          <cell r="J51">
            <v>9.632883777113696E-2</v>
          </cell>
          <cell r="K51">
            <v>3.5273739368692311E-2</v>
          </cell>
          <cell r="L51">
            <v>2.352522730507648E-3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0.59960571465305401</v>
          </cell>
          <cell r="G52">
            <v>0.14435170355623342</v>
          </cell>
          <cell r="H52">
            <v>0.14418382122730403</v>
          </cell>
          <cell r="I52">
            <v>4.6060465797796039E-2</v>
          </cell>
          <cell r="J52">
            <v>6.6485095089159904E-3</v>
          </cell>
          <cell r="K52">
            <v>4.6021215454352025E-2</v>
          </cell>
          <cell r="L52">
            <v>1.3128569802344437E-2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0.47945256402565528</v>
          </cell>
          <cell r="G53">
            <v>0.1373006945580848</v>
          </cell>
          <cell r="H53">
            <v>0.19384160736868922</v>
          </cell>
          <cell r="I53">
            <v>7.5361097426232121E-2</v>
          </cell>
          <cell r="J53">
            <v>7.0129976403202482E-2</v>
          </cell>
          <cell r="K53">
            <v>3.8413465119919353E-2</v>
          </cell>
          <cell r="L53">
            <v>5.5005950982168466E-3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0.47945256402565528</v>
          </cell>
          <cell r="G54">
            <v>0.1373006945580848</v>
          </cell>
          <cell r="H54">
            <v>0.19384160736868922</v>
          </cell>
          <cell r="I54">
            <v>7.5361097426232121E-2</v>
          </cell>
          <cell r="J54">
            <v>7.0129976403202482E-2</v>
          </cell>
          <cell r="K54">
            <v>3.8413465119919353E-2</v>
          </cell>
          <cell r="L54">
            <v>5.5005950982168466E-3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0.47410311454124082</v>
          </cell>
          <cell r="G55">
            <v>0.13731360266418002</v>
          </cell>
          <cell r="H55">
            <v>0.19559765605119903</v>
          </cell>
          <cell r="I55">
            <v>7.6585151701546034E-2</v>
          </cell>
          <cell r="J55">
            <v>7.3985238383367638E-2</v>
          </cell>
          <cell r="K55">
            <v>3.7761314057479047E-2</v>
          </cell>
          <cell r="L55">
            <v>4.6539226009873515E-3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0.42982437339409824</v>
          </cell>
          <cell r="G56">
            <v>0.13438850905509203</v>
          </cell>
          <cell r="H56">
            <v>0.21435274549718464</v>
          </cell>
          <cell r="I56">
            <v>8.746340736615052E-2</v>
          </cell>
          <cell r="J56">
            <v>9.6349529872891651E-2</v>
          </cell>
          <cell r="K56">
            <v>3.5271459158639266E-2</v>
          </cell>
          <cell r="L56">
            <v>2.3499756559440337E-3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0.42974915795284035</v>
          </cell>
          <cell r="G57">
            <v>0.13438440997552634</v>
          </cell>
          <cell r="H57">
            <v>0.21438462434556579</v>
          </cell>
          <cell r="I57">
            <v>8.7481647406454199E-2</v>
          </cell>
          <cell r="J57">
            <v>9.6387609037986627E-2</v>
          </cell>
          <cell r="K57">
            <v>3.5267262944253225E-2</v>
          </cell>
          <cell r="L57">
            <v>2.3452883373735614E-3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0.60347741402882749</v>
          </cell>
          <cell r="G58">
            <v>0.14604255152557247</v>
          </cell>
          <cell r="H58">
            <v>0.14117174968226717</v>
          </cell>
          <cell r="I58">
            <v>4.4743509382265824E-2</v>
          </cell>
          <cell r="J58">
            <v>7.8655740556273154E-3</v>
          </cell>
          <cell r="K58">
            <v>4.5303208188351846E-2</v>
          </cell>
          <cell r="L58">
            <v>1.1395993137087562E-2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0.84611423477008485</v>
          </cell>
          <cell r="G59">
            <v>0.13693936164678255</v>
          </cell>
          <cell r="H59">
            <v>-1.2820717900381041E-2</v>
          </cell>
          <cell r="I59">
            <v>-6.9614924082348666E-3</v>
          </cell>
          <cell r="J59">
            <v>-8.2321587621745872E-3</v>
          </cell>
          <cell r="K59">
            <v>2.2281661301885133E-2</v>
          </cell>
          <cell r="L59">
            <v>2.2679111352037155E-2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0.47410311454124082</v>
          </cell>
          <cell r="G60">
            <v>0.13731360266418002</v>
          </cell>
          <cell r="H60">
            <v>0.19559765605119903</v>
          </cell>
          <cell r="I60">
            <v>7.6585151701546034E-2</v>
          </cell>
          <cell r="J60">
            <v>7.3985238383367638E-2</v>
          </cell>
          <cell r="K60">
            <v>3.7761314057479047E-2</v>
          </cell>
          <cell r="L60">
            <v>4.6539226009873515E-3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0.42986524523464792</v>
          </cell>
          <cell r="G61">
            <v>0.13439073648238098</v>
          </cell>
          <cell r="H61">
            <v>0.21433542262855332</v>
          </cell>
          <cell r="I61">
            <v>8.7453495784081084E-2</v>
          </cell>
          <cell r="J61">
            <v>9.6328837771136946E-2</v>
          </cell>
          <cell r="K61">
            <v>3.5273739368692297E-2</v>
          </cell>
          <cell r="L61">
            <v>2.352522730507648E-3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0.42986524523464797</v>
          </cell>
          <cell r="G62">
            <v>0.13439073648238101</v>
          </cell>
          <cell r="H62">
            <v>0.21433542262855335</v>
          </cell>
          <cell r="I62">
            <v>8.7453495784081084E-2</v>
          </cell>
          <cell r="J62">
            <v>9.6328837771136933E-2</v>
          </cell>
          <cell r="K62">
            <v>3.5273739368692297E-2</v>
          </cell>
          <cell r="L62">
            <v>2.352522730507648E-3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0.42986524523464792</v>
          </cell>
          <cell r="G63">
            <v>0.13439073648238098</v>
          </cell>
          <cell r="H63">
            <v>0.21433542262855337</v>
          </cell>
          <cell r="I63">
            <v>8.7453495784081084E-2</v>
          </cell>
          <cell r="J63">
            <v>9.632883777113696E-2</v>
          </cell>
          <cell r="K63">
            <v>3.5273739368692311E-2</v>
          </cell>
          <cell r="L63">
            <v>2.352522730507648E-3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0.59960571465305401</v>
          </cell>
          <cell r="G64">
            <v>0.14435170355623342</v>
          </cell>
          <cell r="H64">
            <v>0.14418382122730403</v>
          </cell>
          <cell r="I64">
            <v>4.6060465797796039E-2</v>
          </cell>
          <cell r="J64">
            <v>6.6485095089159904E-3</v>
          </cell>
          <cell r="K64">
            <v>4.6021215454352025E-2</v>
          </cell>
          <cell r="L64">
            <v>1.3128569802344437E-2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0.59960571465305401</v>
          </cell>
          <cell r="G65">
            <v>0.14435170355623342</v>
          </cell>
          <cell r="H65">
            <v>0.14418382122730403</v>
          </cell>
          <cell r="I65">
            <v>4.6060465797796039E-2</v>
          </cell>
          <cell r="J65">
            <v>6.6485095089159904E-3</v>
          </cell>
          <cell r="K65">
            <v>4.6021215454352025E-2</v>
          </cell>
          <cell r="L65">
            <v>1.3128569802344437E-2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0.59960571465305401</v>
          </cell>
          <cell r="G66">
            <v>0.14435170355623342</v>
          </cell>
          <cell r="H66">
            <v>0.14418382122730403</v>
          </cell>
          <cell r="I66">
            <v>4.6060465797796039E-2</v>
          </cell>
          <cell r="J66">
            <v>6.6485095089159904E-3</v>
          </cell>
          <cell r="K66">
            <v>4.6021215454352025E-2</v>
          </cell>
          <cell r="L66">
            <v>1.3128569802344437E-2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0.42986524523464792</v>
          </cell>
          <cell r="G67">
            <v>0.13439073648238098</v>
          </cell>
          <cell r="H67">
            <v>0.21433542262855337</v>
          </cell>
          <cell r="I67">
            <v>8.7453495784081084E-2</v>
          </cell>
          <cell r="J67">
            <v>9.632883777113696E-2</v>
          </cell>
          <cell r="K67">
            <v>3.5273739368692311E-2</v>
          </cell>
          <cell r="L67">
            <v>2.352522730507648E-3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0.53003360300565494</v>
          </cell>
          <cell r="G68">
            <v>0.14026896762559399</v>
          </cell>
          <cell r="H68">
            <v>0.17293710005146593</v>
          </cell>
          <cell r="I68">
            <v>6.302636976576094E-2</v>
          </cell>
          <cell r="J68">
            <v>4.3406094967543662E-2</v>
          </cell>
          <cell r="K68">
            <v>4.1616110362317972E-2</v>
          </cell>
          <cell r="L68">
            <v>8.7117542216626435E-3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0.42986524523464797</v>
          </cell>
          <cell r="G69">
            <v>0.13439073648238101</v>
          </cell>
          <cell r="H69">
            <v>0.21433542262855335</v>
          </cell>
          <cell r="I69">
            <v>8.7453495784081084E-2</v>
          </cell>
          <cell r="J69">
            <v>9.6328837771136933E-2</v>
          </cell>
          <cell r="K69">
            <v>3.5273739368692297E-2</v>
          </cell>
          <cell r="L69">
            <v>2.352522730507648E-3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0.42986524523464792</v>
          </cell>
          <cell r="G70">
            <v>0.13439073648238098</v>
          </cell>
          <cell r="H70">
            <v>0.21433542262855337</v>
          </cell>
          <cell r="I70">
            <v>8.7453495784081084E-2</v>
          </cell>
          <cell r="J70">
            <v>9.632883777113696E-2</v>
          </cell>
          <cell r="K70">
            <v>3.5273739368692311E-2</v>
          </cell>
          <cell r="L70">
            <v>2.352522730507648E-3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0.59960571465305401</v>
          </cell>
          <cell r="G71">
            <v>0.14435170355623342</v>
          </cell>
          <cell r="H71">
            <v>0.14418382122730403</v>
          </cell>
          <cell r="I71">
            <v>4.6060465797796039E-2</v>
          </cell>
          <cell r="J71">
            <v>6.6485095089159904E-3</v>
          </cell>
          <cell r="K71">
            <v>4.6021215454352025E-2</v>
          </cell>
          <cell r="L71">
            <v>1.3128569802344437E-2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0.59960571465305401</v>
          </cell>
          <cell r="G72">
            <v>0.14435170355623342</v>
          </cell>
          <cell r="H72">
            <v>0.14418382122730403</v>
          </cell>
          <cell r="I72">
            <v>4.6060465797796039E-2</v>
          </cell>
          <cell r="J72">
            <v>6.6485095089159904E-3</v>
          </cell>
          <cell r="K72">
            <v>4.6021215454352025E-2</v>
          </cell>
          <cell r="L72">
            <v>1.3128569802344437E-2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0.59960571465305401</v>
          </cell>
          <cell r="G73">
            <v>0.14435170355623342</v>
          </cell>
          <cell r="H73">
            <v>0.14418382122730403</v>
          </cell>
          <cell r="I73">
            <v>4.6060465797796039E-2</v>
          </cell>
          <cell r="J73">
            <v>6.6485095089159904E-3</v>
          </cell>
          <cell r="K73">
            <v>4.6021215454352025E-2</v>
          </cell>
          <cell r="L73">
            <v>1.3128569802344437E-2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0.48101989079474267</v>
          </cell>
          <cell r="G74">
            <v>0.13717855449952354</v>
          </cell>
          <cell r="H74">
            <v>0.19265435338882017</v>
          </cell>
          <cell r="I74">
            <v>7.5048293060600152E-2</v>
          </cell>
          <cell r="J74">
            <v>7.0430881698729936E-2</v>
          </cell>
          <cell r="K74">
            <v>3.8127619582955949E-2</v>
          </cell>
          <cell r="L74">
            <v>5.5404069746277261E-3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0.48270648347308354</v>
          </cell>
          <cell r="G75">
            <v>0.13555386860867735</v>
          </cell>
          <cell r="H75">
            <v>0.18761428803244118</v>
          </cell>
          <cell r="I75">
            <v>7.5195718018588459E-2</v>
          </cell>
          <cell r="J75">
            <v>7.8628238891912561E-2</v>
          </cell>
          <cell r="K75">
            <v>3.5134437721535433E-2</v>
          </cell>
          <cell r="L75">
            <v>5.1669652537615091E-3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0.51960042268847295</v>
          </cell>
          <cell r="G76">
            <v>0.12444916801379134</v>
          </cell>
          <cell r="H76">
            <v>0.21431269844418618</v>
          </cell>
          <cell r="I76">
            <v>7.1868148593578929E-2</v>
          </cell>
          <cell r="J76">
            <v>0</v>
          </cell>
          <cell r="K76">
            <v>6.6427081999109669E-2</v>
          </cell>
          <cell r="L76">
            <v>3.3424802608610581E-3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0.48908679631744228</v>
          </cell>
          <cell r="G77">
            <v>0.11714086869542226</v>
          </cell>
          <cell r="H77">
            <v>0.20172714746819323</v>
          </cell>
          <cell r="I77">
            <v>6.76476789049371E-2</v>
          </cell>
          <cell r="J77">
            <v>5.8725176190484292E-2</v>
          </cell>
          <cell r="K77">
            <v>6.2526139904892197E-2</v>
          </cell>
          <cell r="L77">
            <v>3.1461925186287766E-3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0.49267298569363432</v>
          </cell>
          <cell r="G78">
            <v>0.1179997946406665</v>
          </cell>
          <cell r="H78">
            <v>0.20320629546112004</v>
          </cell>
          <cell r="I78">
            <v>6.8143700039098906E-2</v>
          </cell>
          <cell r="J78">
            <v>5.1823354676104723E-2</v>
          </cell>
          <cell r="K78">
            <v>6.2984607768571121E-2</v>
          </cell>
          <cell r="L78">
            <v>3.1692617208045767E-3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0.5247551852860638</v>
          </cell>
          <cell r="G79">
            <v>0.12548608348878595</v>
          </cell>
          <cell r="H79">
            <v>0.21058477679843937</v>
          </cell>
          <cell r="I79">
            <v>7.0618018159280246E-2</v>
          </cell>
          <cell r="J79">
            <v>0</v>
          </cell>
          <cell r="K79">
            <v>6.5271597706083651E-2</v>
          </cell>
          <cell r="L79">
            <v>3.284338561347203E-3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0.65486368493393909</v>
          </cell>
          <cell r="G80">
            <v>0.15165829106557463</v>
          </cell>
          <cell r="H80">
            <v>0.11649037711461062</v>
          </cell>
          <cell r="I80">
            <v>3.9064170219363849E-2</v>
          </cell>
          <cell r="J80">
            <v>0</v>
          </cell>
          <cell r="K80">
            <v>3.6106660449309304E-2</v>
          </cell>
          <cell r="L80">
            <v>1.8168162172025946E-3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0.66620236190719417</v>
          </cell>
          <cell r="G81">
            <v>0.15393914287920196</v>
          </cell>
          <cell r="H81">
            <v>0.10829025178924941</v>
          </cell>
          <cell r="I81">
            <v>3.6314319978816817E-2</v>
          </cell>
          <cell r="J81">
            <v>0</v>
          </cell>
          <cell r="K81">
            <v>3.3564998656307313E-2</v>
          </cell>
          <cell r="L81">
            <v>1.6889247892303749E-3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0.68534367118150175</v>
          </cell>
          <cell r="G82">
            <v>0.15778954712623044</v>
          </cell>
          <cell r="H82">
            <v>9.4447266817453301E-2</v>
          </cell>
          <cell r="I82">
            <v>3.1672179274350717E-2</v>
          </cell>
          <cell r="J82">
            <v>0</v>
          </cell>
          <cell r="K82">
            <v>2.9274309842674446E-2</v>
          </cell>
          <cell r="L82">
            <v>1.4730257577892916E-3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0.60972399517851672</v>
          </cell>
          <cell r="G83">
            <v>0.13754164143911549</v>
          </cell>
          <cell r="H83">
            <v>0.1497735065695997</v>
          </cell>
          <cell r="I83">
            <v>4.4406492139736402E-2</v>
          </cell>
          <cell r="J83">
            <v>0</v>
          </cell>
          <cell r="K83">
            <v>5.646154753119384E-2</v>
          </cell>
          <cell r="L83">
            <v>2.0928171418379562E-3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0.72910717716856432</v>
          </cell>
          <cell r="G84">
            <v>0.20489973886974552</v>
          </cell>
          <cell r="H84">
            <v>5.2427541041581975E-2</v>
          </cell>
          <cell r="I84">
            <v>1.3565542920108302E-2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0.67059146926085011</v>
          </cell>
          <cell r="G85">
            <v>0.17133830610557393</v>
          </cell>
          <cell r="H85">
            <v>7.6323722732139235E-2</v>
          </cell>
          <cell r="I85">
            <v>1.2084182779789667E-2</v>
          </cell>
          <cell r="J85">
            <v>9.6529209922706933E-3</v>
          </cell>
          <cell r="K85">
            <v>6.0009398129376161E-2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0.57428426183369918</v>
          </cell>
          <cell r="G89">
            <v>0.14104356915922947</v>
          </cell>
          <cell r="H89">
            <v>0.14959986793111754</v>
          </cell>
          <cell r="I89">
            <v>4.8180416261553685E-2</v>
          </cell>
          <cell r="J89">
            <v>1.6908971713477636E-2</v>
          </cell>
          <cell r="K89">
            <v>4.8259910871725348E-2</v>
          </cell>
          <cell r="L89">
            <v>2.1723002229197451E-2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0.57518936134644427</v>
          </cell>
          <cell r="G90">
            <v>0.13563126023272623</v>
          </cell>
          <cell r="H90">
            <v>0.17411080674426602</v>
          </cell>
          <cell r="I90">
            <v>5.8386747130168774E-2</v>
          </cell>
          <cell r="J90">
            <v>0</v>
          </cell>
          <cell r="K90">
            <v>5.3966344134034429E-2</v>
          </cell>
          <cell r="L90">
            <v>2.7154804123604693E-3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0.6773624192775255</v>
          </cell>
          <cell r="G91">
            <v>0.15618406414764846</v>
          </cell>
          <cell r="H91">
            <v>0.10021930406838271</v>
          </cell>
          <cell r="I91">
            <v>3.3607788474593711E-2</v>
          </cell>
          <cell r="J91">
            <v>0</v>
          </cell>
          <cell r="K91">
            <v>3.1063375980858777E-2</v>
          </cell>
          <cell r="L91">
            <v>1.5630480509909739E-3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0.60920317580240624</v>
          </cell>
          <cell r="G92">
            <v>0.15162932216898001</v>
          </cell>
          <cell r="H92">
            <v>0.14627017576138673</v>
          </cell>
          <cell r="I92">
            <v>4.7136873420825572E-2</v>
          </cell>
          <cell r="J92">
            <v>0</v>
          </cell>
          <cell r="K92">
            <v>4.3568187259336026E-2</v>
          </cell>
          <cell r="L92">
            <v>2.1922655870655399E-3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0.67824711887949762</v>
          </cell>
          <cell r="G93">
            <v>0.16189909591007937</v>
          </cell>
          <cell r="H93">
            <v>0.10064944123685517</v>
          </cell>
          <cell r="I93">
            <v>3.6382162568496128E-2</v>
          </cell>
          <cell r="J93">
            <v>0</v>
          </cell>
          <cell r="K93">
            <v>2.172882939904934E-2</v>
          </cell>
          <cell r="L93">
            <v>1.0933520060223828E-3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0.83307327828013333</v>
          </cell>
          <cell r="G94">
            <v>0.11112630292834731</v>
          </cell>
          <cell r="H94">
            <v>1.464613157003989E-2</v>
          </cell>
          <cell r="I94">
            <v>6.6510469958426218E-3</v>
          </cell>
          <cell r="J94">
            <v>3.2123472490675903E-3</v>
          </cell>
          <cell r="K94">
            <v>1.8746987587018593E-2</v>
          </cell>
          <cell r="L94">
            <v>1.254390538955049E-2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0.4532343854723192</v>
          </cell>
          <cell r="G95">
            <v>0.13449157180481477</v>
          </cell>
          <cell r="H95">
            <v>0.20317411086594611</v>
          </cell>
          <cell r="I95">
            <v>8.1967940081781585E-2</v>
          </cell>
          <cell r="J95">
            <v>8.7404324020694521E-2</v>
          </cell>
          <cell r="K95">
            <v>3.5742947220909184E-2</v>
          </cell>
          <cell r="L95">
            <v>3.9847205335347465E-3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0.42998492440257297</v>
          </cell>
          <cell r="G96">
            <v>0.13443259535751198</v>
          </cell>
          <cell r="H96">
            <v>0.21427798846811674</v>
          </cell>
          <cell r="I96">
            <v>8.7414256480601457E-2</v>
          </cell>
          <cell r="J96">
            <v>9.623511406651318E-2</v>
          </cell>
          <cell r="K96">
            <v>3.5290047712162521E-2</v>
          </cell>
          <cell r="L96">
            <v>2.3650735125212013E-3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0.43048917077479693</v>
          </cell>
          <cell r="G97">
            <v>0.13457236418540322</v>
          </cell>
          <cell r="H97">
            <v>0.21404294930504342</v>
          </cell>
          <cell r="I97">
            <v>8.7259509550633593E-2</v>
          </cell>
          <cell r="J97">
            <v>9.587454109468628E-2</v>
          </cell>
          <cell r="K97">
            <v>3.5348785175191813E-2</v>
          </cell>
          <cell r="L97">
            <v>2.4126799142449537E-3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0.57413383594350853</v>
          </cell>
          <cell r="G98">
            <v>0.14139133526178893</v>
          </cell>
          <cell r="H98">
            <v>0.15065247922392414</v>
          </cell>
          <cell r="I98">
            <v>4.9034745575508909E-2</v>
          </cell>
          <cell r="J98">
            <v>1.766463152988039E-2</v>
          </cell>
          <cell r="K98">
            <v>4.7461583157481155E-2</v>
          </cell>
          <cell r="L98">
            <v>1.9661389307908093E-2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0.82613371567903993</v>
          </cell>
          <cell r="G99">
            <v>0.11458302097205787</v>
          </cell>
          <cell r="H99">
            <v>1.4960535945594162E-2</v>
          </cell>
          <cell r="I99">
            <v>6.3794013704493654E-3</v>
          </cell>
          <cell r="J99">
            <v>3.2573530657802573E-3</v>
          </cell>
          <cell r="K99">
            <v>2.1097807821521635E-2</v>
          </cell>
          <cell r="L99">
            <v>1.3588165145556729E-2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0.43598816421050812</v>
          </cell>
          <cell r="G100">
            <v>0.15137003475358249</v>
          </cell>
          <cell r="H100">
            <v>0.20857948232748452</v>
          </cell>
          <cell r="I100">
            <v>8.1156031862701608E-2</v>
          </cell>
          <cell r="J100">
            <v>7.7620958768943746E-2</v>
          </cell>
          <cell r="K100">
            <v>4.0152346221692628E-2</v>
          </cell>
          <cell r="L100">
            <v>5.1329818550867384E-3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0.45240005055842492</v>
          </cell>
          <cell r="G101">
            <v>0.13409112348885094</v>
          </cell>
          <cell r="H101">
            <v>0.20347139598762592</v>
          </cell>
          <cell r="I101">
            <v>8.2262540194192046E-2</v>
          </cell>
          <cell r="J101">
            <v>8.8319483423000264E-2</v>
          </cell>
          <cell r="K101">
            <v>3.5551622367255425E-2</v>
          </cell>
          <cell r="L101">
            <v>3.9037839806504967E-3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0.42986524523464786</v>
          </cell>
          <cell r="G102">
            <v>0.13439073648238101</v>
          </cell>
          <cell r="H102">
            <v>0.21433542262855332</v>
          </cell>
          <cell r="I102">
            <v>8.745349578408107E-2</v>
          </cell>
          <cell r="J102">
            <v>9.6328837771136933E-2</v>
          </cell>
          <cell r="K102">
            <v>3.527373936869229E-2</v>
          </cell>
          <cell r="L102">
            <v>2.352522730507648E-3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0.42986524523464786</v>
          </cell>
          <cell r="G103">
            <v>0.13439073648238098</v>
          </cell>
          <cell r="H103">
            <v>0.21433542262855332</v>
          </cell>
          <cell r="I103">
            <v>8.7453495784081084E-2</v>
          </cell>
          <cell r="J103">
            <v>9.6328837771136933E-2</v>
          </cell>
          <cell r="K103">
            <v>3.5273739368692304E-2</v>
          </cell>
          <cell r="L103">
            <v>2.3525227305076475E-3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0.57428426183369907</v>
          </cell>
          <cell r="G104">
            <v>0.14104356915922941</v>
          </cell>
          <cell r="H104">
            <v>0.14959986793111749</v>
          </cell>
          <cell r="I104">
            <v>4.8180416261553671E-2</v>
          </cell>
          <cell r="J104">
            <v>1.6908971713477629E-2</v>
          </cell>
          <cell r="K104">
            <v>4.8259910871725327E-2</v>
          </cell>
          <cell r="L104">
            <v>2.1723002229197447E-2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0.82820654381094827</v>
          </cell>
          <cell r="G105">
            <v>0.11440981370402135</v>
          </cell>
          <cell r="H105">
            <v>1.3920985033369663E-2</v>
          </cell>
          <cell r="I105">
            <v>5.9817993518843215E-3</v>
          </cell>
          <cell r="J105">
            <v>2.8659363933783372E-3</v>
          </cell>
          <cell r="K105">
            <v>2.0992085302603231E-2</v>
          </cell>
          <cell r="L105">
            <v>1.3622836403794728E-2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0.46573132607809581</v>
          </cell>
          <cell r="G107">
            <v>0.135585624948064</v>
          </cell>
          <cell r="H107">
            <v>0.19853934251203459</v>
          </cell>
          <cell r="I107">
            <v>7.8870646852651063E-2</v>
          </cell>
          <cell r="J107">
            <v>7.992232363424541E-2</v>
          </cell>
          <cell r="K107">
            <v>3.678633270626603E-2</v>
          </cell>
          <cell r="L107">
            <v>4.564403268643269E-3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0.42998597773877056</v>
          </cell>
          <cell r="G108">
            <v>0.13442098310879508</v>
          </cell>
          <cell r="H108">
            <v>0.21427501990549705</v>
          </cell>
          <cell r="I108">
            <v>8.7417436253486747E-2</v>
          </cell>
          <cell r="J108">
            <v>9.6253103672956267E-2</v>
          </cell>
          <cell r="K108">
            <v>3.5284257418330717E-2</v>
          </cell>
          <cell r="L108">
            <v>2.3632219021637244E-3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0.43039012436740542</v>
          </cell>
          <cell r="G109">
            <v>0.13425010007008756</v>
          </cell>
          <cell r="H109">
            <v>0.21429067908769492</v>
          </cell>
          <cell r="I109">
            <v>8.7397248303124397E-2</v>
          </cell>
          <cell r="J109">
            <v>9.6141612679078142E-2</v>
          </cell>
          <cell r="K109">
            <v>3.5147722295843224E-2</v>
          </cell>
          <cell r="L109">
            <v>2.3825131967666119E-3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0.5935382682710415</v>
          </cell>
          <cell r="G110">
            <v>0.1437862066892589</v>
          </cell>
          <cell r="H110">
            <v>0.14560616737032092</v>
          </cell>
          <cell r="I110">
            <v>4.6645135942845271E-2</v>
          </cell>
          <cell r="J110">
            <v>9.817248720000768E-3</v>
          </cell>
          <cell r="K110">
            <v>4.6402924987261528E-2</v>
          </cell>
          <cell r="L110">
            <v>1.420404801927066E-2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0.82492739287772221</v>
          </cell>
          <cell r="G111">
            <v>0.11481759023897807</v>
          </cell>
          <cell r="H111">
            <v>1.6574793221731644E-2</v>
          </cell>
          <cell r="I111">
            <v>5.7127793347850724E-3</v>
          </cell>
          <cell r="J111">
            <v>2.821837891913947E-3</v>
          </cell>
          <cell r="K111">
            <v>2.1642734703419719E-2</v>
          </cell>
          <cell r="L111">
            <v>1.3502871731449415E-2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0.43506161610358574</v>
          </cell>
          <cell r="G112">
            <v>0.14880064967236933</v>
          </cell>
          <cell r="H112">
            <v>0.20945049754270123</v>
          </cell>
          <cell r="I112">
            <v>8.2108992909184553E-2</v>
          </cell>
          <cell r="J112">
            <v>8.045192059325558E-2</v>
          </cell>
          <cell r="K112">
            <v>3.9414093116941898E-2</v>
          </cell>
          <cell r="L112">
            <v>4.7122300619614902E-3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0.43598816421050818</v>
          </cell>
          <cell r="G113">
            <v>0.15137003475358249</v>
          </cell>
          <cell r="H113">
            <v>0.20857948232748452</v>
          </cell>
          <cell r="I113">
            <v>8.1156031862701608E-2</v>
          </cell>
          <cell r="J113">
            <v>7.7620958768943746E-2</v>
          </cell>
          <cell r="K113">
            <v>4.0152346221692628E-2</v>
          </cell>
          <cell r="L113">
            <v>5.1329818550867384E-3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/>
      <sheetData sheetId="1">
        <row r="5">
          <cell r="T5">
            <v>3</v>
          </cell>
        </row>
        <row r="6">
          <cell r="C6" t="str">
            <v xml:space="preserve">Commission Method </v>
          </cell>
        </row>
        <row r="8">
          <cell r="D8">
            <v>0.1576213356965549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61">
          <cell r="H61">
            <v>6.9188435929027195E-2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3">
          <cell r="C3" t="str">
            <v>PacifiCorp</v>
          </cell>
        </row>
        <row r="5">
          <cell r="C5" t="str">
            <v>12 Months Ending June 2012</v>
          </cell>
          <cell r="R5">
            <v>3</v>
          </cell>
          <cell r="T5">
            <v>3</v>
          </cell>
          <cell r="V5">
            <v>5</v>
          </cell>
        </row>
        <row r="6">
          <cell r="C6" t="str">
            <v>WCA Method</v>
          </cell>
        </row>
        <row r="8">
          <cell r="D8">
            <v>0.38</v>
          </cell>
          <cell r="G8">
            <v>0.61939999999999995</v>
          </cell>
        </row>
        <row r="9">
          <cell r="D9">
            <v>0.62</v>
          </cell>
        </row>
        <row r="11">
          <cell r="D11">
            <v>0.5</v>
          </cell>
        </row>
        <row r="12">
          <cell r="D12">
            <v>0.5</v>
          </cell>
        </row>
        <row r="29">
          <cell r="G29">
            <v>7.3599997508398421E-2</v>
          </cell>
        </row>
      </sheetData>
      <sheetData sheetId="1" refreshError="1"/>
      <sheetData sheetId="2" refreshError="1"/>
      <sheetData sheetId="3" refreshError="1"/>
      <sheetData sheetId="4" refreshError="1">
        <row r="80">
          <cell r="F80">
            <v>134571287.30000001</v>
          </cell>
          <cell r="M80">
            <v>0</v>
          </cell>
          <cell r="N80">
            <v>0</v>
          </cell>
        </row>
      </sheetData>
      <sheetData sheetId="5" refreshError="1"/>
      <sheetData sheetId="6" refreshError="1">
        <row r="68">
          <cell r="F68">
            <v>86023929.809729293</v>
          </cell>
          <cell r="M68">
            <v>0</v>
          </cell>
          <cell r="N68">
            <v>0</v>
          </cell>
        </row>
      </sheetData>
      <sheetData sheetId="7" refreshError="1">
        <row r="68">
          <cell r="F68">
            <v>22592823.032053009</v>
          </cell>
          <cell r="M68">
            <v>0</v>
          </cell>
          <cell r="N68">
            <v>0</v>
          </cell>
        </row>
      </sheetData>
      <sheetData sheetId="8" refreshError="1">
        <row r="68">
          <cell r="F68">
            <v>30301137.294412993</v>
          </cell>
          <cell r="M68">
            <v>0</v>
          </cell>
          <cell r="N68">
            <v>0</v>
          </cell>
        </row>
      </sheetData>
      <sheetData sheetId="9" refreshError="1">
        <row r="68">
          <cell r="F68">
            <v>6638426.2056235876</v>
          </cell>
          <cell r="M68">
            <v>0</v>
          </cell>
          <cell r="N68">
            <v>0</v>
          </cell>
        </row>
      </sheetData>
      <sheetData sheetId="10" refreshError="1">
        <row r="68">
          <cell r="F68">
            <v>2156749.9702780102</v>
          </cell>
          <cell r="M68">
            <v>0</v>
          </cell>
          <cell r="N68">
            <v>0</v>
          </cell>
        </row>
      </sheetData>
      <sheetData sheetId="11" refreshError="1">
        <row r="58">
          <cell r="H58">
            <v>811157646.52494407</v>
          </cell>
        </row>
        <row r="61">
          <cell r="H61">
            <v>6.0621284111191658E-2</v>
          </cell>
          <cell r="P61">
            <v>0</v>
          </cell>
          <cell r="Q61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1">
          <cell r="AB251" t="str">
            <v>METER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1839.8760183203524</v>
          </cell>
        </row>
        <row r="296">
          <cell r="H296">
            <v>545051.91999999993</v>
          </cell>
          <cell r="AB296">
            <v>24080.631363770935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2.1940079723010819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1926.0752827998992</v>
          </cell>
        </row>
        <row r="322">
          <cell r="AB322">
            <v>32763.87911587788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103.8675395028486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448408.04457154061</v>
          </cell>
        </row>
        <row r="683">
          <cell r="H683">
            <v>724499.86864713125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876762.25386192079</v>
          </cell>
          <cell r="AB791">
            <v>24784.926622694071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4116847.2416049819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40856.057138940283</v>
          </cell>
        </row>
        <row r="989">
          <cell r="AB989">
            <v>0</v>
          </cell>
        </row>
        <row r="991">
          <cell r="AB991">
            <v>-9188.1196662767998</v>
          </cell>
        </row>
        <row r="995">
          <cell r="AB995">
            <v>0</v>
          </cell>
        </row>
        <row r="997">
          <cell r="AB997">
            <v>3903.3725812782586</v>
          </cell>
        </row>
        <row r="1001">
          <cell r="AB1001">
            <v>4409.6026405778439</v>
          </cell>
        </row>
        <row r="1005">
          <cell r="AB1005">
            <v>5558.2726030179565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-19844.856999575233</v>
          </cell>
        </row>
        <row r="1034">
          <cell r="AB1034">
            <v>34921.649041670324</v>
          </cell>
        </row>
        <row r="1039">
          <cell r="AB1039">
            <v>3249.8490175027764</v>
          </cell>
        </row>
        <row r="1045">
          <cell r="AB1045">
            <v>19945.804510946007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25368.701637958573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8568.1403989655246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723.51147741893794</v>
          </cell>
        </row>
        <row r="1143">
          <cell r="AB1143">
            <v>0</v>
          </cell>
        </row>
        <row r="1146">
          <cell r="AB1146">
            <v>3692.5648260874755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8811.8056316992806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153785.87615370078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239529.67932244623</v>
          </cell>
        </row>
        <row r="1309">
          <cell r="AB1309">
            <v>0</v>
          </cell>
        </row>
        <row r="1325">
          <cell r="AB1325">
            <v>-189786.9509685479</v>
          </cell>
        </row>
        <row r="1340">
          <cell r="AB1340">
            <v>0</v>
          </cell>
        </row>
        <row r="1377">
          <cell r="AB1377">
            <v>0</v>
          </cell>
        </row>
        <row r="1395">
          <cell r="AB1395">
            <v>88449.613715769301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6735770.9995288448</v>
          </cell>
          <cell r="AB1628">
            <v>0</v>
          </cell>
        </row>
        <row r="1635">
          <cell r="H1635">
            <v>8013367.9102434143</v>
          </cell>
          <cell r="AB1635">
            <v>0</v>
          </cell>
        </row>
        <row r="1641">
          <cell r="H1641">
            <v>99477655.453902319</v>
          </cell>
          <cell r="AB1641">
            <v>0</v>
          </cell>
        </row>
        <row r="1647">
          <cell r="H1647">
            <v>41400235.773854256</v>
          </cell>
          <cell r="AB1647">
            <v>0</v>
          </cell>
        </row>
        <row r="1654">
          <cell r="H1654">
            <v>50100057.959568955</v>
          </cell>
          <cell r="AB1654">
            <v>0</v>
          </cell>
        </row>
        <row r="1660">
          <cell r="H1660">
            <v>65486014.089654088</v>
          </cell>
          <cell r="AB1660">
            <v>0</v>
          </cell>
        </row>
        <row r="1666">
          <cell r="H1666">
            <v>36648.713300845047</v>
          </cell>
          <cell r="AB1666">
            <v>0</v>
          </cell>
        </row>
        <row r="1672">
          <cell r="H1672">
            <v>67726.597168688924</v>
          </cell>
          <cell r="AB1672">
            <v>0</v>
          </cell>
        </row>
        <row r="1678">
          <cell r="H1678">
            <v>1515334.3660853561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3188.2749899424202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58738.136674143119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31501.993134579967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4203.9073680237098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181.55672147374744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2150.3480386024548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3008.2424788476033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1093.3322948427683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33188.013119946576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1686.7786497462755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7214.3377347714213</v>
          </cell>
        </row>
        <row r="1929">
          <cell r="AB1929">
            <v>-7214.3377347714213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4216.3576078597098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218372.90045882124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-4.5515442305093266E-10</v>
          </cell>
        </row>
        <row r="2083">
          <cell r="AB2083">
            <v>8.7314050484519449E-7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-1.8064457854496567E-10</v>
          </cell>
        </row>
        <row r="2108">
          <cell r="AB2108">
            <v>-1.8064457854496567E-10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77564.627727161875</v>
          </cell>
        </row>
        <row r="2148">
          <cell r="AB2148">
            <v>0</v>
          </cell>
        </row>
        <row r="2149">
          <cell r="AB2149">
            <v>8.9697553930250737E-10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-454527.80585047818</v>
          </cell>
        </row>
        <row r="2195">
          <cell r="AB2195">
            <v>-3790.2789084512797</v>
          </cell>
        </row>
        <row r="2198">
          <cell r="H2198">
            <v>-232211.28047040099</v>
          </cell>
        </row>
        <row r="2200">
          <cell r="AB2200">
            <v>-1936.3953257481428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-0.37294116160288382</v>
          </cell>
        </row>
        <row r="2237">
          <cell r="AB2237">
            <v>0</v>
          </cell>
        </row>
        <row r="2243">
          <cell r="AB2243">
            <v>-0.37377890253566803</v>
          </cell>
        </row>
        <row r="2249">
          <cell r="AB2249">
            <v>0</v>
          </cell>
        </row>
        <row r="2255">
          <cell r="AB2255">
            <v>57.014179595423784</v>
          </cell>
        </row>
        <row r="2256">
          <cell r="AB2256">
            <v>0</v>
          </cell>
        </row>
        <row r="2259">
          <cell r="AB2259">
            <v>-1691701.1871061102</v>
          </cell>
        </row>
        <row r="2265">
          <cell r="AB2265">
            <v>-961.37143331024185</v>
          </cell>
        </row>
        <row r="2271">
          <cell r="AB2271">
            <v>-21347.578602581933</v>
          </cell>
        </row>
        <row r="2284">
          <cell r="AB2284">
            <v>-4363.9975290587035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-390027.19760629709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-44990.805396895143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-6889.7091797156972</v>
          </cell>
        </row>
        <row r="2487">
          <cell r="AB2487">
            <v>-42824.069087516662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-160021.4770299246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0.1316785880621662</v>
          </cell>
          <cell r="C21">
            <v>0.72902010832597353</v>
          </cell>
          <cell r="D21">
            <v>6.9082465586310258E-3</v>
          </cell>
          <cell r="E21">
            <v>0.13239305705322932</v>
          </cell>
          <cell r="F21">
            <v>0</v>
          </cell>
          <cell r="G21">
            <v>1</v>
          </cell>
        </row>
        <row r="22">
          <cell r="A22" t="str">
            <v>INTN</v>
          </cell>
          <cell r="B22">
            <v>0.11747957741823095</v>
          </cell>
          <cell r="C22">
            <v>0.48125633651380451</v>
          </cell>
          <cell r="D22">
            <v>0.24405810786288468</v>
          </cell>
          <cell r="E22">
            <v>2.8268697145118427E-2</v>
          </cell>
          <cell r="F22">
            <v>0.12893728105996147</v>
          </cell>
          <cell r="G22">
            <v>1</v>
          </cell>
        </row>
        <row r="23">
          <cell r="A23" t="str">
            <v>GENL</v>
          </cell>
          <cell r="B23">
            <v>0.11747957741823098</v>
          </cell>
          <cell r="C23">
            <v>0.48125633651380467</v>
          </cell>
          <cell r="D23">
            <v>0.24405810786288468</v>
          </cell>
          <cell r="E23">
            <v>2.8268697145118423E-2</v>
          </cell>
          <cell r="F23">
            <v>0.12893728105996149</v>
          </cell>
          <cell r="G23">
            <v>1.0000000000000002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0.14887750698343463</v>
          </cell>
          <cell r="C25">
            <v>0.4158806208224991</v>
          </cell>
          <cell r="D25">
            <v>0.2389557243616478</v>
          </cell>
          <cell r="E25">
            <v>4.4180435808337193E-2</v>
          </cell>
          <cell r="F25">
            <v>0.15210571202408094</v>
          </cell>
          <cell r="G25">
            <v>0.99999999999999967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0.6980890959757422</v>
          </cell>
          <cell r="C15">
            <v>0.1605124005953123</v>
          </cell>
          <cell r="D15">
            <v>0.14139850342894547</v>
          </cell>
          <cell r="E15">
            <v>9.6295290892134511E-2</v>
          </cell>
          <cell r="F15">
            <v>3.7237754512933527E-2</v>
          </cell>
          <cell r="G15">
            <v>7.8654580238774179E-3</v>
          </cell>
          <cell r="H15">
            <v>0.99999999999999989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1.2455406477434223</v>
          </cell>
          <cell r="C26">
            <v>2.8483699240528227E-2</v>
          </cell>
          <cell r="D26">
            <v>-0.27402434698394657</v>
          </cell>
          <cell r="E26">
            <v>-0.24640830637176303</v>
          </cell>
          <cell r="F26">
            <v>-1.6413412272592017E-2</v>
          </cell>
          <cell r="G26">
            <v>-1.1202628339591509E-2</v>
          </cell>
          <cell r="H26">
            <v>1.000000000000004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1.8386841487838006</v>
          </cell>
          <cell r="C34">
            <v>9.7290722620878733E-2</v>
          </cell>
          <cell r="D34">
            <v>-0.9359748714046654</v>
          </cell>
          <cell r="E34">
            <v>-0.84164777841022875</v>
          </cell>
          <cell r="F34">
            <v>-5.6062687897039554E-2</v>
          </cell>
          <cell r="G34">
            <v>-3.826440509739705E-2</v>
          </cell>
          <cell r="H34">
            <v>1.000000000000014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0.7209831111674645</v>
          </cell>
          <cell r="C51">
            <v>0.27901688883253556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1</v>
          </cell>
        </row>
        <row r="52">
          <cell r="A52" t="str">
            <v>PTD</v>
          </cell>
          <cell r="B52">
            <v>0.50830146609485261</v>
          </cell>
          <cell r="C52">
            <v>0.19671014682875196</v>
          </cell>
          <cell r="D52">
            <v>0.29498838707639541</v>
          </cell>
          <cell r="E52">
            <v>0.29498838707639541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0.66586931327884313</v>
          </cell>
          <cell r="C53">
            <v>0.15888974442342974</v>
          </cell>
          <cell r="D53">
            <v>0.17524094229772702</v>
          </cell>
          <cell r="E53">
            <v>0.14332500693357525</v>
          </cell>
          <cell r="F53">
            <v>2.6291878411089768E-2</v>
          </cell>
          <cell r="G53">
            <v>5.624056953062004E-3</v>
          </cell>
          <cell r="H53">
            <v>0.99999999999999978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0.46428474403119857</v>
          </cell>
          <cell r="G43">
            <v>0.13892238483969124</v>
          </cell>
          <cell r="H43">
            <v>0.19614989998965382</v>
          </cell>
          <cell r="I43">
            <v>7.5908965093446731E-2</v>
          </cell>
          <cell r="J43">
            <v>8.1582579751084114E-2</v>
          </cell>
          <cell r="K43">
            <v>3.8485502754478193E-2</v>
          </cell>
          <cell r="L43">
            <v>4.6659235404471755E-3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0.42354464782217477</v>
          </cell>
          <cell r="G44">
            <v>0.13494577181939574</v>
          </cell>
          <cell r="H44">
            <v>0.21420759790947078</v>
          </cell>
          <cell r="I44">
            <v>8.4650122193343724E-2</v>
          </cell>
          <cell r="J44">
            <v>0.10467045745380459</v>
          </cell>
          <cell r="K44">
            <v>3.5619269690678343E-2</v>
          </cell>
          <cell r="L44">
            <v>2.3621331111322369E-3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0.42412727484572305</v>
          </cell>
          <cell r="G45">
            <v>0.13500000796487682</v>
          </cell>
          <cell r="H45">
            <v>0.2138517231495197</v>
          </cell>
          <cell r="I45">
            <v>8.4510003643837303E-2</v>
          </cell>
          <cell r="J45">
            <v>0.1045255314691521</v>
          </cell>
          <cell r="K45">
            <v>3.5595243524372031E-2</v>
          </cell>
          <cell r="L45">
            <v>2.390215402518811E-3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0.59606160625934035</v>
          </cell>
          <cell r="G46">
            <v>0.15091221272750996</v>
          </cell>
          <cell r="H46">
            <v>0.13810072767102946</v>
          </cell>
          <cell r="I46">
            <v>4.7770651642620753E-2</v>
          </cell>
          <cell r="J46">
            <v>7.9926644513700611E-3</v>
          </cell>
          <cell r="K46">
            <v>4.7410050250856338E-2</v>
          </cell>
          <cell r="L46">
            <v>1.1752086997272775E-2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0.9065608196557351</v>
          </cell>
          <cell r="G47">
            <v>6.2109649551173957E-2</v>
          </cell>
          <cell r="H47">
            <v>3.9922533489585355E-2</v>
          </cell>
          <cell r="I47">
            <v>-2.3022835986765584E-3</v>
          </cell>
          <cell r="J47">
            <v>-2.2975378290448277E-4</v>
          </cell>
          <cell r="K47">
            <v>1.5386301322131471E-2</v>
          </cell>
          <cell r="L47">
            <v>-2.1447266637044101E-2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0.42619856867131345</v>
          </cell>
          <cell r="G48">
            <v>0.13644338435000083</v>
          </cell>
          <cell r="H48">
            <v>0.21264270970559168</v>
          </cell>
          <cell r="I48">
            <v>8.3624750085413826E-2</v>
          </cell>
          <cell r="J48">
            <v>0.1022073059432211</v>
          </cell>
          <cell r="K48">
            <v>3.6165388469145653E-2</v>
          </cell>
          <cell r="L48">
            <v>2.7178927753134419E-3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0.47346349014849498</v>
          </cell>
          <cell r="G49">
            <v>0.13940819353384179</v>
          </cell>
          <cell r="H49">
            <v>0.19232191270199289</v>
          </cell>
          <cell r="I49">
            <v>7.409488005688955E-2</v>
          </cell>
          <cell r="J49">
            <v>7.5827247687081087E-2</v>
          </cell>
          <cell r="K49">
            <v>3.9253633589030223E-2</v>
          </cell>
          <cell r="L49">
            <v>5.6306422826695301E-3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0.21381795330374384</v>
          </cell>
          <cell r="I50">
            <v>8.4492543233334161E-2</v>
          </cell>
          <cell r="J50">
            <v>0.10446451143427475</v>
          </cell>
          <cell r="K50">
            <v>3.5600085140002832E-2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</v>
          </cell>
          <cell r="G51">
            <v>0.13495083866985857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3.5600085140002846E-2</v>
          </cell>
          <cell r="L51">
            <v>2.3990461541496685E-3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0.47346349014849498</v>
          </cell>
          <cell r="G53">
            <v>0.13940819353384179</v>
          </cell>
          <cell r="H53">
            <v>0.19232191270199289</v>
          </cell>
          <cell r="I53">
            <v>7.409488005688955E-2</v>
          </cell>
          <cell r="J53">
            <v>7.5827247687081087E-2</v>
          </cell>
          <cell r="K53">
            <v>3.9253633589030223E-2</v>
          </cell>
          <cell r="L53">
            <v>5.6306422826695301E-3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0.47346349014849498</v>
          </cell>
          <cell r="G54">
            <v>0.13940819353384179</v>
          </cell>
          <cell r="H54">
            <v>0.19232191270199289</v>
          </cell>
          <cell r="I54">
            <v>7.409488005688955E-2</v>
          </cell>
          <cell r="J54">
            <v>7.5827247687081087E-2</v>
          </cell>
          <cell r="K54">
            <v>3.9253633589030223E-2</v>
          </cell>
          <cell r="L54">
            <v>5.6306422826695301E-3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0.46845128018198201</v>
          </cell>
          <cell r="G55">
            <v>0.13907000045041254</v>
          </cell>
          <cell r="H55">
            <v>0.19423651181568088</v>
          </cell>
          <cell r="I55">
            <v>7.5034989423986606E-2</v>
          </cell>
          <cell r="J55">
            <v>7.9914474931050861E-2</v>
          </cell>
          <cell r="K55">
            <v>3.8533496961250441E-2</v>
          </cell>
          <cell r="L55">
            <v>4.7592462356367523E-3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0.4242376527581363</v>
          </cell>
          <cell r="G56">
            <v>0.13494773855533906</v>
          </cell>
          <cell r="H56">
            <v>0.21383462066802647</v>
          </cell>
          <cell r="I56">
            <v>8.4500459305231451E-2</v>
          </cell>
          <cell r="J56">
            <v>0.10448522821384335</v>
          </cell>
          <cell r="K56">
            <v>3.5597657434800638E-2</v>
          </cell>
          <cell r="L56">
            <v>2.3966430646227624E-3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0.42410933965862868</v>
          </cell>
          <cell r="G57">
            <v>0.13493709384875796</v>
          </cell>
          <cell r="H57">
            <v>0.21389185055458415</v>
          </cell>
          <cell r="I57">
            <v>8.452764032131671E-2</v>
          </cell>
          <cell r="J57">
            <v>0.10455636237305696</v>
          </cell>
          <cell r="K57">
            <v>3.5589321546116562E-2</v>
          </cell>
          <cell r="L57">
            <v>2.3883916975391208E-3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0.59634387972016212</v>
          </cell>
          <cell r="G58">
            <v>0.15131673458155917</v>
          </cell>
          <cell r="H58">
            <v>0.13789304809061267</v>
          </cell>
          <cell r="I58">
            <v>4.7663893239990242E-2</v>
          </cell>
          <cell r="J58">
            <v>7.7971405080383971E-3</v>
          </cell>
          <cell r="K58">
            <v>4.7378654840099371E-2</v>
          </cell>
          <cell r="L58">
            <v>1.1606649019537807E-2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0.83924457721676804</v>
          </cell>
          <cell r="G59">
            <v>0.13683814419583956</v>
          </cell>
          <cell r="H59">
            <v>-9.5162271928151843E-3</v>
          </cell>
          <cell r="I59">
            <v>-5.3209516280532153E-3</v>
          </cell>
          <cell r="J59">
            <v>-7.4184764909559272E-3</v>
          </cell>
          <cell r="K59">
            <v>2.3001215875242568E-2</v>
          </cell>
          <cell r="L59">
            <v>2.3171718023973515E-2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0.46845128018198201</v>
          </cell>
          <cell r="G60">
            <v>0.13907000045041254</v>
          </cell>
          <cell r="H60">
            <v>0.19423651181568088</v>
          </cell>
          <cell r="I60">
            <v>7.5034989423986606E-2</v>
          </cell>
          <cell r="J60">
            <v>7.9914474931050861E-2</v>
          </cell>
          <cell r="K60">
            <v>3.8533496961250441E-2</v>
          </cell>
          <cell r="L60">
            <v>4.7592462356367523E-3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0.42427502206463619</v>
          </cell>
          <cell r="G61">
            <v>0.13495083866985857</v>
          </cell>
          <cell r="H61">
            <v>0.21381795330374384</v>
          </cell>
          <cell r="I61">
            <v>8.4492543233334175E-2</v>
          </cell>
          <cell r="J61">
            <v>0.10446451143427476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0.21381795330374384</v>
          </cell>
          <cell r="I62">
            <v>8.4492543233334161E-2</v>
          </cell>
          <cell r="J62">
            <v>0.10446451143427475</v>
          </cell>
          <cell r="K62">
            <v>3.5600085140002832E-2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</v>
          </cell>
          <cell r="G63">
            <v>0.13495083866985857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3.5600085140002846E-2</v>
          </cell>
          <cell r="L63">
            <v>2.3990461541496685E-3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</v>
          </cell>
          <cell r="G67">
            <v>0.13495083866985857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3.5600085140002846E-2</v>
          </cell>
          <cell r="L67">
            <v>2.3990461541496685E-3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0.52498729020105794</v>
          </cell>
          <cell r="G68">
            <v>0.14407717123779584</v>
          </cell>
          <cell r="H68">
            <v>0.16980529974307385</v>
          </cell>
          <cell r="I68">
            <v>6.3203564685902644E-2</v>
          </cell>
          <cell r="J68">
            <v>4.5830366124365737E-2</v>
          </cell>
          <cell r="K68">
            <v>4.3080642379975102E-2</v>
          </cell>
          <cell r="L68">
            <v>9.0156656278290118E-3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0.21381795330374384</v>
          </cell>
          <cell r="I69">
            <v>8.4492543233334161E-2</v>
          </cell>
          <cell r="J69">
            <v>0.10446451143427475</v>
          </cell>
          <cell r="K69">
            <v>3.5600085140002832E-2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</v>
          </cell>
          <cell r="G70">
            <v>0.13495083866985857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3.5600085140002846E-2</v>
          </cell>
          <cell r="L70">
            <v>2.3990461541496685E-3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0.47490324167829384</v>
          </cell>
          <cell r="G74">
            <v>0.13915089731218025</v>
          </cell>
          <cell r="H74">
            <v>0.19123688187594262</v>
          </cell>
          <cell r="I74">
            <v>7.3767789042476731E-2</v>
          </cell>
          <cell r="J74">
            <v>7.6397261492397339E-2</v>
          </cell>
          <cell r="K74">
            <v>3.8889158543987154E-2</v>
          </cell>
          <cell r="L74">
            <v>5.6547700547221937E-3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0.47453437167627033</v>
          </cell>
          <cell r="G75">
            <v>0.1365272466597294</v>
          </cell>
          <cell r="H75">
            <v>0.18835311698162549</v>
          </cell>
          <cell r="I75">
            <v>7.3693792117230622E-2</v>
          </cell>
          <cell r="J75">
            <v>8.601885967807843E-2</v>
          </cell>
          <cell r="K75">
            <v>3.5712752516530229E-2</v>
          </cell>
          <cell r="L75">
            <v>5.1598603705353841E-3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0.56330416923776561</v>
          </cell>
          <cell r="G89">
            <v>0.14743494838031043</v>
          </cell>
          <cell r="H89">
            <v>0.14254981095043689</v>
          </cell>
          <cell r="I89">
            <v>5.1793304185110536E-2</v>
          </cell>
          <cell r="J89">
            <v>1.9996363075087842E-2</v>
          </cell>
          <cell r="K89">
            <v>5.1402586753084595E-2</v>
          </cell>
          <cell r="L89">
            <v>2.3518817418204302E-2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0.82401720657637889</v>
          </cell>
          <cell r="G94">
            <v>0.10947050312961774</v>
          </cell>
          <cell r="H94">
            <v>2.1340513061164884E-2</v>
          </cell>
          <cell r="I94">
            <v>7.4162792387975256E-3</v>
          </cell>
          <cell r="J94">
            <v>6.1036087483996677E-3</v>
          </cell>
          <cell r="K94">
            <v>1.9332466379013275E-2</v>
          </cell>
          <cell r="L94">
            <v>1.2319422866627983E-2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0.44863953169108733</v>
          </cell>
          <cell r="G95">
            <v>0.13511629719344936</v>
          </cell>
          <cell r="H95">
            <v>0.20177579661157835</v>
          </cell>
          <cell r="I95">
            <v>7.9331392278505372E-2</v>
          </cell>
          <cell r="J95">
            <v>9.4875985013238531E-2</v>
          </cell>
          <cell r="K95">
            <v>3.6136051264780582E-2</v>
          </cell>
          <cell r="L95">
            <v>4.1249459473604909E-3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0.42415890625408087</v>
          </cell>
          <cell r="G96">
            <v>0.13498938732185287</v>
          </cell>
          <cell r="H96">
            <v>0.21389319346731556</v>
          </cell>
          <cell r="I96">
            <v>8.4510481725770983E-2</v>
          </cell>
          <cell r="J96">
            <v>0.10441819645441447</v>
          </cell>
          <cell r="K96">
            <v>3.5630329490776755E-2</v>
          </cell>
          <cell r="L96">
            <v>2.3995052857886186E-3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0.42488212087533661</v>
          </cell>
          <cell r="G97">
            <v>0.13510807345721676</v>
          </cell>
          <cell r="H97">
            <v>0.21352173651382644</v>
          </cell>
          <cell r="I97">
            <v>8.4327033193420289E-2</v>
          </cell>
          <cell r="J97">
            <v>0.10403247372422704</v>
          </cell>
          <cell r="K97">
            <v>3.5674829571847977E-2</v>
          </cell>
          <cell r="L97">
            <v>2.4537326641248325E-3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0.56240959172868665</v>
          </cell>
          <cell r="G98">
            <v>0.14735420574160979</v>
          </cell>
          <cell r="H98">
            <v>0.14470534765964393</v>
          </cell>
          <cell r="I98">
            <v>5.2544192058598359E-2</v>
          </cell>
          <cell r="J98">
            <v>2.1186205150506142E-2</v>
          </cell>
          <cell r="K98">
            <v>5.0381820377213879E-2</v>
          </cell>
          <cell r="L98">
            <v>2.1418637283741424E-2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0.81822336567746556</v>
          </cell>
          <cell r="G99">
            <v>0.11314704864393628</v>
          </cell>
          <cell r="H99">
            <v>2.0674549967900722E-2</v>
          </cell>
          <cell r="I99">
            <v>6.9627171209849098E-3</v>
          </cell>
          <cell r="J99">
            <v>5.7682351206569784E-3</v>
          </cell>
          <cell r="K99">
            <v>2.1715628339938359E-2</v>
          </cell>
          <cell r="L99">
            <v>1.3508455129117225E-2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8.2490094379798512E-2</v>
          </cell>
          <cell r="K100">
            <v>4.1103443680509312E-2</v>
          </cell>
          <cell r="L100">
            <v>5.5030916908246777E-3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0.44771299441746654</v>
          </cell>
          <cell r="G101">
            <v>0.13480469636359924</v>
          </cell>
          <cell r="H101">
            <v>0.20214942125083718</v>
          </cell>
          <cell r="I101">
            <v>7.9575221736261303E-2</v>
          </cell>
          <cell r="J101">
            <v>9.5759586465561028E-2</v>
          </cell>
          <cell r="K101">
            <v>3.5955897863847106E-2</v>
          </cell>
          <cell r="L101">
            <v>4.0421819024274424E-3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0.42427502206463613</v>
          </cell>
          <cell r="G102">
            <v>0.13495083866985857</v>
          </cell>
          <cell r="H102">
            <v>0.21381795330374384</v>
          </cell>
          <cell r="I102">
            <v>8.4492543233334161E-2</v>
          </cell>
          <cell r="J102">
            <v>0.10446451143427475</v>
          </cell>
          <cell r="K102">
            <v>3.5600085140002825E-2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0.42427502206463624</v>
          </cell>
          <cell r="G103">
            <v>0.13495083866985855</v>
          </cell>
          <cell r="H103">
            <v>0.21381795330374381</v>
          </cell>
          <cell r="I103">
            <v>8.4492543233334161E-2</v>
          </cell>
          <cell r="J103">
            <v>0.10446451143427475</v>
          </cell>
          <cell r="K103">
            <v>3.5600085140002839E-2</v>
          </cell>
          <cell r="L103">
            <v>2.3990461541496676E-3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0.56330416923776561</v>
          </cell>
          <cell r="G104">
            <v>0.14743494838031043</v>
          </cell>
          <cell r="H104">
            <v>0.14254981095043689</v>
          </cell>
          <cell r="I104">
            <v>5.1793304185110529E-2</v>
          </cell>
          <cell r="J104">
            <v>1.9996363075087842E-2</v>
          </cell>
          <cell r="K104">
            <v>5.1402586753084595E-2</v>
          </cell>
          <cell r="L104">
            <v>2.3518817418204305E-2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0.81995092523841728</v>
          </cell>
          <cell r="G105">
            <v>0.11300218422780779</v>
          </cell>
          <cell r="H105">
            <v>1.9827240313967813E-2</v>
          </cell>
          <cell r="I105">
            <v>6.6311010207297993E-3</v>
          </cell>
          <cell r="J105">
            <v>5.4177479754998923E-3</v>
          </cell>
          <cell r="K105">
            <v>2.1627916987757973E-2</v>
          </cell>
          <cell r="L105">
            <v>1.3542884235819591E-2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0.45779451292643342</v>
          </cell>
          <cell r="G107">
            <v>0.13658815944386443</v>
          </cell>
          <cell r="H107">
            <v>0.1981960331880239</v>
          </cell>
          <cell r="I107">
            <v>7.7372965455207568E-2</v>
          </cell>
          <cell r="J107">
            <v>8.8356478707046437E-2</v>
          </cell>
          <cell r="K107">
            <v>3.7130218678315487E-2</v>
          </cell>
          <cell r="L107">
            <v>4.5616316011085371E-3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0.42414040900936834</v>
          </cell>
          <cell r="G108">
            <v>0.13497941089137627</v>
          </cell>
          <cell r="H108">
            <v>0.213901279768208</v>
          </cell>
          <cell r="I108">
            <v>8.4516694212540489E-2</v>
          </cell>
          <cell r="J108">
            <v>0.10444020269855145</v>
          </cell>
          <cell r="K108">
            <v>3.5624977832051215E-2</v>
          </cell>
          <cell r="L108">
            <v>2.3970255879041595E-3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0.42459611541644482</v>
          </cell>
          <cell r="G109">
            <v>0.13505898954754048</v>
          </cell>
          <cell r="H109">
            <v>0.2136503328322833</v>
          </cell>
          <cell r="I109">
            <v>8.4398483388239506E-2</v>
          </cell>
          <cell r="J109">
            <v>0.10422339670915523</v>
          </cell>
          <cell r="K109">
            <v>3.5643432486996925E-2</v>
          </cell>
          <cell r="L109">
            <v>2.4292496193395749E-3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0.58523105455276203</v>
          </cell>
          <cell r="G110">
            <v>0.14956895978387347</v>
          </cell>
          <cell r="H110">
            <v>0.14050674731924123</v>
          </cell>
          <cell r="I110">
            <v>4.9428071433842938E-2</v>
          </cell>
          <cell r="J110">
            <v>1.1423242048814007E-2</v>
          </cell>
          <cell r="K110">
            <v>4.8464712515570864E-2</v>
          </cell>
          <cell r="L110">
            <v>1.5377212345895189E-2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0.81963753754215285</v>
          </cell>
          <cell r="G111">
            <v>0.11337877308863747</v>
          </cell>
          <cell r="H111">
            <v>2.037981713046878E-2</v>
          </cell>
          <cell r="I111">
            <v>6.4237989654471837E-3</v>
          </cell>
          <cell r="J111">
            <v>5.2785470406550494E-3</v>
          </cell>
          <cell r="K111">
            <v>2.1723042035108133E-2</v>
          </cell>
          <cell r="L111">
            <v>1.3178484197530586E-2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0.44103507568109712</v>
          </cell>
          <cell r="G112">
            <v>0.14795553818551696</v>
          </cell>
          <cell r="H112">
            <v>0.20357793850552833</v>
          </cell>
          <cell r="I112">
            <v>7.6931374901537786E-2</v>
          </cell>
          <cell r="J112">
            <v>8.4797254648238951E-2</v>
          </cell>
          <cell r="K112">
            <v>4.0525629482473402E-2</v>
          </cell>
          <cell r="L112">
            <v>5.17718859560752E-3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8">
          <cell r="H58">
            <v>828428746.40643871</v>
          </cell>
        </row>
      </sheetData>
      <sheetData sheetId="12"/>
      <sheetData sheetId="13"/>
      <sheetData sheetId="14"/>
      <sheetData sheetId="15"/>
      <sheetData sheetId="16"/>
      <sheetData sheetId="17"/>
      <sheetData sheetId="18">
        <row r="4">
          <cell r="K4">
            <v>0.79018896309372733</v>
          </cell>
        </row>
      </sheetData>
      <sheetData sheetId="19">
        <row r="250">
          <cell r="AB250" t="str">
            <v>DIS</v>
          </cell>
        </row>
        <row r="251">
          <cell r="AB251" t="str">
            <v>METER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/>
      <sheetData sheetId="2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/>
      <sheetData sheetId="24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14">
          <cell r="N14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1">
          <cell r="H61">
            <v>6.6953569481140951E-2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14">
          <cell r="N14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1">
          <cell r="H61">
            <v>6.6953569481140951E-2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/>
      <sheetData sheetId="5"/>
      <sheetData sheetId="6"/>
      <sheetData sheetId="7"/>
      <sheetData sheetId="8">
        <row r="23">
          <cell r="D23">
            <v>0.59916000000000003</v>
          </cell>
        </row>
      </sheetData>
      <sheetData sheetId="9"/>
      <sheetData sheetId="10">
        <row r="23">
          <cell r="D23">
            <v>0.59916000000000003</v>
          </cell>
        </row>
      </sheetData>
      <sheetData sheetId="11"/>
      <sheetData sheetId="12"/>
      <sheetData sheetId="13"/>
      <sheetData sheetId="1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  <row r="3">
          <cell r="B3">
            <v>8.5900000000000004E-2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6">
          <cell r="C6" t="str">
            <v>WCA Method</v>
          </cell>
        </row>
        <row r="8">
          <cell r="D8">
            <v>0.37687849503411508</v>
          </cell>
        </row>
        <row r="9">
          <cell r="D9">
            <v>0.62312150496588492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/>
      <sheetData sheetId="1"/>
      <sheetData sheetId="2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0</v>
          </cell>
        </row>
      </sheetData>
      <sheetData sheetId="6"/>
      <sheetData sheetId="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"/>
      <sheetName val="Results"/>
      <sheetName val="Function"/>
      <sheetName val="Function1149"/>
      <sheetName val="Report"/>
      <sheetName val="NRO"/>
      <sheetName val="ADJ"/>
      <sheetName val="UTCR"/>
      <sheetName val="URO"/>
      <sheetName val="ECD"/>
      <sheetName val="Unadj Data for RAM"/>
      <sheetName val="Variables"/>
      <sheetName val="Inputs"/>
      <sheetName val="Factors"/>
      <sheetName val="Check"/>
      <sheetName val="CWC"/>
      <sheetName val="WelcomeDialog"/>
      <sheetName val="Macro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30">
          <cell r="B30">
            <v>0.62143079275589019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"/>
      <sheetName val="Results"/>
      <sheetName val="Function"/>
      <sheetName val="Function1149"/>
      <sheetName val="Report"/>
      <sheetName val="NRO"/>
      <sheetName val="ADJ"/>
      <sheetName val="UTCR"/>
      <sheetName val="URO"/>
      <sheetName val="ECD"/>
      <sheetName val="Unadj Data for RAM"/>
      <sheetName val="Variables"/>
      <sheetName val="Inputs"/>
      <sheetName val="Factors"/>
      <sheetName val="Check"/>
      <sheetName val="CWC"/>
      <sheetName val="WelcomeDialog"/>
      <sheetName val="Macro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30">
          <cell r="B30">
            <v>0.62143079275589019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120">
          <cell r="F120" t="str">
            <v>BaseCase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Req"/>
      <sheetName val="Inputs"/>
      <sheetName val="Actual"/>
      <sheetName val="Blocking Yr 2002"/>
      <sheetName val="Blocking Yr 2003"/>
      <sheetName val="Table A yr 2001"/>
      <sheetName val="Table A yr 2002"/>
      <sheetName val="Table A yr 2003"/>
      <sheetName val="Table A summary"/>
      <sheetName val="Centralia Mining"/>
      <sheetName val="Spec Conts"/>
      <sheetName val="BPA Present"/>
      <sheetName val="Unbilled"/>
      <sheetName val="Weather"/>
      <sheetName val="Weather revised"/>
      <sheetName val="Weather Present"/>
      <sheetName val="Table 1"/>
      <sheetName val="Table 2"/>
      <sheetName val="Table 3"/>
      <sheetName val="New 24v36 yr 2001"/>
      <sheetName val="New 24v36 yr 2002"/>
      <sheetName val="New 24v36 yr 2003"/>
      <sheetName val="48 vs 36"/>
      <sheetName val="48 vs 36 Proposed"/>
      <sheetName val="Lighting SBC"/>
      <sheetName val="SBC"/>
      <sheetName val="SBC Stipulation P"/>
      <sheetName val="Stipulation Table A calculated"/>
      <sheetName val="Stipulation Blocking sch 16,18"/>
      <sheetName val="Sch16 Yr 2002"/>
      <sheetName val="Sch16 Yr 2003"/>
      <sheetName val="Stipulation Blocking sch 48T"/>
      <sheetName val="Stipulated Propose tariff rates"/>
      <sheetName val="Stip Table A w defer separate"/>
      <sheetName val="Blocking Yr 2001"/>
      <sheetName val="Deferral"/>
      <sheetName val="Deferral (2)"/>
      <sheetName val="Merger Credit"/>
      <sheetName val="Centralia Credit"/>
      <sheetName val="Centralia Credit lighting avg"/>
      <sheetName val="SBC Stipulation revised"/>
      <sheetName val="Table A Year 2001 All Filings"/>
      <sheetName val="Tab A Yr 2001 All Filings cr=-"/>
      <sheetName val="Tab A Yr 01 All Filings cr rev"/>
      <sheetName val="Table A Year 2001 base rates"/>
      <sheetName val="Sch16 Yr 2001"/>
      <sheetName val="Sch24 Yr 2001"/>
      <sheetName val="Sch36 Yr 2001"/>
      <sheetName val="Sch40 Yr 2001"/>
      <sheetName val="Sch48 Yr 2001"/>
      <sheetName val="Order to apply tariffs"/>
      <sheetName val="cover"/>
      <sheetName val="rate filings"/>
      <sheetName val="Sch38 to 24 Yr 2001 "/>
      <sheetName val="Sch42 to 24 Yr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ook4"/>
      <sheetName val="Weather Present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E2">
            <v>13997.132534902999</v>
          </cell>
        </row>
        <row r="3">
          <cell r="E3">
            <v>3464.4753027441702</v>
          </cell>
        </row>
        <row r="4">
          <cell r="E4">
            <v>444.36661446236099</v>
          </cell>
        </row>
        <row r="5">
          <cell r="E5">
            <v>1147.66773729581</v>
          </cell>
        </row>
        <row r="6">
          <cell r="E6">
            <v>1366.6397787665301</v>
          </cell>
        </row>
        <row r="7">
          <cell r="E7">
            <v>466.23760141089298</v>
          </cell>
        </row>
        <row r="8">
          <cell r="E8">
            <v>60.234216376909103</v>
          </cell>
          <cell r="F8">
            <v>60.234216376909103</v>
          </cell>
        </row>
        <row r="9">
          <cell r="E9">
            <v>230.53285752578199</v>
          </cell>
          <cell r="F9">
            <v>230.53285752578199</v>
          </cell>
        </row>
        <row r="10">
          <cell r="F10">
            <v>59.999784747132097</v>
          </cell>
        </row>
        <row r="11">
          <cell r="E11">
            <v>480.13238498428399</v>
          </cell>
        </row>
        <row r="12">
          <cell r="E12">
            <v>407.76913013469601</v>
          </cell>
        </row>
        <row r="13">
          <cell r="E13">
            <v>47.999569482334898</v>
          </cell>
        </row>
        <row r="14">
          <cell r="E14">
            <v>11.999900155568399</v>
          </cell>
        </row>
        <row r="15">
          <cell r="E15">
            <v>96.000010505499901</v>
          </cell>
        </row>
        <row r="16">
          <cell r="E16">
            <v>23.999999764143599</v>
          </cell>
        </row>
        <row r="17">
          <cell r="E17">
            <v>132.000000851811</v>
          </cell>
          <cell r="F17">
            <v>132.000000851811</v>
          </cell>
        </row>
        <row r="18">
          <cell r="E18">
            <v>12544.6478300127</v>
          </cell>
        </row>
        <row r="19">
          <cell r="E19">
            <v>256.30028154320598</v>
          </cell>
        </row>
        <row r="20">
          <cell r="E20">
            <v>807.60168615657005</v>
          </cell>
        </row>
        <row r="21">
          <cell r="E21">
            <v>205.66799715733501</v>
          </cell>
        </row>
        <row r="22">
          <cell r="E22">
            <v>12.000000235856399</v>
          </cell>
        </row>
        <row r="23">
          <cell r="E23">
            <v>114.96661243473</v>
          </cell>
          <cell r="F23">
            <v>114.96661243473</v>
          </cell>
        </row>
        <row r="24">
          <cell r="E24">
            <v>12.0002498351555</v>
          </cell>
          <cell r="F24">
            <v>12.0002498351555</v>
          </cell>
        </row>
        <row r="26">
          <cell r="D26">
            <v>2156448</v>
          </cell>
          <cell r="J26">
            <v>296768.48326932569</v>
          </cell>
          <cell r="K26">
            <v>16015</v>
          </cell>
        </row>
        <row r="27">
          <cell r="D27">
            <v>149372</v>
          </cell>
          <cell r="J27">
            <v>19434.797716148532</v>
          </cell>
          <cell r="K27">
            <v>673</v>
          </cell>
        </row>
        <row r="28">
          <cell r="D28">
            <v>1061743</v>
          </cell>
          <cell r="J28">
            <v>153886.63615719051</v>
          </cell>
          <cell r="K28">
            <v>13695</v>
          </cell>
        </row>
        <row r="30">
          <cell r="C30">
            <v>48</v>
          </cell>
        </row>
        <row r="31">
          <cell r="C31">
            <v>12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C2">
            <v>1202807.30451606</v>
          </cell>
          <cell r="D2">
            <v>1553734264</v>
          </cell>
          <cell r="E2">
            <v>662577224.96776497</v>
          </cell>
          <cell r="I2">
            <v>130544909.735699</v>
          </cell>
        </row>
        <row r="3">
          <cell r="C3">
            <v>50454.485322581</v>
          </cell>
          <cell r="D3">
            <v>66119565</v>
          </cell>
          <cell r="E3">
            <v>28732395.290323</v>
          </cell>
          <cell r="I3">
            <v>5532393.0076200003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C2">
            <v>1125.6076344086</v>
          </cell>
          <cell r="D2">
            <v>1368906</v>
          </cell>
          <cell r="E2">
            <v>474518.58064516098</v>
          </cell>
          <cell r="J2">
            <v>119198.275575484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C2">
            <v>1017.7441935483899</v>
          </cell>
          <cell r="D2">
            <v>2289290</v>
          </cell>
          <cell r="E2">
            <v>571961.74193548399</v>
          </cell>
          <cell r="F2">
            <v>4673</v>
          </cell>
          <cell r="G2">
            <v>616</v>
          </cell>
          <cell r="H2">
            <v>55</v>
          </cell>
          <cell r="L2">
            <v>211426.997968387</v>
          </cell>
        </row>
        <row r="3">
          <cell r="C3">
            <v>215.96779569892499</v>
          </cell>
          <cell r="D3">
            <v>437716</v>
          </cell>
          <cell r="E3">
            <v>127178.67741935499</v>
          </cell>
          <cell r="F3">
            <v>773</v>
          </cell>
          <cell r="G3">
            <v>107</v>
          </cell>
          <cell r="H3">
            <v>15</v>
          </cell>
          <cell r="L3">
            <v>39694.960588064503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F2">
            <v>23710.0333333333</v>
          </cell>
        </row>
        <row r="3">
          <cell r="F3">
            <v>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22</v>
          </cell>
        </row>
        <row r="4">
          <cell r="F4">
            <v>6502.7333333333299</v>
          </cell>
        </row>
        <row r="5">
          <cell r="F5">
            <v>71.966666666666697</v>
          </cell>
          <cell r="G5">
            <v>257</v>
          </cell>
          <cell r="H5">
            <v>295926</v>
          </cell>
          <cell r="I5">
            <v>70042.333333333299</v>
          </cell>
          <cell r="J5">
            <v>213943.66666666701</v>
          </cell>
          <cell r="K5">
            <v>125</v>
          </cell>
          <cell r="L5">
            <v>0</v>
          </cell>
        </row>
        <row r="6">
          <cell r="F6">
            <v>112275.03333333301</v>
          </cell>
        </row>
        <row r="7">
          <cell r="F7">
            <v>36</v>
          </cell>
          <cell r="G7">
            <v>166</v>
          </cell>
        </row>
        <row r="8">
          <cell r="F8">
            <v>24</v>
          </cell>
          <cell r="H8">
            <v>225840</v>
          </cell>
          <cell r="I8">
            <v>18000</v>
          </cell>
          <cell r="J8">
            <v>135000</v>
          </cell>
          <cell r="K8">
            <v>375</v>
          </cell>
          <cell r="L8">
            <v>0</v>
          </cell>
        </row>
        <row r="9">
          <cell r="F9">
            <v>45.9</v>
          </cell>
          <cell r="G9">
            <v>513</v>
          </cell>
          <cell r="H9">
            <v>110280</v>
          </cell>
          <cell r="J9">
            <v>86080</v>
          </cell>
          <cell r="K9">
            <v>267</v>
          </cell>
          <cell r="L9">
            <v>1126.3</v>
          </cell>
        </row>
        <row r="10">
          <cell r="F10">
            <v>51950.633333333302</v>
          </cell>
        </row>
        <row r="11">
          <cell r="F11">
            <v>83.966666666666697</v>
          </cell>
        </row>
        <row r="12">
          <cell r="F12">
            <v>73.099999999999994</v>
          </cell>
        </row>
        <row r="13">
          <cell r="F13">
            <v>4.5</v>
          </cell>
        </row>
        <row r="14">
          <cell r="F14">
            <v>281.36666666666702</v>
          </cell>
        </row>
        <row r="15">
          <cell r="F15">
            <v>407.76666666666699</v>
          </cell>
        </row>
        <row r="16">
          <cell r="F16">
            <v>1569.7333333333299</v>
          </cell>
        </row>
        <row r="17">
          <cell r="F17">
            <v>2.6</v>
          </cell>
          <cell r="G17">
            <v>193</v>
          </cell>
          <cell r="H17">
            <v>91200</v>
          </cell>
          <cell r="I17">
            <v>2600</v>
          </cell>
          <cell r="J17">
            <v>20800</v>
          </cell>
          <cell r="K17">
            <v>181</v>
          </cell>
        </row>
        <row r="18">
          <cell r="F18">
            <v>2569.5333333333301</v>
          </cell>
        </row>
        <row r="19">
          <cell r="F19">
            <v>10</v>
          </cell>
        </row>
        <row r="20">
          <cell r="F20">
            <v>20</v>
          </cell>
        </row>
        <row r="21">
          <cell r="F21">
            <v>3172.1666666666702</v>
          </cell>
        </row>
        <row r="22">
          <cell r="F22">
            <v>12</v>
          </cell>
          <cell r="G22">
            <v>0</v>
          </cell>
        </row>
        <row r="23">
          <cell r="F23">
            <v>572.23333333333301</v>
          </cell>
        </row>
        <row r="24">
          <cell r="F24">
            <v>2428.1</v>
          </cell>
        </row>
        <row r="25">
          <cell r="F25">
            <v>197.4</v>
          </cell>
        </row>
        <row r="26">
          <cell r="F26">
            <v>16218</v>
          </cell>
        </row>
        <row r="27">
          <cell r="F27">
            <v>747.26666666666699</v>
          </cell>
        </row>
        <row r="29">
          <cell r="G29">
            <v>1184934</v>
          </cell>
          <cell r="H29">
            <v>524490145</v>
          </cell>
          <cell r="I29">
            <v>124213319.33333305</v>
          </cell>
          <cell r="J29">
            <v>280880307.66666698</v>
          </cell>
          <cell r="K29">
            <v>801815</v>
          </cell>
          <cell r="L29">
            <v>104126.76666666665</v>
          </cell>
          <cell r="R29">
            <v>43903386.734901726</v>
          </cell>
        </row>
        <row r="30">
          <cell r="G30">
            <v>2143</v>
          </cell>
          <cell r="H30">
            <v>760934</v>
          </cell>
          <cell r="I30">
            <v>99127</v>
          </cell>
          <cell r="J30">
            <v>275687</v>
          </cell>
          <cell r="K30">
            <v>1580</v>
          </cell>
          <cell r="L30">
            <v>134</v>
          </cell>
          <cell r="R30">
            <v>59818.66990666667</v>
          </cell>
        </row>
        <row r="31">
          <cell r="G31">
            <v>60190</v>
          </cell>
          <cell r="H31">
            <v>18698937</v>
          </cell>
          <cell r="I31">
            <v>3300267</v>
          </cell>
          <cell r="J31">
            <v>9927982.9999999963</v>
          </cell>
          <cell r="K31">
            <v>40259</v>
          </cell>
          <cell r="L31">
            <v>13261.766666666701</v>
          </cell>
          <cell r="R31">
            <v>1564866.8658933339</v>
          </cell>
        </row>
        <row r="32">
          <cell r="G32">
            <v>4516</v>
          </cell>
          <cell r="H32">
            <v>7119713</v>
          </cell>
          <cell r="I32">
            <v>4861718.6666666698</v>
          </cell>
          <cell r="J32">
            <v>1955820.33333333</v>
          </cell>
          <cell r="K32">
            <v>3433</v>
          </cell>
          <cell r="L32">
            <v>15</v>
          </cell>
          <cell r="R32">
            <v>791130.25388665847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6">
          <cell r="C6">
            <v>1404.6333333333369</v>
          </cell>
          <cell r="D6">
            <v>4043.0865373805159</v>
          </cell>
          <cell r="E6">
            <v>1115899</v>
          </cell>
          <cell r="F6">
            <v>153419.66056723299</v>
          </cell>
          <cell r="G6">
            <v>1051087</v>
          </cell>
          <cell r="H6">
            <v>64812</v>
          </cell>
          <cell r="M6">
            <v>157219.62173157808</v>
          </cell>
        </row>
        <row r="7">
          <cell r="C7">
            <v>48</v>
          </cell>
          <cell r="D7">
            <v>522.6</v>
          </cell>
          <cell r="E7">
            <v>33313</v>
          </cell>
          <cell r="M7">
            <v>7805.1935800000001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F2">
            <v>1</v>
          </cell>
        </row>
        <row r="3">
          <cell r="F3">
            <v>85.216438356164403</v>
          </cell>
        </row>
        <row r="6">
          <cell r="E6">
            <v>1009.0816666666664</v>
          </cell>
          <cell r="G6">
            <v>3285.78082191781</v>
          </cell>
          <cell r="H6">
            <v>460453</v>
          </cell>
          <cell r="I6">
            <v>146926</v>
          </cell>
          <cell r="J6">
            <v>139847</v>
          </cell>
          <cell r="K6">
            <v>173680</v>
          </cell>
          <cell r="L6">
            <v>8708.8205882352995</v>
          </cell>
          <cell r="M6">
            <v>1100.8816666666701</v>
          </cell>
          <cell r="Q6">
            <v>113756.48982566199</v>
          </cell>
        </row>
        <row r="7">
          <cell r="E7">
            <v>11.1766666666667</v>
          </cell>
          <cell r="F7">
            <v>1</v>
          </cell>
          <cell r="G7">
            <v>75</v>
          </cell>
          <cell r="H7">
            <v>9552</v>
          </cell>
          <cell r="I7">
            <v>6233</v>
          </cell>
          <cell r="J7">
            <v>3319</v>
          </cell>
          <cell r="L7">
            <v>293</v>
          </cell>
          <cell r="Q7">
            <v>2812.5745200000001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A Yr 2003 Change"/>
      <sheetName val="Blocking Yr 2003"/>
      <sheetName val="Sch16 Yr 2003 Net"/>
      <sheetName val="Sch24 Yr 2003 Net"/>
      <sheetName val="Sch36 Yr 2003 Net"/>
      <sheetName val="Sch40 Yr 2003 Net"/>
      <sheetName val="Sch48 Yr 2003 Net"/>
      <sheetName val="Tab A Yr 2003 incl SBC change"/>
      <sheetName val="Sheet1"/>
      <sheetName val="Tab A Yr 2002 Change revised"/>
      <sheetName val="Tab A Yr 2002 Change"/>
      <sheetName val="Tab A Yr 2002 All Filings cr=-"/>
      <sheetName val="Stip Table A w defer separate"/>
      <sheetName val="Blocking Yr 2002"/>
      <sheetName val="BPA qualifying kWh summary"/>
      <sheetName val="BPA qualifying kWh detail sent"/>
      <sheetName val="Sch16 Yr 2002 BPA"/>
      <sheetName val="Sch24 Yr 2002 (2)"/>
      <sheetName val="Sch36 Yr 2002 (2)"/>
      <sheetName val="Sch40 Yr 2002 (2)"/>
      <sheetName val="Sch48 Yr 2002 (2)"/>
      <sheetName val="BPA qualifying kWh detail"/>
      <sheetName val="merger credit 2001"/>
      <sheetName val="Tab A Yr 2001 All Filings cr=-"/>
      <sheetName val="RevReq"/>
      <sheetName val="Inputs"/>
      <sheetName val="Actual"/>
      <sheetName val="Table A yr 2001"/>
      <sheetName val="Table A yr 2002"/>
      <sheetName val="Table A yr 2003"/>
      <sheetName val="Table A summary"/>
      <sheetName val="Centralia Mining"/>
      <sheetName val="Spec Conts"/>
      <sheetName val="BPA Present"/>
      <sheetName val="Unbilled"/>
      <sheetName val="Weather"/>
      <sheetName val="Weather revised"/>
      <sheetName val="Weather Present"/>
      <sheetName val="Table 1"/>
      <sheetName val="Table 2"/>
      <sheetName val="Table 3"/>
      <sheetName val="New 24v36 yr 2001"/>
      <sheetName val="New 24v36 yr 2002"/>
      <sheetName val="New 24v36 yr 2003"/>
      <sheetName val="48 vs 36"/>
      <sheetName val="48 vs 36 Proposed"/>
      <sheetName val="Lighting SBC"/>
      <sheetName val="SBC"/>
      <sheetName val="SBC Stipulation P"/>
      <sheetName val="Stipulation Table A calculated"/>
      <sheetName val="Stipulation Blocking sch 16,18"/>
      <sheetName val="Sch16 Yr 2002"/>
      <sheetName val="Sch16 Yr 2003"/>
      <sheetName val="Stipulation Blocking sch 48T"/>
      <sheetName val="Stipulated Propose tariff rates"/>
      <sheetName val="Blocking Yr 2001"/>
      <sheetName val="Deferral"/>
      <sheetName val="Deferral (2)"/>
      <sheetName val="Merger Credit"/>
      <sheetName val="Centralia Credit"/>
      <sheetName val="Centralia Credit lighting avg"/>
      <sheetName val="SBC Stipulation revised"/>
      <sheetName val="Table A Year 2001 All Filings"/>
      <sheetName val="Tab A Yr 01 All Filings cr rev"/>
      <sheetName val="Table A Year 2001 base rates"/>
      <sheetName val="Sch16 Yr 2001"/>
      <sheetName val="Sch24 Yr 2001"/>
      <sheetName val="Sch36 Yr 2001"/>
      <sheetName val="Sch40 Yr 2001"/>
      <sheetName val="Sch48 Yr 2001"/>
      <sheetName val="Order to apply tariffs"/>
      <sheetName val="cover"/>
      <sheetName val="rate filings"/>
      <sheetName val="Sch38 to 24 Yr 2001 "/>
      <sheetName val="Sch42 to 24 Yr 200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E2">
            <v>48.1</v>
          </cell>
        </row>
        <row r="3">
          <cell r="E3">
            <v>1054.4666666666701</v>
          </cell>
          <cell r="F3">
            <v>183727</v>
          </cell>
        </row>
        <row r="4">
          <cell r="E4">
            <v>245</v>
          </cell>
          <cell r="F4">
            <v>130643</v>
          </cell>
        </row>
        <row r="5">
          <cell r="E5">
            <v>0.46666666666666701</v>
          </cell>
          <cell r="G5">
            <v>0</v>
          </cell>
          <cell r="H5">
            <v>0</v>
          </cell>
          <cell r="I5">
            <v>0</v>
          </cell>
          <cell r="J5">
            <v>23.3333333333333</v>
          </cell>
          <cell r="K5">
            <v>0</v>
          </cell>
        </row>
        <row r="6">
          <cell r="E6">
            <v>47.6</v>
          </cell>
          <cell r="F6">
            <v>8428</v>
          </cell>
          <cell r="G6">
            <v>2593920</v>
          </cell>
          <cell r="H6">
            <v>1624040</v>
          </cell>
          <cell r="I6">
            <v>6143</v>
          </cell>
          <cell r="J6">
            <v>0</v>
          </cell>
          <cell r="K6">
            <v>469</v>
          </cell>
        </row>
        <row r="7">
          <cell r="E7">
            <v>82</v>
          </cell>
          <cell r="F7">
            <v>57957</v>
          </cell>
          <cell r="G7">
            <v>13408539</v>
          </cell>
          <cell r="H7">
            <v>2801040</v>
          </cell>
          <cell r="I7">
            <v>36827.5</v>
          </cell>
          <cell r="J7">
            <v>361</v>
          </cell>
          <cell r="K7">
            <v>7166.9666666666699</v>
          </cell>
        </row>
        <row r="8">
          <cell r="E8">
            <v>207.666666666667</v>
          </cell>
        </row>
        <row r="9">
          <cell r="E9">
            <v>6616.1666666666697</v>
          </cell>
          <cell r="F9">
            <v>1137148</v>
          </cell>
        </row>
        <row r="10">
          <cell r="E10">
            <v>2735.6</v>
          </cell>
          <cell r="F10">
            <v>1338182</v>
          </cell>
        </row>
        <row r="11">
          <cell r="E11">
            <v>12</v>
          </cell>
        </row>
        <row r="12">
          <cell r="E12">
            <v>10</v>
          </cell>
          <cell r="F12">
            <v>2885</v>
          </cell>
        </row>
        <row r="13">
          <cell r="E13">
            <v>1</v>
          </cell>
        </row>
        <row r="14">
          <cell r="E14">
            <v>301.53333333333302</v>
          </cell>
          <cell r="F14">
            <v>50576</v>
          </cell>
        </row>
        <row r="15">
          <cell r="E15">
            <v>2.5333333333333301</v>
          </cell>
          <cell r="F15">
            <v>1794</v>
          </cell>
        </row>
        <row r="16">
          <cell r="E16">
            <v>21</v>
          </cell>
          <cell r="F16">
            <v>2337</v>
          </cell>
          <cell r="G16">
            <v>967200</v>
          </cell>
          <cell r="H16">
            <v>734400</v>
          </cell>
          <cell r="I16">
            <v>1987.5</v>
          </cell>
          <cell r="J16">
            <v>0</v>
          </cell>
          <cell r="K16">
            <v>1162</v>
          </cell>
        </row>
        <row r="17">
          <cell r="E17">
            <v>47.2</v>
          </cell>
        </row>
        <row r="18">
          <cell r="E18">
            <v>676.1</v>
          </cell>
          <cell r="F18">
            <v>116946</v>
          </cell>
        </row>
        <row r="19">
          <cell r="E19">
            <v>538.53333333333296</v>
          </cell>
          <cell r="F19">
            <v>300120</v>
          </cell>
        </row>
        <row r="22">
          <cell r="G22">
            <v>804202054</v>
          </cell>
          <cell r="H22">
            <v>357193161.66666669</v>
          </cell>
          <cell r="I22">
            <v>2159429</v>
          </cell>
          <cell r="J22">
            <v>1056.3333333333362</v>
          </cell>
          <cell r="K22">
            <v>385933.60000000073</v>
          </cell>
          <cell r="O22">
            <v>56283287.389649935</v>
          </cell>
        </row>
        <row r="23">
          <cell r="G23">
            <v>105607759</v>
          </cell>
          <cell r="H23">
            <v>43824556.333333328</v>
          </cell>
          <cell r="I23">
            <v>354299.5</v>
          </cell>
          <cell r="J23">
            <v>942.33333333333303</v>
          </cell>
          <cell r="K23">
            <v>110811.9666666667</v>
          </cell>
        </row>
        <row r="24">
          <cell r="G24">
            <v>1141600</v>
          </cell>
          <cell r="H24">
            <v>552480</v>
          </cell>
          <cell r="I24">
            <v>2855</v>
          </cell>
          <cell r="J24">
            <v>0</v>
          </cell>
          <cell r="K24">
            <v>574</v>
          </cell>
          <cell r="O24">
            <v>79984.691599999991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E2">
            <v>4</v>
          </cell>
          <cell r="G2">
            <v>0</v>
          </cell>
          <cell r="J2">
            <v>0</v>
          </cell>
          <cell r="L2">
            <v>0</v>
          </cell>
        </row>
        <row r="3">
          <cell r="E3">
            <v>8</v>
          </cell>
          <cell r="G3">
            <v>1.00272540556427</v>
          </cell>
          <cell r="J3">
            <v>30.440941572089098</v>
          </cell>
          <cell r="L3">
            <v>32140</v>
          </cell>
        </row>
        <row r="4">
          <cell r="G4">
            <v>985.41896476835097</v>
          </cell>
          <cell r="H4">
            <v>555.50384435445301</v>
          </cell>
          <cell r="J4">
            <v>2921.39508208707</v>
          </cell>
          <cell r="K4">
            <v>38.986619581829999</v>
          </cell>
        </row>
        <row r="5">
          <cell r="G5">
            <v>3632.4358056978799</v>
          </cell>
          <cell r="H5">
            <v>986.11783988665604</v>
          </cell>
          <cell r="J5">
            <v>50187.578809116902</v>
          </cell>
          <cell r="K5">
            <v>305.04833412742897</v>
          </cell>
        </row>
        <row r="6">
          <cell r="G6">
            <v>410.813657710592</v>
          </cell>
          <cell r="J6">
            <v>39269.471947631697</v>
          </cell>
        </row>
        <row r="7">
          <cell r="G7">
            <v>12</v>
          </cell>
          <cell r="J7">
            <v>4943</v>
          </cell>
        </row>
        <row r="8">
          <cell r="G8">
            <v>64.334199134199096</v>
          </cell>
          <cell r="H8">
            <v>35.073956151375498</v>
          </cell>
          <cell r="J8">
            <v>224.61625471302901</v>
          </cell>
          <cell r="K8">
            <v>2.3150397989107701</v>
          </cell>
        </row>
        <row r="9">
          <cell r="G9">
            <v>128.32599131287699</v>
          </cell>
          <cell r="H9">
            <v>31.972554294521501</v>
          </cell>
          <cell r="J9">
            <v>1774.8768390079899</v>
          </cell>
          <cell r="K9">
            <v>5.9588062211013</v>
          </cell>
        </row>
        <row r="10">
          <cell r="G10">
            <v>10.8958908081687</v>
          </cell>
          <cell r="J10">
            <v>1229.89051820554</v>
          </cell>
        </row>
        <row r="11">
          <cell r="G11">
            <v>1</v>
          </cell>
          <cell r="J11">
            <v>333</v>
          </cell>
        </row>
        <row r="12">
          <cell r="G12">
            <v>0.72056975282781699</v>
          </cell>
          <cell r="J12">
            <v>6.4851277754503602</v>
          </cell>
        </row>
        <row r="13">
          <cell r="G13">
            <v>8.2177385456074004E-2</v>
          </cell>
          <cell r="J13">
            <v>0</v>
          </cell>
        </row>
        <row r="15">
          <cell r="D15">
            <v>5567</v>
          </cell>
          <cell r="F15">
            <v>37159.493333333157</v>
          </cell>
          <cell r="L15">
            <v>155884579</v>
          </cell>
          <cell r="M15">
            <v>52896</v>
          </cell>
          <cell r="Q15">
            <v>12383093.649639074</v>
          </cell>
        </row>
        <row r="16">
          <cell r="D16">
            <v>225</v>
          </cell>
          <cell r="F16">
            <v>1557.2500000000005</v>
          </cell>
          <cell r="L16">
            <v>5473590</v>
          </cell>
          <cell r="M16">
            <v>1277</v>
          </cell>
          <cell r="Q16">
            <v>437653.37849999999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E2">
            <v>12</v>
          </cell>
          <cell r="F2">
            <v>22168</v>
          </cell>
          <cell r="G2">
            <v>2027000</v>
          </cell>
          <cell r="H2">
            <v>18457.411764705899</v>
          </cell>
          <cell r="J2">
            <v>9916</v>
          </cell>
          <cell r="O2">
            <v>283700.831764706</v>
          </cell>
          <cell r="P2">
            <v>0</v>
          </cell>
          <cell r="Q2">
            <v>0</v>
          </cell>
          <cell r="R2">
            <v>5796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E2">
            <v>104.272727272727</v>
          </cell>
          <cell r="G2">
            <v>189732.454545455</v>
          </cell>
          <cell r="H2">
            <v>63485700</v>
          </cell>
          <cell r="J2">
            <v>151233.48484848501</v>
          </cell>
          <cell r="L2">
            <v>12916.333333333299</v>
          </cell>
          <cell r="S2">
            <v>3983925.4037575801</v>
          </cell>
        </row>
        <row r="3">
          <cell r="E3">
            <v>263.39393939393898</v>
          </cell>
          <cell r="G3">
            <v>315169.15151515102</v>
          </cell>
          <cell r="H3">
            <v>108093662</v>
          </cell>
          <cell r="J3">
            <v>234019.363636364</v>
          </cell>
          <cell r="L3">
            <v>29387</v>
          </cell>
          <cell r="S3">
            <v>6988517.2595078796</v>
          </cell>
        </row>
        <row r="4">
          <cell r="E4">
            <v>2</v>
          </cell>
          <cell r="G4">
            <v>2102</v>
          </cell>
          <cell r="H4">
            <v>717600</v>
          </cell>
          <cell r="J4">
            <v>1493</v>
          </cell>
          <cell r="L4">
            <v>0</v>
          </cell>
          <cell r="S4">
            <v>45154.883000000002</v>
          </cell>
        </row>
        <row r="5">
          <cell r="E5">
            <v>24</v>
          </cell>
          <cell r="G5">
            <v>29849</v>
          </cell>
          <cell r="H5">
            <v>7345800</v>
          </cell>
          <cell r="J5">
            <v>25350</v>
          </cell>
          <cell r="L5">
            <v>4395</v>
          </cell>
          <cell r="S5">
            <v>538638.68799999997</v>
          </cell>
        </row>
        <row r="6">
          <cell r="E6">
            <v>338.48484848484901</v>
          </cell>
          <cell r="G6">
            <v>546455.24242424197</v>
          </cell>
          <cell r="H6">
            <v>213786555</v>
          </cell>
          <cell r="J6">
            <v>467259.454545455</v>
          </cell>
          <cell r="L6">
            <v>135856.12121212101</v>
          </cell>
          <cell r="S6">
            <v>13558118.6088521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D2">
            <v>12</v>
          </cell>
          <cell r="E2">
            <v>693243</v>
          </cell>
          <cell r="F2">
            <v>455274000</v>
          </cell>
          <cell r="G2">
            <v>681696</v>
          </cell>
          <cell r="H2">
            <v>183315</v>
          </cell>
          <cell r="M2">
            <v>24087048.420000002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F2">
            <v>12.000200999689</v>
          </cell>
        </row>
        <row r="3">
          <cell r="F3">
            <v>1248</v>
          </cell>
        </row>
        <row r="4">
          <cell r="F4">
            <v>17697.609626368099</v>
          </cell>
        </row>
        <row r="5">
          <cell r="F5">
            <v>1150.8688877327099</v>
          </cell>
        </row>
        <row r="6">
          <cell r="F6">
            <v>831.58410223590397</v>
          </cell>
        </row>
        <row r="7">
          <cell r="F7">
            <v>1586.8222491951999</v>
          </cell>
        </row>
        <row r="8">
          <cell r="F8">
            <v>14351.0304600299</v>
          </cell>
        </row>
        <row r="9">
          <cell r="F9">
            <v>19415.719457651699</v>
          </cell>
        </row>
        <row r="11">
          <cell r="E11">
            <v>3532347.7960070018</v>
          </cell>
          <cell r="K11">
            <v>688803.04689160548</v>
          </cell>
          <cell r="M11">
            <v>163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C2">
            <v>219861.25205811099</v>
          </cell>
          <cell r="I2">
            <v>37171.951300302499</v>
          </cell>
          <cell r="J2">
            <v>19991.993064481801</v>
          </cell>
          <cell r="L2">
            <v>15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F2">
            <v>4248.0109403298802</v>
          </cell>
        </row>
        <row r="3">
          <cell r="F3">
            <v>8148.0150869990703</v>
          </cell>
        </row>
        <row r="4">
          <cell r="F4">
            <v>80.070551745979301</v>
          </cell>
        </row>
        <row r="5">
          <cell r="F5">
            <v>11687.0132195632</v>
          </cell>
        </row>
        <row r="6">
          <cell r="F6">
            <v>4355.9970834218002</v>
          </cell>
        </row>
        <row r="7">
          <cell r="E7">
            <v>422137.79373725102</v>
          </cell>
        </row>
        <row r="8">
          <cell r="F8">
            <v>1577.99775467585</v>
          </cell>
        </row>
        <row r="9">
          <cell r="E9">
            <v>324671.267837019</v>
          </cell>
        </row>
        <row r="10">
          <cell r="E10">
            <v>2591.8207073468802</v>
          </cell>
        </row>
        <row r="11">
          <cell r="E11">
            <v>130214.917576844</v>
          </cell>
        </row>
        <row r="12">
          <cell r="E12">
            <v>80496.003206231704</v>
          </cell>
        </row>
        <row r="13">
          <cell r="E13">
            <v>7031.6489901271298</v>
          </cell>
        </row>
        <row r="14">
          <cell r="E14">
            <v>113711.773185549</v>
          </cell>
        </row>
        <row r="15">
          <cell r="F15">
            <v>48.002257595137898</v>
          </cell>
        </row>
        <row r="16">
          <cell r="E16">
            <v>4943.9602382865696</v>
          </cell>
        </row>
        <row r="17">
          <cell r="E17">
            <v>131.742583461321</v>
          </cell>
        </row>
        <row r="18">
          <cell r="E18">
            <v>44954.053201589399</v>
          </cell>
        </row>
        <row r="19">
          <cell r="E19">
            <v>48599.852695503898</v>
          </cell>
        </row>
        <row r="20">
          <cell r="E20">
            <v>2520.0338869684201</v>
          </cell>
        </row>
        <row r="21">
          <cell r="E21">
            <v>2447.42562856522</v>
          </cell>
        </row>
        <row r="22">
          <cell r="E22">
            <v>6803.55620988999</v>
          </cell>
        </row>
        <row r="23">
          <cell r="E23">
            <v>480.51945092967298</v>
          </cell>
        </row>
        <row r="27">
          <cell r="E27">
            <v>3460613.3504902627</v>
          </cell>
          <cell r="K27">
            <v>236463.7102389996</v>
          </cell>
          <cell r="L27">
            <v>2258.3975613477051</v>
          </cell>
          <cell r="M27">
            <v>1346</v>
          </cell>
        </row>
        <row r="28">
          <cell r="E28">
            <v>1152921</v>
          </cell>
          <cell r="K28">
            <v>78779.091929999908</v>
          </cell>
          <cell r="M28">
            <v>1259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E2">
            <v>178</v>
          </cell>
        </row>
        <row r="3">
          <cell r="E3">
            <v>181.73333333333301</v>
          </cell>
        </row>
        <row r="5">
          <cell r="D5">
            <v>295386</v>
          </cell>
          <cell r="I5">
            <v>25852.958460000013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F2">
            <v>13341.9529241649</v>
          </cell>
        </row>
        <row r="3">
          <cell r="F3">
            <v>4255.2648184670697</v>
          </cell>
        </row>
        <row r="4">
          <cell r="F4">
            <v>1917.0889268557601</v>
          </cell>
        </row>
        <row r="5">
          <cell r="F5">
            <v>478.66694057746798</v>
          </cell>
        </row>
        <row r="6">
          <cell r="F6">
            <v>396.000225274076</v>
          </cell>
        </row>
        <row r="7">
          <cell r="F7">
            <v>419.99912545184998</v>
          </cell>
        </row>
        <row r="8">
          <cell r="F8">
            <v>789.011016126664</v>
          </cell>
        </row>
        <row r="10">
          <cell r="E10">
            <v>1932402.666666667</v>
          </cell>
          <cell r="K10">
            <v>236164.16070157959</v>
          </cell>
          <cell r="L10">
            <v>407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/>
      <sheetData sheetId="1"/>
      <sheetData sheetId="2"/>
      <sheetData sheetId="3"/>
      <sheetData sheetId="4"/>
      <sheetData sheetId="5" refreshError="1">
        <row r="21">
          <cell r="B21" t="str">
            <v>26</v>
          </cell>
          <cell r="G21">
            <v>83871482</v>
          </cell>
          <cell r="J21">
            <v>0</v>
          </cell>
        </row>
        <row r="22">
          <cell r="B22" t="str">
            <v>27</v>
          </cell>
          <cell r="G22">
            <v>1931963666</v>
          </cell>
          <cell r="J22">
            <v>1056426642</v>
          </cell>
        </row>
        <row r="23">
          <cell r="B23" t="str">
            <v>36</v>
          </cell>
          <cell r="G23">
            <v>70121</v>
          </cell>
          <cell r="J23">
            <v>13699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D2">
            <v>868904</v>
          </cell>
          <cell r="I2">
            <v>75033.97</v>
          </cell>
        </row>
        <row r="3">
          <cell r="D3">
            <v>35351</v>
          </cell>
          <cell r="I3">
            <v>2870.66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D2">
            <v>804923</v>
          </cell>
          <cell r="I2">
            <v>69811.120000000097</v>
          </cell>
        </row>
        <row r="3">
          <cell r="D3">
            <v>14884</v>
          </cell>
          <cell r="I3">
            <v>1284.97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L2">
            <v>1122.81</v>
          </cell>
        </row>
        <row r="3">
          <cell r="L3">
            <v>217.93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D2">
            <v>2742</v>
          </cell>
          <cell r="I2">
            <v>243.39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D2">
            <v>19</v>
          </cell>
          <cell r="I2">
            <v>2.2000000000000002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8">
          <cell r="C8">
            <v>1781</v>
          </cell>
          <cell r="K8">
            <v>246.97</v>
          </cell>
        </row>
        <row r="9">
          <cell r="C9">
            <v>1169</v>
          </cell>
          <cell r="K9">
            <v>176.5</v>
          </cell>
        </row>
        <row r="10">
          <cell r="C10">
            <v>-342</v>
          </cell>
          <cell r="K10">
            <v>-76.73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8">
          <cell r="C8">
            <v>-13511</v>
          </cell>
          <cell r="K8">
            <v>-1024.910000000001</v>
          </cell>
        </row>
        <row r="9">
          <cell r="C9">
            <v>-9301</v>
          </cell>
          <cell r="K9">
            <v>-643.55000000000098</v>
          </cell>
        </row>
        <row r="10">
          <cell r="C10">
            <v>-2097</v>
          </cell>
          <cell r="K10">
            <v>-291.05000000000098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6">
          <cell r="G16">
            <v>732307</v>
          </cell>
          <cell r="Q16">
            <v>62264.420000000006</v>
          </cell>
        </row>
        <row r="17">
          <cell r="G17">
            <v>0</v>
          </cell>
          <cell r="N17">
            <v>8.7100000000000009</v>
          </cell>
        </row>
        <row r="18">
          <cell r="G18">
            <v>-20669</v>
          </cell>
          <cell r="Q18">
            <v>-1032.7</v>
          </cell>
        </row>
        <row r="19">
          <cell r="G19">
            <v>43491</v>
          </cell>
          <cell r="Q19">
            <v>3644.8399999999997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4">
          <cell r="G14">
            <v>1144230</v>
          </cell>
          <cell r="Q14">
            <v>98848.030000000013</v>
          </cell>
        </row>
        <row r="16">
          <cell r="G16">
            <v>55285</v>
          </cell>
          <cell r="Q16">
            <v>4968.8</v>
          </cell>
        </row>
        <row r="17">
          <cell r="G17">
            <v>10365</v>
          </cell>
          <cell r="Q17">
            <v>908.16000000000008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E2">
            <v>882</v>
          </cell>
          <cell r="F2">
            <v>0</v>
          </cell>
          <cell r="M2">
            <v>116.16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hart1"/>
      <sheetName val="Tab A Yr 2002 Change revised"/>
      <sheetName val="Tab A Yr 2002 Change"/>
      <sheetName val="Tab A Yr 2002 All Filings cr=-"/>
      <sheetName val="Stip Table A w defer separate"/>
      <sheetName val="Blocking Yr 2002"/>
      <sheetName val="BPA qualifying kWh summary"/>
      <sheetName val="BPA qualifying kWh detail sent"/>
      <sheetName val="Sch16 Yr 2002 BPA"/>
      <sheetName val="Sch24 Yr 2002 (2)"/>
      <sheetName val="Sch36 Yr 2002 (2)"/>
      <sheetName val="Sch40 Yr 2002 (2)"/>
      <sheetName val="Sch48 Yr 2002 (2)"/>
      <sheetName val="BPA qualifying kWh detail"/>
      <sheetName val="merger credit 2001"/>
      <sheetName val="Tab A Yr 2001 All Filings cr=-"/>
      <sheetName val="RevReq"/>
      <sheetName val="Inputs"/>
      <sheetName val="Actual"/>
      <sheetName val="Blocking Yr 2003"/>
      <sheetName val="Table A yr 2001"/>
      <sheetName val="Table A yr 2002"/>
      <sheetName val="Table A yr 2003"/>
      <sheetName val="Table A summary"/>
      <sheetName val="Centralia Mining"/>
      <sheetName val="Spec Conts"/>
      <sheetName val="BPA Present"/>
      <sheetName val="Unbilled"/>
      <sheetName val="Weather"/>
      <sheetName val="Weather revised"/>
      <sheetName val="Weather Present"/>
      <sheetName val="Table 1"/>
      <sheetName val="Table 2"/>
      <sheetName val="Table 3"/>
      <sheetName val="New 24v36 yr 2001"/>
      <sheetName val="New 24v36 yr 2002"/>
      <sheetName val="New 24v36 yr 2003"/>
      <sheetName val="48 vs 36"/>
      <sheetName val="48 vs 36 Proposed"/>
      <sheetName val="Lighting SBC"/>
      <sheetName val="SBC"/>
      <sheetName val="SBC Stipulation P"/>
      <sheetName val="Stipulation Table A calculated"/>
      <sheetName val="Stipulation Blocking sch 16,18"/>
      <sheetName val="Sch16 Yr 2002"/>
      <sheetName val="Sch16 Yr 2003"/>
      <sheetName val="Stipulation Blocking sch 48T"/>
      <sheetName val="Stipulated Propose tariff rates"/>
      <sheetName val="Blocking Yr 2001"/>
      <sheetName val="Deferral"/>
      <sheetName val="Deferral (2)"/>
      <sheetName val="Merger Credit"/>
      <sheetName val="Centralia Credit"/>
      <sheetName val="Centralia Credit lighting avg"/>
      <sheetName val="SBC Stipulation revised"/>
      <sheetName val="Table A Year 2001 All Filings"/>
      <sheetName val="Tab A Yr 01 All Filings cr rev"/>
      <sheetName val="Table A Year 2001 base rates"/>
      <sheetName val="Sch16 Yr 2001"/>
      <sheetName val="Sch24 Yr 2001"/>
      <sheetName val="Sch36 Yr 2001"/>
      <sheetName val="Sch40 Yr 2001"/>
      <sheetName val="Sch48 Yr 2001"/>
      <sheetName val="Order to apply tariffs"/>
      <sheetName val="cover"/>
      <sheetName val="rate filings"/>
      <sheetName val="Sch38 to 24 Yr 2001 "/>
      <sheetName val="Sch42 to 24 Yr 2001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5">
          <cell r="E5">
            <v>884</v>
          </cell>
          <cell r="F5">
            <v>12784.987080292</v>
          </cell>
          <cell r="M5">
            <v>1604.92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G2">
            <v>0</v>
          </cell>
          <cell r="O2">
            <v>-23.01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G2">
            <v>-4866</v>
          </cell>
          <cell r="O2">
            <v>-560.84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1">
          <cell r="H11">
            <v>1026640</v>
          </cell>
          <cell r="Q11">
            <v>81275.650000000009</v>
          </cell>
        </row>
      </sheetData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4">
          <cell r="H14">
            <v>1312000</v>
          </cell>
          <cell r="Q14">
            <v>100704.3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H2">
            <v>728400</v>
          </cell>
          <cell r="R2">
            <v>42290.400000000001</v>
          </cell>
        </row>
        <row r="3">
          <cell r="H3">
            <v>1597900</v>
          </cell>
          <cell r="R3">
            <v>61802.32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5">
          <cell r="D5">
            <v>708</v>
          </cell>
          <cell r="I5">
            <v>78.83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1">
          <cell r="H11">
            <v>1026640</v>
          </cell>
        </row>
        <row r="12">
          <cell r="H12">
            <v>254099</v>
          </cell>
          <cell r="Q12">
            <v>23453.53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4">
          <cell r="H14">
            <v>1312000</v>
          </cell>
        </row>
        <row r="15">
          <cell r="H15">
            <v>866260</v>
          </cell>
          <cell r="Q15">
            <v>70428.28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>
        <row r="22">
          <cell r="H22">
            <v>804202054</v>
          </cell>
        </row>
        <row r="23">
          <cell r="H23">
            <v>105607759</v>
          </cell>
          <cell r="R23">
            <v>7893566.9085266739</v>
          </cell>
        </row>
        <row r="24">
          <cell r="H24">
            <v>1141600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/>
      <sheetData sheetId="1"/>
      <sheetData sheetId="2"/>
      <sheetData sheetId="3"/>
      <sheetData sheetId="4"/>
      <sheetData sheetId="5" refreshError="1">
        <row r="21">
          <cell r="B21" t="str">
            <v>26</v>
          </cell>
          <cell r="G21">
            <v>83871482</v>
          </cell>
          <cell r="J21">
            <v>0</v>
          </cell>
        </row>
        <row r="22">
          <cell r="B22" t="str">
            <v>27</v>
          </cell>
          <cell r="G22">
            <v>1931963666</v>
          </cell>
          <cell r="J22">
            <v>1056426642</v>
          </cell>
        </row>
        <row r="23">
          <cell r="B23" t="str">
            <v>36</v>
          </cell>
          <cell r="G23">
            <v>70121</v>
          </cell>
          <cell r="J23">
            <v>13699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H2">
            <v>135000</v>
          </cell>
          <cell r="Q2">
            <v>23038.65</v>
          </cell>
        </row>
      </sheetData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H2">
            <v>157000</v>
          </cell>
          <cell r="Q2">
            <v>27855.279999999999</v>
          </cell>
        </row>
      </sheetData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H2">
            <v>418500</v>
          </cell>
          <cell r="R2">
            <v>28866.46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G2">
            <v>455274000</v>
          </cell>
          <cell r="L2">
            <v>25031150.399999999</v>
          </cell>
        </row>
      </sheetData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8">
          <cell r="L8">
            <v>28679</v>
          </cell>
          <cell r="Q8">
            <v>6365.58</v>
          </cell>
        </row>
        <row r="9">
          <cell r="L9">
            <v>73</v>
          </cell>
          <cell r="Q9">
            <v>4.78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8">
          <cell r="L8">
            <v>65447</v>
          </cell>
          <cell r="Q8">
            <v>4270.32</v>
          </cell>
        </row>
        <row r="9">
          <cell r="L9">
            <v>56</v>
          </cell>
          <cell r="Q9">
            <v>3.6</v>
          </cell>
        </row>
      </sheetData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C2">
            <v>225558.32980674299</v>
          </cell>
          <cell r="K2">
            <v>15412.4</v>
          </cell>
        </row>
        <row r="3">
          <cell r="C3">
            <v>391</v>
          </cell>
          <cell r="K3">
            <v>26.72</v>
          </cell>
        </row>
      </sheetData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C2">
            <v>372</v>
          </cell>
          <cell r="H2">
            <v>26.48</v>
          </cell>
        </row>
      </sheetData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C2">
            <v>33099</v>
          </cell>
          <cell r="K2">
            <v>6817.63</v>
          </cell>
        </row>
      </sheetData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C2">
            <v>27302</v>
          </cell>
          <cell r="K2">
            <v>5844.1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UT Variance"/>
      <sheetName val="Sch 47 Unscheduled KWH"/>
      <sheetName val="CA CARE"/>
      <sheetName val="Property Sales"/>
      <sheetName val="Grid West Reg Asset"/>
      <sheetName val="2010 Protocol"/>
      <sheetName val="OSIP"/>
      <sheetName val="WA SBC"/>
      <sheetName val="CA ESA"/>
      <sheetName val="CA 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3"/>
      <sheetName val="Prorate 02-13"/>
      <sheetName val="Prorate 03-13"/>
      <sheetName val="Prorate 04-13"/>
      <sheetName val="Prorate 05-13"/>
      <sheetName val="Prorate 06-13"/>
      <sheetName val="Prorate 07-13 WA"/>
      <sheetName val="Prorate 08-13 WA"/>
      <sheetName val="WA Prorate 09-13"/>
      <sheetName val="Prorate 06-13 CA"/>
      <sheetName val="Prorate 07-13 CA"/>
      <sheetName val="Prorate 8-13 CA"/>
      <sheetName val="Prorate 9-13 CA"/>
      <sheetName val="Prorate 10-13"/>
    </sheetNames>
    <sheetDataSet>
      <sheetData sheetId="0"/>
      <sheetData sheetId="1"/>
      <sheetData sheetId="2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  <row r="338">
          <cell r="A338">
            <v>21665</v>
          </cell>
          <cell r="B338" t="str">
            <v>01STDAY048 - 01LGNSV048</v>
          </cell>
          <cell r="C338">
            <v>48</v>
          </cell>
        </row>
        <row r="339">
          <cell r="A339">
            <v>11286</v>
          </cell>
          <cell r="B339" t="str">
            <v>SOLAR FEED-IN REVENUE</v>
          </cell>
          <cell r="C339" t="str">
            <v>AGA</v>
          </cell>
        </row>
        <row r="340">
          <cell r="A340">
            <v>20848</v>
          </cell>
          <cell r="B340" t="str">
            <v>08CFR00001-MTH FACILITY S</v>
          </cell>
          <cell r="C340" t="str">
            <v>AGA</v>
          </cell>
        </row>
        <row r="341">
          <cell r="A341">
            <v>20864</v>
          </cell>
          <cell r="B341" t="str">
            <v>08CHCK000R-UT RES CHECK M</v>
          </cell>
          <cell r="C341" t="str">
            <v>AGA</v>
          </cell>
        </row>
        <row r="342">
          <cell r="A342">
            <v>20948</v>
          </cell>
          <cell r="B342" t="str">
            <v>08OALT007R-SECURITY AR LG</v>
          </cell>
          <cell r="C342">
            <v>7</v>
          </cell>
        </row>
        <row r="343">
          <cell r="A343">
            <v>20957</v>
          </cell>
          <cell r="B343" t="str">
            <v>08RESD0001-RES SRVC</v>
          </cell>
          <cell r="C343">
            <v>1</v>
          </cell>
        </row>
        <row r="344">
          <cell r="A344">
            <v>20958</v>
          </cell>
          <cell r="B344" t="str">
            <v>08RESD0002-RES SRVC-OPTIO</v>
          </cell>
          <cell r="C344">
            <v>2</v>
          </cell>
        </row>
        <row r="345">
          <cell r="A345">
            <v>20970</v>
          </cell>
          <cell r="B345" t="str">
            <v>08UPPL000R-BASE SCH FALL</v>
          </cell>
          <cell r="C345" t="str">
            <v>AGA</v>
          </cell>
        </row>
        <row r="346">
          <cell r="A346">
            <v>21218</v>
          </cell>
          <cell r="B346" t="str">
            <v>08PTLD000R-POST TOP LIGHT</v>
          </cell>
          <cell r="C346" t="str">
            <v>AGA</v>
          </cell>
        </row>
        <row r="347">
          <cell r="A347">
            <v>21354</v>
          </cell>
          <cell r="B347" t="str">
            <v>08LNX00108-ANN COST MTHLY</v>
          </cell>
          <cell r="C347" t="str">
            <v>AGA</v>
          </cell>
        </row>
        <row r="348">
          <cell r="A348">
            <v>21582</v>
          </cell>
          <cell r="B348" t="str">
            <v>08RESD0003-LIFELINE PRGRM</v>
          </cell>
          <cell r="C348">
            <v>3</v>
          </cell>
        </row>
        <row r="349">
          <cell r="A349">
            <v>21584</v>
          </cell>
          <cell r="B349" t="str">
            <v>08LNX00005-MTHLY MIN GUAR</v>
          </cell>
          <cell r="C349" t="str">
            <v>AGA</v>
          </cell>
        </row>
        <row r="350">
          <cell r="A350">
            <v>21588</v>
          </cell>
          <cell r="B350" t="str">
            <v>08LNX00013-80% MNTHLY MIN</v>
          </cell>
          <cell r="C350" t="str">
            <v>AGA</v>
          </cell>
        </row>
        <row r="351">
          <cell r="A351">
            <v>21609</v>
          </cell>
          <cell r="B351" t="str">
            <v>08LNX00001-MTHLY 80% GUAR</v>
          </cell>
          <cell r="C351" t="str">
            <v>AGA</v>
          </cell>
        </row>
        <row r="352">
          <cell r="A352">
            <v>21719</v>
          </cell>
          <cell r="B352" t="str">
            <v>08NETMT135 - Net Metering</v>
          </cell>
          <cell r="C352">
            <v>1</v>
          </cell>
        </row>
        <row r="353">
          <cell r="A353">
            <v>21734</v>
          </cell>
          <cell r="B353" t="str">
            <v>08COOLKPRR - Utah Cool Keeper Program</v>
          </cell>
          <cell r="C353" t="str">
            <v>AGA</v>
          </cell>
        </row>
        <row r="354">
          <cell r="A354">
            <v>21999</v>
          </cell>
          <cell r="B354" t="str">
            <v>08MHTP0006-MOBILE HOME &amp; TRAILER</v>
          </cell>
          <cell r="C354">
            <v>6</v>
          </cell>
        </row>
        <row r="355">
          <cell r="A355">
            <v>22000</v>
          </cell>
          <cell r="B355" t="str">
            <v>08MHTP0023-MOBILE HOME &amp; TRAILER</v>
          </cell>
          <cell r="C355">
            <v>23</v>
          </cell>
        </row>
        <row r="356">
          <cell r="A356">
            <v>22001</v>
          </cell>
          <cell r="B356" t="str">
            <v>08RGNSV006-GEN SRVC-RES</v>
          </cell>
          <cell r="C356">
            <v>6</v>
          </cell>
        </row>
        <row r="357">
          <cell r="A357">
            <v>22002</v>
          </cell>
          <cell r="B357" t="str">
            <v>08RGNSV023-GEN SRVC-RES</v>
          </cell>
          <cell r="C357">
            <v>23</v>
          </cell>
        </row>
        <row r="358">
          <cell r="A358">
            <v>22004</v>
          </cell>
          <cell r="B358" t="str">
            <v>08RNM23135 - UT NET MTR, GEN SVC-RES</v>
          </cell>
          <cell r="C358">
            <v>23</v>
          </cell>
        </row>
        <row r="359">
          <cell r="A359">
            <v>22007</v>
          </cell>
          <cell r="B359" t="str">
            <v>08RGNSV06A-UT SMALL GENERAL SVC-RES-TOU</v>
          </cell>
          <cell r="C359" t="str">
            <v>6A</v>
          </cell>
        </row>
        <row r="360">
          <cell r="A360">
            <v>88</v>
          </cell>
          <cell r="B360" t="str">
            <v>UNBILLED REVENUE</v>
          </cell>
          <cell r="C360" t="str">
            <v>AGA</v>
          </cell>
        </row>
        <row r="361">
          <cell r="A361">
            <v>20868</v>
          </cell>
          <cell r="B361" t="str">
            <v>08EFOP0021-ELEC FURNACE O</v>
          </cell>
          <cell r="C361">
            <v>21</v>
          </cell>
        </row>
        <row r="362">
          <cell r="A362">
            <v>20870</v>
          </cell>
          <cell r="B362" t="str">
            <v>08GNSV0006-GEN SRVC-DISTR</v>
          </cell>
          <cell r="C362">
            <v>6</v>
          </cell>
        </row>
        <row r="363">
          <cell r="A363">
            <v>20871</v>
          </cell>
          <cell r="B363" t="str">
            <v>08GNSV0009-GEN SRVC-HI VO</v>
          </cell>
          <cell r="C363">
            <v>9</v>
          </cell>
        </row>
        <row r="364">
          <cell r="A364">
            <v>20872</v>
          </cell>
          <cell r="B364" t="str">
            <v>08GNSV0023-GEN SRVC-DISTR</v>
          </cell>
          <cell r="C364">
            <v>23</v>
          </cell>
        </row>
        <row r="365">
          <cell r="A365">
            <v>20874</v>
          </cell>
          <cell r="B365" t="str">
            <v>08GNSV006A-GEN SRVC-ENERG</v>
          </cell>
          <cell r="C365" t="str">
            <v>6A</v>
          </cell>
        </row>
        <row r="366">
          <cell r="A366">
            <v>20875</v>
          </cell>
          <cell r="B366" t="str">
            <v>08GNSV006B-GEN SRVC-DEM&amp;</v>
          </cell>
          <cell r="C366" t="str">
            <v>6B</v>
          </cell>
        </row>
        <row r="367">
          <cell r="A367">
            <v>20876</v>
          </cell>
          <cell r="B367" t="str">
            <v>08GNSV009A-GEN SRVC HI VO</v>
          </cell>
          <cell r="C367" t="str">
            <v>9A</v>
          </cell>
        </row>
        <row r="368">
          <cell r="A368">
            <v>20881</v>
          </cell>
          <cell r="B368" t="str">
            <v>08GNSV023F-GEN SRVC FIXED</v>
          </cell>
          <cell r="C368">
            <v>23</v>
          </cell>
        </row>
        <row r="369">
          <cell r="A369">
            <v>20947</v>
          </cell>
          <cell r="B369" t="str">
            <v>08OALT007N-SECURITY AR LG</v>
          </cell>
          <cell r="C369">
            <v>7</v>
          </cell>
        </row>
        <row r="370">
          <cell r="A370">
            <v>20961</v>
          </cell>
          <cell r="B370" t="str">
            <v>08TOSS0015-TRAF &amp;amp; OTHER S</v>
          </cell>
          <cell r="C370" t="str">
            <v>15TOS</v>
          </cell>
        </row>
        <row r="371">
          <cell r="A371">
            <v>20962</v>
          </cell>
          <cell r="B371" t="str">
            <v>08MONL0015-MTR OUTDONIGHT</v>
          </cell>
          <cell r="C371" t="str">
            <v>15MON</v>
          </cell>
        </row>
        <row r="372">
          <cell r="A372">
            <v>21224</v>
          </cell>
          <cell r="B372" t="str">
            <v>08CFR00051-MTH FAC SRVCHG</v>
          </cell>
          <cell r="C372">
            <v>51</v>
          </cell>
        </row>
        <row r="373">
          <cell r="A373">
            <v>21246</v>
          </cell>
          <cell r="B373" t="str">
            <v>08GNSV009M-MANL HIGH VOLT</v>
          </cell>
          <cell r="C373">
            <v>9</v>
          </cell>
        </row>
        <row r="374">
          <cell r="A374">
            <v>21253</v>
          </cell>
          <cell r="B374" t="str">
            <v>08GNSV06AM-MNL ENERGY TOD</v>
          </cell>
          <cell r="C374" t="str">
            <v>6A</v>
          </cell>
        </row>
        <row r="375">
          <cell r="A375">
            <v>21255</v>
          </cell>
          <cell r="B375" t="str">
            <v>08SPCL0001</v>
          </cell>
          <cell r="C375" t="str">
            <v>SPCL1</v>
          </cell>
        </row>
        <row r="376">
          <cell r="A376">
            <v>21256</v>
          </cell>
          <cell r="B376" t="str">
            <v>08SPCL0002</v>
          </cell>
          <cell r="C376" t="str">
            <v>SPCL2</v>
          </cell>
        </row>
        <row r="377">
          <cell r="A377">
            <v>21257</v>
          </cell>
          <cell r="B377" t="str">
            <v>08SPCL0003</v>
          </cell>
          <cell r="C377" t="str">
            <v>SPCL3</v>
          </cell>
        </row>
        <row r="378">
          <cell r="A378">
            <v>21264</v>
          </cell>
          <cell r="B378" t="str">
            <v>08GNSV09AM-MAN TOD HIVOLT</v>
          </cell>
          <cell r="C378" t="str">
            <v>9A</v>
          </cell>
        </row>
        <row r="379">
          <cell r="A379">
            <v>21275</v>
          </cell>
          <cell r="B379" t="str">
            <v>08PRSV031M-BKUP MNT&amp;SUPPL</v>
          </cell>
          <cell r="C379">
            <v>31</v>
          </cell>
        </row>
        <row r="380">
          <cell r="A380">
            <v>21320</v>
          </cell>
          <cell r="B380" t="str">
            <v>08EFOP021M-ELEC FURNACE O</v>
          </cell>
          <cell r="C380">
            <v>21</v>
          </cell>
        </row>
        <row r="381">
          <cell r="A381">
            <v>21562</v>
          </cell>
          <cell r="B381" t="str">
            <v>08GNSV06MN-GNSV DIST VOLT</v>
          </cell>
          <cell r="C381">
            <v>6</v>
          </cell>
        </row>
        <row r="382">
          <cell r="A382">
            <v>21571</v>
          </cell>
          <cell r="B382" t="str">
            <v>08LNX00014-80% MIN MNTHLY</v>
          </cell>
          <cell r="C382" t="str">
            <v>AGA</v>
          </cell>
        </row>
        <row r="383">
          <cell r="A383">
            <v>21574</v>
          </cell>
          <cell r="B383" t="str">
            <v>08LNX00002-MTHLY 80% GUAR</v>
          </cell>
          <cell r="C383" t="str">
            <v>AGA</v>
          </cell>
        </row>
        <row r="384">
          <cell r="A384">
            <v>21731</v>
          </cell>
          <cell r="B384" t="str">
            <v>08LNX00300 - LINE EXT 80% PLUS MONTHLY</v>
          </cell>
          <cell r="C384" t="str">
            <v>AGA</v>
          </cell>
        </row>
        <row r="385">
          <cell r="A385">
            <v>21803</v>
          </cell>
          <cell r="B385" t="str">
            <v>08NMT23135 - UT NET MTR, GEN, &lt; 25 KW</v>
          </cell>
          <cell r="C385">
            <v>23</v>
          </cell>
        </row>
        <row r="386">
          <cell r="A386">
            <v>21820</v>
          </cell>
          <cell r="B386" t="str">
            <v>08GNSV0008 - UT GEN SVC TOU &gt; 1000KW</v>
          </cell>
          <cell r="C386">
            <v>8</v>
          </cell>
        </row>
        <row r="387">
          <cell r="A387">
            <v>21821</v>
          </cell>
          <cell r="B387" t="str">
            <v>08GNSV008M - UT GEN SVC TOU &gt; 1000KW</v>
          </cell>
          <cell r="C387">
            <v>8</v>
          </cell>
        </row>
        <row r="388">
          <cell r="A388">
            <v>21822</v>
          </cell>
          <cell r="B388" t="str">
            <v>08LNX00311 - LINE EXT 80% GUARANTEE</v>
          </cell>
          <cell r="C388" t="str">
            <v>AGA</v>
          </cell>
        </row>
        <row r="389">
          <cell r="A389">
            <v>21944</v>
          </cell>
          <cell r="B389" t="str">
            <v>08NMT06135-UT NET METERING GEN SVC</v>
          </cell>
          <cell r="C389">
            <v>6</v>
          </cell>
        </row>
        <row r="390">
          <cell r="A390">
            <v>21966</v>
          </cell>
          <cell r="B390" t="str">
            <v>08NMT6A135-NET METERING GEN SVC TOU</v>
          </cell>
          <cell r="C390" t="str">
            <v>6A</v>
          </cell>
        </row>
        <row r="391">
          <cell r="A391">
            <v>11279</v>
          </cell>
          <cell r="B391" t="str">
            <v>367880-REVENUE ADJ PROPERTY INSUR-IRG</v>
          </cell>
          <cell r="C391" t="str">
            <v>AGA</v>
          </cell>
        </row>
        <row r="392">
          <cell r="A392">
            <v>20845</v>
          </cell>
          <cell r="B392" t="str">
            <v>08APSV0010-IRR &amp; SOIL DRA</v>
          </cell>
          <cell r="C392">
            <v>10</v>
          </cell>
        </row>
        <row r="393">
          <cell r="A393">
            <v>21604</v>
          </cell>
          <cell r="B393" t="str">
            <v>08LNX00017-ADV/REF&amp;80%ANN</v>
          </cell>
          <cell r="C393" t="str">
            <v>AGA</v>
          </cell>
        </row>
        <row r="394">
          <cell r="A394">
            <v>21610</v>
          </cell>
          <cell r="B394" t="str">
            <v>08LNX00004-ANNUAL 80%GUAR</v>
          </cell>
          <cell r="C394" t="str">
            <v>AGA</v>
          </cell>
        </row>
        <row r="395">
          <cell r="A395">
            <v>21611</v>
          </cell>
          <cell r="B395" t="str">
            <v>08LNX00014-80% MIN MNTHLY</v>
          </cell>
          <cell r="C395" t="str">
            <v>AGA</v>
          </cell>
        </row>
        <row r="396">
          <cell r="A396">
            <v>21696</v>
          </cell>
          <cell r="B396" t="str">
            <v>08APSV10NS- Irg Soil Drain Pump Non Seas</v>
          </cell>
          <cell r="C396">
            <v>10</v>
          </cell>
        </row>
        <row r="397">
          <cell r="A397">
            <v>21833</v>
          </cell>
          <cell r="B397" t="str">
            <v>08LNX00310 - IRR, 80% ANNUAL MIN + 80% ?</v>
          </cell>
          <cell r="C397" t="str">
            <v>AGA</v>
          </cell>
        </row>
        <row r="398">
          <cell r="A398">
            <v>21879</v>
          </cell>
          <cell r="B398" t="str">
            <v>08LNX00312 UT IRG LINE EXT</v>
          </cell>
          <cell r="C398" t="str">
            <v>AGA</v>
          </cell>
        </row>
        <row r="399">
          <cell r="A399">
            <v>21885</v>
          </cell>
          <cell r="B399" t="str">
            <v>08NMT10135-UT IRR_SOIL DRNG NET MTR SVC</v>
          </cell>
          <cell r="C399">
            <v>10</v>
          </cell>
        </row>
        <row r="400">
          <cell r="A400">
            <v>89</v>
          </cell>
          <cell r="B400" t="str">
            <v>UNBILLED REV - IRRIGATION</v>
          </cell>
          <cell r="C400" t="str">
            <v>AGA</v>
          </cell>
        </row>
        <row r="401">
          <cell r="A401">
            <v>20860</v>
          </cell>
          <cell r="B401" t="str">
            <v>08CFR00012-STR LGTS (CONV</v>
          </cell>
          <cell r="C401">
            <v>12</v>
          </cell>
        </row>
        <row r="402">
          <cell r="A402">
            <v>20960</v>
          </cell>
          <cell r="B402" t="str">
            <v>08SLCO0011-STR LGT CO-OWN</v>
          </cell>
          <cell r="C402">
            <v>11</v>
          </cell>
        </row>
        <row r="403">
          <cell r="A403">
            <v>20961</v>
          </cell>
          <cell r="B403" t="str">
            <v>08TOSS0015-TRAF &amp;amp; OTHER S</v>
          </cell>
          <cell r="C403">
            <v>15</v>
          </cell>
        </row>
        <row r="404">
          <cell r="A404">
            <v>20962</v>
          </cell>
          <cell r="B404" t="str">
            <v>08MONL0015-MTR OUTDONIGHT</v>
          </cell>
          <cell r="C404">
            <v>15</v>
          </cell>
        </row>
        <row r="405">
          <cell r="A405">
            <v>20963</v>
          </cell>
          <cell r="B405" t="str">
            <v>08SLCU012P-STR LGT CUST-O</v>
          </cell>
          <cell r="C405">
            <v>12</v>
          </cell>
        </row>
        <row r="406">
          <cell r="A406">
            <v>20964</v>
          </cell>
          <cell r="B406" t="str">
            <v>08SLCU012F-STR LGT CUST-O</v>
          </cell>
          <cell r="C406">
            <v>12</v>
          </cell>
        </row>
        <row r="407">
          <cell r="A407">
            <v>21220</v>
          </cell>
          <cell r="B407" t="str">
            <v>08TOSS015F-TRAFFIC SIG NM</v>
          </cell>
          <cell r="C407">
            <v>15</v>
          </cell>
        </row>
        <row r="408">
          <cell r="A408">
            <v>21224</v>
          </cell>
          <cell r="B408" t="str">
            <v>08CFR00051-MTH FAC SRVCHG</v>
          </cell>
          <cell r="C408">
            <v>51</v>
          </cell>
        </row>
        <row r="409">
          <cell r="A409">
            <v>21272</v>
          </cell>
          <cell r="B409" t="str">
            <v>08CFR00062-STREET LIGHTS</v>
          </cell>
          <cell r="C409" t="str">
            <v>AGA</v>
          </cell>
        </row>
        <row r="410">
          <cell r="A410">
            <v>21542</v>
          </cell>
          <cell r="B410" t="str">
            <v>08SLCU012E-DECOR CUST-OWN</v>
          </cell>
          <cell r="C410">
            <v>12</v>
          </cell>
        </row>
        <row r="411">
          <cell r="A411">
            <v>11263</v>
          </cell>
          <cell r="B411" t="str">
            <v>301770-DSM REVENUE-OPSA</v>
          </cell>
          <cell r="C411" t="str">
            <v>AGA</v>
          </cell>
        </row>
        <row r="412">
          <cell r="A412">
            <v>21246</v>
          </cell>
          <cell r="B412" t="str">
            <v>08GNSV009M-MANL HIGH VOLT</v>
          </cell>
          <cell r="C412">
            <v>9</v>
          </cell>
        </row>
        <row r="413">
          <cell r="A413">
            <v>21275</v>
          </cell>
          <cell r="B413" t="str">
            <v>08PRSV031M-BKUP MNT&amp;SUPPL</v>
          </cell>
          <cell r="C413">
            <v>31</v>
          </cell>
        </row>
        <row r="414">
          <cell r="A414">
            <v>21217</v>
          </cell>
          <cell r="B414" t="str">
            <v>08PTLD000N-POST TOP LIGHT</v>
          </cell>
          <cell r="C414" t="str">
            <v>AGA</v>
          </cell>
        </row>
        <row r="415">
          <cell r="A415">
            <v>21234</v>
          </cell>
          <cell r="B415" t="str">
            <v>08GNSV006M-MNL DIST VOLTG</v>
          </cell>
          <cell r="C415">
            <v>6</v>
          </cell>
        </row>
        <row r="416">
          <cell r="A416">
            <v>21249</v>
          </cell>
          <cell r="B416" t="str">
            <v>08POLE0075-POLES W/LIGHT</v>
          </cell>
          <cell r="C416" t="str">
            <v>AGA</v>
          </cell>
        </row>
        <row r="417">
          <cell r="A417">
            <v>21322</v>
          </cell>
          <cell r="B417" t="str">
            <v>08GNSV023M-GNSV DIST VOLT</v>
          </cell>
          <cell r="C417">
            <v>23</v>
          </cell>
        </row>
        <row r="418">
          <cell r="A418">
            <v>21391</v>
          </cell>
          <cell r="B418" t="str">
            <v>08LNX00158-ANNUALCOST MTH</v>
          </cell>
          <cell r="C418" t="str">
            <v>AGA</v>
          </cell>
        </row>
        <row r="419">
          <cell r="A419">
            <v>21583</v>
          </cell>
          <cell r="B419" t="str">
            <v>08LNX00017-ADV/REF&amp;80%ANN</v>
          </cell>
          <cell r="C419" t="str">
            <v>AGA</v>
          </cell>
        </row>
        <row r="420">
          <cell r="A420">
            <v>21587</v>
          </cell>
          <cell r="B420" t="str">
            <v>08LNX00006-FIXD MTHLY MIN</v>
          </cell>
          <cell r="C420" t="str">
            <v>AGA</v>
          </cell>
        </row>
        <row r="421">
          <cell r="A421">
            <v>21772</v>
          </cell>
          <cell r="B421" t="str">
            <v>08COOLKPRN - A/C DIRECT LOAD CONTROL</v>
          </cell>
          <cell r="C421" t="str">
            <v>AGA</v>
          </cell>
        </row>
        <row r="422">
          <cell r="A422">
            <v>21945</v>
          </cell>
          <cell r="B422" t="str">
            <v>08NMT08135 - NET METERING GEN SVC</v>
          </cell>
          <cell r="C422">
            <v>8</v>
          </cell>
        </row>
        <row r="423">
          <cell r="A423">
            <v>21989</v>
          </cell>
          <cell r="B423" t="str">
            <v>08ABL-NRES - APPLICANT BUILT LINE</v>
          </cell>
          <cell r="C423" t="str">
            <v>AGA</v>
          </cell>
        </row>
        <row r="424">
          <cell r="A424">
            <v>22024</v>
          </cell>
          <cell r="B424" t="str">
            <v>02NMT40135-WA NET METERING-IRG</v>
          </cell>
          <cell r="C424">
            <v>40</v>
          </cell>
        </row>
        <row r="425">
          <cell r="A425">
            <v>22027</v>
          </cell>
          <cell r="B425" t="str">
            <v>01CSTUSB41-USBR IRRIGATION CONTRACTS CSS</v>
          </cell>
          <cell r="C425">
            <v>41</v>
          </cell>
        </row>
        <row r="426">
          <cell r="A426">
            <v>22028</v>
          </cell>
          <cell r="B426" t="str">
            <v>01NMU41135 - OR NET MTR - PROJECT LAND</v>
          </cell>
          <cell r="C426">
            <v>41</v>
          </cell>
        </row>
        <row r="427">
          <cell r="A427">
            <v>22029</v>
          </cell>
          <cell r="B427" t="str">
            <v>01USBGV041-IRG TOU W/O BPA</v>
          </cell>
          <cell r="C427">
            <v>41</v>
          </cell>
        </row>
        <row r="428">
          <cell r="A428">
            <v>22030</v>
          </cell>
          <cell r="B428" t="str">
            <v>01USBOF041-KLAMATH BASIN IRG OFF PRJ LND</v>
          </cell>
          <cell r="C428">
            <v>41</v>
          </cell>
        </row>
        <row r="429">
          <cell r="A429">
            <v>22031</v>
          </cell>
          <cell r="B429" t="str">
            <v>01USBON041-KLAMATH BASIN IRG ON PJT LND</v>
          </cell>
          <cell r="C429">
            <v>41</v>
          </cell>
        </row>
        <row r="430">
          <cell r="A430">
            <v>22032</v>
          </cell>
          <cell r="B430" t="str">
            <v>01VRU41136-OR VOL INCENTIVE USB CONTRACT</v>
          </cell>
          <cell r="C430">
            <v>41</v>
          </cell>
        </row>
        <row r="431">
          <cell r="A431">
            <v>22038</v>
          </cell>
          <cell r="B431" t="str">
            <v>06NMT48135-CA GEN SVC NET MTR-&gt;500 KW</v>
          </cell>
          <cell r="C431" t="str">
            <v>AT48</v>
          </cell>
        </row>
        <row r="432">
          <cell r="A432">
            <v>22043</v>
          </cell>
          <cell r="B432" t="str">
            <v>02NMT48135-WA LG SVC NET METER=&gt;1000 KW</v>
          </cell>
          <cell r="C432" t="str">
            <v>48T</v>
          </cell>
        </row>
        <row r="433">
          <cell r="A433">
            <v>22040</v>
          </cell>
          <cell r="B433" t="str">
            <v>01RNETM023-NET METER RESIDENTIAL GEN SVC</v>
          </cell>
          <cell r="C433">
            <v>23</v>
          </cell>
        </row>
      </sheetData>
      <sheetData sheetId="3">
        <row r="2">
          <cell r="H2">
            <v>0</v>
          </cell>
          <cell r="O2">
            <v>41275</v>
          </cell>
          <cell r="R2" t="str">
            <v/>
          </cell>
          <cell r="T2" t="str">
            <v>60 - 00016R41275</v>
          </cell>
        </row>
        <row r="3">
          <cell r="H3">
            <v>0</v>
          </cell>
          <cell r="O3">
            <v>41275</v>
          </cell>
          <cell r="R3" t="str">
            <v/>
          </cell>
          <cell r="T3" t="str">
            <v>60 - 00016R41275</v>
          </cell>
        </row>
        <row r="4">
          <cell r="H4">
            <v>0</v>
          </cell>
          <cell r="O4">
            <v>41275</v>
          </cell>
          <cell r="R4" t="str">
            <v/>
          </cell>
          <cell r="T4" t="str">
            <v>60 - 00016R41275</v>
          </cell>
        </row>
        <row r="5">
          <cell r="H5">
            <v>0</v>
          </cell>
          <cell r="O5">
            <v>41275</v>
          </cell>
          <cell r="R5" t="str">
            <v/>
          </cell>
          <cell r="T5" t="str">
            <v>60 - 00016R41275</v>
          </cell>
        </row>
        <row r="6">
          <cell r="H6">
            <v>28691</v>
          </cell>
          <cell r="O6">
            <v>41275</v>
          </cell>
          <cell r="R6" t="str">
            <v/>
          </cell>
          <cell r="T6" t="str">
            <v>60 - 00016R41275</v>
          </cell>
        </row>
        <row r="7">
          <cell r="H7">
            <v>14271243</v>
          </cell>
          <cell r="O7">
            <v>41275</v>
          </cell>
          <cell r="R7" t="str">
            <v/>
          </cell>
          <cell r="T7" t="str">
            <v>60 - 00016R41275</v>
          </cell>
        </row>
        <row r="8">
          <cell r="H8">
            <v>23312072</v>
          </cell>
          <cell r="O8">
            <v>41275</v>
          </cell>
          <cell r="R8" t="str">
            <v/>
          </cell>
          <cell r="T8" t="str">
            <v>60 - 00016R41275</v>
          </cell>
        </row>
        <row r="9">
          <cell r="H9">
            <v>0</v>
          </cell>
          <cell r="O9">
            <v>41275</v>
          </cell>
          <cell r="R9" t="str">
            <v/>
          </cell>
          <cell r="T9" t="str">
            <v>60 - 00016R41275</v>
          </cell>
        </row>
        <row r="10">
          <cell r="H10">
            <v>138603</v>
          </cell>
          <cell r="O10">
            <v>41275</v>
          </cell>
          <cell r="R10" t="str">
            <v/>
          </cell>
          <cell r="T10" t="str">
            <v>60 - 00016R41275</v>
          </cell>
        </row>
        <row r="11">
          <cell r="H11">
            <v>10932188</v>
          </cell>
          <cell r="O11">
            <v>41275</v>
          </cell>
          <cell r="R11" t="str">
            <v/>
          </cell>
          <cell r="T11" t="str">
            <v>60 - 00016R41275</v>
          </cell>
        </row>
        <row r="12">
          <cell r="H12">
            <v>0</v>
          </cell>
          <cell r="O12">
            <v>41275</v>
          </cell>
          <cell r="R12" t="str">
            <v/>
          </cell>
          <cell r="T12" t="str">
            <v>60 - 00016R41275</v>
          </cell>
        </row>
        <row r="13">
          <cell r="H13">
            <v>38580</v>
          </cell>
          <cell r="O13">
            <v>41275</v>
          </cell>
          <cell r="R13" t="str">
            <v/>
          </cell>
          <cell r="T13" t="str">
            <v>60 - 00016R41275</v>
          </cell>
        </row>
        <row r="14">
          <cell r="H14">
            <v>170350</v>
          </cell>
          <cell r="O14">
            <v>41275</v>
          </cell>
          <cell r="R14" t="str">
            <v/>
          </cell>
          <cell r="T14" t="str">
            <v>60 - 00016R41275</v>
          </cell>
        </row>
        <row r="15">
          <cell r="H15">
            <v>80650</v>
          </cell>
          <cell r="O15">
            <v>41275</v>
          </cell>
          <cell r="R15" t="str">
            <v/>
          </cell>
          <cell r="T15" t="str">
            <v>60 - 00016R41275</v>
          </cell>
        </row>
        <row r="16">
          <cell r="H16">
            <v>0</v>
          </cell>
          <cell r="O16">
            <v>41275</v>
          </cell>
          <cell r="R16" t="str">
            <v/>
          </cell>
          <cell r="T16" t="str">
            <v>60 - 00016R41275</v>
          </cell>
        </row>
        <row r="17">
          <cell r="H17">
            <v>-26093000</v>
          </cell>
          <cell r="O17">
            <v>41275</v>
          </cell>
          <cell r="R17" t="str">
            <v/>
          </cell>
          <cell r="T17" t="str">
            <v>60 - 00016U41275</v>
          </cell>
        </row>
        <row r="18">
          <cell r="H18">
            <v>0</v>
          </cell>
          <cell r="O18">
            <v>41275</v>
          </cell>
          <cell r="R18" t="str">
            <v/>
          </cell>
          <cell r="T18" t="str">
            <v>60 - 00016U41275</v>
          </cell>
        </row>
        <row r="19">
          <cell r="H19">
            <v>0</v>
          </cell>
          <cell r="O19">
            <v>41275</v>
          </cell>
          <cell r="R19" t="str">
            <v/>
          </cell>
          <cell r="T19" t="str">
            <v>60 - 00016R41275</v>
          </cell>
        </row>
        <row r="20">
          <cell r="H20">
            <v>0</v>
          </cell>
          <cell r="O20">
            <v>41275</v>
          </cell>
          <cell r="R20" t="str">
            <v/>
          </cell>
          <cell r="T20" t="str">
            <v>60 - 00016R41275</v>
          </cell>
        </row>
        <row r="21">
          <cell r="H21">
            <v>0</v>
          </cell>
          <cell r="O21">
            <v>41275</v>
          </cell>
          <cell r="R21" t="str">
            <v/>
          </cell>
          <cell r="T21" t="str">
            <v>60 - 00016R41275</v>
          </cell>
        </row>
        <row r="22">
          <cell r="H22">
            <v>0</v>
          </cell>
          <cell r="O22">
            <v>41275</v>
          </cell>
          <cell r="R22" t="str">
            <v/>
          </cell>
          <cell r="T22" t="str">
            <v>60 - 00016R41275</v>
          </cell>
        </row>
        <row r="23">
          <cell r="H23">
            <v>8818389</v>
          </cell>
          <cell r="O23">
            <v>41275</v>
          </cell>
          <cell r="R23" t="str">
            <v/>
          </cell>
          <cell r="T23" t="str">
            <v>60 - 00016R41275</v>
          </cell>
        </row>
        <row r="24">
          <cell r="H24">
            <v>6263458</v>
          </cell>
          <cell r="O24">
            <v>41275</v>
          </cell>
          <cell r="R24" t="str">
            <v/>
          </cell>
          <cell r="T24" t="str">
            <v>60 - 00016R41275</v>
          </cell>
        </row>
        <row r="25">
          <cell r="H25">
            <v>76321</v>
          </cell>
          <cell r="O25">
            <v>41275</v>
          </cell>
          <cell r="R25" t="str">
            <v/>
          </cell>
          <cell r="T25" t="str">
            <v>60 - 00016R41275</v>
          </cell>
        </row>
        <row r="26">
          <cell r="H26">
            <v>7428081</v>
          </cell>
          <cell r="O26">
            <v>41275</v>
          </cell>
          <cell r="R26" t="str">
            <v/>
          </cell>
          <cell r="T26" t="str">
            <v>60 - 00016R41275</v>
          </cell>
        </row>
        <row r="27">
          <cell r="H27">
            <v>0</v>
          </cell>
          <cell r="O27">
            <v>41275</v>
          </cell>
          <cell r="R27" t="str">
            <v/>
          </cell>
          <cell r="T27" t="str">
            <v>60 - 00016R41275</v>
          </cell>
        </row>
        <row r="28">
          <cell r="H28">
            <v>0</v>
          </cell>
          <cell r="O28">
            <v>41275</v>
          </cell>
          <cell r="R28" t="str">
            <v/>
          </cell>
          <cell r="T28" t="str">
            <v>60 - 00016R41275</v>
          </cell>
        </row>
        <row r="29">
          <cell r="H29">
            <v>0</v>
          </cell>
          <cell r="O29">
            <v>41275</v>
          </cell>
          <cell r="R29" t="str">
            <v/>
          </cell>
          <cell r="T29" t="str">
            <v>60 - 00016R41275</v>
          </cell>
        </row>
        <row r="30">
          <cell r="H30">
            <v>0</v>
          </cell>
          <cell r="O30">
            <v>41275</v>
          </cell>
          <cell r="R30" t="str">
            <v/>
          </cell>
          <cell r="T30" t="str">
            <v>60 - 00016R41275</v>
          </cell>
        </row>
        <row r="31">
          <cell r="H31">
            <v>62179</v>
          </cell>
          <cell r="O31">
            <v>41275</v>
          </cell>
          <cell r="R31" t="str">
            <v/>
          </cell>
          <cell r="T31" t="str">
            <v>60 - 00016R41275</v>
          </cell>
        </row>
        <row r="32">
          <cell r="H32">
            <v>6790</v>
          </cell>
          <cell r="O32">
            <v>41275</v>
          </cell>
          <cell r="R32" t="str">
            <v/>
          </cell>
          <cell r="T32" t="str">
            <v>60 - 00016R41275</v>
          </cell>
        </row>
        <row r="33">
          <cell r="H33">
            <v>4590700</v>
          </cell>
          <cell r="O33">
            <v>41275</v>
          </cell>
          <cell r="R33" t="str">
            <v/>
          </cell>
          <cell r="T33" t="str">
            <v>60 - 00016R41275</v>
          </cell>
        </row>
        <row r="34">
          <cell r="H34">
            <v>0</v>
          </cell>
          <cell r="O34">
            <v>41275</v>
          </cell>
          <cell r="R34" t="str">
            <v/>
          </cell>
          <cell r="T34" t="str">
            <v>60 - 00016R41275</v>
          </cell>
        </row>
        <row r="35">
          <cell r="H35">
            <v>15050</v>
          </cell>
          <cell r="O35">
            <v>41275</v>
          </cell>
          <cell r="R35" t="str">
            <v/>
          </cell>
          <cell r="T35" t="str">
            <v>60 - 00016R41275</v>
          </cell>
        </row>
        <row r="36">
          <cell r="H36">
            <v>81060</v>
          </cell>
          <cell r="O36">
            <v>41275</v>
          </cell>
          <cell r="R36" t="str">
            <v/>
          </cell>
          <cell r="T36" t="str">
            <v>60 - 00016R41275</v>
          </cell>
        </row>
        <row r="37">
          <cell r="H37">
            <v>0</v>
          </cell>
          <cell r="O37">
            <v>41275</v>
          </cell>
          <cell r="R37" t="str">
            <v/>
          </cell>
          <cell r="T37" t="str">
            <v>60 - 00016R41275</v>
          </cell>
        </row>
        <row r="38">
          <cell r="H38">
            <v>80960</v>
          </cell>
          <cell r="O38">
            <v>41275</v>
          </cell>
          <cell r="R38" t="str">
            <v/>
          </cell>
          <cell r="T38" t="str">
            <v>60 - 00016R41275</v>
          </cell>
        </row>
        <row r="39">
          <cell r="H39">
            <v>0</v>
          </cell>
          <cell r="O39">
            <v>41275</v>
          </cell>
          <cell r="R39" t="str">
            <v/>
          </cell>
          <cell r="T39" t="str">
            <v>60 - 00016R41275</v>
          </cell>
        </row>
        <row r="40">
          <cell r="H40">
            <v>-10468000</v>
          </cell>
          <cell r="O40">
            <v>41275</v>
          </cell>
          <cell r="R40" t="str">
            <v/>
          </cell>
          <cell r="T40" t="str">
            <v>60 - 00016U41275</v>
          </cell>
        </row>
        <row r="41">
          <cell r="H41">
            <v>0</v>
          </cell>
          <cell r="O41">
            <v>41275</v>
          </cell>
          <cell r="R41" t="str">
            <v/>
          </cell>
          <cell r="T41" t="str">
            <v>60 - 00016R41275</v>
          </cell>
        </row>
        <row r="42">
          <cell r="H42">
            <v>0</v>
          </cell>
          <cell r="O42">
            <v>41275</v>
          </cell>
          <cell r="R42" t="str">
            <v/>
          </cell>
          <cell r="T42" t="str">
            <v>60 - 00016R41275</v>
          </cell>
        </row>
        <row r="43">
          <cell r="H43">
            <v>0</v>
          </cell>
          <cell r="O43">
            <v>41275</v>
          </cell>
          <cell r="R43" t="str">
            <v/>
          </cell>
          <cell r="T43" t="str">
            <v>60 - 00016R41275</v>
          </cell>
        </row>
        <row r="44">
          <cell r="H44">
            <v>173620</v>
          </cell>
          <cell r="O44">
            <v>41275</v>
          </cell>
          <cell r="R44" t="str">
            <v/>
          </cell>
          <cell r="T44" t="str">
            <v>60 - 00016R41275</v>
          </cell>
        </row>
        <row r="45">
          <cell r="H45">
            <v>59222</v>
          </cell>
          <cell r="O45">
            <v>41275</v>
          </cell>
          <cell r="R45" t="str">
            <v/>
          </cell>
          <cell r="T45" t="str">
            <v>60 - 00016R41275</v>
          </cell>
        </row>
        <row r="46">
          <cell r="H46">
            <v>344140</v>
          </cell>
          <cell r="O46">
            <v>41275</v>
          </cell>
          <cell r="R46" t="str">
            <v/>
          </cell>
          <cell r="T46" t="str">
            <v>60 - 00016R41275</v>
          </cell>
        </row>
        <row r="47">
          <cell r="H47">
            <v>1256420</v>
          </cell>
          <cell r="O47">
            <v>41275</v>
          </cell>
          <cell r="R47" t="str">
            <v/>
          </cell>
          <cell r="T47" t="str">
            <v>60 - 00016R41275</v>
          </cell>
        </row>
        <row r="48">
          <cell r="H48">
            <v>0</v>
          </cell>
          <cell r="O48">
            <v>41275</v>
          </cell>
          <cell r="R48" t="str">
            <v/>
          </cell>
          <cell r="T48" t="str">
            <v>60 - 00016R41275</v>
          </cell>
        </row>
        <row r="49">
          <cell r="H49">
            <v>-2498000</v>
          </cell>
          <cell r="O49">
            <v>41275</v>
          </cell>
          <cell r="R49" t="str">
            <v/>
          </cell>
          <cell r="T49" t="str">
            <v>60 - 00016U41275</v>
          </cell>
        </row>
        <row r="50">
          <cell r="H50">
            <v>0</v>
          </cell>
          <cell r="O50">
            <v>41275</v>
          </cell>
          <cell r="R50" t="str">
            <v/>
          </cell>
          <cell r="T50" t="str">
            <v>60 - 00016R41275</v>
          </cell>
        </row>
        <row r="51">
          <cell r="H51">
            <v>0</v>
          </cell>
          <cell r="O51">
            <v>41275</v>
          </cell>
          <cell r="R51" t="str">
            <v/>
          </cell>
          <cell r="T51" t="str">
            <v>60 - 00016R41275</v>
          </cell>
        </row>
        <row r="52">
          <cell r="H52">
            <v>0</v>
          </cell>
          <cell r="O52">
            <v>41275</v>
          </cell>
          <cell r="R52" t="str">
            <v/>
          </cell>
          <cell r="T52" t="str">
            <v>60 - 00016R41275</v>
          </cell>
        </row>
        <row r="53">
          <cell r="H53">
            <v>0</v>
          </cell>
          <cell r="O53">
            <v>41275</v>
          </cell>
          <cell r="R53" t="str">
            <v/>
          </cell>
          <cell r="T53" t="str">
            <v>60 - 00016R41275</v>
          </cell>
        </row>
        <row r="54">
          <cell r="H54">
            <v>78873</v>
          </cell>
          <cell r="O54">
            <v>41275</v>
          </cell>
          <cell r="R54" t="str">
            <v/>
          </cell>
          <cell r="T54" t="str">
            <v>60 - 00016R41275</v>
          </cell>
        </row>
        <row r="55">
          <cell r="H55">
            <v>201600</v>
          </cell>
          <cell r="O55">
            <v>41275</v>
          </cell>
          <cell r="R55" t="str">
            <v/>
          </cell>
          <cell r="T55" t="str">
            <v>60 - 00016R41275</v>
          </cell>
        </row>
        <row r="56">
          <cell r="H56">
            <v>12000</v>
          </cell>
          <cell r="O56">
            <v>41275</v>
          </cell>
          <cell r="R56" t="str">
            <v/>
          </cell>
          <cell r="T56" t="str">
            <v>60 - 00016R41275</v>
          </cell>
        </row>
        <row r="57">
          <cell r="H57">
            <v>0</v>
          </cell>
          <cell r="O57">
            <v>41275</v>
          </cell>
          <cell r="R57" t="str">
            <v/>
          </cell>
          <cell r="T57" t="str">
            <v>60 - 00016R41275</v>
          </cell>
        </row>
        <row r="58">
          <cell r="H58">
            <v>0</v>
          </cell>
          <cell r="O58">
            <v>41275</v>
          </cell>
          <cell r="R58" t="str">
            <v/>
          </cell>
          <cell r="T58" t="str">
            <v>60 - 00016R41275</v>
          </cell>
        </row>
        <row r="59">
          <cell r="H59">
            <v>-4000</v>
          </cell>
          <cell r="O59">
            <v>41275</v>
          </cell>
          <cell r="R59" t="str">
            <v/>
          </cell>
          <cell r="T59" t="str">
            <v>60 - 00016U41275</v>
          </cell>
        </row>
        <row r="60">
          <cell r="H60">
            <v>0</v>
          </cell>
          <cell r="O60">
            <v>41275</v>
          </cell>
          <cell r="R60" t="str">
            <v/>
          </cell>
          <cell r="T60" t="str">
            <v>60 - 00016R41275</v>
          </cell>
        </row>
        <row r="61">
          <cell r="H61">
            <v>0</v>
          </cell>
          <cell r="O61">
            <v>41275</v>
          </cell>
          <cell r="R61" t="str">
            <v/>
          </cell>
          <cell r="T61" t="str">
            <v>60 - 00016R41275</v>
          </cell>
        </row>
        <row r="62">
          <cell r="H62">
            <v>119498</v>
          </cell>
          <cell r="O62">
            <v>41275</v>
          </cell>
          <cell r="R62" t="str">
            <v/>
          </cell>
          <cell r="T62" t="str">
            <v>60 - 00016R41275</v>
          </cell>
        </row>
        <row r="63">
          <cell r="H63">
            <v>19759</v>
          </cell>
          <cell r="O63">
            <v>41275</v>
          </cell>
          <cell r="R63" t="str">
            <v/>
          </cell>
          <cell r="T63" t="str">
            <v>60 - 00016R41275</v>
          </cell>
        </row>
        <row r="64">
          <cell r="H64">
            <v>72267</v>
          </cell>
          <cell r="O64">
            <v>41275</v>
          </cell>
          <cell r="R64" t="str">
            <v/>
          </cell>
          <cell r="T64" t="str">
            <v>60 - 00016R41275</v>
          </cell>
        </row>
        <row r="65">
          <cell r="H65">
            <v>0</v>
          </cell>
          <cell r="O65">
            <v>41275</v>
          </cell>
          <cell r="R65" t="str">
            <v/>
          </cell>
          <cell r="T65" t="str">
            <v>60 - 00016R41275</v>
          </cell>
        </row>
        <row r="66">
          <cell r="H66">
            <v>-42000</v>
          </cell>
          <cell r="O66">
            <v>41275</v>
          </cell>
          <cell r="R66" t="str">
            <v/>
          </cell>
          <cell r="T66" t="str">
            <v>60 - 00016U41275</v>
          </cell>
        </row>
        <row r="67">
          <cell r="H67">
            <v>0</v>
          </cell>
          <cell r="O67">
            <v>41275</v>
          </cell>
          <cell r="R67" t="str">
            <v/>
          </cell>
          <cell r="T67" t="str">
            <v>60 - 00011B41275</v>
          </cell>
        </row>
        <row r="68">
          <cell r="H68">
            <v>406627929</v>
          </cell>
          <cell r="O68">
            <v>41275</v>
          </cell>
          <cell r="R68" t="str">
            <v/>
          </cell>
          <cell r="T68" t="str">
            <v>60 - 00011B41275</v>
          </cell>
        </row>
        <row r="69">
          <cell r="H69">
            <v>1759950</v>
          </cell>
          <cell r="O69">
            <v>41275</v>
          </cell>
          <cell r="R69" t="str">
            <v/>
          </cell>
          <cell r="T69" t="str">
            <v>60 - 00011B41275</v>
          </cell>
        </row>
        <row r="70">
          <cell r="H70">
            <v>1127232</v>
          </cell>
          <cell r="O70">
            <v>41275</v>
          </cell>
          <cell r="R70" t="str">
            <v/>
          </cell>
          <cell r="T70" t="str">
            <v>60 - 00011B41275</v>
          </cell>
        </row>
        <row r="71">
          <cell r="H71">
            <v>15249</v>
          </cell>
          <cell r="O71">
            <v>41275</v>
          </cell>
          <cell r="R71" t="str">
            <v/>
          </cell>
          <cell r="T71" t="str">
            <v>60 - 00011B41275</v>
          </cell>
        </row>
        <row r="72">
          <cell r="H72">
            <v>188254</v>
          </cell>
          <cell r="O72">
            <v>41275</v>
          </cell>
          <cell r="R72" t="str">
            <v/>
          </cell>
          <cell r="T72" t="str">
            <v>60 - 00011B41275</v>
          </cell>
        </row>
        <row r="73">
          <cell r="H73">
            <v>208694</v>
          </cell>
          <cell r="O73">
            <v>41275</v>
          </cell>
          <cell r="R73" t="str">
            <v/>
          </cell>
          <cell r="T73" t="str">
            <v>60 - 00011B41275</v>
          </cell>
        </row>
        <row r="74">
          <cell r="H74">
            <v>1578858</v>
          </cell>
          <cell r="O74">
            <v>41275</v>
          </cell>
          <cell r="R74" t="str">
            <v/>
          </cell>
          <cell r="T74" t="str">
            <v>60 - 00011B41275</v>
          </cell>
        </row>
        <row r="75">
          <cell r="H75">
            <v>0</v>
          </cell>
          <cell r="O75">
            <v>41275</v>
          </cell>
          <cell r="R75" t="str">
            <v/>
          </cell>
          <cell r="T75" t="str">
            <v>60 - 00011B41275</v>
          </cell>
        </row>
        <row r="76">
          <cell r="H76">
            <v>0</v>
          </cell>
          <cell r="O76">
            <v>41275</v>
          </cell>
          <cell r="R76" t="str">
            <v/>
          </cell>
          <cell r="T76" t="str">
            <v>60 - 00011R41275</v>
          </cell>
        </row>
        <row r="77">
          <cell r="H77">
            <v>0</v>
          </cell>
          <cell r="O77">
            <v>41275</v>
          </cell>
          <cell r="R77" t="str">
            <v/>
          </cell>
          <cell r="T77" t="str">
            <v>60 - 00011R41275</v>
          </cell>
        </row>
        <row r="78">
          <cell r="H78">
            <v>0</v>
          </cell>
          <cell r="O78">
            <v>41275</v>
          </cell>
          <cell r="R78" t="str">
            <v/>
          </cell>
          <cell r="T78" t="str">
            <v>60 - 00011R41275</v>
          </cell>
        </row>
        <row r="79">
          <cell r="H79">
            <v>0</v>
          </cell>
          <cell r="O79">
            <v>41275</v>
          </cell>
          <cell r="R79" t="str">
            <v/>
          </cell>
          <cell r="T79" t="str">
            <v>60 - 00011R41275</v>
          </cell>
        </row>
        <row r="80">
          <cell r="H80">
            <v>0</v>
          </cell>
          <cell r="O80">
            <v>41275</v>
          </cell>
          <cell r="R80" t="str">
            <v/>
          </cell>
          <cell r="T80" t="str">
            <v>60 - 00011R41275</v>
          </cell>
        </row>
        <row r="81">
          <cell r="H81">
            <v>0</v>
          </cell>
          <cell r="O81">
            <v>41275</v>
          </cell>
          <cell r="R81" t="str">
            <v/>
          </cell>
          <cell r="T81" t="str">
            <v>60 - 00011R41275</v>
          </cell>
        </row>
        <row r="82">
          <cell r="H82">
            <v>0</v>
          </cell>
          <cell r="O82">
            <v>41275</v>
          </cell>
          <cell r="R82" t="str">
            <v/>
          </cell>
          <cell r="T82" t="str">
            <v>60 - 00011R41275</v>
          </cell>
        </row>
        <row r="83">
          <cell r="H83">
            <v>0</v>
          </cell>
          <cell r="O83">
            <v>41275</v>
          </cell>
          <cell r="R83" t="str">
            <v/>
          </cell>
          <cell r="T83" t="str">
            <v>60 - 00011R41275</v>
          </cell>
        </row>
        <row r="84">
          <cell r="H84">
            <v>0</v>
          </cell>
          <cell r="O84">
            <v>41275</v>
          </cell>
          <cell r="R84" t="str">
            <v/>
          </cell>
          <cell r="T84" t="str">
            <v>60 - 00011R41275</v>
          </cell>
        </row>
        <row r="85">
          <cell r="H85">
            <v>0</v>
          </cell>
          <cell r="O85">
            <v>41275</v>
          </cell>
          <cell r="R85" t="str">
            <v/>
          </cell>
          <cell r="T85" t="str">
            <v>60 - 00011R41275</v>
          </cell>
        </row>
        <row r="86">
          <cell r="H86">
            <v>0</v>
          </cell>
          <cell r="O86">
            <v>41275</v>
          </cell>
          <cell r="R86" t="str">
            <v/>
          </cell>
          <cell r="T86" t="str">
            <v>60 - 00011R41275</v>
          </cell>
        </row>
        <row r="87">
          <cell r="H87">
            <v>646536418</v>
          </cell>
          <cell r="O87">
            <v>41275</v>
          </cell>
          <cell r="R87" t="str">
            <v/>
          </cell>
          <cell r="T87" t="str">
            <v>60 - 00011R41275</v>
          </cell>
        </row>
        <row r="88">
          <cell r="H88">
            <v>4758417</v>
          </cell>
          <cell r="O88">
            <v>41275</v>
          </cell>
          <cell r="R88" t="str">
            <v/>
          </cell>
          <cell r="T88" t="str">
            <v>60 - 00011R41275</v>
          </cell>
        </row>
        <row r="89">
          <cell r="H89">
            <v>28458752</v>
          </cell>
          <cell r="O89">
            <v>41275</v>
          </cell>
          <cell r="R89" t="str">
            <v/>
          </cell>
          <cell r="T89" t="str">
            <v>60 - 00011R41275</v>
          </cell>
        </row>
        <row r="90">
          <cell r="H90">
            <v>0</v>
          </cell>
          <cell r="O90">
            <v>41275</v>
          </cell>
          <cell r="R90" t="str">
            <v/>
          </cell>
          <cell r="T90" t="str">
            <v>60 - 00011R41275</v>
          </cell>
        </row>
        <row r="91">
          <cell r="H91">
            <v>2302638</v>
          </cell>
          <cell r="O91">
            <v>41275</v>
          </cell>
          <cell r="R91" t="str">
            <v/>
          </cell>
          <cell r="T91" t="str">
            <v>60 - 00011R41275</v>
          </cell>
        </row>
        <row r="92">
          <cell r="H92">
            <v>0</v>
          </cell>
          <cell r="O92">
            <v>41275</v>
          </cell>
          <cell r="R92" t="str">
            <v/>
          </cell>
          <cell r="T92" t="str">
            <v>60 - 00011R41275</v>
          </cell>
        </row>
        <row r="93">
          <cell r="H93">
            <v>0</v>
          </cell>
          <cell r="O93">
            <v>41275</v>
          </cell>
          <cell r="R93" t="str">
            <v/>
          </cell>
          <cell r="T93" t="str">
            <v>60 - 00011R41275</v>
          </cell>
        </row>
        <row r="94">
          <cell r="H94">
            <v>0</v>
          </cell>
          <cell r="O94">
            <v>41275</v>
          </cell>
          <cell r="R94" t="str">
            <v/>
          </cell>
          <cell r="T94" t="str">
            <v>60 - 00011R41275</v>
          </cell>
        </row>
        <row r="95">
          <cell r="H95">
            <v>208811</v>
          </cell>
          <cell r="O95">
            <v>41275</v>
          </cell>
          <cell r="R95" t="str">
            <v/>
          </cell>
          <cell r="T95" t="str">
            <v>60 - 00011R41275</v>
          </cell>
        </row>
        <row r="96">
          <cell r="H96">
            <v>0</v>
          </cell>
          <cell r="O96">
            <v>41275</v>
          </cell>
          <cell r="R96" t="str">
            <v/>
          </cell>
          <cell r="T96" t="str">
            <v>60 - 00011R41275</v>
          </cell>
        </row>
        <row r="97">
          <cell r="H97">
            <v>1569556</v>
          </cell>
          <cell r="O97">
            <v>41275</v>
          </cell>
          <cell r="R97" t="str">
            <v/>
          </cell>
          <cell r="T97" t="str">
            <v>60 - 00011R41275</v>
          </cell>
        </row>
        <row r="98">
          <cell r="H98">
            <v>7398</v>
          </cell>
          <cell r="O98">
            <v>41275</v>
          </cell>
          <cell r="R98" t="str">
            <v/>
          </cell>
          <cell r="T98" t="str">
            <v>60 - 00011R41275</v>
          </cell>
        </row>
        <row r="99">
          <cell r="H99">
            <v>1977</v>
          </cell>
          <cell r="O99">
            <v>41275</v>
          </cell>
          <cell r="R99" t="str">
            <v/>
          </cell>
          <cell r="T99" t="str">
            <v>60 - 00011R41275</v>
          </cell>
        </row>
        <row r="100">
          <cell r="H100">
            <v>0</v>
          </cell>
          <cell r="O100">
            <v>41275</v>
          </cell>
          <cell r="R100" t="str">
            <v/>
          </cell>
          <cell r="T100" t="str">
            <v>60 - 00011R41275</v>
          </cell>
        </row>
        <row r="101">
          <cell r="H101">
            <v>-391248000</v>
          </cell>
          <cell r="O101">
            <v>41275</v>
          </cell>
          <cell r="R101" t="str">
            <v/>
          </cell>
          <cell r="T101" t="str">
            <v>60 - 00011U41275</v>
          </cell>
        </row>
        <row r="102">
          <cell r="H102">
            <v>0</v>
          </cell>
          <cell r="O102">
            <v>41275</v>
          </cell>
          <cell r="R102" t="str">
            <v/>
          </cell>
          <cell r="T102" t="str">
            <v>60 - 00011U41275</v>
          </cell>
        </row>
        <row r="103">
          <cell r="H103">
            <v>0</v>
          </cell>
          <cell r="O103">
            <v>41275</v>
          </cell>
          <cell r="R103" t="str">
            <v/>
          </cell>
          <cell r="T103" t="str">
            <v>60 - 00011B41275</v>
          </cell>
        </row>
        <row r="104">
          <cell r="H104">
            <v>8533103</v>
          </cell>
          <cell r="O104">
            <v>41275</v>
          </cell>
          <cell r="R104" t="str">
            <v/>
          </cell>
          <cell r="T104" t="str">
            <v>60 - 00011B41275</v>
          </cell>
        </row>
        <row r="105">
          <cell r="H105">
            <v>51502</v>
          </cell>
          <cell r="O105">
            <v>41275</v>
          </cell>
          <cell r="R105" t="str">
            <v/>
          </cell>
          <cell r="T105" t="str">
            <v>60 - 00011B41275</v>
          </cell>
        </row>
        <row r="106">
          <cell r="H106">
            <v>14277800</v>
          </cell>
          <cell r="O106">
            <v>41275</v>
          </cell>
          <cell r="R106" t="str">
            <v/>
          </cell>
          <cell r="T106" t="str">
            <v>60 - 00011B41275</v>
          </cell>
        </row>
        <row r="107">
          <cell r="H107">
            <v>4369595</v>
          </cell>
          <cell r="O107">
            <v>41275</v>
          </cell>
          <cell r="R107" t="str">
            <v/>
          </cell>
          <cell r="T107" t="str">
            <v>60 - 00011B41275</v>
          </cell>
        </row>
        <row r="108">
          <cell r="H108">
            <v>483000</v>
          </cell>
          <cell r="O108">
            <v>41275</v>
          </cell>
          <cell r="R108" t="str">
            <v/>
          </cell>
          <cell r="T108" t="str">
            <v>60 - 00011B41275</v>
          </cell>
        </row>
        <row r="109">
          <cell r="H109">
            <v>16581</v>
          </cell>
          <cell r="O109">
            <v>41275</v>
          </cell>
          <cell r="R109" t="str">
            <v/>
          </cell>
          <cell r="T109" t="str">
            <v>60 - 00011B41275</v>
          </cell>
        </row>
        <row r="110">
          <cell r="H110">
            <v>11974</v>
          </cell>
          <cell r="O110">
            <v>41275</v>
          </cell>
          <cell r="R110" t="str">
            <v/>
          </cell>
          <cell r="T110" t="str">
            <v>60 - 00011B41275</v>
          </cell>
        </row>
        <row r="111">
          <cell r="H111">
            <v>271463</v>
          </cell>
          <cell r="O111">
            <v>41275</v>
          </cell>
          <cell r="R111" t="str">
            <v/>
          </cell>
          <cell r="T111" t="str">
            <v>60 - 00011B41275</v>
          </cell>
        </row>
        <row r="112">
          <cell r="H112">
            <v>132958</v>
          </cell>
          <cell r="O112">
            <v>41275</v>
          </cell>
          <cell r="R112" t="str">
            <v/>
          </cell>
          <cell r="T112" t="str">
            <v>60 - 00011B41275</v>
          </cell>
        </row>
        <row r="113">
          <cell r="H113">
            <v>81945</v>
          </cell>
          <cell r="O113">
            <v>41275</v>
          </cell>
          <cell r="R113" t="str">
            <v/>
          </cell>
          <cell r="T113" t="str">
            <v>60 - 00011B41275</v>
          </cell>
        </row>
        <row r="114">
          <cell r="H114">
            <v>0</v>
          </cell>
          <cell r="O114">
            <v>41275</v>
          </cell>
          <cell r="R114" t="str">
            <v/>
          </cell>
          <cell r="T114" t="str">
            <v>60 - 00011B41275</v>
          </cell>
        </row>
        <row r="115">
          <cell r="H115">
            <v>0</v>
          </cell>
          <cell r="O115">
            <v>41275</v>
          </cell>
          <cell r="R115" t="str">
            <v/>
          </cell>
          <cell r="T115" t="str">
            <v>60 - 00011R41275</v>
          </cell>
        </row>
        <row r="116">
          <cell r="H116">
            <v>0</v>
          </cell>
          <cell r="O116">
            <v>41275</v>
          </cell>
          <cell r="R116" t="str">
            <v/>
          </cell>
          <cell r="T116" t="str">
            <v>60 - 00011R41275</v>
          </cell>
        </row>
        <row r="117">
          <cell r="H117">
            <v>0</v>
          </cell>
          <cell r="O117">
            <v>41275</v>
          </cell>
          <cell r="R117" t="str">
            <v/>
          </cell>
          <cell r="T117" t="str">
            <v>60 - 00011R41275</v>
          </cell>
        </row>
        <row r="118">
          <cell r="H118">
            <v>0</v>
          </cell>
          <cell r="O118">
            <v>41275</v>
          </cell>
          <cell r="R118" t="str">
            <v/>
          </cell>
          <cell r="T118" t="str">
            <v>60 - 00011R41275</v>
          </cell>
        </row>
        <row r="119">
          <cell r="H119">
            <v>0</v>
          </cell>
          <cell r="O119">
            <v>41275</v>
          </cell>
          <cell r="R119" t="str">
            <v/>
          </cell>
          <cell r="T119" t="str">
            <v>60 - 00011R41275</v>
          </cell>
        </row>
        <row r="120">
          <cell r="H120">
            <v>5180400</v>
          </cell>
          <cell r="O120">
            <v>41275</v>
          </cell>
          <cell r="R120" t="str">
            <v/>
          </cell>
          <cell r="T120" t="str">
            <v>60 - 00011R41275</v>
          </cell>
        </row>
        <row r="121">
          <cell r="H121">
            <v>0</v>
          </cell>
          <cell r="O121">
            <v>41275</v>
          </cell>
          <cell r="R121" t="str">
            <v/>
          </cell>
          <cell r="T121" t="str">
            <v>60 - 00011R41275</v>
          </cell>
        </row>
        <row r="122">
          <cell r="H122">
            <v>0</v>
          </cell>
          <cell r="O122">
            <v>41275</v>
          </cell>
          <cell r="R122" t="str">
            <v/>
          </cell>
          <cell r="T122" t="str">
            <v>60 - 00011R41275</v>
          </cell>
        </row>
        <row r="123">
          <cell r="H123">
            <v>0</v>
          </cell>
          <cell r="O123">
            <v>41275</v>
          </cell>
          <cell r="R123" t="str">
            <v/>
          </cell>
          <cell r="T123" t="str">
            <v>60 - 00011R41275</v>
          </cell>
        </row>
        <row r="124">
          <cell r="H124">
            <v>0</v>
          </cell>
          <cell r="O124">
            <v>41275</v>
          </cell>
          <cell r="R124" t="str">
            <v/>
          </cell>
          <cell r="T124" t="str">
            <v>60 - 00011R41275</v>
          </cell>
        </row>
        <row r="125">
          <cell r="H125">
            <v>0</v>
          </cell>
          <cell r="O125">
            <v>41275</v>
          </cell>
          <cell r="R125" t="str">
            <v/>
          </cell>
          <cell r="T125" t="str">
            <v>60 - 00011R41275</v>
          </cell>
        </row>
        <row r="126">
          <cell r="H126">
            <v>0</v>
          </cell>
          <cell r="O126">
            <v>41275</v>
          </cell>
          <cell r="R126" t="str">
            <v/>
          </cell>
          <cell r="T126" t="str">
            <v>60 - 00011R41275</v>
          </cell>
        </row>
        <row r="127">
          <cell r="H127">
            <v>8163900</v>
          </cell>
          <cell r="O127">
            <v>41275</v>
          </cell>
          <cell r="R127" t="str">
            <v/>
          </cell>
          <cell r="T127" t="str">
            <v>60 - 00011R41275</v>
          </cell>
        </row>
        <row r="128">
          <cell r="H128">
            <v>481831</v>
          </cell>
          <cell r="O128">
            <v>41275</v>
          </cell>
          <cell r="R128" t="str">
            <v/>
          </cell>
          <cell r="T128" t="str">
            <v>60 - 00011R41275</v>
          </cell>
        </row>
        <row r="129">
          <cell r="H129">
            <v>84703</v>
          </cell>
          <cell r="O129">
            <v>41275</v>
          </cell>
          <cell r="R129" t="str">
            <v/>
          </cell>
          <cell r="T129" t="str">
            <v>60 - 00011R41275</v>
          </cell>
        </row>
        <row r="130">
          <cell r="H130">
            <v>0</v>
          </cell>
          <cell r="O130">
            <v>41275</v>
          </cell>
          <cell r="R130" t="str">
            <v/>
          </cell>
          <cell r="T130" t="str">
            <v>60 - 00011R41275</v>
          </cell>
        </row>
        <row r="131">
          <cell r="H131">
            <v>0</v>
          </cell>
          <cell r="O131">
            <v>41275</v>
          </cell>
          <cell r="R131" t="str">
            <v/>
          </cell>
          <cell r="T131" t="str">
            <v>60 - 00011R41275</v>
          </cell>
        </row>
        <row r="132">
          <cell r="H132">
            <v>66223412</v>
          </cell>
          <cell r="O132">
            <v>41275</v>
          </cell>
          <cell r="R132" t="str">
            <v/>
          </cell>
          <cell r="T132" t="str">
            <v>60 - 00011R41275</v>
          </cell>
        </row>
        <row r="133">
          <cell r="H133">
            <v>396625</v>
          </cell>
          <cell r="O133">
            <v>41275</v>
          </cell>
          <cell r="R133" t="str">
            <v/>
          </cell>
          <cell r="T133" t="str">
            <v>60 - 00011R41275</v>
          </cell>
        </row>
        <row r="134">
          <cell r="H134">
            <v>0</v>
          </cell>
          <cell r="O134">
            <v>41275</v>
          </cell>
          <cell r="R134" t="str">
            <v/>
          </cell>
          <cell r="T134" t="str">
            <v>60 - 00011R41275</v>
          </cell>
        </row>
        <row r="135">
          <cell r="H135">
            <v>0</v>
          </cell>
          <cell r="O135">
            <v>41275</v>
          </cell>
          <cell r="R135" t="str">
            <v/>
          </cell>
          <cell r="T135" t="str">
            <v>60 - 00011R41275</v>
          </cell>
        </row>
        <row r="136">
          <cell r="H136">
            <v>98453369</v>
          </cell>
          <cell r="O136">
            <v>41275</v>
          </cell>
          <cell r="R136" t="str">
            <v/>
          </cell>
          <cell r="T136" t="str">
            <v>60 - 00011R41275</v>
          </cell>
        </row>
        <row r="137">
          <cell r="H137">
            <v>179743574</v>
          </cell>
          <cell r="O137">
            <v>41275</v>
          </cell>
          <cell r="R137" t="str">
            <v/>
          </cell>
          <cell r="T137" t="str">
            <v>60 - 00011R41275</v>
          </cell>
        </row>
        <row r="138">
          <cell r="H138">
            <v>0</v>
          </cell>
          <cell r="O138">
            <v>41275</v>
          </cell>
          <cell r="R138" t="str">
            <v/>
          </cell>
          <cell r="T138" t="str">
            <v>60 - 00011R41275</v>
          </cell>
        </row>
        <row r="139">
          <cell r="H139">
            <v>0</v>
          </cell>
          <cell r="O139">
            <v>41275</v>
          </cell>
          <cell r="R139" t="str">
            <v/>
          </cell>
          <cell r="T139" t="str">
            <v>60 - 00011R41275</v>
          </cell>
        </row>
        <row r="140">
          <cell r="H140">
            <v>0</v>
          </cell>
          <cell r="O140">
            <v>41275</v>
          </cell>
          <cell r="R140" t="str">
            <v/>
          </cell>
          <cell r="T140" t="str">
            <v>60 - 00011R41275</v>
          </cell>
        </row>
        <row r="141">
          <cell r="H141">
            <v>0</v>
          </cell>
          <cell r="O141">
            <v>41275</v>
          </cell>
          <cell r="R141" t="str">
            <v/>
          </cell>
          <cell r="T141" t="str">
            <v>60 - 00011R41275</v>
          </cell>
        </row>
        <row r="142">
          <cell r="H142">
            <v>245257</v>
          </cell>
          <cell r="O142">
            <v>41275</v>
          </cell>
          <cell r="R142" t="str">
            <v/>
          </cell>
          <cell r="T142" t="str">
            <v>60 - 00011R41275</v>
          </cell>
        </row>
        <row r="143">
          <cell r="H143">
            <v>391274</v>
          </cell>
          <cell r="O143">
            <v>41275</v>
          </cell>
          <cell r="R143" t="str">
            <v/>
          </cell>
          <cell r="T143" t="str">
            <v>60 - 00011R41275</v>
          </cell>
        </row>
        <row r="144">
          <cell r="H144">
            <v>52278</v>
          </cell>
          <cell r="O144">
            <v>41275</v>
          </cell>
          <cell r="R144" t="str">
            <v/>
          </cell>
          <cell r="T144" t="str">
            <v>60 - 00011R41275</v>
          </cell>
        </row>
        <row r="145">
          <cell r="H145">
            <v>796369</v>
          </cell>
          <cell r="O145">
            <v>41275</v>
          </cell>
          <cell r="R145" t="str">
            <v/>
          </cell>
          <cell r="T145" t="str">
            <v>60 - 00011R41275</v>
          </cell>
        </row>
        <row r="146">
          <cell r="H146">
            <v>1211562</v>
          </cell>
          <cell r="O146">
            <v>41275</v>
          </cell>
          <cell r="R146" t="str">
            <v/>
          </cell>
          <cell r="T146" t="str">
            <v>60 - 00011R41275</v>
          </cell>
        </row>
        <row r="147">
          <cell r="H147">
            <v>358352</v>
          </cell>
          <cell r="O147">
            <v>41275</v>
          </cell>
          <cell r="R147" t="str">
            <v/>
          </cell>
          <cell r="T147" t="str">
            <v>60 - 00011R41275</v>
          </cell>
        </row>
        <row r="148">
          <cell r="H148">
            <v>0</v>
          </cell>
          <cell r="O148">
            <v>41275</v>
          </cell>
          <cell r="R148" t="str">
            <v/>
          </cell>
          <cell r="T148" t="str">
            <v>60 - 00011R41275</v>
          </cell>
        </row>
        <row r="149">
          <cell r="H149">
            <v>25199</v>
          </cell>
          <cell r="O149">
            <v>41275</v>
          </cell>
          <cell r="R149" t="str">
            <v/>
          </cell>
          <cell r="T149" t="str">
            <v>60 - 00011R41275</v>
          </cell>
        </row>
        <row r="150">
          <cell r="H150">
            <v>41245</v>
          </cell>
          <cell r="O150">
            <v>41275</v>
          </cell>
          <cell r="R150" t="str">
            <v/>
          </cell>
          <cell r="T150" t="str">
            <v>60 - 00011R41275</v>
          </cell>
        </row>
        <row r="151">
          <cell r="H151">
            <v>275976</v>
          </cell>
          <cell r="O151">
            <v>41275</v>
          </cell>
          <cell r="R151" t="str">
            <v/>
          </cell>
          <cell r="T151" t="str">
            <v>60 - 00011R41275</v>
          </cell>
        </row>
        <row r="152">
          <cell r="H152">
            <v>1442731</v>
          </cell>
          <cell r="O152">
            <v>41275</v>
          </cell>
          <cell r="R152" t="str">
            <v/>
          </cell>
          <cell r="T152" t="str">
            <v>60 - 00011R41275</v>
          </cell>
        </row>
        <row r="153">
          <cell r="H153">
            <v>437560</v>
          </cell>
          <cell r="O153">
            <v>41275</v>
          </cell>
          <cell r="R153" t="str">
            <v/>
          </cell>
          <cell r="T153" t="str">
            <v>60 - 00011R41275</v>
          </cell>
        </row>
        <row r="154">
          <cell r="H154">
            <v>5200</v>
          </cell>
          <cell r="O154">
            <v>41275</v>
          </cell>
          <cell r="R154" t="str">
            <v/>
          </cell>
          <cell r="T154" t="str">
            <v>60 - 00011R41275</v>
          </cell>
        </row>
        <row r="155">
          <cell r="H155">
            <v>0</v>
          </cell>
          <cell r="O155">
            <v>41275</v>
          </cell>
          <cell r="R155" t="str">
            <v/>
          </cell>
          <cell r="T155" t="str">
            <v>60 - 00011R41275</v>
          </cell>
        </row>
        <row r="156">
          <cell r="H156">
            <v>91188594</v>
          </cell>
          <cell r="O156">
            <v>41275</v>
          </cell>
          <cell r="R156" t="str">
            <v/>
          </cell>
          <cell r="T156" t="str">
            <v>60 - 00011R41275</v>
          </cell>
        </row>
        <row r="157">
          <cell r="H157">
            <v>8441641</v>
          </cell>
          <cell r="O157">
            <v>41275</v>
          </cell>
          <cell r="R157" t="str">
            <v/>
          </cell>
          <cell r="T157" t="str">
            <v>60 - 00011R41275</v>
          </cell>
        </row>
        <row r="158">
          <cell r="H158">
            <v>0</v>
          </cell>
          <cell r="O158">
            <v>41275</v>
          </cell>
          <cell r="R158" t="str">
            <v/>
          </cell>
          <cell r="T158" t="str">
            <v>60 - 00011R41275</v>
          </cell>
        </row>
        <row r="159">
          <cell r="H159">
            <v>0</v>
          </cell>
          <cell r="O159">
            <v>41275</v>
          </cell>
          <cell r="R159" t="str">
            <v/>
          </cell>
          <cell r="T159" t="str">
            <v>60 - 00011R41275</v>
          </cell>
        </row>
        <row r="160">
          <cell r="H160">
            <v>200000</v>
          </cell>
          <cell r="O160">
            <v>41275</v>
          </cell>
          <cell r="R160" t="str">
            <v/>
          </cell>
          <cell r="T160" t="str">
            <v>60 - 00011R41275</v>
          </cell>
        </row>
        <row r="161">
          <cell r="H161">
            <v>0</v>
          </cell>
          <cell r="O161">
            <v>41275</v>
          </cell>
          <cell r="R161" t="str">
            <v/>
          </cell>
          <cell r="T161" t="str">
            <v>60 - 00011R41275</v>
          </cell>
        </row>
        <row r="162">
          <cell r="H162">
            <v>0</v>
          </cell>
          <cell r="O162">
            <v>41275</v>
          </cell>
          <cell r="R162" t="str">
            <v/>
          </cell>
          <cell r="T162" t="str">
            <v>60 - 00011R41275</v>
          </cell>
        </row>
        <row r="163">
          <cell r="H163">
            <v>809201</v>
          </cell>
          <cell r="O163">
            <v>41275</v>
          </cell>
          <cell r="R163" t="str">
            <v/>
          </cell>
          <cell r="T163" t="str">
            <v>60 - 00011R41275</v>
          </cell>
        </row>
        <row r="164">
          <cell r="H164">
            <v>9474394</v>
          </cell>
          <cell r="O164">
            <v>41275</v>
          </cell>
          <cell r="R164" t="str">
            <v/>
          </cell>
          <cell r="T164" t="str">
            <v>60 - 00011R41275</v>
          </cell>
        </row>
        <row r="165">
          <cell r="H165">
            <v>1524640</v>
          </cell>
          <cell r="O165">
            <v>41275</v>
          </cell>
          <cell r="R165" t="str">
            <v/>
          </cell>
          <cell r="T165" t="str">
            <v>60 - 00011R41275</v>
          </cell>
        </row>
        <row r="166">
          <cell r="H166">
            <v>0</v>
          </cell>
          <cell r="O166">
            <v>41275</v>
          </cell>
          <cell r="R166" t="str">
            <v/>
          </cell>
          <cell r="T166" t="str">
            <v>60 - 00011R41275</v>
          </cell>
        </row>
        <row r="167">
          <cell r="H167">
            <v>0</v>
          </cell>
          <cell r="O167">
            <v>41275</v>
          </cell>
          <cell r="R167" t="str">
            <v/>
          </cell>
          <cell r="T167" t="str">
            <v>60 - 00011R41275</v>
          </cell>
        </row>
        <row r="168">
          <cell r="H168">
            <v>85500</v>
          </cell>
          <cell r="O168">
            <v>41275</v>
          </cell>
          <cell r="R168" t="str">
            <v/>
          </cell>
          <cell r="T168" t="str">
            <v>60 - 00011R41275</v>
          </cell>
        </row>
        <row r="169">
          <cell r="H169">
            <v>0</v>
          </cell>
          <cell r="O169">
            <v>41275</v>
          </cell>
          <cell r="R169" t="str">
            <v/>
          </cell>
          <cell r="T169" t="str">
            <v>60 - 00011R41275</v>
          </cell>
        </row>
        <row r="170">
          <cell r="H170">
            <v>0</v>
          </cell>
          <cell r="O170">
            <v>41275</v>
          </cell>
          <cell r="R170" t="str">
            <v/>
          </cell>
          <cell r="T170" t="str">
            <v>60 - 00011R41275</v>
          </cell>
        </row>
        <row r="171">
          <cell r="H171">
            <v>0</v>
          </cell>
          <cell r="O171">
            <v>41275</v>
          </cell>
          <cell r="R171" t="str">
            <v/>
          </cell>
          <cell r="T171" t="str">
            <v>60 - 00011R41275</v>
          </cell>
        </row>
        <row r="172">
          <cell r="H172">
            <v>0</v>
          </cell>
          <cell r="O172">
            <v>41275</v>
          </cell>
          <cell r="R172" t="str">
            <v/>
          </cell>
          <cell r="T172" t="str">
            <v>60 - 00011R41275</v>
          </cell>
        </row>
        <row r="173">
          <cell r="H173">
            <v>0</v>
          </cell>
          <cell r="O173">
            <v>41275</v>
          </cell>
          <cell r="R173" t="str">
            <v/>
          </cell>
          <cell r="T173" t="str">
            <v>60 - 00011R41275</v>
          </cell>
        </row>
        <row r="174">
          <cell r="H174">
            <v>132982</v>
          </cell>
          <cell r="O174">
            <v>41275</v>
          </cell>
          <cell r="R174" t="str">
            <v/>
          </cell>
          <cell r="T174" t="str">
            <v>60 - 00011R41275</v>
          </cell>
        </row>
        <row r="175">
          <cell r="H175">
            <v>0</v>
          </cell>
          <cell r="O175">
            <v>41275</v>
          </cell>
          <cell r="R175" t="str">
            <v/>
          </cell>
          <cell r="T175" t="str">
            <v>60 - 00011R41275</v>
          </cell>
        </row>
        <row r="176">
          <cell r="H176">
            <v>0</v>
          </cell>
          <cell r="O176">
            <v>41275</v>
          </cell>
          <cell r="R176" t="str">
            <v/>
          </cell>
          <cell r="T176" t="str">
            <v>60 - 00011R41275</v>
          </cell>
        </row>
        <row r="177">
          <cell r="H177">
            <v>-289192000</v>
          </cell>
          <cell r="O177">
            <v>41275</v>
          </cell>
          <cell r="R177" t="str">
            <v/>
          </cell>
          <cell r="T177" t="str">
            <v>60 - 00011U41275</v>
          </cell>
        </row>
        <row r="178">
          <cell r="H178">
            <v>0</v>
          </cell>
          <cell r="O178">
            <v>41275</v>
          </cell>
          <cell r="R178" t="str">
            <v/>
          </cell>
          <cell r="T178" t="str">
            <v>60 - 00011B41275</v>
          </cell>
        </row>
        <row r="179">
          <cell r="H179">
            <v>33376</v>
          </cell>
          <cell r="O179">
            <v>41275</v>
          </cell>
          <cell r="R179" t="str">
            <v/>
          </cell>
          <cell r="T179" t="str">
            <v>60 - 00011B41275</v>
          </cell>
        </row>
        <row r="180">
          <cell r="H180">
            <v>31297</v>
          </cell>
          <cell r="O180">
            <v>41275</v>
          </cell>
          <cell r="R180" t="str">
            <v/>
          </cell>
          <cell r="T180" t="str">
            <v>60 - 00011B41275</v>
          </cell>
        </row>
        <row r="181">
          <cell r="H181">
            <v>380</v>
          </cell>
          <cell r="O181">
            <v>41275</v>
          </cell>
          <cell r="R181" t="str">
            <v/>
          </cell>
          <cell r="T181" t="str">
            <v>60 - 00011B41275</v>
          </cell>
        </row>
        <row r="182">
          <cell r="H182">
            <v>0</v>
          </cell>
          <cell r="O182">
            <v>41275</v>
          </cell>
          <cell r="R182" t="str">
            <v/>
          </cell>
          <cell r="T182" t="str">
            <v>60 - 00011B41275</v>
          </cell>
        </row>
        <row r="183">
          <cell r="H183">
            <v>0</v>
          </cell>
          <cell r="O183">
            <v>41275</v>
          </cell>
          <cell r="R183" t="str">
            <v/>
          </cell>
          <cell r="T183" t="str">
            <v>60 - 00011R41275</v>
          </cell>
        </row>
        <row r="184">
          <cell r="H184">
            <v>0</v>
          </cell>
          <cell r="O184">
            <v>41275</v>
          </cell>
          <cell r="R184" t="str">
            <v/>
          </cell>
          <cell r="T184" t="str">
            <v>60 - 00011R41275</v>
          </cell>
        </row>
        <row r="185">
          <cell r="H185">
            <v>0</v>
          </cell>
          <cell r="O185">
            <v>41275</v>
          </cell>
          <cell r="R185" t="str">
            <v/>
          </cell>
          <cell r="T185" t="str">
            <v>60 - 00011R41275</v>
          </cell>
        </row>
        <row r="186">
          <cell r="H186">
            <v>0</v>
          </cell>
          <cell r="O186">
            <v>41275</v>
          </cell>
          <cell r="R186" t="str">
            <v/>
          </cell>
          <cell r="T186" t="str">
            <v>60 - 00011R41275</v>
          </cell>
        </row>
        <row r="187">
          <cell r="H187">
            <v>0</v>
          </cell>
          <cell r="O187">
            <v>41275</v>
          </cell>
          <cell r="R187" t="str">
            <v/>
          </cell>
          <cell r="T187" t="str">
            <v>60 - 00011R41275</v>
          </cell>
        </row>
        <row r="188">
          <cell r="H188">
            <v>6832200</v>
          </cell>
          <cell r="O188">
            <v>41275</v>
          </cell>
          <cell r="R188" t="str">
            <v/>
          </cell>
          <cell r="T188" t="str">
            <v>60 - 00011R41275</v>
          </cell>
        </row>
        <row r="189">
          <cell r="H189">
            <v>0</v>
          </cell>
          <cell r="O189">
            <v>41275</v>
          </cell>
          <cell r="R189" t="str">
            <v/>
          </cell>
          <cell r="T189" t="str">
            <v>60 - 00011R41275</v>
          </cell>
        </row>
        <row r="190">
          <cell r="H190">
            <v>1076000</v>
          </cell>
          <cell r="O190">
            <v>41275</v>
          </cell>
          <cell r="R190" t="str">
            <v/>
          </cell>
          <cell r="T190" t="str">
            <v>60 - 00011R41275</v>
          </cell>
        </row>
        <row r="191">
          <cell r="H191">
            <v>25315</v>
          </cell>
          <cell r="O191">
            <v>41275</v>
          </cell>
          <cell r="R191" t="str">
            <v/>
          </cell>
          <cell r="T191" t="str">
            <v>60 - 00011R41275</v>
          </cell>
        </row>
        <row r="192">
          <cell r="H192">
            <v>0</v>
          </cell>
          <cell r="O192">
            <v>41275</v>
          </cell>
          <cell r="R192" t="str">
            <v/>
          </cell>
          <cell r="T192" t="str">
            <v>60 - 00011R41275</v>
          </cell>
        </row>
        <row r="193">
          <cell r="H193">
            <v>147594654</v>
          </cell>
          <cell r="O193">
            <v>41275</v>
          </cell>
          <cell r="R193" t="str">
            <v/>
          </cell>
          <cell r="T193" t="str">
            <v>60 - 00011R41275</v>
          </cell>
        </row>
        <row r="194">
          <cell r="H194">
            <v>0</v>
          </cell>
          <cell r="O194">
            <v>41275</v>
          </cell>
          <cell r="R194" t="str">
            <v/>
          </cell>
          <cell r="T194" t="str">
            <v>60 - 00011R41275</v>
          </cell>
        </row>
        <row r="195">
          <cell r="H195">
            <v>2242799</v>
          </cell>
          <cell r="O195">
            <v>41275</v>
          </cell>
          <cell r="R195" t="str">
            <v/>
          </cell>
          <cell r="T195" t="str">
            <v>60 - 00011R41275</v>
          </cell>
        </row>
        <row r="196">
          <cell r="H196">
            <v>8102306</v>
          </cell>
          <cell r="O196">
            <v>41275</v>
          </cell>
          <cell r="R196" t="str">
            <v/>
          </cell>
          <cell r="T196" t="str">
            <v>60 - 00011R41275</v>
          </cell>
        </row>
        <row r="197">
          <cell r="H197">
            <v>0</v>
          </cell>
          <cell r="O197">
            <v>41275</v>
          </cell>
          <cell r="R197" t="str">
            <v/>
          </cell>
          <cell r="T197" t="str">
            <v>60 - 00011R41275</v>
          </cell>
        </row>
        <row r="198">
          <cell r="H198">
            <v>0</v>
          </cell>
          <cell r="O198">
            <v>41275</v>
          </cell>
          <cell r="R198" t="str">
            <v/>
          </cell>
          <cell r="T198" t="str">
            <v>60 - 00011R41275</v>
          </cell>
        </row>
        <row r="199">
          <cell r="H199">
            <v>0</v>
          </cell>
          <cell r="O199">
            <v>41275</v>
          </cell>
          <cell r="R199" t="str">
            <v/>
          </cell>
          <cell r="T199" t="str">
            <v>60 - 00011R41275</v>
          </cell>
        </row>
        <row r="200">
          <cell r="H200">
            <v>0</v>
          </cell>
          <cell r="O200">
            <v>41275</v>
          </cell>
          <cell r="R200" t="str">
            <v/>
          </cell>
          <cell r="T200" t="str">
            <v>60 - 00011R41275</v>
          </cell>
        </row>
        <row r="201">
          <cell r="H201">
            <v>5486</v>
          </cell>
          <cell r="O201">
            <v>41275</v>
          </cell>
          <cell r="R201" t="str">
            <v/>
          </cell>
          <cell r="T201" t="str">
            <v>60 - 00011R41275</v>
          </cell>
        </row>
        <row r="202">
          <cell r="H202">
            <v>10655</v>
          </cell>
          <cell r="O202">
            <v>41275</v>
          </cell>
          <cell r="R202" t="str">
            <v/>
          </cell>
          <cell r="T202" t="str">
            <v>60 - 00011R41275</v>
          </cell>
        </row>
        <row r="203">
          <cell r="H203">
            <v>197</v>
          </cell>
          <cell r="O203">
            <v>41275</v>
          </cell>
          <cell r="R203" t="str">
            <v/>
          </cell>
          <cell r="T203" t="str">
            <v>60 - 00011R41275</v>
          </cell>
        </row>
        <row r="204">
          <cell r="H204">
            <v>86</v>
          </cell>
          <cell r="O204">
            <v>41275</v>
          </cell>
          <cell r="R204" t="str">
            <v/>
          </cell>
          <cell r="T204" t="str">
            <v>60 - 00011R41275</v>
          </cell>
        </row>
        <row r="205">
          <cell r="H205">
            <v>-3</v>
          </cell>
          <cell r="O205">
            <v>41275</v>
          </cell>
          <cell r="R205" t="str">
            <v/>
          </cell>
          <cell r="T205" t="str">
            <v>60 - 00011R41275</v>
          </cell>
        </row>
        <row r="206">
          <cell r="H206">
            <v>1754</v>
          </cell>
          <cell r="O206">
            <v>41275</v>
          </cell>
          <cell r="R206" t="str">
            <v/>
          </cell>
          <cell r="T206" t="str">
            <v>60 - 00011R41275</v>
          </cell>
        </row>
        <row r="207">
          <cell r="H207">
            <v>18720</v>
          </cell>
          <cell r="O207">
            <v>41275</v>
          </cell>
          <cell r="R207" t="str">
            <v/>
          </cell>
          <cell r="T207" t="str">
            <v>60 - 00011R41275</v>
          </cell>
        </row>
        <row r="208">
          <cell r="H208">
            <v>9900</v>
          </cell>
          <cell r="O208">
            <v>41275</v>
          </cell>
          <cell r="R208" t="str">
            <v/>
          </cell>
          <cell r="T208" t="str">
            <v>60 - 00011R41275</v>
          </cell>
        </row>
        <row r="209">
          <cell r="H209">
            <v>0</v>
          </cell>
          <cell r="O209">
            <v>41275</v>
          </cell>
          <cell r="R209" t="str">
            <v/>
          </cell>
          <cell r="T209" t="str">
            <v>60 - 00011R41275</v>
          </cell>
        </row>
        <row r="210">
          <cell r="H210">
            <v>16633024</v>
          </cell>
          <cell r="O210">
            <v>41275</v>
          </cell>
          <cell r="R210" t="str">
            <v/>
          </cell>
          <cell r="T210" t="str">
            <v>60 - 00011R41275</v>
          </cell>
        </row>
        <row r="211">
          <cell r="H211">
            <v>33381</v>
          </cell>
          <cell r="O211">
            <v>41275</v>
          </cell>
          <cell r="R211" t="str">
            <v/>
          </cell>
          <cell r="T211" t="str">
            <v>60 - 00011R41275</v>
          </cell>
        </row>
        <row r="212">
          <cell r="H212">
            <v>0</v>
          </cell>
          <cell r="O212">
            <v>41275</v>
          </cell>
          <cell r="R212" t="str">
            <v/>
          </cell>
          <cell r="T212" t="str">
            <v>60 - 00011R41275</v>
          </cell>
        </row>
        <row r="213">
          <cell r="H213">
            <v>3040</v>
          </cell>
          <cell r="O213">
            <v>41275</v>
          </cell>
          <cell r="R213" t="str">
            <v/>
          </cell>
          <cell r="T213" t="str">
            <v>60 - 00011R41275</v>
          </cell>
        </row>
        <row r="214">
          <cell r="H214">
            <v>4320</v>
          </cell>
          <cell r="O214">
            <v>41275</v>
          </cell>
          <cell r="R214" t="str">
            <v/>
          </cell>
          <cell r="T214" t="str">
            <v>60 - 00011R41275</v>
          </cell>
        </row>
        <row r="215">
          <cell r="H215">
            <v>4918000</v>
          </cell>
          <cell r="O215">
            <v>41275</v>
          </cell>
          <cell r="R215" t="str">
            <v/>
          </cell>
          <cell r="T215" t="str">
            <v>60 - 00011R41275</v>
          </cell>
        </row>
        <row r="216">
          <cell r="H216">
            <v>0</v>
          </cell>
          <cell r="O216">
            <v>41275</v>
          </cell>
          <cell r="R216" t="str">
            <v/>
          </cell>
          <cell r="T216" t="str">
            <v>60 - 00011R41275</v>
          </cell>
        </row>
        <row r="217">
          <cell r="H217">
            <v>0</v>
          </cell>
          <cell r="O217">
            <v>41275</v>
          </cell>
          <cell r="R217" t="str">
            <v/>
          </cell>
          <cell r="T217" t="str">
            <v>60 - 00011R41275</v>
          </cell>
        </row>
        <row r="218">
          <cell r="H218">
            <v>0</v>
          </cell>
          <cell r="O218">
            <v>41275</v>
          </cell>
          <cell r="R218" t="str">
            <v/>
          </cell>
          <cell r="T218" t="str">
            <v>60 - 00011R41275</v>
          </cell>
        </row>
        <row r="219">
          <cell r="H219">
            <v>0</v>
          </cell>
          <cell r="O219">
            <v>41275</v>
          </cell>
          <cell r="R219" t="str">
            <v/>
          </cell>
          <cell r="T219" t="str">
            <v>60 - 00011R41275</v>
          </cell>
        </row>
        <row r="220">
          <cell r="H220">
            <v>380</v>
          </cell>
          <cell r="O220">
            <v>41275</v>
          </cell>
          <cell r="R220" t="str">
            <v/>
          </cell>
          <cell r="T220" t="str">
            <v>60 - 00011R41275</v>
          </cell>
        </row>
        <row r="221">
          <cell r="H221">
            <v>0</v>
          </cell>
          <cell r="O221">
            <v>41275</v>
          </cell>
          <cell r="R221" t="str">
            <v/>
          </cell>
          <cell r="T221" t="str">
            <v>60 - 00011R41275</v>
          </cell>
        </row>
        <row r="222">
          <cell r="H222">
            <v>-126884000</v>
          </cell>
          <cell r="O222">
            <v>41275</v>
          </cell>
          <cell r="R222" t="str">
            <v/>
          </cell>
          <cell r="T222" t="str">
            <v>60 - 00011U41275</v>
          </cell>
        </row>
        <row r="223">
          <cell r="H223">
            <v>0</v>
          </cell>
          <cell r="O223">
            <v>41275</v>
          </cell>
          <cell r="R223" t="str">
            <v/>
          </cell>
          <cell r="T223" t="str">
            <v>60 - 00011B41275</v>
          </cell>
        </row>
        <row r="224">
          <cell r="H224">
            <v>147766</v>
          </cell>
          <cell r="O224">
            <v>41275</v>
          </cell>
          <cell r="R224" t="str">
            <v/>
          </cell>
          <cell r="T224" t="str">
            <v>60 - 00011B41275</v>
          </cell>
        </row>
        <row r="225">
          <cell r="H225">
            <v>8248</v>
          </cell>
          <cell r="O225">
            <v>41275</v>
          </cell>
          <cell r="R225" t="str">
            <v/>
          </cell>
          <cell r="T225" t="str">
            <v>60 - 00011B41275</v>
          </cell>
        </row>
        <row r="226">
          <cell r="H226">
            <v>6330</v>
          </cell>
          <cell r="O226">
            <v>41275</v>
          </cell>
          <cell r="R226" t="str">
            <v/>
          </cell>
          <cell r="T226" t="str">
            <v>60 - 00011B41275</v>
          </cell>
        </row>
        <row r="227">
          <cell r="H227">
            <v>88</v>
          </cell>
          <cell r="O227">
            <v>41275</v>
          </cell>
          <cell r="R227" t="str">
            <v/>
          </cell>
          <cell r="T227" t="str">
            <v>60 - 00011B41275</v>
          </cell>
        </row>
        <row r="228">
          <cell r="H228">
            <v>291126</v>
          </cell>
          <cell r="O228">
            <v>41275</v>
          </cell>
          <cell r="R228" t="str">
            <v/>
          </cell>
          <cell r="T228" t="str">
            <v>60 - 00011B41275</v>
          </cell>
        </row>
        <row r="229">
          <cell r="H229">
            <v>0</v>
          </cell>
          <cell r="O229">
            <v>41275</v>
          </cell>
          <cell r="R229" t="str">
            <v/>
          </cell>
          <cell r="T229" t="str">
            <v>60 - 00011B41275</v>
          </cell>
        </row>
        <row r="230">
          <cell r="H230">
            <v>0</v>
          </cell>
          <cell r="O230">
            <v>41275</v>
          </cell>
          <cell r="R230" t="str">
            <v/>
          </cell>
          <cell r="T230" t="str">
            <v>60 - 00011B41275</v>
          </cell>
        </row>
        <row r="231">
          <cell r="H231">
            <v>60</v>
          </cell>
          <cell r="O231">
            <v>41275</v>
          </cell>
          <cell r="R231" t="str">
            <v/>
          </cell>
          <cell r="T231" t="str">
            <v>60 - 00011B41275</v>
          </cell>
        </row>
        <row r="232">
          <cell r="H232">
            <v>0</v>
          </cell>
          <cell r="O232">
            <v>41275</v>
          </cell>
          <cell r="R232" t="str">
            <v/>
          </cell>
          <cell r="T232" t="str">
            <v>60 - 00011B41275</v>
          </cell>
        </row>
        <row r="233">
          <cell r="H233">
            <v>35172</v>
          </cell>
          <cell r="O233">
            <v>41275</v>
          </cell>
          <cell r="R233" t="str">
            <v/>
          </cell>
          <cell r="T233" t="str">
            <v>60 - 00011B41275</v>
          </cell>
        </row>
        <row r="234">
          <cell r="H234">
            <v>231</v>
          </cell>
          <cell r="O234">
            <v>41275</v>
          </cell>
          <cell r="R234" t="str">
            <v/>
          </cell>
          <cell r="T234" t="str">
            <v>60 - 00011B41275</v>
          </cell>
        </row>
        <row r="235">
          <cell r="H235">
            <v>0</v>
          </cell>
          <cell r="O235">
            <v>41275</v>
          </cell>
          <cell r="R235" t="str">
            <v/>
          </cell>
          <cell r="T235" t="str">
            <v>60 - 00011B41275</v>
          </cell>
        </row>
        <row r="236">
          <cell r="H236">
            <v>0</v>
          </cell>
          <cell r="O236">
            <v>41275</v>
          </cell>
          <cell r="R236" t="str">
            <v/>
          </cell>
          <cell r="T236" t="str">
            <v>60 - 00011R41275</v>
          </cell>
        </row>
        <row r="237">
          <cell r="H237">
            <v>0</v>
          </cell>
          <cell r="O237">
            <v>41275</v>
          </cell>
          <cell r="R237" t="str">
            <v/>
          </cell>
          <cell r="T237" t="str">
            <v>60 - 00011R41275</v>
          </cell>
        </row>
        <row r="238">
          <cell r="H238">
            <v>0</v>
          </cell>
          <cell r="O238">
            <v>41275</v>
          </cell>
          <cell r="R238" t="str">
            <v/>
          </cell>
          <cell r="T238" t="str">
            <v>60 - 00011R41275</v>
          </cell>
        </row>
        <row r="239">
          <cell r="H239">
            <v>0</v>
          </cell>
          <cell r="O239">
            <v>41275</v>
          </cell>
          <cell r="R239" t="str">
            <v/>
          </cell>
          <cell r="T239" t="str">
            <v>60 - 00011R41275</v>
          </cell>
        </row>
        <row r="240">
          <cell r="H240">
            <v>0</v>
          </cell>
          <cell r="O240">
            <v>41275</v>
          </cell>
          <cell r="R240" t="str">
            <v/>
          </cell>
          <cell r="T240" t="str">
            <v>60 - 00011R41275</v>
          </cell>
        </row>
        <row r="241">
          <cell r="H241">
            <v>0</v>
          </cell>
          <cell r="O241">
            <v>41275</v>
          </cell>
          <cell r="R241" t="str">
            <v/>
          </cell>
          <cell r="T241" t="str">
            <v>60 - 00011R41275</v>
          </cell>
        </row>
        <row r="242">
          <cell r="H242">
            <v>0</v>
          </cell>
          <cell r="O242">
            <v>41275</v>
          </cell>
          <cell r="R242" t="str">
            <v/>
          </cell>
          <cell r="T242" t="str">
            <v>60 - 00011R41275</v>
          </cell>
        </row>
        <row r="243">
          <cell r="H243">
            <v>0</v>
          </cell>
          <cell r="O243">
            <v>41275</v>
          </cell>
          <cell r="R243" t="str">
            <v/>
          </cell>
          <cell r="T243" t="str">
            <v>60 - 00011R41275</v>
          </cell>
        </row>
        <row r="244">
          <cell r="H244">
            <v>0</v>
          </cell>
          <cell r="O244">
            <v>41275</v>
          </cell>
          <cell r="R244" t="str">
            <v/>
          </cell>
          <cell r="T244" t="str">
            <v>60 - 00011R41275</v>
          </cell>
        </row>
        <row r="245">
          <cell r="H245">
            <v>0</v>
          </cell>
          <cell r="O245">
            <v>41275</v>
          </cell>
          <cell r="R245" t="str">
            <v/>
          </cell>
          <cell r="T245" t="str">
            <v>60 - 00011R41275</v>
          </cell>
        </row>
        <row r="246">
          <cell r="H246">
            <v>0</v>
          </cell>
          <cell r="O246">
            <v>41275</v>
          </cell>
          <cell r="R246" t="str">
            <v/>
          </cell>
          <cell r="T246" t="str">
            <v>60 - 00011R41275</v>
          </cell>
        </row>
        <row r="247">
          <cell r="H247">
            <v>8248</v>
          </cell>
          <cell r="O247">
            <v>41275</v>
          </cell>
          <cell r="R247" t="str">
            <v/>
          </cell>
          <cell r="T247" t="str">
            <v>60 - 00011R41275</v>
          </cell>
        </row>
        <row r="248">
          <cell r="H248">
            <v>6331</v>
          </cell>
          <cell r="O248">
            <v>41275</v>
          </cell>
          <cell r="R248" t="str">
            <v/>
          </cell>
          <cell r="T248" t="str">
            <v>60 - 00011R41275</v>
          </cell>
        </row>
        <row r="249">
          <cell r="H249">
            <v>144060</v>
          </cell>
          <cell r="O249">
            <v>41275</v>
          </cell>
          <cell r="R249" t="str">
            <v/>
          </cell>
          <cell r="T249" t="str">
            <v>60 - 00011R41275</v>
          </cell>
        </row>
        <row r="250">
          <cell r="H250">
            <v>517039</v>
          </cell>
          <cell r="O250">
            <v>41275</v>
          </cell>
          <cell r="R250" t="str">
            <v/>
          </cell>
          <cell r="T250" t="str">
            <v>60 - 00011R41275</v>
          </cell>
        </row>
        <row r="251">
          <cell r="H251">
            <v>1581</v>
          </cell>
          <cell r="O251">
            <v>41275</v>
          </cell>
          <cell r="R251" t="str">
            <v/>
          </cell>
          <cell r="T251" t="str">
            <v>60 - 00011R41275</v>
          </cell>
        </row>
        <row r="252">
          <cell r="H252">
            <v>88</v>
          </cell>
          <cell r="O252">
            <v>41275</v>
          </cell>
          <cell r="R252" t="str">
            <v/>
          </cell>
          <cell r="T252" t="str">
            <v>60 - 00011R41275</v>
          </cell>
        </row>
        <row r="253">
          <cell r="H253">
            <v>0</v>
          </cell>
          <cell r="O253">
            <v>41275</v>
          </cell>
          <cell r="R253" t="str">
            <v/>
          </cell>
          <cell r="T253" t="str">
            <v>60 - 00011R41275</v>
          </cell>
        </row>
        <row r="254">
          <cell r="H254">
            <v>0</v>
          </cell>
          <cell r="O254">
            <v>41275</v>
          </cell>
          <cell r="R254" t="str">
            <v/>
          </cell>
          <cell r="T254" t="str">
            <v>60 - 00011R41275</v>
          </cell>
        </row>
        <row r="255">
          <cell r="H255">
            <v>0</v>
          </cell>
          <cell r="O255">
            <v>41275</v>
          </cell>
          <cell r="R255" t="str">
            <v/>
          </cell>
          <cell r="T255" t="str">
            <v>60 - 00011R41275</v>
          </cell>
        </row>
        <row r="256">
          <cell r="H256">
            <v>12754</v>
          </cell>
          <cell r="O256">
            <v>41275</v>
          </cell>
          <cell r="R256" t="str">
            <v/>
          </cell>
          <cell r="T256" t="str">
            <v>60 - 00011R41275</v>
          </cell>
        </row>
        <row r="257">
          <cell r="H257">
            <v>0</v>
          </cell>
          <cell r="O257">
            <v>41275</v>
          </cell>
          <cell r="R257" t="str">
            <v/>
          </cell>
          <cell r="T257" t="str">
            <v>60 - 00011R41275</v>
          </cell>
        </row>
        <row r="258">
          <cell r="H258">
            <v>0</v>
          </cell>
          <cell r="O258">
            <v>41275</v>
          </cell>
          <cell r="R258" t="str">
            <v/>
          </cell>
          <cell r="T258" t="str">
            <v>60 - 00011R41275</v>
          </cell>
        </row>
        <row r="259">
          <cell r="H259">
            <v>0</v>
          </cell>
          <cell r="O259">
            <v>41275</v>
          </cell>
          <cell r="R259" t="str">
            <v/>
          </cell>
          <cell r="T259" t="str">
            <v>60 - 00011R41275</v>
          </cell>
        </row>
        <row r="260">
          <cell r="H260">
            <v>0</v>
          </cell>
          <cell r="O260">
            <v>41275</v>
          </cell>
          <cell r="R260" t="str">
            <v/>
          </cell>
          <cell r="T260" t="str">
            <v>60 - 00011R41275</v>
          </cell>
        </row>
        <row r="261">
          <cell r="H261">
            <v>0</v>
          </cell>
          <cell r="O261">
            <v>41275</v>
          </cell>
          <cell r="R261" t="str">
            <v/>
          </cell>
          <cell r="T261" t="str">
            <v>60 - 00011R41275</v>
          </cell>
        </row>
        <row r="262">
          <cell r="H262">
            <v>35176</v>
          </cell>
          <cell r="O262">
            <v>41275</v>
          </cell>
          <cell r="R262" t="str">
            <v/>
          </cell>
          <cell r="T262" t="str">
            <v>60 - 00011R41275</v>
          </cell>
        </row>
        <row r="263">
          <cell r="H263">
            <v>0</v>
          </cell>
          <cell r="O263">
            <v>41275</v>
          </cell>
          <cell r="R263" t="str">
            <v/>
          </cell>
          <cell r="T263" t="str">
            <v>60 - 00011R41275</v>
          </cell>
        </row>
        <row r="264">
          <cell r="H264">
            <v>0</v>
          </cell>
          <cell r="O264">
            <v>41275</v>
          </cell>
          <cell r="R264" t="str">
            <v/>
          </cell>
          <cell r="T264" t="str">
            <v>60 - 00011R41275</v>
          </cell>
        </row>
        <row r="265">
          <cell r="H265">
            <v>-112000</v>
          </cell>
          <cell r="O265">
            <v>41275</v>
          </cell>
          <cell r="R265" t="str">
            <v/>
          </cell>
          <cell r="T265" t="str">
            <v>60 - 00011U41275</v>
          </cell>
        </row>
        <row r="266">
          <cell r="H266">
            <v>0</v>
          </cell>
          <cell r="O266">
            <v>41275</v>
          </cell>
          <cell r="R266" t="str">
            <v/>
          </cell>
          <cell r="T266" t="str">
            <v>60 - 00011R41275</v>
          </cell>
        </row>
        <row r="267">
          <cell r="H267">
            <v>0</v>
          </cell>
          <cell r="O267">
            <v>41275</v>
          </cell>
          <cell r="R267" t="str">
            <v/>
          </cell>
          <cell r="T267" t="str">
            <v>60 - 00011R41275</v>
          </cell>
        </row>
        <row r="268">
          <cell r="H268">
            <v>0</v>
          </cell>
          <cell r="O268">
            <v>41275</v>
          </cell>
          <cell r="R268" t="str">
            <v/>
          </cell>
          <cell r="T268" t="str">
            <v>60 - 00011R41275</v>
          </cell>
        </row>
        <row r="269">
          <cell r="H269">
            <v>0</v>
          </cell>
          <cell r="O269">
            <v>41275</v>
          </cell>
          <cell r="R269" t="str">
            <v/>
          </cell>
          <cell r="T269" t="str">
            <v>60 - 00011R41275</v>
          </cell>
        </row>
        <row r="270">
          <cell r="H270">
            <v>46334</v>
          </cell>
          <cell r="O270">
            <v>41275</v>
          </cell>
          <cell r="R270" t="str">
            <v/>
          </cell>
          <cell r="T270" t="str">
            <v>60 - 00011R41275</v>
          </cell>
        </row>
        <row r="271">
          <cell r="H271">
            <v>8264</v>
          </cell>
          <cell r="O271">
            <v>41275</v>
          </cell>
          <cell r="R271" t="str">
            <v/>
          </cell>
          <cell r="T271" t="str">
            <v>60 - 00011R41275</v>
          </cell>
        </row>
        <row r="272">
          <cell r="H272">
            <v>1596544</v>
          </cell>
          <cell r="O272">
            <v>41275</v>
          </cell>
          <cell r="R272" t="str">
            <v/>
          </cell>
          <cell r="T272" t="str">
            <v>60 - 00011R41275</v>
          </cell>
        </row>
        <row r="273">
          <cell r="H273">
            <v>720116</v>
          </cell>
          <cell r="O273">
            <v>41275</v>
          </cell>
          <cell r="R273" t="str">
            <v/>
          </cell>
          <cell r="T273" t="str">
            <v>60 - 00011R41275</v>
          </cell>
        </row>
        <row r="274">
          <cell r="H274">
            <v>31</v>
          </cell>
          <cell r="O274">
            <v>41275</v>
          </cell>
          <cell r="R274" t="str">
            <v/>
          </cell>
          <cell r="T274" t="str">
            <v>60 - 00011R41275</v>
          </cell>
        </row>
        <row r="275">
          <cell r="H275">
            <v>84252</v>
          </cell>
          <cell r="O275">
            <v>41275</v>
          </cell>
          <cell r="R275" t="str">
            <v/>
          </cell>
          <cell r="T275" t="str">
            <v>60 - 00011R41275</v>
          </cell>
        </row>
        <row r="276">
          <cell r="H276">
            <v>694851</v>
          </cell>
          <cell r="O276">
            <v>41275</v>
          </cell>
          <cell r="R276" t="str">
            <v/>
          </cell>
          <cell r="T276" t="str">
            <v>60 - 00011R41275</v>
          </cell>
        </row>
        <row r="277">
          <cell r="H277">
            <v>3423</v>
          </cell>
          <cell r="O277">
            <v>41275</v>
          </cell>
          <cell r="R277" t="str">
            <v/>
          </cell>
          <cell r="T277" t="str">
            <v>60 - 00011R41275</v>
          </cell>
        </row>
        <row r="278">
          <cell r="H278">
            <v>0</v>
          </cell>
          <cell r="O278">
            <v>41275</v>
          </cell>
          <cell r="R278" t="str">
            <v/>
          </cell>
          <cell r="T278" t="str">
            <v>60 - 00011R41275</v>
          </cell>
        </row>
        <row r="279">
          <cell r="H279">
            <v>-2303000</v>
          </cell>
          <cell r="O279">
            <v>41275</v>
          </cell>
          <cell r="R279" t="str">
            <v/>
          </cell>
          <cell r="T279" t="str">
            <v>60 - 00011U41275</v>
          </cell>
        </row>
        <row r="280">
          <cell r="H280">
            <v>0</v>
          </cell>
          <cell r="O280">
            <v>41275</v>
          </cell>
          <cell r="R280" t="str">
            <v/>
          </cell>
          <cell r="T280" t="str">
            <v>60 - 00012B41275</v>
          </cell>
        </row>
        <row r="281">
          <cell r="H281">
            <v>200524549</v>
          </cell>
          <cell r="O281">
            <v>41275</v>
          </cell>
          <cell r="R281" t="str">
            <v/>
          </cell>
          <cell r="T281" t="str">
            <v>60 - 00012B41275</v>
          </cell>
        </row>
        <row r="282">
          <cell r="H282">
            <v>256502</v>
          </cell>
          <cell r="O282">
            <v>41275</v>
          </cell>
          <cell r="R282" t="str">
            <v/>
          </cell>
          <cell r="T282" t="str">
            <v>60 - 00012B41275</v>
          </cell>
        </row>
        <row r="283">
          <cell r="H283">
            <v>43033</v>
          </cell>
          <cell r="O283">
            <v>41275</v>
          </cell>
          <cell r="R283" t="str">
            <v/>
          </cell>
          <cell r="T283" t="str">
            <v>60 - 00012B41275</v>
          </cell>
        </row>
        <row r="284">
          <cell r="H284">
            <v>8406738</v>
          </cell>
          <cell r="O284">
            <v>41275</v>
          </cell>
          <cell r="R284" t="str">
            <v/>
          </cell>
          <cell r="T284" t="str">
            <v>60 - 00012B41275</v>
          </cell>
        </row>
        <row r="285">
          <cell r="H285">
            <v>91236</v>
          </cell>
          <cell r="O285">
            <v>41275</v>
          </cell>
          <cell r="R285" t="str">
            <v/>
          </cell>
          <cell r="T285" t="str">
            <v>60 - 00012B41275</v>
          </cell>
        </row>
        <row r="286">
          <cell r="H286">
            <v>193054</v>
          </cell>
          <cell r="O286">
            <v>41275</v>
          </cell>
          <cell r="R286" t="str">
            <v/>
          </cell>
          <cell r="T286" t="str">
            <v>60 - 00012B41275</v>
          </cell>
        </row>
        <row r="287">
          <cell r="H287">
            <v>464106</v>
          </cell>
          <cell r="O287">
            <v>41275</v>
          </cell>
          <cell r="R287" t="str">
            <v/>
          </cell>
          <cell r="T287" t="str">
            <v>60 - 00012B41275</v>
          </cell>
        </row>
        <row r="288">
          <cell r="H288">
            <v>0</v>
          </cell>
          <cell r="O288">
            <v>41275</v>
          </cell>
          <cell r="R288" t="str">
            <v/>
          </cell>
          <cell r="T288" t="str">
            <v>60 - 00012B41275</v>
          </cell>
        </row>
        <row r="289">
          <cell r="H289">
            <v>0</v>
          </cell>
          <cell r="O289">
            <v>41275</v>
          </cell>
          <cell r="R289" t="str">
            <v>41275WARESAGA</v>
          </cell>
          <cell r="T289" t="str">
            <v>60 - 00012R41275</v>
          </cell>
        </row>
        <row r="290">
          <cell r="H290">
            <v>0</v>
          </cell>
          <cell r="O290">
            <v>41275</v>
          </cell>
          <cell r="R290" t="str">
            <v>41275WARESAGA</v>
          </cell>
          <cell r="T290" t="str">
            <v>60 - 00012R41275</v>
          </cell>
        </row>
        <row r="291">
          <cell r="H291">
            <v>0</v>
          </cell>
          <cell r="O291">
            <v>41275</v>
          </cell>
          <cell r="R291" t="str">
            <v>41275WARESAGA</v>
          </cell>
          <cell r="T291" t="str">
            <v>60 - 00012R41275</v>
          </cell>
        </row>
        <row r="292">
          <cell r="H292">
            <v>0</v>
          </cell>
          <cell r="O292">
            <v>41275</v>
          </cell>
          <cell r="R292" t="str">
            <v>41275WARESAGA</v>
          </cell>
          <cell r="T292" t="str">
            <v>60 - 00012R41275</v>
          </cell>
        </row>
        <row r="293">
          <cell r="H293">
            <v>0</v>
          </cell>
          <cell r="O293">
            <v>41275</v>
          </cell>
          <cell r="R293" t="str">
            <v>41275WARESAGA</v>
          </cell>
          <cell r="T293" t="str">
            <v>60 - 00012R41275</v>
          </cell>
        </row>
        <row r="294">
          <cell r="H294">
            <v>0</v>
          </cell>
          <cell r="O294">
            <v>41275</v>
          </cell>
          <cell r="R294" t="str">
            <v>41275WARESAGA</v>
          </cell>
          <cell r="T294" t="str">
            <v>60 - 00012R41275</v>
          </cell>
        </row>
        <row r="295">
          <cell r="H295">
            <v>200524587</v>
          </cell>
          <cell r="O295">
            <v>41275</v>
          </cell>
          <cell r="R295" t="str">
            <v>41275WARES16</v>
          </cell>
          <cell r="T295" t="str">
            <v>60 - 00012R41275</v>
          </cell>
        </row>
        <row r="296">
          <cell r="H296">
            <v>256502</v>
          </cell>
          <cell r="O296">
            <v>41275</v>
          </cell>
          <cell r="R296" t="str">
            <v>41275WARES18</v>
          </cell>
          <cell r="T296" t="str">
            <v>60 - 00012R41275</v>
          </cell>
        </row>
        <row r="297">
          <cell r="H297">
            <v>43033</v>
          </cell>
          <cell r="O297">
            <v>41275</v>
          </cell>
          <cell r="R297" t="str">
            <v>41275WARES18</v>
          </cell>
          <cell r="T297" t="str">
            <v>60 - 00012R41275</v>
          </cell>
        </row>
        <row r="298">
          <cell r="H298">
            <v>0</v>
          </cell>
          <cell r="O298">
            <v>41275</v>
          </cell>
          <cell r="R298" t="str">
            <v>41275WARESAGA</v>
          </cell>
          <cell r="T298" t="str">
            <v>60 - 00012R41275</v>
          </cell>
        </row>
        <row r="299">
          <cell r="H299">
            <v>8406738</v>
          </cell>
          <cell r="O299">
            <v>41275</v>
          </cell>
          <cell r="R299" t="str">
            <v>41275WARES17</v>
          </cell>
          <cell r="T299" t="str">
            <v>60 - 00012R41275</v>
          </cell>
        </row>
        <row r="300">
          <cell r="H300">
            <v>91236</v>
          </cell>
          <cell r="O300">
            <v>41275</v>
          </cell>
          <cell r="R300" t="str">
            <v>41275WARES15</v>
          </cell>
          <cell r="T300" t="str">
            <v>60 - 00012R41275</v>
          </cell>
        </row>
        <row r="301">
          <cell r="H301">
            <v>193054</v>
          </cell>
          <cell r="O301">
            <v>41275</v>
          </cell>
          <cell r="R301" t="str">
            <v>41275WARES16</v>
          </cell>
          <cell r="T301" t="str">
            <v>60 - 00012R41275</v>
          </cell>
        </row>
        <row r="302">
          <cell r="H302">
            <v>464114</v>
          </cell>
          <cell r="O302">
            <v>41275</v>
          </cell>
          <cell r="R302" t="str">
            <v>41275WARES24</v>
          </cell>
          <cell r="T302" t="str">
            <v>60 - 00012R41275</v>
          </cell>
        </row>
        <row r="303">
          <cell r="H303">
            <v>0</v>
          </cell>
          <cell r="O303">
            <v>41275</v>
          </cell>
          <cell r="R303" t="str">
            <v>41275WARESAGA</v>
          </cell>
          <cell r="T303" t="str">
            <v>60 - 00012R41275</v>
          </cell>
        </row>
        <row r="304">
          <cell r="H304">
            <v>-128074000</v>
          </cell>
          <cell r="O304">
            <v>41275</v>
          </cell>
          <cell r="R304" t="str">
            <v>41275WARES88</v>
          </cell>
          <cell r="T304" t="str">
            <v>60 - 00012U41275</v>
          </cell>
        </row>
        <row r="305">
          <cell r="H305">
            <v>0</v>
          </cell>
          <cell r="O305">
            <v>41275</v>
          </cell>
          <cell r="R305" t="str">
            <v>41275WARESAGA</v>
          </cell>
          <cell r="T305" t="str">
            <v>60 - 00012U41275</v>
          </cell>
        </row>
        <row r="306">
          <cell r="H306">
            <v>0</v>
          </cell>
          <cell r="O306">
            <v>41275</v>
          </cell>
          <cell r="R306" t="str">
            <v/>
          </cell>
          <cell r="T306" t="str">
            <v>60 - 00012B41275</v>
          </cell>
        </row>
        <row r="307">
          <cell r="H307">
            <v>3874295</v>
          </cell>
          <cell r="O307">
            <v>41275</v>
          </cell>
          <cell r="R307" t="str">
            <v/>
          </cell>
          <cell r="T307" t="str">
            <v>60 - 00012B41275</v>
          </cell>
        </row>
        <row r="308">
          <cell r="H308">
            <v>182174</v>
          </cell>
          <cell r="O308">
            <v>41275</v>
          </cell>
          <cell r="R308" t="str">
            <v/>
          </cell>
          <cell r="T308" t="str">
            <v>60 - 00012B41275</v>
          </cell>
        </row>
        <row r="309">
          <cell r="H309">
            <v>7613111</v>
          </cell>
          <cell r="O309">
            <v>41275</v>
          </cell>
          <cell r="R309" t="str">
            <v/>
          </cell>
          <cell r="T309" t="str">
            <v>60 - 00012B41275</v>
          </cell>
        </row>
        <row r="310">
          <cell r="H310">
            <v>48189</v>
          </cell>
          <cell r="O310">
            <v>41275</v>
          </cell>
          <cell r="R310" t="str">
            <v/>
          </cell>
          <cell r="T310" t="str">
            <v>60 - 00012B41275</v>
          </cell>
        </row>
        <row r="311">
          <cell r="H311">
            <v>72</v>
          </cell>
          <cell r="O311">
            <v>41275</v>
          </cell>
          <cell r="R311" t="str">
            <v/>
          </cell>
          <cell r="T311" t="str">
            <v>60 - 00012B41275</v>
          </cell>
        </row>
        <row r="312">
          <cell r="H312">
            <v>202</v>
          </cell>
          <cell r="O312">
            <v>41275</v>
          </cell>
          <cell r="R312" t="str">
            <v/>
          </cell>
          <cell r="T312" t="str">
            <v>60 - 00012B41275</v>
          </cell>
        </row>
        <row r="313">
          <cell r="H313">
            <v>0</v>
          </cell>
          <cell r="O313">
            <v>41275</v>
          </cell>
          <cell r="R313" t="str">
            <v/>
          </cell>
          <cell r="T313" t="str">
            <v>60 - 00012B41275</v>
          </cell>
        </row>
        <row r="314">
          <cell r="H314">
            <v>0</v>
          </cell>
          <cell r="O314">
            <v>41275</v>
          </cell>
          <cell r="R314" t="str">
            <v>41275WACOMAGA</v>
          </cell>
          <cell r="T314" t="str">
            <v>60 - 00012R41275</v>
          </cell>
        </row>
        <row r="315">
          <cell r="H315">
            <v>0</v>
          </cell>
          <cell r="O315">
            <v>41275</v>
          </cell>
          <cell r="R315" t="str">
            <v>41275WACOMAGA</v>
          </cell>
          <cell r="T315" t="str">
            <v>60 - 00012R41275</v>
          </cell>
        </row>
        <row r="316">
          <cell r="H316">
            <v>0</v>
          </cell>
          <cell r="O316">
            <v>41275</v>
          </cell>
          <cell r="R316" t="str">
            <v>41275WACOMAGA</v>
          </cell>
          <cell r="T316" t="str">
            <v>60 - 00012R41275</v>
          </cell>
        </row>
        <row r="317">
          <cell r="H317">
            <v>0</v>
          </cell>
          <cell r="O317">
            <v>41275</v>
          </cell>
          <cell r="R317" t="str">
            <v>41275WACOMAGA</v>
          </cell>
          <cell r="T317" t="str">
            <v>60 - 00012R41275</v>
          </cell>
        </row>
        <row r="318">
          <cell r="H318">
            <v>0</v>
          </cell>
          <cell r="O318">
            <v>41275</v>
          </cell>
          <cell r="R318" t="str">
            <v>41275WACOMAGA</v>
          </cell>
          <cell r="T318" t="str">
            <v>60 - 00012R41275</v>
          </cell>
        </row>
        <row r="319">
          <cell r="H319">
            <v>46610664</v>
          </cell>
          <cell r="O319">
            <v>41275</v>
          </cell>
          <cell r="R319" t="str">
            <v>41275WACOM24</v>
          </cell>
          <cell r="T319" t="str">
            <v>60 - 00012R41275</v>
          </cell>
        </row>
        <row r="320">
          <cell r="H320">
            <v>92919</v>
          </cell>
          <cell r="O320">
            <v>41275</v>
          </cell>
          <cell r="R320" t="str">
            <v>41275WACOM24</v>
          </cell>
          <cell r="T320" t="str">
            <v>60 - 00012R41275</v>
          </cell>
        </row>
        <row r="321">
          <cell r="H321">
            <v>63624538</v>
          </cell>
          <cell r="O321">
            <v>41275</v>
          </cell>
          <cell r="R321" t="str">
            <v>41275WACOM36</v>
          </cell>
          <cell r="T321" t="str">
            <v>60 - 00012R41275</v>
          </cell>
        </row>
        <row r="322">
          <cell r="H322">
            <v>13995120</v>
          </cell>
          <cell r="O322">
            <v>41275</v>
          </cell>
          <cell r="R322" t="str">
            <v>41275WACOM48T</v>
          </cell>
          <cell r="T322" t="str">
            <v>60 - 00012R41275</v>
          </cell>
        </row>
        <row r="323">
          <cell r="H323">
            <v>0</v>
          </cell>
          <cell r="O323">
            <v>41275</v>
          </cell>
          <cell r="R323" t="str">
            <v>41275WACOMAGA</v>
          </cell>
          <cell r="T323" t="str">
            <v>60 - 00012R41275</v>
          </cell>
        </row>
        <row r="324">
          <cell r="H324">
            <v>0</v>
          </cell>
          <cell r="O324">
            <v>41275</v>
          </cell>
          <cell r="R324" t="str">
            <v>41275WACOMAGA</v>
          </cell>
          <cell r="T324" t="str">
            <v>60 - 00012R41275</v>
          </cell>
        </row>
        <row r="325">
          <cell r="H325">
            <v>0</v>
          </cell>
          <cell r="O325">
            <v>41275</v>
          </cell>
          <cell r="R325" t="str">
            <v>41275WACOMAGA</v>
          </cell>
          <cell r="T325" t="str">
            <v>60 - 00012R41275</v>
          </cell>
        </row>
        <row r="326">
          <cell r="H326">
            <v>0</v>
          </cell>
          <cell r="O326">
            <v>41275</v>
          </cell>
          <cell r="R326" t="str">
            <v>41275WACOMAGA</v>
          </cell>
          <cell r="T326" t="str">
            <v>60 - 00012R41275</v>
          </cell>
        </row>
        <row r="327">
          <cell r="H327">
            <v>0</v>
          </cell>
          <cell r="O327">
            <v>41275</v>
          </cell>
          <cell r="R327" t="str">
            <v>41275WACOMAGA</v>
          </cell>
          <cell r="T327" t="str">
            <v>60 - 00012R41275</v>
          </cell>
        </row>
        <row r="328">
          <cell r="H328">
            <v>130626</v>
          </cell>
          <cell r="O328">
            <v>41275</v>
          </cell>
          <cell r="R328" t="str">
            <v>41275WACOM15</v>
          </cell>
          <cell r="T328" t="str">
            <v>60 - 00012R41275</v>
          </cell>
        </row>
        <row r="329">
          <cell r="H329">
            <v>22539</v>
          </cell>
          <cell r="O329">
            <v>41275</v>
          </cell>
          <cell r="R329" t="str">
            <v>41275WACOM54</v>
          </cell>
          <cell r="T329" t="str">
            <v>60 - 00012R41275</v>
          </cell>
        </row>
        <row r="330">
          <cell r="H330">
            <v>0</v>
          </cell>
          <cell r="O330">
            <v>41275</v>
          </cell>
          <cell r="R330" t="str">
            <v>41275WACOMAGA</v>
          </cell>
          <cell r="T330" t="str">
            <v>60 - 00012R41275</v>
          </cell>
        </row>
        <row r="331">
          <cell r="H331">
            <v>68204</v>
          </cell>
          <cell r="O331">
            <v>41275</v>
          </cell>
          <cell r="R331" t="str">
            <v>41275WACOM24</v>
          </cell>
          <cell r="T331" t="str">
            <v>60 - 00012R41275</v>
          </cell>
        </row>
        <row r="332">
          <cell r="H332">
            <v>3874316</v>
          </cell>
          <cell r="O332">
            <v>41275</v>
          </cell>
          <cell r="R332" t="str">
            <v>41275WACOM24</v>
          </cell>
          <cell r="T332" t="str">
            <v>60 - 00012R41275</v>
          </cell>
        </row>
        <row r="333">
          <cell r="H333">
            <v>182176</v>
          </cell>
          <cell r="O333">
            <v>41275</v>
          </cell>
          <cell r="R333" t="str">
            <v>41275WACOM24</v>
          </cell>
          <cell r="T333" t="str">
            <v>60 - 00012R41275</v>
          </cell>
        </row>
        <row r="334">
          <cell r="H334">
            <v>7613111</v>
          </cell>
          <cell r="O334">
            <v>41275</v>
          </cell>
          <cell r="R334" t="str">
            <v>41275WACOM36</v>
          </cell>
          <cell r="T334" t="str">
            <v>60 - 00012R41275</v>
          </cell>
        </row>
        <row r="335">
          <cell r="H335">
            <v>48189</v>
          </cell>
          <cell r="O335">
            <v>41275</v>
          </cell>
          <cell r="R335" t="str">
            <v>41275WACOM15</v>
          </cell>
          <cell r="T335" t="str">
            <v>60 - 00012R41275</v>
          </cell>
        </row>
        <row r="336">
          <cell r="H336">
            <v>12857</v>
          </cell>
          <cell r="O336">
            <v>41275</v>
          </cell>
          <cell r="R336" t="str">
            <v>41275WACOM24</v>
          </cell>
          <cell r="T336" t="str">
            <v>60 - 00012R41275</v>
          </cell>
        </row>
        <row r="337">
          <cell r="H337">
            <v>0</v>
          </cell>
          <cell r="O337">
            <v>41275</v>
          </cell>
          <cell r="R337" t="str">
            <v>41275WACOMAGA</v>
          </cell>
          <cell r="T337" t="str">
            <v>60 - 00012R41275</v>
          </cell>
        </row>
        <row r="338">
          <cell r="H338">
            <v>15360</v>
          </cell>
          <cell r="O338">
            <v>41275</v>
          </cell>
          <cell r="R338" t="str">
            <v>41275WACOM36</v>
          </cell>
          <cell r="T338" t="str">
            <v>60 - 00012R41275</v>
          </cell>
        </row>
        <row r="339">
          <cell r="H339">
            <v>0</v>
          </cell>
          <cell r="O339">
            <v>41275</v>
          </cell>
          <cell r="R339" t="str">
            <v>41275WACOMAGA</v>
          </cell>
          <cell r="T339" t="str">
            <v>60 - 00012R41275</v>
          </cell>
        </row>
        <row r="340">
          <cell r="H340">
            <v>-80714000</v>
          </cell>
          <cell r="O340">
            <v>41275</v>
          </cell>
          <cell r="R340" t="str">
            <v>41275WACOM88</v>
          </cell>
          <cell r="T340" t="str">
            <v>60 - 00012U41275</v>
          </cell>
        </row>
        <row r="341">
          <cell r="H341">
            <v>0</v>
          </cell>
          <cell r="O341">
            <v>41275</v>
          </cell>
          <cell r="R341" t="str">
            <v/>
          </cell>
          <cell r="T341" t="str">
            <v>60 - 00012B41275</v>
          </cell>
        </row>
        <row r="342">
          <cell r="H342">
            <v>148585</v>
          </cell>
          <cell r="O342">
            <v>41275</v>
          </cell>
          <cell r="R342" t="str">
            <v/>
          </cell>
          <cell r="T342" t="str">
            <v>60 - 00012B41275</v>
          </cell>
        </row>
        <row r="343">
          <cell r="H343">
            <v>19</v>
          </cell>
          <cell r="O343">
            <v>41275</v>
          </cell>
          <cell r="R343" t="str">
            <v/>
          </cell>
          <cell r="T343" t="str">
            <v>60 - 00012B41275</v>
          </cell>
        </row>
        <row r="344">
          <cell r="H344">
            <v>112600</v>
          </cell>
          <cell r="O344">
            <v>41275</v>
          </cell>
          <cell r="R344" t="str">
            <v/>
          </cell>
          <cell r="T344" t="str">
            <v>60 - 00012B41275</v>
          </cell>
        </row>
        <row r="345">
          <cell r="H345">
            <v>2385</v>
          </cell>
          <cell r="O345">
            <v>41275</v>
          </cell>
          <cell r="R345" t="str">
            <v/>
          </cell>
          <cell r="T345" t="str">
            <v>60 - 00012B41275</v>
          </cell>
        </row>
        <row r="346">
          <cell r="H346">
            <v>0</v>
          </cell>
          <cell r="O346">
            <v>41275</v>
          </cell>
          <cell r="R346" t="str">
            <v/>
          </cell>
          <cell r="T346" t="str">
            <v>60 - 00012B41275</v>
          </cell>
        </row>
        <row r="347">
          <cell r="H347">
            <v>0</v>
          </cell>
          <cell r="O347">
            <v>41275</v>
          </cell>
          <cell r="R347" t="str">
            <v>41275WAINDAGA</v>
          </cell>
          <cell r="T347" t="str">
            <v>60 - 00012R41275</v>
          </cell>
        </row>
        <row r="348">
          <cell r="H348">
            <v>0</v>
          </cell>
          <cell r="O348">
            <v>41275</v>
          </cell>
          <cell r="R348" t="str">
            <v>41275WAINDAGA</v>
          </cell>
          <cell r="T348" t="str">
            <v>60 - 00012R41275</v>
          </cell>
        </row>
        <row r="349">
          <cell r="H349">
            <v>0</v>
          </cell>
          <cell r="O349">
            <v>41275</v>
          </cell>
          <cell r="R349" t="str">
            <v>41275WAINDAGA</v>
          </cell>
          <cell r="T349" t="str">
            <v>60 - 00012R41275</v>
          </cell>
        </row>
        <row r="350">
          <cell r="H350">
            <v>0</v>
          </cell>
          <cell r="O350">
            <v>41275</v>
          </cell>
          <cell r="R350" t="str">
            <v>41275WAINDAGA</v>
          </cell>
          <cell r="T350" t="str">
            <v>60 - 00012R41275</v>
          </cell>
        </row>
        <row r="351">
          <cell r="H351">
            <v>1711320</v>
          </cell>
          <cell r="O351">
            <v>41275</v>
          </cell>
          <cell r="R351" t="str">
            <v>41275WAIND24</v>
          </cell>
          <cell r="T351" t="str">
            <v>60 - 00012R41275</v>
          </cell>
        </row>
        <row r="352">
          <cell r="H352">
            <v>2776</v>
          </cell>
          <cell r="O352">
            <v>41275</v>
          </cell>
          <cell r="R352" t="str">
            <v>41275WAIND24</v>
          </cell>
          <cell r="T352" t="str">
            <v>60 - 00012R41275</v>
          </cell>
        </row>
        <row r="353">
          <cell r="H353">
            <v>9784661</v>
          </cell>
          <cell r="O353">
            <v>41275</v>
          </cell>
          <cell r="R353" t="str">
            <v>41275WAIND36</v>
          </cell>
          <cell r="T353" t="str">
            <v>60 - 00012R41275</v>
          </cell>
        </row>
        <row r="354">
          <cell r="H354">
            <v>57420350</v>
          </cell>
          <cell r="O354">
            <v>41275</v>
          </cell>
          <cell r="R354" t="str">
            <v>41275WAIND48T</v>
          </cell>
          <cell r="T354" t="str">
            <v>60 - 00012R41275</v>
          </cell>
        </row>
        <row r="355">
          <cell r="H355">
            <v>3421</v>
          </cell>
          <cell r="O355">
            <v>41275</v>
          </cell>
          <cell r="R355" t="str">
            <v>41275WAIND15</v>
          </cell>
          <cell r="T355" t="str">
            <v>60 - 00012R41275</v>
          </cell>
        </row>
        <row r="356">
          <cell r="H356">
            <v>157000</v>
          </cell>
          <cell r="O356">
            <v>41275</v>
          </cell>
          <cell r="R356" t="str">
            <v>41275WAIND47</v>
          </cell>
          <cell r="T356" t="str">
            <v>60 - 00012R41275</v>
          </cell>
        </row>
        <row r="357">
          <cell r="H357">
            <v>148586</v>
          </cell>
          <cell r="O357">
            <v>41275</v>
          </cell>
          <cell r="R357" t="str">
            <v>41275WAIND24</v>
          </cell>
          <cell r="T357" t="str">
            <v>60 - 00012R41275</v>
          </cell>
        </row>
        <row r="358">
          <cell r="H358">
            <v>19</v>
          </cell>
          <cell r="O358">
            <v>41275</v>
          </cell>
          <cell r="R358" t="str">
            <v>41275WAIND24</v>
          </cell>
          <cell r="T358" t="str">
            <v>60 - 00012R41275</v>
          </cell>
        </row>
        <row r="359">
          <cell r="H359">
            <v>112600</v>
          </cell>
          <cell r="O359">
            <v>41275</v>
          </cell>
          <cell r="R359" t="str">
            <v>41275WAIND36</v>
          </cell>
          <cell r="T359" t="str">
            <v>60 - 00012R41275</v>
          </cell>
        </row>
        <row r="360">
          <cell r="H360">
            <v>2385</v>
          </cell>
          <cell r="O360">
            <v>41275</v>
          </cell>
          <cell r="R360" t="str">
            <v>41275WAIND15</v>
          </cell>
          <cell r="T360" t="str">
            <v>60 - 00012R41275</v>
          </cell>
        </row>
        <row r="361">
          <cell r="H361">
            <v>0</v>
          </cell>
          <cell r="O361">
            <v>41275</v>
          </cell>
          <cell r="R361" t="str">
            <v>41275WAINDAGA</v>
          </cell>
          <cell r="T361" t="str">
            <v>60 - 00012R41275</v>
          </cell>
        </row>
        <row r="362">
          <cell r="H362">
            <v>-65664000</v>
          </cell>
          <cell r="O362">
            <v>41275</v>
          </cell>
          <cell r="R362" t="str">
            <v>41275WAIND88</v>
          </cell>
          <cell r="T362" t="str">
            <v>60 - 00012U41275</v>
          </cell>
        </row>
        <row r="363">
          <cell r="H363">
            <v>0</v>
          </cell>
          <cell r="O363">
            <v>41275</v>
          </cell>
          <cell r="R363" t="str">
            <v/>
          </cell>
          <cell r="T363" t="str">
            <v>60 - 00012B41275</v>
          </cell>
        </row>
        <row r="364">
          <cell r="H364">
            <v>427077</v>
          </cell>
          <cell r="O364">
            <v>41275</v>
          </cell>
          <cell r="R364" t="str">
            <v/>
          </cell>
          <cell r="T364" t="str">
            <v>60 - 00012B41275</v>
          </cell>
        </row>
        <row r="365">
          <cell r="H365">
            <v>0</v>
          </cell>
          <cell r="O365">
            <v>41275</v>
          </cell>
          <cell r="R365" t="str">
            <v/>
          </cell>
          <cell r="T365" t="str">
            <v>60 - 00012B41275</v>
          </cell>
        </row>
        <row r="366">
          <cell r="H366">
            <v>0</v>
          </cell>
          <cell r="O366">
            <v>41275</v>
          </cell>
          <cell r="R366" t="str">
            <v>41275WAINDAGA</v>
          </cell>
          <cell r="T366" t="str">
            <v>60 - 00012R41275</v>
          </cell>
        </row>
        <row r="367">
          <cell r="H367">
            <v>0</v>
          </cell>
          <cell r="O367">
            <v>41275</v>
          </cell>
          <cell r="R367" t="str">
            <v>41275WAINDAGA</v>
          </cell>
          <cell r="T367" t="str">
            <v>60 - 00012R41275</v>
          </cell>
        </row>
        <row r="368">
          <cell r="H368">
            <v>0</v>
          </cell>
          <cell r="O368">
            <v>41275</v>
          </cell>
          <cell r="R368" t="str">
            <v>41275WAINDAGA</v>
          </cell>
          <cell r="T368" t="str">
            <v>60 - 00012R41275</v>
          </cell>
        </row>
        <row r="369">
          <cell r="H369">
            <v>0</v>
          </cell>
          <cell r="O369">
            <v>41275</v>
          </cell>
          <cell r="R369" t="str">
            <v>41275WAINDAGA</v>
          </cell>
          <cell r="T369" t="str">
            <v>60 - 00012R41275</v>
          </cell>
        </row>
        <row r="370">
          <cell r="H370">
            <v>0</v>
          </cell>
          <cell r="O370">
            <v>41275</v>
          </cell>
          <cell r="R370" t="str">
            <v>41275WAINDAGA</v>
          </cell>
          <cell r="T370" t="str">
            <v>60 - 00012R41275</v>
          </cell>
        </row>
        <row r="371">
          <cell r="H371">
            <v>427180</v>
          </cell>
          <cell r="O371">
            <v>41275</v>
          </cell>
          <cell r="R371" t="str">
            <v>41275WAIND40</v>
          </cell>
          <cell r="T371" t="str">
            <v>60 - 00012R41275</v>
          </cell>
        </row>
        <row r="372">
          <cell r="H372">
            <v>48577</v>
          </cell>
          <cell r="O372">
            <v>41275</v>
          </cell>
          <cell r="R372" t="str">
            <v>41275WAIND40</v>
          </cell>
          <cell r="T372" t="str">
            <v>60 - 00012R41275</v>
          </cell>
        </row>
        <row r="373">
          <cell r="H373">
            <v>0</v>
          </cell>
          <cell r="O373">
            <v>41275</v>
          </cell>
          <cell r="R373" t="str">
            <v>41275WAINDAGA</v>
          </cell>
          <cell r="T373" t="str">
            <v>60 - 00012R41275</v>
          </cell>
        </row>
        <row r="374">
          <cell r="H374">
            <v>0</v>
          </cell>
          <cell r="O374">
            <v>41275</v>
          </cell>
          <cell r="R374" t="str">
            <v>41275WAINDAGA</v>
          </cell>
          <cell r="T374" t="str">
            <v>60 - 00012R41275</v>
          </cell>
        </row>
        <row r="375">
          <cell r="H375">
            <v>0</v>
          </cell>
          <cell r="O375">
            <v>41275</v>
          </cell>
          <cell r="R375" t="str">
            <v>41275WAINDAGA</v>
          </cell>
          <cell r="T375" t="str">
            <v>60 - 00012R41275</v>
          </cell>
        </row>
        <row r="376">
          <cell r="H376">
            <v>0</v>
          </cell>
          <cell r="O376">
            <v>41275</v>
          </cell>
          <cell r="R376" t="str">
            <v>41275WAINDAGA</v>
          </cell>
          <cell r="T376" t="str">
            <v>60 - 00012R41275</v>
          </cell>
        </row>
        <row r="377">
          <cell r="H377">
            <v>0</v>
          </cell>
          <cell r="O377">
            <v>41275</v>
          </cell>
          <cell r="R377" t="str">
            <v>41275WAINDAGA</v>
          </cell>
          <cell r="T377" t="str">
            <v>60 - 00012R41275</v>
          </cell>
        </row>
        <row r="378">
          <cell r="H378">
            <v>0</v>
          </cell>
          <cell r="O378">
            <v>41275</v>
          </cell>
          <cell r="R378" t="str">
            <v>41275WAINDAGA</v>
          </cell>
          <cell r="T378" t="str">
            <v>60 - 00012R41275</v>
          </cell>
        </row>
        <row r="379">
          <cell r="H379">
            <v>0</v>
          </cell>
          <cell r="O379">
            <v>41275</v>
          </cell>
          <cell r="R379" t="str">
            <v>41275WAINDAGA</v>
          </cell>
          <cell r="T379" t="str">
            <v>60 - 00012R41275</v>
          </cell>
        </row>
        <row r="380">
          <cell r="H380">
            <v>0</v>
          </cell>
          <cell r="O380">
            <v>41275</v>
          </cell>
          <cell r="R380" t="str">
            <v>41275WAINDAGA</v>
          </cell>
          <cell r="T380" t="str">
            <v>60 - 00012R41275</v>
          </cell>
        </row>
        <row r="381">
          <cell r="H381">
            <v>-368000</v>
          </cell>
          <cell r="O381">
            <v>41275</v>
          </cell>
          <cell r="R381" t="str">
            <v>41275WAIND89</v>
          </cell>
          <cell r="T381" t="str">
            <v>60 - 00012U41275</v>
          </cell>
        </row>
        <row r="382">
          <cell r="H382">
            <v>0</v>
          </cell>
          <cell r="O382">
            <v>41275</v>
          </cell>
          <cell r="R382" t="str">
            <v>41275WAPSHAGA</v>
          </cell>
          <cell r="T382" t="str">
            <v>60 - 00012R41275</v>
          </cell>
        </row>
        <row r="383">
          <cell r="H383">
            <v>0</v>
          </cell>
          <cell r="O383">
            <v>41275</v>
          </cell>
          <cell r="R383" t="str">
            <v>41275WAPSHAGA</v>
          </cell>
          <cell r="T383" t="str">
            <v>60 - 00012R41275</v>
          </cell>
        </row>
        <row r="384">
          <cell r="H384">
            <v>0</v>
          </cell>
          <cell r="O384">
            <v>41275</v>
          </cell>
          <cell r="R384" t="str">
            <v>41275WAPSHAGA</v>
          </cell>
          <cell r="T384" t="str">
            <v>60 - 00012R41275</v>
          </cell>
        </row>
        <row r="385">
          <cell r="H385">
            <v>0</v>
          </cell>
          <cell r="O385">
            <v>41275</v>
          </cell>
          <cell r="R385" t="str">
            <v>41275WAPSHAGA</v>
          </cell>
          <cell r="T385" t="str">
            <v>60 - 00012R41275</v>
          </cell>
        </row>
        <row r="386">
          <cell r="H386">
            <v>18326</v>
          </cell>
          <cell r="O386">
            <v>41275</v>
          </cell>
          <cell r="R386" t="str">
            <v>41275WAPSH52</v>
          </cell>
          <cell r="T386" t="str">
            <v>60 - 00012R41275</v>
          </cell>
        </row>
        <row r="387">
          <cell r="H387">
            <v>288227</v>
          </cell>
          <cell r="O387">
            <v>41275</v>
          </cell>
          <cell r="R387" t="str">
            <v>41275WAPSH53</v>
          </cell>
          <cell r="T387" t="str">
            <v>60 - 00012R41275</v>
          </cell>
        </row>
        <row r="388">
          <cell r="H388">
            <v>135550</v>
          </cell>
          <cell r="O388">
            <v>41275</v>
          </cell>
          <cell r="R388" t="str">
            <v>41275WAPSH53</v>
          </cell>
          <cell r="T388" t="str">
            <v>60 - 00012R41275</v>
          </cell>
        </row>
        <row r="389">
          <cell r="H389">
            <v>293379</v>
          </cell>
          <cell r="O389">
            <v>41275</v>
          </cell>
          <cell r="R389" t="str">
            <v>41275WAPSH51</v>
          </cell>
          <cell r="T389" t="str">
            <v>60 - 00012R41275</v>
          </cell>
        </row>
        <row r="390">
          <cell r="H390">
            <v>161352</v>
          </cell>
          <cell r="O390">
            <v>41275</v>
          </cell>
          <cell r="R390" t="str">
            <v>41275WAPSH57</v>
          </cell>
          <cell r="T390" t="str">
            <v>60 - 00012R41275</v>
          </cell>
        </row>
        <row r="391">
          <cell r="H391">
            <v>0</v>
          </cell>
          <cell r="O391">
            <v>41275</v>
          </cell>
          <cell r="R391" t="str">
            <v>41275WAPSHAGA</v>
          </cell>
          <cell r="T391" t="str">
            <v>60 - 00012R41275</v>
          </cell>
        </row>
        <row r="392">
          <cell r="H392">
            <v>-1434000</v>
          </cell>
          <cell r="O392">
            <v>41275</v>
          </cell>
          <cell r="R392" t="str">
            <v>41275WAPSH88</v>
          </cell>
          <cell r="T392" t="str">
            <v>60 - 00012U41275</v>
          </cell>
        </row>
        <row r="393">
          <cell r="H393">
            <v>0</v>
          </cell>
          <cell r="O393">
            <v>41306</v>
          </cell>
          <cell r="R393" t="str">
            <v/>
          </cell>
          <cell r="T393" t="str">
            <v>60 - 00016R41306</v>
          </cell>
        </row>
        <row r="394">
          <cell r="H394">
            <v>0</v>
          </cell>
          <cell r="O394">
            <v>41306</v>
          </cell>
          <cell r="R394" t="str">
            <v/>
          </cell>
          <cell r="T394" t="str">
            <v>60 - 00016R41306</v>
          </cell>
        </row>
        <row r="395">
          <cell r="H395">
            <v>0</v>
          </cell>
          <cell r="O395">
            <v>41306</v>
          </cell>
          <cell r="R395" t="str">
            <v/>
          </cell>
          <cell r="T395" t="str">
            <v>60 - 00016R41306</v>
          </cell>
        </row>
        <row r="396">
          <cell r="H396">
            <v>0</v>
          </cell>
          <cell r="O396">
            <v>41306</v>
          </cell>
          <cell r="R396" t="str">
            <v/>
          </cell>
          <cell r="T396" t="str">
            <v>60 - 00016R41306</v>
          </cell>
        </row>
        <row r="397">
          <cell r="H397">
            <v>0</v>
          </cell>
          <cell r="O397">
            <v>41306</v>
          </cell>
          <cell r="R397" t="str">
            <v/>
          </cell>
          <cell r="T397" t="str">
            <v>60 - 00016R41306</v>
          </cell>
        </row>
        <row r="398">
          <cell r="H398">
            <v>0</v>
          </cell>
          <cell r="O398">
            <v>41306</v>
          </cell>
          <cell r="R398" t="str">
            <v/>
          </cell>
          <cell r="T398" t="str">
            <v>60 - 00016R41306</v>
          </cell>
        </row>
        <row r="399">
          <cell r="H399">
            <v>0</v>
          </cell>
          <cell r="O399">
            <v>41306</v>
          </cell>
          <cell r="R399" t="str">
            <v/>
          </cell>
          <cell r="T399" t="str">
            <v>60 - 00016R41306</v>
          </cell>
        </row>
        <row r="400">
          <cell r="H400">
            <v>26373</v>
          </cell>
          <cell r="O400">
            <v>41306</v>
          </cell>
          <cell r="R400" t="str">
            <v/>
          </cell>
          <cell r="T400" t="str">
            <v>60 - 00016R41306</v>
          </cell>
        </row>
        <row r="401">
          <cell r="H401">
            <v>11918775</v>
          </cell>
          <cell r="O401">
            <v>41306</v>
          </cell>
          <cell r="R401" t="str">
            <v/>
          </cell>
          <cell r="T401" t="str">
            <v>60 - 00016R41306</v>
          </cell>
        </row>
        <row r="402">
          <cell r="H402">
            <v>19486624</v>
          </cell>
          <cell r="O402">
            <v>41306</v>
          </cell>
          <cell r="R402" t="str">
            <v/>
          </cell>
          <cell r="T402" t="str">
            <v>60 - 00016R41306</v>
          </cell>
        </row>
        <row r="403">
          <cell r="H403">
            <v>0</v>
          </cell>
          <cell r="O403">
            <v>41306</v>
          </cell>
          <cell r="R403" t="str">
            <v/>
          </cell>
          <cell r="T403" t="str">
            <v>60 - 00016R41306</v>
          </cell>
        </row>
        <row r="404">
          <cell r="H404">
            <v>105676</v>
          </cell>
          <cell r="O404">
            <v>41306</v>
          </cell>
          <cell r="R404" t="str">
            <v/>
          </cell>
          <cell r="T404" t="str">
            <v>60 - 00016R41306</v>
          </cell>
        </row>
        <row r="405">
          <cell r="H405">
            <v>9151541</v>
          </cell>
          <cell r="O405">
            <v>41306</v>
          </cell>
          <cell r="R405" t="str">
            <v/>
          </cell>
          <cell r="T405" t="str">
            <v>60 - 00016R41306</v>
          </cell>
        </row>
        <row r="406">
          <cell r="H406">
            <v>0</v>
          </cell>
          <cell r="O406">
            <v>41306</v>
          </cell>
          <cell r="R406" t="str">
            <v/>
          </cell>
          <cell r="T406" t="str">
            <v>60 - 00016R41306</v>
          </cell>
        </row>
        <row r="407">
          <cell r="H407">
            <v>33155</v>
          </cell>
          <cell r="O407">
            <v>41306</v>
          </cell>
          <cell r="R407" t="str">
            <v/>
          </cell>
          <cell r="T407" t="str">
            <v>60 - 00016R41306</v>
          </cell>
        </row>
        <row r="408">
          <cell r="H408">
            <v>132438</v>
          </cell>
          <cell r="O408">
            <v>41306</v>
          </cell>
          <cell r="R408" t="str">
            <v/>
          </cell>
          <cell r="T408" t="str">
            <v>60 - 00016R41306</v>
          </cell>
        </row>
        <row r="409">
          <cell r="H409">
            <v>81165</v>
          </cell>
          <cell r="O409">
            <v>41306</v>
          </cell>
          <cell r="R409" t="str">
            <v/>
          </cell>
          <cell r="T409" t="str">
            <v>60 - 00016R41306</v>
          </cell>
        </row>
        <row r="410">
          <cell r="H410">
            <v>0</v>
          </cell>
          <cell r="O410">
            <v>41306</v>
          </cell>
          <cell r="R410" t="str">
            <v/>
          </cell>
          <cell r="T410" t="str">
            <v>60 - 00016R41306</v>
          </cell>
        </row>
        <row r="411">
          <cell r="H411">
            <v>-3956000</v>
          </cell>
          <cell r="O411">
            <v>41306</v>
          </cell>
          <cell r="R411" t="str">
            <v/>
          </cell>
          <cell r="T411" t="str">
            <v>60 - 00016U41306</v>
          </cell>
        </row>
        <row r="412">
          <cell r="H412">
            <v>0</v>
          </cell>
          <cell r="O412">
            <v>41306</v>
          </cell>
          <cell r="R412" t="str">
            <v/>
          </cell>
          <cell r="T412" t="str">
            <v>60 - 00016U41306</v>
          </cell>
        </row>
        <row r="413">
          <cell r="H413">
            <v>0</v>
          </cell>
          <cell r="O413">
            <v>41306</v>
          </cell>
          <cell r="R413" t="str">
            <v/>
          </cell>
          <cell r="T413" t="str">
            <v>60 - 00016R41306</v>
          </cell>
        </row>
        <row r="414">
          <cell r="H414">
            <v>0</v>
          </cell>
          <cell r="O414">
            <v>41306</v>
          </cell>
          <cell r="R414" t="str">
            <v/>
          </cell>
          <cell r="T414" t="str">
            <v>60 - 00016R41306</v>
          </cell>
        </row>
        <row r="415">
          <cell r="H415">
            <v>0</v>
          </cell>
          <cell r="O415">
            <v>41306</v>
          </cell>
          <cell r="R415" t="str">
            <v/>
          </cell>
          <cell r="T415" t="str">
            <v>60 - 00016R41306</v>
          </cell>
        </row>
        <row r="416">
          <cell r="H416">
            <v>0</v>
          </cell>
          <cell r="O416">
            <v>41306</v>
          </cell>
          <cell r="R416" t="str">
            <v/>
          </cell>
          <cell r="T416" t="str">
            <v>60 - 00016R41306</v>
          </cell>
        </row>
        <row r="417">
          <cell r="H417">
            <v>0</v>
          </cell>
          <cell r="O417">
            <v>41306</v>
          </cell>
          <cell r="R417" t="str">
            <v/>
          </cell>
          <cell r="T417" t="str">
            <v>60 - 00016R41306</v>
          </cell>
        </row>
        <row r="418">
          <cell r="H418">
            <v>0</v>
          </cell>
          <cell r="O418">
            <v>41306</v>
          </cell>
          <cell r="R418" t="str">
            <v/>
          </cell>
          <cell r="T418" t="str">
            <v>60 - 00016R41306</v>
          </cell>
        </row>
        <row r="419">
          <cell r="H419">
            <v>0</v>
          </cell>
          <cell r="O419">
            <v>41306</v>
          </cell>
          <cell r="R419" t="str">
            <v/>
          </cell>
          <cell r="T419" t="str">
            <v>60 - 00016R41306</v>
          </cell>
        </row>
        <row r="420">
          <cell r="H420">
            <v>7551213</v>
          </cell>
          <cell r="O420">
            <v>41306</v>
          </cell>
          <cell r="R420" t="str">
            <v/>
          </cell>
          <cell r="T420" t="str">
            <v>60 - 00016R41306</v>
          </cell>
        </row>
        <row r="421">
          <cell r="H421">
            <v>5296471</v>
          </cell>
          <cell r="O421">
            <v>41306</v>
          </cell>
          <cell r="R421" t="str">
            <v/>
          </cell>
          <cell r="T421" t="str">
            <v>60 - 00016R41306</v>
          </cell>
        </row>
        <row r="422">
          <cell r="H422">
            <v>76321</v>
          </cell>
          <cell r="O422">
            <v>41306</v>
          </cell>
          <cell r="R422" t="str">
            <v/>
          </cell>
          <cell r="T422" t="str">
            <v>60 - 00016R41306</v>
          </cell>
        </row>
        <row r="423">
          <cell r="H423">
            <v>6278292</v>
          </cell>
          <cell r="O423">
            <v>41306</v>
          </cell>
          <cell r="R423" t="str">
            <v/>
          </cell>
          <cell r="T423" t="str">
            <v>60 - 00016R41306</v>
          </cell>
        </row>
        <row r="424">
          <cell r="H424">
            <v>0</v>
          </cell>
          <cell r="O424">
            <v>41306</v>
          </cell>
          <cell r="R424" t="str">
            <v/>
          </cell>
          <cell r="T424" t="str">
            <v>60 - 00016R41306</v>
          </cell>
        </row>
        <row r="425">
          <cell r="H425">
            <v>0</v>
          </cell>
          <cell r="O425">
            <v>41306</v>
          </cell>
          <cell r="R425" t="str">
            <v/>
          </cell>
          <cell r="T425" t="str">
            <v>60 - 00016R41306</v>
          </cell>
        </row>
        <row r="426">
          <cell r="H426">
            <v>0</v>
          </cell>
          <cell r="O426">
            <v>41306</v>
          </cell>
          <cell r="R426" t="str">
            <v/>
          </cell>
          <cell r="T426" t="str">
            <v>60 - 00016R41306</v>
          </cell>
        </row>
        <row r="427">
          <cell r="H427">
            <v>0</v>
          </cell>
          <cell r="O427">
            <v>41306</v>
          </cell>
          <cell r="R427" t="str">
            <v/>
          </cell>
          <cell r="T427" t="str">
            <v>60 - 00016R41306</v>
          </cell>
        </row>
        <row r="428">
          <cell r="H428">
            <v>58218</v>
          </cell>
          <cell r="O428">
            <v>41306</v>
          </cell>
          <cell r="R428" t="str">
            <v/>
          </cell>
          <cell r="T428" t="str">
            <v>60 - 00016R41306</v>
          </cell>
        </row>
        <row r="429">
          <cell r="H429">
            <v>10955</v>
          </cell>
          <cell r="O429">
            <v>41306</v>
          </cell>
          <cell r="R429" t="str">
            <v/>
          </cell>
          <cell r="T429" t="str">
            <v>60 - 00016R41306</v>
          </cell>
        </row>
        <row r="430">
          <cell r="H430">
            <v>5240700</v>
          </cell>
          <cell r="O430">
            <v>41306</v>
          </cell>
          <cell r="R430" t="str">
            <v/>
          </cell>
          <cell r="T430" t="str">
            <v>60 - 00016R41306</v>
          </cell>
        </row>
        <row r="431">
          <cell r="H431">
            <v>0</v>
          </cell>
          <cell r="O431">
            <v>41306</v>
          </cell>
          <cell r="R431" t="str">
            <v/>
          </cell>
          <cell r="T431" t="str">
            <v>60 - 00016R41306</v>
          </cell>
        </row>
        <row r="432">
          <cell r="H432">
            <v>12503</v>
          </cell>
          <cell r="O432">
            <v>41306</v>
          </cell>
          <cell r="R432" t="str">
            <v/>
          </cell>
          <cell r="T432" t="str">
            <v>60 - 00016R41306</v>
          </cell>
        </row>
        <row r="433">
          <cell r="H433">
            <v>67440</v>
          </cell>
          <cell r="O433">
            <v>41306</v>
          </cell>
          <cell r="R433" t="str">
            <v/>
          </cell>
          <cell r="T433" t="str">
            <v>60 - 00016R41306</v>
          </cell>
        </row>
        <row r="434">
          <cell r="H434">
            <v>0</v>
          </cell>
          <cell r="O434">
            <v>41306</v>
          </cell>
          <cell r="R434" t="str">
            <v/>
          </cell>
          <cell r="T434" t="str">
            <v>60 - 00016R41306</v>
          </cell>
        </row>
        <row r="435">
          <cell r="H435">
            <v>242040</v>
          </cell>
          <cell r="O435">
            <v>41306</v>
          </cell>
          <cell r="R435" t="str">
            <v/>
          </cell>
          <cell r="T435" t="str">
            <v>60 - 00016R41306</v>
          </cell>
        </row>
        <row r="436">
          <cell r="H436">
            <v>0</v>
          </cell>
          <cell r="O436">
            <v>41306</v>
          </cell>
          <cell r="R436" t="str">
            <v/>
          </cell>
          <cell r="T436" t="str">
            <v>60 - 00016R41306</v>
          </cell>
        </row>
        <row r="437">
          <cell r="H437">
            <v>-4865000</v>
          </cell>
          <cell r="O437">
            <v>41306</v>
          </cell>
          <cell r="R437" t="str">
            <v/>
          </cell>
          <cell r="T437" t="str">
            <v>60 - 00016U41306</v>
          </cell>
        </row>
        <row r="438">
          <cell r="H438">
            <v>0</v>
          </cell>
          <cell r="O438">
            <v>41306</v>
          </cell>
          <cell r="R438" t="str">
            <v/>
          </cell>
          <cell r="T438" t="str">
            <v>60 - 00016R41306</v>
          </cell>
        </row>
        <row r="439">
          <cell r="H439">
            <v>0</v>
          </cell>
          <cell r="O439">
            <v>41306</v>
          </cell>
          <cell r="R439" t="str">
            <v/>
          </cell>
          <cell r="T439" t="str">
            <v>60 - 00016R41306</v>
          </cell>
        </row>
        <row r="440">
          <cell r="H440">
            <v>0</v>
          </cell>
          <cell r="O440">
            <v>41306</v>
          </cell>
          <cell r="R440" t="str">
            <v/>
          </cell>
          <cell r="T440" t="str">
            <v>60 - 00016R41306</v>
          </cell>
        </row>
        <row r="441">
          <cell r="H441">
            <v>0</v>
          </cell>
          <cell r="O441">
            <v>41306</v>
          </cell>
          <cell r="R441" t="str">
            <v/>
          </cell>
          <cell r="T441" t="str">
            <v>60 - 00016R41306</v>
          </cell>
        </row>
        <row r="442">
          <cell r="H442">
            <v>0</v>
          </cell>
          <cell r="O442">
            <v>41306</v>
          </cell>
          <cell r="R442" t="str">
            <v/>
          </cell>
          <cell r="T442" t="str">
            <v>60 - 00016R41306</v>
          </cell>
        </row>
        <row r="443">
          <cell r="H443">
            <v>0</v>
          </cell>
          <cell r="O443">
            <v>41306</v>
          </cell>
          <cell r="R443" t="str">
            <v/>
          </cell>
          <cell r="T443" t="str">
            <v>60 - 00016R41306</v>
          </cell>
        </row>
        <row r="444">
          <cell r="H444">
            <v>144162</v>
          </cell>
          <cell r="O444">
            <v>41306</v>
          </cell>
          <cell r="R444" t="str">
            <v/>
          </cell>
          <cell r="T444" t="str">
            <v>60 - 00016R41306</v>
          </cell>
        </row>
        <row r="445">
          <cell r="H445">
            <v>74832</v>
          </cell>
          <cell r="O445">
            <v>41306</v>
          </cell>
          <cell r="R445" t="str">
            <v/>
          </cell>
          <cell r="T445" t="str">
            <v>60 - 00016R41306</v>
          </cell>
        </row>
        <row r="446">
          <cell r="H446">
            <v>385260</v>
          </cell>
          <cell r="O446">
            <v>41306</v>
          </cell>
          <cell r="R446" t="str">
            <v/>
          </cell>
          <cell r="T446" t="str">
            <v>60 - 00016R41306</v>
          </cell>
        </row>
        <row r="447">
          <cell r="H447">
            <v>1129760</v>
          </cell>
          <cell r="O447">
            <v>41306</v>
          </cell>
          <cell r="R447" t="str">
            <v/>
          </cell>
          <cell r="T447" t="str">
            <v>60 - 00016R41306</v>
          </cell>
        </row>
        <row r="448">
          <cell r="H448">
            <v>0</v>
          </cell>
          <cell r="O448">
            <v>41306</v>
          </cell>
          <cell r="R448" t="str">
            <v/>
          </cell>
          <cell r="T448" t="str">
            <v>60 - 00016R41306</v>
          </cell>
        </row>
        <row r="449">
          <cell r="H449">
            <v>591000</v>
          </cell>
          <cell r="O449">
            <v>41306</v>
          </cell>
          <cell r="R449" t="str">
            <v/>
          </cell>
          <cell r="T449" t="str">
            <v>60 - 00016U41306</v>
          </cell>
        </row>
        <row r="450">
          <cell r="H450">
            <v>0</v>
          </cell>
          <cell r="O450">
            <v>41306</v>
          </cell>
          <cell r="R450" t="str">
            <v/>
          </cell>
          <cell r="T450" t="str">
            <v>60 - 00016R41306</v>
          </cell>
        </row>
        <row r="451">
          <cell r="H451">
            <v>0</v>
          </cell>
          <cell r="O451">
            <v>41306</v>
          </cell>
          <cell r="R451" t="str">
            <v/>
          </cell>
          <cell r="T451" t="str">
            <v>60 - 00016R41306</v>
          </cell>
        </row>
        <row r="452">
          <cell r="H452">
            <v>0</v>
          </cell>
          <cell r="O452">
            <v>41306</v>
          </cell>
          <cell r="R452" t="str">
            <v/>
          </cell>
          <cell r="T452" t="str">
            <v>60 - 00016R41306</v>
          </cell>
        </row>
        <row r="453">
          <cell r="H453">
            <v>0</v>
          </cell>
          <cell r="O453">
            <v>41306</v>
          </cell>
          <cell r="R453" t="str">
            <v/>
          </cell>
          <cell r="T453" t="str">
            <v>60 - 00016R41306</v>
          </cell>
        </row>
        <row r="454">
          <cell r="H454">
            <v>0</v>
          </cell>
          <cell r="O454">
            <v>41306</v>
          </cell>
          <cell r="R454" t="str">
            <v/>
          </cell>
          <cell r="T454" t="str">
            <v>60 - 00016R41306</v>
          </cell>
        </row>
        <row r="455">
          <cell r="H455">
            <v>0</v>
          </cell>
          <cell r="O455">
            <v>41306</v>
          </cell>
          <cell r="R455" t="str">
            <v/>
          </cell>
          <cell r="T455" t="str">
            <v>60 - 00016R41306</v>
          </cell>
        </row>
        <row r="456">
          <cell r="H456">
            <v>57991</v>
          </cell>
          <cell r="O456">
            <v>41306</v>
          </cell>
          <cell r="R456" t="str">
            <v/>
          </cell>
          <cell r="T456" t="str">
            <v>60 - 00016R41306</v>
          </cell>
        </row>
        <row r="457">
          <cell r="H457">
            <v>0</v>
          </cell>
          <cell r="O457">
            <v>41306</v>
          </cell>
          <cell r="R457" t="str">
            <v/>
          </cell>
          <cell r="T457" t="str">
            <v>60 - 00016R41306</v>
          </cell>
        </row>
        <row r="458">
          <cell r="H458">
            <v>0</v>
          </cell>
          <cell r="O458">
            <v>41306</v>
          </cell>
          <cell r="R458" t="str">
            <v/>
          </cell>
          <cell r="T458" t="str">
            <v>60 - 00016R41306</v>
          </cell>
        </row>
        <row r="459">
          <cell r="H459">
            <v>0</v>
          </cell>
          <cell r="O459">
            <v>41306</v>
          </cell>
          <cell r="R459" t="str">
            <v/>
          </cell>
          <cell r="T459" t="str">
            <v>60 - 00016R41306</v>
          </cell>
        </row>
        <row r="460">
          <cell r="H460">
            <v>0</v>
          </cell>
          <cell r="O460">
            <v>41306</v>
          </cell>
          <cell r="R460" t="str">
            <v/>
          </cell>
          <cell r="T460" t="str">
            <v>60 - 00016R41306</v>
          </cell>
        </row>
        <row r="461">
          <cell r="H461">
            <v>0</v>
          </cell>
          <cell r="O461">
            <v>41306</v>
          </cell>
          <cell r="R461" t="str">
            <v/>
          </cell>
          <cell r="T461" t="str">
            <v>60 - 00016R41306</v>
          </cell>
        </row>
        <row r="462">
          <cell r="H462">
            <v>30000</v>
          </cell>
          <cell r="O462">
            <v>41306</v>
          </cell>
          <cell r="R462" t="str">
            <v/>
          </cell>
          <cell r="T462" t="str">
            <v>60 - 00016U41306</v>
          </cell>
        </row>
        <row r="463">
          <cell r="H463">
            <v>0</v>
          </cell>
          <cell r="O463">
            <v>41306</v>
          </cell>
          <cell r="R463" t="str">
            <v/>
          </cell>
          <cell r="T463" t="str">
            <v>60 - 00016R41306</v>
          </cell>
        </row>
        <row r="464">
          <cell r="H464">
            <v>0</v>
          </cell>
          <cell r="O464">
            <v>41306</v>
          </cell>
          <cell r="R464" t="str">
            <v/>
          </cell>
          <cell r="T464" t="str">
            <v>60 - 00016R41306</v>
          </cell>
        </row>
        <row r="465">
          <cell r="H465">
            <v>0</v>
          </cell>
          <cell r="O465">
            <v>41306</v>
          </cell>
          <cell r="R465" t="str">
            <v/>
          </cell>
          <cell r="T465" t="str">
            <v>60 - 00016R41306</v>
          </cell>
        </row>
        <row r="466">
          <cell r="H466">
            <v>0</v>
          </cell>
          <cell r="O466">
            <v>41306</v>
          </cell>
          <cell r="R466" t="str">
            <v/>
          </cell>
          <cell r="T466" t="str">
            <v>60 - 00016R41306</v>
          </cell>
        </row>
        <row r="467">
          <cell r="H467">
            <v>119497</v>
          </cell>
          <cell r="O467">
            <v>41306</v>
          </cell>
          <cell r="R467" t="str">
            <v/>
          </cell>
          <cell r="T467" t="str">
            <v>60 - 00016R41306</v>
          </cell>
        </row>
        <row r="468">
          <cell r="H468">
            <v>19758</v>
          </cell>
          <cell r="O468">
            <v>41306</v>
          </cell>
          <cell r="R468" t="str">
            <v/>
          </cell>
          <cell r="T468" t="str">
            <v>60 - 00016R41306</v>
          </cell>
        </row>
        <row r="469">
          <cell r="H469">
            <v>57489</v>
          </cell>
          <cell r="O469">
            <v>41306</v>
          </cell>
          <cell r="R469" t="str">
            <v/>
          </cell>
          <cell r="T469" t="str">
            <v>60 - 00016R41306</v>
          </cell>
        </row>
        <row r="470">
          <cell r="H470">
            <v>0</v>
          </cell>
          <cell r="O470">
            <v>41306</v>
          </cell>
          <cell r="R470" t="str">
            <v/>
          </cell>
          <cell r="T470" t="str">
            <v>60 - 00016R41306</v>
          </cell>
        </row>
        <row r="471">
          <cell r="H471">
            <v>-32000</v>
          </cell>
          <cell r="O471">
            <v>41306</v>
          </cell>
          <cell r="R471" t="str">
            <v/>
          </cell>
          <cell r="T471" t="str">
            <v>60 - 00016U41306</v>
          </cell>
        </row>
        <row r="472">
          <cell r="H472">
            <v>0</v>
          </cell>
          <cell r="O472">
            <v>41306</v>
          </cell>
          <cell r="R472" t="str">
            <v/>
          </cell>
          <cell r="T472" t="str">
            <v>60 - 00011B41306</v>
          </cell>
        </row>
        <row r="473">
          <cell r="H473">
            <v>351532657</v>
          </cell>
          <cell r="O473">
            <v>41306</v>
          </cell>
          <cell r="R473" t="str">
            <v/>
          </cell>
          <cell r="T473" t="str">
            <v>60 - 00011B41306</v>
          </cell>
        </row>
        <row r="474">
          <cell r="H474">
            <v>1460883</v>
          </cell>
          <cell r="O474">
            <v>41306</v>
          </cell>
          <cell r="R474" t="str">
            <v/>
          </cell>
          <cell r="T474" t="str">
            <v>60 - 00011B41306</v>
          </cell>
        </row>
        <row r="475">
          <cell r="H475">
            <v>976804</v>
          </cell>
          <cell r="O475">
            <v>41306</v>
          </cell>
          <cell r="R475" t="str">
            <v/>
          </cell>
          <cell r="T475" t="str">
            <v>60 - 00011B41306</v>
          </cell>
        </row>
        <row r="476">
          <cell r="H476">
            <v>12300</v>
          </cell>
          <cell r="O476">
            <v>41306</v>
          </cell>
          <cell r="R476" t="str">
            <v/>
          </cell>
          <cell r="T476" t="str">
            <v>60 - 00011B41306</v>
          </cell>
        </row>
        <row r="477">
          <cell r="H477">
            <v>174104</v>
          </cell>
          <cell r="O477">
            <v>41306</v>
          </cell>
          <cell r="R477" t="str">
            <v/>
          </cell>
          <cell r="T477" t="str">
            <v>60 - 00011B41306</v>
          </cell>
        </row>
        <row r="478">
          <cell r="H478">
            <v>202182</v>
          </cell>
          <cell r="O478">
            <v>41306</v>
          </cell>
          <cell r="R478" t="str">
            <v/>
          </cell>
          <cell r="T478" t="str">
            <v>60 - 00011B41306</v>
          </cell>
        </row>
        <row r="479">
          <cell r="H479">
            <v>1933251</v>
          </cell>
          <cell r="O479">
            <v>41306</v>
          </cell>
          <cell r="R479" t="str">
            <v/>
          </cell>
          <cell r="T479" t="str">
            <v>60 - 00011B41306</v>
          </cell>
        </row>
        <row r="480">
          <cell r="H480">
            <v>0</v>
          </cell>
          <cell r="O480">
            <v>41306</v>
          </cell>
          <cell r="R480" t="str">
            <v/>
          </cell>
          <cell r="T480" t="str">
            <v>60 - 00011B41306</v>
          </cell>
        </row>
        <row r="481">
          <cell r="H481">
            <v>0</v>
          </cell>
          <cell r="O481">
            <v>41306</v>
          </cell>
          <cell r="R481" t="str">
            <v/>
          </cell>
          <cell r="T481" t="str">
            <v>60 - 00011R41306</v>
          </cell>
        </row>
        <row r="482">
          <cell r="H482">
            <v>0</v>
          </cell>
          <cell r="O482">
            <v>41306</v>
          </cell>
          <cell r="R482" t="str">
            <v/>
          </cell>
          <cell r="T482" t="str">
            <v>60 - 00011R41306</v>
          </cell>
        </row>
        <row r="483">
          <cell r="H483">
            <v>0</v>
          </cell>
          <cell r="O483">
            <v>41306</v>
          </cell>
          <cell r="R483" t="str">
            <v/>
          </cell>
          <cell r="T483" t="str">
            <v>60 - 00011R41306</v>
          </cell>
        </row>
        <row r="484">
          <cell r="H484">
            <v>0</v>
          </cell>
          <cell r="O484">
            <v>41306</v>
          </cell>
          <cell r="R484" t="str">
            <v/>
          </cell>
          <cell r="T484" t="str">
            <v>60 - 00011R41306</v>
          </cell>
        </row>
        <row r="485">
          <cell r="H485">
            <v>0</v>
          </cell>
          <cell r="O485">
            <v>41306</v>
          </cell>
          <cell r="R485" t="str">
            <v/>
          </cell>
          <cell r="T485" t="str">
            <v>60 - 00011R41306</v>
          </cell>
        </row>
        <row r="486">
          <cell r="H486">
            <v>0</v>
          </cell>
          <cell r="O486">
            <v>41306</v>
          </cell>
          <cell r="R486" t="str">
            <v/>
          </cell>
          <cell r="T486" t="str">
            <v>60 - 00011R41306</v>
          </cell>
        </row>
        <row r="487">
          <cell r="H487">
            <v>0</v>
          </cell>
          <cell r="O487">
            <v>41306</v>
          </cell>
          <cell r="R487" t="str">
            <v/>
          </cell>
          <cell r="T487" t="str">
            <v>60 - 00011R41306</v>
          </cell>
        </row>
        <row r="488">
          <cell r="H488">
            <v>0</v>
          </cell>
          <cell r="O488">
            <v>41306</v>
          </cell>
          <cell r="R488" t="str">
            <v/>
          </cell>
          <cell r="T488" t="str">
            <v>60 - 00011R41306</v>
          </cell>
        </row>
        <row r="489">
          <cell r="H489">
            <v>0</v>
          </cell>
          <cell r="O489">
            <v>41306</v>
          </cell>
          <cell r="R489" t="str">
            <v/>
          </cell>
          <cell r="T489" t="str">
            <v>60 - 00011R41306</v>
          </cell>
        </row>
        <row r="490">
          <cell r="H490">
            <v>0</v>
          </cell>
          <cell r="O490">
            <v>41306</v>
          </cell>
          <cell r="R490" t="str">
            <v/>
          </cell>
          <cell r="T490" t="str">
            <v>60 - 00011R41306</v>
          </cell>
        </row>
        <row r="491">
          <cell r="H491">
            <v>0</v>
          </cell>
          <cell r="O491">
            <v>41306</v>
          </cell>
          <cell r="R491" t="str">
            <v/>
          </cell>
          <cell r="T491" t="str">
            <v>60 - 00011R41306</v>
          </cell>
        </row>
        <row r="492">
          <cell r="H492">
            <v>0</v>
          </cell>
          <cell r="O492">
            <v>41306</v>
          </cell>
          <cell r="R492" t="str">
            <v/>
          </cell>
          <cell r="T492" t="str">
            <v>60 - 00011R41306</v>
          </cell>
        </row>
        <row r="493">
          <cell r="H493">
            <v>0</v>
          </cell>
          <cell r="O493">
            <v>41306</v>
          </cell>
          <cell r="R493" t="str">
            <v/>
          </cell>
          <cell r="T493" t="str">
            <v>60 - 00011R41306</v>
          </cell>
        </row>
        <row r="494">
          <cell r="H494">
            <v>528839293</v>
          </cell>
          <cell r="O494">
            <v>41306</v>
          </cell>
          <cell r="R494" t="str">
            <v/>
          </cell>
          <cell r="T494" t="str">
            <v>60 - 00011R41306</v>
          </cell>
        </row>
        <row r="495">
          <cell r="H495">
            <v>3905008</v>
          </cell>
          <cell r="O495">
            <v>41306</v>
          </cell>
          <cell r="R495" t="str">
            <v/>
          </cell>
          <cell r="T495" t="str">
            <v>60 - 00011R41306</v>
          </cell>
        </row>
        <row r="496">
          <cell r="H496">
            <v>23044761</v>
          </cell>
          <cell r="O496">
            <v>41306</v>
          </cell>
          <cell r="R496" t="str">
            <v/>
          </cell>
          <cell r="T496" t="str">
            <v>60 - 00011R41306</v>
          </cell>
        </row>
        <row r="497">
          <cell r="H497">
            <v>0</v>
          </cell>
          <cell r="O497">
            <v>41306</v>
          </cell>
          <cell r="R497" t="str">
            <v/>
          </cell>
          <cell r="T497" t="str">
            <v>60 - 00011R41306</v>
          </cell>
        </row>
        <row r="498">
          <cell r="H498">
            <v>1868475</v>
          </cell>
          <cell r="O498">
            <v>41306</v>
          </cell>
          <cell r="R498" t="str">
            <v/>
          </cell>
          <cell r="T498" t="str">
            <v>60 - 00011R41306</v>
          </cell>
        </row>
        <row r="499">
          <cell r="H499">
            <v>0</v>
          </cell>
          <cell r="O499">
            <v>41306</v>
          </cell>
          <cell r="R499" t="str">
            <v/>
          </cell>
          <cell r="T499" t="str">
            <v>60 - 00011R41306</v>
          </cell>
        </row>
        <row r="500">
          <cell r="H500">
            <v>0</v>
          </cell>
          <cell r="O500">
            <v>41306</v>
          </cell>
          <cell r="R500" t="str">
            <v/>
          </cell>
          <cell r="T500" t="str">
            <v>60 - 00011R41306</v>
          </cell>
        </row>
        <row r="501">
          <cell r="H501">
            <v>0</v>
          </cell>
          <cell r="O501">
            <v>41306</v>
          </cell>
          <cell r="R501" t="str">
            <v/>
          </cell>
          <cell r="T501" t="str">
            <v>60 - 00011R41306</v>
          </cell>
        </row>
        <row r="502">
          <cell r="H502">
            <v>202195</v>
          </cell>
          <cell r="O502">
            <v>41306</v>
          </cell>
          <cell r="R502" t="str">
            <v/>
          </cell>
          <cell r="T502" t="str">
            <v>60 - 00011R41306</v>
          </cell>
        </row>
        <row r="503">
          <cell r="H503">
            <v>0</v>
          </cell>
          <cell r="O503">
            <v>41306</v>
          </cell>
          <cell r="R503" t="str">
            <v/>
          </cell>
          <cell r="T503" t="str">
            <v>60 - 00011R41306</v>
          </cell>
        </row>
        <row r="504">
          <cell r="H504">
            <v>1922359</v>
          </cell>
          <cell r="O504">
            <v>41306</v>
          </cell>
          <cell r="R504" t="str">
            <v/>
          </cell>
          <cell r="T504" t="str">
            <v>60 - 00011R41306</v>
          </cell>
        </row>
        <row r="505">
          <cell r="H505">
            <v>9616</v>
          </cell>
          <cell r="O505">
            <v>41306</v>
          </cell>
          <cell r="R505" t="str">
            <v/>
          </cell>
          <cell r="T505" t="str">
            <v>60 - 00011R41306</v>
          </cell>
        </row>
        <row r="506">
          <cell r="H506">
            <v>1401</v>
          </cell>
          <cell r="O506">
            <v>41306</v>
          </cell>
          <cell r="R506" t="str">
            <v/>
          </cell>
          <cell r="T506" t="str">
            <v>60 - 00011R41306</v>
          </cell>
        </row>
        <row r="507">
          <cell r="H507">
            <v>0</v>
          </cell>
          <cell r="O507">
            <v>41306</v>
          </cell>
          <cell r="R507" t="str">
            <v/>
          </cell>
          <cell r="T507" t="str">
            <v>60 - 00011R41306</v>
          </cell>
        </row>
        <row r="508">
          <cell r="H508">
            <v>-55704000</v>
          </cell>
          <cell r="O508">
            <v>41306</v>
          </cell>
          <cell r="R508" t="str">
            <v/>
          </cell>
          <cell r="T508" t="str">
            <v>60 - 00011U41306</v>
          </cell>
        </row>
        <row r="509">
          <cell r="H509">
            <v>0</v>
          </cell>
          <cell r="O509">
            <v>41306</v>
          </cell>
          <cell r="R509" t="str">
            <v/>
          </cell>
          <cell r="T509" t="str">
            <v>60 - 00011U41306</v>
          </cell>
        </row>
        <row r="510">
          <cell r="H510">
            <v>0</v>
          </cell>
          <cell r="O510">
            <v>41306</v>
          </cell>
          <cell r="R510" t="str">
            <v/>
          </cell>
          <cell r="T510" t="str">
            <v>60 - 00011B41306</v>
          </cell>
        </row>
        <row r="511">
          <cell r="H511">
            <v>7197729</v>
          </cell>
          <cell r="O511">
            <v>41306</v>
          </cell>
          <cell r="R511" t="str">
            <v/>
          </cell>
          <cell r="T511" t="str">
            <v>60 - 00011B41306</v>
          </cell>
        </row>
        <row r="512">
          <cell r="H512">
            <v>45012</v>
          </cell>
          <cell r="O512">
            <v>41306</v>
          </cell>
          <cell r="R512" t="str">
            <v/>
          </cell>
          <cell r="T512" t="str">
            <v>60 - 00011B41306</v>
          </cell>
        </row>
        <row r="513">
          <cell r="H513">
            <v>11843956</v>
          </cell>
          <cell r="O513">
            <v>41306</v>
          </cell>
          <cell r="R513" t="str">
            <v/>
          </cell>
          <cell r="T513" t="str">
            <v>60 - 00011B41306</v>
          </cell>
        </row>
        <row r="514">
          <cell r="H514">
            <v>3968894</v>
          </cell>
          <cell r="O514">
            <v>41306</v>
          </cell>
          <cell r="R514" t="str">
            <v/>
          </cell>
          <cell r="T514" t="str">
            <v>60 - 00011B41306</v>
          </cell>
        </row>
        <row r="515">
          <cell r="H515">
            <v>345600</v>
          </cell>
          <cell r="O515">
            <v>41306</v>
          </cell>
          <cell r="R515" t="str">
            <v/>
          </cell>
          <cell r="T515" t="str">
            <v>60 - 00011B41306</v>
          </cell>
        </row>
        <row r="516">
          <cell r="H516">
            <v>15798</v>
          </cell>
          <cell r="O516">
            <v>41306</v>
          </cell>
          <cell r="R516" t="str">
            <v/>
          </cell>
          <cell r="T516" t="str">
            <v>60 - 00011B41306</v>
          </cell>
        </row>
        <row r="517">
          <cell r="H517">
            <v>21156</v>
          </cell>
          <cell r="O517">
            <v>41306</v>
          </cell>
          <cell r="R517" t="str">
            <v/>
          </cell>
          <cell r="T517" t="str">
            <v>60 - 00011B41306</v>
          </cell>
        </row>
        <row r="518">
          <cell r="H518">
            <v>268364</v>
          </cell>
          <cell r="O518">
            <v>41306</v>
          </cell>
          <cell r="R518" t="str">
            <v/>
          </cell>
          <cell r="T518" t="str">
            <v>60 - 00011B41306</v>
          </cell>
        </row>
        <row r="519">
          <cell r="H519">
            <v>131501</v>
          </cell>
          <cell r="O519">
            <v>41306</v>
          </cell>
          <cell r="R519" t="str">
            <v/>
          </cell>
          <cell r="T519" t="str">
            <v>60 - 00011B41306</v>
          </cell>
        </row>
        <row r="520">
          <cell r="H520">
            <v>73189</v>
          </cell>
          <cell r="O520">
            <v>41306</v>
          </cell>
          <cell r="R520" t="str">
            <v/>
          </cell>
          <cell r="T520" t="str">
            <v>60 - 00011B41306</v>
          </cell>
        </row>
        <row r="521">
          <cell r="H521">
            <v>0</v>
          </cell>
          <cell r="O521">
            <v>41306</v>
          </cell>
          <cell r="R521" t="str">
            <v/>
          </cell>
          <cell r="T521" t="str">
            <v>60 - 00011B41306</v>
          </cell>
        </row>
        <row r="522">
          <cell r="H522">
            <v>0</v>
          </cell>
          <cell r="O522">
            <v>41306</v>
          </cell>
          <cell r="R522" t="str">
            <v/>
          </cell>
          <cell r="T522" t="str">
            <v>60 - 00011R41306</v>
          </cell>
        </row>
        <row r="523">
          <cell r="H523">
            <v>0</v>
          </cell>
          <cell r="O523">
            <v>41306</v>
          </cell>
          <cell r="R523" t="str">
            <v/>
          </cell>
          <cell r="T523" t="str">
            <v>60 - 00011R41306</v>
          </cell>
        </row>
        <row r="524">
          <cell r="H524">
            <v>0</v>
          </cell>
          <cell r="O524">
            <v>41306</v>
          </cell>
          <cell r="R524" t="str">
            <v/>
          </cell>
          <cell r="T524" t="str">
            <v>60 - 00011R41306</v>
          </cell>
        </row>
        <row r="525">
          <cell r="H525">
            <v>0</v>
          </cell>
          <cell r="O525">
            <v>41306</v>
          </cell>
          <cell r="R525" t="str">
            <v/>
          </cell>
          <cell r="T525" t="str">
            <v>60 - 00011R41306</v>
          </cell>
        </row>
        <row r="526">
          <cell r="H526">
            <v>0</v>
          </cell>
          <cell r="O526">
            <v>41306</v>
          </cell>
          <cell r="R526" t="str">
            <v/>
          </cell>
          <cell r="T526" t="str">
            <v>60 - 00011R41306</v>
          </cell>
        </row>
        <row r="527">
          <cell r="H527">
            <v>0</v>
          </cell>
          <cell r="O527">
            <v>41306</v>
          </cell>
          <cell r="R527" t="str">
            <v/>
          </cell>
          <cell r="T527" t="str">
            <v>60 - 00011R41306</v>
          </cell>
        </row>
        <row r="528">
          <cell r="H528">
            <v>0</v>
          </cell>
          <cell r="O528">
            <v>41306</v>
          </cell>
          <cell r="R528" t="str">
            <v/>
          </cell>
          <cell r="T528" t="str">
            <v>60 - 00011R41306</v>
          </cell>
        </row>
        <row r="529">
          <cell r="H529">
            <v>0</v>
          </cell>
          <cell r="O529">
            <v>41306</v>
          </cell>
          <cell r="R529" t="str">
            <v/>
          </cell>
          <cell r="T529" t="str">
            <v>60 - 00011R41306</v>
          </cell>
        </row>
        <row r="530">
          <cell r="H530">
            <v>4764000</v>
          </cell>
          <cell r="O530">
            <v>41306</v>
          </cell>
          <cell r="R530" t="str">
            <v/>
          </cell>
          <cell r="T530" t="str">
            <v>60 - 00011R41306</v>
          </cell>
        </row>
        <row r="531">
          <cell r="H531">
            <v>0</v>
          </cell>
          <cell r="O531">
            <v>41306</v>
          </cell>
          <cell r="R531" t="str">
            <v/>
          </cell>
          <cell r="T531" t="str">
            <v>60 - 00011R41306</v>
          </cell>
        </row>
        <row r="532">
          <cell r="H532">
            <v>0</v>
          </cell>
          <cell r="O532">
            <v>41306</v>
          </cell>
          <cell r="R532" t="str">
            <v/>
          </cell>
          <cell r="T532" t="str">
            <v>60 - 00011R41306</v>
          </cell>
        </row>
        <row r="533">
          <cell r="H533">
            <v>0</v>
          </cell>
          <cell r="O533">
            <v>41306</v>
          </cell>
          <cell r="R533" t="str">
            <v/>
          </cell>
          <cell r="T533" t="str">
            <v>60 - 00011R41306</v>
          </cell>
        </row>
        <row r="534">
          <cell r="H534">
            <v>0</v>
          </cell>
          <cell r="O534">
            <v>41306</v>
          </cell>
          <cell r="R534" t="str">
            <v/>
          </cell>
          <cell r="T534" t="str">
            <v>60 - 00011R41306</v>
          </cell>
        </row>
        <row r="535">
          <cell r="H535">
            <v>3712200</v>
          </cell>
          <cell r="O535">
            <v>41306</v>
          </cell>
          <cell r="R535" t="str">
            <v/>
          </cell>
          <cell r="T535" t="str">
            <v>60 - 00011R41306</v>
          </cell>
        </row>
        <row r="536">
          <cell r="H536">
            <v>478012</v>
          </cell>
          <cell r="O536">
            <v>41306</v>
          </cell>
          <cell r="R536" t="str">
            <v/>
          </cell>
          <cell r="T536" t="str">
            <v>60 - 00011R41306</v>
          </cell>
        </row>
        <row r="537">
          <cell r="H537">
            <v>84519</v>
          </cell>
          <cell r="O537">
            <v>41306</v>
          </cell>
          <cell r="R537" t="str">
            <v/>
          </cell>
          <cell r="T537" t="str">
            <v>60 - 00011R41306</v>
          </cell>
        </row>
        <row r="538">
          <cell r="H538">
            <v>0</v>
          </cell>
          <cell r="O538">
            <v>41306</v>
          </cell>
          <cell r="R538" t="str">
            <v/>
          </cell>
          <cell r="T538" t="str">
            <v>60 - 00011R41306</v>
          </cell>
        </row>
        <row r="539">
          <cell r="H539">
            <v>63044552</v>
          </cell>
          <cell r="O539">
            <v>41306</v>
          </cell>
          <cell r="R539" t="str">
            <v/>
          </cell>
          <cell r="T539" t="str">
            <v>60 - 00011R41306</v>
          </cell>
        </row>
        <row r="540">
          <cell r="H540">
            <v>1277674</v>
          </cell>
          <cell r="O540">
            <v>41306</v>
          </cell>
          <cell r="R540" t="str">
            <v/>
          </cell>
          <cell r="T540" t="str">
            <v>60 - 00011R41306</v>
          </cell>
        </row>
        <row r="541">
          <cell r="H541">
            <v>0</v>
          </cell>
          <cell r="O541">
            <v>41306</v>
          </cell>
          <cell r="R541" t="str">
            <v/>
          </cell>
          <cell r="T541" t="str">
            <v>60 - 00011R41306</v>
          </cell>
        </row>
        <row r="542">
          <cell r="H542">
            <v>0</v>
          </cell>
          <cell r="O542">
            <v>41306</v>
          </cell>
          <cell r="R542" t="str">
            <v/>
          </cell>
          <cell r="T542" t="str">
            <v>60 - 00011R41306</v>
          </cell>
        </row>
        <row r="543">
          <cell r="H543">
            <v>86186997</v>
          </cell>
          <cell r="O543">
            <v>41306</v>
          </cell>
          <cell r="R543" t="str">
            <v/>
          </cell>
          <cell r="T543" t="str">
            <v>60 - 00011R41306</v>
          </cell>
        </row>
        <row r="544">
          <cell r="H544">
            <v>157703571</v>
          </cell>
          <cell r="O544">
            <v>41306</v>
          </cell>
          <cell r="R544" t="str">
            <v/>
          </cell>
          <cell r="T544" t="str">
            <v>60 - 00011R41306</v>
          </cell>
        </row>
        <row r="545">
          <cell r="H545">
            <v>0</v>
          </cell>
          <cell r="O545">
            <v>41306</v>
          </cell>
          <cell r="R545" t="str">
            <v/>
          </cell>
          <cell r="T545" t="str">
            <v>60 - 00011R41306</v>
          </cell>
        </row>
        <row r="546">
          <cell r="H546">
            <v>0</v>
          </cell>
          <cell r="O546">
            <v>41306</v>
          </cell>
          <cell r="R546" t="str">
            <v/>
          </cell>
          <cell r="T546" t="str">
            <v>60 - 00011R41306</v>
          </cell>
        </row>
        <row r="547">
          <cell r="H547">
            <v>0</v>
          </cell>
          <cell r="O547">
            <v>41306</v>
          </cell>
          <cell r="R547" t="str">
            <v/>
          </cell>
          <cell r="T547" t="str">
            <v>60 - 00011R41306</v>
          </cell>
        </row>
        <row r="548">
          <cell r="H548">
            <v>0</v>
          </cell>
          <cell r="O548">
            <v>41306</v>
          </cell>
          <cell r="R548" t="str">
            <v/>
          </cell>
          <cell r="T548" t="str">
            <v>60 - 00011R41306</v>
          </cell>
        </row>
        <row r="549">
          <cell r="H549">
            <v>220956</v>
          </cell>
          <cell r="O549">
            <v>41306</v>
          </cell>
          <cell r="R549" t="str">
            <v/>
          </cell>
          <cell r="T549" t="str">
            <v>60 - 00011R41306</v>
          </cell>
        </row>
        <row r="550">
          <cell r="H550">
            <v>310387</v>
          </cell>
          <cell r="O550">
            <v>41306</v>
          </cell>
          <cell r="R550" t="str">
            <v/>
          </cell>
          <cell r="T550" t="str">
            <v>60 - 00011R41306</v>
          </cell>
        </row>
        <row r="551">
          <cell r="H551">
            <v>45636</v>
          </cell>
          <cell r="O551">
            <v>41306</v>
          </cell>
          <cell r="R551" t="str">
            <v/>
          </cell>
          <cell r="T551" t="str">
            <v>60 - 00011R41306</v>
          </cell>
        </row>
        <row r="552">
          <cell r="H552">
            <v>697944</v>
          </cell>
          <cell r="O552">
            <v>41306</v>
          </cell>
          <cell r="R552" t="str">
            <v/>
          </cell>
          <cell r="T552" t="str">
            <v>60 - 00011R41306</v>
          </cell>
        </row>
        <row r="553">
          <cell r="H553">
            <v>1028595</v>
          </cell>
          <cell r="O553">
            <v>41306</v>
          </cell>
          <cell r="R553" t="str">
            <v/>
          </cell>
          <cell r="T553" t="str">
            <v>60 - 00011R41306</v>
          </cell>
        </row>
        <row r="554">
          <cell r="H554">
            <v>290848</v>
          </cell>
          <cell r="O554">
            <v>41306</v>
          </cell>
          <cell r="R554" t="str">
            <v/>
          </cell>
          <cell r="T554" t="str">
            <v>60 - 00011R41306</v>
          </cell>
        </row>
        <row r="555">
          <cell r="H555">
            <v>0</v>
          </cell>
          <cell r="O555">
            <v>41306</v>
          </cell>
          <cell r="R555" t="str">
            <v/>
          </cell>
          <cell r="T555" t="str">
            <v>60 - 00011R41306</v>
          </cell>
        </row>
        <row r="556">
          <cell r="H556">
            <v>13831</v>
          </cell>
          <cell r="O556">
            <v>41306</v>
          </cell>
          <cell r="R556" t="str">
            <v/>
          </cell>
          <cell r="T556" t="str">
            <v>60 - 00011R41306</v>
          </cell>
        </row>
        <row r="557">
          <cell r="H557">
            <v>34294</v>
          </cell>
          <cell r="O557">
            <v>41306</v>
          </cell>
          <cell r="R557" t="str">
            <v/>
          </cell>
          <cell r="T557" t="str">
            <v>60 - 00011R41306</v>
          </cell>
        </row>
        <row r="558">
          <cell r="H558">
            <v>246724</v>
          </cell>
          <cell r="O558">
            <v>41306</v>
          </cell>
          <cell r="R558" t="str">
            <v/>
          </cell>
          <cell r="T558" t="str">
            <v>60 - 00011R41306</v>
          </cell>
        </row>
        <row r="559">
          <cell r="H559">
            <v>1393572</v>
          </cell>
          <cell r="O559">
            <v>41306</v>
          </cell>
          <cell r="R559" t="str">
            <v/>
          </cell>
          <cell r="T559" t="str">
            <v>60 - 00011R41306</v>
          </cell>
        </row>
        <row r="560">
          <cell r="H560">
            <v>399212</v>
          </cell>
          <cell r="O560">
            <v>41306</v>
          </cell>
          <cell r="R560" t="str">
            <v/>
          </cell>
          <cell r="T560" t="str">
            <v>60 - 00011R41306</v>
          </cell>
        </row>
        <row r="561">
          <cell r="H561">
            <v>2100</v>
          </cell>
          <cell r="O561">
            <v>41306</v>
          </cell>
          <cell r="R561" t="str">
            <v/>
          </cell>
          <cell r="T561" t="str">
            <v>60 - 00011R41306</v>
          </cell>
        </row>
        <row r="562">
          <cell r="H562">
            <v>0</v>
          </cell>
          <cell r="O562">
            <v>41306</v>
          </cell>
          <cell r="R562" t="str">
            <v/>
          </cell>
          <cell r="T562" t="str">
            <v>60 - 00011R41306</v>
          </cell>
        </row>
        <row r="563">
          <cell r="H563">
            <v>82526570</v>
          </cell>
          <cell r="O563">
            <v>41306</v>
          </cell>
          <cell r="R563" t="str">
            <v/>
          </cell>
          <cell r="T563" t="str">
            <v>60 - 00011R41306</v>
          </cell>
        </row>
        <row r="564">
          <cell r="H564">
            <v>7127662</v>
          </cell>
          <cell r="O564">
            <v>41306</v>
          </cell>
          <cell r="R564" t="str">
            <v/>
          </cell>
          <cell r="T564" t="str">
            <v>60 - 00011R41306</v>
          </cell>
        </row>
        <row r="565">
          <cell r="H565">
            <v>0</v>
          </cell>
          <cell r="O565">
            <v>41306</v>
          </cell>
          <cell r="R565" t="str">
            <v/>
          </cell>
          <cell r="T565" t="str">
            <v>60 - 00011R41306</v>
          </cell>
        </row>
        <row r="566">
          <cell r="H566">
            <v>0</v>
          </cell>
          <cell r="O566">
            <v>41306</v>
          </cell>
          <cell r="R566" t="str">
            <v/>
          </cell>
          <cell r="T566" t="str">
            <v>60 - 00011R41306</v>
          </cell>
        </row>
        <row r="567">
          <cell r="H567">
            <v>150000</v>
          </cell>
          <cell r="O567">
            <v>41306</v>
          </cell>
          <cell r="R567" t="str">
            <v/>
          </cell>
          <cell r="T567" t="str">
            <v>60 - 00011R41306</v>
          </cell>
        </row>
        <row r="568">
          <cell r="H568">
            <v>0</v>
          </cell>
          <cell r="O568">
            <v>41306</v>
          </cell>
          <cell r="R568" t="str">
            <v/>
          </cell>
          <cell r="T568" t="str">
            <v>60 - 00011R41306</v>
          </cell>
        </row>
        <row r="569">
          <cell r="H569">
            <v>0</v>
          </cell>
          <cell r="O569">
            <v>41306</v>
          </cell>
          <cell r="R569" t="str">
            <v/>
          </cell>
          <cell r="T569" t="str">
            <v>60 - 00011R41306</v>
          </cell>
        </row>
        <row r="570">
          <cell r="H570">
            <v>699412</v>
          </cell>
          <cell r="O570">
            <v>41306</v>
          </cell>
          <cell r="R570" t="str">
            <v/>
          </cell>
          <cell r="T570" t="str">
            <v>60 - 00011R41306</v>
          </cell>
        </row>
        <row r="571">
          <cell r="H571">
            <v>8795694</v>
          </cell>
          <cell r="O571">
            <v>41306</v>
          </cell>
          <cell r="R571" t="str">
            <v/>
          </cell>
          <cell r="T571" t="str">
            <v>60 - 00011R41306</v>
          </cell>
        </row>
        <row r="572">
          <cell r="H572">
            <v>1049920</v>
          </cell>
          <cell r="O572">
            <v>41306</v>
          </cell>
          <cell r="R572" t="str">
            <v/>
          </cell>
          <cell r="T572" t="str">
            <v>60 - 00011R41306</v>
          </cell>
        </row>
        <row r="573">
          <cell r="H573">
            <v>0</v>
          </cell>
          <cell r="O573">
            <v>41306</v>
          </cell>
          <cell r="R573" t="str">
            <v/>
          </cell>
          <cell r="T573" t="str">
            <v>60 - 00011R41306</v>
          </cell>
        </row>
        <row r="574">
          <cell r="H574">
            <v>0</v>
          </cell>
          <cell r="O574">
            <v>41306</v>
          </cell>
          <cell r="R574" t="str">
            <v/>
          </cell>
          <cell r="T574" t="str">
            <v>60 - 00011R41306</v>
          </cell>
        </row>
        <row r="575">
          <cell r="H575">
            <v>56495</v>
          </cell>
          <cell r="O575">
            <v>41306</v>
          </cell>
          <cell r="R575" t="str">
            <v/>
          </cell>
          <cell r="T575" t="str">
            <v>60 - 00011R41306</v>
          </cell>
        </row>
        <row r="576">
          <cell r="H576">
            <v>0</v>
          </cell>
          <cell r="O576">
            <v>41306</v>
          </cell>
          <cell r="R576" t="str">
            <v/>
          </cell>
          <cell r="T576" t="str">
            <v>60 - 00011R41306</v>
          </cell>
        </row>
        <row r="577">
          <cell r="H577">
            <v>0</v>
          </cell>
          <cell r="O577">
            <v>41306</v>
          </cell>
          <cell r="R577" t="str">
            <v/>
          </cell>
          <cell r="T577" t="str">
            <v>60 - 00011R41306</v>
          </cell>
        </row>
        <row r="578">
          <cell r="H578">
            <v>0</v>
          </cell>
          <cell r="O578">
            <v>41306</v>
          </cell>
          <cell r="R578" t="str">
            <v/>
          </cell>
          <cell r="T578" t="str">
            <v>60 - 00011R41306</v>
          </cell>
        </row>
        <row r="579">
          <cell r="H579">
            <v>0</v>
          </cell>
          <cell r="O579">
            <v>41306</v>
          </cell>
          <cell r="R579" t="str">
            <v/>
          </cell>
          <cell r="T579" t="str">
            <v>60 - 00011R41306</v>
          </cell>
        </row>
        <row r="580">
          <cell r="H580">
            <v>0</v>
          </cell>
          <cell r="O580">
            <v>41306</v>
          </cell>
          <cell r="R580" t="str">
            <v/>
          </cell>
          <cell r="T580" t="str">
            <v>60 - 00011R41306</v>
          </cell>
        </row>
        <row r="581">
          <cell r="H581">
            <v>0</v>
          </cell>
          <cell r="O581">
            <v>41306</v>
          </cell>
          <cell r="R581" t="str">
            <v/>
          </cell>
          <cell r="T581" t="str">
            <v>60 - 00011R41306</v>
          </cell>
        </row>
        <row r="582">
          <cell r="H582">
            <v>131514</v>
          </cell>
          <cell r="O582">
            <v>41306</v>
          </cell>
          <cell r="R582" t="str">
            <v/>
          </cell>
          <cell r="T582" t="str">
            <v>60 - 00011R41306</v>
          </cell>
        </row>
        <row r="583">
          <cell r="H583">
            <v>0</v>
          </cell>
          <cell r="O583">
            <v>41306</v>
          </cell>
          <cell r="R583" t="str">
            <v/>
          </cell>
          <cell r="T583" t="str">
            <v>60 - 00011R41306</v>
          </cell>
        </row>
        <row r="584">
          <cell r="H584">
            <v>0</v>
          </cell>
          <cell r="O584">
            <v>41306</v>
          </cell>
          <cell r="R584" t="str">
            <v/>
          </cell>
          <cell r="T584" t="str">
            <v>60 - 00011R41306</v>
          </cell>
        </row>
        <row r="585">
          <cell r="H585">
            <v>-29605000</v>
          </cell>
          <cell r="O585">
            <v>41306</v>
          </cell>
          <cell r="R585" t="str">
            <v/>
          </cell>
          <cell r="T585" t="str">
            <v>60 - 00011U41306</v>
          </cell>
        </row>
        <row r="586">
          <cell r="H586">
            <v>0</v>
          </cell>
          <cell r="O586">
            <v>41306</v>
          </cell>
          <cell r="R586" t="str">
            <v/>
          </cell>
          <cell r="T586" t="str">
            <v>60 - 00011B41306</v>
          </cell>
        </row>
        <row r="587">
          <cell r="H587">
            <v>32224</v>
          </cell>
          <cell r="O587">
            <v>41306</v>
          </cell>
          <cell r="R587" t="str">
            <v/>
          </cell>
          <cell r="T587" t="str">
            <v>60 - 00011B41306</v>
          </cell>
        </row>
        <row r="588">
          <cell r="H588">
            <v>30650</v>
          </cell>
          <cell r="O588">
            <v>41306</v>
          </cell>
          <cell r="R588" t="str">
            <v/>
          </cell>
          <cell r="T588" t="str">
            <v>60 - 00011B41306</v>
          </cell>
        </row>
        <row r="589">
          <cell r="H589">
            <v>380</v>
          </cell>
          <cell r="O589">
            <v>41306</v>
          </cell>
          <cell r="R589" t="str">
            <v/>
          </cell>
          <cell r="T589" t="str">
            <v>60 - 00011B41306</v>
          </cell>
        </row>
        <row r="590">
          <cell r="H590">
            <v>0</v>
          </cell>
          <cell r="O590">
            <v>41306</v>
          </cell>
          <cell r="R590" t="str">
            <v/>
          </cell>
          <cell r="T590" t="str">
            <v>60 - 00011B41306</v>
          </cell>
        </row>
        <row r="591">
          <cell r="H591">
            <v>0</v>
          </cell>
          <cell r="O591">
            <v>41306</v>
          </cell>
          <cell r="R591" t="str">
            <v/>
          </cell>
          <cell r="T591" t="str">
            <v>60 - 00011R41306</v>
          </cell>
        </row>
        <row r="592">
          <cell r="H592">
            <v>0</v>
          </cell>
          <cell r="O592">
            <v>41306</v>
          </cell>
          <cell r="R592" t="str">
            <v/>
          </cell>
          <cell r="T592" t="str">
            <v>60 - 00011R41306</v>
          </cell>
        </row>
        <row r="593">
          <cell r="H593">
            <v>0</v>
          </cell>
          <cell r="O593">
            <v>41306</v>
          </cell>
          <cell r="R593" t="str">
            <v/>
          </cell>
          <cell r="T593" t="str">
            <v>60 - 00011R41306</v>
          </cell>
        </row>
        <row r="594">
          <cell r="H594">
            <v>0</v>
          </cell>
          <cell r="O594">
            <v>41306</v>
          </cell>
          <cell r="R594" t="str">
            <v/>
          </cell>
          <cell r="T594" t="str">
            <v>60 - 00011R41306</v>
          </cell>
        </row>
        <row r="595">
          <cell r="H595">
            <v>0</v>
          </cell>
          <cell r="O595">
            <v>41306</v>
          </cell>
          <cell r="R595" t="str">
            <v/>
          </cell>
          <cell r="T595" t="str">
            <v>60 - 00011R41306</v>
          </cell>
        </row>
        <row r="596">
          <cell r="H596">
            <v>0</v>
          </cell>
          <cell r="O596">
            <v>41306</v>
          </cell>
          <cell r="R596" t="str">
            <v/>
          </cell>
          <cell r="T596" t="str">
            <v>60 - 00011R41306</v>
          </cell>
        </row>
        <row r="597">
          <cell r="H597">
            <v>0</v>
          </cell>
          <cell r="O597">
            <v>41306</v>
          </cell>
          <cell r="R597" t="str">
            <v/>
          </cell>
          <cell r="T597" t="str">
            <v>60 - 00011R41306</v>
          </cell>
        </row>
        <row r="598">
          <cell r="H598">
            <v>7256800</v>
          </cell>
          <cell r="O598">
            <v>41306</v>
          </cell>
          <cell r="R598" t="str">
            <v/>
          </cell>
          <cell r="T598" t="str">
            <v>60 - 00011R41306</v>
          </cell>
        </row>
        <row r="599">
          <cell r="H599">
            <v>0</v>
          </cell>
          <cell r="O599">
            <v>41306</v>
          </cell>
          <cell r="R599" t="str">
            <v/>
          </cell>
          <cell r="T599" t="str">
            <v>60 - 00011R41306</v>
          </cell>
        </row>
        <row r="600">
          <cell r="H600">
            <v>836000</v>
          </cell>
          <cell r="O600">
            <v>41306</v>
          </cell>
          <cell r="R600" t="str">
            <v/>
          </cell>
          <cell r="T600" t="str">
            <v>60 - 00011R41306</v>
          </cell>
        </row>
        <row r="601">
          <cell r="H601">
            <v>25657</v>
          </cell>
          <cell r="O601">
            <v>41306</v>
          </cell>
          <cell r="R601" t="str">
            <v/>
          </cell>
          <cell r="T601" t="str">
            <v>60 - 00011R41306</v>
          </cell>
        </row>
        <row r="602">
          <cell r="H602">
            <v>0</v>
          </cell>
          <cell r="O602">
            <v>41306</v>
          </cell>
          <cell r="R602" t="str">
            <v/>
          </cell>
          <cell r="T602" t="str">
            <v>60 - 00011R41306</v>
          </cell>
        </row>
        <row r="603">
          <cell r="H603">
            <v>131569514</v>
          </cell>
          <cell r="O603">
            <v>41306</v>
          </cell>
          <cell r="R603" t="str">
            <v/>
          </cell>
          <cell r="T603" t="str">
            <v>60 - 00011R41306</v>
          </cell>
        </row>
        <row r="604">
          <cell r="H604">
            <v>0</v>
          </cell>
          <cell r="O604">
            <v>41306</v>
          </cell>
          <cell r="R604" t="str">
            <v/>
          </cell>
          <cell r="T604" t="str">
            <v>60 - 00011R41306</v>
          </cell>
        </row>
        <row r="605">
          <cell r="H605">
            <v>2004536</v>
          </cell>
          <cell r="O605">
            <v>41306</v>
          </cell>
          <cell r="R605" t="str">
            <v/>
          </cell>
          <cell r="T605" t="str">
            <v>60 - 00011R41306</v>
          </cell>
        </row>
        <row r="606">
          <cell r="H606">
            <v>7724249</v>
          </cell>
          <cell r="O606">
            <v>41306</v>
          </cell>
          <cell r="R606" t="str">
            <v/>
          </cell>
          <cell r="T606" t="str">
            <v>60 - 00011R41306</v>
          </cell>
        </row>
        <row r="607">
          <cell r="H607">
            <v>0</v>
          </cell>
          <cell r="O607">
            <v>41306</v>
          </cell>
          <cell r="R607" t="str">
            <v/>
          </cell>
          <cell r="T607" t="str">
            <v>60 - 00011R41306</v>
          </cell>
        </row>
        <row r="608">
          <cell r="H608">
            <v>0</v>
          </cell>
          <cell r="O608">
            <v>41306</v>
          </cell>
          <cell r="R608" t="str">
            <v/>
          </cell>
          <cell r="T608" t="str">
            <v>60 - 00011R41306</v>
          </cell>
        </row>
        <row r="609">
          <cell r="H609">
            <v>0</v>
          </cell>
          <cell r="O609">
            <v>41306</v>
          </cell>
          <cell r="R609" t="str">
            <v/>
          </cell>
          <cell r="T609" t="str">
            <v>60 - 00011R41306</v>
          </cell>
        </row>
        <row r="610">
          <cell r="H610">
            <v>0</v>
          </cell>
          <cell r="O610">
            <v>41306</v>
          </cell>
          <cell r="R610" t="str">
            <v/>
          </cell>
          <cell r="T610" t="str">
            <v>60 - 00011R41306</v>
          </cell>
        </row>
        <row r="611">
          <cell r="H611">
            <v>3545</v>
          </cell>
          <cell r="O611">
            <v>41306</v>
          </cell>
          <cell r="R611" t="str">
            <v/>
          </cell>
          <cell r="T611" t="str">
            <v>60 - 00011R41306</v>
          </cell>
        </row>
        <row r="612">
          <cell r="H612">
            <v>10492</v>
          </cell>
          <cell r="O612">
            <v>41306</v>
          </cell>
          <cell r="R612" t="str">
            <v/>
          </cell>
          <cell r="T612" t="str">
            <v>60 - 00011R41306</v>
          </cell>
        </row>
        <row r="613">
          <cell r="H613">
            <v>394</v>
          </cell>
          <cell r="O613">
            <v>41306</v>
          </cell>
          <cell r="R613" t="str">
            <v/>
          </cell>
          <cell r="T613" t="str">
            <v>60 - 00011R41306</v>
          </cell>
        </row>
        <row r="614">
          <cell r="H614">
            <v>86</v>
          </cell>
          <cell r="O614">
            <v>41306</v>
          </cell>
          <cell r="R614" t="str">
            <v/>
          </cell>
          <cell r="T614" t="str">
            <v>60 - 00011R41306</v>
          </cell>
        </row>
        <row r="615">
          <cell r="H615">
            <v>26</v>
          </cell>
          <cell r="O615">
            <v>41306</v>
          </cell>
          <cell r="R615" t="str">
            <v/>
          </cell>
          <cell r="T615" t="str">
            <v>60 - 00011R41306</v>
          </cell>
        </row>
        <row r="616">
          <cell r="H616">
            <v>1717</v>
          </cell>
          <cell r="O616">
            <v>41306</v>
          </cell>
          <cell r="R616" t="str">
            <v/>
          </cell>
          <cell r="T616" t="str">
            <v>60 - 00011R41306</v>
          </cell>
        </row>
        <row r="617">
          <cell r="H617">
            <v>16880</v>
          </cell>
          <cell r="O617">
            <v>41306</v>
          </cell>
          <cell r="R617" t="str">
            <v/>
          </cell>
          <cell r="T617" t="str">
            <v>60 - 00011R41306</v>
          </cell>
        </row>
        <row r="618">
          <cell r="H618">
            <v>14400</v>
          </cell>
          <cell r="O618">
            <v>41306</v>
          </cell>
          <cell r="R618" t="str">
            <v/>
          </cell>
          <cell r="T618" t="str">
            <v>60 - 00011R41306</v>
          </cell>
        </row>
        <row r="619">
          <cell r="H619">
            <v>0</v>
          </cell>
          <cell r="O619">
            <v>41306</v>
          </cell>
          <cell r="R619" t="str">
            <v/>
          </cell>
          <cell r="T619" t="str">
            <v>60 - 00011R41306</v>
          </cell>
        </row>
        <row r="620">
          <cell r="H620">
            <v>18508208</v>
          </cell>
          <cell r="O620">
            <v>41306</v>
          </cell>
          <cell r="R620" t="str">
            <v/>
          </cell>
          <cell r="T620" t="str">
            <v>60 - 00011R41306</v>
          </cell>
        </row>
        <row r="621">
          <cell r="H621">
            <v>32199</v>
          </cell>
          <cell r="O621">
            <v>41306</v>
          </cell>
          <cell r="R621" t="str">
            <v/>
          </cell>
          <cell r="T621" t="str">
            <v>60 - 00011R41306</v>
          </cell>
        </row>
        <row r="622">
          <cell r="H622">
            <v>0</v>
          </cell>
          <cell r="O622">
            <v>41306</v>
          </cell>
          <cell r="R622" t="str">
            <v/>
          </cell>
          <cell r="T622" t="str">
            <v>60 - 00011R41306</v>
          </cell>
        </row>
        <row r="623">
          <cell r="H623">
            <v>0</v>
          </cell>
          <cell r="O623">
            <v>41306</v>
          </cell>
          <cell r="R623" t="str">
            <v/>
          </cell>
          <cell r="T623" t="str">
            <v>60 - 00011R41306</v>
          </cell>
        </row>
        <row r="624">
          <cell r="H624">
            <v>101280</v>
          </cell>
          <cell r="O624">
            <v>41306</v>
          </cell>
          <cell r="R624" t="str">
            <v/>
          </cell>
          <cell r="T624" t="str">
            <v>60 - 00011R41306</v>
          </cell>
        </row>
        <row r="625">
          <cell r="H625">
            <v>74640</v>
          </cell>
          <cell r="O625">
            <v>41306</v>
          </cell>
          <cell r="R625" t="str">
            <v/>
          </cell>
          <cell r="T625" t="str">
            <v>60 - 00011R41306</v>
          </cell>
        </row>
        <row r="626">
          <cell r="H626">
            <v>4250000</v>
          </cell>
          <cell r="O626">
            <v>41306</v>
          </cell>
          <cell r="R626" t="str">
            <v/>
          </cell>
          <cell r="T626" t="str">
            <v>60 - 00011R41306</v>
          </cell>
        </row>
        <row r="627">
          <cell r="H627">
            <v>0</v>
          </cell>
          <cell r="O627">
            <v>41306</v>
          </cell>
          <cell r="R627" t="str">
            <v/>
          </cell>
          <cell r="T627" t="str">
            <v>60 - 00011R41306</v>
          </cell>
        </row>
        <row r="628">
          <cell r="H628">
            <v>0</v>
          </cell>
          <cell r="O628">
            <v>41306</v>
          </cell>
          <cell r="R628" t="str">
            <v/>
          </cell>
          <cell r="T628" t="str">
            <v>60 - 00011R41306</v>
          </cell>
        </row>
        <row r="629">
          <cell r="H629">
            <v>0</v>
          </cell>
          <cell r="O629">
            <v>41306</v>
          </cell>
          <cell r="R629" t="str">
            <v/>
          </cell>
          <cell r="T629" t="str">
            <v>60 - 00011R41306</v>
          </cell>
        </row>
        <row r="630">
          <cell r="H630">
            <v>0</v>
          </cell>
          <cell r="O630">
            <v>41306</v>
          </cell>
          <cell r="R630" t="str">
            <v/>
          </cell>
          <cell r="T630" t="str">
            <v>60 - 00011R41306</v>
          </cell>
        </row>
        <row r="631">
          <cell r="H631">
            <v>380</v>
          </cell>
          <cell r="O631">
            <v>41306</v>
          </cell>
          <cell r="R631" t="str">
            <v/>
          </cell>
          <cell r="T631" t="str">
            <v>60 - 00011R41306</v>
          </cell>
        </row>
        <row r="632">
          <cell r="H632">
            <v>0</v>
          </cell>
          <cell r="O632">
            <v>41306</v>
          </cell>
          <cell r="R632" t="str">
            <v/>
          </cell>
          <cell r="T632" t="str">
            <v>60 - 00011R41306</v>
          </cell>
        </row>
        <row r="633">
          <cell r="H633">
            <v>-11050000</v>
          </cell>
          <cell r="O633">
            <v>41306</v>
          </cell>
          <cell r="R633" t="str">
            <v/>
          </cell>
          <cell r="T633" t="str">
            <v>60 - 00011U41306</v>
          </cell>
        </row>
        <row r="634">
          <cell r="H634">
            <v>98887</v>
          </cell>
          <cell r="O634">
            <v>41306</v>
          </cell>
          <cell r="R634" t="str">
            <v/>
          </cell>
          <cell r="T634" t="str">
            <v>60 - 00011B41306</v>
          </cell>
        </row>
        <row r="635">
          <cell r="H635">
            <v>14910</v>
          </cell>
          <cell r="O635">
            <v>41306</v>
          </cell>
          <cell r="R635" t="str">
            <v/>
          </cell>
          <cell r="T635" t="str">
            <v>60 - 00011B41306</v>
          </cell>
        </row>
        <row r="636">
          <cell r="H636">
            <v>1086</v>
          </cell>
          <cell r="O636">
            <v>41306</v>
          </cell>
          <cell r="R636" t="str">
            <v/>
          </cell>
          <cell r="T636" t="str">
            <v>60 - 00011B41306</v>
          </cell>
        </row>
        <row r="637">
          <cell r="H637">
            <v>0</v>
          </cell>
          <cell r="O637">
            <v>41306</v>
          </cell>
          <cell r="R637" t="str">
            <v/>
          </cell>
          <cell r="T637" t="str">
            <v>60 - 00011B41306</v>
          </cell>
        </row>
        <row r="638">
          <cell r="H638">
            <v>125</v>
          </cell>
          <cell r="O638">
            <v>41306</v>
          </cell>
          <cell r="R638" t="str">
            <v/>
          </cell>
          <cell r="T638" t="str">
            <v>60 - 00011B41306</v>
          </cell>
        </row>
        <row r="639">
          <cell r="H639">
            <v>210523</v>
          </cell>
          <cell r="O639">
            <v>41306</v>
          </cell>
          <cell r="R639" t="str">
            <v/>
          </cell>
          <cell r="T639" t="str">
            <v>60 - 00011B41306</v>
          </cell>
        </row>
        <row r="640">
          <cell r="H640">
            <v>-361453</v>
          </cell>
          <cell r="O640">
            <v>41306</v>
          </cell>
          <cell r="R640" t="str">
            <v/>
          </cell>
          <cell r="T640" t="str">
            <v>60 - 00011B41306</v>
          </cell>
        </row>
        <row r="641">
          <cell r="H641">
            <v>0</v>
          </cell>
          <cell r="O641">
            <v>41306</v>
          </cell>
          <cell r="R641" t="str">
            <v/>
          </cell>
          <cell r="T641" t="str">
            <v>60 - 00011B41306</v>
          </cell>
        </row>
        <row r="642">
          <cell r="H642">
            <v>0</v>
          </cell>
          <cell r="O642">
            <v>41306</v>
          </cell>
          <cell r="R642" t="str">
            <v/>
          </cell>
          <cell r="T642" t="str">
            <v>60 - 00011B41306</v>
          </cell>
        </row>
        <row r="643">
          <cell r="H643">
            <v>0</v>
          </cell>
          <cell r="O643">
            <v>41306</v>
          </cell>
          <cell r="R643" t="str">
            <v/>
          </cell>
          <cell r="T643" t="str">
            <v>60 - 00011B41306</v>
          </cell>
        </row>
        <row r="644">
          <cell r="H644">
            <v>0</v>
          </cell>
          <cell r="O644">
            <v>41306</v>
          </cell>
          <cell r="R644" t="str">
            <v/>
          </cell>
          <cell r="T644" t="str">
            <v>60 - 00011B41306</v>
          </cell>
        </row>
        <row r="645">
          <cell r="H645">
            <v>31580</v>
          </cell>
          <cell r="O645">
            <v>41306</v>
          </cell>
          <cell r="R645" t="str">
            <v/>
          </cell>
          <cell r="T645" t="str">
            <v>60 - 00011B41306</v>
          </cell>
        </row>
        <row r="646">
          <cell r="H646">
            <v>329</v>
          </cell>
          <cell r="O646">
            <v>41306</v>
          </cell>
          <cell r="R646" t="str">
            <v/>
          </cell>
          <cell r="T646" t="str">
            <v>60 - 00011B41306</v>
          </cell>
        </row>
        <row r="647">
          <cell r="H647">
            <v>0</v>
          </cell>
          <cell r="O647">
            <v>41306</v>
          </cell>
          <cell r="R647" t="str">
            <v/>
          </cell>
          <cell r="T647" t="str">
            <v>60 - 00011B41306</v>
          </cell>
        </row>
        <row r="648">
          <cell r="H648">
            <v>0</v>
          </cell>
          <cell r="O648">
            <v>41306</v>
          </cell>
          <cell r="R648" t="str">
            <v/>
          </cell>
          <cell r="T648" t="str">
            <v>60 - 00011R41306</v>
          </cell>
        </row>
        <row r="649">
          <cell r="H649">
            <v>0</v>
          </cell>
          <cell r="O649">
            <v>41306</v>
          </cell>
          <cell r="R649" t="str">
            <v/>
          </cell>
          <cell r="T649" t="str">
            <v>60 - 00011R41306</v>
          </cell>
        </row>
        <row r="650">
          <cell r="H650">
            <v>0</v>
          </cell>
          <cell r="O650">
            <v>41306</v>
          </cell>
          <cell r="R650" t="str">
            <v/>
          </cell>
          <cell r="T650" t="str">
            <v>60 - 00011R41306</v>
          </cell>
        </row>
        <row r="651">
          <cell r="H651">
            <v>0</v>
          </cell>
          <cell r="O651">
            <v>41306</v>
          </cell>
          <cell r="R651" t="str">
            <v/>
          </cell>
          <cell r="T651" t="str">
            <v>60 - 00011R41306</v>
          </cell>
        </row>
        <row r="652">
          <cell r="H652">
            <v>0</v>
          </cell>
          <cell r="O652">
            <v>41306</v>
          </cell>
          <cell r="R652" t="str">
            <v/>
          </cell>
          <cell r="T652" t="str">
            <v>60 - 00011R41306</v>
          </cell>
        </row>
        <row r="653">
          <cell r="H653">
            <v>0</v>
          </cell>
          <cell r="O653">
            <v>41306</v>
          </cell>
          <cell r="R653" t="str">
            <v/>
          </cell>
          <cell r="T653" t="str">
            <v>60 - 00011R41306</v>
          </cell>
        </row>
        <row r="654">
          <cell r="H654">
            <v>0</v>
          </cell>
          <cell r="O654">
            <v>41306</v>
          </cell>
          <cell r="R654" t="str">
            <v/>
          </cell>
          <cell r="T654" t="str">
            <v>60 - 00011R41306</v>
          </cell>
        </row>
        <row r="655">
          <cell r="H655">
            <v>0</v>
          </cell>
          <cell r="O655">
            <v>41306</v>
          </cell>
          <cell r="R655" t="str">
            <v/>
          </cell>
          <cell r="T655" t="str">
            <v>60 - 00011R41306</v>
          </cell>
        </row>
        <row r="656">
          <cell r="H656">
            <v>0</v>
          </cell>
          <cell r="O656">
            <v>41306</v>
          </cell>
          <cell r="R656" t="str">
            <v/>
          </cell>
          <cell r="T656" t="str">
            <v>60 - 00011R41306</v>
          </cell>
        </row>
        <row r="657">
          <cell r="H657">
            <v>0</v>
          </cell>
          <cell r="O657">
            <v>41306</v>
          </cell>
          <cell r="R657" t="str">
            <v/>
          </cell>
          <cell r="T657" t="str">
            <v>60 - 00011R41306</v>
          </cell>
        </row>
        <row r="658">
          <cell r="H658">
            <v>0</v>
          </cell>
          <cell r="O658">
            <v>41306</v>
          </cell>
          <cell r="R658" t="str">
            <v/>
          </cell>
          <cell r="T658" t="str">
            <v>60 - 00011R41306</v>
          </cell>
        </row>
        <row r="659">
          <cell r="H659">
            <v>14910</v>
          </cell>
          <cell r="O659">
            <v>41306</v>
          </cell>
          <cell r="R659" t="str">
            <v/>
          </cell>
          <cell r="T659" t="str">
            <v>60 - 00011R41306</v>
          </cell>
        </row>
        <row r="660">
          <cell r="H660">
            <v>1163</v>
          </cell>
          <cell r="O660">
            <v>41306</v>
          </cell>
          <cell r="R660" t="str">
            <v/>
          </cell>
          <cell r="T660" t="str">
            <v>60 - 00011R41306</v>
          </cell>
        </row>
        <row r="661">
          <cell r="H661">
            <v>67600</v>
          </cell>
          <cell r="O661">
            <v>41306</v>
          </cell>
          <cell r="R661" t="str">
            <v/>
          </cell>
          <cell r="T661" t="str">
            <v>60 - 00011R41306</v>
          </cell>
        </row>
        <row r="662">
          <cell r="H662">
            <v>389972</v>
          </cell>
          <cell r="O662">
            <v>41306</v>
          </cell>
          <cell r="R662" t="str">
            <v/>
          </cell>
          <cell r="T662" t="str">
            <v>60 - 00011R41306</v>
          </cell>
        </row>
        <row r="663">
          <cell r="H663">
            <v>3075</v>
          </cell>
          <cell r="O663">
            <v>41306</v>
          </cell>
          <cell r="R663" t="str">
            <v/>
          </cell>
          <cell r="T663" t="str">
            <v>60 - 00011R41306</v>
          </cell>
        </row>
        <row r="664">
          <cell r="H664">
            <v>125</v>
          </cell>
          <cell r="O664">
            <v>41306</v>
          </cell>
          <cell r="R664" t="str">
            <v/>
          </cell>
          <cell r="T664" t="str">
            <v>60 - 00011R41306</v>
          </cell>
        </row>
        <row r="665">
          <cell r="H665">
            <v>0</v>
          </cell>
          <cell r="O665">
            <v>41306</v>
          </cell>
          <cell r="R665" t="str">
            <v/>
          </cell>
          <cell r="T665" t="str">
            <v>60 - 00011R41306</v>
          </cell>
        </row>
        <row r="666">
          <cell r="H666">
            <v>0</v>
          </cell>
          <cell r="O666">
            <v>41306</v>
          </cell>
          <cell r="R666" t="str">
            <v/>
          </cell>
          <cell r="T666" t="str">
            <v>60 - 00011R41306</v>
          </cell>
        </row>
        <row r="667">
          <cell r="H667">
            <v>0</v>
          </cell>
          <cell r="O667">
            <v>41306</v>
          </cell>
          <cell r="R667" t="str">
            <v/>
          </cell>
          <cell r="T667" t="str">
            <v>60 - 00011R41306</v>
          </cell>
        </row>
        <row r="668">
          <cell r="H668">
            <v>12630</v>
          </cell>
          <cell r="O668">
            <v>41306</v>
          </cell>
          <cell r="R668" t="str">
            <v/>
          </cell>
          <cell r="T668" t="str">
            <v>60 - 00011R41306</v>
          </cell>
        </row>
        <row r="669">
          <cell r="H669">
            <v>0</v>
          </cell>
          <cell r="O669">
            <v>41306</v>
          </cell>
          <cell r="R669" t="str">
            <v/>
          </cell>
          <cell r="T669" t="str">
            <v>60 - 00011R41306</v>
          </cell>
        </row>
        <row r="670">
          <cell r="H670">
            <v>0</v>
          </cell>
          <cell r="O670">
            <v>41306</v>
          </cell>
          <cell r="R670" t="str">
            <v/>
          </cell>
          <cell r="T670" t="str">
            <v>60 - 00011R41306</v>
          </cell>
        </row>
        <row r="671">
          <cell r="H671">
            <v>0</v>
          </cell>
          <cell r="O671">
            <v>41306</v>
          </cell>
          <cell r="R671" t="str">
            <v/>
          </cell>
          <cell r="T671" t="str">
            <v>60 - 00011R41306</v>
          </cell>
        </row>
        <row r="672">
          <cell r="H672">
            <v>0</v>
          </cell>
          <cell r="O672">
            <v>41306</v>
          </cell>
          <cell r="R672" t="str">
            <v/>
          </cell>
          <cell r="T672" t="str">
            <v>60 - 00011R41306</v>
          </cell>
        </row>
        <row r="673">
          <cell r="H673">
            <v>0</v>
          </cell>
          <cell r="O673">
            <v>41306</v>
          </cell>
          <cell r="R673" t="str">
            <v/>
          </cell>
          <cell r="T673" t="str">
            <v>60 - 00011R41306</v>
          </cell>
        </row>
        <row r="674">
          <cell r="H674">
            <v>31581</v>
          </cell>
          <cell r="O674">
            <v>41306</v>
          </cell>
          <cell r="R674" t="str">
            <v/>
          </cell>
          <cell r="T674" t="str">
            <v>60 - 00011R41306</v>
          </cell>
        </row>
        <row r="675">
          <cell r="H675">
            <v>0</v>
          </cell>
          <cell r="O675">
            <v>41306</v>
          </cell>
          <cell r="R675" t="str">
            <v/>
          </cell>
          <cell r="T675" t="str">
            <v>60 - 00011R41306</v>
          </cell>
        </row>
        <row r="676">
          <cell r="H676">
            <v>0</v>
          </cell>
          <cell r="O676">
            <v>41306</v>
          </cell>
          <cell r="R676" t="str">
            <v/>
          </cell>
          <cell r="T676" t="str">
            <v>60 - 00011R41306</v>
          </cell>
        </row>
        <row r="677">
          <cell r="H677">
            <v>19000</v>
          </cell>
          <cell r="O677">
            <v>41306</v>
          </cell>
          <cell r="R677" t="str">
            <v/>
          </cell>
          <cell r="T677" t="str">
            <v>60 - 00011U41306</v>
          </cell>
        </row>
        <row r="678">
          <cell r="H678">
            <v>0</v>
          </cell>
          <cell r="O678">
            <v>41306</v>
          </cell>
          <cell r="R678" t="str">
            <v/>
          </cell>
          <cell r="T678" t="str">
            <v>60 - 00011R41306</v>
          </cell>
        </row>
        <row r="679">
          <cell r="H679">
            <v>0</v>
          </cell>
          <cell r="O679">
            <v>41306</v>
          </cell>
          <cell r="R679" t="str">
            <v/>
          </cell>
          <cell r="T679" t="str">
            <v>60 - 00011R41306</v>
          </cell>
        </row>
        <row r="680">
          <cell r="H680">
            <v>0</v>
          </cell>
          <cell r="O680">
            <v>41306</v>
          </cell>
          <cell r="R680" t="str">
            <v/>
          </cell>
          <cell r="T680" t="str">
            <v>60 - 00011R41306</v>
          </cell>
        </row>
        <row r="681">
          <cell r="H681">
            <v>0</v>
          </cell>
          <cell r="O681">
            <v>41306</v>
          </cell>
          <cell r="R681" t="str">
            <v/>
          </cell>
          <cell r="T681" t="str">
            <v>60 - 00011R41306</v>
          </cell>
        </row>
        <row r="682">
          <cell r="H682">
            <v>0</v>
          </cell>
          <cell r="O682">
            <v>41306</v>
          </cell>
          <cell r="R682" t="str">
            <v/>
          </cell>
          <cell r="T682" t="str">
            <v>60 - 00011R41306</v>
          </cell>
        </row>
        <row r="683">
          <cell r="H683">
            <v>45379</v>
          </cell>
          <cell r="O683">
            <v>41306</v>
          </cell>
          <cell r="R683" t="str">
            <v/>
          </cell>
          <cell r="T683" t="str">
            <v>60 - 00011R41306</v>
          </cell>
        </row>
        <row r="684">
          <cell r="H684">
            <v>16305</v>
          </cell>
          <cell r="O684">
            <v>41306</v>
          </cell>
          <cell r="R684" t="str">
            <v/>
          </cell>
          <cell r="T684" t="str">
            <v>60 - 00011R41306</v>
          </cell>
        </row>
        <row r="685">
          <cell r="H685">
            <v>1475489</v>
          </cell>
          <cell r="O685">
            <v>41306</v>
          </cell>
          <cell r="R685" t="str">
            <v/>
          </cell>
          <cell r="T685" t="str">
            <v>60 - 00011R41306</v>
          </cell>
        </row>
        <row r="686">
          <cell r="H686">
            <v>735116</v>
          </cell>
          <cell r="O686">
            <v>41306</v>
          </cell>
          <cell r="R686" t="str">
            <v/>
          </cell>
          <cell r="T686" t="str">
            <v>60 - 00011R41306</v>
          </cell>
        </row>
        <row r="687">
          <cell r="H687">
            <v>31</v>
          </cell>
          <cell r="O687">
            <v>41306</v>
          </cell>
          <cell r="R687" t="str">
            <v/>
          </cell>
          <cell r="T687" t="str">
            <v>60 - 00011R41306</v>
          </cell>
        </row>
        <row r="688">
          <cell r="H688">
            <v>90869</v>
          </cell>
          <cell r="O688">
            <v>41306</v>
          </cell>
          <cell r="R688" t="str">
            <v/>
          </cell>
          <cell r="T688" t="str">
            <v>60 - 00011R41306</v>
          </cell>
        </row>
        <row r="689">
          <cell r="H689">
            <v>696962</v>
          </cell>
          <cell r="O689">
            <v>41306</v>
          </cell>
          <cell r="R689" t="str">
            <v/>
          </cell>
          <cell r="T689" t="str">
            <v>60 - 00011R41306</v>
          </cell>
        </row>
        <row r="690">
          <cell r="H690">
            <v>3434</v>
          </cell>
          <cell r="O690">
            <v>41306</v>
          </cell>
          <cell r="R690" t="str">
            <v/>
          </cell>
          <cell r="T690" t="str">
            <v>60 - 00011R41306</v>
          </cell>
        </row>
        <row r="691">
          <cell r="H691">
            <v>0</v>
          </cell>
          <cell r="O691">
            <v>41306</v>
          </cell>
          <cell r="R691" t="str">
            <v/>
          </cell>
          <cell r="T691" t="str">
            <v>60 - 00011R41306</v>
          </cell>
        </row>
        <row r="692">
          <cell r="H692">
            <v>-595000</v>
          </cell>
          <cell r="O692">
            <v>41306</v>
          </cell>
          <cell r="R692" t="str">
            <v/>
          </cell>
          <cell r="T692" t="str">
            <v>60 - 00011U41306</v>
          </cell>
        </row>
        <row r="693">
          <cell r="H693">
            <v>0</v>
          </cell>
          <cell r="O693">
            <v>41306</v>
          </cell>
          <cell r="R693" t="str">
            <v/>
          </cell>
          <cell r="T693" t="str">
            <v>60 - 00012B41306</v>
          </cell>
        </row>
        <row r="694">
          <cell r="H694">
            <v>167810352</v>
          </cell>
          <cell r="O694">
            <v>41306</v>
          </cell>
          <cell r="R694" t="str">
            <v/>
          </cell>
          <cell r="T694" t="str">
            <v>60 - 00012B41306</v>
          </cell>
        </row>
        <row r="695">
          <cell r="H695">
            <v>208940</v>
          </cell>
          <cell r="O695">
            <v>41306</v>
          </cell>
          <cell r="R695" t="str">
            <v/>
          </cell>
          <cell r="T695" t="str">
            <v>60 - 00012B41306</v>
          </cell>
        </row>
        <row r="696">
          <cell r="H696">
            <v>36699</v>
          </cell>
          <cell r="O696">
            <v>41306</v>
          </cell>
          <cell r="R696" t="str">
            <v/>
          </cell>
          <cell r="T696" t="str">
            <v>60 - 00012B41306</v>
          </cell>
        </row>
        <row r="697">
          <cell r="H697">
            <v>7570197</v>
          </cell>
          <cell r="O697">
            <v>41306</v>
          </cell>
          <cell r="R697" t="str">
            <v/>
          </cell>
          <cell r="T697" t="str">
            <v>60 - 00012B41306</v>
          </cell>
        </row>
        <row r="698">
          <cell r="H698">
            <v>87937</v>
          </cell>
          <cell r="O698">
            <v>41306</v>
          </cell>
          <cell r="R698" t="str">
            <v/>
          </cell>
          <cell r="T698" t="str">
            <v>60 - 00012B41306</v>
          </cell>
        </row>
        <row r="699">
          <cell r="H699">
            <v>144748</v>
          </cell>
          <cell r="O699">
            <v>41306</v>
          </cell>
          <cell r="R699" t="str">
            <v/>
          </cell>
          <cell r="T699" t="str">
            <v>60 - 00012B41306</v>
          </cell>
        </row>
        <row r="700">
          <cell r="H700">
            <v>568573</v>
          </cell>
          <cell r="O700">
            <v>41306</v>
          </cell>
          <cell r="R700" t="str">
            <v/>
          </cell>
          <cell r="T700" t="str">
            <v>60 - 00012B41306</v>
          </cell>
        </row>
        <row r="701">
          <cell r="H701">
            <v>0</v>
          </cell>
          <cell r="O701">
            <v>41306</v>
          </cell>
          <cell r="R701" t="str">
            <v/>
          </cell>
          <cell r="T701" t="str">
            <v>60 - 00012B41306</v>
          </cell>
        </row>
        <row r="702">
          <cell r="H702">
            <v>0</v>
          </cell>
          <cell r="O702">
            <v>41306</v>
          </cell>
          <cell r="R702" t="str">
            <v>41306WARESAGA</v>
          </cell>
          <cell r="T702" t="str">
            <v>60 - 00012R41306</v>
          </cell>
        </row>
        <row r="703">
          <cell r="H703">
            <v>0</v>
          </cell>
          <cell r="O703">
            <v>41306</v>
          </cell>
          <cell r="R703" t="str">
            <v>41306WARESAGA</v>
          </cell>
          <cell r="T703" t="str">
            <v>60 - 00012R41306</v>
          </cell>
        </row>
        <row r="704">
          <cell r="H704">
            <v>0</v>
          </cell>
          <cell r="O704">
            <v>41306</v>
          </cell>
          <cell r="R704" t="str">
            <v>41306WARESAGA</v>
          </cell>
          <cell r="T704" t="str">
            <v>60 - 00012R41306</v>
          </cell>
        </row>
        <row r="705">
          <cell r="H705">
            <v>0</v>
          </cell>
          <cell r="O705">
            <v>41306</v>
          </cell>
          <cell r="R705" t="str">
            <v>41306WARESAGA</v>
          </cell>
          <cell r="T705" t="str">
            <v>60 - 00012R41306</v>
          </cell>
        </row>
        <row r="706">
          <cell r="H706">
            <v>0</v>
          </cell>
          <cell r="O706">
            <v>41306</v>
          </cell>
          <cell r="R706" t="str">
            <v>41306WARESAGA</v>
          </cell>
          <cell r="T706" t="str">
            <v>60 - 00012R41306</v>
          </cell>
        </row>
        <row r="707">
          <cell r="H707">
            <v>0</v>
          </cell>
          <cell r="O707">
            <v>41306</v>
          </cell>
          <cell r="R707" t="str">
            <v>41306WARESAGA</v>
          </cell>
          <cell r="T707" t="str">
            <v>60 - 00012R41306</v>
          </cell>
        </row>
        <row r="708">
          <cell r="H708">
            <v>0</v>
          </cell>
          <cell r="O708">
            <v>41306</v>
          </cell>
          <cell r="R708" t="str">
            <v>41306WARESAGA</v>
          </cell>
          <cell r="T708" t="str">
            <v>60 - 00012R41306</v>
          </cell>
        </row>
        <row r="709">
          <cell r="H709">
            <v>167810382</v>
          </cell>
          <cell r="O709">
            <v>41306</v>
          </cell>
          <cell r="R709" t="str">
            <v>41306WARES16</v>
          </cell>
          <cell r="T709" t="str">
            <v>60 - 00012R41306</v>
          </cell>
        </row>
        <row r="710">
          <cell r="H710">
            <v>208940</v>
          </cell>
          <cell r="O710">
            <v>41306</v>
          </cell>
          <cell r="R710" t="str">
            <v>41306WARES18</v>
          </cell>
          <cell r="T710" t="str">
            <v>60 - 00012R41306</v>
          </cell>
        </row>
        <row r="711">
          <cell r="H711">
            <v>36699</v>
          </cell>
          <cell r="O711">
            <v>41306</v>
          </cell>
          <cell r="R711" t="str">
            <v>41306WARES18</v>
          </cell>
          <cell r="T711" t="str">
            <v>60 - 00012R41306</v>
          </cell>
        </row>
        <row r="712">
          <cell r="H712">
            <v>0</v>
          </cell>
          <cell r="O712">
            <v>41306</v>
          </cell>
          <cell r="R712" t="str">
            <v>41306WARESAGA</v>
          </cell>
          <cell r="T712" t="str">
            <v>60 - 00012R41306</v>
          </cell>
        </row>
        <row r="713">
          <cell r="H713">
            <v>0</v>
          </cell>
          <cell r="O713">
            <v>41306</v>
          </cell>
          <cell r="R713" t="str">
            <v>41306WARESAGA</v>
          </cell>
          <cell r="T713" t="str">
            <v>60 - 00012R41306</v>
          </cell>
        </row>
        <row r="714">
          <cell r="H714">
            <v>7570196</v>
          </cell>
          <cell r="O714">
            <v>41306</v>
          </cell>
          <cell r="R714" t="str">
            <v>41306WARES17</v>
          </cell>
          <cell r="T714" t="str">
            <v>60 - 00012R41306</v>
          </cell>
        </row>
        <row r="715">
          <cell r="H715">
            <v>87938</v>
          </cell>
          <cell r="O715">
            <v>41306</v>
          </cell>
          <cell r="R715" t="str">
            <v>41306WARES15</v>
          </cell>
          <cell r="T715" t="str">
            <v>60 - 00012R41306</v>
          </cell>
        </row>
        <row r="716">
          <cell r="H716">
            <v>144748</v>
          </cell>
          <cell r="O716">
            <v>41306</v>
          </cell>
          <cell r="R716" t="str">
            <v>41306WARES16</v>
          </cell>
          <cell r="T716" t="str">
            <v>60 - 00012R41306</v>
          </cell>
        </row>
        <row r="717">
          <cell r="H717">
            <v>568582</v>
          </cell>
          <cell r="O717">
            <v>41306</v>
          </cell>
          <cell r="R717" t="str">
            <v>41306WARES24</v>
          </cell>
          <cell r="T717" t="str">
            <v>60 - 00012R41306</v>
          </cell>
        </row>
        <row r="718">
          <cell r="H718">
            <v>0</v>
          </cell>
          <cell r="O718">
            <v>41306</v>
          </cell>
          <cell r="R718" t="str">
            <v>41306WARESAGA</v>
          </cell>
          <cell r="T718" t="str">
            <v>60 - 00012R41306</v>
          </cell>
        </row>
        <row r="719">
          <cell r="H719">
            <v>-29338000</v>
          </cell>
          <cell r="O719">
            <v>41306</v>
          </cell>
          <cell r="R719" t="str">
            <v>41306WARES88</v>
          </cell>
          <cell r="T719" t="str">
            <v>60 - 00012U41306</v>
          </cell>
        </row>
        <row r="720">
          <cell r="H720">
            <v>0</v>
          </cell>
          <cell r="O720">
            <v>41306</v>
          </cell>
          <cell r="R720" t="str">
            <v>41306WARESAGA</v>
          </cell>
          <cell r="T720" t="str">
            <v>60 - 00012U41306</v>
          </cell>
        </row>
        <row r="721">
          <cell r="H721">
            <v>0</v>
          </cell>
          <cell r="O721">
            <v>41306</v>
          </cell>
          <cell r="R721" t="str">
            <v/>
          </cell>
          <cell r="T721" t="str">
            <v>60 - 00012B41306</v>
          </cell>
        </row>
        <row r="722">
          <cell r="H722">
            <v>3446635</v>
          </cell>
          <cell r="O722">
            <v>41306</v>
          </cell>
          <cell r="R722" t="str">
            <v/>
          </cell>
          <cell r="T722" t="str">
            <v>60 - 00012B41306</v>
          </cell>
        </row>
        <row r="723">
          <cell r="H723">
            <v>2152</v>
          </cell>
          <cell r="O723">
            <v>41306</v>
          </cell>
          <cell r="R723" t="str">
            <v/>
          </cell>
          <cell r="T723" t="str">
            <v>60 - 00012B41306</v>
          </cell>
        </row>
        <row r="724">
          <cell r="H724">
            <v>7220005</v>
          </cell>
          <cell r="O724">
            <v>41306</v>
          </cell>
          <cell r="R724" t="str">
            <v/>
          </cell>
          <cell r="T724" t="str">
            <v>60 - 00012B41306</v>
          </cell>
        </row>
        <row r="725">
          <cell r="H725">
            <v>48227</v>
          </cell>
          <cell r="O725">
            <v>41306</v>
          </cell>
          <cell r="R725" t="str">
            <v/>
          </cell>
          <cell r="T725" t="str">
            <v>60 - 00012B41306</v>
          </cell>
        </row>
        <row r="726">
          <cell r="H726">
            <v>72</v>
          </cell>
          <cell r="O726">
            <v>41306</v>
          </cell>
          <cell r="R726" t="str">
            <v/>
          </cell>
          <cell r="T726" t="str">
            <v>60 - 00012B41306</v>
          </cell>
        </row>
        <row r="727">
          <cell r="H727">
            <v>451</v>
          </cell>
          <cell r="O727">
            <v>41306</v>
          </cell>
          <cell r="R727" t="str">
            <v/>
          </cell>
          <cell r="T727" t="str">
            <v>60 - 00012B41306</v>
          </cell>
        </row>
        <row r="728">
          <cell r="H728">
            <v>0</v>
          </cell>
          <cell r="O728">
            <v>41306</v>
          </cell>
          <cell r="R728" t="str">
            <v/>
          </cell>
          <cell r="T728" t="str">
            <v>60 - 00012B41306</v>
          </cell>
        </row>
        <row r="729">
          <cell r="H729">
            <v>0</v>
          </cell>
          <cell r="O729">
            <v>41306</v>
          </cell>
          <cell r="R729" t="str">
            <v>41306WACOMAGA</v>
          </cell>
          <cell r="T729" t="str">
            <v>60 - 00012R41306</v>
          </cell>
        </row>
        <row r="730">
          <cell r="H730">
            <v>0</v>
          </cell>
          <cell r="O730">
            <v>41306</v>
          </cell>
          <cell r="R730" t="str">
            <v>41306WACOMAGA</v>
          </cell>
          <cell r="T730" t="str">
            <v>60 - 00012R41306</v>
          </cell>
        </row>
        <row r="731">
          <cell r="H731">
            <v>0</v>
          </cell>
          <cell r="O731">
            <v>41306</v>
          </cell>
          <cell r="R731" t="str">
            <v>41306WACOMAGA</v>
          </cell>
          <cell r="T731" t="str">
            <v>60 - 00012R41306</v>
          </cell>
        </row>
        <row r="732">
          <cell r="H732">
            <v>0</v>
          </cell>
          <cell r="O732">
            <v>41306</v>
          </cell>
          <cell r="R732" t="str">
            <v>41306WACOMAGA</v>
          </cell>
          <cell r="T732" t="str">
            <v>60 - 00012R41306</v>
          </cell>
        </row>
        <row r="733">
          <cell r="H733">
            <v>0</v>
          </cell>
          <cell r="O733">
            <v>41306</v>
          </cell>
          <cell r="R733" t="str">
            <v>41306WACOMAGA</v>
          </cell>
          <cell r="T733" t="str">
            <v>60 - 00012R41306</v>
          </cell>
        </row>
        <row r="734">
          <cell r="H734">
            <v>0</v>
          </cell>
          <cell r="O734">
            <v>41306</v>
          </cell>
          <cell r="R734" t="str">
            <v>41306WACOMAGA</v>
          </cell>
          <cell r="T734" t="str">
            <v>60 - 00012R41306</v>
          </cell>
        </row>
        <row r="735">
          <cell r="H735">
            <v>41846059</v>
          </cell>
          <cell r="O735">
            <v>41306</v>
          </cell>
          <cell r="R735" t="str">
            <v>41306WACOM24</v>
          </cell>
          <cell r="T735" t="str">
            <v>60 - 00012R41306</v>
          </cell>
        </row>
        <row r="736">
          <cell r="H736">
            <v>92921</v>
          </cell>
          <cell r="O736">
            <v>41306</v>
          </cell>
          <cell r="R736" t="str">
            <v>41306WACOM24</v>
          </cell>
          <cell r="T736" t="str">
            <v>60 - 00012R41306</v>
          </cell>
        </row>
        <row r="737">
          <cell r="H737">
            <v>57317869</v>
          </cell>
          <cell r="O737">
            <v>41306</v>
          </cell>
          <cell r="R737" t="str">
            <v>41306WACOM36</v>
          </cell>
          <cell r="T737" t="str">
            <v>60 - 00012R41306</v>
          </cell>
        </row>
        <row r="738">
          <cell r="H738">
            <v>12193360</v>
          </cell>
          <cell r="O738">
            <v>41306</v>
          </cell>
          <cell r="R738" t="str">
            <v>41306WACOM48T</v>
          </cell>
          <cell r="T738" t="str">
            <v>60 - 00012R41306</v>
          </cell>
        </row>
        <row r="739">
          <cell r="H739">
            <v>0</v>
          </cell>
          <cell r="O739">
            <v>41306</v>
          </cell>
          <cell r="R739" t="str">
            <v>41306WACOMAGA</v>
          </cell>
          <cell r="T739" t="str">
            <v>60 - 00012R41306</v>
          </cell>
        </row>
        <row r="740">
          <cell r="H740">
            <v>0</v>
          </cell>
          <cell r="O740">
            <v>41306</v>
          </cell>
          <cell r="R740" t="str">
            <v>41306WACOMAGA</v>
          </cell>
          <cell r="T740" t="str">
            <v>60 - 00012R41306</v>
          </cell>
        </row>
        <row r="741">
          <cell r="H741">
            <v>0</v>
          </cell>
          <cell r="O741">
            <v>41306</v>
          </cell>
          <cell r="R741" t="str">
            <v>41306WACOMAGA</v>
          </cell>
          <cell r="T741" t="str">
            <v>60 - 00012R41306</v>
          </cell>
        </row>
        <row r="742">
          <cell r="H742">
            <v>0</v>
          </cell>
          <cell r="O742">
            <v>41306</v>
          </cell>
          <cell r="R742" t="str">
            <v>41306WACOMAGA</v>
          </cell>
          <cell r="T742" t="str">
            <v>60 - 00012R41306</v>
          </cell>
        </row>
        <row r="743">
          <cell r="H743">
            <v>0</v>
          </cell>
          <cell r="O743">
            <v>41306</v>
          </cell>
          <cell r="R743" t="str">
            <v>41306WACOMAGA</v>
          </cell>
          <cell r="T743" t="str">
            <v>60 - 00012R41306</v>
          </cell>
        </row>
        <row r="744">
          <cell r="H744">
            <v>0</v>
          </cell>
          <cell r="O744">
            <v>41306</v>
          </cell>
          <cell r="R744" t="str">
            <v>41306WACOMAGA</v>
          </cell>
          <cell r="T744" t="str">
            <v>60 - 00012R41306</v>
          </cell>
        </row>
        <row r="745">
          <cell r="H745">
            <v>132278</v>
          </cell>
          <cell r="O745">
            <v>41306</v>
          </cell>
          <cell r="R745" t="str">
            <v>41306WACOM15</v>
          </cell>
          <cell r="T745" t="str">
            <v>60 - 00012R41306</v>
          </cell>
        </row>
        <row r="746">
          <cell r="H746">
            <v>22492</v>
          </cell>
          <cell r="O746">
            <v>41306</v>
          </cell>
          <cell r="R746" t="str">
            <v>41306WACOM54</v>
          </cell>
          <cell r="T746" t="str">
            <v>60 - 00012R41306</v>
          </cell>
        </row>
        <row r="747">
          <cell r="H747">
            <v>0</v>
          </cell>
          <cell r="O747">
            <v>41306</v>
          </cell>
          <cell r="R747" t="str">
            <v>41306WACOMAGA</v>
          </cell>
          <cell r="T747" t="str">
            <v>60 - 00012R41306</v>
          </cell>
        </row>
        <row r="748">
          <cell r="H748">
            <v>70228</v>
          </cell>
          <cell r="O748">
            <v>41306</v>
          </cell>
          <cell r="R748" t="str">
            <v>41306WACOM24</v>
          </cell>
          <cell r="T748" t="str">
            <v>60 - 00012R41306</v>
          </cell>
        </row>
        <row r="749">
          <cell r="H749">
            <v>3446654</v>
          </cell>
          <cell r="O749">
            <v>41306</v>
          </cell>
          <cell r="R749" t="str">
            <v>41306WACOM24</v>
          </cell>
          <cell r="T749" t="str">
            <v>60 - 00012R41306</v>
          </cell>
        </row>
        <row r="750">
          <cell r="H750">
            <v>2156</v>
          </cell>
          <cell r="O750">
            <v>41306</v>
          </cell>
          <cell r="R750" t="str">
            <v>41306WACOM24</v>
          </cell>
          <cell r="T750" t="str">
            <v>60 - 00012R41306</v>
          </cell>
        </row>
        <row r="751">
          <cell r="H751">
            <v>7220005</v>
          </cell>
          <cell r="O751">
            <v>41306</v>
          </cell>
          <cell r="R751" t="str">
            <v>41306WACOM36</v>
          </cell>
          <cell r="T751" t="str">
            <v>60 - 00012R41306</v>
          </cell>
        </row>
        <row r="752">
          <cell r="H752">
            <v>48227</v>
          </cell>
          <cell r="O752">
            <v>41306</v>
          </cell>
          <cell r="R752" t="str">
            <v>41306WACOM15</v>
          </cell>
          <cell r="T752" t="str">
            <v>60 - 00012R41306</v>
          </cell>
        </row>
        <row r="753">
          <cell r="H753">
            <v>25642</v>
          </cell>
          <cell r="O753">
            <v>41306</v>
          </cell>
          <cell r="R753" t="str">
            <v>41306WACOM24</v>
          </cell>
          <cell r="T753" t="str">
            <v>60 - 00012R41306</v>
          </cell>
        </row>
        <row r="754">
          <cell r="H754">
            <v>0</v>
          </cell>
          <cell r="O754">
            <v>41306</v>
          </cell>
          <cell r="R754" t="str">
            <v>41306WACOMAGA</v>
          </cell>
          <cell r="T754" t="str">
            <v>60 - 00012R41306</v>
          </cell>
        </row>
        <row r="755">
          <cell r="H755">
            <v>0</v>
          </cell>
          <cell r="O755">
            <v>41306</v>
          </cell>
          <cell r="R755" t="str">
            <v>41306WACOMAGA</v>
          </cell>
          <cell r="T755" t="str">
            <v>60 - 00012R41306</v>
          </cell>
        </row>
        <row r="756">
          <cell r="H756">
            <v>16800</v>
          </cell>
          <cell r="O756">
            <v>41306</v>
          </cell>
          <cell r="R756" t="str">
            <v>41306WACOM36</v>
          </cell>
          <cell r="T756" t="str">
            <v>60 - 00012R41306</v>
          </cell>
        </row>
        <row r="757">
          <cell r="H757">
            <v>0</v>
          </cell>
          <cell r="O757">
            <v>41306</v>
          </cell>
          <cell r="R757" t="str">
            <v>41306WACOMAGA</v>
          </cell>
          <cell r="T757" t="str">
            <v>60 - 00012R41306</v>
          </cell>
        </row>
        <row r="758">
          <cell r="H758">
            <v>-6748000</v>
          </cell>
          <cell r="O758">
            <v>41306</v>
          </cell>
          <cell r="R758" t="str">
            <v>41306WACOM88</v>
          </cell>
          <cell r="T758" t="str">
            <v>60 - 00012U41306</v>
          </cell>
        </row>
        <row r="759">
          <cell r="H759">
            <v>0</v>
          </cell>
          <cell r="O759">
            <v>41306</v>
          </cell>
          <cell r="R759" t="str">
            <v/>
          </cell>
          <cell r="T759" t="str">
            <v>60 - 00012B41306</v>
          </cell>
        </row>
        <row r="760">
          <cell r="H760">
            <v>136852</v>
          </cell>
          <cell r="O760">
            <v>41306</v>
          </cell>
          <cell r="R760" t="str">
            <v/>
          </cell>
          <cell r="T760" t="str">
            <v>60 - 00012B41306</v>
          </cell>
        </row>
        <row r="761">
          <cell r="H761">
            <v>16</v>
          </cell>
          <cell r="O761">
            <v>41306</v>
          </cell>
          <cell r="R761" t="str">
            <v/>
          </cell>
          <cell r="T761" t="str">
            <v>60 - 00012B41306</v>
          </cell>
        </row>
        <row r="762">
          <cell r="H762">
            <v>117720</v>
          </cell>
          <cell r="O762">
            <v>41306</v>
          </cell>
          <cell r="R762" t="str">
            <v/>
          </cell>
          <cell r="T762" t="str">
            <v>60 - 00012B41306</v>
          </cell>
        </row>
        <row r="763">
          <cell r="H763">
            <v>2380</v>
          </cell>
          <cell r="O763">
            <v>41306</v>
          </cell>
          <cell r="R763" t="str">
            <v/>
          </cell>
          <cell r="T763" t="str">
            <v>60 - 00012B41306</v>
          </cell>
        </row>
        <row r="764">
          <cell r="H764">
            <v>0</v>
          </cell>
          <cell r="O764">
            <v>41306</v>
          </cell>
          <cell r="R764" t="str">
            <v/>
          </cell>
          <cell r="T764" t="str">
            <v>60 - 00012B41306</v>
          </cell>
        </row>
        <row r="765">
          <cell r="H765">
            <v>0</v>
          </cell>
          <cell r="O765">
            <v>41306</v>
          </cell>
          <cell r="R765" t="str">
            <v>41306WAINDAGA</v>
          </cell>
          <cell r="T765" t="str">
            <v>60 - 00012R41306</v>
          </cell>
        </row>
        <row r="766">
          <cell r="H766">
            <v>0</v>
          </cell>
          <cell r="O766">
            <v>41306</v>
          </cell>
          <cell r="R766" t="str">
            <v>41306WAINDAGA</v>
          </cell>
          <cell r="T766" t="str">
            <v>60 - 00012R41306</v>
          </cell>
        </row>
        <row r="767">
          <cell r="H767">
            <v>0</v>
          </cell>
          <cell r="O767">
            <v>41306</v>
          </cell>
          <cell r="R767" t="str">
            <v>41306WAINDAGA</v>
          </cell>
          <cell r="T767" t="str">
            <v>60 - 00012R41306</v>
          </cell>
        </row>
        <row r="768">
          <cell r="H768">
            <v>0</v>
          </cell>
          <cell r="O768">
            <v>41306</v>
          </cell>
          <cell r="R768" t="str">
            <v>41306WAINDAGA</v>
          </cell>
          <cell r="T768" t="str">
            <v>60 - 00012R41306</v>
          </cell>
        </row>
        <row r="769">
          <cell r="H769">
            <v>0</v>
          </cell>
          <cell r="O769">
            <v>41306</v>
          </cell>
          <cell r="R769" t="str">
            <v>41306WAINDAGA</v>
          </cell>
          <cell r="T769" t="str">
            <v>60 - 00012R41306</v>
          </cell>
        </row>
        <row r="770">
          <cell r="H770">
            <v>1529081</v>
          </cell>
          <cell r="O770">
            <v>41306</v>
          </cell>
          <cell r="R770" t="str">
            <v>41306WAIND24</v>
          </cell>
          <cell r="T770" t="str">
            <v>60 - 00012R41306</v>
          </cell>
        </row>
        <row r="771">
          <cell r="H771">
            <v>2776</v>
          </cell>
          <cell r="O771">
            <v>41306</v>
          </cell>
          <cell r="R771" t="str">
            <v>41306WAIND24</v>
          </cell>
          <cell r="T771" t="str">
            <v>60 - 00012R41306</v>
          </cell>
        </row>
        <row r="772">
          <cell r="H772">
            <v>8161939</v>
          </cell>
          <cell r="O772">
            <v>41306</v>
          </cell>
          <cell r="R772" t="str">
            <v>41306WAIND36</v>
          </cell>
          <cell r="T772" t="str">
            <v>60 - 00012R41306</v>
          </cell>
        </row>
        <row r="773">
          <cell r="H773">
            <v>56066700</v>
          </cell>
          <cell r="O773">
            <v>41306</v>
          </cell>
          <cell r="R773" t="str">
            <v>41306WAIND48T</v>
          </cell>
          <cell r="T773" t="str">
            <v>60 - 00012R41306</v>
          </cell>
        </row>
        <row r="774">
          <cell r="H774">
            <v>10312</v>
          </cell>
          <cell r="O774">
            <v>41306</v>
          </cell>
          <cell r="R774" t="str">
            <v>41306WAIND15</v>
          </cell>
          <cell r="T774" t="str">
            <v>60 - 00012R41306</v>
          </cell>
        </row>
        <row r="775">
          <cell r="H775">
            <v>434000</v>
          </cell>
          <cell r="O775">
            <v>41306</v>
          </cell>
          <cell r="R775" t="str">
            <v>41306WAIND47</v>
          </cell>
          <cell r="T775" t="str">
            <v>60 - 00012R41306</v>
          </cell>
        </row>
        <row r="776">
          <cell r="H776">
            <v>136853</v>
          </cell>
          <cell r="O776">
            <v>41306</v>
          </cell>
          <cell r="R776" t="str">
            <v>41306WAIND24</v>
          </cell>
          <cell r="T776" t="str">
            <v>60 - 00012R41306</v>
          </cell>
        </row>
        <row r="777">
          <cell r="H777">
            <v>16</v>
          </cell>
          <cell r="O777">
            <v>41306</v>
          </cell>
          <cell r="R777" t="str">
            <v>41306WAIND24</v>
          </cell>
          <cell r="T777" t="str">
            <v>60 - 00012R41306</v>
          </cell>
        </row>
        <row r="778">
          <cell r="H778">
            <v>117720</v>
          </cell>
          <cell r="O778">
            <v>41306</v>
          </cell>
          <cell r="R778" t="str">
            <v>41306WAIND36</v>
          </cell>
          <cell r="T778" t="str">
            <v>60 - 00012R41306</v>
          </cell>
        </row>
        <row r="779">
          <cell r="H779">
            <v>2380</v>
          </cell>
          <cell r="O779">
            <v>41306</v>
          </cell>
          <cell r="R779" t="str">
            <v>41306WAIND15</v>
          </cell>
          <cell r="T779" t="str">
            <v>60 - 00012R41306</v>
          </cell>
        </row>
        <row r="780">
          <cell r="H780">
            <v>0</v>
          </cell>
          <cell r="O780">
            <v>41306</v>
          </cell>
          <cell r="R780" t="str">
            <v>41306WAINDAGA</v>
          </cell>
          <cell r="T780" t="str">
            <v>60 - 00012R41306</v>
          </cell>
        </row>
        <row r="781">
          <cell r="H781">
            <v>-2904000</v>
          </cell>
          <cell r="O781">
            <v>41306</v>
          </cell>
          <cell r="R781" t="str">
            <v>41306WAIND88</v>
          </cell>
          <cell r="T781" t="str">
            <v>60 - 00012U41306</v>
          </cell>
        </row>
        <row r="782">
          <cell r="H782">
            <v>0</v>
          </cell>
          <cell r="O782">
            <v>41306</v>
          </cell>
          <cell r="R782" t="str">
            <v/>
          </cell>
          <cell r="T782" t="str">
            <v>60 - 00012B41306</v>
          </cell>
        </row>
        <row r="783">
          <cell r="H783">
            <v>433243</v>
          </cell>
          <cell r="O783">
            <v>41306</v>
          </cell>
          <cell r="R783" t="str">
            <v/>
          </cell>
          <cell r="T783" t="str">
            <v>60 - 00012B41306</v>
          </cell>
        </row>
        <row r="784">
          <cell r="H784">
            <v>0</v>
          </cell>
          <cell r="O784">
            <v>41306</v>
          </cell>
          <cell r="R784" t="str">
            <v/>
          </cell>
          <cell r="T784" t="str">
            <v>60 - 00012B41306</v>
          </cell>
        </row>
        <row r="785">
          <cell r="H785">
            <v>0</v>
          </cell>
          <cell r="O785">
            <v>41306</v>
          </cell>
          <cell r="R785" t="str">
            <v>41306WAINDAGA</v>
          </cell>
          <cell r="T785" t="str">
            <v>60 - 00012R41306</v>
          </cell>
        </row>
        <row r="786">
          <cell r="H786">
            <v>0</v>
          </cell>
          <cell r="O786">
            <v>41306</v>
          </cell>
          <cell r="R786" t="str">
            <v>41306WAINDAGA</v>
          </cell>
          <cell r="T786" t="str">
            <v>60 - 00012R41306</v>
          </cell>
        </row>
        <row r="787">
          <cell r="H787">
            <v>0</v>
          </cell>
          <cell r="O787">
            <v>41306</v>
          </cell>
          <cell r="R787" t="str">
            <v>41306WAINDAGA</v>
          </cell>
          <cell r="T787" t="str">
            <v>60 - 00012R41306</v>
          </cell>
        </row>
        <row r="788">
          <cell r="H788">
            <v>0</v>
          </cell>
          <cell r="O788">
            <v>41306</v>
          </cell>
          <cell r="R788" t="str">
            <v>41306WAINDAGA</v>
          </cell>
          <cell r="T788" t="str">
            <v>60 - 00012R41306</v>
          </cell>
        </row>
        <row r="789">
          <cell r="H789">
            <v>0</v>
          </cell>
          <cell r="O789">
            <v>41306</v>
          </cell>
          <cell r="R789" t="str">
            <v>41306WAINDAGA</v>
          </cell>
          <cell r="T789" t="str">
            <v>60 - 00012R41306</v>
          </cell>
        </row>
        <row r="790">
          <cell r="H790">
            <v>433336</v>
          </cell>
          <cell r="O790">
            <v>41306</v>
          </cell>
          <cell r="R790" t="str">
            <v>41306WAIND40</v>
          </cell>
          <cell r="T790" t="str">
            <v>60 - 00012R41306</v>
          </cell>
        </row>
        <row r="791">
          <cell r="H791">
            <v>35464</v>
          </cell>
          <cell r="O791">
            <v>41306</v>
          </cell>
          <cell r="R791" t="str">
            <v>41306WAIND40</v>
          </cell>
          <cell r="T791" t="str">
            <v>60 - 00012R41306</v>
          </cell>
        </row>
        <row r="792">
          <cell r="H792">
            <v>0</v>
          </cell>
          <cell r="O792">
            <v>41306</v>
          </cell>
          <cell r="R792" t="str">
            <v>41306WAINDAGA</v>
          </cell>
          <cell r="T792" t="str">
            <v>60 - 00012R41306</v>
          </cell>
        </row>
        <row r="793">
          <cell r="H793">
            <v>0</v>
          </cell>
          <cell r="O793">
            <v>41306</v>
          </cell>
          <cell r="R793" t="str">
            <v>41306WAINDAGA</v>
          </cell>
          <cell r="T793" t="str">
            <v>60 - 00012R41306</v>
          </cell>
        </row>
        <row r="794">
          <cell r="H794">
            <v>0</v>
          </cell>
          <cell r="O794">
            <v>41306</v>
          </cell>
          <cell r="R794" t="str">
            <v>41306WAINDAGA</v>
          </cell>
          <cell r="T794" t="str">
            <v>60 - 00012R41306</v>
          </cell>
        </row>
        <row r="795">
          <cell r="H795">
            <v>0</v>
          </cell>
          <cell r="O795">
            <v>41306</v>
          </cell>
          <cell r="R795" t="str">
            <v>41306WAINDAGA</v>
          </cell>
          <cell r="T795" t="str">
            <v>60 - 00012R41306</v>
          </cell>
        </row>
        <row r="796">
          <cell r="H796">
            <v>0</v>
          </cell>
          <cell r="O796">
            <v>41306</v>
          </cell>
          <cell r="R796" t="str">
            <v>41306WAINDAGA</v>
          </cell>
          <cell r="T796" t="str">
            <v>60 - 00012R41306</v>
          </cell>
        </row>
        <row r="797">
          <cell r="H797">
            <v>0</v>
          </cell>
          <cell r="O797">
            <v>41306</v>
          </cell>
          <cell r="R797" t="str">
            <v>41306WAINDAGA</v>
          </cell>
          <cell r="T797" t="str">
            <v>60 - 00012R41306</v>
          </cell>
        </row>
        <row r="798">
          <cell r="H798">
            <v>0</v>
          </cell>
          <cell r="O798">
            <v>41306</v>
          </cell>
          <cell r="R798" t="str">
            <v>41306WAINDAGA</v>
          </cell>
          <cell r="T798" t="str">
            <v>60 - 00012R41306</v>
          </cell>
        </row>
        <row r="799">
          <cell r="H799">
            <v>-1000</v>
          </cell>
          <cell r="O799">
            <v>41306</v>
          </cell>
          <cell r="R799" t="str">
            <v>41306WAIND89</v>
          </cell>
          <cell r="T799" t="str">
            <v>60 - 00012U41306</v>
          </cell>
        </row>
        <row r="800">
          <cell r="H800">
            <v>0</v>
          </cell>
          <cell r="O800">
            <v>41306</v>
          </cell>
          <cell r="R800" t="str">
            <v>41306WAPSHAGA</v>
          </cell>
          <cell r="T800" t="str">
            <v>60 - 00012R41306</v>
          </cell>
        </row>
        <row r="801">
          <cell r="H801">
            <v>0</v>
          </cell>
          <cell r="O801">
            <v>41306</v>
          </cell>
          <cell r="R801" t="str">
            <v>41306WAPSHAGA</v>
          </cell>
          <cell r="T801" t="str">
            <v>60 - 00012R41306</v>
          </cell>
        </row>
        <row r="802">
          <cell r="H802">
            <v>0</v>
          </cell>
          <cell r="O802">
            <v>41306</v>
          </cell>
          <cell r="R802" t="str">
            <v>41306WAPSHAGA</v>
          </cell>
          <cell r="T802" t="str">
            <v>60 - 00012R41306</v>
          </cell>
        </row>
        <row r="803">
          <cell r="H803">
            <v>0</v>
          </cell>
          <cell r="O803">
            <v>41306</v>
          </cell>
          <cell r="R803" t="str">
            <v>41306WAPSHAGA</v>
          </cell>
          <cell r="T803" t="str">
            <v>60 - 00012R41306</v>
          </cell>
        </row>
        <row r="804">
          <cell r="H804">
            <v>18326</v>
          </cell>
          <cell r="O804">
            <v>41306</v>
          </cell>
          <cell r="R804" t="str">
            <v>41306WAPSH52</v>
          </cell>
          <cell r="T804" t="str">
            <v>60 - 00012R41306</v>
          </cell>
        </row>
        <row r="805">
          <cell r="H805">
            <v>288797</v>
          </cell>
          <cell r="O805">
            <v>41306</v>
          </cell>
          <cell r="R805" t="str">
            <v>41306WAPSH53</v>
          </cell>
          <cell r="T805" t="str">
            <v>60 - 00012R41306</v>
          </cell>
        </row>
        <row r="806">
          <cell r="H806">
            <v>116243</v>
          </cell>
          <cell r="O806">
            <v>41306</v>
          </cell>
          <cell r="R806" t="str">
            <v>41306WAPSH53</v>
          </cell>
          <cell r="T806" t="str">
            <v>60 - 00012R41306</v>
          </cell>
        </row>
        <row r="807">
          <cell r="H807">
            <v>293566</v>
          </cell>
          <cell r="O807">
            <v>41306</v>
          </cell>
          <cell r="R807" t="str">
            <v>41306WAPSH51</v>
          </cell>
          <cell r="T807" t="str">
            <v>60 - 00012R41306</v>
          </cell>
        </row>
        <row r="808">
          <cell r="H808">
            <v>161968</v>
          </cell>
          <cell r="O808">
            <v>41306</v>
          </cell>
          <cell r="R808" t="str">
            <v>41306WAPSH57</v>
          </cell>
          <cell r="T808" t="str">
            <v>60 - 00012R41306</v>
          </cell>
        </row>
        <row r="809">
          <cell r="H809">
            <v>0</v>
          </cell>
          <cell r="O809">
            <v>41306</v>
          </cell>
          <cell r="R809" t="str">
            <v>41306WAPSHAGA</v>
          </cell>
          <cell r="T809" t="str">
            <v>60 - 00012R41306</v>
          </cell>
        </row>
        <row r="810">
          <cell r="H810">
            <v>-122000</v>
          </cell>
          <cell r="O810">
            <v>41306</v>
          </cell>
          <cell r="R810" t="str">
            <v>41306WAPSH88</v>
          </cell>
          <cell r="T810" t="str">
            <v>60 - 00012U41306</v>
          </cell>
        </row>
        <row r="811">
          <cell r="H811">
            <v>0</v>
          </cell>
          <cell r="O811">
            <v>41334</v>
          </cell>
          <cell r="R811" t="str">
            <v/>
          </cell>
          <cell r="T811" t="str">
            <v>60 - 00016R41334</v>
          </cell>
        </row>
        <row r="812">
          <cell r="H812">
            <v>0</v>
          </cell>
          <cell r="O812">
            <v>41334</v>
          </cell>
          <cell r="R812" t="str">
            <v/>
          </cell>
          <cell r="T812" t="str">
            <v>60 - 00016R41334</v>
          </cell>
        </row>
        <row r="813">
          <cell r="H813">
            <v>0</v>
          </cell>
          <cell r="O813">
            <v>41334</v>
          </cell>
          <cell r="R813" t="str">
            <v/>
          </cell>
          <cell r="T813" t="str">
            <v>60 - 00016R41334</v>
          </cell>
        </row>
        <row r="814">
          <cell r="H814">
            <v>0</v>
          </cell>
          <cell r="O814">
            <v>41334</v>
          </cell>
          <cell r="R814" t="str">
            <v/>
          </cell>
          <cell r="T814" t="str">
            <v>60 - 00016R41334</v>
          </cell>
        </row>
        <row r="815">
          <cell r="H815">
            <v>0</v>
          </cell>
          <cell r="O815">
            <v>41334</v>
          </cell>
          <cell r="R815" t="str">
            <v/>
          </cell>
          <cell r="T815" t="str">
            <v>60 - 00016R41334</v>
          </cell>
        </row>
        <row r="816">
          <cell r="H816">
            <v>0</v>
          </cell>
          <cell r="O816">
            <v>41334</v>
          </cell>
          <cell r="R816" t="str">
            <v/>
          </cell>
          <cell r="T816" t="str">
            <v>60 - 00016R41334</v>
          </cell>
        </row>
        <row r="817">
          <cell r="H817">
            <v>25647</v>
          </cell>
          <cell r="O817">
            <v>41334</v>
          </cell>
          <cell r="R817" t="str">
            <v/>
          </cell>
          <cell r="T817" t="str">
            <v>60 - 00016R41334</v>
          </cell>
        </row>
        <row r="818">
          <cell r="H818">
            <v>10729047</v>
          </cell>
          <cell r="O818">
            <v>41334</v>
          </cell>
          <cell r="R818" t="str">
            <v/>
          </cell>
          <cell r="T818" t="str">
            <v>60 - 00016R41334</v>
          </cell>
        </row>
        <row r="819">
          <cell r="H819">
            <v>16478771</v>
          </cell>
          <cell r="O819">
            <v>41334</v>
          </cell>
          <cell r="R819" t="str">
            <v/>
          </cell>
          <cell r="T819" t="str">
            <v>60 - 00016R41334</v>
          </cell>
        </row>
        <row r="820">
          <cell r="H820">
            <v>0</v>
          </cell>
          <cell r="O820">
            <v>41334</v>
          </cell>
          <cell r="R820" t="str">
            <v/>
          </cell>
          <cell r="T820" t="str">
            <v>60 - 00016R41334</v>
          </cell>
        </row>
        <row r="821">
          <cell r="H821">
            <v>73765</v>
          </cell>
          <cell r="O821">
            <v>41334</v>
          </cell>
          <cell r="R821" t="str">
            <v/>
          </cell>
          <cell r="T821" t="str">
            <v>60 - 00016R41334</v>
          </cell>
        </row>
        <row r="822">
          <cell r="H822">
            <v>8468715</v>
          </cell>
          <cell r="O822">
            <v>41334</v>
          </cell>
          <cell r="R822" t="str">
            <v/>
          </cell>
          <cell r="T822" t="str">
            <v>60 - 00016R41334</v>
          </cell>
        </row>
        <row r="823">
          <cell r="H823">
            <v>0</v>
          </cell>
          <cell r="O823">
            <v>41334</v>
          </cell>
          <cell r="R823" t="str">
            <v/>
          </cell>
          <cell r="T823" t="str">
            <v>60 - 00016R41334</v>
          </cell>
        </row>
        <row r="824">
          <cell r="H824">
            <v>22937</v>
          </cell>
          <cell r="O824">
            <v>41334</v>
          </cell>
          <cell r="R824" t="str">
            <v/>
          </cell>
          <cell r="T824" t="str">
            <v>60 - 00016R41334</v>
          </cell>
        </row>
        <row r="825">
          <cell r="H825">
            <v>123143</v>
          </cell>
          <cell r="O825">
            <v>41334</v>
          </cell>
          <cell r="R825" t="str">
            <v/>
          </cell>
          <cell r="T825" t="str">
            <v>60 - 00016R41334</v>
          </cell>
        </row>
        <row r="826">
          <cell r="H826">
            <v>72451</v>
          </cell>
          <cell r="O826">
            <v>41334</v>
          </cell>
          <cell r="R826" t="str">
            <v/>
          </cell>
          <cell r="T826" t="str">
            <v>60 - 00016R41334</v>
          </cell>
        </row>
        <row r="827">
          <cell r="H827">
            <v>0</v>
          </cell>
          <cell r="O827">
            <v>41334</v>
          </cell>
          <cell r="R827" t="str">
            <v/>
          </cell>
          <cell r="T827" t="str">
            <v>60 - 00016R41334</v>
          </cell>
        </row>
        <row r="828">
          <cell r="H828">
            <v>-2358000</v>
          </cell>
          <cell r="O828">
            <v>41334</v>
          </cell>
          <cell r="R828" t="str">
            <v/>
          </cell>
          <cell r="T828" t="str">
            <v>60 - 00016U41334</v>
          </cell>
        </row>
        <row r="829">
          <cell r="H829">
            <v>0</v>
          </cell>
          <cell r="O829">
            <v>41334</v>
          </cell>
          <cell r="R829" t="str">
            <v/>
          </cell>
          <cell r="T829" t="str">
            <v>60 - 00016U41334</v>
          </cell>
        </row>
        <row r="830">
          <cell r="H830">
            <v>0</v>
          </cell>
          <cell r="O830">
            <v>41334</v>
          </cell>
          <cell r="R830" t="str">
            <v/>
          </cell>
          <cell r="T830" t="str">
            <v>60 - 00016R41334</v>
          </cell>
        </row>
        <row r="831">
          <cell r="H831">
            <v>0</v>
          </cell>
          <cell r="O831">
            <v>41334</v>
          </cell>
          <cell r="R831" t="str">
            <v/>
          </cell>
          <cell r="T831" t="str">
            <v>60 - 00016R41334</v>
          </cell>
        </row>
        <row r="832">
          <cell r="H832">
            <v>0</v>
          </cell>
          <cell r="O832">
            <v>41334</v>
          </cell>
          <cell r="R832" t="str">
            <v/>
          </cell>
          <cell r="T832" t="str">
            <v>60 - 00016R41334</v>
          </cell>
        </row>
        <row r="833">
          <cell r="H833">
            <v>0</v>
          </cell>
          <cell r="O833">
            <v>41334</v>
          </cell>
          <cell r="R833" t="str">
            <v/>
          </cell>
          <cell r="T833" t="str">
            <v>60 - 00016R41334</v>
          </cell>
        </row>
        <row r="834">
          <cell r="H834">
            <v>0</v>
          </cell>
          <cell r="O834">
            <v>41334</v>
          </cell>
          <cell r="R834" t="str">
            <v/>
          </cell>
          <cell r="T834" t="str">
            <v>60 - 00016R41334</v>
          </cell>
        </row>
        <row r="835">
          <cell r="H835">
            <v>0</v>
          </cell>
          <cell r="O835">
            <v>41334</v>
          </cell>
          <cell r="R835" t="str">
            <v/>
          </cell>
          <cell r="T835" t="str">
            <v>60 - 00016R41334</v>
          </cell>
        </row>
        <row r="836">
          <cell r="H836">
            <v>7139880</v>
          </cell>
          <cell r="O836">
            <v>41334</v>
          </cell>
          <cell r="R836" t="str">
            <v/>
          </cell>
          <cell r="T836" t="str">
            <v>60 - 00016R41334</v>
          </cell>
        </row>
        <row r="837">
          <cell r="H837">
            <v>4802939</v>
          </cell>
          <cell r="O837">
            <v>41334</v>
          </cell>
          <cell r="R837" t="str">
            <v/>
          </cell>
          <cell r="T837" t="str">
            <v>60 - 00016R41334</v>
          </cell>
        </row>
        <row r="838">
          <cell r="H838">
            <v>76139</v>
          </cell>
          <cell r="O838">
            <v>41334</v>
          </cell>
          <cell r="R838" t="str">
            <v/>
          </cell>
          <cell r="T838" t="str">
            <v>60 - 00016R41334</v>
          </cell>
        </row>
        <row r="839">
          <cell r="H839">
            <v>6182910</v>
          </cell>
          <cell r="O839">
            <v>41334</v>
          </cell>
          <cell r="R839" t="str">
            <v/>
          </cell>
          <cell r="T839" t="str">
            <v>60 - 00016R41334</v>
          </cell>
        </row>
        <row r="840">
          <cell r="H840">
            <v>0</v>
          </cell>
          <cell r="O840">
            <v>41334</v>
          </cell>
          <cell r="R840" t="str">
            <v/>
          </cell>
          <cell r="T840" t="str">
            <v>60 - 00016R41334</v>
          </cell>
        </row>
        <row r="841">
          <cell r="H841">
            <v>0</v>
          </cell>
          <cell r="O841">
            <v>41334</v>
          </cell>
          <cell r="R841" t="str">
            <v/>
          </cell>
          <cell r="T841" t="str">
            <v>60 - 00016R41334</v>
          </cell>
        </row>
        <row r="842">
          <cell r="H842">
            <v>0</v>
          </cell>
          <cell r="O842">
            <v>41334</v>
          </cell>
          <cell r="R842" t="str">
            <v/>
          </cell>
          <cell r="T842" t="str">
            <v>60 - 00016R41334</v>
          </cell>
        </row>
        <row r="843">
          <cell r="H843">
            <v>58305</v>
          </cell>
          <cell r="O843">
            <v>41334</v>
          </cell>
          <cell r="R843" t="str">
            <v/>
          </cell>
          <cell r="T843" t="str">
            <v>60 - 00016R41334</v>
          </cell>
        </row>
        <row r="844">
          <cell r="H844">
            <v>7616</v>
          </cell>
          <cell r="O844">
            <v>41334</v>
          </cell>
          <cell r="R844" t="str">
            <v/>
          </cell>
          <cell r="T844" t="str">
            <v>60 - 00016R41334</v>
          </cell>
        </row>
        <row r="845">
          <cell r="H845">
            <v>4868500</v>
          </cell>
          <cell r="O845">
            <v>41334</v>
          </cell>
          <cell r="R845" t="str">
            <v/>
          </cell>
          <cell r="T845" t="str">
            <v>60 - 00016R41334</v>
          </cell>
        </row>
        <row r="846">
          <cell r="H846">
            <v>0</v>
          </cell>
          <cell r="O846">
            <v>41334</v>
          </cell>
          <cell r="R846" t="str">
            <v/>
          </cell>
          <cell r="T846" t="str">
            <v>60 - 00016R41334</v>
          </cell>
        </row>
        <row r="847">
          <cell r="H847">
            <v>13263</v>
          </cell>
          <cell r="O847">
            <v>41334</v>
          </cell>
          <cell r="R847" t="str">
            <v/>
          </cell>
          <cell r="T847" t="str">
            <v>60 - 00016R41334</v>
          </cell>
        </row>
        <row r="848">
          <cell r="H848">
            <v>59980</v>
          </cell>
          <cell r="O848">
            <v>41334</v>
          </cell>
          <cell r="R848" t="str">
            <v/>
          </cell>
          <cell r="T848" t="str">
            <v>60 - 00016R41334</v>
          </cell>
        </row>
        <row r="849">
          <cell r="H849">
            <v>0</v>
          </cell>
          <cell r="O849">
            <v>41334</v>
          </cell>
          <cell r="R849" t="str">
            <v/>
          </cell>
          <cell r="T849" t="str">
            <v>60 - 00016R41334</v>
          </cell>
        </row>
        <row r="850">
          <cell r="H850">
            <v>216000</v>
          </cell>
          <cell r="O850">
            <v>41334</v>
          </cell>
          <cell r="R850" t="str">
            <v/>
          </cell>
          <cell r="T850" t="str">
            <v>60 - 00016R41334</v>
          </cell>
        </row>
        <row r="851">
          <cell r="H851">
            <v>0</v>
          </cell>
          <cell r="O851">
            <v>41334</v>
          </cell>
          <cell r="R851" t="str">
            <v/>
          </cell>
          <cell r="T851" t="str">
            <v>60 - 00016R41334</v>
          </cell>
        </row>
        <row r="852">
          <cell r="H852">
            <v>621000</v>
          </cell>
          <cell r="O852">
            <v>41334</v>
          </cell>
          <cell r="R852" t="str">
            <v/>
          </cell>
          <cell r="T852" t="str">
            <v>60 - 00016U41334</v>
          </cell>
        </row>
        <row r="853">
          <cell r="H853">
            <v>0</v>
          </cell>
          <cell r="O853">
            <v>41334</v>
          </cell>
          <cell r="R853" t="str">
            <v/>
          </cell>
          <cell r="T853" t="str">
            <v>60 - 00016R41334</v>
          </cell>
        </row>
        <row r="854">
          <cell r="H854">
            <v>0</v>
          </cell>
          <cell r="O854">
            <v>41334</v>
          </cell>
          <cell r="R854" t="str">
            <v/>
          </cell>
          <cell r="T854" t="str">
            <v>60 - 00016R41334</v>
          </cell>
        </row>
        <row r="855">
          <cell r="H855">
            <v>0</v>
          </cell>
          <cell r="O855">
            <v>41334</v>
          </cell>
          <cell r="R855" t="str">
            <v/>
          </cell>
          <cell r="T855" t="str">
            <v>60 - 00016R41334</v>
          </cell>
        </row>
        <row r="856">
          <cell r="H856">
            <v>0</v>
          </cell>
          <cell r="O856">
            <v>41334</v>
          </cell>
          <cell r="R856" t="str">
            <v/>
          </cell>
          <cell r="T856" t="str">
            <v>60 - 00016R41334</v>
          </cell>
        </row>
        <row r="857">
          <cell r="H857">
            <v>0</v>
          </cell>
          <cell r="O857">
            <v>41334</v>
          </cell>
          <cell r="R857" t="str">
            <v/>
          </cell>
          <cell r="T857" t="str">
            <v>60 - 00016R41334</v>
          </cell>
        </row>
        <row r="858">
          <cell r="H858">
            <v>133387</v>
          </cell>
          <cell r="O858">
            <v>41334</v>
          </cell>
          <cell r="R858" t="str">
            <v/>
          </cell>
          <cell r="T858" t="str">
            <v>60 - 00016R41334</v>
          </cell>
        </row>
        <row r="859">
          <cell r="H859">
            <v>54646</v>
          </cell>
          <cell r="O859">
            <v>41334</v>
          </cell>
          <cell r="R859" t="str">
            <v/>
          </cell>
          <cell r="T859" t="str">
            <v>60 - 00016R41334</v>
          </cell>
        </row>
        <row r="860">
          <cell r="H860">
            <v>408380</v>
          </cell>
          <cell r="O860">
            <v>41334</v>
          </cell>
          <cell r="R860" t="str">
            <v/>
          </cell>
          <cell r="T860" t="str">
            <v>60 - 00016R41334</v>
          </cell>
        </row>
        <row r="861">
          <cell r="H861">
            <v>1167920</v>
          </cell>
          <cell r="O861">
            <v>41334</v>
          </cell>
          <cell r="R861" t="str">
            <v/>
          </cell>
          <cell r="T861" t="str">
            <v>60 - 00016R41334</v>
          </cell>
        </row>
        <row r="862">
          <cell r="H862">
            <v>0</v>
          </cell>
          <cell r="O862">
            <v>41334</v>
          </cell>
          <cell r="R862" t="str">
            <v/>
          </cell>
          <cell r="T862" t="str">
            <v>60 - 00016R41334</v>
          </cell>
        </row>
        <row r="863">
          <cell r="H863">
            <v>-723000</v>
          </cell>
          <cell r="O863">
            <v>41334</v>
          </cell>
          <cell r="R863" t="str">
            <v/>
          </cell>
          <cell r="T863" t="str">
            <v>60 - 00016U41334</v>
          </cell>
        </row>
        <row r="864">
          <cell r="H864">
            <v>0</v>
          </cell>
          <cell r="O864">
            <v>41334</v>
          </cell>
          <cell r="R864" t="str">
            <v/>
          </cell>
          <cell r="T864" t="str">
            <v>60 - 00016R41334</v>
          </cell>
        </row>
        <row r="865">
          <cell r="H865">
            <v>0</v>
          </cell>
          <cell r="O865">
            <v>41334</v>
          </cell>
          <cell r="R865" t="str">
            <v/>
          </cell>
          <cell r="T865" t="str">
            <v>60 - 00016R41334</v>
          </cell>
        </row>
        <row r="866">
          <cell r="H866">
            <v>0</v>
          </cell>
          <cell r="O866">
            <v>41334</v>
          </cell>
          <cell r="R866" t="str">
            <v/>
          </cell>
          <cell r="T866" t="str">
            <v>60 - 00016R41334</v>
          </cell>
        </row>
        <row r="867">
          <cell r="H867">
            <v>0</v>
          </cell>
          <cell r="O867">
            <v>41334</v>
          </cell>
          <cell r="R867" t="str">
            <v/>
          </cell>
          <cell r="T867" t="str">
            <v>60 - 00016R41334</v>
          </cell>
        </row>
        <row r="868">
          <cell r="H868">
            <v>0</v>
          </cell>
          <cell r="O868">
            <v>41334</v>
          </cell>
          <cell r="R868" t="str">
            <v/>
          </cell>
          <cell r="T868" t="str">
            <v>60 - 00016R41334</v>
          </cell>
        </row>
        <row r="869">
          <cell r="H869">
            <v>37181</v>
          </cell>
          <cell r="O869">
            <v>41334</v>
          </cell>
          <cell r="R869" t="str">
            <v/>
          </cell>
          <cell r="T869" t="str">
            <v>60 - 00016R41334</v>
          </cell>
        </row>
        <row r="870">
          <cell r="H870">
            <v>0</v>
          </cell>
          <cell r="O870">
            <v>41334</v>
          </cell>
          <cell r="R870" t="str">
            <v/>
          </cell>
          <cell r="T870" t="str">
            <v>60 - 00016R41334</v>
          </cell>
        </row>
        <row r="871">
          <cell r="H871">
            <v>217600</v>
          </cell>
          <cell r="O871">
            <v>41334</v>
          </cell>
          <cell r="R871" t="str">
            <v/>
          </cell>
          <cell r="T871" t="str">
            <v>60 - 00016R41334</v>
          </cell>
        </row>
        <row r="872">
          <cell r="H872">
            <v>5094</v>
          </cell>
          <cell r="O872">
            <v>41334</v>
          </cell>
          <cell r="R872" t="str">
            <v/>
          </cell>
          <cell r="T872" t="str">
            <v>60 - 00016R41334</v>
          </cell>
        </row>
        <row r="873">
          <cell r="H873">
            <v>0</v>
          </cell>
          <cell r="O873">
            <v>41334</v>
          </cell>
          <cell r="R873" t="str">
            <v/>
          </cell>
          <cell r="T873" t="str">
            <v>60 - 00016R41334</v>
          </cell>
        </row>
        <row r="874">
          <cell r="H874">
            <v>0</v>
          </cell>
          <cell r="O874">
            <v>41334</v>
          </cell>
          <cell r="R874" t="str">
            <v/>
          </cell>
          <cell r="T874" t="str">
            <v>60 - 00016R41334</v>
          </cell>
        </row>
        <row r="875">
          <cell r="H875">
            <v>0</v>
          </cell>
          <cell r="O875">
            <v>41334</v>
          </cell>
          <cell r="R875" t="str">
            <v/>
          </cell>
          <cell r="T875" t="str">
            <v>60 - 00016R41334</v>
          </cell>
        </row>
        <row r="876">
          <cell r="H876">
            <v>0</v>
          </cell>
          <cell r="O876">
            <v>41334</v>
          </cell>
          <cell r="R876" t="str">
            <v/>
          </cell>
          <cell r="T876" t="str">
            <v>60 - 00016R41334</v>
          </cell>
        </row>
        <row r="877">
          <cell r="H877">
            <v>-74000</v>
          </cell>
          <cell r="O877">
            <v>41334</v>
          </cell>
          <cell r="R877" t="str">
            <v/>
          </cell>
          <cell r="T877" t="str">
            <v>60 - 00016U41334</v>
          </cell>
        </row>
        <row r="878">
          <cell r="H878">
            <v>0</v>
          </cell>
          <cell r="O878">
            <v>41334</v>
          </cell>
          <cell r="R878" t="str">
            <v/>
          </cell>
          <cell r="T878" t="str">
            <v>60 - 00016R41334</v>
          </cell>
        </row>
        <row r="879">
          <cell r="H879">
            <v>0</v>
          </cell>
          <cell r="O879">
            <v>41334</v>
          </cell>
          <cell r="R879" t="str">
            <v/>
          </cell>
          <cell r="T879" t="str">
            <v>60 - 00016R41334</v>
          </cell>
        </row>
        <row r="880">
          <cell r="H880">
            <v>0</v>
          </cell>
          <cell r="O880">
            <v>41334</v>
          </cell>
          <cell r="R880" t="str">
            <v/>
          </cell>
          <cell r="T880" t="str">
            <v>60 - 00016R41334</v>
          </cell>
        </row>
        <row r="881">
          <cell r="H881">
            <v>115763</v>
          </cell>
          <cell r="O881">
            <v>41334</v>
          </cell>
          <cell r="R881" t="str">
            <v/>
          </cell>
          <cell r="T881" t="str">
            <v>60 - 00016R41334</v>
          </cell>
        </row>
        <row r="882">
          <cell r="H882">
            <v>19302</v>
          </cell>
          <cell r="O882">
            <v>41334</v>
          </cell>
          <cell r="R882" t="str">
            <v/>
          </cell>
          <cell r="T882" t="str">
            <v>60 - 00016R41334</v>
          </cell>
        </row>
        <row r="883">
          <cell r="H883">
            <v>46257</v>
          </cell>
          <cell r="O883">
            <v>41334</v>
          </cell>
          <cell r="R883" t="str">
            <v/>
          </cell>
          <cell r="T883" t="str">
            <v>60 - 00016R41334</v>
          </cell>
        </row>
        <row r="884">
          <cell r="H884">
            <v>0</v>
          </cell>
          <cell r="O884">
            <v>41334</v>
          </cell>
          <cell r="R884" t="str">
            <v/>
          </cell>
          <cell r="T884" t="str">
            <v>60 - 00016R41334</v>
          </cell>
        </row>
        <row r="885">
          <cell r="H885">
            <v>1000</v>
          </cell>
          <cell r="O885">
            <v>41334</v>
          </cell>
          <cell r="R885" t="str">
            <v/>
          </cell>
          <cell r="T885" t="str">
            <v>60 - 00016U41334</v>
          </cell>
        </row>
        <row r="886">
          <cell r="H886">
            <v>0</v>
          </cell>
          <cell r="O886">
            <v>41334</v>
          </cell>
          <cell r="R886" t="str">
            <v/>
          </cell>
          <cell r="T886" t="str">
            <v>60 - 00011B41334</v>
          </cell>
        </row>
        <row r="887">
          <cell r="H887">
            <v>345348440</v>
          </cell>
          <cell r="O887">
            <v>41334</v>
          </cell>
          <cell r="R887" t="str">
            <v/>
          </cell>
          <cell r="T887" t="str">
            <v>60 - 00011B41334</v>
          </cell>
        </row>
        <row r="888">
          <cell r="H888">
            <v>1312617</v>
          </cell>
          <cell r="O888">
            <v>41334</v>
          </cell>
          <cell r="R888" t="str">
            <v/>
          </cell>
          <cell r="T888" t="str">
            <v>60 - 00011B41334</v>
          </cell>
        </row>
        <row r="889">
          <cell r="H889">
            <v>969840</v>
          </cell>
          <cell r="O889">
            <v>41334</v>
          </cell>
          <cell r="R889" t="str">
            <v/>
          </cell>
          <cell r="T889" t="str">
            <v>60 - 00011B41334</v>
          </cell>
        </row>
        <row r="890">
          <cell r="H890">
            <v>11036</v>
          </cell>
          <cell r="O890">
            <v>41334</v>
          </cell>
          <cell r="R890" t="str">
            <v/>
          </cell>
          <cell r="T890" t="str">
            <v>60 - 00011B41334</v>
          </cell>
        </row>
        <row r="891">
          <cell r="H891">
            <v>171941</v>
          </cell>
          <cell r="O891">
            <v>41334</v>
          </cell>
          <cell r="R891" t="str">
            <v/>
          </cell>
          <cell r="T891" t="str">
            <v>60 - 00011B41334</v>
          </cell>
        </row>
        <row r="892">
          <cell r="H892">
            <v>195357</v>
          </cell>
          <cell r="O892">
            <v>41334</v>
          </cell>
          <cell r="R892" t="str">
            <v/>
          </cell>
          <cell r="T892" t="str">
            <v>60 - 00011B41334</v>
          </cell>
        </row>
        <row r="893">
          <cell r="H893">
            <v>1777261</v>
          </cell>
          <cell r="O893">
            <v>41334</v>
          </cell>
          <cell r="R893" t="str">
            <v/>
          </cell>
          <cell r="T893" t="str">
            <v>60 - 00011B41334</v>
          </cell>
        </row>
        <row r="894">
          <cell r="H894">
            <v>0</v>
          </cell>
          <cell r="O894">
            <v>41334</v>
          </cell>
          <cell r="R894" t="str">
            <v/>
          </cell>
          <cell r="T894" t="str">
            <v>60 - 00011B41334</v>
          </cell>
        </row>
        <row r="895">
          <cell r="H895">
            <v>0</v>
          </cell>
          <cell r="O895">
            <v>41334</v>
          </cell>
          <cell r="R895" t="str">
            <v/>
          </cell>
          <cell r="T895" t="str">
            <v>60 - 00011R41334</v>
          </cell>
        </row>
        <row r="896">
          <cell r="H896">
            <v>0</v>
          </cell>
          <cell r="O896">
            <v>41334</v>
          </cell>
          <cell r="R896" t="str">
            <v/>
          </cell>
          <cell r="T896" t="str">
            <v>60 - 00011R41334</v>
          </cell>
        </row>
        <row r="897">
          <cell r="H897">
            <v>0</v>
          </cell>
          <cell r="O897">
            <v>41334</v>
          </cell>
          <cell r="R897" t="str">
            <v/>
          </cell>
          <cell r="T897" t="str">
            <v>60 - 00011R41334</v>
          </cell>
        </row>
        <row r="898">
          <cell r="H898">
            <v>0</v>
          </cell>
          <cell r="O898">
            <v>41334</v>
          </cell>
          <cell r="R898" t="str">
            <v/>
          </cell>
          <cell r="T898" t="str">
            <v>60 - 00011R41334</v>
          </cell>
        </row>
        <row r="899">
          <cell r="H899">
            <v>0</v>
          </cell>
          <cell r="O899">
            <v>41334</v>
          </cell>
          <cell r="R899" t="str">
            <v/>
          </cell>
          <cell r="T899" t="str">
            <v>60 - 00011R41334</v>
          </cell>
        </row>
        <row r="900">
          <cell r="H900">
            <v>0</v>
          </cell>
          <cell r="O900">
            <v>41334</v>
          </cell>
          <cell r="R900" t="str">
            <v/>
          </cell>
          <cell r="T900" t="str">
            <v>60 - 00011R41334</v>
          </cell>
        </row>
        <row r="901">
          <cell r="H901">
            <v>0</v>
          </cell>
          <cell r="O901">
            <v>41334</v>
          </cell>
          <cell r="R901" t="str">
            <v/>
          </cell>
          <cell r="T901" t="str">
            <v>60 - 00011R41334</v>
          </cell>
        </row>
        <row r="902">
          <cell r="H902">
            <v>0</v>
          </cell>
          <cell r="O902">
            <v>41334</v>
          </cell>
          <cell r="R902" t="str">
            <v/>
          </cell>
          <cell r="T902" t="str">
            <v>60 - 00011R41334</v>
          </cell>
        </row>
        <row r="903">
          <cell r="H903">
            <v>0</v>
          </cell>
          <cell r="O903">
            <v>41334</v>
          </cell>
          <cell r="R903" t="str">
            <v/>
          </cell>
          <cell r="T903" t="str">
            <v>60 - 00011R41334</v>
          </cell>
        </row>
        <row r="904">
          <cell r="H904">
            <v>0</v>
          </cell>
          <cell r="O904">
            <v>41334</v>
          </cell>
          <cell r="R904" t="str">
            <v/>
          </cell>
          <cell r="T904" t="str">
            <v>60 - 00011R41334</v>
          </cell>
        </row>
        <row r="905">
          <cell r="H905">
            <v>0</v>
          </cell>
          <cell r="O905">
            <v>41334</v>
          </cell>
          <cell r="R905" t="str">
            <v/>
          </cell>
          <cell r="T905" t="str">
            <v>60 - 00011R41334</v>
          </cell>
        </row>
        <row r="906">
          <cell r="H906">
            <v>0</v>
          </cell>
          <cell r="O906">
            <v>41334</v>
          </cell>
          <cell r="R906" t="str">
            <v/>
          </cell>
          <cell r="T906" t="str">
            <v>60 - 00011R41334</v>
          </cell>
        </row>
        <row r="907">
          <cell r="H907">
            <v>0</v>
          </cell>
          <cell r="O907">
            <v>41334</v>
          </cell>
          <cell r="R907" t="str">
            <v/>
          </cell>
          <cell r="T907" t="str">
            <v>60 - 00011R41334</v>
          </cell>
        </row>
        <row r="908">
          <cell r="H908">
            <v>468096048</v>
          </cell>
          <cell r="O908">
            <v>41334</v>
          </cell>
          <cell r="R908" t="str">
            <v/>
          </cell>
          <cell r="T908" t="str">
            <v>60 - 00011R41334</v>
          </cell>
        </row>
        <row r="909">
          <cell r="H909">
            <v>3518237</v>
          </cell>
          <cell r="O909">
            <v>41334</v>
          </cell>
          <cell r="R909" t="str">
            <v/>
          </cell>
          <cell r="T909" t="str">
            <v>60 - 00011R41334</v>
          </cell>
        </row>
        <row r="910">
          <cell r="H910">
            <v>21228072</v>
          </cell>
          <cell r="O910">
            <v>41334</v>
          </cell>
          <cell r="R910" t="str">
            <v/>
          </cell>
          <cell r="T910" t="str">
            <v>60 - 00011R41334</v>
          </cell>
        </row>
        <row r="911">
          <cell r="H911">
            <v>1673466</v>
          </cell>
          <cell r="O911">
            <v>41334</v>
          </cell>
          <cell r="R911" t="str">
            <v/>
          </cell>
          <cell r="T911" t="str">
            <v>60 - 00011R41334</v>
          </cell>
        </row>
        <row r="912">
          <cell r="H912">
            <v>0</v>
          </cell>
          <cell r="O912">
            <v>41334</v>
          </cell>
          <cell r="R912" t="str">
            <v/>
          </cell>
          <cell r="T912" t="str">
            <v>60 - 00011R41334</v>
          </cell>
        </row>
        <row r="913">
          <cell r="H913">
            <v>0</v>
          </cell>
          <cell r="O913">
            <v>41334</v>
          </cell>
          <cell r="R913" t="str">
            <v/>
          </cell>
          <cell r="T913" t="str">
            <v>60 - 00011R41334</v>
          </cell>
        </row>
        <row r="914">
          <cell r="H914">
            <v>0</v>
          </cell>
          <cell r="O914">
            <v>41334</v>
          </cell>
          <cell r="R914" t="str">
            <v/>
          </cell>
          <cell r="T914" t="str">
            <v>60 - 00011R41334</v>
          </cell>
        </row>
        <row r="915">
          <cell r="H915">
            <v>195359</v>
          </cell>
          <cell r="O915">
            <v>41334</v>
          </cell>
          <cell r="R915" t="str">
            <v/>
          </cell>
          <cell r="T915" t="str">
            <v>60 - 00011R41334</v>
          </cell>
        </row>
        <row r="916">
          <cell r="H916">
            <v>0</v>
          </cell>
          <cell r="O916">
            <v>41334</v>
          </cell>
          <cell r="R916" t="str">
            <v/>
          </cell>
          <cell r="T916" t="str">
            <v>60 - 00011R41334</v>
          </cell>
        </row>
        <row r="917">
          <cell r="H917">
            <v>1767913</v>
          </cell>
          <cell r="O917">
            <v>41334</v>
          </cell>
          <cell r="R917" t="str">
            <v/>
          </cell>
          <cell r="T917" t="str">
            <v>60 - 00011R41334</v>
          </cell>
        </row>
        <row r="918">
          <cell r="H918">
            <v>8089</v>
          </cell>
          <cell r="O918">
            <v>41334</v>
          </cell>
          <cell r="R918" t="str">
            <v/>
          </cell>
          <cell r="T918" t="str">
            <v>60 - 00011R41334</v>
          </cell>
        </row>
        <row r="919">
          <cell r="H919">
            <v>1335</v>
          </cell>
          <cell r="O919">
            <v>41334</v>
          </cell>
          <cell r="R919" t="str">
            <v/>
          </cell>
          <cell r="T919" t="str">
            <v>60 - 00011R41334</v>
          </cell>
        </row>
        <row r="920">
          <cell r="H920">
            <v>0</v>
          </cell>
          <cell r="O920">
            <v>41334</v>
          </cell>
          <cell r="R920" t="str">
            <v/>
          </cell>
          <cell r="T920" t="str">
            <v>60 - 00011R41334</v>
          </cell>
        </row>
        <row r="921">
          <cell r="H921">
            <v>-28987000</v>
          </cell>
          <cell r="O921">
            <v>41334</v>
          </cell>
          <cell r="R921" t="str">
            <v/>
          </cell>
          <cell r="T921" t="str">
            <v>60 - 00011U41334</v>
          </cell>
        </row>
        <row r="922">
          <cell r="H922">
            <v>0</v>
          </cell>
          <cell r="O922">
            <v>41334</v>
          </cell>
          <cell r="R922" t="str">
            <v/>
          </cell>
          <cell r="T922" t="str">
            <v>60 - 00011U41334</v>
          </cell>
        </row>
        <row r="923">
          <cell r="H923">
            <v>0</v>
          </cell>
          <cell r="O923">
            <v>41334</v>
          </cell>
          <cell r="R923" t="str">
            <v/>
          </cell>
          <cell r="T923" t="str">
            <v>60 - 00011B41334</v>
          </cell>
        </row>
        <row r="924">
          <cell r="H924">
            <v>6281512</v>
          </cell>
          <cell r="O924">
            <v>41334</v>
          </cell>
          <cell r="R924" t="str">
            <v/>
          </cell>
          <cell r="T924" t="str">
            <v>60 - 00011B41334</v>
          </cell>
        </row>
        <row r="925">
          <cell r="H925">
            <v>34869</v>
          </cell>
          <cell r="O925">
            <v>41334</v>
          </cell>
          <cell r="R925" t="str">
            <v/>
          </cell>
          <cell r="T925" t="str">
            <v>60 - 00011B41334</v>
          </cell>
        </row>
        <row r="926">
          <cell r="H926">
            <v>11156933</v>
          </cell>
          <cell r="O926">
            <v>41334</v>
          </cell>
          <cell r="R926" t="str">
            <v/>
          </cell>
          <cell r="T926" t="str">
            <v>60 - 00011B41334</v>
          </cell>
        </row>
        <row r="927">
          <cell r="H927">
            <v>3593315</v>
          </cell>
          <cell r="O927">
            <v>41334</v>
          </cell>
          <cell r="R927" t="str">
            <v/>
          </cell>
          <cell r="T927" t="str">
            <v>60 - 00011B41334</v>
          </cell>
        </row>
        <row r="928">
          <cell r="H928">
            <v>277800</v>
          </cell>
          <cell r="O928">
            <v>41334</v>
          </cell>
          <cell r="R928" t="str">
            <v/>
          </cell>
          <cell r="T928" t="str">
            <v>60 - 00011B41334</v>
          </cell>
        </row>
        <row r="929">
          <cell r="H929">
            <v>10765</v>
          </cell>
          <cell r="O929">
            <v>41334</v>
          </cell>
          <cell r="R929" t="str">
            <v/>
          </cell>
          <cell r="T929" t="str">
            <v>60 - 00011B41334</v>
          </cell>
        </row>
        <row r="930">
          <cell r="H930">
            <v>18597</v>
          </cell>
          <cell r="O930">
            <v>41334</v>
          </cell>
          <cell r="R930" t="str">
            <v/>
          </cell>
          <cell r="T930" t="str">
            <v>60 - 00011B41334</v>
          </cell>
        </row>
        <row r="931">
          <cell r="H931">
            <v>107324</v>
          </cell>
          <cell r="O931">
            <v>41334</v>
          </cell>
          <cell r="R931" t="str">
            <v/>
          </cell>
          <cell r="T931" t="str">
            <v>60 - 00011B41334</v>
          </cell>
        </row>
        <row r="932">
          <cell r="H932">
            <v>129104</v>
          </cell>
          <cell r="O932">
            <v>41334</v>
          </cell>
          <cell r="R932" t="str">
            <v/>
          </cell>
          <cell r="T932" t="str">
            <v>60 - 00011B41334</v>
          </cell>
        </row>
        <row r="933">
          <cell r="H933">
            <v>58568</v>
          </cell>
          <cell r="O933">
            <v>41334</v>
          </cell>
          <cell r="R933" t="str">
            <v/>
          </cell>
          <cell r="T933" t="str">
            <v>60 - 00011B41334</v>
          </cell>
        </row>
        <row r="934">
          <cell r="H934">
            <v>0</v>
          </cell>
          <cell r="O934">
            <v>41334</v>
          </cell>
          <cell r="R934" t="str">
            <v/>
          </cell>
          <cell r="T934" t="str">
            <v>60 - 00011B41334</v>
          </cell>
        </row>
        <row r="935">
          <cell r="H935">
            <v>0</v>
          </cell>
          <cell r="O935">
            <v>41334</v>
          </cell>
          <cell r="R935" t="str">
            <v/>
          </cell>
          <cell r="T935" t="str">
            <v>60 - 00011R41334</v>
          </cell>
        </row>
        <row r="936">
          <cell r="H936">
            <v>0</v>
          </cell>
          <cell r="O936">
            <v>41334</v>
          </cell>
          <cell r="R936" t="str">
            <v/>
          </cell>
          <cell r="T936" t="str">
            <v>60 - 00011R41334</v>
          </cell>
        </row>
        <row r="937">
          <cell r="H937">
            <v>0</v>
          </cell>
          <cell r="O937">
            <v>41334</v>
          </cell>
          <cell r="R937" t="str">
            <v/>
          </cell>
          <cell r="T937" t="str">
            <v>60 - 00011R41334</v>
          </cell>
        </row>
        <row r="938">
          <cell r="H938">
            <v>0</v>
          </cell>
          <cell r="O938">
            <v>41334</v>
          </cell>
          <cell r="R938" t="str">
            <v/>
          </cell>
          <cell r="T938" t="str">
            <v>60 - 00011R41334</v>
          </cell>
        </row>
        <row r="939">
          <cell r="H939">
            <v>0</v>
          </cell>
          <cell r="O939">
            <v>41334</v>
          </cell>
          <cell r="R939" t="str">
            <v/>
          </cell>
          <cell r="T939" t="str">
            <v>60 - 00011R41334</v>
          </cell>
        </row>
        <row r="940">
          <cell r="H940">
            <v>0</v>
          </cell>
          <cell r="O940">
            <v>41334</v>
          </cell>
          <cell r="R940" t="str">
            <v/>
          </cell>
          <cell r="T940" t="str">
            <v>60 - 00011R41334</v>
          </cell>
        </row>
        <row r="941">
          <cell r="H941">
            <v>4920000</v>
          </cell>
          <cell r="O941">
            <v>41334</v>
          </cell>
          <cell r="R941" t="str">
            <v/>
          </cell>
          <cell r="T941" t="str">
            <v>60 - 00011R41334</v>
          </cell>
        </row>
        <row r="942">
          <cell r="H942">
            <v>0</v>
          </cell>
          <cell r="O942">
            <v>41334</v>
          </cell>
          <cell r="R942" t="str">
            <v/>
          </cell>
          <cell r="T942" t="str">
            <v>60 - 00011R41334</v>
          </cell>
        </row>
        <row r="943">
          <cell r="H943">
            <v>0</v>
          </cell>
          <cell r="O943">
            <v>41334</v>
          </cell>
          <cell r="R943" t="str">
            <v/>
          </cell>
          <cell r="T943" t="str">
            <v>60 - 00011R41334</v>
          </cell>
        </row>
        <row r="944">
          <cell r="H944">
            <v>0</v>
          </cell>
          <cell r="O944">
            <v>41334</v>
          </cell>
          <cell r="R944" t="str">
            <v/>
          </cell>
          <cell r="T944" t="str">
            <v>60 - 00011R41334</v>
          </cell>
        </row>
        <row r="945">
          <cell r="H945">
            <v>0</v>
          </cell>
          <cell r="O945">
            <v>41334</v>
          </cell>
          <cell r="R945" t="str">
            <v/>
          </cell>
          <cell r="T945" t="str">
            <v>60 - 00011R41334</v>
          </cell>
        </row>
        <row r="946">
          <cell r="H946">
            <v>0</v>
          </cell>
          <cell r="O946">
            <v>41334</v>
          </cell>
          <cell r="R946" t="str">
            <v/>
          </cell>
          <cell r="T946" t="str">
            <v>60 - 00011R41334</v>
          </cell>
        </row>
        <row r="947">
          <cell r="H947">
            <v>1972800</v>
          </cell>
          <cell r="O947">
            <v>41334</v>
          </cell>
          <cell r="R947" t="str">
            <v/>
          </cell>
          <cell r="T947" t="str">
            <v>60 - 00011R41334</v>
          </cell>
        </row>
        <row r="948">
          <cell r="H948">
            <v>470233</v>
          </cell>
          <cell r="O948">
            <v>41334</v>
          </cell>
          <cell r="R948" t="str">
            <v/>
          </cell>
          <cell r="T948" t="str">
            <v>60 - 00011R41334</v>
          </cell>
        </row>
        <row r="949">
          <cell r="H949">
            <v>123182</v>
          </cell>
          <cell r="O949">
            <v>41334</v>
          </cell>
          <cell r="R949" t="str">
            <v/>
          </cell>
          <cell r="T949" t="str">
            <v>60 - 00011R41334</v>
          </cell>
        </row>
        <row r="950">
          <cell r="H950">
            <v>0</v>
          </cell>
          <cell r="O950">
            <v>41334</v>
          </cell>
          <cell r="R950" t="str">
            <v/>
          </cell>
          <cell r="T950" t="str">
            <v>60 - 00011R41334</v>
          </cell>
        </row>
        <row r="951">
          <cell r="H951">
            <v>63044326</v>
          </cell>
          <cell r="O951">
            <v>41334</v>
          </cell>
          <cell r="R951" t="str">
            <v/>
          </cell>
          <cell r="T951" t="str">
            <v>60 - 00011R41334</v>
          </cell>
        </row>
        <row r="952">
          <cell r="H952">
            <v>1099614</v>
          </cell>
          <cell r="O952">
            <v>41334</v>
          </cell>
          <cell r="R952" t="str">
            <v/>
          </cell>
          <cell r="T952" t="str">
            <v>60 - 00011R41334</v>
          </cell>
        </row>
        <row r="953">
          <cell r="H953">
            <v>0</v>
          </cell>
          <cell r="O953">
            <v>41334</v>
          </cell>
          <cell r="R953" t="str">
            <v/>
          </cell>
          <cell r="T953" t="str">
            <v>60 - 00011R41334</v>
          </cell>
        </row>
        <row r="954">
          <cell r="H954">
            <v>0</v>
          </cell>
          <cell r="O954">
            <v>41334</v>
          </cell>
          <cell r="R954" t="str">
            <v/>
          </cell>
          <cell r="T954" t="str">
            <v>60 - 00011R41334</v>
          </cell>
        </row>
        <row r="955">
          <cell r="H955">
            <v>81489771</v>
          </cell>
          <cell r="O955">
            <v>41334</v>
          </cell>
          <cell r="R955" t="str">
            <v/>
          </cell>
          <cell r="T955" t="str">
            <v>60 - 00011R41334</v>
          </cell>
        </row>
        <row r="956">
          <cell r="H956">
            <v>152524717</v>
          </cell>
          <cell r="O956">
            <v>41334</v>
          </cell>
          <cell r="R956" t="str">
            <v/>
          </cell>
          <cell r="T956" t="str">
            <v>60 - 00011R41334</v>
          </cell>
        </row>
        <row r="957">
          <cell r="H957">
            <v>0</v>
          </cell>
          <cell r="O957">
            <v>41334</v>
          </cell>
          <cell r="R957" t="str">
            <v/>
          </cell>
          <cell r="T957" t="str">
            <v>60 - 00011R41334</v>
          </cell>
        </row>
        <row r="958">
          <cell r="H958">
            <v>0</v>
          </cell>
          <cell r="O958">
            <v>41334</v>
          </cell>
          <cell r="R958" t="str">
            <v/>
          </cell>
          <cell r="T958" t="str">
            <v>60 - 00011R41334</v>
          </cell>
        </row>
        <row r="959">
          <cell r="H959">
            <v>0</v>
          </cell>
          <cell r="O959">
            <v>41334</v>
          </cell>
          <cell r="R959" t="str">
            <v/>
          </cell>
          <cell r="T959" t="str">
            <v>60 - 00011R41334</v>
          </cell>
        </row>
        <row r="960">
          <cell r="H960">
            <v>0</v>
          </cell>
          <cell r="O960">
            <v>41334</v>
          </cell>
          <cell r="R960" t="str">
            <v/>
          </cell>
          <cell r="T960" t="str">
            <v>60 - 00011R41334</v>
          </cell>
        </row>
        <row r="961">
          <cell r="H961">
            <v>199778</v>
          </cell>
          <cell r="O961">
            <v>41334</v>
          </cell>
          <cell r="R961" t="str">
            <v/>
          </cell>
          <cell r="T961" t="str">
            <v>60 - 00011R41334</v>
          </cell>
        </row>
        <row r="962">
          <cell r="H962">
            <v>301729</v>
          </cell>
          <cell r="O962">
            <v>41334</v>
          </cell>
          <cell r="R962" t="str">
            <v/>
          </cell>
          <cell r="T962" t="str">
            <v>60 - 00011R41334</v>
          </cell>
        </row>
        <row r="963">
          <cell r="H963">
            <v>35427</v>
          </cell>
          <cell r="O963">
            <v>41334</v>
          </cell>
          <cell r="R963" t="str">
            <v/>
          </cell>
          <cell r="T963" t="str">
            <v>60 - 00011R41334</v>
          </cell>
        </row>
        <row r="964">
          <cell r="H964">
            <v>650215</v>
          </cell>
          <cell r="O964">
            <v>41334</v>
          </cell>
          <cell r="R964" t="str">
            <v/>
          </cell>
          <cell r="T964" t="str">
            <v>60 - 00011R41334</v>
          </cell>
        </row>
        <row r="965">
          <cell r="H965">
            <v>696935</v>
          </cell>
          <cell r="O965">
            <v>41334</v>
          </cell>
          <cell r="R965" t="str">
            <v/>
          </cell>
          <cell r="T965" t="str">
            <v>60 - 00011R41334</v>
          </cell>
        </row>
        <row r="966">
          <cell r="H966">
            <v>183133</v>
          </cell>
          <cell r="O966">
            <v>41334</v>
          </cell>
          <cell r="R966" t="str">
            <v/>
          </cell>
          <cell r="T966" t="str">
            <v>60 - 00011R41334</v>
          </cell>
        </row>
        <row r="967">
          <cell r="H967">
            <v>0</v>
          </cell>
          <cell r="O967">
            <v>41334</v>
          </cell>
          <cell r="R967" t="str">
            <v/>
          </cell>
          <cell r="T967" t="str">
            <v>60 - 00011R41334</v>
          </cell>
        </row>
        <row r="968">
          <cell r="H968">
            <v>15037</v>
          </cell>
          <cell r="O968">
            <v>41334</v>
          </cell>
          <cell r="R968" t="str">
            <v/>
          </cell>
          <cell r="T968" t="str">
            <v>60 - 00011R41334</v>
          </cell>
        </row>
        <row r="969">
          <cell r="H969">
            <v>35365</v>
          </cell>
          <cell r="O969">
            <v>41334</v>
          </cell>
          <cell r="R969" t="str">
            <v/>
          </cell>
          <cell r="T969" t="str">
            <v>60 - 00011R41334</v>
          </cell>
        </row>
        <row r="970">
          <cell r="H970">
            <v>244931</v>
          </cell>
          <cell r="O970">
            <v>41334</v>
          </cell>
          <cell r="R970" t="str">
            <v/>
          </cell>
          <cell r="T970" t="str">
            <v>60 - 00011R41334</v>
          </cell>
        </row>
        <row r="971">
          <cell r="H971">
            <v>1236202</v>
          </cell>
          <cell r="O971">
            <v>41334</v>
          </cell>
          <cell r="R971" t="str">
            <v/>
          </cell>
          <cell r="T971" t="str">
            <v>60 - 00011R41334</v>
          </cell>
        </row>
        <row r="972">
          <cell r="H972">
            <v>382702</v>
          </cell>
          <cell r="O972">
            <v>41334</v>
          </cell>
          <cell r="R972" t="str">
            <v/>
          </cell>
          <cell r="T972" t="str">
            <v>60 - 00011R41334</v>
          </cell>
        </row>
        <row r="973">
          <cell r="H973">
            <v>19200</v>
          </cell>
          <cell r="O973">
            <v>41334</v>
          </cell>
          <cell r="R973" t="str">
            <v/>
          </cell>
          <cell r="T973" t="str">
            <v>60 - 00011R41334</v>
          </cell>
        </row>
        <row r="974">
          <cell r="H974">
            <v>0</v>
          </cell>
          <cell r="O974">
            <v>41334</v>
          </cell>
          <cell r="R974" t="str">
            <v/>
          </cell>
          <cell r="T974" t="str">
            <v>60 - 00011R41334</v>
          </cell>
        </row>
        <row r="975">
          <cell r="H975">
            <v>82966684</v>
          </cell>
          <cell r="O975">
            <v>41334</v>
          </cell>
          <cell r="R975" t="str">
            <v/>
          </cell>
          <cell r="T975" t="str">
            <v>60 - 00011R41334</v>
          </cell>
        </row>
        <row r="976">
          <cell r="H976">
            <v>6205908</v>
          </cell>
          <cell r="O976">
            <v>41334</v>
          </cell>
          <cell r="R976" t="str">
            <v/>
          </cell>
          <cell r="T976" t="str">
            <v>60 - 00011R41334</v>
          </cell>
        </row>
        <row r="977">
          <cell r="H977">
            <v>0</v>
          </cell>
          <cell r="O977">
            <v>41334</v>
          </cell>
          <cell r="R977" t="str">
            <v/>
          </cell>
          <cell r="T977" t="str">
            <v>60 - 00011R41334</v>
          </cell>
        </row>
        <row r="978">
          <cell r="H978">
            <v>0</v>
          </cell>
          <cell r="O978">
            <v>41334</v>
          </cell>
          <cell r="R978" t="str">
            <v/>
          </cell>
          <cell r="T978" t="str">
            <v>60 - 00011R41334</v>
          </cell>
        </row>
        <row r="979">
          <cell r="H979">
            <v>150000</v>
          </cell>
          <cell r="O979">
            <v>41334</v>
          </cell>
          <cell r="R979" t="str">
            <v/>
          </cell>
          <cell r="T979" t="str">
            <v>60 - 00011R41334</v>
          </cell>
        </row>
        <row r="980">
          <cell r="H980">
            <v>0</v>
          </cell>
          <cell r="O980">
            <v>41334</v>
          </cell>
          <cell r="R980" t="str">
            <v/>
          </cell>
          <cell r="T980" t="str">
            <v>60 - 00011R41334</v>
          </cell>
        </row>
        <row r="981">
          <cell r="H981">
            <v>0</v>
          </cell>
          <cell r="O981">
            <v>41334</v>
          </cell>
          <cell r="R981" t="str">
            <v/>
          </cell>
          <cell r="T981" t="str">
            <v>60 - 00011R41334</v>
          </cell>
        </row>
        <row r="982">
          <cell r="H982">
            <v>703650</v>
          </cell>
          <cell r="O982">
            <v>41334</v>
          </cell>
          <cell r="R982" t="str">
            <v/>
          </cell>
          <cell r="T982" t="str">
            <v>60 - 00011R41334</v>
          </cell>
        </row>
        <row r="983">
          <cell r="H983">
            <v>8459040</v>
          </cell>
          <cell r="O983">
            <v>41334</v>
          </cell>
          <cell r="R983" t="str">
            <v/>
          </cell>
          <cell r="T983" t="str">
            <v>60 - 00011R41334</v>
          </cell>
        </row>
        <row r="984">
          <cell r="H984">
            <v>1104880</v>
          </cell>
          <cell r="O984">
            <v>41334</v>
          </cell>
          <cell r="R984" t="str">
            <v/>
          </cell>
          <cell r="T984" t="str">
            <v>60 - 00011R41334</v>
          </cell>
        </row>
        <row r="985">
          <cell r="H985">
            <v>0</v>
          </cell>
          <cell r="O985">
            <v>41334</v>
          </cell>
          <cell r="R985" t="str">
            <v/>
          </cell>
          <cell r="T985" t="str">
            <v>60 - 00011R41334</v>
          </cell>
        </row>
        <row r="986">
          <cell r="H986">
            <v>0</v>
          </cell>
          <cell r="O986">
            <v>41334</v>
          </cell>
          <cell r="R986" t="str">
            <v/>
          </cell>
          <cell r="T986" t="str">
            <v>60 - 00011R41334</v>
          </cell>
        </row>
        <row r="987">
          <cell r="H987">
            <v>19639</v>
          </cell>
          <cell r="O987">
            <v>41334</v>
          </cell>
          <cell r="R987" t="str">
            <v/>
          </cell>
          <cell r="T987" t="str">
            <v>60 - 00011R41334</v>
          </cell>
        </row>
        <row r="988">
          <cell r="H988">
            <v>0</v>
          </cell>
          <cell r="O988">
            <v>41334</v>
          </cell>
          <cell r="R988" t="str">
            <v/>
          </cell>
          <cell r="T988" t="str">
            <v>60 - 00011R41334</v>
          </cell>
        </row>
        <row r="989">
          <cell r="H989">
            <v>0</v>
          </cell>
          <cell r="O989">
            <v>41334</v>
          </cell>
          <cell r="R989" t="str">
            <v/>
          </cell>
          <cell r="T989" t="str">
            <v>60 - 00011R41334</v>
          </cell>
        </row>
        <row r="990">
          <cell r="H990">
            <v>0</v>
          </cell>
          <cell r="O990">
            <v>41334</v>
          </cell>
          <cell r="R990" t="str">
            <v/>
          </cell>
          <cell r="T990" t="str">
            <v>60 - 00011R41334</v>
          </cell>
        </row>
        <row r="991">
          <cell r="H991">
            <v>0</v>
          </cell>
          <cell r="O991">
            <v>41334</v>
          </cell>
          <cell r="R991" t="str">
            <v/>
          </cell>
          <cell r="T991" t="str">
            <v>60 - 00011R41334</v>
          </cell>
        </row>
        <row r="992">
          <cell r="H992">
            <v>0</v>
          </cell>
          <cell r="O992">
            <v>41334</v>
          </cell>
          <cell r="R992" t="str">
            <v/>
          </cell>
          <cell r="T992" t="str">
            <v>60 - 00011R41334</v>
          </cell>
        </row>
        <row r="993">
          <cell r="H993">
            <v>129104</v>
          </cell>
          <cell r="O993">
            <v>41334</v>
          </cell>
          <cell r="R993" t="str">
            <v/>
          </cell>
          <cell r="T993" t="str">
            <v>60 - 00011R41334</v>
          </cell>
        </row>
        <row r="994">
          <cell r="H994">
            <v>0</v>
          </cell>
          <cell r="O994">
            <v>41334</v>
          </cell>
          <cell r="R994" t="str">
            <v/>
          </cell>
          <cell r="T994" t="str">
            <v>60 - 00011R41334</v>
          </cell>
        </row>
        <row r="995">
          <cell r="H995">
            <v>0</v>
          </cell>
          <cell r="O995">
            <v>41334</v>
          </cell>
          <cell r="R995" t="str">
            <v/>
          </cell>
          <cell r="T995" t="str">
            <v>60 - 00011R41334</v>
          </cell>
        </row>
        <row r="996">
          <cell r="H996">
            <v>6280000</v>
          </cell>
          <cell r="O996">
            <v>41334</v>
          </cell>
          <cell r="R996" t="str">
            <v/>
          </cell>
          <cell r="T996" t="str">
            <v>60 - 00011U41334</v>
          </cell>
        </row>
        <row r="997">
          <cell r="H997">
            <v>0</v>
          </cell>
          <cell r="O997">
            <v>41334</v>
          </cell>
          <cell r="R997" t="str">
            <v/>
          </cell>
          <cell r="T997" t="str">
            <v>60 - 00011B41334</v>
          </cell>
        </row>
        <row r="998">
          <cell r="H998">
            <v>26758</v>
          </cell>
          <cell r="O998">
            <v>41334</v>
          </cell>
          <cell r="R998" t="str">
            <v/>
          </cell>
          <cell r="T998" t="str">
            <v>60 - 00011B41334</v>
          </cell>
        </row>
        <row r="999">
          <cell r="H999">
            <v>28674</v>
          </cell>
          <cell r="O999">
            <v>41334</v>
          </cell>
          <cell r="R999" t="str">
            <v/>
          </cell>
          <cell r="T999" t="str">
            <v>60 - 00011B41334</v>
          </cell>
        </row>
        <row r="1000">
          <cell r="H1000">
            <v>380</v>
          </cell>
          <cell r="O1000">
            <v>41334</v>
          </cell>
          <cell r="R1000" t="str">
            <v/>
          </cell>
          <cell r="T1000" t="str">
            <v>60 - 00011B41334</v>
          </cell>
        </row>
        <row r="1001">
          <cell r="H1001">
            <v>0</v>
          </cell>
          <cell r="O1001">
            <v>41334</v>
          </cell>
          <cell r="R1001" t="str">
            <v/>
          </cell>
          <cell r="T1001" t="str">
            <v>60 - 00011B41334</v>
          </cell>
        </row>
        <row r="1002">
          <cell r="H1002">
            <v>0</v>
          </cell>
          <cell r="O1002">
            <v>41334</v>
          </cell>
          <cell r="R1002" t="str">
            <v/>
          </cell>
          <cell r="T1002" t="str">
            <v>60 - 00011R41334</v>
          </cell>
        </row>
        <row r="1003">
          <cell r="H1003">
            <v>0</v>
          </cell>
          <cell r="O1003">
            <v>41334</v>
          </cell>
          <cell r="R1003" t="str">
            <v/>
          </cell>
          <cell r="T1003" t="str">
            <v>60 - 00011R41334</v>
          </cell>
        </row>
        <row r="1004">
          <cell r="H1004">
            <v>0</v>
          </cell>
          <cell r="O1004">
            <v>41334</v>
          </cell>
          <cell r="R1004" t="str">
            <v/>
          </cell>
          <cell r="T1004" t="str">
            <v>60 - 00011R41334</v>
          </cell>
        </row>
        <row r="1005">
          <cell r="H1005">
            <v>0</v>
          </cell>
          <cell r="O1005">
            <v>41334</v>
          </cell>
          <cell r="R1005" t="str">
            <v/>
          </cell>
          <cell r="T1005" t="str">
            <v>60 - 00011R41334</v>
          </cell>
        </row>
        <row r="1006">
          <cell r="H1006">
            <v>0</v>
          </cell>
          <cell r="O1006">
            <v>41334</v>
          </cell>
          <cell r="R1006" t="str">
            <v/>
          </cell>
          <cell r="T1006" t="str">
            <v>60 - 00011R41334</v>
          </cell>
        </row>
        <row r="1007">
          <cell r="H1007">
            <v>0</v>
          </cell>
          <cell r="O1007">
            <v>41334</v>
          </cell>
          <cell r="R1007" t="str">
            <v/>
          </cell>
          <cell r="T1007" t="str">
            <v>60 - 00011R41334</v>
          </cell>
        </row>
        <row r="1008">
          <cell r="H1008">
            <v>7065600</v>
          </cell>
          <cell r="O1008">
            <v>41334</v>
          </cell>
          <cell r="R1008" t="str">
            <v/>
          </cell>
          <cell r="T1008" t="str">
            <v>60 - 00011R41334</v>
          </cell>
        </row>
        <row r="1009">
          <cell r="H1009">
            <v>0</v>
          </cell>
          <cell r="O1009">
            <v>41334</v>
          </cell>
          <cell r="R1009" t="str">
            <v/>
          </cell>
          <cell r="T1009" t="str">
            <v>60 - 00011R41334</v>
          </cell>
        </row>
        <row r="1010">
          <cell r="H1010">
            <v>1016000</v>
          </cell>
          <cell r="O1010">
            <v>41334</v>
          </cell>
          <cell r="R1010" t="str">
            <v/>
          </cell>
          <cell r="T1010" t="str">
            <v>60 - 00011R41334</v>
          </cell>
        </row>
        <row r="1011">
          <cell r="H1011">
            <v>25234</v>
          </cell>
          <cell r="O1011">
            <v>41334</v>
          </cell>
          <cell r="R1011" t="str">
            <v/>
          </cell>
          <cell r="T1011" t="str">
            <v>60 - 00011R41334</v>
          </cell>
        </row>
        <row r="1012">
          <cell r="H1012">
            <v>0</v>
          </cell>
          <cell r="O1012">
            <v>41334</v>
          </cell>
          <cell r="R1012" t="str">
            <v/>
          </cell>
          <cell r="T1012" t="str">
            <v>60 - 00011R41334</v>
          </cell>
        </row>
        <row r="1013">
          <cell r="H1013">
            <v>139221553</v>
          </cell>
          <cell r="O1013">
            <v>41334</v>
          </cell>
          <cell r="R1013" t="str">
            <v/>
          </cell>
          <cell r="T1013" t="str">
            <v>60 - 00011R41334</v>
          </cell>
        </row>
        <row r="1014">
          <cell r="H1014">
            <v>0</v>
          </cell>
          <cell r="O1014">
            <v>41334</v>
          </cell>
          <cell r="R1014" t="str">
            <v/>
          </cell>
          <cell r="T1014" t="str">
            <v>60 - 00011R41334</v>
          </cell>
        </row>
        <row r="1015">
          <cell r="H1015">
            <v>1827953</v>
          </cell>
          <cell r="O1015">
            <v>41334</v>
          </cell>
          <cell r="R1015" t="str">
            <v/>
          </cell>
          <cell r="T1015" t="str">
            <v>60 - 00011R41334</v>
          </cell>
        </row>
        <row r="1016">
          <cell r="H1016">
            <v>7594858</v>
          </cell>
          <cell r="O1016">
            <v>41334</v>
          </cell>
          <cell r="R1016" t="str">
            <v/>
          </cell>
          <cell r="T1016" t="str">
            <v>60 - 00011R41334</v>
          </cell>
        </row>
        <row r="1017">
          <cell r="H1017">
            <v>0</v>
          </cell>
          <cell r="O1017">
            <v>41334</v>
          </cell>
          <cell r="R1017" t="str">
            <v/>
          </cell>
          <cell r="T1017" t="str">
            <v>60 - 00011R41334</v>
          </cell>
        </row>
        <row r="1018">
          <cell r="H1018">
            <v>0</v>
          </cell>
          <cell r="O1018">
            <v>41334</v>
          </cell>
          <cell r="R1018" t="str">
            <v/>
          </cell>
          <cell r="T1018" t="str">
            <v>60 - 00011R41334</v>
          </cell>
        </row>
        <row r="1019">
          <cell r="H1019">
            <v>0</v>
          </cell>
          <cell r="O1019">
            <v>41334</v>
          </cell>
          <cell r="R1019" t="str">
            <v/>
          </cell>
          <cell r="T1019" t="str">
            <v>60 - 00011R41334</v>
          </cell>
        </row>
        <row r="1020">
          <cell r="H1020">
            <v>0</v>
          </cell>
          <cell r="O1020">
            <v>41334</v>
          </cell>
          <cell r="R1020" t="str">
            <v/>
          </cell>
          <cell r="T1020" t="str">
            <v>60 - 00011R41334</v>
          </cell>
        </row>
        <row r="1021">
          <cell r="H1021">
            <v>3553</v>
          </cell>
          <cell r="O1021">
            <v>41334</v>
          </cell>
          <cell r="R1021" t="str">
            <v/>
          </cell>
          <cell r="T1021" t="str">
            <v>60 - 00011R41334</v>
          </cell>
        </row>
        <row r="1022">
          <cell r="H1022">
            <v>11501</v>
          </cell>
          <cell r="O1022">
            <v>41334</v>
          </cell>
          <cell r="R1022" t="str">
            <v/>
          </cell>
          <cell r="T1022" t="str">
            <v>60 - 00011R41334</v>
          </cell>
        </row>
        <row r="1023">
          <cell r="H1023">
            <v>197</v>
          </cell>
          <cell r="O1023">
            <v>41334</v>
          </cell>
          <cell r="R1023" t="str">
            <v/>
          </cell>
          <cell r="T1023" t="str">
            <v>60 - 00011R41334</v>
          </cell>
        </row>
        <row r="1024">
          <cell r="H1024">
            <v>86</v>
          </cell>
          <cell r="O1024">
            <v>41334</v>
          </cell>
          <cell r="R1024" t="str">
            <v/>
          </cell>
          <cell r="T1024" t="str">
            <v>60 - 00011R41334</v>
          </cell>
        </row>
        <row r="1025">
          <cell r="H1025">
            <v>60</v>
          </cell>
          <cell r="O1025">
            <v>41334</v>
          </cell>
          <cell r="R1025" t="str">
            <v/>
          </cell>
          <cell r="T1025" t="str">
            <v>60 - 00011R41334</v>
          </cell>
        </row>
        <row r="1026">
          <cell r="H1026">
            <v>1705</v>
          </cell>
          <cell r="O1026">
            <v>41334</v>
          </cell>
          <cell r="R1026" t="str">
            <v/>
          </cell>
          <cell r="T1026" t="str">
            <v>60 - 00011R41334</v>
          </cell>
        </row>
        <row r="1027">
          <cell r="H1027">
            <v>14920</v>
          </cell>
          <cell r="O1027">
            <v>41334</v>
          </cell>
          <cell r="R1027" t="str">
            <v/>
          </cell>
          <cell r="T1027" t="str">
            <v>60 - 00011R41334</v>
          </cell>
        </row>
        <row r="1028">
          <cell r="H1028">
            <v>13500</v>
          </cell>
          <cell r="O1028">
            <v>41334</v>
          </cell>
          <cell r="R1028" t="str">
            <v/>
          </cell>
          <cell r="T1028" t="str">
            <v>60 - 00011R41334</v>
          </cell>
        </row>
        <row r="1029">
          <cell r="H1029">
            <v>0</v>
          </cell>
          <cell r="O1029">
            <v>41334</v>
          </cell>
          <cell r="R1029" t="str">
            <v/>
          </cell>
          <cell r="T1029" t="str">
            <v>60 - 00011R41334</v>
          </cell>
        </row>
        <row r="1030">
          <cell r="H1030">
            <v>16745597</v>
          </cell>
          <cell r="O1030">
            <v>41334</v>
          </cell>
          <cell r="R1030" t="str">
            <v/>
          </cell>
          <cell r="T1030" t="str">
            <v>60 - 00011R41334</v>
          </cell>
        </row>
        <row r="1031">
          <cell r="H1031">
            <v>26698</v>
          </cell>
          <cell r="O1031">
            <v>41334</v>
          </cell>
          <cell r="R1031" t="str">
            <v/>
          </cell>
          <cell r="T1031" t="str">
            <v>60 - 00011R41334</v>
          </cell>
        </row>
        <row r="1032">
          <cell r="H1032">
            <v>0</v>
          </cell>
          <cell r="O1032">
            <v>41334</v>
          </cell>
          <cell r="R1032" t="str">
            <v/>
          </cell>
          <cell r="T1032" t="str">
            <v>60 - 00011R41334</v>
          </cell>
        </row>
        <row r="1033">
          <cell r="H1033">
            <v>0</v>
          </cell>
          <cell r="O1033">
            <v>41334</v>
          </cell>
          <cell r="R1033" t="str">
            <v/>
          </cell>
          <cell r="T1033" t="str">
            <v>60 - 00011R41334</v>
          </cell>
        </row>
        <row r="1034">
          <cell r="H1034">
            <v>104480</v>
          </cell>
          <cell r="O1034">
            <v>41334</v>
          </cell>
          <cell r="R1034" t="str">
            <v/>
          </cell>
          <cell r="T1034" t="str">
            <v>60 - 00011R41334</v>
          </cell>
        </row>
        <row r="1035">
          <cell r="H1035">
            <v>65040</v>
          </cell>
          <cell r="O1035">
            <v>41334</v>
          </cell>
          <cell r="R1035" t="str">
            <v/>
          </cell>
          <cell r="T1035" t="str">
            <v>60 - 00011R41334</v>
          </cell>
        </row>
        <row r="1036">
          <cell r="H1036">
            <v>4290000</v>
          </cell>
          <cell r="O1036">
            <v>41334</v>
          </cell>
          <cell r="R1036" t="str">
            <v/>
          </cell>
          <cell r="T1036" t="str">
            <v>60 - 00011R41334</v>
          </cell>
        </row>
        <row r="1037">
          <cell r="H1037">
            <v>0</v>
          </cell>
          <cell r="O1037">
            <v>41334</v>
          </cell>
          <cell r="R1037" t="str">
            <v/>
          </cell>
          <cell r="T1037" t="str">
            <v>60 - 00011R41334</v>
          </cell>
        </row>
        <row r="1038">
          <cell r="H1038">
            <v>0</v>
          </cell>
          <cell r="O1038">
            <v>41334</v>
          </cell>
          <cell r="R1038" t="str">
            <v/>
          </cell>
          <cell r="T1038" t="str">
            <v>60 - 00011R41334</v>
          </cell>
        </row>
        <row r="1039">
          <cell r="H1039">
            <v>0</v>
          </cell>
          <cell r="O1039">
            <v>41334</v>
          </cell>
          <cell r="R1039" t="str">
            <v/>
          </cell>
          <cell r="T1039" t="str">
            <v>60 - 00011R41334</v>
          </cell>
        </row>
        <row r="1040">
          <cell r="H1040">
            <v>0</v>
          </cell>
          <cell r="O1040">
            <v>41334</v>
          </cell>
          <cell r="R1040" t="str">
            <v/>
          </cell>
          <cell r="T1040" t="str">
            <v>60 - 00011R41334</v>
          </cell>
        </row>
        <row r="1041">
          <cell r="H1041">
            <v>380</v>
          </cell>
          <cell r="O1041">
            <v>41334</v>
          </cell>
          <cell r="R1041" t="str">
            <v/>
          </cell>
          <cell r="T1041" t="str">
            <v>60 - 00011R41334</v>
          </cell>
        </row>
        <row r="1042">
          <cell r="H1042">
            <v>0</v>
          </cell>
          <cell r="O1042">
            <v>41334</v>
          </cell>
          <cell r="R1042" t="str">
            <v/>
          </cell>
          <cell r="T1042" t="str">
            <v>60 - 00011R41334</v>
          </cell>
        </row>
        <row r="1043">
          <cell r="H1043">
            <v>8317000</v>
          </cell>
          <cell r="O1043">
            <v>41334</v>
          </cell>
          <cell r="R1043" t="str">
            <v/>
          </cell>
          <cell r="T1043" t="str">
            <v>60 - 00011U41334</v>
          </cell>
        </row>
        <row r="1044">
          <cell r="H1044">
            <v>0</v>
          </cell>
          <cell r="O1044">
            <v>41334</v>
          </cell>
          <cell r="R1044" t="str">
            <v/>
          </cell>
          <cell r="T1044" t="str">
            <v>60 - 00011B41334</v>
          </cell>
        </row>
        <row r="1045">
          <cell r="H1045">
            <v>149431</v>
          </cell>
          <cell r="O1045">
            <v>41334</v>
          </cell>
          <cell r="R1045" t="str">
            <v/>
          </cell>
          <cell r="T1045" t="str">
            <v>60 - 00011B41334</v>
          </cell>
        </row>
        <row r="1046">
          <cell r="H1046">
            <v>86518</v>
          </cell>
          <cell r="O1046">
            <v>41334</v>
          </cell>
          <cell r="R1046" t="str">
            <v/>
          </cell>
          <cell r="T1046" t="str">
            <v>60 - 00011B41334</v>
          </cell>
        </row>
        <row r="1047">
          <cell r="H1047">
            <v>126764</v>
          </cell>
          <cell r="O1047">
            <v>41334</v>
          </cell>
          <cell r="R1047" t="str">
            <v/>
          </cell>
          <cell r="T1047" t="str">
            <v>60 - 00011B41334</v>
          </cell>
        </row>
        <row r="1048">
          <cell r="H1048">
            <v>99</v>
          </cell>
          <cell r="O1048">
            <v>41334</v>
          </cell>
          <cell r="R1048" t="str">
            <v/>
          </cell>
          <cell r="T1048" t="str">
            <v>60 - 00011B41334</v>
          </cell>
        </row>
        <row r="1049">
          <cell r="H1049">
            <v>502006</v>
          </cell>
          <cell r="O1049">
            <v>41334</v>
          </cell>
          <cell r="R1049" t="str">
            <v/>
          </cell>
          <cell r="T1049" t="str">
            <v>60 - 00011B41334</v>
          </cell>
        </row>
        <row r="1050">
          <cell r="H1050">
            <v>0</v>
          </cell>
          <cell r="O1050">
            <v>41334</v>
          </cell>
          <cell r="R1050" t="str">
            <v/>
          </cell>
          <cell r="T1050" t="str">
            <v>60 - 00011B41334</v>
          </cell>
        </row>
        <row r="1051">
          <cell r="H1051">
            <v>0</v>
          </cell>
          <cell r="O1051">
            <v>41334</v>
          </cell>
          <cell r="R1051" t="str">
            <v/>
          </cell>
          <cell r="T1051" t="str">
            <v>60 - 00011B41334</v>
          </cell>
        </row>
        <row r="1052">
          <cell r="H1052">
            <v>0</v>
          </cell>
          <cell r="O1052">
            <v>41334</v>
          </cell>
          <cell r="R1052" t="str">
            <v/>
          </cell>
          <cell r="T1052" t="str">
            <v>60 - 00011B41334</v>
          </cell>
        </row>
        <row r="1053">
          <cell r="H1053">
            <v>0</v>
          </cell>
          <cell r="O1053">
            <v>41334</v>
          </cell>
          <cell r="R1053" t="str">
            <v/>
          </cell>
          <cell r="T1053" t="str">
            <v>60 - 00011B41334</v>
          </cell>
        </row>
        <row r="1054">
          <cell r="H1054">
            <v>18255</v>
          </cell>
          <cell r="O1054">
            <v>41334</v>
          </cell>
          <cell r="R1054" t="str">
            <v/>
          </cell>
          <cell r="T1054" t="str">
            <v>60 - 00011B41334</v>
          </cell>
        </row>
        <row r="1055">
          <cell r="H1055">
            <v>193</v>
          </cell>
          <cell r="O1055">
            <v>41334</v>
          </cell>
          <cell r="R1055" t="str">
            <v/>
          </cell>
          <cell r="T1055" t="str">
            <v>60 - 00011B41334</v>
          </cell>
        </row>
        <row r="1056">
          <cell r="H1056">
            <v>0</v>
          </cell>
          <cell r="O1056">
            <v>41334</v>
          </cell>
          <cell r="R1056" t="str">
            <v/>
          </cell>
          <cell r="T1056" t="str">
            <v>60 - 00011B41334</v>
          </cell>
        </row>
        <row r="1057">
          <cell r="H1057">
            <v>0</v>
          </cell>
          <cell r="O1057">
            <v>41334</v>
          </cell>
          <cell r="R1057" t="str">
            <v/>
          </cell>
          <cell r="T1057" t="str">
            <v>60 - 00011R41334</v>
          </cell>
        </row>
        <row r="1058">
          <cell r="H1058">
            <v>0</v>
          </cell>
          <cell r="O1058">
            <v>41334</v>
          </cell>
          <cell r="R1058" t="str">
            <v/>
          </cell>
          <cell r="T1058" t="str">
            <v>60 - 00011R41334</v>
          </cell>
        </row>
        <row r="1059">
          <cell r="H1059">
            <v>0</v>
          </cell>
          <cell r="O1059">
            <v>41334</v>
          </cell>
          <cell r="R1059" t="str">
            <v/>
          </cell>
          <cell r="T1059" t="str">
            <v>60 - 00011R41334</v>
          </cell>
        </row>
        <row r="1060">
          <cell r="H1060">
            <v>0</v>
          </cell>
          <cell r="O1060">
            <v>41334</v>
          </cell>
          <cell r="R1060" t="str">
            <v/>
          </cell>
          <cell r="T1060" t="str">
            <v>60 - 00011R41334</v>
          </cell>
        </row>
        <row r="1061">
          <cell r="H1061">
            <v>0</v>
          </cell>
          <cell r="O1061">
            <v>41334</v>
          </cell>
          <cell r="R1061" t="str">
            <v/>
          </cell>
          <cell r="T1061" t="str">
            <v>60 - 00011R41334</v>
          </cell>
        </row>
        <row r="1062">
          <cell r="H1062">
            <v>0</v>
          </cell>
          <cell r="O1062">
            <v>41334</v>
          </cell>
          <cell r="R1062" t="str">
            <v/>
          </cell>
          <cell r="T1062" t="str">
            <v>60 - 00011R41334</v>
          </cell>
        </row>
        <row r="1063">
          <cell r="H1063">
            <v>0</v>
          </cell>
          <cell r="O1063">
            <v>41334</v>
          </cell>
          <cell r="R1063" t="str">
            <v/>
          </cell>
          <cell r="T1063" t="str">
            <v>60 - 00011R41334</v>
          </cell>
        </row>
        <row r="1064">
          <cell r="H1064">
            <v>0</v>
          </cell>
          <cell r="O1064">
            <v>41334</v>
          </cell>
          <cell r="R1064" t="str">
            <v/>
          </cell>
          <cell r="T1064" t="str">
            <v>60 - 00011R41334</v>
          </cell>
        </row>
        <row r="1065">
          <cell r="H1065">
            <v>0</v>
          </cell>
          <cell r="O1065">
            <v>41334</v>
          </cell>
          <cell r="R1065" t="str">
            <v/>
          </cell>
          <cell r="T1065" t="str">
            <v>60 - 00011R41334</v>
          </cell>
        </row>
        <row r="1066">
          <cell r="H1066">
            <v>0</v>
          </cell>
          <cell r="O1066">
            <v>41334</v>
          </cell>
          <cell r="R1066" t="str">
            <v/>
          </cell>
          <cell r="T1066" t="str">
            <v>60 - 00011R41334</v>
          </cell>
        </row>
        <row r="1067">
          <cell r="H1067">
            <v>86518</v>
          </cell>
          <cell r="O1067">
            <v>41334</v>
          </cell>
          <cell r="R1067" t="str">
            <v/>
          </cell>
          <cell r="T1067" t="str">
            <v>60 - 00011R41334</v>
          </cell>
        </row>
        <row r="1068">
          <cell r="H1068">
            <v>126774</v>
          </cell>
          <cell r="O1068">
            <v>41334</v>
          </cell>
          <cell r="R1068" t="str">
            <v/>
          </cell>
          <cell r="T1068" t="str">
            <v>60 - 00011R41334</v>
          </cell>
        </row>
        <row r="1069">
          <cell r="H1069">
            <v>436800</v>
          </cell>
          <cell r="O1069">
            <v>41334</v>
          </cell>
          <cell r="R1069" t="str">
            <v/>
          </cell>
          <cell r="T1069" t="str">
            <v>60 - 00011R41334</v>
          </cell>
        </row>
        <row r="1070">
          <cell r="H1070">
            <v>710993</v>
          </cell>
          <cell r="O1070">
            <v>41334</v>
          </cell>
          <cell r="R1070" t="str">
            <v/>
          </cell>
          <cell r="T1070" t="str">
            <v>60 - 00011R41334</v>
          </cell>
        </row>
        <row r="1071">
          <cell r="H1071">
            <v>5224</v>
          </cell>
          <cell r="O1071">
            <v>41334</v>
          </cell>
          <cell r="R1071" t="str">
            <v/>
          </cell>
          <cell r="T1071" t="str">
            <v>60 - 00011R41334</v>
          </cell>
        </row>
        <row r="1072">
          <cell r="H1072">
            <v>99</v>
          </cell>
          <cell r="O1072">
            <v>41334</v>
          </cell>
          <cell r="R1072" t="str">
            <v/>
          </cell>
          <cell r="T1072" t="str">
            <v>60 - 00011R41334</v>
          </cell>
        </row>
        <row r="1073">
          <cell r="H1073">
            <v>0</v>
          </cell>
          <cell r="O1073">
            <v>41334</v>
          </cell>
          <cell r="R1073" t="str">
            <v/>
          </cell>
          <cell r="T1073" t="str">
            <v>60 - 00011R41334</v>
          </cell>
        </row>
        <row r="1074">
          <cell r="H1074">
            <v>0</v>
          </cell>
          <cell r="O1074">
            <v>41334</v>
          </cell>
          <cell r="R1074" t="str">
            <v/>
          </cell>
          <cell r="T1074" t="str">
            <v>60 - 00011R41334</v>
          </cell>
        </row>
        <row r="1075">
          <cell r="H1075">
            <v>0</v>
          </cell>
          <cell r="O1075">
            <v>41334</v>
          </cell>
          <cell r="R1075" t="str">
            <v/>
          </cell>
          <cell r="T1075" t="str">
            <v>60 - 00011R41334</v>
          </cell>
        </row>
        <row r="1076">
          <cell r="H1076">
            <v>11944</v>
          </cell>
          <cell r="O1076">
            <v>41334</v>
          </cell>
          <cell r="R1076" t="str">
            <v/>
          </cell>
          <cell r="T1076" t="str">
            <v>60 - 00011R41334</v>
          </cell>
        </row>
        <row r="1077">
          <cell r="H1077">
            <v>0</v>
          </cell>
          <cell r="O1077">
            <v>41334</v>
          </cell>
          <cell r="R1077" t="str">
            <v/>
          </cell>
          <cell r="T1077" t="str">
            <v>60 - 00011R41334</v>
          </cell>
        </row>
        <row r="1078">
          <cell r="H1078">
            <v>0</v>
          </cell>
          <cell r="O1078">
            <v>41334</v>
          </cell>
          <cell r="R1078" t="str">
            <v/>
          </cell>
          <cell r="T1078" t="str">
            <v>60 - 00011R41334</v>
          </cell>
        </row>
        <row r="1079">
          <cell r="H1079">
            <v>0</v>
          </cell>
          <cell r="O1079">
            <v>41334</v>
          </cell>
          <cell r="R1079" t="str">
            <v/>
          </cell>
          <cell r="T1079" t="str">
            <v>60 - 00011R41334</v>
          </cell>
        </row>
        <row r="1080">
          <cell r="H1080">
            <v>0</v>
          </cell>
          <cell r="O1080">
            <v>41334</v>
          </cell>
          <cell r="R1080" t="str">
            <v/>
          </cell>
          <cell r="T1080" t="str">
            <v>60 - 00011R41334</v>
          </cell>
        </row>
        <row r="1081">
          <cell r="H1081">
            <v>0</v>
          </cell>
          <cell r="O1081">
            <v>41334</v>
          </cell>
          <cell r="R1081" t="str">
            <v/>
          </cell>
          <cell r="T1081" t="str">
            <v>60 - 00011R41334</v>
          </cell>
        </row>
        <row r="1082">
          <cell r="H1082">
            <v>0</v>
          </cell>
          <cell r="O1082">
            <v>41334</v>
          </cell>
          <cell r="R1082" t="str">
            <v/>
          </cell>
          <cell r="T1082" t="str">
            <v>60 - 00011R41334</v>
          </cell>
        </row>
        <row r="1083">
          <cell r="H1083">
            <v>18256</v>
          </cell>
          <cell r="O1083">
            <v>41334</v>
          </cell>
          <cell r="R1083" t="str">
            <v/>
          </cell>
          <cell r="T1083" t="str">
            <v>60 - 00011R41334</v>
          </cell>
        </row>
        <row r="1084">
          <cell r="H1084">
            <v>0</v>
          </cell>
          <cell r="O1084">
            <v>41334</v>
          </cell>
          <cell r="R1084" t="str">
            <v/>
          </cell>
          <cell r="T1084" t="str">
            <v>60 - 00011R41334</v>
          </cell>
        </row>
        <row r="1085">
          <cell r="H1085">
            <v>0</v>
          </cell>
          <cell r="O1085">
            <v>41334</v>
          </cell>
          <cell r="R1085" t="str">
            <v/>
          </cell>
          <cell r="T1085" t="str">
            <v>60 - 00011R41334</v>
          </cell>
        </row>
        <row r="1086">
          <cell r="H1086">
            <v>234000</v>
          </cell>
          <cell r="O1086">
            <v>41334</v>
          </cell>
          <cell r="R1086" t="str">
            <v/>
          </cell>
          <cell r="T1086" t="str">
            <v>60 - 00011U41334</v>
          </cell>
        </row>
        <row r="1087">
          <cell r="H1087">
            <v>0</v>
          </cell>
          <cell r="O1087">
            <v>41334</v>
          </cell>
          <cell r="R1087" t="str">
            <v/>
          </cell>
          <cell r="T1087" t="str">
            <v>60 - 00011R41334</v>
          </cell>
        </row>
        <row r="1088">
          <cell r="H1088">
            <v>0</v>
          </cell>
          <cell r="O1088">
            <v>41334</v>
          </cell>
          <cell r="R1088" t="str">
            <v/>
          </cell>
          <cell r="T1088" t="str">
            <v>60 - 00011R41334</v>
          </cell>
        </row>
        <row r="1089">
          <cell r="H1089">
            <v>0</v>
          </cell>
          <cell r="O1089">
            <v>41334</v>
          </cell>
          <cell r="R1089" t="str">
            <v/>
          </cell>
          <cell r="T1089" t="str">
            <v>60 - 00011R41334</v>
          </cell>
        </row>
        <row r="1090">
          <cell r="H1090">
            <v>0</v>
          </cell>
          <cell r="O1090">
            <v>41334</v>
          </cell>
          <cell r="R1090" t="str">
            <v/>
          </cell>
          <cell r="T1090" t="str">
            <v>60 - 00011R41334</v>
          </cell>
        </row>
        <row r="1091">
          <cell r="H1091">
            <v>43813</v>
          </cell>
          <cell r="O1091">
            <v>41334</v>
          </cell>
          <cell r="R1091" t="str">
            <v/>
          </cell>
          <cell r="T1091" t="str">
            <v>60 - 00011R41334</v>
          </cell>
        </row>
        <row r="1092">
          <cell r="H1092">
            <v>13856</v>
          </cell>
          <cell r="O1092">
            <v>41334</v>
          </cell>
          <cell r="R1092" t="str">
            <v/>
          </cell>
          <cell r="T1092" t="str">
            <v>60 - 00011R41334</v>
          </cell>
        </row>
        <row r="1093">
          <cell r="H1093">
            <v>1742512</v>
          </cell>
          <cell r="O1093">
            <v>41334</v>
          </cell>
          <cell r="R1093" t="str">
            <v/>
          </cell>
          <cell r="T1093" t="str">
            <v>60 - 00011R41334</v>
          </cell>
        </row>
        <row r="1094">
          <cell r="H1094">
            <v>723827</v>
          </cell>
          <cell r="O1094">
            <v>41334</v>
          </cell>
          <cell r="R1094" t="str">
            <v/>
          </cell>
          <cell r="T1094" t="str">
            <v>60 - 00011R41334</v>
          </cell>
        </row>
        <row r="1095">
          <cell r="H1095">
            <v>31</v>
          </cell>
          <cell r="O1095">
            <v>41334</v>
          </cell>
          <cell r="R1095" t="str">
            <v/>
          </cell>
          <cell r="T1095" t="str">
            <v>60 - 00011R41334</v>
          </cell>
        </row>
        <row r="1096">
          <cell r="H1096">
            <v>67540</v>
          </cell>
          <cell r="O1096">
            <v>41334</v>
          </cell>
          <cell r="R1096" t="str">
            <v/>
          </cell>
          <cell r="T1096" t="str">
            <v>60 - 00011R41334</v>
          </cell>
        </row>
        <row r="1097">
          <cell r="H1097">
            <v>698792</v>
          </cell>
          <cell r="O1097">
            <v>41334</v>
          </cell>
          <cell r="R1097" t="str">
            <v/>
          </cell>
          <cell r="T1097" t="str">
            <v>60 - 00011R41334</v>
          </cell>
        </row>
        <row r="1098">
          <cell r="H1098">
            <v>3505</v>
          </cell>
          <cell r="O1098">
            <v>41334</v>
          </cell>
          <cell r="R1098" t="str">
            <v/>
          </cell>
          <cell r="T1098" t="str">
            <v>60 - 00011R41334</v>
          </cell>
        </row>
        <row r="1099">
          <cell r="H1099">
            <v>0</v>
          </cell>
          <cell r="O1099">
            <v>41334</v>
          </cell>
          <cell r="R1099" t="str">
            <v/>
          </cell>
          <cell r="T1099" t="str">
            <v>60 - 00011R41334</v>
          </cell>
        </row>
        <row r="1100">
          <cell r="H1100">
            <v>-21000</v>
          </cell>
          <cell r="O1100">
            <v>41334</v>
          </cell>
          <cell r="R1100" t="str">
            <v/>
          </cell>
          <cell r="T1100" t="str">
            <v>60 - 00011U41334</v>
          </cell>
        </row>
        <row r="1101">
          <cell r="H1101">
            <v>0</v>
          </cell>
          <cell r="O1101">
            <v>41334</v>
          </cell>
          <cell r="R1101" t="str">
            <v/>
          </cell>
          <cell r="T1101" t="str">
            <v>60 - 00012B41334</v>
          </cell>
        </row>
        <row r="1102">
          <cell r="H1102">
            <v>135390513</v>
          </cell>
          <cell r="O1102">
            <v>41334</v>
          </cell>
          <cell r="R1102" t="str">
            <v/>
          </cell>
          <cell r="T1102" t="str">
            <v>60 - 00012B41334</v>
          </cell>
        </row>
        <row r="1103">
          <cell r="H1103">
            <v>181270</v>
          </cell>
          <cell r="O1103">
            <v>41334</v>
          </cell>
          <cell r="R1103" t="str">
            <v/>
          </cell>
          <cell r="T1103" t="str">
            <v>60 - 00012B41334</v>
          </cell>
        </row>
        <row r="1104">
          <cell r="H1104">
            <v>28612</v>
          </cell>
          <cell r="O1104">
            <v>41334</v>
          </cell>
          <cell r="R1104" t="str">
            <v/>
          </cell>
          <cell r="T1104" t="str">
            <v>60 - 00012B41334</v>
          </cell>
        </row>
        <row r="1105">
          <cell r="H1105">
            <v>6569863</v>
          </cell>
          <cell r="O1105">
            <v>41334</v>
          </cell>
          <cell r="R1105" t="str">
            <v/>
          </cell>
          <cell r="T1105" t="str">
            <v>60 - 00012B41334</v>
          </cell>
        </row>
        <row r="1106">
          <cell r="H1106">
            <v>83602</v>
          </cell>
          <cell r="O1106">
            <v>41334</v>
          </cell>
          <cell r="R1106" t="str">
            <v/>
          </cell>
          <cell r="T1106" t="str">
            <v>60 - 00012B41334</v>
          </cell>
        </row>
        <row r="1107">
          <cell r="H1107">
            <v>105407</v>
          </cell>
          <cell r="O1107">
            <v>41334</v>
          </cell>
          <cell r="R1107" t="str">
            <v/>
          </cell>
          <cell r="T1107" t="str">
            <v>60 - 00012B41334</v>
          </cell>
        </row>
        <row r="1108">
          <cell r="H1108">
            <v>472010</v>
          </cell>
          <cell r="O1108">
            <v>41334</v>
          </cell>
          <cell r="R1108" t="str">
            <v/>
          </cell>
          <cell r="T1108" t="str">
            <v>60 - 00012B41334</v>
          </cell>
        </row>
        <row r="1109">
          <cell r="H1109">
            <v>0</v>
          </cell>
          <cell r="O1109">
            <v>41334</v>
          </cell>
          <cell r="R1109" t="str">
            <v/>
          </cell>
          <cell r="T1109" t="str">
            <v>60 - 00012B41334</v>
          </cell>
        </row>
        <row r="1110">
          <cell r="H1110">
            <v>0</v>
          </cell>
          <cell r="O1110">
            <v>41334</v>
          </cell>
          <cell r="R1110" t="str">
            <v>41334WARESAGA</v>
          </cell>
          <cell r="T1110" t="str">
            <v>60 - 00012R41334</v>
          </cell>
        </row>
        <row r="1111">
          <cell r="H1111">
            <v>0</v>
          </cell>
          <cell r="O1111">
            <v>41334</v>
          </cell>
          <cell r="R1111" t="str">
            <v>41334WARESAGA</v>
          </cell>
          <cell r="T1111" t="str">
            <v>60 - 00012R41334</v>
          </cell>
        </row>
        <row r="1112">
          <cell r="H1112">
            <v>0</v>
          </cell>
          <cell r="O1112">
            <v>41334</v>
          </cell>
          <cell r="R1112" t="str">
            <v>41334WARESAGA</v>
          </cell>
          <cell r="T1112" t="str">
            <v>60 - 00012R41334</v>
          </cell>
        </row>
        <row r="1113">
          <cell r="H1113">
            <v>0</v>
          </cell>
          <cell r="O1113">
            <v>41334</v>
          </cell>
          <cell r="R1113" t="str">
            <v>41334WARESAGA</v>
          </cell>
          <cell r="T1113" t="str">
            <v>60 - 00012R41334</v>
          </cell>
        </row>
        <row r="1114">
          <cell r="H1114">
            <v>0</v>
          </cell>
          <cell r="O1114">
            <v>41334</v>
          </cell>
          <cell r="R1114" t="str">
            <v>41334WARESAGA</v>
          </cell>
          <cell r="T1114" t="str">
            <v>60 - 00012R41334</v>
          </cell>
        </row>
        <row r="1115">
          <cell r="H1115">
            <v>0</v>
          </cell>
          <cell r="O1115">
            <v>41334</v>
          </cell>
          <cell r="R1115" t="str">
            <v>41334WARESAGA</v>
          </cell>
          <cell r="T1115" t="str">
            <v>60 - 00012R41334</v>
          </cell>
        </row>
        <row r="1116">
          <cell r="H1116">
            <v>0</v>
          </cell>
          <cell r="O1116">
            <v>41334</v>
          </cell>
          <cell r="R1116" t="str">
            <v>41334WARESAGA</v>
          </cell>
          <cell r="T1116" t="str">
            <v>60 - 00012R41334</v>
          </cell>
        </row>
        <row r="1117">
          <cell r="H1117">
            <v>135390555</v>
          </cell>
          <cell r="O1117">
            <v>41334</v>
          </cell>
          <cell r="R1117" t="str">
            <v>41334WARES16</v>
          </cell>
          <cell r="T1117" t="str">
            <v>60 - 00012R41334</v>
          </cell>
        </row>
        <row r="1118">
          <cell r="H1118">
            <v>181270</v>
          </cell>
          <cell r="O1118">
            <v>41334</v>
          </cell>
          <cell r="R1118" t="str">
            <v>41334WARES18</v>
          </cell>
          <cell r="T1118" t="str">
            <v>60 - 00012R41334</v>
          </cell>
        </row>
        <row r="1119">
          <cell r="H1119">
            <v>28612</v>
          </cell>
          <cell r="O1119">
            <v>41334</v>
          </cell>
          <cell r="R1119" t="str">
            <v>41334WARES18</v>
          </cell>
          <cell r="T1119" t="str">
            <v>60 - 00012R41334</v>
          </cell>
        </row>
        <row r="1120">
          <cell r="H1120">
            <v>0</v>
          </cell>
          <cell r="O1120">
            <v>41334</v>
          </cell>
          <cell r="R1120" t="str">
            <v>41334WARESAGA</v>
          </cell>
          <cell r="T1120" t="str">
            <v>60 - 00012R41334</v>
          </cell>
        </row>
        <row r="1121">
          <cell r="H1121">
            <v>6569863</v>
          </cell>
          <cell r="O1121">
            <v>41334</v>
          </cell>
          <cell r="R1121" t="str">
            <v>41334WARES17</v>
          </cell>
          <cell r="T1121" t="str">
            <v>60 - 00012R41334</v>
          </cell>
        </row>
        <row r="1122">
          <cell r="H1122">
            <v>82322</v>
          </cell>
          <cell r="O1122">
            <v>41334</v>
          </cell>
          <cell r="R1122" t="str">
            <v>41334WARES15</v>
          </cell>
          <cell r="T1122" t="str">
            <v>60 - 00012R41334</v>
          </cell>
        </row>
        <row r="1123">
          <cell r="H1123">
            <v>105407</v>
          </cell>
          <cell r="O1123">
            <v>41334</v>
          </cell>
          <cell r="R1123" t="str">
            <v>41334WARES16</v>
          </cell>
          <cell r="T1123" t="str">
            <v>60 - 00012R41334</v>
          </cell>
        </row>
        <row r="1124">
          <cell r="H1124">
            <v>472024</v>
          </cell>
          <cell r="O1124">
            <v>41334</v>
          </cell>
          <cell r="R1124" t="str">
            <v>41334WARES24</v>
          </cell>
          <cell r="T1124" t="str">
            <v>60 - 00012R41334</v>
          </cell>
        </row>
        <row r="1125">
          <cell r="H1125">
            <v>0</v>
          </cell>
          <cell r="O1125">
            <v>41334</v>
          </cell>
          <cell r="R1125" t="str">
            <v>41334WARESAGA</v>
          </cell>
          <cell r="T1125" t="str">
            <v>60 - 00012R41334</v>
          </cell>
        </row>
        <row r="1126">
          <cell r="H1126">
            <v>-12088000</v>
          </cell>
          <cell r="O1126">
            <v>41334</v>
          </cell>
          <cell r="R1126" t="str">
            <v>41334WARES88</v>
          </cell>
          <cell r="T1126" t="str">
            <v>60 - 00012U41334</v>
          </cell>
        </row>
        <row r="1127">
          <cell r="H1127">
            <v>0</v>
          </cell>
          <cell r="O1127">
            <v>41334</v>
          </cell>
          <cell r="R1127" t="str">
            <v>41334WARESAGA</v>
          </cell>
          <cell r="T1127" t="str">
            <v>60 - 00012U41334</v>
          </cell>
        </row>
        <row r="1128">
          <cell r="H1128">
            <v>0</v>
          </cell>
          <cell r="O1128">
            <v>41334</v>
          </cell>
          <cell r="R1128" t="str">
            <v/>
          </cell>
          <cell r="T1128" t="str">
            <v>60 - 00012B41334</v>
          </cell>
        </row>
        <row r="1129">
          <cell r="H1129">
            <v>2990741</v>
          </cell>
          <cell r="O1129">
            <v>41334</v>
          </cell>
          <cell r="R1129" t="str">
            <v/>
          </cell>
          <cell r="T1129" t="str">
            <v>60 - 00012B41334</v>
          </cell>
        </row>
        <row r="1130">
          <cell r="H1130">
            <v>18690</v>
          </cell>
          <cell r="O1130">
            <v>41334</v>
          </cell>
          <cell r="R1130" t="str">
            <v/>
          </cell>
          <cell r="T1130" t="str">
            <v>60 - 00012B41334</v>
          </cell>
        </row>
        <row r="1131">
          <cell r="H1131">
            <v>6266090</v>
          </cell>
          <cell r="O1131">
            <v>41334</v>
          </cell>
          <cell r="R1131" t="str">
            <v/>
          </cell>
          <cell r="T1131" t="str">
            <v>60 - 00012B41334</v>
          </cell>
        </row>
        <row r="1132">
          <cell r="H1132">
            <v>47437</v>
          </cell>
          <cell r="O1132">
            <v>41334</v>
          </cell>
          <cell r="R1132" t="str">
            <v/>
          </cell>
          <cell r="T1132" t="str">
            <v>60 - 00012B41334</v>
          </cell>
        </row>
        <row r="1133">
          <cell r="H1133">
            <v>72</v>
          </cell>
          <cell r="O1133">
            <v>41334</v>
          </cell>
          <cell r="R1133" t="str">
            <v/>
          </cell>
          <cell r="T1133" t="str">
            <v>60 - 00012B41334</v>
          </cell>
        </row>
        <row r="1134">
          <cell r="H1134">
            <v>38</v>
          </cell>
          <cell r="O1134">
            <v>41334</v>
          </cell>
          <cell r="R1134" t="str">
            <v/>
          </cell>
          <cell r="T1134" t="str">
            <v>60 - 00012B41334</v>
          </cell>
        </row>
        <row r="1135">
          <cell r="H1135">
            <v>0</v>
          </cell>
          <cell r="O1135">
            <v>41334</v>
          </cell>
          <cell r="R1135" t="str">
            <v/>
          </cell>
          <cell r="T1135" t="str">
            <v>60 - 00012B41334</v>
          </cell>
        </row>
        <row r="1136">
          <cell r="H1136">
            <v>0</v>
          </cell>
          <cell r="O1136">
            <v>41334</v>
          </cell>
          <cell r="R1136" t="str">
            <v>41334WACOMAGA</v>
          </cell>
          <cell r="T1136" t="str">
            <v>60 - 00012R41334</v>
          </cell>
        </row>
        <row r="1137">
          <cell r="H1137">
            <v>0</v>
          </cell>
          <cell r="O1137">
            <v>41334</v>
          </cell>
          <cell r="R1137" t="str">
            <v>41334WACOMAGA</v>
          </cell>
          <cell r="T1137" t="str">
            <v>60 - 00012R41334</v>
          </cell>
        </row>
        <row r="1138">
          <cell r="H1138">
            <v>0</v>
          </cell>
          <cell r="O1138">
            <v>41334</v>
          </cell>
          <cell r="R1138" t="str">
            <v>41334WACOMAGA</v>
          </cell>
          <cell r="T1138" t="str">
            <v>60 - 00012R41334</v>
          </cell>
        </row>
        <row r="1139">
          <cell r="H1139">
            <v>0</v>
          </cell>
          <cell r="O1139">
            <v>41334</v>
          </cell>
          <cell r="R1139" t="str">
            <v>41334WACOMAGA</v>
          </cell>
          <cell r="T1139" t="str">
            <v>60 - 00012R41334</v>
          </cell>
        </row>
        <row r="1140">
          <cell r="H1140">
            <v>0</v>
          </cell>
          <cell r="O1140">
            <v>41334</v>
          </cell>
          <cell r="R1140" t="str">
            <v>41334WACOMAGA</v>
          </cell>
          <cell r="T1140" t="str">
            <v>60 - 00012R41334</v>
          </cell>
        </row>
        <row r="1141">
          <cell r="H1141">
            <v>0</v>
          </cell>
          <cell r="O1141">
            <v>41334</v>
          </cell>
          <cell r="R1141" t="str">
            <v>41334WACOMAGA</v>
          </cell>
          <cell r="T1141" t="str">
            <v>60 - 00012R41334</v>
          </cell>
        </row>
        <row r="1142">
          <cell r="H1142">
            <v>37882340</v>
          </cell>
          <cell r="O1142">
            <v>41334</v>
          </cell>
          <cell r="R1142" t="str">
            <v>41334WACOM24</v>
          </cell>
          <cell r="T1142" t="str">
            <v>60 - 00012R41334</v>
          </cell>
        </row>
        <row r="1143">
          <cell r="H1143">
            <v>92917</v>
          </cell>
          <cell r="O1143">
            <v>41334</v>
          </cell>
          <cell r="R1143" t="str">
            <v>41334WACOM24</v>
          </cell>
          <cell r="T1143" t="str">
            <v>60 - 00012R41334</v>
          </cell>
        </row>
        <row r="1144">
          <cell r="H1144">
            <v>54384498</v>
          </cell>
          <cell r="O1144">
            <v>41334</v>
          </cell>
          <cell r="R1144" t="str">
            <v>41334WACOM36</v>
          </cell>
          <cell r="T1144" t="str">
            <v>60 - 00012R41334</v>
          </cell>
        </row>
        <row r="1145">
          <cell r="H1145">
            <v>13296540</v>
          </cell>
          <cell r="O1145">
            <v>41334</v>
          </cell>
          <cell r="R1145" t="str">
            <v>41334WACOM48T</v>
          </cell>
          <cell r="T1145" t="str">
            <v>60 - 00012R41334</v>
          </cell>
        </row>
        <row r="1146">
          <cell r="H1146">
            <v>0</v>
          </cell>
          <cell r="O1146">
            <v>41334</v>
          </cell>
          <cell r="R1146" t="str">
            <v>41334WACOMAGA</v>
          </cell>
          <cell r="T1146" t="str">
            <v>60 - 00012R41334</v>
          </cell>
        </row>
        <row r="1147">
          <cell r="H1147">
            <v>0</v>
          </cell>
          <cell r="O1147">
            <v>41334</v>
          </cell>
          <cell r="R1147" t="str">
            <v>41334WACOMAGA</v>
          </cell>
          <cell r="T1147" t="str">
            <v>60 - 00012R41334</v>
          </cell>
        </row>
        <row r="1148">
          <cell r="H1148">
            <v>0</v>
          </cell>
          <cell r="O1148">
            <v>41334</v>
          </cell>
          <cell r="R1148" t="str">
            <v>41334WACOMAGA</v>
          </cell>
          <cell r="T1148" t="str">
            <v>60 - 00012R41334</v>
          </cell>
        </row>
        <row r="1149">
          <cell r="H1149">
            <v>0</v>
          </cell>
          <cell r="O1149">
            <v>41334</v>
          </cell>
          <cell r="R1149" t="str">
            <v>41334WACOMAGA</v>
          </cell>
          <cell r="T1149" t="str">
            <v>60 - 00012R41334</v>
          </cell>
        </row>
        <row r="1150">
          <cell r="H1150">
            <v>0</v>
          </cell>
          <cell r="O1150">
            <v>41334</v>
          </cell>
          <cell r="R1150" t="str">
            <v>41334WACOMAGA</v>
          </cell>
          <cell r="T1150" t="str">
            <v>60 - 00012R41334</v>
          </cell>
        </row>
        <row r="1151">
          <cell r="H1151">
            <v>131806</v>
          </cell>
          <cell r="O1151">
            <v>41334</v>
          </cell>
          <cell r="R1151" t="str">
            <v>41334WACOM15</v>
          </cell>
          <cell r="T1151" t="str">
            <v>60 - 00012R41334</v>
          </cell>
        </row>
        <row r="1152">
          <cell r="H1152">
            <v>44939</v>
          </cell>
          <cell r="O1152">
            <v>41334</v>
          </cell>
          <cell r="R1152" t="str">
            <v>41334WACOM54</v>
          </cell>
          <cell r="T1152" t="str">
            <v>60 - 00012R41334</v>
          </cell>
        </row>
        <row r="1153">
          <cell r="H1153">
            <v>0</v>
          </cell>
          <cell r="O1153">
            <v>41334</v>
          </cell>
          <cell r="R1153" t="str">
            <v>41334WACOMAGA</v>
          </cell>
          <cell r="T1153" t="str">
            <v>60 - 00012R41334</v>
          </cell>
        </row>
        <row r="1154">
          <cell r="H1154">
            <v>57062</v>
          </cell>
          <cell r="O1154">
            <v>41334</v>
          </cell>
          <cell r="R1154" t="str">
            <v>41334WACOM24</v>
          </cell>
          <cell r="T1154" t="str">
            <v>60 - 00012R41334</v>
          </cell>
        </row>
        <row r="1155">
          <cell r="H1155">
            <v>2990770</v>
          </cell>
          <cell r="O1155">
            <v>41334</v>
          </cell>
          <cell r="R1155" t="str">
            <v>41334WACOM24</v>
          </cell>
          <cell r="T1155" t="str">
            <v>60 - 00012R41334</v>
          </cell>
        </row>
        <row r="1156">
          <cell r="H1156">
            <v>18692</v>
          </cell>
          <cell r="O1156">
            <v>41334</v>
          </cell>
          <cell r="R1156" t="str">
            <v>41334WACOM24</v>
          </cell>
          <cell r="T1156" t="str">
            <v>60 - 00012R41334</v>
          </cell>
        </row>
        <row r="1157">
          <cell r="H1157">
            <v>6266090</v>
          </cell>
          <cell r="O1157">
            <v>41334</v>
          </cell>
          <cell r="R1157" t="str">
            <v>41334WACOM36</v>
          </cell>
          <cell r="T1157" t="str">
            <v>60 - 00012R41334</v>
          </cell>
        </row>
        <row r="1158">
          <cell r="H1158">
            <v>47437</v>
          </cell>
          <cell r="O1158">
            <v>41334</v>
          </cell>
          <cell r="R1158" t="str">
            <v>41334WACOM15</v>
          </cell>
          <cell r="T1158" t="str">
            <v>60 - 00012R41334</v>
          </cell>
        </row>
        <row r="1159">
          <cell r="H1159">
            <v>72</v>
          </cell>
          <cell r="O1159">
            <v>41334</v>
          </cell>
          <cell r="R1159" t="str">
            <v>41334WACOM24</v>
          </cell>
          <cell r="T1159" t="str">
            <v>60 - 00012R41334</v>
          </cell>
        </row>
        <row r="1160">
          <cell r="H1160">
            <v>0</v>
          </cell>
          <cell r="O1160">
            <v>41334</v>
          </cell>
          <cell r="R1160" t="str">
            <v>41334WACOMAGA</v>
          </cell>
          <cell r="T1160" t="str">
            <v>60 - 00012R41334</v>
          </cell>
        </row>
        <row r="1161">
          <cell r="H1161">
            <v>97840</v>
          </cell>
          <cell r="O1161">
            <v>41334</v>
          </cell>
          <cell r="R1161" t="str">
            <v>41334WACOM36</v>
          </cell>
          <cell r="T1161" t="str">
            <v>60 - 00012R41334</v>
          </cell>
        </row>
        <row r="1162">
          <cell r="H1162">
            <v>0</v>
          </cell>
          <cell r="O1162">
            <v>41334</v>
          </cell>
          <cell r="R1162" t="str">
            <v>41334WACOMAGA</v>
          </cell>
          <cell r="T1162" t="str">
            <v>60 - 00012R41334</v>
          </cell>
        </row>
        <row r="1163">
          <cell r="H1163">
            <v>-4826000</v>
          </cell>
          <cell r="O1163">
            <v>41334</v>
          </cell>
          <cell r="R1163" t="str">
            <v>41334WACOM88</v>
          </cell>
          <cell r="T1163" t="str">
            <v>60 - 00012U41334</v>
          </cell>
        </row>
        <row r="1164">
          <cell r="H1164">
            <v>0</v>
          </cell>
          <cell r="O1164">
            <v>41334</v>
          </cell>
          <cell r="R1164" t="str">
            <v/>
          </cell>
          <cell r="T1164" t="str">
            <v>60 - 00012B41334</v>
          </cell>
        </row>
        <row r="1165">
          <cell r="H1165">
            <v>97201</v>
          </cell>
          <cell r="O1165">
            <v>41334</v>
          </cell>
          <cell r="R1165" t="str">
            <v/>
          </cell>
          <cell r="T1165" t="str">
            <v>60 - 00012B41334</v>
          </cell>
        </row>
        <row r="1166">
          <cell r="H1166">
            <v>1126</v>
          </cell>
          <cell r="O1166">
            <v>41334</v>
          </cell>
          <cell r="R1166" t="str">
            <v/>
          </cell>
          <cell r="T1166" t="str">
            <v>60 - 00012B41334</v>
          </cell>
        </row>
        <row r="1167">
          <cell r="H1167">
            <v>137700</v>
          </cell>
          <cell r="O1167">
            <v>41334</v>
          </cell>
          <cell r="R1167" t="str">
            <v/>
          </cell>
          <cell r="T1167" t="str">
            <v>60 - 00012B41334</v>
          </cell>
        </row>
        <row r="1168">
          <cell r="H1168">
            <v>2380</v>
          </cell>
          <cell r="O1168">
            <v>41334</v>
          </cell>
          <cell r="R1168" t="str">
            <v/>
          </cell>
          <cell r="T1168" t="str">
            <v>60 - 00012B41334</v>
          </cell>
        </row>
        <row r="1169">
          <cell r="H1169">
            <v>0</v>
          </cell>
          <cell r="O1169">
            <v>41334</v>
          </cell>
          <cell r="R1169" t="str">
            <v/>
          </cell>
          <cell r="T1169" t="str">
            <v>60 - 00012B41334</v>
          </cell>
        </row>
        <row r="1170">
          <cell r="H1170">
            <v>0</v>
          </cell>
          <cell r="O1170">
            <v>41334</v>
          </cell>
          <cell r="R1170" t="str">
            <v>41334WAINDAGA</v>
          </cell>
          <cell r="T1170" t="str">
            <v>60 - 00012R41334</v>
          </cell>
        </row>
        <row r="1171">
          <cell r="H1171">
            <v>0</v>
          </cell>
          <cell r="O1171">
            <v>41334</v>
          </cell>
          <cell r="R1171" t="str">
            <v>41334WAINDAGA</v>
          </cell>
          <cell r="T1171" t="str">
            <v>60 - 00012R41334</v>
          </cell>
        </row>
        <row r="1172">
          <cell r="H1172">
            <v>0</v>
          </cell>
          <cell r="O1172">
            <v>41334</v>
          </cell>
          <cell r="R1172" t="str">
            <v>41334WAINDAGA</v>
          </cell>
          <cell r="T1172" t="str">
            <v>60 - 00012R41334</v>
          </cell>
        </row>
        <row r="1173">
          <cell r="H1173">
            <v>0</v>
          </cell>
          <cell r="O1173">
            <v>41334</v>
          </cell>
          <cell r="R1173" t="str">
            <v>41334WAINDAGA</v>
          </cell>
          <cell r="T1173" t="str">
            <v>60 - 00012R41334</v>
          </cell>
        </row>
        <row r="1174">
          <cell r="H1174">
            <v>0</v>
          </cell>
          <cell r="O1174">
            <v>41334</v>
          </cell>
          <cell r="R1174" t="str">
            <v>41334WAINDAGA</v>
          </cell>
          <cell r="T1174" t="str">
            <v>60 - 00012R41334</v>
          </cell>
        </row>
        <row r="1175">
          <cell r="H1175">
            <v>1482475</v>
          </cell>
          <cell r="O1175">
            <v>41334</v>
          </cell>
          <cell r="R1175" t="str">
            <v>41334WAIND24</v>
          </cell>
          <cell r="T1175" t="str">
            <v>60 - 00012R41334</v>
          </cell>
        </row>
        <row r="1176">
          <cell r="H1176">
            <v>2776</v>
          </cell>
          <cell r="O1176">
            <v>41334</v>
          </cell>
          <cell r="R1176" t="str">
            <v>41334WAIND24</v>
          </cell>
          <cell r="T1176" t="str">
            <v>60 - 00012R41334</v>
          </cell>
        </row>
        <row r="1177">
          <cell r="H1177">
            <v>8172120</v>
          </cell>
          <cell r="O1177">
            <v>41334</v>
          </cell>
          <cell r="R1177" t="str">
            <v>41334WAIND36</v>
          </cell>
          <cell r="T1177" t="str">
            <v>60 - 00012R41334</v>
          </cell>
        </row>
        <row r="1178">
          <cell r="H1178">
            <v>55709000</v>
          </cell>
          <cell r="O1178">
            <v>41334</v>
          </cell>
          <cell r="R1178" t="str">
            <v>41334WAIND48T</v>
          </cell>
          <cell r="T1178" t="str">
            <v>60 - 00012R41334</v>
          </cell>
        </row>
        <row r="1179">
          <cell r="H1179">
            <v>10058</v>
          </cell>
          <cell r="O1179">
            <v>41334</v>
          </cell>
          <cell r="R1179" t="str">
            <v>41334WAIND15</v>
          </cell>
          <cell r="T1179" t="str">
            <v>60 - 00012R41334</v>
          </cell>
        </row>
        <row r="1180">
          <cell r="H1180">
            <v>84000</v>
          </cell>
          <cell r="O1180">
            <v>41334</v>
          </cell>
          <cell r="R1180" t="str">
            <v>41334WAIND47</v>
          </cell>
          <cell r="T1180" t="str">
            <v>60 - 00012R41334</v>
          </cell>
        </row>
        <row r="1181">
          <cell r="H1181">
            <v>97201</v>
          </cell>
          <cell r="O1181">
            <v>41334</v>
          </cell>
          <cell r="R1181" t="str">
            <v>41334WAIND24</v>
          </cell>
          <cell r="T1181" t="str">
            <v>60 - 00012R41334</v>
          </cell>
        </row>
        <row r="1182">
          <cell r="H1182">
            <v>1126</v>
          </cell>
          <cell r="O1182">
            <v>41334</v>
          </cell>
          <cell r="R1182" t="str">
            <v>41334WAIND24</v>
          </cell>
          <cell r="T1182" t="str">
            <v>60 - 00012R41334</v>
          </cell>
        </row>
        <row r="1183">
          <cell r="H1183">
            <v>137700</v>
          </cell>
          <cell r="O1183">
            <v>41334</v>
          </cell>
          <cell r="R1183" t="str">
            <v>41334WAIND36</v>
          </cell>
          <cell r="T1183" t="str">
            <v>60 - 00012R41334</v>
          </cell>
        </row>
        <row r="1184">
          <cell r="H1184">
            <v>2380</v>
          </cell>
          <cell r="O1184">
            <v>41334</v>
          </cell>
          <cell r="R1184" t="str">
            <v>41334WAIND15</v>
          </cell>
          <cell r="T1184" t="str">
            <v>60 - 00012R41334</v>
          </cell>
        </row>
        <row r="1185">
          <cell r="H1185">
            <v>0</v>
          </cell>
          <cell r="O1185">
            <v>41334</v>
          </cell>
          <cell r="R1185" t="str">
            <v>41334WAINDAGA</v>
          </cell>
          <cell r="T1185" t="str">
            <v>60 - 00012R41334</v>
          </cell>
        </row>
        <row r="1186">
          <cell r="H1186">
            <v>-1173000</v>
          </cell>
          <cell r="O1186">
            <v>41334</v>
          </cell>
          <cell r="R1186" t="str">
            <v>41334WAIND88</v>
          </cell>
          <cell r="T1186" t="str">
            <v>60 - 00012U41334</v>
          </cell>
        </row>
        <row r="1187">
          <cell r="H1187">
            <v>0</v>
          </cell>
          <cell r="O1187">
            <v>41334</v>
          </cell>
          <cell r="R1187" t="str">
            <v/>
          </cell>
          <cell r="T1187" t="str">
            <v>60 - 00012B41334</v>
          </cell>
        </row>
        <row r="1188">
          <cell r="H1188">
            <v>1112304</v>
          </cell>
          <cell r="O1188">
            <v>41334</v>
          </cell>
          <cell r="R1188" t="str">
            <v/>
          </cell>
          <cell r="T1188" t="str">
            <v>60 - 00012B41334</v>
          </cell>
        </row>
        <row r="1189">
          <cell r="H1189">
            <v>0</v>
          </cell>
          <cell r="O1189">
            <v>41334</v>
          </cell>
          <cell r="R1189" t="str">
            <v/>
          </cell>
          <cell r="T1189" t="str">
            <v>60 - 00012B41334</v>
          </cell>
        </row>
        <row r="1190">
          <cell r="H1190">
            <v>0</v>
          </cell>
          <cell r="O1190">
            <v>41334</v>
          </cell>
          <cell r="R1190" t="str">
            <v/>
          </cell>
          <cell r="T1190" t="str">
            <v>60 - 00012B41334</v>
          </cell>
        </row>
        <row r="1191">
          <cell r="H1191">
            <v>0</v>
          </cell>
          <cell r="O1191">
            <v>41334</v>
          </cell>
          <cell r="R1191" t="str">
            <v>41334WAINDAGA</v>
          </cell>
          <cell r="T1191" t="str">
            <v>60 - 00012R41334</v>
          </cell>
        </row>
        <row r="1192">
          <cell r="H1192">
            <v>0</v>
          </cell>
          <cell r="O1192">
            <v>41334</v>
          </cell>
          <cell r="R1192" t="str">
            <v>41334WAINDAGA</v>
          </cell>
          <cell r="T1192" t="str">
            <v>60 - 00012R41334</v>
          </cell>
        </row>
        <row r="1193">
          <cell r="H1193">
            <v>0</v>
          </cell>
          <cell r="O1193">
            <v>41334</v>
          </cell>
          <cell r="R1193" t="str">
            <v>41334WAINDAGA</v>
          </cell>
          <cell r="T1193" t="str">
            <v>60 - 00012R41334</v>
          </cell>
        </row>
        <row r="1194">
          <cell r="H1194">
            <v>0</v>
          </cell>
          <cell r="O1194">
            <v>41334</v>
          </cell>
          <cell r="R1194" t="str">
            <v>41334WAINDAGA</v>
          </cell>
          <cell r="T1194" t="str">
            <v>60 - 00012R41334</v>
          </cell>
        </row>
        <row r="1195">
          <cell r="H1195">
            <v>0</v>
          </cell>
          <cell r="O1195">
            <v>41334</v>
          </cell>
          <cell r="R1195" t="str">
            <v>41334WAINDAGA</v>
          </cell>
          <cell r="T1195" t="str">
            <v>60 - 00012R41334</v>
          </cell>
        </row>
        <row r="1196">
          <cell r="H1196">
            <v>1112413</v>
          </cell>
          <cell r="O1196">
            <v>41334</v>
          </cell>
          <cell r="R1196" t="str">
            <v>41334WAIND40</v>
          </cell>
          <cell r="T1196" t="str">
            <v>60 - 00012R41334</v>
          </cell>
        </row>
        <row r="1197">
          <cell r="H1197">
            <v>28262</v>
          </cell>
          <cell r="O1197">
            <v>41334</v>
          </cell>
          <cell r="R1197" t="str">
            <v>41334WAIND40</v>
          </cell>
          <cell r="T1197" t="str">
            <v>60 - 00012R41334</v>
          </cell>
        </row>
        <row r="1198">
          <cell r="H1198">
            <v>0</v>
          </cell>
          <cell r="O1198">
            <v>41334</v>
          </cell>
          <cell r="R1198" t="str">
            <v>41334WAINDAGA</v>
          </cell>
          <cell r="T1198" t="str">
            <v>60 - 00012R41334</v>
          </cell>
        </row>
        <row r="1199">
          <cell r="H1199">
            <v>0</v>
          </cell>
          <cell r="O1199">
            <v>41334</v>
          </cell>
          <cell r="R1199" t="str">
            <v>41334WAINDAGA</v>
          </cell>
          <cell r="T1199" t="str">
            <v>60 - 00012R41334</v>
          </cell>
        </row>
        <row r="1200">
          <cell r="H1200">
            <v>0</v>
          </cell>
          <cell r="O1200">
            <v>41334</v>
          </cell>
          <cell r="R1200" t="str">
            <v>41334WAINDAGA</v>
          </cell>
          <cell r="T1200" t="str">
            <v>60 - 00012R41334</v>
          </cell>
        </row>
        <row r="1201">
          <cell r="H1201">
            <v>0</v>
          </cell>
          <cell r="O1201">
            <v>41334</v>
          </cell>
          <cell r="R1201" t="str">
            <v>41334WAINDAGA</v>
          </cell>
          <cell r="T1201" t="str">
            <v>60 - 00012R41334</v>
          </cell>
        </row>
        <row r="1202">
          <cell r="H1202">
            <v>0</v>
          </cell>
          <cell r="O1202">
            <v>41334</v>
          </cell>
          <cell r="R1202" t="str">
            <v>41334WAINDAGA</v>
          </cell>
          <cell r="T1202" t="str">
            <v>60 - 00012R41334</v>
          </cell>
        </row>
        <row r="1203">
          <cell r="H1203">
            <v>0</v>
          </cell>
          <cell r="O1203">
            <v>41334</v>
          </cell>
          <cell r="R1203" t="str">
            <v>41334WAINDAGA</v>
          </cell>
          <cell r="T1203" t="str">
            <v>60 - 00012R41334</v>
          </cell>
        </row>
        <row r="1204">
          <cell r="H1204">
            <v>0</v>
          </cell>
          <cell r="O1204">
            <v>41334</v>
          </cell>
          <cell r="R1204" t="str">
            <v>41334WAINDAGA</v>
          </cell>
          <cell r="T1204" t="str">
            <v>60 - 00012R41334</v>
          </cell>
        </row>
        <row r="1205">
          <cell r="H1205">
            <v>0</v>
          </cell>
          <cell r="O1205">
            <v>41334</v>
          </cell>
          <cell r="R1205" t="str">
            <v>41334WAIND40</v>
          </cell>
          <cell r="T1205" t="str">
            <v>60 - 00012R41334</v>
          </cell>
        </row>
        <row r="1206">
          <cell r="H1206">
            <v>0</v>
          </cell>
          <cell r="O1206">
            <v>41334</v>
          </cell>
          <cell r="R1206" t="str">
            <v>41334WAINDAGA</v>
          </cell>
          <cell r="T1206" t="str">
            <v>60 - 00012R41334</v>
          </cell>
        </row>
        <row r="1207">
          <cell r="H1207">
            <v>-96000</v>
          </cell>
          <cell r="O1207">
            <v>41334</v>
          </cell>
          <cell r="R1207" t="str">
            <v>41334WAIND89</v>
          </cell>
          <cell r="T1207" t="str">
            <v>60 - 00012U41334</v>
          </cell>
        </row>
        <row r="1208">
          <cell r="H1208">
            <v>0</v>
          </cell>
          <cell r="O1208">
            <v>41334</v>
          </cell>
          <cell r="R1208" t="str">
            <v>41334WAPSHAGA</v>
          </cell>
          <cell r="T1208" t="str">
            <v>60 - 00012R41334</v>
          </cell>
        </row>
        <row r="1209">
          <cell r="H1209">
            <v>0</v>
          </cell>
          <cell r="O1209">
            <v>41334</v>
          </cell>
          <cell r="R1209" t="str">
            <v>41334WAPSHAGA</v>
          </cell>
          <cell r="T1209" t="str">
            <v>60 - 00012R41334</v>
          </cell>
        </row>
        <row r="1210">
          <cell r="H1210">
            <v>0</v>
          </cell>
          <cell r="O1210">
            <v>41334</v>
          </cell>
          <cell r="R1210" t="str">
            <v>41334WAPSHAGA</v>
          </cell>
          <cell r="T1210" t="str">
            <v>60 - 00012R41334</v>
          </cell>
        </row>
        <row r="1211">
          <cell r="H1211">
            <v>0</v>
          </cell>
          <cell r="O1211">
            <v>41334</v>
          </cell>
          <cell r="R1211" t="str">
            <v>41334WAPSHAGA</v>
          </cell>
          <cell r="T1211" t="str">
            <v>60 - 00012R41334</v>
          </cell>
        </row>
        <row r="1212">
          <cell r="H1212">
            <v>18326</v>
          </cell>
          <cell r="O1212">
            <v>41334</v>
          </cell>
          <cell r="R1212" t="str">
            <v>41334WAPSH52</v>
          </cell>
          <cell r="T1212" t="str">
            <v>60 - 00012R41334</v>
          </cell>
        </row>
        <row r="1213">
          <cell r="H1213">
            <v>289026</v>
          </cell>
          <cell r="O1213">
            <v>41334</v>
          </cell>
          <cell r="R1213" t="str">
            <v>41334WAPSH53</v>
          </cell>
          <cell r="T1213" t="str">
            <v>60 - 00012R41334</v>
          </cell>
        </row>
        <row r="1214">
          <cell r="H1214">
            <v>104552</v>
          </cell>
          <cell r="O1214">
            <v>41334</v>
          </cell>
          <cell r="R1214" t="str">
            <v>41334WAPSH53</v>
          </cell>
          <cell r="T1214" t="str">
            <v>60 - 00012R41334</v>
          </cell>
        </row>
        <row r="1215">
          <cell r="H1215">
            <v>293789</v>
          </cell>
          <cell r="O1215">
            <v>41334</v>
          </cell>
          <cell r="R1215" t="str">
            <v>41334WAPSH51</v>
          </cell>
          <cell r="T1215" t="str">
            <v>60 - 00012R41334</v>
          </cell>
        </row>
        <row r="1216">
          <cell r="H1216">
            <v>161932</v>
          </cell>
          <cell r="O1216">
            <v>41334</v>
          </cell>
          <cell r="R1216" t="str">
            <v>41334WAPSH57</v>
          </cell>
          <cell r="T1216" t="str">
            <v>60 - 00012R41334</v>
          </cell>
        </row>
        <row r="1217">
          <cell r="H1217">
            <v>0</v>
          </cell>
          <cell r="O1217">
            <v>41334</v>
          </cell>
          <cell r="R1217" t="str">
            <v>41334WAPSHAGA</v>
          </cell>
          <cell r="T1217" t="str">
            <v>60 - 00012R41334</v>
          </cell>
        </row>
        <row r="1218">
          <cell r="H1218">
            <v>7000</v>
          </cell>
          <cell r="O1218">
            <v>41334</v>
          </cell>
          <cell r="R1218" t="str">
            <v>41334WAPSH88</v>
          </cell>
          <cell r="T1218" t="str">
            <v>60 - 00012U41334</v>
          </cell>
        </row>
        <row r="1219">
          <cell r="H1219">
            <v>0</v>
          </cell>
          <cell r="O1219">
            <v>41365</v>
          </cell>
          <cell r="R1219" t="str">
            <v/>
          </cell>
          <cell r="T1219" t="str">
            <v>60 - 00016R41365</v>
          </cell>
        </row>
        <row r="1220">
          <cell r="H1220">
            <v>0</v>
          </cell>
          <cell r="O1220">
            <v>41365</v>
          </cell>
          <cell r="R1220" t="str">
            <v/>
          </cell>
          <cell r="T1220" t="str">
            <v>60 - 00016R41365</v>
          </cell>
        </row>
        <row r="1221">
          <cell r="H1221">
            <v>0</v>
          </cell>
          <cell r="O1221">
            <v>41365</v>
          </cell>
          <cell r="R1221" t="str">
            <v/>
          </cell>
          <cell r="T1221" t="str">
            <v>60 - 00016R41365</v>
          </cell>
        </row>
        <row r="1222">
          <cell r="H1222">
            <v>0</v>
          </cell>
          <cell r="O1222">
            <v>41365</v>
          </cell>
          <cell r="R1222" t="str">
            <v/>
          </cell>
          <cell r="T1222" t="str">
            <v>60 - 00016R41365</v>
          </cell>
        </row>
        <row r="1223">
          <cell r="H1223">
            <v>0</v>
          </cell>
          <cell r="O1223">
            <v>41365</v>
          </cell>
          <cell r="R1223" t="str">
            <v/>
          </cell>
          <cell r="T1223" t="str">
            <v>60 - 00016R41365</v>
          </cell>
        </row>
        <row r="1224">
          <cell r="H1224">
            <v>0</v>
          </cell>
          <cell r="O1224">
            <v>41365</v>
          </cell>
          <cell r="R1224" t="str">
            <v/>
          </cell>
          <cell r="T1224" t="str">
            <v>60 - 00016R41365</v>
          </cell>
        </row>
        <row r="1225">
          <cell r="H1225">
            <v>25929</v>
          </cell>
          <cell r="O1225">
            <v>41365</v>
          </cell>
          <cell r="R1225" t="str">
            <v/>
          </cell>
          <cell r="T1225" t="str">
            <v>60 - 00016R41365</v>
          </cell>
        </row>
        <row r="1226">
          <cell r="H1226">
            <v>9367533</v>
          </cell>
          <cell r="O1226">
            <v>41365</v>
          </cell>
          <cell r="R1226" t="str">
            <v/>
          </cell>
          <cell r="T1226" t="str">
            <v>60 - 00016R41365</v>
          </cell>
        </row>
        <row r="1227">
          <cell r="H1227">
            <v>14253018</v>
          </cell>
          <cell r="O1227">
            <v>41365</v>
          </cell>
          <cell r="R1227" t="str">
            <v/>
          </cell>
          <cell r="T1227" t="str">
            <v>60 - 00016R41365</v>
          </cell>
        </row>
        <row r="1228">
          <cell r="H1228">
            <v>0</v>
          </cell>
          <cell r="O1228">
            <v>41365</v>
          </cell>
          <cell r="R1228" t="str">
            <v/>
          </cell>
          <cell r="T1228" t="str">
            <v>60 - 00016R41365</v>
          </cell>
        </row>
        <row r="1229">
          <cell r="H1229">
            <v>51073</v>
          </cell>
          <cell r="O1229">
            <v>41365</v>
          </cell>
          <cell r="R1229" t="str">
            <v/>
          </cell>
          <cell r="T1229" t="str">
            <v>60 - 00016R41365</v>
          </cell>
        </row>
        <row r="1230">
          <cell r="H1230">
            <v>7794798</v>
          </cell>
          <cell r="O1230">
            <v>41365</v>
          </cell>
          <cell r="R1230" t="str">
            <v/>
          </cell>
          <cell r="T1230" t="str">
            <v>60 - 00016R41365</v>
          </cell>
        </row>
        <row r="1231">
          <cell r="H1231">
            <v>0</v>
          </cell>
          <cell r="O1231">
            <v>41365</v>
          </cell>
          <cell r="R1231" t="str">
            <v/>
          </cell>
          <cell r="T1231" t="str">
            <v>60 - 00016R41365</v>
          </cell>
        </row>
        <row r="1232">
          <cell r="H1232">
            <v>21718</v>
          </cell>
          <cell r="O1232">
            <v>41365</v>
          </cell>
          <cell r="R1232" t="str">
            <v/>
          </cell>
          <cell r="T1232" t="str">
            <v>60 - 00016R41365</v>
          </cell>
        </row>
        <row r="1233">
          <cell r="H1233">
            <v>95477</v>
          </cell>
          <cell r="O1233">
            <v>41365</v>
          </cell>
          <cell r="R1233" t="str">
            <v/>
          </cell>
          <cell r="T1233" t="str">
            <v>60 - 00016R41365</v>
          </cell>
        </row>
        <row r="1234">
          <cell r="H1234">
            <v>71573</v>
          </cell>
          <cell r="O1234">
            <v>41365</v>
          </cell>
          <cell r="R1234" t="str">
            <v/>
          </cell>
          <cell r="T1234" t="str">
            <v>60 - 00016R41365</v>
          </cell>
        </row>
        <row r="1235">
          <cell r="H1235">
            <v>0</v>
          </cell>
          <cell r="O1235">
            <v>41365</v>
          </cell>
          <cell r="R1235" t="str">
            <v/>
          </cell>
          <cell r="T1235" t="str">
            <v>60 - 00016R41365</v>
          </cell>
        </row>
        <row r="1236">
          <cell r="H1236">
            <v>-1118000</v>
          </cell>
          <cell r="O1236">
            <v>41365</v>
          </cell>
          <cell r="R1236" t="str">
            <v/>
          </cell>
          <cell r="T1236" t="str">
            <v>60 - 00016U41365</v>
          </cell>
        </row>
        <row r="1237">
          <cell r="H1237">
            <v>0</v>
          </cell>
          <cell r="O1237">
            <v>41365</v>
          </cell>
          <cell r="R1237" t="str">
            <v/>
          </cell>
          <cell r="T1237" t="str">
            <v>60 - 00016R41365</v>
          </cell>
        </row>
        <row r="1238">
          <cell r="H1238">
            <v>0</v>
          </cell>
          <cell r="O1238">
            <v>41365</v>
          </cell>
          <cell r="R1238" t="str">
            <v/>
          </cell>
          <cell r="T1238" t="str">
            <v>60 - 00016R41365</v>
          </cell>
        </row>
        <row r="1239">
          <cell r="H1239">
            <v>0</v>
          </cell>
          <cell r="O1239">
            <v>41365</v>
          </cell>
          <cell r="R1239" t="str">
            <v/>
          </cell>
          <cell r="T1239" t="str">
            <v>60 - 00016R41365</v>
          </cell>
        </row>
        <row r="1240">
          <cell r="H1240">
            <v>0</v>
          </cell>
          <cell r="O1240">
            <v>41365</v>
          </cell>
          <cell r="R1240" t="str">
            <v/>
          </cell>
          <cell r="T1240" t="str">
            <v>60 - 00016R41365</v>
          </cell>
        </row>
        <row r="1241">
          <cell r="H1241">
            <v>0</v>
          </cell>
          <cell r="O1241">
            <v>41365</v>
          </cell>
          <cell r="R1241" t="str">
            <v/>
          </cell>
          <cell r="T1241" t="str">
            <v>60 - 00016R41365</v>
          </cell>
        </row>
        <row r="1242">
          <cell r="H1242">
            <v>0</v>
          </cell>
          <cell r="O1242">
            <v>41365</v>
          </cell>
          <cell r="R1242" t="str">
            <v/>
          </cell>
          <cell r="T1242" t="str">
            <v>60 - 00016R41365</v>
          </cell>
        </row>
        <row r="1243">
          <cell r="H1243">
            <v>6334474</v>
          </cell>
          <cell r="O1243">
            <v>41365</v>
          </cell>
          <cell r="R1243" t="str">
            <v/>
          </cell>
          <cell r="T1243" t="str">
            <v>60 - 00016R41365</v>
          </cell>
        </row>
        <row r="1244">
          <cell r="H1244">
            <v>4283671</v>
          </cell>
          <cell r="O1244">
            <v>41365</v>
          </cell>
          <cell r="R1244" t="str">
            <v/>
          </cell>
          <cell r="T1244" t="str">
            <v>60 - 00016R41365</v>
          </cell>
        </row>
        <row r="1245">
          <cell r="H1245">
            <v>71552</v>
          </cell>
          <cell r="O1245">
            <v>41365</v>
          </cell>
          <cell r="R1245" t="str">
            <v/>
          </cell>
          <cell r="T1245" t="str">
            <v>60 - 00016R41365</v>
          </cell>
        </row>
        <row r="1246">
          <cell r="H1246">
            <v>5612667</v>
          </cell>
          <cell r="O1246">
            <v>41365</v>
          </cell>
          <cell r="R1246" t="str">
            <v/>
          </cell>
          <cell r="T1246" t="str">
            <v>60 - 00016R41365</v>
          </cell>
        </row>
        <row r="1247">
          <cell r="H1247">
            <v>0</v>
          </cell>
          <cell r="O1247">
            <v>41365</v>
          </cell>
          <cell r="R1247" t="str">
            <v/>
          </cell>
          <cell r="T1247" t="str">
            <v>60 - 00016R41365</v>
          </cell>
        </row>
        <row r="1248">
          <cell r="H1248">
            <v>0</v>
          </cell>
          <cell r="O1248">
            <v>41365</v>
          </cell>
          <cell r="R1248" t="str">
            <v/>
          </cell>
          <cell r="T1248" t="str">
            <v>60 - 00016R41365</v>
          </cell>
        </row>
        <row r="1249">
          <cell r="H1249">
            <v>0</v>
          </cell>
          <cell r="O1249">
            <v>41365</v>
          </cell>
          <cell r="R1249" t="str">
            <v/>
          </cell>
          <cell r="T1249" t="str">
            <v>60 - 00016R41365</v>
          </cell>
        </row>
        <row r="1250">
          <cell r="H1250">
            <v>59216</v>
          </cell>
          <cell r="O1250">
            <v>41365</v>
          </cell>
          <cell r="R1250" t="str">
            <v/>
          </cell>
          <cell r="T1250" t="str">
            <v>60 - 00016R41365</v>
          </cell>
        </row>
        <row r="1251">
          <cell r="H1251">
            <v>6344</v>
          </cell>
          <cell r="O1251">
            <v>41365</v>
          </cell>
          <cell r="R1251" t="str">
            <v/>
          </cell>
          <cell r="T1251" t="str">
            <v>60 - 00016R41365</v>
          </cell>
        </row>
        <row r="1252">
          <cell r="H1252">
            <v>2792600</v>
          </cell>
          <cell r="O1252">
            <v>41365</v>
          </cell>
          <cell r="R1252" t="str">
            <v/>
          </cell>
          <cell r="T1252" t="str">
            <v>60 - 00016R41365</v>
          </cell>
        </row>
        <row r="1253">
          <cell r="H1253">
            <v>0</v>
          </cell>
          <cell r="O1253">
            <v>41365</v>
          </cell>
          <cell r="R1253" t="str">
            <v/>
          </cell>
          <cell r="T1253" t="str">
            <v>60 - 00016R41365</v>
          </cell>
        </row>
        <row r="1254">
          <cell r="H1254">
            <v>9337</v>
          </cell>
          <cell r="O1254">
            <v>41365</v>
          </cell>
          <cell r="R1254" t="str">
            <v/>
          </cell>
          <cell r="T1254" t="str">
            <v>60 - 00016R41365</v>
          </cell>
        </row>
        <row r="1255">
          <cell r="H1255">
            <v>43620</v>
          </cell>
          <cell r="O1255">
            <v>41365</v>
          </cell>
          <cell r="R1255" t="str">
            <v/>
          </cell>
          <cell r="T1255" t="str">
            <v>60 - 00016R41365</v>
          </cell>
        </row>
        <row r="1256">
          <cell r="H1256">
            <v>0</v>
          </cell>
          <cell r="O1256">
            <v>41365</v>
          </cell>
          <cell r="R1256" t="str">
            <v/>
          </cell>
          <cell r="T1256" t="str">
            <v>60 - 00016R41365</v>
          </cell>
        </row>
        <row r="1257">
          <cell r="H1257">
            <v>206400</v>
          </cell>
          <cell r="O1257">
            <v>41365</v>
          </cell>
          <cell r="R1257" t="str">
            <v/>
          </cell>
          <cell r="T1257" t="str">
            <v>60 - 00016R41365</v>
          </cell>
        </row>
        <row r="1258">
          <cell r="H1258">
            <v>0</v>
          </cell>
          <cell r="O1258">
            <v>41365</v>
          </cell>
          <cell r="R1258" t="str">
            <v/>
          </cell>
          <cell r="T1258" t="str">
            <v>60 - 00016R41365</v>
          </cell>
        </row>
        <row r="1259">
          <cell r="H1259">
            <v>76000</v>
          </cell>
          <cell r="O1259">
            <v>41365</v>
          </cell>
          <cell r="R1259" t="str">
            <v/>
          </cell>
          <cell r="T1259" t="str">
            <v>60 - 00016U41365</v>
          </cell>
        </row>
        <row r="1260">
          <cell r="H1260">
            <v>0</v>
          </cell>
          <cell r="O1260">
            <v>41365</v>
          </cell>
          <cell r="R1260" t="str">
            <v/>
          </cell>
          <cell r="T1260" t="str">
            <v>60 - 00016R41365</v>
          </cell>
        </row>
        <row r="1261">
          <cell r="H1261">
            <v>0</v>
          </cell>
          <cell r="O1261">
            <v>41365</v>
          </cell>
          <cell r="R1261" t="str">
            <v/>
          </cell>
          <cell r="T1261" t="str">
            <v>60 - 00016R41365</v>
          </cell>
        </row>
        <row r="1262">
          <cell r="H1262">
            <v>0</v>
          </cell>
          <cell r="O1262">
            <v>41365</v>
          </cell>
          <cell r="R1262" t="str">
            <v/>
          </cell>
          <cell r="T1262" t="str">
            <v>60 - 00016R41365</v>
          </cell>
        </row>
        <row r="1263">
          <cell r="H1263">
            <v>0</v>
          </cell>
          <cell r="O1263">
            <v>41365</v>
          </cell>
          <cell r="R1263" t="str">
            <v/>
          </cell>
          <cell r="T1263" t="str">
            <v>60 - 00016R41365</v>
          </cell>
        </row>
        <row r="1264">
          <cell r="H1264">
            <v>0</v>
          </cell>
          <cell r="O1264">
            <v>41365</v>
          </cell>
          <cell r="R1264" t="str">
            <v/>
          </cell>
          <cell r="T1264" t="str">
            <v>60 - 00016R41365</v>
          </cell>
        </row>
        <row r="1265">
          <cell r="H1265">
            <v>122352</v>
          </cell>
          <cell r="O1265">
            <v>41365</v>
          </cell>
          <cell r="R1265" t="str">
            <v/>
          </cell>
          <cell r="T1265" t="str">
            <v>60 - 00016R41365</v>
          </cell>
        </row>
        <row r="1266">
          <cell r="H1266">
            <v>48187</v>
          </cell>
          <cell r="O1266">
            <v>41365</v>
          </cell>
          <cell r="R1266" t="str">
            <v/>
          </cell>
          <cell r="T1266" t="str">
            <v>60 - 00016R41365</v>
          </cell>
        </row>
        <row r="1267">
          <cell r="H1267">
            <v>356440</v>
          </cell>
          <cell r="O1267">
            <v>41365</v>
          </cell>
          <cell r="R1267" t="str">
            <v/>
          </cell>
          <cell r="T1267" t="str">
            <v>60 - 00016R41365</v>
          </cell>
        </row>
        <row r="1268">
          <cell r="H1268">
            <v>3969460</v>
          </cell>
          <cell r="O1268">
            <v>41365</v>
          </cell>
          <cell r="R1268" t="str">
            <v/>
          </cell>
          <cell r="T1268" t="str">
            <v>60 - 00016R41365</v>
          </cell>
        </row>
        <row r="1269">
          <cell r="H1269">
            <v>0</v>
          </cell>
          <cell r="O1269">
            <v>41365</v>
          </cell>
          <cell r="R1269" t="str">
            <v/>
          </cell>
          <cell r="T1269" t="str">
            <v>60 - 00016R41365</v>
          </cell>
        </row>
        <row r="1270">
          <cell r="H1270">
            <v>434000</v>
          </cell>
          <cell r="O1270">
            <v>41365</v>
          </cell>
          <cell r="R1270" t="str">
            <v/>
          </cell>
          <cell r="T1270" t="str">
            <v>60 - 00016U41365</v>
          </cell>
        </row>
        <row r="1271">
          <cell r="H1271">
            <v>0</v>
          </cell>
          <cell r="O1271">
            <v>41365</v>
          </cell>
          <cell r="R1271" t="str">
            <v/>
          </cell>
          <cell r="T1271" t="str">
            <v>60 - 00016R41365</v>
          </cell>
        </row>
        <row r="1272">
          <cell r="H1272">
            <v>0</v>
          </cell>
          <cell r="O1272">
            <v>41365</v>
          </cell>
          <cell r="R1272" t="str">
            <v/>
          </cell>
          <cell r="T1272" t="str">
            <v>60 - 00016R41365</v>
          </cell>
        </row>
        <row r="1273">
          <cell r="H1273">
            <v>0</v>
          </cell>
          <cell r="O1273">
            <v>41365</v>
          </cell>
          <cell r="R1273" t="str">
            <v/>
          </cell>
          <cell r="T1273" t="str">
            <v>60 - 00016R41365</v>
          </cell>
        </row>
        <row r="1274">
          <cell r="H1274">
            <v>0</v>
          </cell>
          <cell r="O1274">
            <v>41365</v>
          </cell>
          <cell r="R1274" t="str">
            <v/>
          </cell>
          <cell r="T1274" t="str">
            <v>60 - 00016R41365</v>
          </cell>
        </row>
        <row r="1275">
          <cell r="H1275">
            <v>0</v>
          </cell>
          <cell r="O1275">
            <v>41365</v>
          </cell>
          <cell r="R1275" t="str">
            <v/>
          </cell>
          <cell r="T1275" t="str">
            <v>60 - 00016R41365</v>
          </cell>
        </row>
        <row r="1276">
          <cell r="H1276">
            <v>60467</v>
          </cell>
          <cell r="O1276">
            <v>41365</v>
          </cell>
          <cell r="R1276" t="str">
            <v/>
          </cell>
          <cell r="T1276" t="str">
            <v>60 - 00016R41365</v>
          </cell>
        </row>
        <row r="1277">
          <cell r="H1277">
            <v>0</v>
          </cell>
          <cell r="O1277">
            <v>41365</v>
          </cell>
          <cell r="R1277" t="str">
            <v/>
          </cell>
          <cell r="T1277" t="str">
            <v>60 - 00016R41365</v>
          </cell>
        </row>
        <row r="1278">
          <cell r="H1278">
            <v>0</v>
          </cell>
          <cell r="O1278">
            <v>41365</v>
          </cell>
          <cell r="R1278" t="str">
            <v/>
          </cell>
          <cell r="T1278" t="str">
            <v>60 - 00016R41365</v>
          </cell>
        </row>
        <row r="1279">
          <cell r="H1279">
            <v>551</v>
          </cell>
          <cell r="O1279">
            <v>41365</v>
          </cell>
          <cell r="R1279" t="str">
            <v/>
          </cell>
          <cell r="T1279" t="str">
            <v>60 - 00016R41365</v>
          </cell>
        </row>
        <row r="1280">
          <cell r="H1280">
            <v>0</v>
          </cell>
          <cell r="O1280">
            <v>41365</v>
          </cell>
          <cell r="R1280" t="str">
            <v/>
          </cell>
          <cell r="T1280" t="str">
            <v>60 - 00016R41365</v>
          </cell>
        </row>
        <row r="1281">
          <cell r="H1281">
            <v>0</v>
          </cell>
          <cell r="O1281">
            <v>41365</v>
          </cell>
          <cell r="R1281" t="str">
            <v/>
          </cell>
          <cell r="T1281" t="str">
            <v>60 - 00016R41365</v>
          </cell>
        </row>
        <row r="1282">
          <cell r="H1282">
            <v>111000</v>
          </cell>
          <cell r="O1282">
            <v>41365</v>
          </cell>
          <cell r="R1282" t="str">
            <v/>
          </cell>
          <cell r="T1282" t="str">
            <v>60 - 00016U41365</v>
          </cell>
        </row>
        <row r="1283">
          <cell r="H1283">
            <v>0</v>
          </cell>
          <cell r="O1283">
            <v>41365</v>
          </cell>
          <cell r="R1283" t="str">
            <v/>
          </cell>
          <cell r="T1283" t="str">
            <v>60 - 00016R41365</v>
          </cell>
        </row>
        <row r="1284">
          <cell r="H1284">
            <v>0</v>
          </cell>
          <cell r="O1284">
            <v>41365</v>
          </cell>
          <cell r="R1284" t="str">
            <v/>
          </cell>
          <cell r="T1284" t="str">
            <v>60 - 00016R41365</v>
          </cell>
        </row>
        <row r="1285">
          <cell r="H1285">
            <v>0</v>
          </cell>
          <cell r="O1285">
            <v>41365</v>
          </cell>
          <cell r="R1285" t="str">
            <v/>
          </cell>
          <cell r="T1285" t="str">
            <v>60 - 00016R41365</v>
          </cell>
        </row>
        <row r="1286">
          <cell r="H1286">
            <v>123231</v>
          </cell>
          <cell r="O1286">
            <v>41365</v>
          </cell>
          <cell r="R1286" t="str">
            <v/>
          </cell>
          <cell r="T1286" t="str">
            <v>60 - 00016R41365</v>
          </cell>
        </row>
        <row r="1287">
          <cell r="H1287">
            <v>20214</v>
          </cell>
          <cell r="O1287">
            <v>41365</v>
          </cell>
          <cell r="R1287" t="str">
            <v/>
          </cell>
          <cell r="T1287" t="str">
            <v>60 - 00016R41365</v>
          </cell>
        </row>
        <row r="1288">
          <cell r="H1288">
            <v>58480</v>
          </cell>
          <cell r="O1288">
            <v>41365</v>
          </cell>
          <cell r="R1288" t="str">
            <v/>
          </cell>
          <cell r="T1288" t="str">
            <v>60 - 00016R41365</v>
          </cell>
        </row>
        <row r="1289">
          <cell r="H1289">
            <v>0</v>
          </cell>
          <cell r="O1289">
            <v>41365</v>
          </cell>
          <cell r="R1289" t="str">
            <v/>
          </cell>
          <cell r="T1289" t="str">
            <v>60 - 00016R41365</v>
          </cell>
        </row>
        <row r="1290">
          <cell r="H1290">
            <v>-6000</v>
          </cell>
          <cell r="O1290">
            <v>41365</v>
          </cell>
          <cell r="R1290" t="str">
            <v/>
          </cell>
          <cell r="T1290" t="str">
            <v>60 - 00016U41365</v>
          </cell>
        </row>
        <row r="1291">
          <cell r="H1291">
            <v>0</v>
          </cell>
          <cell r="O1291">
            <v>41365</v>
          </cell>
          <cell r="R1291" t="str">
            <v/>
          </cell>
          <cell r="T1291" t="str">
            <v>60 - 00011B41365</v>
          </cell>
        </row>
        <row r="1292">
          <cell r="H1292">
            <v>327610750</v>
          </cell>
          <cell r="O1292">
            <v>41365</v>
          </cell>
          <cell r="R1292" t="str">
            <v/>
          </cell>
          <cell r="T1292" t="str">
            <v>60 - 00011B41365</v>
          </cell>
        </row>
        <row r="1293">
          <cell r="H1293">
            <v>1074813</v>
          </cell>
          <cell r="O1293">
            <v>41365</v>
          </cell>
          <cell r="R1293" t="str">
            <v/>
          </cell>
          <cell r="T1293" t="str">
            <v>60 - 00011B41365</v>
          </cell>
        </row>
        <row r="1294">
          <cell r="H1294">
            <v>929333</v>
          </cell>
          <cell r="O1294">
            <v>41365</v>
          </cell>
          <cell r="R1294" t="str">
            <v/>
          </cell>
          <cell r="T1294" t="str">
            <v>60 - 00011B41365</v>
          </cell>
        </row>
        <row r="1295">
          <cell r="H1295">
            <v>10968</v>
          </cell>
          <cell r="O1295">
            <v>41365</v>
          </cell>
          <cell r="R1295" t="str">
            <v/>
          </cell>
          <cell r="T1295" t="str">
            <v>60 - 00011B41365</v>
          </cell>
        </row>
        <row r="1296">
          <cell r="H1296">
            <v>177603</v>
          </cell>
          <cell r="O1296">
            <v>41365</v>
          </cell>
          <cell r="R1296" t="str">
            <v/>
          </cell>
          <cell r="T1296" t="str">
            <v>60 - 00011B41365</v>
          </cell>
        </row>
        <row r="1297">
          <cell r="H1297">
            <v>200121</v>
          </cell>
          <cell r="O1297">
            <v>41365</v>
          </cell>
          <cell r="R1297" t="str">
            <v/>
          </cell>
          <cell r="T1297" t="str">
            <v>60 - 00011B41365</v>
          </cell>
        </row>
        <row r="1298">
          <cell r="H1298">
            <v>1630304</v>
          </cell>
          <cell r="O1298">
            <v>41365</v>
          </cell>
          <cell r="R1298" t="str">
            <v/>
          </cell>
          <cell r="T1298" t="str">
            <v>60 - 00011B41365</v>
          </cell>
        </row>
        <row r="1299">
          <cell r="H1299">
            <v>0</v>
          </cell>
          <cell r="O1299">
            <v>41365</v>
          </cell>
          <cell r="R1299" t="str">
            <v/>
          </cell>
          <cell r="T1299" t="str">
            <v>60 - 00011B41365</v>
          </cell>
        </row>
        <row r="1300">
          <cell r="H1300">
            <v>0</v>
          </cell>
          <cell r="O1300">
            <v>41365</v>
          </cell>
          <cell r="R1300" t="str">
            <v/>
          </cell>
          <cell r="T1300" t="str">
            <v>60 - 00011R41365</v>
          </cell>
        </row>
        <row r="1301">
          <cell r="H1301">
            <v>0</v>
          </cell>
          <cell r="O1301">
            <v>41365</v>
          </cell>
          <cell r="R1301" t="str">
            <v/>
          </cell>
          <cell r="T1301" t="str">
            <v>60 - 00011R41365</v>
          </cell>
        </row>
        <row r="1302">
          <cell r="H1302">
            <v>0</v>
          </cell>
          <cell r="O1302">
            <v>41365</v>
          </cell>
          <cell r="R1302" t="str">
            <v/>
          </cell>
          <cell r="T1302" t="str">
            <v>60 - 00011R41365</v>
          </cell>
        </row>
        <row r="1303">
          <cell r="H1303">
            <v>0</v>
          </cell>
          <cell r="O1303">
            <v>41365</v>
          </cell>
          <cell r="R1303" t="str">
            <v/>
          </cell>
          <cell r="T1303" t="str">
            <v>60 - 00011R41365</v>
          </cell>
        </row>
        <row r="1304">
          <cell r="H1304">
            <v>0</v>
          </cell>
          <cell r="O1304">
            <v>41365</v>
          </cell>
          <cell r="R1304" t="str">
            <v/>
          </cell>
          <cell r="T1304" t="str">
            <v>60 - 00011R41365</v>
          </cell>
        </row>
        <row r="1305">
          <cell r="H1305">
            <v>0</v>
          </cell>
          <cell r="O1305">
            <v>41365</v>
          </cell>
          <cell r="R1305" t="str">
            <v/>
          </cell>
          <cell r="T1305" t="str">
            <v>60 - 00011R41365</v>
          </cell>
        </row>
        <row r="1306">
          <cell r="H1306">
            <v>0</v>
          </cell>
          <cell r="O1306">
            <v>41365</v>
          </cell>
          <cell r="R1306" t="str">
            <v/>
          </cell>
          <cell r="T1306" t="str">
            <v>60 - 00011R41365</v>
          </cell>
        </row>
        <row r="1307">
          <cell r="H1307">
            <v>0</v>
          </cell>
          <cell r="O1307">
            <v>41365</v>
          </cell>
          <cell r="R1307" t="str">
            <v/>
          </cell>
          <cell r="T1307" t="str">
            <v>60 - 00011R41365</v>
          </cell>
        </row>
        <row r="1308">
          <cell r="H1308">
            <v>0</v>
          </cell>
          <cell r="O1308">
            <v>41365</v>
          </cell>
          <cell r="R1308" t="str">
            <v/>
          </cell>
          <cell r="T1308" t="str">
            <v>60 - 00011R41365</v>
          </cell>
        </row>
        <row r="1309">
          <cell r="H1309">
            <v>0</v>
          </cell>
          <cell r="O1309">
            <v>41365</v>
          </cell>
          <cell r="R1309" t="str">
            <v/>
          </cell>
          <cell r="T1309" t="str">
            <v>60 - 00011R41365</v>
          </cell>
        </row>
        <row r="1310">
          <cell r="H1310">
            <v>0</v>
          </cell>
          <cell r="O1310">
            <v>41365</v>
          </cell>
          <cell r="R1310" t="str">
            <v/>
          </cell>
          <cell r="T1310" t="str">
            <v>60 - 00011R41365</v>
          </cell>
        </row>
        <row r="1311">
          <cell r="H1311">
            <v>0</v>
          </cell>
          <cell r="O1311">
            <v>41365</v>
          </cell>
          <cell r="R1311" t="str">
            <v/>
          </cell>
          <cell r="T1311" t="str">
            <v>60 - 00011R41365</v>
          </cell>
        </row>
        <row r="1312">
          <cell r="H1312">
            <v>398525488</v>
          </cell>
          <cell r="O1312">
            <v>41365</v>
          </cell>
          <cell r="R1312" t="str">
            <v/>
          </cell>
          <cell r="T1312" t="str">
            <v>60 - 00011R41365</v>
          </cell>
        </row>
        <row r="1313">
          <cell r="H1313">
            <v>3004596</v>
          </cell>
          <cell r="O1313">
            <v>41365</v>
          </cell>
          <cell r="R1313" t="str">
            <v/>
          </cell>
          <cell r="T1313" t="str">
            <v>60 - 00011R41365</v>
          </cell>
        </row>
        <row r="1314">
          <cell r="H1314">
            <v>18399810</v>
          </cell>
          <cell r="O1314">
            <v>41365</v>
          </cell>
          <cell r="R1314" t="str">
            <v/>
          </cell>
          <cell r="T1314" t="str">
            <v>60 - 00011R41365</v>
          </cell>
        </row>
        <row r="1315">
          <cell r="H1315">
            <v>1447183</v>
          </cell>
          <cell r="O1315">
            <v>41365</v>
          </cell>
          <cell r="R1315" t="str">
            <v/>
          </cell>
          <cell r="T1315" t="str">
            <v>60 - 00011R41365</v>
          </cell>
        </row>
        <row r="1316">
          <cell r="H1316">
            <v>0</v>
          </cell>
          <cell r="O1316">
            <v>41365</v>
          </cell>
          <cell r="R1316" t="str">
            <v/>
          </cell>
          <cell r="T1316" t="str">
            <v>60 - 00011R41365</v>
          </cell>
        </row>
        <row r="1317">
          <cell r="H1317">
            <v>0</v>
          </cell>
          <cell r="O1317">
            <v>41365</v>
          </cell>
          <cell r="R1317" t="str">
            <v/>
          </cell>
          <cell r="T1317" t="str">
            <v>60 - 00011R41365</v>
          </cell>
        </row>
        <row r="1318">
          <cell r="H1318">
            <v>0</v>
          </cell>
          <cell r="O1318">
            <v>41365</v>
          </cell>
          <cell r="R1318" t="str">
            <v/>
          </cell>
          <cell r="T1318" t="str">
            <v>60 - 00011R41365</v>
          </cell>
        </row>
        <row r="1319">
          <cell r="H1319">
            <v>200124</v>
          </cell>
          <cell r="O1319">
            <v>41365</v>
          </cell>
          <cell r="R1319" t="str">
            <v/>
          </cell>
          <cell r="T1319" t="str">
            <v>60 - 00011R41365</v>
          </cell>
        </row>
        <row r="1320">
          <cell r="H1320">
            <v>0</v>
          </cell>
          <cell r="O1320">
            <v>41365</v>
          </cell>
          <cell r="R1320" t="str">
            <v/>
          </cell>
          <cell r="T1320" t="str">
            <v>60 - 00011R41365</v>
          </cell>
        </row>
        <row r="1321">
          <cell r="H1321">
            <v>1615147</v>
          </cell>
          <cell r="O1321">
            <v>41365</v>
          </cell>
          <cell r="R1321" t="str">
            <v/>
          </cell>
          <cell r="T1321" t="str">
            <v>60 - 00011R41365</v>
          </cell>
        </row>
        <row r="1322">
          <cell r="H1322">
            <v>7216</v>
          </cell>
          <cell r="O1322">
            <v>41365</v>
          </cell>
          <cell r="R1322" t="str">
            <v/>
          </cell>
          <cell r="T1322" t="str">
            <v>60 - 00011R41365</v>
          </cell>
        </row>
        <row r="1323">
          <cell r="H1323">
            <v>8019</v>
          </cell>
          <cell r="O1323">
            <v>41365</v>
          </cell>
          <cell r="R1323" t="str">
            <v/>
          </cell>
          <cell r="T1323" t="str">
            <v>60 - 00011R41365</v>
          </cell>
        </row>
        <row r="1324">
          <cell r="H1324">
            <v>0</v>
          </cell>
          <cell r="O1324">
            <v>41365</v>
          </cell>
          <cell r="R1324" t="str">
            <v/>
          </cell>
          <cell r="T1324" t="str">
            <v>60 - 00011R41365</v>
          </cell>
        </row>
        <row r="1325">
          <cell r="H1325">
            <v>-33759000</v>
          </cell>
          <cell r="O1325">
            <v>41365</v>
          </cell>
          <cell r="R1325" t="str">
            <v/>
          </cell>
          <cell r="T1325" t="str">
            <v>60 - 00011U41365</v>
          </cell>
        </row>
        <row r="1326">
          <cell r="H1326">
            <v>0</v>
          </cell>
          <cell r="O1326">
            <v>41365</v>
          </cell>
          <cell r="R1326" t="str">
            <v/>
          </cell>
          <cell r="T1326" t="str">
            <v>60 - 00011U41365</v>
          </cell>
        </row>
        <row r="1327">
          <cell r="H1327">
            <v>0</v>
          </cell>
          <cell r="O1327">
            <v>41365</v>
          </cell>
          <cell r="R1327" t="str">
            <v/>
          </cell>
          <cell r="T1327" t="str">
            <v>60 - 00011B41365</v>
          </cell>
        </row>
        <row r="1328">
          <cell r="H1328">
            <v>5519391</v>
          </cell>
          <cell r="O1328">
            <v>41365</v>
          </cell>
          <cell r="R1328" t="str">
            <v/>
          </cell>
          <cell r="T1328" t="str">
            <v>60 - 00011B41365</v>
          </cell>
        </row>
        <row r="1329">
          <cell r="H1329">
            <v>30561</v>
          </cell>
          <cell r="O1329">
            <v>41365</v>
          </cell>
          <cell r="R1329" t="str">
            <v/>
          </cell>
          <cell r="T1329" t="str">
            <v>60 - 00011B41365</v>
          </cell>
        </row>
        <row r="1330">
          <cell r="H1330">
            <v>9826349</v>
          </cell>
          <cell r="O1330">
            <v>41365</v>
          </cell>
          <cell r="R1330" t="str">
            <v/>
          </cell>
          <cell r="T1330" t="str">
            <v>60 - 00011B41365</v>
          </cell>
        </row>
        <row r="1331">
          <cell r="H1331">
            <v>3537735</v>
          </cell>
          <cell r="O1331">
            <v>41365</v>
          </cell>
          <cell r="R1331" t="str">
            <v/>
          </cell>
          <cell r="T1331" t="str">
            <v>60 - 00011B41365</v>
          </cell>
        </row>
        <row r="1332">
          <cell r="H1332">
            <v>222600</v>
          </cell>
          <cell r="O1332">
            <v>41365</v>
          </cell>
          <cell r="R1332" t="str">
            <v/>
          </cell>
          <cell r="T1332" t="str">
            <v>60 - 00011B41365</v>
          </cell>
        </row>
        <row r="1333">
          <cell r="H1333">
            <v>7770</v>
          </cell>
          <cell r="O1333">
            <v>41365</v>
          </cell>
          <cell r="R1333" t="str">
            <v/>
          </cell>
          <cell r="T1333" t="str">
            <v>60 - 00011B41365</v>
          </cell>
        </row>
        <row r="1334">
          <cell r="H1334">
            <v>22369</v>
          </cell>
          <cell r="O1334">
            <v>41365</v>
          </cell>
          <cell r="R1334" t="str">
            <v/>
          </cell>
          <cell r="T1334" t="str">
            <v>60 - 00011B41365</v>
          </cell>
        </row>
        <row r="1335">
          <cell r="H1335">
            <v>97440</v>
          </cell>
          <cell r="O1335">
            <v>41365</v>
          </cell>
          <cell r="R1335" t="str">
            <v/>
          </cell>
          <cell r="T1335" t="str">
            <v>60 - 00011B41365</v>
          </cell>
        </row>
        <row r="1336">
          <cell r="H1336">
            <v>129551</v>
          </cell>
          <cell r="O1336">
            <v>41365</v>
          </cell>
          <cell r="R1336" t="str">
            <v/>
          </cell>
          <cell r="T1336" t="str">
            <v>60 - 00011B41365</v>
          </cell>
        </row>
        <row r="1337">
          <cell r="H1337">
            <v>49073</v>
          </cell>
          <cell r="O1337">
            <v>41365</v>
          </cell>
          <cell r="R1337" t="str">
            <v/>
          </cell>
          <cell r="T1337" t="str">
            <v>60 - 00011B41365</v>
          </cell>
        </row>
        <row r="1338">
          <cell r="H1338">
            <v>0</v>
          </cell>
          <cell r="O1338">
            <v>41365</v>
          </cell>
          <cell r="R1338" t="str">
            <v/>
          </cell>
          <cell r="T1338" t="str">
            <v>60 - 00011B41365</v>
          </cell>
        </row>
        <row r="1339">
          <cell r="H1339">
            <v>0</v>
          </cell>
          <cell r="O1339">
            <v>41365</v>
          </cell>
          <cell r="R1339" t="str">
            <v/>
          </cell>
          <cell r="T1339" t="str">
            <v>60 - 00011R41365</v>
          </cell>
        </row>
        <row r="1340">
          <cell r="H1340">
            <v>0</v>
          </cell>
          <cell r="O1340">
            <v>41365</v>
          </cell>
          <cell r="R1340" t="str">
            <v/>
          </cell>
          <cell r="T1340" t="str">
            <v>60 - 00011R41365</v>
          </cell>
        </row>
        <row r="1341">
          <cell r="H1341">
            <v>0</v>
          </cell>
          <cell r="O1341">
            <v>41365</v>
          </cell>
          <cell r="R1341" t="str">
            <v/>
          </cell>
          <cell r="T1341" t="str">
            <v>60 - 00011R41365</v>
          </cell>
        </row>
        <row r="1342">
          <cell r="H1342">
            <v>0</v>
          </cell>
          <cell r="O1342">
            <v>41365</v>
          </cell>
          <cell r="R1342" t="str">
            <v/>
          </cell>
          <cell r="T1342" t="str">
            <v>60 - 00011R41365</v>
          </cell>
        </row>
        <row r="1343">
          <cell r="H1343">
            <v>0</v>
          </cell>
          <cell r="O1343">
            <v>41365</v>
          </cell>
          <cell r="R1343" t="str">
            <v/>
          </cell>
          <cell r="T1343" t="str">
            <v>60 - 00011R41365</v>
          </cell>
        </row>
        <row r="1344">
          <cell r="H1344">
            <v>0</v>
          </cell>
          <cell r="O1344">
            <v>41365</v>
          </cell>
          <cell r="R1344" t="str">
            <v/>
          </cell>
          <cell r="T1344" t="str">
            <v>60 - 00011R41365</v>
          </cell>
        </row>
        <row r="1345">
          <cell r="H1345">
            <v>0</v>
          </cell>
          <cell r="O1345">
            <v>41365</v>
          </cell>
          <cell r="R1345" t="str">
            <v/>
          </cell>
          <cell r="T1345" t="str">
            <v>60 - 00011R41365</v>
          </cell>
        </row>
        <row r="1346">
          <cell r="H1346">
            <v>4570800</v>
          </cell>
          <cell r="O1346">
            <v>41365</v>
          </cell>
          <cell r="R1346" t="str">
            <v/>
          </cell>
          <cell r="T1346" t="str">
            <v>60 - 00011R41365</v>
          </cell>
        </row>
        <row r="1347">
          <cell r="H1347">
            <v>0</v>
          </cell>
          <cell r="O1347">
            <v>41365</v>
          </cell>
          <cell r="R1347" t="str">
            <v/>
          </cell>
          <cell r="T1347" t="str">
            <v>60 - 00011R41365</v>
          </cell>
        </row>
        <row r="1348">
          <cell r="H1348">
            <v>0</v>
          </cell>
          <cell r="O1348">
            <v>41365</v>
          </cell>
          <cell r="R1348" t="str">
            <v/>
          </cell>
          <cell r="T1348" t="str">
            <v>60 - 00011R41365</v>
          </cell>
        </row>
        <row r="1349">
          <cell r="H1349">
            <v>0</v>
          </cell>
          <cell r="O1349">
            <v>41365</v>
          </cell>
          <cell r="R1349" t="str">
            <v/>
          </cell>
          <cell r="T1349" t="str">
            <v>60 - 00011R41365</v>
          </cell>
        </row>
        <row r="1350">
          <cell r="H1350">
            <v>0</v>
          </cell>
          <cell r="O1350">
            <v>41365</v>
          </cell>
          <cell r="R1350" t="str">
            <v/>
          </cell>
          <cell r="T1350" t="str">
            <v>60 - 00011R41365</v>
          </cell>
        </row>
        <row r="1351">
          <cell r="H1351">
            <v>0</v>
          </cell>
          <cell r="O1351">
            <v>41365</v>
          </cell>
          <cell r="R1351" t="str">
            <v/>
          </cell>
          <cell r="T1351" t="str">
            <v>60 - 00011R41365</v>
          </cell>
        </row>
        <row r="1352">
          <cell r="H1352">
            <v>0</v>
          </cell>
          <cell r="O1352">
            <v>41365</v>
          </cell>
          <cell r="R1352" t="str">
            <v/>
          </cell>
          <cell r="T1352" t="str">
            <v>60 - 00011R41365</v>
          </cell>
        </row>
        <row r="1353">
          <cell r="H1353">
            <v>2137400</v>
          </cell>
          <cell r="O1353">
            <v>41365</v>
          </cell>
          <cell r="R1353" t="str">
            <v/>
          </cell>
          <cell r="T1353" t="str">
            <v>60 - 00011R41365</v>
          </cell>
        </row>
        <row r="1354">
          <cell r="H1354">
            <v>478627</v>
          </cell>
          <cell r="O1354">
            <v>41365</v>
          </cell>
          <cell r="R1354" t="str">
            <v/>
          </cell>
          <cell r="T1354" t="str">
            <v>60 - 00011R41365</v>
          </cell>
        </row>
        <row r="1355">
          <cell r="H1355">
            <v>99376</v>
          </cell>
          <cell r="O1355">
            <v>41365</v>
          </cell>
          <cell r="R1355" t="str">
            <v/>
          </cell>
          <cell r="T1355" t="str">
            <v>60 - 00011R41365</v>
          </cell>
        </row>
        <row r="1356">
          <cell r="H1356">
            <v>0</v>
          </cell>
          <cell r="O1356">
            <v>41365</v>
          </cell>
          <cell r="R1356" t="str">
            <v/>
          </cell>
          <cell r="T1356" t="str">
            <v>60 - 00011R41365</v>
          </cell>
        </row>
        <row r="1357">
          <cell r="H1357">
            <v>70422600</v>
          </cell>
          <cell r="O1357">
            <v>41365</v>
          </cell>
          <cell r="R1357" t="str">
            <v/>
          </cell>
          <cell r="T1357" t="str">
            <v>60 - 00011R41365</v>
          </cell>
        </row>
        <row r="1358">
          <cell r="H1358">
            <v>1289494</v>
          </cell>
          <cell r="O1358">
            <v>41365</v>
          </cell>
          <cell r="R1358" t="str">
            <v/>
          </cell>
          <cell r="T1358" t="str">
            <v>60 - 00011R41365</v>
          </cell>
        </row>
        <row r="1359">
          <cell r="H1359">
            <v>0</v>
          </cell>
          <cell r="O1359">
            <v>41365</v>
          </cell>
          <cell r="R1359" t="str">
            <v/>
          </cell>
          <cell r="T1359" t="str">
            <v>60 - 00011R41365</v>
          </cell>
        </row>
        <row r="1360">
          <cell r="H1360">
            <v>0</v>
          </cell>
          <cell r="O1360">
            <v>41365</v>
          </cell>
          <cell r="R1360" t="str">
            <v/>
          </cell>
          <cell r="T1360" t="str">
            <v>60 - 00011R41365</v>
          </cell>
        </row>
        <row r="1361">
          <cell r="H1361">
            <v>76648817</v>
          </cell>
          <cell r="O1361">
            <v>41365</v>
          </cell>
          <cell r="R1361" t="str">
            <v/>
          </cell>
          <cell r="T1361" t="str">
            <v>60 - 00011R41365</v>
          </cell>
        </row>
        <row r="1362">
          <cell r="H1362">
            <v>145592208</v>
          </cell>
          <cell r="O1362">
            <v>41365</v>
          </cell>
          <cell r="R1362" t="str">
            <v/>
          </cell>
          <cell r="T1362" t="str">
            <v>60 - 00011R41365</v>
          </cell>
        </row>
        <row r="1363">
          <cell r="H1363">
            <v>0</v>
          </cell>
          <cell r="O1363">
            <v>41365</v>
          </cell>
          <cell r="R1363" t="str">
            <v/>
          </cell>
          <cell r="T1363" t="str">
            <v>60 - 00011R41365</v>
          </cell>
        </row>
        <row r="1364">
          <cell r="H1364">
            <v>0</v>
          </cell>
          <cell r="O1364">
            <v>41365</v>
          </cell>
          <cell r="R1364" t="str">
            <v/>
          </cell>
          <cell r="T1364" t="str">
            <v>60 - 00011R41365</v>
          </cell>
        </row>
        <row r="1365">
          <cell r="H1365">
            <v>0</v>
          </cell>
          <cell r="O1365">
            <v>41365</v>
          </cell>
          <cell r="R1365" t="str">
            <v/>
          </cell>
          <cell r="T1365" t="str">
            <v>60 - 00011R41365</v>
          </cell>
        </row>
        <row r="1366">
          <cell r="H1366">
            <v>0</v>
          </cell>
          <cell r="O1366">
            <v>41365</v>
          </cell>
          <cell r="R1366" t="str">
            <v/>
          </cell>
          <cell r="T1366" t="str">
            <v>60 - 00011R41365</v>
          </cell>
        </row>
        <row r="1367">
          <cell r="H1367">
            <v>191224</v>
          </cell>
          <cell r="O1367">
            <v>41365</v>
          </cell>
          <cell r="R1367" t="str">
            <v/>
          </cell>
          <cell r="T1367" t="str">
            <v>60 - 00011R41365</v>
          </cell>
        </row>
        <row r="1368">
          <cell r="H1368">
            <v>300334</v>
          </cell>
          <cell r="O1368">
            <v>41365</v>
          </cell>
          <cell r="R1368" t="str">
            <v/>
          </cell>
          <cell r="T1368" t="str">
            <v>60 - 00011R41365</v>
          </cell>
        </row>
        <row r="1369">
          <cell r="H1369">
            <v>31031</v>
          </cell>
          <cell r="O1369">
            <v>41365</v>
          </cell>
          <cell r="R1369" t="str">
            <v/>
          </cell>
          <cell r="T1369" t="str">
            <v>60 - 00011R41365</v>
          </cell>
        </row>
        <row r="1370">
          <cell r="H1370">
            <v>618225</v>
          </cell>
          <cell r="O1370">
            <v>41365</v>
          </cell>
          <cell r="R1370" t="str">
            <v/>
          </cell>
          <cell r="T1370" t="str">
            <v>60 - 00011R41365</v>
          </cell>
        </row>
        <row r="1371">
          <cell r="H1371">
            <v>688915</v>
          </cell>
          <cell r="O1371">
            <v>41365</v>
          </cell>
          <cell r="R1371" t="str">
            <v/>
          </cell>
          <cell r="T1371" t="str">
            <v>60 - 00011R41365</v>
          </cell>
        </row>
        <row r="1372">
          <cell r="H1372">
            <v>225406</v>
          </cell>
          <cell r="O1372">
            <v>41365</v>
          </cell>
          <cell r="R1372" t="str">
            <v/>
          </cell>
          <cell r="T1372" t="str">
            <v>60 - 00011R41365</v>
          </cell>
        </row>
        <row r="1373">
          <cell r="H1373">
            <v>0</v>
          </cell>
          <cell r="O1373">
            <v>41365</v>
          </cell>
          <cell r="R1373" t="str">
            <v/>
          </cell>
          <cell r="T1373" t="str">
            <v>60 - 00011R41365</v>
          </cell>
        </row>
        <row r="1374">
          <cell r="H1374">
            <v>12280</v>
          </cell>
          <cell r="O1374">
            <v>41365</v>
          </cell>
          <cell r="R1374" t="str">
            <v/>
          </cell>
          <cell r="T1374" t="str">
            <v>60 - 00011R41365</v>
          </cell>
        </row>
        <row r="1375">
          <cell r="H1375">
            <v>31368</v>
          </cell>
          <cell r="O1375">
            <v>41365</v>
          </cell>
          <cell r="R1375" t="str">
            <v/>
          </cell>
          <cell r="T1375" t="str">
            <v>60 - 00011R41365</v>
          </cell>
        </row>
        <row r="1376">
          <cell r="H1376">
            <v>198219</v>
          </cell>
          <cell r="O1376">
            <v>41365</v>
          </cell>
          <cell r="R1376" t="str">
            <v/>
          </cell>
          <cell r="T1376" t="str">
            <v>60 - 00011R41365</v>
          </cell>
        </row>
        <row r="1377">
          <cell r="H1377">
            <v>1134337</v>
          </cell>
          <cell r="O1377">
            <v>41365</v>
          </cell>
          <cell r="R1377" t="str">
            <v/>
          </cell>
          <cell r="T1377" t="str">
            <v>60 - 00011R41365</v>
          </cell>
        </row>
        <row r="1378">
          <cell r="H1378">
            <v>373027</v>
          </cell>
          <cell r="O1378">
            <v>41365</v>
          </cell>
          <cell r="R1378" t="str">
            <v/>
          </cell>
          <cell r="T1378" t="str">
            <v>60 - 00011R41365</v>
          </cell>
        </row>
        <row r="1379">
          <cell r="H1379">
            <v>800</v>
          </cell>
          <cell r="O1379">
            <v>41365</v>
          </cell>
          <cell r="R1379" t="str">
            <v/>
          </cell>
          <cell r="T1379" t="str">
            <v>60 - 00011R41365</v>
          </cell>
        </row>
        <row r="1380">
          <cell r="H1380">
            <v>0</v>
          </cell>
          <cell r="O1380">
            <v>41365</v>
          </cell>
          <cell r="R1380" t="str">
            <v/>
          </cell>
          <cell r="T1380" t="str">
            <v>60 - 00011R41365</v>
          </cell>
        </row>
        <row r="1381">
          <cell r="H1381">
            <v>82572387</v>
          </cell>
          <cell r="O1381">
            <v>41365</v>
          </cell>
          <cell r="R1381" t="str">
            <v/>
          </cell>
          <cell r="T1381" t="str">
            <v>60 - 00011R41365</v>
          </cell>
        </row>
        <row r="1382">
          <cell r="H1382">
            <v>5453284</v>
          </cell>
          <cell r="O1382">
            <v>41365</v>
          </cell>
          <cell r="R1382" t="str">
            <v/>
          </cell>
          <cell r="T1382" t="str">
            <v>60 - 00011R41365</v>
          </cell>
        </row>
        <row r="1383">
          <cell r="H1383">
            <v>0</v>
          </cell>
          <cell r="O1383">
            <v>41365</v>
          </cell>
          <cell r="R1383" t="str">
            <v/>
          </cell>
          <cell r="T1383" t="str">
            <v>60 - 00011R41365</v>
          </cell>
        </row>
        <row r="1384">
          <cell r="H1384">
            <v>0</v>
          </cell>
          <cell r="O1384">
            <v>41365</v>
          </cell>
          <cell r="R1384" t="str">
            <v/>
          </cell>
          <cell r="T1384" t="str">
            <v>60 - 00011R41365</v>
          </cell>
        </row>
        <row r="1385">
          <cell r="H1385">
            <v>0</v>
          </cell>
          <cell r="O1385">
            <v>41365</v>
          </cell>
          <cell r="R1385" t="str">
            <v/>
          </cell>
          <cell r="T1385" t="str">
            <v>60 - 00011R41365</v>
          </cell>
        </row>
        <row r="1386">
          <cell r="H1386">
            <v>0</v>
          </cell>
          <cell r="O1386">
            <v>41365</v>
          </cell>
          <cell r="R1386" t="str">
            <v/>
          </cell>
          <cell r="T1386" t="str">
            <v>60 - 00011R41365</v>
          </cell>
        </row>
        <row r="1387">
          <cell r="H1387">
            <v>710585</v>
          </cell>
          <cell r="O1387">
            <v>41365</v>
          </cell>
          <cell r="R1387" t="str">
            <v/>
          </cell>
          <cell r="T1387" t="str">
            <v>60 - 00011R41365</v>
          </cell>
        </row>
        <row r="1388">
          <cell r="H1388">
            <v>8898519</v>
          </cell>
          <cell r="O1388">
            <v>41365</v>
          </cell>
          <cell r="R1388" t="str">
            <v/>
          </cell>
          <cell r="T1388" t="str">
            <v>60 - 00011R41365</v>
          </cell>
        </row>
        <row r="1389">
          <cell r="H1389">
            <v>1155440</v>
          </cell>
          <cell r="O1389">
            <v>41365</v>
          </cell>
          <cell r="R1389" t="str">
            <v/>
          </cell>
          <cell r="T1389" t="str">
            <v>60 - 00011R41365</v>
          </cell>
        </row>
        <row r="1390">
          <cell r="H1390">
            <v>0</v>
          </cell>
          <cell r="O1390">
            <v>41365</v>
          </cell>
          <cell r="R1390" t="str">
            <v/>
          </cell>
          <cell r="T1390" t="str">
            <v>60 - 00011R41365</v>
          </cell>
        </row>
        <row r="1391">
          <cell r="H1391">
            <v>0</v>
          </cell>
          <cell r="O1391">
            <v>41365</v>
          </cell>
          <cell r="R1391" t="str">
            <v/>
          </cell>
          <cell r="T1391" t="str">
            <v>60 - 00011R41365</v>
          </cell>
        </row>
        <row r="1392">
          <cell r="H1392">
            <v>38540</v>
          </cell>
          <cell r="O1392">
            <v>41365</v>
          </cell>
          <cell r="R1392" t="str">
            <v/>
          </cell>
          <cell r="T1392" t="str">
            <v>60 - 00011R41365</v>
          </cell>
        </row>
        <row r="1393">
          <cell r="H1393">
            <v>0</v>
          </cell>
          <cell r="O1393">
            <v>41365</v>
          </cell>
          <cell r="R1393" t="str">
            <v/>
          </cell>
          <cell r="T1393" t="str">
            <v>60 - 00011R41365</v>
          </cell>
        </row>
        <row r="1394">
          <cell r="H1394">
            <v>0</v>
          </cell>
          <cell r="O1394">
            <v>41365</v>
          </cell>
          <cell r="R1394" t="str">
            <v/>
          </cell>
          <cell r="T1394" t="str">
            <v>60 - 00011R41365</v>
          </cell>
        </row>
        <row r="1395">
          <cell r="H1395">
            <v>0</v>
          </cell>
          <cell r="O1395">
            <v>41365</v>
          </cell>
          <cell r="R1395" t="str">
            <v/>
          </cell>
          <cell r="T1395" t="str">
            <v>60 - 00011R41365</v>
          </cell>
        </row>
        <row r="1396">
          <cell r="H1396">
            <v>0</v>
          </cell>
          <cell r="O1396">
            <v>41365</v>
          </cell>
          <cell r="R1396" t="str">
            <v/>
          </cell>
          <cell r="T1396" t="str">
            <v>60 - 00011R41365</v>
          </cell>
        </row>
        <row r="1397">
          <cell r="H1397">
            <v>0</v>
          </cell>
          <cell r="O1397">
            <v>41365</v>
          </cell>
          <cell r="R1397" t="str">
            <v/>
          </cell>
          <cell r="T1397" t="str">
            <v>60 - 00011R41365</v>
          </cell>
        </row>
        <row r="1398">
          <cell r="H1398">
            <v>129552</v>
          </cell>
          <cell r="O1398">
            <v>41365</v>
          </cell>
          <cell r="R1398" t="str">
            <v/>
          </cell>
          <cell r="T1398" t="str">
            <v>60 - 00011R41365</v>
          </cell>
        </row>
        <row r="1399">
          <cell r="H1399">
            <v>0</v>
          </cell>
          <cell r="O1399">
            <v>41365</v>
          </cell>
          <cell r="R1399" t="str">
            <v/>
          </cell>
          <cell r="T1399" t="str">
            <v>60 - 00011R41365</v>
          </cell>
        </row>
        <row r="1400">
          <cell r="H1400">
            <v>0</v>
          </cell>
          <cell r="O1400">
            <v>41365</v>
          </cell>
          <cell r="R1400" t="str">
            <v/>
          </cell>
          <cell r="T1400" t="str">
            <v>60 - 00011R41365</v>
          </cell>
        </row>
        <row r="1401">
          <cell r="H1401">
            <v>30000</v>
          </cell>
          <cell r="O1401">
            <v>41365</v>
          </cell>
          <cell r="R1401" t="str">
            <v/>
          </cell>
          <cell r="T1401" t="str">
            <v>60 - 00011U41365</v>
          </cell>
        </row>
        <row r="1402">
          <cell r="H1402">
            <v>0</v>
          </cell>
          <cell r="O1402">
            <v>41365</v>
          </cell>
          <cell r="R1402" t="str">
            <v/>
          </cell>
          <cell r="T1402" t="str">
            <v>60 - 00011B41365</v>
          </cell>
        </row>
        <row r="1403">
          <cell r="H1403">
            <v>23086</v>
          </cell>
          <cell r="O1403">
            <v>41365</v>
          </cell>
          <cell r="R1403" t="str">
            <v/>
          </cell>
          <cell r="T1403" t="str">
            <v>60 - 00011B41365</v>
          </cell>
        </row>
        <row r="1404">
          <cell r="H1404">
            <v>36144</v>
          </cell>
          <cell r="O1404">
            <v>41365</v>
          </cell>
          <cell r="R1404" t="str">
            <v/>
          </cell>
          <cell r="T1404" t="str">
            <v>60 - 00011B41365</v>
          </cell>
        </row>
        <row r="1405">
          <cell r="H1405">
            <v>380</v>
          </cell>
          <cell r="O1405">
            <v>41365</v>
          </cell>
          <cell r="R1405" t="str">
            <v/>
          </cell>
          <cell r="T1405" t="str">
            <v>60 - 00011B41365</v>
          </cell>
        </row>
        <row r="1406">
          <cell r="H1406">
            <v>0</v>
          </cell>
          <cell r="O1406">
            <v>41365</v>
          </cell>
          <cell r="R1406" t="str">
            <v/>
          </cell>
          <cell r="T1406" t="str">
            <v>60 - 00011B41365</v>
          </cell>
        </row>
        <row r="1407">
          <cell r="H1407">
            <v>0</v>
          </cell>
          <cell r="O1407">
            <v>41365</v>
          </cell>
          <cell r="R1407" t="str">
            <v/>
          </cell>
          <cell r="T1407" t="str">
            <v>60 - 00011R41365</v>
          </cell>
        </row>
        <row r="1408">
          <cell r="H1408">
            <v>0</v>
          </cell>
          <cell r="O1408">
            <v>41365</v>
          </cell>
          <cell r="R1408" t="str">
            <v/>
          </cell>
          <cell r="T1408" t="str">
            <v>60 - 00011R41365</v>
          </cell>
        </row>
        <row r="1409">
          <cell r="H1409">
            <v>0</v>
          </cell>
          <cell r="O1409">
            <v>41365</v>
          </cell>
          <cell r="R1409" t="str">
            <v/>
          </cell>
          <cell r="T1409" t="str">
            <v>60 - 00011R41365</v>
          </cell>
        </row>
        <row r="1410">
          <cell r="H1410">
            <v>0</v>
          </cell>
          <cell r="O1410">
            <v>41365</v>
          </cell>
          <cell r="R1410" t="str">
            <v/>
          </cell>
          <cell r="T1410" t="str">
            <v>60 - 00011R41365</v>
          </cell>
        </row>
        <row r="1411">
          <cell r="H1411">
            <v>0</v>
          </cell>
          <cell r="O1411">
            <v>41365</v>
          </cell>
          <cell r="R1411" t="str">
            <v/>
          </cell>
          <cell r="T1411" t="str">
            <v>60 - 00011R41365</v>
          </cell>
        </row>
        <row r="1412">
          <cell r="H1412">
            <v>0</v>
          </cell>
          <cell r="O1412">
            <v>41365</v>
          </cell>
          <cell r="R1412" t="str">
            <v/>
          </cell>
          <cell r="T1412" t="str">
            <v>60 - 00011R41365</v>
          </cell>
        </row>
        <row r="1413">
          <cell r="H1413">
            <v>7296400</v>
          </cell>
          <cell r="O1413">
            <v>41365</v>
          </cell>
          <cell r="R1413" t="str">
            <v/>
          </cell>
          <cell r="T1413" t="str">
            <v>60 - 00011R41365</v>
          </cell>
        </row>
        <row r="1414">
          <cell r="H1414">
            <v>0</v>
          </cell>
          <cell r="O1414">
            <v>41365</v>
          </cell>
          <cell r="R1414" t="str">
            <v/>
          </cell>
          <cell r="T1414" t="str">
            <v>60 - 00011R41365</v>
          </cell>
        </row>
        <row r="1415">
          <cell r="H1415">
            <v>1500000</v>
          </cell>
          <cell r="O1415">
            <v>41365</v>
          </cell>
          <cell r="R1415" t="str">
            <v/>
          </cell>
          <cell r="T1415" t="str">
            <v>60 - 00011R41365</v>
          </cell>
        </row>
        <row r="1416">
          <cell r="H1416">
            <v>26211</v>
          </cell>
          <cell r="O1416">
            <v>41365</v>
          </cell>
          <cell r="R1416" t="str">
            <v/>
          </cell>
          <cell r="T1416" t="str">
            <v>60 - 00011R41365</v>
          </cell>
        </row>
        <row r="1417">
          <cell r="H1417">
            <v>0</v>
          </cell>
          <cell r="O1417">
            <v>41365</v>
          </cell>
          <cell r="R1417" t="str">
            <v/>
          </cell>
          <cell r="T1417" t="str">
            <v>60 - 00011R41365</v>
          </cell>
        </row>
        <row r="1418">
          <cell r="H1418">
            <v>146176175</v>
          </cell>
          <cell r="O1418">
            <v>41365</v>
          </cell>
          <cell r="R1418" t="str">
            <v/>
          </cell>
          <cell r="T1418" t="str">
            <v>60 - 00011R41365</v>
          </cell>
        </row>
        <row r="1419">
          <cell r="H1419">
            <v>0</v>
          </cell>
          <cell r="O1419">
            <v>41365</v>
          </cell>
          <cell r="R1419" t="str">
            <v/>
          </cell>
          <cell r="T1419" t="str">
            <v>60 - 00011R41365</v>
          </cell>
        </row>
        <row r="1420">
          <cell r="H1420">
            <v>1694485</v>
          </cell>
          <cell r="O1420">
            <v>41365</v>
          </cell>
          <cell r="R1420" t="str">
            <v/>
          </cell>
          <cell r="T1420" t="str">
            <v>60 - 00011R41365</v>
          </cell>
        </row>
        <row r="1421">
          <cell r="H1421">
            <v>7542680</v>
          </cell>
          <cell r="O1421">
            <v>41365</v>
          </cell>
          <cell r="R1421" t="str">
            <v/>
          </cell>
          <cell r="T1421" t="str">
            <v>60 - 00011R41365</v>
          </cell>
        </row>
        <row r="1422">
          <cell r="H1422">
            <v>0</v>
          </cell>
          <cell r="O1422">
            <v>41365</v>
          </cell>
          <cell r="R1422" t="str">
            <v/>
          </cell>
          <cell r="T1422" t="str">
            <v>60 - 00011R41365</v>
          </cell>
        </row>
        <row r="1423">
          <cell r="H1423">
            <v>0</v>
          </cell>
          <cell r="O1423">
            <v>41365</v>
          </cell>
          <cell r="R1423" t="str">
            <v/>
          </cell>
          <cell r="T1423" t="str">
            <v>60 - 00011R41365</v>
          </cell>
        </row>
        <row r="1424">
          <cell r="H1424">
            <v>0</v>
          </cell>
          <cell r="O1424">
            <v>41365</v>
          </cell>
          <cell r="R1424" t="str">
            <v/>
          </cell>
          <cell r="T1424" t="str">
            <v>60 - 00011R41365</v>
          </cell>
        </row>
        <row r="1425">
          <cell r="H1425">
            <v>0</v>
          </cell>
          <cell r="O1425">
            <v>41365</v>
          </cell>
          <cell r="R1425" t="str">
            <v/>
          </cell>
          <cell r="T1425" t="str">
            <v>60 - 00011R41365</v>
          </cell>
        </row>
        <row r="1426">
          <cell r="H1426">
            <v>3087</v>
          </cell>
          <cell r="O1426">
            <v>41365</v>
          </cell>
          <cell r="R1426" t="str">
            <v/>
          </cell>
          <cell r="T1426" t="str">
            <v>60 - 00011R41365</v>
          </cell>
        </row>
        <row r="1427">
          <cell r="H1427">
            <v>7766</v>
          </cell>
          <cell r="O1427">
            <v>41365</v>
          </cell>
          <cell r="R1427" t="str">
            <v/>
          </cell>
          <cell r="T1427" t="str">
            <v>60 - 00011R41365</v>
          </cell>
        </row>
        <row r="1428">
          <cell r="H1428">
            <v>197</v>
          </cell>
          <cell r="O1428">
            <v>41365</v>
          </cell>
          <cell r="R1428" t="str">
            <v/>
          </cell>
          <cell r="T1428" t="str">
            <v>60 - 00011R41365</v>
          </cell>
        </row>
        <row r="1429">
          <cell r="H1429">
            <v>86</v>
          </cell>
          <cell r="O1429">
            <v>41365</v>
          </cell>
          <cell r="R1429" t="str">
            <v/>
          </cell>
          <cell r="T1429" t="str">
            <v>60 - 00011R41365</v>
          </cell>
        </row>
        <row r="1430">
          <cell r="H1430">
            <v>-55</v>
          </cell>
          <cell r="O1430">
            <v>41365</v>
          </cell>
          <cell r="R1430" t="str">
            <v/>
          </cell>
          <cell r="T1430" t="str">
            <v>60 - 00011R41365</v>
          </cell>
        </row>
        <row r="1431">
          <cell r="H1431">
            <v>1570</v>
          </cell>
          <cell r="O1431">
            <v>41365</v>
          </cell>
          <cell r="R1431" t="str">
            <v/>
          </cell>
          <cell r="T1431" t="str">
            <v>60 - 00011R41365</v>
          </cell>
        </row>
        <row r="1432">
          <cell r="H1432">
            <v>15989</v>
          </cell>
          <cell r="O1432">
            <v>41365</v>
          </cell>
          <cell r="R1432" t="str">
            <v/>
          </cell>
          <cell r="T1432" t="str">
            <v>60 - 00011R41365</v>
          </cell>
        </row>
        <row r="1433">
          <cell r="H1433">
            <v>8100</v>
          </cell>
          <cell r="O1433">
            <v>41365</v>
          </cell>
          <cell r="R1433" t="str">
            <v/>
          </cell>
          <cell r="T1433" t="str">
            <v>60 - 00011R41365</v>
          </cell>
        </row>
        <row r="1434">
          <cell r="H1434">
            <v>0</v>
          </cell>
          <cell r="O1434">
            <v>41365</v>
          </cell>
          <cell r="R1434" t="str">
            <v/>
          </cell>
          <cell r="T1434" t="str">
            <v>60 - 00011R41365</v>
          </cell>
        </row>
        <row r="1435">
          <cell r="H1435">
            <v>17697899</v>
          </cell>
          <cell r="O1435">
            <v>41365</v>
          </cell>
          <cell r="R1435" t="str">
            <v/>
          </cell>
          <cell r="T1435" t="str">
            <v>60 - 00011R41365</v>
          </cell>
        </row>
        <row r="1436">
          <cell r="H1436">
            <v>23142</v>
          </cell>
          <cell r="O1436">
            <v>41365</v>
          </cell>
          <cell r="R1436" t="str">
            <v/>
          </cell>
          <cell r="T1436" t="str">
            <v>60 - 00011R41365</v>
          </cell>
        </row>
        <row r="1437">
          <cell r="H1437">
            <v>0</v>
          </cell>
          <cell r="O1437">
            <v>41365</v>
          </cell>
          <cell r="R1437" t="str">
            <v/>
          </cell>
          <cell r="T1437" t="str">
            <v>60 - 00011R41365</v>
          </cell>
        </row>
        <row r="1438">
          <cell r="H1438">
            <v>0</v>
          </cell>
          <cell r="O1438">
            <v>41365</v>
          </cell>
          <cell r="R1438" t="str">
            <v/>
          </cell>
          <cell r="T1438" t="str">
            <v>60 - 00011R41365</v>
          </cell>
        </row>
        <row r="1439">
          <cell r="H1439">
            <v>97200</v>
          </cell>
          <cell r="O1439">
            <v>41365</v>
          </cell>
          <cell r="R1439" t="str">
            <v/>
          </cell>
          <cell r="T1439" t="str">
            <v>60 - 00011R41365</v>
          </cell>
        </row>
        <row r="1440">
          <cell r="H1440">
            <v>58560</v>
          </cell>
          <cell r="O1440">
            <v>41365</v>
          </cell>
          <cell r="R1440" t="str">
            <v/>
          </cell>
          <cell r="T1440" t="str">
            <v>60 - 00011R41365</v>
          </cell>
        </row>
        <row r="1441">
          <cell r="H1441">
            <v>4298000</v>
          </cell>
          <cell r="O1441">
            <v>41365</v>
          </cell>
          <cell r="R1441" t="str">
            <v/>
          </cell>
          <cell r="T1441" t="str">
            <v>60 - 00011R41365</v>
          </cell>
        </row>
        <row r="1442">
          <cell r="H1442">
            <v>0</v>
          </cell>
          <cell r="O1442">
            <v>41365</v>
          </cell>
          <cell r="R1442" t="str">
            <v/>
          </cell>
          <cell r="T1442" t="str">
            <v>60 - 00011R41365</v>
          </cell>
        </row>
        <row r="1443">
          <cell r="H1443">
            <v>0</v>
          </cell>
          <cell r="O1443">
            <v>41365</v>
          </cell>
          <cell r="R1443" t="str">
            <v/>
          </cell>
          <cell r="T1443" t="str">
            <v>60 - 00011R41365</v>
          </cell>
        </row>
        <row r="1444">
          <cell r="H1444">
            <v>0</v>
          </cell>
          <cell r="O1444">
            <v>41365</v>
          </cell>
          <cell r="R1444" t="str">
            <v/>
          </cell>
          <cell r="T1444" t="str">
            <v>60 - 00011R41365</v>
          </cell>
        </row>
        <row r="1445">
          <cell r="H1445">
            <v>0</v>
          </cell>
          <cell r="O1445">
            <v>41365</v>
          </cell>
          <cell r="R1445" t="str">
            <v/>
          </cell>
          <cell r="T1445" t="str">
            <v>60 - 00011R41365</v>
          </cell>
        </row>
        <row r="1446">
          <cell r="H1446">
            <v>380</v>
          </cell>
          <cell r="O1446">
            <v>41365</v>
          </cell>
          <cell r="R1446" t="str">
            <v/>
          </cell>
          <cell r="T1446" t="str">
            <v>60 - 00011R41365</v>
          </cell>
        </row>
        <row r="1447">
          <cell r="H1447">
            <v>0</v>
          </cell>
          <cell r="O1447">
            <v>41365</v>
          </cell>
          <cell r="R1447" t="str">
            <v/>
          </cell>
          <cell r="T1447" t="str">
            <v>60 - 00011R41365</v>
          </cell>
        </row>
        <row r="1448">
          <cell r="H1448">
            <v>6944000</v>
          </cell>
          <cell r="O1448">
            <v>41365</v>
          </cell>
          <cell r="R1448" t="str">
            <v/>
          </cell>
          <cell r="T1448" t="str">
            <v>60 - 00011U41365</v>
          </cell>
        </row>
        <row r="1449">
          <cell r="H1449">
            <v>0</v>
          </cell>
          <cell r="O1449">
            <v>41365</v>
          </cell>
          <cell r="R1449" t="str">
            <v/>
          </cell>
          <cell r="T1449" t="str">
            <v>60 - 00011B41365</v>
          </cell>
        </row>
        <row r="1450">
          <cell r="H1450">
            <v>928032</v>
          </cell>
          <cell r="O1450">
            <v>41365</v>
          </cell>
          <cell r="R1450" t="str">
            <v/>
          </cell>
          <cell r="T1450" t="str">
            <v>60 - 00011B41365</v>
          </cell>
        </row>
        <row r="1451">
          <cell r="H1451">
            <v>77838</v>
          </cell>
          <cell r="O1451">
            <v>41365</v>
          </cell>
          <cell r="R1451" t="str">
            <v/>
          </cell>
          <cell r="T1451" t="str">
            <v>60 - 00011B41365</v>
          </cell>
        </row>
        <row r="1452">
          <cell r="H1452">
            <v>-71538</v>
          </cell>
          <cell r="O1452">
            <v>41365</v>
          </cell>
          <cell r="R1452" t="str">
            <v/>
          </cell>
          <cell r="T1452" t="str">
            <v>60 - 00011B41365</v>
          </cell>
        </row>
        <row r="1453">
          <cell r="H1453">
            <v>486</v>
          </cell>
          <cell r="O1453">
            <v>41365</v>
          </cell>
          <cell r="R1453" t="str">
            <v/>
          </cell>
          <cell r="T1453" t="str">
            <v>60 - 00011B41365</v>
          </cell>
        </row>
        <row r="1454">
          <cell r="H1454">
            <v>2151853</v>
          </cell>
          <cell r="O1454">
            <v>41365</v>
          </cell>
          <cell r="R1454" t="str">
            <v/>
          </cell>
          <cell r="T1454" t="str">
            <v>60 - 00011B41365</v>
          </cell>
        </row>
        <row r="1455">
          <cell r="H1455">
            <v>0</v>
          </cell>
          <cell r="O1455">
            <v>41365</v>
          </cell>
          <cell r="R1455" t="str">
            <v/>
          </cell>
          <cell r="T1455" t="str">
            <v>60 - 00011B41365</v>
          </cell>
        </row>
        <row r="1456">
          <cell r="H1456">
            <v>152000</v>
          </cell>
          <cell r="O1456">
            <v>41365</v>
          </cell>
          <cell r="R1456" t="str">
            <v/>
          </cell>
          <cell r="T1456" t="str">
            <v>60 - 00011B41365</v>
          </cell>
        </row>
        <row r="1457">
          <cell r="H1457">
            <v>14252</v>
          </cell>
          <cell r="O1457">
            <v>41365</v>
          </cell>
          <cell r="R1457" t="str">
            <v/>
          </cell>
          <cell r="T1457" t="str">
            <v>60 - 00011B41365</v>
          </cell>
        </row>
        <row r="1458">
          <cell r="H1458">
            <v>805</v>
          </cell>
          <cell r="O1458">
            <v>41365</v>
          </cell>
          <cell r="R1458" t="str">
            <v/>
          </cell>
          <cell r="T1458" t="str">
            <v>60 - 00011B41365</v>
          </cell>
        </row>
        <row r="1459">
          <cell r="H1459">
            <v>0</v>
          </cell>
          <cell r="O1459">
            <v>41365</v>
          </cell>
          <cell r="R1459" t="str">
            <v/>
          </cell>
          <cell r="T1459" t="str">
            <v>60 - 00011B41365</v>
          </cell>
        </row>
        <row r="1460">
          <cell r="H1460">
            <v>0</v>
          </cell>
          <cell r="O1460">
            <v>41365</v>
          </cell>
          <cell r="R1460" t="str">
            <v/>
          </cell>
          <cell r="T1460" t="str">
            <v>60 - 00011B41365</v>
          </cell>
        </row>
        <row r="1461">
          <cell r="H1461">
            <v>210292</v>
          </cell>
          <cell r="O1461">
            <v>41365</v>
          </cell>
          <cell r="R1461" t="str">
            <v/>
          </cell>
          <cell r="T1461" t="str">
            <v>60 - 00011B41365</v>
          </cell>
        </row>
        <row r="1462">
          <cell r="H1462">
            <v>5709</v>
          </cell>
          <cell r="O1462">
            <v>41365</v>
          </cell>
          <cell r="R1462" t="str">
            <v/>
          </cell>
          <cell r="T1462" t="str">
            <v>60 - 00011B41365</v>
          </cell>
        </row>
        <row r="1463">
          <cell r="H1463">
            <v>33346</v>
          </cell>
          <cell r="O1463">
            <v>41365</v>
          </cell>
          <cell r="R1463" t="str">
            <v/>
          </cell>
          <cell r="T1463" t="str">
            <v>60 - 00011B41365</v>
          </cell>
        </row>
        <row r="1464">
          <cell r="H1464">
            <v>0</v>
          </cell>
          <cell r="O1464">
            <v>41365</v>
          </cell>
          <cell r="R1464" t="str">
            <v/>
          </cell>
          <cell r="T1464" t="str">
            <v>60 - 00011B41365</v>
          </cell>
        </row>
        <row r="1465">
          <cell r="H1465">
            <v>0</v>
          </cell>
          <cell r="O1465">
            <v>41365</v>
          </cell>
          <cell r="R1465" t="str">
            <v/>
          </cell>
          <cell r="T1465" t="str">
            <v>60 - 00011R41365</v>
          </cell>
        </row>
        <row r="1466">
          <cell r="H1466">
            <v>0</v>
          </cell>
          <cell r="O1466">
            <v>41365</v>
          </cell>
          <cell r="R1466" t="str">
            <v/>
          </cell>
          <cell r="T1466" t="str">
            <v>60 - 00011R41365</v>
          </cell>
        </row>
        <row r="1467">
          <cell r="H1467">
            <v>0</v>
          </cell>
          <cell r="O1467">
            <v>41365</v>
          </cell>
          <cell r="R1467" t="str">
            <v/>
          </cell>
          <cell r="T1467" t="str">
            <v>60 - 00011R41365</v>
          </cell>
        </row>
        <row r="1468">
          <cell r="H1468">
            <v>0</v>
          </cell>
          <cell r="O1468">
            <v>41365</v>
          </cell>
          <cell r="R1468" t="str">
            <v/>
          </cell>
          <cell r="T1468" t="str">
            <v>60 - 00011R41365</v>
          </cell>
        </row>
        <row r="1469">
          <cell r="H1469">
            <v>0</v>
          </cell>
          <cell r="O1469">
            <v>41365</v>
          </cell>
          <cell r="R1469" t="str">
            <v/>
          </cell>
          <cell r="T1469" t="str">
            <v>60 - 00011R41365</v>
          </cell>
        </row>
        <row r="1470">
          <cell r="H1470">
            <v>0</v>
          </cell>
          <cell r="O1470">
            <v>41365</v>
          </cell>
          <cell r="R1470" t="str">
            <v/>
          </cell>
          <cell r="T1470" t="str">
            <v>60 - 00011R41365</v>
          </cell>
        </row>
        <row r="1471">
          <cell r="H1471">
            <v>0</v>
          </cell>
          <cell r="O1471">
            <v>41365</v>
          </cell>
          <cell r="R1471" t="str">
            <v/>
          </cell>
          <cell r="T1471" t="str">
            <v>60 - 00011R41365</v>
          </cell>
        </row>
        <row r="1472">
          <cell r="H1472">
            <v>0</v>
          </cell>
          <cell r="O1472">
            <v>41365</v>
          </cell>
          <cell r="R1472" t="str">
            <v/>
          </cell>
          <cell r="T1472" t="str">
            <v>60 - 00011R41365</v>
          </cell>
        </row>
        <row r="1473">
          <cell r="H1473">
            <v>0</v>
          </cell>
          <cell r="O1473">
            <v>41365</v>
          </cell>
          <cell r="R1473" t="str">
            <v/>
          </cell>
          <cell r="T1473" t="str">
            <v>60 - 00011R41365</v>
          </cell>
        </row>
        <row r="1474">
          <cell r="H1474">
            <v>0</v>
          </cell>
          <cell r="O1474">
            <v>41365</v>
          </cell>
          <cell r="R1474" t="str">
            <v/>
          </cell>
          <cell r="T1474" t="str">
            <v>60 - 00011R41365</v>
          </cell>
        </row>
        <row r="1475">
          <cell r="H1475">
            <v>0</v>
          </cell>
          <cell r="O1475">
            <v>41365</v>
          </cell>
          <cell r="R1475" t="str">
            <v/>
          </cell>
          <cell r="T1475" t="str">
            <v>60 - 00011R41365</v>
          </cell>
        </row>
        <row r="1476">
          <cell r="H1476">
            <v>0</v>
          </cell>
          <cell r="O1476">
            <v>41365</v>
          </cell>
          <cell r="R1476" t="str">
            <v/>
          </cell>
          <cell r="T1476" t="str">
            <v>60 - 00011R41365</v>
          </cell>
        </row>
        <row r="1477">
          <cell r="H1477">
            <v>77838</v>
          </cell>
          <cell r="O1477">
            <v>41365</v>
          </cell>
          <cell r="R1477" t="str">
            <v/>
          </cell>
          <cell r="T1477" t="str">
            <v>60 - 00011R41365</v>
          </cell>
        </row>
        <row r="1478">
          <cell r="H1478">
            <v>431600</v>
          </cell>
          <cell r="O1478">
            <v>41365</v>
          </cell>
          <cell r="R1478" t="str">
            <v/>
          </cell>
          <cell r="T1478" t="str">
            <v>60 - 00011R41365</v>
          </cell>
        </row>
        <row r="1479">
          <cell r="H1479">
            <v>152000</v>
          </cell>
          <cell r="O1479">
            <v>41365</v>
          </cell>
          <cell r="R1479" t="str">
            <v/>
          </cell>
          <cell r="T1479" t="str">
            <v>60 - 00011R41365</v>
          </cell>
        </row>
        <row r="1480">
          <cell r="H1480">
            <v>3196983</v>
          </cell>
          <cell r="O1480">
            <v>41365</v>
          </cell>
          <cell r="R1480" t="str">
            <v/>
          </cell>
          <cell r="T1480" t="str">
            <v>60 - 00011R41365</v>
          </cell>
        </row>
        <row r="1481">
          <cell r="H1481">
            <v>4892</v>
          </cell>
          <cell r="O1481">
            <v>41365</v>
          </cell>
          <cell r="R1481" t="str">
            <v/>
          </cell>
          <cell r="T1481" t="str">
            <v>60 - 00011R41365</v>
          </cell>
        </row>
        <row r="1482">
          <cell r="H1482">
            <v>486</v>
          </cell>
          <cell r="O1482">
            <v>41365</v>
          </cell>
          <cell r="R1482" t="str">
            <v/>
          </cell>
          <cell r="T1482" t="str">
            <v>60 - 00011R41365</v>
          </cell>
        </row>
        <row r="1483">
          <cell r="H1483">
            <v>0</v>
          </cell>
          <cell r="O1483">
            <v>41365</v>
          </cell>
          <cell r="R1483" t="str">
            <v/>
          </cell>
          <cell r="T1483" t="str">
            <v>60 - 00011R41365</v>
          </cell>
        </row>
        <row r="1484">
          <cell r="H1484">
            <v>0</v>
          </cell>
          <cell r="O1484">
            <v>41365</v>
          </cell>
          <cell r="R1484" t="str">
            <v/>
          </cell>
          <cell r="T1484" t="str">
            <v>60 - 00011R41365</v>
          </cell>
        </row>
        <row r="1485">
          <cell r="H1485">
            <v>0</v>
          </cell>
          <cell r="O1485">
            <v>41365</v>
          </cell>
          <cell r="R1485" t="str">
            <v/>
          </cell>
          <cell r="T1485" t="str">
            <v>60 - 00011R41365</v>
          </cell>
        </row>
        <row r="1486">
          <cell r="H1486">
            <v>3068</v>
          </cell>
          <cell r="O1486">
            <v>41365</v>
          </cell>
          <cell r="R1486" t="str">
            <v/>
          </cell>
          <cell r="T1486" t="str">
            <v>60 - 00011R41365</v>
          </cell>
        </row>
        <row r="1487">
          <cell r="H1487">
            <v>11638</v>
          </cell>
          <cell r="O1487">
            <v>41365</v>
          </cell>
          <cell r="R1487" t="str">
            <v/>
          </cell>
          <cell r="T1487" t="str">
            <v>60 - 00011R41365</v>
          </cell>
        </row>
        <row r="1488">
          <cell r="H1488">
            <v>0</v>
          </cell>
          <cell r="O1488">
            <v>41365</v>
          </cell>
          <cell r="R1488" t="str">
            <v/>
          </cell>
          <cell r="T1488" t="str">
            <v>60 - 00011R41365</v>
          </cell>
        </row>
        <row r="1489">
          <cell r="H1489">
            <v>0</v>
          </cell>
          <cell r="O1489">
            <v>41365</v>
          </cell>
          <cell r="R1489" t="str">
            <v/>
          </cell>
          <cell r="T1489" t="str">
            <v>60 - 00011R41365</v>
          </cell>
        </row>
        <row r="1490">
          <cell r="H1490">
            <v>0</v>
          </cell>
          <cell r="O1490">
            <v>41365</v>
          </cell>
          <cell r="R1490" t="str">
            <v/>
          </cell>
          <cell r="T1490" t="str">
            <v>60 - 00011R41365</v>
          </cell>
        </row>
        <row r="1491">
          <cell r="H1491">
            <v>0</v>
          </cell>
          <cell r="O1491">
            <v>41365</v>
          </cell>
          <cell r="R1491" t="str">
            <v/>
          </cell>
          <cell r="T1491" t="str">
            <v>60 - 00011R41365</v>
          </cell>
        </row>
        <row r="1492">
          <cell r="H1492">
            <v>0</v>
          </cell>
          <cell r="O1492">
            <v>41365</v>
          </cell>
          <cell r="R1492" t="str">
            <v/>
          </cell>
          <cell r="T1492" t="str">
            <v>60 - 00011R41365</v>
          </cell>
        </row>
        <row r="1493">
          <cell r="H1493">
            <v>14252</v>
          </cell>
          <cell r="O1493">
            <v>41365</v>
          </cell>
          <cell r="R1493" t="str">
            <v/>
          </cell>
          <cell r="T1493" t="str">
            <v>60 - 00011R41365</v>
          </cell>
        </row>
        <row r="1494">
          <cell r="H1494">
            <v>0</v>
          </cell>
          <cell r="O1494">
            <v>41365</v>
          </cell>
          <cell r="R1494" t="str">
            <v/>
          </cell>
          <cell r="T1494" t="str">
            <v>60 - 00011R41365</v>
          </cell>
        </row>
        <row r="1495">
          <cell r="H1495">
            <v>9150</v>
          </cell>
          <cell r="O1495">
            <v>41365</v>
          </cell>
          <cell r="R1495" t="str">
            <v/>
          </cell>
          <cell r="T1495" t="str">
            <v>60 - 00011R41365</v>
          </cell>
        </row>
        <row r="1496">
          <cell r="H1496">
            <v>0</v>
          </cell>
          <cell r="O1496">
            <v>41365</v>
          </cell>
          <cell r="R1496" t="str">
            <v/>
          </cell>
          <cell r="T1496" t="str">
            <v>60 - 00011R41365</v>
          </cell>
        </row>
        <row r="1497">
          <cell r="H1497">
            <v>0</v>
          </cell>
          <cell r="O1497">
            <v>41365</v>
          </cell>
          <cell r="R1497" t="str">
            <v/>
          </cell>
          <cell r="T1497" t="str">
            <v>60 - 00011R41365</v>
          </cell>
        </row>
        <row r="1498">
          <cell r="H1498">
            <v>175374</v>
          </cell>
          <cell r="O1498">
            <v>41365</v>
          </cell>
          <cell r="R1498" t="str">
            <v/>
          </cell>
          <cell r="T1498" t="str">
            <v>60 - 00011R41365</v>
          </cell>
        </row>
        <row r="1499">
          <cell r="H1499">
            <v>5630</v>
          </cell>
          <cell r="O1499">
            <v>41365</v>
          </cell>
          <cell r="R1499" t="str">
            <v/>
          </cell>
          <cell r="T1499" t="str">
            <v>60 - 00011R41365</v>
          </cell>
        </row>
        <row r="1500">
          <cell r="H1500">
            <v>31339</v>
          </cell>
          <cell r="O1500">
            <v>41365</v>
          </cell>
          <cell r="R1500" t="str">
            <v/>
          </cell>
          <cell r="T1500" t="str">
            <v>60 - 00011R41365</v>
          </cell>
        </row>
        <row r="1501">
          <cell r="H1501">
            <v>0</v>
          </cell>
          <cell r="O1501">
            <v>41365</v>
          </cell>
          <cell r="R1501" t="str">
            <v/>
          </cell>
          <cell r="T1501" t="str">
            <v>60 - 00011R41365</v>
          </cell>
        </row>
        <row r="1502">
          <cell r="H1502">
            <v>3968000</v>
          </cell>
          <cell r="O1502">
            <v>41365</v>
          </cell>
          <cell r="R1502" t="str">
            <v/>
          </cell>
          <cell r="T1502" t="str">
            <v>60 - 00011U41365</v>
          </cell>
        </row>
        <row r="1503">
          <cell r="H1503">
            <v>0</v>
          </cell>
          <cell r="O1503">
            <v>41365</v>
          </cell>
          <cell r="R1503" t="str">
            <v/>
          </cell>
          <cell r="T1503" t="str">
            <v>60 - 00011R41365</v>
          </cell>
        </row>
        <row r="1504">
          <cell r="H1504">
            <v>0</v>
          </cell>
          <cell r="O1504">
            <v>41365</v>
          </cell>
          <cell r="R1504" t="str">
            <v/>
          </cell>
          <cell r="T1504" t="str">
            <v>60 - 00011R41365</v>
          </cell>
        </row>
        <row r="1505">
          <cell r="H1505">
            <v>0</v>
          </cell>
          <cell r="O1505">
            <v>41365</v>
          </cell>
          <cell r="R1505" t="str">
            <v/>
          </cell>
          <cell r="T1505" t="str">
            <v>60 - 00011R41365</v>
          </cell>
        </row>
        <row r="1506">
          <cell r="H1506">
            <v>0</v>
          </cell>
          <cell r="O1506">
            <v>41365</v>
          </cell>
          <cell r="R1506" t="str">
            <v/>
          </cell>
          <cell r="T1506" t="str">
            <v>60 - 00011R41365</v>
          </cell>
        </row>
        <row r="1507">
          <cell r="H1507">
            <v>33915</v>
          </cell>
          <cell r="O1507">
            <v>41365</v>
          </cell>
          <cell r="R1507" t="str">
            <v/>
          </cell>
          <cell r="T1507" t="str">
            <v>60 - 00011R41365</v>
          </cell>
        </row>
        <row r="1508">
          <cell r="H1508">
            <v>12416</v>
          </cell>
          <cell r="O1508">
            <v>41365</v>
          </cell>
          <cell r="R1508" t="str">
            <v/>
          </cell>
          <cell r="T1508" t="str">
            <v>60 - 00011R41365</v>
          </cell>
        </row>
        <row r="1509">
          <cell r="H1509">
            <v>1621377</v>
          </cell>
          <cell r="O1509">
            <v>41365</v>
          </cell>
          <cell r="R1509" t="str">
            <v/>
          </cell>
          <cell r="T1509" t="str">
            <v>60 - 00011R41365</v>
          </cell>
        </row>
        <row r="1510">
          <cell r="H1510">
            <v>686179</v>
          </cell>
          <cell r="O1510">
            <v>41365</v>
          </cell>
          <cell r="R1510" t="str">
            <v/>
          </cell>
          <cell r="T1510" t="str">
            <v>60 - 00011R41365</v>
          </cell>
        </row>
        <row r="1511">
          <cell r="H1511">
            <v>31</v>
          </cell>
          <cell r="O1511">
            <v>41365</v>
          </cell>
          <cell r="R1511" t="str">
            <v/>
          </cell>
          <cell r="T1511" t="str">
            <v>60 - 00011R41365</v>
          </cell>
        </row>
        <row r="1512">
          <cell r="H1512">
            <v>62005</v>
          </cell>
          <cell r="O1512">
            <v>41365</v>
          </cell>
          <cell r="R1512" t="str">
            <v/>
          </cell>
          <cell r="T1512" t="str">
            <v>60 - 00011R41365</v>
          </cell>
        </row>
        <row r="1513">
          <cell r="H1513">
            <v>700761</v>
          </cell>
          <cell r="O1513">
            <v>41365</v>
          </cell>
          <cell r="R1513" t="str">
            <v/>
          </cell>
          <cell r="T1513" t="str">
            <v>60 - 00011R41365</v>
          </cell>
        </row>
        <row r="1514">
          <cell r="H1514">
            <v>3508</v>
          </cell>
          <cell r="O1514">
            <v>41365</v>
          </cell>
          <cell r="R1514" t="str">
            <v/>
          </cell>
          <cell r="T1514" t="str">
            <v>60 - 00011R41365</v>
          </cell>
        </row>
        <row r="1515">
          <cell r="H1515">
            <v>0</v>
          </cell>
          <cell r="O1515">
            <v>41365</v>
          </cell>
          <cell r="R1515" t="str">
            <v/>
          </cell>
          <cell r="T1515" t="str">
            <v>60 - 00011R41365</v>
          </cell>
        </row>
        <row r="1516">
          <cell r="H1516">
            <v>-51000</v>
          </cell>
          <cell r="O1516">
            <v>41365</v>
          </cell>
          <cell r="R1516" t="str">
            <v/>
          </cell>
          <cell r="T1516" t="str">
            <v>60 - 00011U41365</v>
          </cell>
        </row>
        <row r="1517">
          <cell r="H1517">
            <v>0</v>
          </cell>
          <cell r="O1517">
            <v>41365</v>
          </cell>
          <cell r="R1517" t="str">
            <v/>
          </cell>
          <cell r="T1517" t="str">
            <v>60 - 00012B41365</v>
          </cell>
        </row>
        <row r="1518">
          <cell r="H1518">
            <v>106767026</v>
          </cell>
          <cell r="O1518">
            <v>41365</v>
          </cell>
          <cell r="R1518" t="str">
            <v/>
          </cell>
          <cell r="T1518" t="str">
            <v>60 - 00012B41365</v>
          </cell>
        </row>
        <row r="1519">
          <cell r="H1519">
            <v>151495</v>
          </cell>
          <cell r="O1519">
            <v>41365</v>
          </cell>
          <cell r="R1519" t="str">
            <v/>
          </cell>
          <cell r="T1519" t="str">
            <v>60 - 00012B41365</v>
          </cell>
        </row>
        <row r="1520">
          <cell r="H1520">
            <v>32189</v>
          </cell>
          <cell r="O1520">
            <v>41365</v>
          </cell>
          <cell r="R1520" t="str">
            <v/>
          </cell>
          <cell r="T1520" t="str">
            <v>60 - 00012B41365</v>
          </cell>
        </row>
        <row r="1521">
          <cell r="H1521">
            <v>5323831</v>
          </cell>
          <cell r="O1521">
            <v>41365</v>
          </cell>
          <cell r="R1521" t="str">
            <v/>
          </cell>
          <cell r="T1521" t="str">
            <v>60 - 00012B41365</v>
          </cell>
        </row>
        <row r="1522">
          <cell r="H1522">
            <v>87432</v>
          </cell>
          <cell r="O1522">
            <v>41365</v>
          </cell>
          <cell r="R1522" t="str">
            <v/>
          </cell>
          <cell r="T1522" t="str">
            <v>60 - 00012B41365</v>
          </cell>
        </row>
        <row r="1523">
          <cell r="H1523">
            <v>67320</v>
          </cell>
          <cell r="O1523">
            <v>41365</v>
          </cell>
          <cell r="R1523" t="str">
            <v/>
          </cell>
          <cell r="T1523" t="str">
            <v>60 - 00012B41365</v>
          </cell>
        </row>
        <row r="1524">
          <cell r="H1524">
            <v>400303</v>
          </cell>
          <cell r="O1524">
            <v>41365</v>
          </cell>
          <cell r="R1524" t="str">
            <v/>
          </cell>
          <cell r="T1524" t="str">
            <v>60 - 00012B41365</v>
          </cell>
        </row>
        <row r="1525">
          <cell r="H1525">
            <v>0</v>
          </cell>
          <cell r="O1525">
            <v>41365</v>
          </cell>
          <cell r="R1525" t="str">
            <v/>
          </cell>
          <cell r="T1525" t="str">
            <v>60 - 00012B41365</v>
          </cell>
        </row>
        <row r="1526">
          <cell r="H1526">
            <v>0</v>
          </cell>
          <cell r="O1526">
            <v>41365</v>
          </cell>
          <cell r="R1526" t="str">
            <v>41365WARESAGA</v>
          </cell>
          <cell r="T1526" t="str">
            <v>60 - 00012R41365</v>
          </cell>
        </row>
        <row r="1527">
          <cell r="H1527">
            <v>0</v>
          </cell>
          <cell r="O1527">
            <v>41365</v>
          </cell>
          <cell r="R1527" t="str">
            <v>41365WARESAGA</v>
          </cell>
          <cell r="T1527" t="str">
            <v>60 - 00012R41365</v>
          </cell>
        </row>
        <row r="1528">
          <cell r="H1528">
            <v>0</v>
          </cell>
          <cell r="O1528">
            <v>41365</v>
          </cell>
          <cell r="R1528" t="str">
            <v>41365WARESAGA</v>
          </cell>
          <cell r="T1528" t="str">
            <v>60 - 00012R41365</v>
          </cell>
        </row>
        <row r="1529">
          <cell r="H1529">
            <v>0</v>
          </cell>
          <cell r="O1529">
            <v>41365</v>
          </cell>
          <cell r="R1529" t="str">
            <v>41365WARESAGA</v>
          </cell>
          <cell r="T1529" t="str">
            <v>60 - 00012R41365</v>
          </cell>
        </row>
        <row r="1530">
          <cell r="H1530">
            <v>0</v>
          </cell>
          <cell r="O1530">
            <v>41365</v>
          </cell>
          <cell r="R1530" t="str">
            <v>41365WARESAGA</v>
          </cell>
          <cell r="T1530" t="str">
            <v>60 - 00012R41365</v>
          </cell>
        </row>
        <row r="1531">
          <cell r="H1531">
            <v>0</v>
          </cell>
          <cell r="O1531">
            <v>41365</v>
          </cell>
          <cell r="R1531" t="str">
            <v>41365WARESAGA</v>
          </cell>
          <cell r="T1531" t="str">
            <v>60 - 00012R41365</v>
          </cell>
        </row>
        <row r="1532">
          <cell r="H1532">
            <v>0</v>
          </cell>
          <cell r="O1532">
            <v>41365</v>
          </cell>
          <cell r="R1532" t="str">
            <v>41365WARESAGA</v>
          </cell>
          <cell r="T1532" t="str">
            <v>60 - 00012R41365</v>
          </cell>
        </row>
        <row r="1533">
          <cell r="H1533">
            <v>106767064</v>
          </cell>
          <cell r="O1533">
            <v>41365</v>
          </cell>
          <cell r="R1533" t="str">
            <v>41365WARES16</v>
          </cell>
          <cell r="T1533" t="str">
            <v>60 - 00012R41365</v>
          </cell>
        </row>
        <row r="1534">
          <cell r="H1534">
            <v>151495</v>
          </cell>
          <cell r="O1534">
            <v>41365</v>
          </cell>
          <cell r="R1534" t="str">
            <v>41365WARES18</v>
          </cell>
          <cell r="T1534" t="str">
            <v>60 - 00012R41365</v>
          </cell>
        </row>
        <row r="1535">
          <cell r="H1535">
            <v>32189</v>
          </cell>
          <cell r="O1535">
            <v>41365</v>
          </cell>
          <cell r="R1535" t="str">
            <v>41365WARES18</v>
          </cell>
          <cell r="T1535" t="str">
            <v>60 - 00012R41365</v>
          </cell>
        </row>
        <row r="1536">
          <cell r="H1536">
            <v>0</v>
          </cell>
          <cell r="O1536">
            <v>41365</v>
          </cell>
          <cell r="R1536" t="str">
            <v>41365WARESAGA</v>
          </cell>
          <cell r="T1536" t="str">
            <v>60 - 00012R41365</v>
          </cell>
        </row>
        <row r="1537">
          <cell r="H1537">
            <v>0</v>
          </cell>
          <cell r="O1537">
            <v>41365</v>
          </cell>
          <cell r="R1537" t="str">
            <v>41365WARESAGA</v>
          </cell>
          <cell r="T1537" t="str">
            <v>60 - 00012R41365</v>
          </cell>
        </row>
        <row r="1538">
          <cell r="H1538">
            <v>5323831</v>
          </cell>
          <cell r="O1538">
            <v>41365</v>
          </cell>
          <cell r="R1538" t="str">
            <v>41365WARES17</v>
          </cell>
          <cell r="T1538" t="str">
            <v>60 - 00012R41365</v>
          </cell>
        </row>
        <row r="1539">
          <cell r="H1539">
            <v>87432</v>
          </cell>
          <cell r="O1539">
            <v>41365</v>
          </cell>
          <cell r="R1539" t="str">
            <v>41365WARES15</v>
          </cell>
          <cell r="T1539" t="str">
            <v>60 - 00012R41365</v>
          </cell>
        </row>
        <row r="1540">
          <cell r="H1540">
            <v>67320</v>
          </cell>
          <cell r="O1540">
            <v>41365</v>
          </cell>
          <cell r="R1540" t="str">
            <v>41365WARES16</v>
          </cell>
          <cell r="T1540" t="str">
            <v>60 - 00012R41365</v>
          </cell>
        </row>
        <row r="1541">
          <cell r="H1541">
            <v>400314</v>
          </cell>
          <cell r="O1541">
            <v>41365</v>
          </cell>
          <cell r="R1541" t="str">
            <v>41365WARES24</v>
          </cell>
          <cell r="T1541" t="str">
            <v>60 - 00012R41365</v>
          </cell>
        </row>
        <row r="1542">
          <cell r="H1542">
            <v>0</v>
          </cell>
          <cell r="O1542">
            <v>41365</v>
          </cell>
          <cell r="R1542" t="str">
            <v>41365WARESAGA</v>
          </cell>
          <cell r="T1542" t="str">
            <v>60 - 00012R41365</v>
          </cell>
        </row>
        <row r="1543">
          <cell r="H1543">
            <v>-11994000</v>
          </cell>
          <cell r="O1543">
            <v>41365</v>
          </cell>
          <cell r="R1543" t="str">
            <v>41365WARES88</v>
          </cell>
          <cell r="T1543" t="str">
            <v>60 - 00012U41365</v>
          </cell>
        </row>
        <row r="1544">
          <cell r="H1544">
            <v>0</v>
          </cell>
          <cell r="O1544">
            <v>41365</v>
          </cell>
          <cell r="R1544" t="str">
            <v>41365WARESAGA</v>
          </cell>
          <cell r="T1544" t="str">
            <v>60 - 00012U41365</v>
          </cell>
        </row>
        <row r="1545">
          <cell r="H1545">
            <v>0</v>
          </cell>
          <cell r="O1545">
            <v>41365</v>
          </cell>
          <cell r="R1545" t="str">
            <v/>
          </cell>
          <cell r="T1545" t="str">
            <v>60 - 00012B41365</v>
          </cell>
        </row>
        <row r="1546">
          <cell r="H1546">
            <v>2756111</v>
          </cell>
          <cell r="O1546">
            <v>41365</v>
          </cell>
          <cell r="R1546" t="str">
            <v/>
          </cell>
          <cell r="T1546" t="str">
            <v>60 - 00012B41365</v>
          </cell>
        </row>
        <row r="1547">
          <cell r="H1547">
            <v>90898</v>
          </cell>
          <cell r="O1547">
            <v>41365</v>
          </cell>
          <cell r="R1547" t="str">
            <v/>
          </cell>
          <cell r="T1547" t="str">
            <v>60 - 00012B41365</v>
          </cell>
        </row>
        <row r="1548">
          <cell r="H1548">
            <v>5943608</v>
          </cell>
          <cell r="O1548">
            <v>41365</v>
          </cell>
          <cell r="R1548" t="str">
            <v/>
          </cell>
          <cell r="T1548" t="str">
            <v>60 - 00012B41365</v>
          </cell>
        </row>
        <row r="1549">
          <cell r="H1549">
            <v>47688</v>
          </cell>
          <cell r="O1549">
            <v>41365</v>
          </cell>
          <cell r="R1549" t="str">
            <v/>
          </cell>
          <cell r="T1549" t="str">
            <v>60 - 00012B41365</v>
          </cell>
        </row>
        <row r="1550">
          <cell r="H1550">
            <v>72</v>
          </cell>
          <cell r="O1550">
            <v>41365</v>
          </cell>
          <cell r="R1550" t="str">
            <v/>
          </cell>
          <cell r="T1550" t="str">
            <v>60 - 00012B41365</v>
          </cell>
        </row>
        <row r="1551">
          <cell r="H1551">
            <v>335</v>
          </cell>
          <cell r="O1551">
            <v>41365</v>
          </cell>
          <cell r="R1551" t="str">
            <v/>
          </cell>
          <cell r="T1551" t="str">
            <v>60 - 00012B41365</v>
          </cell>
        </row>
        <row r="1552">
          <cell r="H1552">
            <v>0</v>
          </cell>
          <cell r="O1552">
            <v>41365</v>
          </cell>
          <cell r="R1552" t="str">
            <v/>
          </cell>
          <cell r="T1552" t="str">
            <v>60 - 00012B41365</v>
          </cell>
        </row>
        <row r="1553">
          <cell r="H1553">
            <v>0</v>
          </cell>
          <cell r="O1553">
            <v>41365</v>
          </cell>
          <cell r="R1553" t="str">
            <v>41365WACOMAGA</v>
          </cell>
          <cell r="T1553" t="str">
            <v>60 - 00012R41365</v>
          </cell>
        </row>
        <row r="1554">
          <cell r="H1554">
            <v>0</v>
          </cell>
          <cell r="O1554">
            <v>41365</v>
          </cell>
          <cell r="R1554" t="str">
            <v>41365WACOMAGA</v>
          </cell>
          <cell r="T1554" t="str">
            <v>60 - 00012R41365</v>
          </cell>
        </row>
        <row r="1555">
          <cell r="H1555">
            <v>0</v>
          </cell>
          <cell r="O1555">
            <v>41365</v>
          </cell>
          <cell r="R1555" t="str">
            <v>41365WACOMAGA</v>
          </cell>
          <cell r="T1555" t="str">
            <v>60 - 00012R41365</v>
          </cell>
        </row>
        <row r="1556">
          <cell r="H1556">
            <v>0</v>
          </cell>
          <cell r="O1556">
            <v>41365</v>
          </cell>
          <cell r="R1556" t="str">
            <v>41365WACOMAGA</v>
          </cell>
          <cell r="T1556" t="str">
            <v>60 - 00012R41365</v>
          </cell>
        </row>
        <row r="1557">
          <cell r="H1557">
            <v>0</v>
          </cell>
          <cell r="O1557">
            <v>41365</v>
          </cell>
          <cell r="R1557" t="str">
            <v>41365WACOMAGA</v>
          </cell>
          <cell r="T1557" t="str">
            <v>60 - 00012R41365</v>
          </cell>
        </row>
        <row r="1558">
          <cell r="H1558">
            <v>0</v>
          </cell>
          <cell r="O1558">
            <v>41365</v>
          </cell>
          <cell r="R1558" t="str">
            <v>41365WACOMAGA</v>
          </cell>
          <cell r="T1558" t="str">
            <v>60 - 00012R41365</v>
          </cell>
        </row>
        <row r="1559">
          <cell r="H1559">
            <v>35041018</v>
          </cell>
          <cell r="O1559">
            <v>41365</v>
          </cell>
          <cell r="R1559" t="str">
            <v>41365WACOM24</v>
          </cell>
          <cell r="T1559" t="str">
            <v>60 - 00012R41365</v>
          </cell>
        </row>
        <row r="1560">
          <cell r="H1560">
            <v>93803</v>
          </cell>
          <cell r="O1560">
            <v>41365</v>
          </cell>
          <cell r="R1560" t="str">
            <v>41365WACOM24</v>
          </cell>
          <cell r="T1560" t="str">
            <v>60 - 00012R41365</v>
          </cell>
        </row>
        <row r="1561">
          <cell r="H1561">
            <v>52055052</v>
          </cell>
          <cell r="O1561">
            <v>41365</v>
          </cell>
          <cell r="R1561" t="str">
            <v>41365WACOM36</v>
          </cell>
          <cell r="T1561" t="str">
            <v>60 - 00012R41365</v>
          </cell>
        </row>
        <row r="1562">
          <cell r="H1562">
            <v>12258880</v>
          </cell>
          <cell r="O1562">
            <v>41365</v>
          </cell>
          <cell r="R1562" t="str">
            <v>41365WACOM48T</v>
          </cell>
          <cell r="T1562" t="str">
            <v>60 - 00012R41365</v>
          </cell>
        </row>
        <row r="1563">
          <cell r="H1563">
            <v>0</v>
          </cell>
          <cell r="O1563">
            <v>41365</v>
          </cell>
          <cell r="R1563" t="str">
            <v>41365WACOMAGA</v>
          </cell>
          <cell r="T1563" t="str">
            <v>60 - 00012R41365</v>
          </cell>
        </row>
        <row r="1564">
          <cell r="H1564">
            <v>0</v>
          </cell>
          <cell r="O1564">
            <v>41365</v>
          </cell>
          <cell r="R1564" t="str">
            <v>41365WACOMAGA</v>
          </cell>
          <cell r="T1564" t="str">
            <v>60 - 00012R41365</v>
          </cell>
        </row>
        <row r="1565">
          <cell r="H1565">
            <v>0</v>
          </cell>
          <cell r="O1565">
            <v>41365</v>
          </cell>
          <cell r="R1565" t="str">
            <v>41365WACOMAGA</v>
          </cell>
          <cell r="T1565" t="str">
            <v>60 - 00012R41365</v>
          </cell>
        </row>
        <row r="1566">
          <cell r="H1566">
            <v>0</v>
          </cell>
          <cell r="O1566">
            <v>41365</v>
          </cell>
          <cell r="R1566" t="str">
            <v>41365WACOMAGA</v>
          </cell>
          <cell r="T1566" t="str">
            <v>60 - 00012R41365</v>
          </cell>
        </row>
        <row r="1567">
          <cell r="H1567">
            <v>0</v>
          </cell>
          <cell r="O1567">
            <v>41365</v>
          </cell>
          <cell r="R1567" t="str">
            <v>41365WACOMAGA</v>
          </cell>
          <cell r="T1567" t="str">
            <v>60 - 00012R41365</v>
          </cell>
        </row>
        <row r="1568">
          <cell r="H1568">
            <v>131168</v>
          </cell>
          <cell r="O1568">
            <v>41365</v>
          </cell>
          <cell r="R1568" t="str">
            <v>41365WACOM15</v>
          </cell>
          <cell r="T1568" t="str">
            <v>60 - 00012R41365</v>
          </cell>
        </row>
        <row r="1569">
          <cell r="H1569">
            <v>21985</v>
          </cell>
          <cell r="O1569">
            <v>41365</v>
          </cell>
          <cell r="R1569" t="str">
            <v>41365WACOM54</v>
          </cell>
          <cell r="T1569" t="str">
            <v>60 - 00012R41365</v>
          </cell>
        </row>
        <row r="1570">
          <cell r="H1570">
            <v>0</v>
          </cell>
          <cell r="O1570">
            <v>41365</v>
          </cell>
          <cell r="R1570" t="str">
            <v>41365WACOMAGA</v>
          </cell>
          <cell r="T1570" t="str">
            <v>60 - 00012R41365</v>
          </cell>
        </row>
        <row r="1571">
          <cell r="H1571">
            <v>50454</v>
          </cell>
          <cell r="O1571">
            <v>41365</v>
          </cell>
          <cell r="R1571" t="str">
            <v>41365WACOM24</v>
          </cell>
          <cell r="T1571" t="str">
            <v>60 - 00012R41365</v>
          </cell>
        </row>
        <row r="1572">
          <cell r="H1572">
            <v>2756139</v>
          </cell>
          <cell r="O1572">
            <v>41365</v>
          </cell>
          <cell r="R1572" t="str">
            <v>41365WACOM24</v>
          </cell>
          <cell r="T1572" t="str">
            <v>60 - 00012R41365</v>
          </cell>
        </row>
        <row r="1573">
          <cell r="H1573">
            <v>90900</v>
          </cell>
          <cell r="O1573">
            <v>41365</v>
          </cell>
          <cell r="R1573" t="str">
            <v>41365WACOM24</v>
          </cell>
          <cell r="T1573" t="str">
            <v>60 - 00012R41365</v>
          </cell>
        </row>
        <row r="1574">
          <cell r="H1574">
            <v>5944968</v>
          </cell>
          <cell r="O1574">
            <v>41365</v>
          </cell>
          <cell r="R1574" t="str">
            <v>41365WACOM36</v>
          </cell>
          <cell r="T1574" t="str">
            <v>60 - 00012R41365</v>
          </cell>
        </row>
        <row r="1575">
          <cell r="H1575">
            <v>47688</v>
          </cell>
          <cell r="O1575">
            <v>41365</v>
          </cell>
          <cell r="R1575" t="str">
            <v>41365WACOM15</v>
          </cell>
          <cell r="T1575" t="str">
            <v>60 - 00012R41365</v>
          </cell>
        </row>
        <row r="1576">
          <cell r="H1576">
            <v>25642</v>
          </cell>
          <cell r="O1576">
            <v>41365</v>
          </cell>
          <cell r="R1576" t="str">
            <v>41365WACOM24</v>
          </cell>
          <cell r="T1576" t="str">
            <v>60 - 00012R41365</v>
          </cell>
        </row>
        <row r="1577">
          <cell r="H1577">
            <v>0</v>
          </cell>
          <cell r="O1577">
            <v>41365</v>
          </cell>
          <cell r="R1577" t="str">
            <v>41365WACOMAGA</v>
          </cell>
          <cell r="T1577" t="str">
            <v>60 - 00012R41365</v>
          </cell>
        </row>
        <row r="1578">
          <cell r="H1578">
            <v>0</v>
          </cell>
          <cell r="O1578">
            <v>41365</v>
          </cell>
          <cell r="R1578" t="str">
            <v>41365WACOMAGA</v>
          </cell>
          <cell r="T1578" t="str">
            <v>60 - 00012R41365</v>
          </cell>
        </row>
        <row r="1579">
          <cell r="H1579">
            <v>94640</v>
          </cell>
          <cell r="O1579">
            <v>41365</v>
          </cell>
          <cell r="R1579" t="str">
            <v>41365WACOM36</v>
          </cell>
          <cell r="T1579" t="str">
            <v>60 - 00012R41365</v>
          </cell>
        </row>
        <row r="1580">
          <cell r="H1580">
            <v>0</v>
          </cell>
          <cell r="O1580">
            <v>41365</v>
          </cell>
          <cell r="R1580" t="str">
            <v>41365WACOMAGA</v>
          </cell>
          <cell r="T1580" t="str">
            <v>60 - 00012R41365</v>
          </cell>
        </row>
        <row r="1581">
          <cell r="H1581">
            <v>-1431000</v>
          </cell>
          <cell r="O1581">
            <v>41365</v>
          </cell>
          <cell r="R1581" t="str">
            <v>41365WACOM88</v>
          </cell>
          <cell r="T1581" t="str">
            <v>60 - 00012U41365</v>
          </cell>
        </row>
        <row r="1582">
          <cell r="H1582">
            <v>0</v>
          </cell>
          <cell r="O1582">
            <v>41365</v>
          </cell>
          <cell r="R1582" t="str">
            <v/>
          </cell>
          <cell r="T1582" t="str">
            <v>60 - 00012B41365</v>
          </cell>
        </row>
        <row r="1583">
          <cell r="H1583">
            <v>89709</v>
          </cell>
          <cell r="O1583">
            <v>41365</v>
          </cell>
          <cell r="R1583" t="str">
            <v/>
          </cell>
          <cell r="T1583" t="str">
            <v>60 - 00012B41365</v>
          </cell>
        </row>
        <row r="1584">
          <cell r="H1584">
            <v>2731</v>
          </cell>
          <cell r="O1584">
            <v>41365</v>
          </cell>
          <cell r="R1584" t="str">
            <v/>
          </cell>
          <cell r="T1584" t="str">
            <v>60 - 00012B41365</v>
          </cell>
        </row>
        <row r="1585">
          <cell r="H1585">
            <v>121800</v>
          </cell>
          <cell r="O1585">
            <v>41365</v>
          </cell>
          <cell r="R1585" t="str">
            <v/>
          </cell>
          <cell r="T1585" t="str">
            <v>60 - 00012B41365</v>
          </cell>
        </row>
        <row r="1586">
          <cell r="H1586">
            <v>2380</v>
          </cell>
          <cell r="O1586">
            <v>41365</v>
          </cell>
          <cell r="R1586" t="str">
            <v/>
          </cell>
          <cell r="T1586" t="str">
            <v>60 - 00012B41365</v>
          </cell>
        </row>
        <row r="1587">
          <cell r="H1587">
            <v>0</v>
          </cell>
          <cell r="O1587">
            <v>41365</v>
          </cell>
          <cell r="R1587" t="str">
            <v/>
          </cell>
          <cell r="T1587" t="str">
            <v>60 - 00012B41365</v>
          </cell>
        </row>
        <row r="1588">
          <cell r="H1588">
            <v>0</v>
          </cell>
          <cell r="O1588">
            <v>41365</v>
          </cell>
          <cell r="R1588" t="str">
            <v>41365WAINDAGA</v>
          </cell>
          <cell r="T1588" t="str">
            <v>60 - 00012R41365</v>
          </cell>
        </row>
        <row r="1589">
          <cell r="H1589">
            <v>0</v>
          </cell>
          <cell r="O1589">
            <v>41365</v>
          </cell>
          <cell r="R1589" t="str">
            <v>41365WAINDAGA</v>
          </cell>
          <cell r="T1589" t="str">
            <v>60 - 00012R41365</v>
          </cell>
        </row>
        <row r="1590">
          <cell r="H1590">
            <v>0</v>
          </cell>
          <cell r="O1590">
            <v>41365</v>
          </cell>
          <cell r="R1590" t="str">
            <v>41365WAINDAGA</v>
          </cell>
          <cell r="T1590" t="str">
            <v>60 - 00012R41365</v>
          </cell>
        </row>
        <row r="1591">
          <cell r="H1591">
            <v>0</v>
          </cell>
          <cell r="O1591">
            <v>41365</v>
          </cell>
          <cell r="R1591" t="str">
            <v>41365WAINDAGA</v>
          </cell>
          <cell r="T1591" t="str">
            <v>60 - 00012R41365</v>
          </cell>
        </row>
        <row r="1592">
          <cell r="H1592">
            <v>0</v>
          </cell>
          <cell r="O1592">
            <v>41365</v>
          </cell>
          <cell r="R1592" t="str">
            <v>41365WAINDAGA</v>
          </cell>
          <cell r="T1592" t="str">
            <v>60 - 00012R41365</v>
          </cell>
        </row>
        <row r="1593">
          <cell r="H1593">
            <v>1335345</v>
          </cell>
          <cell r="O1593">
            <v>41365</v>
          </cell>
          <cell r="R1593" t="str">
            <v>41365WAIND24</v>
          </cell>
          <cell r="T1593" t="str">
            <v>60 - 00012R41365</v>
          </cell>
        </row>
        <row r="1594">
          <cell r="H1594">
            <v>2776</v>
          </cell>
          <cell r="O1594">
            <v>41365</v>
          </cell>
          <cell r="R1594" t="str">
            <v>41365WAIND24</v>
          </cell>
          <cell r="T1594" t="str">
            <v>60 - 00012R41365</v>
          </cell>
        </row>
        <row r="1595">
          <cell r="H1595">
            <v>7507020</v>
          </cell>
          <cell r="O1595">
            <v>41365</v>
          </cell>
          <cell r="R1595" t="str">
            <v>41365WAIND36</v>
          </cell>
          <cell r="T1595" t="str">
            <v>60 - 00012R41365</v>
          </cell>
        </row>
        <row r="1596">
          <cell r="H1596">
            <v>56205100</v>
          </cell>
          <cell r="O1596">
            <v>41365</v>
          </cell>
          <cell r="R1596" t="str">
            <v>41365WAIND48T</v>
          </cell>
          <cell r="T1596" t="str">
            <v>60 - 00012R41365</v>
          </cell>
        </row>
        <row r="1597">
          <cell r="H1597">
            <v>10055</v>
          </cell>
          <cell r="O1597">
            <v>41365</v>
          </cell>
          <cell r="R1597" t="str">
            <v>41365WAIND15</v>
          </cell>
          <cell r="T1597" t="str">
            <v>60 - 00012R41365</v>
          </cell>
        </row>
        <row r="1598">
          <cell r="H1598">
            <v>138000</v>
          </cell>
          <cell r="O1598">
            <v>41365</v>
          </cell>
          <cell r="R1598" t="str">
            <v>41365WAIND47</v>
          </cell>
          <cell r="T1598" t="str">
            <v>60 - 00012R41365</v>
          </cell>
        </row>
        <row r="1599">
          <cell r="H1599">
            <v>89710</v>
          </cell>
          <cell r="O1599">
            <v>41365</v>
          </cell>
          <cell r="R1599" t="str">
            <v>41365WAIND24</v>
          </cell>
          <cell r="T1599" t="str">
            <v>60 - 00012R41365</v>
          </cell>
        </row>
        <row r="1600">
          <cell r="H1600">
            <v>2731</v>
          </cell>
          <cell r="O1600">
            <v>41365</v>
          </cell>
          <cell r="R1600" t="str">
            <v>41365WAIND24</v>
          </cell>
          <cell r="T1600" t="str">
            <v>60 - 00012R41365</v>
          </cell>
        </row>
        <row r="1601">
          <cell r="H1601">
            <v>121800</v>
          </cell>
          <cell r="O1601">
            <v>41365</v>
          </cell>
          <cell r="R1601" t="str">
            <v>41365WAIND36</v>
          </cell>
          <cell r="T1601" t="str">
            <v>60 - 00012R41365</v>
          </cell>
        </row>
        <row r="1602">
          <cell r="H1602">
            <v>2380</v>
          </cell>
          <cell r="O1602">
            <v>41365</v>
          </cell>
          <cell r="R1602" t="str">
            <v>41365WAIND15</v>
          </cell>
          <cell r="T1602" t="str">
            <v>60 - 00012R41365</v>
          </cell>
        </row>
        <row r="1603">
          <cell r="H1603">
            <v>0</v>
          </cell>
          <cell r="O1603">
            <v>41365</v>
          </cell>
          <cell r="R1603" t="str">
            <v>41365WAINDAGA</v>
          </cell>
          <cell r="T1603" t="str">
            <v>60 - 00012R41365</v>
          </cell>
        </row>
        <row r="1604">
          <cell r="H1604">
            <v>-7246000</v>
          </cell>
          <cell r="O1604">
            <v>41365</v>
          </cell>
          <cell r="R1604" t="str">
            <v>41365WAIND88</v>
          </cell>
          <cell r="T1604" t="str">
            <v>60 - 00012U41365</v>
          </cell>
        </row>
        <row r="1605">
          <cell r="H1605">
            <v>0</v>
          </cell>
          <cell r="O1605">
            <v>41365</v>
          </cell>
          <cell r="R1605" t="str">
            <v/>
          </cell>
          <cell r="T1605" t="str">
            <v>60 - 00012B41365</v>
          </cell>
        </row>
        <row r="1606">
          <cell r="H1606">
            <v>7750317</v>
          </cell>
          <cell r="O1606">
            <v>41365</v>
          </cell>
          <cell r="R1606" t="str">
            <v/>
          </cell>
          <cell r="T1606" t="str">
            <v>60 - 00012B41365</v>
          </cell>
        </row>
        <row r="1607">
          <cell r="H1607">
            <v>-41579</v>
          </cell>
          <cell r="O1607">
            <v>41365</v>
          </cell>
          <cell r="R1607" t="str">
            <v/>
          </cell>
          <cell r="T1607" t="str">
            <v>60 - 00012B41365</v>
          </cell>
        </row>
        <row r="1608">
          <cell r="H1608">
            <v>0</v>
          </cell>
          <cell r="O1608">
            <v>41365</v>
          </cell>
          <cell r="R1608" t="str">
            <v/>
          </cell>
          <cell r="T1608" t="str">
            <v>60 - 00012B41365</v>
          </cell>
        </row>
        <row r="1609">
          <cell r="H1609">
            <v>0</v>
          </cell>
          <cell r="O1609">
            <v>41365</v>
          </cell>
          <cell r="R1609" t="str">
            <v/>
          </cell>
          <cell r="T1609" t="str">
            <v>60 - 00012B41365</v>
          </cell>
        </row>
        <row r="1610">
          <cell r="H1610">
            <v>0</v>
          </cell>
          <cell r="O1610">
            <v>41365</v>
          </cell>
          <cell r="R1610" t="str">
            <v>41365WAINDAGA</v>
          </cell>
          <cell r="T1610" t="str">
            <v>60 - 00012R41365</v>
          </cell>
        </row>
        <row r="1611">
          <cell r="H1611">
            <v>0</v>
          </cell>
          <cell r="O1611">
            <v>41365</v>
          </cell>
          <cell r="R1611" t="str">
            <v>41365WAINDAGA</v>
          </cell>
          <cell r="T1611" t="str">
            <v>60 - 00012R41365</v>
          </cell>
        </row>
        <row r="1612">
          <cell r="H1612">
            <v>0</v>
          </cell>
          <cell r="O1612">
            <v>41365</v>
          </cell>
          <cell r="R1612" t="str">
            <v>41365WAINDAGA</v>
          </cell>
          <cell r="T1612" t="str">
            <v>60 - 00012R41365</v>
          </cell>
        </row>
        <row r="1613">
          <cell r="H1613">
            <v>0</v>
          </cell>
          <cell r="O1613">
            <v>41365</v>
          </cell>
          <cell r="R1613" t="str">
            <v>41365WAINDAGA</v>
          </cell>
          <cell r="T1613" t="str">
            <v>60 - 00012R41365</v>
          </cell>
        </row>
        <row r="1614">
          <cell r="H1614">
            <v>0</v>
          </cell>
          <cell r="O1614">
            <v>41365</v>
          </cell>
          <cell r="R1614" t="str">
            <v>41365WAINDAGA</v>
          </cell>
          <cell r="T1614" t="str">
            <v>60 - 00012R41365</v>
          </cell>
        </row>
        <row r="1615">
          <cell r="H1615">
            <v>7750405</v>
          </cell>
          <cell r="O1615">
            <v>41365</v>
          </cell>
          <cell r="R1615" t="str">
            <v>41365WAIND40</v>
          </cell>
          <cell r="T1615" t="str">
            <v>60 - 00012R41365</v>
          </cell>
        </row>
        <row r="1616">
          <cell r="H1616">
            <v>299903</v>
          </cell>
          <cell r="O1616">
            <v>41365</v>
          </cell>
          <cell r="R1616" t="str">
            <v>41365WAIND40</v>
          </cell>
          <cell r="T1616" t="str">
            <v>60 - 00012R41365</v>
          </cell>
        </row>
        <row r="1617">
          <cell r="H1617">
            <v>0</v>
          </cell>
          <cell r="O1617">
            <v>41365</v>
          </cell>
          <cell r="R1617" t="str">
            <v>41365WAINDAGA</v>
          </cell>
          <cell r="T1617" t="str">
            <v>60 - 00012R41365</v>
          </cell>
        </row>
        <row r="1618">
          <cell r="H1618">
            <v>0</v>
          </cell>
          <cell r="O1618">
            <v>41365</v>
          </cell>
          <cell r="R1618" t="str">
            <v>41365WAINDAGA</v>
          </cell>
          <cell r="T1618" t="str">
            <v>60 - 00012R41365</v>
          </cell>
        </row>
        <row r="1619">
          <cell r="H1619">
            <v>0</v>
          </cell>
          <cell r="O1619">
            <v>41365</v>
          </cell>
          <cell r="R1619" t="str">
            <v>41365WAINDAGA</v>
          </cell>
          <cell r="T1619" t="str">
            <v>60 - 00012R41365</v>
          </cell>
        </row>
        <row r="1620">
          <cell r="H1620">
            <v>0</v>
          </cell>
          <cell r="O1620">
            <v>41365</v>
          </cell>
          <cell r="R1620" t="str">
            <v>41365WAINDAGA</v>
          </cell>
          <cell r="T1620" t="str">
            <v>60 - 00012R41365</v>
          </cell>
        </row>
        <row r="1621">
          <cell r="H1621">
            <v>0</v>
          </cell>
          <cell r="O1621">
            <v>41365</v>
          </cell>
          <cell r="R1621" t="str">
            <v>41365WAINDAGA</v>
          </cell>
          <cell r="T1621" t="str">
            <v>60 - 00012R41365</v>
          </cell>
        </row>
        <row r="1622">
          <cell r="H1622">
            <v>0</v>
          </cell>
          <cell r="O1622">
            <v>41365</v>
          </cell>
          <cell r="R1622" t="str">
            <v>41365WAINDAGA</v>
          </cell>
          <cell r="T1622" t="str">
            <v>60 - 00012R41365</v>
          </cell>
        </row>
        <row r="1623">
          <cell r="H1623">
            <v>0</v>
          </cell>
          <cell r="O1623">
            <v>41365</v>
          </cell>
          <cell r="R1623" t="str">
            <v>41365WAIND40</v>
          </cell>
          <cell r="T1623" t="str">
            <v>60 - 00012R41365</v>
          </cell>
        </row>
        <row r="1624">
          <cell r="H1624">
            <v>0</v>
          </cell>
          <cell r="O1624">
            <v>41365</v>
          </cell>
          <cell r="R1624" t="str">
            <v>41365WAINDAGA</v>
          </cell>
          <cell r="T1624" t="str">
            <v>60 - 00012R41365</v>
          </cell>
        </row>
        <row r="1625">
          <cell r="H1625">
            <v>6734000</v>
          </cell>
          <cell r="O1625">
            <v>41365</v>
          </cell>
          <cell r="R1625" t="str">
            <v>41365WAIND89</v>
          </cell>
          <cell r="T1625" t="str">
            <v>60 - 00012U41365</v>
          </cell>
        </row>
        <row r="1626">
          <cell r="H1626">
            <v>0</v>
          </cell>
          <cell r="O1626">
            <v>41365</v>
          </cell>
          <cell r="R1626" t="str">
            <v>41365WAPSHAGA</v>
          </cell>
          <cell r="T1626" t="str">
            <v>60 - 00012R41365</v>
          </cell>
        </row>
        <row r="1627">
          <cell r="H1627">
            <v>0</v>
          </cell>
          <cell r="O1627">
            <v>41365</v>
          </cell>
          <cell r="R1627" t="str">
            <v>41365WAPSHAGA</v>
          </cell>
          <cell r="T1627" t="str">
            <v>60 - 00012R41365</v>
          </cell>
        </row>
        <row r="1628">
          <cell r="H1628">
            <v>0</v>
          </cell>
          <cell r="O1628">
            <v>41365</v>
          </cell>
          <cell r="R1628" t="str">
            <v>41365WAPSHAGA</v>
          </cell>
          <cell r="T1628" t="str">
            <v>60 - 00012R41365</v>
          </cell>
        </row>
        <row r="1629">
          <cell r="H1629">
            <v>0</v>
          </cell>
          <cell r="O1629">
            <v>41365</v>
          </cell>
          <cell r="R1629" t="str">
            <v>41365WAPSHAGA</v>
          </cell>
          <cell r="T1629" t="str">
            <v>60 - 00012R41365</v>
          </cell>
        </row>
        <row r="1630">
          <cell r="H1630">
            <v>18326</v>
          </cell>
          <cell r="O1630">
            <v>41365</v>
          </cell>
          <cell r="R1630" t="str">
            <v>41365WAPSH52</v>
          </cell>
          <cell r="T1630" t="str">
            <v>60 - 00012R41365</v>
          </cell>
        </row>
        <row r="1631">
          <cell r="H1631">
            <v>289026</v>
          </cell>
          <cell r="O1631">
            <v>41365</v>
          </cell>
          <cell r="R1631" t="str">
            <v>41365WAPSH53</v>
          </cell>
          <cell r="T1631" t="str">
            <v>60 - 00012R41365</v>
          </cell>
        </row>
        <row r="1632">
          <cell r="H1632">
            <v>90141</v>
          </cell>
          <cell r="O1632">
            <v>41365</v>
          </cell>
          <cell r="R1632" t="str">
            <v>41365WAPSH53</v>
          </cell>
          <cell r="T1632" t="str">
            <v>60 - 00012R41365</v>
          </cell>
        </row>
        <row r="1633">
          <cell r="H1633">
            <v>321170</v>
          </cell>
          <cell r="O1633">
            <v>41365</v>
          </cell>
          <cell r="R1633" t="str">
            <v>41365WAPSH51</v>
          </cell>
          <cell r="T1633" t="str">
            <v>60 - 00012R41365</v>
          </cell>
        </row>
        <row r="1634">
          <cell r="H1634">
            <v>163096</v>
          </cell>
          <cell r="O1634">
            <v>41365</v>
          </cell>
          <cell r="R1634" t="str">
            <v>41365WAPSH57</v>
          </cell>
          <cell r="T1634" t="str">
            <v>60 - 00012R41365</v>
          </cell>
        </row>
        <row r="1635">
          <cell r="H1635">
            <v>0</v>
          </cell>
          <cell r="O1635">
            <v>41365</v>
          </cell>
          <cell r="R1635" t="str">
            <v>41365WAPSHAGA</v>
          </cell>
          <cell r="T1635" t="str">
            <v>60 - 00012R41365</v>
          </cell>
        </row>
        <row r="1636">
          <cell r="H1636">
            <v>35000</v>
          </cell>
          <cell r="O1636">
            <v>41365</v>
          </cell>
          <cell r="R1636" t="str">
            <v>41365WAPSH88</v>
          </cell>
          <cell r="T1636" t="str">
            <v>60 - 00012U41365</v>
          </cell>
        </row>
        <row r="1637">
          <cell r="H1637">
            <v>0</v>
          </cell>
          <cell r="O1637">
            <v>41395</v>
          </cell>
          <cell r="R1637" t="str">
            <v/>
          </cell>
          <cell r="T1637" t="str">
            <v>60 - 00016R41395</v>
          </cell>
        </row>
        <row r="1638">
          <cell r="H1638">
            <v>0</v>
          </cell>
          <cell r="O1638">
            <v>41395</v>
          </cell>
          <cell r="R1638" t="str">
            <v/>
          </cell>
          <cell r="T1638" t="str">
            <v>60 - 00016R41395</v>
          </cell>
        </row>
        <row r="1639">
          <cell r="H1639">
            <v>0</v>
          </cell>
          <cell r="O1639">
            <v>41395</v>
          </cell>
          <cell r="R1639" t="str">
            <v/>
          </cell>
          <cell r="T1639" t="str">
            <v>60 - 00016R41395</v>
          </cell>
        </row>
        <row r="1640">
          <cell r="H1640">
            <v>0</v>
          </cell>
          <cell r="O1640">
            <v>41395</v>
          </cell>
          <cell r="R1640" t="str">
            <v/>
          </cell>
          <cell r="T1640" t="str">
            <v>60 - 00016R41395</v>
          </cell>
        </row>
        <row r="1641">
          <cell r="H1641">
            <v>22935</v>
          </cell>
          <cell r="O1641">
            <v>41395</v>
          </cell>
          <cell r="R1641" t="str">
            <v/>
          </cell>
          <cell r="T1641" t="str">
            <v>60 - 00016R41395</v>
          </cell>
        </row>
        <row r="1642">
          <cell r="H1642">
            <v>7662968</v>
          </cell>
          <cell r="O1642">
            <v>41395</v>
          </cell>
          <cell r="R1642" t="str">
            <v/>
          </cell>
          <cell r="T1642" t="str">
            <v>60 - 00016R41395</v>
          </cell>
        </row>
        <row r="1643">
          <cell r="H1643">
            <v>12705960</v>
          </cell>
          <cell r="O1643">
            <v>41395</v>
          </cell>
          <cell r="R1643" t="str">
            <v/>
          </cell>
          <cell r="T1643" t="str">
            <v>60 - 00016R41395</v>
          </cell>
        </row>
        <row r="1644">
          <cell r="H1644">
            <v>0</v>
          </cell>
          <cell r="O1644">
            <v>41395</v>
          </cell>
          <cell r="R1644" t="str">
            <v/>
          </cell>
          <cell r="T1644" t="str">
            <v>60 - 00016R41395</v>
          </cell>
        </row>
        <row r="1645">
          <cell r="H1645">
            <v>30731</v>
          </cell>
          <cell r="O1645">
            <v>41395</v>
          </cell>
          <cell r="R1645" t="str">
            <v/>
          </cell>
          <cell r="T1645" t="str">
            <v>60 - 00016R41395</v>
          </cell>
        </row>
        <row r="1646">
          <cell r="H1646">
            <v>6205459</v>
          </cell>
          <cell r="O1646">
            <v>41395</v>
          </cell>
          <cell r="R1646" t="str">
            <v/>
          </cell>
          <cell r="T1646" t="str">
            <v>60 - 00016R41395</v>
          </cell>
        </row>
        <row r="1647">
          <cell r="H1647">
            <v>0</v>
          </cell>
          <cell r="O1647">
            <v>41395</v>
          </cell>
          <cell r="R1647" t="str">
            <v/>
          </cell>
          <cell r="T1647" t="str">
            <v>60 - 00016R41395</v>
          </cell>
        </row>
        <row r="1648">
          <cell r="H1648">
            <v>9866</v>
          </cell>
          <cell r="O1648">
            <v>41395</v>
          </cell>
          <cell r="R1648" t="str">
            <v/>
          </cell>
          <cell r="T1648" t="str">
            <v>60 - 00016R41395</v>
          </cell>
        </row>
        <row r="1649">
          <cell r="H1649">
            <v>79037</v>
          </cell>
          <cell r="O1649">
            <v>41395</v>
          </cell>
          <cell r="R1649" t="str">
            <v/>
          </cell>
          <cell r="T1649" t="str">
            <v>60 - 00016R41395</v>
          </cell>
        </row>
        <row r="1650">
          <cell r="H1650">
            <v>58246</v>
          </cell>
          <cell r="O1650">
            <v>41395</v>
          </cell>
          <cell r="R1650" t="str">
            <v/>
          </cell>
          <cell r="T1650" t="str">
            <v>60 - 00016R41395</v>
          </cell>
        </row>
        <row r="1651">
          <cell r="H1651">
            <v>0</v>
          </cell>
          <cell r="O1651">
            <v>41395</v>
          </cell>
          <cell r="R1651" t="str">
            <v/>
          </cell>
          <cell r="T1651" t="str">
            <v>60 - 00016R41395</v>
          </cell>
        </row>
        <row r="1652">
          <cell r="H1652">
            <v>-2367000</v>
          </cell>
          <cell r="O1652">
            <v>41395</v>
          </cell>
          <cell r="R1652" t="str">
            <v/>
          </cell>
          <cell r="T1652" t="str">
            <v>60 - 00016U41395</v>
          </cell>
        </row>
        <row r="1653">
          <cell r="H1653">
            <v>0</v>
          </cell>
          <cell r="O1653">
            <v>41395</v>
          </cell>
          <cell r="R1653" t="str">
            <v/>
          </cell>
          <cell r="T1653" t="str">
            <v>60 - 00016U41395</v>
          </cell>
        </row>
        <row r="1654">
          <cell r="H1654">
            <v>0</v>
          </cell>
          <cell r="O1654">
            <v>41395</v>
          </cell>
          <cell r="R1654" t="str">
            <v/>
          </cell>
          <cell r="T1654" t="str">
            <v>60 - 00016R41395</v>
          </cell>
        </row>
        <row r="1655">
          <cell r="H1655">
            <v>0</v>
          </cell>
          <cell r="O1655">
            <v>41395</v>
          </cell>
          <cell r="R1655" t="str">
            <v/>
          </cell>
          <cell r="T1655" t="str">
            <v>60 - 00016R41395</v>
          </cell>
        </row>
        <row r="1656">
          <cell r="H1656">
            <v>0</v>
          </cell>
          <cell r="O1656">
            <v>41395</v>
          </cell>
          <cell r="R1656" t="str">
            <v/>
          </cell>
          <cell r="T1656" t="str">
            <v>60 - 00016R41395</v>
          </cell>
        </row>
        <row r="1657">
          <cell r="H1657">
            <v>0</v>
          </cell>
          <cell r="O1657">
            <v>41395</v>
          </cell>
          <cell r="R1657" t="str">
            <v/>
          </cell>
          <cell r="T1657" t="str">
            <v>60 - 00016R41395</v>
          </cell>
        </row>
        <row r="1658">
          <cell r="H1658">
            <v>5929291</v>
          </cell>
          <cell r="O1658">
            <v>41395</v>
          </cell>
          <cell r="R1658" t="str">
            <v/>
          </cell>
          <cell r="T1658" t="str">
            <v>60 - 00016R41395</v>
          </cell>
        </row>
        <row r="1659">
          <cell r="H1659">
            <v>3918697</v>
          </cell>
          <cell r="O1659">
            <v>41395</v>
          </cell>
          <cell r="R1659" t="str">
            <v/>
          </cell>
          <cell r="T1659" t="str">
            <v>60 - 00016R41395</v>
          </cell>
        </row>
        <row r="1660">
          <cell r="H1660">
            <v>76321</v>
          </cell>
          <cell r="O1660">
            <v>41395</v>
          </cell>
          <cell r="R1660" t="str">
            <v/>
          </cell>
          <cell r="T1660" t="str">
            <v>60 - 00016R41395</v>
          </cell>
        </row>
        <row r="1661">
          <cell r="H1661">
            <v>5481394</v>
          </cell>
          <cell r="O1661">
            <v>41395</v>
          </cell>
          <cell r="R1661" t="str">
            <v/>
          </cell>
          <cell r="T1661" t="str">
            <v>60 - 00016R41395</v>
          </cell>
        </row>
        <row r="1662">
          <cell r="H1662">
            <v>0</v>
          </cell>
          <cell r="O1662">
            <v>41395</v>
          </cell>
          <cell r="R1662" t="str">
            <v/>
          </cell>
          <cell r="T1662" t="str">
            <v>60 - 00016R41395</v>
          </cell>
        </row>
        <row r="1663">
          <cell r="H1663">
            <v>0</v>
          </cell>
          <cell r="O1663">
            <v>41395</v>
          </cell>
          <cell r="R1663" t="str">
            <v/>
          </cell>
          <cell r="T1663" t="str">
            <v>60 - 00016R41395</v>
          </cell>
        </row>
        <row r="1664">
          <cell r="H1664">
            <v>0</v>
          </cell>
          <cell r="O1664">
            <v>41395</v>
          </cell>
          <cell r="R1664" t="str">
            <v/>
          </cell>
          <cell r="T1664" t="str">
            <v>60 - 00016R41395</v>
          </cell>
        </row>
        <row r="1665">
          <cell r="H1665">
            <v>58607</v>
          </cell>
          <cell r="O1665">
            <v>41395</v>
          </cell>
          <cell r="R1665" t="str">
            <v/>
          </cell>
          <cell r="T1665" t="str">
            <v>60 - 00016R41395</v>
          </cell>
        </row>
        <row r="1666">
          <cell r="H1666">
            <v>19794</v>
          </cell>
          <cell r="O1666">
            <v>41395</v>
          </cell>
          <cell r="R1666" t="str">
            <v/>
          </cell>
          <cell r="T1666" t="str">
            <v>60 - 00016R41395</v>
          </cell>
        </row>
        <row r="1667">
          <cell r="H1667">
            <v>2744300</v>
          </cell>
          <cell r="O1667">
            <v>41395</v>
          </cell>
          <cell r="R1667" t="str">
            <v/>
          </cell>
          <cell r="T1667" t="str">
            <v>60 - 00016R41395</v>
          </cell>
        </row>
        <row r="1668">
          <cell r="H1668">
            <v>0</v>
          </cell>
          <cell r="O1668">
            <v>41395</v>
          </cell>
          <cell r="R1668" t="str">
            <v/>
          </cell>
          <cell r="T1668" t="str">
            <v>60 - 00016R41395</v>
          </cell>
        </row>
        <row r="1669">
          <cell r="H1669">
            <v>5983</v>
          </cell>
          <cell r="O1669">
            <v>41395</v>
          </cell>
          <cell r="R1669" t="str">
            <v/>
          </cell>
          <cell r="T1669" t="str">
            <v>60 - 00016R41395</v>
          </cell>
        </row>
        <row r="1670">
          <cell r="H1670">
            <v>27540</v>
          </cell>
          <cell r="O1670">
            <v>41395</v>
          </cell>
          <cell r="R1670" t="str">
            <v/>
          </cell>
          <cell r="T1670" t="str">
            <v>60 - 00016R41395</v>
          </cell>
        </row>
        <row r="1671">
          <cell r="H1671">
            <v>0</v>
          </cell>
          <cell r="O1671">
            <v>41395</v>
          </cell>
          <cell r="R1671" t="str">
            <v/>
          </cell>
          <cell r="T1671" t="str">
            <v>60 - 00016R41395</v>
          </cell>
        </row>
        <row r="1672">
          <cell r="H1672">
            <v>169200</v>
          </cell>
          <cell r="O1672">
            <v>41395</v>
          </cell>
          <cell r="R1672" t="str">
            <v/>
          </cell>
          <cell r="T1672" t="str">
            <v>60 - 00016R41395</v>
          </cell>
        </row>
        <row r="1673">
          <cell r="H1673">
            <v>0</v>
          </cell>
          <cell r="O1673">
            <v>41395</v>
          </cell>
          <cell r="R1673" t="str">
            <v/>
          </cell>
          <cell r="T1673" t="str">
            <v>60 - 00016R41395</v>
          </cell>
        </row>
        <row r="1674">
          <cell r="H1674">
            <v>-3214000</v>
          </cell>
          <cell r="O1674">
            <v>41395</v>
          </cell>
          <cell r="R1674" t="str">
            <v/>
          </cell>
          <cell r="T1674" t="str">
            <v>60 - 00016U41395</v>
          </cell>
        </row>
        <row r="1675">
          <cell r="H1675">
            <v>0</v>
          </cell>
          <cell r="O1675">
            <v>41395</v>
          </cell>
          <cell r="R1675" t="str">
            <v/>
          </cell>
          <cell r="T1675" t="str">
            <v>60 - 00016R41395</v>
          </cell>
        </row>
        <row r="1676">
          <cell r="H1676">
            <v>0</v>
          </cell>
          <cell r="O1676">
            <v>41395</v>
          </cell>
          <cell r="R1676" t="str">
            <v/>
          </cell>
          <cell r="T1676" t="str">
            <v>60 - 00016R41395</v>
          </cell>
        </row>
        <row r="1677">
          <cell r="H1677">
            <v>0</v>
          </cell>
          <cell r="O1677">
            <v>41395</v>
          </cell>
          <cell r="R1677" t="str">
            <v/>
          </cell>
          <cell r="T1677" t="str">
            <v>60 - 00016R41395</v>
          </cell>
        </row>
        <row r="1678">
          <cell r="H1678">
            <v>130619</v>
          </cell>
          <cell r="O1678">
            <v>41395</v>
          </cell>
          <cell r="R1678" t="str">
            <v/>
          </cell>
          <cell r="T1678" t="str">
            <v>60 - 00016R41395</v>
          </cell>
        </row>
        <row r="1679">
          <cell r="H1679">
            <v>34545</v>
          </cell>
          <cell r="O1679">
            <v>41395</v>
          </cell>
          <cell r="R1679" t="str">
            <v/>
          </cell>
          <cell r="T1679" t="str">
            <v>60 - 00016R41395</v>
          </cell>
        </row>
        <row r="1680">
          <cell r="H1680">
            <v>414720</v>
          </cell>
          <cell r="O1680">
            <v>41395</v>
          </cell>
          <cell r="R1680" t="str">
            <v/>
          </cell>
          <cell r="T1680" t="str">
            <v>60 - 00016R41395</v>
          </cell>
        </row>
        <row r="1681">
          <cell r="H1681">
            <v>3831180</v>
          </cell>
          <cell r="O1681">
            <v>41395</v>
          </cell>
          <cell r="R1681" t="str">
            <v/>
          </cell>
          <cell r="T1681" t="str">
            <v>60 - 00016R41395</v>
          </cell>
        </row>
        <row r="1682">
          <cell r="H1682">
            <v>0</v>
          </cell>
          <cell r="O1682">
            <v>41395</v>
          </cell>
          <cell r="R1682" t="str">
            <v/>
          </cell>
          <cell r="T1682" t="str">
            <v>60 - 00016R41395</v>
          </cell>
        </row>
        <row r="1683">
          <cell r="H1683">
            <v>-628000</v>
          </cell>
          <cell r="O1683">
            <v>41395</v>
          </cell>
          <cell r="R1683" t="str">
            <v/>
          </cell>
          <cell r="T1683" t="str">
            <v>60 - 00016U41395</v>
          </cell>
        </row>
        <row r="1684">
          <cell r="H1684">
            <v>0</v>
          </cell>
          <cell r="O1684">
            <v>41395</v>
          </cell>
          <cell r="R1684" t="str">
            <v/>
          </cell>
          <cell r="T1684" t="str">
            <v>60 - 00016R41395</v>
          </cell>
        </row>
        <row r="1685">
          <cell r="H1685">
            <v>0</v>
          </cell>
          <cell r="O1685">
            <v>41395</v>
          </cell>
          <cell r="R1685" t="str">
            <v/>
          </cell>
          <cell r="T1685" t="str">
            <v>60 - 00016R41395</v>
          </cell>
        </row>
        <row r="1686">
          <cell r="H1686">
            <v>0</v>
          </cell>
          <cell r="O1686">
            <v>41395</v>
          </cell>
          <cell r="R1686" t="str">
            <v/>
          </cell>
          <cell r="T1686" t="str">
            <v>60 - 00016R41395</v>
          </cell>
        </row>
        <row r="1687">
          <cell r="H1687">
            <v>0</v>
          </cell>
          <cell r="O1687">
            <v>41395</v>
          </cell>
          <cell r="R1687" t="str">
            <v/>
          </cell>
          <cell r="T1687" t="str">
            <v>60 - 00016R41395</v>
          </cell>
        </row>
        <row r="1688">
          <cell r="H1688">
            <v>6147179</v>
          </cell>
          <cell r="O1688">
            <v>41395</v>
          </cell>
          <cell r="R1688" t="str">
            <v/>
          </cell>
          <cell r="T1688" t="str">
            <v>60 - 00016R41395</v>
          </cell>
        </row>
        <row r="1689">
          <cell r="H1689">
            <v>0</v>
          </cell>
          <cell r="O1689">
            <v>41395</v>
          </cell>
          <cell r="R1689" t="str">
            <v/>
          </cell>
          <cell r="T1689" t="str">
            <v>60 - 00016R41395</v>
          </cell>
        </row>
        <row r="1690">
          <cell r="H1690">
            <v>3200</v>
          </cell>
          <cell r="O1690">
            <v>41395</v>
          </cell>
          <cell r="R1690" t="str">
            <v/>
          </cell>
          <cell r="T1690" t="str">
            <v>60 - 00016R41395</v>
          </cell>
        </row>
        <row r="1691">
          <cell r="H1691">
            <v>4349712</v>
          </cell>
          <cell r="O1691">
            <v>41395</v>
          </cell>
          <cell r="R1691" t="str">
            <v/>
          </cell>
          <cell r="T1691" t="str">
            <v>60 - 00016R41395</v>
          </cell>
        </row>
        <row r="1692">
          <cell r="H1692">
            <v>9030</v>
          </cell>
          <cell r="O1692">
            <v>41395</v>
          </cell>
          <cell r="R1692" t="str">
            <v/>
          </cell>
          <cell r="T1692" t="str">
            <v>60 - 00016R41395</v>
          </cell>
        </row>
        <row r="1693">
          <cell r="H1693">
            <v>0</v>
          </cell>
          <cell r="O1693">
            <v>41395</v>
          </cell>
          <cell r="R1693" t="str">
            <v/>
          </cell>
          <cell r="T1693" t="str">
            <v>60 - 00016R41395</v>
          </cell>
        </row>
        <row r="1694">
          <cell r="H1694">
            <v>3656000</v>
          </cell>
          <cell r="O1694">
            <v>41395</v>
          </cell>
          <cell r="R1694" t="str">
            <v/>
          </cell>
          <cell r="T1694" t="str">
            <v>60 - 00016U41395</v>
          </cell>
        </row>
        <row r="1695">
          <cell r="H1695">
            <v>0</v>
          </cell>
          <cell r="O1695">
            <v>41395</v>
          </cell>
          <cell r="R1695" t="str">
            <v/>
          </cell>
          <cell r="T1695" t="str">
            <v>60 - 00016R41395</v>
          </cell>
        </row>
        <row r="1696">
          <cell r="H1696">
            <v>0</v>
          </cell>
          <cell r="O1696">
            <v>41395</v>
          </cell>
          <cell r="R1696" t="str">
            <v/>
          </cell>
          <cell r="T1696" t="str">
            <v>60 - 00016R41395</v>
          </cell>
        </row>
        <row r="1697">
          <cell r="H1697">
            <v>117256</v>
          </cell>
          <cell r="O1697">
            <v>41395</v>
          </cell>
          <cell r="R1697" t="str">
            <v/>
          </cell>
          <cell r="T1697" t="str">
            <v>60 - 00016R41395</v>
          </cell>
        </row>
        <row r="1698">
          <cell r="H1698">
            <v>19758</v>
          </cell>
          <cell r="O1698">
            <v>41395</v>
          </cell>
          <cell r="R1698" t="str">
            <v/>
          </cell>
          <cell r="T1698" t="str">
            <v>60 - 00016R41395</v>
          </cell>
        </row>
        <row r="1699">
          <cell r="H1699">
            <v>57795</v>
          </cell>
          <cell r="O1699">
            <v>41395</v>
          </cell>
          <cell r="R1699" t="str">
            <v/>
          </cell>
          <cell r="T1699" t="str">
            <v>60 - 00016R41395</v>
          </cell>
        </row>
        <row r="1700">
          <cell r="H1700">
            <v>0</v>
          </cell>
          <cell r="O1700">
            <v>41395</v>
          </cell>
          <cell r="R1700" t="str">
            <v/>
          </cell>
          <cell r="T1700" t="str">
            <v>60 - 00016R41395</v>
          </cell>
        </row>
        <row r="1701">
          <cell r="H1701">
            <v>18000</v>
          </cell>
          <cell r="O1701">
            <v>41395</v>
          </cell>
          <cell r="R1701" t="str">
            <v/>
          </cell>
          <cell r="T1701" t="str">
            <v>60 - 00016U41395</v>
          </cell>
        </row>
        <row r="1702">
          <cell r="H1702">
            <v>0</v>
          </cell>
          <cell r="O1702">
            <v>41395</v>
          </cell>
          <cell r="R1702" t="str">
            <v/>
          </cell>
          <cell r="T1702" t="str">
            <v>60 - 00011B41395</v>
          </cell>
        </row>
        <row r="1703">
          <cell r="H1703">
            <v>300134448</v>
          </cell>
          <cell r="O1703">
            <v>41395</v>
          </cell>
          <cell r="R1703" t="str">
            <v/>
          </cell>
          <cell r="T1703" t="str">
            <v>60 - 00011B41395</v>
          </cell>
        </row>
        <row r="1704">
          <cell r="H1704">
            <v>724824</v>
          </cell>
          <cell r="O1704">
            <v>41395</v>
          </cell>
          <cell r="R1704" t="str">
            <v/>
          </cell>
          <cell r="T1704" t="str">
            <v>60 - 00011B41395</v>
          </cell>
        </row>
        <row r="1705">
          <cell r="H1705">
            <v>874559</v>
          </cell>
          <cell r="O1705">
            <v>41395</v>
          </cell>
          <cell r="R1705" t="str">
            <v/>
          </cell>
          <cell r="T1705" t="str">
            <v>60 - 00011B41395</v>
          </cell>
        </row>
        <row r="1706">
          <cell r="H1706">
            <v>6893</v>
          </cell>
          <cell r="O1706">
            <v>41395</v>
          </cell>
          <cell r="R1706" t="str">
            <v/>
          </cell>
          <cell r="T1706" t="str">
            <v>60 - 00011B41395</v>
          </cell>
        </row>
        <row r="1707">
          <cell r="H1707">
            <v>175085</v>
          </cell>
          <cell r="O1707">
            <v>41395</v>
          </cell>
          <cell r="R1707" t="str">
            <v/>
          </cell>
          <cell r="T1707" t="str">
            <v>60 - 00011B41395</v>
          </cell>
        </row>
        <row r="1708">
          <cell r="H1708">
            <v>194959</v>
          </cell>
          <cell r="O1708">
            <v>41395</v>
          </cell>
          <cell r="R1708" t="str">
            <v/>
          </cell>
          <cell r="T1708" t="str">
            <v>60 - 00011B41395</v>
          </cell>
        </row>
        <row r="1709">
          <cell r="H1709">
            <v>1752293</v>
          </cell>
          <cell r="O1709">
            <v>41395</v>
          </cell>
          <cell r="R1709" t="str">
            <v/>
          </cell>
          <cell r="T1709" t="str">
            <v>60 - 00011B41395</v>
          </cell>
        </row>
        <row r="1710">
          <cell r="H1710">
            <v>0</v>
          </cell>
          <cell r="O1710">
            <v>41395</v>
          </cell>
          <cell r="R1710" t="str">
            <v/>
          </cell>
          <cell r="T1710" t="str">
            <v>60 - 00011B41395</v>
          </cell>
        </row>
        <row r="1711">
          <cell r="H1711">
            <v>0</v>
          </cell>
          <cell r="O1711">
            <v>41395</v>
          </cell>
          <cell r="R1711" t="str">
            <v/>
          </cell>
          <cell r="T1711" t="str">
            <v>60 - 00011R41395</v>
          </cell>
        </row>
        <row r="1712">
          <cell r="H1712">
            <v>0</v>
          </cell>
          <cell r="O1712">
            <v>41395</v>
          </cell>
          <cell r="R1712" t="str">
            <v/>
          </cell>
          <cell r="T1712" t="str">
            <v>60 - 00011R41395</v>
          </cell>
        </row>
        <row r="1713">
          <cell r="H1713">
            <v>0</v>
          </cell>
          <cell r="O1713">
            <v>41395</v>
          </cell>
          <cell r="R1713" t="str">
            <v/>
          </cell>
          <cell r="T1713" t="str">
            <v>60 - 00011R41395</v>
          </cell>
        </row>
        <row r="1714">
          <cell r="H1714">
            <v>0</v>
          </cell>
          <cell r="O1714">
            <v>41395</v>
          </cell>
          <cell r="R1714" t="str">
            <v/>
          </cell>
          <cell r="T1714" t="str">
            <v>60 - 00011R41395</v>
          </cell>
        </row>
        <row r="1715">
          <cell r="H1715">
            <v>0</v>
          </cell>
          <cell r="O1715">
            <v>41395</v>
          </cell>
          <cell r="R1715" t="str">
            <v/>
          </cell>
          <cell r="T1715" t="str">
            <v>60 - 00011R41395</v>
          </cell>
        </row>
        <row r="1716">
          <cell r="H1716">
            <v>0</v>
          </cell>
          <cell r="O1716">
            <v>41395</v>
          </cell>
          <cell r="R1716" t="str">
            <v/>
          </cell>
          <cell r="T1716" t="str">
            <v>60 - 00011R41395</v>
          </cell>
        </row>
        <row r="1717">
          <cell r="H1717">
            <v>0</v>
          </cell>
          <cell r="O1717">
            <v>41395</v>
          </cell>
          <cell r="R1717" t="str">
            <v/>
          </cell>
          <cell r="T1717" t="str">
            <v>60 - 00011R41395</v>
          </cell>
        </row>
        <row r="1718">
          <cell r="H1718">
            <v>0</v>
          </cell>
          <cell r="O1718">
            <v>41395</v>
          </cell>
          <cell r="R1718" t="str">
            <v/>
          </cell>
          <cell r="T1718" t="str">
            <v>60 - 00011R41395</v>
          </cell>
        </row>
        <row r="1719">
          <cell r="H1719">
            <v>0</v>
          </cell>
          <cell r="O1719">
            <v>41395</v>
          </cell>
          <cell r="R1719" t="str">
            <v/>
          </cell>
          <cell r="T1719" t="str">
            <v>60 - 00011R41395</v>
          </cell>
        </row>
        <row r="1720">
          <cell r="H1720">
            <v>0</v>
          </cell>
          <cell r="O1720">
            <v>41395</v>
          </cell>
          <cell r="R1720" t="str">
            <v/>
          </cell>
          <cell r="T1720" t="str">
            <v>60 - 00011R41395</v>
          </cell>
        </row>
        <row r="1721">
          <cell r="H1721">
            <v>0</v>
          </cell>
          <cell r="O1721">
            <v>41395</v>
          </cell>
          <cell r="R1721" t="str">
            <v/>
          </cell>
          <cell r="T1721" t="str">
            <v>60 - 00011R41395</v>
          </cell>
        </row>
        <row r="1722">
          <cell r="H1722">
            <v>338895137</v>
          </cell>
          <cell r="O1722">
            <v>41395</v>
          </cell>
          <cell r="R1722" t="str">
            <v/>
          </cell>
          <cell r="T1722" t="str">
            <v>60 - 00011R41395</v>
          </cell>
        </row>
        <row r="1723">
          <cell r="H1723">
            <v>2599401</v>
          </cell>
          <cell r="O1723">
            <v>41395</v>
          </cell>
          <cell r="R1723" t="str">
            <v/>
          </cell>
          <cell r="T1723" t="str">
            <v>60 - 00011R41395</v>
          </cell>
        </row>
        <row r="1724">
          <cell r="H1724">
            <v>16556553</v>
          </cell>
          <cell r="O1724">
            <v>41395</v>
          </cell>
          <cell r="R1724" t="str">
            <v/>
          </cell>
          <cell r="T1724" t="str">
            <v>60 - 00011R41395</v>
          </cell>
        </row>
        <row r="1725">
          <cell r="H1725">
            <v>0</v>
          </cell>
          <cell r="O1725">
            <v>41395</v>
          </cell>
          <cell r="R1725" t="str">
            <v/>
          </cell>
          <cell r="T1725" t="str">
            <v>60 - 00011R41395</v>
          </cell>
        </row>
        <row r="1726">
          <cell r="H1726">
            <v>1187587</v>
          </cell>
          <cell r="O1726">
            <v>41395</v>
          </cell>
          <cell r="R1726" t="str">
            <v/>
          </cell>
          <cell r="T1726" t="str">
            <v>60 - 00011R41395</v>
          </cell>
        </row>
        <row r="1727">
          <cell r="H1727">
            <v>0</v>
          </cell>
          <cell r="O1727">
            <v>41395</v>
          </cell>
          <cell r="R1727" t="str">
            <v/>
          </cell>
          <cell r="T1727" t="str">
            <v>60 - 00011R41395</v>
          </cell>
        </row>
        <row r="1728">
          <cell r="H1728">
            <v>0</v>
          </cell>
          <cell r="O1728">
            <v>41395</v>
          </cell>
          <cell r="R1728" t="str">
            <v/>
          </cell>
          <cell r="T1728" t="str">
            <v>60 - 00011R41395</v>
          </cell>
        </row>
        <row r="1729">
          <cell r="H1729">
            <v>0</v>
          </cell>
          <cell r="O1729">
            <v>41395</v>
          </cell>
          <cell r="R1729" t="str">
            <v/>
          </cell>
          <cell r="T1729" t="str">
            <v>60 - 00011R41395</v>
          </cell>
        </row>
        <row r="1730">
          <cell r="H1730">
            <v>194966</v>
          </cell>
          <cell r="O1730">
            <v>41395</v>
          </cell>
          <cell r="R1730" t="str">
            <v/>
          </cell>
          <cell r="T1730" t="str">
            <v>60 - 00011R41395</v>
          </cell>
        </row>
        <row r="1731">
          <cell r="H1731">
            <v>0</v>
          </cell>
          <cell r="O1731">
            <v>41395</v>
          </cell>
          <cell r="R1731" t="str">
            <v/>
          </cell>
          <cell r="T1731" t="str">
            <v>60 - 00011R41395</v>
          </cell>
        </row>
        <row r="1732">
          <cell r="H1732">
            <v>1738507</v>
          </cell>
          <cell r="O1732">
            <v>41395</v>
          </cell>
          <cell r="R1732" t="str">
            <v/>
          </cell>
          <cell r="T1732" t="str">
            <v>60 - 00011R41395</v>
          </cell>
        </row>
        <row r="1733">
          <cell r="H1733">
            <v>9262</v>
          </cell>
          <cell r="O1733">
            <v>41395</v>
          </cell>
          <cell r="R1733" t="str">
            <v/>
          </cell>
          <cell r="T1733" t="str">
            <v>60 - 00011R41395</v>
          </cell>
        </row>
        <row r="1734">
          <cell r="H1734">
            <v>4618</v>
          </cell>
          <cell r="O1734">
            <v>41395</v>
          </cell>
          <cell r="R1734" t="str">
            <v/>
          </cell>
          <cell r="T1734" t="str">
            <v>60 - 00011R41395</v>
          </cell>
        </row>
        <row r="1735">
          <cell r="H1735">
            <v>0</v>
          </cell>
          <cell r="O1735">
            <v>41395</v>
          </cell>
          <cell r="R1735" t="str">
            <v/>
          </cell>
          <cell r="T1735" t="str">
            <v>60 - 00011R41395</v>
          </cell>
        </row>
        <row r="1736">
          <cell r="H1736">
            <v>-3537000</v>
          </cell>
          <cell r="O1736">
            <v>41395</v>
          </cell>
          <cell r="R1736" t="str">
            <v/>
          </cell>
          <cell r="T1736" t="str">
            <v>60 - 00011U41395</v>
          </cell>
        </row>
        <row r="1737">
          <cell r="H1737">
            <v>0</v>
          </cell>
          <cell r="O1737">
            <v>41395</v>
          </cell>
          <cell r="R1737" t="str">
            <v/>
          </cell>
          <cell r="T1737" t="str">
            <v>60 - 00011U41395</v>
          </cell>
        </row>
        <row r="1738">
          <cell r="H1738">
            <v>0</v>
          </cell>
          <cell r="O1738">
            <v>41395</v>
          </cell>
          <cell r="R1738" t="str">
            <v/>
          </cell>
          <cell r="T1738" t="str">
            <v>60 - 00011B41395</v>
          </cell>
        </row>
        <row r="1739">
          <cell r="H1739">
            <v>5082497</v>
          </cell>
          <cell r="O1739">
            <v>41395</v>
          </cell>
          <cell r="R1739" t="str">
            <v/>
          </cell>
          <cell r="T1739" t="str">
            <v>60 - 00011B41395</v>
          </cell>
        </row>
        <row r="1740">
          <cell r="H1740">
            <v>29522</v>
          </cell>
          <cell r="O1740">
            <v>41395</v>
          </cell>
          <cell r="R1740" t="str">
            <v/>
          </cell>
          <cell r="T1740" t="str">
            <v>60 - 00011B41395</v>
          </cell>
        </row>
        <row r="1741">
          <cell r="H1741">
            <v>9062282</v>
          </cell>
          <cell r="O1741">
            <v>41395</v>
          </cell>
          <cell r="R1741" t="str">
            <v/>
          </cell>
          <cell r="T1741" t="str">
            <v>60 - 00011B41395</v>
          </cell>
        </row>
        <row r="1742">
          <cell r="H1742">
            <v>3426135</v>
          </cell>
          <cell r="O1742">
            <v>41395</v>
          </cell>
          <cell r="R1742" t="str">
            <v/>
          </cell>
          <cell r="T1742" t="str">
            <v>60 - 00011B41395</v>
          </cell>
        </row>
        <row r="1743">
          <cell r="H1743">
            <v>183600</v>
          </cell>
          <cell r="O1743">
            <v>41395</v>
          </cell>
          <cell r="R1743" t="str">
            <v/>
          </cell>
          <cell r="T1743" t="str">
            <v>60 - 00011B41395</v>
          </cell>
        </row>
        <row r="1744">
          <cell r="H1744">
            <v>5895</v>
          </cell>
          <cell r="O1744">
            <v>41395</v>
          </cell>
          <cell r="R1744" t="str">
            <v/>
          </cell>
          <cell r="T1744" t="str">
            <v>60 - 00011B41395</v>
          </cell>
        </row>
        <row r="1745">
          <cell r="H1745">
            <v>20384</v>
          </cell>
          <cell r="O1745">
            <v>41395</v>
          </cell>
          <cell r="R1745" t="str">
            <v/>
          </cell>
          <cell r="T1745" t="str">
            <v>60 - 00011B41395</v>
          </cell>
        </row>
        <row r="1746">
          <cell r="H1746">
            <v>72280</v>
          </cell>
          <cell r="O1746">
            <v>41395</v>
          </cell>
          <cell r="R1746" t="str">
            <v/>
          </cell>
          <cell r="T1746" t="str">
            <v>60 - 00011B41395</v>
          </cell>
        </row>
        <row r="1747">
          <cell r="H1747">
            <v>129222</v>
          </cell>
          <cell r="O1747">
            <v>41395</v>
          </cell>
          <cell r="R1747" t="str">
            <v/>
          </cell>
          <cell r="T1747" t="str">
            <v>60 - 00011B41395</v>
          </cell>
        </row>
        <row r="1748">
          <cell r="H1748">
            <v>29318</v>
          </cell>
          <cell r="O1748">
            <v>41395</v>
          </cell>
          <cell r="R1748" t="str">
            <v/>
          </cell>
          <cell r="T1748" t="str">
            <v>60 - 00011B41395</v>
          </cell>
        </row>
        <row r="1749">
          <cell r="H1749">
            <v>0</v>
          </cell>
          <cell r="O1749">
            <v>41395</v>
          </cell>
          <cell r="R1749" t="str">
            <v/>
          </cell>
          <cell r="T1749" t="str">
            <v>60 - 00011B41395</v>
          </cell>
        </row>
        <row r="1750">
          <cell r="H1750">
            <v>0</v>
          </cell>
          <cell r="O1750">
            <v>41395</v>
          </cell>
          <cell r="R1750" t="str">
            <v/>
          </cell>
          <cell r="T1750" t="str">
            <v>60 - 00011R41395</v>
          </cell>
        </row>
        <row r="1751">
          <cell r="H1751">
            <v>0</v>
          </cell>
          <cell r="O1751">
            <v>41395</v>
          </cell>
          <cell r="R1751" t="str">
            <v/>
          </cell>
          <cell r="T1751" t="str">
            <v>60 - 00011R41395</v>
          </cell>
        </row>
        <row r="1752">
          <cell r="H1752">
            <v>0</v>
          </cell>
          <cell r="O1752">
            <v>41395</v>
          </cell>
          <cell r="R1752" t="str">
            <v/>
          </cell>
          <cell r="T1752" t="str">
            <v>60 - 00011R41395</v>
          </cell>
        </row>
        <row r="1753">
          <cell r="H1753">
            <v>0</v>
          </cell>
          <cell r="O1753">
            <v>41395</v>
          </cell>
          <cell r="R1753" t="str">
            <v/>
          </cell>
          <cell r="T1753" t="str">
            <v>60 - 00011R41395</v>
          </cell>
        </row>
        <row r="1754">
          <cell r="H1754">
            <v>0</v>
          </cell>
          <cell r="O1754">
            <v>41395</v>
          </cell>
          <cell r="R1754" t="str">
            <v/>
          </cell>
          <cell r="T1754" t="str">
            <v>60 - 00011R41395</v>
          </cell>
        </row>
        <row r="1755">
          <cell r="H1755">
            <v>0</v>
          </cell>
          <cell r="O1755">
            <v>41395</v>
          </cell>
          <cell r="R1755" t="str">
            <v/>
          </cell>
          <cell r="T1755" t="str">
            <v>60 - 00011R41395</v>
          </cell>
        </row>
        <row r="1756">
          <cell r="H1756">
            <v>4580400</v>
          </cell>
          <cell r="O1756">
            <v>41395</v>
          </cell>
          <cell r="R1756" t="str">
            <v/>
          </cell>
          <cell r="T1756" t="str">
            <v>60 - 00011R41395</v>
          </cell>
        </row>
        <row r="1757">
          <cell r="H1757">
            <v>0</v>
          </cell>
          <cell r="O1757">
            <v>41395</v>
          </cell>
          <cell r="R1757" t="str">
            <v/>
          </cell>
          <cell r="T1757" t="str">
            <v>60 - 00011R41395</v>
          </cell>
        </row>
        <row r="1758">
          <cell r="H1758">
            <v>0</v>
          </cell>
          <cell r="O1758">
            <v>41395</v>
          </cell>
          <cell r="R1758" t="str">
            <v/>
          </cell>
          <cell r="T1758" t="str">
            <v>60 - 00011R41395</v>
          </cell>
        </row>
        <row r="1759">
          <cell r="H1759">
            <v>0</v>
          </cell>
          <cell r="O1759">
            <v>41395</v>
          </cell>
          <cell r="R1759" t="str">
            <v/>
          </cell>
          <cell r="T1759" t="str">
            <v>60 - 00011R41395</v>
          </cell>
        </row>
        <row r="1760">
          <cell r="H1760">
            <v>0</v>
          </cell>
          <cell r="O1760">
            <v>41395</v>
          </cell>
          <cell r="R1760" t="str">
            <v/>
          </cell>
          <cell r="T1760" t="str">
            <v>60 - 00011R41395</v>
          </cell>
        </row>
        <row r="1761">
          <cell r="H1761">
            <v>0</v>
          </cell>
          <cell r="O1761">
            <v>41395</v>
          </cell>
          <cell r="R1761" t="str">
            <v/>
          </cell>
          <cell r="T1761" t="str">
            <v>60 - 00011R41395</v>
          </cell>
        </row>
        <row r="1762">
          <cell r="H1762">
            <v>2288650</v>
          </cell>
          <cell r="O1762">
            <v>41395</v>
          </cell>
          <cell r="R1762" t="str">
            <v/>
          </cell>
          <cell r="T1762" t="str">
            <v>60 - 00011R41395</v>
          </cell>
        </row>
        <row r="1763">
          <cell r="H1763">
            <v>470415</v>
          </cell>
          <cell r="O1763">
            <v>41395</v>
          </cell>
          <cell r="R1763" t="str">
            <v/>
          </cell>
          <cell r="T1763" t="str">
            <v>60 - 00011R41395</v>
          </cell>
        </row>
        <row r="1764">
          <cell r="H1764">
            <v>64709</v>
          </cell>
          <cell r="O1764">
            <v>41395</v>
          </cell>
          <cell r="R1764" t="str">
            <v/>
          </cell>
          <cell r="T1764" t="str">
            <v>60 - 00011R41395</v>
          </cell>
        </row>
        <row r="1765">
          <cell r="H1765">
            <v>0</v>
          </cell>
          <cell r="O1765">
            <v>41395</v>
          </cell>
          <cell r="R1765" t="str">
            <v/>
          </cell>
          <cell r="T1765" t="str">
            <v>60 - 00011R41395</v>
          </cell>
        </row>
        <row r="1766">
          <cell r="H1766">
            <v>70858650</v>
          </cell>
          <cell r="O1766">
            <v>41395</v>
          </cell>
          <cell r="R1766" t="str">
            <v/>
          </cell>
          <cell r="T1766" t="str">
            <v>60 - 00011R41395</v>
          </cell>
        </row>
        <row r="1767">
          <cell r="H1767">
            <v>1661484</v>
          </cell>
          <cell r="O1767">
            <v>41395</v>
          </cell>
          <cell r="R1767" t="str">
            <v/>
          </cell>
          <cell r="T1767" t="str">
            <v>60 - 00011R41395</v>
          </cell>
        </row>
        <row r="1768">
          <cell r="H1768">
            <v>0</v>
          </cell>
          <cell r="O1768">
            <v>41395</v>
          </cell>
          <cell r="R1768" t="str">
            <v/>
          </cell>
          <cell r="T1768" t="str">
            <v>60 - 00011R41395</v>
          </cell>
        </row>
        <row r="1769">
          <cell r="H1769">
            <v>0</v>
          </cell>
          <cell r="O1769">
            <v>41395</v>
          </cell>
          <cell r="R1769" t="str">
            <v/>
          </cell>
          <cell r="T1769" t="str">
            <v>60 - 00011R41395</v>
          </cell>
        </row>
        <row r="1770">
          <cell r="H1770">
            <v>73929584</v>
          </cell>
          <cell r="O1770">
            <v>41395</v>
          </cell>
          <cell r="R1770" t="str">
            <v/>
          </cell>
          <cell r="T1770" t="str">
            <v>60 - 00011R41395</v>
          </cell>
        </row>
        <row r="1771">
          <cell r="H1771">
            <v>141109172</v>
          </cell>
          <cell r="O1771">
            <v>41395</v>
          </cell>
          <cell r="R1771" t="str">
            <v/>
          </cell>
          <cell r="T1771" t="str">
            <v>60 - 00011R41395</v>
          </cell>
        </row>
        <row r="1772">
          <cell r="H1772">
            <v>0</v>
          </cell>
          <cell r="O1772">
            <v>41395</v>
          </cell>
          <cell r="R1772" t="str">
            <v/>
          </cell>
          <cell r="T1772" t="str">
            <v>60 - 00011R41395</v>
          </cell>
        </row>
        <row r="1773">
          <cell r="H1773">
            <v>0</v>
          </cell>
          <cell r="O1773">
            <v>41395</v>
          </cell>
          <cell r="R1773" t="str">
            <v/>
          </cell>
          <cell r="T1773" t="str">
            <v>60 - 00011R41395</v>
          </cell>
        </row>
        <row r="1774">
          <cell r="H1774">
            <v>0</v>
          </cell>
          <cell r="O1774">
            <v>41395</v>
          </cell>
          <cell r="R1774" t="str">
            <v/>
          </cell>
          <cell r="T1774" t="str">
            <v>60 - 00011R41395</v>
          </cell>
        </row>
        <row r="1775">
          <cell r="H1775">
            <v>0</v>
          </cell>
          <cell r="O1775">
            <v>41395</v>
          </cell>
          <cell r="R1775" t="str">
            <v/>
          </cell>
          <cell r="T1775" t="str">
            <v>60 - 00011R41395</v>
          </cell>
        </row>
        <row r="1776">
          <cell r="H1776">
            <v>195508</v>
          </cell>
          <cell r="O1776">
            <v>41395</v>
          </cell>
          <cell r="R1776" t="str">
            <v/>
          </cell>
          <cell r="T1776" t="str">
            <v>60 - 00011R41395</v>
          </cell>
        </row>
        <row r="1777">
          <cell r="H1777">
            <v>243144</v>
          </cell>
          <cell r="O1777">
            <v>41395</v>
          </cell>
          <cell r="R1777" t="str">
            <v/>
          </cell>
          <cell r="T1777" t="str">
            <v>60 - 00011R41395</v>
          </cell>
        </row>
        <row r="1778">
          <cell r="H1778">
            <v>29961</v>
          </cell>
          <cell r="O1778">
            <v>41395</v>
          </cell>
          <cell r="R1778" t="str">
            <v/>
          </cell>
          <cell r="T1778" t="str">
            <v>60 - 00011R41395</v>
          </cell>
        </row>
        <row r="1779">
          <cell r="H1779">
            <v>607037</v>
          </cell>
          <cell r="O1779">
            <v>41395</v>
          </cell>
          <cell r="R1779" t="str">
            <v/>
          </cell>
          <cell r="T1779" t="str">
            <v>60 - 00011R41395</v>
          </cell>
        </row>
        <row r="1780">
          <cell r="H1780">
            <v>735323</v>
          </cell>
          <cell r="O1780">
            <v>41395</v>
          </cell>
          <cell r="R1780" t="str">
            <v/>
          </cell>
          <cell r="T1780" t="str">
            <v>60 - 00011R41395</v>
          </cell>
        </row>
        <row r="1781">
          <cell r="H1781">
            <v>244427</v>
          </cell>
          <cell r="O1781">
            <v>41395</v>
          </cell>
          <cell r="R1781" t="str">
            <v/>
          </cell>
          <cell r="T1781" t="str">
            <v>60 - 00011R41395</v>
          </cell>
        </row>
        <row r="1782">
          <cell r="H1782">
            <v>0</v>
          </cell>
          <cell r="O1782">
            <v>41395</v>
          </cell>
          <cell r="R1782" t="str">
            <v/>
          </cell>
          <cell r="T1782" t="str">
            <v>60 - 00011R41395</v>
          </cell>
        </row>
        <row r="1783">
          <cell r="H1783">
            <v>10664</v>
          </cell>
          <cell r="O1783">
            <v>41395</v>
          </cell>
          <cell r="R1783" t="str">
            <v/>
          </cell>
          <cell r="T1783" t="str">
            <v>60 - 00011R41395</v>
          </cell>
        </row>
        <row r="1784">
          <cell r="H1784">
            <v>27460</v>
          </cell>
          <cell r="O1784">
            <v>41395</v>
          </cell>
          <cell r="R1784" t="str">
            <v/>
          </cell>
          <cell r="T1784" t="str">
            <v>60 - 00011R41395</v>
          </cell>
        </row>
        <row r="1785">
          <cell r="H1785">
            <v>195524</v>
          </cell>
          <cell r="O1785">
            <v>41395</v>
          </cell>
          <cell r="R1785" t="str">
            <v/>
          </cell>
          <cell r="T1785" t="str">
            <v>60 - 00011R41395</v>
          </cell>
        </row>
        <row r="1786">
          <cell r="H1786">
            <v>1094146</v>
          </cell>
          <cell r="O1786">
            <v>41395</v>
          </cell>
          <cell r="R1786" t="str">
            <v/>
          </cell>
          <cell r="T1786" t="str">
            <v>60 - 00011R41395</v>
          </cell>
        </row>
        <row r="1787">
          <cell r="H1787">
            <v>377049</v>
          </cell>
          <cell r="O1787">
            <v>41395</v>
          </cell>
          <cell r="R1787" t="str">
            <v/>
          </cell>
          <cell r="T1787" t="str">
            <v>60 - 00011R41395</v>
          </cell>
        </row>
        <row r="1788">
          <cell r="H1788">
            <v>7200</v>
          </cell>
          <cell r="O1788">
            <v>41395</v>
          </cell>
          <cell r="R1788" t="str">
            <v/>
          </cell>
          <cell r="T1788" t="str">
            <v>60 - 00011R41395</v>
          </cell>
        </row>
        <row r="1789">
          <cell r="H1789">
            <v>0</v>
          </cell>
          <cell r="O1789">
            <v>41395</v>
          </cell>
          <cell r="R1789" t="str">
            <v/>
          </cell>
          <cell r="T1789" t="str">
            <v>60 - 00011R41395</v>
          </cell>
        </row>
        <row r="1790">
          <cell r="H1790">
            <v>81204164</v>
          </cell>
          <cell r="O1790">
            <v>41395</v>
          </cell>
          <cell r="R1790" t="str">
            <v/>
          </cell>
          <cell r="T1790" t="str">
            <v>60 - 00011R41395</v>
          </cell>
        </row>
        <row r="1791">
          <cell r="H1791">
            <v>5024139</v>
          </cell>
          <cell r="O1791">
            <v>41395</v>
          </cell>
          <cell r="R1791" t="str">
            <v/>
          </cell>
          <cell r="T1791" t="str">
            <v>60 - 00011R41395</v>
          </cell>
        </row>
        <row r="1792">
          <cell r="H1792">
            <v>0</v>
          </cell>
          <cell r="O1792">
            <v>41395</v>
          </cell>
          <cell r="R1792" t="str">
            <v/>
          </cell>
          <cell r="T1792" t="str">
            <v>60 - 00011R41395</v>
          </cell>
        </row>
        <row r="1793">
          <cell r="H1793">
            <v>0</v>
          </cell>
          <cell r="O1793">
            <v>41395</v>
          </cell>
          <cell r="R1793" t="str">
            <v/>
          </cell>
          <cell r="T1793" t="str">
            <v>60 - 00011R41395</v>
          </cell>
        </row>
        <row r="1794">
          <cell r="H1794">
            <v>0</v>
          </cell>
          <cell r="O1794">
            <v>41395</v>
          </cell>
          <cell r="R1794" t="str">
            <v/>
          </cell>
          <cell r="T1794" t="str">
            <v>60 - 00011R41395</v>
          </cell>
        </row>
        <row r="1795">
          <cell r="H1795">
            <v>0</v>
          </cell>
          <cell r="O1795">
            <v>41395</v>
          </cell>
          <cell r="R1795" t="str">
            <v/>
          </cell>
          <cell r="T1795" t="str">
            <v>60 - 00011R41395</v>
          </cell>
        </row>
        <row r="1796">
          <cell r="H1796">
            <v>731480</v>
          </cell>
          <cell r="O1796">
            <v>41395</v>
          </cell>
          <cell r="R1796" t="str">
            <v/>
          </cell>
          <cell r="T1796" t="str">
            <v>60 - 00011R41395</v>
          </cell>
        </row>
        <row r="1797">
          <cell r="H1797">
            <v>8802513</v>
          </cell>
          <cell r="O1797">
            <v>41395</v>
          </cell>
          <cell r="R1797" t="str">
            <v/>
          </cell>
          <cell r="T1797" t="str">
            <v>60 - 00011R41395</v>
          </cell>
        </row>
        <row r="1798">
          <cell r="H1798">
            <v>946800</v>
          </cell>
          <cell r="O1798">
            <v>41395</v>
          </cell>
          <cell r="R1798" t="str">
            <v/>
          </cell>
          <cell r="T1798" t="str">
            <v>60 - 00011R41395</v>
          </cell>
        </row>
        <row r="1799">
          <cell r="H1799">
            <v>0</v>
          </cell>
          <cell r="O1799">
            <v>41395</v>
          </cell>
          <cell r="R1799" t="str">
            <v/>
          </cell>
          <cell r="T1799" t="str">
            <v>60 - 00011R41395</v>
          </cell>
        </row>
        <row r="1800">
          <cell r="H1800">
            <v>0</v>
          </cell>
          <cell r="O1800">
            <v>41395</v>
          </cell>
          <cell r="R1800" t="str">
            <v/>
          </cell>
          <cell r="T1800" t="str">
            <v>60 - 00011R41395</v>
          </cell>
        </row>
        <row r="1801">
          <cell r="H1801">
            <v>42410</v>
          </cell>
          <cell r="O1801">
            <v>41395</v>
          </cell>
          <cell r="R1801" t="str">
            <v/>
          </cell>
          <cell r="T1801" t="str">
            <v>60 - 00011R41395</v>
          </cell>
        </row>
        <row r="1802">
          <cell r="H1802">
            <v>0</v>
          </cell>
          <cell r="O1802">
            <v>41395</v>
          </cell>
          <cell r="R1802" t="str">
            <v/>
          </cell>
          <cell r="T1802" t="str">
            <v>60 - 00011R41395</v>
          </cell>
        </row>
        <row r="1803">
          <cell r="H1803">
            <v>0</v>
          </cell>
          <cell r="O1803">
            <v>41395</v>
          </cell>
          <cell r="R1803" t="str">
            <v/>
          </cell>
          <cell r="T1803" t="str">
            <v>60 - 00011R41395</v>
          </cell>
        </row>
        <row r="1804">
          <cell r="H1804">
            <v>0</v>
          </cell>
          <cell r="O1804">
            <v>41395</v>
          </cell>
          <cell r="R1804" t="str">
            <v/>
          </cell>
          <cell r="T1804" t="str">
            <v>60 - 00011R41395</v>
          </cell>
        </row>
        <row r="1805">
          <cell r="H1805">
            <v>0</v>
          </cell>
          <cell r="O1805">
            <v>41395</v>
          </cell>
          <cell r="R1805" t="str">
            <v/>
          </cell>
          <cell r="T1805" t="str">
            <v>60 - 00011R41395</v>
          </cell>
        </row>
        <row r="1806">
          <cell r="H1806">
            <v>0</v>
          </cell>
          <cell r="O1806">
            <v>41395</v>
          </cell>
          <cell r="R1806" t="str">
            <v/>
          </cell>
          <cell r="T1806" t="str">
            <v>60 - 00011R41395</v>
          </cell>
        </row>
        <row r="1807">
          <cell r="H1807">
            <v>129230</v>
          </cell>
          <cell r="O1807">
            <v>41395</v>
          </cell>
          <cell r="R1807" t="str">
            <v/>
          </cell>
          <cell r="T1807" t="str">
            <v>60 - 00011R41395</v>
          </cell>
        </row>
        <row r="1808">
          <cell r="H1808">
            <v>0</v>
          </cell>
          <cell r="O1808">
            <v>41395</v>
          </cell>
          <cell r="R1808" t="str">
            <v/>
          </cell>
          <cell r="T1808" t="str">
            <v>60 - 00011R41395</v>
          </cell>
        </row>
        <row r="1809">
          <cell r="H1809">
            <v>0</v>
          </cell>
          <cell r="O1809">
            <v>41395</v>
          </cell>
          <cell r="R1809" t="str">
            <v/>
          </cell>
          <cell r="T1809" t="str">
            <v>60 - 00011R41395</v>
          </cell>
        </row>
        <row r="1810">
          <cell r="H1810">
            <v>44365000</v>
          </cell>
          <cell r="O1810">
            <v>41395</v>
          </cell>
          <cell r="R1810" t="str">
            <v/>
          </cell>
          <cell r="T1810" t="str">
            <v>60 - 00011U41395</v>
          </cell>
        </row>
        <row r="1811">
          <cell r="H1811">
            <v>0</v>
          </cell>
          <cell r="O1811">
            <v>41395</v>
          </cell>
          <cell r="R1811" t="str">
            <v/>
          </cell>
          <cell r="T1811" t="str">
            <v>60 - 00011B41395</v>
          </cell>
        </row>
        <row r="1812">
          <cell r="H1812">
            <v>24284</v>
          </cell>
          <cell r="O1812">
            <v>41395</v>
          </cell>
          <cell r="R1812" t="str">
            <v/>
          </cell>
          <cell r="T1812" t="str">
            <v>60 - 00011B41395</v>
          </cell>
        </row>
        <row r="1813">
          <cell r="H1813">
            <v>44975</v>
          </cell>
          <cell r="O1813">
            <v>41395</v>
          </cell>
          <cell r="R1813" t="str">
            <v/>
          </cell>
          <cell r="T1813" t="str">
            <v>60 - 00011B41395</v>
          </cell>
        </row>
        <row r="1814">
          <cell r="H1814">
            <v>380</v>
          </cell>
          <cell r="O1814">
            <v>41395</v>
          </cell>
          <cell r="R1814" t="str">
            <v/>
          </cell>
          <cell r="T1814" t="str">
            <v>60 - 00011B41395</v>
          </cell>
        </row>
        <row r="1815">
          <cell r="H1815">
            <v>0</v>
          </cell>
          <cell r="O1815">
            <v>41395</v>
          </cell>
          <cell r="R1815" t="str">
            <v/>
          </cell>
          <cell r="T1815" t="str">
            <v>60 - 00011B41395</v>
          </cell>
        </row>
        <row r="1816">
          <cell r="H1816">
            <v>0</v>
          </cell>
          <cell r="O1816">
            <v>41395</v>
          </cell>
          <cell r="R1816" t="str">
            <v/>
          </cell>
          <cell r="T1816" t="str">
            <v>60 - 00011R41395</v>
          </cell>
        </row>
        <row r="1817">
          <cell r="H1817">
            <v>0</v>
          </cell>
          <cell r="O1817">
            <v>41395</v>
          </cell>
          <cell r="R1817" t="str">
            <v/>
          </cell>
          <cell r="T1817" t="str">
            <v>60 - 00011R41395</v>
          </cell>
        </row>
        <row r="1818">
          <cell r="H1818">
            <v>0</v>
          </cell>
          <cell r="O1818">
            <v>41395</v>
          </cell>
          <cell r="R1818" t="str">
            <v/>
          </cell>
          <cell r="T1818" t="str">
            <v>60 - 00011R41395</v>
          </cell>
        </row>
        <row r="1819">
          <cell r="H1819">
            <v>0</v>
          </cell>
          <cell r="O1819">
            <v>41395</v>
          </cell>
          <cell r="R1819" t="str">
            <v/>
          </cell>
          <cell r="T1819" t="str">
            <v>60 - 00011R41395</v>
          </cell>
        </row>
        <row r="1820">
          <cell r="H1820">
            <v>0</v>
          </cell>
          <cell r="O1820">
            <v>41395</v>
          </cell>
          <cell r="R1820" t="str">
            <v/>
          </cell>
          <cell r="T1820" t="str">
            <v>60 - 00011R41395</v>
          </cell>
        </row>
        <row r="1821">
          <cell r="H1821">
            <v>6963600</v>
          </cell>
          <cell r="O1821">
            <v>41395</v>
          </cell>
          <cell r="R1821" t="str">
            <v/>
          </cell>
          <cell r="T1821" t="str">
            <v>60 - 00011R41395</v>
          </cell>
        </row>
        <row r="1822">
          <cell r="H1822">
            <v>0</v>
          </cell>
          <cell r="O1822">
            <v>41395</v>
          </cell>
          <cell r="R1822" t="str">
            <v/>
          </cell>
          <cell r="T1822" t="str">
            <v>60 - 00011R41395</v>
          </cell>
        </row>
        <row r="1823">
          <cell r="H1823">
            <v>812000</v>
          </cell>
          <cell r="O1823">
            <v>41395</v>
          </cell>
          <cell r="R1823" t="str">
            <v/>
          </cell>
          <cell r="T1823" t="str">
            <v>60 - 00011R41395</v>
          </cell>
        </row>
        <row r="1824">
          <cell r="H1824">
            <v>25437</v>
          </cell>
          <cell r="O1824">
            <v>41395</v>
          </cell>
          <cell r="R1824" t="str">
            <v/>
          </cell>
          <cell r="T1824" t="str">
            <v>60 - 00011R41395</v>
          </cell>
        </row>
        <row r="1825">
          <cell r="H1825">
            <v>0</v>
          </cell>
          <cell r="O1825">
            <v>41395</v>
          </cell>
          <cell r="R1825" t="str">
            <v/>
          </cell>
          <cell r="T1825" t="str">
            <v>60 - 00011R41395</v>
          </cell>
        </row>
        <row r="1826">
          <cell r="H1826">
            <v>132241403</v>
          </cell>
          <cell r="O1826">
            <v>41395</v>
          </cell>
          <cell r="R1826" t="str">
            <v/>
          </cell>
          <cell r="T1826" t="str">
            <v>60 - 00011R41395</v>
          </cell>
        </row>
        <row r="1827">
          <cell r="H1827">
            <v>0</v>
          </cell>
          <cell r="O1827">
            <v>41395</v>
          </cell>
          <cell r="R1827" t="str">
            <v/>
          </cell>
          <cell r="T1827" t="str">
            <v>60 - 00011R41395</v>
          </cell>
        </row>
        <row r="1828">
          <cell r="H1828">
            <v>1504040</v>
          </cell>
          <cell r="O1828">
            <v>41395</v>
          </cell>
          <cell r="R1828" t="str">
            <v/>
          </cell>
          <cell r="T1828" t="str">
            <v>60 - 00011R41395</v>
          </cell>
        </row>
        <row r="1829">
          <cell r="H1829">
            <v>7270028</v>
          </cell>
          <cell r="O1829">
            <v>41395</v>
          </cell>
          <cell r="R1829" t="str">
            <v/>
          </cell>
          <cell r="T1829" t="str">
            <v>60 - 00011R41395</v>
          </cell>
        </row>
        <row r="1830">
          <cell r="H1830">
            <v>0</v>
          </cell>
          <cell r="O1830">
            <v>41395</v>
          </cell>
          <cell r="R1830" t="str">
            <v/>
          </cell>
          <cell r="T1830" t="str">
            <v>60 - 00011R41395</v>
          </cell>
        </row>
        <row r="1831">
          <cell r="H1831">
            <v>0</v>
          </cell>
          <cell r="O1831">
            <v>41395</v>
          </cell>
          <cell r="R1831" t="str">
            <v/>
          </cell>
          <cell r="T1831" t="str">
            <v>60 - 00011R41395</v>
          </cell>
        </row>
        <row r="1832">
          <cell r="H1832">
            <v>0</v>
          </cell>
          <cell r="O1832">
            <v>41395</v>
          </cell>
          <cell r="R1832" t="str">
            <v/>
          </cell>
          <cell r="T1832" t="str">
            <v>60 - 00011R41395</v>
          </cell>
        </row>
        <row r="1833">
          <cell r="H1833">
            <v>0</v>
          </cell>
          <cell r="O1833">
            <v>41395</v>
          </cell>
          <cell r="R1833" t="str">
            <v/>
          </cell>
          <cell r="T1833" t="str">
            <v>60 - 00011R41395</v>
          </cell>
        </row>
        <row r="1834">
          <cell r="H1834">
            <v>1921</v>
          </cell>
          <cell r="O1834">
            <v>41395</v>
          </cell>
          <cell r="R1834" t="str">
            <v/>
          </cell>
          <cell r="T1834" t="str">
            <v>60 - 00011R41395</v>
          </cell>
        </row>
        <row r="1835">
          <cell r="H1835">
            <v>7890</v>
          </cell>
          <cell r="O1835">
            <v>41395</v>
          </cell>
          <cell r="R1835" t="str">
            <v/>
          </cell>
          <cell r="T1835" t="str">
            <v>60 - 00011R41395</v>
          </cell>
        </row>
        <row r="1836">
          <cell r="H1836">
            <v>197</v>
          </cell>
          <cell r="O1836">
            <v>41395</v>
          </cell>
          <cell r="R1836" t="str">
            <v/>
          </cell>
          <cell r="T1836" t="str">
            <v>60 - 00011R41395</v>
          </cell>
        </row>
        <row r="1837">
          <cell r="H1837">
            <v>86</v>
          </cell>
          <cell r="O1837">
            <v>41395</v>
          </cell>
          <cell r="R1837" t="str">
            <v/>
          </cell>
          <cell r="T1837" t="str">
            <v>60 - 00011R41395</v>
          </cell>
        </row>
        <row r="1838">
          <cell r="H1838">
            <v>20</v>
          </cell>
          <cell r="O1838">
            <v>41395</v>
          </cell>
          <cell r="R1838" t="str">
            <v/>
          </cell>
          <cell r="T1838" t="str">
            <v>60 - 00011R41395</v>
          </cell>
        </row>
        <row r="1839">
          <cell r="H1839">
            <v>1519</v>
          </cell>
          <cell r="O1839">
            <v>41395</v>
          </cell>
          <cell r="R1839" t="str">
            <v/>
          </cell>
          <cell r="T1839" t="str">
            <v>60 - 00011R41395</v>
          </cell>
        </row>
        <row r="1840">
          <cell r="H1840">
            <v>11003</v>
          </cell>
          <cell r="O1840">
            <v>41395</v>
          </cell>
          <cell r="R1840" t="str">
            <v/>
          </cell>
          <cell r="T1840" t="str">
            <v>60 - 00011R41395</v>
          </cell>
        </row>
        <row r="1841">
          <cell r="H1841">
            <v>0</v>
          </cell>
          <cell r="O1841">
            <v>41395</v>
          </cell>
          <cell r="R1841" t="str">
            <v/>
          </cell>
          <cell r="T1841" t="str">
            <v>60 - 00011R41395</v>
          </cell>
        </row>
        <row r="1842">
          <cell r="H1842">
            <v>18539095</v>
          </cell>
          <cell r="O1842">
            <v>41395</v>
          </cell>
          <cell r="R1842" t="str">
            <v/>
          </cell>
          <cell r="T1842" t="str">
            <v>60 - 00011R41395</v>
          </cell>
        </row>
        <row r="1843">
          <cell r="H1843">
            <v>24264</v>
          </cell>
          <cell r="O1843">
            <v>41395</v>
          </cell>
          <cell r="R1843" t="str">
            <v/>
          </cell>
          <cell r="T1843" t="str">
            <v>60 - 00011R41395</v>
          </cell>
        </row>
        <row r="1844">
          <cell r="H1844">
            <v>0</v>
          </cell>
          <cell r="O1844">
            <v>41395</v>
          </cell>
          <cell r="R1844" t="str">
            <v/>
          </cell>
          <cell r="T1844" t="str">
            <v>60 - 00011R41395</v>
          </cell>
        </row>
        <row r="1845">
          <cell r="H1845">
            <v>0</v>
          </cell>
          <cell r="O1845">
            <v>41395</v>
          </cell>
          <cell r="R1845" t="str">
            <v/>
          </cell>
          <cell r="T1845" t="str">
            <v>60 - 00011R41395</v>
          </cell>
        </row>
        <row r="1846">
          <cell r="H1846">
            <v>100640</v>
          </cell>
          <cell r="O1846">
            <v>41395</v>
          </cell>
          <cell r="R1846" t="str">
            <v/>
          </cell>
          <cell r="T1846" t="str">
            <v>60 - 00011R41395</v>
          </cell>
        </row>
        <row r="1847">
          <cell r="H1847">
            <v>57120</v>
          </cell>
          <cell r="O1847">
            <v>41395</v>
          </cell>
          <cell r="R1847" t="str">
            <v/>
          </cell>
          <cell r="T1847" t="str">
            <v>60 - 00011R41395</v>
          </cell>
        </row>
        <row r="1848">
          <cell r="H1848">
            <v>4555000</v>
          </cell>
          <cell r="O1848">
            <v>41395</v>
          </cell>
          <cell r="R1848" t="str">
            <v/>
          </cell>
          <cell r="T1848" t="str">
            <v>60 - 00011R41395</v>
          </cell>
        </row>
        <row r="1849">
          <cell r="H1849">
            <v>0</v>
          </cell>
          <cell r="O1849">
            <v>41395</v>
          </cell>
          <cell r="R1849" t="str">
            <v/>
          </cell>
          <cell r="T1849" t="str">
            <v>60 - 00011R41395</v>
          </cell>
        </row>
        <row r="1850">
          <cell r="H1850">
            <v>0</v>
          </cell>
          <cell r="O1850">
            <v>41395</v>
          </cell>
          <cell r="R1850" t="str">
            <v/>
          </cell>
          <cell r="T1850" t="str">
            <v>60 - 00011R41395</v>
          </cell>
        </row>
        <row r="1851">
          <cell r="H1851">
            <v>0</v>
          </cell>
          <cell r="O1851">
            <v>41395</v>
          </cell>
          <cell r="R1851" t="str">
            <v/>
          </cell>
          <cell r="T1851" t="str">
            <v>60 - 00011R41395</v>
          </cell>
        </row>
        <row r="1852">
          <cell r="H1852">
            <v>0</v>
          </cell>
          <cell r="O1852">
            <v>41395</v>
          </cell>
          <cell r="R1852" t="str">
            <v/>
          </cell>
          <cell r="T1852" t="str">
            <v>60 - 00011R41395</v>
          </cell>
        </row>
        <row r="1853">
          <cell r="H1853">
            <v>380</v>
          </cell>
          <cell r="O1853">
            <v>41395</v>
          </cell>
          <cell r="R1853" t="str">
            <v/>
          </cell>
          <cell r="T1853" t="str">
            <v>60 - 00011R41395</v>
          </cell>
        </row>
        <row r="1854">
          <cell r="H1854">
            <v>0</v>
          </cell>
          <cell r="O1854">
            <v>41395</v>
          </cell>
          <cell r="R1854" t="str">
            <v/>
          </cell>
          <cell r="T1854" t="str">
            <v>60 - 00011R41395</v>
          </cell>
        </row>
        <row r="1855">
          <cell r="H1855">
            <v>-1922000</v>
          </cell>
          <cell r="O1855">
            <v>41395</v>
          </cell>
          <cell r="R1855" t="str">
            <v/>
          </cell>
          <cell r="T1855" t="str">
            <v>60 - 00011U41395</v>
          </cell>
        </row>
        <row r="1856">
          <cell r="H1856">
            <v>0</v>
          </cell>
          <cell r="O1856">
            <v>41395</v>
          </cell>
          <cell r="R1856" t="str">
            <v/>
          </cell>
          <cell r="T1856" t="str">
            <v>60 - 00011B41395</v>
          </cell>
        </row>
        <row r="1857">
          <cell r="H1857">
            <v>6859686</v>
          </cell>
          <cell r="O1857">
            <v>41395</v>
          </cell>
          <cell r="R1857" t="str">
            <v/>
          </cell>
          <cell r="T1857" t="str">
            <v>60 - 00011B41395</v>
          </cell>
        </row>
        <row r="1858">
          <cell r="H1858">
            <v>-301587</v>
          </cell>
          <cell r="O1858">
            <v>41395</v>
          </cell>
          <cell r="R1858" t="str">
            <v/>
          </cell>
          <cell r="T1858" t="str">
            <v>60 - 00011B41395</v>
          </cell>
        </row>
        <row r="1859">
          <cell r="H1859">
            <v>76935</v>
          </cell>
          <cell r="O1859">
            <v>41395</v>
          </cell>
          <cell r="R1859" t="str">
            <v/>
          </cell>
          <cell r="T1859" t="str">
            <v>60 - 00011B41395</v>
          </cell>
        </row>
        <row r="1860">
          <cell r="H1860">
            <v>10383517</v>
          </cell>
          <cell r="O1860">
            <v>41395</v>
          </cell>
          <cell r="R1860" t="str">
            <v/>
          </cell>
          <cell r="T1860" t="str">
            <v>60 - 00011B41395</v>
          </cell>
        </row>
        <row r="1861">
          <cell r="H1861">
            <v>9450</v>
          </cell>
          <cell r="O1861">
            <v>41395</v>
          </cell>
          <cell r="R1861" t="str">
            <v/>
          </cell>
          <cell r="T1861" t="str">
            <v>60 - 00011B41395</v>
          </cell>
        </row>
        <row r="1862">
          <cell r="H1862">
            <v>224000</v>
          </cell>
          <cell r="O1862">
            <v>41395</v>
          </cell>
          <cell r="R1862" t="str">
            <v/>
          </cell>
          <cell r="T1862" t="str">
            <v>60 - 00011B41395</v>
          </cell>
        </row>
        <row r="1863">
          <cell r="H1863">
            <v>29355</v>
          </cell>
          <cell r="O1863">
            <v>41395</v>
          </cell>
          <cell r="R1863" t="str">
            <v/>
          </cell>
          <cell r="T1863" t="str">
            <v>60 - 00011B41395</v>
          </cell>
        </row>
        <row r="1864">
          <cell r="H1864">
            <v>0</v>
          </cell>
          <cell r="O1864">
            <v>41395</v>
          </cell>
          <cell r="R1864" t="str">
            <v/>
          </cell>
          <cell r="T1864" t="str">
            <v>60 - 00011B41395</v>
          </cell>
        </row>
        <row r="1865">
          <cell r="H1865">
            <v>8100</v>
          </cell>
          <cell r="O1865">
            <v>41395</v>
          </cell>
          <cell r="R1865" t="str">
            <v/>
          </cell>
          <cell r="T1865" t="str">
            <v>60 - 00011B41395</v>
          </cell>
        </row>
        <row r="1866">
          <cell r="H1866">
            <v>6260358</v>
          </cell>
          <cell r="O1866">
            <v>41395</v>
          </cell>
          <cell r="R1866" t="str">
            <v/>
          </cell>
          <cell r="T1866" t="str">
            <v>60 - 00011B41395</v>
          </cell>
        </row>
        <row r="1867">
          <cell r="H1867">
            <v>6605328</v>
          </cell>
          <cell r="O1867">
            <v>41395</v>
          </cell>
          <cell r="R1867" t="str">
            <v/>
          </cell>
          <cell r="T1867" t="str">
            <v>60 - 00011B41395</v>
          </cell>
        </row>
        <row r="1868">
          <cell r="H1868">
            <v>576402</v>
          </cell>
          <cell r="O1868">
            <v>41395</v>
          </cell>
          <cell r="R1868" t="str">
            <v/>
          </cell>
          <cell r="T1868" t="str">
            <v>60 - 00011B41395</v>
          </cell>
        </row>
        <row r="1869">
          <cell r="H1869">
            <v>0</v>
          </cell>
          <cell r="O1869">
            <v>41395</v>
          </cell>
          <cell r="R1869" t="str">
            <v/>
          </cell>
          <cell r="T1869" t="str">
            <v>60 - 00011B41395</v>
          </cell>
        </row>
        <row r="1870">
          <cell r="H1870">
            <v>0</v>
          </cell>
          <cell r="O1870">
            <v>41395</v>
          </cell>
          <cell r="R1870" t="str">
            <v/>
          </cell>
          <cell r="T1870" t="str">
            <v>60 - 00011R41395</v>
          </cell>
        </row>
        <row r="1871">
          <cell r="H1871">
            <v>0</v>
          </cell>
          <cell r="O1871">
            <v>41395</v>
          </cell>
          <cell r="R1871" t="str">
            <v/>
          </cell>
          <cell r="T1871" t="str">
            <v>60 - 00011R41395</v>
          </cell>
        </row>
        <row r="1872">
          <cell r="H1872">
            <v>0</v>
          </cell>
          <cell r="O1872">
            <v>41395</v>
          </cell>
          <cell r="R1872" t="str">
            <v/>
          </cell>
          <cell r="T1872" t="str">
            <v>60 - 00011R41395</v>
          </cell>
        </row>
        <row r="1873">
          <cell r="H1873">
            <v>0</v>
          </cell>
          <cell r="O1873">
            <v>41395</v>
          </cell>
          <cell r="R1873" t="str">
            <v/>
          </cell>
          <cell r="T1873" t="str">
            <v>60 - 00011R41395</v>
          </cell>
        </row>
        <row r="1874">
          <cell r="H1874">
            <v>0</v>
          </cell>
          <cell r="O1874">
            <v>41395</v>
          </cell>
          <cell r="R1874" t="str">
            <v/>
          </cell>
          <cell r="T1874" t="str">
            <v>60 - 00011R41395</v>
          </cell>
        </row>
        <row r="1875">
          <cell r="H1875">
            <v>0</v>
          </cell>
          <cell r="O1875">
            <v>41395</v>
          </cell>
          <cell r="R1875" t="str">
            <v/>
          </cell>
          <cell r="T1875" t="str">
            <v>60 - 00011R41395</v>
          </cell>
        </row>
        <row r="1876">
          <cell r="H1876">
            <v>0</v>
          </cell>
          <cell r="O1876">
            <v>41395</v>
          </cell>
          <cell r="R1876" t="str">
            <v/>
          </cell>
          <cell r="T1876" t="str">
            <v>60 - 00011R41395</v>
          </cell>
        </row>
        <row r="1877">
          <cell r="H1877">
            <v>0</v>
          </cell>
          <cell r="O1877">
            <v>41395</v>
          </cell>
          <cell r="R1877" t="str">
            <v/>
          </cell>
          <cell r="T1877" t="str">
            <v>60 - 00011R41395</v>
          </cell>
        </row>
        <row r="1878">
          <cell r="H1878">
            <v>0</v>
          </cell>
          <cell r="O1878">
            <v>41395</v>
          </cell>
          <cell r="R1878" t="str">
            <v/>
          </cell>
          <cell r="T1878" t="str">
            <v>60 - 00011R41395</v>
          </cell>
        </row>
        <row r="1879">
          <cell r="H1879">
            <v>0</v>
          </cell>
          <cell r="O1879">
            <v>41395</v>
          </cell>
          <cell r="R1879" t="str">
            <v/>
          </cell>
          <cell r="T1879" t="str">
            <v>60 - 00011R41395</v>
          </cell>
        </row>
        <row r="1880">
          <cell r="H1880">
            <v>224000</v>
          </cell>
          <cell r="O1880">
            <v>41395</v>
          </cell>
          <cell r="R1880" t="str">
            <v/>
          </cell>
          <cell r="T1880" t="str">
            <v>60 - 00011R41395</v>
          </cell>
        </row>
        <row r="1881">
          <cell r="H1881">
            <v>17919374</v>
          </cell>
          <cell r="O1881">
            <v>41395</v>
          </cell>
          <cell r="R1881" t="str">
            <v/>
          </cell>
          <cell r="T1881" t="str">
            <v>60 - 00011R41395</v>
          </cell>
        </row>
        <row r="1882">
          <cell r="H1882">
            <v>456</v>
          </cell>
          <cell r="O1882">
            <v>41395</v>
          </cell>
          <cell r="R1882" t="str">
            <v/>
          </cell>
          <cell r="T1882" t="str">
            <v>60 - 00011R41395</v>
          </cell>
        </row>
        <row r="1883">
          <cell r="H1883">
            <v>21366</v>
          </cell>
          <cell r="O1883">
            <v>41395</v>
          </cell>
          <cell r="R1883" t="str">
            <v/>
          </cell>
          <cell r="T1883" t="str">
            <v>60 - 00011R41395</v>
          </cell>
        </row>
        <row r="1884">
          <cell r="H1884">
            <v>77192</v>
          </cell>
          <cell r="O1884">
            <v>41395</v>
          </cell>
          <cell r="R1884" t="str">
            <v/>
          </cell>
          <cell r="T1884" t="str">
            <v>60 - 00011R41395</v>
          </cell>
        </row>
        <row r="1885">
          <cell r="H1885">
            <v>0</v>
          </cell>
          <cell r="O1885">
            <v>41395</v>
          </cell>
          <cell r="R1885" t="str">
            <v/>
          </cell>
          <cell r="T1885" t="str">
            <v>60 - 00011R41395</v>
          </cell>
        </row>
        <row r="1886">
          <cell r="H1886">
            <v>0</v>
          </cell>
          <cell r="O1886">
            <v>41395</v>
          </cell>
          <cell r="R1886" t="str">
            <v/>
          </cell>
          <cell r="T1886" t="str">
            <v>60 - 00011R41395</v>
          </cell>
        </row>
        <row r="1887">
          <cell r="H1887">
            <v>0</v>
          </cell>
          <cell r="O1887">
            <v>41395</v>
          </cell>
          <cell r="R1887" t="str">
            <v/>
          </cell>
          <cell r="T1887" t="str">
            <v>60 - 00011R41395</v>
          </cell>
        </row>
        <row r="1888">
          <cell r="H1888">
            <v>13489</v>
          </cell>
          <cell r="O1888">
            <v>41395</v>
          </cell>
          <cell r="R1888" t="str">
            <v/>
          </cell>
          <cell r="T1888" t="str">
            <v>60 - 00011R41395</v>
          </cell>
        </row>
        <row r="1889">
          <cell r="H1889">
            <v>19572</v>
          </cell>
          <cell r="O1889">
            <v>41395</v>
          </cell>
          <cell r="R1889" t="str">
            <v/>
          </cell>
          <cell r="T1889" t="str">
            <v>60 - 00011R41395</v>
          </cell>
        </row>
        <row r="1890">
          <cell r="H1890">
            <v>0</v>
          </cell>
          <cell r="O1890">
            <v>41395</v>
          </cell>
          <cell r="R1890" t="str">
            <v/>
          </cell>
          <cell r="T1890" t="str">
            <v>60 - 00011R41395</v>
          </cell>
        </row>
        <row r="1891">
          <cell r="H1891">
            <v>0</v>
          </cell>
          <cell r="O1891">
            <v>41395</v>
          </cell>
          <cell r="R1891" t="str">
            <v/>
          </cell>
          <cell r="T1891" t="str">
            <v>60 - 00011R41395</v>
          </cell>
        </row>
        <row r="1892">
          <cell r="H1892">
            <v>0</v>
          </cell>
          <cell r="O1892">
            <v>41395</v>
          </cell>
          <cell r="R1892" t="str">
            <v/>
          </cell>
          <cell r="T1892" t="str">
            <v>60 - 00011R41395</v>
          </cell>
        </row>
        <row r="1893">
          <cell r="H1893">
            <v>0</v>
          </cell>
          <cell r="O1893">
            <v>41395</v>
          </cell>
          <cell r="R1893" t="str">
            <v/>
          </cell>
          <cell r="T1893" t="str">
            <v>60 - 00011R41395</v>
          </cell>
        </row>
        <row r="1894">
          <cell r="H1894">
            <v>0</v>
          </cell>
          <cell r="O1894">
            <v>41395</v>
          </cell>
          <cell r="R1894" t="str">
            <v/>
          </cell>
          <cell r="T1894" t="str">
            <v>60 - 00011R41395</v>
          </cell>
        </row>
        <row r="1895">
          <cell r="H1895">
            <v>0</v>
          </cell>
          <cell r="O1895">
            <v>41395</v>
          </cell>
          <cell r="R1895" t="str">
            <v/>
          </cell>
          <cell r="T1895" t="str">
            <v>60 - 00011R41395</v>
          </cell>
        </row>
        <row r="1896">
          <cell r="H1896">
            <v>12106533</v>
          </cell>
          <cell r="O1896">
            <v>41395</v>
          </cell>
          <cell r="R1896" t="str">
            <v/>
          </cell>
          <cell r="T1896" t="str">
            <v>60 - 00011R41395</v>
          </cell>
        </row>
        <row r="1897">
          <cell r="H1897">
            <v>0</v>
          </cell>
          <cell r="O1897">
            <v>41395</v>
          </cell>
          <cell r="R1897" t="str">
            <v/>
          </cell>
          <cell r="T1897" t="str">
            <v>60 - 00011R41395</v>
          </cell>
        </row>
        <row r="1898">
          <cell r="H1898">
            <v>37415</v>
          </cell>
          <cell r="O1898">
            <v>41395</v>
          </cell>
          <cell r="R1898" t="str">
            <v/>
          </cell>
          <cell r="T1898" t="str">
            <v>60 - 00011R41395</v>
          </cell>
        </row>
        <row r="1899">
          <cell r="H1899">
            <v>96477</v>
          </cell>
          <cell r="O1899">
            <v>41395</v>
          </cell>
          <cell r="R1899" t="str">
            <v/>
          </cell>
          <cell r="T1899" t="str">
            <v>60 - 00011R41395</v>
          </cell>
        </row>
        <row r="1900">
          <cell r="H1900">
            <v>561956</v>
          </cell>
          <cell r="O1900">
            <v>41395</v>
          </cell>
          <cell r="R1900" t="str">
            <v/>
          </cell>
          <cell r="T1900" t="str">
            <v>60 - 00011R41395</v>
          </cell>
        </row>
        <row r="1901">
          <cell r="H1901">
            <v>45042</v>
          </cell>
          <cell r="O1901">
            <v>41395</v>
          </cell>
          <cell r="R1901" t="str">
            <v/>
          </cell>
          <cell r="T1901" t="str">
            <v>60 - 00011R41395</v>
          </cell>
        </row>
        <row r="1902">
          <cell r="H1902">
            <v>0</v>
          </cell>
          <cell r="O1902">
            <v>41395</v>
          </cell>
          <cell r="R1902" t="str">
            <v/>
          </cell>
          <cell r="T1902" t="str">
            <v>60 - 00011R41395</v>
          </cell>
        </row>
        <row r="1903">
          <cell r="H1903">
            <v>6912000</v>
          </cell>
          <cell r="O1903">
            <v>41395</v>
          </cell>
          <cell r="R1903" t="str">
            <v/>
          </cell>
          <cell r="T1903" t="str">
            <v>60 - 00011U41395</v>
          </cell>
        </row>
        <row r="1904">
          <cell r="H1904">
            <v>0</v>
          </cell>
          <cell r="O1904">
            <v>41395</v>
          </cell>
          <cell r="R1904" t="str">
            <v/>
          </cell>
          <cell r="T1904" t="str">
            <v>60 - 00011R41395</v>
          </cell>
        </row>
        <row r="1905">
          <cell r="H1905">
            <v>0</v>
          </cell>
          <cell r="O1905">
            <v>41395</v>
          </cell>
          <cell r="R1905" t="str">
            <v/>
          </cell>
          <cell r="T1905" t="str">
            <v>60 - 00011R41395</v>
          </cell>
        </row>
        <row r="1906">
          <cell r="H1906">
            <v>0</v>
          </cell>
          <cell r="O1906">
            <v>41395</v>
          </cell>
          <cell r="R1906" t="str">
            <v/>
          </cell>
          <cell r="T1906" t="str">
            <v>60 - 00011R41395</v>
          </cell>
        </row>
        <row r="1907">
          <cell r="H1907">
            <v>0</v>
          </cell>
          <cell r="O1907">
            <v>41395</v>
          </cell>
          <cell r="R1907" t="str">
            <v/>
          </cell>
          <cell r="T1907" t="str">
            <v>60 - 00011R41395</v>
          </cell>
        </row>
        <row r="1908">
          <cell r="H1908">
            <v>34093</v>
          </cell>
          <cell r="O1908">
            <v>41395</v>
          </cell>
          <cell r="R1908" t="str">
            <v/>
          </cell>
          <cell r="T1908" t="str">
            <v>60 - 00011R41395</v>
          </cell>
        </row>
        <row r="1909">
          <cell r="H1909">
            <v>12751</v>
          </cell>
          <cell r="O1909">
            <v>41395</v>
          </cell>
          <cell r="R1909" t="str">
            <v/>
          </cell>
          <cell r="T1909" t="str">
            <v>60 - 00011R41395</v>
          </cell>
        </row>
        <row r="1910">
          <cell r="H1910">
            <v>1618815</v>
          </cell>
          <cell r="O1910">
            <v>41395</v>
          </cell>
          <cell r="R1910" t="str">
            <v/>
          </cell>
          <cell r="T1910" t="str">
            <v>60 - 00011R41395</v>
          </cell>
        </row>
        <row r="1911">
          <cell r="H1911">
            <v>714386</v>
          </cell>
          <cell r="O1911">
            <v>41395</v>
          </cell>
          <cell r="R1911" t="str">
            <v/>
          </cell>
          <cell r="T1911" t="str">
            <v>60 - 00011R41395</v>
          </cell>
        </row>
        <row r="1912">
          <cell r="H1912">
            <v>31</v>
          </cell>
          <cell r="O1912">
            <v>41395</v>
          </cell>
          <cell r="R1912" t="str">
            <v/>
          </cell>
          <cell r="T1912" t="str">
            <v>60 - 00011R41395</v>
          </cell>
        </row>
        <row r="1913">
          <cell r="H1913">
            <v>49622</v>
          </cell>
          <cell r="O1913">
            <v>41395</v>
          </cell>
          <cell r="R1913" t="str">
            <v/>
          </cell>
          <cell r="T1913" t="str">
            <v>60 - 00011R41395</v>
          </cell>
        </row>
        <row r="1914">
          <cell r="H1914">
            <v>698638</v>
          </cell>
          <cell r="O1914">
            <v>41395</v>
          </cell>
          <cell r="R1914" t="str">
            <v/>
          </cell>
          <cell r="T1914" t="str">
            <v>60 - 00011R41395</v>
          </cell>
        </row>
        <row r="1915">
          <cell r="H1915">
            <v>3508</v>
          </cell>
          <cell r="O1915">
            <v>41395</v>
          </cell>
          <cell r="R1915" t="str">
            <v/>
          </cell>
          <cell r="T1915" t="str">
            <v>60 - 00011R41395</v>
          </cell>
        </row>
        <row r="1916">
          <cell r="H1916">
            <v>0</v>
          </cell>
          <cell r="O1916">
            <v>41395</v>
          </cell>
          <cell r="R1916" t="str">
            <v/>
          </cell>
          <cell r="T1916" t="str">
            <v>60 - 00011R41395</v>
          </cell>
        </row>
        <row r="1917">
          <cell r="H1917">
            <v>250000</v>
          </cell>
          <cell r="O1917">
            <v>41395</v>
          </cell>
          <cell r="R1917" t="str">
            <v/>
          </cell>
          <cell r="T1917" t="str">
            <v>60 - 00011U41395</v>
          </cell>
        </row>
        <row r="1918">
          <cell r="H1918">
            <v>0</v>
          </cell>
          <cell r="O1918">
            <v>41395</v>
          </cell>
          <cell r="R1918" t="str">
            <v/>
          </cell>
          <cell r="T1918" t="str">
            <v>60 - 00012B41395</v>
          </cell>
        </row>
        <row r="1919">
          <cell r="H1919">
            <v>94303301</v>
          </cell>
          <cell r="O1919">
            <v>41395</v>
          </cell>
          <cell r="R1919" t="str">
            <v/>
          </cell>
          <cell r="T1919" t="str">
            <v>60 - 00012B41395</v>
          </cell>
        </row>
        <row r="1920">
          <cell r="H1920">
            <v>157279</v>
          </cell>
          <cell r="O1920">
            <v>41395</v>
          </cell>
          <cell r="R1920" t="str">
            <v/>
          </cell>
          <cell r="T1920" t="str">
            <v>60 - 00012B41395</v>
          </cell>
        </row>
        <row r="1921">
          <cell r="H1921">
            <v>28648</v>
          </cell>
          <cell r="O1921">
            <v>41395</v>
          </cell>
          <cell r="R1921" t="str">
            <v/>
          </cell>
          <cell r="T1921" t="str">
            <v>60 - 00012B41395</v>
          </cell>
        </row>
        <row r="1922">
          <cell r="H1922">
            <v>4464630</v>
          </cell>
          <cell r="O1922">
            <v>41395</v>
          </cell>
          <cell r="R1922" t="str">
            <v/>
          </cell>
          <cell r="T1922" t="str">
            <v>60 - 00012B41395</v>
          </cell>
        </row>
        <row r="1923">
          <cell r="H1923">
            <v>89045</v>
          </cell>
          <cell r="O1923">
            <v>41395</v>
          </cell>
          <cell r="R1923" t="str">
            <v/>
          </cell>
          <cell r="T1923" t="str">
            <v>60 - 00012B41395</v>
          </cell>
        </row>
        <row r="1924">
          <cell r="H1924">
            <v>59878</v>
          </cell>
          <cell r="O1924">
            <v>41395</v>
          </cell>
          <cell r="R1924" t="str">
            <v/>
          </cell>
          <cell r="T1924" t="str">
            <v>60 - 00012B41395</v>
          </cell>
        </row>
        <row r="1925">
          <cell r="H1925">
            <v>414064</v>
          </cell>
          <cell r="O1925">
            <v>41395</v>
          </cell>
          <cell r="R1925" t="str">
            <v/>
          </cell>
          <cell r="T1925" t="str">
            <v>60 - 00012B41395</v>
          </cell>
        </row>
        <row r="1926">
          <cell r="H1926">
            <v>0</v>
          </cell>
          <cell r="O1926">
            <v>41395</v>
          </cell>
          <cell r="R1926" t="str">
            <v/>
          </cell>
          <cell r="T1926" t="str">
            <v>60 - 00012B41395</v>
          </cell>
        </row>
        <row r="1927">
          <cell r="H1927">
            <v>0</v>
          </cell>
          <cell r="O1927">
            <v>41395</v>
          </cell>
          <cell r="R1927" t="str">
            <v>41395WARESAGA</v>
          </cell>
          <cell r="T1927" t="str">
            <v>60 - 00012R41395</v>
          </cell>
        </row>
        <row r="1928">
          <cell r="H1928">
            <v>0</v>
          </cell>
          <cell r="O1928">
            <v>41395</v>
          </cell>
          <cell r="R1928" t="str">
            <v>41395WARESAGA</v>
          </cell>
          <cell r="T1928" t="str">
            <v>60 - 00012R41395</v>
          </cell>
        </row>
        <row r="1929">
          <cell r="H1929">
            <v>0</v>
          </cell>
          <cell r="O1929">
            <v>41395</v>
          </cell>
          <cell r="R1929" t="str">
            <v>41395WARESAGA</v>
          </cell>
          <cell r="T1929" t="str">
            <v>60 - 00012R41395</v>
          </cell>
        </row>
        <row r="1930">
          <cell r="H1930">
            <v>0</v>
          </cell>
          <cell r="O1930">
            <v>41395</v>
          </cell>
          <cell r="R1930" t="str">
            <v>41395WARESAGA</v>
          </cell>
          <cell r="T1930" t="str">
            <v>60 - 00012R41395</v>
          </cell>
        </row>
        <row r="1931">
          <cell r="H1931">
            <v>0</v>
          </cell>
          <cell r="O1931">
            <v>41395</v>
          </cell>
          <cell r="R1931" t="str">
            <v>41395WARESAGA</v>
          </cell>
          <cell r="T1931" t="str">
            <v>60 - 00012R41395</v>
          </cell>
        </row>
        <row r="1932">
          <cell r="H1932">
            <v>0</v>
          </cell>
          <cell r="O1932">
            <v>41395</v>
          </cell>
          <cell r="R1932" t="str">
            <v>41395WARESAGA</v>
          </cell>
          <cell r="T1932" t="str">
            <v>60 - 00012R41395</v>
          </cell>
        </row>
        <row r="1933">
          <cell r="H1933">
            <v>94303344</v>
          </cell>
          <cell r="O1933">
            <v>41395</v>
          </cell>
          <cell r="R1933" t="str">
            <v>41395WARES16</v>
          </cell>
          <cell r="T1933" t="str">
            <v>60 - 00012R41395</v>
          </cell>
        </row>
        <row r="1934">
          <cell r="H1934">
            <v>157280</v>
          </cell>
          <cell r="O1934">
            <v>41395</v>
          </cell>
          <cell r="R1934" t="str">
            <v>41395WARES18</v>
          </cell>
          <cell r="T1934" t="str">
            <v>60 - 00012R41395</v>
          </cell>
        </row>
        <row r="1935">
          <cell r="H1935">
            <v>28648</v>
          </cell>
          <cell r="O1935">
            <v>41395</v>
          </cell>
          <cell r="R1935" t="str">
            <v>41395WARES18</v>
          </cell>
          <cell r="T1935" t="str">
            <v>60 - 00012R41395</v>
          </cell>
        </row>
        <row r="1936">
          <cell r="H1936">
            <v>0</v>
          </cell>
          <cell r="O1936">
            <v>41395</v>
          </cell>
          <cell r="R1936" t="str">
            <v>41395WARESAGA</v>
          </cell>
          <cell r="T1936" t="str">
            <v>60 - 00012R41395</v>
          </cell>
        </row>
        <row r="1937">
          <cell r="H1937">
            <v>0</v>
          </cell>
          <cell r="O1937">
            <v>41395</v>
          </cell>
          <cell r="R1937" t="str">
            <v>41395WARESAGA</v>
          </cell>
          <cell r="T1937" t="str">
            <v>60 - 00012R41395</v>
          </cell>
        </row>
        <row r="1938">
          <cell r="H1938">
            <v>4464630</v>
          </cell>
          <cell r="O1938">
            <v>41395</v>
          </cell>
          <cell r="R1938" t="str">
            <v>41395WARES17</v>
          </cell>
          <cell r="T1938" t="str">
            <v>60 - 00012R41395</v>
          </cell>
        </row>
        <row r="1939">
          <cell r="H1939">
            <v>89045</v>
          </cell>
          <cell r="O1939">
            <v>41395</v>
          </cell>
          <cell r="R1939" t="str">
            <v>41395WARES15</v>
          </cell>
          <cell r="T1939" t="str">
            <v>60 - 00012R41395</v>
          </cell>
        </row>
        <row r="1940">
          <cell r="H1940">
            <v>59878</v>
          </cell>
          <cell r="O1940">
            <v>41395</v>
          </cell>
          <cell r="R1940" t="str">
            <v>41395WARES16</v>
          </cell>
          <cell r="T1940" t="str">
            <v>60 - 00012R41395</v>
          </cell>
        </row>
        <row r="1941">
          <cell r="H1941">
            <v>414077</v>
          </cell>
          <cell r="O1941">
            <v>41395</v>
          </cell>
          <cell r="R1941" t="str">
            <v>41395WARES24</v>
          </cell>
          <cell r="T1941" t="str">
            <v>60 - 00012R41395</v>
          </cell>
        </row>
        <row r="1942">
          <cell r="H1942">
            <v>0</v>
          </cell>
          <cell r="O1942">
            <v>41395</v>
          </cell>
          <cell r="R1942" t="str">
            <v>41395WARESAGA</v>
          </cell>
          <cell r="T1942" t="str">
            <v>60 - 00012R41395</v>
          </cell>
        </row>
        <row r="1943">
          <cell r="H1943">
            <v>-5073000</v>
          </cell>
          <cell r="O1943">
            <v>41395</v>
          </cell>
          <cell r="R1943" t="str">
            <v>41395WARES88</v>
          </cell>
          <cell r="T1943" t="str">
            <v>60 - 00012U41395</v>
          </cell>
        </row>
        <row r="1944">
          <cell r="H1944">
            <v>0</v>
          </cell>
          <cell r="O1944">
            <v>41395</v>
          </cell>
          <cell r="R1944" t="str">
            <v>41395WARESAGA</v>
          </cell>
          <cell r="T1944" t="str">
            <v>60 - 00012U41395</v>
          </cell>
        </row>
        <row r="1945">
          <cell r="H1945">
            <v>0</v>
          </cell>
          <cell r="O1945">
            <v>41395</v>
          </cell>
          <cell r="R1945" t="str">
            <v/>
          </cell>
          <cell r="T1945" t="str">
            <v>60 - 00012B41395</v>
          </cell>
        </row>
        <row r="1946">
          <cell r="H1946">
            <v>2889726</v>
          </cell>
          <cell r="O1946">
            <v>41395</v>
          </cell>
          <cell r="R1946" t="str">
            <v/>
          </cell>
          <cell r="T1946" t="str">
            <v>60 - 00012B41395</v>
          </cell>
        </row>
        <row r="1947">
          <cell r="H1947">
            <v>98406</v>
          </cell>
          <cell r="O1947">
            <v>41395</v>
          </cell>
          <cell r="R1947" t="str">
            <v/>
          </cell>
          <cell r="T1947" t="str">
            <v>60 - 00012B41395</v>
          </cell>
        </row>
        <row r="1948">
          <cell r="H1948">
            <v>6370520</v>
          </cell>
          <cell r="O1948">
            <v>41395</v>
          </cell>
          <cell r="R1948" t="str">
            <v/>
          </cell>
          <cell r="T1948" t="str">
            <v>60 - 00012B41395</v>
          </cell>
        </row>
        <row r="1949">
          <cell r="H1949">
            <v>47589</v>
          </cell>
          <cell r="O1949">
            <v>41395</v>
          </cell>
          <cell r="R1949" t="str">
            <v/>
          </cell>
          <cell r="T1949" t="str">
            <v>60 - 00012B41395</v>
          </cell>
        </row>
        <row r="1950">
          <cell r="H1950">
            <v>72</v>
          </cell>
          <cell r="O1950">
            <v>41395</v>
          </cell>
          <cell r="R1950" t="str">
            <v/>
          </cell>
          <cell r="T1950" t="str">
            <v>60 - 00012B41395</v>
          </cell>
        </row>
        <row r="1951">
          <cell r="H1951">
            <v>303</v>
          </cell>
          <cell r="O1951">
            <v>41395</v>
          </cell>
          <cell r="R1951" t="str">
            <v/>
          </cell>
          <cell r="T1951" t="str">
            <v>60 - 00012B41395</v>
          </cell>
        </row>
        <row r="1952">
          <cell r="H1952">
            <v>0</v>
          </cell>
          <cell r="O1952">
            <v>41395</v>
          </cell>
          <cell r="R1952" t="str">
            <v/>
          </cell>
          <cell r="T1952" t="str">
            <v>60 - 00012B41395</v>
          </cell>
        </row>
        <row r="1953">
          <cell r="H1953">
            <v>0</v>
          </cell>
          <cell r="O1953">
            <v>41395</v>
          </cell>
          <cell r="R1953" t="str">
            <v>41395WACOMAGA</v>
          </cell>
          <cell r="T1953" t="str">
            <v>60 - 00012R41395</v>
          </cell>
        </row>
        <row r="1954">
          <cell r="H1954">
            <v>0</v>
          </cell>
          <cell r="O1954">
            <v>41395</v>
          </cell>
          <cell r="R1954" t="str">
            <v>41395WACOMAGA</v>
          </cell>
          <cell r="T1954" t="str">
            <v>60 - 00012R41395</v>
          </cell>
        </row>
        <row r="1955">
          <cell r="H1955">
            <v>0</v>
          </cell>
          <cell r="O1955">
            <v>41395</v>
          </cell>
          <cell r="R1955" t="str">
            <v>41395WACOMAGA</v>
          </cell>
          <cell r="T1955" t="str">
            <v>60 - 00012R41395</v>
          </cell>
        </row>
        <row r="1956">
          <cell r="H1956">
            <v>0</v>
          </cell>
          <cell r="O1956">
            <v>41395</v>
          </cell>
          <cell r="R1956" t="str">
            <v>41395WACOMAGA</v>
          </cell>
          <cell r="T1956" t="str">
            <v>60 - 00012R41395</v>
          </cell>
        </row>
        <row r="1957">
          <cell r="H1957">
            <v>0</v>
          </cell>
          <cell r="O1957">
            <v>41395</v>
          </cell>
          <cell r="R1957" t="str">
            <v>41395WACOMAGA</v>
          </cell>
          <cell r="T1957" t="str">
            <v>60 - 00012R41395</v>
          </cell>
        </row>
        <row r="1958">
          <cell r="H1958">
            <v>34643485</v>
          </cell>
          <cell r="O1958">
            <v>41395</v>
          </cell>
          <cell r="R1958" t="str">
            <v>41395WACOM24</v>
          </cell>
          <cell r="T1958" t="str">
            <v>60 - 00012R41395</v>
          </cell>
        </row>
        <row r="1959">
          <cell r="H1959">
            <v>92037</v>
          </cell>
          <cell r="O1959">
            <v>41395</v>
          </cell>
          <cell r="R1959" t="str">
            <v>41395WACOM24</v>
          </cell>
          <cell r="T1959" t="str">
            <v>60 - 00012R41395</v>
          </cell>
        </row>
        <row r="1960">
          <cell r="H1960">
            <v>53081600</v>
          </cell>
          <cell r="O1960">
            <v>41395</v>
          </cell>
          <cell r="R1960" t="str">
            <v>41395WACOM36</v>
          </cell>
          <cell r="T1960" t="str">
            <v>60 - 00012R41395</v>
          </cell>
        </row>
        <row r="1961">
          <cell r="H1961">
            <v>12451220</v>
          </cell>
          <cell r="O1961">
            <v>41395</v>
          </cell>
          <cell r="R1961" t="str">
            <v>41395WACOM48T</v>
          </cell>
          <cell r="T1961" t="str">
            <v>60 - 00012R41395</v>
          </cell>
        </row>
        <row r="1962">
          <cell r="H1962">
            <v>0</v>
          </cell>
          <cell r="O1962">
            <v>41395</v>
          </cell>
          <cell r="R1962" t="str">
            <v>41395WACOMAGA</v>
          </cell>
          <cell r="T1962" t="str">
            <v>60 - 00012R41395</v>
          </cell>
        </row>
        <row r="1963">
          <cell r="H1963">
            <v>0</v>
          </cell>
          <cell r="O1963">
            <v>41395</v>
          </cell>
          <cell r="R1963" t="str">
            <v>41395WACOMAGA</v>
          </cell>
          <cell r="T1963" t="str">
            <v>60 - 00012R41395</v>
          </cell>
        </row>
        <row r="1964">
          <cell r="H1964">
            <v>0</v>
          </cell>
          <cell r="O1964">
            <v>41395</v>
          </cell>
          <cell r="R1964" t="str">
            <v>41395WACOMAGA</v>
          </cell>
          <cell r="T1964" t="str">
            <v>60 - 00012R41395</v>
          </cell>
        </row>
        <row r="1965">
          <cell r="H1965">
            <v>0</v>
          </cell>
          <cell r="O1965">
            <v>41395</v>
          </cell>
          <cell r="R1965" t="str">
            <v>41395WACOMAGA</v>
          </cell>
          <cell r="T1965" t="str">
            <v>60 - 00012R41395</v>
          </cell>
        </row>
        <row r="1966">
          <cell r="H1966">
            <v>128938</v>
          </cell>
          <cell r="O1966">
            <v>41395</v>
          </cell>
          <cell r="R1966" t="str">
            <v>41395WACOM15</v>
          </cell>
          <cell r="T1966" t="str">
            <v>60 - 00012R41395</v>
          </cell>
        </row>
        <row r="1967">
          <cell r="H1967">
            <v>20242</v>
          </cell>
          <cell r="O1967">
            <v>41395</v>
          </cell>
          <cell r="R1967" t="str">
            <v>41395WACOM54</v>
          </cell>
          <cell r="T1967" t="str">
            <v>60 - 00012R41395</v>
          </cell>
        </row>
        <row r="1968">
          <cell r="H1968">
            <v>0</v>
          </cell>
          <cell r="O1968">
            <v>41395</v>
          </cell>
          <cell r="R1968" t="str">
            <v>41395WACOMAGA</v>
          </cell>
          <cell r="T1968" t="str">
            <v>60 - 00012R41395</v>
          </cell>
        </row>
        <row r="1969">
          <cell r="H1969">
            <v>51236</v>
          </cell>
          <cell r="O1969">
            <v>41395</v>
          </cell>
          <cell r="R1969" t="str">
            <v>41395WACOM24</v>
          </cell>
          <cell r="T1969" t="str">
            <v>60 - 00012R41395</v>
          </cell>
        </row>
        <row r="1970">
          <cell r="H1970">
            <v>2889749</v>
          </cell>
          <cell r="O1970">
            <v>41395</v>
          </cell>
          <cell r="R1970" t="str">
            <v>41395WACOM24</v>
          </cell>
          <cell r="T1970" t="str">
            <v>60 - 00012R41395</v>
          </cell>
        </row>
        <row r="1971">
          <cell r="H1971">
            <v>98407</v>
          </cell>
          <cell r="O1971">
            <v>41395</v>
          </cell>
          <cell r="R1971" t="str">
            <v>41395WACOM24</v>
          </cell>
          <cell r="T1971" t="str">
            <v>60 - 00012R41395</v>
          </cell>
        </row>
        <row r="1972">
          <cell r="H1972">
            <v>6370520</v>
          </cell>
          <cell r="O1972">
            <v>41395</v>
          </cell>
          <cell r="R1972" t="str">
            <v>41395WACOM36</v>
          </cell>
          <cell r="T1972" t="str">
            <v>60 - 00012R41395</v>
          </cell>
        </row>
        <row r="1973">
          <cell r="H1973">
            <v>47589</v>
          </cell>
          <cell r="O1973">
            <v>41395</v>
          </cell>
          <cell r="R1973" t="str">
            <v>41395WACOM15</v>
          </cell>
          <cell r="T1973" t="str">
            <v>60 - 00012R41395</v>
          </cell>
        </row>
        <row r="1974">
          <cell r="H1974">
            <v>12857</v>
          </cell>
          <cell r="O1974">
            <v>41395</v>
          </cell>
          <cell r="R1974" t="str">
            <v>41395WACOM24</v>
          </cell>
          <cell r="T1974" t="str">
            <v>60 - 00012R41395</v>
          </cell>
        </row>
        <row r="1975">
          <cell r="H1975">
            <v>0</v>
          </cell>
          <cell r="O1975">
            <v>41395</v>
          </cell>
          <cell r="R1975" t="str">
            <v>41395WACOMAGA</v>
          </cell>
          <cell r="T1975" t="str">
            <v>60 - 00012R41395</v>
          </cell>
        </row>
        <row r="1976">
          <cell r="H1976">
            <v>104720</v>
          </cell>
          <cell r="O1976">
            <v>41395</v>
          </cell>
          <cell r="R1976" t="str">
            <v>41395WACOM36</v>
          </cell>
          <cell r="T1976" t="str">
            <v>60 - 00012R41395</v>
          </cell>
        </row>
        <row r="1977">
          <cell r="H1977">
            <v>0</v>
          </cell>
          <cell r="O1977">
            <v>41395</v>
          </cell>
          <cell r="R1977" t="str">
            <v>41395WACOMAGA</v>
          </cell>
          <cell r="T1977" t="str">
            <v>60 - 00012R41395</v>
          </cell>
        </row>
        <row r="1978">
          <cell r="H1978">
            <v>14660000</v>
          </cell>
          <cell r="O1978">
            <v>41395</v>
          </cell>
          <cell r="R1978" t="str">
            <v>41395WACOM88</v>
          </cell>
          <cell r="T1978" t="str">
            <v>60 - 00012U41395</v>
          </cell>
        </row>
        <row r="1979">
          <cell r="H1979">
            <v>0</v>
          </cell>
          <cell r="O1979">
            <v>41395</v>
          </cell>
          <cell r="R1979" t="str">
            <v/>
          </cell>
          <cell r="T1979" t="str">
            <v>60 - 00012B41395</v>
          </cell>
        </row>
        <row r="1980">
          <cell r="H1980">
            <v>91475</v>
          </cell>
          <cell r="O1980">
            <v>41395</v>
          </cell>
          <cell r="R1980" t="str">
            <v/>
          </cell>
          <cell r="T1980" t="str">
            <v>60 - 00012B41395</v>
          </cell>
        </row>
        <row r="1981">
          <cell r="H1981">
            <v>1559</v>
          </cell>
          <cell r="O1981">
            <v>41395</v>
          </cell>
          <cell r="R1981" t="str">
            <v/>
          </cell>
          <cell r="T1981" t="str">
            <v>60 - 00012B41395</v>
          </cell>
        </row>
        <row r="1982">
          <cell r="H1982">
            <v>125780</v>
          </cell>
          <cell r="O1982">
            <v>41395</v>
          </cell>
          <cell r="R1982" t="str">
            <v/>
          </cell>
          <cell r="T1982" t="str">
            <v>60 - 00012B41395</v>
          </cell>
        </row>
        <row r="1983">
          <cell r="H1983">
            <v>2380</v>
          </cell>
          <cell r="O1983">
            <v>41395</v>
          </cell>
          <cell r="R1983" t="str">
            <v/>
          </cell>
          <cell r="T1983" t="str">
            <v>60 - 00012B41395</v>
          </cell>
        </row>
        <row r="1984">
          <cell r="H1984">
            <v>0</v>
          </cell>
          <cell r="O1984">
            <v>41395</v>
          </cell>
          <cell r="R1984" t="str">
            <v/>
          </cell>
          <cell r="T1984" t="str">
            <v>60 - 00012B41395</v>
          </cell>
        </row>
        <row r="1985">
          <cell r="H1985">
            <v>0</v>
          </cell>
          <cell r="O1985">
            <v>41395</v>
          </cell>
          <cell r="R1985" t="str">
            <v>41395WAINDAGA</v>
          </cell>
          <cell r="T1985" t="str">
            <v>60 - 00012R41395</v>
          </cell>
        </row>
        <row r="1986">
          <cell r="H1986">
            <v>0</v>
          </cell>
          <cell r="O1986">
            <v>41395</v>
          </cell>
          <cell r="R1986" t="str">
            <v>41395WAINDAGA</v>
          </cell>
          <cell r="T1986" t="str">
            <v>60 - 00012R41395</v>
          </cell>
        </row>
        <row r="1987">
          <cell r="H1987">
            <v>0</v>
          </cell>
          <cell r="O1987">
            <v>41395</v>
          </cell>
          <cell r="R1987" t="str">
            <v>41395WAINDAGA</v>
          </cell>
          <cell r="T1987" t="str">
            <v>60 - 00012R41395</v>
          </cell>
        </row>
        <row r="1988">
          <cell r="H1988">
            <v>0</v>
          </cell>
          <cell r="O1988">
            <v>41395</v>
          </cell>
          <cell r="R1988" t="str">
            <v>41395WAINDAGA</v>
          </cell>
          <cell r="T1988" t="str">
            <v>60 - 00012R41395</v>
          </cell>
        </row>
        <row r="1989">
          <cell r="H1989">
            <v>1217801</v>
          </cell>
          <cell r="O1989">
            <v>41395</v>
          </cell>
          <cell r="R1989" t="str">
            <v>41395WAIND24</v>
          </cell>
          <cell r="T1989" t="str">
            <v>60 - 00012R41395</v>
          </cell>
        </row>
        <row r="1990">
          <cell r="H1990">
            <v>2776</v>
          </cell>
          <cell r="O1990">
            <v>41395</v>
          </cell>
          <cell r="R1990" t="str">
            <v>41395WAIND24</v>
          </cell>
          <cell r="T1990" t="str">
            <v>60 - 00012R41395</v>
          </cell>
        </row>
        <row r="1991">
          <cell r="H1991">
            <v>6846060</v>
          </cell>
          <cell r="O1991">
            <v>41395</v>
          </cell>
          <cell r="R1991" t="str">
            <v>41395WAIND36</v>
          </cell>
          <cell r="T1991" t="str">
            <v>60 - 00012R41395</v>
          </cell>
        </row>
        <row r="1992">
          <cell r="H1992">
            <v>53066000</v>
          </cell>
          <cell r="O1992">
            <v>41395</v>
          </cell>
          <cell r="R1992" t="str">
            <v>41395WAIND48T</v>
          </cell>
          <cell r="T1992" t="str">
            <v>60 - 00012R41395</v>
          </cell>
        </row>
        <row r="1993">
          <cell r="H1993">
            <v>9626</v>
          </cell>
          <cell r="O1993">
            <v>41395</v>
          </cell>
          <cell r="R1993" t="str">
            <v>41395WAIND15</v>
          </cell>
          <cell r="T1993" t="str">
            <v>60 - 00012R41395</v>
          </cell>
        </row>
        <row r="1994">
          <cell r="H1994">
            <v>69000</v>
          </cell>
          <cell r="O1994">
            <v>41395</v>
          </cell>
          <cell r="R1994" t="str">
            <v>41395WAIND47</v>
          </cell>
          <cell r="T1994" t="str">
            <v>60 - 00012R41395</v>
          </cell>
        </row>
        <row r="1995">
          <cell r="H1995">
            <v>91475</v>
          </cell>
          <cell r="O1995">
            <v>41395</v>
          </cell>
          <cell r="R1995" t="str">
            <v>41395WAIND24</v>
          </cell>
          <cell r="T1995" t="str">
            <v>60 - 00012R41395</v>
          </cell>
        </row>
        <row r="1996">
          <cell r="H1996">
            <v>1559</v>
          </cell>
          <cell r="O1996">
            <v>41395</v>
          </cell>
          <cell r="R1996" t="str">
            <v>41395WAIND24</v>
          </cell>
          <cell r="T1996" t="str">
            <v>60 - 00012R41395</v>
          </cell>
        </row>
        <row r="1997">
          <cell r="H1997">
            <v>125780</v>
          </cell>
          <cell r="O1997">
            <v>41395</v>
          </cell>
          <cell r="R1997" t="str">
            <v>41395WAIND36</v>
          </cell>
          <cell r="T1997" t="str">
            <v>60 - 00012R41395</v>
          </cell>
        </row>
        <row r="1998">
          <cell r="H1998">
            <v>2380</v>
          </cell>
          <cell r="O1998">
            <v>41395</v>
          </cell>
          <cell r="R1998" t="str">
            <v>41395WAIND15</v>
          </cell>
          <cell r="T1998" t="str">
            <v>60 - 00012R41395</v>
          </cell>
        </row>
        <row r="1999">
          <cell r="H1999">
            <v>0</v>
          </cell>
          <cell r="O1999">
            <v>41395</v>
          </cell>
          <cell r="R1999" t="str">
            <v>41395WAINDAGA</v>
          </cell>
          <cell r="T1999" t="str">
            <v>60 - 00012R41395</v>
          </cell>
        </row>
        <row r="2000">
          <cell r="H2000">
            <v>7159000</v>
          </cell>
          <cell r="O2000">
            <v>41395</v>
          </cell>
          <cell r="R2000" t="str">
            <v>41395WAIND88</v>
          </cell>
          <cell r="T2000" t="str">
            <v>60 - 00012U41395</v>
          </cell>
        </row>
        <row r="2001">
          <cell r="H2001">
            <v>0</v>
          </cell>
          <cell r="O2001">
            <v>41395</v>
          </cell>
          <cell r="R2001" t="str">
            <v/>
          </cell>
          <cell r="T2001" t="str">
            <v>60 - 00012B41395</v>
          </cell>
        </row>
        <row r="2002">
          <cell r="H2002">
            <v>20592913</v>
          </cell>
          <cell r="O2002">
            <v>41395</v>
          </cell>
          <cell r="R2002" t="str">
            <v/>
          </cell>
          <cell r="T2002" t="str">
            <v>60 - 00012B41395</v>
          </cell>
        </row>
        <row r="2003">
          <cell r="H2003">
            <v>-1607992</v>
          </cell>
          <cell r="O2003">
            <v>41395</v>
          </cell>
          <cell r="R2003" t="str">
            <v/>
          </cell>
          <cell r="T2003" t="str">
            <v>60 - 00012B41395</v>
          </cell>
        </row>
        <row r="2004">
          <cell r="H2004">
            <v>0</v>
          </cell>
          <cell r="O2004">
            <v>41395</v>
          </cell>
          <cell r="R2004" t="str">
            <v/>
          </cell>
          <cell r="T2004" t="str">
            <v>60 - 00012B41395</v>
          </cell>
        </row>
        <row r="2005">
          <cell r="H2005">
            <v>0</v>
          </cell>
          <cell r="O2005">
            <v>41395</v>
          </cell>
          <cell r="R2005" t="str">
            <v/>
          </cell>
          <cell r="T2005" t="str">
            <v>60 - 00012B41395</v>
          </cell>
        </row>
        <row r="2006">
          <cell r="H2006">
            <v>0</v>
          </cell>
          <cell r="O2006">
            <v>41395</v>
          </cell>
          <cell r="R2006" t="str">
            <v>41395WAINDAGA</v>
          </cell>
          <cell r="T2006" t="str">
            <v>60 - 00012R41395</v>
          </cell>
        </row>
        <row r="2007">
          <cell r="H2007">
            <v>0</v>
          </cell>
          <cell r="O2007">
            <v>41395</v>
          </cell>
          <cell r="R2007" t="str">
            <v>41395WAINDAGA</v>
          </cell>
          <cell r="T2007" t="str">
            <v>60 - 00012R41395</v>
          </cell>
        </row>
        <row r="2008">
          <cell r="H2008">
            <v>0</v>
          </cell>
          <cell r="O2008">
            <v>41395</v>
          </cell>
          <cell r="R2008" t="str">
            <v>41395WAINDAGA</v>
          </cell>
          <cell r="T2008" t="str">
            <v>60 - 00012R41395</v>
          </cell>
        </row>
        <row r="2009">
          <cell r="H2009">
            <v>0</v>
          </cell>
          <cell r="O2009">
            <v>41395</v>
          </cell>
          <cell r="R2009" t="str">
            <v>41395WAINDAGA</v>
          </cell>
          <cell r="T2009" t="str">
            <v>60 - 00012R41395</v>
          </cell>
        </row>
        <row r="2010">
          <cell r="H2010">
            <v>0</v>
          </cell>
          <cell r="O2010">
            <v>41395</v>
          </cell>
          <cell r="R2010" t="str">
            <v>41395WAINDAGA</v>
          </cell>
          <cell r="T2010" t="str">
            <v>60 - 00012R41395</v>
          </cell>
        </row>
        <row r="2011">
          <cell r="H2011">
            <v>20592952</v>
          </cell>
          <cell r="O2011">
            <v>41395</v>
          </cell>
          <cell r="R2011" t="str">
            <v>41395WAIND40</v>
          </cell>
          <cell r="T2011" t="str">
            <v>60 - 00012R41395</v>
          </cell>
        </row>
        <row r="2012">
          <cell r="H2012">
            <v>561723</v>
          </cell>
          <cell r="O2012">
            <v>41395</v>
          </cell>
          <cell r="R2012" t="str">
            <v>41395WAIND40</v>
          </cell>
          <cell r="T2012" t="str">
            <v>60 - 00012R41395</v>
          </cell>
        </row>
        <row r="2013">
          <cell r="H2013">
            <v>0</v>
          </cell>
          <cell r="O2013">
            <v>41395</v>
          </cell>
          <cell r="R2013" t="str">
            <v>41395WAINDAGA</v>
          </cell>
          <cell r="T2013" t="str">
            <v>60 - 00012R41395</v>
          </cell>
        </row>
        <row r="2014">
          <cell r="H2014">
            <v>0</v>
          </cell>
          <cell r="O2014">
            <v>41395</v>
          </cell>
          <cell r="R2014" t="str">
            <v>41395WAINDAGA</v>
          </cell>
          <cell r="T2014" t="str">
            <v>60 - 00012R41395</v>
          </cell>
        </row>
        <row r="2015">
          <cell r="H2015">
            <v>0</v>
          </cell>
          <cell r="O2015">
            <v>41395</v>
          </cell>
          <cell r="R2015" t="str">
            <v>41395WAINDAGA</v>
          </cell>
          <cell r="T2015" t="str">
            <v>60 - 00012R41395</v>
          </cell>
        </row>
        <row r="2016">
          <cell r="H2016">
            <v>0</v>
          </cell>
          <cell r="O2016">
            <v>41395</v>
          </cell>
          <cell r="R2016" t="str">
            <v>41395WAINDAGA</v>
          </cell>
          <cell r="T2016" t="str">
            <v>60 - 00012R41395</v>
          </cell>
        </row>
        <row r="2017">
          <cell r="H2017">
            <v>0</v>
          </cell>
          <cell r="O2017">
            <v>41395</v>
          </cell>
          <cell r="R2017" t="str">
            <v>41395WAINDAGA</v>
          </cell>
          <cell r="T2017" t="str">
            <v>60 - 00012R41395</v>
          </cell>
        </row>
        <row r="2018">
          <cell r="H2018">
            <v>0</v>
          </cell>
          <cell r="O2018">
            <v>41395</v>
          </cell>
          <cell r="R2018" t="str">
            <v>41395WAINDAGA</v>
          </cell>
          <cell r="T2018" t="str">
            <v>60 - 00012R41395</v>
          </cell>
        </row>
        <row r="2019">
          <cell r="H2019">
            <v>0</v>
          </cell>
          <cell r="O2019">
            <v>41395</v>
          </cell>
          <cell r="R2019" t="str">
            <v>41395WAIND40</v>
          </cell>
          <cell r="T2019" t="str">
            <v>60 - 00012R41395</v>
          </cell>
        </row>
        <row r="2020">
          <cell r="H2020">
            <v>0</v>
          </cell>
          <cell r="O2020">
            <v>41395</v>
          </cell>
          <cell r="R2020" t="str">
            <v>41395WAINDAGA</v>
          </cell>
          <cell r="T2020" t="str">
            <v>60 - 00012R41395</v>
          </cell>
        </row>
        <row r="2021">
          <cell r="H2021">
            <v>3058000</v>
          </cell>
          <cell r="O2021">
            <v>41395</v>
          </cell>
          <cell r="R2021" t="str">
            <v>41395WAIND89</v>
          </cell>
          <cell r="T2021" t="str">
            <v>60 - 00012U41395</v>
          </cell>
        </row>
        <row r="2022">
          <cell r="H2022">
            <v>0</v>
          </cell>
          <cell r="O2022">
            <v>41395</v>
          </cell>
          <cell r="R2022" t="str">
            <v>41395WAPSHAGA</v>
          </cell>
          <cell r="T2022" t="str">
            <v>60 - 00012R41395</v>
          </cell>
        </row>
        <row r="2023">
          <cell r="H2023">
            <v>0</v>
          </cell>
          <cell r="O2023">
            <v>41395</v>
          </cell>
          <cell r="R2023" t="str">
            <v>41395WAPSHAGA</v>
          </cell>
          <cell r="T2023" t="str">
            <v>60 - 00012R41395</v>
          </cell>
        </row>
        <row r="2024">
          <cell r="H2024">
            <v>0</v>
          </cell>
          <cell r="O2024">
            <v>41395</v>
          </cell>
          <cell r="R2024" t="str">
            <v>41395WAPSHAGA</v>
          </cell>
          <cell r="T2024" t="str">
            <v>60 - 00012R41395</v>
          </cell>
        </row>
        <row r="2025">
          <cell r="H2025">
            <v>0</v>
          </cell>
          <cell r="O2025">
            <v>41395</v>
          </cell>
          <cell r="R2025" t="str">
            <v>41395WAPSHAGA</v>
          </cell>
          <cell r="T2025" t="str">
            <v>60 - 00012R41395</v>
          </cell>
        </row>
        <row r="2026">
          <cell r="H2026">
            <v>18326</v>
          </cell>
          <cell r="O2026">
            <v>41395</v>
          </cell>
          <cell r="R2026" t="str">
            <v>41395WAPSH52</v>
          </cell>
          <cell r="T2026" t="str">
            <v>60 - 00012R41395</v>
          </cell>
        </row>
        <row r="2027">
          <cell r="H2027">
            <v>289026</v>
          </cell>
          <cell r="O2027">
            <v>41395</v>
          </cell>
          <cell r="R2027" t="str">
            <v>41395WAPSH53</v>
          </cell>
          <cell r="T2027" t="str">
            <v>60 - 00012R41395</v>
          </cell>
        </row>
        <row r="2028">
          <cell r="H2028">
            <v>77014</v>
          </cell>
          <cell r="O2028">
            <v>41395</v>
          </cell>
          <cell r="R2028" t="str">
            <v>41395WAPSH53</v>
          </cell>
          <cell r="T2028" t="str">
            <v>60 - 00012R41395</v>
          </cell>
        </row>
        <row r="2029">
          <cell r="H2029">
            <v>266509</v>
          </cell>
          <cell r="O2029">
            <v>41395</v>
          </cell>
          <cell r="R2029" t="str">
            <v>41395WAPSH51</v>
          </cell>
          <cell r="T2029" t="str">
            <v>60 - 00012R41395</v>
          </cell>
        </row>
        <row r="2030">
          <cell r="H2030">
            <v>160688</v>
          </cell>
          <cell r="O2030">
            <v>41395</v>
          </cell>
          <cell r="R2030" t="str">
            <v>41395WAPSH57</v>
          </cell>
          <cell r="T2030" t="str">
            <v>60 - 00012R41395</v>
          </cell>
        </row>
        <row r="2031">
          <cell r="H2031">
            <v>0</v>
          </cell>
          <cell r="O2031">
            <v>41395</v>
          </cell>
          <cell r="R2031" t="str">
            <v>41395WAPSHAGA</v>
          </cell>
          <cell r="T2031" t="str">
            <v>60 - 00012R41395</v>
          </cell>
        </row>
        <row r="2032">
          <cell r="H2032">
            <v>173000</v>
          </cell>
          <cell r="O2032">
            <v>41395</v>
          </cell>
          <cell r="R2032" t="str">
            <v>41395WAPSH88</v>
          </cell>
          <cell r="T2032" t="str">
            <v>60 - 00012U41395</v>
          </cell>
        </row>
        <row r="2033">
          <cell r="H2033">
            <v>0</v>
          </cell>
          <cell r="O2033">
            <v>41426</v>
          </cell>
          <cell r="R2033" t="str">
            <v/>
          </cell>
          <cell r="T2033" t="str">
            <v>60 - 00016R41426</v>
          </cell>
        </row>
        <row r="2034">
          <cell r="H2034">
            <v>0</v>
          </cell>
          <cell r="O2034">
            <v>41426</v>
          </cell>
          <cell r="R2034" t="str">
            <v/>
          </cell>
          <cell r="T2034" t="str">
            <v>60 - 00016R41426</v>
          </cell>
        </row>
        <row r="2035">
          <cell r="H2035">
            <v>0</v>
          </cell>
          <cell r="O2035">
            <v>41426</v>
          </cell>
          <cell r="R2035" t="str">
            <v/>
          </cell>
          <cell r="T2035" t="str">
            <v>60 - 00016R41426</v>
          </cell>
        </row>
        <row r="2036">
          <cell r="H2036">
            <v>0</v>
          </cell>
          <cell r="O2036">
            <v>41426</v>
          </cell>
          <cell r="R2036" t="str">
            <v/>
          </cell>
          <cell r="T2036" t="str">
            <v>60 - 00016R41426</v>
          </cell>
        </row>
        <row r="2037">
          <cell r="H2037">
            <v>0</v>
          </cell>
          <cell r="O2037">
            <v>41426</v>
          </cell>
          <cell r="R2037" t="str">
            <v/>
          </cell>
          <cell r="T2037" t="str">
            <v>60 - 00016R41426</v>
          </cell>
        </row>
        <row r="2038">
          <cell r="H2038">
            <v>0</v>
          </cell>
          <cell r="O2038">
            <v>41426</v>
          </cell>
          <cell r="R2038" t="str">
            <v/>
          </cell>
          <cell r="T2038" t="str">
            <v>60 - 00016R41426</v>
          </cell>
        </row>
        <row r="2039">
          <cell r="H2039">
            <v>29028</v>
          </cell>
          <cell r="O2039">
            <v>41426</v>
          </cell>
          <cell r="R2039" t="str">
            <v/>
          </cell>
          <cell r="T2039" t="str">
            <v>60 - 00016R41426</v>
          </cell>
        </row>
        <row r="2040">
          <cell r="H2040">
            <v>7218848</v>
          </cell>
          <cell r="O2040">
            <v>41426</v>
          </cell>
          <cell r="R2040" t="str">
            <v/>
          </cell>
          <cell r="T2040" t="str">
            <v>60 - 00016R41426</v>
          </cell>
        </row>
        <row r="2041">
          <cell r="H2041">
            <v>11928027</v>
          </cell>
          <cell r="O2041">
            <v>41426</v>
          </cell>
          <cell r="R2041" t="str">
            <v/>
          </cell>
          <cell r="T2041" t="str">
            <v>60 - 00016R41426</v>
          </cell>
        </row>
        <row r="2042">
          <cell r="H2042">
            <v>0</v>
          </cell>
          <cell r="O2042">
            <v>41426</v>
          </cell>
          <cell r="R2042" t="str">
            <v/>
          </cell>
          <cell r="T2042" t="str">
            <v>60 - 00016R41426</v>
          </cell>
        </row>
        <row r="2043">
          <cell r="H2043">
            <v>26155</v>
          </cell>
          <cell r="O2043">
            <v>41426</v>
          </cell>
          <cell r="R2043" t="str">
            <v/>
          </cell>
          <cell r="T2043" t="str">
            <v>60 - 00016R41426</v>
          </cell>
        </row>
        <row r="2044">
          <cell r="H2044">
            <v>6300000</v>
          </cell>
          <cell r="O2044">
            <v>41426</v>
          </cell>
          <cell r="R2044" t="str">
            <v/>
          </cell>
          <cell r="T2044" t="str">
            <v>60 - 00016R41426</v>
          </cell>
        </row>
        <row r="2045">
          <cell r="H2045">
            <v>0</v>
          </cell>
          <cell r="O2045">
            <v>41426</v>
          </cell>
          <cell r="R2045" t="str">
            <v/>
          </cell>
          <cell r="T2045" t="str">
            <v>60 - 00016R41426</v>
          </cell>
        </row>
        <row r="2046">
          <cell r="H2046">
            <v>15066</v>
          </cell>
          <cell r="O2046">
            <v>41426</v>
          </cell>
          <cell r="R2046" t="str">
            <v/>
          </cell>
          <cell r="T2046" t="str">
            <v>60 - 00016R41426</v>
          </cell>
        </row>
        <row r="2047">
          <cell r="H2047">
            <v>72631</v>
          </cell>
          <cell r="O2047">
            <v>41426</v>
          </cell>
          <cell r="R2047" t="str">
            <v/>
          </cell>
          <cell r="T2047" t="str">
            <v>60 - 00016R41426</v>
          </cell>
        </row>
        <row r="2048">
          <cell r="H2048">
            <v>58194</v>
          </cell>
          <cell r="O2048">
            <v>41426</v>
          </cell>
          <cell r="R2048" t="str">
            <v/>
          </cell>
          <cell r="T2048" t="str">
            <v>60 - 00016R41426</v>
          </cell>
        </row>
        <row r="2049">
          <cell r="H2049">
            <v>0</v>
          </cell>
          <cell r="O2049">
            <v>41426</v>
          </cell>
          <cell r="R2049" t="str">
            <v/>
          </cell>
          <cell r="T2049" t="str">
            <v>60 - 00016R41426</v>
          </cell>
        </row>
        <row r="2050">
          <cell r="H2050">
            <v>-1274000</v>
          </cell>
          <cell r="O2050">
            <v>41426</v>
          </cell>
          <cell r="R2050" t="str">
            <v/>
          </cell>
          <cell r="T2050" t="str">
            <v>60 - 00016U41426</v>
          </cell>
        </row>
        <row r="2051">
          <cell r="H2051">
            <v>0</v>
          </cell>
          <cell r="O2051">
            <v>41426</v>
          </cell>
          <cell r="R2051" t="str">
            <v/>
          </cell>
          <cell r="T2051" t="str">
            <v>60 - 00016U41426</v>
          </cell>
        </row>
        <row r="2052">
          <cell r="H2052">
            <v>0</v>
          </cell>
          <cell r="O2052">
            <v>41426</v>
          </cell>
          <cell r="R2052" t="str">
            <v/>
          </cell>
          <cell r="T2052" t="str">
            <v>60 - 00016R41426</v>
          </cell>
        </row>
        <row r="2053">
          <cell r="H2053">
            <v>0</v>
          </cell>
          <cell r="O2053">
            <v>41426</v>
          </cell>
          <cell r="R2053" t="str">
            <v/>
          </cell>
          <cell r="T2053" t="str">
            <v>60 - 00016R41426</v>
          </cell>
        </row>
        <row r="2054">
          <cell r="H2054">
            <v>0</v>
          </cell>
          <cell r="O2054">
            <v>41426</v>
          </cell>
          <cell r="R2054" t="str">
            <v/>
          </cell>
          <cell r="T2054" t="str">
            <v>60 - 00016R41426</v>
          </cell>
        </row>
        <row r="2055">
          <cell r="H2055">
            <v>0</v>
          </cell>
          <cell r="O2055">
            <v>41426</v>
          </cell>
          <cell r="R2055" t="str">
            <v/>
          </cell>
          <cell r="T2055" t="str">
            <v>60 - 00016R41426</v>
          </cell>
        </row>
        <row r="2056">
          <cell r="H2056">
            <v>0</v>
          </cell>
          <cell r="O2056">
            <v>41426</v>
          </cell>
          <cell r="R2056" t="str">
            <v/>
          </cell>
          <cell r="T2056" t="str">
            <v>60 - 00016R41426</v>
          </cell>
        </row>
        <row r="2057">
          <cell r="H2057">
            <v>0</v>
          </cell>
          <cell r="O2057">
            <v>41426</v>
          </cell>
          <cell r="R2057" t="str">
            <v/>
          </cell>
          <cell r="T2057" t="str">
            <v>60 - 00016R41426</v>
          </cell>
        </row>
        <row r="2058">
          <cell r="H2058">
            <v>6303838</v>
          </cell>
          <cell r="O2058">
            <v>41426</v>
          </cell>
          <cell r="R2058" t="str">
            <v/>
          </cell>
          <cell r="T2058" t="str">
            <v>60 - 00016R41426</v>
          </cell>
        </row>
        <row r="2059">
          <cell r="H2059">
            <v>4023786</v>
          </cell>
          <cell r="O2059">
            <v>41426</v>
          </cell>
          <cell r="R2059" t="str">
            <v/>
          </cell>
          <cell r="T2059" t="str">
            <v>60 - 00016R41426</v>
          </cell>
        </row>
        <row r="2060">
          <cell r="H2060">
            <v>81273</v>
          </cell>
          <cell r="O2060">
            <v>41426</v>
          </cell>
          <cell r="R2060" t="str">
            <v/>
          </cell>
          <cell r="T2060" t="str">
            <v>60 - 00016R41426</v>
          </cell>
        </row>
        <row r="2061">
          <cell r="H2061">
            <v>5661661</v>
          </cell>
          <cell r="O2061">
            <v>41426</v>
          </cell>
          <cell r="R2061" t="str">
            <v/>
          </cell>
          <cell r="T2061" t="str">
            <v>60 - 00016R41426</v>
          </cell>
        </row>
        <row r="2062">
          <cell r="H2062">
            <v>0</v>
          </cell>
          <cell r="O2062">
            <v>41426</v>
          </cell>
          <cell r="R2062" t="str">
            <v/>
          </cell>
          <cell r="T2062" t="str">
            <v>60 - 00016R41426</v>
          </cell>
        </row>
        <row r="2063">
          <cell r="H2063">
            <v>0</v>
          </cell>
          <cell r="O2063">
            <v>41426</v>
          </cell>
          <cell r="R2063" t="str">
            <v/>
          </cell>
          <cell r="T2063" t="str">
            <v>60 - 00016R41426</v>
          </cell>
        </row>
        <row r="2064">
          <cell r="H2064">
            <v>0</v>
          </cell>
          <cell r="O2064">
            <v>41426</v>
          </cell>
          <cell r="R2064" t="str">
            <v/>
          </cell>
          <cell r="T2064" t="str">
            <v>60 - 00016R41426</v>
          </cell>
        </row>
        <row r="2065">
          <cell r="H2065">
            <v>61833</v>
          </cell>
          <cell r="O2065">
            <v>41426</v>
          </cell>
          <cell r="R2065" t="str">
            <v/>
          </cell>
          <cell r="T2065" t="str">
            <v>60 - 00016R41426</v>
          </cell>
        </row>
        <row r="2066">
          <cell r="H2066">
            <v>17918</v>
          </cell>
          <cell r="O2066">
            <v>41426</v>
          </cell>
          <cell r="R2066" t="str">
            <v/>
          </cell>
          <cell r="T2066" t="str">
            <v>60 - 00016R41426</v>
          </cell>
        </row>
        <row r="2067">
          <cell r="H2067">
            <v>3110800</v>
          </cell>
          <cell r="O2067">
            <v>41426</v>
          </cell>
          <cell r="R2067" t="str">
            <v/>
          </cell>
          <cell r="T2067" t="str">
            <v>60 - 00016R41426</v>
          </cell>
        </row>
        <row r="2068">
          <cell r="H2068">
            <v>0</v>
          </cell>
          <cell r="O2068">
            <v>41426</v>
          </cell>
          <cell r="R2068" t="str">
            <v/>
          </cell>
          <cell r="T2068" t="str">
            <v>60 - 00016R41426</v>
          </cell>
        </row>
        <row r="2069">
          <cell r="H2069">
            <v>4182</v>
          </cell>
          <cell r="O2069">
            <v>41426</v>
          </cell>
          <cell r="R2069" t="str">
            <v/>
          </cell>
          <cell r="T2069" t="str">
            <v>60 - 00016R41426</v>
          </cell>
        </row>
        <row r="2070">
          <cell r="H2070">
            <v>20000</v>
          </cell>
          <cell r="O2070">
            <v>41426</v>
          </cell>
          <cell r="R2070" t="str">
            <v/>
          </cell>
          <cell r="T2070" t="str">
            <v>60 - 00016R41426</v>
          </cell>
        </row>
        <row r="2071">
          <cell r="H2071">
            <v>0</v>
          </cell>
          <cell r="O2071">
            <v>41426</v>
          </cell>
          <cell r="R2071" t="str">
            <v/>
          </cell>
          <cell r="T2071" t="str">
            <v>60 - 00016R41426</v>
          </cell>
        </row>
        <row r="2072">
          <cell r="H2072">
            <v>178000</v>
          </cell>
          <cell r="O2072">
            <v>41426</v>
          </cell>
          <cell r="R2072" t="str">
            <v/>
          </cell>
          <cell r="T2072" t="str">
            <v>60 - 00016R41426</v>
          </cell>
        </row>
        <row r="2073">
          <cell r="H2073">
            <v>0</v>
          </cell>
          <cell r="O2073">
            <v>41426</v>
          </cell>
          <cell r="R2073" t="str">
            <v/>
          </cell>
          <cell r="T2073" t="str">
            <v>60 - 00016R41426</v>
          </cell>
        </row>
        <row r="2074">
          <cell r="H2074">
            <v>3088000</v>
          </cell>
          <cell r="O2074">
            <v>41426</v>
          </cell>
          <cell r="R2074" t="str">
            <v/>
          </cell>
          <cell r="T2074" t="str">
            <v>60 - 00016U41426</v>
          </cell>
        </row>
        <row r="2075">
          <cell r="H2075">
            <v>0</v>
          </cell>
          <cell r="O2075">
            <v>41426</v>
          </cell>
          <cell r="R2075" t="str">
            <v/>
          </cell>
          <cell r="T2075" t="str">
            <v>60 - 00016R41426</v>
          </cell>
        </row>
        <row r="2076">
          <cell r="H2076">
            <v>0</v>
          </cell>
          <cell r="O2076">
            <v>41426</v>
          </cell>
          <cell r="R2076" t="str">
            <v/>
          </cell>
          <cell r="T2076" t="str">
            <v>60 - 00016R41426</v>
          </cell>
        </row>
        <row r="2077">
          <cell r="H2077">
            <v>0</v>
          </cell>
          <cell r="O2077">
            <v>41426</v>
          </cell>
          <cell r="R2077" t="str">
            <v/>
          </cell>
          <cell r="T2077" t="str">
            <v>60 - 00016R41426</v>
          </cell>
        </row>
        <row r="2078">
          <cell r="H2078">
            <v>0</v>
          </cell>
          <cell r="O2078">
            <v>41426</v>
          </cell>
          <cell r="R2078" t="str">
            <v/>
          </cell>
          <cell r="T2078" t="str">
            <v>60 - 00016R41426</v>
          </cell>
        </row>
        <row r="2079">
          <cell r="H2079">
            <v>0</v>
          </cell>
          <cell r="O2079">
            <v>41426</v>
          </cell>
          <cell r="R2079" t="str">
            <v/>
          </cell>
          <cell r="T2079" t="str">
            <v>60 - 00016R41426</v>
          </cell>
        </row>
        <row r="2080">
          <cell r="H2080">
            <v>155369</v>
          </cell>
          <cell r="O2080">
            <v>41426</v>
          </cell>
          <cell r="R2080" t="str">
            <v/>
          </cell>
          <cell r="T2080" t="str">
            <v>60 - 00016R41426</v>
          </cell>
        </row>
        <row r="2081">
          <cell r="H2081">
            <v>43351</v>
          </cell>
          <cell r="O2081">
            <v>41426</v>
          </cell>
          <cell r="R2081" t="str">
            <v/>
          </cell>
          <cell r="T2081" t="str">
            <v>60 - 00016R41426</v>
          </cell>
        </row>
        <row r="2082">
          <cell r="H2082">
            <v>446080</v>
          </cell>
          <cell r="O2082">
            <v>41426</v>
          </cell>
          <cell r="R2082" t="str">
            <v/>
          </cell>
          <cell r="T2082" t="str">
            <v>60 - 00016R41426</v>
          </cell>
        </row>
        <row r="2083">
          <cell r="H2083">
            <v>3921820</v>
          </cell>
          <cell r="O2083">
            <v>41426</v>
          </cell>
          <cell r="R2083" t="str">
            <v/>
          </cell>
          <cell r="T2083" t="str">
            <v>60 - 00016R41426</v>
          </cell>
        </row>
        <row r="2084">
          <cell r="H2084">
            <v>0</v>
          </cell>
          <cell r="O2084">
            <v>41426</v>
          </cell>
          <cell r="R2084" t="str">
            <v/>
          </cell>
          <cell r="T2084" t="str">
            <v>60 - 00016R41426</v>
          </cell>
        </row>
        <row r="2085">
          <cell r="H2085">
            <v>834000</v>
          </cell>
          <cell r="O2085">
            <v>41426</v>
          </cell>
          <cell r="R2085" t="str">
            <v/>
          </cell>
          <cell r="T2085" t="str">
            <v>60 - 00016U41426</v>
          </cell>
        </row>
        <row r="2086">
          <cell r="H2086">
            <v>0</v>
          </cell>
          <cell r="O2086">
            <v>41426</v>
          </cell>
          <cell r="R2086" t="str">
            <v/>
          </cell>
          <cell r="T2086" t="str">
            <v>60 - 00016R41426</v>
          </cell>
        </row>
        <row r="2087">
          <cell r="H2087">
            <v>0</v>
          </cell>
          <cell r="O2087">
            <v>41426</v>
          </cell>
          <cell r="R2087" t="str">
            <v/>
          </cell>
          <cell r="T2087" t="str">
            <v>60 - 00016R41426</v>
          </cell>
        </row>
        <row r="2088">
          <cell r="H2088">
            <v>0</v>
          </cell>
          <cell r="O2088">
            <v>41426</v>
          </cell>
          <cell r="R2088" t="str">
            <v/>
          </cell>
          <cell r="T2088" t="str">
            <v>60 - 00016R41426</v>
          </cell>
        </row>
        <row r="2089">
          <cell r="H2089">
            <v>0</v>
          </cell>
          <cell r="O2089">
            <v>41426</v>
          </cell>
          <cell r="R2089" t="str">
            <v/>
          </cell>
          <cell r="T2089" t="str">
            <v>60 - 00016R41426</v>
          </cell>
        </row>
        <row r="2090">
          <cell r="H2090">
            <v>0</v>
          </cell>
          <cell r="O2090">
            <v>41426</v>
          </cell>
          <cell r="R2090" t="str">
            <v/>
          </cell>
          <cell r="T2090" t="str">
            <v>60 - 00016R41426</v>
          </cell>
        </row>
        <row r="2091">
          <cell r="H2091">
            <v>17076898</v>
          </cell>
          <cell r="O2091">
            <v>41426</v>
          </cell>
          <cell r="R2091" t="str">
            <v/>
          </cell>
          <cell r="T2091" t="str">
            <v>60 - 00016R41426</v>
          </cell>
        </row>
        <row r="2092">
          <cell r="H2092">
            <v>0</v>
          </cell>
          <cell r="O2092">
            <v>41426</v>
          </cell>
          <cell r="R2092" t="str">
            <v/>
          </cell>
          <cell r="T2092" t="str">
            <v>60 - 00016R41426</v>
          </cell>
        </row>
        <row r="2093">
          <cell r="H2093">
            <v>0</v>
          </cell>
          <cell r="O2093">
            <v>41426</v>
          </cell>
          <cell r="R2093" t="str">
            <v/>
          </cell>
          <cell r="T2093" t="str">
            <v>60 - 00016R41426</v>
          </cell>
        </row>
        <row r="2094">
          <cell r="H2094">
            <v>4459435</v>
          </cell>
          <cell r="O2094">
            <v>41426</v>
          </cell>
          <cell r="R2094" t="str">
            <v/>
          </cell>
          <cell r="T2094" t="str">
            <v>60 - 00016R41426</v>
          </cell>
        </row>
        <row r="2095">
          <cell r="H2095">
            <v>20907</v>
          </cell>
          <cell r="O2095">
            <v>41426</v>
          </cell>
          <cell r="R2095" t="str">
            <v/>
          </cell>
          <cell r="T2095" t="str">
            <v>60 - 00016R41426</v>
          </cell>
        </row>
        <row r="2096">
          <cell r="H2096">
            <v>0</v>
          </cell>
          <cell r="O2096">
            <v>41426</v>
          </cell>
          <cell r="R2096" t="str">
            <v/>
          </cell>
          <cell r="T2096" t="str">
            <v>60 - 00016R41426</v>
          </cell>
        </row>
        <row r="2097">
          <cell r="H2097">
            <v>5117000</v>
          </cell>
          <cell r="O2097">
            <v>41426</v>
          </cell>
          <cell r="R2097" t="str">
            <v/>
          </cell>
          <cell r="T2097" t="str">
            <v>60 - 00016U41426</v>
          </cell>
        </row>
        <row r="2098">
          <cell r="H2098">
            <v>0</v>
          </cell>
          <cell r="O2098">
            <v>41426</v>
          </cell>
          <cell r="R2098" t="str">
            <v/>
          </cell>
          <cell r="T2098" t="str">
            <v>60 - 00016R41426</v>
          </cell>
        </row>
        <row r="2099">
          <cell r="H2099">
            <v>0</v>
          </cell>
          <cell r="O2099">
            <v>41426</v>
          </cell>
          <cell r="R2099" t="str">
            <v/>
          </cell>
          <cell r="T2099" t="str">
            <v>60 - 00016R41426</v>
          </cell>
        </row>
        <row r="2100">
          <cell r="H2100">
            <v>0</v>
          </cell>
          <cell r="O2100">
            <v>41426</v>
          </cell>
          <cell r="R2100" t="str">
            <v/>
          </cell>
          <cell r="T2100" t="str">
            <v>60 - 00016R41426</v>
          </cell>
        </row>
        <row r="2101">
          <cell r="H2101">
            <v>119365</v>
          </cell>
          <cell r="O2101">
            <v>41426</v>
          </cell>
          <cell r="R2101" t="str">
            <v/>
          </cell>
          <cell r="T2101" t="str">
            <v>60 - 00016R41426</v>
          </cell>
        </row>
        <row r="2102">
          <cell r="H2102">
            <v>19759</v>
          </cell>
          <cell r="O2102">
            <v>41426</v>
          </cell>
          <cell r="R2102" t="str">
            <v/>
          </cell>
          <cell r="T2102" t="str">
            <v>60 - 00016R41426</v>
          </cell>
        </row>
        <row r="2103">
          <cell r="H2103">
            <v>60522</v>
          </cell>
          <cell r="O2103">
            <v>41426</v>
          </cell>
          <cell r="R2103" t="str">
            <v/>
          </cell>
          <cell r="T2103" t="str">
            <v>60 - 00016R41426</v>
          </cell>
        </row>
        <row r="2104">
          <cell r="H2104">
            <v>0</v>
          </cell>
          <cell r="O2104">
            <v>41426</v>
          </cell>
          <cell r="R2104" t="str">
            <v/>
          </cell>
          <cell r="T2104" t="str">
            <v>60 - 00016R41426</v>
          </cell>
        </row>
        <row r="2105">
          <cell r="H2105">
            <v>1000</v>
          </cell>
          <cell r="O2105">
            <v>41426</v>
          </cell>
          <cell r="R2105" t="str">
            <v/>
          </cell>
          <cell r="T2105" t="str">
            <v>60 - 00016U41426</v>
          </cell>
        </row>
        <row r="2106">
          <cell r="H2106">
            <v>0</v>
          </cell>
          <cell r="O2106">
            <v>41426</v>
          </cell>
          <cell r="R2106" t="str">
            <v/>
          </cell>
          <cell r="T2106" t="str">
            <v>60 - 00011B41426</v>
          </cell>
        </row>
        <row r="2107">
          <cell r="H2107">
            <v>312237450</v>
          </cell>
          <cell r="O2107">
            <v>41426</v>
          </cell>
          <cell r="R2107" t="str">
            <v/>
          </cell>
          <cell r="T2107" t="str">
            <v>60 - 00011B41426</v>
          </cell>
        </row>
        <row r="2108">
          <cell r="H2108">
            <v>680873</v>
          </cell>
          <cell r="O2108">
            <v>41426</v>
          </cell>
          <cell r="R2108" t="str">
            <v/>
          </cell>
          <cell r="T2108" t="str">
            <v>60 - 00011B41426</v>
          </cell>
        </row>
        <row r="2109">
          <cell r="H2109">
            <v>893945</v>
          </cell>
          <cell r="O2109">
            <v>41426</v>
          </cell>
          <cell r="R2109" t="str">
            <v/>
          </cell>
          <cell r="T2109" t="str">
            <v>60 - 00011B41426</v>
          </cell>
        </row>
        <row r="2110">
          <cell r="H2110">
            <v>5682</v>
          </cell>
          <cell r="O2110">
            <v>41426</v>
          </cell>
          <cell r="R2110" t="str">
            <v/>
          </cell>
          <cell r="T2110" t="str">
            <v>60 - 00011B41426</v>
          </cell>
        </row>
        <row r="2111">
          <cell r="H2111">
            <v>187098</v>
          </cell>
          <cell r="O2111">
            <v>41426</v>
          </cell>
          <cell r="R2111" t="str">
            <v/>
          </cell>
          <cell r="T2111" t="str">
            <v>60 - 00011B41426</v>
          </cell>
        </row>
        <row r="2112">
          <cell r="H2112">
            <v>198679</v>
          </cell>
          <cell r="O2112">
            <v>41426</v>
          </cell>
          <cell r="R2112" t="str">
            <v/>
          </cell>
          <cell r="T2112" t="str">
            <v>60 - 00011B41426</v>
          </cell>
        </row>
        <row r="2113">
          <cell r="H2113">
            <v>2116825</v>
          </cell>
          <cell r="O2113">
            <v>41426</v>
          </cell>
          <cell r="R2113" t="str">
            <v/>
          </cell>
          <cell r="T2113" t="str">
            <v>60 - 00011B41426</v>
          </cell>
        </row>
        <row r="2114">
          <cell r="H2114">
            <v>0</v>
          </cell>
          <cell r="O2114">
            <v>41426</v>
          </cell>
          <cell r="R2114" t="str">
            <v/>
          </cell>
          <cell r="T2114" t="str">
            <v>60 - 00011B41426</v>
          </cell>
        </row>
        <row r="2115">
          <cell r="H2115">
            <v>0</v>
          </cell>
          <cell r="O2115">
            <v>41426</v>
          </cell>
          <cell r="R2115" t="str">
            <v/>
          </cell>
          <cell r="T2115" t="str">
            <v>60 - 00011R41426</v>
          </cell>
        </row>
        <row r="2116">
          <cell r="H2116">
            <v>0</v>
          </cell>
          <cell r="O2116">
            <v>41426</v>
          </cell>
          <cell r="R2116" t="str">
            <v/>
          </cell>
          <cell r="T2116" t="str">
            <v>60 - 00011R41426</v>
          </cell>
        </row>
        <row r="2117">
          <cell r="H2117">
            <v>0</v>
          </cell>
          <cell r="O2117">
            <v>41426</v>
          </cell>
          <cell r="R2117" t="str">
            <v/>
          </cell>
          <cell r="T2117" t="str">
            <v>60 - 00011R41426</v>
          </cell>
        </row>
        <row r="2118">
          <cell r="H2118">
            <v>0</v>
          </cell>
          <cell r="O2118">
            <v>41426</v>
          </cell>
          <cell r="R2118" t="str">
            <v/>
          </cell>
          <cell r="T2118" t="str">
            <v>60 - 00011R41426</v>
          </cell>
        </row>
        <row r="2119">
          <cell r="H2119">
            <v>0</v>
          </cell>
          <cell r="O2119">
            <v>41426</v>
          </cell>
          <cell r="R2119" t="str">
            <v/>
          </cell>
          <cell r="T2119" t="str">
            <v>60 - 00011R41426</v>
          </cell>
        </row>
        <row r="2120">
          <cell r="H2120">
            <v>0</v>
          </cell>
          <cell r="O2120">
            <v>41426</v>
          </cell>
          <cell r="R2120" t="str">
            <v/>
          </cell>
          <cell r="T2120" t="str">
            <v>60 - 00011R41426</v>
          </cell>
        </row>
        <row r="2121">
          <cell r="H2121">
            <v>0</v>
          </cell>
          <cell r="O2121">
            <v>41426</v>
          </cell>
          <cell r="R2121" t="str">
            <v/>
          </cell>
          <cell r="T2121" t="str">
            <v>60 - 00011R41426</v>
          </cell>
        </row>
        <row r="2122">
          <cell r="H2122">
            <v>0</v>
          </cell>
          <cell r="O2122">
            <v>41426</v>
          </cell>
          <cell r="R2122" t="str">
            <v/>
          </cell>
          <cell r="T2122" t="str">
            <v>60 - 00011R41426</v>
          </cell>
        </row>
        <row r="2123">
          <cell r="H2123">
            <v>0</v>
          </cell>
          <cell r="O2123">
            <v>41426</v>
          </cell>
          <cell r="R2123" t="str">
            <v/>
          </cell>
          <cell r="T2123" t="str">
            <v>60 - 00011R41426</v>
          </cell>
        </row>
        <row r="2124">
          <cell r="H2124">
            <v>0</v>
          </cell>
          <cell r="O2124">
            <v>41426</v>
          </cell>
          <cell r="R2124" t="str">
            <v/>
          </cell>
          <cell r="T2124" t="str">
            <v>60 - 00011R41426</v>
          </cell>
        </row>
        <row r="2125">
          <cell r="H2125">
            <v>0</v>
          </cell>
          <cell r="O2125">
            <v>41426</v>
          </cell>
          <cell r="R2125" t="str">
            <v/>
          </cell>
          <cell r="T2125" t="str">
            <v>60 - 00011R41426</v>
          </cell>
        </row>
        <row r="2126">
          <cell r="H2126">
            <v>0</v>
          </cell>
          <cell r="O2126">
            <v>41426</v>
          </cell>
          <cell r="R2126" t="str">
            <v/>
          </cell>
          <cell r="T2126" t="str">
            <v>60 - 00011R41426</v>
          </cell>
        </row>
        <row r="2127">
          <cell r="H2127">
            <v>0</v>
          </cell>
          <cell r="O2127">
            <v>41426</v>
          </cell>
          <cell r="R2127" t="str">
            <v/>
          </cell>
          <cell r="T2127" t="str">
            <v>60 - 00011R41426</v>
          </cell>
        </row>
        <row r="2128">
          <cell r="H2128">
            <v>344668876</v>
          </cell>
          <cell r="O2128">
            <v>41426</v>
          </cell>
          <cell r="R2128" t="str">
            <v/>
          </cell>
          <cell r="T2128" t="str">
            <v>60 - 00011R41426</v>
          </cell>
        </row>
        <row r="2129">
          <cell r="H2129">
            <v>2629826</v>
          </cell>
          <cell r="O2129">
            <v>41426</v>
          </cell>
          <cell r="R2129" t="str">
            <v/>
          </cell>
          <cell r="T2129" t="str">
            <v>60 - 00011R41426</v>
          </cell>
        </row>
        <row r="2130">
          <cell r="H2130">
            <v>16953373</v>
          </cell>
          <cell r="O2130">
            <v>41426</v>
          </cell>
          <cell r="R2130" t="str">
            <v/>
          </cell>
          <cell r="T2130" t="str">
            <v>60 - 00011R41426</v>
          </cell>
        </row>
        <row r="2131">
          <cell r="H2131">
            <v>0</v>
          </cell>
          <cell r="O2131">
            <v>41426</v>
          </cell>
          <cell r="R2131" t="str">
            <v/>
          </cell>
          <cell r="T2131" t="str">
            <v>60 - 00011R41426</v>
          </cell>
        </row>
        <row r="2132">
          <cell r="H2132">
            <v>1199908</v>
          </cell>
          <cell r="O2132">
            <v>41426</v>
          </cell>
          <cell r="R2132" t="str">
            <v/>
          </cell>
          <cell r="T2132" t="str">
            <v>60 - 00011R41426</v>
          </cell>
        </row>
        <row r="2133">
          <cell r="H2133">
            <v>0</v>
          </cell>
          <cell r="O2133">
            <v>41426</v>
          </cell>
          <cell r="R2133" t="str">
            <v/>
          </cell>
          <cell r="T2133" t="str">
            <v>60 - 00011R41426</v>
          </cell>
        </row>
        <row r="2134">
          <cell r="H2134">
            <v>0</v>
          </cell>
          <cell r="O2134">
            <v>41426</v>
          </cell>
          <cell r="R2134" t="str">
            <v/>
          </cell>
          <cell r="T2134" t="str">
            <v>60 - 00011R41426</v>
          </cell>
        </row>
        <row r="2135">
          <cell r="H2135">
            <v>0</v>
          </cell>
          <cell r="O2135">
            <v>41426</v>
          </cell>
          <cell r="R2135" t="str">
            <v/>
          </cell>
          <cell r="T2135" t="str">
            <v>60 - 00011R41426</v>
          </cell>
        </row>
        <row r="2136">
          <cell r="H2136">
            <v>198764</v>
          </cell>
          <cell r="O2136">
            <v>41426</v>
          </cell>
          <cell r="R2136" t="str">
            <v/>
          </cell>
          <cell r="T2136" t="str">
            <v>60 - 00011R41426</v>
          </cell>
        </row>
        <row r="2137">
          <cell r="H2137">
            <v>0</v>
          </cell>
          <cell r="O2137">
            <v>41426</v>
          </cell>
          <cell r="R2137" t="str">
            <v/>
          </cell>
          <cell r="T2137" t="str">
            <v>60 - 00011R41426</v>
          </cell>
        </row>
        <row r="2138">
          <cell r="H2138">
            <v>2106199</v>
          </cell>
          <cell r="O2138">
            <v>41426</v>
          </cell>
          <cell r="R2138" t="str">
            <v/>
          </cell>
          <cell r="T2138" t="str">
            <v>60 - 00011R41426</v>
          </cell>
        </row>
        <row r="2139">
          <cell r="H2139">
            <v>8276</v>
          </cell>
          <cell r="O2139">
            <v>41426</v>
          </cell>
          <cell r="R2139" t="str">
            <v/>
          </cell>
          <cell r="T2139" t="str">
            <v>60 - 00011R41426</v>
          </cell>
        </row>
        <row r="2140">
          <cell r="H2140">
            <v>2436</v>
          </cell>
          <cell r="O2140">
            <v>41426</v>
          </cell>
          <cell r="R2140" t="str">
            <v/>
          </cell>
          <cell r="T2140" t="str">
            <v>60 - 00011R41426</v>
          </cell>
        </row>
        <row r="2141">
          <cell r="H2141">
            <v>0</v>
          </cell>
          <cell r="O2141">
            <v>41426</v>
          </cell>
          <cell r="R2141" t="str">
            <v/>
          </cell>
          <cell r="T2141" t="str">
            <v>60 - 00011R41426</v>
          </cell>
        </row>
        <row r="2142">
          <cell r="H2142">
            <v>-19826000</v>
          </cell>
          <cell r="O2142">
            <v>41426</v>
          </cell>
          <cell r="R2142" t="str">
            <v/>
          </cell>
          <cell r="T2142" t="str">
            <v>60 - 00011U41426</v>
          </cell>
        </row>
        <row r="2143">
          <cell r="H2143">
            <v>0</v>
          </cell>
          <cell r="O2143">
            <v>41426</v>
          </cell>
          <cell r="R2143" t="str">
            <v/>
          </cell>
          <cell r="T2143" t="str">
            <v>60 - 00011U41426</v>
          </cell>
        </row>
        <row r="2144">
          <cell r="H2144">
            <v>0</v>
          </cell>
          <cell r="O2144">
            <v>41426</v>
          </cell>
          <cell r="R2144" t="str">
            <v/>
          </cell>
          <cell r="T2144" t="str">
            <v>60 - 00011B41426</v>
          </cell>
        </row>
        <row r="2145">
          <cell r="H2145">
            <v>5328470</v>
          </cell>
          <cell r="O2145">
            <v>41426</v>
          </cell>
          <cell r="R2145" t="str">
            <v/>
          </cell>
          <cell r="T2145" t="str">
            <v>60 - 00011B41426</v>
          </cell>
        </row>
        <row r="2146">
          <cell r="H2146">
            <v>32265</v>
          </cell>
          <cell r="O2146">
            <v>41426</v>
          </cell>
          <cell r="R2146" t="str">
            <v/>
          </cell>
          <cell r="T2146" t="str">
            <v>60 - 00011B41426</v>
          </cell>
        </row>
        <row r="2147">
          <cell r="H2147">
            <v>9776655</v>
          </cell>
          <cell r="O2147">
            <v>41426</v>
          </cell>
          <cell r="R2147" t="str">
            <v/>
          </cell>
          <cell r="T2147" t="str">
            <v>60 - 00011B41426</v>
          </cell>
        </row>
        <row r="2148">
          <cell r="H2148">
            <v>2810594</v>
          </cell>
          <cell r="O2148">
            <v>41426</v>
          </cell>
          <cell r="R2148" t="str">
            <v/>
          </cell>
          <cell r="T2148" t="str">
            <v>60 - 00011B41426</v>
          </cell>
        </row>
        <row r="2149">
          <cell r="H2149">
            <v>204000</v>
          </cell>
          <cell r="O2149">
            <v>41426</v>
          </cell>
          <cell r="R2149" t="str">
            <v/>
          </cell>
          <cell r="T2149" t="str">
            <v>60 - 00011B41426</v>
          </cell>
        </row>
        <row r="2150">
          <cell r="H2150">
            <v>5607</v>
          </cell>
          <cell r="O2150">
            <v>41426</v>
          </cell>
          <cell r="R2150" t="str">
            <v/>
          </cell>
          <cell r="T2150" t="str">
            <v>60 - 00011B41426</v>
          </cell>
        </row>
        <row r="2151">
          <cell r="H2151">
            <v>18216</v>
          </cell>
          <cell r="O2151">
            <v>41426</v>
          </cell>
          <cell r="R2151" t="str">
            <v/>
          </cell>
          <cell r="T2151" t="str">
            <v>60 - 00011B41426</v>
          </cell>
        </row>
        <row r="2152">
          <cell r="H2152">
            <v>60191</v>
          </cell>
          <cell r="O2152">
            <v>41426</v>
          </cell>
          <cell r="R2152" t="str">
            <v/>
          </cell>
          <cell r="T2152" t="str">
            <v>60 - 00011B41426</v>
          </cell>
        </row>
        <row r="2153">
          <cell r="H2153">
            <v>129970</v>
          </cell>
          <cell r="O2153">
            <v>41426</v>
          </cell>
          <cell r="R2153" t="str">
            <v/>
          </cell>
          <cell r="T2153" t="str">
            <v>60 - 00011B41426</v>
          </cell>
        </row>
        <row r="2154">
          <cell r="H2154">
            <v>32134</v>
          </cell>
          <cell r="O2154">
            <v>41426</v>
          </cell>
          <cell r="R2154" t="str">
            <v/>
          </cell>
          <cell r="T2154" t="str">
            <v>60 - 00011B41426</v>
          </cell>
        </row>
        <row r="2155">
          <cell r="H2155">
            <v>0</v>
          </cell>
          <cell r="O2155">
            <v>41426</v>
          </cell>
          <cell r="R2155" t="str">
            <v/>
          </cell>
          <cell r="T2155" t="str">
            <v>60 - 00011B41426</v>
          </cell>
        </row>
        <row r="2156">
          <cell r="H2156">
            <v>0</v>
          </cell>
          <cell r="O2156">
            <v>41426</v>
          </cell>
          <cell r="R2156" t="str">
            <v/>
          </cell>
          <cell r="T2156" t="str">
            <v>60 - 00011R41426</v>
          </cell>
        </row>
        <row r="2157">
          <cell r="H2157">
            <v>0</v>
          </cell>
          <cell r="O2157">
            <v>41426</v>
          </cell>
          <cell r="R2157" t="str">
            <v/>
          </cell>
          <cell r="T2157" t="str">
            <v>60 - 00011R41426</v>
          </cell>
        </row>
        <row r="2158">
          <cell r="H2158">
            <v>0</v>
          </cell>
          <cell r="O2158">
            <v>41426</v>
          </cell>
          <cell r="R2158" t="str">
            <v/>
          </cell>
          <cell r="T2158" t="str">
            <v>60 - 00011R41426</v>
          </cell>
        </row>
        <row r="2159">
          <cell r="H2159">
            <v>0</v>
          </cell>
          <cell r="O2159">
            <v>41426</v>
          </cell>
          <cell r="R2159" t="str">
            <v/>
          </cell>
          <cell r="T2159" t="str">
            <v>60 - 00011R41426</v>
          </cell>
        </row>
        <row r="2160">
          <cell r="H2160">
            <v>0</v>
          </cell>
          <cell r="O2160">
            <v>41426</v>
          </cell>
          <cell r="R2160" t="str">
            <v/>
          </cell>
          <cell r="T2160" t="str">
            <v>60 - 00011R41426</v>
          </cell>
        </row>
        <row r="2161">
          <cell r="H2161">
            <v>0</v>
          </cell>
          <cell r="O2161">
            <v>41426</v>
          </cell>
          <cell r="R2161" t="str">
            <v/>
          </cell>
          <cell r="T2161" t="str">
            <v>60 - 00011R41426</v>
          </cell>
        </row>
        <row r="2162">
          <cell r="H2162">
            <v>4830000</v>
          </cell>
          <cell r="O2162">
            <v>41426</v>
          </cell>
          <cell r="R2162" t="str">
            <v/>
          </cell>
          <cell r="T2162" t="str">
            <v>60 - 00011R41426</v>
          </cell>
        </row>
        <row r="2163">
          <cell r="H2163">
            <v>0</v>
          </cell>
          <cell r="O2163">
            <v>41426</v>
          </cell>
          <cell r="R2163" t="str">
            <v/>
          </cell>
          <cell r="T2163" t="str">
            <v>60 - 00011R41426</v>
          </cell>
        </row>
        <row r="2164">
          <cell r="H2164">
            <v>0</v>
          </cell>
          <cell r="O2164">
            <v>41426</v>
          </cell>
          <cell r="R2164" t="str">
            <v/>
          </cell>
          <cell r="T2164" t="str">
            <v>60 - 00011R41426</v>
          </cell>
        </row>
        <row r="2165">
          <cell r="H2165">
            <v>0</v>
          </cell>
          <cell r="O2165">
            <v>41426</v>
          </cell>
          <cell r="R2165" t="str">
            <v/>
          </cell>
          <cell r="T2165" t="str">
            <v>60 - 00011R41426</v>
          </cell>
        </row>
        <row r="2166">
          <cell r="H2166">
            <v>0</v>
          </cell>
          <cell r="O2166">
            <v>41426</v>
          </cell>
          <cell r="R2166" t="str">
            <v/>
          </cell>
          <cell r="T2166" t="str">
            <v>60 - 00011R41426</v>
          </cell>
        </row>
        <row r="2167">
          <cell r="H2167">
            <v>3163100</v>
          </cell>
          <cell r="O2167">
            <v>41426</v>
          </cell>
          <cell r="R2167" t="str">
            <v/>
          </cell>
          <cell r="T2167" t="str">
            <v>60 - 00011R41426</v>
          </cell>
        </row>
        <row r="2168">
          <cell r="H2168">
            <v>471489</v>
          </cell>
          <cell r="O2168">
            <v>41426</v>
          </cell>
          <cell r="R2168" t="str">
            <v/>
          </cell>
          <cell r="T2168" t="str">
            <v>60 - 00011R41426</v>
          </cell>
        </row>
        <row r="2169">
          <cell r="H2169">
            <v>127890</v>
          </cell>
          <cell r="O2169">
            <v>41426</v>
          </cell>
          <cell r="R2169" t="str">
            <v/>
          </cell>
          <cell r="T2169" t="str">
            <v>60 - 00011R41426</v>
          </cell>
        </row>
        <row r="2170">
          <cell r="H2170">
            <v>0</v>
          </cell>
          <cell r="O2170">
            <v>41426</v>
          </cell>
          <cell r="R2170" t="str">
            <v/>
          </cell>
          <cell r="T2170" t="str">
            <v>60 - 00011R41426</v>
          </cell>
        </row>
        <row r="2171">
          <cell r="H2171">
            <v>80294852</v>
          </cell>
          <cell r="O2171">
            <v>41426</v>
          </cell>
          <cell r="R2171" t="str">
            <v/>
          </cell>
          <cell r="T2171" t="str">
            <v>60 - 00011R41426</v>
          </cell>
        </row>
        <row r="2172">
          <cell r="H2172">
            <v>0</v>
          </cell>
          <cell r="O2172">
            <v>41426</v>
          </cell>
          <cell r="R2172" t="str">
            <v/>
          </cell>
          <cell r="T2172" t="str">
            <v>60 - 00011R41426</v>
          </cell>
        </row>
        <row r="2173">
          <cell r="H2173">
            <v>0</v>
          </cell>
          <cell r="O2173">
            <v>41426</v>
          </cell>
          <cell r="R2173" t="str">
            <v/>
          </cell>
          <cell r="T2173" t="str">
            <v>60 - 00011R41426</v>
          </cell>
        </row>
        <row r="2174">
          <cell r="H2174">
            <v>76032144</v>
          </cell>
          <cell r="O2174">
            <v>41426</v>
          </cell>
          <cell r="R2174" t="str">
            <v/>
          </cell>
          <cell r="T2174" t="str">
            <v>60 - 00011R41426</v>
          </cell>
        </row>
        <row r="2175">
          <cell r="H2175">
            <v>153375784</v>
          </cell>
          <cell r="O2175">
            <v>41426</v>
          </cell>
          <cell r="R2175" t="str">
            <v/>
          </cell>
          <cell r="T2175" t="str">
            <v>60 - 00011R41426</v>
          </cell>
        </row>
        <row r="2176">
          <cell r="H2176">
            <v>0</v>
          </cell>
          <cell r="O2176">
            <v>41426</v>
          </cell>
          <cell r="R2176" t="str">
            <v/>
          </cell>
          <cell r="T2176" t="str">
            <v>60 - 00011R41426</v>
          </cell>
        </row>
        <row r="2177">
          <cell r="H2177">
            <v>0</v>
          </cell>
          <cell r="O2177">
            <v>41426</v>
          </cell>
          <cell r="R2177" t="str">
            <v/>
          </cell>
          <cell r="T2177" t="str">
            <v>60 - 00011R41426</v>
          </cell>
        </row>
        <row r="2178">
          <cell r="H2178">
            <v>0</v>
          </cell>
          <cell r="O2178">
            <v>41426</v>
          </cell>
          <cell r="R2178" t="str">
            <v/>
          </cell>
          <cell r="T2178" t="str">
            <v>60 - 00011R41426</v>
          </cell>
        </row>
        <row r="2179">
          <cell r="H2179">
            <v>0</v>
          </cell>
          <cell r="O2179">
            <v>41426</v>
          </cell>
          <cell r="R2179" t="str">
            <v/>
          </cell>
          <cell r="T2179" t="str">
            <v>60 - 00011R41426</v>
          </cell>
        </row>
        <row r="2180">
          <cell r="H2180">
            <v>204142</v>
          </cell>
          <cell r="O2180">
            <v>41426</v>
          </cell>
          <cell r="R2180" t="str">
            <v/>
          </cell>
          <cell r="T2180" t="str">
            <v>60 - 00011R41426</v>
          </cell>
        </row>
        <row r="2181">
          <cell r="H2181">
            <v>242561</v>
          </cell>
          <cell r="O2181">
            <v>41426</v>
          </cell>
          <cell r="R2181" t="str">
            <v/>
          </cell>
          <cell r="T2181" t="str">
            <v>60 - 00011R41426</v>
          </cell>
        </row>
        <row r="2182">
          <cell r="H2182">
            <v>32711</v>
          </cell>
          <cell r="O2182">
            <v>41426</v>
          </cell>
          <cell r="R2182" t="str">
            <v/>
          </cell>
          <cell r="T2182" t="str">
            <v>60 - 00011R41426</v>
          </cell>
        </row>
        <row r="2183">
          <cell r="H2183">
            <v>625965</v>
          </cell>
          <cell r="O2183">
            <v>41426</v>
          </cell>
          <cell r="R2183" t="str">
            <v/>
          </cell>
          <cell r="T2183" t="str">
            <v>60 - 00011R41426</v>
          </cell>
        </row>
        <row r="2184">
          <cell r="H2184">
            <v>1305747</v>
          </cell>
          <cell r="O2184">
            <v>41426</v>
          </cell>
          <cell r="R2184" t="str">
            <v/>
          </cell>
          <cell r="T2184" t="str">
            <v>60 - 00011R41426</v>
          </cell>
        </row>
        <row r="2185">
          <cell r="H2185">
            <v>302852</v>
          </cell>
          <cell r="O2185">
            <v>41426</v>
          </cell>
          <cell r="R2185" t="str">
            <v/>
          </cell>
          <cell r="T2185" t="str">
            <v>60 - 00011R41426</v>
          </cell>
        </row>
        <row r="2186">
          <cell r="H2186">
            <v>0</v>
          </cell>
          <cell r="O2186">
            <v>41426</v>
          </cell>
          <cell r="R2186" t="str">
            <v/>
          </cell>
          <cell r="T2186" t="str">
            <v>60 - 00011R41426</v>
          </cell>
        </row>
        <row r="2187">
          <cell r="H2187">
            <v>13476</v>
          </cell>
          <cell r="O2187">
            <v>41426</v>
          </cell>
          <cell r="R2187" t="str">
            <v/>
          </cell>
          <cell r="T2187" t="str">
            <v>60 - 00011R41426</v>
          </cell>
        </row>
        <row r="2188">
          <cell r="H2188">
            <v>26675</v>
          </cell>
          <cell r="O2188">
            <v>41426</v>
          </cell>
          <cell r="R2188" t="str">
            <v/>
          </cell>
          <cell r="T2188" t="str">
            <v>60 - 00011R41426</v>
          </cell>
        </row>
        <row r="2189">
          <cell r="H2189">
            <v>201411</v>
          </cell>
          <cell r="O2189">
            <v>41426</v>
          </cell>
          <cell r="R2189" t="str">
            <v/>
          </cell>
          <cell r="T2189" t="str">
            <v>60 - 00011R41426</v>
          </cell>
        </row>
        <row r="2190">
          <cell r="H2190">
            <v>1148745</v>
          </cell>
          <cell r="O2190">
            <v>41426</v>
          </cell>
          <cell r="R2190" t="str">
            <v/>
          </cell>
          <cell r="T2190" t="str">
            <v>60 - 00011R41426</v>
          </cell>
        </row>
        <row r="2191">
          <cell r="H2191">
            <v>348908</v>
          </cell>
          <cell r="O2191">
            <v>41426</v>
          </cell>
          <cell r="R2191" t="str">
            <v/>
          </cell>
          <cell r="T2191" t="str">
            <v>60 - 00011R41426</v>
          </cell>
        </row>
        <row r="2192">
          <cell r="H2192">
            <v>9300</v>
          </cell>
          <cell r="O2192">
            <v>41426</v>
          </cell>
          <cell r="R2192" t="str">
            <v/>
          </cell>
          <cell r="T2192" t="str">
            <v>60 - 00011R41426</v>
          </cell>
        </row>
        <row r="2193">
          <cell r="H2193">
            <v>0</v>
          </cell>
          <cell r="O2193">
            <v>41426</v>
          </cell>
          <cell r="R2193" t="str">
            <v/>
          </cell>
          <cell r="T2193" t="str">
            <v>60 - 00011R41426</v>
          </cell>
        </row>
        <row r="2194">
          <cell r="H2194">
            <v>88707450</v>
          </cell>
          <cell r="O2194">
            <v>41426</v>
          </cell>
          <cell r="R2194" t="str">
            <v/>
          </cell>
          <cell r="T2194" t="str">
            <v>60 - 00011R41426</v>
          </cell>
        </row>
        <row r="2195">
          <cell r="H2195">
            <v>5259008</v>
          </cell>
          <cell r="O2195">
            <v>41426</v>
          </cell>
          <cell r="R2195" t="str">
            <v/>
          </cell>
          <cell r="T2195" t="str">
            <v>60 - 00011R41426</v>
          </cell>
        </row>
        <row r="2196">
          <cell r="H2196">
            <v>0</v>
          </cell>
          <cell r="O2196">
            <v>41426</v>
          </cell>
          <cell r="R2196" t="str">
            <v/>
          </cell>
          <cell r="T2196" t="str">
            <v>60 - 00011R41426</v>
          </cell>
        </row>
        <row r="2197">
          <cell r="H2197">
            <v>0</v>
          </cell>
          <cell r="O2197">
            <v>41426</v>
          </cell>
          <cell r="R2197" t="str">
            <v/>
          </cell>
          <cell r="T2197" t="str">
            <v>60 - 00011R41426</v>
          </cell>
        </row>
        <row r="2198">
          <cell r="H2198">
            <v>0</v>
          </cell>
          <cell r="O2198">
            <v>41426</v>
          </cell>
          <cell r="R2198" t="str">
            <v/>
          </cell>
          <cell r="T2198" t="str">
            <v>60 - 00011R41426</v>
          </cell>
        </row>
        <row r="2199">
          <cell r="H2199">
            <v>0</v>
          </cell>
          <cell r="O2199">
            <v>41426</v>
          </cell>
          <cell r="R2199" t="str">
            <v/>
          </cell>
          <cell r="T2199" t="str">
            <v>60 - 00011R41426</v>
          </cell>
        </row>
        <row r="2200">
          <cell r="H2200">
            <v>769581</v>
          </cell>
          <cell r="O2200">
            <v>41426</v>
          </cell>
          <cell r="R2200" t="str">
            <v/>
          </cell>
          <cell r="T2200" t="str">
            <v>60 - 00011R41426</v>
          </cell>
        </row>
        <row r="2201">
          <cell r="H2201">
            <v>9474820</v>
          </cell>
          <cell r="O2201">
            <v>41426</v>
          </cell>
          <cell r="R2201" t="str">
            <v/>
          </cell>
          <cell r="T2201" t="str">
            <v>60 - 00011R41426</v>
          </cell>
        </row>
        <row r="2202">
          <cell r="H2202">
            <v>1702080</v>
          </cell>
          <cell r="O2202">
            <v>41426</v>
          </cell>
          <cell r="R2202" t="str">
            <v/>
          </cell>
          <cell r="T2202" t="str">
            <v>60 - 00011R41426</v>
          </cell>
        </row>
        <row r="2203">
          <cell r="H2203">
            <v>0</v>
          </cell>
          <cell r="O2203">
            <v>41426</v>
          </cell>
          <cell r="R2203" t="str">
            <v/>
          </cell>
          <cell r="T2203" t="str">
            <v>60 - 00011R41426</v>
          </cell>
        </row>
        <row r="2204">
          <cell r="H2204">
            <v>0</v>
          </cell>
          <cell r="O2204">
            <v>41426</v>
          </cell>
          <cell r="R2204" t="str">
            <v/>
          </cell>
          <cell r="T2204" t="str">
            <v>60 - 00011R41426</v>
          </cell>
        </row>
        <row r="2205">
          <cell r="H2205">
            <v>35830</v>
          </cell>
          <cell r="O2205">
            <v>41426</v>
          </cell>
          <cell r="R2205" t="str">
            <v/>
          </cell>
          <cell r="T2205" t="str">
            <v>60 - 00011R41426</v>
          </cell>
        </row>
        <row r="2206">
          <cell r="H2206">
            <v>0</v>
          </cell>
          <cell r="O2206">
            <v>41426</v>
          </cell>
          <cell r="R2206" t="str">
            <v/>
          </cell>
          <cell r="T2206" t="str">
            <v>60 - 00011R41426</v>
          </cell>
        </row>
        <row r="2207">
          <cell r="H2207">
            <v>0</v>
          </cell>
          <cell r="O2207">
            <v>41426</v>
          </cell>
          <cell r="R2207" t="str">
            <v/>
          </cell>
          <cell r="T2207" t="str">
            <v>60 - 00011R41426</v>
          </cell>
        </row>
        <row r="2208">
          <cell r="H2208">
            <v>0</v>
          </cell>
          <cell r="O2208">
            <v>41426</v>
          </cell>
          <cell r="R2208" t="str">
            <v/>
          </cell>
          <cell r="T2208" t="str">
            <v>60 - 00011R41426</v>
          </cell>
        </row>
        <row r="2209">
          <cell r="H2209">
            <v>0</v>
          </cell>
          <cell r="O2209">
            <v>41426</v>
          </cell>
          <cell r="R2209" t="str">
            <v/>
          </cell>
          <cell r="T2209" t="str">
            <v>60 - 00011R41426</v>
          </cell>
        </row>
        <row r="2210">
          <cell r="H2210">
            <v>0</v>
          </cell>
          <cell r="O2210">
            <v>41426</v>
          </cell>
          <cell r="R2210" t="str">
            <v/>
          </cell>
          <cell r="T2210" t="str">
            <v>60 - 00011R41426</v>
          </cell>
        </row>
        <row r="2211">
          <cell r="H2211">
            <v>130026</v>
          </cell>
          <cell r="O2211">
            <v>41426</v>
          </cell>
          <cell r="R2211" t="str">
            <v/>
          </cell>
          <cell r="T2211" t="str">
            <v>60 - 00011R41426</v>
          </cell>
        </row>
        <row r="2212">
          <cell r="H2212">
            <v>0</v>
          </cell>
          <cell r="O2212">
            <v>41426</v>
          </cell>
          <cell r="R2212" t="str">
            <v/>
          </cell>
          <cell r="T2212" t="str">
            <v>60 - 00011R41426</v>
          </cell>
        </row>
        <row r="2213">
          <cell r="H2213">
            <v>0</v>
          </cell>
          <cell r="O2213">
            <v>41426</v>
          </cell>
          <cell r="R2213" t="str">
            <v/>
          </cell>
          <cell r="T2213" t="str">
            <v>60 - 00011R41426</v>
          </cell>
        </row>
        <row r="2214">
          <cell r="H2214">
            <v>-12815000</v>
          </cell>
          <cell r="O2214">
            <v>41426</v>
          </cell>
          <cell r="R2214" t="str">
            <v/>
          </cell>
          <cell r="T2214" t="str">
            <v>60 - 00011U41426</v>
          </cell>
        </row>
        <row r="2215">
          <cell r="H2215">
            <v>0</v>
          </cell>
          <cell r="O2215">
            <v>41426</v>
          </cell>
          <cell r="R2215" t="str">
            <v/>
          </cell>
          <cell r="T2215" t="str">
            <v>60 - 00011B41426</v>
          </cell>
        </row>
        <row r="2216">
          <cell r="H2216">
            <v>25806</v>
          </cell>
          <cell r="O2216">
            <v>41426</v>
          </cell>
          <cell r="R2216" t="str">
            <v/>
          </cell>
          <cell r="T2216" t="str">
            <v>60 - 00011B41426</v>
          </cell>
        </row>
        <row r="2217">
          <cell r="H2217">
            <v>45116</v>
          </cell>
          <cell r="O2217">
            <v>41426</v>
          </cell>
          <cell r="R2217" t="str">
            <v/>
          </cell>
          <cell r="T2217" t="str">
            <v>60 - 00011B41426</v>
          </cell>
        </row>
        <row r="2218">
          <cell r="H2218">
            <v>380</v>
          </cell>
          <cell r="O2218">
            <v>41426</v>
          </cell>
          <cell r="R2218" t="str">
            <v/>
          </cell>
          <cell r="T2218" t="str">
            <v>60 - 00011B41426</v>
          </cell>
        </row>
        <row r="2219">
          <cell r="H2219">
            <v>0</v>
          </cell>
          <cell r="O2219">
            <v>41426</v>
          </cell>
          <cell r="R2219" t="str">
            <v/>
          </cell>
          <cell r="T2219" t="str">
            <v>60 - 00011B41426</v>
          </cell>
        </row>
        <row r="2220">
          <cell r="H2220">
            <v>0</v>
          </cell>
          <cell r="O2220">
            <v>41426</v>
          </cell>
          <cell r="R2220" t="str">
            <v/>
          </cell>
          <cell r="T2220" t="str">
            <v>60 - 00011R41426</v>
          </cell>
        </row>
        <row r="2221">
          <cell r="H2221">
            <v>0</v>
          </cell>
          <cell r="O2221">
            <v>41426</v>
          </cell>
          <cell r="R2221" t="str">
            <v/>
          </cell>
          <cell r="T2221" t="str">
            <v>60 - 00011R41426</v>
          </cell>
        </row>
        <row r="2222">
          <cell r="H2222">
            <v>0</v>
          </cell>
          <cell r="O2222">
            <v>41426</v>
          </cell>
          <cell r="R2222" t="str">
            <v/>
          </cell>
          <cell r="T2222" t="str">
            <v>60 - 00011R41426</v>
          </cell>
        </row>
        <row r="2223">
          <cell r="H2223">
            <v>0</v>
          </cell>
          <cell r="O2223">
            <v>41426</v>
          </cell>
          <cell r="R2223" t="str">
            <v/>
          </cell>
          <cell r="T2223" t="str">
            <v>60 - 00011R41426</v>
          </cell>
        </row>
        <row r="2224">
          <cell r="H2224">
            <v>0</v>
          </cell>
          <cell r="O2224">
            <v>41426</v>
          </cell>
          <cell r="R2224" t="str">
            <v/>
          </cell>
          <cell r="T2224" t="str">
            <v>60 - 00011R41426</v>
          </cell>
        </row>
        <row r="2225">
          <cell r="H2225">
            <v>0</v>
          </cell>
          <cell r="O2225">
            <v>41426</v>
          </cell>
          <cell r="R2225" t="str">
            <v/>
          </cell>
          <cell r="T2225" t="str">
            <v>60 - 00011R41426</v>
          </cell>
        </row>
        <row r="2226">
          <cell r="H2226">
            <v>7176400</v>
          </cell>
          <cell r="O2226">
            <v>41426</v>
          </cell>
          <cell r="R2226" t="str">
            <v/>
          </cell>
          <cell r="T2226" t="str">
            <v>60 - 00011R41426</v>
          </cell>
        </row>
        <row r="2227">
          <cell r="H2227">
            <v>0</v>
          </cell>
          <cell r="O2227">
            <v>41426</v>
          </cell>
          <cell r="R2227" t="str">
            <v/>
          </cell>
          <cell r="T2227" t="str">
            <v>60 - 00011R41426</v>
          </cell>
        </row>
        <row r="2228">
          <cell r="H2228">
            <v>1316000</v>
          </cell>
          <cell r="O2228">
            <v>41426</v>
          </cell>
          <cell r="R2228" t="str">
            <v/>
          </cell>
          <cell r="T2228" t="str">
            <v>60 - 00011R41426</v>
          </cell>
        </row>
        <row r="2229">
          <cell r="H2229">
            <v>24631</v>
          </cell>
          <cell r="O2229">
            <v>41426</v>
          </cell>
          <cell r="R2229" t="str">
            <v/>
          </cell>
          <cell r="T2229" t="str">
            <v>60 - 00011R41426</v>
          </cell>
        </row>
        <row r="2230">
          <cell r="H2230">
            <v>0</v>
          </cell>
          <cell r="O2230">
            <v>41426</v>
          </cell>
          <cell r="R2230" t="str">
            <v/>
          </cell>
          <cell r="T2230" t="str">
            <v>60 - 00011R41426</v>
          </cell>
        </row>
        <row r="2231">
          <cell r="H2231">
            <v>141183076</v>
          </cell>
          <cell r="O2231">
            <v>41426</v>
          </cell>
          <cell r="R2231" t="str">
            <v/>
          </cell>
          <cell r="T2231" t="str">
            <v>60 - 00011R41426</v>
          </cell>
        </row>
        <row r="2232">
          <cell r="H2232">
            <v>0</v>
          </cell>
          <cell r="O2232">
            <v>41426</v>
          </cell>
          <cell r="R2232" t="str">
            <v/>
          </cell>
          <cell r="T2232" t="str">
            <v>60 - 00011R41426</v>
          </cell>
        </row>
        <row r="2233">
          <cell r="H2233">
            <v>1515655</v>
          </cell>
          <cell r="O2233">
            <v>41426</v>
          </cell>
          <cell r="R2233" t="str">
            <v/>
          </cell>
          <cell r="T2233" t="str">
            <v>60 - 00011R41426</v>
          </cell>
        </row>
        <row r="2234">
          <cell r="H2234">
            <v>7329836</v>
          </cell>
          <cell r="O2234">
            <v>41426</v>
          </cell>
          <cell r="R2234" t="str">
            <v/>
          </cell>
          <cell r="T2234" t="str">
            <v>60 - 00011R41426</v>
          </cell>
        </row>
        <row r="2235">
          <cell r="H2235">
            <v>0</v>
          </cell>
          <cell r="O2235">
            <v>41426</v>
          </cell>
          <cell r="R2235" t="str">
            <v/>
          </cell>
          <cell r="T2235" t="str">
            <v>60 - 00011R41426</v>
          </cell>
        </row>
        <row r="2236">
          <cell r="H2236">
            <v>0</v>
          </cell>
          <cell r="O2236">
            <v>41426</v>
          </cell>
          <cell r="R2236" t="str">
            <v/>
          </cell>
          <cell r="T2236" t="str">
            <v>60 - 00011R41426</v>
          </cell>
        </row>
        <row r="2237">
          <cell r="H2237">
            <v>0</v>
          </cell>
          <cell r="O2237">
            <v>41426</v>
          </cell>
          <cell r="R2237" t="str">
            <v/>
          </cell>
          <cell r="T2237" t="str">
            <v>60 - 00011R41426</v>
          </cell>
        </row>
        <row r="2238">
          <cell r="H2238">
            <v>0</v>
          </cell>
          <cell r="O2238">
            <v>41426</v>
          </cell>
          <cell r="R2238" t="str">
            <v/>
          </cell>
          <cell r="T2238" t="str">
            <v>60 - 00011R41426</v>
          </cell>
        </row>
        <row r="2239">
          <cell r="H2239">
            <v>1815</v>
          </cell>
          <cell r="O2239">
            <v>41426</v>
          </cell>
          <cell r="R2239" t="str">
            <v/>
          </cell>
          <cell r="T2239" t="str">
            <v>60 - 00011R41426</v>
          </cell>
        </row>
        <row r="2240">
          <cell r="H2240">
            <v>8056</v>
          </cell>
          <cell r="O2240">
            <v>41426</v>
          </cell>
          <cell r="R2240" t="str">
            <v/>
          </cell>
          <cell r="T2240" t="str">
            <v>60 - 00011R41426</v>
          </cell>
        </row>
        <row r="2241">
          <cell r="H2241">
            <v>197</v>
          </cell>
          <cell r="O2241">
            <v>41426</v>
          </cell>
          <cell r="R2241" t="str">
            <v/>
          </cell>
          <cell r="T2241" t="str">
            <v>60 - 00011R41426</v>
          </cell>
        </row>
        <row r="2242">
          <cell r="H2242">
            <v>86</v>
          </cell>
          <cell r="O2242">
            <v>41426</v>
          </cell>
          <cell r="R2242" t="str">
            <v/>
          </cell>
          <cell r="T2242" t="str">
            <v>60 - 00011R41426</v>
          </cell>
        </row>
        <row r="2243">
          <cell r="H2243">
            <v>11</v>
          </cell>
          <cell r="O2243">
            <v>41426</v>
          </cell>
          <cell r="R2243" t="str">
            <v/>
          </cell>
          <cell r="T2243" t="str">
            <v>60 - 00011R41426</v>
          </cell>
        </row>
        <row r="2244">
          <cell r="H2244">
            <v>1438</v>
          </cell>
          <cell r="O2244">
            <v>41426</v>
          </cell>
          <cell r="R2244" t="str">
            <v/>
          </cell>
          <cell r="T2244" t="str">
            <v>60 - 00011R41426</v>
          </cell>
        </row>
        <row r="2245">
          <cell r="H2245">
            <v>9562</v>
          </cell>
          <cell r="O2245">
            <v>41426</v>
          </cell>
          <cell r="R2245" t="str">
            <v/>
          </cell>
          <cell r="T2245" t="str">
            <v>60 - 00011R41426</v>
          </cell>
        </row>
        <row r="2246">
          <cell r="H2246">
            <v>0</v>
          </cell>
          <cell r="O2246">
            <v>41426</v>
          </cell>
          <cell r="R2246" t="str">
            <v/>
          </cell>
          <cell r="T2246" t="str">
            <v>60 - 00011R41426</v>
          </cell>
        </row>
        <row r="2247">
          <cell r="H2247">
            <v>17403602</v>
          </cell>
          <cell r="O2247">
            <v>41426</v>
          </cell>
          <cell r="R2247" t="str">
            <v/>
          </cell>
          <cell r="T2247" t="str">
            <v>60 - 00011R41426</v>
          </cell>
        </row>
        <row r="2248">
          <cell r="H2248">
            <v>25796</v>
          </cell>
          <cell r="O2248">
            <v>41426</v>
          </cell>
          <cell r="R2248" t="str">
            <v/>
          </cell>
          <cell r="T2248" t="str">
            <v>60 - 00011R41426</v>
          </cell>
        </row>
        <row r="2249">
          <cell r="H2249">
            <v>0</v>
          </cell>
          <cell r="O2249">
            <v>41426</v>
          </cell>
          <cell r="R2249" t="str">
            <v/>
          </cell>
          <cell r="T2249" t="str">
            <v>60 - 00011R41426</v>
          </cell>
        </row>
        <row r="2250">
          <cell r="H2250">
            <v>0</v>
          </cell>
          <cell r="O2250">
            <v>41426</v>
          </cell>
          <cell r="R2250" t="str">
            <v/>
          </cell>
          <cell r="T2250" t="str">
            <v>60 - 00011R41426</v>
          </cell>
        </row>
        <row r="2251">
          <cell r="H2251">
            <v>102480</v>
          </cell>
          <cell r="O2251">
            <v>41426</v>
          </cell>
          <cell r="R2251" t="str">
            <v/>
          </cell>
          <cell r="T2251" t="str">
            <v>60 - 00011R41426</v>
          </cell>
        </row>
        <row r="2252">
          <cell r="H2252">
            <v>49440</v>
          </cell>
          <cell r="O2252">
            <v>41426</v>
          </cell>
          <cell r="R2252" t="str">
            <v/>
          </cell>
          <cell r="T2252" t="str">
            <v>60 - 00011R41426</v>
          </cell>
        </row>
        <row r="2253">
          <cell r="H2253">
            <v>4504000</v>
          </cell>
          <cell r="O2253">
            <v>41426</v>
          </cell>
          <cell r="R2253" t="str">
            <v/>
          </cell>
          <cell r="T2253" t="str">
            <v>60 - 00011R41426</v>
          </cell>
        </row>
        <row r="2254">
          <cell r="H2254">
            <v>0</v>
          </cell>
          <cell r="O2254">
            <v>41426</v>
          </cell>
          <cell r="R2254" t="str">
            <v/>
          </cell>
          <cell r="T2254" t="str">
            <v>60 - 00011R41426</v>
          </cell>
        </row>
        <row r="2255">
          <cell r="H2255">
            <v>0</v>
          </cell>
          <cell r="O2255">
            <v>41426</v>
          </cell>
          <cell r="R2255" t="str">
            <v/>
          </cell>
          <cell r="T2255" t="str">
            <v>60 - 00011R41426</v>
          </cell>
        </row>
        <row r="2256">
          <cell r="H2256">
            <v>0</v>
          </cell>
          <cell r="O2256">
            <v>41426</v>
          </cell>
          <cell r="R2256" t="str">
            <v/>
          </cell>
          <cell r="T2256" t="str">
            <v>60 - 00011R41426</v>
          </cell>
        </row>
        <row r="2257">
          <cell r="H2257">
            <v>0</v>
          </cell>
          <cell r="O2257">
            <v>41426</v>
          </cell>
          <cell r="R2257" t="str">
            <v/>
          </cell>
          <cell r="T2257" t="str">
            <v>60 - 00011R41426</v>
          </cell>
        </row>
        <row r="2258">
          <cell r="H2258">
            <v>380</v>
          </cell>
          <cell r="O2258">
            <v>41426</v>
          </cell>
          <cell r="R2258" t="str">
            <v/>
          </cell>
          <cell r="T2258" t="str">
            <v>60 - 00011R41426</v>
          </cell>
        </row>
        <row r="2259">
          <cell r="H2259">
            <v>0</v>
          </cell>
          <cell r="O2259">
            <v>41426</v>
          </cell>
          <cell r="R2259" t="str">
            <v/>
          </cell>
          <cell r="T2259" t="str">
            <v>60 - 00011R41426</v>
          </cell>
        </row>
        <row r="2260">
          <cell r="H2260">
            <v>3686000</v>
          </cell>
          <cell r="O2260">
            <v>41426</v>
          </cell>
          <cell r="R2260" t="str">
            <v/>
          </cell>
          <cell r="T2260" t="str">
            <v>60 - 00011U41426</v>
          </cell>
        </row>
        <row r="2261">
          <cell r="H2261">
            <v>0</v>
          </cell>
          <cell r="O2261">
            <v>41426</v>
          </cell>
          <cell r="R2261" t="str">
            <v/>
          </cell>
          <cell r="T2261" t="str">
            <v>60 - 00011B41426</v>
          </cell>
        </row>
        <row r="2262">
          <cell r="H2262">
            <v>7743279</v>
          </cell>
          <cell r="O2262">
            <v>41426</v>
          </cell>
          <cell r="R2262" t="str">
            <v/>
          </cell>
          <cell r="T2262" t="str">
            <v>60 - 00011B41426</v>
          </cell>
        </row>
        <row r="2263">
          <cell r="H2263">
            <v>-1309578</v>
          </cell>
          <cell r="O2263">
            <v>41426</v>
          </cell>
          <cell r="R2263" t="str">
            <v/>
          </cell>
          <cell r="T2263" t="str">
            <v>60 - 00011B41426</v>
          </cell>
        </row>
        <row r="2264">
          <cell r="H2264">
            <v>76995</v>
          </cell>
          <cell r="O2264">
            <v>41426</v>
          </cell>
          <cell r="R2264" t="str">
            <v/>
          </cell>
          <cell r="T2264" t="str">
            <v>60 - 00011B41426</v>
          </cell>
        </row>
        <row r="2265">
          <cell r="H2265">
            <v>13153155</v>
          </cell>
          <cell r="O2265">
            <v>41426</v>
          </cell>
          <cell r="R2265" t="str">
            <v/>
          </cell>
          <cell r="T2265" t="str">
            <v>60 - 00011B41426</v>
          </cell>
        </row>
        <row r="2266">
          <cell r="H2266">
            <v>339240</v>
          </cell>
          <cell r="O2266">
            <v>41426</v>
          </cell>
          <cell r="R2266" t="str">
            <v/>
          </cell>
          <cell r="T2266" t="str">
            <v>60 - 00011B41426</v>
          </cell>
        </row>
        <row r="2267">
          <cell r="H2267">
            <v>920</v>
          </cell>
          <cell r="O2267">
            <v>41426</v>
          </cell>
          <cell r="R2267" t="str">
            <v/>
          </cell>
          <cell r="T2267" t="str">
            <v>60 - 00011B41426</v>
          </cell>
        </row>
        <row r="2268">
          <cell r="H2268">
            <v>872000</v>
          </cell>
          <cell r="O2268">
            <v>41426</v>
          </cell>
          <cell r="R2268" t="str">
            <v/>
          </cell>
          <cell r="T2268" t="str">
            <v>60 - 00011B41426</v>
          </cell>
        </row>
        <row r="2269">
          <cell r="H2269">
            <v>46886</v>
          </cell>
          <cell r="O2269">
            <v>41426</v>
          </cell>
          <cell r="R2269" t="str">
            <v/>
          </cell>
          <cell r="T2269" t="str">
            <v>60 - 00011B41426</v>
          </cell>
        </row>
        <row r="2270">
          <cell r="H2270">
            <v>0</v>
          </cell>
          <cell r="O2270">
            <v>41426</v>
          </cell>
          <cell r="R2270" t="str">
            <v/>
          </cell>
          <cell r="T2270" t="str">
            <v>60 - 00011B41426</v>
          </cell>
        </row>
        <row r="2271">
          <cell r="H2271">
            <v>20</v>
          </cell>
          <cell r="O2271">
            <v>41426</v>
          </cell>
          <cell r="R2271" t="str">
            <v/>
          </cell>
          <cell r="T2271" t="str">
            <v>60 - 00011B41426</v>
          </cell>
        </row>
        <row r="2272">
          <cell r="H2272">
            <v>7612696</v>
          </cell>
          <cell r="O2272">
            <v>41426</v>
          </cell>
          <cell r="R2272" t="str">
            <v/>
          </cell>
          <cell r="T2272" t="str">
            <v>60 - 00011B41426</v>
          </cell>
        </row>
        <row r="2273">
          <cell r="H2273">
            <v>8259444</v>
          </cell>
          <cell r="O2273">
            <v>41426</v>
          </cell>
          <cell r="R2273" t="str">
            <v/>
          </cell>
          <cell r="T2273" t="str">
            <v>60 - 00011B41426</v>
          </cell>
        </row>
        <row r="2274">
          <cell r="H2274">
            <v>868898</v>
          </cell>
          <cell r="O2274">
            <v>41426</v>
          </cell>
          <cell r="R2274" t="str">
            <v/>
          </cell>
          <cell r="T2274" t="str">
            <v>60 - 00011B41426</v>
          </cell>
        </row>
        <row r="2275">
          <cell r="H2275">
            <v>0</v>
          </cell>
          <cell r="O2275">
            <v>41426</v>
          </cell>
          <cell r="R2275" t="str">
            <v/>
          </cell>
          <cell r="T2275" t="str">
            <v>60 - 00011B41426</v>
          </cell>
        </row>
        <row r="2276">
          <cell r="H2276">
            <v>0</v>
          </cell>
          <cell r="O2276">
            <v>41426</v>
          </cell>
          <cell r="R2276" t="str">
            <v/>
          </cell>
          <cell r="T2276" t="str">
            <v>60 - 00011R41426</v>
          </cell>
        </row>
        <row r="2277">
          <cell r="H2277">
            <v>0</v>
          </cell>
          <cell r="O2277">
            <v>41426</v>
          </cell>
          <cell r="R2277" t="str">
            <v/>
          </cell>
          <cell r="T2277" t="str">
            <v>60 - 00011R41426</v>
          </cell>
        </row>
        <row r="2278">
          <cell r="H2278">
            <v>0</v>
          </cell>
          <cell r="O2278">
            <v>41426</v>
          </cell>
          <cell r="R2278" t="str">
            <v/>
          </cell>
          <cell r="T2278" t="str">
            <v>60 - 00011R41426</v>
          </cell>
        </row>
        <row r="2279">
          <cell r="H2279">
            <v>0</v>
          </cell>
          <cell r="O2279">
            <v>41426</v>
          </cell>
          <cell r="R2279" t="str">
            <v/>
          </cell>
          <cell r="T2279" t="str">
            <v>60 - 00011R41426</v>
          </cell>
        </row>
        <row r="2280">
          <cell r="H2280">
            <v>0</v>
          </cell>
          <cell r="O2280">
            <v>41426</v>
          </cell>
          <cell r="R2280" t="str">
            <v/>
          </cell>
          <cell r="T2280" t="str">
            <v>60 - 00011R41426</v>
          </cell>
        </row>
        <row r="2281">
          <cell r="H2281">
            <v>0</v>
          </cell>
          <cell r="O2281">
            <v>41426</v>
          </cell>
          <cell r="R2281" t="str">
            <v/>
          </cell>
          <cell r="T2281" t="str">
            <v>60 - 00011R41426</v>
          </cell>
        </row>
        <row r="2282">
          <cell r="H2282">
            <v>0</v>
          </cell>
          <cell r="O2282">
            <v>41426</v>
          </cell>
          <cell r="R2282" t="str">
            <v/>
          </cell>
          <cell r="T2282" t="str">
            <v>60 - 00011R41426</v>
          </cell>
        </row>
        <row r="2283">
          <cell r="H2283">
            <v>0</v>
          </cell>
          <cell r="O2283">
            <v>41426</v>
          </cell>
          <cell r="R2283" t="str">
            <v/>
          </cell>
          <cell r="T2283" t="str">
            <v>60 - 00011R41426</v>
          </cell>
        </row>
        <row r="2284">
          <cell r="H2284">
            <v>0</v>
          </cell>
          <cell r="O2284">
            <v>41426</v>
          </cell>
          <cell r="R2284" t="str">
            <v/>
          </cell>
          <cell r="T2284" t="str">
            <v>60 - 00011R41426</v>
          </cell>
        </row>
        <row r="2285">
          <cell r="H2285">
            <v>0</v>
          </cell>
          <cell r="O2285">
            <v>41426</v>
          </cell>
          <cell r="R2285" t="str">
            <v/>
          </cell>
          <cell r="T2285" t="str">
            <v>60 - 00011R41426</v>
          </cell>
        </row>
        <row r="2286">
          <cell r="H2286">
            <v>872000</v>
          </cell>
          <cell r="O2286">
            <v>41426</v>
          </cell>
          <cell r="R2286" t="str">
            <v/>
          </cell>
          <cell r="T2286" t="str">
            <v>60 - 00011R41426</v>
          </cell>
        </row>
        <row r="2287">
          <cell r="H2287">
            <v>21655365</v>
          </cell>
          <cell r="O2287">
            <v>41426</v>
          </cell>
          <cell r="R2287" t="str">
            <v/>
          </cell>
          <cell r="T2287" t="str">
            <v>60 - 00011R41426</v>
          </cell>
        </row>
        <row r="2288">
          <cell r="H2288">
            <v>1140</v>
          </cell>
          <cell r="O2288">
            <v>41426</v>
          </cell>
          <cell r="R2288" t="str">
            <v/>
          </cell>
          <cell r="T2288" t="str">
            <v>60 - 00011R41426</v>
          </cell>
        </row>
        <row r="2289">
          <cell r="H2289">
            <v>19190</v>
          </cell>
          <cell r="O2289">
            <v>41426</v>
          </cell>
          <cell r="R2289" t="str">
            <v/>
          </cell>
          <cell r="T2289" t="str">
            <v>60 - 00011R41426</v>
          </cell>
        </row>
        <row r="2290">
          <cell r="H2290">
            <v>76995</v>
          </cell>
          <cell r="O2290">
            <v>41426</v>
          </cell>
          <cell r="R2290" t="str">
            <v/>
          </cell>
          <cell r="T2290" t="str">
            <v>60 - 00011R41426</v>
          </cell>
        </row>
        <row r="2291">
          <cell r="H2291">
            <v>0</v>
          </cell>
          <cell r="O2291">
            <v>41426</v>
          </cell>
          <cell r="R2291" t="str">
            <v/>
          </cell>
          <cell r="T2291" t="str">
            <v>60 - 00011R41426</v>
          </cell>
        </row>
        <row r="2292">
          <cell r="H2292">
            <v>0</v>
          </cell>
          <cell r="O2292">
            <v>41426</v>
          </cell>
          <cell r="R2292" t="str">
            <v/>
          </cell>
          <cell r="T2292" t="str">
            <v>60 - 00011R41426</v>
          </cell>
        </row>
        <row r="2293">
          <cell r="H2293">
            <v>0</v>
          </cell>
          <cell r="O2293">
            <v>41426</v>
          </cell>
          <cell r="R2293" t="str">
            <v/>
          </cell>
          <cell r="T2293" t="str">
            <v>60 - 00011R41426</v>
          </cell>
        </row>
        <row r="2294">
          <cell r="H2294">
            <v>20456</v>
          </cell>
          <cell r="O2294">
            <v>41426</v>
          </cell>
          <cell r="R2294" t="str">
            <v/>
          </cell>
          <cell r="T2294" t="str">
            <v>60 - 00011R41426</v>
          </cell>
        </row>
        <row r="2295">
          <cell r="H2295">
            <v>33479</v>
          </cell>
          <cell r="O2295">
            <v>41426</v>
          </cell>
          <cell r="R2295" t="str">
            <v/>
          </cell>
          <cell r="T2295" t="str">
            <v>60 - 00011R41426</v>
          </cell>
        </row>
        <row r="2296">
          <cell r="H2296">
            <v>0</v>
          </cell>
          <cell r="O2296">
            <v>41426</v>
          </cell>
          <cell r="R2296" t="str">
            <v/>
          </cell>
          <cell r="T2296" t="str">
            <v>60 - 00011R41426</v>
          </cell>
        </row>
        <row r="2297">
          <cell r="H2297">
            <v>0</v>
          </cell>
          <cell r="O2297">
            <v>41426</v>
          </cell>
          <cell r="R2297" t="str">
            <v/>
          </cell>
          <cell r="T2297" t="str">
            <v>60 - 00011R41426</v>
          </cell>
        </row>
        <row r="2298">
          <cell r="H2298">
            <v>0</v>
          </cell>
          <cell r="O2298">
            <v>41426</v>
          </cell>
          <cell r="R2298" t="str">
            <v/>
          </cell>
          <cell r="T2298" t="str">
            <v>60 - 00011R41426</v>
          </cell>
        </row>
        <row r="2299">
          <cell r="H2299">
            <v>0</v>
          </cell>
          <cell r="O2299">
            <v>41426</v>
          </cell>
          <cell r="R2299" t="str">
            <v/>
          </cell>
          <cell r="T2299" t="str">
            <v>60 - 00011R41426</v>
          </cell>
        </row>
        <row r="2300">
          <cell r="H2300">
            <v>0</v>
          </cell>
          <cell r="O2300">
            <v>41426</v>
          </cell>
          <cell r="R2300" t="str">
            <v/>
          </cell>
          <cell r="T2300" t="str">
            <v>60 - 00011R41426</v>
          </cell>
        </row>
        <row r="2301">
          <cell r="H2301">
            <v>0</v>
          </cell>
          <cell r="O2301">
            <v>41426</v>
          </cell>
          <cell r="R2301" t="str">
            <v/>
          </cell>
          <cell r="T2301" t="str">
            <v>60 - 00011R41426</v>
          </cell>
        </row>
        <row r="2302">
          <cell r="H2302">
            <v>16360246</v>
          </cell>
          <cell r="O2302">
            <v>41426</v>
          </cell>
          <cell r="R2302" t="str">
            <v/>
          </cell>
          <cell r="T2302" t="str">
            <v>60 - 00011R41426</v>
          </cell>
        </row>
        <row r="2303">
          <cell r="H2303">
            <v>0</v>
          </cell>
          <cell r="O2303">
            <v>41426</v>
          </cell>
          <cell r="R2303" t="str">
            <v/>
          </cell>
          <cell r="T2303" t="str">
            <v>60 - 00011R41426</v>
          </cell>
        </row>
        <row r="2304">
          <cell r="H2304">
            <v>582</v>
          </cell>
          <cell r="O2304">
            <v>41426</v>
          </cell>
          <cell r="R2304" t="str">
            <v/>
          </cell>
          <cell r="T2304" t="str">
            <v>60 - 00011R41426</v>
          </cell>
        </row>
        <row r="2305">
          <cell r="H2305">
            <v>8853</v>
          </cell>
          <cell r="O2305">
            <v>41426</v>
          </cell>
          <cell r="R2305" t="str">
            <v/>
          </cell>
          <cell r="T2305" t="str">
            <v>60 - 00011R41426</v>
          </cell>
        </row>
        <row r="2306">
          <cell r="H2306">
            <v>37394</v>
          </cell>
          <cell r="O2306">
            <v>41426</v>
          </cell>
          <cell r="R2306" t="str">
            <v/>
          </cell>
          <cell r="T2306" t="str">
            <v>60 - 00011R41426</v>
          </cell>
        </row>
        <row r="2307">
          <cell r="H2307">
            <v>0</v>
          </cell>
          <cell r="O2307">
            <v>41426</v>
          </cell>
          <cell r="R2307" t="str">
            <v/>
          </cell>
          <cell r="T2307" t="str">
            <v>60 - 00011R41426</v>
          </cell>
        </row>
        <row r="2308">
          <cell r="H2308">
            <v>0</v>
          </cell>
          <cell r="O2308">
            <v>41426</v>
          </cell>
          <cell r="R2308" t="str">
            <v/>
          </cell>
          <cell r="T2308" t="str">
            <v>60 - 00011R41426</v>
          </cell>
        </row>
        <row r="2309">
          <cell r="H2309">
            <v>9640000</v>
          </cell>
          <cell r="O2309">
            <v>41426</v>
          </cell>
          <cell r="R2309" t="str">
            <v/>
          </cell>
          <cell r="T2309" t="str">
            <v>60 - 00011U41426</v>
          </cell>
        </row>
        <row r="2310">
          <cell r="H2310">
            <v>0</v>
          </cell>
          <cell r="O2310">
            <v>41426</v>
          </cell>
          <cell r="R2310" t="str">
            <v/>
          </cell>
          <cell r="T2310" t="str">
            <v>60 - 00011R41426</v>
          </cell>
        </row>
        <row r="2311">
          <cell r="H2311">
            <v>0</v>
          </cell>
          <cell r="O2311">
            <v>41426</v>
          </cell>
          <cell r="R2311" t="str">
            <v/>
          </cell>
          <cell r="T2311" t="str">
            <v>60 - 00011R41426</v>
          </cell>
        </row>
        <row r="2312">
          <cell r="H2312">
            <v>0</v>
          </cell>
          <cell r="O2312">
            <v>41426</v>
          </cell>
          <cell r="R2312" t="str">
            <v/>
          </cell>
          <cell r="T2312" t="str">
            <v>60 - 00011R41426</v>
          </cell>
        </row>
        <row r="2313">
          <cell r="H2313">
            <v>0</v>
          </cell>
          <cell r="O2313">
            <v>41426</v>
          </cell>
          <cell r="R2313" t="str">
            <v/>
          </cell>
          <cell r="T2313" t="str">
            <v>60 - 00011R41426</v>
          </cell>
        </row>
        <row r="2314">
          <cell r="H2314">
            <v>33546</v>
          </cell>
          <cell r="O2314">
            <v>41426</v>
          </cell>
          <cell r="R2314" t="str">
            <v/>
          </cell>
          <cell r="T2314" t="str">
            <v>60 - 00011R41426</v>
          </cell>
        </row>
        <row r="2315">
          <cell r="H2315">
            <v>12906</v>
          </cell>
          <cell r="O2315">
            <v>41426</v>
          </cell>
          <cell r="R2315" t="str">
            <v/>
          </cell>
          <cell r="T2315" t="str">
            <v>60 - 00011R41426</v>
          </cell>
        </row>
        <row r="2316">
          <cell r="H2316">
            <v>1484406</v>
          </cell>
          <cell r="O2316">
            <v>41426</v>
          </cell>
          <cell r="R2316" t="str">
            <v/>
          </cell>
          <cell r="T2316" t="str">
            <v>60 - 00011R41426</v>
          </cell>
        </row>
        <row r="2317">
          <cell r="H2317">
            <v>702425</v>
          </cell>
          <cell r="O2317">
            <v>41426</v>
          </cell>
          <cell r="R2317" t="str">
            <v/>
          </cell>
          <cell r="T2317" t="str">
            <v>60 - 00011R41426</v>
          </cell>
        </row>
        <row r="2318">
          <cell r="H2318">
            <v>31</v>
          </cell>
          <cell r="O2318">
            <v>41426</v>
          </cell>
          <cell r="R2318" t="str">
            <v/>
          </cell>
          <cell r="T2318" t="str">
            <v>60 - 00011R41426</v>
          </cell>
        </row>
        <row r="2319">
          <cell r="H2319">
            <v>46866</v>
          </cell>
          <cell r="O2319">
            <v>41426</v>
          </cell>
          <cell r="R2319" t="str">
            <v/>
          </cell>
          <cell r="T2319" t="str">
            <v>60 - 00011R41426</v>
          </cell>
        </row>
        <row r="2320">
          <cell r="H2320">
            <v>696490</v>
          </cell>
          <cell r="O2320">
            <v>41426</v>
          </cell>
          <cell r="R2320" t="str">
            <v/>
          </cell>
          <cell r="T2320" t="str">
            <v>60 - 00011R41426</v>
          </cell>
        </row>
        <row r="2321">
          <cell r="H2321">
            <v>2711</v>
          </cell>
          <cell r="O2321">
            <v>41426</v>
          </cell>
          <cell r="R2321" t="str">
            <v/>
          </cell>
          <cell r="T2321" t="str">
            <v>60 - 00011R41426</v>
          </cell>
        </row>
        <row r="2322">
          <cell r="H2322">
            <v>0</v>
          </cell>
          <cell r="O2322">
            <v>41426</v>
          </cell>
          <cell r="R2322" t="str">
            <v/>
          </cell>
          <cell r="T2322" t="str">
            <v>60 - 00011R41426</v>
          </cell>
        </row>
        <row r="2323">
          <cell r="H2323">
            <v>-396000</v>
          </cell>
          <cell r="O2323">
            <v>41426</v>
          </cell>
          <cell r="R2323" t="str">
            <v/>
          </cell>
          <cell r="T2323" t="str">
            <v>60 - 00011U41426</v>
          </cell>
        </row>
        <row r="2324">
          <cell r="H2324">
            <v>0</v>
          </cell>
          <cell r="O2324">
            <v>41426</v>
          </cell>
          <cell r="R2324" t="str">
            <v/>
          </cell>
          <cell r="T2324" t="str">
            <v>60 - 00012B41426</v>
          </cell>
        </row>
        <row r="2325">
          <cell r="H2325">
            <v>91954959</v>
          </cell>
          <cell r="O2325">
            <v>41426</v>
          </cell>
          <cell r="R2325" t="str">
            <v/>
          </cell>
          <cell r="T2325" t="str">
            <v>60 - 00012B41426</v>
          </cell>
        </row>
        <row r="2326">
          <cell r="H2326">
            <v>161585</v>
          </cell>
          <cell r="O2326">
            <v>41426</v>
          </cell>
          <cell r="R2326" t="str">
            <v/>
          </cell>
          <cell r="T2326" t="str">
            <v>60 - 00012B41426</v>
          </cell>
        </row>
        <row r="2327">
          <cell r="H2327">
            <v>32458</v>
          </cell>
          <cell r="O2327">
            <v>41426</v>
          </cell>
          <cell r="R2327" t="str">
            <v/>
          </cell>
          <cell r="T2327" t="str">
            <v>60 - 00012B41426</v>
          </cell>
        </row>
        <row r="2328">
          <cell r="H2328">
            <v>3731698</v>
          </cell>
          <cell r="O2328">
            <v>41426</v>
          </cell>
          <cell r="R2328" t="str">
            <v/>
          </cell>
          <cell r="T2328" t="str">
            <v>60 - 00012B41426</v>
          </cell>
        </row>
        <row r="2329">
          <cell r="H2329">
            <v>87957</v>
          </cell>
          <cell r="O2329">
            <v>41426</v>
          </cell>
          <cell r="R2329" t="str">
            <v/>
          </cell>
          <cell r="T2329" t="str">
            <v>60 - 00012B41426</v>
          </cell>
        </row>
        <row r="2330">
          <cell r="H2330">
            <v>56912</v>
          </cell>
          <cell r="O2330">
            <v>41426</v>
          </cell>
          <cell r="R2330" t="str">
            <v/>
          </cell>
          <cell r="T2330" t="str">
            <v>60 - 00012B41426</v>
          </cell>
        </row>
        <row r="2331">
          <cell r="H2331">
            <v>442731</v>
          </cell>
          <cell r="O2331">
            <v>41426</v>
          </cell>
          <cell r="R2331" t="str">
            <v/>
          </cell>
          <cell r="T2331" t="str">
            <v>60 - 00012B41426</v>
          </cell>
        </row>
        <row r="2332">
          <cell r="H2332">
            <v>0</v>
          </cell>
          <cell r="O2332">
            <v>41426</v>
          </cell>
          <cell r="R2332" t="str">
            <v/>
          </cell>
          <cell r="T2332" t="str">
            <v>60 - 00012B41426</v>
          </cell>
        </row>
        <row r="2333">
          <cell r="H2333">
            <v>0</v>
          </cell>
          <cell r="O2333">
            <v>41426</v>
          </cell>
          <cell r="R2333" t="str">
            <v>41426WARESAGA</v>
          </cell>
          <cell r="T2333" t="str">
            <v>60 - 00012R41426</v>
          </cell>
        </row>
        <row r="2334">
          <cell r="H2334">
            <v>0</v>
          </cell>
          <cell r="O2334">
            <v>41426</v>
          </cell>
          <cell r="R2334" t="str">
            <v>41426WARESAGA</v>
          </cell>
          <cell r="T2334" t="str">
            <v>60 - 00012R41426</v>
          </cell>
        </row>
        <row r="2335">
          <cell r="H2335">
            <v>0</v>
          </cell>
          <cell r="O2335">
            <v>41426</v>
          </cell>
          <cell r="R2335" t="str">
            <v>41426WARESAGA</v>
          </cell>
          <cell r="T2335" t="str">
            <v>60 - 00012R41426</v>
          </cell>
        </row>
        <row r="2336">
          <cell r="H2336">
            <v>0</v>
          </cell>
          <cell r="O2336">
            <v>41426</v>
          </cell>
          <cell r="R2336" t="str">
            <v>41426WARESAGA</v>
          </cell>
          <cell r="T2336" t="str">
            <v>60 - 00012R41426</v>
          </cell>
        </row>
        <row r="2337">
          <cell r="H2337">
            <v>0</v>
          </cell>
          <cell r="O2337">
            <v>41426</v>
          </cell>
          <cell r="R2337" t="str">
            <v>41426WARESAGA</v>
          </cell>
          <cell r="T2337" t="str">
            <v>60 - 00012R41426</v>
          </cell>
        </row>
        <row r="2338">
          <cell r="H2338">
            <v>0</v>
          </cell>
          <cell r="O2338">
            <v>41426</v>
          </cell>
          <cell r="R2338" t="str">
            <v>41426WARESAGA</v>
          </cell>
          <cell r="T2338" t="str">
            <v>60 - 00012R41426</v>
          </cell>
        </row>
        <row r="2339">
          <cell r="H2339">
            <v>0</v>
          </cell>
          <cell r="O2339">
            <v>41426</v>
          </cell>
          <cell r="R2339" t="str">
            <v>41426WARESAGA</v>
          </cell>
          <cell r="T2339" t="str">
            <v>60 - 00012R41426</v>
          </cell>
        </row>
        <row r="2340">
          <cell r="H2340">
            <v>91955007</v>
          </cell>
          <cell r="O2340">
            <v>41426</v>
          </cell>
          <cell r="R2340" t="str">
            <v>41426WARES16</v>
          </cell>
          <cell r="T2340" t="str">
            <v>60 - 00012R41426</v>
          </cell>
        </row>
        <row r="2341">
          <cell r="H2341">
            <v>161585</v>
          </cell>
          <cell r="O2341">
            <v>41426</v>
          </cell>
          <cell r="R2341" t="str">
            <v>41426WARES18</v>
          </cell>
          <cell r="T2341" t="str">
            <v>60 - 00012R41426</v>
          </cell>
        </row>
        <row r="2342">
          <cell r="H2342">
            <v>32458</v>
          </cell>
          <cell r="O2342">
            <v>41426</v>
          </cell>
          <cell r="R2342" t="str">
            <v>41426WARES18</v>
          </cell>
          <cell r="T2342" t="str">
            <v>60 - 00012R41426</v>
          </cell>
        </row>
        <row r="2343">
          <cell r="H2343">
            <v>0</v>
          </cell>
          <cell r="O2343">
            <v>41426</v>
          </cell>
          <cell r="R2343" t="str">
            <v>41426WARESAGA</v>
          </cell>
          <cell r="T2343" t="str">
            <v>60 - 00012R41426</v>
          </cell>
        </row>
        <row r="2344">
          <cell r="H2344">
            <v>3731698</v>
          </cell>
          <cell r="O2344">
            <v>41426</v>
          </cell>
          <cell r="R2344" t="str">
            <v>41426WARES17</v>
          </cell>
          <cell r="T2344" t="str">
            <v>60 - 00012R41426</v>
          </cell>
        </row>
        <row r="2345">
          <cell r="H2345">
            <v>87958</v>
          </cell>
          <cell r="O2345">
            <v>41426</v>
          </cell>
          <cell r="R2345" t="str">
            <v>41426WARES15</v>
          </cell>
          <cell r="T2345" t="str">
            <v>60 - 00012R41426</v>
          </cell>
        </row>
        <row r="2346">
          <cell r="H2346">
            <v>56913</v>
          </cell>
          <cell r="O2346">
            <v>41426</v>
          </cell>
          <cell r="R2346" t="str">
            <v>41426WARES16</v>
          </cell>
          <cell r="T2346" t="str">
            <v>60 - 00012R41426</v>
          </cell>
        </row>
        <row r="2347">
          <cell r="H2347">
            <v>442740</v>
          </cell>
          <cell r="O2347">
            <v>41426</v>
          </cell>
          <cell r="R2347" t="str">
            <v>41426WARES24</v>
          </cell>
          <cell r="T2347" t="str">
            <v>60 - 00012R41426</v>
          </cell>
        </row>
        <row r="2348">
          <cell r="H2348">
            <v>0</v>
          </cell>
          <cell r="O2348">
            <v>41426</v>
          </cell>
          <cell r="R2348" t="str">
            <v>41426WARESAGA</v>
          </cell>
          <cell r="T2348" t="str">
            <v>60 - 00012R41426</v>
          </cell>
        </row>
        <row r="2349">
          <cell r="H2349">
            <v>-3786000</v>
          </cell>
          <cell r="O2349">
            <v>41426</v>
          </cell>
          <cell r="R2349" t="str">
            <v>41426WARES88</v>
          </cell>
          <cell r="T2349" t="str">
            <v>60 - 00012U41426</v>
          </cell>
        </row>
        <row r="2350">
          <cell r="H2350">
            <v>0</v>
          </cell>
          <cell r="O2350">
            <v>41426</v>
          </cell>
          <cell r="R2350" t="str">
            <v>41426WARESAGA</v>
          </cell>
          <cell r="T2350" t="str">
            <v>60 - 00012U41426</v>
          </cell>
        </row>
        <row r="2351">
          <cell r="H2351">
            <v>0</v>
          </cell>
          <cell r="O2351">
            <v>41426</v>
          </cell>
          <cell r="R2351" t="str">
            <v/>
          </cell>
          <cell r="T2351" t="str">
            <v>60 - 00012B41426</v>
          </cell>
        </row>
        <row r="2352">
          <cell r="H2352">
            <v>3022128</v>
          </cell>
          <cell r="O2352">
            <v>41426</v>
          </cell>
          <cell r="R2352" t="str">
            <v/>
          </cell>
          <cell r="T2352" t="str">
            <v>60 - 00012B41426</v>
          </cell>
        </row>
        <row r="2353">
          <cell r="H2353">
            <v>7861</v>
          </cell>
          <cell r="O2353">
            <v>41426</v>
          </cell>
          <cell r="R2353" t="str">
            <v/>
          </cell>
          <cell r="T2353" t="str">
            <v>60 - 00012B41426</v>
          </cell>
        </row>
        <row r="2354">
          <cell r="H2354">
            <v>6004926</v>
          </cell>
          <cell r="O2354">
            <v>41426</v>
          </cell>
          <cell r="R2354" t="str">
            <v/>
          </cell>
          <cell r="T2354" t="str">
            <v>60 - 00012B41426</v>
          </cell>
        </row>
        <row r="2355">
          <cell r="H2355">
            <v>47642</v>
          </cell>
          <cell r="O2355">
            <v>41426</v>
          </cell>
          <cell r="R2355" t="str">
            <v/>
          </cell>
          <cell r="T2355" t="str">
            <v>60 - 00012B41426</v>
          </cell>
        </row>
        <row r="2356">
          <cell r="H2356">
            <v>72</v>
          </cell>
          <cell r="O2356">
            <v>41426</v>
          </cell>
          <cell r="R2356" t="str">
            <v/>
          </cell>
          <cell r="T2356" t="str">
            <v>60 - 00012B41426</v>
          </cell>
        </row>
        <row r="2357">
          <cell r="H2357">
            <v>65</v>
          </cell>
          <cell r="O2357">
            <v>41426</v>
          </cell>
          <cell r="R2357" t="str">
            <v/>
          </cell>
          <cell r="T2357" t="str">
            <v>60 - 00012B41426</v>
          </cell>
        </row>
        <row r="2358">
          <cell r="H2358">
            <v>0</v>
          </cell>
          <cell r="O2358">
            <v>41426</v>
          </cell>
          <cell r="R2358" t="str">
            <v/>
          </cell>
          <cell r="T2358" t="str">
            <v>60 - 00012B41426</v>
          </cell>
        </row>
        <row r="2359">
          <cell r="H2359">
            <v>0</v>
          </cell>
          <cell r="O2359">
            <v>41426</v>
          </cell>
          <cell r="R2359" t="str">
            <v>41426WACOMAGA</v>
          </cell>
          <cell r="T2359" t="str">
            <v>60 - 00012R41426</v>
          </cell>
        </row>
        <row r="2360">
          <cell r="H2360">
            <v>0</v>
          </cell>
          <cell r="O2360">
            <v>41426</v>
          </cell>
          <cell r="R2360" t="str">
            <v>41426WACOMAGA</v>
          </cell>
          <cell r="T2360" t="str">
            <v>60 - 00012R41426</v>
          </cell>
        </row>
        <row r="2361">
          <cell r="H2361">
            <v>0</v>
          </cell>
          <cell r="O2361">
            <v>41426</v>
          </cell>
          <cell r="R2361" t="str">
            <v>41426WACOMAGA</v>
          </cell>
          <cell r="T2361" t="str">
            <v>60 - 00012R41426</v>
          </cell>
        </row>
        <row r="2362">
          <cell r="H2362">
            <v>0</v>
          </cell>
          <cell r="O2362">
            <v>41426</v>
          </cell>
          <cell r="R2362" t="str">
            <v>41426WACOMAGA</v>
          </cell>
          <cell r="T2362" t="str">
            <v>60 - 00012R41426</v>
          </cell>
        </row>
        <row r="2363">
          <cell r="H2363">
            <v>0</v>
          </cell>
          <cell r="O2363">
            <v>41426</v>
          </cell>
          <cell r="R2363" t="str">
            <v>41426WACOMAGA</v>
          </cell>
          <cell r="T2363" t="str">
            <v>60 - 00012R41426</v>
          </cell>
        </row>
        <row r="2364">
          <cell r="H2364">
            <v>0</v>
          </cell>
          <cell r="O2364">
            <v>41426</v>
          </cell>
          <cell r="R2364" t="str">
            <v>41426WACOMAGA</v>
          </cell>
          <cell r="T2364" t="str">
            <v>60 - 00012R41426</v>
          </cell>
        </row>
        <row r="2365">
          <cell r="H2365">
            <v>36590699</v>
          </cell>
          <cell r="O2365">
            <v>41426</v>
          </cell>
          <cell r="R2365" t="str">
            <v>41426WACOM24</v>
          </cell>
          <cell r="T2365" t="str">
            <v>60 - 00012R41426</v>
          </cell>
        </row>
        <row r="2366">
          <cell r="H2366">
            <v>92919</v>
          </cell>
          <cell r="O2366">
            <v>41426</v>
          </cell>
          <cell r="R2366" t="str">
            <v>41426WACOM24</v>
          </cell>
          <cell r="T2366" t="str">
            <v>60 - 00012R41426</v>
          </cell>
        </row>
        <row r="2367">
          <cell r="H2367">
            <v>54976921</v>
          </cell>
          <cell r="O2367">
            <v>41426</v>
          </cell>
          <cell r="R2367" t="str">
            <v>41426WACOM36</v>
          </cell>
          <cell r="T2367" t="str">
            <v>60 - 00012R41426</v>
          </cell>
        </row>
        <row r="2368">
          <cell r="H2368">
            <v>12811760</v>
          </cell>
          <cell r="O2368">
            <v>41426</v>
          </cell>
          <cell r="R2368" t="str">
            <v>41426WACOM48T</v>
          </cell>
          <cell r="T2368" t="str">
            <v>60 - 00012R41426</v>
          </cell>
        </row>
        <row r="2369">
          <cell r="H2369">
            <v>0</v>
          </cell>
          <cell r="O2369">
            <v>41426</v>
          </cell>
          <cell r="R2369" t="str">
            <v>41426WACOMAGA</v>
          </cell>
          <cell r="T2369" t="str">
            <v>60 - 00012R41426</v>
          </cell>
        </row>
        <row r="2370">
          <cell r="H2370">
            <v>0</v>
          </cell>
          <cell r="O2370">
            <v>41426</v>
          </cell>
          <cell r="R2370" t="str">
            <v>41426WACOMAGA</v>
          </cell>
          <cell r="T2370" t="str">
            <v>60 - 00012R41426</v>
          </cell>
        </row>
        <row r="2371">
          <cell r="H2371">
            <v>0</v>
          </cell>
          <cell r="O2371">
            <v>41426</v>
          </cell>
          <cell r="R2371" t="str">
            <v>41426WACOMAGA</v>
          </cell>
          <cell r="T2371" t="str">
            <v>60 - 00012R41426</v>
          </cell>
        </row>
        <row r="2372">
          <cell r="H2372">
            <v>0</v>
          </cell>
          <cell r="O2372">
            <v>41426</v>
          </cell>
          <cell r="R2372" t="str">
            <v>41426WACOMAGA</v>
          </cell>
          <cell r="T2372" t="str">
            <v>60 - 00012R41426</v>
          </cell>
        </row>
        <row r="2373">
          <cell r="H2373">
            <v>0</v>
          </cell>
          <cell r="O2373">
            <v>41426</v>
          </cell>
          <cell r="R2373" t="str">
            <v>41426WACOMAGA</v>
          </cell>
          <cell r="T2373" t="str">
            <v>60 - 00012R41426</v>
          </cell>
        </row>
        <row r="2374">
          <cell r="H2374">
            <v>0</v>
          </cell>
          <cell r="O2374">
            <v>41426</v>
          </cell>
          <cell r="R2374" t="str">
            <v>41426WACOMAGA</v>
          </cell>
          <cell r="T2374" t="str">
            <v>60 - 00012R41426</v>
          </cell>
        </row>
        <row r="2375">
          <cell r="H2375">
            <v>131481</v>
          </cell>
          <cell r="O2375">
            <v>41426</v>
          </cell>
          <cell r="R2375" t="str">
            <v>41426WACOM15</v>
          </cell>
          <cell r="T2375" t="str">
            <v>60 - 00012R41426</v>
          </cell>
        </row>
        <row r="2376">
          <cell r="H2376">
            <v>13303</v>
          </cell>
          <cell r="O2376">
            <v>41426</v>
          </cell>
          <cell r="R2376" t="str">
            <v>41426WACOM54</v>
          </cell>
          <cell r="T2376" t="str">
            <v>60 - 00012R41426</v>
          </cell>
        </row>
        <row r="2377">
          <cell r="H2377">
            <v>0</v>
          </cell>
          <cell r="O2377">
            <v>41426</v>
          </cell>
          <cell r="R2377" t="str">
            <v>41426WACOMAGA</v>
          </cell>
          <cell r="T2377" t="str">
            <v>60 - 00012R41426</v>
          </cell>
        </row>
        <row r="2378">
          <cell r="H2378">
            <v>51050</v>
          </cell>
          <cell r="O2378">
            <v>41426</v>
          </cell>
          <cell r="R2378" t="str">
            <v>41426WACOM24</v>
          </cell>
          <cell r="T2378" t="str">
            <v>60 - 00012R41426</v>
          </cell>
        </row>
        <row r="2379">
          <cell r="H2379">
            <v>3022153</v>
          </cell>
          <cell r="O2379">
            <v>41426</v>
          </cell>
          <cell r="R2379" t="str">
            <v>41426WACOM24</v>
          </cell>
          <cell r="T2379" t="str">
            <v>60 - 00012R41426</v>
          </cell>
        </row>
        <row r="2380">
          <cell r="H2380">
            <v>7861</v>
          </cell>
          <cell r="O2380">
            <v>41426</v>
          </cell>
          <cell r="R2380" t="str">
            <v>41426WACOM24</v>
          </cell>
          <cell r="T2380" t="str">
            <v>60 - 00012R41426</v>
          </cell>
        </row>
        <row r="2381">
          <cell r="H2381">
            <v>6004926</v>
          </cell>
          <cell r="O2381">
            <v>41426</v>
          </cell>
          <cell r="R2381" t="str">
            <v>41426WACOM36</v>
          </cell>
          <cell r="T2381" t="str">
            <v>60 - 00012R41426</v>
          </cell>
        </row>
        <row r="2382">
          <cell r="H2382">
            <v>47642</v>
          </cell>
          <cell r="O2382">
            <v>41426</v>
          </cell>
          <cell r="R2382" t="str">
            <v>41426WACOM15</v>
          </cell>
          <cell r="T2382" t="str">
            <v>60 - 00012R41426</v>
          </cell>
        </row>
        <row r="2383">
          <cell r="H2383">
            <v>12857</v>
          </cell>
          <cell r="O2383">
            <v>41426</v>
          </cell>
          <cell r="R2383" t="str">
            <v>41426WACOM24</v>
          </cell>
          <cell r="T2383" t="str">
            <v>60 - 00012R41426</v>
          </cell>
        </row>
        <row r="2384">
          <cell r="H2384">
            <v>0</v>
          </cell>
          <cell r="O2384">
            <v>41426</v>
          </cell>
          <cell r="R2384" t="str">
            <v>41426WACOMAGA</v>
          </cell>
          <cell r="T2384" t="str">
            <v>60 - 00012R41426</v>
          </cell>
        </row>
        <row r="2385">
          <cell r="H2385">
            <v>0</v>
          </cell>
          <cell r="O2385">
            <v>41426</v>
          </cell>
          <cell r="R2385" t="str">
            <v>41426WACOMAGA</v>
          </cell>
          <cell r="T2385" t="str">
            <v>60 - 00012R41426</v>
          </cell>
        </row>
        <row r="2386">
          <cell r="H2386">
            <v>108880</v>
          </cell>
          <cell r="O2386">
            <v>41426</v>
          </cell>
          <cell r="R2386" t="str">
            <v>41426WACOM36</v>
          </cell>
          <cell r="T2386" t="str">
            <v>60 - 00012R41426</v>
          </cell>
        </row>
        <row r="2387">
          <cell r="H2387">
            <v>0</v>
          </cell>
          <cell r="O2387">
            <v>41426</v>
          </cell>
          <cell r="R2387" t="str">
            <v>41426WACOMAGA</v>
          </cell>
          <cell r="T2387" t="str">
            <v>60 - 00012R41426</v>
          </cell>
        </row>
        <row r="2388">
          <cell r="H2388">
            <v>3668000</v>
          </cell>
          <cell r="O2388">
            <v>41426</v>
          </cell>
          <cell r="R2388" t="str">
            <v>41426WACOM88</v>
          </cell>
          <cell r="T2388" t="str">
            <v>60 - 00012U41426</v>
          </cell>
        </row>
        <row r="2389">
          <cell r="H2389">
            <v>0</v>
          </cell>
          <cell r="O2389">
            <v>41426</v>
          </cell>
          <cell r="R2389" t="str">
            <v/>
          </cell>
          <cell r="T2389" t="str">
            <v>60 - 00012B41426</v>
          </cell>
        </row>
        <row r="2390">
          <cell r="H2390">
            <v>129916</v>
          </cell>
          <cell r="O2390">
            <v>41426</v>
          </cell>
          <cell r="R2390" t="str">
            <v/>
          </cell>
          <cell r="T2390" t="str">
            <v>60 - 00012B41426</v>
          </cell>
        </row>
        <row r="2391">
          <cell r="H2391">
            <v>253</v>
          </cell>
          <cell r="O2391">
            <v>41426</v>
          </cell>
          <cell r="R2391" t="str">
            <v/>
          </cell>
          <cell r="T2391" t="str">
            <v>60 - 00012B41426</v>
          </cell>
        </row>
        <row r="2392">
          <cell r="H2392">
            <v>97040</v>
          </cell>
          <cell r="O2392">
            <v>41426</v>
          </cell>
          <cell r="R2392" t="str">
            <v/>
          </cell>
          <cell r="T2392" t="str">
            <v>60 - 00012B41426</v>
          </cell>
        </row>
        <row r="2393">
          <cell r="H2393">
            <v>2380</v>
          </cell>
          <cell r="O2393">
            <v>41426</v>
          </cell>
          <cell r="R2393" t="str">
            <v/>
          </cell>
          <cell r="T2393" t="str">
            <v>60 - 00012B41426</v>
          </cell>
        </row>
        <row r="2394">
          <cell r="H2394">
            <v>0</v>
          </cell>
          <cell r="O2394">
            <v>41426</v>
          </cell>
          <cell r="R2394" t="str">
            <v/>
          </cell>
          <cell r="T2394" t="str">
            <v>60 - 00012B41426</v>
          </cell>
        </row>
        <row r="2395">
          <cell r="H2395">
            <v>0</v>
          </cell>
          <cell r="O2395">
            <v>41426</v>
          </cell>
          <cell r="R2395" t="str">
            <v>41426WAINDAGA</v>
          </cell>
          <cell r="T2395" t="str">
            <v>60 - 00012R41426</v>
          </cell>
        </row>
        <row r="2396">
          <cell r="H2396">
            <v>0</v>
          </cell>
          <cell r="O2396">
            <v>41426</v>
          </cell>
          <cell r="R2396" t="str">
            <v>41426WAINDAGA</v>
          </cell>
          <cell r="T2396" t="str">
            <v>60 - 00012R41426</v>
          </cell>
        </row>
        <row r="2397">
          <cell r="H2397">
            <v>0</v>
          </cell>
          <cell r="O2397">
            <v>41426</v>
          </cell>
          <cell r="R2397" t="str">
            <v>41426WAINDAGA</v>
          </cell>
          <cell r="T2397" t="str">
            <v>60 - 00012R41426</v>
          </cell>
        </row>
        <row r="2398">
          <cell r="H2398">
            <v>0</v>
          </cell>
          <cell r="O2398">
            <v>41426</v>
          </cell>
          <cell r="R2398" t="str">
            <v>41426WAINDAGA</v>
          </cell>
          <cell r="T2398" t="str">
            <v>60 - 00012R41426</v>
          </cell>
        </row>
        <row r="2399">
          <cell r="H2399">
            <v>0</v>
          </cell>
          <cell r="O2399">
            <v>41426</v>
          </cell>
          <cell r="R2399" t="str">
            <v>41426WAINDAGA</v>
          </cell>
          <cell r="T2399" t="str">
            <v>60 - 00012R41426</v>
          </cell>
        </row>
        <row r="2400">
          <cell r="H2400">
            <v>1292084</v>
          </cell>
          <cell r="O2400">
            <v>41426</v>
          </cell>
          <cell r="R2400" t="str">
            <v>41426WAIND24</v>
          </cell>
          <cell r="T2400" t="str">
            <v>60 - 00012R41426</v>
          </cell>
        </row>
        <row r="2401">
          <cell r="H2401">
            <v>2776</v>
          </cell>
          <cell r="O2401">
            <v>41426</v>
          </cell>
          <cell r="R2401" t="str">
            <v>41426WAIND24</v>
          </cell>
          <cell r="T2401" t="str">
            <v>60 - 00012R41426</v>
          </cell>
        </row>
        <row r="2402">
          <cell r="H2402">
            <v>7259100</v>
          </cell>
          <cell r="O2402">
            <v>41426</v>
          </cell>
          <cell r="R2402" t="str">
            <v>41426WAIND36</v>
          </cell>
          <cell r="T2402" t="str">
            <v>60 - 00012R41426</v>
          </cell>
        </row>
        <row r="2403">
          <cell r="H2403">
            <v>56836000</v>
          </cell>
          <cell r="O2403">
            <v>41426</v>
          </cell>
          <cell r="R2403" t="str">
            <v>41426WAIND48T</v>
          </cell>
          <cell r="T2403" t="str">
            <v>60 - 00012R41426</v>
          </cell>
        </row>
        <row r="2404">
          <cell r="H2404">
            <v>10232</v>
          </cell>
          <cell r="O2404">
            <v>41426</v>
          </cell>
          <cell r="R2404" t="str">
            <v>41426WAIND15</v>
          </cell>
          <cell r="T2404" t="str">
            <v>60 - 00012R41426</v>
          </cell>
        </row>
        <row r="2405">
          <cell r="H2405">
            <v>140000</v>
          </cell>
          <cell r="O2405">
            <v>41426</v>
          </cell>
          <cell r="R2405" t="str">
            <v>41426WAIND47</v>
          </cell>
          <cell r="T2405" t="str">
            <v>60 - 00012R41426</v>
          </cell>
        </row>
        <row r="2406">
          <cell r="H2406">
            <v>129917</v>
          </cell>
          <cell r="O2406">
            <v>41426</v>
          </cell>
          <cell r="R2406" t="str">
            <v>41426WAIND24</v>
          </cell>
          <cell r="T2406" t="str">
            <v>60 - 00012R41426</v>
          </cell>
        </row>
        <row r="2407">
          <cell r="H2407">
            <v>253</v>
          </cell>
          <cell r="O2407">
            <v>41426</v>
          </cell>
          <cell r="R2407" t="str">
            <v>41426WAIND24</v>
          </cell>
          <cell r="T2407" t="str">
            <v>60 - 00012R41426</v>
          </cell>
        </row>
        <row r="2408">
          <cell r="H2408">
            <v>97040</v>
          </cell>
          <cell r="O2408">
            <v>41426</v>
          </cell>
          <cell r="R2408" t="str">
            <v>41426WAIND36</v>
          </cell>
          <cell r="T2408" t="str">
            <v>60 - 00012R41426</v>
          </cell>
        </row>
        <row r="2409">
          <cell r="H2409">
            <v>2380</v>
          </cell>
          <cell r="O2409">
            <v>41426</v>
          </cell>
          <cell r="R2409" t="str">
            <v>41426WAIND15</v>
          </cell>
          <cell r="T2409" t="str">
            <v>60 - 00012R41426</v>
          </cell>
        </row>
        <row r="2410">
          <cell r="H2410">
            <v>0</v>
          </cell>
          <cell r="O2410">
            <v>41426</v>
          </cell>
          <cell r="R2410" t="str">
            <v>41426WAINDAGA</v>
          </cell>
          <cell r="T2410" t="str">
            <v>60 - 00012R41426</v>
          </cell>
        </row>
        <row r="2411">
          <cell r="H2411">
            <v>5419000</v>
          </cell>
          <cell r="O2411">
            <v>41426</v>
          </cell>
          <cell r="R2411" t="str">
            <v>41426WAIND88</v>
          </cell>
          <cell r="T2411" t="str">
            <v>60 - 00012U41426</v>
          </cell>
        </row>
        <row r="2412">
          <cell r="H2412">
            <v>0</v>
          </cell>
          <cell r="O2412">
            <v>41426</v>
          </cell>
          <cell r="R2412" t="str">
            <v/>
          </cell>
          <cell r="T2412" t="str">
            <v>60 - 00012B41426</v>
          </cell>
        </row>
        <row r="2413">
          <cell r="H2413">
            <v>18790248</v>
          </cell>
          <cell r="O2413">
            <v>41426</v>
          </cell>
          <cell r="R2413" t="str">
            <v/>
          </cell>
          <cell r="T2413" t="str">
            <v>60 - 00012B41426</v>
          </cell>
        </row>
        <row r="2414">
          <cell r="H2414">
            <v>-733175</v>
          </cell>
          <cell r="O2414">
            <v>41426</v>
          </cell>
          <cell r="R2414" t="str">
            <v/>
          </cell>
          <cell r="T2414" t="str">
            <v>60 - 00012B41426</v>
          </cell>
        </row>
        <row r="2415">
          <cell r="H2415">
            <v>0</v>
          </cell>
          <cell r="O2415">
            <v>41426</v>
          </cell>
          <cell r="R2415" t="str">
            <v/>
          </cell>
          <cell r="T2415" t="str">
            <v>60 - 00012B41426</v>
          </cell>
        </row>
        <row r="2416">
          <cell r="H2416">
            <v>0</v>
          </cell>
          <cell r="O2416">
            <v>41426</v>
          </cell>
          <cell r="R2416" t="str">
            <v/>
          </cell>
          <cell r="T2416" t="str">
            <v>60 - 00012B41426</v>
          </cell>
        </row>
        <row r="2417">
          <cell r="H2417">
            <v>0</v>
          </cell>
          <cell r="O2417">
            <v>41426</v>
          </cell>
          <cell r="R2417" t="str">
            <v>41426WAINDAGA</v>
          </cell>
          <cell r="T2417" t="str">
            <v>60 - 00012R41426</v>
          </cell>
        </row>
        <row r="2418">
          <cell r="H2418">
            <v>0</v>
          </cell>
          <cell r="O2418">
            <v>41426</v>
          </cell>
          <cell r="R2418" t="str">
            <v>41426WAINDAGA</v>
          </cell>
          <cell r="T2418" t="str">
            <v>60 - 00012R41426</v>
          </cell>
        </row>
        <row r="2419">
          <cell r="H2419">
            <v>0</v>
          </cell>
          <cell r="O2419">
            <v>41426</v>
          </cell>
          <cell r="R2419" t="str">
            <v>41426WAINDAGA</v>
          </cell>
          <cell r="T2419" t="str">
            <v>60 - 00012R41426</v>
          </cell>
        </row>
        <row r="2420">
          <cell r="H2420">
            <v>0</v>
          </cell>
          <cell r="O2420">
            <v>41426</v>
          </cell>
          <cell r="R2420" t="str">
            <v>41426WAINDAGA</v>
          </cell>
          <cell r="T2420" t="str">
            <v>60 - 00012R41426</v>
          </cell>
        </row>
        <row r="2421">
          <cell r="H2421">
            <v>0</v>
          </cell>
          <cell r="O2421">
            <v>41426</v>
          </cell>
          <cell r="R2421" t="str">
            <v>41426WAINDAGA</v>
          </cell>
          <cell r="T2421" t="str">
            <v>60 - 00012R41426</v>
          </cell>
        </row>
        <row r="2422">
          <cell r="H2422">
            <v>18790273</v>
          </cell>
          <cell r="O2422">
            <v>41426</v>
          </cell>
          <cell r="R2422" t="str">
            <v>41426WAIND40</v>
          </cell>
          <cell r="T2422" t="str">
            <v>60 - 00012R41426</v>
          </cell>
        </row>
        <row r="2423">
          <cell r="H2423">
            <v>667260</v>
          </cell>
          <cell r="O2423">
            <v>41426</v>
          </cell>
          <cell r="R2423" t="str">
            <v>41426WAIND40</v>
          </cell>
          <cell r="T2423" t="str">
            <v>60 - 00012R41426</v>
          </cell>
        </row>
        <row r="2424">
          <cell r="H2424">
            <v>0</v>
          </cell>
          <cell r="O2424">
            <v>41426</v>
          </cell>
          <cell r="R2424" t="str">
            <v>41426WAINDAGA</v>
          </cell>
          <cell r="T2424" t="str">
            <v>60 - 00012R41426</v>
          </cell>
        </row>
        <row r="2425">
          <cell r="H2425">
            <v>0</v>
          </cell>
          <cell r="O2425">
            <v>41426</v>
          </cell>
          <cell r="R2425" t="str">
            <v>41426WAINDAGA</v>
          </cell>
          <cell r="T2425" t="str">
            <v>60 - 00012R41426</v>
          </cell>
        </row>
        <row r="2426">
          <cell r="H2426">
            <v>0</v>
          </cell>
          <cell r="O2426">
            <v>41426</v>
          </cell>
          <cell r="R2426" t="str">
            <v>41426WAINDAGA</v>
          </cell>
          <cell r="T2426" t="str">
            <v>60 - 00012R41426</v>
          </cell>
        </row>
        <row r="2427">
          <cell r="H2427">
            <v>0</v>
          </cell>
          <cell r="O2427">
            <v>41426</v>
          </cell>
          <cell r="R2427" t="str">
            <v>41426WAINDAGA</v>
          </cell>
          <cell r="T2427" t="str">
            <v>60 - 00012R41426</v>
          </cell>
        </row>
        <row r="2428">
          <cell r="H2428">
            <v>0</v>
          </cell>
          <cell r="O2428">
            <v>41426</v>
          </cell>
          <cell r="R2428" t="str">
            <v>41426WAINDAGA</v>
          </cell>
          <cell r="T2428" t="str">
            <v>60 - 00012R41426</v>
          </cell>
        </row>
        <row r="2429">
          <cell r="H2429">
            <v>1165</v>
          </cell>
          <cell r="O2429">
            <v>41426</v>
          </cell>
          <cell r="R2429" t="str">
            <v>41426WAIND40</v>
          </cell>
          <cell r="T2429" t="str">
            <v>60 - 00012R41426</v>
          </cell>
        </row>
        <row r="2430">
          <cell r="H2430">
            <v>0</v>
          </cell>
          <cell r="O2430">
            <v>41426</v>
          </cell>
          <cell r="R2430" t="str">
            <v>41426WAINDAGA</v>
          </cell>
          <cell r="T2430" t="str">
            <v>60 - 00012R41426</v>
          </cell>
        </row>
        <row r="2431">
          <cell r="H2431">
            <v>8239000</v>
          </cell>
          <cell r="O2431">
            <v>41426</v>
          </cell>
          <cell r="R2431" t="str">
            <v>41426WAIND89</v>
          </cell>
          <cell r="T2431" t="str">
            <v>60 - 00012U41426</v>
          </cell>
        </row>
        <row r="2432">
          <cell r="H2432">
            <v>0</v>
          </cell>
          <cell r="O2432">
            <v>41426</v>
          </cell>
          <cell r="R2432" t="str">
            <v>41426WAPSHAGA</v>
          </cell>
          <cell r="T2432" t="str">
            <v>60 - 00012R41426</v>
          </cell>
        </row>
        <row r="2433">
          <cell r="H2433">
            <v>0</v>
          </cell>
          <cell r="O2433">
            <v>41426</v>
          </cell>
          <cell r="R2433" t="str">
            <v>41426WAPSHAGA</v>
          </cell>
          <cell r="T2433" t="str">
            <v>60 - 00012R41426</v>
          </cell>
        </row>
        <row r="2434">
          <cell r="H2434">
            <v>0</v>
          </cell>
          <cell r="O2434">
            <v>41426</v>
          </cell>
          <cell r="R2434" t="str">
            <v>41426WAPSHAGA</v>
          </cell>
          <cell r="T2434" t="str">
            <v>60 - 00012R41426</v>
          </cell>
        </row>
        <row r="2435">
          <cell r="H2435">
            <v>0</v>
          </cell>
          <cell r="O2435">
            <v>41426</v>
          </cell>
          <cell r="R2435" t="str">
            <v>41426WAPSHAGA</v>
          </cell>
          <cell r="T2435" t="str">
            <v>60 - 00012R41426</v>
          </cell>
        </row>
        <row r="2436">
          <cell r="H2436">
            <v>18282</v>
          </cell>
          <cell r="O2436">
            <v>41426</v>
          </cell>
          <cell r="R2436" t="str">
            <v>41426WAPSH52</v>
          </cell>
          <cell r="T2436" t="str">
            <v>60 - 00012R41426</v>
          </cell>
        </row>
        <row r="2437">
          <cell r="H2437">
            <v>285198</v>
          </cell>
          <cell r="O2437">
            <v>41426</v>
          </cell>
          <cell r="R2437" t="str">
            <v>41426WAPSH53</v>
          </cell>
          <cell r="T2437" t="str">
            <v>60 - 00012R41426</v>
          </cell>
        </row>
        <row r="2438">
          <cell r="H2438">
            <v>70855</v>
          </cell>
          <cell r="O2438">
            <v>41426</v>
          </cell>
          <cell r="R2438" t="str">
            <v>41426WAPSH53</v>
          </cell>
          <cell r="T2438" t="str">
            <v>60 - 00012R41426</v>
          </cell>
        </row>
        <row r="2439">
          <cell r="H2439">
            <v>284555</v>
          </cell>
          <cell r="O2439">
            <v>41426</v>
          </cell>
          <cell r="R2439" t="str">
            <v>41426WAPSH51</v>
          </cell>
          <cell r="T2439" t="str">
            <v>60 - 00012R41426</v>
          </cell>
        </row>
        <row r="2440">
          <cell r="H2440">
            <v>161696</v>
          </cell>
          <cell r="O2440">
            <v>41426</v>
          </cell>
          <cell r="R2440" t="str">
            <v>41426WAPSH57</v>
          </cell>
          <cell r="T2440" t="str">
            <v>60 - 00012R41426</v>
          </cell>
        </row>
        <row r="2441">
          <cell r="H2441">
            <v>0</v>
          </cell>
          <cell r="O2441">
            <v>41426</v>
          </cell>
          <cell r="R2441" t="str">
            <v>41426WAPSHAGA</v>
          </cell>
          <cell r="T2441" t="str">
            <v>60 - 00012R41426</v>
          </cell>
        </row>
        <row r="2442">
          <cell r="H2442">
            <v>18000</v>
          </cell>
          <cell r="O2442">
            <v>41426</v>
          </cell>
          <cell r="R2442" t="str">
            <v>41426WAPSH88</v>
          </cell>
          <cell r="T2442" t="str">
            <v>60 - 00012U41426</v>
          </cell>
        </row>
        <row r="2443">
          <cell r="H2443">
            <v>0</v>
          </cell>
          <cell r="O2443">
            <v>41456</v>
          </cell>
          <cell r="R2443" t="str">
            <v/>
          </cell>
          <cell r="T2443" t="str">
            <v>60 - 00016R41456</v>
          </cell>
        </row>
        <row r="2444">
          <cell r="H2444">
            <v>0</v>
          </cell>
          <cell r="O2444">
            <v>41456</v>
          </cell>
          <cell r="R2444" t="str">
            <v/>
          </cell>
          <cell r="T2444" t="str">
            <v>60 - 00016R41456</v>
          </cell>
        </row>
        <row r="2445">
          <cell r="H2445">
            <v>0</v>
          </cell>
          <cell r="O2445">
            <v>41456</v>
          </cell>
          <cell r="R2445" t="str">
            <v/>
          </cell>
          <cell r="T2445" t="str">
            <v>60 - 00016R41456</v>
          </cell>
        </row>
        <row r="2446">
          <cell r="H2446">
            <v>0</v>
          </cell>
          <cell r="O2446">
            <v>41456</v>
          </cell>
          <cell r="R2446" t="str">
            <v/>
          </cell>
          <cell r="T2446" t="str">
            <v>60 - 00016R41456</v>
          </cell>
        </row>
        <row r="2447">
          <cell r="H2447">
            <v>0</v>
          </cell>
          <cell r="O2447">
            <v>41456</v>
          </cell>
          <cell r="R2447" t="str">
            <v/>
          </cell>
          <cell r="T2447" t="str">
            <v>60 - 00016R41456</v>
          </cell>
        </row>
        <row r="2448">
          <cell r="H2448">
            <v>0</v>
          </cell>
          <cell r="O2448">
            <v>41456</v>
          </cell>
          <cell r="R2448" t="str">
            <v/>
          </cell>
          <cell r="T2448" t="str">
            <v>60 - 00016R41456</v>
          </cell>
        </row>
        <row r="2449">
          <cell r="H2449">
            <v>24968</v>
          </cell>
          <cell r="O2449">
            <v>41456</v>
          </cell>
          <cell r="R2449" t="str">
            <v/>
          </cell>
          <cell r="T2449" t="str">
            <v>60 - 00016R41456</v>
          </cell>
        </row>
        <row r="2450">
          <cell r="H2450">
            <v>7205359</v>
          </cell>
          <cell r="O2450">
            <v>41456</v>
          </cell>
          <cell r="R2450" t="str">
            <v/>
          </cell>
          <cell r="T2450" t="str">
            <v>60 - 00016R41456</v>
          </cell>
        </row>
        <row r="2451">
          <cell r="H2451">
            <v>13428622</v>
          </cell>
          <cell r="O2451">
            <v>41456</v>
          </cell>
          <cell r="R2451" t="str">
            <v/>
          </cell>
          <cell r="T2451" t="str">
            <v>60 - 00016R41456</v>
          </cell>
        </row>
        <row r="2452">
          <cell r="H2452">
            <v>0</v>
          </cell>
          <cell r="O2452">
            <v>41456</v>
          </cell>
          <cell r="R2452" t="str">
            <v/>
          </cell>
          <cell r="T2452" t="str">
            <v>60 - 00016R41456</v>
          </cell>
        </row>
        <row r="2453">
          <cell r="H2453">
            <v>38510</v>
          </cell>
          <cell r="O2453">
            <v>41456</v>
          </cell>
          <cell r="R2453" t="str">
            <v/>
          </cell>
          <cell r="T2453" t="str">
            <v>60 - 00016R41456</v>
          </cell>
        </row>
        <row r="2454">
          <cell r="H2454">
            <v>5715908</v>
          </cell>
          <cell r="O2454">
            <v>41456</v>
          </cell>
          <cell r="R2454" t="str">
            <v/>
          </cell>
          <cell r="T2454" t="str">
            <v>60 - 00016R41456</v>
          </cell>
        </row>
        <row r="2455">
          <cell r="H2455">
            <v>0</v>
          </cell>
          <cell r="O2455">
            <v>41456</v>
          </cell>
          <cell r="R2455" t="str">
            <v/>
          </cell>
          <cell r="T2455" t="str">
            <v>60 - 00016R41456</v>
          </cell>
        </row>
        <row r="2456">
          <cell r="H2456">
            <v>12254</v>
          </cell>
          <cell r="O2456">
            <v>41456</v>
          </cell>
          <cell r="R2456" t="str">
            <v/>
          </cell>
          <cell r="T2456" t="str">
            <v>60 - 00016R41456</v>
          </cell>
        </row>
        <row r="2457">
          <cell r="H2457">
            <v>81321</v>
          </cell>
          <cell r="O2457">
            <v>41456</v>
          </cell>
          <cell r="R2457" t="str">
            <v/>
          </cell>
          <cell r="T2457" t="str">
            <v>60 - 00016R41456</v>
          </cell>
        </row>
        <row r="2458">
          <cell r="H2458">
            <v>71679</v>
          </cell>
          <cell r="O2458">
            <v>41456</v>
          </cell>
          <cell r="R2458" t="str">
            <v/>
          </cell>
          <cell r="T2458" t="str">
            <v>60 - 00016R41456</v>
          </cell>
        </row>
        <row r="2459">
          <cell r="H2459">
            <v>0</v>
          </cell>
          <cell r="O2459">
            <v>41456</v>
          </cell>
          <cell r="R2459" t="str">
            <v/>
          </cell>
          <cell r="T2459" t="str">
            <v>60 - 00016R41456</v>
          </cell>
        </row>
        <row r="2460">
          <cell r="H2460">
            <v>2485000</v>
          </cell>
          <cell r="O2460">
            <v>41456</v>
          </cell>
          <cell r="R2460" t="str">
            <v/>
          </cell>
          <cell r="T2460" t="str">
            <v>60 - 00016U41456</v>
          </cell>
        </row>
        <row r="2461">
          <cell r="H2461">
            <v>0</v>
          </cell>
          <cell r="O2461">
            <v>41456</v>
          </cell>
          <cell r="R2461" t="str">
            <v/>
          </cell>
          <cell r="T2461" t="str">
            <v>60 - 00016U41456</v>
          </cell>
        </row>
        <row r="2462">
          <cell r="H2462">
            <v>0</v>
          </cell>
          <cell r="O2462">
            <v>41456</v>
          </cell>
          <cell r="R2462" t="str">
            <v/>
          </cell>
          <cell r="T2462" t="str">
            <v>60 - 00016R41456</v>
          </cell>
        </row>
        <row r="2463">
          <cell r="H2463">
            <v>0</v>
          </cell>
          <cell r="O2463">
            <v>41456</v>
          </cell>
          <cell r="R2463" t="str">
            <v/>
          </cell>
          <cell r="T2463" t="str">
            <v>60 - 00016R41456</v>
          </cell>
        </row>
        <row r="2464">
          <cell r="H2464">
            <v>0</v>
          </cell>
          <cell r="O2464">
            <v>41456</v>
          </cell>
          <cell r="R2464" t="str">
            <v/>
          </cell>
          <cell r="T2464" t="str">
            <v>60 - 00016R41456</v>
          </cell>
        </row>
        <row r="2465">
          <cell r="H2465">
            <v>0</v>
          </cell>
          <cell r="O2465">
            <v>41456</v>
          </cell>
          <cell r="R2465" t="str">
            <v/>
          </cell>
          <cell r="T2465" t="str">
            <v>60 - 00016R41456</v>
          </cell>
        </row>
        <row r="2466">
          <cell r="H2466">
            <v>0</v>
          </cell>
          <cell r="O2466">
            <v>41456</v>
          </cell>
          <cell r="R2466" t="str">
            <v/>
          </cell>
          <cell r="T2466" t="str">
            <v>60 - 00016R41456</v>
          </cell>
        </row>
        <row r="2467">
          <cell r="H2467">
            <v>0</v>
          </cell>
          <cell r="O2467">
            <v>41456</v>
          </cell>
          <cell r="R2467" t="str">
            <v/>
          </cell>
          <cell r="T2467" t="str">
            <v>60 - 00016R41456</v>
          </cell>
        </row>
        <row r="2468">
          <cell r="H2468">
            <v>5627707</v>
          </cell>
          <cell r="O2468">
            <v>41456</v>
          </cell>
          <cell r="R2468" t="str">
            <v/>
          </cell>
          <cell r="T2468" t="str">
            <v>60 - 00016R41456</v>
          </cell>
        </row>
        <row r="2469">
          <cell r="H2469">
            <v>4543218</v>
          </cell>
          <cell r="O2469">
            <v>41456</v>
          </cell>
          <cell r="R2469" t="str">
            <v/>
          </cell>
          <cell r="T2469" t="str">
            <v>60 - 00016R41456</v>
          </cell>
        </row>
        <row r="2470">
          <cell r="H2470">
            <v>76322</v>
          </cell>
          <cell r="O2470">
            <v>41456</v>
          </cell>
          <cell r="R2470" t="str">
            <v/>
          </cell>
          <cell r="T2470" t="str">
            <v>60 - 00016R41456</v>
          </cell>
        </row>
        <row r="2471">
          <cell r="H2471">
            <v>6103743</v>
          </cell>
          <cell r="O2471">
            <v>41456</v>
          </cell>
          <cell r="R2471" t="str">
            <v/>
          </cell>
          <cell r="T2471" t="str">
            <v>60 - 00016R41456</v>
          </cell>
        </row>
        <row r="2472">
          <cell r="H2472">
            <v>0</v>
          </cell>
          <cell r="O2472">
            <v>41456</v>
          </cell>
          <cell r="R2472" t="str">
            <v/>
          </cell>
          <cell r="T2472" t="str">
            <v>60 - 00016R41456</v>
          </cell>
        </row>
        <row r="2473">
          <cell r="H2473">
            <v>0</v>
          </cell>
          <cell r="O2473">
            <v>41456</v>
          </cell>
          <cell r="R2473" t="str">
            <v/>
          </cell>
          <cell r="T2473" t="str">
            <v>60 - 00016R41456</v>
          </cell>
        </row>
        <row r="2474">
          <cell r="H2474">
            <v>0</v>
          </cell>
          <cell r="O2474">
            <v>41456</v>
          </cell>
          <cell r="R2474" t="str">
            <v/>
          </cell>
          <cell r="T2474" t="str">
            <v>60 - 00016R41456</v>
          </cell>
        </row>
        <row r="2475">
          <cell r="H2475">
            <v>55109</v>
          </cell>
          <cell r="O2475">
            <v>41456</v>
          </cell>
          <cell r="R2475" t="str">
            <v/>
          </cell>
          <cell r="T2475" t="str">
            <v>60 - 00016R41456</v>
          </cell>
        </row>
        <row r="2476">
          <cell r="H2476">
            <v>17825</v>
          </cell>
          <cell r="O2476">
            <v>41456</v>
          </cell>
          <cell r="R2476" t="str">
            <v/>
          </cell>
          <cell r="T2476" t="str">
            <v>60 - 00016R41456</v>
          </cell>
        </row>
        <row r="2477">
          <cell r="H2477">
            <v>2580400</v>
          </cell>
          <cell r="O2477">
            <v>41456</v>
          </cell>
          <cell r="R2477" t="str">
            <v/>
          </cell>
          <cell r="T2477" t="str">
            <v>60 - 00016R41456</v>
          </cell>
        </row>
        <row r="2478">
          <cell r="H2478">
            <v>0</v>
          </cell>
          <cell r="O2478">
            <v>41456</v>
          </cell>
          <cell r="R2478" t="str">
            <v/>
          </cell>
          <cell r="T2478" t="str">
            <v>60 - 00016R41456</v>
          </cell>
        </row>
        <row r="2479">
          <cell r="H2479">
            <v>5307</v>
          </cell>
          <cell r="O2479">
            <v>41456</v>
          </cell>
          <cell r="R2479" t="str">
            <v/>
          </cell>
          <cell r="T2479" t="str">
            <v>60 - 00016R41456</v>
          </cell>
        </row>
        <row r="2480">
          <cell r="H2480">
            <v>11940</v>
          </cell>
          <cell r="O2480">
            <v>41456</v>
          </cell>
          <cell r="R2480" t="str">
            <v/>
          </cell>
          <cell r="T2480" t="str">
            <v>60 - 00016R41456</v>
          </cell>
        </row>
        <row r="2481">
          <cell r="H2481">
            <v>0</v>
          </cell>
          <cell r="O2481">
            <v>41456</v>
          </cell>
          <cell r="R2481" t="str">
            <v/>
          </cell>
          <cell r="T2481" t="str">
            <v>60 - 00016R41456</v>
          </cell>
        </row>
        <row r="2482">
          <cell r="H2482">
            <v>156000</v>
          </cell>
          <cell r="O2482">
            <v>41456</v>
          </cell>
          <cell r="R2482" t="str">
            <v/>
          </cell>
          <cell r="T2482" t="str">
            <v>60 - 00016R41456</v>
          </cell>
        </row>
        <row r="2483">
          <cell r="H2483">
            <v>231300</v>
          </cell>
          <cell r="O2483">
            <v>41456</v>
          </cell>
          <cell r="R2483" t="str">
            <v/>
          </cell>
          <cell r="T2483" t="str">
            <v>60 - 00016R41456</v>
          </cell>
        </row>
        <row r="2484">
          <cell r="H2484">
            <v>0</v>
          </cell>
          <cell r="O2484">
            <v>41456</v>
          </cell>
          <cell r="R2484" t="str">
            <v/>
          </cell>
          <cell r="T2484" t="str">
            <v>60 - 00016R41456</v>
          </cell>
        </row>
        <row r="2485">
          <cell r="H2485">
            <v>-762000</v>
          </cell>
          <cell r="O2485">
            <v>41456</v>
          </cell>
          <cell r="R2485" t="str">
            <v/>
          </cell>
          <cell r="T2485" t="str">
            <v>60 - 00016U41456</v>
          </cell>
        </row>
        <row r="2486">
          <cell r="H2486">
            <v>0</v>
          </cell>
          <cell r="O2486">
            <v>41456</v>
          </cell>
          <cell r="R2486" t="str">
            <v/>
          </cell>
          <cell r="T2486" t="str">
            <v>60 - 00016R41456</v>
          </cell>
        </row>
        <row r="2487">
          <cell r="H2487">
            <v>0</v>
          </cell>
          <cell r="O2487">
            <v>41456</v>
          </cell>
          <cell r="R2487" t="str">
            <v/>
          </cell>
          <cell r="T2487" t="str">
            <v>60 - 00016R41456</v>
          </cell>
        </row>
        <row r="2488">
          <cell r="H2488">
            <v>0</v>
          </cell>
          <cell r="O2488">
            <v>41456</v>
          </cell>
          <cell r="R2488" t="str">
            <v/>
          </cell>
          <cell r="T2488" t="str">
            <v>60 - 00016R41456</v>
          </cell>
        </row>
        <row r="2489">
          <cell r="H2489">
            <v>0</v>
          </cell>
          <cell r="O2489">
            <v>41456</v>
          </cell>
          <cell r="R2489" t="str">
            <v/>
          </cell>
          <cell r="T2489" t="str">
            <v>60 - 00016R41456</v>
          </cell>
        </row>
        <row r="2490">
          <cell r="H2490">
            <v>0</v>
          </cell>
          <cell r="O2490">
            <v>41456</v>
          </cell>
          <cell r="R2490" t="str">
            <v/>
          </cell>
          <cell r="T2490" t="str">
            <v>60 - 00016R41456</v>
          </cell>
        </row>
        <row r="2491">
          <cell r="H2491">
            <v>178194</v>
          </cell>
          <cell r="O2491">
            <v>41456</v>
          </cell>
          <cell r="R2491" t="str">
            <v/>
          </cell>
          <cell r="T2491" t="str">
            <v>60 - 00016R41456</v>
          </cell>
        </row>
        <row r="2492">
          <cell r="H2492">
            <v>56576</v>
          </cell>
          <cell r="O2492">
            <v>41456</v>
          </cell>
          <cell r="R2492" t="str">
            <v/>
          </cell>
          <cell r="T2492" t="str">
            <v>60 - 00016R41456</v>
          </cell>
        </row>
        <row r="2493">
          <cell r="H2493">
            <v>455680</v>
          </cell>
          <cell r="O2493">
            <v>41456</v>
          </cell>
          <cell r="R2493" t="str">
            <v/>
          </cell>
          <cell r="T2493" t="str">
            <v>60 - 00016R41456</v>
          </cell>
        </row>
        <row r="2494">
          <cell r="H2494">
            <v>3426960</v>
          </cell>
          <cell r="O2494">
            <v>41456</v>
          </cell>
          <cell r="R2494" t="str">
            <v/>
          </cell>
          <cell r="T2494" t="str">
            <v>60 - 00016R41456</v>
          </cell>
        </row>
        <row r="2495">
          <cell r="H2495">
            <v>0</v>
          </cell>
          <cell r="O2495">
            <v>41456</v>
          </cell>
          <cell r="R2495" t="str">
            <v/>
          </cell>
          <cell r="T2495" t="str">
            <v>60 - 00016R41456</v>
          </cell>
        </row>
        <row r="2496">
          <cell r="H2496">
            <v>2510000</v>
          </cell>
          <cell r="O2496">
            <v>41456</v>
          </cell>
          <cell r="R2496" t="str">
            <v/>
          </cell>
          <cell r="T2496" t="str">
            <v>60 - 00016U41456</v>
          </cell>
        </row>
        <row r="2497">
          <cell r="H2497">
            <v>0</v>
          </cell>
          <cell r="O2497">
            <v>41456</v>
          </cell>
          <cell r="R2497" t="str">
            <v/>
          </cell>
          <cell r="T2497" t="str">
            <v>60 - 00016R41456</v>
          </cell>
        </row>
        <row r="2498">
          <cell r="H2498">
            <v>0</v>
          </cell>
          <cell r="O2498">
            <v>41456</v>
          </cell>
          <cell r="R2498" t="str">
            <v/>
          </cell>
          <cell r="T2498" t="str">
            <v>60 - 00016R41456</v>
          </cell>
        </row>
        <row r="2499">
          <cell r="H2499">
            <v>0</v>
          </cell>
          <cell r="O2499">
            <v>41456</v>
          </cell>
          <cell r="R2499" t="str">
            <v/>
          </cell>
          <cell r="T2499" t="str">
            <v>60 - 00016R41456</v>
          </cell>
        </row>
        <row r="2500">
          <cell r="H2500">
            <v>0</v>
          </cell>
          <cell r="O2500">
            <v>41456</v>
          </cell>
          <cell r="R2500" t="str">
            <v/>
          </cell>
          <cell r="T2500" t="str">
            <v>60 - 00016R41456</v>
          </cell>
        </row>
        <row r="2501">
          <cell r="H2501">
            <v>0</v>
          </cell>
          <cell r="O2501">
            <v>41456</v>
          </cell>
          <cell r="R2501" t="str">
            <v/>
          </cell>
          <cell r="T2501" t="str">
            <v>60 - 00016R41456</v>
          </cell>
        </row>
        <row r="2502">
          <cell r="H2502">
            <v>11259892</v>
          </cell>
          <cell r="O2502">
            <v>41456</v>
          </cell>
          <cell r="R2502" t="str">
            <v/>
          </cell>
          <cell r="T2502" t="str">
            <v>60 - 00016R41456</v>
          </cell>
        </row>
        <row r="2503">
          <cell r="H2503">
            <v>0</v>
          </cell>
          <cell r="O2503">
            <v>41456</v>
          </cell>
          <cell r="R2503" t="str">
            <v/>
          </cell>
          <cell r="T2503" t="str">
            <v>60 - 00016R41456</v>
          </cell>
        </row>
        <row r="2504">
          <cell r="H2504">
            <v>0</v>
          </cell>
          <cell r="O2504">
            <v>41456</v>
          </cell>
          <cell r="R2504" t="str">
            <v/>
          </cell>
          <cell r="T2504" t="str">
            <v>60 - 00016R41456</v>
          </cell>
        </row>
        <row r="2505">
          <cell r="H2505">
            <v>7640723</v>
          </cell>
          <cell r="O2505">
            <v>41456</v>
          </cell>
          <cell r="R2505" t="str">
            <v/>
          </cell>
          <cell r="T2505" t="str">
            <v>60 - 00016R41456</v>
          </cell>
        </row>
        <row r="2506">
          <cell r="H2506">
            <v>-484</v>
          </cell>
          <cell r="O2506">
            <v>41456</v>
          </cell>
          <cell r="R2506" t="str">
            <v/>
          </cell>
          <cell r="T2506" t="str">
            <v>60 - 00016R41456</v>
          </cell>
        </row>
        <row r="2507">
          <cell r="H2507">
            <v>0</v>
          </cell>
          <cell r="O2507">
            <v>41456</v>
          </cell>
          <cell r="R2507" t="str">
            <v/>
          </cell>
          <cell r="T2507" t="str">
            <v>60 - 00016R41456</v>
          </cell>
        </row>
        <row r="2508">
          <cell r="H2508">
            <v>-2354000</v>
          </cell>
          <cell r="O2508">
            <v>41456</v>
          </cell>
          <cell r="R2508" t="str">
            <v/>
          </cell>
          <cell r="T2508" t="str">
            <v>60 - 00016U41456</v>
          </cell>
        </row>
        <row r="2509">
          <cell r="H2509">
            <v>0</v>
          </cell>
          <cell r="O2509">
            <v>41456</v>
          </cell>
          <cell r="R2509" t="str">
            <v/>
          </cell>
          <cell r="T2509" t="str">
            <v>60 - 00016R41456</v>
          </cell>
        </row>
        <row r="2510">
          <cell r="H2510">
            <v>0</v>
          </cell>
          <cell r="O2510">
            <v>41456</v>
          </cell>
          <cell r="R2510" t="str">
            <v/>
          </cell>
          <cell r="T2510" t="str">
            <v>60 - 00016R41456</v>
          </cell>
        </row>
        <row r="2511">
          <cell r="H2511">
            <v>0</v>
          </cell>
          <cell r="O2511">
            <v>41456</v>
          </cell>
          <cell r="R2511" t="str">
            <v/>
          </cell>
          <cell r="T2511" t="str">
            <v>60 - 00016R41456</v>
          </cell>
        </row>
        <row r="2512">
          <cell r="H2512">
            <v>119211</v>
          </cell>
          <cell r="O2512">
            <v>41456</v>
          </cell>
          <cell r="R2512" t="str">
            <v/>
          </cell>
          <cell r="T2512" t="str">
            <v>60 - 00016R41456</v>
          </cell>
        </row>
        <row r="2513">
          <cell r="H2513">
            <v>19759</v>
          </cell>
          <cell r="O2513">
            <v>41456</v>
          </cell>
          <cell r="R2513" t="str">
            <v/>
          </cell>
          <cell r="T2513" t="str">
            <v>60 - 00016R41456</v>
          </cell>
        </row>
        <row r="2514">
          <cell r="H2514">
            <v>56663</v>
          </cell>
          <cell r="O2514">
            <v>41456</v>
          </cell>
          <cell r="R2514" t="str">
            <v/>
          </cell>
          <cell r="T2514" t="str">
            <v>60 - 00016R41456</v>
          </cell>
        </row>
        <row r="2515">
          <cell r="H2515">
            <v>0</v>
          </cell>
          <cell r="O2515">
            <v>41456</v>
          </cell>
          <cell r="R2515" t="str">
            <v/>
          </cell>
          <cell r="T2515" t="str">
            <v>60 - 00016R41456</v>
          </cell>
        </row>
        <row r="2516">
          <cell r="H2516">
            <v>-13000</v>
          </cell>
          <cell r="O2516">
            <v>41456</v>
          </cell>
          <cell r="R2516" t="str">
            <v/>
          </cell>
          <cell r="T2516" t="str">
            <v>60 - 00016U41456</v>
          </cell>
        </row>
        <row r="2517">
          <cell r="H2517">
            <v>0</v>
          </cell>
          <cell r="O2517">
            <v>41456</v>
          </cell>
          <cell r="R2517" t="str">
            <v/>
          </cell>
          <cell r="T2517" t="str">
            <v>60 - 00011B41456</v>
          </cell>
        </row>
        <row r="2518">
          <cell r="H2518">
            <v>317052259</v>
          </cell>
          <cell r="O2518">
            <v>41456</v>
          </cell>
          <cell r="R2518" t="str">
            <v/>
          </cell>
          <cell r="T2518" t="str">
            <v>60 - 00011B41456</v>
          </cell>
        </row>
        <row r="2519">
          <cell r="H2519">
            <v>761599</v>
          </cell>
          <cell r="O2519">
            <v>41456</v>
          </cell>
          <cell r="R2519" t="str">
            <v/>
          </cell>
          <cell r="T2519" t="str">
            <v>60 - 00011B41456</v>
          </cell>
        </row>
        <row r="2520">
          <cell r="H2520">
            <v>906647</v>
          </cell>
          <cell r="O2520">
            <v>41456</v>
          </cell>
          <cell r="R2520" t="str">
            <v/>
          </cell>
          <cell r="T2520" t="str">
            <v>60 - 00011B41456</v>
          </cell>
        </row>
        <row r="2521">
          <cell r="H2521">
            <v>7635</v>
          </cell>
          <cell r="O2521">
            <v>41456</v>
          </cell>
          <cell r="R2521" t="str">
            <v/>
          </cell>
          <cell r="T2521" t="str">
            <v>60 - 00011B41456</v>
          </cell>
        </row>
        <row r="2522">
          <cell r="H2522">
            <v>208099</v>
          </cell>
          <cell r="O2522">
            <v>41456</v>
          </cell>
          <cell r="R2522" t="str">
            <v/>
          </cell>
          <cell r="T2522" t="str">
            <v>60 - 00011B41456</v>
          </cell>
        </row>
        <row r="2523">
          <cell r="H2523">
            <v>196759</v>
          </cell>
          <cell r="O2523">
            <v>41456</v>
          </cell>
          <cell r="R2523" t="str">
            <v/>
          </cell>
          <cell r="T2523" t="str">
            <v>60 - 00011B41456</v>
          </cell>
        </row>
        <row r="2524">
          <cell r="H2524">
            <v>2282895</v>
          </cell>
          <cell r="O2524">
            <v>41456</v>
          </cell>
          <cell r="R2524" t="str">
            <v/>
          </cell>
          <cell r="T2524" t="str">
            <v>60 - 00011B41456</v>
          </cell>
        </row>
        <row r="2525">
          <cell r="H2525">
            <v>0</v>
          </cell>
          <cell r="O2525">
            <v>41456</v>
          </cell>
          <cell r="R2525" t="str">
            <v/>
          </cell>
          <cell r="T2525" t="str">
            <v>60 - 00011B41456</v>
          </cell>
        </row>
        <row r="2526">
          <cell r="H2526">
            <v>0</v>
          </cell>
          <cell r="O2526">
            <v>41456</v>
          </cell>
          <cell r="R2526" t="str">
            <v/>
          </cell>
          <cell r="T2526" t="str">
            <v>60 - 00011R41456</v>
          </cell>
        </row>
        <row r="2527">
          <cell r="H2527">
            <v>0</v>
          </cell>
          <cell r="O2527">
            <v>41456</v>
          </cell>
          <cell r="R2527" t="str">
            <v/>
          </cell>
          <cell r="T2527" t="str">
            <v>60 - 00011R41456</v>
          </cell>
        </row>
        <row r="2528">
          <cell r="H2528">
            <v>0</v>
          </cell>
          <cell r="O2528">
            <v>41456</v>
          </cell>
          <cell r="R2528" t="str">
            <v/>
          </cell>
          <cell r="T2528" t="str">
            <v>60 - 00011R41456</v>
          </cell>
        </row>
        <row r="2529">
          <cell r="H2529">
            <v>0</v>
          </cell>
          <cell r="O2529">
            <v>41456</v>
          </cell>
          <cell r="R2529" t="str">
            <v/>
          </cell>
          <cell r="T2529" t="str">
            <v>60 - 00011R41456</v>
          </cell>
        </row>
        <row r="2530">
          <cell r="H2530">
            <v>0</v>
          </cell>
          <cell r="O2530">
            <v>41456</v>
          </cell>
          <cell r="R2530" t="str">
            <v/>
          </cell>
          <cell r="T2530" t="str">
            <v>60 - 00011R41456</v>
          </cell>
        </row>
        <row r="2531">
          <cell r="H2531">
            <v>0</v>
          </cell>
          <cell r="O2531">
            <v>41456</v>
          </cell>
          <cell r="R2531" t="str">
            <v/>
          </cell>
          <cell r="T2531" t="str">
            <v>60 - 00011R41456</v>
          </cell>
        </row>
        <row r="2532">
          <cell r="H2532">
            <v>0</v>
          </cell>
          <cell r="O2532">
            <v>41456</v>
          </cell>
          <cell r="R2532" t="str">
            <v/>
          </cell>
          <cell r="T2532" t="str">
            <v>60 - 00011R41456</v>
          </cell>
        </row>
        <row r="2533">
          <cell r="H2533">
            <v>0</v>
          </cell>
          <cell r="O2533">
            <v>41456</v>
          </cell>
          <cell r="R2533" t="str">
            <v/>
          </cell>
          <cell r="T2533" t="str">
            <v>60 - 00011R41456</v>
          </cell>
        </row>
        <row r="2534">
          <cell r="H2534">
            <v>0</v>
          </cell>
          <cell r="O2534">
            <v>41456</v>
          </cell>
          <cell r="R2534" t="str">
            <v/>
          </cell>
          <cell r="T2534" t="str">
            <v>60 - 00011R41456</v>
          </cell>
        </row>
        <row r="2535">
          <cell r="H2535">
            <v>0</v>
          </cell>
          <cell r="O2535">
            <v>41456</v>
          </cell>
          <cell r="R2535" t="str">
            <v/>
          </cell>
          <cell r="T2535" t="str">
            <v>60 - 00011R41456</v>
          </cell>
        </row>
        <row r="2536">
          <cell r="H2536">
            <v>0</v>
          </cell>
          <cell r="O2536">
            <v>41456</v>
          </cell>
          <cell r="R2536" t="str">
            <v/>
          </cell>
          <cell r="T2536" t="str">
            <v>60 - 00011R41456</v>
          </cell>
        </row>
        <row r="2537">
          <cell r="H2537">
            <v>0</v>
          </cell>
          <cell r="O2537">
            <v>41456</v>
          </cell>
          <cell r="R2537" t="str">
            <v/>
          </cell>
          <cell r="T2537" t="str">
            <v>60 - 00011R41456</v>
          </cell>
        </row>
        <row r="2538">
          <cell r="H2538">
            <v>369685592</v>
          </cell>
          <cell r="O2538">
            <v>41456</v>
          </cell>
          <cell r="R2538" t="str">
            <v/>
          </cell>
          <cell r="T2538" t="str">
            <v>60 - 00011R41456</v>
          </cell>
        </row>
        <row r="2539">
          <cell r="H2539">
            <v>2809320</v>
          </cell>
          <cell r="O2539">
            <v>41456</v>
          </cell>
          <cell r="R2539" t="str">
            <v/>
          </cell>
          <cell r="T2539" t="str">
            <v>60 - 00011R41456</v>
          </cell>
        </row>
        <row r="2540">
          <cell r="H2540">
            <v>18459112</v>
          </cell>
          <cell r="O2540">
            <v>41456</v>
          </cell>
          <cell r="R2540" t="str">
            <v/>
          </cell>
          <cell r="T2540" t="str">
            <v>60 - 00011R41456</v>
          </cell>
        </row>
        <row r="2541">
          <cell r="H2541">
            <v>0</v>
          </cell>
          <cell r="O2541">
            <v>41456</v>
          </cell>
          <cell r="R2541" t="str">
            <v/>
          </cell>
          <cell r="T2541" t="str">
            <v>60 - 00011R41456</v>
          </cell>
        </row>
        <row r="2542">
          <cell r="H2542">
            <v>1263959</v>
          </cell>
          <cell r="O2542">
            <v>41456</v>
          </cell>
          <cell r="R2542" t="str">
            <v/>
          </cell>
          <cell r="T2542" t="str">
            <v>60 - 00011R41456</v>
          </cell>
        </row>
        <row r="2543">
          <cell r="H2543">
            <v>0</v>
          </cell>
          <cell r="O2543">
            <v>41456</v>
          </cell>
          <cell r="R2543" t="str">
            <v/>
          </cell>
          <cell r="T2543" t="str">
            <v>60 - 00011R41456</v>
          </cell>
        </row>
        <row r="2544">
          <cell r="H2544">
            <v>0</v>
          </cell>
          <cell r="O2544">
            <v>41456</v>
          </cell>
          <cell r="R2544" t="str">
            <v/>
          </cell>
          <cell r="T2544" t="str">
            <v>60 - 00011R41456</v>
          </cell>
        </row>
        <row r="2545">
          <cell r="H2545">
            <v>0</v>
          </cell>
          <cell r="O2545">
            <v>41456</v>
          </cell>
          <cell r="R2545" t="str">
            <v/>
          </cell>
          <cell r="T2545" t="str">
            <v>60 - 00011R41456</v>
          </cell>
        </row>
        <row r="2546">
          <cell r="H2546">
            <v>196760</v>
          </cell>
          <cell r="O2546">
            <v>41456</v>
          </cell>
          <cell r="R2546" t="str">
            <v/>
          </cell>
          <cell r="T2546" t="str">
            <v>60 - 00011R41456</v>
          </cell>
        </row>
        <row r="2547">
          <cell r="H2547">
            <v>0</v>
          </cell>
          <cell r="O2547">
            <v>41456</v>
          </cell>
          <cell r="R2547" t="str">
            <v/>
          </cell>
          <cell r="T2547" t="str">
            <v>60 - 00011R41456</v>
          </cell>
        </row>
        <row r="2548">
          <cell r="H2548">
            <v>2267150</v>
          </cell>
          <cell r="O2548">
            <v>41456</v>
          </cell>
          <cell r="R2548" t="str">
            <v/>
          </cell>
          <cell r="T2548" t="str">
            <v>60 - 00011R41456</v>
          </cell>
        </row>
        <row r="2549">
          <cell r="H2549">
            <v>13753</v>
          </cell>
          <cell r="O2549">
            <v>41456</v>
          </cell>
          <cell r="R2549" t="str">
            <v/>
          </cell>
          <cell r="T2549" t="str">
            <v>60 - 00011R41456</v>
          </cell>
        </row>
        <row r="2550">
          <cell r="H2550">
            <v>2204</v>
          </cell>
          <cell r="O2550">
            <v>41456</v>
          </cell>
          <cell r="R2550" t="str">
            <v/>
          </cell>
          <cell r="T2550" t="str">
            <v>60 - 00011R41456</v>
          </cell>
        </row>
        <row r="2551">
          <cell r="H2551">
            <v>0</v>
          </cell>
          <cell r="O2551">
            <v>41456</v>
          </cell>
          <cell r="R2551" t="str">
            <v/>
          </cell>
          <cell r="T2551" t="str">
            <v>60 - 00011R41456</v>
          </cell>
        </row>
        <row r="2552">
          <cell r="H2552">
            <v>54105000</v>
          </cell>
          <cell r="O2552">
            <v>41456</v>
          </cell>
          <cell r="R2552" t="str">
            <v/>
          </cell>
          <cell r="T2552" t="str">
            <v>60 - 00011U41456</v>
          </cell>
        </row>
        <row r="2553">
          <cell r="H2553">
            <v>0</v>
          </cell>
          <cell r="O2553">
            <v>41456</v>
          </cell>
          <cell r="R2553" t="str">
            <v/>
          </cell>
          <cell r="T2553" t="str">
            <v>60 - 00011U41456</v>
          </cell>
        </row>
        <row r="2554">
          <cell r="H2554">
            <v>0</v>
          </cell>
          <cell r="O2554">
            <v>41456</v>
          </cell>
          <cell r="R2554" t="str">
            <v/>
          </cell>
          <cell r="T2554" t="str">
            <v>60 - 00011B41456</v>
          </cell>
        </row>
        <row r="2555">
          <cell r="H2555">
            <v>5585278</v>
          </cell>
          <cell r="O2555">
            <v>41456</v>
          </cell>
          <cell r="R2555" t="str">
            <v/>
          </cell>
          <cell r="T2555" t="str">
            <v>60 - 00011B41456</v>
          </cell>
        </row>
        <row r="2556">
          <cell r="H2556">
            <v>30591</v>
          </cell>
          <cell r="O2556">
            <v>41456</v>
          </cell>
          <cell r="R2556" t="str">
            <v/>
          </cell>
          <cell r="T2556" t="str">
            <v>60 - 00011B41456</v>
          </cell>
        </row>
        <row r="2557">
          <cell r="H2557">
            <v>10398047</v>
          </cell>
          <cell r="O2557">
            <v>41456</v>
          </cell>
          <cell r="R2557" t="str">
            <v/>
          </cell>
          <cell r="T2557" t="str">
            <v>60 - 00011B41456</v>
          </cell>
        </row>
        <row r="2558">
          <cell r="H2558">
            <v>4281795</v>
          </cell>
          <cell r="O2558">
            <v>41456</v>
          </cell>
          <cell r="R2558" t="str">
            <v/>
          </cell>
          <cell r="T2558" t="str">
            <v>60 - 00011B41456</v>
          </cell>
        </row>
        <row r="2559">
          <cell r="H2559">
            <v>236400</v>
          </cell>
          <cell r="O2559">
            <v>41456</v>
          </cell>
          <cell r="R2559" t="str">
            <v/>
          </cell>
          <cell r="T2559" t="str">
            <v>60 - 00011B41456</v>
          </cell>
        </row>
        <row r="2560">
          <cell r="H2560">
            <v>4802</v>
          </cell>
          <cell r="O2560">
            <v>41456</v>
          </cell>
          <cell r="R2560" t="str">
            <v/>
          </cell>
          <cell r="T2560" t="str">
            <v>60 - 00011B41456</v>
          </cell>
        </row>
        <row r="2561">
          <cell r="H2561">
            <v>22451</v>
          </cell>
          <cell r="O2561">
            <v>41456</v>
          </cell>
          <cell r="R2561" t="str">
            <v/>
          </cell>
          <cell r="T2561" t="str">
            <v>60 - 00011B41456</v>
          </cell>
        </row>
        <row r="2562">
          <cell r="H2562">
            <v>63722</v>
          </cell>
          <cell r="O2562">
            <v>41456</v>
          </cell>
          <cell r="R2562" t="str">
            <v/>
          </cell>
          <cell r="T2562" t="str">
            <v>60 - 00011B41456</v>
          </cell>
        </row>
        <row r="2563">
          <cell r="H2563">
            <v>129967</v>
          </cell>
          <cell r="O2563">
            <v>41456</v>
          </cell>
          <cell r="R2563" t="str">
            <v/>
          </cell>
          <cell r="T2563" t="str">
            <v>60 - 00011B41456</v>
          </cell>
        </row>
        <row r="2564">
          <cell r="H2564">
            <v>29828</v>
          </cell>
          <cell r="O2564">
            <v>41456</v>
          </cell>
          <cell r="R2564" t="str">
            <v/>
          </cell>
          <cell r="T2564" t="str">
            <v>60 - 00011B41456</v>
          </cell>
        </row>
        <row r="2565">
          <cell r="H2565">
            <v>0</v>
          </cell>
          <cell r="O2565">
            <v>41456</v>
          </cell>
          <cell r="R2565" t="str">
            <v/>
          </cell>
          <cell r="T2565" t="str">
            <v>60 - 00011B41456</v>
          </cell>
        </row>
        <row r="2566">
          <cell r="H2566">
            <v>0</v>
          </cell>
          <cell r="O2566">
            <v>41456</v>
          </cell>
          <cell r="R2566" t="str">
            <v/>
          </cell>
          <cell r="T2566" t="str">
            <v>60 - 00011R41456</v>
          </cell>
        </row>
        <row r="2567">
          <cell r="H2567">
            <v>0</v>
          </cell>
          <cell r="O2567">
            <v>41456</v>
          </cell>
          <cell r="R2567" t="str">
            <v/>
          </cell>
          <cell r="T2567" t="str">
            <v>60 - 00011R41456</v>
          </cell>
        </row>
        <row r="2568">
          <cell r="H2568">
            <v>0</v>
          </cell>
          <cell r="O2568">
            <v>41456</v>
          </cell>
          <cell r="R2568" t="str">
            <v/>
          </cell>
          <cell r="T2568" t="str">
            <v>60 - 00011R41456</v>
          </cell>
        </row>
        <row r="2569">
          <cell r="H2569">
            <v>0</v>
          </cell>
          <cell r="O2569">
            <v>41456</v>
          </cell>
          <cell r="R2569" t="str">
            <v/>
          </cell>
          <cell r="T2569" t="str">
            <v>60 - 00011R41456</v>
          </cell>
        </row>
        <row r="2570">
          <cell r="H2570">
            <v>0</v>
          </cell>
          <cell r="O2570">
            <v>41456</v>
          </cell>
          <cell r="R2570" t="str">
            <v/>
          </cell>
          <cell r="T2570" t="str">
            <v>60 - 00011R41456</v>
          </cell>
        </row>
        <row r="2571">
          <cell r="H2571">
            <v>0</v>
          </cell>
          <cell r="O2571">
            <v>41456</v>
          </cell>
          <cell r="R2571" t="str">
            <v/>
          </cell>
          <cell r="T2571" t="str">
            <v>60 - 00011R41456</v>
          </cell>
        </row>
        <row r="2572">
          <cell r="H2572">
            <v>5521200</v>
          </cell>
          <cell r="O2572">
            <v>41456</v>
          </cell>
          <cell r="R2572" t="str">
            <v/>
          </cell>
          <cell r="T2572" t="str">
            <v>60 - 00011R41456</v>
          </cell>
        </row>
        <row r="2573">
          <cell r="H2573">
            <v>0</v>
          </cell>
          <cell r="O2573">
            <v>41456</v>
          </cell>
          <cell r="R2573" t="str">
            <v/>
          </cell>
          <cell r="T2573" t="str">
            <v>60 - 00011R41456</v>
          </cell>
        </row>
        <row r="2574">
          <cell r="H2574">
            <v>0</v>
          </cell>
          <cell r="O2574">
            <v>41456</v>
          </cell>
          <cell r="R2574" t="str">
            <v/>
          </cell>
          <cell r="T2574" t="str">
            <v>60 - 00011R41456</v>
          </cell>
        </row>
        <row r="2575">
          <cell r="H2575">
            <v>0</v>
          </cell>
          <cell r="O2575">
            <v>41456</v>
          </cell>
          <cell r="R2575" t="str">
            <v/>
          </cell>
          <cell r="T2575" t="str">
            <v>60 - 00011R41456</v>
          </cell>
        </row>
        <row r="2576">
          <cell r="H2576">
            <v>0</v>
          </cell>
          <cell r="O2576">
            <v>41456</v>
          </cell>
          <cell r="R2576" t="str">
            <v/>
          </cell>
          <cell r="T2576" t="str">
            <v>60 - 00011R41456</v>
          </cell>
        </row>
        <row r="2577">
          <cell r="H2577">
            <v>0</v>
          </cell>
          <cell r="O2577">
            <v>41456</v>
          </cell>
          <cell r="R2577" t="str">
            <v/>
          </cell>
          <cell r="T2577" t="str">
            <v>60 - 00011R41456</v>
          </cell>
        </row>
        <row r="2578">
          <cell r="H2578">
            <v>4139050</v>
          </cell>
          <cell r="O2578">
            <v>41456</v>
          </cell>
          <cell r="R2578" t="str">
            <v/>
          </cell>
          <cell r="T2578" t="str">
            <v>60 - 00011R41456</v>
          </cell>
        </row>
        <row r="2579">
          <cell r="H2579">
            <v>469818</v>
          </cell>
          <cell r="O2579">
            <v>41456</v>
          </cell>
          <cell r="R2579" t="str">
            <v/>
          </cell>
          <cell r="T2579" t="str">
            <v>60 - 00011R41456</v>
          </cell>
        </row>
        <row r="2580">
          <cell r="H2580">
            <v>135661</v>
          </cell>
          <cell r="O2580">
            <v>41456</v>
          </cell>
          <cell r="R2580" t="str">
            <v/>
          </cell>
          <cell r="T2580" t="str">
            <v>60 - 00011R41456</v>
          </cell>
        </row>
        <row r="2581">
          <cell r="H2581">
            <v>0</v>
          </cell>
          <cell r="O2581">
            <v>41456</v>
          </cell>
          <cell r="R2581" t="str">
            <v/>
          </cell>
          <cell r="T2581" t="str">
            <v>60 - 00011R41456</v>
          </cell>
        </row>
        <row r="2582">
          <cell r="H2582">
            <v>90500236</v>
          </cell>
          <cell r="O2582">
            <v>41456</v>
          </cell>
          <cell r="R2582" t="str">
            <v/>
          </cell>
          <cell r="T2582" t="str">
            <v>60 - 00011R41456</v>
          </cell>
        </row>
        <row r="2583">
          <cell r="H2583">
            <v>0</v>
          </cell>
          <cell r="O2583">
            <v>41456</v>
          </cell>
          <cell r="R2583" t="str">
            <v/>
          </cell>
          <cell r="T2583" t="str">
            <v>60 - 00011R41456</v>
          </cell>
        </row>
        <row r="2584">
          <cell r="H2584">
            <v>0</v>
          </cell>
          <cell r="O2584">
            <v>41456</v>
          </cell>
          <cell r="R2584" t="str">
            <v/>
          </cell>
          <cell r="T2584" t="str">
            <v>60 - 00011R41456</v>
          </cell>
        </row>
        <row r="2585">
          <cell r="H2585">
            <v>82090533</v>
          </cell>
          <cell r="O2585">
            <v>41456</v>
          </cell>
          <cell r="R2585" t="str">
            <v/>
          </cell>
          <cell r="T2585" t="str">
            <v>60 - 00011R41456</v>
          </cell>
        </row>
        <row r="2586">
          <cell r="H2586">
            <v>161401710</v>
          </cell>
          <cell r="O2586">
            <v>41456</v>
          </cell>
          <cell r="R2586" t="str">
            <v/>
          </cell>
          <cell r="T2586" t="str">
            <v>60 - 00011R41456</v>
          </cell>
        </row>
        <row r="2587">
          <cell r="H2587">
            <v>0</v>
          </cell>
          <cell r="O2587">
            <v>41456</v>
          </cell>
          <cell r="R2587" t="str">
            <v/>
          </cell>
          <cell r="T2587" t="str">
            <v>60 - 00011R41456</v>
          </cell>
        </row>
        <row r="2588">
          <cell r="H2588">
            <v>0</v>
          </cell>
          <cell r="O2588">
            <v>41456</v>
          </cell>
          <cell r="R2588" t="str">
            <v/>
          </cell>
          <cell r="T2588" t="str">
            <v>60 - 00011R41456</v>
          </cell>
        </row>
        <row r="2589">
          <cell r="H2589">
            <v>0</v>
          </cell>
          <cell r="O2589">
            <v>41456</v>
          </cell>
          <cell r="R2589" t="str">
            <v/>
          </cell>
          <cell r="T2589" t="str">
            <v>60 - 00011R41456</v>
          </cell>
        </row>
        <row r="2590">
          <cell r="H2590">
            <v>0</v>
          </cell>
          <cell r="O2590">
            <v>41456</v>
          </cell>
          <cell r="R2590" t="str">
            <v/>
          </cell>
          <cell r="T2590" t="str">
            <v>60 - 00011R41456</v>
          </cell>
        </row>
        <row r="2591">
          <cell r="H2591">
            <v>219282</v>
          </cell>
          <cell r="O2591">
            <v>41456</v>
          </cell>
          <cell r="R2591" t="str">
            <v/>
          </cell>
          <cell r="T2591" t="str">
            <v>60 - 00011R41456</v>
          </cell>
        </row>
        <row r="2592">
          <cell r="H2592">
            <v>271276</v>
          </cell>
          <cell r="O2592">
            <v>41456</v>
          </cell>
          <cell r="R2592" t="str">
            <v/>
          </cell>
          <cell r="T2592" t="str">
            <v>60 - 00011R41456</v>
          </cell>
        </row>
        <row r="2593">
          <cell r="H2593">
            <v>31077</v>
          </cell>
          <cell r="O2593">
            <v>41456</v>
          </cell>
          <cell r="R2593" t="str">
            <v/>
          </cell>
          <cell r="T2593" t="str">
            <v>60 - 00011R41456</v>
          </cell>
        </row>
        <row r="2594">
          <cell r="H2594">
            <v>681824</v>
          </cell>
          <cell r="O2594">
            <v>41456</v>
          </cell>
          <cell r="R2594" t="str">
            <v/>
          </cell>
          <cell r="T2594" t="str">
            <v>60 - 00011R41456</v>
          </cell>
        </row>
        <row r="2595">
          <cell r="H2595">
            <v>464933</v>
          </cell>
          <cell r="O2595">
            <v>41456</v>
          </cell>
          <cell r="R2595" t="str">
            <v/>
          </cell>
          <cell r="T2595" t="str">
            <v>60 - 00011R41456</v>
          </cell>
        </row>
        <row r="2596">
          <cell r="H2596">
            <v>208492</v>
          </cell>
          <cell r="O2596">
            <v>41456</v>
          </cell>
          <cell r="R2596" t="str">
            <v/>
          </cell>
          <cell r="T2596" t="str">
            <v>60 - 00011R41456</v>
          </cell>
        </row>
        <row r="2597">
          <cell r="H2597">
            <v>0</v>
          </cell>
          <cell r="O2597">
            <v>41456</v>
          </cell>
          <cell r="R2597" t="str">
            <v/>
          </cell>
          <cell r="T2597" t="str">
            <v>60 - 00011R41456</v>
          </cell>
        </row>
        <row r="2598">
          <cell r="H2598">
            <v>19703</v>
          </cell>
          <cell r="O2598">
            <v>41456</v>
          </cell>
          <cell r="R2598" t="str">
            <v/>
          </cell>
          <cell r="T2598" t="str">
            <v>60 - 00011R41456</v>
          </cell>
        </row>
        <row r="2599">
          <cell r="H2599">
            <v>28954</v>
          </cell>
          <cell r="O2599">
            <v>41456</v>
          </cell>
          <cell r="R2599" t="str">
            <v/>
          </cell>
          <cell r="T2599" t="str">
            <v>60 - 00011R41456</v>
          </cell>
        </row>
        <row r="2600">
          <cell r="H2600">
            <v>201169</v>
          </cell>
          <cell r="O2600">
            <v>41456</v>
          </cell>
          <cell r="R2600" t="str">
            <v/>
          </cell>
          <cell r="T2600" t="str">
            <v>60 - 00011R41456</v>
          </cell>
        </row>
        <row r="2601">
          <cell r="H2601">
            <v>1249301</v>
          </cell>
          <cell r="O2601">
            <v>41456</v>
          </cell>
          <cell r="R2601" t="str">
            <v/>
          </cell>
          <cell r="T2601" t="str">
            <v>60 - 00011R41456</v>
          </cell>
        </row>
        <row r="2602">
          <cell r="H2602">
            <v>370809</v>
          </cell>
          <cell r="O2602">
            <v>41456</v>
          </cell>
          <cell r="R2602" t="str">
            <v/>
          </cell>
          <cell r="T2602" t="str">
            <v>60 - 00011R41456</v>
          </cell>
        </row>
        <row r="2603">
          <cell r="H2603">
            <v>9400</v>
          </cell>
          <cell r="O2603">
            <v>41456</v>
          </cell>
          <cell r="R2603" t="str">
            <v/>
          </cell>
          <cell r="T2603" t="str">
            <v>60 - 00011R41456</v>
          </cell>
        </row>
        <row r="2604">
          <cell r="H2604">
            <v>0</v>
          </cell>
          <cell r="O2604">
            <v>41456</v>
          </cell>
          <cell r="R2604" t="str">
            <v/>
          </cell>
          <cell r="T2604" t="str">
            <v>60 - 00011R41456</v>
          </cell>
        </row>
        <row r="2605">
          <cell r="H2605">
            <v>90716257</v>
          </cell>
          <cell r="O2605">
            <v>41456</v>
          </cell>
          <cell r="R2605" t="str">
            <v/>
          </cell>
          <cell r="T2605" t="str">
            <v>60 - 00011R41456</v>
          </cell>
        </row>
        <row r="2606">
          <cell r="H2606">
            <v>5516189</v>
          </cell>
          <cell r="O2606">
            <v>41456</v>
          </cell>
          <cell r="R2606" t="str">
            <v/>
          </cell>
          <cell r="T2606" t="str">
            <v>60 - 00011R41456</v>
          </cell>
        </row>
        <row r="2607">
          <cell r="H2607">
            <v>0</v>
          </cell>
          <cell r="O2607">
            <v>41456</v>
          </cell>
          <cell r="R2607" t="str">
            <v/>
          </cell>
          <cell r="T2607" t="str">
            <v>60 - 00011R41456</v>
          </cell>
        </row>
        <row r="2608">
          <cell r="H2608">
            <v>0</v>
          </cell>
          <cell r="O2608">
            <v>41456</v>
          </cell>
          <cell r="R2608" t="str">
            <v/>
          </cell>
          <cell r="T2608" t="str">
            <v>60 - 00011R41456</v>
          </cell>
        </row>
        <row r="2609">
          <cell r="H2609">
            <v>0</v>
          </cell>
          <cell r="O2609">
            <v>41456</v>
          </cell>
          <cell r="R2609" t="str">
            <v/>
          </cell>
          <cell r="T2609" t="str">
            <v>60 - 00011R41456</v>
          </cell>
        </row>
        <row r="2610">
          <cell r="H2610">
            <v>0</v>
          </cell>
          <cell r="O2610">
            <v>41456</v>
          </cell>
          <cell r="R2610" t="str">
            <v/>
          </cell>
          <cell r="T2610" t="str">
            <v>60 - 00011R41456</v>
          </cell>
        </row>
        <row r="2611">
          <cell r="H2611">
            <v>848926</v>
          </cell>
          <cell r="O2611">
            <v>41456</v>
          </cell>
          <cell r="R2611" t="str">
            <v/>
          </cell>
          <cell r="T2611" t="str">
            <v>60 - 00011R41456</v>
          </cell>
        </row>
        <row r="2612">
          <cell r="H2612">
            <v>9977580</v>
          </cell>
          <cell r="O2612">
            <v>41456</v>
          </cell>
          <cell r="R2612" t="str">
            <v/>
          </cell>
          <cell r="T2612" t="str">
            <v>60 - 00011R41456</v>
          </cell>
        </row>
        <row r="2613">
          <cell r="H2613">
            <v>745280</v>
          </cell>
          <cell r="O2613">
            <v>41456</v>
          </cell>
          <cell r="R2613" t="str">
            <v/>
          </cell>
          <cell r="T2613" t="str">
            <v>60 - 00011R41456</v>
          </cell>
        </row>
        <row r="2614">
          <cell r="H2614">
            <v>0</v>
          </cell>
          <cell r="O2614">
            <v>41456</v>
          </cell>
          <cell r="R2614" t="str">
            <v/>
          </cell>
          <cell r="T2614" t="str">
            <v>60 - 00011R41456</v>
          </cell>
        </row>
        <row r="2615">
          <cell r="H2615">
            <v>0</v>
          </cell>
          <cell r="O2615">
            <v>41456</v>
          </cell>
          <cell r="R2615" t="str">
            <v/>
          </cell>
          <cell r="T2615" t="str">
            <v>60 - 00011R41456</v>
          </cell>
        </row>
        <row r="2616">
          <cell r="H2616">
            <v>39610</v>
          </cell>
          <cell r="O2616">
            <v>41456</v>
          </cell>
          <cell r="R2616" t="str">
            <v/>
          </cell>
          <cell r="T2616" t="str">
            <v>60 - 00011R41456</v>
          </cell>
        </row>
        <row r="2617">
          <cell r="H2617">
            <v>0</v>
          </cell>
          <cell r="O2617">
            <v>41456</v>
          </cell>
          <cell r="R2617" t="str">
            <v/>
          </cell>
          <cell r="T2617" t="str">
            <v>60 - 00011R41456</v>
          </cell>
        </row>
        <row r="2618">
          <cell r="H2618">
            <v>0</v>
          </cell>
          <cell r="O2618">
            <v>41456</v>
          </cell>
          <cell r="R2618" t="str">
            <v/>
          </cell>
          <cell r="T2618" t="str">
            <v>60 - 00011R41456</v>
          </cell>
        </row>
        <row r="2619">
          <cell r="H2619">
            <v>0</v>
          </cell>
          <cell r="O2619">
            <v>41456</v>
          </cell>
          <cell r="R2619" t="str">
            <v/>
          </cell>
          <cell r="T2619" t="str">
            <v>60 - 00011R41456</v>
          </cell>
        </row>
        <row r="2620">
          <cell r="H2620">
            <v>0</v>
          </cell>
          <cell r="O2620">
            <v>41456</v>
          </cell>
          <cell r="R2620" t="str">
            <v/>
          </cell>
          <cell r="T2620" t="str">
            <v>60 - 00011R41456</v>
          </cell>
        </row>
        <row r="2621">
          <cell r="H2621">
            <v>0</v>
          </cell>
          <cell r="O2621">
            <v>41456</v>
          </cell>
          <cell r="R2621" t="str">
            <v/>
          </cell>
          <cell r="T2621" t="str">
            <v>60 - 00011R41456</v>
          </cell>
        </row>
        <row r="2622">
          <cell r="H2622">
            <v>0</v>
          </cell>
          <cell r="O2622">
            <v>41456</v>
          </cell>
          <cell r="R2622" t="str">
            <v/>
          </cell>
          <cell r="T2622" t="str">
            <v>60 - 00011R41456</v>
          </cell>
        </row>
        <row r="2623">
          <cell r="H2623">
            <v>129967</v>
          </cell>
          <cell r="O2623">
            <v>41456</v>
          </cell>
          <cell r="R2623" t="str">
            <v/>
          </cell>
          <cell r="T2623" t="str">
            <v>60 - 00011R41456</v>
          </cell>
        </row>
        <row r="2624">
          <cell r="H2624">
            <v>0</v>
          </cell>
          <cell r="O2624">
            <v>41456</v>
          </cell>
          <cell r="R2624" t="str">
            <v/>
          </cell>
          <cell r="T2624" t="str">
            <v>60 - 00011R41456</v>
          </cell>
        </row>
        <row r="2625">
          <cell r="H2625">
            <v>0</v>
          </cell>
          <cell r="O2625">
            <v>41456</v>
          </cell>
          <cell r="R2625" t="str">
            <v/>
          </cell>
          <cell r="T2625" t="str">
            <v>60 - 00011R41456</v>
          </cell>
        </row>
        <row r="2626">
          <cell r="H2626">
            <v>36174000</v>
          </cell>
          <cell r="O2626">
            <v>41456</v>
          </cell>
          <cell r="R2626" t="str">
            <v/>
          </cell>
          <cell r="T2626" t="str">
            <v>60 - 00011U41456</v>
          </cell>
        </row>
        <row r="2627">
          <cell r="H2627">
            <v>0</v>
          </cell>
          <cell r="O2627">
            <v>41456</v>
          </cell>
          <cell r="R2627" t="str">
            <v/>
          </cell>
          <cell r="T2627" t="str">
            <v>60 - 00011B41456</v>
          </cell>
        </row>
        <row r="2628">
          <cell r="H2628">
            <v>27941</v>
          </cell>
          <cell r="O2628">
            <v>41456</v>
          </cell>
          <cell r="R2628" t="str">
            <v/>
          </cell>
          <cell r="T2628" t="str">
            <v>60 - 00011B41456</v>
          </cell>
        </row>
        <row r="2629">
          <cell r="H2629">
            <v>71406</v>
          </cell>
          <cell r="O2629">
            <v>41456</v>
          </cell>
          <cell r="R2629" t="str">
            <v/>
          </cell>
          <cell r="T2629" t="str">
            <v>60 - 00011B41456</v>
          </cell>
        </row>
        <row r="2630">
          <cell r="H2630">
            <v>380</v>
          </cell>
          <cell r="O2630">
            <v>41456</v>
          </cell>
          <cell r="R2630" t="str">
            <v/>
          </cell>
          <cell r="T2630" t="str">
            <v>60 - 00011B41456</v>
          </cell>
        </row>
        <row r="2631">
          <cell r="H2631">
            <v>0</v>
          </cell>
          <cell r="O2631">
            <v>41456</v>
          </cell>
          <cell r="R2631" t="str">
            <v/>
          </cell>
          <cell r="T2631" t="str">
            <v>60 - 00011B41456</v>
          </cell>
        </row>
        <row r="2632">
          <cell r="H2632">
            <v>0</v>
          </cell>
          <cell r="O2632">
            <v>41456</v>
          </cell>
          <cell r="R2632" t="str">
            <v/>
          </cell>
          <cell r="T2632" t="str">
            <v>60 - 00011R41456</v>
          </cell>
        </row>
        <row r="2633">
          <cell r="H2633">
            <v>0</v>
          </cell>
          <cell r="O2633">
            <v>41456</v>
          </cell>
          <cell r="R2633" t="str">
            <v/>
          </cell>
          <cell r="T2633" t="str">
            <v>60 - 00011R41456</v>
          </cell>
        </row>
        <row r="2634">
          <cell r="H2634">
            <v>0</v>
          </cell>
          <cell r="O2634">
            <v>41456</v>
          </cell>
          <cell r="R2634" t="str">
            <v/>
          </cell>
          <cell r="T2634" t="str">
            <v>60 - 00011R41456</v>
          </cell>
        </row>
        <row r="2635">
          <cell r="H2635">
            <v>0</v>
          </cell>
          <cell r="O2635">
            <v>41456</v>
          </cell>
          <cell r="R2635" t="str">
            <v/>
          </cell>
          <cell r="T2635" t="str">
            <v>60 - 00011R41456</v>
          </cell>
        </row>
        <row r="2636">
          <cell r="H2636">
            <v>0</v>
          </cell>
          <cell r="O2636">
            <v>41456</v>
          </cell>
          <cell r="R2636" t="str">
            <v/>
          </cell>
          <cell r="T2636" t="str">
            <v>60 - 00011R41456</v>
          </cell>
        </row>
        <row r="2637">
          <cell r="H2637">
            <v>0</v>
          </cell>
          <cell r="O2637">
            <v>41456</v>
          </cell>
          <cell r="R2637" t="str">
            <v/>
          </cell>
          <cell r="T2637" t="str">
            <v>60 - 00011R41456</v>
          </cell>
        </row>
        <row r="2638">
          <cell r="H2638">
            <v>6354800</v>
          </cell>
          <cell r="O2638">
            <v>41456</v>
          </cell>
          <cell r="R2638" t="str">
            <v/>
          </cell>
          <cell r="T2638" t="str">
            <v>60 - 00011R41456</v>
          </cell>
        </row>
        <row r="2639">
          <cell r="H2639">
            <v>0</v>
          </cell>
          <cell r="O2639">
            <v>41456</v>
          </cell>
          <cell r="R2639" t="str">
            <v/>
          </cell>
          <cell r="T2639" t="str">
            <v>60 - 00011R41456</v>
          </cell>
        </row>
        <row r="2640">
          <cell r="H2640">
            <v>1304000</v>
          </cell>
          <cell r="O2640">
            <v>41456</v>
          </cell>
          <cell r="R2640" t="str">
            <v/>
          </cell>
          <cell r="T2640" t="str">
            <v>60 - 00011R41456</v>
          </cell>
        </row>
        <row r="2641">
          <cell r="H2641">
            <v>25890</v>
          </cell>
          <cell r="O2641">
            <v>41456</v>
          </cell>
          <cell r="R2641" t="str">
            <v/>
          </cell>
          <cell r="T2641" t="str">
            <v>60 - 00011R41456</v>
          </cell>
        </row>
        <row r="2642">
          <cell r="H2642">
            <v>0</v>
          </cell>
          <cell r="O2642">
            <v>41456</v>
          </cell>
          <cell r="R2642" t="str">
            <v/>
          </cell>
          <cell r="T2642" t="str">
            <v>60 - 00011R41456</v>
          </cell>
        </row>
        <row r="2643">
          <cell r="H2643">
            <v>141129541</v>
          </cell>
          <cell r="O2643">
            <v>41456</v>
          </cell>
          <cell r="R2643" t="str">
            <v/>
          </cell>
          <cell r="T2643" t="str">
            <v>60 - 00011R41456</v>
          </cell>
        </row>
        <row r="2644">
          <cell r="H2644">
            <v>0</v>
          </cell>
          <cell r="O2644">
            <v>41456</v>
          </cell>
          <cell r="R2644" t="str">
            <v/>
          </cell>
          <cell r="T2644" t="str">
            <v>60 - 00011R41456</v>
          </cell>
        </row>
        <row r="2645">
          <cell r="H2645">
            <v>1579365</v>
          </cell>
          <cell r="O2645">
            <v>41456</v>
          </cell>
          <cell r="R2645" t="str">
            <v/>
          </cell>
          <cell r="T2645" t="str">
            <v>60 - 00011R41456</v>
          </cell>
        </row>
        <row r="2646">
          <cell r="H2646">
            <v>7465331</v>
          </cell>
          <cell r="O2646">
            <v>41456</v>
          </cell>
          <cell r="R2646" t="str">
            <v/>
          </cell>
          <cell r="T2646" t="str">
            <v>60 - 00011R41456</v>
          </cell>
        </row>
        <row r="2647">
          <cell r="H2647">
            <v>0</v>
          </cell>
          <cell r="O2647">
            <v>41456</v>
          </cell>
          <cell r="R2647" t="str">
            <v/>
          </cell>
          <cell r="T2647" t="str">
            <v>60 - 00011R41456</v>
          </cell>
        </row>
        <row r="2648">
          <cell r="H2648">
            <v>0</v>
          </cell>
          <cell r="O2648">
            <v>41456</v>
          </cell>
          <cell r="R2648" t="str">
            <v/>
          </cell>
          <cell r="T2648" t="str">
            <v>60 - 00011R41456</v>
          </cell>
        </row>
        <row r="2649">
          <cell r="H2649">
            <v>0</v>
          </cell>
          <cell r="O2649">
            <v>41456</v>
          </cell>
          <cell r="R2649" t="str">
            <v/>
          </cell>
          <cell r="T2649" t="str">
            <v>60 - 00011R41456</v>
          </cell>
        </row>
        <row r="2650">
          <cell r="H2650">
            <v>0</v>
          </cell>
          <cell r="O2650">
            <v>41456</v>
          </cell>
          <cell r="R2650" t="str">
            <v/>
          </cell>
          <cell r="T2650" t="str">
            <v>60 - 00011R41456</v>
          </cell>
        </row>
        <row r="2651">
          <cell r="H2651">
            <v>1608</v>
          </cell>
          <cell r="O2651">
            <v>41456</v>
          </cell>
          <cell r="R2651" t="str">
            <v/>
          </cell>
          <cell r="T2651" t="str">
            <v>60 - 00011R41456</v>
          </cell>
        </row>
        <row r="2652">
          <cell r="H2652">
            <v>8262</v>
          </cell>
          <cell r="O2652">
            <v>41456</v>
          </cell>
          <cell r="R2652" t="str">
            <v/>
          </cell>
          <cell r="T2652" t="str">
            <v>60 - 00011R41456</v>
          </cell>
        </row>
        <row r="2653">
          <cell r="H2653">
            <v>197</v>
          </cell>
          <cell r="O2653">
            <v>41456</v>
          </cell>
          <cell r="R2653" t="str">
            <v/>
          </cell>
          <cell r="T2653" t="str">
            <v>60 - 00011R41456</v>
          </cell>
        </row>
        <row r="2654">
          <cell r="H2654">
            <v>86</v>
          </cell>
          <cell r="O2654">
            <v>41456</v>
          </cell>
          <cell r="R2654" t="str">
            <v/>
          </cell>
          <cell r="T2654" t="str">
            <v>60 - 00011R41456</v>
          </cell>
        </row>
        <row r="2655">
          <cell r="H2655">
            <v>16</v>
          </cell>
          <cell r="O2655">
            <v>41456</v>
          </cell>
          <cell r="R2655" t="str">
            <v/>
          </cell>
          <cell r="T2655" t="str">
            <v>60 - 00011R41456</v>
          </cell>
        </row>
        <row r="2656">
          <cell r="H2656">
            <v>1838</v>
          </cell>
          <cell r="O2656">
            <v>41456</v>
          </cell>
          <cell r="R2656" t="str">
            <v/>
          </cell>
          <cell r="T2656" t="str">
            <v>60 - 00011R41456</v>
          </cell>
        </row>
        <row r="2657">
          <cell r="H2657">
            <v>8999</v>
          </cell>
          <cell r="O2657">
            <v>41456</v>
          </cell>
          <cell r="R2657" t="str">
            <v/>
          </cell>
          <cell r="T2657" t="str">
            <v>60 - 00011R41456</v>
          </cell>
        </row>
        <row r="2658">
          <cell r="H2658">
            <v>0</v>
          </cell>
          <cell r="O2658">
            <v>41456</v>
          </cell>
          <cell r="R2658" t="str">
            <v/>
          </cell>
          <cell r="T2658" t="str">
            <v>60 - 00011R41456</v>
          </cell>
        </row>
        <row r="2659">
          <cell r="H2659">
            <v>17791005</v>
          </cell>
          <cell r="O2659">
            <v>41456</v>
          </cell>
          <cell r="R2659" t="str">
            <v/>
          </cell>
          <cell r="T2659" t="str">
            <v>60 - 00011R41456</v>
          </cell>
        </row>
        <row r="2660">
          <cell r="H2660">
            <v>27926</v>
          </cell>
          <cell r="O2660">
            <v>41456</v>
          </cell>
          <cell r="R2660" t="str">
            <v/>
          </cell>
          <cell r="T2660" t="str">
            <v>60 - 00011R41456</v>
          </cell>
        </row>
        <row r="2661">
          <cell r="H2661">
            <v>0</v>
          </cell>
          <cell r="O2661">
            <v>41456</v>
          </cell>
          <cell r="R2661" t="str">
            <v/>
          </cell>
          <cell r="T2661" t="str">
            <v>60 - 00011R41456</v>
          </cell>
        </row>
        <row r="2662">
          <cell r="H2662">
            <v>0</v>
          </cell>
          <cell r="O2662">
            <v>41456</v>
          </cell>
          <cell r="R2662" t="str">
            <v/>
          </cell>
          <cell r="T2662" t="str">
            <v>60 - 00011R41456</v>
          </cell>
        </row>
        <row r="2663">
          <cell r="H2663">
            <v>104640</v>
          </cell>
          <cell r="O2663">
            <v>41456</v>
          </cell>
          <cell r="R2663" t="str">
            <v/>
          </cell>
          <cell r="T2663" t="str">
            <v>60 - 00011R41456</v>
          </cell>
        </row>
        <row r="2664">
          <cell r="H2664">
            <v>51120</v>
          </cell>
          <cell r="O2664">
            <v>41456</v>
          </cell>
          <cell r="R2664" t="str">
            <v/>
          </cell>
          <cell r="T2664" t="str">
            <v>60 - 00011R41456</v>
          </cell>
        </row>
        <row r="2665">
          <cell r="H2665">
            <v>4683000</v>
          </cell>
          <cell r="O2665">
            <v>41456</v>
          </cell>
          <cell r="R2665" t="str">
            <v/>
          </cell>
          <cell r="T2665" t="str">
            <v>60 - 00011R41456</v>
          </cell>
        </row>
        <row r="2666">
          <cell r="H2666">
            <v>0</v>
          </cell>
          <cell r="O2666">
            <v>41456</v>
          </cell>
          <cell r="R2666" t="str">
            <v/>
          </cell>
          <cell r="T2666" t="str">
            <v>60 - 00011R41456</v>
          </cell>
        </row>
        <row r="2667">
          <cell r="H2667">
            <v>0</v>
          </cell>
          <cell r="O2667">
            <v>41456</v>
          </cell>
          <cell r="R2667" t="str">
            <v/>
          </cell>
          <cell r="T2667" t="str">
            <v>60 - 00011R41456</v>
          </cell>
        </row>
        <row r="2668">
          <cell r="H2668">
            <v>0</v>
          </cell>
          <cell r="O2668">
            <v>41456</v>
          </cell>
          <cell r="R2668" t="str">
            <v/>
          </cell>
          <cell r="T2668" t="str">
            <v>60 - 00011R41456</v>
          </cell>
        </row>
        <row r="2669">
          <cell r="H2669">
            <v>0</v>
          </cell>
          <cell r="O2669">
            <v>41456</v>
          </cell>
          <cell r="R2669" t="str">
            <v/>
          </cell>
          <cell r="T2669" t="str">
            <v>60 - 00011R41456</v>
          </cell>
        </row>
        <row r="2670">
          <cell r="H2670">
            <v>380</v>
          </cell>
          <cell r="O2670">
            <v>41456</v>
          </cell>
          <cell r="R2670" t="str">
            <v/>
          </cell>
          <cell r="T2670" t="str">
            <v>60 - 00011R41456</v>
          </cell>
        </row>
        <row r="2671">
          <cell r="H2671">
            <v>0</v>
          </cell>
          <cell r="O2671">
            <v>41456</v>
          </cell>
          <cell r="R2671" t="str">
            <v/>
          </cell>
          <cell r="T2671" t="str">
            <v>60 - 00011R41456</v>
          </cell>
        </row>
        <row r="2672">
          <cell r="H2672">
            <v>2124000</v>
          </cell>
          <cell r="O2672">
            <v>41456</v>
          </cell>
          <cell r="R2672" t="str">
            <v/>
          </cell>
          <cell r="T2672" t="str">
            <v>60 - 00011U41456</v>
          </cell>
        </row>
        <row r="2673">
          <cell r="H2673">
            <v>0</v>
          </cell>
          <cell r="O2673">
            <v>41456</v>
          </cell>
          <cell r="R2673" t="str">
            <v/>
          </cell>
          <cell r="T2673" t="str">
            <v>60 - 00011B41456</v>
          </cell>
        </row>
        <row r="2674">
          <cell r="H2674">
            <v>10573675</v>
          </cell>
          <cell r="O2674">
            <v>41456</v>
          </cell>
          <cell r="R2674" t="str">
            <v/>
          </cell>
          <cell r="T2674" t="str">
            <v>60 - 00011B41456</v>
          </cell>
        </row>
        <row r="2675">
          <cell r="H2675">
            <v>-2875122</v>
          </cell>
          <cell r="O2675">
            <v>41456</v>
          </cell>
          <cell r="R2675" t="str">
            <v/>
          </cell>
          <cell r="T2675" t="str">
            <v>60 - 00011B41456</v>
          </cell>
        </row>
        <row r="2676">
          <cell r="H2676">
            <v>111053</v>
          </cell>
          <cell r="O2676">
            <v>41456</v>
          </cell>
          <cell r="R2676" t="str">
            <v/>
          </cell>
          <cell r="T2676" t="str">
            <v>60 - 00011B41456</v>
          </cell>
        </row>
        <row r="2677">
          <cell r="H2677">
            <v>17575527</v>
          </cell>
          <cell r="O2677">
            <v>41456</v>
          </cell>
          <cell r="R2677" t="str">
            <v/>
          </cell>
          <cell r="T2677" t="str">
            <v>60 - 00011B41456</v>
          </cell>
        </row>
        <row r="2678">
          <cell r="H2678">
            <v>13813</v>
          </cell>
          <cell r="O2678">
            <v>41456</v>
          </cell>
          <cell r="R2678" t="str">
            <v/>
          </cell>
          <cell r="T2678" t="str">
            <v>60 - 00011B41456</v>
          </cell>
        </row>
        <row r="2679">
          <cell r="H2679">
            <v>1212000</v>
          </cell>
          <cell r="O2679">
            <v>41456</v>
          </cell>
          <cell r="R2679" t="str">
            <v/>
          </cell>
          <cell r="T2679" t="str">
            <v>60 - 00011B41456</v>
          </cell>
        </row>
        <row r="2680">
          <cell r="H2680">
            <v>33466</v>
          </cell>
          <cell r="O2680">
            <v>41456</v>
          </cell>
          <cell r="R2680" t="str">
            <v/>
          </cell>
          <cell r="T2680" t="str">
            <v>60 - 00011B41456</v>
          </cell>
        </row>
        <row r="2681">
          <cell r="H2681">
            <v>16609</v>
          </cell>
          <cell r="O2681">
            <v>41456</v>
          </cell>
          <cell r="R2681" t="str">
            <v/>
          </cell>
          <cell r="T2681" t="str">
            <v>60 - 00011B41456</v>
          </cell>
        </row>
        <row r="2682">
          <cell r="H2682">
            <v>40</v>
          </cell>
          <cell r="O2682">
            <v>41456</v>
          </cell>
          <cell r="R2682" t="str">
            <v/>
          </cell>
          <cell r="T2682" t="str">
            <v>60 - 00011B41456</v>
          </cell>
        </row>
        <row r="2683">
          <cell r="H2683">
            <v>9103675</v>
          </cell>
          <cell r="O2683">
            <v>41456</v>
          </cell>
          <cell r="R2683" t="str">
            <v/>
          </cell>
          <cell r="T2683" t="str">
            <v>60 - 00011B41456</v>
          </cell>
        </row>
        <row r="2684">
          <cell r="H2684">
            <v>11976582</v>
          </cell>
          <cell r="O2684">
            <v>41456</v>
          </cell>
          <cell r="R2684" t="str">
            <v/>
          </cell>
          <cell r="T2684" t="str">
            <v>60 - 00011B41456</v>
          </cell>
        </row>
        <row r="2685">
          <cell r="H2685">
            <v>1088924</v>
          </cell>
          <cell r="O2685">
            <v>41456</v>
          </cell>
          <cell r="R2685" t="str">
            <v/>
          </cell>
          <cell r="T2685" t="str">
            <v>60 - 00011B41456</v>
          </cell>
        </row>
        <row r="2686">
          <cell r="H2686">
            <v>0</v>
          </cell>
          <cell r="O2686">
            <v>41456</v>
          </cell>
          <cell r="R2686" t="str">
            <v/>
          </cell>
          <cell r="T2686" t="str">
            <v>60 - 00011B41456</v>
          </cell>
        </row>
        <row r="2687">
          <cell r="H2687">
            <v>0</v>
          </cell>
          <cell r="O2687">
            <v>41456</v>
          </cell>
          <cell r="R2687" t="str">
            <v/>
          </cell>
          <cell r="T2687" t="str">
            <v>60 - 00011R41456</v>
          </cell>
        </row>
        <row r="2688">
          <cell r="H2688">
            <v>0</v>
          </cell>
          <cell r="O2688">
            <v>41456</v>
          </cell>
          <cell r="R2688" t="str">
            <v/>
          </cell>
          <cell r="T2688" t="str">
            <v>60 - 00011R41456</v>
          </cell>
        </row>
        <row r="2689">
          <cell r="H2689">
            <v>0</v>
          </cell>
          <cell r="O2689">
            <v>41456</v>
          </cell>
          <cell r="R2689" t="str">
            <v/>
          </cell>
          <cell r="T2689" t="str">
            <v>60 - 00011R41456</v>
          </cell>
        </row>
        <row r="2690">
          <cell r="H2690">
            <v>0</v>
          </cell>
          <cell r="O2690">
            <v>41456</v>
          </cell>
          <cell r="R2690" t="str">
            <v/>
          </cell>
          <cell r="T2690" t="str">
            <v>60 - 00011R41456</v>
          </cell>
        </row>
        <row r="2691">
          <cell r="H2691">
            <v>0</v>
          </cell>
          <cell r="O2691">
            <v>41456</v>
          </cell>
          <cell r="R2691" t="str">
            <v/>
          </cell>
          <cell r="T2691" t="str">
            <v>60 - 00011R41456</v>
          </cell>
        </row>
        <row r="2692">
          <cell r="H2692">
            <v>0</v>
          </cell>
          <cell r="O2692">
            <v>41456</v>
          </cell>
          <cell r="R2692" t="str">
            <v/>
          </cell>
          <cell r="T2692" t="str">
            <v>60 - 00011R41456</v>
          </cell>
        </row>
        <row r="2693">
          <cell r="H2693">
            <v>0</v>
          </cell>
          <cell r="O2693">
            <v>41456</v>
          </cell>
          <cell r="R2693" t="str">
            <v/>
          </cell>
          <cell r="T2693" t="str">
            <v>60 - 00011R41456</v>
          </cell>
        </row>
        <row r="2694">
          <cell r="H2694">
            <v>0</v>
          </cell>
          <cell r="O2694">
            <v>41456</v>
          </cell>
          <cell r="R2694" t="str">
            <v/>
          </cell>
          <cell r="T2694" t="str">
            <v>60 - 00011R41456</v>
          </cell>
        </row>
        <row r="2695">
          <cell r="H2695">
            <v>0</v>
          </cell>
          <cell r="O2695">
            <v>41456</v>
          </cell>
          <cell r="R2695" t="str">
            <v/>
          </cell>
          <cell r="T2695" t="str">
            <v>60 - 00011R41456</v>
          </cell>
        </row>
        <row r="2696">
          <cell r="H2696">
            <v>0</v>
          </cell>
          <cell r="O2696">
            <v>41456</v>
          </cell>
          <cell r="R2696" t="str">
            <v/>
          </cell>
          <cell r="T2696" t="str">
            <v>60 - 00011R41456</v>
          </cell>
        </row>
        <row r="2697">
          <cell r="H2697">
            <v>0</v>
          </cell>
          <cell r="O2697">
            <v>41456</v>
          </cell>
          <cell r="R2697" t="str">
            <v/>
          </cell>
          <cell r="T2697" t="str">
            <v>60 - 00011R41456</v>
          </cell>
        </row>
        <row r="2698">
          <cell r="H2698">
            <v>1212000</v>
          </cell>
          <cell r="O2698">
            <v>41456</v>
          </cell>
          <cell r="R2698" t="str">
            <v/>
          </cell>
          <cell r="T2698" t="str">
            <v>60 - 00011R41456</v>
          </cell>
        </row>
        <row r="2699">
          <cell r="H2699">
            <v>29373172</v>
          </cell>
          <cell r="O2699">
            <v>41456</v>
          </cell>
          <cell r="R2699" t="str">
            <v/>
          </cell>
          <cell r="T2699" t="str">
            <v>60 - 00011R41456</v>
          </cell>
        </row>
        <row r="2700">
          <cell r="H2700">
            <v>1768</v>
          </cell>
          <cell r="O2700">
            <v>41456</v>
          </cell>
          <cell r="R2700" t="str">
            <v/>
          </cell>
          <cell r="T2700" t="str">
            <v>60 - 00011R41456</v>
          </cell>
        </row>
        <row r="2701">
          <cell r="H2701">
            <v>24874</v>
          </cell>
          <cell r="O2701">
            <v>41456</v>
          </cell>
          <cell r="R2701" t="str">
            <v/>
          </cell>
          <cell r="T2701" t="str">
            <v>60 - 00011R41456</v>
          </cell>
        </row>
        <row r="2702">
          <cell r="H2702">
            <v>117258</v>
          </cell>
          <cell r="O2702">
            <v>41456</v>
          </cell>
          <cell r="R2702" t="str">
            <v/>
          </cell>
          <cell r="T2702" t="str">
            <v>60 - 00011R41456</v>
          </cell>
        </row>
        <row r="2703">
          <cell r="H2703">
            <v>0</v>
          </cell>
          <cell r="O2703">
            <v>41456</v>
          </cell>
          <cell r="R2703" t="str">
            <v/>
          </cell>
          <cell r="T2703" t="str">
            <v>60 - 00011R41456</v>
          </cell>
        </row>
        <row r="2704">
          <cell r="H2704">
            <v>0</v>
          </cell>
          <cell r="O2704">
            <v>41456</v>
          </cell>
          <cell r="R2704" t="str">
            <v/>
          </cell>
          <cell r="T2704" t="str">
            <v>60 - 00011R41456</v>
          </cell>
        </row>
        <row r="2705">
          <cell r="H2705">
            <v>0</v>
          </cell>
          <cell r="O2705">
            <v>41456</v>
          </cell>
          <cell r="R2705" t="str">
            <v/>
          </cell>
          <cell r="T2705" t="str">
            <v>60 - 00011R41456</v>
          </cell>
        </row>
        <row r="2706">
          <cell r="H2706">
            <v>18204</v>
          </cell>
          <cell r="O2706">
            <v>41456</v>
          </cell>
          <cell r="R2706" t="str">
            <v/>
          </cell>
          <cell r="T2706" t="str">
            <v>60 - 00011R41456</v>
          </cell>
        </row>
        <row r="2707">
          <cell r="H2707">
            <v>50400</v>
          </cell>
          <cell r="O2707">
            <v>41456</v>
          </cell>
          <cell r="R2707" t="str">
            <v/>
          </cell>
          <cell r="T2707" t="str">
            <v>60 - 00011R41456</v>
          </cell>
        </row>
        <row r="2708">
          <cell r="H2708">
            <v>0</v>
          </cell>
          <cell r="O2708">
            <v>41456</v>
          </cell>
          <cell r="R2708" t="str">
            <v/>
          </cell>
          <cell r="T2708" t="str">
            <v>60 - 00011R41456</v>
          </cell>
        </row>
        <row r="2709">
          <cell r="H2709">
            <v>0</v>
          </cell>
          <cell r="O2709">
            <v>41456</v>
          </cell>
          <cell r="R2709" t="str">
            <v/>
          </cell>
          <cell r="T2709" t="str">
            <v>60 - 00011R41456</v>
          </cell>
        </row>
        <row r="2710">
          <cell r="H2710">
            <v>0</v>
          </cell>
          <cell r="O2710">
            <v>41456</v>
          </cell>
          <cell r="R2710" t="str">
            <v/>
          </cell>
          <cell r="T2710" t="str">
            <v>60 - 00011R41456</v>
          </cell>
        </row>
        <row r="2711">
          <cell r="H2711">
            <v>0</v>
          </cell>
          <cell r="O2711">
            <v>41456</v>
          </cell>
          <cell r="R2711" t="str">
            <v/>
          </cell>
          <cell r="T2711" t="str">
            <v>60 - 00011R41456</v>
          </cell>
        </row>
        <row r="2712">
          <cell r="H2712">
            <v>0</v>
          </cell>
          <cell r="O2712">
            <v>41456</v>
          </cell>
          <cell r="R2712" t="str">
            <v/>
          </cell>
          <cell r="T2712" t="str">
            <v>60 - 00011R41456</v>
          </cell>
        </row>
        <row r="2713">
          <cell r="H2713">
            <v>0</v>
          </cell>
          <cell r="O2713">
            <v>41456</v>
          </cell>
          <cell r="R2713" t="str">
            <v/>
          </cell>
          <cell r="T2713" t="str">
            <v>60 - 00011R41456</v>
          </cell>
        </row>
        <row r="2714">
          <cell r="H2714">
            <v>24208190</v>
          </cell>
          <cell r="O2714">
            <v>41456</v>
          </cell>
          <cell r="R2714" t="str">
            <v/>
          </cell>
          <cell r="T2714" t="str">
            <v>60 - 00011R41456</v>
          </cell>
        </row>
        <row r="2715">
          <cell r="H2715">
            <v>0</v>
          </cell>
          <cell r="O2715">
            <v>41456</v>
          </cell>
          <cell r="R2715" t="str">
            <v/>
          </cell>
          <cell r="T2715" t="str">
            <v>60 - 00011R41456</v>
          </cell>
        </row>
        <row r="2716">
          <cell r="H2716">
            <v>0</v>
          </cell>
          <cell r="O2716">
            <v>41456</v>
          </cell>
          <cell r="R2716" t="str">
            <v/>
          </cell>
          <cell r="T2716" t="str">
            <v>60 - 00011R41456</v>
          </cell>
        </row>
        <row r="2717">
          <cell r="H2717">
            <v>0</v>
          </cell>
          <cell r="O2717">
            <v>41456</v>
          </cell>
          <cell r="R2717" t="str">
            <v/>
          </cell>
          <cell r="T2717" t="str">
            <v>60 - 00011R41456</v>
          </cell>
        </row>
        <row r="2718">
          <cell r="H2718">
            <v>3108</v>
          </cell>
          <cell r="O2718">
            <v>41456</v>
          </cell>
          <cell r="R2718" t="str">
            <v/>
          </cell>
          <cell r="T2718" t="str">
            <v>60 - 00011R41456</v>
          </cell>
        </row>
        <row r="2719">
          <cell r="H2719">
            <v>0</v>
          </cell>
          <cell r="O2719">
            <v>41456</v>
          </cell>
          <cell r="R2719" t="str">
            <v/>
          </cell>
          <cell r="T2719" t="str">
            <v>60 - 00011R41456</v>
          </cell>
        </row>
        <row r="2720">
          <cell r="H2720">
            <v>0</v>
          </cell>
          <cell r="O2720">
            <v>41456</v>
          </cell>
          <cell r="R2720" t="str">
            <v/>
          </cell>
          <cell r="T2720" t="str">
            <v>60 - 00011R41456</v>
          </cell>
        </row>
        <row r="2721">
          <cell r="H2721">
            <v>7231000</v>
          </cell>
          <cell r="O2721">
            <v>41456</v>
          </cell>
          <cell r="R2721" t="str">
            <v/>
          </cell>
          <cell r="T2721" t="str">
            <v>60 - 00011U41456</v>
          </cell>
        </row>
        <row r="2722">
          <cell r="H2722">
            <v>0</v>
          </cell>
          <cell r="O2722">
            <v>41456</v>
          </cell>
          <cell r="R2722" t="str">
            <v/>
          </cell>
          <cell r="T2722" t="str">
            <v>60 - 00011R41456</v>
          </cell>
        </row>
        <row r="2723">
          <cell r="H2723">
            <v>0</v>
          </cell>
          <cell r="O2723">
            <v>41456</v>
          </cell>
          <cell r="R2723" t="str">
            <v/>
          </cell>
          <cell r="T2723" t="str">
            <v>60 - 00011R41456</v>
          </cell>
        </row>
        <row r="2724">
          <cell r="H2724">
            <v>0</v>
          </cell>
          <cell r="O2724">
            <v>41456</v>
          </cell>
          <cell r="R2724" t="str">
            <v/>
          </cell>
          <cell r="T2724" t="str">
            <v>60 - 00011R41456</v>
          </cell>
        </row>
        <row r="2725">
          <cell r="H2725">
            <v>0</v>
          </cell>
          <cell r="O2725">
            <v>41456</v>
          </cell>
          <cell r="R2725" t="str">
            <v/>
          </cell>
          <cell r="T2725" t="str">
            <v>60 - 00011R41456</v>
          </cell>
        </row>
        <row r="2726">
          <cell r="H2726">
            <v>22338</v>
          </cell>
          <cell r="O2726">
            <v>41456</v>
          </cell>
          <cell r="R2726" t="str">
            <v/>
          </cell>
          <cell r="T2726" t="str">
            <v>60 - 00011R41456</v>
          </cell>
        </row>
        <row r="2727">
          <cell r="H2727">
            <v>12905</v>
          </cell>
          <cell r="O2727">
            <v>41456</v>
          </cell>
          <cell r="R2727" t="str">
            <v/>
          </cell>
          <cell r="T2727" t="str">
            <v>60 - 00011R41456</v>
          </cell>
        </row>
        <row r="2728">
          <cell r="H2728">
            <v>1534981</v>
          </cell>
          <cell r="O2728">
            <v>41456</v>
          </cell>
          <cell r="R2728" t="str">
            <v/>
          </cell>
          <cell r="T2728" t="str">
            <v>60 - 00011R41456</v>
          </cell>
        </row>
        <row r="2729">
          <cell r="H2729">
            <v>677637</v>
          </cell>
          <cell r="O2729">
            <v>41456</v>
          </cell>
          <cell r="R2729" t="str">
            <v/>
          </cell>
          <cell r="T2729" t="str">
            <v>60 - 00011R41456</v>
          </cell>
        </row>
        <row r="2730">
          <cell r="H2730">
            <v>31</v>
          </cell>
          <cell r="O2730">
            <v>41456</v>
          </cell>
          <cell r="R2730" t="str">
            <v/>
          </cell>
          <cell r="T2730" t="str">
            <v>60 - 00011R41456</v>
          </cell>
        </row>
        <row r="2731">
          <cell r="H2731">
            <v>54898</v>
          </cell>
          <cell r="O2731">
            <v>41456</v>
          </cell>
          <cell r="R2731" t="str">
            <v/>
          </cell>
          <cell r="T2731" t="str">
            <v>60 - 00011R41456</v>
          </cell>
        </row>
        <row r="2732">
          <cell r="H2732">
            <v>699009</v>
          </cell>
          <cell r="O2732">
            <v>41456</v>
          </cell>
          <cell r="R2732" t="str">
            <v/>
          </cell>
          <cell r="T2732" t="str">
            <v>60 - 00011R41456</v>
          </cell>
        </row>
        <row r="2733">
          <cell r="H2733">
            <v>1087</v>
          </cell>
          <cell r="O2733">
            <v>41456</v>
          </cell>
          <cell r="R2733" t="str">
            <v/>
          </cell>
          <cell r="T2733" t="str">
            <v>60 - 00011R41456</v>
          </cell>
        </row>
        <row r="2734">
          <cell r="H2734">
            <v>0</v>
          </cell>
          <cell r="O2734">
            <v>41456</v>
          </cell>
          <cell r="R2734" t="str">
            <v/>
          </cell>
          <cell r="T2734" t="str">
            <v>60 - 00011R41456</v>
          </cell>
        </row>
        <row r="2735">
          <cell r="H2735">
            <v>-601000</v>
          </cell>
          <cell r="O2735">
            <v>41456</v>
          </cell>
          <cell r="R2735" t="str">
            <v/>
          </cell>
          <cell r="T2735" t="str">
            <v>60 - 00011U41456</v>
          </cell>
        </row>
        <row r="2736">
          <cell r="H2736">
            <v>0</v>
          </cell>
          <cell r="O2736">
            <v>41456</v>
          </cell>
          <cell r="R2736" t="str">
            <v/>
          </cell>
          <cell r="T2736" t="str">
            <v>60 - 00012B41456</v>
          </cell>
        </row>
        <row r="2737">
          <cell r="H2737">
            <v>112460814</v>
          </cell>
          <cell r="O2737">
            <v>41456</v>
          </cell>
          <cell r="R2737" t="str">
            <v/>
          </cell>
          <cell r="T2737" t="str">
            <v>60 - 00012B41456</v>
          </cell>
        </row>
        <row r="2738">
          <cell r="H2738">
            <v>189985</v>
          </cell>
          <cell r="O2738">
            <v>41456</v>
          </cell>
          <cell r="R2738" t="str">
            <v/>
          </cell>
          <cell r="T2738" t="str">
            <v>60 - 00012B41456</v>
          </cell>
        </row>
        <row r="2739">
          <cell r="H2739">
            <v>45829</v>
          </cell>
          <cell r="O2739">
            <v>41456</v>
          </cell>
          <cell r="R2739" t="str">
            <v/>
          </cell>
          <cell r="T2739" t="str">
            <v>60 - 00012B41456</v>
          </cell>
        </row>
        <row r="2740">
          <cell r="H2740">
            <v>3874872</v>
          </cell>
          <cell r="O2740">
            <v>41456</v>
          </cell>
          <cell r="R2740" t="str">
            <v/>
          </cell>
          <cell r="T2740" t="str">
            <v>60 - 00012B41456</v>
          </cell>
        </row>
        <row r="2741">
          <cell r="H2741">
            <v>88303</v>
          </cell>
          <cell r="O2741">
            <v>41456</v>
          </cell>
          <cell r="R2741" t="str">
            <v/>
          </cell>
          <cell r="T2741" t="str">
            <v>60 - 00012B41456</v>
          </cell>
        </row>
        <row r="2742">
          <cell r="H2742">
            <v>85961</v>
          </cell>
          <cell r="O2742">
            <v>41456</v>
          </cell>
          <cell r="R2742" t="str">
            <v/>
          </cell>
          <cell r="T2742" t="str">
            <v>60 - 00012B41456</v>
          </cell>
        </row>
        <row r="2743">
          <cell r="H2743">
            <v>524498</v>
          </cell>
          <cell r="O2743">
            <v>41456</v>
          </cell>
          <cell r="R2743" t="str">
            <v/>
          </cell>
          <cell r="T2743" t="str">
            <v>60 - 00012B41456</v>
          </cell>
        </row>
        <row r="2744">
          <cell r="H2744">
            <v>0</v>
          </cell>
          <cell r="O2744">
            <v>41456</v>
          </cell>
          <cell r="R2744" t="str">
            <v/>
          </cell>
          <cell r="T2744" t="str">
            <v>60 - 00012B41456</v>
          </cell>
        </row>
        <row r="2745">
          <cell r="H2745">
            <v>0</v>
          </cell>
          <cell r="O2745">
            <v>41456</v>
          </cell>
          <cell r="R2745" t="str">
            <v>41456WARESAGA</v>
          </cell>
          <cell r="T2745" t="str">
            <v>60 - 00012R41456</v>
          </cell>
        </row>
        <row r="2746">
          <cell r="H2746">
            <v>0</v>
          </cell>
          <cell r="O2746">
            <v>41456</v>
          </cell>
          <cell r="R2746" t="str">
            <v>41456WARESAGA</v>
          </cell>
          <cell r="T2746" t="str">
            <v>60 - 00012R41456</v>
          </cell>
        </row>
        <row r="2747">
          <cell r="H2747">
            <v>0</v>
          </cell>
          <cell r="O2747">
            <v>41456</v>
          </cell>
          <cell r="R2747" t="str">
            <v>41456WARESAGA</v>
          </cell>
          <cell r="T2747" t="str">
            <v>60 - 00012R41456</v>
          </cell>
        </row>
        <row r="2748">
          <cell r="H2748">
            <v>0</v>
          </cell>
          <cell r="O2748">
            <v>41456</v>
          </cell>
          <cell r="R2748" t="str">
            <v>41456WARESAGA</v>
          </cell>
          <cell r="T2748" t="str">
            <v>60 - 00012R41456</v>
          </cell>
        </row>
        <row r="2749">
          <cell r="H2749">
            <v>0</v>
          </cell>
          <cell r="O2749">
            <v>41456</v>
          </cell>
          <cell r="R2749" t="str">
            <v>41456WARESAGA</v>
          </cell>
          <cell r="T2749" t="str">
            <v>60 - 00012R41456</v>
          </cell>
        </row>
        <row r="2750">
          <cell r="H2750">
            <v>0</v>
          </cell>
          <cell r="O2750">
            <v>41456</v>
          </cell>
          <cell r="R2750" t="str">
            <v>41456WARESAGA</v>
          </cell>
          <cell r="T2750" t="str">
            <v>60 - 00012R41456</v>
          </cell>
        </row>
        <row r="2751">
          <cell r="H2751">
            <v>0</v>
          </cell>
          <cell r="O2751">
            <v>41456</v>
          </cell>
          <cell r="R2751" t="str">
            <v>41456WARESAGA</v>
          </cell>
          <cell r="T2751" t="str">
            <v>60 - 00012R41456</v>
          </cell>
        </row>
        <row r="2752">
          <cell r="H2752">
            <v>112463624</v>
          </cell>
          <cell r="O2752">
            <v>41456</v>
          </cell>
          <cell r="R2752" t="str">
            <v>41456WARES16</v>
          </cell>
          <cell r="T2752" t="str">
            <v>60 - 00012R41456</v>
          </cell>
        </row>
        <row r="2753">
          <cell r="H2753">
            <v>189988</v>
          </cell>
          <cell r="O2753">
            <v>41456</v>
          </cell>
          <cell r="R2753" t="str">
            <v>41456WARES18</v>
          </cell>
          <cell r="T2753" t="str">
            <v>60 - 00012R41456</v>
          </cell>
        </row>
        <row r="2754">
          <cell r="H2754">
            <v>45829</v>
          </cell>
          <cell r="O2754">
            <v>41456</v>
          </cell>
          <cell r="R2754" t="str">
            <v>41456WARES18</v>
          </cell>
          <cell r="T2754" t="str">
            <v>60 - 00012R41456</v>
          </cell>
        </row>
        <row r="2755">
          <cell r="H2755">
            <v>0</v>
          </cell>
          <cell r="O2755">
            <v>41456</v>
          </cell>
          <cell r="R2755" t="str">
            <v>41456WARESAGA</v>
          </cell>
          <cell r="T2755" t="str">
            <v>60 - 00012R41456</v>
          </cell>
        </row>
        <row r="2756">
          <cell r="H2756">
            <v>3875042</v>
          </cell>
          <cell r="O2756">
            <v>41456</v>
          </cell>
          <cell r="R2756" t="str">
            <v>41456WARES17</v>
          </cell>
          <cell r="T2756" t="str">
            <v>60 - 00012R41456</v>
          </cell>
        </row>
        <row r="2757">
          <cell r="H2757">
            <v>88305</v>
          </cell>
          <cell r="O2757">
            <v>41456</v>
          </cell>
          <cell r="R2757" t="str">
            <v>41456WARES15</v>
          </cell>
          <cell r="T2757" t="str">
            <v>60 - 00012R41456</v>
          </cell>
        </row>
        <row r="2758">
          <cell r="H2758">
            <v>85963</v>
          </cell>
          <cell r="O2758">
            <v>41456</v>
          </cell>
          <cell r="R2758" t="str">
            <v>41456WARES16</v>
          </cell>
          <cell r="T2758" t="str">
            <v>60 - 00012R41456</v>
          </cell>
        </row>
        <row r="2759">
          <cell r="H2759">
            <v>524560</v>
          </cell>
          <cell r="O2759">
            <v>41456</v>
          </cell>
          <cell r="R2759" t="str">
            <v>41456WARES24</v>
          </cell>
          <cell r="T2759" t="str">
            <v>60 - 00012R41456</v>
          </cell>
        </row>
        <row r="2760">
          <cell r="H2760">
            <v>0</v>
          </cell>
          <cell r="O2760">
            <v>41456</v>
          </cell>
          <cell r="R2760" t="str">
            <v>41456WARESAGA</v>
          </cell>
          <cell r="T2760" t="str">
            <v>60 - 00012R41456</v>
          </cell>
        </row>
        <row r="2761">
          <cell r="H2761">
            <v>24833000</v>
          </cell>
          <cell r="O2761">
            <v>41456</v>
          </cell>
          <cell r="R2761" t="str">
            <v>41456WARES88</v>
          </cell>
          <cell r="T2761" t="str">
            <v>60 - 00012U41456</v>
          </cell>
        </row>
        <row r="2762">
          <cell r="H2762">
            <v>0</v>
          </cell>
          <cell r="O2762">
            <v>41456</v>
          </cell>
          <cell r="R2762" t="str">
            <v>41456WARESAGA</v>
          </cell>
          <cell r="T2762" t="str">
            <v>60 - 00012U41456</v>
          </cell>
        </row>
        <row r="2763">
          <cell r="H2763">
            <v>0</v>
          </cell>
          <cell r="O2763">
            <v>41456</v>
          </cell>
          <cell r="R2763" t="str">
            <v/>
          </cell>
          <cell r="T2763" t="str">
            <v>60 - 00012B41456</v>
          </cell>
        </row>
        <row r="2764">
          <cell r="H2764">
            <v>3330159</v>
          </cell>
          <cell r="O2764">
            <v>41456</v>
          </cell>
          <cell r="R2764" t="str">
            <v/>
          </cell>
          <cell r="T2764" t="str">
            <v>60 - 00012B41456</v>
          </cell>
        </row>
        <row r="2765">
          <cell r="H2765">
            <v>8466</v>
          </cell>
          <cell r="O2765">
            <v>41456</v>
          </cell>
          <cell r="R2765" t="str">
            <v/>
          </cell>
          <cell r="T2765" t="str">
            <v>60 - 00012B41456</v>
          </cell>
        </row>
        <row r="2766">
          <cell r="H2766">
            <v>6802186</v>
          </cell>
          <cell r="O2766">
            <v>41456</v>
          </cell>
          <cell r="R2766" t="str">
            <v/>
          </cell>
          <cell r="T2766" t="str">
            <v>60 - 00012B41456</v>
          </cell>
        </row>
        <row r="2767">
          <cell r="H2767">
            <v>47240</v>
          </cell>
          <cell r="O2767">
            <v>41456</v>
          </cell>
          <cell r="R2767" t="str">
            <v/>
          </cell>
          <cell r="T2767" t="str">
            <v>60 - 00012B41456</v>
          </cell>
        </row>
        <row r="2768">
          <cell r="H2768">
            <v>72</v>
          </cell>
          <cell r="O2768">
            <v>41456</v>
          </cell>
          <cell r="R2768" t="str">
            <v/>
          </cell>
          <cell r="T2768" t="str">
            <v>60 - 00012B41456</v>
          </cell>
        </row>
        <row r="2769">
          <cell r="H2769">
            <v>0</v>
          </cell>
          <cell r="O2769">
            <v>41456</v>
          </cell>
          <cell r="R2769" t="str">
            <v/>
          </cell>
          <cell r="T2769" t="str">
            <v>60 - 00012B41456</v>
          </cell>
        </row>
        <row r="2770">
          <cell r="H2770">
            <v>0</v>
          </cell>
          <cell r="O2770">
            <v>41456</v>
          </cell>
          <cell r="R2770" t="str">
            <v/>
          </cell>
          <cell r="T2770" t="str">
            <v>60 - 00012B41456</v>
          </cell>
        </row>
        <row r="2771">
          <cell r="H2771">
            <v>0</v>
          </cell>
          <cell r="O2771">
            <v>41456</v>
          </cell>
          <cell r="R2771" t="str">
            <v>41456WACOMAGA</v>
          </cell>
          <cell r="T2771" t="str">
            <v>60 - 00012R41456</v>
          </cell>
        </row>
        <row r="2772">
          <cell r="H2772">
            <v>0</v>
          </cell>
          <cell r="O2772">
            <v>41456</v>
          </cell>
          <cell r="R2772" t="str">
            <v>41456WACOMAGA</v>
          </cell>
          <cell r="T2772" t="str">
            <v>60 - 00012R41456</v>
          </cell>
        </row>
        <row r="2773">
          <cell r="H2773">
            <v>0</v>
          </cell>
          <cell r="O2773">
            <v>41456</v>
          </cell>
          <cell r="R2773" t="str">
            <v>41456WACOMAGA</v>
          </cell>
          <cell r="T2773" t="str">
            <v>60 - 00012R41456</v>
          </cell>
        </row>
        <row r="2774">
          <cell r="H2774">
            <v>0</v>
          </cell>
          <cell r="O2774">
            <v>41456</v>
          </cell>
          <cell r="R2774" t="str">
            <v>41456WACOMAGA</v>
          </cell>
          <cell r="T2774" t="str">
            <v>60 - 00012R41456</v>
          </cell>
        </row>
        <row r="2775">
          <cell r="H2775">
            <v>0</v>
          </cell>
          <cell r="O2775">
            <v>41456</v>
          </cell>
          <cell r="R2775" t="str">
            <v>41456WACOMAGA</v>
          </cell>
          <cell r="T2775" t="str">
            <v>60 - 00012R41456</v>
          </cell>
        </row>
        <row r="2776">
          <cell r="H2776">
            <v>0</v>
          </cell>
          <cell r="O2776">
            <v>41456</v>
          </cell>
          <cell r="R2776" t="str">
            <v>41456WACOMAGA</v>
          </cell>
          <cell r="T2776" t="str">
            <v>60 - 00012R41456</v>
          </cell>
        </row>
        <row r="2777">
          <cell r="H2777">
            <v>40477267</v>
          </cell>
          <cell r="O2777">
            <v>41456</v>
          </cell>
          <cell r="R2777" t="str">
            <v>41456WACOM24</v>
          </cell>
          <cell r="T2777" t="str">
            <v>60 - 00012R41456</v>
          </cell>
        </row>
        <row r="2778">
          <cell r="H2778">
            <v>92258</v>
          </cell>
          <cell r="O2778">
            <v>41456</v>
          </cell>
          <cell r="R2778" t="str">
            <v>41456WACOM24</v>
          </cell>
          <cell r="T2778" t="str">
            <v>60 - 00012R41456</v>
          </cell>
        </row>
        <row r="2779">
          <cell r="H2779">
            <v>56634748</v>
          </cell>
          <cell r="O2779">
            <v>41456</v>
          </cell>
          <cell r="R2779" t="str">
            <v>41456WACOM36</v>
          </cell>
          <cell r="T2779" t="str">
            <v>60 - 00012R41456</v>
          </cell>
        </row>
        <row r="2780">
          <cell r="H2780">
            <v>14291742</v>
          </cell>
          <cell r="O2780">
            <v>41456</v>
          </cell>
          <cell r="R2780" t="str">
            <v>41456WACOM48T</v>
          </cell>
          <cell r="T2780" t="str">
            <v>60 - 00012R41456</v>
          </cell>
        </row>
        <row r="2781">
          <cell r="H2781">
            <v>0</v>
          </cell>
          <cell r="O2781">
            <v>41456</v>
          </cell>
          <cell r="R2781" t="str">
            <v>41456WACOMAGA</v>
          </cell>
          <cell r="T2781" t="str">
            <v>60 - 00012R41456</v>
          </cell>
        </row>
        <row r="2782">
          <cell r="H2782">
            <v>0</v>
          </cell>
          <cell r="O2782">
            <v>41456</v>
          </cell>
          <cell r="R2782" t="str">
            <v>41456WACOMAGA</v>
          </cell>
          <cell r="T2782" t="str">
            <v>60 - 00012R41456</v>
          </cell>
        </row>
        <row r="2783">
          <cell r="H2783">
            <v>0</v>
          </cell>
          <cell r="O2783">
            <v>41456</v>
          </cell>
          <cell r="R2783" t="str">
            <v>41456WACOMAGA</v>
          </cell>
          <cell r="T2783" t="str">
            <v>60 - 00012R41456</v>
          </cell>
        </row>
        <row r="2784">
          <cell r="H2784">
            <v>0</v>
          </cell>
          <cell r="O2784">
            <v>41456</v>
          </cell>
          <cell r="R2784" t="str">
            <v>41456WACOMAGA</v>
          </cell>
          <cell r="T2784" t="str">
            <v>60 - 00012R41456</v>
          </cell>
        </row>
        <row r="2785">
          <cell r="H2785">
            <v>0</v>
          </cell>
          <cell r="O2785">
            <v>41456</v>
          </cell>
          <cell r="R2785" t="str">
            <v>41456WACOMAGA</v>
          </cell>
          <cell r="T2785" t="str">
            <v>60 - 00012R41456</v>
          </cell>
        </row>
        <row r="2786">
          <cell r="H2786">
            <v>130232</v>
          </cell>
          <cell r="O2786">
            <v>41456</v>
          </cell>
          <cell r="R2786" t="str">
            <v>41456WACOM15</v>
          </cell>
          <cell r="T2786" t="str">
            <v>60 - 00012R41456</v>
          </cell>
        </row>
        <row r="2787">
          <cell r="H2787">
            <v>32063</v>
          </cell>
          <cell r="O2787">
            <v>41456</v>
          </cell>
          <cell r="R2787" t="str">
            <v>41456WACOM54</v>
          </cell>
          <cell r="T2787" t="str">
            <v>60 - 00012R41456</v>
          </cell>
        </row>
        <row r="2788">
          <cell r="H2788">
            <v>0</v>
          </cell>
          <cell r="O2788">
            <v>41456</v>
          </cell>
          <cell r="R2788" t="str">
            <v>41456WACOMAGA</v>
          </cell>
          <cell r="T2788" t="str">
            <v>60 - 00012R41456</v>
          </cell>
        </row>
        <row r="2789">
          <cell r="H2789">
            <v>56453</v>
          </cell>
          <cell r="O2789">
            <v>41456</v>
          </cell>
          <cell r="R2789" t="str">
            <v>41456WACOM24</v>
          </cell>
          <cell r="T2789" t="str">
            <v>60 - 00012R41456</v>
          </cell>
        </row>
        <row r="2790">
          <cell r="H2790">
            <v>3330289</v>
          </cell>
          <cell r="O2790">
            <v>41456</v>
          </cell>
          <cell r="R2790" t="str">
            <v>41456WACOM24</v>
          </cell>
          <cell r="T2790" t="str">
            <v>60 - 00012R41456</v>
          </cell>
        </row>
        <row r="2791">
          <cell r="H2791">
            <v>8468</v>
          </cell>
          <cell r="O2791">
            <v>41456</v>
          </cell>
          <cell r="R2791" t="str">
            <v>41456WACOM24</v>
          </cell>
          <cell r="T2791" t="str">
            <v>60 - 00012R41456</v>
          </cell>
        </row>
        <row r="2792">
          <cell r="H2792">
            <v>6802186</v>
          </cell>
          <cell r="O2792">
            <v>41456</v>
          </cell>
          <cell r="R2792" t="str">
            <v>41456WACOM36</v>
          </cell>
          <cell r="T2792" t="str">
            <v>60 - 00012R41456</v>
          </cell>
        </row>
        <row r="2793">
          <cell r="H2793">
            <v>47243</v>
          </cell>
          <cell r="O2793">
            <v>41456</v>
          </cell>
          <cell r="R2793" t="str">
            <v>41456WACOM15</v>
          </cell>
          <cell r="T2793" t="str">
            <v>60 - 00012R41456</v>
          </cell>
        </row>
        <row r="2794">
          <cell r="H2794">
            <v>12857</v>
          </cell>
          <cell r="O2794">
            <v>41456</v>
          </cell>
          <cell r="R2794" t="str">
            <v>41456WACOM24</v>
          </cell>
          <cell r="T2794" t="str">
            <v>60 - 00012R41456</v>
          </cell>
        </row>
        <row r="2795">
          <cell r="H2795">
            <v>0</v>
          </cell>
          <cell r="O2795">
            <v>41456</v>
          </cell>
          <cell r="R2795" t="str">
            <v>41456WACOMAGA</v>
          </cell>
          <cell r="T2795" t="str">
            <v>60 - 00012R41456</v>
          </cell>
        </row>
        <row r="2796">
          <cell r="H2796">
            <v>0</v>
          </cell>
          <cell r="O2796">
            <v>41456</v>
          </cell>
          <cell r="R2796" t="str">
            <v>41456WACOMAGA</v>
          </cell>
          <cell r="T2796" t="str">
            <v>60 - 00012R41456</v>
          </cell>
        </row>
        <row r="2797">
          <cell r="H2797">
            <v>109600</v>
          </cell>
          <cell r="O2797">
            <v>41456</v>
          </cell>
          <cell r="R2797" t="str">
            <v>41456WACOM36</v>
          </cell>
          <cell r="T2797" t="str">
            <v>60 - 00012R41456</v>
          </cell>
        </row>
        <row r="2798">
          <cell r="H2798">
            <v>0</v>
          </cell>
          <cell r="O2798">
            <v>41456</v>
          </cell>
          <cell r="R2798" t="str">
            <v>41456WACOMAGA</v>
          </cell>
          <cell r="T2798" t="str">
            <v>60 - 00012R41456</v>
          </cell>
        </row>
        <row r="2799">
          <cell r="H2799">
            <v>410000</v>
          </cell>
          <cell r="O2799">
            <v>41456</v>
          </cell>
          <cell r="R2799" t="str">
            <v>41456WACOM88</v>
          </cell>
          <cell r="T2799" t="str">
            <v>60 - 00012U41456</v>
          </cell>
        </row>
        <row r="2800">
          <cell r="H2800">
            <v>0</v>
          </cell>
          <cell r="O2800">
            <v>41456</v>
          </cell>
          <cell r="R2800" t="str">
            <v/>
          </cell>
          <cell r="T2800" t="str">
            <v>60 - 00012B41456</v>
          </cell>
        </row>
        <row r="2801">
          <cell r="H2801">
            <v>161876</v>
          </cell>
          <cell r="O2801">
            <v>41456</v>
          </cell>
          <cell r="R2801" t="str">
            <v/>
          </cell>
          <cell r="T2801" t="str">
            <v>60 - 00012B41456</v>
          </cell>
        </row>
        <row r="2802">
          <cell r="H2802">
            <v>1705</v>
          </cell>
          <cell r="O2802">
            <v>41456</v>
          </cell>
          <cell r="R2802" t="str">
            <v/>
          </cell>
          <cell r="T2802" t="str">
            <v>60 - 00012B41456</v>
          </cell>
        </row>
        <row r="2803">
          <cell r="H2803">
            <v>134660</v>
          </cell>
          <cell r="O2803">
            <v>41456</v>
          </cell>
          <cell r="R2803" t="str">
            <v/>
          </cell>
          <cell r="T2803" t="str">
            <v>60 - 00012B41456</v>
          </cell>
        </row>
        <row r="2804">
          <cell r="H2804">
            <v>2380</v>
          </cell>
          <cell r="O2804">
            <v>41456</v>
          </cell>
          <cell r="R2804" t="str">
            <v/>
          </cell>
          <cell r="T2804" t="str">
            <v>60 - 00012B41456</v>
          </cell>
        </row>
        <row r="2805">
          <cell r="H2805">
            <v>0</v>
          </cell>
          <cell r="O2805">
            <v>41456</v>
          </cell>
          <cell r="R2805" t="str">
            <v/>
          </cell>
          <cell r="T2805" t="str">
            <v>60 - 00012B41456</v>
          </cell>
        </row>
        <row r="2806">
          <cell r="H2806">
            <v>0</v>
          </cell>
          <cell r="O2806">
            <v>41456</v>
          </cell>
          <cell r="R2806" t="str">
            <v>41456WAINDAGA</v>
          </cell>
          <cell r="T2806" t="str">
            <v>60 - 00012R41456</v>
          </cell>
        </row>
        <row r="2807">
          <cell r="H2807">
            <v>0</v>
          </cell>
          <cell r="O2807">
            <v>41456</v>
          </cell>
          <cell r="R2807" t="str">
            <v>41456WAINDAGA</v>
          </cell>
          <cell r="T2807" t="str">
            <v>60 - 00012R41456</v>
          </cell>
        </row>
        <row r="2808">
          <cell r="H2808">
            <v>0</v>
          </cell>
          <cell r="O2808">
            <v>41456</v>
          </cell>
          <cell r="R2808" t="str">
            <v>41456WAINDAGA</v>
          </cell>
          <cell r="T2808" t="str">
            <v>60 - 00012R41456</v>
          </cell>
        </row>
        <row r="2809">
          <cell r="H2809">
            <v>0</v>
          </cell>
          <cell r="O2809">
            <v>41456</v>
          </cell>
          <cell r="R2809" t="str">
            <v>41456WAINDAGA</v>
          </cell>
          <cell r="T2809" t="str">
            <v>60 - 00012R41456</v>
          </cell>
        </row>
        <row r="2810">
          <cell r="H2810">
            <v>0</v>
          </cell>
          <cell r="O2810">
            <v>41456</v>
          </cell>
          <cell r="R2810" t="str">
            <v>41456WAINDAGA</v>
          </cell>
          <cell r="T2810" t="str">
            <v>60 - 00012R41456</v>
          </cell>
        </row>
        <row r="2811">
          <cell r="H2811">
            <v>1302009</v>
          </cell>
          <cell r="O2811">
            <v>41456</v>
          </cell>
          <cell r="R2811" t="str">
            <v>41456WAIND24</v>
          </cell>
          <cell r="T2811" t="str">
            <v>60 - 00012R41456</v>
          </cell>
        </row>
        <row r="2812">
          <cell r="H2812">
            <v>2776</v>
          </cell>
          <cell r="O2812">
            <v>41456</v>
          </cell>
          <cell r="R2812" t="str">
            <v>41456WAIND24</v>
          </cell>
          <cell r="T2812" t="str">
            <v>60 - 00012R41456</v>
          </cell>
        </row>
        <row r="2813">
          <cell r="H2813">
            <v>7588182</v>
          </cell>
          <cell r="O2813">
            <v>41456</v>
          </cell>
          <cell r="R2813" t="str">
            <v>41456WAIND36</v>
          </cell>
          <cell r="T2813" t="str">
            <v>60 - 00012R41456</v>
          </cell>
        </row>
        <row r="2814">
          <cell r="H2814">
            <v>56991504</v>
          </cell>
          <cell r="O2814">
            <v>41456</v>
          </cell>
          <cell r="R2814" t="str">
            <v>41456WAIND48T</v>
          </cell>
          <cell r="T2814" t="str">
            <v>60 - 00012R41456</v>
          </cell>
        </row>
        <row r="2815">
          <cell r="H2815">
            <v>10056</v>
          </cell>
          <cell r="O2815">
            <v>41456</v>
          </cell>
          <cell r="R2815" t="str">
            <v>41456WAIND15</v>
          </cell>
          <cell r="T2815" t="str">
            <v>60 - 00012R41456</v>
          </cell>
        </row>
        <row r="2816">
          <cell r="H2816">
            <v>135000</v>
          </cell>
          <cell r="O2816">
            <v>41456</v>
          </cell>
          <cell r="R2816" t="str">
            <v>41456WAIND47</v>
          </cell>
          <cell r="T2816" t="str">
            <v>60 - 00012R41456</v>
          </cell>
        </row>
        <row r="2817">
          <cell r="H2817">
            <v>161879</v>
          </cell>
          <cell r="O2817">
            <v>41456</v>
          </cell>
          <cell r="R2817" t="str">
            <v>41456WAIND24</v>
          </cell>
          <cell r="T2817" t="str">
            <v>60 - 00012R41456</v>
          </cell>
        </row>
        <row r="2818">
          <cell r="H2818">
            <v>1705</v>
          </cell>
          <cell r="O2818">
            <v>41456</v>
          </cell>
          <cell r="R2818" t="str">
            <v>41456WAIND24</v>
          </cell>
          <cell r="T2818" t="str">
            <v>60 - 00012R41456</v>
          </cell>
        </row>
        <row r="2819">
          <cell r="H2819">
            <v>134660</v>
          </cell>
          <cell r="O2819">
            <v>41456</v>
          </cell>
          <cell r="R2819" t="str">
            <v>41456WAIND36</v>
          </cell>
          <cell r="T2819" t="str">
            <v>60 - 00012R41456</v>
          </cell>
        </row>
        <row r="2820">
          <cell r="H2820">
            <v>2380</v>
          </cell>
          <cell r="O2820">
            <v>41456</v>
          </cell>
          <cell r="R2820" t="str">
            <v>41456WAIND15</v>
          </cell>
          <cell r="T2820" t="str">
            <v>60 - 00012R41456</v>
          </cell>
        </row>
        <row r="2821">
          <cell r="H2821">
            <v>0</v>
          </cell>
          <cell r="O2821">
            <v>41456</v>
          </cell>
          <cell r="R2821" t="str">
            <v>41456WAINDAGA</v>
          </cell>
          <cell r="T2821" t="str">
            <v>60 - 00012R41456</v>
          </cell>
        </row>
        <row r="2822">
          <cell r="H2822">
            <v>-4598000</v>
          </cell>
          <cell r="O2822">
            <v>41456</v>
          </cell>
          <cell r="R2822" t="str">
            <v>41456WAIND88</v>
          </cell>
          <cell r="T2822" t="str">
            <v>60 - 00012U41456</v>
          </cell>
        </row>
        <row r="2823">
          <cell r="H2823">
            <v>0</v>
          </cell>
          <cell r="O2823">
            <v>41456</v>
          </cell>
          <cell r="R2823" t="str">
            <v/>
          </cell>
          <cell r="T2823" t="str">
            <v>60 - 00012B41456</v>
          </cell>
        </row>
        <row r="2824">
          <cell r="H2824">
            <v>26515577</v>
          </cell>
          <cell r="O2824">
            <v>41456</v>
          </cell>
          <cell r="R2824" t="str">
            <v/>
          </cell>
          <cell r="T2824" t="str">
            <v>60 - 00012B41456</v>
          </cell>
        </row>
        <row r="2825">
          <cell r="H2825">
            <v>-1362430</v>
          </cell>
          <cell r="O2825">
            <v>41456</v>
          </cell>
          <cell r="R2825" t="str">
            <v/>
          </cell>
          <cell r="T2825" t="str">
            <v>60 - 00012B41456</v>
          </cell>
        </row>
        <row r="2826">
          <cell r="H2826">
            <v>0</v>
          </cell>
          <cell r="O2826">
            <v>41456</v>
          </cell>
          <cell r="R2826" t="str">
            <v/>
          </cell>
          <cell r="T2826" t="str">
            <v>60 - 00012B41456</v>
          </cell>
        </row>
        <row r="2827">
          <cell r="H2827">
            <v>0</v>
          </cell>
          <cell r="O2827">
            <v>41456</v>
          </cell>
          <cell r="R2827" t="str">
            <v/>
          </cell>
          <cell r="T2827" t="str">
            <v>60 - 00012B41456</v>
          </cell>
        </row>
        <row r="2828">
          <cell r="H2828">
            <v>0</v>
          </cell>
          <cell r="O2828">
            <v>41456</v>
          </cell>
          <cell r="R2828" t="str">
            <v>41456WAINDAGA</v>
          </cell>
          <cell r="T2828" t="str">
            <v>60 - 00012R41456</v>
          </cell>
        </row>
        <row r="2829">
          <cell r="H2829">
            <v>0</v>
          </cell>
          <cell r="O2829">
            <v>41456</v>
          </cell>
          <cell r="R2829" t="str">
            <v>41456WAINDAGA</v>
          </cell>
          <cell r="T2829" t="str">
            <v>60 - 00012R41456</v>
          </cell>
        </row>
        <row r="2830">
          <cell r="H2830">
            <v>0</v>
          </cell>
          <cell r="O2830">
            <v>41456</v>
          </cell>
          <cell r="R2830" t="str">
            <v>41456WAINDAGA</v>
          </cell>
          <cell r="T2830" t="str">
            <v>60 - 00012R41456</v>
          </cell>
        </row>
        <row r="2831">
          <cell r="H2831">
            <v>0</v>
          </cell>
          <cell r="O2831">
            <v>41456</v>
          </cell>
          <cell r="R2831" t="str">
            <v>41456WAINDAGA</v>
          </cell>
          <cell r="T2831" t="str">
            <v>60 - 00012R41456</v>
          </cell>
        </row>
        <row r="2832">
          <cell r="H2832">
            <v>0</v>
          </cell>
          <cell r="O2832">
            <v>41456</v>
          </cell>
          <cell r="R2832" t="str">
            <v>41456WAINDAGA</v>
          </cell>
          <cell r="T2832" t="str">
            <v>60 - 00012R41456</v>
          </cell>
        </row>
        <row r="2833">
          <cell r="H2833">
            <v>26515739</v>
          </cell>
          <cell r="O2833">
            <v>41456</v>
          </cell>
          <cell r="R2833" t="str">
            <v>41456WAIND40</v>
          </cell>
          <cell r="T2833" t="str">
            <v>60 - 00012R41456</v>
          </cell>
        </row>
        <row r="2834">
          <cell r="H2834">
            <v>812759</v>
          </cell>
          <cell r="O2834">
            <v>41456</v>
          </cell>
          <cell r="R2834" t="str">
            <v>41456WAIND40</v>
          </cell>
          <cell r="T2834" t="str">
            <v>60 - 00012R41456</v>
          </cell>
        </row>
        <row r="2835">
          <cell r="H2835">
            <v>0</v>
          </cell>
          <cell r="O2835">
            <v>41456</v>
          </cell>
          <cell r="R2835" t="str">
            <v>41456WAINDAGA</v>
          </cell>
          <cell r="T2835" t="str">
            <v>60 - 00012R41456</v>
          </cell>
        </row>
        <row r="2836">
          <cell r="H2836">
            <v>0</v>
          </cell>
          <cell r="O2836">
            <v>41456</v>
          </cell>
          <cell r="R2836" t="str">
            <v>41456WAINDAGA</v>
          </cell>
          <cell r="T2836" t="str">
            <v>60 - 00012R41456</v>
          </cell>
        </row>
        <row r="2837">
          <cell r="H2837">
            <v>0</v>
          </cell>
          <cell r="O2837">
            <v>41456</v>
          </cell>
          <cell r="R2837" t="str">
            <v>41456WAINDAGA</v>
          </cell>
          <cell r="T2837" t="str">
            <v>60 - 00012R41456</v>
          </cell>
        </row>
        <row r="2838">
          <cell r="H2838">
            <v>0</v>
          </cell>
          <cell r="O2838">
            <v>41456</v>
          </cell>
          <cell r="R2838" t="str">
            <v>41456WAINDAGA</v>
          </cell>
          <cell r="T2838" t="str">
            <v>60 - 00012R41456</v>
          </cell>
        </row>
        <row r="2839">
          <cell r="H2839">
            <v>0</v>
          </cell>
          <cell r="O2839">
            <v>41456</v>
          </cell>
          <cell r="R2839" t="str">
            <v>41456WAINDAGA</v>
          </cell>
          <cell r="T2839" t="str">
            <v>60 - 00012R41456</v>
          </cell>
        </row>
        <row r="2840">
          <cell r="H2840">
            <v>0</v>
          </cell>
          <cell r="O2840">
            <v>41456</v>
          </cell>
          <cell r="R2840" t="str">
            <v>41456WAINDAGA</v>
          </cell>
          <cell r="T2840" t="str">
            <v>60 - 00012R41456</v>
          </cell>
        </row>
        <row r="2841">
          <cell r="H2841">
            <v>2347</v>
          </cell>
          <cell r="O2841">
            <v>41456</v>
          </cell>
          <cell r="R2841" t="str">
            <v>41456WAIND40</v>
          </cell>
          <cell r="T2841" t="str">
            <v>60 - 00012R41456</v>
          </cell>
        </row>
        <row r="2842">
          <cell r="H2842">
            <v>0</v>
          </cell>
          <cell r="O2842">
            <v>41456</v>
          </cell>
          <cell r="R2842" t="str">
            <v>41456WAINDAGA</v>
          </cell>
          <cell r="T2842" t="str">
            <v>60 - 00012R41456</v>
          </cell>
        </row>
        <row r="2843">
          <cell r="H2843">
            <v>11123000</v>
          </cell>
          <cell r="O2843">
            <v>41456</v>
          </cell>
          <cell r="R2843" t="str">
            <v>41456WAIND89</v>
          </cell>
          <cell r="T2843" t="str">
            <v>60 - 00012U41456</v>
          </cell>
        </row>
        <row r="2844">
          <cell r="H2844">
            <v>0</v>
          </cell>
          <cell r="O2844">
            <v>41456</v>
          </cell>
          <cell r="R2844" t="str">
            <v>41456WAPSHAGA</v>
          </cell>
          <cell r="T2844" t="str">
            <v>60 - 00012R41456</v>
          </cell>
        </row>
        <row r="2845">
          <cell r="H2845">
            <v>0</v>
          </cell>
          <cell r="O2845">
            <v>41456</v>
          </cell>
          <cell r="R2845" t="str">
            <v>41456WAPSHAGA</v>
          </cell>
          <cell r="T2845" t="str">
            <v>60 - 00012R41456</v>
          </cell>
        </row>
        <row r="2846">
          <cell r="H2846">
            <v>0</v>
          </cell>
          <cell r="O2846">
            <v>41456</v>
          </cell>
          <cell r="R2846" t="str">
            <v>41456WAPSHAGA</v>
          </cell>
          <cell r="T2846" t="str">
            <v>60 - 00012R41456</v>
          </cell>
        </row>
        <row r="2847">
          <cell r="H2847">
            <v>0</v>
          </cell>
          <cell r="O2847">
            <v>41456</v>
          </cell>
          <cell r="R2847" t="str">
            <v>41456WAPSHAGA</v>
          </cell>
          <cell r="T2847" t="str">
            <v>60 - 00012R41456</v>
          </cell>
        </row>
        <row r="2848">
          <cell r="H2848">
            <v>18372</v>
          </cell>
          <cell r="O2848">
            <v>41456</v>
          </cell>
          <cell r="R2848" t="str">
            <v>41456WAPSH52</v>
          </cell>
          <cell r="T2848" t="str">
            <v>60 - 00012R41456</v>
          </cell>
        </row>
        <row r="2849">
          <cell r="H2849">
            <v>291082</v>
          </cell>
          <cell r="O2849">
            <v>41456</v>
          </cell>
          <cell r="R2849" t="str">
            <v>41456WAPSH53</v>
          </cell>
          <cell r="T2849" t="str">
            <v>60 - 00012R41456</v>
          </cell>
        </row>
        <row r="2850">
          <cell r="H2850">
            <v>67521</v>
          </cell>
          <cell r="O2850">
            <v>41456</v>
          </cell>
          <cell r="R2850" t="str">
            <v>41456WAPSH53</v>
          </cell>
          <cell r="T2850" t="str">
            <v>60 - 00012R41456</v>
          </cell>
        </row>
        <row r="2851">
          <cell r="H2851">
            <v>306216</v>
          </cell>
          <cell r="O2851">
            <v>41456</v>
          </cell>
          <cell r="R2851" t="str">
            <v>41456WAPSH51</v>
          </cell>
          <cell r="T2851" t="str">
            <v>60 - 00012R41456</v>
          </cell>
        </row>
        <row r="2852">
          <cell r="H2852">
            <v>161818</v>
          </cell>
          <cell r="O2852">
            <v>41456</v>
          </cell>
          <cell r="R2852" t="str">
            <v>41456WAPSH57</v>
          </cell>
          <cell r="T2852" t="str">
            <v>60 - 00012R41456</v>
          </cell>
        </row>
        <row r="2853">
          <cell r="H2853">
            <v>0</v>
          </cell>
          <cell r="O2853">
            <v>41456</v>
          </cell>
          <cell r="R2853" t="str">
            <v>41456WAPSHAGA</v>
          </cell>
          <cell r="T2853" t="str">
            <v>60 - 00012R41456</v>
          </cell>
        </row>
        <row r="2854">
          <cell r="H2854">
            <v>-16000</v>
          </cell>
          <cell r="O2854">
            <v>41456</v>
          </cell>
          <cell r="R2854" t="str">
            <v>41456WAPSH88</v>
          </cell>
          <cell r="T2854" t="str">
            <v>60 - 00012U41456</v>
          </cell>
        </row>
        <row r="2855">
          <cell r="H2855">
            <v>0</v>
          </cell>
          <cell r="O2855">
            <v>41487</v>
          </cell>
          <cell r="R2855" t="str">
            <v/>
          </cell>
          <cell r="T2855" t="str">
            <v>60 - 00003B41487</v>
          </cell>
        </row>
        <row r="2856">
          <cell r="H2856">
            <v>8527</v>
          </cell>
          <cell r="O2856">
            <v>41487</v>
          </cell>
          <cell r="R2856" t="str">
            <v/>
          </cell>
          <cell r="T2856" t="str">
            <v>60 - 00003B41487</v>
          </cell>
        </row>
        <row r="2857">
          <cell r="H2857">
            <v>34829154</v>
          </cell>
          <cell r="O2857">
            <v>41487</v>
          </cell>
          <cell r="R2857" t="str">
            <v/>
          </cell>
          <cell r="T2857" t="str">
            <v>60 - 00003B41487</v>
          </cell>
        </row>
        <row r="2858">
          <cell r="H2858">
            <v>15865093</v>
          </cell>
          <cell r="O2858">
            <v>41487</v>
          </cell>
          <cell r="R2858" t="str">
            <v/>
          </cell>
          <cell r="T2858" t="str">
            <v>60 - 00003B41487</v>
          </cell>
        </row>
        <row r="2859">
          <cell r="H2859">
            <v>123508</v>
          </cell>
          <cell r="O2859">
            <v>41487</v>
          </cell>
          <cell r="R2859" t="str">
            <v/>
          </cell>
          <cell r="T2859" t="str">
            <v>60 - 00003B41487</v>
          </cell>
        </row>
        <row r="2860">
          <cell r="H2860">
            <v>360191</v>
          </cell>
          <cell r="O2860">
            <v>41487</v>
          </cell>
          <cell r="R2860" t="str">
            <v/>
          </cell>
          <cell r="T2860" t="str">
            <v>60 - 00003B41487</v>
          </cell>
        </row>
        <row r="2861">
          <cell r="H2861">
            <v>0</v>
          </cell>
          <cell r="O2861">
            <v>41487</v>
          </cell>
          <cell r="R2861" t="str">
            <v/>
          </cell>
          <cell r="T2861" t="str">
            <v>60 - 00003B41487</v>
          </cell>
        </row>
        <row r="2862">
          <cell r="H2862">
            <v>0</v>
          </cell>
          <cell r="O2862">
            <v>41487</v>
          </cell>
          <cell r="R2862" t="str">
            <v/>
          </cell>
          <cell r="T2862" t="str">
            <v>60 - 00003B41487</v>
          </cell>
        </row>
        <row r="2863">
          <cell r="H2863">
            <v>2012003</v>
          </cell>
          <cell r="O2863">
            <v>41487</v>
          </cell>
          <cell r="R2863" t="str">
            <v/>
          </cell>
          <cell r="T2863" t="str">
            <v>60 - 00003B41487</v>
          </cell>
        </row>
        <row r="2864">
          <cell r="H2864">
            <v>1132349</v>
          </cell>
          <cell r="O2864">
            <v>41487</v>
          </cell>
          <cell r="R2864" t="str">
            <v/>
          </cell>
          <cell r="T2864" t="str">
            <v>60 - 00003B41487</v>
          </cell>
        </row>
        <row r="2865">
          <cell r="H2865">
            <v>915</v>
          </cell>
          <cell r="O2865">
            <v>41487</v>
          </cell>
          <cell r="R2865" t="str">
            <v/>
          </cell>
          <cell r="T2865" t="str">
            <v>60 - 00003B41487</v>
          </cell>
        </row>
        <row r="2866">
          <cell r="H2866">
            <v>0</v>
          </cell>
          <cell r="O2866">
            <v>41487</v>
          </cell>
          <cell r="R2866" t="str">
            <v/>
          </cell>
          <cell r="T2866" t="str">
            <v>60 - 00003B41487</v>
          </cell>
        </row>
        <row r="2867">
          <cell r="H2867">
            <v>0</v>
          </cell>
          <cell r="O2867">
            <v>41487</v>
          </cell>
          <cell r="R2867" t="str">
            <v/>
          </cell>
          <cell r="T2867" t="str">
            <v>60 - 00003B41487</v>
          </cell>
        </row>
        <row r="2868">
          <cell r="H2868">
            <v>255204</v>
          </cell>
          <cell r="O2868">
            <v>41487</v>
          </cell>
          <cell r="R2868" t="str">
            <v/>
          </cell>
          <cell r="T2868" t="str">
            <v>60 - 00003B41487</v>
          </cell>
        </row>
        <row r="2869">
          <cell r="H2869">
            <v>226617</v>
          </cell>
          <cell r="O2869">
            <v>41487</v>
          </cell>
          <cell r="R2869" t="str">
            <v/>
          </cell>
          <cell r="T2869" t="str">
            <v>60 - 00003B41487</v>
          </cell>
        </row>
        <row r="2870">
          <cell r="H2870">
            <v>39</v>
          </cell>
          <cell r="O2870">
            <v>41487</v>
          </cell>
          <cell r="R2870" t="str">
            <v/>
          </cell>
          <cell r="T2870" t="str">
            <v>60 - 00003B41487</v>
          </cell>
        </row>
        <row r="2871">
          <cell r="H2871">
            <v>0</v>
          </cell>
          <cell r="O2871">
            <v>41487</v>
          </cell>
          <cell r="R2871" t="str">
            <v/>
          </cell>
          <cell r="T2871" t="str">
            <v>60 - 00003B41487</v>
          </cell>
        </row>
        <row r="2872">
          <cell r="H2872">
            <v>0</v>
          </cell>
          <cell r="O2872">
            <v>41487</v>
          </cell>
          <cell r="R2872" t="str">
            <v/>
          </cell>
          <cell r="T2872" t="str">
            <v>60 - 00003B41487</v>
          </cell>
        </row>
        <row r="2873">
          <cell r="H2873">
            <v>3602124</v>
          </cell>
          <cell r="O2873">
            <v>41487</v>
          </cell>
          <cell r="R2873" t="str">
            <v/>
          </cell>
          <cell r="T2873" t="str">
            <v>60 - 00003B41487</v>
          </cell>
        </row>
        <row r="2874">
          <cell r="H2874">
            <v>1162</v>
          </cell>
          <cell r="O2874">
            <v>41487</v>
          </cell>
          <cell r="R2874" t="str">
            <v/>
          </cell>
          <cell r="T2874" t="str">
            <v>60 - 00003B41487</v>
          </cell>
        </row>
        <row r="2875">
          <cell r="H2875">
            <v>-38261438</v>
          </cell>
          <cell r="O2875">
            <v>41487</v>
          </cell>
          <cell r="R2875" t="str">
            <v/>
          </cell>
          <cell r="T2875" t="str">
            <v>60 - 00003B41487</v>
          </cell>
        </row>
        <row r="2876">
          <cell r="H2876">
            <v>96319888</v>
          </cell>
          <cell r="O2876">
            <v>41487</v>
          </cell>
          <cell r="R2876" t="str">
            <v/>
          </cell>
          <cell r="T2876" t="str">
            <v>60 - 00003B41487</v>
          </cell>
        </row>
        <row r="2877">
          <cell r="H2877">
            <v>983678</v>
          </cell>
          <cell r="O2877">
            <v>41487</v>
          </cell>
          <cell r="R2877" t="str">
            <v/>
          </cell>
          <cell r="T2877" t="str">
            <v>60 - 00003B41487</v>
          </cell>
        </row>
        <row r="2878">
          <cell r="H2878">
            <v>2794</v>
          </cell>
          <cell r="O2878">
            <v>41487</v>
          </cell>
          <cell r="R2878" t="str">
            <v/>
          </cell>
          <cell r="T2878" t="str">
            <v>60 - 00003B41487</v>
          </cell>
        </row>
        <row r="2879">
          <cell r="H2879">
            <v>375878</v>
          </cell>
          <cell r="O2879">
            <v>41487</v>
          </cell>
          <cell r="R2879" t="str">
            <v/>
          </cell>
          <cell r="T2879" t="str">
            <v>60 - 00003B41487</v>
          </cell>
        </row>
        <row r="2880">
          <cell r="H2880">
            <v>0</v>
          </cell>
          <cell r="O2880">
            <v>41487</v>
          </cell>
          <cell r="R2880" t="str">
            <v/>
          </cell>
          <cell r="T2880" t="str">
            <v>60 - 00003B41487</v>
          </cell>
        </row>
        <row r="2881">
          <cell r="H2881">
            <v>0</v>
          </cell>
          <cell r="O2881">
            <v>41487</v>
          </cell>
          <cell r="R2881" t="str">
            <v/>
          </cell>
          <cell r="T2881" t="str">
            <v>60 - 00011B41487</v>
          </cell>
        </row>
        <row r="2882">
          <cell r="H2882">
            <v>314405698</v>
          </cell>
          <cell r="O2882">
            <v>41487</v>
          </cell>
          <cell r="R2882" t="str">
            <v/>
          </cell>
          <cell r="T2882" t="str">
            <v>60 - 00011B41487</v>
          </cell>
        </row>
        <row r="2883">
          <cell r="H2883">
            <v>795047</v>
          </cell>
          <cell r="O2883">
            <v>41487</v>
          </cell>
          <cell r="R2883" t="str">
            <v/>
          </cell>
          <cell r="T2883" t="str">
            <v>60 - 00011B41487</v>
          </cell>
        </row>
        <row r="2884">
          <cell r="H2884">
            <v>875576</v>
          </cell>
          <cell r="O2884">
            <v>41487</v>
          </cell>
          <cell r="R2884" t="str">
            <v/>
          </cell>
          <cell r="T2884" t="str">
            <v>60 - 00011B41487</v>
          </cell>
        </row>
        <row r="2885">
          <cell r="H2885">
            <v>6260</v>
          </cell>
          <cell r="O2885">
            <v>41487</v>
          </cell>
          <cell r="R2885" t="str">
            <v/>
          </cell>
          <cell r="T2885" t="str">
            <v>60 - 00011B41487</v>
          </cell>
        </row>
        <row r="2886">
          <cell r="H2886">
            <v>211718</v>
          </cell>
          <cell r="O2886">
            <v>41487</v>
          </cell>
          <cell r="R2886" t="str">
            <v/>
          </cell>
          <cell r="T2886" t="str">
            <v>60 - 00011B41487</v>
          </cell>
        </row>
        <row r="2887">
          <cell r="H2887">
            <v>194937</v>
          </cell>
          <cell r="O2887">
            <v>41487</v>
          </cell>
          <cell r="R2887" t="str">
            <v/>
          </cell>
          <cell r="T2887" t="str">
            <v>60 - 00011B41487</v>
          </cell>
        </row>
        <row r="2888">
          <cell r="H2888">
            <v>2257306</v>
          </cell>
          <cell r="O2888">
            <v>41487</v>
          </cell>
          <cell r="R2888" t="str">
            <v/>
          </cell>
          <cell r="T2888" t="str">
            <v>60 - 00011B41487</v>
          </cell>
        </row>
        <row r="2889">
          <cell r="H2889">
            <v>0</v>
          </cell>
          <cell r="O2889">
            <v>41487</v>
          </cell>
          <cell r="R2889" t="str">
            <v/>
          </cell>
          <cell r="T2889" t="str">
            <v>60 - 00011B41487</v>
          </cell>
        </row>
        <row r="2890">
          <cell r="H2890">
            <v>0</v>
          </cell>
          <cell r="O2890">
            <v>41487</v>
          </cell>
          <cell r="R2890" t="str">
            <v/>
          </cell>
          <cell r="T2890" t="str">
            <v>60 - 00011B41487</v>
          </cell>
        </row>
        <row r="2891">
          <cell r="H2891">
            <v>5574168</v>
          </cell>
          <cell r="O2891">
            <v>41487</v>
          </cell>
          <cell r="R2891" t="str">
            <v/>
          </cell>
          <cell r="T2891" t="str">
            <v>60 - 00011B41487</v>
          </cell>
        </row>
        <row r="2892">
          <cell r="H2892">
            <v>42532</v>
          </cell>
          <cell r="O2892">
            <v>41487</v>
          </cell>
          <cell r="R2892" t="str">
            <v/>
          </cell>
          <cell r="T2892" t="str">
            <v>60 - 00011B41487</v>
          </cell>
        </row>
        <row r="2893">
          <cell r="H2893">
            <v>11202196</v>
          </cell>
          <cell r="O2893">
            <v>41487</v>
          </cell>
          <cell r="R2893" t="str">
            <v/>
          </cell>
          <cell r="T2893" t="str">
            <v>60 - 00011B41487</v>
          </cell>
        </row>
        <row r="2894">
          <cell r="H2894">
            <v>3455835</v>
          </cell>
          <cell r="O2894">
            <v>41487</v>
          </cell>
          <cell r="R2894" t="str">
            <v/>
          </cell>
          <cell r="T2894" t="str">
            <v>60 - 00011B41487</v>
          </cell>
        </row>
        <row r="2895">
          <cell r="H2895">
            <v>258600</v>
          </cell>
          <cell r="O2895">
            <v>41487</v>
          </cell>
          <cell r="R2895" t="str">
            <v/>
          </cell>
          <cell r="T2895" t="str">
            <v>60 - 00011B41487</v>
          </cell>
        </row>
        <row r="2896">
          <cell r="H2896">
            <v>5244</v>
          </cell>
          <cell r="O2896">
            <v>41487</v>
          </cell>
          <cell r="R2896" t="str">
            <v/>
          </cell>
          <cell r="T2896" t="str">
            <v>60 - 00011B41487</v>
          </cell>
        </row>
        <row r="2897">
          <cell r="H2897">
            <v>21582</v>
          </cell>
          <cell r="O2897">
            <v>41487</v>
          </cell>
          <cell r="R2897" t="str">
            <v/>
          </cell>
          <cell r="T2897" t="str">
            <v>60 - 00011B41487</v>
          </cell>
        </row>
        <row r="2898">
          <cell r="H2898">
            <v>92416</v>
          </cell>
          <cell r="O2898">
            <v>41487</v>
          </cell>
          <cell r="R2898" t="str">
            <v/>
          </cell>
          <cell r="T2898" t="str">
            <v>60 - 00011B41487</v>
          </cell>
        </row>
        <row r="2899">
          <cell r="H2899">
            <v>128981</v>
          </cell>
          <cell r="O2899">
            <v>41487</v>
          </cell>
          <cell r="R2899" t="str">
            <v/>
          </cell>
          <cell r="T2899" t="str">
            <v>60 - 00011B41487</v>
          </cell>
        </row>
        <row r="2900">
          <cell r="H2900">
            <v>31441</v>
          </cell>
          <cell r="O2900">
            <v>41487</v>
          </cell>
          <cell r="R2900" t="str">
            <v/>
          </cell>
          <cell r="T2900" t="str">
            <v>60 - 00011B41487</v>
          </cell>
        </row>
        <row r="2901">
          <cell r="H2901">
            <v>0</v>
          </cell>
          <cell r="O2901">
            <v>41487</v>
          </cell>
          <cell r="R2901" t="str">
            <v/>
          </cell>
          <cell r="T2901" t="str">
            <v>60 - 00011B41487</v>
          </cell>
        </row>
        <row r="2902">
          <cell r="H2902">
            <v>0</v>
          </cell>
          <cell r="O2902">
            <v>41487</v>
          </cell>
          <cell r="R2902" t="str">
            <v/>
          </cell>
          <cell r="T2902" t="str">
            <v>60 - 00011B41487</v>
          </cell>
        </row>
        <row r="2903">
          <cell r="H2903">
            <v>41858</v>
          </cell>
          <cell r="O2903">
            <v>41487</v>
          </cell>
          <cell r="R2903" t="str">
            <v/>
          </cell>
          <cell r="T2903" t="str">
            <v>60 - 00011B41487</v>
          </cell>
        </row>
        <row r="2904">
          <cell r="H2904">
            <v>49712</v>
          </cell>
          <cell r="O2904">
            <v>41487</v>
          </cell>
          <cell r="R2904" t="str">
            <v/>
          </cell>
          <cell r="T2904" t="str">
            <v>60 - 00011B41487</v>
          </cell>
        </row>
        <row r="2905">
          <cell r="H2905">
            <v>380</v>
          </cell>
          <cell r="O2905">
            <v>41487</v>
          </cell>
          <cell r="R2905" t="str">
            <v/>
          </cell>
          <cell r="T2905" t="str">
            <v>60 - 00011B41487</v>
          </cell>
        </row>
        <row r="2906">
          <cell r="H2906">
            <v>0</v>
          </cell>
          <cell r="O2906">
            <v>41487</v>
          </cell>
          <cell r="R2906" t="str">
            <v/>
          </cell>
          <cell r="T2906" t="str">
            <v>60 - 00011B41487</v>
          </cell>
        </row>
        <row r="2907">
          <cell r="H2907">
            <v>0</v>
          </cell>
          <cell r="O2907">
            <v>41487</v>
          </cell>
          <cell r="R2907" t="str">
            <v/>
          </cell>
          <cell r="T2907" t="str">
            <v>60 - 00011B41487</v>
          </cell>
        </row>
        <row r="2908">
          <cell r="H2908">
            <v>11863399</v>
          </cell>
          <cell r="O2908">
            <v>41487</v>
          </cell>
          <cell r="R2908" t="str">
            <v/>
          </cell>
          <cell r="T2908" t="str">
            <v>60 - 00011B41487</v>
          </cell>
        </row>
        <row r="2909">
          <cell r="H2909">
            <v>-3743943</v>
          </cell>
          <cell r="O2909">
            <v>41487</v>
          </cell>
          <cell r="R2909" t="str">
            <v/>
          </cell>
          <cell r="T2909" t="str">
            <v>60 - 00011B41487</v>
          </cell>
        </row>
        <row r="2910">
          <cell r="H2910">
            <v>120619</v>
          </cell>
          <cell r="O2910">
            <v>41487</v>
          </cell>
          <cell r="R2910" t="str">
            <v/>
          </cell>
          <cell r="T2910" t="str">
            <v>60 - 00011B41487</v>
          </cell>
        </row>
        <row r="2911">
          <cell r="H2911">
            <v>20137858</v>
          </cell>
          <cell r="O2911">
            <v>41487</v>
          </cell>
          <cell r="R2911" t="str">
            <v/>
          </cell>
          <cell r="T2911" t="str">
            <v>60 - 00011B41487</v>
          </cell>
        </row>
        <row r="2912">
          <cell r="H2912">
            <v>4427</v>
          </cell>
          <cell r="O2912">
            <v>41487</v>
          </cell>
          <cell r="R2912" t="str">
            <v/>
          </cell>
          <cell r="T2912" t="str">
            <v>60 - 00011B41487</v>
          </cell>
        </row>
        <row r="2913">
          <cell r="H2913">
            <v>1868000</v>
          </cell>
          <cell r="O2913">
            <v>41487</v>
          </cell>
          <cell r="R2913" t="str">
            <v/>
          </cell>
          <cell r="T2913" t="str">
            <v>60 - 00011B41487</v>
          </cell>
        </row>
        <row r="2914">
          <cell r="H2914">
            <v>139428</v>
          </cell>
          <cell r="O2914">
            <v>41487</v>
          </cell>
          <cell r="R2914" t="str">
            <v/>
          </cell>
          <cell r="T2914" t="str">
            <v>60 - 00011B41487</v>
          </cell>
        </row>
        <row r="2915">
          <cell r="H2915">
            <v>15446</v>
          </cell>
          <cell r="O2915">
            <v>41487</v>
          </cell>
          <cell r="R2915" t="str">
            <v/>
          </cell>
          <cell r="T2915" t="str">
            <v>60 - 00011B41487</v>
          </cell>
        </row>
        <row r="2916">
          <cell r="H2916">
            <v>0</v>
          </cell>
          <cell r="O2916">
            <v>41487</v>
          </cell>
          <cell r="R2916" t="str">
            <v/>
          </cell>
          <cell r="T2916" t="str">
            <v>60 - 00011B41487</v>
          </cell>
        </row>
        <row r="2917">
          <cell r="H2917">
            <v>8518904</v>
          </cell>
          <cell r="O2917">
            <v>41487</v>
          </cell>
          <cell r="R2917" t="str">
            <v/>
          </cell>
          <cell r="T2917" t="str">
            <v>60 - 00011B41487</v>
          </cell>
        </row>
        <row r="2918">
          <cell r="H2918">
            <v>10498744</v>
          </cell>
          <cell r="O2918">
            <v>41487</v>
          </cell>
          <cell r="R2918" t="str">
            <v/>
          </cell>
          <cell r="T2918" t="str">
            <v>60 - 00011B41487</v>
          </cell>
        </row>
        <row r="2919">
          <cell r="H2919">
            <v>1351716</v>
          </cell>
          <cell r="O2919">
            <v>41487</v>
          </cell>
          <cell r="R2919" t="str">
            <v/>
          </cell>
          <cell r="T2919" t="str">
            <v>60 - 00011B41487</v>
          </cell>
        </row>
        <row r="2920">
          <cell r="H2920">
            <v>0</v>
          </cell>
          <cell r="O2920">
            <v>41487</v>
          </cell>
          <cell r="R2920" t="str">
            <v/>
          </cell>
          <cell r="T2920" t="str">
            <v>60 - 00011B41487</v>
          </cell>
        </row>
        <row r="2921">
          <cell r="H2921">
            <v>0</v>
          </cell>
          <cell r="O2921">
            <v>41487</v>
          </cell>
          <cell r="R2921" t="str">
            <v/>
          </cell>
          <cell r="T2921" t="str">
            <v>60 - 00012B41487</v>
          </cell>
        </row>
        <row r="2922">
          <cell r="H2922">
            <v>125083233</v>
          </cell>
          <cell r="O2922">
            <v>41487</v>
          </cell>
          <cell r="R2922" t="str">
            <v/>
          </cell>
          <cell r="T2922" t="str">
            <v>60 - 00012B41487</v>
          </cell>
        </row>
        <row r="2923">
          <cell r="H2923">
            <v>207088</v>
          </cell>
          <cell r="O2923">
            <v>41487</v>
          </cell>
          <cell r="R2923" t="str">
            <v/>
          </cell>
          <cell r="T2923" t="str">
            <v>60 - 00012B41487</v>
          </cell>
        </row>
        <row r="2924">
          <cell r="H2924">
            <v>46716</v>
          </cell>
          <cell r="O2924">
            <v>41487</v>
          </cell>
          <cell r="R2924" t="str">
            <v/>
          </cell>
          <cell r="T2924" t="str">
            <v>60 - 00012B41487</v>
          </cell>
        </row>
        <row r="2925">
          <cell r="H2925">
            <v>4099097</v>
          </cell>
          <cell r="O2925">
            <v>41487</v>
          </cell>
          <cell r="R2925" t="str">
            <v/>
          </cell>
          <cell r="T2925" t="str">
            <v>60 - 00012B41487</v>
          </cell>
        </row>
        <row r="2926">
          <cell r="H2926">
            <v>86810</v>
          </cell>
          <cell r="O2926">
            <v>41487</v>
          </cell>
          <cell r="R2926" t="str">
            <v/>
          </cell>
          <cell r="T2926" t="str">
            <v>60 - 00012B41487</v>
          </cell>
        </row>
        <row r="2927">
          <cell r="H2927">
            <v>108631</v>
          </cell>
          <cell r="O2927">
            <v>41487</v>
          </cell>
          <cell r="R2927" t="str">
            <v/>
          </cell>
          <cell r="T2927" t="str">
            <v>60 - 00012B41487</v>
          </cell>
        </row>
        <row r="2928">
          <cell r="H2928">
            <v>607623</v>
          </cell>
          <cell r="O2928">
            <v>41487</v>
          </cell>
          <cell r="R2928" t="str">
            <v/>
          </cell>
          <cell r="T2928" t="str">
            <v>60 - 00012B41487</v>
          </cell>
        </row>
        <row r="2929">
          <cell r="H2929">
            <v>0</v>
          </cell>
          <cell r="O2929">
            <v>41487</v>
          </cell>
          <cell r="R2929" t="str">
            <v/>
          </cell>
          <cell r="T2929" t="str">
            <v>60 - 00012B41487</v>
          </cell>
        </row>
        <row r="2930">
          <cell r="H2930">
            <v>0</v>
          </cell>
          <cell r="O2930">
            <v>41487</v>
          </cell>
          <cell r="R2930" t="str">
            <v/>
          </cell>
          <cell r="T2930" t="str">
            <v>60 - 00012B41487</v>
          </cell>
        </row>
        <row r="2931">
          <cell r="H2931">
            <v>3815204</v>
          </cell>
          <cell r="O2931">
            <v>41487</v>
          </cell>
          <cell r="R2931" t="str">
            <v/>
          </cell>
          <cell r="T2931" t="str">
            <v>60 - 00012B41487</v>
          </cell>
        </row>
        <row r="2932">
          <cell r="H2932">
            <v>6888</v>
          </cell>
          <cell r="O2932">
            <v>41487</v>
          </cell>
          <cell r="R2932" t="str">
            <v/>
          </cell>
          <cell r="T2932" t="str">
            <v>60 - 00012B41487</v>
          </cell>
        </row>
        <row r="2933">
          <cell r="H2933">
            <v>7785934</v>
          </cell>
          <cell r="O2933">
            <v>41487</v>
          </cell>
          <cell r="R2933" t="str">
            <v/>
          </cell>
          <cell r="T2933" t="str">
            <v>60 - 00012B41487</v>
          </cell>
        </row>
        <row r="2934">
          <cell r="H2934">
            <v>47141</v>
          </cell>
          <cell r="O2934">
            <v>41487</v>
          </cell>
          <cell r="R2934" t="str">
            <v/>
          </cell>
          <cell r="T2934" t="str">
            <v>60 - 00012B41487</v>
          </cell>
        </row>
        <row r="2935">
          <cell r="H2935">
            <v>72</v>
          </cell>
          <cell r="O2935">
            <v>41487</v>
          </cell>
          <cell r="R2935" t="str">
            <v/>
          </cell>
          <cell r="T2935" t="str">
            <v>60 - 00012B41487</v>
          </cell>
        </row>
        <row r="2936">
          <cell r="H2936">
            <v>0</v>
          </cell>
          <cell r="O2936">
            <v>41487</v>
          </cell>
          <cell r="R2936" t="str">
            <v/>
          </cell>
          <cell r="T2936" t="str">
            <v>60 - 00012B41487</v>
          </cell>
        </row>
        <row r="2937">
          <cell r="H2937">
            <v>0</v>
          </cell>
          <cell r="O2937">
            <v>41487</v>
          </cell>
          <cell r="R2937" t="str">
            <v/>
          </cell>
          <cell r="T2937" t="str">
            <v>60 - 00012B41487</v>
          </cell>
        </row>
        <row r="2938">
          <cell r="H2938">
            <v>0</v>
          </cell>
          <cell r="O2938">
            <v>41487</v>
          </cell>
          <cell r="R2938" t="str">
            <v/>
          </cell>
          <cell r="T2938" t="str">
            <v>60 - 00012B41487</v>
          </cell>
        </row>
        <row r="2939">
          <cell r="H2939">
            <v>188035</v>
          </cell>
          <cell r="O2939">
            <v>41487</v>
          </cell>
          <cell r="R2939" t="str">
            <v/>
          </cell>
          <cell r="T2939" t="str">
            <v>60 - 00012B41487</v>
          </cell>
        </row>
        <row r="2940">
          <cell r="H2940">
            <v>1199</v>
          </cell>
          <cell r="O2940">
            <v>41487</v>
          </cell>
          <cell r="R2940" t="str">
            <v/>
          </cell>
          <cell r="T2940" t="str">
            <v>60 - 00012B41487</v>
          </cell>
        </row>
        <row r="2941">
          <cell r="H2941">
            <v>305220</v>
          </cell>
          <cell r="O2941">
            <v>41487</v>
          </cell>
          <cell r="R2941" t="str">
            <v/>
          </cell>
          <cell r="T2941" t="str">
            <v>60 - 00012B41487</v>
          </cell>
        </row>
        <row r="2942">
          <cell r="H2942">
            <v>2380</v>
          </cell>
          <cell r="O2942">
            <v>41487</v>
          </cell>
          <cell r="R2942" t="str">
            <v/>
          </cell>
          <cell r="T2942" t="str">
            <v>60 - 00012B41487</v>
          </cell>
        </row>
        <row r="2943">
          <cell r="H2943">
            <v>0</v>
          </cell>
          <cell r="O2943">
            <v>41487</v>
          </cell>
          <cell r="R2943" t="str">
            <v/>
          </cell>
          <cell r="T2943" t="str">
            <v>60 - 00012B41487</v>
          </cell>
        </row>
        <row r="2944">
          <cell r="H2944">
            <v>0</v>
          </cell>
          <cell r="O2944">
            <v>41487</v>
          </cell>
          <cell r="R2944" t="str">
            <v/>
          </cell>
          <cell r="T2944" t="str">
            <v>60 - 00012B41487</v>
          </cell>
        </row>
        <row r="2945">
          <cell r="H2945">
            <v>34384358</v>
          </cell>
          <cell r="O2945">
            <v>41487</v>
          </cell>
          <cell r="R2945" t="str">
            <v/>
          </cell>
          <cell r="T2945" t="str">
            <v>60 - 00012B41487</v>
          </cell>
        </row>
        <row r="2946">
          <cell r="H2946">
            <v>-1878286</v>
          </cell>
          <cell r="O2946">
            <v>41487</v>
          </cell>
          <cell r="R2946" t="str">
            <v/>
          </cell>
          <cell r="T2946" t="str">
            <v>60 - 00012B41487</v>
          </cell>
        </row>
        <row r="2947">
          <cell r="H2947">
            <v>1288</v>
          </cell>
          <cell r="O2947">
            <v>41487</v>
          </cell>
          <cell r="R2947" t="str">
            <v/>
          </cell>
          <cell r="T2947" t="str">
            <v>60 - 00012B41487</v>
          </cell>
        </row>
        <row r="2948">
          <cell r="H2948">
            <v>0</v>
          </cell>
          <cell r="O2948">
            <v>41487</v>
          </cell>
          <cell r="R2948" t="str">
            <v/>
          </cell>
          <cell r="T2948" t="str">
            <v>60 - 00012B41487</v>
          </cell>
        </row>
        <row r="2949">
          <cell r="H2949">
            <v>0</v>
          </cell>
          <cell r="O2949">
            <v>0</v>
          </cell>
        </row>
        <row r="2950">
          <cell r="H2950">
            <v>8527</v>
          </cell>
          <cell r="O2950">
            <v>0</v>
          </cell>
        </row>
        <row r="2951">
          <cell r="H2951">
            <v>34829154</v>
          </cell>
          <cell r="O2951">
            <v>0</v>
          </cell>
        </row>
        <row r="2952">
          <cell r="H2952">
            <v>15865093</v>
          </cell>
          <cell r="O2952">
            <v>0</v>
          </cell>
        </row>
        <row r="2953">
          <cell r="H2953">
            <v>123508</v>
          </cell>
          <cell r="O2953">
            <v>0</v>
          </cell>
        </row>
        <row r="2954">
          <cell r="H2954">
            <v>360191</v>
          </cell>
          <cell r="O2954">
            <v>0</v>
          </cell>
        </row>
        <row r="2955">
          <cell r="H2955">
            <v>0</v>
          </cell>
          <cell r="O2955">
            <v>0</v>
          </cell>
        </row>
        <row r="2956">
          <cell r="H2956">
            <v>0</v>
          </cell>
          <cell r="O2956">
            <v>0</v>
          </cell>
        </row>
        <row r="2957">
          <cell r="H2957">
            <v>2012003</v>
          </cell>
          <cell r="O2957">
            <v>0</v>
          </cell>
        </row>
        <row r="2958">
          <cell r="H2958">
            <v>1132349</v>
          </cell>
          <cell r="O2958">
            <v>0</v>
          </cell>
        </row>
        <row r="2959">
          <cell r="H2959">
            <v>915</v>
          </cell>
          <cell r="O2959">
            <v>0</v>
          </cell>
        </row>
        <row r="2960">
          <cell r="H2960">
            <v>0</v>
          </cell>
          <cell r="O2960">
            <v>0</v>
          </cell>
        </row>
        <row r="2961">
          <cell r="H2961">
            <v>0</v>
          </cell>
          <cell r="O2961">
            <v>0</v>
          </cell>
        </row>
        <row r="2962">
          <cell r="H2962">
            <v>255204</v>
          </cell>
          <cell r="O2962">
            <v>0</v>
          </cell>
        </row>
        <row r="2963">
          <cell r="H2963">
            <v>226617</v>
          </cell>
          <cell r="O2963">
            <v>0</v>
          </cell>
        </row>
        <row r="2964">
          <cell r="H2964">
            <v>39</v>
          </cell>
          <cell r="O2964">
            <v>0</v>
          </cell>
        </row>
        <row r="2965">
          <cell r="H2965">
            <v>0</v>
          </cell>
          <cell r="O2965">
            <v>0</v>
          </cell>
        </row>
        <row r="2966">
          <cell r="H2966">
            <v>0</v>
          </cell>
          <cell r="O2966">
            <v>0</v>
          </cell>
        </row>
        <row r="2967">
          <cell r="H2967">
            <v>3602124</v>
          </cell>
          <cell r="O2967">
            <v>0</v>
          </cell>
        </row>
        <row r="2968">
          <cell r="H2968">
            <v>1162</v>
          </cell>
          <cell r="O2968">
            <v>0</v>
          </cell>
        </row>
        <row r="2969">
          <cell r="H2969">
            <v>-38261438</v>
          </cell>
          <cell r="O2969">
            <v>0</v>
          </cell>
        </row>
        <row r="2970">
          <cell r="H2970">
            <v>96319888</v>
          </cell>
          <cell r="O2970">
            <v>0</v>
          </cell>
        </row>
        <row r="2971">
          <cell r="H2971">
            <v>983678</v>
          </cell>
          <cell r="O2971">
            <v>0</v>
          </cell>
        </row>
        <row r="2972">
          <cell r="H2972">
            <v>2794</v>
          </cell>
          <cell r="O2972">
            <v>0</v>
          </cell>
        </row>
        <row r="2973">
          <cell r="H2973">
            <v>375878</v>
          </cell>
          <cell r="O2973">
            <v>0</v>
          </cell>
        </row>
        <row r="2974">
          <cell r="H2974">
            <v>0</v>
          </cell>
          <cell r="O2974">
            <v>0</v>
          </cell>
        </row>
        <row r="2975">
          <cell r="H2975">
            <v>0</v>
          </cell>
          <cell r="O2975">
            <v>0</v>
          </cell>
        </row>
        <row r="2976">
          <cell r="H2976">
            <v>314405698</v>
          </cell>
          <cell r="O2976">
            <v>0</v>
          </cell>
        </row>
        <row r="2977">
          <cell r="H2977">
            <v>795047</v>
          </cell>
          <cell r="O2977">
            <v>0</v>
          </cell>
        </row>
        <row r="2978">
          <cell r="H2978">
            <v>875576</v>
          </cell>
          <cell r="O2978">
            <v>0</v>
          </cell>
        </row>
        <row r="2979">
          <cell r="H2979">
            <v>6260</v>
          </cell>
          <cell r="O2979">
            <v>0</v>
          </cell>
        </row>
        <row r="2980">
          <cell r="H2980">
            <v>211718</v>
          </cell>
          <cell r="O2980">
            <v>0</v>
          </cell>
        </row>
        <row r="2981">
          <cell r="H2981">
            <v>194937</v>
          </cell>
          <cell r="O2981">
            <v>0</v>
          </cell>
        </row>
        <row r="2982">
          <cell r="H2982">
            <v>2257306</v>
          </cell>
          <cell r="O2982">
            <v>0</v>
          </cell>
        </row>
        <row r="2983">
          <cell r="H2983">
            <v>0</v>
          </cell>
          <cell r="O2983">
            <v>0</v>
          </cell>
        </row>
        <row r="2984">
          <cell r="H2984">
            <v>0</v>
          </cell>
          <cell r="O2984">
            <v>0</v>
          </cell>
        </row>
        <row r="2985">
          <cell r="H2985">
            <v>5574168</v>
          </cell>
          <cell r="O2985">
            <v>0</v>
          </cell>
        </row>
        <row r="2986">
          <cell r="H2986">
            <v>42532</v>
          </cell>
          <cell r="O2986">
            <v>0</v>
          </cell>
        </row>
        <row r="2987">
          <cell r="H2987">
            <v>11202196</v>
          </cell>
          <cell r="O2987">
            <v>0</v>
          </cell>
        </row>
        <row r="2988">
          <cell r="H2988">
            <v>3455835</v>
          </cell>
          <cell r="O2988">
            <v>0</v>
          </cell>
        </row>
        <row r="2989">
          <cell r="H2989">
            <v>258600</v>
          </cell>
          <cell r="O2989">
            <v>0</v>
          </cell>
        </row>
        <row r="2990">
          <cell r="H2990">
            <v>5244</v>
          </cell>
          <cell r="O2990">
            <v>0</v>
          </cell>
        </row>
        <row r="2991">
          <cell r="H2991">
            <v>21582</v>
          </cell>
          <cell r="O2991">
            <v>0</v>
          </cell>
        </row>
        <row r="2992">
          <cell r="H2992">
            <v>92416</v>
          </cell>
          <cell r="O2992">
            <v>0</v>
          </cell>
        </row>
        <row r="2993">
          <cell r="H2993">
            <v>128981</v>
          </cell>
          <cell r="O2993">
            <v>0</v>
          </cell>
        </row>
        <row r="2994">
          <cell r="H2994">
            <v>31441</v>
          </cell>
          <cell r="O2994">
            <v>0</v>
          </cell>
        </row>
        <row r="2995">
          <cell r="H2995">
            <v>0</v>
          </cell>
          <cell r="O2995">
            <v>0</v>
          </cell>
        </row>
        <row r="2996">
          <cell r="H2996">
            <v>0</v>
          </cell>
          <cell r="O2996">
            <v>0</v>
          </cell>
        </row>
        <row r="2997">
          <cell r="H2997">
            <v>41858</v>
          </cell>
          <cell r="O2997">
            <v>0</v>
          </cell>
        </row>
        <row r="2998">
          <cell r="H2998">
            <v>49712</v>
          </cell>
          <cell r="O2998">
            <v>0</v>
          </cell>
        </row>
        <row r="2999">
          <cell r="H2999">
            <v>380</v>
          </cell>
          <cell r="O2999">
            <v>0</v>
          </cell>
        </row>
        <row r="3000">
          <cell r="H3000">
            <v>0</v>
          </cell>
          <cell r="O3000">
            <v>0</v>
          </cell>
        </row>
        <row r="3001">
          <cell r="H3001">
            <v>0</v>
          </cell>
          <cell r="O3001">
            <v>0</v>
          </cell>
        </row>
        <row r="3002">
          <cell r="H3002">
            <v>11863399</v>
          </cell>
          <cell r="O3002">
            <v>0</v>
          </cell>
        </row>
        <row r="3003">
          <cell r="H3003">
            <v>-3743943</v>
          </cell>
          <cell r="O3003">
            <v>0</v>
          </cell>
        </row>
        <row r="3004">
          <cell r="H3004">
            <v>120619</v>
          </cell>
          <cell r="O3004">
            <v>0</v>
          </cell>
        </row>
        <row r="3005">
          <cell r="H3005">
            <v>20137858</v>
          </cell>
          <cell r="O3005">
            <v>0</v>
          </cell>
        </row>
        <row r="3006">
          <cell r="H3006">
            <v>4427</v>
          </cell>
          <cell r="O3006">
            <v>0</v>
          </cell>
        </row>
        <row r="3007">
          <cell r="H3007">
            <v>1868000</v>
          </cell>
          <cell r="O3007">
            <v>0</v>
          </cell>
        </row>
        <row r="3008">
          <cell r="H3008">
            <v>139428</v>
          </cell>
          <cell r="O3008">
            <v>0</v>
          </cell>
        </row>
        <row r="3009">
          <cell r="H3009">
            <v>15446</v>
          </cell>
          <cell r="O3009">
            <v>0</v>
          </cell>
        </row>
        <row r="3010">
          <cell r="H3010">
            <v>0</v>
          </cell>
          <cell r="O3010">
            <v>0</v>
          </cell>
        </row>
        <row r="3011">
          <cell r="H3011">
            <v>8518904</v>
          </cell>
          <cell r="O3011">
            <v>0</v>
          </cell>
        </row>
        <row r="3012">
          <cell r="H3012">
            <v>10498744</v>
          </cell>
          <cell r="O3012">
            <v>0</v>
          </cell>
        </row>
        <row r="3013">
          <cell r="H3013">
            <v>1351716</v>
          </cell>
          <cell r="O3013">
            <v>0</v>
          </cell>
        </row>
        <row r="3014">
          <cell r="H3014">
            <v>0</v>
          </cell>
          <cell r="O3014">
            <v>0</v>
          </cell>
        </row>
        <row r="3015">
          <cell r="H3015">
            <v>0</v>
          </cell>
          <cell r="O3015">
            <v>0</v>
          </cell>
        </row>
        <row r="3016">
          <cell r="H3016">
            <v>125083233</v>
          </cell>
          <cell r="O3016">
            <v>0</v>
          </cell>
        </row>
        <row r="3017">
          <cell r="H3017">
            <v>207088</v>
          </cell>
          <cell r="O3017">
            <v>0</v>
          </cell>
        </row>
        <row r="3018">
          <cell r="H3018">
            <v>46716</v>
          </cell>
          <cell r="O3018">
            <v>0</v>
          </cell>
        </row>
        <row r="3019">
          <cell r="H3019">
            <v>4099097</v>
          </cell>
          <cell r="O3019">
            <v>0</v>
          </cell>
        </row>
        <row r="3020">
          <cell r="H3020">
            <v>86810</v>
          </cell>
          <cell r="O3020">
            <v>0</v>
          </cell>
        </row>
        <row r="3021">
          <cell r="H3021">
            <v>108631</v>
          </cell>
          <cell r="O3021">
            <v>0</v>
          </cell>
        </row>
        <row r="3022">
          <cell r="H3022">
            <v>607623</v>
          </cell>
          <cell r="O3022">
            <v>0</v>
          </cell>
        </row>
        <row r="3023">
          <cell r="H3023">
            <v>0</v>
          </cell>
          <cell r="O3023">
            <v>0</v>
          </cell>
        </row>
        <row r="3024">
          <cell r="H3024">
            <v>0</v>
          </cell>
          <cell r="O3024">
            <v>0</v>
          </cell>
        </row>
        <row r="3025">
          <cell r="H3025">
            <v>3815204</v>
          </cell>
          <cell r="O3025">
            <v>0</v>
          </cell>
        </row>
        <row r="3026">
          <cell r="H3026">
            <v>6888</v>
          </cell>
          <cell r="O3026">
            <v>0</v>
          </cell>
        </row>
        <row r="3027">
          <cell r="H3027">
            <v>7785934</v>
          </cell>
          <cell r="O3027">
            <v>0</v>
          </cell>
        </row>
        <row r="3028">
          <cell r="H3028">
            <v>47141</v>
          </cell>
          <cell r="O3028">
            <v>0</v>
          </cell>
        </row>
        <row r="3029">
          <cell r="H3029">
            <v>72</v>
          </cell>
          <cell r="O3029">
            <v>0</v>
          </cell>
        </row>
        <row r="3030">
          <cell r="H3030">
            <v>0</v>
          </cell>
          <cell r="O3030">
            <v>0</v>
          </cell>
        </row>
        <row r="3031">
          <cell r="H3031">
            <v>0</v>
          </cell>
          <cell r="O3031">
            <v>0</v>
          </cell>
        </row>
        <row r="3032">
          <cell r="H3032">
            <v>0</v>
          </cell>
          <cell r="O3032">
            <v>0</v>
          </cell>
        </row>
        <row r="3033">
          <cell r="H3033">
            <v>188035</v>
          </cell>
          <cell r="O3033">
            <v>0</v>
          </cell>
        </row>
        <row r="3034">
          <cell r="H3034">
            <v>1199</v>
          </cell>
          <cell r="O3034">
            <v>0</v>
          </cell>
        </row>
        <row r="3035">
          <cell r="H3035">
            <v>305220</v>
          </cell>
          <cell r="O3035">
            <v>0</v>
          </cell>
        </row>
        <row r="3036">
          <cell r="H3036">
            <v>2380</v>
          </cell>
          <cell r="O3036">
            <v>0</v>
          </cell>
        </row>
        <row r="3037">
          <cell r="H3037">
            <v>0</v>
          </cell>
          <cell r="O3037">
            <v>0</v>
          </cell>
        </row>
        <row r="3038">
          <cell r="H3038">
            <v>0</v>
          </cell>
          <cell r="O3038">
            <v>0</v>
          </cell>
        </row>
        <row r="3039">
          <cell r="H3039">
            <v>34384358</v>
          </cell>
          <cell r="O3039">
            <v>0</v>
          </cell>
        </row>
        <row r="3040">
          <cell r="H3040">
            <v>-1878286</v>
          </cell>
          <cell r="O3040">
            <v>0</v>
          </cell>
        </row>
        <row r="3041">
          <cell r="H3041">
            <v>1288</v>
          </cell>
          <cell r="O3041">
            <v>0</v>
          </cell>
        </row>
        <row r="3042">
          <cell r="H3042">
            <v>0</v>
          </cell>
          <cell r="O3042">
            <v>0</v>
          </cell>
        </row>
        <row r="3043">
          <cell r="H3043">
            <v>0</v>
          </cell>
          <cell r="O3043">
            <v>41487</v>
          </cell>
          <cell r="R3043" t="str">
            <v/>
          </cell>
          <cell r="T3043" t="str">
            <v>60 - 00016R41487</v>
          </cell>
        </row>
        <row r="3044">
          <cell r="H3044">
            <v>0</v>
          </cell>
          <cell r="O3044">
            <v>41487</v>
          </cell>
          <cell r="R3044" t="str">
            <v/>
          </cell>
          <cell r="T3044" t="str">
            <v>60 - 00016R41487</v>
          </cell>
        </row>
        <row r="3045">
          <cell r="H3045">
            <v>0</v>
          </cell>
          <cell r="O3045">
            <v>41487</v>
          </cell>
          <cell r="R3045" t="str">
            <v/>
          </cell>
          <cell r="T3045" t="str">
            <v>60 - 00016R41487</v>
          </cell>
        </row>
        <row r="3046">
          <cell r="H3046">
            <v>0</v>
          </cell>
          <cell r="O3046">
            <v>41487</v>
          </cell>
          <cell r="R3046" t="str">
            <v/>
          </cell>
          <cell r="T3046" t="str">
            <v>60 - 00016R41487</v>
          </cell>
        </row>
        <row r="3047">
          <cell r="H3047">
            <v>0</v>
          </cell>
          <cell r="O3047">
            <v>41487</v>
          </cell>
          <cell r="R3047" t="str">
            <v/>
          </cell>
          <cell r="T3047" t="str">
            <v>60 - 00016R41487</v>
          </cell>
        </row>
        <row r="3048">
          <cell r="H3048">
            <v>0</v>
          </cell>
          <cell r="O3048">
            <v>41487</v>
          </cell>
          <cell r="R3048" t="str">
            <v/>
          </cell>
          <cell r="T3048" t="str">
            <v>60 - 00016R41487</v>
          </cell>
        </row>
        <row r="3049">
          <cell r="H3049">
            <v>26552</v>
          </cell>
          <cell r="O3049">
            <v>41487</v>
          </cell>
          <cell r="R3049" t="str">
            <v/>
          </cell>
          <cell r="T3049" t="str">
            <v>60 - 00016R41487</v>
          </cell>
        </row>
        <row r="3050">
          <cell r="H3050">
            <v>7395118</v>
          </cell>
          <cell r="O3050">
            <v>41487</v>
          </cell>
          <cell r="R3050" t="str">
            <v/>
          </cell>
          <cell r="T3050" t="str">
            <v>60 - 00016R41487</v>
          </cell>
        </row>
        <row r="3051">
          <cell r="H3051">
            <v>13661272</v>
          </cell>
          <cell r="O3051">
            <v>41487</v>
          </cell>
          <cell r="R3051" t="str">
            <v/>
          </cell>
          <cell r="T3051" t="str">
            <v>60 - 00016R41487</v>
          </cell>
        </row>
        <row r="3052">
          <cell r="H3052">
            <v>0</v>
          </cell>
          <cell r="O3052">
            <v>41487</v>
          </cell>
          <cell r="R3052" t="str">
            <v/>
          </cell>
          <cell r="T3052" t="str">
            <v>60 - 00016R41487</v>
          </cell>
        </row>
        <row r="3053">
          <cell r="H3053">
            <v>47754</v>
          </cell>
          <cell r="O3053">
            <v>41487</v>
          </cell>
          <cell r="R3053" t="str">
            <v/>
          </cell>
          <cell r="T3053" t="str">
            <v>60 - 00016R41487</v>
          </cell>
        </row>
        <row r="3054">
          <cell r="H3054">
            <v>6410179</v>
          </cell>
          <cell r="O3054">
            <v>41487</v>
          </cell>
          <cell r="R3054" t="str">
            <v/>
          </cell>
          <cell r="T3054" t="str">
            <v>60 - 00016R41487</v>
          </cell>
        </row>
        <row r="3055">
          <cell r="H3055">
            <v>0</v>
          </cell>
          <cell r="O3055">
            <v>41487</v>
          </cell>
          <cell r="R3055" t="str">
            <v/>
          </cell>
          <cell r="T3055" t="str">
            <v>60 - 00016R41487</v>
          </cell>
        </row>
        <row r="3056">
          <cell r="H3056">
            <v>10448</v>
          </cell>
          <cell r="O3056">
            <v>41487</v>
          </cell>
          <cell r="R3056" t="str">
            <v/>
          </cell>
          <cell r="T3056" t="str">
            <v>60 - 00016R41487</v>
          </cell>
        </row>
        <row r="3057">
          <cell r="H3057">
            <v>83501</v>
          </cell>
          <cell r="O3057">
            <v>41487</v>
          </cell>
          <cell r="R3057" t="str">
            <v/>
          </cell>
          <cell r="T3057" t="str">
            <v>60 - 00016R41487</v>
          </cell>
        </row>
        <row r="3058">
          <cell r="H3058">
            <v>70874</v>
          </cell>
          <cell r="O3058">
            <v>41487</v>
          </cell>
          <cell r="R3058" t="str">
            <v/>
          </cell>
          <cell r="T3058" t="str">
            <v>60 - 00016R41487</v>
          </cell>
        </row>
        <row r="3059">
          <cell r="H3059">
            <v>0</v>
          </cell>
          <cell r="O3059">
            <v>41487</v>
          </cell>
          <cell r="R3059" t="str">
            <v/>
          </cell>
          <cell r="T3059" t="str">
            <v>60 - 00016R41487</v>
          </cell>
        </row>
        <row r="3060">
          <cell r="H3060">
            <v>-3666000</v>
          </cell>
          <cell r="O3060">
            <v>41487</v>
          </cell>
          <cell r="R3060" t="str">
            <v/>
          </cell>
          <cell r="T3060" t="str">
            <v>60 - 00016U41487</v>
          </cell>
        </row>
        <row r="3061">
          <cell r="H3061">
            <v>0</v>
          </cell>
          <cell r="O3061">
            <v>41487</v>
          </cell>
          <cell r="R3061" t="str">
            <v/>
          </cell>
          <cell r="T3061" t="str">
            <v>60 - 00016U41487</v>
          </cell>
        </row>
        <row r="3062">
          <cell r="H3062">
            <v>0</v>
          </cell>
          <cell r="O3062">
            <v>41487</v>
          </cell>
          <cell r="R3062" t="str">
            <v/>
          </cell>
          <cell r="T3062" t="str">
            <v>60 - 00016R41487</v>
          </cell>
        </row>
        <row r="3063">
          <cell r="H3063">
            <v>0</v>
          </cell>
          <cell r="O3063">
            <v>41487</v>
          </cell>
          <cell r="R3063" t="str">
            <v/>
          </cell>
          <cell r="T3063" t="str">
            <v>60 - 00016R41487</v>
          </cell>
        </row>
        <row r="3064">
          <cell r="H3064">
            <v>0</v>
          </cell>
          <cell r="O3064">
            <v>41487</v>
          </cell>
          <cell r="R3064" t="str">
            <v/>
          </cell>
          <cell r="T3064" t="str">
            <v>60 - 00016R41487</v>
          </cell>
        </row>
        <row r="3065">
          <cell r="H3065">
            <v>0</v>
          </cell>
          <cell r="O3065">
            <v>41487</v>
          </cell>
          <cell r="R3065" t="str">
            <v/>
          </cell>
          <cell r="T3065" t="str">
            <v>60 - 00016R41487</v>
          </cell>
        </row>
        <row r="3066">
          <cell r="H3066">
            <v>0</v>
          </cell>
          <cell r="O3066">
            <v>41487</v>
          </cell>
          <cell r="R3066" t="str">
            <v/>
          </cell>
          <cell r="T3066" t="str">
            <v>60 - 00016R41487</v>
          </cell>
        </row>
        <row r="3067">
          <cell r="H3067">
            <v>0</v>
          </cell>
          <cell r="O3067">
            <v>41487</v>
          </cell>
          <cell r="R3067" t="str">
            <v/>
          </cell>
          <cell r="T3067" t="str">
            <v>60 - 00016R41487</v>
          </cell>
        </row>
        <row r="3068">
          <cell r="H3068">
            <v>7229589</v>
          </cell>
          <cell r="O3068">
            <v>41487</v>
          </cell>
          <cell r="R3068" t="str">
            <v/>
          </cell>
          <cell r="T3068" t="str">
            <v>60 - 00016R41487</v>
          </cell>
        </row>
        <row r="3069">
          <cell r="H3069">
            <v>4690679</v>
          </cell>
          <cell r="O3069">
            <v>41487</v>
          </cell>
          <cell r="R3069" t="str">
            <v/>
          </cell>
          <cell r="T3069" t="str">
            <v>60 - 00016R41487</v>
          </cell>
        </row>
        <row r="3070">
          <cell r="H3070">
            <v>76311</v>
          </cell>
          <cell r="O3070">
            <v>41487</v>
          </cell>
          <cell r="R3070" t="str">
            <v/>
          </cell>
          <cell r="T3070" t="str">
            <v>60 - 00016R41487</v>
          </cell>
        </row>
        <row r="3071">
          <cell r="H3071">
            <v>6596989</v>
          </cell>
          <cell r="O3071">
            <v>41487</v>
          </cell>
          <cell r="R3071" t="str">
            <v/>
          </cell>
          <cell r="T3071" t="str">
            <v>60 - 00016R41487</v>
          </cell>
        </row>
        <row r="3072">
          <cell r="H3072">
            <v>0</v>
          </cell>
          <cell r="O3072">
            <v>41487</v>
          </cell>
          <cell r="R3072" t="str">
            <v/>
          </cell>
          <cell r="T3072" t="str">
            <v>60 - 00016R41487</v>
          </cell>
        </row>
        <row r="3073">
          <cell r="H3073">
            <v>0</v>
          </cell>
          <cell r="O3073">
            <v>41487</v>
          </cell>
          <cell r="R3073" t="str">
            <v/>
          </cell>
          <cell r="T3073" t="str">
            <v>60 - 00016R41487</v>
          </cell>
        </row>
        <row r="3074">
          <cell r="H3074">
            <v>0</v>
          </cell>
          <cell r="O3074">
            <v>41487</v>
          </cell>
          <cell r="R3074" t="str">
            <v/>
          </cell>
          <cell r="T3074" t="str">
            <v>60 - 00016R41487</v>
          </cell>
        </row>
        <row r="3075">
          <cell r="H3075">
            <v>60957</v>
          </cell>
          <cell r="O3075">
            <v>41487</v>
          </cell>
          <cell r="R3075" t="str">
            <v/>
          </cell>
          <cell r="T3075" t="str">
            <v>60 - 00016R41487</v>
          </cell>
        </row>
        <row r="3076">
          <cell r="H3076">
            <v>24686</v>
          </cell>
          <cell r="O3076">
            <v>41487</v>
          </cell>
          <cell r="R3076" t="str">
            <v/>
          </cell>
          <cell r="T3076" t="str">
            <v>60 - 00016R41487</v>
          </cell>
        </row>
        <row r="3077">
          <cell r="H3077">
            <v>2678000</v>
          </cell>
          <cell r="O3077">
            <v>41487</v>
          </cell>
          <cell r="R3077" t="str">
            <v/>
          </cell>
          <cell r="T3077" t="str">
            <v>60 - 00016R41487</v>
          </cell>
        </row>
        <row r="3078">
          <cell r="H3078">
            <v>0</v>
          </cell>
          <cell r="O3078">
            <v>41487</v>
          </cell>
          <cell r="R3078" t="str">
            <v/>
          </cell>
          <cell r="T3078" t="str">
            <v>60 - 00016R41487</v>
          </cell>
        </row>
        <row r="3079">
          <cell r="H3079">
            <v>5003</v>
          </cell>
          <cell r="O3079">
            <v>41487</v>
          </cell>
          <cell r="R3079" t="str">
            <v/>
          </cell>
          <cell r="T3079" t="str">
            <v>60 - 00016R41487</v>
          </cell>
        </row>
        <row r="3080">
          <cell r="H3080">
            <v>19425</v>
          </cell>
          <cell r="O3080">
            <v>41487</v>
          </cell>
          <cell r="R3080" t="str">
            <v/>
          </cell>
          <cell r="T3080" t="str">
            <v>60 - 00016R41487</v>
          </cell>
        </row>
        <row r="3081">
          <cell r="H3081">
            <v>0</v>
          </cell>
          <cell r="O3081">
            <v>41487</v>
          </cell>
          <cell r="R3081" t="str">
            <v/>
          </cell>
          <cell r="T3081" t="str">
            <v>60 - 00016R41487</v>
          </cell>
        </row>
        <row r="3082">
          <cell r="H3082">
            <v>188400</v>
          </cell>
          <cell r="O3082">
            <v>41487</v>
          </cell>
          <cell r="R3082" t="str">
            <v/>
          </cell>
          <cell r="T3082" t="str">
            <v>60 - 00016R41487</v>
          </cell>
        </row>
        <row r="3083">
          <cell r="H3083">
            <v>206100</v>
          </cell>
          <cell r="O3083">
            <v>41487</v>
          </cell>
          <cell r="R3083" t="str">
            <v/>
          </cell>
          <cell r="T3083" t="str">
            <v>60 - 00016R41487</v>
          </cell>
        </row>
        <row r="3084">
          <cell r="H3084">
            <v>0</v>
          </cell>
          <cell r="O3084">
            <v>41487</v>
          </cell>
          <cell r="R3084" t="str">
            <v/>
          </cell>
          <cell r="T3084" t="str">
            <v>60 - 00016R41487</v>
          </cell>
        </row>
        <row r="3085">
          <cell r="H3085">
            <v>1829000</v>
          </cell>
          <cell r="O3085">
            <v>41487</v>
          </cell>
          <cell r="R3085" t="str">
            <v/>
          </cell>
          <cell r="T3085" t="str">
            <v>60 - 00016U41487</v>
          </cell>
        </row>
        <row r="3086">
          <cell r="H3086">
            <v>0</v>
          </cell>
          <cell r="O3086">
            <v>41487</v>
          </cell>
          <cell r="R3086" t="str">
            <v/>
          </cell>
          <cell r="T3086" t="str">
            <v>60 - 00016R41487</v>
          </cell>
        </row>
        <row r="3087">
          <cell r="H3087">
            <v>0</v>
          </cell>
          <cell r="O3087">
            <v>41487</v>
          </cell>
          <cell r="R3087" t="str">
            <v/>
          </cell>
          <cell r="T3087" t="str">
            <v>60 - 00016R41487</v>
          </cell>
        </row>
        <row r="3088">
          <cell r="H3088">
            <v>0</v>
          </cell>
          <cell r="O3088">
            <v>41487</v>
          </cell>
          <cell r="R3088" t="str">
            <v/>
          </cell>
          <cell r="T3088" t="str">
            <v>60 - 00016R41487</v>
          </cell>
        </row>
        <row r="3089">
          <cell r="H3089">
            <v>0</v>
          </cell>
          <cell r="O3089">
            <v>41487</v>
          </cell>
          <cell r="R3089" t="str">
            <v/>
          </cell>
          <cell r="T3089" t="str">
            <v>60 - 00016R41487</v>
          </cell>
        </row>
        <row r="3090">
          <cell r="H3090">
            <v>0</v>
          </cell>
          <cell r="O3090">
            <v>41487</v>
          </cell>
          <cell r="R3090" t="str">
            <v/>
          </cell>
          <cell r="T3090" t="str">
            <v>60 - 00016R41487</v>
          </cell>
        </row>
        <row r="3091">
          <cell r="H3091">
            <v>163182</v>
          </cell>
          <cell r="O3091">
            <v>41487</v>
          </cell>
          <cell r="R3091" t="str">
            <v/>
          </cell>
          <cell r="T3091" t="str">
            <v>60 - 00016R41487</v>
          </cell>
        </row>
        <row r="3092">
          <cell r="H3092">
            <v>71797</v>
          </cell>
          <cell r="O3092">
            <v>41487</v>
          </cell>
          <cell r="R3092" t="str">
            <v/>
          </cell>
          <cell r="T3092" t="str">
            <v>60 - 00016R41487</v>
          </cell>
        </row>
        <row r="3093">
          <cell r="H3093">
            <v>449760</v>
          </cell>
          <cell r="O3093">
            <v>41487</v>
          </cell>
          <cell r="R3093" t="str">
            <v/>
          </cell>
          <cell r="T3093" t="str">
            <v>60 - 00016R41487</v>
          </cell>
        </row>
        <row r="3094">
          <cell r="H3094">
            <v>3959940</v>
          </cell>
          <cell r="O3094">
            <v>41487</v>
          </cell>
          <cell r="R3094" t="str">
            <v/>
          </cell>
          <cell r="T3094" t="str">
            <v>60 - 00016R41487</v>
          </cell>
        </row>
        <row r="3095">
          <cell r="H3095">
            <v>0</v>
          </cell>
          <cell r="O3095">
            <v>41487</v>
          </cell>
          <cell r="R3095" t="str">
            <v/>
          </cell>
          <cell r="T3095" t="str">
            <v>60 - 00016R41487</v>
          </cell>
        </row>
        <row r="3096">
          <cell r="H3096">
            <v>-774000</v>
          </cell>
          <cell r="O3096">
            <v>41487</v>
          </cell>
          <cell r="R3096" t="str">
            <v/>
          </cell>
          <cell r="T3096" t="str">
            <v>60 - 00016U41487</v>
          </cell>
        </row>
        <row r="3097">
          <cell r="H3097">
            <v>0</v>
          </cell>
          <cell r="O3097">
            <v>41487</v>
          </cell>
          <cell r="R3097" t="str">
            <v/>
          </cell>
          <cell r="T3097" t="str">
            <v>60 - 00016R41487</v>
          </cell>
        </row>
        <row r="3098">
          <cell r="H3098">
            <v>0</v>
          </cell>
          <cell r="O3098">
            <v>41487</v>
          </cell>
          <cell r="R3098" t="str">
            <v/>
          </cell>
          <cell r="T3098" t="str">
            <v>60 - 00016R41487</v>
          </cell>
        </row>
        <row r="3099">
          <cell r="H3099">
            <v>0</v>
          </cell>
          <cell r="O3099">
            <v>41487</v>
          </cell>
          <cell r="R3099" t="str">
            <v/>
          </cell>
          <cell r="T3099" t="str">
            <v>60 - 00016R41487</v>
          </cell>
        </row>
        <row r="3100">
          <cell r="H3100">
            <v>0</v>
          </cell>
          <cell r="O3100">
            <v>41487</v>
          </cell>
          <cell r="R3100" t="str">
            <v/>
          </cell>
          <cell r="T3100" t="str">
            <v>60 - 00016R41487</v>
          </cell>
        </row>
        <row r="3101">
          <cell r="H3101">
            <v>0</v>
          </cell>
          <cell r="O3101">
            <v>41487</v>
          </cell>
          <cell r="R3101" t="str">
            <v/>
          </cell>
          <cell r="T3101" t="str">
            <v>60 - 00016R41487</v>
          </cell>
        </row>
        <row r="3102">
          <cell r="H3102">
            <v>18381770</v>
          </cell>
          <cell r="O3102">
            <v>41487</v>
          </cell>
          <cell r="R3102" t="str">
            <v/>
          </cell>
          <cell r="T3102" t="str">
            <v>60 - 00016R41487</v>
          </cell>
        </row>
        <row r="3103">
          <cell r="H3103">
            <v>0</v>
          </cell>
          <cell r="O3103">
            <v>41487</v>
          </cell>
          <cell r="R3103" t="str">
            <v/>
          </cell>
          <cell r="T3103" t="str">
            <v>60 - 00016R41487</v>
          </cell>
        </row>
        <row r="3104">
          <cell r="H3104">
            <v>0</v>
          </cell>
          <cell r="O3104">
            <v>41487</v>
          </cell>
          <cell r="R3104" t="str">
            <v/>
          </cell>
          <cell r="T3104" t="str">
            <v>60 - 00016R41487</v>
          </cell>
        </row>
        <row r="3105">
          <cell r="H3105">
            <v>0</v>
          </cell>
          <cell r="O3105">
            <v>41487</v>
          </cell>
          <cell r="R3105" t="str">
            <v/>
          </cell>
          <cell r="T3105" t="str">
            <v>60 - 00016R41487</v>
          </cell>
        </row>
        <row r="3106">
          <cell r="H3106">
            <v>5976501</v>
          </cell>
          <cell r="O3106">
            <v>41487</v>
          </cell>
          <cell r="R3106" t="str">
            <v/>
          </cell>
          <cell r="T3106" t="str">
            <v>60 - 00016R41487</v>
          </cell>
        </row>
        <row r="3107">
          <cell r="H3107">
            <v>126071</v>
          </cell>
          <cell r="O3107">
            <v>41487</v>
          </cell>
          <cell r="R3107" t="str">
            <v/>
          </cell>
          <cell r="T3107" t="str">
            <v>60 - 00016R41487</v>
          </cell>
        </row>
        <row r="3108">
          <cell r="H3108">
            <v>0</v>
          </cell>
          <cell r="O3108">
            <v>41487</v>
          </cell>
          <cell r="R3108" t="str">
            <v/>
          </cell>
          <cell r="T3108" t="str">
            <v>60 - 00016R41487</v>
          </cell>
        </row>
        <row r="3109">
          <cell r="H3109">
            <v>5946000</v>
          </cell>
          <cell r="O3109">
            <v>41487</v>
          </cell>
          <cell r="R3109" t="str">
            <v/>
          </cell>
          <cell r="T3109" t="str">
            <v>60 - 00016U41487</v>
          </cell>
        </row>
        <row r="3110">
          <cell r="H3110">
            <v>0</v>
          </cell>
          <cell r="O3110">
            <v>41487</v>
          </cell>
          <cell r="R3110" t="str">
            <v/>
          </cell>
          <cell r="T3110" t="str">
            <v>60 - 00016R41487</v>
          </cell>
        </row>
        <row r="3111">
          <cell r="H3111">
            <v>0</v>
          </cell>
          <cell r="O3111">
            <v>41487</v>
          </cell>
          <cell r="R3111" t="str">
            <v/>
          </cell>
          <cell r="T3111" t="str">
            <v>60 - 00016R41487</v>
          </cell>
        </row>
        <row r="3112">
          <cell r="H3112">
            <v>0</v>
          </cell>
          <cell r="O3112">
            <v>41487</v>
          </cell>
          <cell r="R3112" t="str">
            <v/>
          </cell>
          <cell r="T3112" t="str">
            <v>60 - 00016R41487</v>
          </cell>
        </row>
        <row r="3113">
          <cell r="H3113">
            <v>119212</v>
          </cell>
          <cell r="O3113">
            <v>41487</v>
          </cell>
          <cell r="R3113" t="str">
            <v/>
          </cell>
          <cell r="T3113" t="str">
            <v>60 - 00016R41487</v>
          </cell>
        </row>
        <row r="3114">
          <cell r="H3114">
            <v>19759</v>
          </cell>
          <cell r="O3114">
            <v>41487</v>
          </cell>
          <cell r="R3114" t="str">
            <v/>
          </cell>
          <cell r="T3114" t="str">
            <v>60 - 00016R41487</v>
          </cell>
        </row>
        <row r="3115">
          <cell r="H3115">
            <v>58823</v>
          </cell>
          <cell r="O3115">
            <v>41487</v>
          </cell>
          <cell r="R3115" t="str">
            <v/>
          </cell>
          <cell r="T3115" t="str">
            <v>60 - 00016R41487</v>
          </cell>
        </row>
        <row r="3116">
          <cell r="H3116">
            <v>0</v>
          </cell>
          <cell r="O3116">
            <v>41487</v>
          </cell>
          <cell r="R3116" t="str">
            <v/>
          </cell>
          <cell r="T3116" t="str">
            <v>60 - 00016R41487</v>
          </cell>
        </row>
        <row r="3117">
          <cell r="H3117">
            <v>7000</v>
          </cell>
          <cell r="O3117">
            <v>41487</v>
          </cell>
          <cell r="R3117" t="str">
            <v/>
          </cell>
          <cell r="T3117" t="str">
            <v>60 - 00016U41487</v>
          </cell>
        </row>
        <row r="3118">
          <cell r="H3118">
            <v>0</v>
          </cell>
          <cell r="O3118">
            <v>41487</v>
          </cell>
          <cell r="R3118" t="str">
            <v/>
          </cell>
          <cell r="T3118" t="str">
            <v>60 - 00011B41487</v>
          </cell>
        </row>
        <row r="3119">
          <cell r="H3119">
            <v>314405698</v>
          </cell>
          <cell r="O3119">
            <v>41487</v>
          </cell>
          <cell r="R3119" t="str">
            <v/>
          </cell>
          <cell r="T3119" t="str">
            <v>60 - 00011B41487</v>
          </cell>
        </row>
        <row r="3120">
          <cell r="H3120">
            <v>795047</v>
          </cell>
          <cell r="O3120">
            <v>41487</v>
          </cell>
          <cell r="R3120" t="str">
            <v/>
          </cell>
          <cell r="T3120" t="str">
            <v>60 - 00011B41487</v>
          </cell>
        </row>
        <row r="3121">
          <cell r="H3121">
            <v>875576</v>
          </cell>
          <cell r="O3121">
            <v>41487</v>
          </cell>
          <cell r="R3121" t="str">
            <v/>
          </cell>
          <cell r="T3121" t="str">
            <v>60 - 00011B41487</v>
          </cell>
        </row>
        <row r="3122">
          <cell r="H3122">
            <v>6260</v>
          </cell>
          <cell r="O3122">
            <v>41487</v>
          </cell>
          <cell r="R3122" t="str">
            <v/>
          </cell>
          <cell r="T3122" t="str">
            <v>60 - 00011B41487</v>
          </cell>
        </row>
        <row r="3123">
          <cell r="H3123">
            <v>211718</v>
          </cell>
          <cell r="O3123">
            <v>41487</v>
          </cell>
          <cell r="R3123" t="str">
            <v/>
          </cell>
          <cell r="T3123" t="str">
            <v>60 - 00011B41487</v>
          </cell>
        </row>
        <row r="3124">
          <cell r="H3124">
            <v>194937</v>
          </cell>
          <cell r="O3124">
            <v>41487</v>
          </cell>
          <cell r="R3124" t="str">
            <v/>
          </cell>
          <cell r="T3124" t="str">
            <v>60 - 00011B41487</v>
          </cell>
        </row>
        <row r="3125">
          <cell r="H3125">
            <v>2257306</v>
          </cell>
          <cell r="O3125">
            <v>41487</v>
          </cell>
          <cell r="R3125" t="str">
            <v/>
          </cell>
          <cell r="T3125" t="str">
            <v>60 - 00011B41487</v>
          </cell>
        </row>
        <row r="3126">
          <cell r="H3126">
            <v>0</v>
          </cell>
          <cell r="O3126">
            <v>41487</v>
          </cell>
          <cell r="R3126" t="str">
            <v/>
          </cell>
          <cell r="T3126" t="str">
            <v>60 - 00011B41487</v>
          </cell>
        </row>
        <row r="3127">
          <cell r="H3127">
            <v>0</v>
          </cell>
          <cell r="O3127">
            <v>41487</v>
          </cell>
          <cell r="R3127" t="str">
            <v/>
          </cell>
          <cell r="T3127" t="str">
            <v>60 - 00011R41487</v>
          </cell>
        </row>
        <row r="3128">
          <cell r="H3128">
            <v>0</v>
          </cell>
          <cell r="O3128">
            <v>41487</v>
          </cell>
          <cell r="R3128" t="str">
            <v/>
          </cell>
          <cell r="T3128" t="str">
            <v>60 - 00011R41487</v>
          </cell>
        </row>
        <row r="3129">
          <cell r="H3129">
            <v>0</v>
          </cell>
          <cell r="O3129">
            <v>41487</v>
          </cell>
          <cell r="R3129" t="str">
            <v/>
          </cell>
          <cell r="T3129" t="str">
            <v>60 - 00011R41487</v>
          </cell>
        </row>
        <row r="3130">
          <cell r="H3130">
            <v>0</v>
          </cell>
          <cell r="O3130">
            <v>41487</v>
          </cell>
          <cell r="R3130" t="str">
            <v/>
          </cell>
          <cell r="T3130" t="str">
            <v>60 - 00011R41487</v>
          </cell>
        </row>
        <row r="3131">
          <cell r="H3131">
            <v>0</v>
          </cell>
          <cell r="O3131">
            <v>41487</v>
          </cell>
          <cell r="R3131" t="str">
            <v/>
          </cell>
          <cell r="T3131" t="str">
            <v>60 - 00011R41487</v>
          </cell>
        </row>
        <row r="3132">
          <cell r="H3132">
            <v>0</v>
          </cell>
          <cell r="O3132">
            <v>41487</v>
          </cell>
          <cell r="R3132" t="str">
            <v/>
          </cell>
          <cell r="T3132" t="str">
            <v>60 - 00011R41487</v>
          </cell>
        </row>
        <row r="3133">
          <cell r="H3133">
            <v>0</v>
          </cell>
          <cell r="O3133">
            <v>41487</v>
          </cell>
          <cell r="R3133" t="str">
            <v/>
          </cell>
          <cell r="T3133" t="str">
            <v>60 - 00011R41487</v>
          </cell>
        </row>
        <row r="3134">
          <cell r="H3134">
            <v>0</v>
          </cell>
          <cell r="O3134">
            <v>41487</v>
          </cell>
          <cell r="R3134" t="str">
            <v/>
          </cell>
          <cell r="T3134" t="str">
            <v>60 - 00011R41487</v>
          </cell>
        </row>
        <row r="3135">
          <cell r="H3135">
            <v>0</v>
          </cell>
          <cell r="O3135">
            <v>41487</v>
          </cell>
          <cell r="R3135" t="str">
            <v/>
          </cell>
          <cell r="T3135" t="str">
            <v>60 - 00011R41487</v>
          </cell>
        </row>
        <row r="3136">
          <cell r="H3136">
            <v>0</v>
          </cell>
          <cell r="O3136">
            <v>41487</v>
          </cell>
          <cell r="R3136" t="str">
            <v/>
          </cell>
          <cell r="T3136" t="str">
            <v>60 - 00011R41487</v>
          </cell>
        </row>
        <row r="3137">
          <cell r="H3137">
            <v>0</v>
          </cell>
          <cell r="O3137">
            <v>41487</v>
          </cell>
          <cell r="R3137" t="str">
            <v/>
          </cell>
          <cell r="T3137" t="str">
            <v>60 - 00011R41487</v>
          </cell>
        </row>
        <row r="3138">
          <cell r="H3138">
            <v>0</v>
          </cell>
          <cell r="O3138">
            <v>41487</v>
          </cell>
          <cell r="R3138" t="str">
            <v/>
          </cell>
          <cell r="T3138" t="str">
            <v>60 - 00011R41487</v>
          </cell>
        </row>
        <row r="3139">
          <cell r="H3139">
            <v>373100352</v>
          </cell>
          <cell r="O3139">
            <v>41487</v>
          </cell>
          <cell r="R3139" t="str">
            <v/>
          </cell>
          <cell r="T3139" t="str">
            <v>60 - 00011R41487</v>
          </cell>
        </row>
        <row r="3140">
          <cell r="H3140">
            <v>2828489</v>
          </cell>
          <cell r="O3140">
            <v>41487</v>
          </cell>
          <cell r="R3140" t="str">
            <v/>
          </cell>
          <cell r="T3140" t="str">
            <v>60 - 00011R41487</v>
          </cell>
        </row>
        <row r="3141">
          <cell r="H3141">
            <v>19160000</v>
          </cell>
          <cell r="O3141">
            <v>41487</v>
          </cell>
          <cell r="R3141" t="str">
            <v/>
          </cell>
          <cell r="T3141" t="str">
            <v>60 - 00011R41487</v>
          </cell>
        </row>
        <row r="3142">
          <cell r="H3142">
            <v>0</v>
          </cell>
          <cell r="O3142">
            <v>41487</v>
          </cell>
          <cell r="R3142" t="str">
            <v/>
          </cell>
          <cell r="T3142" t="str">
            <v>60 - 00011R41487</v>
          </cell>
        </row>
        <row r="3143">
          <cell r="H3143">
            <v>1246462</v>
          </cell>
          <cell r="O3143">
            <v>41487</v>
          </cell>
          <cell r="R3143" t="str">
            <v/>
          </cell>
          <cell r="T3143" t="str">
            <v>60 - 00011R41487</v>
          </cell>
        </row>
        <row r="3144">
          <cell r="H3144">
            <v>0</v>
          </cell>
          <cell r="O3144">
            <v>41487</v>
          </cell>
          <cell r="R3144" t="str">
            <v/>
          </cell>
          <cell r="T3144" t="str">
            <v>60 - 00011R41487</v>
          </cell>
        </row>
        <row r="3145">
          <cell r="H3145">
            <v>0</v>
          </cell>
          <cell r="O3145">
            <v>41487</v>
          </cell>
          <cell r="R3145" t="str">
            <v/>
          </cell>
          <cell r="T3145" t="str">
            <v>60 - 00011R41487</v>
          </cell>
        </row>
        <row r="3146">
          <cell r="H3146">
            <v>0</v>
          </cell>
          <cell r="O3146">
            <v>41487</v>
          </cell>
          <cell r="R3146" t="str">
            <v/>
          </cell>
          <cell r="T3146" t="str">
            <v>60 - 00011R41487</v>
          </cell>
        </row>
        <row r="3147">
          <cell r="H3147">
            <v>194938</v>
          </cell>
          <cell r="O3147">
            <v>41487</v>
          </cell>
          <cell r="R3147" t="str">
            <v/>
          </cell>
          <cell r="T3147" t="str">
            <v>60 - 00011R41487</v>
          </cell>
        </row>
        <row r="3148">
          <cell r="H3148">
            <v>0</v>
          </cell>
          <cell r="O3148">
            <v>41487</v>
          </cell>
          <cell r="R3148" t="str">
            <v/>
          </cell>
          <cell r="T3148" t="str">
            <v>60 - 00011R41487</v>
          </cell>
        </row>
        <row r="3149">
          <cell r="H3149">
            <v>2243105</v>
          </cell>
          <cell r="O3149">
            <v>41487</v>
          </cell>
          <cell r="R3149" t="str">
            <v/>
          </cell>
          <cell r="T3149" t="str">
            <v>60 - 00011R41487</v>
          </cell>
        </row>
        <row r="3150">
          <cell r="H3150">
            <v>12142</v>
          </cell>
          <cell r="O3150">
            <v>41487</v>
          </cell>
          <cell r="R3150" t="str">
            <v/>
          </cell>
          <cell r="T3150" t="str">
            <v>60 - 00011R41487</v>
          </cell>
        </row>
        <row r="3151">
          <cell r="H3151">
            <v>2161</v>
          </cell>
          <cell r="O3151">
            <v>41487</v>
          </cell>
          <cell r="R3151" t="str">
            <v/>
          </cell>
          <cell r="T3151" t="str">
            <v>60 - 00011R41487</v>
          </cell>
        </row>
        <row r="3152">
          <cell r="H3152">
            <v>0</v>
          </cell>
          <cell r="O3152">
            <v>41487</v>
          </cell>
          <cell r="R3152" t="str">
            <v/>
          </cell>
          <cell r="T3152" t="str">
            <v>60 - 00011R41487</v>
          </cell>
        </row>
        <row r="3153">
          <cell r="H3153">
            <v>-54883000</v>
          </cell>
          <cell r="O3153">
            <v>41487</v>
          </cell>
          <cell r="R3153" t="str">
            <v/>
          </cell>
          <cell r="T3153" t="str">
            <v>60 - 00011U41487</v>
          </cell>
        </row>
        <row r="3154">
          <cell r="H3154">
            <v>0</v>
          </cell>
          <cell r="O3154">
            <v>41487</v>
          </cell>
          <cell r="R3154" t="str">
            <v/>
          </cell>
          <cell r="T3154" t="str">
            <v>60 - 00011U41487</v>
          </cell>
        </row>
        <row r="3155">
          <cell r="H3155">
            <v>0</v>
          </cell>
          <cell r="O3155">
            <v>41487</v>
          </cell>
          <cell r="R3155" t="str">
            <v/>
          </cell>
          <cell r="T3155" t="str">
            <v>60 - 00011B41487</v>
          </cell>
        </row>
        <row r="3156">
          <cell r="H3156">
            <v>5574168</v>
          </cell>
          <cell r="O3156">
            <v>41487</v>
          </cell>
          <cell r="R3156" t="str">
            <v/>
          </cell>
          <cell r="T3156" t="str">
            <v>60 - 00011B41487</v>
          </cell>
        </row>
        <row r="3157">
          <cell r="H3157">
            <v>42532</v>
          </cell>
          <cell r="O3157">
            <v>41487</v>
          </cell>
          <cell r="R3157" t="str">
            <v/>
          </cell>
          <cell r="T3157" t="str">
            <v>60 - 00011B41487</v>
          </cell>
        </row>
        <row r="3158">
          <cell r="H3158">
            <v>11202196</v>
          </cell>
          <cell r="O3158">
            <v>41487</v>
          </cell>
          <cell r="R3158" t="str">
            <v/>
          </cell>
          <cell r="T3158" t="str">
            <v>60 - 00011B41487</v>
          </cell>
        </row>
        <row r="3159">
          <cell r="H3159">
            <v>3455835</v>
          </cell>
          <cell r="O3159">
            <v>41487</v>
          </cell>
          <cell r="R3159" t="str">
            <v/>
          </cell>
          <cell r="T3159" t="str">
            <v>60 - 00011B41487</v>
          </cell>
        </row>
        <row r="3160">
          <cell r="H3160">
            <v>258600</v>
          </cell>
          <cell r="O3160">
            <v>41487</v>
          </cell>
          <cell r="R3160" t="str">
            <v/>
          </cell>
          <cell r="T3160" t="str">
            <v>60 - 00011B41487</v>
          </cell>
        </row>
        <row r="3161">
          <cell r="H3161">
            <v>5244</v>
          </cell>
          <cell r="O3161">
            <v>41487</v>
          </cell>
          <cell r="R3161" t="str">
            <v/>
          </cell>
          <cell r="T3161" t="str">
            <v>60 - 00011B41487</v>
          </cell>
        </row>
        <row r="3162">
          <cell r="H3162">
            <v>21582</v>
          </cell>
          <cell r="O3162">
            <v>41487</v>
          </cell>
          <cell r="R3162" t="str">
            <v/>
          </cell>
          <cell r="T3162" t="str">
            <v>60 - 00011B41487</v>
          </cell>
        </row>
        <row r="3163">
          <cell r="H3163">
            <v>92416</v>
          </cell>
          <cell r="O3163">
            <v>41487</v>
          </cell>
          <cell r="R3163" t="str">
            <v/>
          </cell>
          <cell r="T3163" t="str">
            <v>60 - 00011B41487</v>
          </cell>
        </row>
        <row r="3164">
          <cell r="H3164">
            <v>128981</v>
          </cell>
          <cell r="O3164">
            <v>41487</v>
          </cell>
          <cell r="R3164" t="str">
            <v/>
          </cell>
          <cell r="T3164" t="str">
            <v>60 - 00011B41487</v>
          </cell>
        </row>
        <row r="3165">
          <cell r="H3165">
            <v>31441</v>
          </cell>
          <cell r="O3165">
            <v>41487</v>
          </cell>
          <cell r="R3165" t="str">
            <v/>
          </cell>
          <cell r="T3165" t="str">
            <v>60 - 00011B41487</v>
          </cell>
        </row>
        <row r="3166">
          <cell r="H3166">
            <v>0</v>
          </cell>
          <cell r="O3166">
            <v>41487</v>
          </cell>
          <cell r="R3166" t="str">
            <v/>
          </cell>
          <cell r="T3166" t="str">
            <v>60 - 00011B41487</v>
          </cell>
        </row>
        <row r="3167">
          <cell r="H3167">
            <v>0</v>
          </cell>
          <cell r="O3167">
            <v>41487</v>
          </cell>
          <cell r="R3167" t="str">
            <v/>
          </cell>
          <cell r="T3167" t="str">
            <v>60 - 00011R41487</v>
          </cell>
        </row>
        <row r="3168">
          <cell r="H3168">
            <v>0</v>
          </cell>
          <cell r="O3168">
            <v>41487</v>
          </cell>
          <cell r="R3168" t="str">
            <v/>
          </cell>
          <cell r="T3168" t="str">
            <v>60 - 00011R41487</v>
          </cell>
        </row>
        <row r="3169">
          <cell r="H3169">
            <v>0</v>
          </cell>
          <cell r="O3169">
            <v>41487</v>
          </cell>
          <cell r="R3169" t="str">
            <v/>
          </cell>
          <cell r="T3169" t="str">
            <v>60 - 00011R41487</v>
          </cell>
        </row>
        <row r="3170">
          <cell r="H3170">
            <v>0</v>
          </cell>
          <cell r="O3170">
            <v>41487</v>
          </cell>
          <cell r="R3170" t="str">
            <v/>
          </cell>
          <cell r="T3170" t="str">
            <v>60 - 00011R41487</v>
          </cell>
        </row>
        <row r="3171">
          <cell r="H3171">
            <v>0</v>
          </cell>
          <cell r="O3171">
            <v>41487</v>
          </cell>
          <cell r="R3171" t="str">
            <v/>
          </cell>
          <cell r="T3171" t="str">
            <v>60 - 00011R41487</v>
          </cell>
        </row>
        <row r="3172">
          <cell r="H3172">
            <v>0</v>
          </cell>
          <cell r="O3172">
            <v>41487</v>
          </cell>
          <cell r="R3172" t="str">
            <v/>
          </cell>
          <cell r="T3172" t="str">
            <v>60 - 00011R41487</v>
          </cell>
        </row>
        <row r="3173">
          <cell r="H3173">
            <v>5306400</v>
          </cell>
          <cell r="O3173">
            <v>41487</v>
          </cell>
          <cell r="R3173" t="str">
            <v/>
          </cell>
          <cell r="T3173" t="str">
            <v>60 - 00011R41487</v>
          </cell>
        </row>
        <row r="3174">
          <cell r="H3174">
            <v>0</v>
          </cell>
          <cell r="O3174">
            <v>41487</v>
          </cell>
          <cell r="R3174" t="str">
            <v/>
          </cell>
          <cell r="T3174" t="str">
            <v>60 - 00011R41487</v>
          </cell>
        </row>
        <row r="3175">
          <cell r="H3175">
            <v>0</v>
          </cell>
          <cell r="O3175">
            <v>41487</v>
          </cell>
          <cell r="R3175" t="str">
            <v/>
          </cell>
          <cell r="T3175" t="str">
            <v>60 - 00011R41487</v>
          </cell>
        </row>
        <row r="3176">
          <cell r="H3176">
            <v>0</v>
          </cell>
          <cell r="O3176">
            <v>41487</v>
          </cell>
          <cell r="R3176" t="str">
            <v/>
          </cell>
          <cell r="T3176" t="str">
            <v>60 - 00011R41487</v>
          </cell>
        </row>
        <row r="3177">
          <cell r="H3177">
            <v>0</v>
          </cell>
          <cell r="O3177">
            <v>41487</v>
          </cell>
          <cell r="R3177" t="str">
            <v/>
          </cell>
          <cell r="T3177" t="str">
            <v>60 - 00011R41487</v>
          </cell>
        </row>
        <row r="3178">
          <cell r="H3178">
            <v>0</v>
          </cell>
          <cell r="O3178">
            <v>41487</v>
          </cell>
          <cell r="R3178" t="str">
            <v/>
          </cell>
          <cell r="T3178" t="str">
            <v>60 - 00011R41487</v>
          </cell>
        </row>
        <row r="3179">
          <cell r="H3179">
            <v>2986050</v>
          </cell>
          <cell r="O3179">
            <v>41487</v>
          </cell>
          <cell r="R3179" t="str">
            <v/>
          </cell>
          <cell r="T3179" t="str">
            <v>60 - 00011R41487</v>
          </cell>
        </row>
        <row r="3180">
          <cell r="H3180">
            <v>473715</v>
          </cell>
          <cell r="O3180">
            <v>41487</v>
          </cell>
          <cell r="R3180" t="str">
            <v/>
          </cell>
          <cell r="T3180" t="str">
            <v>60 - 00011R41487</v>
          </cell>
        </row>
        <row r="3181">
          <cell r="H3181">
            <v>105730</v>
          </cell>
          <cell r="O3181">
            <v>41487</v>
          </cell>
          <cell r="R3181" t="str">
            <v/>
          </cell>
          <cell r="T3181" t="str">
            <v>60 - 00011R41487</v>
          </cell>
        </row>
        <row r="3182">
          <cell r="H3182">
            <v>0</v>
          </cell>
          <cell r="O3182">
            <v>41487</v>
          </cell>
          <cell r="R3182" t="str">
            <v/>
          </cell>
          <cell r="T3182" t="str">
            <v>60 - 00011R41487</v>
          </cell>
        </row>
        <row r="3183">
          <cell r="H3183">
            <v>99601453</v>
          </cell>
          <cell r="O3183">
            <v>41487</v>
          </cell>
          <cell r="R3183" t="str">
            <v/>
          </cell>
          <cell r="T3183" t="str">
            <v>60 - 00011R41487</v>
          </cell>
        </row>
        <row r="3184">
          <cell r="H3184">
            <v>0</v>
          </cell>
          <cell r="O3184">
            <v>41487</v>
          </cell>
          <cell r="R3184" t="str">
            <v/>
          </cell>
          <cell r="T3184" t="str">
            <v>60 - 00011R41487</v>
          </cell>
        </row>
        <row r="3185">
          <cell r="H3185">
            <v>0</v>
          </cell>
          <cell r="O3185">
            <v>41487</v>
          </cell>
          <cell r="R3185" t="str">
            <v/>
          </cell>
          <cell r="T3185" t="str">
            <v>60 - 00011R41487</v>
          </cell>
        </row>
        <row r="3186">
          <cell r="H3186">
            <v>85565773</v>
          </cell>
          <cell r="O3186">
            <v>41487</v>
          </cell>
          <cell r="R3186" t="str">
            <v/>
          </cell>
          <cell r="T3186" t="str">
            <v>60 - 00011R41487</v>
          </cell>
        </row>
        <row r="3187">
          <cell r="H3187">
            <v>171573548</v>
          </cell>
          <cell r="O3187">
            <v>41487</v>
          </cell>
          <cell r="R3187" t="str">
            <v/>
          </cell>
          <cell r="T3187" t="str">
            <v>60 - 00011R41487</v>
          </cell>
        </row>
        <row r="3188">
          <cell r="H3188">
            <v>0</v>
          </cell>
          <cell r="O3188">
            <v>41487</v>
          </cell>
          <cell r="R3188" t="str">
            <v/>
          </cell>
          <cell r="T3188" t="str">
            <v>60 - 00011R41487</v>
          </cell>
        </row>
        <row r="3189">
          <cell r="H3189">
            <v>0</v>
          </cell>
          <cell r="O3189">
            <v>41487</v>
          </cell>
          <cell r="R3189" t="str">
            <v/>
          </cell>
          <cell r="T3189" t="str">
            <v>60 - 00011R41487</v>
          </cell>
        </row>
        <row r="3190">
          <cell r="H3190">
            <v>0</v>
          </cell>
          <cell r="O3190">
            <v>41487</v>
          </cell>
          <cell r="R3190" t="str">
            <v/>
          </cell>
          <cell r="T3190" t="str">
            <v>60 - 00011R41487</v>
          </cell>
        </row>
        <row r="3191">
          <cell r="H3191">
            <v>0</v>
          </cell>
          <cell r="O3191">
            <v>41487</v>
          </cell>
          <cell r="R3191" t="str">
            <v/>
          </cell>
          <cell r="T3191" t="str">
            <v>60 - 00011R41487</v>
          </cell>
        </row>
        <row r="3192">
          <cell r="H3192">
            <v>245348</v>
          </cell>
          <cell r="O3192">
            <v>41487</v>
          </cell>
          <cell r="R3192" t="str">
            <v/>
          </cell>
          <cell r="T3192" t="str">
            <v>60 - 00011R41487</v>
          </cell>
        </row>
        <row r="3193">
          <cell r="H3193">
            <v>269093</v>
          </cell>
          <cell r="O3193">
            <v>41487</v>
          </cell>
          <cell r="R3193" t="str">
            <v/>
          </cell>
          <cell r="T3193" t="str">
            <v>60 - 00011R41487</v>
          </cell>
        </row>
        <row r="3194">
          <cell r="H3194">
            <v>42949</v>
          </cell>
          <cell r="O3194">
            <v>41487</v>
          </cell>
          <cell r="R3194" t="str">
            <v/>
          </cell>
          <cell r="T3194" t="str">
            <v>60 - 00011R41487</v>
          </cell>
        </row>
        <row r="3195">
          <cell r="H3195">
            <v>748621</v>
          </cell>
          <cell r="O3195">
            <v>41487</v>
          </cell>
          <cell r="R3195" t="str">
            <v/>
          </cell>
          <cell r="T3195" t="str">
            <v>60 - 00011R41487</v>
          </cell>
        </row>
        <row r="3196">
          <cell r="H3196">
            <v>769117</v>
          </cell>
          <cell r="O3196">
            <v>41487</v>
          </cell>
          <cell r="R3196" t="str">
            <v/>
          </cell>
          <cell r="T3196" t="str">
            <v>60 - 00011R41487</v>
          </cell>
        </row>
        <row r="3197">
          <cell r="H3197">
            <v>313383</v>
          </cell>
          <cell r="O3197">
            <v>41487</v>
          </cell>
          <cell r="R3197" t="str">
            <v/>
          </cell>
          <cell r="T3197" t="str">
            <v>60 - 00011R41487</v>
          </cell>
        </row>
        <row r="3198">
          <cell r="H3198">
            <v>0</v>
          </cell>
          <cell r="O3198">
            <v>41487</v>
          </cell>
          <cell r="R3198" t="str">
            <v/>
          </cell>
          <cell r="T3198" t="str">
            <v>60 - 00011R41487</v>
          </cell>
        </row>
        <row r="3199">
          <cell r="H3199">
            <v>10366</v>
          </cell>
          <cell r="O3199">
            <v>41487</v>
          </cell>
          <cell r="R3199" t="str">
            <v/>
          </cell>
          <cell r="T3199" t="str">
            <v>60 - 00011R41487</v>
          </cell>
        </row>
        <row r="3200">
          <cell r="H3200">
            <v>31572</v>
          </cell>
          <cell r="O3200">
            <v>41487</v>
          </cell>
          <cell r="R3200" t="str">
            <v/>
          </cell>
          <cell r="T3200" t="str">
            <v>60 - 00011R41487</v>
          </cell>
        </row>
        <row r="3201">
          <cell r="H3201">
            <v>215954</v>
          </cell>
          <cell r="O3201">
            <v>41487</v>
          </cell>
          <cell r="R3201" t="str">
            <v/>
          </cell>
          <cell r="T3201" t="str">
            <v>60 - 00011R41487</v>
          </cell>
        </row>
        <row r="3202">
          <cell r="H3202">
            <v>1356338</v>
          </cell>
          <cell r="O3202">
            <v>41487</v>
          </cell>
          <cell r="R3202" t="str">
            <v/>
          </cell>
          <cell r="T3202" t="str">
            <v>60 - 00011R41487</v>
          </cell>
        </row>
        <row r="3203">
          <cell r="H3203">
            <v>411751</v>
          </cell>
          <cell r="O3203">
            <v>41487</v>
          </cell>
          <cell r="R3203" t="str">
            <v/>
          </cell>
          <cell r="T3203" t="str">
            <v>60 - 00011R41487</v>
          </cell>
        </row>
        <row r="3204">
          <cell r="H3204">
            <v>10600</v>
          </cell>
          <cell r="O3204">
            <v>41487</v>
          </cell>
          <cell r="R3204" t="str">
            <v/>
          </cell>
          <cell r="T3204" t="str">
            <v>60 - 00011R41487</v>
          </cell>
        </row>
        <row r="3205">
          <cell r="H3205">
            <v>0</v>
          </cell>
          <cell r="O3205">
            <v>41487</v>
          </cell>
          <cell r="R3205" t="str">
            <v/>
          </cell>
          <cell r="T3205" t="str">
            <v>60 - 00011R41487</v>
          </cell>
        </row>
        <row r="3206">
          <cell r="H3206">
            <v>96930840</v>
          </cell>
          <cell r="O3206">
            <v>41487</v>
          </cell>
          <cell r="R3206" t="str">
            <v/>
          </cell>
          <cell r="T3206" t="str">
            <v>60 - 00011R41487</v>
          </cell>
        </row>
        <row r="3207">
          <cell r="H3207">
            <v>5510321</v>
          </cell>
          <cell r="O3207">
            <v>41487</v>
          </cell>
          <cell r="R3207" t="str">
            <v/>
          </cell>
          <cell r="T3207" t="str">
            <v>60 - 00011R41487</v>
          </cell>
        </row>
        <row r="3208">
          <cell r="H3208">
            <v>0</v>
          </cell>
          <cell r="O3208">
            <v>41487</v>
          </cell>
          <cell r="R3208" t="str">
            <v/>
          </cell>
          <cell r="T3208" t="str">
            <v>60 - 00011R41487</v>
          </cell>
        </row>
        <row r="3209">
          <cell r="H3209">
            <v>0</v>
          </cell>
          <cell r="O3209">
            <v>41487</v>
          </cell>
          <cell r="R3209" t="str">
            <v/>
          </cell>
          <cell r="T3209" t="str">
            <v>60 - 00011R41487</v>
          </cell>
        </row>
        <row r="3210">
          <cell r="H3210">
            <v>0</v>
          </cell>
          <cell r="O3210">
            <v>41487</v>
          </cell>
          <cell r="R3210" t="str">
            <v/>
          </cell>
          <cell r="T3210" t="str">
            <v>60 - 00011R41487</v>
          </cell>
        </row>
        <row r="3211">
          <cell r="H3211">
            <v>0</v>
          </cell>
          <cell r="O3211">
            <v>41487</v>
          </cell>
          <cell r="R3211" t="str">
            <v/>
          </cell>
          <cell r="T3211" t="str">
            <v>60 - 00011R41487</v>
          </cell>
        </row>
        <row r="3212">
          <cell r="H3212">
            <v>894152</v>
          </cell>
          <cell r="O3212">
            <v>41487</v>
          </cell>
          <cell r="R3212" t="str">
            <v/>
          </cell>
          <cell r="T3212" t="str">
            <v>60 - 00011R41487</v>
          </cell>
        </row>
        <row r="3213">
          <cell r="H3213">
            <v>10350560</v>
          </cell>
          <cell r="O3213">
            <v>41487</v>
          </cell>
          <cell r="R3213" t="str">
            <v/>
          </cell>
          <cell r="T3213" t="str">
            <v>60 - 00011R41487</v>
          </cell>
        </row>
        <row r="3214">
          <cell r="H3214">
            <v>2359920</v>
          </cell>
          <cell r="O3214">
            <v>41487</v>
          </cell>
          <cell r="R3214" t="str">
            <v/>
          </cell>
          <cell r="T3214" t="str">
            <v>60 - 00011R41487</v>
          </cell>
        </row>
        <row r="3215">
          <cell r="H3215">
            <v>0</v>
          </cell>
          <cell r="O3215">
            <v>41487</v>
          </cell>
          <cell r="R3215" t="str">
            <v/>
          </cell>
          <cell r="T3215" t="str">
            <v>60 - 00011R41487</v>
          </cell>
        </row>
        <row r="3216">
          <cell r="H3216">
            <v>0</v>
          </cell>
          <cell r="O3216">
            <v>41487</v>
          </cell>
          <cell r="R3216" t="str">
            <v/>
          </cell>
          <cell r="T3216" t="str">
            <v>60 - 00011R41487</v>
          </cell>
        </row>
        <row r="3217">
          <cell r="H3217">
            <v>37690</v>
          </cell>
          <cell r="O3217">
            <v>41487</v>
          </cell>
          <cell r="R3217" t="str">
            <v/>
          </cell>
          <cell r="T3217" t="str">
            <v>60 - 00011R41487</v>
          </cell>
        </row>
        <row r="3218">
          <cell r="H3218">
            <v>0</v>
          </cell>
          <cell r="O3218">
            <v>41487</v>
          </cell>
          <cell r="R3218" t="str">
            <v/>
          </cell>
          <cell r="T3218" t="str">
            <v>60 - 00011R41487</v>
          </cell>
        </row>
        <row r="3219">
          <cell r="H3219">
            <v>0</v>
          </cell>
          <cell r="O3219">
            <v>41487</v>
          </cell>
          <cell r="R3219" t="str">
            <v/>
          </cell>
          <cell r="T3219" t="str">
            <v>60 - 00011R41487</v>
          </cell>
        </row>
        <row r="3220">
          <cell r="H3220">
            <v>0</v>
          </cell>
          <cell r="O3220">
            <v>41487</v>
          </cell>
          <cell r="R3220" t="str">
            <v/>
          </cell>
          <cell r="T3220" t="str">
            <v>60 - 00011R41487</v>
          </cell>
        </row>
        <row r="3221">
          <cell r="H3221">
            <v>0</v>
          </cell>
          <cell r="O3221">
            <v>41487</v>
          </cell>
          <cell r="R3221" t="str">
            <v/>
          </cell>
          <cell r="T3221" t="str">
            <v>60 - 00011R41487</v>
          </cell>
        </row>
        <row r="3222">
          <cell r="H3222">
            <v>0</v>
          </cell>
          <cell r="O3222">
            <v>41487</v>
          </cell>
          <cell r="R3222" t="str">
            <v/>
          </cell>
          <cell r="T3222" t="str">
            <v>60 - 00011R41487</v>
          </cell>
        </row>
        <row r="3223">
          <cell r="H3223">
            <v>128982</v>
          </cell>
          <cell r="O3223">
            <v>41487</v>
          </cell>
          <cell r="R3223" t="str">
            <v/>
          </cell>
          <cell r="T3223" t="str">
            <v>60 - 00011R41487</v>
          </cell>
        </row>
        <row r="3224">
          <cell r="H3224">
            <v>0</v>
          </cell>
          <cell r="O3224">
            <v>41487</v>
          </cell>
          <cell r="R3224" t="str">
            <v/>
          </cell>
          <cell r="T3224" t="str">
            <v>60 - 00011R41487</v>
          </cell>
        </row>
        <row r="3225">
          <cell r="H3225">
            <v>0</v>
          </cell>
          <cell r="O3225">
            <v>41487</v>
          </cell>
          <cell r="R3225" t="str">
            <v/>
          </cell>
          <cell r="T3225" t="str">
            <v>60 - 00011R41487</v>
          </cell>
        </row>
        <row r="3226">
          <cell r="H3226">
            <v>-22436000</v>
          </cell>
          <cell r="O3226">
            <v>41487</v>
          </cell>
          <cell r="R3226" t="str">
            <v/>
          </cell>
          <cell r="T3226" t="str">
            <v>60 - 00011U41487</v>
          </cell>
        </row>
        <row r="3227">
          <cell r="H3227">
            <v>0</v>
          </cell>
          <cell r="O3227">
            <v>41487</v>
          </cell>
          <cell r="R3227" t="str">
            <v/>
          </cell>
          <cell r="T3227" t="str">
            <v>60 - 00011B41487</v>
          </cell>
        </row>
        <row r="3228">
          <cell r="H3228">
            <v>41858</v>
          </cell>
          <cell r="O3228">
            <v>41487</v>
          </cell>
          <cell r="R3228" t="str">
            <v/>
          </cell>
          <cell r="T3228" t="str">
            <v>60 - 00011B41487</v>
          </cell>
        </row>
        <row r="3229">
          <cell r="H3229">
            <v>49712</v>
          </cell>
          <cell r="O3229">
            <v>41487</v>
          </cell>
          <cell r="R3229" t="str">
            <v/>
          </cell>
          <cell r="T3229" t="str">
            <v>60 - 00011B41487</v>
          </cell>
        </row>
        <row r="3230">
          <cell r="H3230">
            <v>380</v>
          </cell>
          <cell r="O3230">
            <v>41487</v>
          </cell>
          <cell r="R3230" t="str">
            <v/>
          </cell>
          <cell r="T3230" t="str">
            <v>60 - 00011B41487</v>
          </cell>
        </row>
        <row r="3231">
          <cell r="H3231">
            <v>0</v>
          </cell>
          <cell r="O3231">
            <v>41487</v>
          </cell>
          <cell r="R3231" t="str">
            <v/>
          </cell>
          <cell r="T3231" t="str">
            <v>60 - 00011B41487</v>
          </cell>
        </row>
        <row r="3232">
          <cell r="H3232">
            <v>0</v>
          </cell>
          <cell r="O3232">
            <v>41487</v>
          </cell>
          <cell r="R3232" t="str">
            <v/>
          </cell>
          <cell r="T3232" t="str">
            <v>60 - 00011R41487</v>
          </cell>
        </row>
        <row r="3233">
          <cell r="H3233">
            <v>0</v>
          </cell>
          <cell r="O3233">
            <v>41487</v>
          </cell>
          <cell r="R3233" t="str">
            <v/>
          </cell>
          <cell r="T3233" t="str">
            <v>60 - 00011R41487</v>
          </cell>
        </row>
        <row r="3234">
          <cell r="H3234">
            <v>0</v>
          </cell>
          <cell r="O3234">
            <v>41487</v>
          </cell>
          <cell r="R3234" t="str">
            <v/>
          </cell>
          <cell r="T3234" t="str">
            <v>60 - 00011R41487</v>
          </cell>
        </row>
        <row r="3235">
          <cell r="H3235">
            <v>0</v>
          </cell>
          <cell r="O3235">
            <v>41487</v>
          </cell>
          <cell r="R3235" t="str">
            <v/>
          </cell>
          <cell r="T3235" t="str">
            <v>60 - 00011R41487</v>
          </cell>
        </row>
        <row r="3236">
          <cell r="H3236">
            <v>0</v>
          </cell>
          <cell r="O3236">
            <v>41487</v>
          </cell>
          <cell r="R3236" t="str">
            <v/>
          </cell>
          <cell r="T3236" t="str">
            <v>60 - 00011R41487</v>
          </cell>
        </row>
        <row r="3237">
          <cell r="H3237">
            <v>0</v>
          </cell>
          <cell r="O3237">
            <v>41487</v>
          </cell>
          <cell r="R3237" t="str">
            <v/>
          </cell>
          <cell r="T3237" t="str">
            <v>60 - 00011R41487</v>
          </cell>
        </row>
        <row r="3238">
          <cell r="H3238">
            <v>7143600</v>
          </cell>
          <cell r="O3238">
            <v>41487</v>
          </cell>
          <cell r="R3238" t="str">
            <v/>
          </cell>
          <cell r="T3238" t="str">
            <v>60 - 00011R41487</v>
          </cell>
        </row>
        <row r="3239">
          <cell r="H3239">
            <v>0</v>
          </cell>
          <cell r="O3239">
            <v>41487</v>
          </cell>
          <cell r="R3239" t="str">
            <v/>
          </cell>
          <cell r="T3239" t="str">
            <v>60 - 00011R41487</v>
          </cell>
        </row>
        <row r="3240">
          <cell r="H3240">
            <v>1412000</v>
          </cell>
          <cell r="O3240">
            <v>41487</v>
          </cell>
          <cell r="R3240" t="str">
            <v/>
          </cell>
          <cell r="T3240" t="str">
            <v>60 - 00011R41487</v>
          </cell>
        </row>
        <row r="3241">
          <cell r="H3241">
            <v>20024</v>
          </cell>
          <cell r="O3241">
            <v>41487</v>
          </cell>
          <cell r="R3241" t="str">
            <v/>
          </cell>
          <cell r="T3241" t="str">
            <v>60 - 00011R41487</v>
          </cell>
        </row>
        <row r="3242">
          <cell r="H3242">
            <v>0</v>
          </cell>
          <cell r="O3242">
            <v>41487</v>
          </cell>
          <cell r="R3242" t="str">
            <v/>
          </cell>
          <cell r="T3242" t="str">
            <v>60 - 00011R41487</v>
          </cell>
        </row>
        <row r="3243">
          <cell r="H3243">
            <v>151842019</v>
          </cell>
          <cell r="O3243">
            <v>41487</v>
          </cell>
          <cell r="R3243" t="str">
            <v/>
          </cell>
          <cell r="T3243" t="str">
            <v>60 - 00011R41487</v>
          </cell>
        </row>
        <row r="3244">
          <cell r="H3244">
            <v>0</v>
          </cell>
          <cell r="O3244">
            <v>41487</v>
          </cell>
          <cell r="R3244" t="str">
            <v/>
          </cell>
          <cell r="T3244" t="str">
            <v>60 - 00011R41487</v>
          </cell>
        </row>
        <row r="3245">
          <cell r="H3245">
            <v>1631992</v>
          </cell>
          <cell r="O3245">
            <v>41487</v>
          </cell>
          <cell r="R3245" t="str">
            <v/>
          </cell>
          <cell r="T3245" t="str">
            <v>60 - 00011R41487</v>
          </cell>
        </row>
        <row r="3246">
          <cell r="H3246">
            <v>8120362</v>
          </cell>
          <cell r="O3246">
            <v>41487</v>
          </cell>
          <cell r="R3246" t="str">
            <v/>
          </cell>
          <cell r="T3246" t="str">
            <v>60 - 00011R41487</v>
          </cell>
        </row>
        <row r="3247">
          <cell r="H3247">
            <v>0</v>
          </cell>
          <cell r="O3247">
            <v>41487</v>
          </cell>
          <cell r="R3247" t="str">
            <v/>
          </cell>
          <cell r="T3247" t="str">
            <v>60 - 00011R41487</v>
          </cell>
        </row>
        <row r="3248">
          <cell r="H3248">
            <v>0</v>
          </cell>
          <cell r="O3248">
            <v>41487</v>
          </cell>
          <cell r="R3248" t="str">
            <v/>
          </cell>
          <cell r="T3248" t="str">
            <v>60 - 00011R41487</v>
          </cell>
        </row>
        <row r="3249">
          <cell r="H3249">
            <v>0</v>
          </cell>
          <cell r="O3249">
            <v>41487</v>
          </cell>
          <cell r="R3249" t="str">
            <v/>
          </cell>
          <cell r="T3249" t="str">
            <v>60 - 00011R41487</v>
          </cell>
        </row>
        <row r="3250">
          <cell r="H3250">
            <v>0</v>
          </cell>
          <cell r="O3250">
            <v>41487</v>
          </cell>
          <cell r="R3250" t="str">
            <v/>
          </cell>
          <cell r="T3250" t="str">
            <v>60 - 00011R41487</v>
          </cell>
        </row>
        <row r="3251">
          <cell r="H3251">
            <v>1792</v>
          </cell>
          <cell r="O3251">
            <v>41487</v>
          </cell>
          <cell r="R3251" t="str">
            <v/>
          </cell>
          <cell r="T3251" t="str">
            <v>60 - 00011R41487</v>
          </cell>
        </row>
        <row r="3252">
          <cell r="H3252">
            <v>8271</v>
          </cell>
          <cell r="O3252">
            <v>41487</v>
          </cell>
          <cell r="R3252" t="str">
            <v/>
          </cell>
          <cell r="T3252" t="str">
            <v>60 - 00011R41487</v>
          </cell>
        </row>
        <row r="3253">
          <cell r="H3253">
            <v>197</v>
          </cell>
          <cell r="O3253">
            <v>41487</v>
          </cell>
          <cell r="R3253" t="str">
            <v/>
          </cell>
          <cell r="T3253" t="str">
            <v>60 - 00011R41487</v>
          </cell>
        </row>
        <row r="3254">
          <cell r="H3254">
            <v>86</v>
          </cell>
          <cell r="O3254">
            <v>41487</v>
          </cell>
          <cell r="R3254" t="str">
            <v/>
          </cell>
          <cell r="T3254" t="str">
            <v>60 - 00011R41487</v>
          </cell>
        </row>
        <row r="3255">
          <cell r="H3255">
            <v>23</v>
          </cell>
          <cell r="O3255">
            <v>41487</v>
          </cell>
          <cell r="R3255" t="str">
            <v/>
          </cell>
          <cell r="T3255" t="str">
            <v>60 - 00011R41487</v>
          </cell>
        </row>
        <row r="3256">
          <cell r="H3256">
            <v>1800</v>
          </cell>
          <cell r="O3256">
            <v>41487</v>
          </cell>
          <cell r="R3256" t="str">
            <v/>
          </cell>
          <cell r="T3256" t="str">
            <v>60 - 00011R41487</v>
          </cell>
        </row>
        <row r="3257">
          <cell r="H3257">
            <v>10960</v>
          </cell>
          <cell r="O3257">
            <v>41487</v>
          </cell>
          <cell r="R3257" t="str">
            <v/>
          </cell>
          <cell r="T3257" t="str">
            <v>60 - 00011R41487</v>
          </cell>
        </row>
        <row r="3258">
          <cell r="H3258">
            <v>0</v>
          </cell>
          <cell r="O3258">
            <v>41487</v>
          </cell>
          <cell r="R3258" t="str">
            <v/>
          </cell>
          <cell r="T3258" t="str">
            <v>60 - 00011R41487</v>
          </cell>
        </row>
        <row r="3259">
          <cell r="H3259">
            <v>19390151</v>
          </cell>
          <cell r="O3259">
            <v>41487</v>
          </cell>
          <cell r="R3259" t="str">
            <v/>
          </cell>
          <cell r="T3259" t="str">
            <v>60 - 00011R41487</v>
          </cell>
        </row>
        <row r="3260">
          <cell r="H3260">
            <v>41836</v>
          </cell>
          <cell r="O3260">
            <v>41487</v>
          </cell>
          <cell r="R3260" t="str">
            <v/>
          </cell>
          <cell r="T3260" t="str">
            <v>60 - 00011R41487</v>
          </cell>
        </row>
        <row r="3261">
          <cell r="H3261">
            <v>0</v>
          </cell>
          <cell r="O3261">
            <v>41487</v>
          </cell>
          <cell r="R3261" t="str">
            <v/>
          </cell>
          <cell r="T3261" t="str">
            <v>60 - 00011R41487</v>
          </cell>
        </row>
        <row r="3262">
          <cell r="H3262">
            <v>0</v>
          </cell>
          <cell r="O3262">
            <v>41487</v>
          </cell>
          <cell r="R3262" t="str">
            <v/>
          </cell>
          <cell r="T3262" t="str">
            <v>60 - 00011R41487</v>
          </cell>
        </row>
        <row r="3263">
          <cell r="H3263">
            <v>50320</v>
          </cell>
          <cell r="O3263">
            <v>41487</v>
          </cell>
          <cell r="R3263" t="str">
            <v/>
          </cell>
          <cell r="T3263" t="str">
            <v>60 - 00011R41487</v>
          </cell>
        </row>
        <row r="3264">
          <cell r="H3264">
            <v>100000</v>
          </cell>
          <cell r="O3264">
            <v>41487</v>
          </cell>
          <cell r="R3264" t="str">
            <v/>
          </cell>
          <cell r="T3264" t="str">
            <v>60 - 00011R41487</v>
          </cell>
        </row>
        <row r="3265">
          <cell r="H3265">
            <v>5011000</v>
          </cell>
          <cell r="O3265">
            <v>41487</v>
          </cell>
          <cell r="R3265" t="str">
            <v/>
          </cell>
          <cell r="T3265" t="str">
            <v>60 - 00011R41487</v>
          </cell>
        </row>
        <row r="3266">
          <cell r="H3266">
            <v>0</v>
          </cell>
          <cell r="O3266">
            <v>41487</v>
          </cell>
          <cell r="R3266" t="str">
            <v/>
          </cell>
          <cell r="T3266" t="str">
            <v>60 - 00011R41487</v>
          </cell>
        </row>
        <row r="3267">
          <cell r="H3267">
            <v>0</v>
          </cell>
          <cell r="O3267">
            <v>41487</v>
          </cell>
          <cell r="R3267" t="str">
            <v/>
          </cell>
          <cell r="T3267" t="str">
            <v>60 - 00011R41487</v>
          </cell>
        </row>
        <row r="3268">
          <cell r="H3268">
            <v>0</v>
          </cell>
          <cell r="O3268">
            <v>41487</v>
          </cell>
          <cell r="R3268" t="str">
            <v/>
          </cell>
          <cell r="T3268" t="str">
            <v>60 - 00011R41487</v>
          </cell>
        </row>
        <row r="3269">
          <cell r="H3269">
            <v>0</v>
          </cell>
          <cell r="O3269">
            <v>41487</v>
          </cell>
          <cell r="R3269" t="str">
            <v/>
          </cell>
          <cell r="T3269" t="str">
            <v>60 - 00011R41487</v>
          </cell>
        </row>
        <row r="3270">
          <cell r="H3270">
            <v>380</v>
          </cell>
          <cell r="O3270">
            <v>41487</v>
          </cell>
          <cell r="R3270" t="str">
            <v/>
          </cell>
          <cell r="T3270" t="str">
            <v>60 - 00011R41487</v>
          </cell>
        </row>
        <row r="3271">
          <cell r="H3271">
            <v>0</v>
          </cell>
          <cell r="O3271">
            <v>41487</v>
          </cell>
          <cell r="R3271" t="str">
            <v/>
          </cell>
          <cell r="T3271" t="str">
            <v>60 - 00011R41487</v>
          </cell>
        </row>
        <row r="3272">
          <cell r="H3272">
            <v>26034000</v>
          </cell>
          <cell r="O3272">
            <v>41487</v>
          </cell>
          <cell r="R3272" t="str">
            <v/>
          </cell>
          <cell r="T3272" t="str">
            <v>60 - 00011U41487</v>
          </cell>
        </row>
        <row r="3273">
          <cell r="H3273">
            <v>0</v>
          </cell>
          <cell r="O3273">
            <v>41487</v>
          </cell>
          <cell r="R3273" t="str">
            <v/>
          </cell>
          <cell r="T3273" t="str">
            <v>60 - 00011B41487</v>
          </cell>
        </row>
        <row r="3274">
          <cell r="H3274">
            <v>11863399</v>
          </cell>
          <cell r="O3274">
            <v>41487</v>
          </cell>
          <cell r="R3274" t="str">
            <v/>
          </cell>
          <cell r="T3274" t="str">
            <v>60 - 00011B41487</v>
          </cell>
        </row>
        <row r="3275">
          <cell r="H3275">
            <v>-3743943</v>
          </cell>
          <cell r="O3275">
            <v>41487</v>
          </cell>
          <cell r="R3275" t="str">
            <v/>
          </cell>
          <cell r="T3275" t="str">
            <v>60 - 00011B41487</v>
          </cell>
        </row>
        <row r="3276">
          <cell r="H3276">
            <v>120619</v>
          </cell>
          <cell r="O3276">
            <v>41487</v>
          </cell>
          <cell r="R3276" t="str">
            <v/>
          </cell>
          <cell r="T3276" t="str">
            <v>60 - 00011B41487</v>
          </cell>
        </row>
        <row r="3277">
          <cell r="H3277">
            <v>20137858</v>
          </cell>
          <cell r="O3277">
            <v>41487</v>
          </cell>
          <cell r="R3277" t="str">
            <v/>
          </cell>
          <cell r="T3277" t="str">
            <v>60 - 00011B41487</v>
          </cell>
        </row>
        <row r="3278">
          <cell r="H3278">
            <v>4427</v>
          </cell>
          <cell r="O3278">
            <v>41487</v>
          </cell>
          <cell r="R3278" t="str">
            <v/>
          </cell>
          <cell r="T3278" t="str">
            <v>60 - 00011B41487</v>
          </cell>
        </row>
        <row r="3279">
          <cell r="H3279">
            <v>1868000</v>
          </cell>
          <cell r="O3279">
            <v>41487</v>
          </cell>
          <cell r="R3279" t="str">
            <v/>
          </cell>
          <cell r="T3279" t="str">
            <v>60 - 00011B41487</v>
          </cell>
        </row>
        <row r="3280">
          <cell r="H3280">
            <v>139428</v>
          </cell>
          <cell r="O3280">
            <v>41487</v>
          </cell>
          <cell r="R3280" t="str">
            <v/>
          </cell>
          <cell r="T3280" t="str">
            <v>60 - 00011B41487</v>
          </cell>
        </row>
        <row r="3281">
          <cell r="H3281">
            <v>15446</v>
          </cell>
          <cell r="O3281">
            <v>41487</v>
          </cell>
          <cell r="R3281" t="str">
            <v/>
          </cell>
          <cell r="T3281" t="str">
            <v>60 - 00011B41487</v>
          </cell>
        </row>
        <row r="3282">
          <cell r="H3282">
            <v>0</v>
          </cell>
          <cell r="O3282">
            <v>41487</v>
          </cell>
          <cell r="R3282" t="str">
            <v/>
          </cell>
          <cell r="T3282" t="str">
            <v>60 - 00011B41487</v>
          </cell>
        </row>
        <row r="3283">
          <cell r="H3283">
            <v>8518904</v>
          </cell>
          <cell r="O3283">
            <v>41487</v>
          </cell>
          <cell r="R3283" t="str">
            <v/>
          </cell>
          <cell r="T3283" t="str">
            <v>60 - 00011B41487</v>
          </cell>
        </row>
        <row r="3284">
          <cell r="H3284">
            <v>10498744</v>
          </cell>
          <cell r="O3284">
            <v>41487</v>
          </cell>
          <cell r="R3284" t="str">
            <v/>
          </cell>
          <cell r="T3284" t="str">
            <v>60 - 00011B41487</v>
          </cell>
        </row>
        <row r="3285">
          <cell r="H3285">
            <v>1351716</v>
          </cell>
          <cell r="O3285">
            <v>41487</v>
          </cell>
          <cell r="R3285" t="str">
            <v/>
          </cell>
          <cell r="T3285" t="str">
            <v>60 - 00011B41487</v>
          </cell>
        </row>
        <row r="3286">
          <cell r="H3286">
            <v>0</v>
          </cell>
          <cell r="O3286">
            <v>41487</v>
          </cell>
          <cell r="R3286" t="str">
            <v/>
          </cell>
          <cell r="T3286" t="str">
            <v>60 - 00011B41487</v>
          </cell>
        </row>
        <row r="3287">
          <cell r="H3287">
            <v>0</v>
          </cell>
          <cell r="O3287">
            <v>41487</v>
          </cell>
          <cell r="R3287" t="str">
            <v/>
          </cell>
          <cell r="T3287" t="str">
            <v>60 - 00011R41487</v>
          </cell>
        </row>
        <row r="3288">
          <cell r="H3288">
            <v>0</v>
          </cell>
          <cell r="O3288">
            <v>41487</v>
          </cell>
          <cell r="R3288" t="str">
            <v/>
          </cell>
          <cell r="T3288" t="str">
            <v>60 - 00011R41487</v>
          </cell>
        </row>
        <row r="3289">
          <cell r="H3289">
            <v>0</v>
          </cell>
          <cell r="O3289">
            <v>41487</v>
          </cell>
          <cell r="R3289" t="str">
            <v/>
          </cell>
          <cell r="T3289" t="str">
            <v>60 - 00011R41487</v>
          </cell>
        </row>
        <row r="3290">
          <cell r="H3290">
            <v>0</v>
          </cell>
          <cell r="O3290">
            <v>41487</v>
          </cell>
          <cell r="R3290" t="str">
            <v/>
          </cell>
          <cell r="T3290" t="str">
            <v>60 - 00011R41487</v>
          </cell>
        </row>
        <row r="3291">
          <cell r="H3291">
            <v>0</v>
          </cell>
          <cell r="O3291">
            <v>41487</v>
          </cell>
          <cell r="R3291" t="str">
            <v/>
          </cell>
          <cell r="T3291" t="str">
            <v>60 - 00011R41487</v>
          </cell>
        </row>
        <row r="3292">
          <cell r="H3292">
            <v>0</v>
          </cell>
          <cell r="O3292">
            <v>41487</v>
          </cell>
          <cell r="R3292" t="str">
            <v/>
          </cell>
          <cell r="T3292" t="str">
            <v>60 - 00011R41487</v>
          </cell>
        </row>
        <row r="3293">
          <cell r="H3293">
            <v>0</v>
          </cell>
          <cell r="O3293">
            <v>41487</v>
          </cell>
          <cell r="R3293" t="str">
            <v/>
          </cell>
          <cell r="T3293" t="str">
            <v>60 - 00011R41487</v>
          </cell>
        </row>
        <row r="3294">
          <cell r="H3294">
            <v>0</v>
          </cell>
          <cell r="O3294">
            <v>41487</v>
          </cell>
          <cell r="R3294" t="str">
            <v/>
          </cell>
          <cell r="T3294" t="str">
            <v>60 - 00011R41487</v>
          </cell>
        </row>
        <row r="3295">
          <cell r="H3295">
            <v>0</v>
          </cell>
          <cell r="O3295">
            <v>41487</v>
          </cell>
          <cell r="R3295" t="str">
            <v/>
          </cell>
          <cell r="T3295" t="str">
            <v>60 - 00011R41487</v>
          </cell>
        </row>
        <row r="3296">
          <cell r="H3296">
            <v>0</v>
          </cell>
          <cell r="O3296">
            <v>41487</v>
          </cell>
          <cell r="R3296" t="str">
            <v/>
          </cell>
          <cell r="T3296" t="str">
            <v>60 - 00011R41487</v>
          </cell>
        </row>
        <row r="3297">
          <cell r="H3297">
            <v>1868000</v>
          </cell>
          <cell r="O3297">
            <v>41487</v>
          </cell>
          <cell r="R3297" t="str">
            <v/>
          </cell>
          <cell r="T3297" t="str">
            <v>60 - 00011R41487</v>
          </cell>
        </row>
        <row r="3298">
          <cell r="H3298">
            <v>33354172</v>
          </cell>
          <cell r="O3298">
            <v>41487</v>
          </cell>
          <cell r="R3298" t="str">
            <v/>
          </cell>
          <cell r="T3298" t="str">
            <v>60 - 00011R41487</v>
          </cell>
        </row>
        <row r="3299">
          <cell r="H3299">
            <v>1834</v>
          </cell>
          <cell r="O3299">
            <v>41487</v>
          </cell>
          <cell r="R3299" t="str">
            <v/>
          </cell>
          <cell r="T3299" t="str">
            <v>60 - 00011R41487</v>
          </cell>
        </row>
        <row r="3300">
          <cell r="H3300">
            <v>31540</v>
          </cell>
          <cell r="O3300">
            <v>41487</v>
          </cell>
          <cell r="R3300" t="str">
            <v/>
          </cell>
          <cell r="T3300" t="str">
            <v>60 - 00011R41487</v>
          </cell>
        </row>
        <row r="3301">
          <cell r="H3301">
            <v>127250</v>
          </cell>
          <cell r="O3301">
            <v>41487</v>
          </cell>
          <cell r="R3301" t="str">
            <v/>
          </cell>
          <cell r="T3301" t="str">
            <v>60 - 00011R41487</v>
          </cell>
        </row>
        <row r="3302">
          <cell r="H3302">
            <v>0</v>
          </cell>
          <cell r="O3302">
            <v>41487</v>
          </cell>
          <cell r="R3302" t="str">
            <v/>
          </cell>
          <cell r="T3302" t="str">
            <v>60 - 00011R41487</v>
          </cell>
        </row>
        <row r="3303">
          <cell r="H3303">
            <v>0</v>
          </cell>
          <cell r="O3303">
            <v>41487</v>
          </cell>
          <cell r="R3303" t="str">
            <v/>
          </cell>
          <cell r="T3303" t="str">
            <v>60 - 00011R41487</v>
          </cell>
        </row>
        <row r="3304">
          <cell r="H3304">
            <v>0</v>
          </cell>
          <cell r="O3304">
            <v>41487</v>
          </cell>
          <cell r="R3304" t="str">
            <v/>
          </cell>
          <cell r="T3304" t="str">
            <v>60 - 00011R41487</v>
          </cell>
        </row>
        <row r="3305">
          <cell r="H3305">
            <v>22284</v>
          </cell>
          <cell r="O3305">
            <v>41487</v>
          </cell>
          <cell r="R3305" t="str">
            <v/>
          </cell>
          <cell r="T3305" t="str">
            <v>60 - 00011R41487</v>
          </cell>
        </row>
        <row r="3306">
          <cell r="H3306">
            <v>75794</v>
          </cell>
          <cell r="O3306">
            <v>41487</v>
          </cell>
          <cell r="R3306" t="str">
            <v/>
          </cell>
          <cell r="T3306" t="str">
            <v>60 - 00011R41487</v>
          </cell>
        </row>
        <row r="3307">
          <cell r="H3307">
            <v>0</v>
          </cell>
          <cell r="O3307">
            <v>41487</v>
          </cell>
          <cell r="R3307" t="str">
            <v/>
          </cell>
          <cell r="T3307" t="str">
            <v>60 - 00011R41487</v>
          </cell>
        </row>
        <row r="3308">
          <cell r="H3308">
            <v>0</v>
          </cell>
          <cell r="O3308">
            <v>41487</v>
          </cell>
          <cell r="R3308" t="str">
            <v/>
          </cell>
          <cell r="T3308" t="str">
            <v>60 - 00011R41487</v>
          </cell>
        </row>
        <row r="3309">
          <cell r="H3309">
            <v>0</v>
          </cell>
          <cell r="O3309">
            <v>41487</v>
          </cell>
          <cell r="R3309" t="str">
            <v/>
          </cell>
          <cell r="T3309" t="str">
            <v>60 - 00011R41487</v>
          </cell>
        </row>
        <row r="3310">
          <cell r="H3310">
            <v>0</v>
          </cell>
          <cell r="O3310">
            <v>41487</v>
          </cell>
          <cell r="R3310" t="str">
            <v/>
          </cell>
          <cell r="T3310" t="str">
            <v>60 - 00011R41487</v>
          </cell>
        </row>
        <row r="3311">
          <cell r="H3311">
            <v>20722379</v>
          </cell>
          <cell r="O3311">
            <v>41487</v>
          </cell>
          <cell r="R3311" t="str">
            <v/>
          </cell>
          <cell r="T3311" t="str">
            <v>60 - 00011R41487</v>
          </cell>
        </row>
        <row r="3312">
          <cell r="H3312">
            <v>0</v>
          </cell>
          <cell r="O3312">
            <v>41487</v>
          </cell>
          <cell r="R3312" t="str">
            <v/>
          </cell>
          <cell r="T3312" t="str">
            <v>60 - 00011R41487</v>
          </cell>
        </row>
        <row r="3313">
          <cell r="H3313">
            <v>0</v>
          </cell>
          <cell r="O3313">
            <v>41487</v>
          </cell>
          <cell r="R3313" t="str">
            <v/>
          </cell>
          <cell r="T3313" t="str">
            <v>60 - 00011R41487</v>
          </cell>
        </row>
        <row r="3314">
          <cell r="H3314">
            <v>1855</v>
          </cell>
          <cell r="O3314">
            <v>41487</v>
          </cell>
          <cell r="R3314" t="str">
            <v/>
          </cell>
          <cell r="T3314" t="str">
            <v>60 - 00011R41487</v>
          </cell>
        </row>
        <row r="3315">
          <cell r="H3315">
            <v>42399</v>
          </cell>
          <cell r="O3315">
            <v>41487</v>
          </cell>
          <cell r="R3315" t="str">
            <v/>
          </cell>
          <cell r="T3315" t="str">
            <v>60 - 00011R41487</v>
          </cell>
        </row>
        <row r="3316">
          <cell r="H3316">
            <v>0</v>
          </cell>
          <cell r="O3316">
            <v>41487</v>
          </cell>
          <cell r="R3316" t="str">
            <v/>
          </cell>
          <cell r="T3316" t="str">
            <v>60 - 00011R41487</v>
          </cell>
        </row>
        <row r="3317">
          <cell r="H3317">
            <v>0</v>
          </cell>
          <cell r="O3317">
            <v>41487</v>
          </cell>
          <cell r="R3317" t="str">
            <v/>
          </cell>
          <cell r="T3317" t="str">
            <v>60 - 00011R41487</v>
          </cell>
        </row>
        <row r="3318">
          <cell r="H3318">
            <v>4205000</v>
          </cell>
          <cell r="O3318">
            <v>41487</v>
          </cell>
          <cell r="R3318" t="str">
            <v/>
          </cell>
          <cell r="T3318" t="str">
            <v>60 - 00011U41487</v>
          </cell>
        </row>
        <row r="3319">
          <cell r="H3319">
            <v>0</v>
          </cell>
          <cell r="O3319">
            <v>41487</v>
          </cell>
          <cell r="R3319" t="str">
            <v/>
          </cell>
          <cell r="T3319" t="str">
            <v>60 - 00011R41487</v>
          </cell>
        </row>
        <row r="3320">
          <cell r="H3320">
            <v>0</v>
          </cell>
          <cell r="O3320">
            <v>41487</v>
          </cell>
          <cell r="R3320" t="str">
            <v/>
          </cell>
          <cell r="T3320" t="str">
            <v>60 - 00011R41487</v>
          </cell>
        </row>
        <row r="3321">
          <cell r="H3321">
            <v>0</v>
          </cell>
          <cell r="O3321">
            <v>41487</v>
          </cell>
          <cell r="R3321" t="str">
            <v/>
          </cell>
          <cell r="T3321" t="str">
            <v>60 - 00011R41487</v>
          </cell>
        </row>
        <row r="3322">
          <cell r="H3322">
            <v>0</v>
          </cell>
          <cell r="O3322">
            <v>41487</v>
          </cell>
          <cell r="R3322" t="str">
            <v/>
          </cell>
          <cell r="T3322" t="str">
            <v>60 - 00011R41487</v>
          </cell>
        </row>
        <row r="3323">
          <cell r="H3323">
            <v>44649</v>
          </cell>
          <cell r="O3323">
            <v>41487</v>
          </cell>
          <cell r="R3323" t="str">
            <v/>
          </cell>
          <cell r="T3323" t="str">
            <v>60 - 00011R41487</v>
          </cell>
        </row>
        <row r="3324">
          <cell r="H3324">
            <v>12905</v>
          </cell>
          <cell r="O3324">
            <v>41487</v>
          </cell>
          <cell r="R3324" t="str">
            <v/>
          </cell>
          <cell r="T3324" t="str">
            <v>60 - 00011R41487</v>
          </cell>
        </row>
        <row r="3325">
          <cell r="H3325">
            <v>1725163</v>
          </cell>
          <cell r="O3325">
            <v>41487</v>
          </cell>
          <cell r="R3325" t="str">
            <v/>
          </cell>
          <cell r="T3325" t="str">
            <v>60 - 00011R41487</v>
          </cell>
        </row>
        <row r="3326">
          <cell r="H3326">
            <v>731974</v>
          </cell>
          <cell r="O3326">
            <v>41487</v>
          </cell>
          <cell r="R3326" t="str">
            <v/>
          </cell>
          <cell r="T3326" t="str">
            <v>60 - 00011R41487</v>
          </cell>
        </row>
        <row r="3327">
          <cell r="H3327">
            <v>31</v>
          </cell>
          <cell r="O3327">
            <v>41487</v>
          </cell>
          <cell r="R3327" t="str">
            <v/>
          </cell>
          <cell r="T3327" t="str">
            <v>60 - 00011R41487</v>
          </cell>
        </row>
        <row r="3328">
          <cell r="H3328">
            <v>42315</v>
          </cell>
          <cell r="O3328">
            <v>41487</v>
          </cell>
          <cell r="R3328" t="str">
            <v/>
          </cell>
          <cell r="T3328" t="str">
            <v>60 - 00011R41487</v>
          </cell>
        </row>
        <row r="3329">
          <cell r="H3329">
            <v>701622</v>
          </cell>
          <cell r="O3329">
            <v>41487</v>
          </cell>
          <cell r="R3329" t="str">
            <v/>
          </cell>
          <cell r="T3329" t="str">
            <v>60 - 00011R41487</v>
          </cell>
        </row>
        <row r="3330">
          <cell r="H3330">
            <v>3569</v>
          </cell>
          <cell r="O3330">
            <v>41487</v>
          </cell>
          <cell r="R3330" t="str">
            <v/>
          </cell>
          <cell r="T3330" t="str">
            <v>60 - 00011R41487</v>
          </cell>
        </row>
        <row r="3331">
          <cell r="H3331">
            <v>0</v>
          </cell>
          <cell r="O3331">
            <v>41487</v>
          </cell>
          <cell r="R3331" t="str">
            <v/>
          </cell>
          <cell r="T3331" t="str">
            <v>60 - 00011R41487</v>
          </cell>
        </row>
        <row r="3332">
          <cell r="H3332">
            <v>1077000</v>
          </cell>
          <cell r="O3332">
            <v>41487</v>
          </cell>
          <cell r="R3332" t="str">
            <v/>
          </cell>
          <cell r="T3332" t="str">
            <v>60 - 00011U41487</v>
          </cell>
        </row>
        <row r="3333">
          <cell r="H3333">
            <v>0</v>
          </cell>
          <cell r="O3333">
            <v>41487</v>
          </cell>
          <cell r="R3333" t="str">
            <v/>
          </cell>
          <cell r="T3333" t="str">
            <v>60 - 00012B41487</v>
          </cell>
        </row>
        <row r="3334">
          <cell r="H3334">
            <v>125083233</v>
          </cell>
          <cell r="O3334">
            <v>41487</v>
          </cell>
          <cell r="R3334" t="str">
            <v/>
          </cell>
          <cell r="T3334" t="str">
            <v>60 - 00012B41487</v>
          </cell>
        </row>
        <row r="3335">
          <cell r="H3335">
            <v>207088</v>
          </cell>
          <cell r="O3335">
            <v>41487</v>
          </cell>
          <cell r="R3335" t="str">
            <v/>
          </cell>
          <cell r="T3335" t="str">
            <v>60 - 00012B41487</v>
          </cell>
        </row>
        <row r="3336">
          <cell r="H3336">
            <v>46716</v>
          </cell>
          <cell r="O3336">
            <v>41487</v>
          </cell>
          <cell r="R3336" t="str">
            <v/>
          </cell>
          <cell r="T3336" t="str">
            <v>60 - 00012B41487</v>
          </cell>
        </row>
        <row r="3337">
          <cell r="H3337">
            <v>4099097</v>
          </cell>
          <cell r="O3337">
            <v>41487</v>
          </cell>
          <cell r="R3337" t="str">
            <v/>
          </cell>
          <cell r="T3337" t="str">
            <v>60 - 00012B41487</v>
          </cell>
        </row>
        <row r="3338">
          <cell r="H3338">
            <v>86810</v>
          </cell>
          <cell r="O3338">
            <v>41487</v>
          </cell>
          <cell r="R3338" t="str">
            <v/>
          </cell>
          <cell r="T3338" t="str">
            <v>60 - 00012B41487</v>
          </cell>
        </row>
        <row r="3339">
          <cell r="H3339">
            <v>108631</v>
          </cell>
          <cell r="O3339">
            <v>41487</v>
          </cell>
          <cell r="R3339" t="str">
            <v/>
          </cell>
          <cell r="T3339" t="str">
            <v>60 - 00012B41487</v>
          </cell>
        </row>
        <row r="3340">
          <cell r="H3340">
            <v>607623</v>
          </cell>
          <cell r="O3340">
            <v>41487</v>
          </cell>
          <cell r="R3340" t="str">
            <v/>
          </cell>
          <cell r="T3340" t="str">
            <v>60 - 00012B41487</v>
          </cell>
        </row>
        <row r="3341">
          <cell r="H3341">
            <v>0</v>
          </cell>
          <cell r="O3341">
            <v>41487</v>
          </cell>
          <cell r="R3341" t="str">
            <v/>
          </cell>
          <cell r="T3341" t="str">
            <v>60 - 00012B41487</v>
          </cell>
        </row>
        <row r="3342">
          <cell r="H3342">
            <v>0</v>
          </cell>
          <cell r="O3342">
            <v>41487</v>
          </cell>
          <cell r="R3342" t="str">
            <v>41487WARESAGA</v>
          </cell>
          <cell r="T3342" t="str">
            <v>60 - 00012R41487</v>
          </cell>
        </row>
        <row r="3343">
          <cell r="H3343">
            <v>0</v>
          </cell>
          <cell r="O3343">
            <v>41487</v>
          </cell>
          <cell r="R3343" t="str">
            <v>41487WARESAGA</v>
          </cell>
          <cell r="T3343" t="str">
            <v>60 - 00012R41487</v>
          </cell>
        </row>
        <row r="3344">
          <cell r="H3344">
            <v>0</v>
          </cell>
          <cell r="O3344">
            <v>41487</v>
          </cell>
          <cell r="R3344" t="str">
            <v>41487WARESAGA</v>
          </cell>
          <cell r="T3344" t="str">
            <v>60 - 00012R41487</v>
          </cell>
        </row>
        <row r="3345">
          <cell r="H3345">
            <v>0</v>
          </cell>
          <cell r="O3345">
            <v>41487</v>
          </cell>
          <cell r="R3345" t="str">
            <v>41487WARESAGA</v>
          </cell>
          <cell r="T3345" t="str">
            <v>60 - 00012R41487</v>
          </cell>
        </row>
        <row r="3346">
          <cell r="H3346">
            <v>0</v>
          </cell>
          <cell r="O3346">
            <v>41487</v>
          </cell>
          <cell r="R3346" t="str">
            <v>41487WARESAGA</v>
          </cell>
          <cell r="T3346" t="str">
            <v>60 - 00012R41487</v>
          </cell>
        </row>
        <row r="3347">
          <cell r="H3347">
            <v>0</v>
          </cell>
          <cell r="O3347">
            <v>41487</v>
          </cell>
          <cell r="R3347" t="str">
            <v>41487WARESAGA</v>
          </cell>
          <cell r="T3347" t="str">
            <v>60 - 00012R41487</v>
          </cell>
        </row>
        <row r="3348">
          <cell r="H3348">
            <v>0</v>
          </cell>
          <cell r="O3348">
            <v>41487</v>
          </cell>
          <cell r="R3348" t="str">
            <v>41487WARESAGA</v>
          </cell>
          <cell r="T3348" t="str">
            <v>60 - 00012R41487</v>
          </cell>
        </row>
        <row r="3349">
          <cell r="H3349">
            <v>125083281</v>
          </cell>
          <cell r="O3349">
            <v>41487</v>
          </cell>
          <cell r="R3349" t="str">
            <v>41487WARES16</v>
          </cell>
          <cell r="T3349" t="str">
            <v>60 - 00012R41487</v>
          </cell>
        </row>
        <row r="3350">
          <cell r="H3350">
            <v>207088</v>
          </cell>
          <cell r="O3350">
            <v>41487</v>
          </cell>
          <cell r="R3350" t="str">
            <v>41487WARES18</v>
          </cell>
          <cell r="T3350" t="str">
            <v>60 - 00012R41487</v>
          </cell>
        </row>
        <row r="3351">
          <cell r="H3351">
            <v>46716</v>
          </cell>
          <cell r="O3351">
            <v>41487</v>
          </cell>
          <cell r="R3351" t="str">
            <v>41487WARES18</v>
          </cell>
          <cell r="T3351" t="str">
            <v>60 - 00012R41487</v>
          </cell>
        </row>
        <row r="3352">
          <cell r="H3352">
            <v>0</v>
          </cell>
          <cell r="O3352">
            <v>41487</v>
          </cell>
          <cell r="R3352" t="str">
            <v>41487WARESAGA</v>
          </cell>
          <cell r="T3352" t="str">
            <v>60 - 00012R41487</v>
          </cell>
        </row>
        <row r="3353">
          <cell r="H3353">
            <v>4099097</v>
          </cell>
          <cell r="O3353">
            <v>41487</v>
          </cell>
          <cell r="R3353" t="str">
            <v>41487WARES17</v>
          </cell>
          <cell r="T3353" t="str">
            <v>60 - 00012R41487</v>
          </cell>
        </row>
        <row r="3354">
          <cell r="H3354">
            <v>86809</v>
          </cell>
          <cell r="O3354">
            <v>41487</v>
          </cell>
          <cell r="R3354" t="str">
            <v>41487WARES15</v>
          </cell>
          <cell r="T3354" t="str">
            <v>60 - 00012R41487</v>
          </cell>
        </row>
        <row r="3355">
          <cell r="H3355">
            <v>108631</v>
          </cell>
          <cell r="O3355">
            <v>41487</v>
          </cell>
          <cell r="R3355" t="str">
            <v>41487WARES16</v>
          </cell>
          <cell r="T3355" t="str">
            <v>60 - 00012R41487</v>
          </cell>
        </row>
        <row r="3356">
          <cell r="H3356">
            <v>607639</v>
          </cell>
          <cell r="O3356">
            <v>41487</v>
          </cell>
          <cell r="R3356" t="str">
            <v>41487WARES24</v>
          </cell>
          <cell r="T3356" t="str">
            <v>60 - 00012R41487</v>
          </cell>
        </row>
        <row r="3357">
          <cell r="H3357">
            <v>0</v>
          </cell>
          <cell r="O3357">
            <v>41487</v>
          </cell>
          <cell r="R3357" t="str">
            <v>41487WARESAGA</v>
          </cell>
          <cell r="T3357" t="str">
            <v>60 - 00012R41487</v>
          </cell>
        </row>
        <row r="3358">
          <cell r="H3358">
            <v>-13935000</v>
          </cell>
          <cell r="O3358">
            <v>41487</v>
          </cell>
          <cell r="R3358" t="str">
            <v>41487WARES88</v>
          </cell>
          <cell r="T3358" t="str">
            <v>60 - 00012U41487</v>
          </cell>
        </row>
        <row r="3359">
          <cell r="H3359">
            <v>0</v>
          </cell>
          <cell r="O3359">
            <v>41487</v>
          </cell>
          <cell r="R3359" t="str">
            <v>41487WARESAGA</v>
          </cell>
          <cell r="T3359" t="str">
            <v>60 - 00012U41487</v>
          </cell>
        </row>
        <row r="3360">
          <cell r="H3360">
            <v>0</v>
          </cell>
          <cell r="O3360">
            <v>41487</v>
          </cell>
          <cell r="R3360" t="str">
            <v/>
          </cell>
          <cell r="T3360" t="str">
            <v>60 - 00012B41487</v>
          </cell>
        </row>
        <row r="3361">
          <cell r="H3361">
            <v>3815204</v>
          </cell>
          <cell r="O3361">
            <v>41487</v>
          </cell>
          <cell r="R3361" t="str">
            <v/>
          </cell>
          <cell r="T3361" t="str">
            <v>60 - 00012B41487</v>
          </cell>
        </row>
        <row r="3362">
          <cell r="H3362">
            <v>6888</v>
          </cell>
          <cell r="O3362">
            <v>41487</v>
          </cell>
          <cell r="R3362" t="str">
            <v/>
          </cell>
          <cell r="T3362" t="str">
            <v>60 - 00012B41487</v>
          </cell>
        </row>
        <row r="3363">
          <cell r="H3363">
            <v>7785934</v>
          </cell>
          <cell r="O3363">
            <v>41487</v>
          </cell>
          <cell r="R3363" t="str">
            <v/>
          </cell>
          <cell r="T3363" t="str">
            <v>60 - 00012B41487</v>
          </cell>
        </row>
        <row r="3364">
          <cell r="H3364">
            <v>47141</v>
          </cell>
          <cell r="O3364">
            <v>41487</v>
          </cell>
          <cell r="R3364" t="str">
            <v/>
          </cell>
          <cell r="T3364" t="str">
            <v>60 - 00012B41487</v>
          </cell>
        </row>
        <row r="3365">
          <cell r="H3365">
            <v>72</v>
          </cell>
          <cell r="O3365">
            <v>41487</v>
          </cell>
          <cell r="R3365" t="str">
            <v/>
          </cell>
          <cell r="T3365" t="str">
            <v>60 - 00012B41487</v>
          </cell>
        </row>
        <row r="3366">
          <cell r="H3366">
            <v>0</v>
          </cell>
          <cell r="O3366">
            <v>41487</v>
          </cell>
          <cell r="R3366" t="str">
            <v/>
          </cell>
          <cell r="T3366" t="str">
            <v>60 - 00012B41487</v>
          </cell>
        </row>
        <row r="3367">
          <cell r="H3367">
            <v>0</v>
          </cell>
          <cell r="O3367">
            <v>41487</v>
          </cell>
          <cell r="R3367" t="str">
            <v/>
          </cell>
          <cell r="T3367" t="str">
            <v>60 - 00012B41487</v>
          </cell>
        </row>
        <row r="3368">
          <cell r="H3368">
            <v>0</v>
          </cell>
          <cell r="O3368">
            <v>41487</v>
          </cell>
          <cell r="R3368" t="str">
            <v>41487WACOMAGA</v>
          </cell>
          <cell r="T3368" t="str">
            <v>60 - 00012R41487</v>
          </cell>
        </row>
        <row r="3369">
          <cell r="H3369">
            <v>0</v>
          </cell>
          <cell r="O3369">
            <v>41487</v>
          </cell>
          <cell r="R3369" t="str">
            <v>41487WACOMAGA</v>
          </cell>
          <cell r="T3369" t="str">
            <v>60 - 00012R41487</v>
          </cell>
        </row>
        <row r="3370">
          <cell r="H3370">
            <v>0</v>
          </cell>
          <cell r="O3370">
            <v>41487</v>
          </cell>
          <cell r="R3370" t="str">
            <v>41487WACOMAGA</v>
          </cell>
          <cell r="T3370" t="str">
            <v>60 - 00012R41487</v>
          </cell>
        </row>
        <row r="3371">
          <cell r="H3371">
            <v>0</v>
          </cell>
          <cell r="O3371">
            <v>41487</v>
          </cell>
          <cell r="R3371" t="str">
            <v>41487WACOMAGA</v>
          </cell>
          <cell r="T3371" t="str">
            <v>60 - 00012R41487</v>
          </cell>
        </row>
        <row r="3372">
          <cell r="H3372">
            <v>0</v>
          </cell>
          <cell r="O3372">
            <v>41487</v>
          </cell>
          <cell r="R3372" t="str">
            <v>41487WACOMAGA</v>
          </cell>
          <cell r="T3372" t="str">
            <v>60 - 00012R41487</v>
          </cell>
        </row>
        <row r="3373">
          <cell r="H3373">
            <v>0</v>
          </cell>
          <cell r="O3373">
            <v>41487</v>
          </cell>
          <cell r="R3373" t="str">
            <v>41487WACOMAGA</v>
          </cell>
          <cell r="T3373" t="str">
            <v>60 - 00012R41487</v>
          </cell>
        </row>
        <row r="3374">
          <cell r="H3374">
            <v>45955318</v>
          </cell>
          <cell r="O3374">
            <v>41487</v>
          </cell>
          <cell r="R3374" t="str">
            <v>41487WACOM24</v>
          </cell>
          <cell r="T3374" t="str">
            <v>60 - 00012R41487</v>
          </cell>
        </row>
        <row r="3375">
          <cell r="H3375">
            <v>93585</v>
          </cell>
          <cell r="O3375">
            <v>41487</v>
          </cell>
          <cell r="R3375" t="str">
            <v>41487WACOM24</v>
          </cell>
          <cell r="T3375" t="str">
            <v>60 - 00012R41487</v>
          </cell>
        </row>
        <row r="3376">
          <cell r="H3376">
            <v>62811296</v>
          </cell>
          <cell r="O3376">
            <v>41487</v>
          </cell>
          <cell r="R3376" t="str">
            <v>41487WACOM36</v>
          </cell>
          <cell r="T3376" t="str">
            <v>60 - 00012R41487</v>
          </cell>
        </row>
        <row r="3377">
          <cell r="H3377">
            <v>15563980</v>
          </cell>
          <cell r="O3377">
            <v>41487</v>
          </cell>
          <cell r="R3377" t="str">
            <v>41487WACOM48T</v>
          </cell>
          <cell r="T3377" t="str">
            <v>60 - 00012R41487</v>
          </cell>
        </row>
        <row r="3378">
          <cell r="H3378">
            <v>0</v>
          </cell>
          <cell r="O3378">
            <v>41487</v>
          </cell>
          <cell r="R3378" t="str">
            <v>41487WACOMAGA</v>
          </cell>
          <cell r="T3378" t="str">
            <v>60 - 00012R41487</v>
          </cell>
        </row>
        <row r="3379">
          <cell r="H3379">
            <v>0</v>
          </cell>
          <cell r="O3379">
            <v>41487</v>
          </cell>
          <cell r="R3379" t="str">
            <v>41487WACOMAGA</v>
          </cell>
          <cell r="T3379" t="str">
            <v>60 - 00012R41487</v>
          </cell>
        </row>
        <row r="3380">
          <cell r="H3380">
            <v>0</v>
          </cell>
          <cell r="O3380">
            <v>41487</v>
          </cell>
          <cell r="R3380" t="str">
            <v>41487WACOMAGA</v>
          </cell>
          <cell r="T3380" t="str">
            <v>60 - 00012R41487</v>
          </cell>
        </row>
        <row r="3381">
          <cell r="H3381">
            <v>0</v>
          </cell>
          <cell r="O3381">
            <v>41487</v>
          </cell>
          <cell r="R3381" t="str">
            <v>41487WACOMAGA</v>
          </cell>
          <cell r="T3381" t="str">
            <v>60 - 00012R41487</v>
          </cell>
        </row>
        <row r="3382">
          <cell r="H3382">
            <v>0</v>
          </cell>
          <cell r="O3382">
            <v>41487</v>
          </cell>
          <cell r="R3382" t="str">
            <v>41487WACOMAGA</v>
          </cell>
          <cell r="T3382" t="str">
            <v>60 - 00012R41487</v>
          </cell>
        </row>
        <row r="3383">
          <cell r="H3383">
            <v>0</v>
          </cell>
          <cell r="O3383">
            <v>41487</v>
          </cell>
          <cell r="R3383" t="str">
            <v>41487WACOMAGA</v>
          </cell>
          <cell r="T3383" t="str">
            <v>60 - 00012R41487</v>
          </cell>
        </row>
        <row r="3384">
          <cell r="H3384">
            <v>127264</v>
          </cell>
          <cell r="O3384">
            <v>41487</v>
          </cell>
          <cell r="R3384" t="str">
            <v>41487WACOM15</v>
          </cell>
          <cell r="T3384" t="str">
            <v>60 - 00012R41487</v>
          </cell>
        </row>
        <row r="3385">
          <cell r="H3385">
            <v>18620</v>
          </cell>
          <cell r="O3385">
            <v>41487</v>
          </cell>
          <cell r="R3385" t="str">
            <v>41487WACOM54</v>
          </cell>
          <cell r="T3385" t="str">
            <v>60 - 00012R41487</v>
          </cell>
        </row>
        <row r="3386">
          <cell r="H3386">
            <v>0</v>
          </cell>
          <cell r="O3386">
            <v>41487</v>
          </cell>
          <cell r="R3386" t="str">
            <v>41487WACOMAGA</v>
          </cell>
          <cell r="T3386" t="str">
            <v>60 - 00012R41487</v>
          </cell>
        </row>
        <row r="3387">
          <cell r="H3387">
            <v>72106</v>
          </cell>
          <cell r="O3387">
            <v>41487</v>
          </cell>
          <cell r="R3387" t="str">
            <v>41487WACOM24</v>
          </cell>
          <cell r="T3387" t="str">
            <v>60 - 00012R41487</v>
          </cell>
        </row>
        <row r="3388">
          <cell r="H3388">
            <v>3815231</v>
          </cell>
          <cell r="O3388">
            <v>41487</v>
          </cell>
          <cell r="R3388" t="str">
            <v>41487WACOM24</v>
          </cell>
          <cell r="T3388" t="str">
            <v>60 - 00012R41487</v>
          </cell>
        </row>
        <row r="3389">
          <cell r="H3389">
            <v>6889</v>
          </cell>
          <cell r="O3389">
            <v>41487</v>
          </cell>
          <cell r="R3389" t="str">
            <v>41487WACOM24</v>
          </cell>
          <cell r="T3389" t="str">
            <v>60 - 00012R41487</v>
          </cell>
        </row>
        <row r="3390">
          <cell r="H3390">
            <v>7785933</v>
          </cell>
          <cell r="O3390">
            <v>41487</v>
          </cell>
          <cell r="R3390" t="str">
            <v>41487WACOM36</v>
          </cell>
          <cell r="T3390" t="str">
            <v>60 - 00012R41487</v>
          </cell>
        </row>
        <row r="3391">
          <cell r="H3391">
            <v>47141</v>
          </cell>
          <cell r="O3391">
            <v>41487</v>
          </cell>
          <cell r="R3391" t="str">
            <v>41487WACOM15</v>
          </cell>
          <cell r="T3391" t="str">
            <v>60 - 00012R41487</v>
          </cell>
        </row>
        <row r="3392">
          <cell r="H3392">
            <v>72</v>
          </cell>
          <cell r="O3392">
            <v>41487</v>
          </cell>
          <cell r="R3392" t="str">
            <v>41487WACOM24</v>
          </cell>
          <cell r="T3392" t="str">
            <v>60 - 00012R41487</v>
          </cell>
        </row>
        <row r="3393">
          <cell r="H3393">
            <v>0</v>
          </cell>
          <cell r="O3393">
            <v>41487</v>
          </cell>
          <cell r="R3393" t="str">
            <v>41487WACOMAGA</v>
          </cell>
          <cell r="T3393" t="str">
            <v>60 - 00012R41487</v>
          </cell>
        </row>
        <row r="3394">
          <cell r="H3394">
            <v>143440</v>
          </cell>
          <cell r="O3394">
            <v>41487</v>
          </cell>
          <cell r="R3394" t="str">
            <v>41487WACOM36</v>
          </cell>
          <cell r="T3394" t="str">
            <v>60 - 00012R41487</v>
          </cell>
        </row>
        <row r="3395">
          <cell r="H3395">
            <v>0</v>
          </cell>
          <cell r="O3395">
            <v>41487</v>
          </cell>
          <cell r="R3395" t="str">
            <v>41487WACOMAGA</v>
          </cell>
          <cell r="T3395" t="str">
            <v>60 - 00012R41487</v>
          </cell>
        </row>
        <row r="3396">
          <cell r="H3396">
            <v>5953000</v>
          </cell>
          <cell r="O3396">
            <v>41487</v>
          </cell>
          <cell r="R3396" t="str">
            <v>41487WACOM88</v>
          </cell>
          <cell r="T3396" t="str">
            <v>60 - 00012U41487</v>
          </cell>
        </row>
        <row r="3397">
          <cell r="H3397">
            <v>0</v>
          </cell>
          <cell r="O3397">
            <v>41487</v>
          </cell>
          <cell r="R3397" t="str">
            <v/>
          </cell>
          <cell r="T3397" t="str">
            <v>60 - 00012B41487</v>
          </cell>
        </row>
        <row r="3398">
          <cell r="H3398">
            <v>188035</v>
          </cell>
          <cell r="O3398">
            <v>41487</v>
          </cell>
          <cell r="R3398" t="str">
            <v/>
          </cell>
          <cell r="T3398" t="str">
            <v>60 - 00012B41487</v>
          </cell>
        </row>
        <row r="3399">
          <cell r="H3399">
            <v>1199</v>
          </cell>
          <cell r="O3399">
            <v>41487</v>
          </cell>
          <cell r="R3399" t="str">
            <v/>
          </cell>
          <cell r="T3399" t="str">
            <v>60 - 00012B41487</v>
          </cell>
        </row>
        <row r="3400">
          <cell r="H3400">
            <v>305220</v>
          </cell>
          <cell r="O3400">
            <v>41487</v>
          </cell>
          <cell r="R3400" t="str">
            <v/>
          </cell>
          <cell r="T3400" t="str">
            <v>60 - 00012B41487</v>
          </cell>
        </row>
        <row r="3401">
          <cell r="H3401">
            <v>2380</v>
          </cell>
          <cell r="O3401">
            <v>41487</v>
          </cell>
          <cell r="R3401" t="str">
            <v/>
          </cell>
          <cell r="T3401" t="str">
            <v>60 - 00012B41487</v>
          </cell>
        </row>
        <row r="3402">
          <cell r="H3402">
            <v>0</v>
          </cell>
          <cell r="O3402">
            <v>41487</v>
          </cell>
          <cell r="R3402" t="str">
            <v/>
          </cell>
          <cell r="T3402" t="str">
            <v>60 - 00012B41487</v>
          </cell>
        </row>
        <row r="3403">
          <cell r="H3403">
            <v>0</v>
          </cell>
          <cell r="O3403">
            <v>41487</v>
          </cell>
          <cell r="R3403" t="str">
            <v>41487WAINDAGA</v>
          </cell>
          <cell r="T3403" t="str">
            <v>60 - 00012R41487</v>
          </cell>
        </row>
        <row r="3404">
          <cell r="H3404">
            <v>0</v>
          </cell>
          <cell r="O3404">
            <v>41487</v>
          </cell>
          <cell r="R3404" t="str">
            <v>41487WAINDAGA</v>
          </cell>
          <cell r="T3404" t="str">
            <v>60 - 00012R41487</v>
          </cell>
        </row>
        <row r="3405">
          <cell r="H3405">
            <v>0</v>
          </cell>
          <cell r="O3405">
            <v>41487</v>
          </cell>
          <cell r="R3405" t="str">
            <v>41487WAINDAGA</v>
          </cell>
          <cell r="T3405" t="str">
            <v>60 - 00012R41487</v>
          </cell>
        </row>
        <row r="3406">
          <cell r="H3406">
            <v>0</v>
          </cell>
          <cell r="O3406">
            <v>41487</v>
          </cell>
          <cell r="R3406" t="str">
            <v>41487WAINDAGA</v>
          </cell>
          <cell r="T3406" t="str">
            <v>60 - 00012R41487</v>
          </cell>
        </row>
        <row r="3407">
          <cell r="H3407">
            <v>0</v>
          </cell>
          <cell r="O3407">
            <v>41487</v>
          </cell>
          <cell r="R3407" t="str">
            <v>41487WAINDAGA</v>
          </cell>
          <cell r="T3407" t="str">
            <v>60 - 00012R41487</v>
          </cell>
        </row>
        <row r="3408">
          <cell r="H3408">
            <v>1517341</v>
          </cell>
          <cell r="O3408">
            <v>41487</v>
          </cell>
          <cell r="R3408" t="str">
            <v>41487WAIND24</v>
          </cell>
          <cell r="T3408" t="str">
            <v>60 - 00012R41487</v>
          </cell>
        </row>
        <row r="3409">
          <cell r="H3409">
            <v>2776</v>
          </cell>
          <cell r="O3409">
            <v>41487</v>
          </cell>
          <cell r="R3409" t="str">
            <v>41487WAIND24</v>
          </cell>
          <cell r="T3409" t="str">
            <v>60 - 00012R41487</v>
          </cell>
        </row>
        <row r="3410">
          <cell r="H3410">
            <v>8447577</v>
          </cell>
          <cell r="O3410">
            <v>41487</v>
          </cell>
          <cell r="R3410" t="str">
            <v>41487WAIND36</v>
          </cell>
          <cell r="T3410" t="str">
            <v>60 - 00012R41487</v>
          </cell>
        </row>
        <row r="3411">
          <cell r="H3411">
            <v>57902699</v>
          </cell>
          <cell r="O3411">
            <v>41487</v>
          </cell>
          <cell r="R3411" t="str">
            <v>41487WAIND48T</v>
          </cell>
          <cell r="T3411" t="str">
            <v>60 - 00012R41487</v>
          </cell>
        </row>
        <row r="3412">
          <cell r="H3412">
            <v>9885</v>
          </cell>
          <cell r="O3412">
            <v>41487</v>
          </cell>
          <cell r="R3412" t="str">
            <v>41487WAIND15</v>
          </cell>
          <cell r="T3412" t="str">
            <v>60 - 00012R41487</v>
          </cell>
        </row>
        <row r="3413">
          <cell r="H3413">
            <v>113000</v>
          </cell>
          <cell r="O3413">
            <v>41487</v>
          </cell>
          <cell r="R3413" t="str">
            <v>41487WAIND47</v>
          </cell>
          <cell r="T3413" t="str">
            <v>60 - 00012R41487</v>
          </cell>
        </row>
        <row r="3414">
          <cell r="H3414">
            <v>188035</v>
          </cell>
          <cell r="O3414">
            <v>41487</v>
          </cell>
          <cell r="R3414" t="str">
            <v>41487WAIND24</v>
          </cell>
          <cell r="T3414" t="str">
            <v>60 - 00012R41487</v>
          </cell>
        </row>
        <row r="3415">
          <cell r="H3415">
            <v>1199</v>
          </cell>
          <cell r="O3415">
            <v>41487</v>
          </cell>
          <cell r="R3415" t="str">
            <v>41487WAIND24</v>
          </cell>
          <cell r="T3415" t="str">
            <v>60 - 00012R41487</v>
          </cell>
        </row>
        <row r="3416">
          <cell r="H3416">
            <v>305220</v>
          </cell>
          <cell r="O3416">
            <v>41487</v>
          </cell>
          <cell r="R3416" t="str">
            <v>41487WAIND36</v>
          </cell>
          <cell r="T3416" t="str">
            <v>60 - 00012R41487</v>
          </cell>
        </row>
        <row r="3417">
          <cell r="H3417">
            <v>2380</v>
          </cell>
          <cell r="O3417">
            <v>41487</v>
          </cell>
          <cell r="R3417" t="str">
            <v>41487WAIND15</v>
          </cell>
          <cell r="T3417" t="str">
            <v>60 - 00012R41487</v>
          </cell>
        </row>
        <row r="3418">
          <cell r="H3418">
            <v>0</v>
          </cell>
          <cell r="O3418">
            <v>41487</v>
          </cell>
          <cell r="R3418" t="str">
            <v>41487WAINDAGA</v>
          </cell>
          <cell r="T3418" t="str">
            <v>60 - 00012R41487</v>
          </cell>
        </row>
        <row r="3419">
          <cell r="H3419">
            <v>-3303000</v>
          </cell>
          <cell r="O3419">
            <v>41487</v>
          </cell>
          <cell r="R3419" t="str">
            <v>41487WAIND88</v>
          </cell>
          <cell r="T3419" t="str">
            <v>60 - 00012U41487</v>
          </cell>
        </row>
        <row r="3420">
          <cell r="H3420">
            <v>0</v>
          </cell>
          <cell r="O3420">
            <v>41487</v>
          </cell>
          <cell r="R3420" t="str">
            <v/>
          </cell>
          <cell r="T3420" t="str">
            <v>60 - 00012B41487</v>
          </cell>
        </row>
        <row r="3421">
          <cell r="H3421">
            <v>34384358</v>
          </cell>
          <cell r="O3421">
            <v>41487</v>
          </cell>
          <cell r="R3421" t="str">
            <v/>
          </cell>
          <cell r="T3421" t="str">
            <v>60 - 00012B41487</v>
          </cell>
        </row>
        <row r="3422">
          <cell r="H3422">
            <v>-1878286</v>
          </cell>
          <cell r="O3422">
            <v>41487</v>
          </cell>
          <cell r="R3422" t="str">
            <v/>
          </cell>
          <cell r="T3422" t="str">
            <v>60 - 00012B41487</v>
          </cell>
        </row>
        <row r="3423">
          <cell r="H3423">
            <v>1288</v>
          </cell>
          <cell r="O3423">
            <v>41487</v>
          </cell>
          <cell r="R3423" t="str">
            <v/>
          </cell>
          <cell r="T3423" t="str">
            <v>60 - 00012B41487</v>
          </cell>
        </row>
        <row r="3424">
          <cell r="H3424">
            <v>0</v>
          </cell>
          <cell r="O3424">
            <v>41487</v>
          </cell>
          <cell r="R3424" t="str">
            <v/>
          </cell>
          <cell r="T3424" t="str">
            <v>60 - 00012B41487</v>
          </cell>
        </row>
        <row r="3425">
          <cell r="H3425">
            <v>0</v>
          </cell>
          <cell r="O3425">
            <v>41487</v>
          </cell>
          <cell r="R3425" t="str">
            <v>41487WAINDAGA</v>
          </cell>
          <cell r="T3425" t="str">
            <v>60 - 00012R41487</v>
          </cell>
        </row>
        <row r="3426">
          <cell r="H3426">
            <v>0</v>
          </cell>
          <cell r="O3426">
            <v>41487</v>
          </cell>
          <cell r="R3426" t="str">
            <v>41487WAINDAGA</v>
          </cell>
          <cell r="T3426" t="str">
            <v>60 - 00012R41487</v>
          </cell>
        </row>
        <row r="3427">
          <cell r="H3427">
            <v>0</v>
          </cell>
          <cell r="O3427">
            <v>41487</v>
          </cell>
          <cell r="R3427" t="str">
            <v>41487WAINDAGA</v>
          </cell>
          <cell r="T3427" t="str">
            <v>60 - 00012R41487</v>
          </cell>
        </row>
        <row r="3428">
          <cell r="H3428">
            <v>0</v>
          </cell>
          <cell r="O3428">
            <v>41487</v>
          </cell>
          <cell r="R3428" t="str">
            <v>41487WAINDAGA</v>
          </cell>
          <cell r="T3428" t="str">
            <v>60 - 00012R41487</v>
          </cell>
        </row>
        <row r="3429">
          <cell r="H3429">
            <v>0</v>
          </cell>
          <cell r="O3429">
            <v>41487</v>
          </cell>
          <cell r="R3429" t="str">
            <v>41487WAINDAGA</v>
          </cell>
          <cell r="T3429" t="str">
            <v>60 - 00012R41487</v>
          </cell>
        </row>
        <row r="3430">
          <cell r="H3430">
            <v>34384376</v>
          </cell>
          <cell r="O3430">
            <v>41487</v>
          </cell>
          <cell r="R3430" t="str">
            <v>41487WAIND40</v>
          </cell>
          <cell r="T3430" t="str">
            <v>60 - 00012R41487</v>
          </cell>
        </row>
        <row r="3431">
          <cell r="H3431">
            <v>1020512</v>
          </cell>
          <cell r="O3431">
            <v>41487</v>
          </cell>
          <cell r="R3431" t="str">
            <v>41487WAIND40</v>
          </cell>
          <cell r="T3431" t="str">
            <v>60 - 00012R41487</v>
          </cell>
        </row>
        <row r="3432">
          <cell r="H3432">
            <v>0</v>
          </cell>
          <cell r="O3432">
            <v>41487</v>
          </cell>
          <cell r="R3432" t="str">
            <v>41487WAINDAGA</v>
          </cell>
          <cell r="T3432" t="str">
            <v>60 - 00012R41487</v>
          </cell>
        </row>
        <row r="3433">
          <cell r="H3433">
            <v>0</v>
          </cell>
          <cell r="O3433">
            <v>41487</v>
          </cell>
          <cell r="R3433" t="str">
            <v>41487WAINDAGA</v>
          </cell>
          <cell r="T3433" t="str">
            <v>60 - 00012R41487</v>
          </cell>
        </row>
        <row r="3434">
          <cell r="H3434">
            <v>0</v>
          </cell>
          <cell r="O3434">
            <v>41487</v>
          </cell>
          <cell r="R3434" t="str">
            <v>41487WAINDAGA</v>
          </cell>
          <cell r="T3434" t="str">
            <v>60 - 00012R41487</v>
          </cell>
        </row>
        <row r="3435">
          <cell r="H3435">
            <v>3893</v>
          </cell>
          <cell r="O3435">
            <v>41487</v>
          </cell>
          <cell r="R3435" t="str">
            <v>41487WAIND40</v>
          </cell>
          <cell r="T3435" t="str">
            <v>60 - 00012R41487</v>
          </cell>
        </row>
        <row r="3436">
          <cell r="H3436">
            <v>0</v>
          </cell>
          <cell r="O3436">
            <v>41487</v>
          </cell>
          <cell r="R3436" t="str">
            <v>41487WAINDAGA</v>
          </cell>
          <cell r="T3436" t="str">
            <v>60 - 00012R41487</v>
          </cell>
        </row>
        <row r="3437">
          <cell r="H3437">
            <v>-8033000</v>
          </cell>
          <cell r="O3437">
            <v>41487</v>
          </cell>
          <cell r="R3437" t="str">
            <v>41487WAIND89</v>
          </cell>
          <cell r="T3437" t="str">
            <v>60 - 00012U41487</v>
          </cell>
        </row>
        <row r="3438">
          <cell r="H3438">
            <v>0</v>
          </cell>
          <cell r="O3438">
            <v>41487</v>
          </cell>
          <cell r="R3438" t="str">
            <v>41487WAPSHAGA</v>
          </cell>
          <cell r="T3438" t="str">
            <v>60 - 00012R41487</v>
          </cell>
        </row>
        <row r="3439">
          <cell r="H3439">
            <v>0</v>
          </cell>
          <cell r="O3439">
            <v>41487</v>
          </cell>
          <cell r="R3439" t="str">
            <v>41487WAPSHAGA</v>
          </cell>
          <cell r="T3439" t="str">
            <v>60 - 00012R41487</v>
          </cell>
        </row>
        <row r="3440">
          <cell r="H3440">
            <v>0</v>
          </cell>
          <cell r="O3440">
            <v>41487</v>
          </cell>
          <cell r="R3440" t="str">
            <v>41487WAPSHAGA</v>
          </cell>
          <cell r="T3440" t="str">
            <v>60 - 00012R41487</v>
          </cell>
        </row>
        <row r="3441">
          <cell r="H3441">
            <v>0</v>
          </cell>
          <cell r="O3441">
            <v>41487</v>
          </cell>
          <cell r="R3441" t="str">
            <v>41487WAPSHAGA</v>
          </cell>
          <cell r="T3441" t="str">
            <v>60 - 00012R41487</v>
          </cell>
        </row>
        <row r="3442">
          <cell r="H3442">
            <v>18326</v>
          </cell>
          <cell r="O3442">
            <v>41487</v>
          </cell>
          <cell r="R3442" t="str">
            <v>41487WAPSH52</v>
          </cell>
          <cell r="T3442" t="str">
            <v>60 - 00012R41487</v>
          </cell>
        </row>
        <row r="3443">
          <cell r="H3443">
            <v>287745</v>
          </cell>
          <cell r="O3443">
            <v>41487</v>
          </cell>
          <cell r="R3443" t="str">
            <v>41487WAPSH53</v>
          </cell>
          <cell r="T3443" t="str">
            <v>60 - 00012R41487</v>
          </cell>
        </row>
        <row r="3444">
          <cell r="H3444">
            <v>72941</v>
          </cell>
          <cell r="O3444">
            <v>41487</v>
          </cell>
          <cell r="R3444" t="str">
            <v>41487WAPSH53</v>
          </cell>
          <cell r="T3444" t="str">
            <v>60 - 00012R41487</v>
          </cell>
        </row>
        <row r="3445">
          <cell r="H3445">
            <v>294779</v>
          </cell>
          <cell r="O3445">
            <v>41487</v>
          </cell>
          <cell r="R3445" t="str">
            <v>41487WAPSH51</v>
          </cell>
          <cell r="T3445" t="str">
            <v>60 - 00012R41487</v>
          </cell>
        </row>
        <row r="3446">
          <cell r="H3446">
            <v>161760</v>
          </cell>
          <cell r="O3446">
            <v>41487</v>
          </cell>
          <cell r="R3446" t="str">
            <v>41487WAPSH57</v>
          </cell>
          <cell r="T3446" t="str">
            <v>60 - 00012R41487</v>
          </cell>
        </row>
        <row r="3447">
          <cell r="H3447">
            <v>0</v>
          </cell>
          <cell r="O3447">
            <v>41487</v>
          </cell>
          <cell r="R3447" t="str">
            <v>41487WAPSHAGA</v>
          </cell>
          <cell r="T3447" t="str">
            <v>60 - 00012R41487</v>
          </cell>
        </row>
        <row r="3448">
          <cell r="H3448">
            <v>-57000</v>
          </cell>
          <cell r="O3448">
            <v>41487</v>
          </cell>
          <cell r="R3448" t="str">
            <v>41487WAPSH88</v>
          </cell>
          <cell r="T3448" t="str">
            <v>60 - 00012U41487</v>
          </cell>
        </row>
        <row r="3449">
          <cell r="H3449">
            <v>0</v>
          </cell>
          <cell r="O3449">
            <v>41518</v>
          </cell>
          <cell r="R3449" t="str">
            <v/>
          </cell>
          <cell r="T3449" t="str">
            <v>60 - 00016R41518</v>
          </cell>
        </row>
        <row r="3450">
          <cell r="H3450">
            <v>0</v>
          </cell>
          <cell r="O3450">
            <v>41518</v>
          </cell>
          <cell r="R3450" t="str">
            <v/>
          </cell>
          <cell r="T3450" t="str">
            <v>60 - 00016R41518</v>
          </cell>
        </row>
        <row r="3451">
          <cell r="H3451">
            <v>0</v>
          </cell>
          <cell r="O3451">
            <v>41518</v>
          </cell>
          <cell r="R3451" t="str">
            <v/>
          </cell>
          <cell r="T3451" t="str">
            <v>60 - 00016R41518</v>
          </cell>
        </row>
        <row r="3452">
          <cell r="H3452">
            <v>0</v>
          </cell>
          <cell r="O3452">
            <v>41518</v>
          </cell>
          <cell r="R3452" t="str">
            <v/>
          </cell>
          <cell r="T3452" t="str">
            <v>60 - 00016R41518</v>
          </cell>
        </row>
        <row r="3453">
          <cell r="H3453">
            <v>0</v>
          </cell>
          <cell r="O3453">
            <v>41518</v>
          </cell>
          <cell r="R3453" t="str">
            <v/>
          </cell>
          <cell r="T3453" t="str">
            <v>60 - 00016R41518</v>
          </cell>
        </row>
        <row r="3454">
          <cell r="H3454">
            <v>0</v>
          </cell>
          <cell r="O3454">
            <v>41518</v>
          </cell>
          <cell r="R3454" t="str">
            <v/>
          </cell>
          <cell r="T3454" t="str">
            <v>60 - 00016R41518</v>
          </cell>
        </row>
        <row r="3455">
          <cell r="H3455">
            <v>25920</v>
          </cell>
          <cell r="O3455">
            <v>41518</v>
          </cell>
          <cell r="R3455" t="str">
            <v/>
          </cell>
          <cell r="T3455" t="str">
            <v>60 - 00016R41518</v>
          </cell>
        </row>
        <row r="3456">
          <cell r="H3456">
            <v>6422470</v>
          </cell>
          <cell r="O3456">
            <v>41518</v>
          </cell>
          <cell r="R3456" t="str">
            <v/>
          </cell>
          <cell r="T3456" t="str">
            <v>60 - 00016R41518</v>
          </cell>
        </row>
        <row r="3457">
          <cell r="H3457">
            <v>11277016</v>
          </cell>
          <cell r="O3457">
            <v>41518</v>
          </cell>
          <cell r="R3457" t="str">
            <v/>
          </cell>
          <cell r="T3457" t="str">
            <v>60 - 00016R41518</v>
          </cell>
        </row>
        <row r="3458">
          <cell r="H3458">
            <v>0</v>
          </cell>
          <cell r="O3458">
            <v>41518</v>
          </cell>
          <cell r="R3458" t="str">
            <v/>
          </cell>
          <cell r="T3458" t="str">
            <v>60 - 00016R41518</v>
          </cell>
        </row>
        <row r="3459">
          <cell r="H3459">
            <v>41468</v>
          </cell>
          <cell r="O3459">
            <v>41518</v>
          </cell>
          <cell r="R3459" t="str">
            <v/>
          </cell>
          <cell r="T3459" t="str">
            <v>60 - 00016R41518</v>
          </cell>
        </row>
        <row r="3460">
          <cell r="H3460">
            <v>5058243</v>
          </cell>
          <cell r="O3460">
            <v>41518</v>
          </cell>
          <cell r="R3460" t="str">
            <v/>
          </cell>
          <cell r="T3460" t="str">
            <v>60 - 00016R41518</v>
          </cell>
        </row>
        <row r="3461">
          <cell r="H3461">
            <v>0</v>
          </cell>
          <cell r="O3461">
            <v>41518</v>
          </cell>
          <cell r="R3461" t="str">
            <v/>
          </cell>
          <cell r="T3461" t="str">
            <v>60 - 00016R41518</v>
          </cell>
        </row>
        <row r="3462">
          <cell r="H3462">
            <v>5629</v>
          </cell>
          <cell r="O3462">
            <v>41518</v>
          </cell>
          <cell r="R3462" t="str">
            <v/>
          </cell>
          <cell r="T3462" t="str">
            <v>60 - 00016R41518</v>
          </cell>
        </row>
        <row r="3463">
          <cell r="H3463">
            <v>77308</v>
          </cell>
          <cell r="O3463">
            <v>41518</v>
          </cell>
          <cell r="R3463" t="str">
            <v/>
          </cell>
          <cell r="T3463" t="str">
            <v>60 - 00016R41518</v>
          </cell>
        </row>
        <row r="3464">
          <cell r="H3464">
            <v>65216</v>
          </cell>
          <cell r="O3464">
            <v>41518</v>
          </cell>
          <cell r="R3464" t="str">
            <v/>
          </cell>
          <cell r="T3464" t="str">
            <v>60 - 00016R41518</v>
          </cell>
        </row>
        <row r="3465">
          <cell r="H3465">
            <v>0</v>
          </cell>
          <cell r="O3465">
            <v>41518</v>
          </cell>
          <cell r="R3465" t="str">
            <v/>
          </cell>
          <cell r="T3465" t="str">
            <v>60 - 00016R41518</v>
          </cell>
        </row>
        <row r="3466">
          <cell r="H3466">
            <v>-1638000</v>
          </cell>
          <cell r="O3466">
            <v>41518</v>
          </cell>
          <cell r="R3466" t="str">
            <v/>
          </cell>
          <cell r="T3466" t="str">
            <v>60 - 00016U41518</v>
          </cell>
        </row>
        <row r="3467">
          <cell r="H3467">
            <v>0</v>
          </cell>
          <cell r="O3467">
            <v>41518</v>
          </cell>
          <cell r="R3467" t="str">
            <v/>
          </cell>
          <cell r="T3467" t="str">
            <v>60 - 00016U41518</v>
          </cell>
        </row>
        <row r="3468">
          <cell r="H3468">
            <v>0</v>
          </cell>
          <cell r="O3468">
            <v>41518</v>
          </cell>
          <cell r="R3468" t="str">
            <v/>
          </cell>
          <cell r="T3468" t="str">
            <v>60 - 00016R41518</v>
          </cell>
        </row>
        <row r="3469">
          <cell r="H3469">
            <v>0</v>
          </cell>
          <cell r="O3469">
            <v>41518</v>
          </cell>
          <cell r="R3469" t="str">
            <v/>
          </cell>
          <cell r="T3469" t="str">
            <v>60 - 00016R41518</v>
          </cell>
        </row>
        <row r="3470">
          <cell r="H3470">
            <v>0</v>
          </cell>
          <cell r="O3470">
            <v>41518</v>
          </cell>
          <cell r="R3470" t="str">
            <v/>
          </cell>
          <cell r="T3470" t="str">
            <v>60 - 00016R41518</v>
          </cell>
        </row>
        <row r="3471">
          <cell r="H3471">
            <v>0</v>
          </cell>
          <cell r="O3471">
            <v>41518</v>
          </cell>
          <cell r="R3471" t="str">
            <v/>
          </cell>
          <cell r="T3471" t="str">
            <v>60 - 00016R41518</v>
          </cell>
        </row>
        <row r="3472">
          <cell r="H3472">
            <v>0</v>
          </cell>
          <cell r="O3472">
            <v>41518</v>
          </cell>
          <cell r="R3472" t="str">
            <v/>
          </cell>
          <cell r="T3472" t="str">
            <v>60 - 00016R41518</v>
          </cell>
        </row>
        <row r="3473">
          <cell r="H3473">
            <v>0</v>
          </cell>
          <cell r="O3473">
            <v>41518</v>
          </cell>
          <cell r="R3473" t="str">
            <v/>
          </cell>
          <cell r="T3473" t="str">
            <v>60 - 00016R41518</v>
          </cell>
        </row>
        <row r="3474">
          <cell r="H3474">
            <v>6181746</v>
          </cell>
          <cell r="O3474">
            <v>41518</v>
          </cell>
          <cell r="R3474" t="str">
            <v/>
          </cell>
          <cell r="T3474" t="str">
            <v>60 - 00016R41518</v>
          </cell>
        </row>
        <row r="3475">
          <cell r="H3475">
            <v>3932099</v>
          </cell>
          <cell r="O3475">
            <v>41518</v>
          </cell>
          <cell r="R3475" t="str">
            <v/>
          </cell>
          <cell r="T3475" t="str">
            <v>60 - 00016R41518</v>
          </cell>
        </row>
        <row r="3476">
          <cell r="H3476">
            <v>76333</v>
          </cell>
          <cell r="O3476">
            <v>41518</v>
          </cell>
          <cell r="R3476" t="str">
            <v/>
          </cell>
          <cell r="T3476" t="str">
            <v>60 - 00016R41518</v>
          </cell>
        </row>
        <row r="3477">
          <cell r="H3477">
            <v>5408597</v>
          </cell>
          <cell r="O3477">
            <v>41518</v>
          </cell>
          <cell r="R3477" t="str">
            <v/>
          </cell>
          <cell r="T3477" t="str">
            <v>60 - 00016R41518</v>
          </cell>
        </row>
        <row r="3478">
          <cell r="H3478">
            <v>0</v>
          </cell>
          <cell r="O3478">
            <v>41518</v>
          </cell>
          <cell r="R3478" t="str">
            <v/>
          </cell>
          <cell r="T3478" t="str">
            <v>60 - 00016R41518</v>
          </cell>
        </row>
        <row r="3479">
          <cell r="H3479">
            <v>0</v>
          </cell>
          <cell r="O3479">
            <v>41518</v>
          </cell>
          <cell r="R3479" t="str">
            <v/>
          </cell>
          <cell r="T3479" t="str">
            <v>60 - 00016R41518</v>
          </cell>
        </row>
        <row r="3480">
          <cell r="H3480">
            <v>0</v>
          </cell>
          <cell r="O3480">
            <v>41518</v>
          </cell>
          <cell r="R3480" t="str">
            <v/>
          </cell>
          <cell r="T3480" t="str">
            <v>60 - 00016R41518</v>
          </cell>
        </row>
        <row r="3481">
          <cell r="H3481">
            <v>57882</v>
          </cell>
          <cell r="O3481">
            <v>41518</v>
          </cell>
          <cell r="R3481" t="str">
            <v/>
          </cell>
          <cell r="T3481" t="str">
            <v>60 - 00016R41518</v>
          </cell>
        </row>
        <row r="3482">
          <cell r="H3482">
            <v>16059</v>
          </cell>
          <cell r="O3482">
            <v>41518</v>
          </cell>
          <cell r="R3482" t="str">
            <v/>
          </cell>
          <cell r="T3482" t="str">
            <v>60 - 00016R41518</v>
          </cell>
        </row>
        <row r="3483">
          <cell r="H3483">
            <v>2610000</v>
          </cell>
          <cell r="O3483">
            <v>41518</v>
          </cell>
          <cell r="R3483" t="str">
            <v/>
          </cell>
          <cell r="T3483" t="str">
            <v>60 - 00016R41518</v>
          </cell>
        </row>
        <row r="3484">
          <cell r="H3484">
            <v>0</v>
          </cell>
          <cell r="O3484">
            <v>41518</v>
          </cell>
          <cell r="R3484" t="str">
            <v/>
          </cell>
          <cell r="T3484" t="str">
            <v>60 - 00016R41518</v>
          </cell>
        </row>
        <row r="3485">
          <cell r="H3485">
            <v>4080</v>
          </cell>
          <cell r="O3485">
            <v>41518</v>
          </cell>
          <cell r="R3485" t="str">
            <v/>
          </cell>
          <cell r="T3485" t="str">
            <v>60 - 00016R41518</v>
          </cell>
        </row>
        <row r="3486">
          <cell r="H3486">
            <v>15372</v>
          </cell>
          <cell r="O3486">
            <v>41518</v>
          </cell>
          <cell r="R3486" t="str">
            <v/>
          </cell>
          <cell r="T3486" t="str">
            <v>60 - 00016R41518</v>
          </cell>
        </row>
        <row r="3487">
          <cell r="H3487">
            <v>0</v>
          </cell>
          <cell r="O3487">
            <v>41518</v>
          </cell>
          <cell r="R3487" t="str">
            <v/>
          </cell>
          <cell r="T3487" t="str">
            <v>60 - 00016R41518</v>
          </cell>
        </row>
        <row r="3488">
          <cell r="H3488">
            <v>175520</v>
          </cell>
          <cell r="O3488">
            <v>41518</v>
          </cell>
          <cell r="R3488" t="str">
            <v/>
          </cell>
          <cell r="T3488" t="str">
            <v>60 - 00016R41518</v>
          </cell>
        </row>
        <row r="3489">
          <cell r="H3489">
            <v>199500</v>
          </cell>
          <cell r="O3489">
            <v>41518</v>
          </cell>
          <cell r="R3489" t="str">
            <v/>
          </cell>
          <cell r="T3489" t="str">
            <v>60 - 00016R41518</v>
          </cell>
        </row>
        <row r="3490">
          <cell r="H3490">
            <v>0</v>
          </cell>
          <cell r="O3490">
            <v>41518</v>
          </cell>
          <cell r="R3490" t="str">
            <v/>
          </cell>
          <cell r="T3490" t="str">
            <v>60 - 00016R41518</v>
          </cell>
        </row>
        <row r="3491">
          <cell r="H3491">
            <v>-1406000</v>
          </cell>
          <cell r="O3491">
            <v>41518</v>
          </cell>
          <cell r="R3491" t="str">
            <v/>
          </cell>
          <cell r="T3491" t="str">
            <v>60 - 00016U41518</v>
          </cell>
        </row>
        <row r="3492">
          <cell r="H3492">
            <v>0</v>
          </cell>
          <cell r="O3492">
            <v>41518</v>
          </cell>
          <cell r="R3492" t="str">
            <v/>
          </cell>
          <cell r="T3492" t="str">
            <v>60 - 00016R41518</v>
          </cell>
        </row>
        <row r="3493">
          <cell r="H3493">
            <v>0</v>
          </cell>
          <cell r="O3493">
            <v>41518</v>
          </cell>
          <cell r="R3493" t="str">
            <v/>
          </cell>
          <cell r="T3493" t="str">
            <v>60 - 00016R41518</v>
          </cell>
        </row>
        <row r="3494">
          <cell r="H3494">
            <v>0</v>
          </cell>
          <cell r="O3494">
            <v>41518</v>
          </cell>
          <cell r="R3494" t="str">
            <v/>
          </cell>
          <cell r="T3494" t="str">
            <v>60 - 00016R41518</v>
          </cell>
        </row>
        <row r="3495">
          <cell r="H3495">
            <v>0</v>
          </cell>
          <cell r="O3495">
            <v>41518</v>
          </cell>
          <cell r="R3495" t="str">
            <v/>
          </cell>
          <cell r="T3495" t="str">
            <v>60 - 00016R41518</v>
          </cell>
        </row>
        <row r="3496">
          <cell r="H3496">
            <v>0</v>
          </cell>
          <cell r="O3496">
            <v>41518</v>
          </cell>
          <cell r="R3496" t="str">
            <v/>
          </cell>
          <cell r="T3496" t="str">
            <v>60 - 00016R41518</v>
          </cell>
        </row>
        <row r="3497">
          <cell r="H3497">
            <v>155689</v>
          </cell>
          <cell r="O3497">
            <v>41518</v>
          </cell>
          <cell r="R3497" t="str">
            <v/>
          </cell>
          <cell r="T3497" t="str">
            <v>60 - 00016R41518</v>
          </cell>
        </row>
        <row r="3498">
          <cell r="H3498">
            <v>54731</v>
          </cell>
          <cell r="O3498">
            <v>41518</v>
          </cell>
          <cell r="R3498" t="str">
            <v/>
          </cell>
          <cell r="T3498" t="str">
            <v>60 - 00016R41518</v>
          </cell>
        </row>
        <row r="3499">
          <cell r="H3499">
            <v>409861</v>
          </cell>
          <cell r="O3499">
            <v>41518</v>
          </cell>
          <cell r="R3499" t="str">
            <v/>
          </cell>
          <cell r="T3499" t="str">
            <v>60 - 00016R41518</v>
          </cell>
        </row>
        <row r="3500">
          <cell r="H3500">
            <v>3654280</v>
          </cell>
          <cell r="O3500">
            <v>41518</v>
          </cell>
          <cell r="R3500" t="str">
            <v/>
          </cell>
          <cell r="T3500" t="str">
            <v>60 - 00016R41518</v>
          </cell>
        </row>
        <row r="3501">
          <cell r="H3501">
            <v>0</v>
          </cell>
          <cell r="O3501">
            <v>41518</v>
          </cell>
          <cell r="R3501" t="str">
            <v/>
          </cell>
          <cell r="T3501" t="str">
            <v>60 - 00016R41518</v>
          </cell>
        </row>
        <row r="3502">
          <cell r="H3502">
            <v>-367000</v>
          </cell>
          <cell r="O3502">
            <v>41518</v>
          </cell>
          <cell r="R3502" t="str">
            <v/>
          </cell>
          <cell r="T3502" t="str">
            <v>60 - 00016U41518</v>
          </cell>
        </row>
        <row r="3503">
          <cell r="H3503">
            <v>0</v>
          </cell>
          <cell r="O3503">
            <v>41518</v>
          </cell>
          <cell r="R3503" t="str">
            <v/>
          </cell>
          <cell r="T3503" t="str">
            <v>60 - 00016R41518</v>
          </cell>
        </row>
        <row r="3504">
          <cell r="H3504">
            <v>0</v>
          </cell>
          <cell r="O3504">
            <v>41518</v>
          </cell>
          <cell r="R3504" t="str">
            <v/>
          </cell>
          <cell r="T3504" t="str">
            <v>60 - 00016R41518</v>
          </cell>
        </row>
        <row r="3505">
          <cell r="H3505">
            <v>0</v>
          </cell>
          <cell r="O3505">
            <v>41518</v>
          </cell>
          <cell r="R3505" t="str">
            <v/>
          </cell>
          <cell r="T3505" t="str">
            <v>60 - 00016R41518</v>
          </cell>
        </row>
        <row r="3506">
          <cell r="H3506">
            <v>0</v>
          </cell>
          <cell r="O3506">
            <v>41518</v>
          </cell>
          <cell r="R3506" t="str">
            <v/>
          </cell>
          <cell r="T3506" t="str">
            <v>60 - 00016R41518</v>
          </cell>
        </row>
        <row r="3507">
          <cell r="H3507">
            <v>0</v>
          </cell>
          <cell r="O3507">
            <v>41518</v>
          </cell>
          <cell r="R3507" t="str">
            <v/>
          </cell>
          <cell r="T3507" t="str">
            <v>60 - 00016R41518</v>
          </cell>
        </row>
        <row r="3508">
          <cell r="H3508">
            <v>9671330</v>
          </cell>
          <cell r="O3508">
            <v>41518</v>
          </cell>
          <cell r="R3508" t="str">
            <v/>
          </cell>
          <cell r="T3508" t="str">
            <v>60 - 00016R41518</v>
          </cell>
        </row>
        <row r="3509">
          <cell r="H3509">
            <v>0</v>
          </cell>
          <cell r="O3509">
            <v>41518</v>
          </cell>
          <cell r="R3509" t="str">
            <v/>
          </cell>
          <cell r="T3509" t="str">
            <v>60 - 00016R41518</v>
          </cell>
        </row>
        <row r="3510">
          <cell r="H3510">
            <v>0</v>
          </cell>
          <cell r="O3510">
            <v>41518</v>
          </cell>
          <cell r="R3510" t="str">
            <v/>
          </cell>
          <cell r="T3510" t="str">
            <v>60 - 00016R41518</v>
          </cell>
        </row>
        <row r="3511">
          <cell r="H3511">
            <v>4696095</v>
          </cell>
          <cell r="O3511">
            <v>41518</v>
          </cell>
          <cell r="R3511" t="str">
            <v/>
          </cell>
          <cell r="T3511" t="str">
            <v>60 - 00016R41518</v>
          </cell>
        </row>
        <row r="3512">
          <cell r="H3512">
            <v>0</v>
          </cell>
          <cell r="O3512">
            <v>41518</v>
          </cell>
          <cell r="R3512" t="str">
            <v/>
          </cell>
          <cell r="T3512" t="str">
            <v>60 - 00016R41518</v>
          </cell>
        </row>
        <row r="3513">
          <cell r="H3513">
            <v>81839</v>
          </cell>
          <cell r="O3513">
            <v>41518</v>
          </cell>
          <cell r="R3513" t="str">
            <v/>
          </cell>
          <cell r="T3513" t="str">
            <v>60 - 00016R41518</v>
          </cell>
        </row>
        <row r="3514">
          <cell r="H3514">
            <v>0</v>
          </cell>
          <cell r="O3514">
            <v>41518</v>
          </cell>
          <cell r="R3514" t="str">
            <v/>
          </cell>
          <cell r="T3514" t="str">
            <v>60 - 00016R41518</v>
          </cell>
        </row>
        <row r="3515">
          <cell r="H3515">
            <v>-5576000</v>
          </cell>
          <cell r="O3515">
            <v>41518</v>
          </cell>
          <cell r="R3515" t="str">
            <v/>
          </cell>
          <cell r="T3515" t="str">
            <v>60 - 00016U41518</v>
          </cell>
        </row>
        <row r="3516">
          <cell r="H3516">
            <v>0</v>
          </cell>
          <cell r="O3516">
            <v>41518</v>
          </cell>
          <cell r="R3516" t="str">
            <v/>
          </cell>
          <cell r="T3516" t="str">
            <v>60 - 00016R41518</v>
          </cell>
        </row>
        <row r="3517">
          <cell r="H3517">
            <v>0</v>
          </cell>
          <cell r="O3517">
            <v>41518</v>
          </cell>
          <cell r="R3517" t="str">
            <v/>
          </cell>
          <cell r="T3517" t="str">
            <v>60 - 00016R41518</v>
          </cell>
        </row>
        <row r="3518">
          <cell r="H3518">
            <v>0</v>
          </cell>
          <cell r="O3518">
            <v>41518</v>
          </cell>
          <cell r="R3518" t="str">
            <v/>
          </cell>
          <cell r="T3518" t="str">
            <v>60 - 00016R41518</v>
          </cell>
        </row>
        <row r="3519">
          <cell r="H3519">
            <v>119214</v>
          </cell>
          <cell r="O3519">
            <v>41518</v>
          </cell>
          <cell r="R3519" t="str">
            <v/>
          </cell>
          <cell r="T3519" t="str">
            <v>60 - 00016R41518</v>
          </cell>
        </row>
        <row r="3520">
          <cell r="H3520">
            <v>19758</v>
          </cell>
          <cell r="O3520">
            <v>41518</v>
          </cell>
          <cell r="R3520" t="str">
            <v/>
          </cell>
          <cell r="T3520" t="str">
            <v>60 - 00016R41518</v>
          </cell>
        </row>
        <row r="3521">
          <cell r="H3521">
            <v>57418</v>
          </cell>
          <cell r="O3521">
            <v>41518</v>
          </cell>
          <cell r="R3521" t="str">
            <v/>
          </cell>
          <cell r="T3521" t="str">
            <v>60 - 00016R41518</v>
          </cell>
        </row>
        <row r="3522">
          <cell r="H3522">
            <v>0</v>
          </cell>
          <cell r="O3522">
            <v>41518</v>
          </cell>
          <cell r="R3522" t="str">
            <v/>
          </cell>
          <cell r="T3522" t="str">
            <v>60 - 00016R41518</v>
          </cell>
        </row>
        <row r="3523">
          <cell r="H3523">
            <v>5000</v>
          </cell>
          <cell r="O3523">
            <v>41518</v>
          </cell>
          <cell r="R3523" t="str">
            <v/>
          </cell>
          <cell r="T3523" t="str">
            <v>60 - 00016U41518</v>
          </cell>
        </row>
        <row r="3524">
          <cell r="H3524">
            <v>0</v>
          </cell>
          <cell r="O3524">
            <v>41518</v>
          </cell>
          <cell r="R3524" t="str">
            <v/>
          </cell>
          <cell r="T3524" t="str">
            <v>60 - 00011B41518</v>
          </cell>
        </row>
        <row r="3525">
          <cell r="H3525">
            <v>307724150</v>
          </cell>
          <cell r="O3525">
            <v>41518</v>
          </cell>
          <cell r="R3525" t="str">
            <v/>
          </cell>
          <cell r="T3525" t="str">
            <v>60 - 00011B41518</v>
          </cell>
        </row>
        <row r="3526">
          <cell r="H3526">
            <v>846173</v>
          </cell>
          <cell r="O3526">
            <v>41518</v>
          </cell>
          <cell r="R3526" t="str">
            <v/>
          </cell>
          <cell r="T3526" t="str">
            <v>60 - 00011B41518</v>
          </cell>
        </row>
        <row r="3527">
          <cell r="H3527">
            <v>862690</v>
          </cell>
          <cell r="O3527">
            <v>41518</v>
          </cell>
          <cell r="R3527" t="str">
            <v/>
          </cell>
          <cell r="T3527" t="str">
            <v>60 - 00011B41518</v>
          </cell>
        </row>
        <row r="3528">
          <cell r="H3528">
            <v>8389</v>
          </cell>
          <cell r="O3528">
            <v>41518</v>
          </cell>
          <cell r="R3528" t="str">
            <v/>
          </cell>
          <cell r="T3528" t="str">
            <v>60 - 00011B41518</v>
          </cell>
        </row>
        <row r="3529">
          <cell r="H3529">
            <v>216041</v>
          </cell>
          <cell r="O3529">
            <v>41518</v>
          </cell>
          <cell r="R3529" t="str">
            <v/>
          </cell>
          <cell r="T3529" t="str">
            <v>60 - 00011B41518</v>
          </cell>
        </row>
        <row r="3530">
          <cell r="H3530">
            <v>198307</v>
          </cell>
          <cell r="O3530">
            <v>41518</v>
          </cell>
          <cell r="R3530" t="str">
            <v/>
          </cell>
          <cell r="T3530" t="str">
            <v>60 - 00011B41518</v>
          </cell>
        </row>
        <row r="3531">
          <cell r="H3531">
            <v>2182957</v>
          </cell>
          <cell r="O3531">
            <v>41518</v>
          </cell>
          <cell r="R3531" t="str">
            <v/>
          </cell>
          <cell r="T3531" t="str">
            <v>60 - 00011B41518</v>
          </cell>
        </row>
        <row r="3532">
          <cell r="H3532">
            <v>0</v>
          </cell>
          <cell r="O3532">
            <v>41518</v>
          </cell>
          <cell r="R3532" t="str">
            <v/>
          </cell>
          <cell r="T3532" t="str">
            <v>60 - 00011B41518</v>
          </cell>
        </row>
        <row r="3533">
          <cell r="H3533">
            <v>0</v>
          </cell>
          <cell r="O3533">
            <v>41518</v>
          </cell>
          <cell r="R3533" t="str">
            <v/>
          </cell>
          <cell r="T3533" t="str">
            <v>60 - 00011R41518</v>
          </cell>
        </row>
        <row r="3534">
          <cell r="H3534">
            <v>0</v>
          </cell>
          <cell r="O3534">
            <v>41518</v>
          </cell>
          <cell r="R3534" t="str">
            <v/>
          </cell>
          <cell r="T3534" t="str">
            <v>60 - 00011R41518</v>
          </cell>
        </row>
        <row r="3535">
          <cell r="H3535">
            <v>0</v>
          </cell>
          <cell r="O3535">
            <v>41518</v>
          </cell>
          <cell r="R3535" t="str">
            <v/>
          </cell>
          <cell r="T3535" t="str">
            <v>60 - 00011R41518</v>
          </cell>
        </row>
        <row r="3536">
          <cell r="H3536">
            <v>0</v>
          </cell>
          <cell r="O3536">
            <v>41518</v>
          </cell>
          <cell r="R3536" t="str">
            <v/>
          </cell>
          <cell r="T3536" t="str">
            <v>60 - 00011R41518</v>
          </cell>
        </row>
        <row r="3537">
          <cell r="H3537">
            <v>0</v>
          </cell>
          <cell r="O3537">
            <v>41518</v>
          </cell>
          <cell r="R3537" t="str">
            <v/>
          </cell>
          <cell r="T3537" t="str">
            <v>60 - 00011R41518</v>
          </cell>
        </row>
        <row r="3538">
          <cell r="H3538">
            <v>0</v>
          </cell>
          <cell r="O3538">
            <v>41518</v>
          </cell>
          <cell r="R3538" t="str">
            <v/>
          </cell>
          <cell r="T3538" t="str">
            <v>60 - 00011R41518</v>
          </cell>
        </row>
        <row r="3539">
          <cell r="H3539">
            <v>0</v>
          </cell>
          <cell r="O3539">
            <v>41518</v>
          </cell>
          <cell r="R3539" t="str">
            <v/>
          </cell>
          <cell r="T3539" t="str">
            <v>60 - 00011R41518</v>
          </cell>
        </row>
        <row r="3540">
          <cell r="H3540">
            <v>0</v>
          </cell>
          <cell r="O3540">
            <v>41518</v>
          </cell>
          <cell r="R3540" t="str">
            <v/>
          </cell>
          <cell r="T3540" t="str">
            <v>60 - 00011R41518</v>
          </cell>
        </row>
        <row r="3541">
          <cell r="H3541">
            <v>-1660</v>
          </cell>
          <cell r="O3541">
            <v>41518</v>
          </cell>
          <cell r="R3541" t="str">
            <v/>
          </cell>
          <cell r="T3541" t="str">
            <v>60 - 00011R41518</v>
          </cell>
        </row>
        <row r="3542">
          <cell r="H3542">
            <v>0</v>
          </cell>
          <cell r="O3542">
            <v>41518</v>
          </cell>
          <cell r="R3542" t="str">
            <v/>
          </cell>
          <cell r="T3542" t="str">
            <v>60 - 00011R41518</v>
          </cell>
        </row>
        <row r="3543">
          <cell r="H3543">
            <v>0</v>
          </cell>
          <cell r="O3543">
            <v>41518</v>
          </cell>
          <cell r="R3543" t="str">
            <v/>
          </cell>
          <cell r="T3543" t="str">
            <v>60 - 00011R41518</v>
          </cell>
        </row>
        <row r="3544">
          <cell r="H3544">
            <v>350768485</v>
          </cell>
          <cell r="O3544">
            <v>41518</v>
          </cell>
          <cell r="R3544" t="str">
            <v/>
          </cell>
          <cell r="T3544" t="str">
            <v>60 - 00011R41518</v>
          </cell>
        </row>
        <row r="3545">
          <cell r="H3545">
            <v>2710896</v>
          </cell>
          <cell r="O3545">
            <v>41518</v>
          </cell>
          <cell r="R3545" t="str">
            <v/>
          </cell>
          <cell r="T3545" t="str">
            <v>60 - 00011R41518</v>
          </cell>
        </row>
        <row r="3546">
          <cell r="H3546">
            <v>18549964</v>
          </cell>
          <cell r="O3546">
            <v>41518</v>
          </cell>
          <cell r="R3546" t="str">
            <v/>
          </cell>
          <cell r="T3546" t="str">
            <v>60 - 00011R41518</v>
          </cell>
        </row>
        <row r="3547">
          <cell r="H3547">
            <v>1180398</v>
          </cell>
          <cell r="O3547">
            <v>41518</v>
          </cell>
          <cell r="R3547" t="str">
            <v/>
          </cell>
          <cell r="T3547" t="str">
            <v>60 - 00011R41518</v>
          </cell>
        </row>
        <row r="3548">
          <cell r="H3548">
            <v>0</v>
          </cell>
          <cell r="O3548">
            <v>41518</v>
          </cell>
          <cell r="R3548" t="str">
            <v/>
          </cell>
          <cell r="T3548" t="str">
            <v>60 - 00011R41518</v>
          </cell>
        </row>
        <row r="3549">
          <cell r="H3549">
            <v>0</v>
          </cell>
          <cell r="O3549">
            <v>41518</v>
          </cell>
          <cell r="R3549" t="str">
            <v/>
          </cell>
          <cell r="T3549" t="str">
            <v>60 - 00011R41518</v>
          </cell>
        </row>
        <row r="3550">
          <cell r="H3550">
            <v>0</v>
          </cell>
          <cell r="O3550">
            <v>41518</v>
          </cell>
          <cell r="R3550" t="str">
            <v/>
          </cell>
          <cell r="T3550" t="str">
            <v>60 - 00011R41518</v>
          </cell>
        </row>
        <row r="3551">
          <cell r="H3551">
            <v>198307</v>
          </cell>
          <cell r="O3551">
            <v>41518</v>
          </cell>
          <cell r="R3551" t="str">
            <v/>
          </cell>
          <cell r="T3551" t="str">
            <v>60 - 00011R41518</v>
          </cell>
        </row>
        <row r="3552">
          <cell r="H3552">
            <v>0</v>
          </cell>
          <cell r="O3552">
            <v>41518</v>
          </cell>
          <cell r="R3552" t="str">
            <v/>
          </cell>
          <cell r="T3552" t="str">
            <v>60 - 00011R41518</v>
          </cell>
        </row>
        <row r="3553">
          <cell r="H3553">
            <v>2170049</v>
          </cell>
          <cell r="O3553">
            <v>41518</v>
          </cell>
          <cell r="R3553" t="str">
            <v/>
          </cell>
          <cell r="T3553" t="str">
            <v>60 - 00011R41518</v>
          </cell>
        </row>
        <row r="3554">
          <cell r="H3554">
            <v>10733</v>
          </cell>
          <cell r="O3554">
            <v>41518</v>
          </cell>
          <cell r="R3554" t="str">
            <v/>
          </cell>
          <cell r="T3554" t="str">
            <v>60 - 00011R41518</v>
          </cell>
        </row>
        <row r="3555">
          <cell r="H3555">
            <v>2274</v>
          </cell>
          <cell r="O3555">
            <v>41518</v>
          </cell>
          <cell r="R3555" t="str">
            <v/>
          </cell>
          <cell r="T3555" t="str">
            <v>60 - 00011R41518</v>
          </cell>
        </row>
        <row r="3556">
          <cell r="H3556">
            <v>0</v>
          </cell>
          <cell r="O3556">
            <v>41518</v>
          </cell>
          <cell r="R3556" t="str">
            <v/>
          </cell>
          <cell r="T3556" t="str">
            <v>60 - 00011R41518</v>
          </cell>
        </row>
        <row r="3557">
          <cell r="H3557">
            <v>-33534000</v>
          </cell>
          <cell r="O3557">
            <v>41518</v>
          </cell>
          <cell r="R3557" t="str">
            <v/>
          </cell>
          <cell r="T3557" t="str">
            <v>60 - 00011U41518</v>
          </cell>
        </row>
        <row r="3558">
          <cell r="H3558">
            <v>0</v>
          </cell>
          <cell r="O3558">
            <v>41518</v>
          </cell>
          <cell r="R3558" t="str">
            <v/>
          </cell>
          <cell r="T3558" t="str">
            <v>60 - 00011U41518</v>
          </cell>
        </row>
        <row r="3559">
          <cell r="H3559">
            <v>0</v>
          </cell>
          <cell r="O3559">
            <v>41518</v>
          </cell>
          <cell r="R3559" t="str">
            <v/>
          </cell>
          <cell r="T3559" t="str">
            <v>60 - 00011B41518</v>
          </cell>
        </row>
        <row r="3560">
          <cell r="H3560">
            <v>5207553</v>
          </cell>
          <cell r="O3560">
            <v>41518</v>
          </cell>
          <cell r="R3560" t="str">
            <v/>
          </cell>
          <cell r="T3560" t="str">
            <v>60 - 00011B41518</v>
          </cell>
        </row>
        <row r="3561">
          <cell r="H3561">
            <v>31724</v>
          </cell>
          <cell r="O3561">
            <v>41518</v>
          </cell>
          <cell r="R3561" t="str">
            <v/>
          </cell>
          <cell r="T3561" t="str">
            <v>60 - 00011B41518</v>
          </cell>
        </row>
        <row r="3562">
          <cell r="H3562">
            <v>10094990</v>
          </cell>
          <cell r="O3562">
            <v>41518</v>
          </cell>
          <cell r="R3562" t="str">
            <v/>
          </cell>
          <cell r="T3562" t="str">
            <v>60 - 00011B41518</v>
          </cell>
        </row>
        <row r="3563">
          <cell r="H3563">
            <v>3352694</v>
          </cell>
          <cell r="O3563">
            <v>41518</v>
          </cell>
          <cell r="R3563" t="str">
            <v/>
          </cell>
          <cell r="T3563" t="str">
            <v>60 - 00011B41518</v>
          </cell>
        </row>
        <row r="3564">
          <cell r="H3564">
            <v>218400</v>
          </cell>
          <cell r="O3564">
            <v>41518</v>
          </cell>
          <cell r="R3564" t="str">
            <v/>
          </cell>
          <cell r="T3564" t="str">
            <v>60 - 00011B41518</v>
          </cell>
        </row>
        <row r="3565">
          <cell r="H3565">
            <v>5571</v>
          </cell>
          <cell r="O3565">
            <v>41518</v>
          </cell>
          <cell r="R3565" t="str">
            <v/>
          </cell>
          <cell r="T3565" t="str">
            <v>60 - 00011B41518</v>
          </cell>
        </row>
        <row r="3566">
          <cell r="H3566">
            <v>20067</v>
          </cell>
          <cell r="O3566">
            <v>41518</v>
          </cell>
          <cell r="R3566" t="str">
            <v/>
          </cell>
          <cell r="T3566" t="str">
            <v>60 - 00011B41518</v>
          </cell>
        </row>
        <row r="3567">
          <cell r="H3567">
            <v>90366</v>
          </cell>
          <cell r="O3567">
            <v>41518</v>
          </cell>
          <cell r="R3567" t="str">
            <v/>
          </cell>
          <cell r="T3567" t="str">
            <v>60 - 00011B41518</v>
          </cell>
        </row>
        <row r="3568">
          <cell r="H3568">
            <v>128373</v>
          </cell>
          <cell r="O3568">
            <v>41518</v>
          </cell>
          <cell r="R3568" t="str">
            <v/>
          </cell>
          <cell r="T3568" t="str">
            <v>60 - 00011B41518</v>
          </cell>
        </row>
        <row r="3569">
          <cell r="H3569">
            <v>35098</v>
          </cell>
          <cell r="O3569">
            <v>41518</v>
          </cell>
          <cell r="R3569" t="str">
            <v/>
          </cell>
          <cell r="T3569" t="str">
            <v>60 - 00011B41518</v>
          </cell>
        </row>
        <row r="3570">
          <cell r="H3570">
            <v>0</v>
          </cell>
          <cell r="O3570">
            <v>41518</v>
          </cell>
          <cell r="R3570" t="str">
            <v/>
          </cell>
          <cell r="T3570" t="str">
            <v>60 - 00011B41518</v>
          </cell>
        </row>
        <row r="3571">
          <cell r="H3571">
            <v>0</v>
          </cell>
          <cell r="O3571">
            <v>41518</v>
          </cell>
          <cell r="R3571" t="str">
            <v/>
          </cell>
          <cell r="T3571" t="str">
            <v>60 - 00011R41518</v>
          </cell>
        </row>
        <row r="3572">
          <cell r="H3572">
            <v>0</v>
          </cell>
          <cell r="O3572">
            <v>41518</v>
          </cell>
          <cell r="R3572" t="str">
            <v/>
          </cell>
          <cell r="T3572" t="str">
            <v>60 - 00011R41518</v>
          </cell>
        </row>
        <row r="3573">
          <cell r="H3573">
            <v>0</v>
          </cell>
          <cell r="O3573">
            <v>41518</v>
          </cell>
          <cell r="R3573" t="str">
            <v/>
          </cell>
          <cell r="T3573" t="str">
            <v>60 - 00011R41518</v>
          </cell>
        </row>
        <row r="3574">
          <cell r="H3574">
            <v>0</v>
          </cell>
          <cell r="O3574">
            <v>41518</v>
          </cell>
          <cell r="R3574" t="str">
            <v/>
          </cell>
          <cell r="T3574" t="str">
            <v>60 - 00011R41518</v>
          </cell>
        </row>
        <row r="3575">
          <cell r="H3575">
            <v>0</v>
          </cell>
          <cell r="O3575">
            <v>41518</v>
          </cell>
          <cell r="R3575" t="str">
            <v/>
          </cell>
          <cell r="T3575" t="str">
            <v>60 - 00011R41518</v>
          </cell>
        </row>
        <row r="3576">
          <cell r="H3576">
            <v>5868000</v>
          </cell>
          <cell r="O3576">
            <v>41518</v>
          </cell>
          <cell r="R3576" t="str">
            <v/>
          </cell>
          <cell r="T3576" t="str">
            <v>60 - 00011R41518</v>
          </cell>
        </row>
        <row r="3577">
          <cell r="H3577">
            <v>0</v>
          </cell>
          <cell r="O3577">
            <v>41518</v>
          </cell>
          <cell r="R3577" t="str">
            <v/>
          </cell>
          <cell r="T3577" t="str">
            <v>60 - 00011R41518</v>
          </cell>
        </row>
        <row r="3578">
          <cell r="H3578">
            <v>0</v>
          </cell>
          <cell r="O3578">
            <v>41518</v>
          </cell>
          <cell r="R3578" t="str">
            <v/>
          </cell>
          <cell r="T3578" t="str">
            <v>60 - 00011R41518</v>
          </cell>
        </row>
        <row r="3579">
          <cell r="H3579">
            <v>0</v>
          </cell>
          <cell r="O3579">
            <v>41518</v>
          </cell>
          <cell r="R3579" t="str">
            <v/>
          </cell>
          <cell r="T3579" t="str">
            <v>60 - 00011R41518</v>
          </cell>
        </row>
        <row r="3580">
          <cell r="H3580">
            <v>0</v>
          </cell>
          <cell r="O3580">
            <v>41518</v>
          </cell>
          <cell r="R3580" t="str">
            <v/>
          </cell>
          <cell r="T3580" t="str">
            <v>60 - 00011R41518</v>
          </cell>
        </row>
        <row r="3581">
          <cell r="H3581">
            <v>0</v>
          </cell>
          <cell r="O3581">
            <v>41518</v>
          </cell>
          <cell r="R3581" t="str">
            <v/>
          </cell>
          <cell r="T3581" t="str">
            <v>60 - 00011R41518</v>
          </cell>
        </row>
        <row r="3582">
          <cell r="H3582">
            <v>2752000</v>
          </cell>
          <cell r="O3582">
            <v>41518</v>
          </cell>
          <cell r="R3582" t="str">
            <v/>
          </cell>
          <cell r="T3582" t="str">
            <v>60 - 00011R41518</v>
          </cell>
        </row>
        <row r="3583">
          <cell r="H3583">
            <v>476489</v>
          </cell>
          <cell r="O3583">
            <v>41518</v>
          </cell>
          <cell r="R3583" t="str">
            <v/>
          </cell>
          <cell r="T3583" t="str">
            <v>60 - 00011R41518</v>
          </cell>
        </row>
        <row r="3584">
          <cell r="H3584">
            <v>128434</v>
          </cell>
          <cell r="O3584">
            <v>41518</v>
          </cell>
          <cell r="R3584" t="str">
            <v/>
          </cell>
          <cell r="T3584" t="str">
            <v>60 - 00011R41518</v>
          </cell>
        </row>
        <row r="3585">
          <cell r="H3585">
            <v>0</v>
          </cell>
          <cell r="O3585">
            <v>41518</v>
          </cell>
          <cell r="R3585" t="str">
            <v/>
          </cell>
          <cell r="T3585" t="str">
            <v>60 - 00011R41518</v>
          </cell>
        </row>
        <row r="3586">
          <cell r="H3586">
            <v>0</v>
          </cell>
          <cell r="O3586">
            <v>41518</v>
          </cell>
          <cell r="R3586" t="str">
            <v/>
          </cell>
          <cell r="T3586" t="str">
            <v>60 - 00011R41518</v>
          </cell>
        </row>
        <row r="3587">
          <cell r="H3587">
            <v>97341700</v>
          </cell>
          <cell r="O3587">
            <v>41518</v>
          </cell>
          <cell r="R3587" t="str">
            <v/>
          </cell>
          <cell r="T3587" t="str">
            <v>60 - 00011R41518</v>
          </cell>
        </row>
        <row r="3588">
          <cell r="H3588">
            <v>0</v>
          </cell>
          <cell r="O3588">
            <v>41518</v>
          </cell>
          <cell r="R3588" t="str">
            <v/>
          </cell>
          <cell r="T3588" t="str">
            <v>60 - 00011R41518</v>
          </cell>
        </row>
        <row r="3589">
          <cell r="H3589">
            <v>0</v>
          </cell>
          <cell r="O3589">
            <v>41518</v>
          </cell>
          <cell r="R3589" t="str">
            <v/>
          </cell>
          <cell r="T3589" t="str">
            <v>60 - 00011R41518</v>
          </cell>
        </row>
        <row r="3590">
          <cell r="H3590">
            <v>81510296</v>
          </cell>
          <cell r="O3590">
            <v>41518</v>
          </cell>
          <cell r="R3590" t="str">
            <v/>
          </cell>
          <cell r="T3590" t="str">
            <v>60 - 00011R41518</v>
          </cell>
        </row>
        <row r="3591">
          <cell r="H3591">
            <v>164395620</v>
          </cell>
          <cell r="O3591">
            <v>41518</v>
          </cell>
          <cell r="R3591" t="str">
            <v/>
          </cell>
          <cell r="T3591" t="str">
            <v>60 - 00011R41518</v>
          </cell>
        </row>
        <row r="3592">
          <cell r="H3592">
            <v>0</v>
          </cell>
          <cell r="O3592">
            <v>41518</v>
          </cell>
          <cell r="R3592" t="str">
            <v/>
          </cell>
          <cell r="T3592" t="str">
            <v>60 - 00011R41518</v>
          </cell>
        </row>
        <row r="3593">
          <cell r="H3593">
            <v>0</v>
          </cell>
          <cell r="O3593">
            <v>41518</v>
          </cell>
          <cell r="R3593" t="str">
            <v/>
          </cell>
          <cell r="T3593" t="str">
            <v>60 - 00011R41518</v>
          </cell>
        </row>
        <row r="3594">
          <cell r="H3594">
            <v>0</v>
          </cell>
          <cell r="O3594">
            <v>41518</v>
          </cell>
          <cell r="R3594" t="str">
            <v/>
          </cell>
          <cell r="T3594" t="str">
            <v>60 - 00011R41518</v>
          </cell>
        </row>
        <row r="3595">
          <cell r="H3595">
            <v>0</v>
          </cell>
          <cell r="O3595">
            <v>41518</v>
          </cell>
          <cell r="R3595" t="str">
            <v/>
          </cell>
          <cell r="T3595" t="str">
            <v>60 - 00011R41518</v>
          </cell>
        </row>
        <row r="3596">
          <cell r="H3596">
            <v>229222</v>
          </cell>
          <cell r="O3596">
            <v>41518</v>
          </cell>
          <cell r="R3596" t="str">
            <v/>
          </cell>
          <cell r="T3596" t="str">
            <v>60 - 00011R41518</v>
          </cell>
        </row>
        <row r="3597">
          <cell r="H3597">
            <v>242972</v>
          </cell>
          <cell r="O3597">
            <v>41518</v>
          </cell>
          <cell r="R3597" t="str">
            <v/>
          </cell>
          <cell r="T3597" t="str">
            <v>60 - 00011R41518</v>
          </cell>
        </row>
        <row r="3598">
          <cell r="H3598">
            <v>32317</v>
          </cell>
          <cell r="O3598">
            <v>41518</v>
          </cell>
          <cell r="R3598" t="str">
            <v/>
          </cell>
          <cell r="T3598" t="str">
            <v>60 - 00011R41518</v>
          </cell>
        </row>
        <row r="3599">
          <cell r="H3599">
            <v>709884</v>
          </cell>
          <cell r="O3599">
            <v>41518</v>
          </cell>
          <cell r="R3599" t="str">
            <v/>
          </cell>
          <cell r="T3599" t="str">
            <v>60 - 00011R41518</v>
          </cell>
        </row>
        <row r="3600">
          <cell r="H3600">
            <v>1002587</v>
          </cell>
          <cell r="O3600">
            <v>41518</v>
          </cell>
          <cell r="R3600" t="str">
            <v/>
          </cell>
          <cell r="T3600" t="str">
            <v>60 - 00011R41518</v>
          </cell>
        </row>
        <row r="3601">
          <cell r="H3601">
            <v>260390</v>
          </cell>
          <cell r="O3601">
            <v>41518</v>
          </cell>
          <cell r="R3601" t="str">
            <v/>
          </cell>
          <cell r="T3601" t="str">
            <v>60 - 00011R41518</v>
          </cell>
        </row>
        <row r="3602">
          <cell r="H3602">
            <v>0</v>
          </cell>
          <cell r="O3602">
            <v>41518</v>
          </cell>
          <cell r="R3602" t="str">
            <v/>
          </cell>
          <cell r="T3602" t="str">
            <v>60 - 00011R41518</v>
          </cell>
        </row>
        <row r="3603">
          <cell r="H3603">
            <v>16880</v>
          </cell>
          <cell r="O3603">
            <v>41518</v>
          </cell>
          <cell r="R3603" t="str">
            <v/>
          </cell>
          <cell r="T3603" t="str">
            <v>60 - 00011R41518</v>
          </cell>
        </row>
        <row r="3604">
          <cell r="H3604">
            <v>30299</v>
          </cell>
          <cell r="O3604">
            <v>41518</v>
          </cell>
          <cell r="R3604" t="str">
            <v/>
          </cell>
          <cell r="T3604" t="str">
            <v>60 - 00011R41518</v>
          </cell>
        </row>
        <row r="3605">
          <cell r="H3605">
            <v>196552</v>
          </cell>
          <cell r="O3605">
            <v>41518</v>
          </cell>
          <cell r="R3605" t="str">
            <v/>
          </cell>
          <cell r="T3605" t="str">
            <v>60 - 00011R41518</v>
          </cell>
        </row>
        <row r="3606">
          <cell r="H3606">
            <v>1251190</v>
          </cell>
          <cell r="O3606">
            <v>41518</v>
          </cell>
          <cell r="R3606" t="str">
            <v/>
          </cell>
          <cell r="T3606" t="str">
            <v>60 - 00011R41518</v>
          </cell>
        </row>
        <row r="3607">
          <cell r="H3607">
            <v>399240</v>
          </cell>
          <cell r="O3607">
            <v>41518</v>
          </cell>
          <cell r="R3607" t="str">
            <v/>
          </cell>
          <cell r="T3607" t="str">
            <v>60 - 00011R41518</v>
          </cell>
        </row>
        <row r="3608">
          <cell r="H3608">
            <v>20900</v>
          </cell>
          <cell r="O3608">
            <v>41518</v>
          </cell>
          <cell r="R3608" t="str">
            <v/>
          </cell>
          <cell r="T3608" t="str">
            <v>60 - 00011R41518</v>
          </cell>
        </row>
        <row r="3609">
          <cell r="H3609">
            <v>0</v>
          </cell>
          <cell r="O3609">
            <v>41518</v>
          </cell>
          <cell r="R3609" t="str">
            <v/>
          </cell>
          <cell r="T3609" t="str">
            <v>60 - 00011R41518</v>
          </cell>
        </row>
        <row r="3610">
          <cell r="H3610">
            <v>94362793</v>
          </cell>
          <cell r="O3610">
            <v>41518</v>
          </cell>
          <cell r="R3610" t="str">
            <v/>
          </cell>
          <cell r="T3610" t="str">
            <v>60 - 00011R41518</v>
          </cell>
        </row>
        <row r="3611">
          <cell r="H3611">
            <v>5133730</v>
          </cell>
          <cell r="O3611">
            <v>41518</v>
          </cell>
          <cell r="R3611" t="str">
            <v/>
          </cell>
          <cell r="T3611" t="str">
            <v>60 - 00011R41518</v>
          </cell>
        </row>
        <row r="3612">
          <cell r="H3612">
            <v>0</v>
          </cell>
          <cell r="O3612">
            <v>41518</v>
          </cell>
          <cell r="R3612" t="str">
            <v/>
          </cell>
          <cell r="T3612" t="str">
            <v>60 - 00011R41518</v>
          </cell>
        </row>
        <row r="3613">
          <cell r="H3613">
            <v>0</v>
          </cell>
          <cell r="O3613">
            <v>41518</v>
          </cell>
          <cell r="R3613" t="str">
            <v/>
          </cell>
          <cell r="T3613" t="str">
            <v>60 - 00011R41518</v>
          </cell>
        </row>
        <row r="3614">
          <cell r="H3614">
            <v>0</v>
          </cell>
          <cell r="O3614">
            <v>41518</v>
          </cell>
          <cell r="R3614" t="str">
            <v/>
          </cell>
          <cell r="T3614" t="str">
            <v>60 - 00011R41518</v>
          </cell>
        </row>
        <row r="3615">
          <cell r="H3615">
            <v>0</v>
          </cell>
          <cell r="O3615">
            <v>41518</v>
          </cell>
          <cell r="R3615" t="str">
            <v/>
          </cell>
          <cell r="T3615" t="str">
            <v>60 - 00011R41518</v>
          </cell>
        </row>
        <row r="3616">
          <cell r="H3616">
            <v>804712</v>
          </cell>
          <cell r="O3616">
            <v>41518</v>
          </cell>
          <cell r="R3616" t="str">
            <v/>
          </cell>
          <cell r="T3616" t="str">
            <v>60 - 00011R41518</v>
          </cell>
        </row>
        <row r="3617">
          <cell r="H3617">
            <v>10136560</v>
          </cell>
          <cell r="O3617">
            <v>41518</v>
          </cell>
          <cell r="R3617" t="str">
            <v/>
          </cell>
          <cell r="T3617" t="str">
            <v>60 - 00011R41518</v>
          </cell>
        </row>
        <row r="3618">
          <cell r="H3618">
            <v>1436320</v>
          </cell>
          <cell r="O3618">
            <v>41518</v>
          </cell>
          <cell r="R3618" t="str">
            <v/>
          </cell>
          <cell r="T3618" t="str">
            <v>60 - 00011R41518</v>
          </cell>
        </row>
        <row r="3619">
          <cell r="H3619">
            <v>0</v>
          </cell>
          <cell r="O3619">
            <v>41518</v>
          </cell>
          <cell r="R3619" t="str">
            <v/>
          </cell>
          <cell r="T3619" t="str">
            <v>60 - 00011R41518</v>
          </cell>
        </row>
        <row r="3620">
          <cell r="H3620">
            <v>0</v>
          </cell>
          <cell r="O3620">
            <v>41518</v>
          </cell>
          <cell r="R3620" t="str">
            <v/>
          </cell>
          <cell r="T3620" t="str">
            <v>60 - 00011R41518</v>
          </cell>
        </row>
        <row r="3621">
          <cell r="H3621">
            <v>42970</v>
          </cell>
          <cell r="O3621">
            <v>41518</v>
          </cell>
          <cell r="R3621" t="str">
            <v/>
          </cell>
          <cell r="T3621" t="str">
            <v>60 - 00011R41518</v>
          </cell>
        </row>
        <row r="3622">
          <cell r="H3622">
            <v>0</v>
          </cell>
          <cell r="O3622">
            <v>41518</v>
          </cell>
          <cell r="R3622" t="str">
            <v/>
          </cell>
          <cell r="T3622" t="str">
            <v>60 - 00011R41518</v>
          </cell>
        </row>
        <row r="3623">
          <cell r="H3623">
            <v>0</v>
          </cell>
          <cell r="O3623">
            <v>41518</v>
          </cell>
          <cell r="R3623" t="str">
            <v/>
          </cell>
          <cell r="T3623" t="str">
            <v>60 - 00011R41518</v>
          </cell>
        </row>
        <row r="3624">
          <cell r="H3624">
            <v>0</v>
          </cell>
          <cell r="O3624">
            <v>41518</v>
          </cell>
          <cell r="R3624" t="str">
            <v/>
          </cell>
          <cell r="T3624" t="str">
            <v>60 - 00011R41518</v>
          </cell>
        </row>
        <row r="3625">
          <cell r="H3625">
            <v>0</v>
          </cell>
          <cell r="O3625">
            <v>41518</v>
          </cell>
          <cell r="R3625" t="str">
            <v/>
          </cell>
          <cell r="T3625" t="str">
            <v>60 - 00011R41518</v>
          </cell>
        </row>
        <row r="3626">
          <cell r="H3626">
            <v>0</v>
          </cell>
          <cell r="O3626">
            <v>41518</v>
          </cell>
          <cell r="R3626" t="str">
            <v/>
          </cell>
          <cell r="T3626" t="str">
            <v>60 - 00011R41518</v>
          </cell>
        </row>
        <row r="3627">
          <cell r="H3627">
            <v>128373</v>
          </cell>
          <cell r="O3627">
            <v>41518</v>
          </cell>
          <cell r="R3627" t="str">
            <v/>
          </cell>
          <cell r="T3627" t="str">
            <v>60 - 00011R41518</v>
          </cell>
        </row>
        <row r="3628">
          <cell r="H3628">
            <v>0</v>
          </cell>
          <cell r="O3628">
            <v>41518</v>
          </cell>
          <cell r="R3628" t="str">
            <v/>
          </cell>
          <cell r="T3628" t="str">
            <v>60 - 00011R41518</v>
          </cell>
        </row>
        <row r="3629">
          <cell r="H3629">
            <v>0</v>
          </cell>
          <cell r="O3629">
            <v>41518</v>
          </cell>
          <cell r="R3629" t="str">
            <v/>
          </cell>
          <cell r="T3629" t="str">
            <v>60 - 00011R41518</v>
          </cell>
        </row>
        <row r="3630">
          <cell r="H3630">
            <v>-14332000</v>
          </cell>
          <cell r="O3630">
            <v>41518</v>
          </cell>
          <cell r="R3630" t="str">
            <v/>
          </cell>
          <cell r="T3630" t="str">
            <v>60 - 00011U41518</v>
          </cell>
        </row>
        <row r="3631">
          <cell r="H3631">
            <v>0</v>
          </cell>
          <cell r="O3631">
            <v>41518</v>
          </cell>
          <cell r="R3631" t="str">
            <v/>
          </cell>
          <cell r="T3631" t="str">
            <v>60 - 00011B41518</v>
          </cell>
        </row>
        <row r="3632">
          <cell r="H3632">
            <v>39468</v>
          </cell>
          <cell r="O3632">
            <v>41518</v>
          </cell>
          <cell r="R3632" t="str">
            <v/>
          </cell>
          <cell r="T3632" t="str">
            <v>60 - 00011B41518</v>
          </cell>
        </row>
        <row r="3633">
          <cell r="H3633">
            <v>151160</v>
          </cell>
          <cell r="O3633">
            <v>41518</v>
          </cell>
          <cell r="R3633" t="str">
            <v/>
          </cell>
          <cell r="T3633" t="str">
            <v>60 - 00011B41518</v>
          </cell>
        </row>
        <row r="3634">
          <cell r="H3634">
            <v>304</v>
          </cell>
          <cell r="O3634">
            <v>41518</v>
          </cell>
          <cell r="R3634" t="str">
            <v/>
          </cell>
          <cell r="T3634" t="str">
            <v>60 - 00011B41518</v>
          </cell>
        </row>
        <row r="3635">
          <cell r="H3635">
            <v>0</v>
          </cell>
          <cell r="O3635">
            <v>41518</v>
          </cell>
          <cell r="R3635" t="str">
            <v/>
          </cell>
          <cell r="T3635" t="str">
            <v>60 - 00011B41518</v>
          </cell>
        </row>
        <row r="3636">
          <cell r="H3636">
            <v>0</v>
          </cell>
          <cell r="O3636">
            <v>41518</v>
          </cell>
          <cell r="R3636" t="str">
            <v/>
          </cell>
          <cell r="T3636" t="str">
            <v>60 - 00011R41518</v>
          </cell>
        </row>
        <row r="3637">
          <cell r="H3637">
            <v>0</v>
          </cell>
          <cell r="O3637">
            <v>41518</v>
          </cell>
          <cell r="R3637" t="str">
            <v/>
          </cell>
          <cell r="T3637" t="str">
            <v>60 - 00011R41518</v>
          </cell>
        </row>
        <row r="3638">
          <cell r="H3638">
            <v>0</v>
          </cell>
          <cell r="O3638">
            <v>41518</v>
          </cell>
          <cell r="R3638" t="str">
            <v/>
          </cell>
          <cell r="T3638" t="str">
            <v>60 - 00011R41518</v>
          </cell>
        </row>
        <row r="3639">
          <cell r="H3639">
            <v>0</v>
          </cell>
          <cell r="O3639">
            <v>41518</v>
          </cell>
          <cell r="R3639" t="str">
            <v/>
          </cell>
          <cell r="T3639" t="str">
            <v>60 - 00011R41518</v>
          </cell>
        </row>
        <row r="3640">
          <cell r="H3640">
            <v>0</v>
          </cell>
          <cell r="O3640">
            <v>41518</v>
          </cell>
          <cell r="R3640" t="str">
            <v/>
          </cell>
          <cell r="T3640" t="str">
            <v>60 - 00011R41518</v>
          </cell>
        </row>
        <row r="3641">
          <cell r="H3641">
            <v>7160400</v>
          </cell>
          <cell r="O3641">
            <v>41518</v>
          </cell>
          <cell r="R3641" t="str">
            <v/>
          </cell>
          <cell r="T3641" t="str">
            <v>60 - 00011R41518</v>
          </cell>
        </row>
        <row r="3642">
          <cell r="H3642">
            <v>0</v>
          </cell>
          <cell r="O3642">
            <v>41518</v>
          </cell>
          <cell r="R3642" t="str">
            <v/>
          </cell>
          <cell r="T3642" t="str">
            <v>60 - 00011R41518</v>
          </cell>
        </row>
        <row r="3643">
          <cell r="H3643">
            <v>1520000</v>
          </cell>
          <cell r="O3643">
            <v>41518</v>
          </cell>
          <cell r="R3643" t="str">
            <v/>
          </cell>
          <cell r="T3643" t="str">
            <v>60 - 00011R41518</v>
          </cell>
        </row>
        <row r="3644">
          <cell r="H3644">
            <v>30581</v>
          </cell>
          <cell r="O3644">
            <v>41518</v>
          </cell>
          <cell r="R3644" t="str">
            <v/>
          </cell>
          <cell r="T3644" t="str">
            <v>60 - 00011R41518</v>
          </cell>
        </row>
        <row r="3645">
          <cell r="H3645">
            <v>0</v>
          </cell>
          <cell r="O3645">
            <v>41518</v>
          </cell>
          <cell r="R3645" t="str">
            <v/>
          </cell>
          <cell r="T3645" t="str">
            <v>60 - 00011R41518</v>
          </cell>
        </row>
        <row r="3646">
          <cell r="H3646">
            <v>149805040</v>
          </cell>
          <cell r="O3646">
            <v>41518</v>
          </cell>
          <cell r="R3646" t="str">
            <v/>
          </cell>
          <cell r="T3646" t="str">
            <v>60 - 00011R41518</v>
          </cell>
        </row>
        <row r="3647">
          <cell r="H3647">
            <v>0</v>
          </cell>
          <cell r="O3647">
            <v>41518</v>
          </cell>
          <cell r="R3647" t="str">
            <v/>
          </cell>
          <cell r="T3647" t="str">
            <v>60 - 00011R41518</v>
          </cell>
        </row>
        <row r="3648">
          <cell r="H3648">
            <v>1489892</v>
          </cell>
          <cell r="O3648">
            <v>41518</v>
          </cell>
          <cell r="R3648" t="str">
            <v/>
          </cell>
          <cell r="T3648" t="str">
            <v>60 - 00011R41518</v>
          </cell>
        </row>
        <row r="3649">
          <cell r="H3649">
            <v>7716117</v>
          </cell>
          <cell r="O3649">
            <v>41518</v>
          </cell>
          <cell r="R3649" t="str">
            <v/>
          </cell>
          <cell r="T3649" t="str">
            <v>60 - 00011R41518</v>
          </cell>
        </row>
        <row r="3650">
          <cell r="H3650">
            <v>0</v>
          </cell>
          <cell r="O3650">
            <v>41518</v>
          </cell>
          <cell r="R3650" t="str">
            <v/>
          </cell>
          <cell r="T3650" t="str">
            <v>60 - 00011R41518</v>
          </cell>
        </row>
        <row r="3651">
          <cell r="H3651">
            <v>0</v>
          </cell>
          <cell r="O3651">
            <v>41518</v>
          </cell>
          <cell r="R3651" t="str">
            <v/>
          </cell>
          <cell r="T3651" t="str">
            <v>60 - 00011R41518</v>
          </cell>
        </row>
        <row r="3652">
          <cell r="H3652">
            <v>0</v>
          </cell>
          <cell r="O3652">
            <v>41518</v>
          </cell>
          <cell r="R3652" t="str">
            <v/>
          </cell>
          <cell r="T3652" t="str">
            <v>60 - 00011R41518</v>
          </cell>
        </row>
        <row r="3653">
          <cell r="H3653">
            <v>0</v>
          </cell>
          <cell r="O3653">
            <v>41518</v>
          </cell>
          <cell r="R3653" t="str">
            <v/>
          </cell>
          <cell r="T3653" t="str">
            <v>60 - 00011R41518</v>
          </cell>
        </row>
        <row r="3654">
          <cell r="H3654">
            <v>1528</v>
          </cell>
          <cell r="O3654">
            <v>41518</v>
          </cell>
          <cell r="R3654" t="str">
            <v/>
          </cell>
          <cell r="T3654" t="str">
            <v>60 - 00011R41518</v>
          </cell>
        </row>
        <row r="3655">
          <cell r="H3655">
            <v>7834</v>
          </cell>
          <cell r="O3655">
            <v>41518</v>
          </cell>
          <cell r="R3655" t="str">
            <v/>
          </cell>
          <cell r="T3655" t="str">
            <v>60 - 00011R41518</v>
          </cell>
        </row>
        <row r="3656">
          <cell r="H3656">
            <v>197</v>
          </cell>
          <cell r="O3656">
            <v>41518</v>
          </cell>
          <cell r="R3656" t="str">
            <v/>
          </cell>
          <cell r="T3656" t="str">
            <v>60 - 00011R41518</v>
          </cell>
        </row>
        <row r="3657">
          <cell r="H3657">
            <v>86</v>
          </cell>
          <cell r="O3657">
            <v>41518</v>
          </cell>
          <cell r="R3657" t="str">
            <v/>
          </cell>
          <cell r="T3657" t="str">
            <v>60 - 00011R41518</v>
          </cell>
        </row>
        <row r="3658">
          <cell r="H3658">
            <v>23</v>
          </cell>
          <cell r="O3658">
            <v>41518</v>
          </cell>
          <cell r="R3658" t="str">
            <v/>
          </cell>
          <cell r="T3658" t="str">
            <v>60 - 00011R41518</v>
          </cell>
        </row>
        <row r="3659">
          <cell r="H3659">
            <v>1928</v>
          </cell>
          <cell r="O3659">
            <v>41518</v>
          </cell>
          <cell r="R3659" t="str">
            <v/>
          </cell>
          <cell r="T3659" t="str">
            <v>60 - 00011R41518</v>
          </cell>
        </row>
        <row r="3660">
          <cell r="H3660">
            <v>10799</v>
          </cell>
          <cell r="O3660">
            <v>41518</v>
          </cell>
          <cell r="R3660" t="str">
            <v/>
          </cell>
          <cell r="T3660" t="str">
            <v>60 - 00011R41518</v>
          </cell>
        </row>
        <row r="3661">
          <cell r="H3661">
            <v>0</v>
          </cell>
          <cell r="O3661">
            <v>41518</v>
          </cell>
          <cell r="R3661" t="str">
            <v/>
          </cell>
          <cell r="T3661" t="str">
            <v>60 - 00011R41518</v>
          </cell>
        </row>
        <row r="3662">
          <cell r="H3662">
            <v>17808734</v>
          </cell>
          <cell r="O3662">
            <v>41518</v>
          </cell>
          <cell r="R3662" t="str">
            <v/>
          </cell>
          <cell r="T3662" t="str">
            <v>60 - 00011R41518</v>
          </cell>
        </row>
        <row r="3663">
          <cell r="H3663">
            <v>39445</v>
          </cell>
          <cell r="O3663">
            <v>41518</v>
          </cell>
          <cell r="R3663" t="str">
            <v/>
          </cell>
          <cell r="T3663" t="str">
            <v>60 - 00011R41518</v>
          </cell>
        </row>
        <row r="3664">
          <cell r="H3664">
            <v>0</v>
          </cell>
          <cell r="O3664">
            <v>41518</v>
          </cell>
          <cell r="R3664" t="str">
            <v/>
          </cell>
          <cell r="T3664" t="str">
            <v>60 - 00011R41518</v>
          </cell>
        </row>
        <row r="3665">
          <cell r="H3665">
            <v>0</v>
          </cell>
          <cell r="O3665">
            <v>41518</v>
          </cell>
          <cell r="R3665" t="str">
            <v/>
          </cell>
          <cell r="T3665" t="str">
            <v>60 - 00011R41518</v>
          </cell>
        </row>
        <row r="3666">
          <cell r="H3666">
            <v>51840</v>
          </cell>
          <cell r="O3666">
            <v>41518</v>
          </cell>
          <cell r="R3666" t="str">
            <v/>
          </cell>
          <cell r="T3666" t="str">
            <v>60 - 00011R41518</v>
          </cell>
        </row>
        <row r="3667">
          <cell r="H3667">
            <v>100800</v>
          </cell>
          <cell r="O3667">
            <v>41518</v>
          </cell>
          <cell r="R3667" t="str">
            <v/>
          </cell>
          <cell r="T3667" t="str">
            <v>60 - 00011R41518</v>
          </cell>
        </row>
        <row r="3668">
          <cell r="H3668">
            <v>4715000</v>
          </cell>
          <cell r="O3668">
            <v>41518</v>
          </cell>
          <cell r="R3668" t="str">
            <v/>
          </cell>
          <cell r="T3668" t="str">
            <v>60 - 00011R41518</v>
          </cell>
        </row>
        <row r="3669">
          <cell r="H3669">
            <v>0</v>
          </cell>
          <cell r="O3669">
            <v>41518</v>
          </cell>
          <cell r="R3669" t="str">
            <v/>
          </cell>
          <cell r="T3669" t="str">
            <v>60 - 00011R41518</v>
          </cell>
        </row>
        <row r="3670">
          <cell r="H3670">
            <v>0</v>
          </cell>
          <cell r="O3670">
            <v>41518</v>
          </cell>
          <cell r="R3670" t="str">
            <v/>
          </cell>
          <cell r="T3670" t="str">
            <v>60 - 00011R41518</v>
          </cell>
        </row>
        <row r="3671">
          <cell r="H3671">
            <v>0</v>
          </cell>
          <cell r="O3671">
            <v>41518</v>
          </cell>
          <cell r="R3671" t="str">
            <v/>
          </cell>
          <cell r="T3671" t="str">
            <v>60 - 00011R41518</v>
          </cell>
        </row>
        <row r="3672">
          <cell r="H3672">
            <v>0</v>
          </cell>
          <cell r="O3672">
            <v>41518</v>
          </cell>
          <cell r="R3672" t="str">
            <v/>
          </cell>
          <cell r="T3672" t="str">
            <v>60 - 00011R41518</v>
          </cell>
        </row>
        <row r="3673">
          <cell r="H3673">
            <v>304</v>
          </cell>
          <cell r="O3673">
            <v>41518</v>
          </cell>
          <cell r="R3673" t="str">
            <v/>
          </cell>
          <cell r="T3673" t="str">
            <v>60 - 00011R41518</v>
          </cell>
        </row>
        <row r="3674">
          <cell r="H3674">
            <v>0</v>
          </cell>
          <cell r="O3674">
            <v>41518</v>
          </cell>
          <cell r="R3674" t="str">
            <v/>
          </cell>
          <cell r="T3674" t="str">
            <v>60 - 00011R41518</v>
          </cell>
        </row>
        <row r="3675">
          <cell r="H3675">
            <v>-4246000</v>
          </cell>
          <cell r="O3675">
            <v>41518</v>
          </cell>
          <cell r="R3675" t="str">
            <v/>
          </cell>
          <cell r="T3675" t="str">
            <v>60 - 00011U41518</v>
          </cell>
        </row>
        <row r="3676">
          <cell r="H3676">
            <v>0</v>
          </cell>
          <cell r="O3676">
            <v>41518</v>
          </cell>
          <cell r="R3676" t="str">
            <v/>
          </cell>
          <cell r="T3676" t="str">
            <v>60 - 00011B41518</v>
          </cell>
        </row>
        <row r="3677">
          <cell r="H3677">
            <v>6398567</v>
          </cell>
          <cell r="O3677">
            <v>41518</v>
          </cell>
          <cell r="R3677" t="str">
            <v/>
          </cell>
          <cell r="T3677" t="str">
            <v>60 - 00011B41518</v>
          </cell>
        </row>
        <row r="3678">
          <cell r="H3678">
            <v>-2000976</v>
          </cell>
          <cell r="O3678">
            <v>41518</v>
          </cell>
          <cell r="R3678" t="str">
            <v/>
          </cell>
          <cell r="T3678" t="str">
            <v>60 - 00011B41518</v>
          </cell>
        </row>
        <row r="3679">
          <cell r="H3679">
            <v>73749</v>
          </cell>
          <cell r="O3679">
            <v>41518</v>
          </cell>
          <cell r="R3679" t="str">
            <v/>
          </cell>
          <cell r="T3679" t="str">
            <v>60 - 00011B41518</v>
          </cell>
        </row>
        <row r="3680">
          <cell r="H3680">
            <v>10807044</v>
          </cell>
          <cell r="O3680">
            <v>41518</v>
          </cell>
          <cell r="R3680" t="str">
            <v/>
          </cell>
          <cell r="T3680" t="str">
            <v>60 - 00011B41518</v>
          </cell>
        </row>
        <row r="3681">
          <cell r="H3681">
            <v>6535</v>
          </cell>
          <cell r="O3681">
            <v>41518</v>
          </cell>
          <cell r="R3681" t="str">
            <v/>
          </cell>
          <cell r="T3681" t="str">
            <v>60 - 00011B41518</v>
          </cell>
        </row>
        <row r="3682">
          <cell r="H3682">
            <v>1684000</v>
          </cell>
          <cell r="O3682">
            <v>41518</v>
          </cell>
          <cell r="R3682" t="str">
            <v/>
          </cell>
          <cell r="T3682" t="str">
            <v>60 - 00011B41518</v>
          </cell>
        </row>
        <row r="3683">
          <cell r="H3683">
            <v>31001</v>
          </cell>
          <cell r="O3683">
            <v>41518</v>
          </cell>
          <cell r="R3683" t="str">
            <v/>
          </cell>
          <cell r="T3683" t="str">
            <v>60 - 00011B41518</v>
          </cell>
        </row>
        <row r="3684">
          <cell r="H3684">
            <v>6801</v>
          </cell>
          <cell r="O3684">
            <v>41518</v>
          </cell>
          <cell r="R3684" t="str">
            <v/>
          </cell>
          <cell r="T3684" t="str">
            <v>60 - 00011B41518</v>
          </cell>
        </row>
        <row r="3685">
          <cell r="H3685">
            <v>40</v>
          </cell>
          <cell r="O3685">
            <v>41518</v>
          </cell>
          <cell r="R3685" t="str">
            <v/>
          </cell>
          <cell r="T3685" t="str">
            <v>60 - 00011B41518</v>
          </cell>
        </row>
        <row r="3686">
          <cell r="H3686">
            <v>5687521</v>
          </cell>
          <cell r="O3686">
            <v>41518</v>
          </cell>
          <cell r="R3686" t="str">
            <v/>
          </cell>
          <cell r="T3686" t="str">
            <v>60 - 00011B41518</v>
          </cell>
        </row>
        <row r="3687">
          <cell r="H3687">
            <v>7727879</v>
          </cell>
          <cell r="O3687">
            <v>41518</v>
          </cell>
          <cell r="R3687" t="str">
            <v/>
          </cell>
          <cell r="T3687" t="str">
            <v>60 - 00011B41518</v>
          </cell>
        </row>
        <row r="3688">
          <cell r="H3688">
            <v>929482</v>
          </cell>
          <cell r="O3688">
            <v>41518</v>
          </cell>
          <cell r="R3688" t="str">
            <v/>
          </cell>
          <cell r="T3688" t="str">
            <v>60 - 00011B41518</v>
          </cell>
        </row>
        <row r="3689">
          <cell r="H3689">
            <v>0</v>
          </cell>
          <cell r="O3689">
            <v>41518</v>
          </cell>
          <cell r="R3689" t="str">
            <v/>
          </cell>
          <cell r="T3689" t="str">
            <v>60 - 00011B41518</v>
          </cell>
        </row>
        <row r="3690">
          <cell r="H3690">
            <v>0</v>
          </cell>
          <cell r="O3690">
            <v>41518</v>
          </cell>
          <cell r="R3690" t="str">
            <v/>
          </cell>
          <cell r="T3690" t="str">
            <v>60 - 00011R41518</v>
          </cell>
        </row>
        <row r="3691">
          <cell r="H3691">
            <v>0</v>
          </cell>
          <cell r="O3691">
            <v>41518</v>
          </cell>
          <cell r="R3691" t="str">
            <v/>
          </cell>
          <cell r="T3691" t="str">
            <v>60 - 00011R41518</v>
          </cell>
        </row>
        <row r="3692">
          <cell r="H3692">
            <v>0</v>
          </cell>
          <cell r="O3692">
            <v>41518</v>
          </cell>
          <cell r="R3692" t="str">
            <v/>
          </cell>
          <cell r="T3692" t="str">
            <v>60 - 00011R41518</v>
          </cell>
        </row>
        <row r="3693">
          <cell r="H3693">
            <v>0</v>
          </cell>
          <cell r="O3693">
            <v>41518</v>
          </cell>
          <cell r="R3693" t="str">
            <v/>
          </cell>
          <cell r="T3693" t="str">
            <v>60 - 00011R41518</v>
          </cell>
        </row>
        <row r="3694">
          <cell r="H3694">
            <v>0</v>
          </cell>
          <cell r="O3694">
            <v>41518</v>
          </cell>
          <cell r="R3694" t="str">
            <v/>
          </cell>
          <cell r="T3694" t="str">
            <v>60 - 00011R41518</v>
          </cell>
        </row>
        <row r="3695">
          <cell r="H3695">
            <v>0</v>
          </cell>
          <cell r="O3695">
            <v>41518</v>
          </cell>
          <cell r="R3695" t="str">
            <v/>
          </cell>
          <cell r="T3695" t="str">
            <v>60 - 00011R41518</v>
          </cell>
        </row>
        <row r="3696">
          <cell r="H3696">
            <v>0</v>
          </cell>
          <cell r="O3696">
            <v>41518</v>
          </cell>
          <cell r="R3696" t="str">
            <v/>
          </cell>
          <cell r="T3696" t="str">
            <v>60 - 00011R41518</v>
          </cell>
        </row>
        <row r="3697">
          <cell r="H3697">
            <v>0</v>
          </cell>
          <cell r="O3697">
            <v>41518</v>
          </cell>
          <cell r="R3697" t="str">
            <v/>
          </cell>
          <cell r="T3697" t="str">
            <v>60 - 00011R41518</v>
          </cell>
        </row>
        <row r="3698">
          <cell r="H3698">
            <v>0</v>
          </cell>
          <cell r="O3698">
            <v>41518</v>
          </cell>
          <cell r="R3698" t="str">
            <v/>
          </cell>
          <cell r="T3698" t="str">
            <v>60 - 00011R41518</v>
          </cell>
        </row>
        <row r="3699">
          <cell r="H3699">
            <v>2567200</v>
          </cell>
          <cell r="O3699">
            <v>41518</v>
          </cell>
          <cell r="R3699" t="str">
            <v/>
          </cell>
          <cell r="T3699" t="str">
            <v>60 - 00011R41518</v>
          </cell>
        </row>
        <row r="3700">
          <cell r="H3700">
            <v>18082885</v>
          </cell>
          <cell r="O3700">
            <v>41518</v>
          </cell>
          <cell r="R3700" t="str">
            <v/>
          </cell>
          <cell r="T3700" t="str">
            <v>60 - 00011R41518</v>
          </cell>
        </row>
        <row r="3701">
          <cell r="H3701">
            <v>725</v>
          </cell>
          <cell r="O3701">
            <v>41518</v>
          </cell>
          <cell r="R3701" t="str">
            <v/>
          </cell>
          <cell r="T3701" t="str">
            <v>60 - 00011R41518</v>
          </cell>
        </row>
        <row r="3702">
          <cell r="H3702">
            <v>21177</v>
          </cell>
          <cell r="O3702">
            <v>41518</v>
          </cell>
          <cell r="R3702" t="str">
            <v/>
          </cell>
          <cell r="T3702" t="str">
            <v>60 - 00011R41518</v>
          </cell>
        </row>
        <row r="3703">
          <cell r="H3703">
            <v>79851</v>
          </cell>
          <cell r="O3703">
            <v>41518</v>
          </cell>
          <cell r="R3703" t="str">
            <v/>
          </cell>
          <cell r="T3703" t="str">
            <v>60 - 00011R41518</v>
          </cell>
        </row>
        <row r="3704">
          <cell r="H3704">
            <v>0</v>
          </cell>
          <cell r="O3704">
            <v>41518</v>
          </cell>
          <cell r="R3704" t="str">
            <v/>
          </cell>
          <cell r="T3704" t="str">
            <v>60 - 00011R41518</v>
          </cell>
        </row>
        <row r="3705">
          <cell r="H3705">
            <v>0</v>
          </cell>
          <cell r="O3705">
            <v>41518</v>
          </cell>
          <cell r="R3705" t="str">
            <v/>
          </cell>
          <cell r="T3705" t="str">
            <v>60 - 00011R41518</v>
          </cell>
        </row>
        <row r="3706">
          <cell r="H3706">
            <v>0</v>
          </cell>
          <cell r="O3706">
            <v>41518</v>
          </cell>
          <cell r="R3706" t="str">
            <v/>
          </cell>
          <cell r="T3706" t="str">
            <v>60 - 00011R41518</v>
          </cell>
        </row>
        <row r="3707">
          <cell r="H3707">
            <v>11548</v>
          </cell>
          <cell r="O3707">
            <v>41518</v>
          </cell>
          <cell r="R3707" t="str">
            <v/>
          </cell>
          <cell r="T3707" t="str">
            <v>60 - 00011R41518</v>
          </cell>
        </row>
        <row r="3708">
          <cell r="H3708">
            <v>44020</v>
          </cell>
          <cell r="O3708">
            <v>41518</v>
          </cell>
          <cell r="R3708" t="str">
            <v/>
          </cell>
          <cell r="T3708" t="str">
            <v>60 - 00011R41518</v>
          </cell>
        </row>
        <row r="3709">
          <cell r="H3709">
            <v>0</v>
          </cell>
          <cell r="O3709">
            <v>41518</v>
          </cell>
          <cell r="R3709" t="str">
            <v/>
          </cell>
          <cell r="T3709" t="str">
            <v>60 - 00011R41518</v>
          </cell>
        </row>
        <row r="3710">
          <cell r="H3710">
            <v>0</v>
          </cell>
          <cell r="O3710">
            <v>41518</v>
          </cell>
          <cell r="R3710" t="str">
            <v/>
          </cell>
          <cell r="T3710" t="str">
            <v>60 - 00011R41518</v>
          </cell>
        </row>
        <row r="3711">
          <cell r="H3711">
            <v>0</v>
          </cell>
          <cell r="O3711">
            <v>41518</v>
          </cell>
          <cell r="R3711" t="str">
            <v/>
          </cell>
          <cell r="T3711" t="str">
            <v>60 - 00011R41518</v>
          </cell>
        </row>
        <row r="3712">
          <cell r="H3712">
            <v>0</v>
          </cell>
          <cell r="O3712">
            <v>41518</v>
          </cell>
          <cell r="R3712" t="str">
            <v/>
          </cell>
          <cell r="T3712" t="str">
            <v>60 - 00011R41518</v>
          </cell>
        </row>
        <row r="3713">
          <cell r="H3713">
            <v>0</v>
          </cell>
          <cell r="O3713">
            <v>41518</v>
          </cell>
          <cell r="R3713" t="str">
            <v/>
          </cell>
          <cell r="T3713" t="str">
            <v>60 - 00011R41518</v>
          </cell>
        </row>
        <row r="3714">
          <cell r="H3714">
            <v>14665896</v>
          </cell>
          <cell r="O3714">
            <v>41518</v>
          </cell>
          <cell r="R3714" t="str">
            <v/>
          </cell>
          <cell r="T3714" t="str">
            <v>60 - 00011R41518</v>
          </cell>
        </row>
        <row r="3715">
          <cell r="H3715">
            <v>0</v>
          </cell>
          <cell r="O3715">
            <v>41518</v>
          </cell>
          <cell r="R3715" t="str">
            <v/>
          </cell>
          <cell r="T3715" t="str">
            <v>60 - 00011R41518</v>
          </cell>
        </row>
        <row r="3716">
          <cell r="H3716">
            <v>0</v>
          </cell>
          <cell r="O3716">
            <v>41518</v>
          </cell>
          <cell r="R3716" t="str">
            <v/>
          </cell>
          <cell r="T3716" t="str">
            <v>60 - 00011R41518</v>
          </cell>
        </row>
        <row r="3717">
          <cell r="H3717">
            <v>0</v>
          </cell>
          <cell r="O3717">
            <v>41518</v>
          </cell>
          <cell r="R3717" t="str">
            <v/>
          </cell>
          <cell r="T3717" t="str">
            <v>60 - 00011R41518</v>
          </cell>
        </row>
        <row r="3718">
          <cell r="H3718">
            <v>0</v>
          </cell>
          <cell r="O3718">
            <v>41518</v>
          </cell>
          <cell r="R3718" t="str">
            <v/>
          </cell>
          <cell r="T3718" t="str">
            <v>60 - 00011R41518</v>
          </cell>
        </row>
        <row r="3719">
          <cell r="H3719">
            <v>0</v>
          </cell>
          <cell r="O3719">
            <v>41518</v>
          </cell>
          <cell r="R3719" t="str">
            <v/>
          </cell>
          <cell r="T3719" t="str">
            <v>60 - 00011R41518</v>
          </cell>
        </row>
        <row r="3720">
          <cell r="H3720">
            <v>0</v>
          </cell>
          <cell r="O3720">
            <v>41518</v>
          </cell>
          <cell r="R3720" t="str">
            <v/>
          </cell>
          <cell r="T3720" t="str">
            <v>60 - 00011R41518</v>
          </cell>
        </row>
        <row r="3721">
          <cell r="H3721">
            <v>-18048000</v>
          </cell>
          <cell r="O3721">
            <v>41518</v>
          </cell>
          <cell r="R3721" t="str">
            <v/>
          </cell>
          <cell r="T3721" t="str">
            <v>60 - 00011U41518</v>
          </cell>
        </row>
        <row r="3722">
          <cell r="H3722">
            <v>0</v>
          </cell>
          <cell r="O3722">
            <v>41518</v>
          </cell>
          <cell r="R3722" t="str">
            <v/>
          </cell>
          <cell r="T3722" t="str">
            <v>60 - 00011R41518</v>
          </cell>
        </row>
        <row r="3723">
          <cell r="H3723">
            <v>0</v>
          </cell>
          <cell r="O3723">
            <v>41518</v>
          </cell>
          <cell r="R3723" t="str">
            <v/>
          </cell>
          <cell r="T3723" t="str">
            <v>60 - 00011R41518</v>
          </cell>
        </row>
        <row r="3724">
          <cell r="H3724">
            <v>0</v>
          </cell>
          <cell r="O3724">
            <v>41518</v>
          </cell>
          <cell r="R3724" t="str">
            <v/>
          </cell>
          <cell r="T3724" t="str">
            <v>60 - 00011R41518</v>
          </cell>
        </row>
        <row r="3725">
          <cell r="H3725">
            <v>33455</v>
          </cell>
          <cell r="O3725">
            <v>41518</v>
          </cell>
          <cell r="R3725" t="str">
            <v/>
          </cell>
          <cell r="T3725" t="str">
            <v>60 - 00011R41518</v>
          </cell>
        </row>
        <row r="3726">
          <cell r="H3726">
            <v>12905</v>
          </cell>
          <cell r="O3726">
            <v>41518</v>
          </cell>
          <cell r="R3726" t="str">
            <v/>
          </cell>
          <cell r="T3726" t="str">
            <v>60 - 00011R41518</v>
          </cell>
        </row>
        <row r="3727">
          <cell r="H3727">
            <v>1621959</v>
          </cell>
          <cell r="O3727">
            <v>41518</v>
          </cell>
          <cell r="R3727" t="str">
            <v/>
          </cell>
          <cell r="T3727" t="str">
            <v>60 - 00011R41518</v>
          </cell>
        </row>
        <row r="3728">
          <cell r="H3728">
            <v>689571</v>
          </cell>
          <cell r="O3728">
            <v>41518</v>
          </cell>
          <cell r="R3728" t="str">
            <v/>
          </cell>
          <cell r="T3728" t="str">
            <v>60 - 00011R41518</v>
          </cell>
        </row>
        <row r="3729">
          <cell r="H3729">
            <v>31</v>
          </cell>
          <cell r="O3729">
            <v>41518</v>
          </cell>
          <cell r="R3729" t="str">
            <v/>
          </cell>
          <cell r="T3729" t="str">
            <v>60 - 00011R41518</v>
          </cell>
        </row>
        <row r="3730">
          <cell r="H3730">
            <v>63084</v>
          </cell>
          <cell r="O3730">
            <v>41518</v>
          </cell>
          <cell r="R3730" t="str">
            <v/>
          </cell>
          <cell r="T3730" t="str">
            <v>60 - 00011R41518</v>
          </cell>
        </row>
        <row r="3731">
          <cell r="H3731">
            <v>703651</v>
          </cell>
          <cell r="O3731">
            <v>41518</v>
          </cell>
          <cell r="R3731" t="str">
            <v/>
          </cell>
          <cell r="T3731" t="str">
            <v>60 - 00011R41518</v>
          </cell>
        </row>
        <row r="3732">
          <cell r="H3732">
            <v>2344</v>
          </cell>
          <cell r="O3732">
            <v>41518</v>
          </cell>
          <cell r="R3732" t="str">
            <v/>
          </cell>
          <cell r="T3732" t="str">
            <v>60 - 00011R41518</v>
          </cell>
        </row>
        <row r="3733">
          <cell r="H3733">
            <v>0</v>
          </cell>
          <cell r="O3733">
            <v>41518</v>
          </cell>
          <cell r="R3733" t="str">
            <v/>
          </cell>
          <cell r="T3733" t="str">
            <v>60 - 00011R41518</v>
          </cell>
        </row>
        <row r="3734">
          <cell r="H3734">
            <v>-795000</v>
          </cell>
          <cell r="O3734">
            <v>41518</v>
          </cell>
          <cell r="R3734" t="str">
            <v/>
          </cell>
          <cell r="T3734" t="str">
            <v>60 - 00011U41518</v>
          </cell>
        </row>
        <row r="3735">
          <cell r="H3735">
            <v>0</v>
          </cell>
          <cell r="O3735">
            <v>41518</v>
          </cell>
          <cell r="R3735" t="str">
            <v/>
          </cell>
          <cell r="T3735" t="str">
            <v>60 - 00012B41518</v>
          </cell>
        </row>
        <row r="3736">
          <cell r="H3736">
            <v>112326763</v>
          </cell>
          <cell r="O3736">
            <v>41518</v>
          </cell>
          <cell r="R3736" t="str">
            <v/>
          </cell>
          <cell r="T3736" t="str">
            <v>60 - 00012B41518</v>
          </cell>
        </row>
        <row r="3737">
          <cell r="H3737">
            <v>188442</v>
          </cell>
          <cell r="O3737">
            <v>41518</v>
          </cell>
          <cell r="R3737" t="str">
            <v/>
          </cell>
          <cell r="T3737" t="str">
            <v>60 - 00012B41518</v>
          </cell>
        </row>
        <row r="3738">
          <cell r="H3738">
            <v>36466</v>
          </cell>
          <cell r="O3738">
            <v>41518</v>
          </cell>
          <cell r="R3738" t="str">
            <v/>
          </cell>
          <cell r="T3738" t="str">
            <v>60 - 00012B41518</v>
          </cell>
        </row>
        <row r="3739">
          <cell r="H3739">
            <v>3711149</v>
          </cell>
          <cell r="O3739">
            <v>41518</v>
          </cell>
          <cell r="R3739" t="str">
            <v/>
          </cell>
          <cell r="T3739" t="str">
            <v>60 - 00012B41518</v>
          </cell>
        </row>
        <row r="3740">
          <cell r="H3740">
            <v>88739</v>
          </cell>
          <cell r="O3740">
            <v>41518</v>
          </cell>
          <cell r="R3740" t="str">
            <v/>
          </cell>
          <cell r="T3740" t="str">
            <v>60 - 00012B41518</v>
          </cell>
        </row>
        <row r="3741">
          <cell r="H3741">
            <v>98499</v>
          </cell>
          <cell r="O3741">
            <v>41518</v>
          </cell>
          <cell r="R3741" t="str">
            <v/>
          </cell>
          <cell r="T3741" t="str">
            <v>60 - 00012B41518</v>
          </cell>
        </row>
        <row r="3742">
          <cell r="H3742">
            <v>642862</v>
          </cell>
          <cell r="O3742">
            <v>41518</v>
          </cell>
          <cell r="R3742" t="str">
            <v/>
          </cell>
          <cell r="T3742" t="str">
            <v>60 - 00012B41518</v>
          </cell>
        </row>
        <row r="3743">
          <cell r="H3743">
            <v>0</v>
          </cell>
          <cell r="O3743">
            <v>41518</v>
          </cell>
          <cell r="R3743" t="str">
            <v/>
          </cell>
          <cell r="T3743" t="str">
            <v>60 - 00012B41518</v>
          </cell>
        </row>
        <row r="3744">
          <cell r="H3744">
            <v>0</v>
          </cell>
          <cell r="O3744">
            <v>41518</v>
          </cell>
          <cell r="R3744" t="str">
            <v>41518WARESAGA</v>
          </cell>
          <cell r="T3744" t="str">
            <v>60 - 00012R41518</v>
          </cell>
        </row>
        <row r="3745">
          <cell r="H3745">
            <v>0</v>
          </cell>
          <cell r="O3745">
            <v>41518</v>
          </cell>
          <cell r="R3745" t="str">
            <v>41518WARESAGA</v>
          </cell>
          <cell r="T3745" t="str">
            <v>60 - 00012R41518</v>
          </cell>
        </row>
        <row r="3746">
          <cell r="H3746">
            <v>0</v>
          </cell>
          <cell r="O3746">
            <v>41518</v>
          </cell>
          <cell r="R3746" t="str">
            <v>41518WARESAGA</v>
          </cell>
          <cell r="T3746" t="str">
            <v>60 - 00012R41518</v>
          </cell>
        </row>
        <row r="3747">
          <cell r="H3747">
            <v>0</v>
          </cell>
          <cell r="O3747">
            <v>41518</v>
          </cell>
          <cell r="R3747" t="str">
            <v>41518WARESAGA</v>
          </cell>
          <cell r="T3747" t="str">
            <v>60 - 00012R41518</v>
          </cell>
        </row>
        <row r="3748">
          <cell r="H3748">
            <v>0</v>
          </cell>
          <cell r="O3748">
            <v>41518</v>
          </cell>
          <cell r="R3748" t="str">
            <v>41518WARESAGA</v>
          </cell>
          <cell r="T3748" t="str">
            <v>60 - 00012R41518</v>
          </cell>
        </row>
        <row r="3749">
          <cell r="H3749">
            <v>0</v>
          </cell>
          <cell r="O3749">
            <v>41518</v>
          </cell>
          <cell r="R3749" t="str">
            <v>41518WARESAGA</v>
          </cell>
          <cell r="T3749" t="str">
            <v>60 - 00012R41518</v>
          </cell>
        </row>
        <row r="3750">
          <cell r="H3750">
            <v>0</v>
          </cell>
          <cell r="O3750">
            <v>41518</v>
          </cell>
          <cell r="R3750" t="str">
            <v>41518WARESAGA</v>
          </cell>
          <cell r="T3750" t="str">
            <v>60 - 00012R41518</v>
          </cell>
        </row>
        <row r="3751">
          <cell r="H3751">
            <v>112326799</v>
          </cell>
          <cell r="O3751">
            <v>41518</v>
          </cell>
          <cell r="R3751" t="str">
            <v>41518WARES16</v>
          </cell>
          <cell r="T3751" t="str">
            <v>60 - 00012R41518</v>
          </cell>
        </row>
        <row r="3752">
          <cell r="H3752">
            <v>188443</v>
          </cell>
          <cell r="O3752">
            <v>41518</v>
          </cell>
          <cell r="R3752" t="str">
            <v>41518WARES18</v>
          </cell>
          <cell r="T3752" t="str">
            <v>60 - 00012R41518</v>
          </cell>
        </row>
        <row r="3753">
          <cell r="H3753">
            <v>36466</v>
          </cell>
          <cell r="O3753">
            <v>41518</v>
          </cell>
          <cell r="R3753" t="str">
            <v>41518WARES18</v>
          </cell>
          <cell r="T3753" t="str">
            <v>60 - 00012R41518</v>
          </cell>
        </row>
        <row r="3754">
          <cell r="H3754">
            <v>0</v>
          </cell>
          <cell r="O3754">
            <v>41518</v>
          </cell>
          <cell r="R3754" t="str">
            <v>41518WARESAGA</v>
          </cell>
          <cell r="T3754" t="str">
            <v>60 - 00012R41518</v>
          </cell>
        </row>
        <row r="3755">
          <cell r="H3755">
            <v>3711149</v>
          </cell>
          <cell r="O3755">
            <v>41518</v>
          </cell>
          <cell r="R3755" t="str">
            <v>41518WARES17</v>
          </cell>
          <cell r="T3755" t="str">
            <v>60 - 00012R41518</v>
          </cell>
        </row>
        <row r="3756">
          <cell r="H3756">
            <v>88739</v>
          </cell>
          <cell r="O3756">
            <v>41518</v>
          </cell>
          <cell r="R3756" t="str">
            <v>41518WARES15</v>
          </cell>
          <cell r="T3756" t="str">
            <v>60 - 00012R41518</v>
          </cell>
        </row>
        <row r="3757">
          <cell r="H3757">
            <v>98498</v>
          </cell>
          <cell r="O3757">
            <v>41518</v>
          </cell>
          <cell r="R3757" t="str">
            <v>41518WARES16</v>
          </cell>
          <cell r="T3757" t="str">
            <v>60 - 00012R41518</v>
          </cell>
        </row>
        <row r="3758">
          <cell r="H3758">
            <v>642874</v>
          </cell>
          <cell r="O3758">
            <v>41518</v>
          </cell>
          <cell r="R3758" t="str">
            <v>41518WARES24</v>
          </cell>
          <cell r="T3758" t="str">
            <v>60 - 00012R41518</v>
          </cell>
        </row>
        <row r="3759">
          <cell r="H3759">
            <v>0</v>
          </cell>
          <cell r="O3759">
            <v>41518</v>
          </cell>
          <cell r="R3759" t="str">
            <v>41518WARESAGA</v>
          </cell>
          <cell r="T3759" t="str">
            <v>60 - 00012R41518</v>
          </cell>
        </row>
        <row r="3760">
          <cell r="H3760">
            <v>-14233000</v>
          </cell>
          <cell r="O3760">
            <v>41518</v>
          </cell>
          <cell r="R3760" t="str">
            <v>41518WARES88</v>
          </cell>
          <cell r="T3760" t="str">
            <v>60 - 00012U41518</v>
          </cell>
        </row>
        <row r="3761">
          <cell r="H3761">
            <v>0</v>
          </cell>
          <cell r="O3761">
            <v>41518</v>
          </cell>
          <cell r="R3761" t="str">
            <v>41518WARESAGA</v>
          </cell>
          <cell r="T3761" t="str">
            <v>60 - 00012U41518</v>
          </cell>
        </row>
        <row r="3762">
          <cell r="H3762">
            <v>0</v>
          </cell>
          <cell r="O3762">
            <v>41518</v>
          </cell>
          <cell r="R3762" t="str">
            <v/>
          </cell>
          <cell r="T3762" t="str">
            <v>60 - 00012B41518</v>
          </cell>
        </row>
        <row r="3763">
          <cell r="H3763">
            <v>3695833</v>
          </cell>
          <cell r="O3763">
            <v>41518</v>
          </cell>
          <cell r="R3763" t="str">
            <v/>
          </cell>
          <cell r="T3763" t="str">
            <v>60 - 00012B41518</v>
          </cell>
        </row>
        <row r="3764">
          <cell r="H3764">
            <v>5562</v>
          </cell>
          <cell r="O3764">
            <v>41518</v>
          </cell>
          <cell r="R3764" t="str">
            <v/>
          </cell>
          <cell r="T3764" t="str">
            <v>60 - 00012B41518</v>
          </cell>
        </row>
        <row r="3765">
          <cell r="H3765">
            <v>8634882</v>
          </cell>
          <cell r="O3765">
            <v>41518</v>
          </cell>
          <cell r="R3765" t="str">
            <v/>
          </cell>
          <cell r="T3765" t="str">
            <v>60 - 00012B41518</v>
          </cell>
        </row>
        <row r="3766">
          <cell r="H3766">
            <v>46641</v>
          </cell>
          <cell r="O3766">
            <v>41518</v>
          </cell>
          <cell r="R3766" t="str">
            <v/>
          </cell>
          <cell r="T3766" t="str">
            <v>60 - 00012B41518</v>
          </cell>
        </row>
        <row r="3767">
          <cell r="H3767">
            <v>72</v>
          </cell>
          <cell r="O3767">
            <v>41518</v>
          </cell>
          <cell r="R3767" t="str">
            <v/>
          </cell>
          <cell r="T3767" t="str">
            <v>60 - 00012B41518</v>
          </cell>
        </row>
        <row r="3768">
          <cell r="H3768">
            <v>304</v>
          </cell>
          <cell r="O3768">
            <v>41518</v>
          </cell>
          <cell r="R3768" t="str">
            <v/>
          </cell>
          <cell r="T3768" t="str">
            <v>60 - 00012B41518</v>
          </cell>
        </row>
        <row r="3769">
          <cell r="H3769">
            <v>0</v>
          </cell>
          <cell r="O3769">
            <v>41518</v>
          </cell>
          <cell r="R3769" t="str">
            <v/>
          </cell>
          <cell r="T3769" t="str">
            <v>60 - 00012B41518</v>
          </cell>
        </row>
        <row r="3770">
          <cell r="H3770">
            <v>0</v>
          </cell>
          <cell r="O3770">
            <v>41518</v>
          </cell>
          <cell r="R3770" t="str">
            <v>41518WACOMAGA</v>
          </cell>
          <cell r="T3770" t="str">
            <v>60 - 00012R41518</v>
          </cell>
        </row>
        <row r="3771">
          <cell r="H3771">
            <v>0</v>
          </cell>
          <cell r="O3771">
            <v>41518</v>
          </cell>
          <cell r="R3771" t="str">
            <v>41518WACOMAGA</v>
          </cell>
          <cell r="T3771" t="str">
            <v>60 - 00012R41518</v>
          </cell>
        </row>
        <row r="3772">
          <cell r="H3772">
            <v>0</v>
          </cell>
          <cell r="O3772">
            <v>41518</v>
          </cell>
          <cell r="R3772" t="str">
            <v>41518WACOMAGA</v>
          </cell>
          <cell r="T3772" t="str">
            <v>60 - 00012R41518</v>
          </cell>
        </row>
        <row r="3773">
          <cell r="H3773">
            <v>0</v>
          </cell>
          <cell r="O3773">
            <v>41518</v>
          </cell>
          <cell r="R3773" t="str">
            <v>41518WACOMAGA</v>
          </cell>
          <cell r="T3773" t="str">
            <v>60 - 00012R41518</v>
          </cell>
        </row>
        <row r="3774">
          <cell r="H3774">
            <v>0</v>
          </cell>
          <cell r="O3774">
            <v>41518</v>
          </cell>
          <cell r="R3774" t="str">
            <v>41518WACOMAGA</v>
          </cell>
          <cell r="T3774" t="str">
            <v>60 - 00012R41518</v>
          </cell>
        </row>
        <row r="3775">
          <cell r="H3775">
            <v>0</v>
          </cell>
          <cell r="O3775">
            <v>41518</v>
          </cell>
          <cell r="R3775" t="str">
            <v>41518WACOMAGA</v>
          </cell>
          <cell r="T3775" t="str">
            <v>60 - 00012R41518</v>
          </cell>
        </row>
        <row r="3776">
          <cell r="H3776">
            <v>43546366</v>
          </cell>
          <cell r="O3776">
            <v>41518</v>
          </cell>
          <cell r="R3776" t="str">
            <v>41518WACOM24</v>
          </cell>
          <cell r="T3776" t="str">
            <v>60 - 00012R41518</v>
          </cell>
        </row>
        <row r="3777">
          <cell r="H3777">
            <v>92919</v>
          </cell>
          <cell r="O3777">
            <v>41518</v>
          </cell>
          <cell r="R3777" t="str">
            <v>41518WACOM24</v>
          </cell>
          <cell r="T3777" t="str">
            <v>60 - 00012R41518</v>
          </cell>
        </row>
        <row r="3778">
          <cell r="H3778">
            <v>66195034</v>
          </cell>
          <cell r="O3778">
            <v>41518</v>
          </cell>
          <cell r="R3778" t="str">
            <v>41518WACOM36</v>
          </cell>
          <cell r="T3778" t="str">
            <v>60 - 00012R41518</v>
          </cell>
        </row>
        <row r="3779">
          <cell r="H3779">
            <v>17176240</v>
          </cell>
          <cell r="O3779">
            <v>41518</v>
          </cell>
          <cell r="R3779" t="str">
            <v>41518WACOM48T</v>
          </cell>
          <cell r="T3779" t="str">
            <v>60 - 00012R41518</v>
          </cell>
        </row>
        <row r="3780">
          <cell r="H3780">
            <v>0</v>
          </cell>
          <cell r="O3780">
            <v>41518</v>
          </cell>
          <cell r="R3780" t="str">
            <v>41518WACOMAGA</v>
          </cell>
          <cell r="T3780" t="str">
            <v>60 - 00012R41518</v>
          </cell>
        </row>
        <row r="3781">
          <cell r="H3781">
            <v>0</v>
          </cell>
          <cell r="O3781">
            <v>41518</v>
          </cell>
          <cell r="R3781" t="str">
            <v>41518WACOMAGA</v>
          </cell>
          <cell r="T3781" t="str">
            <v>60 - 00012R41518</v>
          </cell>
        </row>
        <row r="3782">
          <cell r="H3782">
            <v>0</v>
          </cell>
          <cell r="O3782">
            <v>41518</v>
          </cell>
          <cell r="R3782" t="str">
            <v>41518WACOMAGA</v>
          </cell>
          <cell r="T3782" t="str">
            <v>60 - 00012R41518</v>
          </cell>
        </row>
        <row r="3783">
          <cell r="H3783">
            <v>0</v>
          </cell>
          <cell r="O3783">
            <v>41518</v>
          </cell>
          <cell r="R3783" t="str">
            <v>41518WACOMAGA</v>
          </cell>
          <cell r="T3783" t="str">
            <v>60 - 00012R41518</v>
          </cell>
        </row>
        <row r="3784">
          <cell r="H3784">
            <v>133507</v>
          </cell>
          <cell r="O3784">
            <v>41518</v>
          </cell>
          <cell r="R3784" t="str">
            <v>41518WACOM15</v>
          </cell>
          <cell r="T3784" t="str">
            <v>60 - 00012R41518</v>
          </cell>
        </row>
        <row r="3785">
          <cell r="H3785">
            <v>22168</v>
          </cell>
          <cell r="O3785">
            <v>41518</v>
          </cell>
          <cell r="R3785" t="str">
            <v>41518WACOM54</v>
          </cell>
          <cell r="T3785" t="str">
            <v>60 - 00012R41518</v>
          </cell>
        </row>
        <row r="3786">
          <cell r="H3786">
            <v>0</v>
          </cell>
          <cell r="O3786">
            <v>41518</v>
          </cell>
          <cell r="R3786" t="str">
            <v>41518WACOMAGA</v>
          </cell>
          <cell r="T3786" t="str">
            <v>60 - 00012R41518</v>
          </cell>
        </row>
        <row r="3787">
          <cell r="H3787">
            <v>73112</v>
          </cell>
          <cell r="O3787">
            <v>41518</v>
          </cell>
          <cell r="R3787" t="str">
            <v>41518WACOM24</v>
          </cell>
          <cell r="T3787" t="str">
            <v>60 - 00012R41518</v>
          </cell>
        </row>
        <row r="3788">
          <cell r="H3788">
            <v>3695849</v>
          </cell>
          <cell r="O3788">
            <v>41518</v>
          </cell>
          <cell r="R3788" t="str">
            <v>41518WACOM24</v>
          </cell>
          <cell r="T3788" t="str">
            <v>60 - 00012R41518</v>
          </cell>
        </row>
        <row r="3789">
          <cell r="H3789">
            <v>5562</v>
          </cell>
          <cell r="O3789">
            <v>41518</v>
          </cell>
          <cell r="R3789" t="str">
            <v>41518WACOM24</v>
          </cell>
          <cell r="T3789" t="str">
            <v>60 - 00012R41518</v>
          </cell>
        </row>
        <row r="3790">
          <cell r="H3790">
            <v>8634882</v>
          </cell>
          <cell r="O3790">
            <v>41518</v>
          </cell>
          <cell r="R3790" t="str">
            <v>41518WACOM36</v>
          </cell>
          <cell r="T3790" t="str">
            <v>60 - 00012R41518</v>
          </cell>
        </row>
        <row r="3791">
          <cell r="H3791">
            <v>46641</v>
          </cell>
          <cell r="O3791">
            <v>41518</v>
          </cell>
          <cell r="R3791" t="str">
            <v>41518WACOM15</v>
          </cell>
          <cell r="T3791" t="str">
            <v>60 - 00012R41518</v>
          </cell>
        </row>
        <row r="3792">
          <cell r="H3792">
            <v>12857</v>
          </cell>
          <cell r="O3792">
            <v>41518</v>
          </cell>
          <cell r="R3792" t="str">
            <v>41518WACOM24</v>
          </cell>
          <cell r="T3792" t="str">
            <v>60 - 00012R41518</v>
          </cell>
        </row>
        <row r="3793">
          <cell r="H3793">
            <v>0</v>
          </cell>
          <cell r="O3793">
            <v>41518</v>
          </cell>
          <cell r="R3793" t="str">
            <v>41518WACOMAGA</v>
          </cell>
          <cell r="T3793" t="str">
            <v>60 - 00012R41518</v>
          </cell>
        </row>
        <row r="3794">
          <cell r="H3794">
            <v>120720</v>
          </cell>
          <cell r="O3794">
            <v>41518</v>
          </cell>
          <cell r="R3794" t="str">
            <v>41518WACOM36</v>
          </cell>
          <cell r="T3794" t="str">
            <v>60 - 00012R41518</v>
          </cell>
        </row>
        <row r="3795">
          <cell r="H3795">
            <v>0</v>
          </cell>
          <cell r="O3795">
            <v>41518</v>
          </cell>
          <cell r="R3795" t="str">
            <v>41518WACOMAGA</v>
          </cell>
          <cell r="T3795" t="str">
            <v>60 - 00012R41518</v>
          </cell>
        </row>
        <row r="3796">
          <cell r="H3796">
            <v>3968000</v>
          </cell>
          <cell r="O3796">
            <v>41518</v>
          </cell>
          <cell r="R3796" t="str">
            <v>41518WACOM88</v>
          </cell>
          <cell r="T3796" t="str">
            <v>60 - 00012U41518</v>
          </cell>
        </row>
        <row r="3797">
          <cell r="H3797">
            <v>0</v>
          </cell>
          <cell r="O3797">
            <v>41518</v>
          </cell>
          <cell r="R3797" t="str">
            <v/>
          </cell>
          <cell r="T3797" t="str">
            <v>60 - 00012B41518</v>
          </cell>
        </row>
        <row r="3798">
          <cell r="H3798">
            <v>276748</v>
          </cell>
          <cell r="O3798">
            <v>41518</v>
          </cell>
          <cell r="R3798" t="str">
            <v/>
          </cell>
          <cell r="T3798" t="str">
            <v>60 - 00012B41518</v>
          </cell>
        </row>
        <row r="3799">
          <cell r="H3799">
            <v>572</v>
          </cell>
          <cell r="O3799">
            <v>41518</v>
          </cell>
          <cell r="R3799" t="str">
            <v/>
          </cell>
          <cell r="T3799" t="str">
            <v>60 - 00012B41518</v>
          </cell>
        </row>
        <row r="3800">
          <cell r="H3800">
            <v>630280</v>
          </cell>
          <cell r="O3800">
            <v>41518</v>
          </cell>
          <cell r="R3800" t="str">
            <v/>
          </cell>
          <cell r="T3800" t="str">
            <v>60 - 00012B41518</v>
          </cell>
        </row>
        <row r="3801">
          <cell r="H3801">
            <v>2380</v>
          </cell>
          <cell r="O3801">
            <v>41518</v>
          </cell>
          <cell r="R3801" t="str">
            <v/>
          </cell>
          <cell r="T3801" t="str">
            <v>60 - 00012B41518</v>
          </cell>
        </row>
        <row r="3802">
          <cell r="H3802">
            <v>0</v>
          </cell>
          <cell r="O3802">
            <v>41518</v>
          </cell>
          <cell r="R3802" t="str">
            <v/>
          </cell>
          <cell r="T3802" t="str">
            <v>60 - 00012B41518</v>
          </cell>
        </row>
        <row r="3803">
          <cell r="H3803">
            <v>0</v>
          </cell>
          <cell r="O3803">
            <v>41518</v>
          </cell>
          <cell r="R3803" t="str">
            <v>41518WAINDAGA</v>
          </cell>
          <cell r="T3803" t="str">
            <v>60 - 00012R41518</v>
          </cell>
        </row>
        <row r="3804">
          <cell r="H3804">
            <v>0</v>
          </cell>
          <cell r="O3804">
            <v>41518</v>
          </cell>
          <cell r="R3804" t="str">
            <v>41518WAINDAGA</v>
          </cell>
          <cell r="T3804" t="str">
            <v>60 - 00012R41518</v>
          </cell>
        </row>
        <row r="3805">
          <cell r="H3805">
            <v>0</v>
          </cell>
          <cell r="O3805">
            <v>41518</v>
          </cell>
          <cell r="R3805" t="str">
            <v>41518WAINDAGA</v>
          </cell>
          <cell r="T3805" t="str">
            <v>60 - 00012R41518</v>
          </cell>
        </row>
        <row r="3806">
          <cell r="H3806">
            <v>0</v>
          </cell>
          <cell r="O3806">
            <v>41518</v>
          </cell>
          <cell r="R3806" t="str">
            <v>41518WAINDAGA</v>
          </cell>
          <cell r="T3806" t="str">
            <v>60 - 00012R41518</v>
          </cell>
        </row>
        <row r="3807">
          <cell r="H3807">
            <v>0</v>
          </cell>
          <cell r="O3807">
            <v>41518</v>
          </cell>
          <cell r="R3807" t="str">
            <v>41518WAINDAGA</v>
          </cell>
          <cell r="T3807" t="str">
            <v>60 - 00012R41518</v>
          </cell>
        </row>
        <row r="3808">
          <cell r="H3808">
            <v>1337570</v>
          </cell>
          <cell r="O3808">
            <v>41518</v>
          </cell>
          <cell r="R3808" t="str">
            <v>41518WAIND24</v>
          </cell>
          <cell r="T3808" t="str">
            <v>60 - 00012R41518</v>
          </cell>
        </row>
        <row r="3809">
          <cell r="H3809">
            <v>2776</v>
          </cell>
          <cell r="O3809">
            <v>41518</v>
          </cell>
          <cell r="R3809" t="str">
            <v>41518WAIND24</v>
          </cell>
          <cell r="T3809" t="str">
            <v>60 - 00012R41518</v>
          </cell>
        </row>
        <row r="3810">
          <cell r="H3810">
            <v>9283760</v>
          </cell>
          <cell r="O3810">
            <v>41518</v>
          </cell>
          <cell r="R3810" t="str">
            <v>41518WAIND36</v>
          </cell>
          <cell r="T3810" t="str">
            <v>60 - 00012R41518</v>
          </cell>
        </row>
        <row r="3811">
          <cell r="H3811">
            <v>58470750</v>
          </cell>
          <cell r="O3811">
            <v>41518</v>
          </cell>
          <cell r="R3811" t="str">
            <v>41518WAIND48T</v>
          </cell>
          <cell r="T3811" t="str">
            <v>60 - 00012R41518</v>
          </cell>
        </row>
        <row r="3812">
          <cell r="H3812">
            <v>9977</v>
          </cell>
          <cell r="O3812">
            <v>41518</v>
          </cell>
          <cell r="R3812" t="str">
            <v>41518WAIND15</v>
          </cell>
          <cell r="T3812" t="str">
            <v>60 - 00012R41518</v>
          </cell>
        </row>
        <row r="3813">
          <cell r="H3813">
            <v>97000</v>
          </cell>
          <cell r="O3813">
            <v>41518</v>
          </cell>
          <cell r="R3813" t="str">
            <v>41518WAIND47</v>
          </cell>
          <cell r="T3813" t="str">
            <v>60 - 00012R41518</v>
          </cell>
        </row>
        <row r="3814">
          <cell r="H3814">
            <v>276749</v>
          </cell>
          <cell r="O3814">
            <v>41518</v>
          </cell>
          <cell r="R3814" t="str">
            <v>41518WAIND24</v>
          </cell>
          <cell r="T3814" t="str">
            <v>60 - 00012R41518</v>
          </cell>
        </row>
        <row r="3815">
          <cell r="H3815">
            <v>572</v>
          </cell>
          <cell r="O3815">
            <v>41518</v>
          </cell>
          <cell r="R3815" t="str">
            <v>41518WAIND24</v>
          </cell>
          <cell r="T3815" t="str">
            <v>60 - 00012R41518</v>
          </cell>
        </row>
        <row r="3816">
          <cell r="H3816">
            <v>630280</v>
          </cell>
          <cell r="O3816">
            <v>41518</v>
          </cell>
          <cell r="R3816" t="str">
            <v>41518WAIND36</v>
          </cell>
          <cell r="T3816" t="str">
            <v>60 - 00012R41518</v>
          </cell>
        </row>
        <row r="3817">
          <cell r="H3817">
            <v>2380</v>
          </cell>
          <cell r="O3817">
            <v>41518</v>
          </cell>
          <cell r="R3817" t="str">
            <v>41518WAIND15</v>
          </cell>
          <cell r="T3817" t="str">
            <v>60 - 00012R41518</v>
          </cell>
        </row>
        <row r="3818">
          <cell r="H3818">
            <v>0</v>
          </cell>
          <cell r="O3818">
            <v>41518</v>
          </cell>
          <cell r="R3818" t="str">
            <v>41518WAINDAGA</v>
          </cell>
          <cell r="T3818" t="str">
            <v>60 - 00012R41518</v>
          </cell>
        </row>
        <row r="3819">
          <cell r="H3819">
            <v>2518000</v>
          </cell>
          <cell r="O3819">
            <v>41518</v>
          </cell>
          <cell r="R3819" t="str">
            <v>41518WAIND88</v>
          </cell>
          <cell r="T3819" t="str">
            <v>60 - 00012U41518</v>
          </cell>
        </row>
        <row r="3820">
          <cell r="H3820">
            <v>0</v>
          </cell>
          <cell r="O3820">
            <v>41518</v>
          </cell>
          <cell r="R3820" t="str">
            <v/>
          </cell>
          <cell r="T3820" t="str">
            <v>60 - 00012B41518</v>
          </cell>
        </row>
        <row r="3821">
          <cell r="H3821">
            <v>24053449</v>
          </cell>
          <cell r="O3821">
            <v>41518</v>
          </cell>
          <cell r="R3821" t="str">
            <v/>
          </cell>
          <cell r="T3821" t="str">
            <v>60 - 00012B41518</v>
          </cell>
        </row>
        <row r="3822">
          <cell r="H3822">
            <v>-1199208</v>
          </cell>
          <cell r="O3822">
            <v>41518</v>
          </cell>
          <cell r="R3822" t="str">
            <v/>
          </cell>
          <cell r="T3822" t="str">
            <v>60 - 00012B41518</v>
          </cell>
        </row>
        <row r="3823">
          <cell r="H3823">
            <v>1248</v>
          </cell>
          <cell r="O3823">
            <v>41518</v>
          </cell>
          <cell r="R3823" t="str">
            <v/>
          </cell>
          <cell r="T3823" t="str">
            <v>60 - 00012B41518</v>
          </cell>
        </row>
        <row r="3824">
          <cell r="H3824">
            <v>0</v>
          </cell>
          <cell r="O3824">
            <v>41518</v>
          </cell>
          <cell r="R3824" t="str">
            <v/>
          </cell>
          <cell r="T3824" t="str">
            <v>60 - 00012B41518</v>
          </cell>
        </row>
        <row r="3825">
          <cell r="H3825">
            <v>0</v>
          </cell>
          <cell r="O3825">
            <v>41518</v>
          </cell>
          <cell r="R3825" t="str">
            <v>41518WAINDAGA</v>
          </cell>
          <cell r="T3825" t="str">
            <v>60 - 00012R41518</v>
          </cell>
        </row>
        <row r="3826">
          <cell r="H3826">
            <v>0</v>
          </cell>
          <cell r="O3826">
            <v>41518</v>
          </cell>
          <cell r="R3826" t="str">
            <v>41518WAINDAGA</v>
          </cell>
          <cell r="T3826" t="str">
            <v>60 - 00012R41518</v>
          </cell>
        </row>
        <row r="3827">
          <cell r="H3827">
            <v>0</v>
          </cell>
          <cell r="O3827">
            <v>41518</v>
          </cell>
          <cell r="R3827" t="str">
            <v>41518WAINDAGA</v>
          </cell>
          <cell r="T3827" t="str">
            <v>60 - 00012R41518</v>
          </cell>
        </row>
        <row r="3828">
          <cell r="H3828">
            <v>0</v>
          </cell>
          <cell r="O3828">
            <v>41518</v>
          </cell>
          <cell r="R3828" t="str">
            <v>41518WAINDAGA</v>
          </cell>
          <cell r="T3828" t="str">
            <v>60 - 00012R41518</v>
          </cell>
        </row>
        <row r="3829">
          <cell r="H3829">
            <v>0</v>
          </cell>
          <cell r="O3829">
            <v>41518</v>
          </cell>
          <cell r="R3829" t="str">
            <v>41518WAINDAGA</v>
          </cell>
          <cell r="T3829" t="str">
            <v>60 - 00012R41518</v>
          </cell>
        </row>
        <row r="3830">
          <cell r="H3830">
            <v>24053467</v>
          </cell>
          <cell r="O3830">
            <v>41518</v>
          </cell>
          <cell r="R3830" t="str">
            <v>41518WAIND40</v>
          </cell>
          <cell r="T3830" t="str">
            <v>60 - 00012R41518</v>
          </cell>
        </row>
        <row r="3831">
          <cell r="H3831">
            <v>1029719</v>
          </cell>
          <cell r="O3831">
            <v>41518</v>
          </cell>
          <cell r="R3831" t="str">
            <v>41518WAIND40</v>
          </cell>
          <cell r="T3831" t="str">
            <v>60 - 00012R41518</v>
          </cell>
        </row>
        <row r="3832">
          <cell r="H3832">
            <v>0</v>
          </cell>
          <cell r="O3832">
            <v>41518</v>
          </cell>
          <cell r="R3832" t="str">
            <v>41518WAINDAGA</v>
          </cell>
          <cell r="T3832" t="str">
            <v>60 - 00012R41518</v>
          </cell>
        </row>
        <row r="3833">
          <cell r="H3833">
            <v>0</v>
          </cell>
          <cell r="O3833">
            <v>41518</v>
          </cell>
          <cell r="R3833" t="str">
            <v>41518WAINDAGA</v>
          </cell>
          <cell r="T3833" t="str">
            <v>60 - 00012R41518</v>
          </cell>
        </row>
        <row r="3834">
          <cell r="H3834">
            <v>0</v>
          </cell>
          <cell r="O3834">
            <v>41518</v>
          </cell>
          <cell r="R3834" t="str">
            <v>41518WAINDAGA</v>
          </cell>
          <cell r="T3834" t="str">
            <v>60 - 00012R41518</v>
          </cell>
        </row>
        <row r="3835">
          <cell r="H3835">
            <v>0</v>
          </cell>
          <cell r="O3835">
            <v>41518</v>
          </cell>
          <cell r="R3835" t="str">
            <v>41518WAINDAGA</v>
          </cell>
          <cell r="T3835" t="str">
            <v>60 - 00012R41518</v>
          </cell>
        </row>
        <row r="3836">
          <cell r="H3836">
            <v>4052</v>
          </cell>
          <cell r="O3836">
            <v>41518</v>
          </cell>
          <cell r="R3836" t="str">
            <v>41518WAIND40</v>
          </cell>
          <cell r="T3836" t="str">
            <v>60 - 00012R41518</v>
          </cell>
        </row>
        <row r="3837">
          <cell r="H3837">
            <v>0</v>
          </cell>
          <cell r="O3837">
            <v>41518</v>
          </cell>
          <cell r="R3837" t="str">
            <v>41518WAINDAGA</v>
          </cell>
          <cell r="T3837" t="str">
            <v>60 - 00012R41518</v>
          </cell>
        </row>
        <row r="3838">
          <cell r="H3838">
            <v>-7047000</v>
          </cell>
          <cell r="O3838">
            <v>41518</v>
          </cell>
          <cell r="R3838" t="str">
            <v>41518WAIND89</v>
          </cell>
          <cell r="T3838" t="str">
            <v>60 - 00012U41518</v>
          </cell>
        </row>
        <row r="3839">
          <cell r="H3839">
            <v>0</v>
          </cell>
          <cell r="O3839">
            <v>41518</v>
          </cell>
          <cell r="R3839" t="str">
            <v>41518WAPSHAGA</v>
          </cell>
          <cell r="T3839" t="str">
            <v>60 - 00012R41518</v>
          </cell>
        </row>
        <row r="3840">
          <cell r="H3840">
            <v>0</v>
          </cell>
          <cell r="O3840">
            <v>41518</v>
          </cell>
          <cell r="R3840" t="str">
            <v>41518WAPSHAGA</v>
          </cell>
          <cell r="T3840" t="str">
            <v>60 - 00012R41518</v>
          </cell>
        </row>
        <row r="3841">
          <cell r="H3841">
            <v>0</v>
          </cell>
          <cell r="O3841">
            <v>41518</v>
          </cell>
          <cell r="R3841" t="str">
            <v>41518WAPSHAGA</v>
          </cell>
          <cell r="T3841" t="str">
            <v>60 - 00012R41518</v>
          </cell>
        </row>
        <row r="3842">
          <cell r="H3842">
            <v>0</v>
          </cell>
          <cell r="O3842">
            <v>41518</v>
          </cell>
          <cell r="R3842" t="str">
            <v>41518WAPSHAGA</v>
          </cell>
          <cell r="T3842" t="str">
            <v>60 - 00012R41518</v>
          </cell>
        </row>
        <row r="3843">
          <cell r="H3843">
            <v>18326</v>
          </cell>
          <cell r="O3843">
            <v>41518</v>
          </cell>
          <cell r="R3843" t="str">
            <v>41518WAPSH52</v>
          </cell>
          <cell r="T3843" t="str">
            <v>60 - 00012R41518</v>
          </cell>
        </row>
        <row r="3844">
          <cell r="H3844">
            <v>289798</v>
          </cell>
          <cell r="O3844">
            <v>41518</v>
          </cell>
          <cell r="R3844" t="str">
            <v>41518WAPSH53</v>
          </cell>
          <cell r="T3844" t="str">
            <v>60 - 00012R41518</v>
          </cell>
        </row>
        <row r="3845">
          <cell r="H3845">
            <v>84165</v>
          </cell>
          <cell r="O3845">
            <v>41518</v>
          </cell>
          <cell r="R3845" t="str">
            <v>41518WAPSH53</v>
          </cell>
          <cell r="T3845" t="str">
            <v>60 - 00012R41518</v>
          </cell>
        </row>
        <row r="3846">
          <cell r="H3846">
            <v>294820</v>
          </cell>
          <cell r="O3846">
            <v>41518</v>
          </cell>
          <cell r="R3846" t="str">
            <v>41518WAPSH51</v>
          </cell>
          <cell r="T3846" t="str">
            <v>60 - 00012R41518</v>
          </cell>
        </row>
        <row r="3847">
          <cell r="H3847">
            <v>161740</v>
          </cell>
          <cell r="O3847">
            <v>41518</v>
          </cell>
          <cell r="R3847" t="str">
            <v>41518WAPSH57</v>
          </cell>
          <cell r="T3847" t="str">
            <v>60 - 00012R41518</v>
          </cell>
        </row>
        <row r="3848">
          <cell r="H3848">
            <v>0</v>
          </cell>
          <cell r="O3848">
            <v>41518</v>
          </cell>
          <cell r="R3848" t="str">
            <v>41518WAPSHAGA</v>
          </cell>
          <cell r="T3848" t="str">
            <v>60 - 00012R41518</v>
          </cell>
        </row>
        <row r="3849">
          <cell r="H3849">
            <v>-163000</v>
          </cell>
          <cell r="O3849">
            <v>41518</v>
          </cell>
          <cell r="R3849" t="str">
            <v>41518WAPSH88</v>
          </cell>
          <cell r="T3849" t="str">
            <v>60 - 00012U41518</v>
          </cell>
        </row>
        <row r="3850">
          <cell r="H3850">
            <v>0</v>
          </cell>
          <cell r="O3850">
            <v>41548</v>
          </cell>
          <cell r="R3850" t="str">
            <v/>
          </cell>
          <cell r="T3850" t="str">
            <v>60 - 00016R41548</v>
          </cell>
        </row>
        <row r="3851">
          <cell r="H3851">
            <v>0</v>
          </cell>
          <cell r="O3851">
            <v>41548</v>
          </cell>
          <cell r="R3851" t="str">
            <v/>
          </cell>
          <cell r="T3851" t="str">
            <v>60 - 00016R41548</v>
          </cell>
        </row>
        <row r="3852">
          <cell r="H3852">
            <v>0</v>
          </cell>
          <cell r="O3852">
            <v>41548</v>
          </cell>
          <cell r="R3852" t="str">
            <v/>
          </cell>
          <cell r="T3852" t="str">
            <v>60 - 00016R41548</v>
          </cell>
        </row>
        <row r="3853">
          <cell r="H3853">
            <v>0</v>
          </cell>
          <cell r="O3853">
            <v>41548</v>
          </cell>
          <cell r="R3853" t="str">
            <v/>
          </cell>
          <cell r="T3853" t="str">
            <v>60 - 00016R41548</v>
          </cell>
        </row>
        <row r="3854">
          <cell r="H3854">
            <v>0</v>
          </cell>
          <cell r="O3854">
            <v>41548</v>
          </cell>
          <cell r="R3854" t="str">
            <v/>
          </cell>
          <cell r="T3854" t="str">
            <v>60 - 00016R41548</v>
          </cell>
        </row>
        <row r="3855">
          <cell r="H3855">
            <v>0</v>
          </cell>
          <cell r="O3855">
            <v>41548</v>
          </cell>
          <cell r="R3855" t="str">
            <v/>
          </cell>
          <cell r="T3855" t="str">
            <v>60 - 00016R41548</v>
          </cell>
        </row>
        <row r="3856">
          <cell r="H3856">
            <v>25954</v>
          </cell>
          <cell r="O3856">
            <v>41548</v>
          </cell>
          <cell r="R3856" t="str">
            <v/>
          </cell>
          <cell r="T3856" t="str">
            <v>60 - 00016R41548</v>
          </cell>
        </row>
        <row r="3857">
          <cell r="H3857">
            <v>7947638</v>
          </cell>
          <cell r="O3857">
            <v>41548</v>
          </cell>
          <cell r="R3857" t="str">
            <v/>
          </cell>
          <cell r="T3857" t="str">
            <v>60 - 00016R41548</v>
          </cell>
        </row>
        <row r="3858">
          <cell r="H3858">
            <v>12206653</v>
          </cell>
          <cell r="O3858">
            <v>41548</v>
          </cell>
          <cell r="R3858" t="str">
            <v/>
          </cell>
          <cell r="T3858" t="str">
            <v>60 - 00016R41548</v>
          </cell>
        </row>
        <row r="3859">
          <cell r="H3859">
            <v>0</v>
          </cell>
          <cell r="O3859">
            <v>41548</v>
          </cell>
          <cell r="R3859" t="str">
            <v/>
          </cell>
          <cell r="T3859" t="str">
            <v>60 - 00016R41548</v>
          </cell>
        </row>
        <row r="3860">
          <cell r="H3860">
            <v>38116</v>
          </cell>
          <cell r="O3860">
            <v>41548</v>
          </cell>
          <cell r="R3860" t="str">
            <v/>
          </cell>
          <cell r="T3860" t="str">
            <v>60 - 00016R41548</v>
          </cell>
        </row>
        <row r="3861">
          <cell r="H3861">
            <v>5593150</v>
          </cell>
          <cell r="O3861">
            <v>41548</v>
          </cell>
          <cell r="R3861" t="str">
            <v/>
          </cell>
          <cell r="T3861" t="str">
            <v>60 - 00016R41548</v>
          </cell>
        </row>
        <row r="3862">
          <cell r="H3862">
            <v>0</v>
          </cell>
          <cell r="O3862">
            <v>41548</v>
          </cell>
          <cell r="R3862" t="str">
            <v/>
          </cell>
          <cell r="T3862" t="str">
            <v>60 - 00016R41548</v>
          </cell>
        </row>
        <row r="3863">
          <cell r="H3863">
            <v>14324</v>
          </cell>
          <cell r="O3863">
            <v>41548</v>
          </cell>
          <cell r="R3863" t="str">
            <v/>
          </cell>
          <cell r="T3863" t="str">
            <v>60 - 00016R41548</v>
          </cell>
        </row>
        <row r="3864">
          <cell r="H3864">
            <v>90325</v>
          </cell>
          <cell r="O3864">
            <v>41548</v>
          </cell>
          <cell r="R3864" t="str">
            <v/>
          </cell>
          <cell r="T3864" t="str">
            <v>60 - 00016R41548</v>
          </cell>
        </row>
        <row r="3865">
          <cell r="H3865">
            <v>62956</v>
          </cell>
          <cell r="O3865">
            <v>41548</v>
          </cell>
          <cell r="R3865" t="str">
            <v/>
          </cell>
          <cell r="T3865" t="str">
            <v>60 - 00016R41548</v>
          </cell>
        </row>
        <row r="3866">
          <cell r="H3866">
            <v>0</v>
          </cell>
          <cell r="O3866">
            <v>41548</v>
          </cell>
          <cell r="R3866" t="str">
            <v/>
          </cell>
          <cell r="T3866" t="str">
            <v>60 - 00016R41548</v>
          </cell>
        </row>
        <row r="3867">
          <cell r="H3867">
            <v>5335000</v>
          </cell>
          <cell r="O3867">
            <v>41548</v>
          </cell>
          <cell r="R3867" t="str">
            <v/>
          </cell>
          <cell r="T3867" t="str">
            <v>60 - 00016U41548</v>
          </cell>
        </row>
        <row r="3868">
          <cell r="H3868">
            <v>0</v>
          </cell>
          <cell r="O3868">
            <v>41548</v>
          </cell>
          <cell r="R3868" t="str">
            <v/>
          </cell>
          <cell r="T3868" t="str">
            <v>60 - 00016U41548</v>
          </cell>
        </row>
        <row r="3869">
          <cell r="H3869">
            <v>0</v>
          </cell>
          <cell r="O3869">
            <v>41548</v>
          </cell>
          <cell r="R3869" t="str">
            <v/>
          </cell>
          <cell r="T3869" t="str">
            <v>60 - 00016R41548</v>
          </cell>
        </row>
        <row r="3870">
          <cell r="H3870">
            <v>0</v>
          </cell>
          <cell r="O3870">
            <v>41548</v>
          </cell>
          <cell r="R3870" t="str">
            <v/>
          </cell>
          <cell r="T3870" t="str">
            <v>60 - 00016R41548</v>
          </cell>
        </row>
        <row r="3871">
          <cell r="H3871">
            <v>0</v>
          </cell>
          <cell r="O3871">
            <v>41548</v>
          </cell>
          <cell r="R3871" t="str">
            <v/>
          </cell>
          <cell r="T3871" t="str">
            <v>60 - 00016R41548</v>
          </cell>
        </row>
        <row r="3872">
          <cell r="H3872">
            <v>0</v>
          </cell>
          <cell r="O3872">
            <v>41548</v>
          </cell>
          <cell r="R3872" t="str">
            <v/>
          </cell>
          <cell r="T3872" t="str">
            <v>60 - 00016R41548</v>
          </cell>
        </row>
        <row r="3873">
          <cell r="H3873">
            <v>0</v>
          </cell>
          <cell r="O3873">
            <v>41548</v>
          </cell>
          <cell r="R3873" t="str">
            <v/>
          </cell>
          <cell r="T3873" t="str">
            <v>60 - 00016R41548</v>
          </cell>
        </row>
        <row r="3874">
          <cell r="H3874">
            <v>0</v>
          </cell>
          <cell r="O3874">
            <v>41548</v>
          </cell>
          <cell r="R3874" t="str">
            <v/>
          </cell>
          <cell r="T3874" t="str">
            <v>60 - 00016R41548</v>
          </cell>
        </row>
        <row r="3875">
          <cell r="H3875">
            <v>6232179</v>
          </cell>
          <cell r="O3875">
            <v>41548</v>
          </cell>
          <cell r="R3875" t="str">
            <v/>
          </cell>
          <cell r="T3875" t="str">
            <v>60 - 00016R41548</v>
          </cell>
        </row>
        <row r="3876">
          <cell r="H3876">
            <v>3994168</v>
          </cell>
          <cell r="O3876">
            <v>41548</v>
          </cell>
          <cell r="R3876" t="str">
            <v/>
          </cell>
          <cell r="T3876" t="str">
            <v>60 - 00016R41548</v>
          </cell>
        </row>
        <row r="3877">
          <cell r="H3877">
            <v>76323</v>
          </cell>
          <cell r="O3877">
            <v>41548</v>
          </cell>
          <cell r="R3877" t="str">
            <v/>
          </cell>
          <cell r="T3877" t="str">
            <v>60 - 00016R41548</v>
          </cell>
        </row>
        <row r="3878">
          <cell r="H3878">
            <v>5582949</v>
          </cell>
          <cell r="O3878">
            <v>41548</v>
          </cell>
          <cell r="R3878" t="str">
            <v/>
          </cell>
          <cell r="T3878" t="str">
            <v>60 - 00016R41548</v>
          </cell>
        </row>
        <row r="3879">
          <cell r="H3879">
            <v>0</v>
          </cell>
          <cell r="O3879">
            <v>41548</v>
          </cell>
          <cell r="R3879" t="str">
            <v/>
          </cell>
          <cell r="T3879" t="str">
            <v>60 - 00016R41548</v>
          </cell>
        </row>
        <row r="3880">
          <cell r="H3880">
            <v>0</v>
          </cell>
          <cell r="O3880">
            <v>41548</v>
          </cell>
          <cell r="R3880" t="str">
            <v/>
          </cell>
          <cell r="T3880" t="str">
            <v>60 - 00016R41548</v>
          </cell>
        </row>
        <row r="3881">
          <cell r="H3881">
            <v>0</v>
          </cell>
          <cell r="O3881">
            <v>41548</v>
          </cell>
          <cell r="R3881" t="str">
            <v/>
          </cell>
          <cell r="T3881" t="str">
            <v>60 - 00016R41548</v>
          </cell>
        </row>
        <row r="3882">
          <cell r="H3882">
            <v>58873</v>
          </cell>
          <cell r="O3882">
            <v>41548</v>
          </cell>
          <cell r="R3882" t="str">
            <v/>
          </cell>
          <cell r="T3882" t="str">
            <v>60 - 00016R41548</v>
          </cell>
        </row>
        <row r="3883">
          <cell r="H3883">
            <v>17615</v>
          </cell>
          <cell r="O3883">
            <v>41548</v>
          </cell>
          <cell r="R3883" t="str">
            <v/>
          </cell>
          <cell r="T3883" t="str">
            <v>60 - 00016R41548</v>
          </cell>
        </row>
        <row r="3884">
          <cell r="H3884">
            <v>2381000</v>
          </cell>
          <cell r="O3884">
            <v>41548</v>
          </cell>
          <cell r="R3884" t="str">
            <v/>
          </cell>
          <cell r="T3884" t="str">
            <v>60 - 00016R41548</v>
          </cell>
        </row>
        <row r="3885">
          <cell r="H3885">
            <v>0</v>
          </cell>
          <cell r="O3885">
            <v>41548</v>
          </cell>
          <cell r="R3885" t="str">
            <v/>
          </cell>
          <cell r="T3885" t="str">
            <v>60 - 00016R41548</v>
          </cell>
        </row>
        <row r="3886">
          <cell r="H3886">
            <v>4856</v>
          </cell>
          <cell r="O3886">
            <v>41548</v>
          </cell>
          <cell r="R3886" t="str">
            <v/>
          </cell>
          <cell r="T3886" t="str">
            <v>60 - 00016R41548</v>
          </cell>
        </row>
        <row r="3887">
          <cell r="H3887">
            <v>23425</v>
          </cell>
          <cell r="O3887">
            <v>41548</v>
          </cell>
          <cell r="R3887" t="str">
            <v/>
          </cell>
          <cell r="T3887" t="str">
            <v>60 - 00016R41548</v>
          </cell>
        </row>
        <row r="3888">
          <cell r="H3888">
            <v>0</v>
          </cell>
          <cell r="O3888">
            <v>41548</v>
          </cell>
          <cell r="R3888" t="str">
            <v/>
          </cell>
          <cell r="T3888" t="str">
            <v>60 - 00016R41548</v>
          </cell>
        </row>
        <row r="3889">
          <cell r="H3889">
            <v>198640</v>
          </cell>
          <cell r="O3889">
            <v>41548</v>
          </cell>
          <cell r="R3889" t="str">
            <v/>
          </cell>
          <cell r="T3889" t="str">
            <v>60 - 00016R41548</v>
          </cell>
        </row>
        <row r="3890">
          <cell r="H3890">
            <v>220500</v>
          </cell>
          <cell r="O3890">
            <v>41548</v>
          </cell>
          <cell r="R3890" t="str">
            <v/>
          </cell>
          <cell r="T3890" t="str">
            <v>60 - 00016R41548</v>
          </cell>
        </row>
        <row r="3891">
          <cell r="H3891">
            <v>0</v>
          </cell>
          <cell r="O3891">
            <v>41548</v>
          </cell>
          <cell r="R3891" t="str">
            <v/>
          </cell>
          <cell r="T3891" t="str">
            <v>60 - 00016R41548</v>
          </cell>
        </row>
        <row r="3892">
          <cell r="H3892">
            <v>2526000</v>
          </cell>
          <cell r="O3892">
            <v>41548</v>
          </cell>
          <cell r="R3892" t="str">
            <v/>
          </cell>
          <cell r="T3892" t="str">
            <v>60 - 00016U41548</v>
          </cell>
        </row>
        <row r="3893">
          <cell r="H3893">
            <v>0</v>
          </cell>
          <cell r="O3893">
            <v>41548</v>
          </cell>
          <cell r="R3893" t="str">
            <v/>
          </cell>
          <cell r="T3893" t="str">
            <v>60 - 00016R41548</v>
          </cell>
        </row>
        <row r="3894">
          <cell r="H3894">
            <v>0</v>
          </cell>
          <cell r="O3894">
            <v>41548</v>
          </cell>
          <cell r="R3894" t="str">
            <v/>
          </cell>
          <cell r="T3894" t="str">
            <v>60 - 00016R41548</v>
          </cell>
        </row>
        <row r="3895">
          <cell r="H3895">
            <v>0</v>
          </cell>
          <cell r="O3895">
            <v>41548</v>
          </cell>
          <cell r="R3895" t="str">
            <v/>
          </cell>
          <cell r="T3895" t="str">
            <v>60 - 00016R41548</v>
          </cell>
        </row>
        <row r="3896">
          <cell r="H3896">
            <v>0</v>
          </cell>
          <cell r="O3896">
            <v>41548</v>
          </cell>
          <cell r="R3896" t="str">
            <v/>
          </cell>
          <cell r="T3896" t="str">
            <v>60 - 00016R41548</v>
          </cell>
        </row>
        <row r="3897">
          <cell r="H3897">
            <v>0</v>
          </cell>
          <cell r="O3897">
            <v>41548</v>
          </cell>
          <cell r="R3897" t="str">
            <v/>
          </cell>
          <cell r="T3897" t="str">
            <v>60 - 00016R41548</v>
          </cell>
        </row>
        <row r="3898">
          <cell r="H3898">
            <v>166272</v>
          </cell>
          <cell r="O3898">
            <v>41548</v>
          </cell>
          <cell r="R3898" t="str">
            <v/>
          </cell>
          <cell r="T3898" t="str">
            <v>60 - 00016R41548</v>
          </cell>
        </row>
        <row r="3899">
          <cell r="H3899">
            <v>58598</v>
          </cell>
          <cell r="O3899">
            <v>41548</v>
          </cell>
          <cell r="R3899" t="str">
            <v/>
          </cell>
          <cell r="T3899" t="str">
            <v>60 - 00016R41548</v>
          </cell>
        </row>
        <row r="3900">
          <cell r="H3900">
            <v>409760</v>
          </cell>
          <cell r="O3900">
            <v>41548</v>
          </cell>
          <cell r="R3900" t="str">
            <v/>
          </cell>
          <cell r="T3900" t="str">
            <v>60 - 00016R41548</v>
          </cell>
        </row>
        <row r="3901">
          <cell r="H3901">
            <v>3093000</v>
          </cell>
          <cell r="O3901">
            <v>41548</v>
          </cell>
          <cell r="R3901" t="str">
            <v/>
          </cell>
          <cell r="T3901" t="str">
            <v>60 - 00016R41548</v>
          </cell>
        </row>
        <row r="3902">
          <cell r="H3902">
            <v>0</v>
          </cell>
          <cell r="O3902">
            <v>41548</v>
          </cell>
          <cell r="R3902" t="str">
            <v/>
          </cell>
          <cell r="T3902" t="str">
            <v>60 - 00016R41548</v>
          </cell>
        </row>
        <row r="3903">
          <cell r="H3903">
            <v>-399000</v>
          </cell>
          <cell r="O3903">
            <v>41548</v>
          </cell>
          <cell r="R3903" t="str">
            <v/>
          </cell>
          <cell r="T3903" t="str">
            <v>60 - 00016U41548</v>
          </cell>
        </row>
        <row r="3904">
          <cell r="H3904">
            <v>0</v>
          </cell>
          <cell r="O3904">
            <v>41548</v>
          </cell>
          <cell r="R3904" t="str">
            <v/>
          </cell>
          <cell r="T3904" t="str">
            <v>60 - 00016R41548</v>
          </cell>
        </row>
        <row r="3905">
          <cell r="H3905">
            <v>0</v>
          </cell>
          <cell r="O3905">
            <v>41548</v>
          </cell>
          <cell r="R3905" t="str">
            <v/>
          </cell>
          <cell r="T3905" t="str">
            <v>60 - 00016R41548</v>
          </cell>
        </row>
        <row r="3906">
          <cell r="H3906">
            <v>0</v>
          </cell>
          <cell r="O3906">
            <v>41548</v>
          </cell>
          <cell r="R3906" t="str">
            <v/>
          </cell>
          <cell r="T3906" t="str">
            <v>60 - 00016R41548</v>
          </cell>
        </row>
        <row r="3907">
          <cell r="H3907">
            <v>0</v>
          </cell>
          <cell r="O3907">
            <v>41548</v>
          </cell>
          <cell r="R3907" t="str">
            <v/>
          </cell>
          <cell r="T3907" t="str">
            <v>60 - 00016R41548</v>
          </cell>
        </row>
        <row r="3908">
          <cell r="H3908">
            <v>0</v>
          </cell>
          <cell r="O3908">
            <v>41548</v>
          </cell>
          <cell r="R3908" t="str">
            <v/>
          </cell>
          <cell r="T3908" t="str">
            <v>60 - 00016R41548</v>
          </cell>
        </row>
        <row r="3909">
          <cell r="H3909">
            <v>6490436</v>
          </cell>
          <cell r="O3909">
            <v>41548</v>
          </cell>
          <cell r="R3909" t="str">
            <v/>
          </cell>
          <cell r="T3909" t="str">
            <v>60 - 00016R41548</v>
          </cell>
        </row>
        <row r="3910">
          <cell r="H3910">
            <v>0</v>
          </cell>
          <cell r="O3910">
            <v>41548</v>
          </cell>
          <cell r="R3910" t="str">
            <v/>
          </cell>
          <cell r="T3910" t="str">
            <v>60 - 00016R41548</v>
          </cell>
        </row>
        <row r="3911">
          <cell r="H3911">
            <v>745600</v>
          </cell>
          <cell r="O3911">
            <v>41548</v>
          </cell>
          <cell r="R3911" t="str">
            <v/>
          </cell>
          <cell r="T3911" t="str">
            <v>60 - 00016R41548</v>
          </cell>
        </row>
        <row r="3912">
          <cell r="H3912">
            <v>1129446</v>
          </cell>
          <cell r="O3912">
            <v>41548</v>
          </cell>
          <cell r="R3912" t="str">
            <v/>
          </cell>
          <cell r="T3912" t="str">
            <v>60 - 00016R41548</v>
          </cell>
        </row>
        <row r="3913">
          <cell r="H3913">
            <v>141708</v>
          </cell>
          <cell r="O3913">
            <v>41548</v>
          </cell>
          <cell r="R3913" t="str">
            <v/>
          </cell>
          <cell r="T3913" t="str">
            <v>60 - 00016R41548</v>
          </cell>
        </row>
        <row r="3914">
          <cell r="H3914">
            <v>0</v>
          </cell>
          <cell r="O3914">
            <v>41548</v>
          </cell>
          <cell r="R3914" t="str">
            <v/>
          </cell>
          <cell r="T3914" t="str">
            <v>60 - 00016R41548</v>
          </cell>
        </row>
        <row r="3915">
          <cell r="H3915">
            <v>-5647000</v>
          </cell>
          <cell r="O3915">
            <v>41548</v>
          </cell>
          <cell r="R3915" t="str">
            <v/>
          </cell>
          <cell r="T3915" t="str">
            <v>60 - 00016U41548</v>
          </cell>
        </row>
        <row r="3916">
          <cell r="H3916">
            <v>0</v>
          </cell>
          <cell r="O3916">
            <v>41548</v>
          </cell>
          <cell r="R3916" t="str">
            <v/>
          </cell>
          <cell r="T3916" t="str">
            <v>60 - 00016R41548</v>
          </cell>
        </row>
        <row r="3917">
          <cell r="H3917">
            <v>0</v>
          </cell>
          <cell r="O3917">
            <v>41548</v>
          </cell>
          <cell r="R3917" t="str">
            <v/>
          </cell>
          <cell r="T3917" t="str">
            <v>60 - 00016R41548</v>
          </cell>
        </row>
        <row r="3918">
          <cell r="H3918">
            <v>0</v>
          </cell>
          <cell r="O3918">
            <v>41548</v>
          </cell>
          <cell r="R3918" t="str">
            <v/>
          </cell>
          <cell r="T3918" t="str">
            <v>60 - 00016R41548</v>
          </cell>
        </row>
        <row r="3919">
          <cell r="H3919">
            <v>119211</v>
          </cell>
          <cell r="O3919">
            <v>41548</v>
          </cell>
          <cell r="R3919" t="str">
            <v/>
          </cell>
          <cell r="T3919" t="str">
            <v>60 - 00016R41548</v>
          </cell>
        </row>
        <row r="3920">
          <cell r="H3920">
            <v>19758</v>
          </cell>
          <cell r="O3920">
            <v>41548</v>
          </cell>
          <cell r="R3920" t="str">
            <v/>
          </cell>
          <cell r="T3920" t="str">
            <v>60 - 00016R41548</v>
          </cell>
        </row>
        <row r="3921">
          <cell r="H3921">
            <v>43277</v>
          </cell>
          <cell r="O3921">
            <v>41548</v>
          </cell>
          <cell r="R3921" t="str">
            <v/>
          </cell>
          <cell r="T3921" t="str">
            <v>60 - 00016R41548</v>
          </cell>
        </row>
        <row r="3922">
          <cell r="H3922">
            <v>0</v>
          </cell>
          <cell r="O3922">
            <v>41548</v>
          </cell>
          <cell r="R3922" t="str">
            <v/>
          </cell>
          <cell r="T3922" t="str">
            <v>60 - 00016R41548</v>
          </cell>
        </row>
        <row r="3923">
          <cell r="H3923">
            <v>-32000</v>
          </cell>
          <cell r="O3923">
            <v>41548</v>
          </cell>
          <cell r="R3923" t="str">
            <v/>
          </cell>
          <cell r="T3923" t="str">
            <v>60 - 00016U41548</v>
          </cell>
        </row>
        <row r="3924">
          <cell r="H3924">
            <v>0</v>
          </cell>
          <cell r="O3924">
            <v>41548</v>
          </cell>
          <cell r="R3924" t="str">
            <v/>
          </cell>
          <cell r="T3924" t="str">
            <v>60 - 00011B41548</v>
          </cell>
        </row>
        <row r="3925">
          <cell r="H3925">
            <v>305966120</v>
          </cell>
          <cell r="O3925">
            <v>41548</v>
          </cell>
          <cell r="R3925" t="str">
            <v/>
          </cell>
          <cell r="T3925" t="str">
            <v>60 - 00011B41548</v>
          </cell>
        </row>
        <row r="3926">
          <cell r="H3926">
            <v>1005720</v>
          </cell>
          <cell r="O3926">
            <v>41548</v>
          </cell>
          <cell r="R3926" t="str">
            <v/>
          </cell>
          <cell r="T3926" t="str">
            <v>60 - 00011B41548</v>
          </cell>
        </row>
        <row r="3927">
          <cell r="H3927">
            <v>873851</v>
          </cell>
          <cell r="O3927">
            <v>41548</v>
          </cell>
          <cell r="R3927" t="str">
            <v/>
          </cell>
          <cell r="T3927" t="str">
            <v>60 - 00011B41548</v>
          </cell>
        </row>
        <row r="3928">
          <cell r="H3928">
            <v>8352</v>
          </cell>
          <cell r="O3928">
            <v>41548</v>
          </cell>
          <cell r="R3928" t="str">
            <v/>
          </cell>
          <cell r="T3928" t="str">
            <v>60 - 00011B41548</v>
          </cell>
        </row>
        <row r="3929">
          <cell r="H3929">
            <v>219091</v>
          </cell>
          <cell r="O3929">
            <v>41548</v>
          </cell>
          <cell r="R3929" t="str">
            <v/>
          </cell>
          <cell r="T3929" t="str">
            <v>60 - 00011B41548</v>
          </cell>
        </row>
        <row r="3930">
          <cell r="H3930">
            <v>198649</v>
          </cell>
          <cell r="O3930">
            <v>41548</v>
          </cell>
          <cell r="R3930" t="str">
            <v/>
          </cell>
          <cell r="T3930" t="str">
            <v>60 - 00011B41548</v>
          </cell>
        </row>
        <row r="3931">
          <cell r="H3931">
            <v>2247220</v>
          </cell>
          <cell r="O3931">
            <v>41548</v>
          </cell>
          <cell r="R3931" t="str">
            <v/>
          </cell>
          <cell r="T3931" t="str">
            <v>60 - 00011B41548</v>
          </cell>
        </row>
        <row r="3932">
          <cell r="H3932">
            <v>0</v>
          </cell>
          <cell r="O3932">
            <v>41548</v>
          </cell>
          <cell r="R3932" t="str">
            <v/>
          </cell>
          <cell r="T3932" t="str">
            <v>60 - 00011B41548</v>
          </cell>
        </row>
        <row r="3933">
          <cell r="H3933">
            <v>0</v>
          </cell>
          <cell r="O3933">
            <v>41548</v>
          </cell>
          <cell r="R3933" t="str">
            <v/>
          </cell>
          <cell r="T3933" t="str">
            <v>60 - 00011R41548</v>
          </cell>
        </row>
        <row r="3934">
          <cell r="H3934">
            <v>0</v>
          </cell>
          <cell r="O3934">
            <v>41548</v>
          </cell>
          <cell r="R3934" t="str">
            <v/>
          </cell>
          <cell r="T3934" t="str">
            <v>60 - 00011R41548</v>
          </cell>
        </row>
        <row r="3935">
          <cell r="H3935">
            <v>0</v>
          </cell>
          <cell r="O3935">
            <v>41548</v>
          </cell>
          <cell r="R3935" t="str">
            <v/>
          </cell>
          <cell r="T3935" t="str">
            <v>60 - 00011R41548</v>
          </cell>
        </row>
        <row r="3936">
          <cell r="H3936">
            <v>0</v>
          </cell>
          <cell r="O3936">
            <v>41548</v>
          </cell>
          <cell r="R3936" t="str">
            <v/>
          </cell>
          <cell r="T3936" t="str">
            <v>60 - 00011R41548</v>
          </cell>
        </row>
        <row r="3937">
          <cell r="H3937">
            <v>0</v>
          </cell>
          <cell r="O3937">
            <v>41548</v>
          </cell>
          <cell r="R3937" t="str">
            <v/>
          </cell>
          <cell r="T3937" t="str">
            <v>60 - 00011R41548</v>
          </cell>
        </row>
        <row r="3938">
          <cell r="H3938">
            <v>0</v>
          </cell>
          <cell r="O3938">
            <v>41548</v>
          </cell>
          <cell r="R3938" t="str">
            <v/>
          </cell>
          <cell r="T3938" t="str">
            <v>60 - 00011R41548</v>
          </cell>
        </row>
        <row r="3939">
          <cell r="H3939">
            <v>0</v>
          </cell>
          <cell r="O3939">
            <v>41548</v>
          </cell>
          <cell r="R3939" t="str">
            <v/>
          </cell>
          <cell r="T3939" t="str">
            <v>60 - 00011R41548</v>
          </cell>
        </row>
        <row r="3940">
          <cell r="H3940">
            <v>0</v>
          </cell>
          <cell r="O3940">
            <v>41548</v>
          </cell>
          <cell r="R3940" t="str">
            <v/>
          </cell>
          <cell r="T3940" t="str">
            <v>60 - 00011R41548</v>
          </cell>
        </row>
        <row r="3941">
          <cell r="H3941">
            <v>0</v>
          </cell>
          <cell r="O3941">
            <v>41548</v>
          </cell>
          <cell r="R3941" t="str">
            <v/>
          </cell>
          <cell r="T3941" t="str">
            <v>60 - 00011R41548</v>
          </cell>
        </row>
        <row r="3942">
          <cell r="H3942">
            <v>0</v>
          </cell>
          <cell r="O3942">
            <v>41548</v>
          </cell>
          <cell r="R3942" t="str">
            <v/>
          </cell>
          <cell r="T3942" t="str">
            <v>60 - 00011R41548</v>
          </cell>
        </row>
        <row r="3943">
          <cell r="H3943">
            <v>0</v>
          </cell>
          <cell r="O3943">
            <v>41548</v>
          </cell>
          <cell r="R3943" t="str">
            <v/>
          </cell>
          <cell r="T3943" t="str">
            <v>60 - 00011R41548</v>
          </cell>
        </row>
        <row r="3944">
          <cell r="H3944">
            <v>346590036</v>
          </cell>
          <cell r="O3944">
            <v>41548</v>
          </cell>
          <cell r="R3944" t="str">
            <v/>
          </cell>
          <cell r="T3944" t="str">
            <v>60 - 00011R41548</v>
          </cell>
        </row>
        <row r="3945">
          <cell r="H3945">
            <v>2712395</v>
          </cell>
          <cell r="O3945">
            <v>41548</v>
          </cell>
          <cell r="R3945" t="str">
            <v/>
          </cell>
          <cell r="T3945" t="str">
            <v>60 - 00011R41548</v>
          </cell>
        </row>
        <row r="3946">
          <cell r="H3946">
            <v>18478154</v>
          </cell>
          <cell r="O3946">
            <v>41548</v>
          </cell>
          <cell r="R3946" t="str">
            <v/>
          </cell>
          <cell r="T3946" t="str">
            <v>60 - 00011R41548</v>
          </cell>
        </row>
        <row r="3947">
          <cell r="H3947">
            <v>1195836</v>
          </cell>
          <cell r="O3947">
            <v>41548</v>
          </cell>
          <cell r="R3947" t="str">
            <v/>
          </cell>
          <cell r="T3947" t="str">
            <v>60 - 00011R41548</v>
          </cell>
        </row>
        <row r="3948">
          <cell r="H3948">
            <v>0</v>
          </cell>
          <cell r="O3948">
            <v>41548</v>
          </cell>
          <cell r="R3948" t="str">
            <v/>
          </cell>
          <cell r="T3948" t="str">
            <v>60 - 00011R41548</v>
          </cell>
        </row>
        <row r="3949">
          <cell r="H3949">
            <v>0</v>
          </cell>
          <cell r="O3949">
            <v>41548</v>
          </cell>
          <cell r="R3949" t="str">
            <v/>
          </cell>
          <cell r="T3949" t="str">
            <v>60 - 00011R41548</v>
          </cell>
        </row>
        <row r="3950">
          <cell r="H3950">
            <v>0</v>
          </cell>
          <cell r="O3950">
            <v>41548</v>
          </cell>
          <cell r="R3950" t="str">
            <v/>
          </cell>
          <cell r="T3950" t="str">
            <v>60 - 00011R41548</v>
          </cell>
        </row>
        <row r="3951">
          <cell r="H3951">
            <v>198652</v>
          </cell>
          <cell r="O3951">
            <v>41548</v>
          </cell>
          <cell r="R3951" t="str">
            <v/>
          </cell>
          <cell r="T3951" t="str">
            <v>60 - 00011R41548</v>
          </cell>
        </row>
        <row r="3952">
          <cell r="H3952">
            <v>0</v>
          </cell>
          <cell r="O3952">
            <v>41548</v>
          </cell>
          <cell r="R3952" t="str">
            <v/>
          </cell>
          <cell r="T3952" t="str">
            <v>60 - 00011R41548</v>
          </cell>
        </row>
        <row r="3953">
          <cell r="H3953">
            <v>2233369</v>
          </cell>
          <cell r="O3953">
            <v>41548</v>
          </cell>
          <cell r="R3953" t="str">
            <v/>
          </cell>
          <cell r="T3953" t="str">
            <v>60 - 00011R41548</v>
          </cell>
        </row>
        <row r="3954">
          <cell r="H3954">
            <v>11471</v>
          </cell>
          <cell r="O3954">
            <v>41548</v>
          </cell>
          <cell r="R3954" t="str">
            <v/>
          </cell>
          <cell r="T3954" t="str">
            <v>60 - 00011R41548</v>
          </cell>
        </row>
        <row r="3955">
          <cell r="H3955">
            <v>2606</v>
          </cell>
          <cell r="O3955">
            <v>41548</v>
          </cell>
          <cell r="R3955" t="str">
            <v/>
          </cell>
          <cell r="T3955" t="str">
            <v>60 - 00011R41548</v>
          </cell>
        </row>
        <row r="3956">
          <cell r="H3956">
            <v>0</v>
          </cell>
          <cell r="O3956">
            <v>41548</v>
          </cell>
          <cell r="R3956" t="str">
            <v/>
          </cell>
          <cell r="T3956" t="str">
            <v>60 - 00011R41548</v>
          </cell>
        </row>
        <row r="3957">
          <cell r="H3957">
            <v>63402000</v>
          </cell>
          <cell r="O3957">
            <v>41548</v>
          </cell>
          <cell r="R3957" t="str">
            <v/>
          </cell>
          <cell r="T3957" t="str">
            <v>60 - 00011U41548</v>
          </cell>
        </row>
        <row r="3958">
          <cell r="H3958">
            <v>0</v>
          </cell>
          <cell r="O3958">
            <v>41548</v>
          </cell>
          <cell r="R3958" t="str">
            <v/>
          </cell>
          <cell r="T3958" t="str">
            <v>60 - 00011U41548</v>
          </cell>
        </row>
        <row r="3959">
          <cell r="H3959">
            <v>0</v>
          </cell>
          <cell r="O3959">
            <v>41548</v>
          </cell>
          <cell r="R3959" t="str">
            <v/>
          </cell>
          <cell r="T3959" t="str">
            <v>60 - 00011B41548</v>
          </cell>
        </row>
        <row r="3960">
          <cell r="H3960">
            <v>5125820</v>
          </cell>
          <cell r="O3960">
            <v>41548</v>
          </cell>
          <cell r="R3960" t="str">
            <v/>
          </cell>
          <cell r="T3960" t="str">
            <v>60 - 00011B41548</v>
          </cell>
        </row>
        <row r="3961">
          <cell r="H3961">
            <v>28550</v>
          </cell>
          <cell r="O3961">
            <v>41548</v>
          </cell>
          <cell r="R3961" t="str">
            <v/>
          </cell>
          <cell r="T3961" t="str">
            <v>60 - 00011B41548</v>
          </cell>
        </row>
        <row r="3962">
          <cell r="H3962">
            <v>10027899</v>
          </cell>
          <cell r="O3962">
            <v>41548</v>
          </cell>
          <cell r="R3962" t="str">
            <v/>
          </cell>
          <cell r="T3962" t="str">
            <v>60 - 00011B41548</v>
          </cell>
        </row>
        <row r="3963">
          <cell r="H3963">
            <v>3489957</v>
          </cell>
          <cell r="O3963">
            <v>41548</v>
          </cell>
          <cell r="R3963" t="str">
            <v/>
          </cell>
          <cell r="T3963" t="str">
            <v>60 - 00011B41548</v>
          </cell>
        </row>
        <row r="3964">
          <cell r="H3964">
            <v>188400</v>
          </cell>
          <cell r="O3964">
            <v>41548</v>
          </cell>
          <cell r="R3964" t="str">
            <v/>
          </cell>
          <cell r="T3964" t="str">
            <v>60 - 00011B41548</v>
          </cell>
        </row>
        <row r="3965">
          <cell r="H3965">
            <v>6770</v>
          </cell>
          <cell r="O3965">
            <v>41548</v>
          </cell>
          <cell r="R3965" t="str">
            <v/>
          </cell>
          <cell r="T3965" t="str">
            <v>60 - 00011B41548</v>
          </cell>
        </row>
        <row r="3966">
          <cell r="H3966">
            <v>24504</v>
          </cell>
          <cell r="O3966">
            <v>41548</v>
          </cell>
          <cell r="R3966" t="str">
            <v/>
          </cell>
          <cell r="T3966" t="str">
            <v>60 - 00011B41548</v>
          </cell>
        </row>
        <row r="3967">
          <cell r="H3967">
            <v>68786</v>
          </cell>
          <cell r="O3967">
            <v>41548</v>
          </cell>
          <cell r="R3967" t="str">
            <v/>
          </cell>
          <cell r="T3967" t="str">
            <v>60 - 00011B41548</v>
          </cell>
        </row>
        <row r="3968">
          <cell r="H3968">
            <v>125801</v>
          </cell>
          <cell r="O3968">
            <v>41548</v>
          </cell>
          <cell r="R3968" t="str">
            <v/>
          </cell>
          <cell r="T3968" t="str">
            <v>60 - 00011B41548</v>
          </cell>
        </row>
        <row r="3969">
          <cell r="H3969">
            <v>40171</v>
          </cell>
          <cell r="O3969">
            <v>41548</v>
          </cell>
          <cell r="R3969" t="str">
            <v/>
          </cell>
          <cell r="T3969" t="str">
            <v>60 - 00011B41548</v>
          </cell>
        </row>
        <row r="3970">
          <cell r="H3970">
            <v>0</v>
          </cell>
          <cell r="O3970">
            <v>41548</v>
          </cell>
          <cell r="R3970" t="str">
            <v/>
          </cell>
          <cell r="T3970" t="str">
            <v>60 - 00011B41548</v>
          </cell>
        </row>
        <row r="3971">
          <cell r="H3971">
            <v>0</v>
          </cell>
          <cell r="O3971">
            <v>41548</v>
          </cell>
          <cell r="R3971" t="str">
            <v/>
          </cell>
          <cell r="T3971" t="str">
            <v>60 - 00011R41548</v>
          </cell>
        </row>
        <row r="3972">
          <cell r="H3972">
            <v>0</v>
          </cell>
          <cell r="O3972">
            <v>41548</v>
          </cell>
          <cell r="R3972" t="str">
            <v/>
          </cell>
          <cell r="T3972" t="str">
            <v>60 - 00011R41548</v>
          </cell>
        </row>
        <row r="3973">
          <cell r="H3973">
            <v>0</v>
          </cell>
          <cell r="O3973">
            <v>41548</v>
          </cell>
          <cell r="R3973" t="str">
            <v/>
          </cell>
          <cell r="T3973" t="str">
            <v>60 - 00011R41548</v>
          </cell>
        </row>
        <row r="3974">
          <cell r="H3974">
            <v>0</v>
          </cell>
          <cell r="O3974">
            <v>41548</v>
          </cell>
          <cell r="R3974" t="str">
            <v/>
          </cell>
          <cell r="T3974" t="str">
            <v>60 - 00011R41548</v>
          </cell>
        </row>
        <row r="3975">
          <cell r="H3975">
            <v>0</v>
          </cell>
          <cell r="O3975">
            <v>41548</v>
          </cell>
          <cell r="R3975" t="str">
            <v/>
          </cell>
          <cell r="T3975" t="str">
            <v>60 - 00011R41548</v>
          </cell>
        </row>
        <row r="3976">
          <cell r="H3976">
            <v>4852800</v>
          </cell>
          <cell r="O3976">
            <v>41548</v>
          </cell>
          <cell r="R3976" t="str">
            <v/>
          </cell>
          <cell r="T3976" t="str">
            <v>60 - 00011R41548</v>
          </cell>
        </row>
        <row r="3977">
          <cell r="H3977">
            <v>0</v>
          </cell>
          <cell r="O3977">
            <v>41548</v>
          </cell>
          <cell r="R3977" t="str">
            <v/>
          </cell>
          <cell r="T3977" t="str">
            <v>60 - 00011R41548</v>
          </cell>
        </row>
        <row r="3978">
          <cell r="H3978">
            <v>0</v>
          </cell>
          <cell r="O3978">
            <v>41548</v>
          </cell>
          <cell r="R3978" t="str">
            <v/>
          </cell>
          <cell r="T3978" t="str">
            <v>60 - 00011R41548</v>
          </cell>
        </row>
        <row r="3979">
          <cell r="H3979">
            <v>0</v>
          </cell>
          <cell r="O3979">
            <v>41548</v>
          </cell>
          <cell r="R3979" t="str">
            <v/>
          </cell>
          <cell r="T3979" t="str">
            <v>60 - 00011R41548</v>
          </cell>
        </row>
        <row r="3980">
          <cell r="H3980">
            <v>0</v>
          </cell>
          <cell r="O3980">
            <v>41548</v>
          </cell>
          <cell r="R3980" t="str">
            <v/>
          </cell>
          <cell r="T3980" t="str">
            <v>60 - 00011R41548</v>
          </cell>
        </row>
        <row r="3981">
          <cell r="H3981">
            <v>0</v>
          </cell>
          <cell r="O3981">
            <v>41548</v>
          </cell>
          <cell r="R3981" t="str">
            <v/>
          </cell>
          <cell r="T3981" t="str">
            <v>60 - 00011R41548</v>
          </cell>
        </row>
        <row r="3982">
          <cell r="H3982">
            <v>2539600</v>
          </cell>
          <cell r="O3982">
            <v>41548</v>
          </cell>
          <cell r="R3982" t="str">
            <v/>
          </cell>
          <cell r="T3982" t="str">
            <v>60 - 00011R41548</v>
          </cell>
        </row>
        <row r="3983">
          <cell r="H3983">
            <v>453532</v>
          </cell>
          <cell r="O3983">
            <v>41548</v>
          </cell>
          <cell r="R3983" t="str">
            <v/>
          </cell>
          <cell r="T3983" t="str">
            <v>60 - 00011R41548</v>
          </cell>
        </row>
        <row r="3984">
          <cell r="H3984">
            <v>142761</v>
          </cell>
          <cell r="O3984">
            <v>41548</v>
          </cell>
          <cell r="R3984" t="str">
            <v/>
          </cell>
          <cell r="T3984" t="str">
            <v>60 - 00011R41548</v>
          </cell>
        </row>
        <row r="3985">
          <cell r="H3985">
            <v>0</v>
          </cell>
          <cell r="O3985">
            <v>41548</v>
          </cell>
          <cell r="R3985" t="str">
            <v/>
          </cell>
          <cell r="T3985" t="str">
            <v>60 - 00011R41548</v>
          </cell>
        </row>
        <row r="3986">
          <cell r="H3986">
            <v>72254513</v>
          </cell>
          <cell r="O3986">
            <v>41548</v>
          </cell>
          <cell r="R3986" t="str">
            <v/>
          </cell>
          <cell r="T3986" t="str">
            <v>60 - 00011R41548</v>
          </cell>
        </row>
        <row r="3987">
          <cell r="H3987">
            <v>0</v>
          </cell>
          <cell r="O3987">
            <v>41548</v>
          </cell>
          <cell r="R3987" t="str">
            <v/>
          </cell>
          <cell r="T3987" t="str">
            <v>60 - 00011R41548</v>
          </cell>
        </row>
        <row r="3988">
          <cell r="H3988">
            <v>0</v>
          </cell>
          <cell r="O3988">
            <v>41548</v>
          </cell>
          <cell r="R3988" t="str">
            <v/>
          </cell>
          <cell r="T3988" t="str">
            <v>60 - 00011R41548</v>
          </cell>
        </row>
        <row r="3989">
          <cell r="H3989">
            <v>73827159</v>
          </cell>
          <cell r="O3989">
            <v>41548</v>
          </cell>
          <cell r="R3989" t="str">
            <v/>
          </cell>
          <cell r="T3989" t="str">
            <v>60 - 00011R41548</v>
          </cell>
        </row>
        <row r="3990">
          <cell r="H3990">
            <v>151026691</v>
          </cell>
          <cell r="O3990">
            <v>41548</v>
          </cell>
          <cell r="R3990" t="str">
            <v/>
          </cell>
          <cell r="T3990" t="str">
            <v>60 - 00011R41548</v>
          </cell>
        </row>
        <row r="3991">
          <cell r="H3991">
            <v>0</v>
          </cell>
          <cell r="O3991">
            <v>41548</v>
          </cell>
          <cell r="R3991" t="str">
            <v/>
          </cell>
          <cell r="T3991" t="str">
            <v>60 - 00011R41548</v>
          </cell>
        </row>
        <row r="3992">
          <cell r="H3992">
            <v>0</v>
          </cell>
          <cell r="O3992">
            <v>41548</v>
          </cell>
          <cell r="R3992" t="str">
            <v/>
          </cell>
          <cell r="T3992" t="str">
            <v>60 - 00011R41548</v>
          </cell>
        </row>
        <row r="3993">
          <cell r="H3993">
            <v>0</v>
          </cell>
          <cell r="O3993">
            <v>41548</v>
          </cell>
          <cell r="R3993" t="str">
            <v/>
          </cell>
          <cell r="T3993" t="str">
            <v>60 - 00011R41548</v>
          </cell>
        </row>
        <row r="3994">
          <cell r="H3994">
            <v>0</v>
          </cell>
          <cell r="O3994">
            <v>41548</v>
          </cell>
          <cell r="R3994" t="str">
            <v/>
          </cell>
          <cell r="T3994" t="str">
            <v>60 - 00011R41548</v>
          </cell>
        </row>
        <row r="3995">
          <cell r="H3995">
            <v>188333</v>
          </cell>
          <cell r="O3995">
            <v>41548</v>
          </cell>
          <cell r="R3995" t="str">
            <v/>
          </cell>
          <cell r="T3995" t="str">
            <v>60 - 00011R41548</v>
          </cell>
        </row>
        <row r="3996">
          <cell r="H3996">
            <v>230894</v>
          </cell>
          <cell r="O3996">
            <v>41548</v>
          </cell>
          <cell r="R3996" t="str">
            <v/>
          </cell>
          <cell r="T3996" t="str">
            <v>60 - 00011R41548</v>
          </cell>
        </row>
        <row r="3997">
          <cell r="H3997">
            <v>29170</v>
          </cell>
          <cell r="O3997">
            <v>41548</v>
          </cell>
          <cell r="R3997" t="str">
            <v/>
          </cell>
          <cell r="T3997" t="str">
            <v>60 - 00011R41548</v>
          </cell>
        </row>
        <row r="3998">
          <cell r="H3998">
            <v>618811</v>
          </cell>
          <cell r="O3998">
            <v>41548</v>
          </cell>
          <cell r="R3998" t="str">
            <v/>
          </cell>
          <cell r="T3998" t="str">
            <v>60 - 00011R41548</v>
          </cell>
        </row>
        <row r="3999">
          <cell r="H3999">
            <v>862655</v>
          </cell>
          <cell r="O3999">
            <v>41548</v>
          </cell>
          <cell r="R3999" t="str">
            <v/>
          </cell>
          <cell r="T3999" t="str">
            <v>60 - 00011R41548</v>
          </cell>
        </row>
        <row r="4000">
          <cell r="H4000">
            <v>261355</v>
          </cell>
          <cell r="O4000">
            <v>41548</v>
          </cell>
          <cell r="R4000" t="str">
            <v/>
          </cell>
          <cell r="T4000" t="str">
            <v>60 - 00011R41548</v>
          </cell>
        </row>
        <row r="4001">
          <cell r="H4001">
            <v>0</v>
          </cell>
          <cell r="O4001">
            <v>41548</v>
          </cell>
          <cell r="R4001" t="str">
            <v/>
          </cell>
          <cell r="T4001" t="str">
            <v>60 - 00011R41548</v>
          </cell>
        </row>
        <row r="4002">
          <cell r="H4002">
            <v>12285</v>
          </cell>
          <cell r="O4002">
            <v>41548</v>
          </cell>
          <cell r="R4002" t="str">
            <v/>
          </cell>
          <cell r="T4002" t="str">
            <v>60 - 00011R41548</v>
          </cell>
        </row>
        <row r="4003">
          <cell r="H4003">
            <v>28362</v>
          </cell>
          <cell r="O4003">
            <v>41548</v>
          </cell>
          <cell r="R4003" t="str">
            <v/>
          </cell>
          <cell r="T4003" t="str">
            <v>60 - 00011R41548</v>
          </cell>
        </row>
        <row r="4004">
          <cell r="H4004">
            <v>207817</v>
          </cell>
          <cell r="O4004">
            <v>41548</v>
          </cell>
          <cell r="R4004" t="str">
            <v/>
          </cell>
          <cell r="T4004" t="str">
            <v>60 - 00011R41548</v>
          </cell>
        </row>
        <row r="4005">
          <cell r="H4005">
            <v>1089608</v>
          </cell>
          <cell r="O4005">
            <v>41548</v>
          </cell>
          <cell r="R4005" t="str">
            <v/>
          </cell>
          <cell r="T4005" t="str">
            <v>60 - 00011R41548</v>
          </cell>
        </row>
        <row r="4006">
          <cell r="H4006">
            <v>370862</v>
          </cell>
          <cell r="O4006">
            <v>41548</v>
          </cell>
          <cell r="R4006" t="str">
            <v/>
          </cell>
          <cell r="T4006" t="str">
            <v>60 - 00011R41548</v>
          </cell>
        </row>
        <row r="4007">
          <cell r="H4007">
            <v>10000</v>
          </cell>
          <cell r="O4007">
            <v>41548</v>
          </cell>
          <cell r="R4007" t="str">
            <v/>
          </cell>
          <cell r="T4007" t="str">
            <v>60 - 00011R41548</v>
          </cell>
        </row>
        <row r="4008">
          <cell r="H4008">
            <v>0</v>
          </cell>
          <cell r="O4008">
            <v>41548</v>
          </cell>
          <cell r="R4008" t="str">
            <v/>
          </cell>
          <cell r="T4008" t="str">
            <v>60 - 00011R41548</v>
          </cell>
        </row>
        <row r="4009">
          <cell r="H4009">
            <v>85927002</v>
          </cell>
          <cell r="O4009">
            <v>41548</v>
          </cell>
          <cell r="R4009" t="str">
            <v/>
          </cell>
          <cell r="T4009" t="str">
            <v>60 - 00011R41548</v>
          </cell>
        </row>
        <row r="4010">
          <cell r="H4010">
            <v>5064879</v>
          </cell>
          <cell r="O4010">
            <v>41548</v>
          </cell>
          <cell r="R4010" t="str">
            <v/>
          </cell>
          <cell r="T4010" t="str">
            <v>60 - 00011R41548</v>
          </cell>
        </row>
        <row r="4011">
          <cell r="H4011">
            <v>0</v>
          </cell>
          <cell r="O4011">
            <v>41548</v>
          </cell>
          <cell r="R4011" t="str">
            <v/>
          </cell>
          <cell r="T4011" t="str">
            <v>60 - 00011R41548</v>
          </cell>
        </row>
        <row r="4012">
          <cell r="H4012">
            <v>0</v>
          </cell>
          <cell r="O4012">
            <v>41548</v>
          </cell>
          <cell r="R4012" t="str">
            <v/>
          </cell>
          <cell r="T4012" t="str">
            <v>60 - 00011R41548</v>
          </cell>
        </row>
        <row r="4013">
          <cell r="H4013">
            <v>0</v>
          </cell>
          <cell r="O4013">
            <v>41548</v>
          </cell>
          <cell r="R4013" t="str">
            <v/>
          </cell>
          <cell r="T4013" t="str">
            <v>60 - 00011R41548</v>
          </cell>
        </row>
        <row r="4014">
          <cell r="H4014">
            <v>0</v>
          </cell>
          <cell r="O4014">
            <v>41548</v>
          </cell>
          <cell r="R4014" t="str">
            <v/>
          </cell>
          <cell r="T4014" t="str">
            <v>60 - 00011R41548</v>
          </cell>
        </row>
        <row r="4015">
          <cell r="H4015">
            <v>749407</v>
          </cell>
          <cell r="O4015">
            <v>41548</v>
          </cell>
          <cell r="R4015" t="str">
            <v/>
          </cell>
          <cell r="T4015" t="str">
            <v>60 - 00011R41548</v>
          </cell>
        </row>
        <row r="4016">
          <cell r="H4016">
            <v>9035980</v>
          </cell>
          <cell r="O4016">
            <v>41548</v>
          </cell>
          <cell r="R4016" t="str">
            <v/>
          </cell>
          <cell r="T4016" t="str">
            <v>60 - 00011R41548</v>
          </cell>
        </row>
        <row r="4017">
          <cell r="H4017">
            <v>1190480</v>
          </cell>
          <cell r="O4017">
            <v>41548</v>
          </cell>
          <cell r="R4017" t="str">
            <v/>
          </cell>
          <cell r="T4017" t="str">
            <v>60 - 00011R41548</v>
          </cell>
        </row>
        <row r="4018">
          <cell r="H4018">
            <v>0</v>
          </cell>
          <cell r="O4018">
            <v>41548</v>
          </cell>
          <cell r="R4018" t="str">
            <v/>
          </cell>
          <cell r="T4018" t="str">
            <v>60 - 00011R41548</v>
          </cell>
        </row>
        <row r="4019">
          <cell r="H4019">
            <v>0</v>
          </cell>
          <cell r="O4019">
            <v>41548</v>
          </cell>
          <cell r="R4019" t="str">
            <v/>
          </cell>
          <cell r="T4019" t="str">
            <v>60 - 00011R41548</v>
          </cell>
        </row>
        <row r="4020">
          <cell r="H4020">
            <v>28070</v>
          </cell>
          <cell r="O4020">
            <v>41548</v>
          </cell>
          <cell r="R4020" t="str">
            <v/>
          </cell>
          <cell r="T4020" t="str">
            <v>60 - 00011R41548</v>
          </cell>
        </row>
        <row r="4021">
          <cell r="H4021">
            <v>0</v>
          </cell>
          <cell r="O4021">
            <v>41548</v>
          </cell>
          <cell r="R4021" t="str">
            <v/>
          </cell>
          <cell r="T4021" t="str">
            <v>60 - 00011R41548</v>
          </cell>
        </row>
        <row r="4022">
          <cell r="H4022">
            <v>0</v>
          </cell>
          <cell r="O4022">
            <v>41548</v>
          </cell>
          <cell r="R4022" t="str">
            <v/>
          </cell>
          <cell r="T4022" t="str">
            <v>60 - 00011R41548</v>
          </cell>
        </row>
        <row r="4023">
          <cell r="H4023">
            <v>0</v>
          </cell>
          <cell r="O4023">
            <v>41548</v>
          </cell>
          <cell r="R4023" t="str">
            <v/>
          </cell>
          <cell r="T4023" t="str">
            <v>60 - 00011R41548</v>
          </cell>
        </row>
        <row r="4024">
          <cell r="H4024">
            <v>0</v>
          </cell>
          <cell r="O4024">
            <v>41548</v>
          </cell>
          <cell r="R4024" t="str">
            <v/>
          </cell>
          <cell r="T4024" t="str">
            <v>60 - 00011R41548</v>
          </cell>
        </row>
        <row r="4025">
          <cell r="H4025">
            <v>0</v>
          </cell>
          <cell r="O4025">
            <v>41548</v>
          </cell>
          <cell r="R4025" t="str">
            <v/>
          </cell>
          <cell r="T4025" t="str">
            <v>60 - 00011R41548</v>
          </cell>
        </row>
        <row r="4026">
          <cell r="H4026">
            <v>125795</v>
          </cell>
          <cell r="O4026">
            <v>41548</v>
          </cell>
          <cell r="R4026" t="str">
            <v/>
          </cell>
          <cell r="T4026" t="str">
            <v>60 - 00011R41548</v>
          </cell>
        </row>
        <row r="4027">
          <cell r="H4027">
            <v>0</v>
          </cell>
          <cell r="O4027">
            <v>41548</v>
          </cell>
          <cell r="R4027" t="str">
            <v/>
          </cell>
          <cell r="T4027" t="str">
            <v>60 - 00011R41548</v>
          </cell>
        </row>
        <row r="4028">
          <cell r="H4028">
            <v>0</v>
          </cell>
          <cell r="O4028">
            <v>41548</v>
          </cell>
          <cell r="R4028" t="str">
            <v/>
          </cell>
          <cell r="T4028" t="str">
            <v>60 - 00011R41548</v>
          </cell>
        </row>
        <row r="4029">
          <cell r="H4029">
            <v>-8866000</v>
          </cell>
          <cell r="O4029">
            <v>41548</v>
          </cell>
          <cell r="R4029" t="str">
            <v/>
          </cell>
          <cell r="T4029" t="str">
            <v>60 - 00011U41548</v>
          </cell>
        </row>
        <row r="4030">
          <cell r="H4030">
            <v>0</v>
          </cell>
          <cell r="O4030">
            <v>41548</v>
          </cell>
          <cell r="R4030" t="str">
            <v/>
          </cell>
          <cell r="T4030" t="str">
            <v>60 - 00011B41548</v>
          </cell>
        </row>
        <row r="4031">
          <cell r="H4031">
            <v>26291</v>
          </cell>
          <cell r="O4031">
            <v>41548</v>
          </cell>
          <cell r="R4031" t="str">
            <v/>
          </cell>
          <cell r="T4031" t="str">
            <v>60 - 00011B41548</v>
          </cell>
        </row>
        <row r="4032">
          <cell r="H4032">
            <v>66010</v>
          </cell>
          <cell r="O4032">
            <v>41548</v>
          </cell>
          <cell r="R4032" t="str">
            <v/>
          </cell>
          <cell r="T4032" t="str">
            <v>60 - 00011B41548</v>
          </cell>
        </row>
        <row r="4033">
          <cell r="H4033">
            <v>456</v>
          </cell>
          <cell r="O4033">
            <v>41548</v>
          </cell>
          <cell r="R4033" t="str">
            <v/>
          </cell>
          <cell r="T4033" t="str">
            <v>60 - 00011B41548</v>
          </cell>
        </row>
        <row r="4034">
          <cell r="H4034">
            <v>0</v>
          </cell>
          <cell r="O4034">
            <v>41548</v>
          </cell>
          <cell r="R4034" t="str">
            <v/>
          </cell>
          <cell r="T4034" t="str">
            <v>60 - 00011B41548</v>
          </cell>
        </row>
        <row r="4035">
          <cell r="H4035">
            <v>0</v>
          </cell>
          <cell r="O4035">
            <v>41548</v>
          </cell>
          <cell r="R4035" t="str">
            <v/>
          </cell>
          <cell r="T4035" t="str">
            <v>60 - 00011R41548</v>
          </cell>
        </row>
        <row r="4036">
          <cell r="H4036">
            <v>0</v>
          </cell>
          <cell r="O4036">
            <v>41548</v>
          </cell>
          <cell r="R4036" t="str">
            <v/>
          </cell>
          <cell r="T4036" t="str">
            <v>60 - 00011R41548</v>
          </cell>
        </row>
        <row r="4037">
          <cell r="H4037">
            <v>0</v>
          </cell>
          <cell r="O4037">
            <v>41548</v>
          </cell>
          <cell r="R4037" t="str">
            <v/>
          </cell>
          <cell r="T4037" t="str">
            <v>60 - 00011R41548</v>
          </cell>
        </row>
        <row r="4038">
          <cell r="H4038">
            <v>0</v>
          </cell>
          <cell r="O4038">
            <v>41548</v>
          </cell>
          <cell r="R4038" t="str">
            <v/>
          </cell>
          <cell r="T4038" t="str">
            <v>60 - 00011R41548</v>
          </cell>
        </row>
        <row r="4039">
          <cell r="H4039">
            <v>0</v>
          </cell>
          <cell r="O4039">
            <v>41548</v>
          </cell>
          <cell r="R4039" t="str">
            <v/>
          </cell>
          <cell r="T4039" t="str">
            <v>60 - 00011R41548</v>
          </cell>
        </row>
        <row r="4040">
          <cell r="H4040">
            <v>7106400</v>
          </cell>
          <cell r="O4040">
            <v>41548</v>
          </cell>
          <cell r="R4040" t="str">
            <v/>
          </cell>
          <cell r="T4040" t="str">
            <v>60 - 00011R41548</v>
          </cell>
        </row>
        <row r="4041">
          <cell r="H4041">
            <v>0</v>
          </cell>
          <cell r="O4041">
            <v>41548</v>
          </cell>
          <cell r="R4041" t="str">
            <v/>
          </cell>
          <cell r="T4041" t="str">
            <v>60 - 00011R41548</v>
          </cell>
        </row>
        <row r="4042">
          <cell r="H4042">
            <v>1472000</v>
          </cell>
          <cell r="O4042">
            <v>41548</v>
          </cell>
          <cell r="R4042" t="str">
            <v/>
          </cell>
          <cell r="T4042" t="str">
            <v>60 - 00011R41548</v>
          </cell>
        </row>
        <row r="4043">
          <cell r="H4043">
            <v>25093</v>
          </cell>
          <cell r="O4043">
            <v>41548</v>
          </cell>
          <cell r="R4043" t="str">
            <v/>
          </cell>
          <cell r="T4043" t="str">
            <v>60 - 00011R41548</v>
          </cell>
        </row>
        <row r="4044">
          <cell r="H4044">
            <v>0</v>
          </cell>
          <cell r="O4044">
            <v>41548</v>
          </cell>
          <cell r="R4044" t="str">
            <v/>
          </cell>
          <cell r="T4044" t="str">
            <v>60 - 00011R41548</v>
          </cell>
        </row>
        <row r="4045">
          <cell r="H4045">
            <v>148661433</v>
          </cell>
          <cell r="O4045">
            <v>41548</v>
          </cell>
          <cell r="R4045" t="str">
            <v/>
          </cell>
          <cell r="T4045" t="str">
            <v>60 - 00011R41548</v>
          </cell>
        </row>
        <row r="4046">
          <cell r="H4046">
            <v>0</v>
          </cell>
          <cell r="O4046">
            <v>41548</v>
          </cell>
          <cell r="R4046" t="str">
            <v/>
          </cell>
          <cell r="T4046" t="str">
            <v>60 - 00011R41548</v>
          </cell>
        </row>
        <row r="4047">
          <cell r="H4047">
            <v>1523263</v>
          </cell>
          <cell r="O4047">
            <v>41548</v>
          </cell>
          <cell r="R4047" t="str">
            <v/>
          </cell>
          <cell r="T4047" t="str">
            <v>60 - 00011R41548</v>
          </cell>
        </row>
        <row r="4048">
          <cell r="H4048">
            <v>7584025</v>
          </cell>
          <cell r="O4048">
            <v>41548</v>
          </cell>
          <cell r="R4048" t="str">
            <v/>
          </cell>
          <cell r="T4048" t="str">
            <v>60 - 00011R41548</v>
          </cell>
        </row>
        <row r="4049">
          <cell r="H4049">
            <v>0</v>
          </cell>
          <cell r="O4049">
            <v>41548</v>
          </cell>
          <cell r="R4049" t="str">
            <v/>
          </cell>
          <cell r="T4049" t="str">
            <v>60 - 00011R41548</v>
          </cell>
        </row>
        <row r="4050">
          <cell r="H4050">
            <v>0</v>
          </cell>
          <cell r="O4050">
            <v>41548</v>
          </cell>
          <cell r="R4050" t="str">
            <v/>
          </cell>
          <cell r="T4050" t="str">
            <v>60 - 00011R41548</v>
          </cell>
        </row>
        <row r="4051">
          <cell r="H4051">
            <v>0</v>
          </cell>
          <cell r="O4051">
            <v>41548</v>
          </cell>
          <cell r="R4051" t="str">
            <v/>
          </cell>
          <cell r="T4051" t="str">
            <v>60 - 00011R41548</v>
          </cell>
        </row>
        <row r="4052">
          <cell r="H4052">
            <v>0</v>
          </cell>
          <cell r="O4052">
            <v>41548</v>
          </cell>
          <cell r="R4052" t="str">
            <v/>
          </cell>
          <cell r="T4052" t="str">
            <v>60 - 00011R41548</v>
          </cell>
        </row>
        <row r="4053">
          <cell r="H4053">
            <v>2109</v>
          </cell>
          <cell r="O4053">
            <v>41548</v>
          </cell>
          <cell r="R4053" t="str">
            <v/>
          </cell>
          <cell r="T4053" t="str">
            <v>60 - 00011R41548</v>
          </cell>
        </row>
        <row r="4054">
          <cell r="H4054">
            <v>7068</v>
          </cell>
          <cell r="O4054">
            <v>41548</v>
          </cell>
          <cell r="R4054" t="str">
            <v/>
          </cell>
          <cell r="T4054" t="str">
            <v>60 - 00011R41548</v>
          </cell>
        </row>
        <row r="4055">
          <cell r="H4055">
            <v>197</v>
          </cell>
          <cell r="O4055">
            <v>41548</v>
          </cell>
          <cell r="R4055" t="str">
            <v/>
          </cell>
          <cell r="T4055" t="str">
            <v>60 - 00011R41548</v>
          </cell>
        </row>
        <row r="4056">
          <cell r="H4056">
            <v>86</v>
          </cell>
          <cell r="O4056">
            <v>41548</v>
          </cell>
          <cell r="R4056" t="str">
            <v/>
          </cell>
          <cell r="T4056" t="str">
            <v>60 - 00011R41548</v>
          </cell>
        </row>
        <row r="4057">
          <cell r="H4057">
            <v>7</v>
          </cell>
          <cell r="O4057">
            <v>41548</v>
          </cell>
          <cell r="R4057" t="str">
            <v/>
          </cell>
          <cell r="T4057" t="str">
            <v>60 - 00011R41548</v>
          </cell>
        </row>
        <row r="4058">
          <cell r="H4058">
            <v>1299</v>
          </cell>
          <cell r="O4058">
            <v>41548</v>
          </cell>
          <cell r="R4058" t="str">
            <v/>
          </cell>
          <cell r="T4058" t="str">
            <v>60 - 00011R41548</v>
          </cell>
        </row>
        <row r="4059">
          <cell r="H4059">
            <v>10601</v>
          </cell>
          <cell r="O4059">
            <v>41548</v>
          </cell>
          <cell r="R4059" t="str">
            <v/>
          </cell>
          <cell r="T4059" t="str">
            <v>60 - 00011R41548</v>
          </cell>
        </row>
        <row r="4060">
          <cell r="H4060">
            <v>0</v>
          </cell>
          <cell r="O4060">
            <v>41548</v>
          </cell>
          <cell r="R4060" t="str">
            <v/>
          </cell>
          <cell r="T4060" t="str">
            <v>60 - 00011R41548</v>
          </cell>
        </row>
        <row r="4061">
          <cell r="H4061">
            <v>18315274</v>
          </cell>
          <cell r="O4061">
            <v>41548</v>
          </cell>
          <cell r="R4061" t="str">
            <v/>
          </cell>
          <cell r="T4061" t="str">
            <v>60 - 00011R41548</v>
          </cell>
        </row>
        <row r="4062">
          <cell r="H4062">
            <v>26285</v>
          </cell>
          <cell r="O4062">
            <v>41548</v>
          </cell>
          <cell r="R4062" t="str">
            <v/>
          </cell>
          <cell r="T4062" t="str">
            <v>60 - 00011R41548</v>
          </cell>
        </row>
        <row r="4063">
          <cell r="H4063">
            <v>0</v>
          </cell>
          <cell r="O4063">
            <v>41548</v>
          </cell>
          <cell r="R4063" t="str">
            <v/>
          </cell>
          <cell r="T4063" t="str">
            <v>60 - 00011R41548</v>
          </cell>
        </row>
        <row r="4064">
          <cell r="H4064">
            <v>0</v>
          </cell>
          <cell r="O4064">
            <v>41548</v>
          </cell>
          <cell r="R4064" t="str">
            <v/>
          </cell>
          <cell r="T4064" t="str">
            <v>60 - 00011R41548</v>
          </cell>
        </row>
        <row r="4065">
          <cell r="H4065">
            <v>48240</v>
          </cell>
          <cell r="O4065">
            <v>41548</v>
          </cell>
          <cell r="R4065" t="str">
            <v/>
          </cell>
          <cell r="T4065" t="str">
            <v>60 - 00011R41548</v>
          </cell>
        </row>
        <row r="4066">
          <cell r="H4066">
            <v>85840</v>
          </cell>
          <cell r="O4066">
            <v>41548</v>
          </cell>
          <cell r="R4066" t="str">
            <v/>
          </cell>
          <cell r="T4066" t="str">
            <v>60 - 00011R41548</v>
          </cell>
        </row>
        <row r="4067">
          <cell r="H4067">
            <v>4600000</v>
          </cell>
          <cell r="O4067">
            <v>41548</v>
          </cell>
          <cell r="R4067" t="str">
            <v/>
          </cell>
          <cell r="T4067" t="str">
            <v>60 - 00011R41548</v>
          </cell>
        </row>
        <row r="4068">
          <cell r="H4068">
            <v>0</v>
          </cell>
          <cell r="O4068">
            <v>41548</v>
          </cell>
          <cell r="R4068" t="str">
            <v/>
          </cell>
          <cell r="T4068" t="str">
            <v>60 - 00011R41548</v>
          </cell>
        </row>
        <row r="4069">
          <cell r="H4069">
            <v>0</v>
          </cell>
          <cell r="O4069">
            <v>41548</v>
          </cell>
          <cell r="R4069" t="str">
            <v/>
          </cell>
          <cell r="T4069" t="str">
            <v>60 - 00011R41548</v>
          </cell>
        </row>
        <row r="4070">
          <cell r="H4070">
            <v>0</v>
          </cell>
          <cell r="O4070">
            <v>41548</v>
          </cell>
          <cell r="R4070" t="str">
            <v/>
          </cell>
          <cell r="T4070" t="str">
            <v>60 - 00011R41548</v>
          </cell>
        </row>
        <row r="4071">
          <cell r="H4071">
            <v>456</v>
          </cell>
          <cell r="O4071">
            <v>41548</v>
          </cell>
          <cell r="R4071" t="str">
            <v/>
          </cell>
          <cell r="T4071" t="str">
            <v>60 - 00011R41548</v>
          </cell>
        </row>
        <row r="4072">
          <cell r="H4072">
            <v>0</v>
          </cell>
          <cell r="O4072">
            <v>41548</v>
          </cell>
          <cell r="R4072" t="str">
            <v/>
          </cell>
          <cell r="T4072" t="str">
            <v>60 - 00011R41548</v>
          </cell>
        </row>
        <row r="4073">
          <cell r="H4073">
            <v>13354000</v>
          </cell>
          <cell r="O4073">
            <v>41548</v>
          </cell>
          <cell r="R4073" t="str">
            <v/>
          </cell>
          <cell r="T4073" t="str">
            <v>60 - 00011U41548</v>
          </cell>
        </row>
        <row r="4074">
          <cell r="H4074">
            <v>0</v>
          </cell>
          <cell r="O4074">
            <v>41548</v>
          </cell>
          <cell r="R4074" t="str">
            <v/>
          </cell>
          <cell r="T4074" t="str">
            <v>60 - 00011B41548</v>
          </cell>
        </row>
        <row r="4075">
          <cell r="H4075">
            <v>2745133</v>
          </cell>
          <cell r="O4075">
            <v>41548</v>
          </cell>
          <cell r="R4075" t="str">
            <v/>
          </cell>
          <cell r="T4075" t="str">
            <v>60 - 00011B41548</v>
          </cell>
        </row>
        <row r="4076">
          <cell r="H4076">
            <v>-920156</v>
          </cell>
          <cell r="O4076">
            <v>41548</v>
          </cell>
          <cell r="R4076" t="str">
            <v/>
          </cell>
          <cell r="T4076" t="str">
            <v>60 - 00011B41548</v>
          </cell>
        </row>
        <row r="4077">
          <cell r="H4077">
            <v>32489</v>
          </cell>
          <cell r="O4077">
            <v>41548</v>
          </cell>
          <cell r="R4077" t="str">
            <v/>
          </cell>
          <cell r="T4077" t="str">
            <v>60 - 00011B41548</v>
          </cell>
        </row>
        <row r="4078">
          <cell r="H4078">
            <v>5514321</v>
          </cell>
          <cell r="O4078">
            <v>41548</v>
          </cell>
          <cell r="R4078" t="str">
            <v/>
          </cell>
          <cell r="T4078" t="str">
            <v>60 - 00011B41548</v>
          </cell>
        </row>
        <row r="4079">
          <cell r="H4079">
            <v>1920</v>
          </cell>
          <cell r="O4079">
            <v>41548</v>
          </cell>
          <cell r="R4079" t="str">
            <v/>
          </cell>
          <cell r="T4079" t="str">
            <v>60 - 00011B41548</v>
          </cell>
        </row>
        <row r="4080">
          <cell r="H4080">
            <v>1128000</v>
          </cell>
          <cell r="O4080">
            <v>41548</v>
          </cell>
          <cell r="R4080" t="str">
            <v/>
          </cell>
          <cell r="T4080" t="str">
            <v>60 - 00011B41548</v>
          </cell>
        </row>
        <row r="4081">
          <cell r="H4081">
            <v>10735</v>
          </cell>
          <cell r="O4081">
            <v>41548</v>
          </cell>
          <cell r="R4081" t="str">
            <v/>
          </cell>
          <cell r="T4081" t="str">
            <v>60 - 00011B41548</v>
          </cell>
        </row>
        <row r="4082">
          <cell r="H4082">
            <v>5693</v>
          </cell>
          <cell r="O4082">
            <v>41548</v>
          </cell>
          <cell r="R4082" t="str">
            <v/>
          </cell>
          <cell r="T4082" t="str">
            <v>60 - 00011B41548</v>
          </cell>
        </row>
        <row r="4083">
          <cell r="H4083">
            <v>0</v>
          </cell>
          <cell r="O4083">
            <v>41548</v>
          </cell>
          <cell r="R4083" t="str">
            <v/>
          </cell>
          <cell r="T4083" t="str">
            <v>60 - 00011B41548</v>
          </cell>
        </row>
        <row r="4084">
          <cell r="H4084">
            <v>1230132</v>
          </cell>
          <cell r="O4084">
            <v>41548</v>
          </cell>
          <cell r="R4084" t="str">
            <v/>
          </cell>
          <cell r="T4084" t="str">
            <v>60 - 00011B41548</v>
          </cell>
        </row>
        <row r="4085">
          <cell r="H4085">
            <v>2002282</v>
          </cell>
          <cell r="O4085">
            <v>41548</v>
          </cell>
          <cell r="R4085" t="str">
            <v/>
          </cell>
          <cell r="T4085" t="str">
            <v>60 - 00011B41548</v>
          </cell>
        </row>
        <row r="4086">
          <cell r="H4086">
            <v>222760</v>
          </cell>
          <cell r="O4086">
            <v>41548</v>
          </cell>
          <cell r="R4086" t="str">
            <v/>
          </cell>
          <cell r="T4086" t="str">
            <v>60 - 00011B41548</v>
          </cell>
        </row>
        <row r="4087">
          <cell r="H4087">
            <v>0</v>
          </cell>
          <cell r="O4087">
            <v>41548</v>
          </cell>
          <cell r="R4087" t="str">
            <v/>
          </cell>
          <cell r="T4087" t="str">
            <v>60 - 00011B41548</v>
          </cell>
        </row>
        <row r="4088">
          <cell r="H4088">
            <v>0</v>
          </cell>
          <cell r="O4088">
            <v>41548</v>
          </cell>
          <cell r="R4088" t="str">
            <v/>
          </cell>
          <cell r="T4088" t="str">
            <v>60 - 00011R41548</v>
          </cell>
        </row>
        <row r="4089">
          <cell r="H4089">
            <v>0</v>
          </cell>
          <cell r="O4089">
            <v>41548</v>
          </cell>
          <cell r="R4089" t="str">
            <v/>
          </cell>
          <cell r="T4089" t="str">
            <v>60 - 00011R41548</v>
          </cell>
        </row>
        <row r="4090">
          <cell r="H4090">
            <v>0</v>
          </cell>
          <cell r="O4090">
            <v>41548</v>
          </cell>
          <cell r="R4090" t="str">
            <v/>
          </cell>
          <cell r="T4090" t="str">
            <v>60 - 00011R41548</v>
          </cell>
        </row>
        <row r="4091">
          <cell r="H4091">
            <v>0</v>
          </cell>
          <cell r="O4091">
            <v>41548</v>
          </cell>
          <cell r="R4091" t="str">
            <v/>
          </cell>
          <cell r="T4091" t="str">
            <v>60 - 00011R41548</v>
          </cell>
        </row>
        <row r="4092">
          <cell r="H4092">
            <v>0</v>
          </cell>
          <cell r="O4092">
            <v>41548</v>
          </cell>
          <cell r="R4092" t="str">
            <v/>
          </cell>
          <cell r="T4092" t="str">
            <v>60 - 00011R41548</v>
          </cell>
        </row>
        <row r="4093">
          <cell r="H4093">
            <v>0</v>
          </cell>
          <cell r="O4093">
            <v>41548</v>
          </cell>
          <cell r="R4093" t="str">
            <v/>
          </cell>
          <cell r="T4093" t="str">
            <v>60 - 00011R41548</v>
          </cell>
        </row>
        <row r="4094">
          <cell r="H4094">
            <v>0</v>
          </cell>
          <cell r="O4094">
            <v>41548</v>
          </cell>
          <cell r="R4094" t="str">
            <v/>
          </cell>
          <cell r="T4094" t="str">
            <v>60 - 00011R41548</v>
          </cell>
        </row>
        <row r="4095">
          <cell r="H4095">
            <v>0</v>
          </cell>
          <cell r="O4095">
            <v>41548</v>
          </cell>
          <cell r="R4095" t="str">
            <v/>
          </cell>
          <cell r="T4095" t="str">
            <v>60 - 00011R41548</v>
          </cell>
        </row>
        <row r="4096">
          <cell r="H4096">
            <v>0</v>
          </cell>
          <cell r="O4096">
            <v>41548</v>
          </cell>
          <cell r="R4096" t="str">
            <v/>
          </cell>
          <cell r="T4096" t="str">
            <v>60 - 00011R41548</v>
          </cell>
        </row>
        <row r="4097">
          <cell r="H4097">
            <v>0</v>
          </cell>
          <cell r="O4097">
            <v>41548</v>
          </cell>
          <cell r="R4097" t="str">
            <v/>
          </cell>
          <cell r="T4097" t="str">
            <v>60 - 00011R41548</v>
          </cell>
        </row>
        <row r="4098">
          <cell r="H4098">
            <v>9680000</v>
          </cell>
          <cell r="O4098">
            <v>41548</v>
          </cell>
          <cell r="R4098" t="str">
            <v/>
          </cell>
          <cell r="T4098" t="str">
            <v>60 - 00011R41548</v>
          </cell>
        </row>
        <row r="4099">
          <cell r="H4099">
            <v>8666738</v>
          </cell>
          <cell r="O4099">
            <v>41548</v>
          </cell>
          <cell r="R4099" t="str">
            <v/>
          </cell>
          <cell r="T4099" t="str">
            <v>60 - 00011R41548</v>
          </cell>
        </row>
        <row r="4100">
          <cell r="H4100">
            <v>14</v>
          </cell>
          <cell r="O4100">
            <v>41548</v>
          </cell>
          <cell r="R4100" t="str">
            <v/>
          </cell>
          <cell r="T4100" t="str">
            <v>60 - 00011R41548</v>
          </cell>
        </row>
        <row r="4101">
          <cell r="H4101">
            <v>12947</v>
          </cell>
          <cell r="O4101">
            <v>41548</v>
          </cell>
          <cell r="R4101" t="str">
            <v/>
          </cell>
          <cell r="T4101" t="str">
            <v>60 - 00011R41548</v>
          </cell>
        </row>
        <row r="4102">
          <cell r="H4102">
            <v>34345</v>
          </cell>
          <cell r="O4102">
            <v>41548</v>
          </cell>
          <cell r="R4102" t="str">
            <v/>
          </cell>
          <cell r="T4102" t="str">
            <v>60 - 00011R41548</v>
          </cell>
        </row>
        <row r="4103">
          <cell r="H4103">
            <v>0</v>
          </cell>
          <cell r="O4103">
            <v>41548</v>
          </cell>
          <cell r="R4103" t="str">
            <v/>
          </cell>
          <cell r="T4103" t="str">
            <v>60 - 00011R41548</v>
          </cell>
        </row>
        <row r="4104">
          <cell r="H4104">
            <v>0</v>
          </cell>
          <cell r="O4104">
            <v>41548</v>
          </cell>
          <cell r="R4104" t="str">
            <v/>
          </cell>
          <cell r="T4104" t="str">
            <v>60 - 00011R41548</v>
          </cell>
        </row>
        <row r="4105">
          <cell r="H4105">
            <v>0</v>
          </cell>
          <cell r="O4105">
            <v>41548</v>
          </cell>
          <cell r="R4105" t="str">
            <v/>
          </cell>
          <cell r="T4105" t="str">
            <v>60 - 00011R41548</v>
          </cell>
        </row>
        <row r="4106">
          <cell r="H4106">
            <v>2744</v>
          </cell>
          <cell r="O4106">
            <v>41548</v>
          </cell>
          <cell r="R4106" t="str">
            <v/>
          </cell>
          <cell r="T4106" t="str">
            <v>60 - 00011R41548</v>
          </cell>
        </row>
        <row r="4107">
          <cell r="H4107">
            <v>31450</v>
          </cell>
          <cell r="O4107">
            <v>41548</v>
          </cell>
          <cell r="R4107" t="str">
            <v/>
          </cell>
          <cell r="T4107" t="str">
            <v>60 - 00011R41548</v>
          </cell>
        </row>
        <row r="4108">
          <cell r="H4108">
            <v>0</v>
          </cell>
          <cell r="O4108">
            <v>41548</v>
          </cell>
          <cell r="R4108" t="str">
            <v/>
          </cell>
          <cell r="T4108" t="str">
            <v>60 - 00011R41548</v>
          </cell>
        </row>
        <row r="4109">
          <cell r="H4109">
            <v>0</v>
          </cell>
          <cell r="O4109">
            <v>41548</v>
          </cell>
          <cell r="R4109" t="str">
            <v/>
          </cell>
          <cell r="T4109" t="str">
            <v>60 - 00011R41548</v>
          </cell>
        </row>
        <row r="4110">
          <cell r="H4110">
            <v>0</v>
          </cell>
          <cell r="O4110">
            <v>41548</v>
          </cell>
          <cell r="R4110" t="str">
            <v/>
          </cell>
          <cell r="T4110" t="str">
            <v>60 - 00011R41548</v>
          </cell>
        </row>
        <row r="4111">
          <cell r="H4111">
            <v>0</v>
          </cell>
          <cell r="O4111">
            <v>41548</v>
          </cell>
          <cell r="R4111" t="str">
            <v/>
          </cell>
          <cell r="T4111" t="str">
            <v>60 - 00011R41548</v>
          </cell>
        </row>
        <row r="4112">
          <cell r="H4112">
            <v>0</v>
          </cell>
          <cell r="O4112">
            <v>41548</v>
          </cell>
          <cell r="R4112" t="str">
            <v/>
          </cell>
          <cell r="T4112" t="str">
            <v>60 - 00011R41548</v>
          </cell>
        </row>
        <row r="4113">
          <cell r="H4113">
            <v>0</v>
          </cell>
          <cell r="O4113">
            <v>41548</v>
          </cell>
          <cell r="R4113" t="str">
            <v/>
          </cell>
          <cell r="T4113" t="str">
            <v>60 - 00011R41548</v>
          </cell>
        </row>
        <row r="4114">
          <cell r="H4114">
            <v>3575072</v>
          </cell>
          <cell r="O4114">
            <v>41548</v>
          </cell>
          <cell r="R4114" t="str">
            <v/>
          </cell>
          <cell r="T4114" t="str">
            <v>60 - 00011R41548</v>
          </cell>
        </row>
        <row r="4115">
          <cell r="H4115">
            <v>0</v>
          </cell>
          <cell r="O4115">
            <v>41548</v>
          </cell>
          <cell r="R4115" t="str">
            <v/>
          </cell>
          <cell r="T4115" t="str">
            <v>60 - 00011R41548</v>
          </cell>
        </row>
        <row r="4116">
          <cell r="H4116">
            <v>0</v>
          </cell>
          <cell r="O4116">
            <v>41548</v>
          </cell>
          <cell r="R4116" t="str">
            <v/>
          </cell>
          <cell r="T4116" t="str">
            <v>60 - 00011R41548</v>
          </cell>
        </row>
        <row r="4117">
          <cell r="H4117">
            <v>0</v>
          </cell>
          <cell r="O4117">
            <v>41548</v>
          </cell>
          <cell r="R4117" t="str">
            <v/>
          </cell>
          <cell r="T4117" t="str">
            <v>60 - 00011R41548</v>
          </cell>
        </row>
        <row r="4118">
          <cell r="H4118">
            <v>0</v>
          </cell>
          <cell r="O4118">
            <v>41548</v>
          </cell>
          <cell r="R4118" t="str">
            <v/>
          </cell>
          <cell r="T4118" t="str">
            <v>60 - 00011R41548</v>
          </cell>
        </row>
        <row r="4119">
          <cell r="H4119">
            <v>0</v>
          </cell>
          <cell r="O4119">
            <v>41548</v>
          </cell>
          <cell r="R4119" t="str">
            <v/>
          </cell>
          <cell r="T4119" t="str">
            <v>60 - 00011R41548</v>
          </cell>
        </row>
        <row r="4120">
          <cell r="H4120">
            <v>0</v>
          </cell>
          <cell r="O4120">
            <v>41548</v>
          </cell>
          <cell r="R4120" t="str">
            <v/>
          </cell>
          <cell r="T4120" t="str">
            <v>60 - 00011R41548</v>
          </cell>
        </row>
        <row r="4121">
          <cell r="H4121">
            <v>-1400000</v>
          </cell>
          <cell r="O4121">
            <v>41548</v>
          </cell>
          <cell r="R4121" t="str">
            <v/>
          </cell>
          <cell r="T4121" t="str">
            <v>60 - 00011U41548</v>
          </cell>
        </row>
        <row r="4122">
          <cell r="H4122">
            <v>0</v>
          </cell>
          <cell r="O4122">
            <v>41548</v>
          </cell>
          <cell r="R4122" t="str">
            <v/>
          </cell>
          <cell r="T4122" t="str">
            <v>60 - 00011R41548</v>
          </cell>
        </row>
        <row r="4123">
          <cell r="H4123">
            <v>0</v>
          </cell>
          <cell r="O4123">
            <v>41548</v>
          </cell>
          <cell r="R4123" t="str">
            <v/>
          </cell>
          <cell r="T4123" t="str">
            <v>60 - 00011R41548</v>
          </cell>
        </row>
        <row r="4124">
          <cell r="H4124">
            <v>0</v>
          </cell>
          <cell r="O4124">
            <v>41548</v>
          </cell>
          <cell r="R4124" t="str">
            <v/>
          </cell>
          <cell r="T4124" t="str">
            <v>60 - 00011R41548</v>
          </cell>
        </row>
        <row r="4125">
          <cell r="H4125">
            <v>33455</v>
          </cell>
          <cell r="O4125">
            <v>41548</v>
          </cell>
          <cell r="R4125" t="str">
            <v/>
          </cell>
          <cell r="T4125" t="str">
            <v>60 - 00011R41548</v>
          </cell>
        </row>
        <row r="4126">
          <cell r="H4126">
            <v>12905</v>
          </cell>
          <cell r="O4126">
            <v>41548</v>
          </cell>
          <cell r="R4126" t="str">
            <v/>
          </cell>
          <cell r="T4126" t="str">
            <v>60 - 00011R41548</v>
          </cell>
        </row>
        <row r="4127">
          <cell r="H4127">
            <v>1507286</v>
          </cell>
          <cell r="O4127">
            <v>41548</v>
          </cell>
          <cell r="R4127" t="str">
            <v/>
          </cell>
          <cell r="T4127" t="str">
            <v>60 - 00011R41548</v>
          </cell>
        </row>
        <row r="4128">
          <cell r="H4128">
            <v>675507</v>
          </cell>
          <cell r="O4128">
            <v>41548</v>
          </cell>
          <cell r="R4128" t="str">
            <v/>
          </cell>
          <cell r="T4128" t="str">
            <v>60 - 00011R41548</v>
          </cell>
        </row>
        <row r="4129">
          <cell r="H4129">
            <v>31</v>
          </cell>
          <cell r="O4129">
            <v>41548</v>
          </cell>
          <cell r="R4129" t="str">
            <v/>
          </cell>
          <cell r="T4129" t="str">
            <v>60 - 00011R41548</v>
          </cell>
        </row>
        <row r="4130">
          <cell r="H4130">
            <v>58772</v>
          </cell>
          <cell r="O4130">
            <v>41548</v>
          </cell>
          <cell r="R4130" t="str">
            <v/>
          </cell>
          <cell r="T4130" t="str">
            <v>60 - 00011R41548</v>
          </cell>
        </row>
        <row r="4131">
          <cell r="H4131">
            <v>699344</v>
          </cell>
          <cell r="O4131">
            <v>41548</v>
          </cell>
          <cell r="R4131" t="str">
            <v/>
          </cell>
          <cell r="T4131" t="str">
            <v>60 - 00011R41548</v>
          </cell>
        </row>
        <row r="4132">
          <cell r="H4132">
            <v>1966</v>
          </cell>
          <cell r="O4132">
            <v>41548</v>
          </cell>
          <cell r="R4132" t="str">
            <v/>
          </cell>
          <cell r="T4132" t="str">
            <v>60 - 00011R41548</v>
          </cell>
        </row>
        <row r="4133">
          <cell r="H4133">
            <v>0</v>
          </cell>
          <cell r="O4133">
            <v>41548</v>
          </cell>
          <cell r="R4133" t="str">
            <v/>
          </cell>
          <cell r="T4133" t="str">
            <v>60 - 00011R41548</v>
          </cell>
        </row>
        <row r="4134">
          <cell r="H4134">
            <v>621000</v>
          </cell>
          <cell r="O4134">
            <v>41548</v>
          </cell>
          <cell r="R4134" t="str">
            <v/>
          </cell>
          <cell r="T4134" t="str">
            <v>60 - 00011U41548</v>
          </cell>
        </row>
        <row r="4135">
          <cell r="H4135">
            <v>0</v>
          </cell>
          <cell r="O4135">
            <v>41548</v>
          </cell>
          <cell r="R4135" t="str">
            <v/>
          </cell>
          <cell r="T4135" t="str">
            <v>60 - 00012B41548</v>
          </cell>
        </row>
        <row r="4136">
          <cell r="H4136">
            <v>93396293</v>
          </cell>
          <cell r="O4136">
            <v>41548</v>
          </cell>
          <cell r="R4136" t="str">
            <v/>
          </cell>
          <cell r="T4136" t="str">
            <v>60 - 00012B41548</v>
          </cell>
        </row>
        <row r="4137">
          <cell r="H4137">
            <v>151059</v>
          </cell>
          <cell r="O4137">
            <v>41548</v>
          </cell>
          <cell r="R4137" t="str">
            <v/>
          </cell>
          <cell r="T4137" t="str">
            <v>60 - 00012B41548</v>
          </cell>
        </row>
        <row r="4138">
          <cell r="H4138">
            <v>28464</v>
          </cell>
          <cell r="O4138">
            <v>41548</v>
          </cell>
          <cell r="R4138" t="str">
            <v/>
          </cell>
          <cell r="T4138" t="str">
            <v>60 - 00012B41548</v>
          </cell>
        </row>
        <row r="4139">
          <cell r="H4139">
            <v>3666101</v>
          </cell>
          <cell r="O4139">
            <v>41548</v>
          </cell>
          <cell r="R4139" t="str">
            <v/>
          </cell>
          <cell r="T4139" t="str">
            <v>60 - 00012B41548</v>
          </cell>
        </row>
        <row r="4140">
          <cell r="H4140">
            <v>86118</v>
          </cell>
          <cell r="O4140">
            <v>41548</v>
          </cell>
          <cell r="R4140" t="str">
            <v/>
          </cell>
          <cell r="T4140" t="str">
            <v>60 - 00012B41548</v>
          </cell>
        </row>
        <row r="4141">
          <cell r="H4141">
            <v>82356</v>
          </cell>
          <cell r="O4141">
            <v>41548</v>
          </cell>
          <cell r="R4141" t="str">
            <v/>
          </cell>
          <cell r="T4141" t="str">
            <v>60 - 00012B41548</v>
          </cell>
        </row>
        <row r="4142">
          <cell r="H4142">
            <v>561765</v>
          </cell>
          <cell r="O4142">
            <v>41548</v>
          </cell>
          <cell r="R4142" t="str">
            <v/>
          </cell>
          <cell r="T4142" t="str">
            <v>60 - 00012B41548</v>
          </cell>
        </row>
        <row r="4143">
          <cell r="H4143">
            <v>0</v>
          </cell>
          <cell r="O4143">
            <v>41548</v>
          </cell>
          <cell r="R4143" t="str">
            <v/>
          </cell>
          <cell r="T4143" t="str">
            <v>60 - 00012B41548</v>
          </cell>
        </row>
        <row r="4144">
          <cell r="H4144">
            <v>0</v>
          </cell>
          <cell r="O4144">
            <v>41548</v>
          </cell>
          <cell r="R4144" t="str">
            <v>41548WARESAGA</v>
          </cell>
          <cell r="T4144" t="str">
            <v>60 - 00012R41548</v>
          </cell>
        </row>
        <row r="4145">
          <cell r="H4145">
            <v>0</v>
          </cell>
          <cell r="O4145">
            <v>41548</v>
          </cell>
          <cell r="R4145" t="str">
            <v>41548WARESAGA</v>
          </cell>
          <cell r="T4145" t="str">
            <v>60 - 00012R41548</v>
          </cell>
        </row>
        <row r="4146">
          <cell r="H4146">
            <v>0</v>
          </cell>
          <cell r="O4146">
            <v>41548</v>
          </cell>
          <cell r="R4146" t="str">
            <v>41548WARESAGA</v>
          </cell>
          <cell r="T4146" t="str">
            <v>60 - 00012R41548</v>
          </cell>
        </row>
        <row r="4147">
          <cell r="H4147">
            <v>0</v>
          </cell>
          <cell r="O4147">
            <v>41548</v>
          </cell>
          <cell r="R4147" t="str">
            <v>41548WARESAGA</v>
          </cell>
          <cell r="T4147" t="str">
            <v>60 - 00012R41548</v>
          </cell>
        </row>
        <row r="4148">
          <cell r="H4148">
            <v>0</v>
          </cell>
          <cell r="O4148">
            <v>41548</v>
          </cell>
          <cell r="R4148" t="str">
            <v>41548WARESAGA</v>
          </cell>
          <cell r="T4148" t="str">
            <v>60 - 00012R41548</v>
          </cell>
        </row>
        <row r="4149">
          <cell r="H4149">
            <v>0</v>
          </cell>
          <cell r="O4149">
            <v>41548</v>
          </cell>
          <cell r="R4149" t="str">
            <v>41548WARESAGA</v>
          </cell>
          <cell r="T4149" t="str">
            <v>60 - 00012R41548</v>
          </cell>
        </row>
        <row r="4150">
          <cell r="H4150">
            <v>0</v>
          </cell>
          <cell r="O4150">
            <v>41548</v>
          </cell>
          <cell r="R4150" t="str">
            <v>41548WARESAGA</v>
          </cell>
          <cell r="T4150" t="str">
            <v>60 - 00012R41548</v>
          </cell>
        </row>
        <row r="4151">
          <cell r="H4151">
            <v>93396187</v>
          </cell>
          <cell r="O4151">
            <v>41548</v>
          </cell>
          <cell r="R4151" t="str">
            <v>41548WARES16</v>
          </cell>
          <cell r="T4151" t="str">
            <v>60 - 00012R41548</v>
          </cell>
        </row>
        <row r="4152">
          <cell r="H4152">
            <v>151058</v>
          </cell>
          <cell r="O4152">
            <v>41548</v>
          </cell>
          <cell r="R4152" t="str">
            <v>41548WARES18</v>
          </cell>
          <cell r="T4152" t="str">
            <v>60 - 00012R41548</v>
          </cell>
        </row>
        <row r="4153">
          <cell r="H4153">
            <v>28464</v>
          </cell>
          <cell r="O4153">
            <v>41548</v>
          </cell>
          <cell r="R4153" t="str">
            <v>41548WARES18</v>
          </cell>
          <cell r="T4153" t="str">
            <v>60 - 00012R41548</v>
          </cell>
        </row>
        <row r="4154">
          <cell r="H4154">
            <v>0</v>
          </cell>
          <cell r="O4154">
            <v>41548</v>
          </cell>
          <cell r="R4154" t="str">
            <v>41548WARESAGA</v>
          </cell>
          <cell r="T4154" t="str">
            <v>60 - 00012R41548</v>
          </cell>
        </row>
        <row r="4155">
          <cell r="H4155">
            <v>3666088</v>
          </cell>
          <cell r="O4155">
            <v>41548</v>
          </cell>
          <cell r="R4155" t="str">
            <v>41548WARES17</v>
          </cell>
          <cell r="T4155" t="str">
            <v>60 - 00012R41548</v>
          </cell>
        </row>
        <row r="4156">
          <cell r="H4156">
            <v>86116</v>
          </cell>
          <cell r="O4156">
            <v>41548</v>
          </cell>
          <cell r="R4156" t="str">
            <v>41548WARES15</v>
          </cell>
          <cell r="T4156" t="str">
            <v>60 - 00012R41548</v>
          </cell>
        </row>
        <row r="4157">
          <cell r="H4157">
            <v>82357</v>
          </cell>
          <cell r="O4157">
            <v>41548</v>
          </cell>
          <cell r="R4157" t="str">
            <v>41548WARES16</v>
          </cell>
          <cell r="T4157" t="str">
            <v>60 - 00012R41548</v>
          </cell>
        </row>
        <row r="4158">
          <cell r="H4158">
            <v>561810</v>
          </cell>
          <cell r="O4158">
            <v>41548</v>
          </cell>
          <cell r="R4158" t="str">
            <v>41548WARES24</v>
          </cell>
          <cell r="T4158" t="str">
            <v>60 - 00012R41548</v>
          </cell>
        </row>
        <row r="4159">
          <cell r="H4159">
            <v>0</v>
          </cell>
          <cell r="O4159">
            <v>41548</v>
          </cell>
          <cell r="R4159" t="str">
            <v>41548WARESAGA</v>
          </cell>
          <cell r="T4159" t="str">
            <v>60 - 00012R41548</v>
          </cell>
        </row>
        <row r="4160">
          <cell r="H4160">
            <v>12195000</v>
          </cell>
          <cell r="O4160">
            <v>41548</v>
          </cell>
          <cell r="R4160" t="str">
            <v>41548WARES88</v>
          </cell>
          <cell r="T4160" t="str">
            <v>60 - 00012U41548</v>
          </cell>
        </row>
        <row r="4161">
          <cell r="H4161">
            <v>0</v>
          </cell>
          <cell r="O4161">
            <v>41548</v>
          </cell>
          <cell r="R4161" t="str">
            <v>41548WARESAGA</v>
          </cell>
          <cell r="T4161" t="str">
            <v>60 - 00012U41548</v>
          </cell>
        </row>
        <row r="4162">
          <cell r="H4162">
            <v>0</v>
          </cell>
          <cell r="O4162">
            <v>41548</v>
          </cell>
          <cell r="R4162" t="str">
            <v/>
          </cell>
          <cell r="T4162" t="str">
            <v>60 - 00012B41548</v>
          </cell>
        </row>
        <row r="4163">
          <cell r="H4163">
            <v>3515049</v>
          </cell>
          <cell r="O4163">
            <v>41548</v>
          </cell>
          <cell r="R4163" t="str">
            <v/>
          </cell>
          <cell r="T4163" t="str">
            <v>60 - 00012B41548</v>
          </cell>
        </row>
        <row r="4164">
          <cell r="H4164">
            <v>16217</v>
          </cell>
          <cell r="O4164">
            <v>41548</v>
          </cell>
          <cell r="R4164" t="str">
            <v/>
          </cell>
          <cell r="T4164" t="str">
            <v>60 - 00012B41548</v>
          </cell>
        </row>
        <row r="4165">
          <cell r="H4165">
            <v>9179721</v>
          </cell>
          <cell r="O4165">
            <v>41548</v>
          </cell>
          <cell r="R4165" t="str">
            <v/>
          </cell>
          <cell r="T4165" t="str">
            <v>60 - 00012B41548</v>
          </cell>
        </row>
        <row r="4166">
          <cell r="H4166">
            <v>45911</v>
          </cell>
          <cell r="O4166">
            <v>41548</v>
          </cell>
          <cell r="R4166" t="str">
            <v/>
          </cell>
          <cell r="T4166" t="str">
            <v>60 - 00012B41548</v>
          </cell>
        </row>
        <row r="4167">
          <cell r="H4167">
            <v>72</v>
          </cell>
          <cell r="O4167">
            <v>41548</v>
          </cell>
          <cell r="R4167" t="str">
            <v/>
          </cell>
          <cell r="T4167" t="str">
            <v>60 - 00012B41548</v>
          </cell>
        </row>
        <row r="4168">
          <cell r="H4168">
            <v>510</v>
          </cell>
          <cell r="O4168">
            <v>41548</v>
          </cell>
          <cell r="R4168" t="str">
            <v/>
          </cell>
          <cell r="T4168" t="str">
            <v>60 - 00012B41548</v>
          </cell>
        </row>
        <row r="4169">
          <cell r="H4169">
            <v>0</v>
          </cell>
          <cell r="O4169">
            <v>41548</v>
          </cell>
          <cell r="R4169" t="str">
            <v/>
          </cell>
          <cell r="T4169" t="str">
            <v>60 - 00012B41548</v>
          </cell>
        </row>
        <row r="4170">
          <cell r="H4170">
            <v>0</v>
          </cell>
          <cell r="O4170">
            <v>41548</v>
          </cell>
          <cell r="R4170" t="str">
            <v>41548WACOMAGA</v>
          </cell>
          <cell r="T4170" t="str">
            <v>60 - 00012R41548</v>
          </cell>
        </row>
        <row r="4171">
          <cell r="H4171">
            <v>0</v>
          </cell>
          <cell r="O4171">
            <v>41548</v>
          </cell>
          <cell r="R4171" t="str">
            <v>41548WACOMAGA</v>
          </cell>
          <cell r="T4171" t="str">
            <v>60 - 00012R41548</v>
          </cell>
        </row>
        <row r="4172">
          <cell r="H4172">
            <v>0</v>
          </cell>
          <cell r="O4172">
            <v>41548</v>
          </cell>
          <cell r="R4172" t="str">
            <v>41548WACOMAGA</v>
          </cell>
          <cell r="T4172" t="str">
            <v>60 - 00012R41548</v>
          </cell>
        </row>
        <row r="4173">
          <cell r="H4173">
            <v>0</v>
          </cell>
          <cell r="O4173">
            <v>41548</v>
          </cell>
          <cell r="R4173" t="str">
            <v>41548WACOMAGA</v>
          </cell>
          <cell r="T4173" t="str">
            <v>60 - 00012R41548</v>
          </cell>
        </row>
        <row r="4174">
          <cell r="H4174">
            <v>0</v>
          </cell>
          <cell r="O4174">
            <v>41548</v>
          </cell>
          <cell r="R4174" t="str">
            <v>41548WACOMAGA</v>
          </cell>
          <cell r="T4174" t="str">
            <v>60 - 00012R41548</v>
          </cell>
        </row>
        <row r="4175">
          <cell r="H4175">
            <v>0</v>
          </cell>
          <cell r="O4175">
            <v>41548</v>
          </cell>
          <cell r="R4175" t="str">
            <v>41548WACOMAGA</v>
          </cell>
          <cell r="T4175" t="str">
            <v>60 - 00012R41548</v>
          </cell>
        </row>
        <row r="4176">
          <cell r="H4176">
            <v>37529632</v>
          </cell>
          <cell r="O4176">
            <v>41548</v>
          </cell>
          <cell r="R4176" t="str">
            <v>41548WACOM24</v>
          </cell>
          <cell r="T4176" t="str">
            <v>60 - 00012R41548</v>
          </cell>
        </row>
        <row r="4177">
          <cell r="H4177">
            <v>92919</v>
          </cell>
          <cell r="O4177">
            <v>41548</v>
          </cell>
          <cell r="R4177" t="str">
            <v>41548WACOM24</v>
          </cell>
          <cell r="T4177" t="str">
            <v>60 - 00012R41548</v>
          </cell>
        </row>
        <row r="4178">
          <cell r="H4178">
            <v>65483034</v>
          </cell>
          <cell r="O4178">
            <v>41548</v>
          </cell>
          <cell r="R4178" t="str">
            <v>41548WACOM36</v>
          </cell>
          <cell r="T4178" t="str">
            <v>60 - 00012R41548</v>
          </cell>
        </row>
        <row r="4179">
          <cell r="H4179">
            <v>16684160</v>
          </cell>
          <cell r="O4179">
            <v>41548</v>
          </cell>
          <cell r="R4179" t="str">
            <v>41548WACOM48T</v>
          </cell>
          <cell r="T4179" t="str">
            <v>60 - 00012R41548</v>
          </cell>
        </row>
        <row r="4180">
          <cell r="H4180">
            <v>0</v>
          </cell>
          <cell r="O4180">
            <v>41548</v>
          </cell>
          <cell r="R4180" t="str">
            <v>41548WACOMAGA</v>
          </cell>
          <cell r="T4180" t="str">
            <v>60 - 00012R41548</v>
          </cell>
        </row>
        <row r="4181">
          <cell r="H4181">
            <v>0</v>
          </cell>
          <cell r="O4181">
            <v>41548</v>
          </cell>
          <cell r="R4181" t="str">
            <v>41548WACOMAGA</v>
          </cell>
          <cell r="T4181" t="str">
            <v>60 - 00012R41548</v>
          </cell>
        </row>
        <row r="4182">
          <cell r="H4182">
            <v>0</v>
          </cell>
          <cell r="O4182">
            <v>41548</v>
          </cell>
          <cell r="R4182" t="str">
            <v>41548WACOMAGA</v>
          </cell>
          <cell r="T4182" t="str">
            <v>60 - 00012R41548</v>
          </cell>
        </row>
        <row r="4183">
          <cell r="H4183">
            <v>0</v>
          </cell>
          <cell r="O4183">
            <v>41548</v>
          </cell>
          <cell r="R4183" t="str">
            <v>41548WACOMAGA</v>
          </cell>
          <cell r="T4183" t="str">
            <v>60 - 00012R41548</v>
          </cell>
        </row>
        <row r="4184">
          <cell r="H4184">
            <v>0</v>
          </cell>
          <cell r="O4184">
            <v>41548</v>
          </cell>
          <cell r="R4184" t="str">
            <v>41548WACOMAGA</v>
          </cell>
          <cell r="T4184" t="str">
            <v>60 - 00012R41548</v>
          </cell>
        </row>
        <row r="4185">
          <cell r="H4185">
            <v>129965</v>
          </cell>
          <cell r="O4185">
            <v>41548</v>
          </cell>
          <cell r="R4185" t="str">
            <v>41548WACOM15</v>
          </cell>
          <cell r="T4185" t="str">
            <v>60 - 00012R41548</v>
          </cell>
        </row>
        <row r="4186">
          <cell r="H4186">
            <v>23600</v>
          </cell>
          <cell r="O4186">
            <v>41548</v>
          </cell>
          <cell r="R4186" t="str">
            <v>41548WACOM54</v>
          </cell>
          <cell r="T4186" t="str">
            <v>60 - 00012R41548</v>
          </cell>
        </row>
        <row r="4187">
          <cell r="H4187">
            <v>0</v>
          </cell>
          <cell r="O4187">
            <v>41548</v>
          </cell>
          <cell r="R4187" t="str">
            <v>41548WACOMAGA</v>
          </cell>
          <cell r="T4187" t="str">
            <v>60 - 00012R41548</v>
          </cell>
        </row>
        <row r="4188">
          <cell r="H4188">
            <v>68007</v>
          </cell>
          <cell r="O4188">
            <v>41548</v>
          </cell>
          <cell r="R4188" t="str">
            <v>41548WACOM24</v>
          </cell>
          <cell r="T4188" t="str">
            <v>60 - 00012R41548</v>
          </cell>
        </row>
        <row r="4189">
          <cell r="H4189">
            <v>3515145</v>
          </cell>
          <cell r="O4189">
            <v>41548</v>
          </cell>
          <cell r="R4189" t="str">
            <v>41548WACOM24</v>
          </cell>
          <cell r="T4189" t="str">
            <v>60 - 00012R41548</v>
          </cell>
        </row>
        <row r="4190">
          <cell r="H4190">
            <v>16223</v>
          </cell>
          <cell r="O4190">
            <v>41548</v>
          </cell>
          <cell r="R4190" t="str">
            <v>41548WACOM24</v>
          </cell>
          <cell r="T4190" t="str">
            <v>60 - 00012R41548</v>
          </cell>
        </row>
        <row r="4191">
          <cell r="H4191">
            <v>9179720</v>
          </cell>
          <cell r="O4191">
            <v>41548</v>
          </cell>
          <cell r="R4191" t="str">
            <v>41548WACOM36</v>
          </cell>
          <cell r="T4191" t="str">
            <v>60 - 00012R41548</v>
          </cell>
        </row>
        <row r="4192">
          <cell r="H4192">
            <v>45910</v>
          </cell>
          <cell r="O4192">
            <v>41548</v>
          </cell>
          <cell r="R4192" t="str">
            <v>41548WACOM15</v>
          </cell>
          <cell r="T4192" t="str">
            <v>60 - 00012R41548</v>
          </cell>
        </row>
        <row r="4193">
          <cell r="H4193">
            <v>12857</v>
          </cell>
          <cell r="O4193">
            <v>41548</v>
          </cell>
          <cell r="R4193" t="str">
            <v>41548WACOM24</v>
          </cell>
          <cell r="T4193" t="str">
            <v>60 - 00012R41548</v>
          </cell>
        </row>
        <row r="4194">
          <cell r="H4194">
            <v>0</v>
          </cell>
          <cell r="O4194">
            <v>41548</v>
          </cell>
          <cell r="R4194" t="str">
            <v>41548WACOMAGA</v>
          </cell>
          <cell r="T4194" t="str">
            <v>60 - 00012R41548</v>
          </cell>
        </row>
        <row r="4195">
          <cell r="H4195">
            <v>119280</v>
          </cell>
          <cell r="O4195">
            <v>41548</v>
          </cell>
          <cell r="R4195" t="str">
            <v>41548WACOM36</v>
          </cell>
          <cell r="T4195" t="str">
            <v>60 - 00012R41548</v>
          </cell>
        </row>
        <row r="4196">
          <cell r="H4196">
            <v>0</v>
          </cell>
          <cell r="O4196">
            <v>41548</v>
          </cell>
          <cell r="R4196" t="str">
            <v>41548WACOM48T</v>
          </cell>
          <cell r="T4196" t="str">
            <v>60 - 00012R41548</v>
          </cell>
        </row>
        <row r="4197">
          <cell r="H4197">
            <v>0</v>
          </cell>
          <cell r="O4197">
            <v>41548</v>
          </cell>
          <cell r="R4197" t="str">
            <v>41548WACOMAGA</v>
          </cell>
          <cell r="T4197" t="str">
            <v>60 - 00012R41548</v>
          </cell>
        </row>
        <row r="4198">
          <cell r="H4198">
            <v>597000</v>
          </cell>
          <cell r="O4198">
            <v>41548</v>
          </cell>
          <cell r="R4198" t="str">
            <v>41548WACOM88</v>
          </cell>
          <cell r="T4198" t="str">
            <v>60 - 00012U41548</v>
          </cell>
        </row>
        <row r="4199">
          <cell r="H4199">
            <v>0</v>
          </cell>
          <cell r="O4199">
            <v>41548</v>
          </cell>
          <cell r="R4199" t="str">
            <v/>
          </cell>
          <cell r="T4199" t="str">
            <v>60 - 00012B41548</v>
          </cell>
        </row>
        <row r="4200">
          <cell r="H4200">
            <v>430319</v>
          </cell>
          <cell r="O4200">
            <v>41548</v>
          </cell>
          <cell r="R4200" t="str">
            <v/>
          </cell>
          <cell r="T4200" t="str">
            <v>60 - 00012B41548</v>
          </cell>
        </row>
        <row r="4201">
          <cell r="H4201">
            <v>337</v>
          </cell>
          <cell r="O4201">
            <v>41548</v>
          </cell>
          <cell r="R4201" t="str">
            <v/>
          </cell>
          <cell r="T4201" t="str">
            <v>60 - 00012B41548</v>
          </cell>
        </row>
        <row r="4202">
          <cell r="H4202">
            <v>1438040</v>
          </cell>
          <cell r="O4202">
            <v>41548</v>
          </cell>
          <cell r="R4202" t="str">
            <v/>
          </cell>
          <cell r="T4202" t="str">
            <v>60 - 00012B41548</v>
          </cell>
        </row>
        <row r="4203">
          <cell r="H4203">
            <v>2380</v>
          </cell>
          <cell r="O4203">
            <v>41548</v>
          </cell>
          <cell r="R4203" t="str">
            <v/>
          </cell>
          <cell r="T4203" t="str">
            <v>60 - 00012B41548</v>
          </cell>
        </row>
        <row r="4204">
          <cell r="H4204">
            <v>0</v>
          </cell>
          <cell r="O4204">
            <v>41548</v>
          </cell>
          <cell r="R4204" t="str">
            <v/>
          </cell>
          <cell r="T4204" t="str">
            <v>60 - 00012B41548</v>
          </cell>
        </row>
        <row r="4205">
          <cell r="H4205">
            <v>0</v>
          </cell>
          <cell r="O4205">
            <v>41548</v>
          </cell>
          <cell r="R4205" t="str">
            <v>41548WAINDAGA</v>
          </cell>
          <cell r="T4205" t="str">
            <v>60 - 00012R41548</v>
          </cell>
        </row>
        <row r="4206">
          <cell r="H4206">
            <v>0</v>
          </cell>
          <cell r="O4206">
            <v>41548</v>
          </cell>
          <cell r="R4206" t="str">
            <v>41548WAINDAGA</v>
          </cell>
          <cell r="T4206" t="str">
            <v>60 - 00012R41548</v>
          </cell>
        </row>
        <row r="4207">
          <cell r="H4207">
            <v>0</v>
          </cell>
          <cell r="O4207">
            <v>41548</v>
          </cell>
          <cell r="R4207" t="str">
            <v>41548WAINDAGA</v>
          </cell>
          <cell r="T4207" t="str">
            <v>60 - 00012R41548</v>
          </cell>
        </row>
        <row r="4208">
          <cell r="H4208">
            <v>0</v>
          </cell>
          <cell r="O4208">
            <v>41548</v>
          </cell>
          <cell r="R4208" t="str">
            <v>41548WAINDAGA</v>
          </cell>
          <cell r="T4208" t="str">
            <v>60 - 00012R41548</v>
          </cell>
        </row>
        <row r="4209">
          <cell r="H4209">
            <v>0</v>
          </cell>
          <cell r="O4209">
            <v>41548</v>
          </cell>
          <cell r="R4209" t="str">
            <v>41548WAINDAGA</v>
          </cell>
          <cell r="T4209" t="str">
            <v>60 - 00012R41548</v>
          </cell>
        </row>
        <row r="4210">
          <cell r="H4210">
            <v>1353675</v>
          </cell>
          <cell r="O4210">
            <v>41548</v>
          </cell>
          <cell r="R4210" t="str">
            <v>41548WAIND24</v>
          </cell>
          <cell r="T4210" t="str">
            <v>60 - 00012R41548</v>
          </cell>
        </row>
        <row r="4211">
          <cell r="H4211">
            <v>2776</v>
          </cell>
          <cell r="O4211">
            <v>41548</v>
          </cell>
          <cell r="R4211" t="str">
            <v>41548WAIND24</v>
          </cell>
          <cell r="T4211" t="str">
            <v>60 - 00012R41548</v>
          </cell>
        </row>
        <row r="4212">
          <cell r="H4212">
            <v>10273880</v>
          </cell>
          <cell r="O4212">
            <v>41548</v>
          </cell>
          <cell r="R4212" t="str">
            <v>41548WAIND36</v>
          </cell>
          <cell r="T4212" t="str">
            <v>60 - 00012R41548</v>
          </cell>
        </row>
        <row r="4213">
          <cell r="H4213">
            <v>55872650</v>
          </cell>
          <cell r="O4213">
            <v>41548</v>
          </cell>
          <cell r="R4213" t="str">
            <v>41548WAIND48T</v>
          </cell>
          <cell r="T4213" t="str">
            <v>60 - 00012R41548</v>
          </cell>
        </row>
        <row r="4214">
          <cell r="H4214">
            <v>10057</v>
          </cell>
          <cell r="O4214">
            <v>41548</v>
          </cell>
          <cell r="R4214" t="str">
            <v>41548WAIND15</v>
          </cell>
          <cell r="T4214" t="str">
            <v>60 - 00012R41548</v>
          </cell>
        </row>
        <row r="4215">
          <cell r="H4215">
            <v>72000</v>
          </cell>
          <cell r="O4215">
            <v>41548</v>
          </cell>
          <cell r="R4215" t="str">
            <v>41548WAIND47</v>
          </cell>
          <cell r="T4215" t="str">
            <v>60 - 00012R41548</v>
          </cell>
        </row>
        <row r="4216">
          <cell r="H4216">
            <v>430320</v>
          </cell>
          <cell r="O4216">
            <v>41548</v>
          </cell>
          <cell r="R4216" t="str">
            <v>41548WAIND24</v>
          </cell>
          <cell r="T4216" t="str">
            <v>60 - 00012R41548</v>
          </cell>
        </row>
        <row r="4217">
          <cell r="H4217">
            <v>337</v>
          </cell>
          <cell r="O4217">
            <v>41548</v>
          </cell>
          <cell r="R4217" t="str">
            <v>41548WAIND24</v>
          </cell>
          <cell r="T4217" t="str">
            <v>60 - 00012R41548</v>
          </cell>
        </row>
        <row r="4218">
          <cell r="H4218">
            <v>1438040</v>
          </cell>
          <cell r="O4218">
            <v>41548</v>
          </cell>
          <cell r="R4218" t="str">
            <v>41548WAIND36</v>
          </cell>
          <cell r="T4218" t="str">
            <v>60 - 00012R41548</v>
          </cell>
        </row>
        <row r="4219">
          <cell r="H4219">
            <v>2380</v>
          </cell>
          <cell r="O4219">
            <v>41548</v>
          </cell>
          <cell r="R4219" t="str">
            <v>41548WAIND15</v>
          </cell>
          <cell r="T4219" t="str">
            <v>60 - 00012R41548</v>
          </cell>
        </row>
        <row r="4220">
          <cell r="H4220">
            <v>0</v>
          </cell>
          <cell r="O4220">
            <v>41548</v>
          </cell>
          <cell r="R4220" t="str">
            <v>41548WAINDAGA</v>
          </cell>
          <cell r="T4220" t="str">
            <v>60 - 00012R41548</v>
          </cell>
        </row>
        <row r="4221">
          <cell r="H4221">
            <v>4150000</v>
          </cell>
          <cell r="O4221">
            <v>41548</v>
          </cell>
          <cell r="R4221" t="str">
            <v>41548WAIND88</v>
          </cell>
          <cell r="T4221" t="str">
            <v>60 - 00012U41548</v>
          </cell>
        </row>
        <row r="4222">
          <cell r="H4222">
            <v>0</v>
          </cell>
          <cell r="O4222">
            <v>41548</v>
          </cell>
          <cell r="R4222" t="str">
            <v/>
          </cell>
          <cell r="T4222" t="str">
            <v>60 - 00012B41548</v>
          </cell>
        </row>
        <row r="4223">
          <cell r="H4223">
            <v>14722983</v>
          </cell>
          <cell r="O4223">
            <v>41548</v>
          </cell>
          <cell r="R4223" t="str">
            <v/>
          </cell>
          <cell r="T4223" t="str">
            <v>60 - 00012B41548</v>
          </cell>
        </row>
        <row r="4224">
          <cell r="H4224">
            <v>-508996</v>
          </cell>
          <cell r="O4224">
            <v>41548</v>
          </cell>
          <cell r="R4224" t="str">
            <v/>
          </cell>
          <cell r="T4224" t="str">
            <v>60 - 00012B41548</v>
          </cell>
        </row>
        <row r="4225">
          <cell r="H4225">
            <v>0</v>
          </cell>
          <cell r="O4225">
            <v>41548</v>
          </cell>
          <cell r="R4225" t="str">
            <v/>
          </cell>
          <cell r="T4225" t="str">
            <v>60 - 00012B41548</v>
          </cell>
        </row>
        <row r="4226">
          <cell r="H4226">
            <v>0</v>
          </cell>
          <cell r="O4226">
            <v>41548</v>
          </cell>
          <cell r="R4226" t="str">
            <v/>
          </cell>
          <cell r="T4226" t="str">
            <v>60 - 00012B41548</v>
          </cell>
        </row>
        <row r="4227">
          <cell r="H4227">
            <v>0</v>
          </cell>
          <cell r="O4227">
            <v>41548</v>
          </cell>
          <cell r="R4227" t="str">
            <v>41548WAINDAGA</v>
          </cell>
          <cell r="T4227" t="str">
            <v>60 - 00012R41548</v>
          </cell>
        </row>
        <row r="4228">
          <cell r="H4228">
            <v>0</v>
          </cell>
          <cell r="O4228">
            <v>41548</v>
          </cell>
          <cell r="R4228" t="str">
            <v>41548WAINDAGA</v>
          </cell>
          <cell r="T4228" t="str">
            <v>60 - 00012R41548</v>
          </cell>
        </row>
        <row r="4229">
          <cell r="H4229">
            <v>0</v>
          </cell>
          <cell r="O4229">
            <v>41548</v>
          </cell>
          <cell r="R4229" t="str">
            <v>41548WAINDAGA</v>
          </cell>
          <cell r="T4229" t="str">
            <v>60 - 00012R41548</v>
          </cell>
        </row>
        <row r="4230">
          <cell r="H4230">
            <v>0</v>
          </cell>
          <cell r="O4230">
            <v>41548</v>
          </cell>
          <cell r="R4230" t="str">
            <v>41548WAINDAGA</v>
          </cell>
          <cell r="T4230" t="str">
            <v>60 - 00012R41548</v>
          </cell>
        </row>
        <row r="4231">
          <cell r="H4231">
            <v>0</v>
          </cell>
          <cell r="O4231">
            <v>41548</v>
          </cell>
          <cell r="R4231" t="str">
            <v>41548WAINDAGA</v>
          </cell>
          <cell r="T4231" t="str">
            <v>60 - 00012R41548</v>
          </cell>
        </row>
        <row r="4232">
          <cell r="H4232">
            <v>14723089</v>
          </cell>
          <cell r="O4232">
            <v>41548</v>
          </cell>
          <cell r="R4232" t="str">
            <v>41548WAIND40</v>
          </cell>
          <cell r="T4232" t="str">
            <v>60 - 00012R41548</v>
          </cell>
        </row>
        <row r="4233">
          <cell r="H4233">
            <v>689720</v>
          </cell>
          <cell r="O4233">
            <v>41548</v>
          </cell>
          <cell r="R4233" t="str">
            <v>41548WAIND40</v>
          </cell>
          <cell r="T4233" t="str">
            <v>60 - 00012R41548</v>
          </cell>
        </row>
        <row r="4234">
          <cell r="H4234">
            <v>0</v>
          </cell>
          <cell r="O4234">
            <v>41548</v>
          </cell>
          <cell r="R4234" t="str">
            <v>41548WAINDAGA</v>
          </cell>
          <cell r="T4234" t="str">
            <v>60 - 00012R41548</v>
          </cell>
        </row>
        <row r="4235">
          <cell r="H4235">
            <v>0</v>
          </cell>
          <cell r="O4235">
            <v>41548</v>
          </cell>
          <cell r="R4235" t="str">
            <v>41548WAINDAGA</v>
          </cell>
          <cell r="T4235" t="str">
            <v>60 - 00012R41548</v>
          </cell>
        </row>
        <row r="4236">
          <cell r="H4236">
            <v>0</v>
          </cell>
          <cell r="O4236">
            <v>41548</v>
          </cell>
          <cell r="R4236" t="str">
            <v>41548WAINDAGA</v>
          </cell>
          <cell r="T4236" t="str">
            <v>60 - 00012R41548</v>
          </cell>
        </row>
        <row r="4237">
          <cell r="H4237">
            <v>0</v>
          </cell>
          <cell r="O4237">
            <v>41548</v>
          </cell>
          <cell r="R4237" t="str">
            <v>41548WAINDAGA</v>
          </cell>
          <cell r="T4237" t="str">
            <v>60 - 00012R41548</v>
          </cell>
        </row>
        <row r="4238">
          <cell r="H4238">
            <v>756</v>
          </cell>
          <cell r="O4238">
            <v>41548</v>
          </cell>
          <cell r="R4238" t="str">
            <v>41548WAIND40</v>
          </cell>
          <cell r="T4238" t="str">
            <v>60 - 00012R41548</v>
          </cell>
        </row>
        <row r="4239">
          <cell r="H4239">
            <v>0</v>
          </cell>
          <cell r="O4239">
            <v>41548</v>
          </cell>
          <cell r="R4239" t="str">
            <v>41548WAINDAGA</v>
          </cell>
          <cell r="T4239" t="str">
            <v>60 - 00012R41548</v>
          </cell>
        </row>
        <row r="4240">
          <cell r="H4240">
            <v>-11287000</v>
          </cell>
          <cell r="O4240">
            <v>41548</v>
          </cell>
          <cell r="R4240" t="str">
            <v>41548WAIND89</v>
          </cell>
          <cell r="T4240" t="str">
            <v>60 - 00012U41548</v>
          </cell>
        </row>
        <row r="4241">
          <cell r="H4241">
            <v>0</v>
          </cell>
          <cell r="O4241">
            <v>41548</v>
          </cell>
          <cell r="R4241" t="str">
            <v>41548WAPSHAGA</v>
          </cell>
          <cell r="T4241" t="str">
            <v>60 - 00012R41548</v>
          </cell>
        </row>
        <row r="4242">
          <cell r="H4242">
            <v>0</v>
          </cell>
          <cell r="O4242">
            <v>41548</v>
          </cell>
          <cell r="R4242" t="str">
            <v>41548WAPSHAGA</v>
          </cell>
          <cell r="T4242" t="str">
            <v>60 - 00012R41548</v>
          </cell>
        </row>
        <row r="4243">
          <cell r="H4243">
            <v>0</v>
          </cell>
          <cell r="O4243">
            <v>41548</v>
          </cell>
          <cell r="R4243" t="str">
            <v>41548WAPSHAGA</v>
          </cell>
          <cell r="T4243" t="str">
            <v>60 - 00012R41548</v>
          </cell>
        </row>
        <row r="4244">
          <cell r="H4244">
            <v>0</v>
          </cell>
          <cell r="O4244">
            <v>41548</v>
          </cell>
          <cell r="R4244" t="str">
            <v>41548WAPSHAGA</v>
          </cell>
          <cell r="T4244" t="str">
            <v>60 - 00012R41548</v>
          </cell>
        </row>
        <row r="4245">
          <cell r="H4245">
            <v>18326</v>
          </cell>
          <cell r="O4245">
            <v>41548</v>
          </cell>
          <cell r="R4245" t="str">
            <v>41548WAPSH52</v>
          </cell>
          <cell r="T4245" t="str">
            <v>60 - 00012R41548</v>
          </cell>
        </row>
        <row r="4246">
          <cell r="H4246">
            <v>287758</v>
          </cell>
          <cell r="O4246">
            <v>41548</v>
          </cell>
          <cell r="R4246" t="str">
            <v>41548WAPSH53</v>
          </cell>
          <cell r="T4246" t="str">
            <v>60 - 00012R41548</v>
          </cell>
        </row>
        <row r="4247">
          <cell r="H4247">
            <v>94601</v>
          </cell>
          <cell r="O4247">
            <v>41548</v>
          </cell>
          <cell r="R4247" t="str">
            <v>41548WAPSH53</v>
          </cell>
          <cell r="T4247" t="str">
            <v>60 - 00012R41548</v>
          </cell>
        </row>
        <row r="4248">
          <cell r="H4248">
            <v>294896</v>
          </cell>
          <cell r="O4248">
            <v>41548</v>
          </cell>
          <cell r="R4248" t="str">
            <v>41548WAPSH51</v>
          </cell>
          <cell r="T4248" t="str">
            <v>60 - 00012R41548</v>
          </cell>
        </row>
        <row r="4249">
          <cell r="H4249">
            <v>161627</v>
          </cell>
          <cell r="O4249">
            <v>41548</v>
          </cell>
          <cell r="R4249" t="str">
            <v>41548WAPSH57</v>
          </cell>
          <cell r="T4249" t="str">
            <v>60 - 00012R41548</v>
          </cell>
        </row>
        <row r="4250">
          <cell r="H4250">
            <v>0</v>
          </cell>
          <cell r="O4250">
            <v>41548</v>
          </cell>
          <cell r="R4250" t="str">
            <v>41548WAPSHAGA</v>
          </cell>
          <cell r="T4250" t="str">
            <v>60 - 00012R41548</v>
          </cell>
        </row>
        <row r="4251">
          <cell r="H4251">
            <v>170000</v>
          </cell>
          <cell r="O4251">
            <v>41548</v>
          </cell>
          <cell r="R4251" t="str">
            <v>41548WAPSH88</v>
          </cell>
          <cell r="T4251" t="str">
            <v>60 - 00012U41548</v>
          </cell>
        </row>
        <row r="4252">
          <cell r="H4252">
            <v>0</v>
          </cell>
          <cell r="O4252">
            <v>41579</v>
          </cell>
          <cell r="R4252" t="str">
            <v/>
          </cell>
          <cell r="T4252" t="str">
            <v>60 - 00016R41579</v>
          </cell>
        </row>
        <row r="4253">
          <cell r="H4253">
            <v>0</v>
          </cell>
          <cell r="O4253">
            <v>41579</v>
          </cell>
          <cell r="R4253" t="str">
            <v/>
          </cell>
          <cell r="T4253" t="str">
            <v>60 - 00016R41579</v>
          </cell>
        </row>
        <row r="4254">
          <cell r="H4254">
            <v>0</v>
          </cell>
          <cell r="O4254">
            <v>41579</v>
          </cell>
          <cell r="R4254" t="str">
            <v/>
          </cell>
          <cell r="T4254" t="str">
            <v>60 - 00016R41579</v>
          </cell>
        </row>
        <row r="4255">
          <cell r="H4255">
            <v>0</v>
          </cell>
          <cell r="O4255">
            <v>41579</v>
          </cell>
          <cell r="R4255" t="str">
            <v/>
          </cell>
          <cell r="T4255" t="str">
            <v>60 - 00016R41579</v>
          </cell>
        </row>
        <row r="4256">
          <cell r="H4256">
            <v>0</v>
          </cell>
          <cell r="O4256">
            <v>41579</v>
          </cell>
          <cell r="R4256" t="str">
            <v/>
          </cell>
          <cell r="T4256" t="str">
            <v>60 - 00016R41579</v>
          </cell>
        </row>
        <row r="4257">
          <cell r="H4257">
            <v>0</v>
          </cell>
          <cell r="O4257">
            <v>41579</v>
          </cell>
          <cell r="R4257" t="str">
            <v/>
          </cell>
          <cell r="T4257" t="str">
            <v>60 - 00016R41579</v>
          </cell>
        </row>
        <row r="4258">
          <cell r="H4258">
            <v>27740</v>
          </cell>
          <cell r="O4258">
            <v>41579</v>
          </cell>
          <cell r="R4258" t="str">
            <v/>
          </cell>
          <cell r="T4258" t="str">
            <v>60 - 00016R41579</v>
          </cell>
        </row>
        <row r="4259">
          <cell r="H4259">
            <v>9919100</v>
          </cell>
          <cell r="O4259">
            <v>41579</v>
          </cell>
          <cell r="R4259" t="str">
            <v/>
          </cell>
          <cell r="T4259" t="str">
            <v>60 - 00016R41579</v>
          </cell>
        </row>
        <row r="4260">
          <cell r="H4260">
            <v>13378257</v>
          </cell>
          <cell r="O4260">
            <v>41579</v>
          </cell>
          <cell r="R4260" t="str">
            <v/>
          </cell>
          <cell r="T4260" t="str">
            <v>60 - 00016R41579</v>
          </cell>
        </row>
        <row r="4261">
          <cell r="H4261">
            <v>0</v>
          </cell>
          <cell r="O4261">
            <v>41579</v>
          </cell>
          <cell r="R4261" t="str">
            <v/>
          </cell>
          <cell r="T4261" t="str">
            <v>60 - 00016R41579</v>
          </cell>
        </row>
        <row r="4262">
          <cell r="H4262">
            <v>55223</v>
          </cell>
          <cell r="O4262">
            <v>41579</v>
          </cell>
          <cell r="R4262" t="str">
            <v/>
          </cell>
          <cell r="T4262" t="str">
            <v>60 - 00016R41579</v>
          </cell>
        </row>
        <row r="4263">
          <cell r="H4263">
            <v>7252857</v>
          </cell>
          <cell r="O4263">
            <v>41579</v>
          </cell>
          <cell r="R4263" t="str">
            <v/>
          </cell>
          <cell r="T4263" t="str">
            <v>60 - 00016R41579</v>
          </cell>
        </row>
        <row r="4264">
          <cell r="H4264">
            <v>0</v>
          </cell>
          <cell r="O4264">
            <v>41579</v>
          </cell>
          <cell r="R4264" t="str">
            <v/>
          </cell>
          <cell r="T4264" t="str">
            <v>60 - 00016R41579</v>
          </cell>
        </row>
        <row r="4265">
          <cell r="H4265">
            <v>15044</v>
          </cell>
          <cell r="O4265">
            <v>41579</v>
          </cell>
          <cell r="R4265" t="str">
            <v/>
          </cell>
          <cell r="T4265" t="str">
            <v>60 - 00016R41579</v>
          </cell>
        </row>
        <row r="4266">
          <cell r="H4266">
            <v>98317</v>
          </cell>
          <cell r="O4266">
            <v>41579</v>
          </cell>
          <cell r="R4266" t="str">
            <v/>
          </cell>
          <cell r="T4266" t="str">
            <v>60 - 00016R41579</v>
          </cell>
        </row>
        <row r="4267">
          <cell r="H4267">
            <v>66305</v>
          </cell>
          <cell r="O4267">
            <v>41579</v>
          </cell>
          <cell r="R4267" t="str">
            <v/>
          </cell>
          <cell r="T4267" t="str">
            <v>60 - 00016R41579</v>
          </cell>
        </row>
        <row r="4268">
          <cell r="H4268">
            <v>0</v>
          </cell>
          <cell r="O4268">
            <v>41579</v>
          </cell>
          <cell r="R4268" t="str">
            <v/>
          </cell>
          <cell r="T4268" t="str">
            <v>60 - 00016R41579</v>
          </cell>
        </row>
        <row r="4269">
          <cell r="H4269">
            <v>5694000</v>
          </cell>
          <cell r="O4269">
            <v>41579</v>
          </cell>
          <cell r="R4269" t="str">
            <v/>
          </cell>
          <cell r="T4269" t="str">
            <v>60 - 00016U41579</v>
          </cell>
        </row>
        <row r="4270">
          <cell r="H4270">
            <v>0</v>
          </cell>
          <cell r="O4270">
            <v>41579</v>
          </cell>
          <cell r="R4270" t="str">
            <v/>
          </cell>
          <cell r="T4270" t="str">
            <v>60 - 00016U41579</v>
          </cell>
        </row>
        <row r="4271">
          <cell r="H4271">
            <v>0</v>
          </cell>
          <cell r="O4271">
            <v>41579</v>
          </cell>
          <cell r="R4271" t="str">
            <v/>
          </cell>
          <cell r="T4271" t="str">
            <v>60 - 00016R41579</v>
          </cell>
        </row>
        <row r="4272">
          <cell r="H4272">
            <v>0</v>
          </cell>
          <cell r="O4272">
            <v>41579</v>
          </cell>
          <cell r="R4272" t="str">
            <v/>
          </cell>
          <cell r="T4272" t="str">
            <v>60 - 00016R41579</v>
          </cell>
        </row>
        <row r="4273">
          <cell r="H4273">
            <v>0</v>
          </cell>
          <cell r="O4273">
            <v>41579</v>
          </cell>
          <cell r="R4273" t="str">
            <v/>
          </cell>
          <cell r="T4273" t="str">
            <v>60 - 00016R41579</v>
          </cell>
        </row>
        <row r="4274">
          <cell r="H4274">
            <v>0</v>
          </cell>
          <cell r="O4274">
            <v>41579</v>
          </cell>
          <cell r="R4274" t="str">
            <v/>
          </cell>
          <cell r="T4274" t="str">
            <v>60 - 00016R41579</v>
          </cell>
        </row>
        <row r="4275">
          <cell r="H4275">
            <v>0</v>
          </cell>
          <cell r="O4275">
            <v>41579</v>
          </cell>
          <cell r="R4275" t="str">
            <v/>
          </cell>
          <cell r="T4275" t="str">
            <v>60 - 00016R41579</v>
          </cell>
        </row>
        <row r="4276">
          <cell r="H4276">
            <v>0</v>
          </cell>
          <cell r="O4276">
            <v>41579</v>
          </cell>
          <cell r="R4276" t="str">
            <v/>
          </cell>
          <cell r="T4276" t="str">
            <v>60 - 00016R41579</v>
          </cell>
        </row>
        <row r="4277">
          <cell r="H4277">
            <v>7181863</v>
          </cell>
          <cell r="O4277">
            <v>41579</v>
          </cell>
          <cell r="R4277" t="str">
            <v/>
          </cell>
          <cell r="T4277" t="str">
            <v>60 - 00016R41579</v>
          </cell>
        </row>
        <row r="4278">
          <cell r="H4278">
            <v>4239969</v>
          </cell>
          <cell r="O4278">
            <v>41579</v>
          </cell>
          <cell r="R4278" t="str">
            <v/>
          </cell>
          <cell r="T4278" t="str">
            <v>60 - 00016R41579</v>
          </cell>
        </row>
        <row r="4279">
          <cell r="H4279">
            <v>28992</v>
          </cell>
          <cell r="O4279">
            <v>41579</v>
          </cell>
          <cell r="R4279" t="str">
            <v/>
          </cell>
          <cell r="T4279" t="str">
            <v>60 - 00016R41579</v>
          </cell>
        </row>
        <row r="4280">
          <cell r="H4280">
            <v>5814125</v>
          </cell>
          <cell r="O4280">
            <v>41579</v>
          </cell>
          <cell r="R4280" t="str">
            <v/>
          </cell>
          <cell r="T4280" t="str">
            <v>60 - 00016R41579</v>
          </cell>
        </row>
        <row r="4281">
          <cell r="H4281">
            <v>0</v>
          </cell>
          <cell r="O4281">
            <v>41579</v>
          </cell>
          <cell r="R4281" t="str">
            <v/>
          </cell>
          <cell r="T4281" t="str">
            <v>60 - 00016R41579</v>
          </cell>
        </row>
        <row r="4282">
          <cell r="H4282">
            <v>0</v>
          </cell>
          <cell r="O4282">
            <v>41579</v>
          </cell>
          <cell r="R4282" t="str">
            <v/>
          </cell>
          <cell r="T4282" t="str">
            <v>60 - 00016R41579</v>
          </cell>
        </row>
        <row r="4283">
          <cell r="H4283">
            <v>0</v>
          </cell>
          <cell r="O4283">
            <v>41579</v>
          </cell>
          <cell r="R4283" t="str">
            <v/>
          </cell>
          <cell r="T4283" t="str">
            <v>60 - 00016R41579</v>
          </cell>
        </row>
        <row r="4284">
          <cell r="H4284">
            <v>0</v>
          </cell>
          <cell r="O4284">
            <v>41579</v>
          </cell>
          <cell r="R4284" t="str">
            <v/>
          </cell>
          <cell r="T4284" t="str">
            <v>60 - 00016R41579</v>
          </cell>
        </row>
        <row r="4285">
          <cell r="H4285">
            <v>61791</v>
          </cell>
          <cell r="O4285">
            <v>41579</v>
          </cell>
          <cell r="R4285" t="str">
            <v/>
          </cell>
          <cell r="T4285" t="str">
            <v>60 - 00016R41579</v>
          </cell>
        </row>
        <row r="4286">
          <cell r="H4286">
            <v>16908</v>
          </cell>
          <cell r="O4286">
            <v>41579</v>
          </cell>
          <cell r="R4286" t="str">
            <v/>
          </cell>
          <cell r="T4286" t="str">
            <v>60 - 00016R41579</v>
          </cell>
        </row>
        <row r="4287">
          <cell r="H4287">
            <v>2328900</v>
          </cell>
          <cell r="O4287">
            <v>41579</v>
          </cell>
          <cell r="R4287" t="str">
            <v/>
          </cell>
          <cell r="T4287" t="str">
            <v>60 - 00016R41579</v>
          </cell>
        </row>
        <row r="4288">
          <cell r="H4288">
            <v>0</v>
          </cell>
          <cell r="O4288">
            <v>41579</v>
          </cell>
          <cell r="R4288" t="str">
            <v/>
          </cell>
          <cell r="T4288" t="str">
            <v>60 - 00016R41579</v>
          </cell>
        </row>
        <row r="4289">
          <cell r="H4289">
            <v>4061</v>
          </cell>
          <cell r="O4289">
            <v>41579</v>
          </cell>
          <cell r="R4289" t="str">
            <v/>
          </cell>
          <cell r="T4289" t="str">
            <v>60 - 00016R41579</v>
          </cell>
        </row>
        <row r="4290">
          <cell r="H4290">
            <v>44103</v>
          </cell>
          <cell r="O4290">
            <v>41579</v>
          </cell>
          <cell r="R4290" t="str">
            <v/>
          </cell>
          <cell r="T4290" t="str">
            <v>60 - 00016R41579</v>
          </cell>
        </row>
        <row r="4291">
          <cell r="H4291">
            <v>0</v>
          </cell>
          <cell r="O4291">
            <v>41579</v>
          </cell>
          <cell r="R4291" t="str">
            <v/>
          </cell>
          <cell r="T4291" t="str">
            <v>60 - 00016R41579</v>
          </cell>
        </row>
        <row r="4292">
          <cell r="H4292">
            <v>177760</v>
          </cell>
          <cell r="O4292">
            <v>41579</v>
          </cell>
          <cell r="R4292" t="str">
            <v/>
          </cell>
          <cell r="T4292" t="str">
            <v>60 - 00016R41579</v>
          </cell>
        </row>
        <row r="4293">
          <cell r="H4293">
            <v>214200</v>
          </cell>
          <cell r="O4293">
            <v>41579</v>
          </cell>
          <cell r="R4293" t="str">
            <v/>
          </cell>
          <cell r="T4293" t="str">
            <v>60 - 00016R41579</v>
          </cell>
        </row>
        <row r="4294">
          <cell r="H4294">
            <v>0</v>
          </cell>
          <cell r="O4294">
            <v>41579</v>
          </cell>
          <cell r="R4294" t="str">
            <v/>
          </cell>
          <cell r="T4294" t="str">
            <v>60 - 00016R41579</v>
          </cell>
        </row>
        <row r="4295">
          <cell r="H4295">
            <v>197000</v>
          </cell>
          <cell r="O4295">
            <v>41579</v>
          </cell>
          <cell r="R4295" t="str">
            <v/>
          </cell>
          <cell r="T4295" t="str">
            <v>60 - 00016U41579</v>
          </cell>
        </row>
        <row r="4296">
          <cell r="H4296">
            <v>0</v>
          </cell>
          <cell r="O4296">
            <v>41579</v>
          </cell>
          <cell r="R4296" t="str">
            <v/>
          </cell>
          <cell r="T4296" t="str">
            <v>60 - 00016R41579</v>
          </cell>
        </row>
        <row r="4297">
          <cell r="H4297">
            <v>0</v>
          </cell>
          <cell r="O4297">
            <v>41579</v>
          </cell>
          <cell r="R4297" t="str">
            <v/>
          </cell>
          <cell r="T4297" t="str">
            <v>60 - 00016R41579</v>
          </cell>
        </row>
        <row r="4298">
          <cell r="H4298">
            <v>0</v>
          </cell>
          <cell r="O4298">
            <v>41579</v>
          </cell>
          <cell r="R4298" t="str">
            <v/>
          </cell>
          <cell r="T4298" t="str">
            <v>60 - 00016R41579</v>
          </cell>
        </row>
        <row r="4299">
          <cell r="H4299">
            <v>0</v>
          </cell>
          <cell r="O4299">
            <v>41579</v>
          </cell>
          <cell r="R4299" t="str">
            <v/>
          </cell>
          <cell r="T4299" t="str">
            <v>60 - 00016R41579</v>
          </cell>
        </row>
        <row r="4300">
          <cell r="H4300">
            <v>0</v>
          </cell>
          <cell r="O4300">
            <v>41579</v>
          </cell>
          <cell r="R4300" t="str">
            <v/>
          </cell>
          <cell r="T4300" t="str">
            <v>60 - 00016R41579</v>
          </cell>
        </row>
        <row r="4301">
          <cell r="H4301">
            <v>126921</v>
          </cell>
          <cell r="O4301">
            <v>41579</v>
          </cell>
          <cell r="R4301" t="str">
            <v/>
          </cell>
          <cell r="T4301" t="str">
            <v>60 - 00016R41579</v>
          </cell>
        </row>
        <row r="4302">
          <cell r="H4302">
            <v>59998</v>
          </cell>
          <cell r="O4302">
            <v>41579</v>
          </cell>
          <cell r="R4302" t="str">
            <v/>
          </cell>
          <cell r="T4302" t="str">
            <v>60 - 00016R41579</v>
          </cell>
        </row>
        <row r="4303">
          <cell r="H4303">
            <v>384900</v>
          </cell>
          <cell r="O4303">
            <v>41579</v>
          </cell>
          <cell r="R4303" t="str">
            <v/>
          </cell>
          <cell r="T4303" t="str">
            <v>60 - 00016R41579</v>
          </cell>
        </row>
        <row r="4304">
          <cell r="H4304">
            <v>3055840</v>
          </cell>
          <cell r="O4304">
            <v>41579</v>
          </cell>
          <cell r="R4304" t="str">
            <v/>
          </cell>
          <cell r="T4304" t="str">
            <v>60 - 00016R41579</v>
          </cell>
        </row>
        <row r="4305">
          <cell r="H4305">
            <v>0</v>
          </cell>
          <cell r="O4305">
            <v>41579</v>
          </cell>
          <cell r="R4305" t="str">
            <v/>
          </cell>
          <cell r="T4305" t="str">
            <v>60 - 00016R41579</v>
          </cell>
        </row>
        <row r="4306">
          <cell r="H4306">
            <v>156000</v>
          </cell>
          <cell r="O4306">
            <v>41579</v>
          </cell>
          <cell r="R4306" t="str">
            <v/>
          </cell>
          <cell r="T4306" t="str">
            <v>60 - 00016U41579</v>
          </cell>
        </row>
        <row r="4307">
          <cell r="H4307">
            <v>0</v>
          </cell>
          <cell r="O4307">
            <v>41579</v>
          </cell>
          <cell r="R4307" t="str">
            <v/>
          </cell>
          <cell r="T4307" t="str">
            <v>60 - 00016R41579</v>
          </cell>
        </row>
        <row r="4308">
          <cell r="H4308">
            <v>0</v>
          </cell>
          <cell r="O4308">
            <v>41579</v>
          </cell>
          <cell r="R4308" t="str">
            <v/>
          </cell>
          <cell r="T4308" t="str">
            <v>60 - 00016R41579</v>
          </cell>
        </row>
        <row r="4309">
          <cell r="H4309">
            <v>0</v>
          </cell>
          <cell r="O4309">
            <v>41579</v>
          </cell>
          <cell r="R4309" t="str">
            <v/>
          </cell>
          <cell r="T4309" t="str">
            <v>60 - 00016R41579</v>
          </cell>
        </row>
        <row r="4310">
          <cell r="H4310">
            <v>0</v>
          </cell>
          <cell r="O4310">
            <v>41579</v>
          </cell>
          <cell r="R4310" t="str">
            <v/>
          </cell>
          <cell r="T4310" t="str">
            <v>60 - 00016R41579</v>
          </cell>
        </row>
        <row r="4311">
          <cell r="H4311">
            <v>0</v>
          </cell>
          <cell r="O4311">
            <v>41579</v>
          </cell>
          <cell r="R4311" t="str">
            <v/>
          </cell>
          <cell r="T4311" t="str">
            <v>60 - 00016R41579</v>
          </cell>
        </row>
        <row r="4312">
          <cell r="H4312">
            <v>852231</v>
          </cell>
          <cell r="O4312">
            <v>41579</v>
          </cell>
          <cell r="R4312" t="str">
            <v/>
          </cell>
          <cell r="T4312" t="str">
            <v>60 - 00016R41579</v>
          </cell>
        </row>
        <row r="4313">
          <cell r="H4313">
            <v>0</v>
          </cell>
          <cell r="O4313">
            <v>41579</v>
          </cell>
          <cell r="R4313" t="str">
            <v/>
          </cell>
          <cell r="T4313" t="str">
            <v>60 - 00016R41579</v>
          </cell>
        </row>
        <row r="4314">
          <cell r="H4314">
            <v>486400</v>
          </cell>
          <cell r="O4314">
            <v>41579</v>
          </cell>
          <cell r="R4314" t="str">
            <v/>
          </cell>
          <cell r="T4314" t="str">
            <v>60 - 00016R41579</v>
          </cell>
        </row>
        <row r="4315">
          <cell r="H4315">
            <v>1127</v>
          </cell>
          <cell r="O4315">
            <v>41579</v>
          </cell>
          <cell r="R4315" t="str">
            <v/>
          </cell>
          <cell r="T4315" t="str">
            <v>60 - 00016R41579</v>
          </cell>
        </row>
        <row r="4316">
          <cell r="H4316">
            <v>0</v>
          </cell>
          <cell r="O4316">
            <v>41579</v>
          </cell>
          <cell r="R4316" t="str">
            <v/>
          </cell>
          <cell r="T4316" t="str">
            <v>60 - 00016R41579</v>
          </cell>
        </row>
        <row r="4317">
          <cell r="H4317">
            <v>30</v>
          </cell>
          <cell r="O4317">
            <v>41579</v>
          </cell>
          <cell r="R4317" t="str">
            <v/>
          </cell>
          <cell r="T4317" t="str">
            <v>60 - 00016R41579</v>
          </cell>
        </row>
        <row r="4318">
          <cell r="H4318">
            <v>0</v>
          </cell>
          <cell r="O4318">
            <v>41579</v>
          </cell>
          <cell r="R4318" t="str">
            <v/>
          </cell>
          <cell r="T4318" t="str">
            <v>60 - 00016R41579</v>
          </cell>
        </row>
        <row r="4319">
          <cell r="H4319">
            <v>-1228000</v>
          </cell>
          <cell r="O4319">
            <v>41579</v>
          </cell>
          <cell r="R4319" t="str">
            <v/>
          </cell>
          <cell r="T4319" t="str">
            <v>60 - 00016U41579</v>
          </cell>
        </row>
        <row r="4320">
          <cell r="H4320">
            <v>0</v>
          </cell>
          <cell r="O4320">
            <v>41579</v>
          </cell>
          <cell r="R4320" t="str">
            <v/>
          </cell>
          <cell r="T4320" t="str">
            <v>60 - 00016R41579</v>
          </cell>
        </row>
        <row r="4321">
          <cell r="H4321">
            <v>0</v>
          </cell>
          <cell r="O4321">
            <v>41579</v>
          </cell>
          <cell r="R4321" t="str">
            <v/>
          </cell>
          <cell r="T4321" t="str">
            <v>60 - 00016R41579</v>
          </cell>
        </row>
        <row r="4322">
          <cell r="H4322">
            <v>0</v>
          </cell>
          <cell r="O4322">
            <v>41579</v>
          </cell>
          <cell r="R4322" t="str">
            <v/>
          </cell>
          <cell r="T4322" t="str">
            <v>60 - 00016R41579</v>
          </cell>
        </row>
        <row r="4323">
          <cell r="H4323">
            <v>119211</v>
          </cell>
          <cell r="O4323">
            <v>41579</v>
          </cell>
          <cell r="R4323" t="str">
            <v/>
          </cell>
          <cell r="T4323" t="str">
            <v>60 - 00016R41579</v>
          </cell>
        </row>
        <row r="4324">
          <cell r="H4324">
            <v>19758</v>
          </cell>
          <cell r="O4324">
            <v>41579</v>
          </cell>
          <cell r="R4324" t="str">
            <v/>
          </cell>
          <cell r="T4324" t="str">
            <v>60 - 00016R41579</v>
          </cell>
        </row>
        <row r="4325">
          <cell r="H4325">
            <v>82208</v>
          </cell>
          <cell r="O4325">
            <v>41579</v>
          </cell>
          <cell r="R4325" t="str">
            <v/>
          </cell>
          <cell r="T4325" t="str">
            <v>60 - 00016R41579</v>
          </cell>
        </row>
        <row r="4326">
          <cell r="H4326">
            <v>0</v>
          </cell>
          <cell r="O4326">
            <v>41579</v>
          </cell>
          <cell r="R4326" t="str">
            <v/>
          </cell>
          <cell r="T4326" t="str">
            <v>60 - 00016R41579</v>
          </cell>
        </row>
        <row r="4327">
          <cell r="H4327">
            <v>57000</v>
          </cell>
          <cell r="O4327">
            <v>41579</v>
          </cell>
          <cell r="R4327" t="str">
            <v/>
          </cell>
          <cell r="T4327" t="str">
            <v>60 - 00016U41579</v>
          </cell>
        </row>
        <row r="4328">
          <cell r="H4328">
            <v>0</v>
          </cell>
          <cell r="O4328">
            <v>41579</v>
          </cell>
          <cell r="R4328" t="str">
            <v/>
          </cell>
          <cell r="T4328" t="str">
            <v>60 - 00011B41579</v>
          </cell>
        </row>
        <row r="4329">
          <cell r="H4329">
            <v>332184715</v>
          </cell>
          <cell r="O4329">
            <v>41579</v>
          </cell>
          <cell r="R4329" t="str">
            <v/>
          </cell>
          <cell r="T4329" t="str">
            <v>60 - 00011B41579</v>
          </cell>
        </row>
        <row r="4330">
          <cell r="H4330">
            <v>1290729</v>
          </cell>
          <cell r="O4330">
            <v>41579</v>
          </cell>
          <cell r="R4330" t="str">
            <v/>
          </cell>
          <cell r="T4330" t="str">
            <v>60 - 00011B41579</v>
          </cell>
        </row>
        <row r="4331">
          <cell r="H4331">
            <v>923881</v>
          </cell>
          <cell r="O4331">
            <v>41579</v>
          </cell>
          <cell r="R4331" t="str">
            <v/>
          </cell>
          <cell r="T4331" t="str">
            <v>60 - 00011B41579</v>
          </cell>
        </row>
        <row r="4332">
          <cell r="H4332">
            <v>11007</v>
          </cell>
          <cell r="O4332">
            <v>41579</v>
          </cell>
          <cell r="R4332" t="str">
            <v/>
          </cell>
          <cell r="T4332" t="str">
            <v>60 - 00011B41579</v>
          </cell>
        </row>
        <row r="4333">
          <cell r="H4333">
            <v>239938</v>
          </cell>
          <cell r="O4333">
            <v>41579</v>
          </cell>
          <cell r="R4333" t="str">
            <v/>
          </cell>
          <cell r="T4333" t="str">
            <v>60 - 00011B41579</v>
          </cell>
        </row>
        <row r="4334">
          <cell r="H4334">
            <v>200547</v>
          </cell>
          <cell r="O4334">
            <v>41579</v>
          </cell>
          <cell r="R4334" t="str">
            <v/>
          </cell>
          <cell r="T4334" t="str">
            <v>60 - 00011B41579</v>
          </cell>
        </row>
        <row r="4335">
          <cell r="H4335">
            <v>2436909</v>
          </cell>
          <cell r="O4335">
            <v>41579</v>
          </cell>
          <cell r="R4335" t="str">
            <v/>
          </cell>
          <cell r="T4335" t="str">
            <v>60 - 00011B41579</v>
          </cell>
        </row>
        <row r="4336">
          <cell r="H4336">
            <v>0</v>
          </cell>
          <cell r="O4336">
            <v>41579</v>
          </cell>
          <cell r="R4336" t="str">
            <v/>
          </cell>
          <cell r="T4336" t="str">
            <v>60 - 00011B41579</v>
          </cell>
        </row>
        <row r="4337">
          <cell r="H4337">
            <v>0</v>
          </cell>
          <cell r="O4337">
            <v>41579</v>
          </cell>
          <cell r="R4337" t="str">
            <v/>
          </cell>
          <cell r="T4337" t="str">
            <v>60 - 00011R41579</v>
          </cell>
        </row>
        <row r="4338">
          <cell r="H4338">
            <v>0</v>
          </cell>
          <cell r="O4338">
            <v>41579</v>
          </cell>
          <cell r="R4338" t="str">
            <v/>
          </cell>
          <cell r="T4338" t="str">
            <v>60 - 00011R41579</v>
          </cell>
        </row>
        <row r="4339">
          <cell r="H4339">
            <v>0</v>
          </cell>
          <cell r="O4339">
            <v>41579</v>
          </cell>
          <cell r="R4339" t="str">
            <v/>
          </cell>
          <cell r="T4339" t="str">
            <v>60 - 00011R41579</v>
          </cell>
        </row>
        <row r="4340">
          <cell r="H4340">
            <v>0</v>
          </cell>
          <cell r="O4340">
            <v>41579</v>
          </cell>
          <cell r="R4340" t="str">
            <v/>
          </cell>
          <cell r="T4340" t="str">
            <v>60 - 00011R41579</v>
          </cell>
        </row>
        <row r="4341">
          <cell r="H4341">
            <v>0</v>
          </cell>
          <cell r="O4341">
            <v>41579</v>
          </cell>
          <cell r="R4341" t="str">
            <v/>
          </cell>
          <cell r="T4341" t="str">
            <v>60 - 00011R41579</v>
          </cell>
        </row>
        <row r="4342">
          <cell r="H4342">
            <v>0</v>
          </cell>
          <cell r="O4342">
            <v>41579</v>
          </cell>
          <cell r="R4342" t="str">
            <v/>
          </cell>
          <cell r="T4342" t="str">
            <v>60 - 00011R41579</v>
          </cell>
        </row>
        <row r="4343">
          <cell r="H4343">
            <v>0</v>
          </cell>
          <cell r="O4343">
            <v>41579</v>
          </cell>
          <cell r="R4343" t="str">
            <v/>
          </cell>
          <cell r="T4343" t="str">
            <v>60 - 00011R41579</v>
          </cell>
        </row>
        <row r="4344">
          <cell r="H4344">
            <v>0</v>
          </cell>
          <cell r="O4344">
            <v>41579</v>
          </cell>
          <cell r="R4344" t="str">
            <v/>
          </cell>
          <cell r="T4344" t="str">
            <v>60 - 00011R41579</v>
          </cell>
        </row>
        <row r="4345">
          <cell r="H4345">
            <v>0</v>
          </cell>
          <cell r="O4345">
            <v>41579</v>
          </cell>
          <cell r="R4345" t="str">
            <v/>
          </cell>
          <cell r="T4345" t="str">
            <v>60 - 00011R41579</v>
          </cell>
        </row>
        <row r="4346">
          <cell r="H4346">
            <v>0</v>
          </cell>
          <cell r="O4346">
            <v>41579</v>
          </cell>
          <cell r="R4346" t="str">
            <v/>
          </cell>
          <cell r="T4346" t="str">
            <v>60 - 00011R41579</v>
          </cell>
        </row>
        <row r="4347">
          <cell r="H4347">
            <v>0</v>
          </cell>
          <cell r="O4347">
            <v>41579</v>
          </cell>
          <cell r="R4347" t="str">
            <v/>
          </cell>
          <cell r="T4347" t="str">
            <v>60 - 00011R41579</v>
          </cell>
        </row>
        <row r="4348">
          <cell r="H4348">
            <v>0</v>
          </cell>
          <cell r="O4348">
            <v>41579</v>
          </cell>
          <cell r="R4348" t="str">
            <v/>
          </cell>
          <cell r="T4348" t="str">
            <v>60 - 00011R41579</v>
          </cell>
        </row>
        <row r="4349">
          <cell r="H4349">
            <v>404888291</v>
          </cell>
          <cell r="O4349">
            <v>41579</v>
          </cell>
          <cell r="R4349" t="str">
            <v/>
          </cell>
          <cell r="T4349" t="str">
            <v>60 - 00011R41579</v>
          </cell>
        </row>
        <row r="4350">
          <cell r="H4350">
            <v>3209362</v>
          </cell>
          <cell r="O4350">
            <v>41579</v>
          </cell>
          <cell r="R4350" t="str">
            <v/>
          </cell>
          <cell r="T4350" t="str">
            <v>60 - 00011R41579</v>
          </cell>
        </row>
        <row r="4351">
          <cell r="H4351">
            <v>21332261</v>
          </cell>
          <cell r="O4351">
            <v>41579</v>
          </cell>
          <cell r="R4351" t="str">
            <v/>
          </cell>
          <cell r="T4351" t="str">
            <v>60 - 00011R41579</v>
          </cell>
        </row>
        <row r="4352">
          <cell r="H4352">
            <v>1376449</v>
          </cell>
          <cell r="O4352">
            <v>41579</v>
          </cell>
          <cell r="R4352" t="str">
            <v/>
          </cell>
          <cell r="T4352" t="str">
            <v>60 - 00011R41579</v>
          </cell>
        </row>
        <row r="4353">
          <cell r="H4353">
            <v>0</v>
          </cell>
          <cell r="O4353">
            <v>41579</v>
          </cell>
          <cell r="R4353" t="str">
            <v/>
          </cell>
          <cell r="T4353" t="str">
            <v>60 - 00011R41579</v>
          </cell>
        </row>
        <row r="4354">
          <cell r="H4354">
            <v>0</v>
          </cell>
          <cell r="O4354">
            <v>41579</v>
          </cell>
          <cell r="R4354" t="str">
            <v/>
          </cell>
          <cell r="T4354" t="str">
            <v>60 - 00011R41579</v>
          </cell>
        </row>
        <row r="4355">
          <cell r="H4355">
            <v>0</v>
          </cell>
          <cell r="O4355">
            <v>41579</v>
          </cell>
          <cell r="R4355" t="str">
            <v/>
          </cell>
          <cell r="T4355" t="str">
            <v>60 - 00011R41579</v>
          </cell>
        </row>
        <row r="4356">
          <cell r="H4356">
            <v>200546</v>
          </cell>
          <cell r="O4356">
            <v>41579</v>
          </cell>
          <cell r="R4356" t="str">
            <v/>
          </cell>
          <cell r="T4356" t="str">
            <v>60 - 00011R41579</v>
          </cell>
        </row>
        <row r="4357">
          <cell r="H4357">
            <v>0</v>
          </cell>
          <cell r="O4357">
            <v>41579</v>
          </cell>
          <cell r="R4357" t="str">
            <v/>
          </cell>
          <cell r="T4357" t="str">
            <v>60 - 00011R41579</v>
          </cell>
        </row>
        <row r="4358">
          <cell r="H4358">
            <v>2420264</v>
          </cell>
          <cell r="O4358">
            <v>41579</v>
          </cell>
          <cell r="R4358" t="str">
            <v/>
          </cell>
          <cell r="T4358" t="str">
            <v>60 - 00011R41579</v>
          </cell>
        </row>
        <row r="4359">
          <cell r="H4359">
            <v>14277</v>
          </cell>
          <cell r="O4359">
            <v>41579</v>
          </cell>
          <cell r="R4359" t="str">
            <v/>
          </cell>
          <cell r="T4359" t="str">
            <v>60 - 00011R41579</v>
          </cell>
        </row>
        <row r="4360">
          <cell r="H4360">
            <v>2467</v>
          </cell>
          <cell r="O4360">
            <v>41579</v>
          </cell>
          <cell r="R4360" t="str">
            <v/>
          </cell>
          <cell r="T4360" t="str">
            <v>60 - 00011R41579</v>
          </cell>
        </row>
        <row r="4361">
          <cell r="H4361">
            <v>0</v>
          </cell>
          <cell r="O4361">
            <v>41579</v>
          </cell>
          <cell r="R4361" t="str">
            <v/>
          </cell>
          <cell r="T4361" t="str">
            <v>60 - 00011R41579</v>
          </cell>
        </row>
        <row r="4362">
          <cell r="H4362">
            <v>43798000</v>
          </cell>
          <cell r="O4362">
            <v>41579</v>
          </cell>
          <cell r="R4362" t="str">
            <v/>
          </cell>
          <cell r="T4362" t="str">
            <v>60 - 00011U41579</v>
          </cell>
        </row>
        <row r="4363">
          <cell r="H4363">
            <v>0</v>
          </cell>
          <cell r="O4363">
            <v>41579</v>
          </cell>
          <cell r="R4363" t="str">
            <v/>
          </cell>
          <cell r="T4363" t="str">
            <v>60 - 00011U41579</v>
          </cell>
        </row>
        <row r="4364">
          <cell r="H4364">
            <v>0</v>
          </cell>
          <cell r="O4364">
            <v>41579</v>
          </cell>
          <cell r="R4364" t="str">
            <v/>
          </cell>
          <cell r="T4364" t="str">
            <v>60 - 00011B41579</v>
          </cell>
        </row>
        <row r="4365">
          <cell r="H4365">
            <v>5690422</v>
          </cell>
          <cell r="O4365">
            <v>41579</v>
          </cell>
          <cell r="R4365" t="str">
            <v/>
          </cell>
          <cell r="T4365" t="str">
            <v>60 - 00011B41579</v>
          </cell>
        </row>
        <row r="4366">
          <cell r="H4366">
            <v>30580</v>
          </cell>
          <cell r="O4366">
            <v>41579</v>
          </cell>
          <cell r="R4366" t="str">
            <v/>
          </cell>
          <cell r="T4366" t="str">
            <v>60 - 00011B41579</v>
          </cell>
        </row>
        <row r="4367">
          <cell r="H4367">
            <v>10787244</v>
          </cell>
          <cell r="O4367">
            <v>41579</v>
          </cell>
          <cell r="R4367" t="str">
            <v/>
          </cell>
          <cell r="T4367" t="str">
            <v>60 - 00011B41579</v>
          </cell>
        </row>
        <row r="4368">
          <cell r="H4368">
            <v>3900715</v>
          </cell>
          <cell r="O4368">
            <v>41579</v>
          </cell>
          <cell r="R4368" t="str">
            <v/>
          </cell>
          <cell r="T4368" t="str">
            <v>60 - 00011B41579</v>
          </cell>
        </row>
        <row r="4369">
          <cell r="H4369">
            <v>260400</v>
          </cell>
          <cell r="O4369">
            <v>41579</v>
          </cell>
          <cell r="R4369" t="str">
            <v/>
          </cell>
          <cell r="T4369" t="str">
            <v>60 - 00011B41579</v>
          </cell>
        </row>
        <row r="4370">
          <cell r="H4370">
            <v>9947</v>
          </cell>
          <cell r="O4370">
            <v>41579</v>
          </cell>
          <cell r="R4370" t="str">
            <v/>
          </cell>
          <cell r="T4370" t="str">
            <v>60 - 00011B41579</v>
          </cell>
        </row>
        <row r="4371">
          <cell r="H4371">
            <v>23773</v>
          </cell>
          <cell r="O4371">
            <v>41579</v>
          </cell>
          <cell r="R4371" t="str">
            <v/>
          </cell>
          <cell r="T4371" t="str">
            <v>60 - 00011B41579</v>
          </cell>
        </row>
        <row r="4372">
          <cell r="H4372">
            <v>130705</v>
          </cell>
          <cell r="O4372">
            <v>41579</v>
          </cell>
          <cell r="R4372" t="str">
            <v/>
          </cell>
          <cell r="T4372" t="str">
            <v>60 - 00011B41579</v>
          </cell>
        </row>
        <row r="4373">
          <cell r="H4373">
            <v>128903</v>
          </cell>
          <cell r="O4373">
            <v>41579</v>
          </cell>
          <cell r="R4373" t="str">
            <v/>
          </cell>
          <cell r="T4373" t="str">
            <v>60 - 00011B41579</v>
          </cell>
        </row>
        <row r="4374">
          <cell r="H4374">
            <v>49935</v>
          </cell>
          <cell r="O4374">
            <v>41579</v>
          </cell>
          <cell r="R4374" t="str">
            <v/>
          </cell>
          <cell r="T4374" t="str">
            <v>60 - 00011B41579</v>
          </cell>
        </row>
        <row r="4375">
          <cell r="H4375">
            <v>0</v>
          </cell>
          <cell r="O4375">
            <v>41579</v>
          </cell>
          <cell r="R4375" t="str">
            <v/>
          </cell>
          <cell r="T4375" t="str">
            <v>60 - 00011B41579</v>
          </cell>
        </row>
        <row r="4376">
          <cell r="H4376">
            <v>0</v>
          </cell>
          <cell r="O4376">
            <v>41579</v>
          </cell>
          <cell r="R4376" t="str">
            <v/>
          </cell>
          <cell r="T4376" t="str">
            <v>60 - 00011R41579</v>
          </cell>
        </row>
        <row r="4377">
          <cell r="H4377">
            <v>0</v>
          </cell>
          <cell r="O4377">
            <v>41579</v>
          </cell>
          <cell r="R4377" t="str">
            <v/>
          </cell>
          <cell r="T4377" t="str">
            <v>60 - 00011R41579</v>
          </cell>
        </row>
        <row r="4378">
          <cell r="H4378">
            <v>0</v>
          </cell>
          <cell r="O4378">
            <v>41579</v>
          </cell>
          <cell r="R4378" t="str">
            <v/>
          </cell>
          <cell r="T4378" t="str">
            <v>60 - 00011R41579</v>
          </cell>
        </row>
        <row r="4379">
          <cell r="H4379">
            <v>0</v>
          </cell>
          <cell r="O4379">
            <v>41579</v>
          </cell>
          <cell r="R4379" t="str">
            <v/>
          </cell>
          <cell r="T4379" t="str">
            <v>60 - 00011R41579</v>
          </cell>
        </row>
        <row r="4380">
          <cell r="H4380">
            <v>0</v>
          </cell>
          <cell r="O4380">
            <v>41579</v>
          </cell>
          <cell r="R4380" t="str">
            <v/>
          </cell>
          <cell r="T4380" t="str">
            <v>60 - 00011R41579</v>
          </cell>
        </row>
        <row r="4381">
          <cell r="H4381">
            <v>0</v>
          </cell>
          <cell r="O4381">
            <v>41579</v>
          </cell>
          <cell r="R4381" t="str">
            <v/>
          </cell>
          <cell r="T4381" t="str">
            <v>60 - 00011R41579</v>
          </cell>
        </row>
        <row r="4382">
          <cell r="H4382">
            <v>4599600</v>
          </cell>
          <cell r="O4382">
            <v>41579</v>
          </cell>
          <cell r="R4382" t="str">
            <v/>
          </cell>
          <cell r="T4382" t="str">
            <v>60 - 00011R41579</v>
          </cell>
        </row>
        <row r="4383">
          <cell r="H4383">
            <v>0</v>
          </cell>
          <cell r="O4383">
            <v>41579</v>
          </cell>
          <cell r="R4383" t="str">
            <v/>
          </cell>
          <cell r="T4383" t="str">
            <v>60 - 00011R41579</v>
          </cell>
        </row>
        <row r="4384">
          <cell r="H4384">
            <v>0</v>
          </cell>
          <cell r="O4384">
            <v>41579</v>
          </cell>
          <cell r="R4384" t="str">
            <v/>
          </cell>
          <cell r="T4384" t="str">
            <v>60 - 00011R41579</v>
          </cell>
        </row>
        <row r="4385">
          <cell r="H4385">
            <v>0</v>
          </cell>
          <cell r="O4385">
            <v>41579</v>
          </cell>
          <cell r="R4385" t="str">
            <v/>
          </cell>
          <cell r="T4385" t="str">
            <v>60 - 00011R41579</v>
          </cell>
        </row>
        <row r="4386">
          <cell r="H4386">
            <v>0</v>
          </cell>
          <cell r="O4386">
            <v>41579</v>
          </cell>
          <cell r="R4386" t="str">
            <v/>
          </cell>
          <cell r="T4386" t="str">
            <v>60 - 00011R41579</v>
          </cell>
        </row>
        <row r="4387">
          <cell r="H4387">
            <v>0</v>
          </cell>
          <cell r="O4387">
            <v>41579</v>
          </cell>
          <cell r="R4387" t="str">
            <v/>
          </cell>
          <cell r="T4387" t="str">
            <v>60 - 00011R41579</v>
          </cell>
        </row>
        <row r="4388">
          <cell r="H4388">
            <v>0</v>
          </cell>
          <cell r="O4388">
            <v>41579</v>
          </cell>
          <cell r="R4388" t="str">
            <v/>
          </cell>
          <cell r="T4388" t="str">
            <v>60 - 00011R41579</v>
          </cell>
        </row>
        <row r="4389">
          <cell r="H4389">
            <v>3621800</v>
          </cell>
          <cell r="O4389">
            <v>41579</v>
          </cell>
          <cell r="R4389" t="str">
            <v/>
          </cell>
          <cell r="T4389" t="str">
            <v>60 - 00011R41579</v>
          </cell>
        </row>
        <row r="4390">
          <cell r="H4390">
            <v>477053</v>
          </cell>
          <cell r="O4390">
            <v>41579</v>
          </cell>
          <cell r="R4390" t="str">
            <v/>
          </cell>
          <cell r="T4390" t="str">
            <v>60 - 00011R41579</v>
          </cell>
        </row>
        <row r="4391">
          <cell r="H4391">
            <v>230305</v>
          </cell>
          <cell r="O4391">
            <v>41579</v>
          </cell>
          <cell r="R4391" t="str">
            <v/>
          </cell>
          <cell r="T4391" t="str">
            <v>60 - 00011R41579</v>
          </cell>
        </row>
        <row r="4392">
          <cell r="H4392">
            <v>0</v>
          </cell>
          <cell r="O4392">
            <v>41579</v>
          </cell>
          <cell r="R4392" t="str">
            <v/>
          </cell>
          <cell r="T4392" t="str">
            <v>60 - 00011R41579</v>
          </cell>
        </row>
        <row r="4393">
          <cell r="H4393">
            <v>0</v>
          </cell>
          <cell r="O4393">
            <v>41579</v>
          </cell>
          <cell r="R4393" t="str">
            <v/>
          </cell>
          <cell r="T4393" t="str">
            <v>60 - 00011R41579</v>
          </cell>
        </row>
        <row r="4394">
          <cell r="H4394">
            <v>68800989</v>
          </cell>
          <cell r="O4394">
            <v>41579</v>
          </cell>
          <cell r="R4394" t="str">
            <v/>
          </cell>
          <cell r="T4394" t="str">
            <v>60 - 00011R41579</v>
          </cell>
        </row>
        <row r="4395">
          <cell r="H4395">
            <v>0</v>
          </cell>
          <cell r="O4395">
            <v>41579</v>
          </cell>
          <cell r="R4395" t="str">
            <v/>
          </cell>
          <cell r="T4395" t="str">
            <v>60 - 00011R41579</v>
          </cell>
        </row>
        <row r="4396">
          <cell r="H4396">
            <v>0</v>
          </cell>
          <cell r="O4396">
            <v>41579</v>
          </cell>
          <cell r="R4396" t="str">
            <v/>
          </cell>
          <cell r="T4396" t="str">
            <v>60 - 00011R41579</v>
          </cell>
        </row>
        <row r="4397">
          <cell r="H4397">
            <v>76517745</v>
          </cell>
          <cell r="O4397">
            <v>41579</v>
          </cell>
          <cell r="R4397" t="str">
            <v/>
          </cell>
          <cell r="T4397" t="str">
            <v>60 - 00011R41579</v>
          </cell>
        </row>
        <row r="4398">
          <cell r="H4398">
            <v>153271964</v>
          </cell>
          <cell r="O4398">
            <v>41579</v>
          </cell>
          <cell r="R4398" t="str">
            <v/>
          </cell>
          <cell r="T4398" t="str">
            <v>60 - 00011R41579</v>
          </cell>
        </row>
        <row r="4399">
          <cell r="H4399">
            <v>0</v>
          </cell>
          <cell r="O4399">
            <v>41579</v>
          </cell>
          <cell r="R4399" t="str">
            <v/>
          </cell>
          <cell r="T4399" t="str">
            <v>60 - 00011R41579</v>
          </cell>
        </row>
        <row r="4400">
          <cell r="H4400">
            <v>0</v>
          </cell>
          <cell r="O4400">
            <v>41579</v>
          </cell>
          <cell r="R4400" t="str">
            <v/>
          </cell>
          <cell r="T4400" t="str">
            <v>60 - 00011R41579</v>
          </cell>
        </row>
        <row r="4401">
          <cell r="H4401">
            <v>0</v>
          </cell>
          <cell r="O4401">
            <v>41579</v>
          </cell>
          <cell r="R4401" t="str">
            <v/>
          </cell>
          <cell r="T4401" t="str">
            <v>60 - 00011R41579</v>
          </cell>
        </row>
        <row r="4402">
          <cell r="H4402">
            <v>0</v>
          </cell>
          <cell r="O4402">
            <v>41579</v>
          </cell>
          <cell r="R4402" t="str">
            <v/>
          </cell>
          <cell r="T4402" t="str">
            <v>60 - 00011R41579</v>
          </cell>
        </row>
        <row r="4403">
          <cell r="H4403">
            <v>192134</v>
          </cell>
          <cell r="O4403">
            <v>41579</v>
          </cell>
          <cell r="R4403" t="str">
            <v/>
          </cell>
          <cell r="T4403" t="str">
            <v>60 - 00011R41579</v>
          </cell>
        </row>
        <row r="4404">
          <cell r="H4404">
            <v>258124</v>
          </cell>
          <cell r="O4404">
            <v>41579</v>
          </cell>
          <cell r="R4404" t="str">
            <v/>
          </cell>
          <cell r="T4404" t="str">
            <v>60 - 00011R41579</v>
          </cell>
        </row>
        <row r="4405">
          <cell r="H4405">
            <v>31107</v>
          </cell>
          <cell r="O4405">
            <v>41579</v>
          </cell>
          <cell r="R4405" t="str">
            <v/>
          </cell>
          <cell r="T4405" t="str">
            <v>60 - 00011R41579</v>
          </cell>
        </row>
        <row r="4406">
          <cell r="H4406">
            <v>647348</v>
          </cell>
          <cell r="O4406">
            <v>41579</v>
          </cell>
          <cell r="R4406" t="str">
            <v/>
          </cell>
          <cell r="T4406" t="str">
            <v>60 - 00011R41579</v>
          </cell>
        </row>
        <row r="4407">
          <cell r="H4407">
            <v>1310802</v>
          </cell>
          <cell r="O4407">
            <v>41579</v>
          </cell>
          <cell r="R4407" t="str">
            <v/>
          </cell>
          <cell r="T4407" t="str">
            <v>60 - 00011R41579</v>
          </cell>
        </row>
        <row r="4408">
          <cell r="H4408">
            <v>300354</v>
          </cell>
          <cell r="O4408">
            <v>41579</v>
          </cell>
          <cell r="R4408" t="str">
            <v/>
          </cell>
          <cell r="T4408" t="str">
            <v>60 - 00011R41579</v>
          </cell>
        </row>
        <row r="4409">
          <cell r="H4409">
            <v>0</v>
          </cell>
          <cell r="O4409">
            <v>41579</v>
          </cell>
          <cell r="R4409" t="str">
            <v/>
          </cell>
          <cell r="T4409" t="str">
            <v>60 - 00011R41579</v>
          </cell>
        </row>
        <row r="4410">
          <cell r="H4410">
            <v>12021</v>
          </cell>
          <cell r="O4410">
            <v>41579</v>
          </cell>
          <cell r="R4410" t="str">
            <v/>
          </cell>
          <cell r="T4410" t="str">
            <v>60 - 00011R41579</v>
          </cell>
        </row>
        <row r="4411">
          <cell r="H4411">
            <v>32967</v>
          </cell>
          <cell r="O4411">
            <v>41579</v>
          </cell>
          <cell r="R4411" t="str">
            <v/>
          </cell>
          <cell r="T4411" t="str">
            <v>60 - 00011R41579</v>
          </cell>
        </row>
        <row r="4412">
          <cell r="H4412">
            <v>201532</v>
          </cell>
          <cell r="O4412">
            <v>41579</v>
          </cell>
          <cell r="R4412" t="str">
            <v/>
          </cell>
          <cell r="T4412" t="str">
            <v>60 - 00011R41579</v>
          </cell>
        </row>
        <row r="4413">
          <cell r="H4413">
            <v>1157986</v>
          </cell>
          <cell r="O4413">
            <v>41579</v>
          </cell>
          <cell r="R4413" t="str">
            <v/>
          </cell>
          <cell r="T4413" t="str">
            <v>60 - 00011R41579</v>
          </cell>
        </row>
        <row r="4414">
          <cell r="H4414">
            <v>370402</v>
          </cell>
          <cell r="O4414">
            <v>41579</v>
          </cell>
          <cell r="R4414" t="str">
            <v/>
          </cell>
          <cell r="T4414" t="str">
            <v>60 - 00011R41579</v>
          </cell>
        </row>
        <row r="4415">
          <cell r="H4415">
            <v>10900</v>
          </cell>
          <cell r="O4415">
            <v>41579</v>
          </cell>
          <cell r="R4415" t="str">
            <v/>
          </cell>
          <cell r="T4415" t="str">
            <v>60 - 00011R41579</v>
          </cell>
        </row>
        <row r="4416">
          <cell r="H4416">
            <v>0</v>
          </cell>
          <cell r="O4416">
            <v>41579</v>
          </cell>
          <cell r="R4416" t="str">
            <v/>
          </cell>
          <cell r="T4416" t="str">
            <v>60 - 00011R41579</v>
          </cell>
        </row>
        <row r="4417">
          <cell r="H4417">
            <v>88794605</v>
          </cell>
          <cell r="O4417">
            <v>41579</v>
          </cell>
          <cell r="R4417" t="str">
            <v/>
          </cell>
          <cell r="T4417" t="str">
            <v>60 - 00011R41579</v>
          </cell>
        </row>
        <row r="4418">
          <cell r="H4418">
            <v>5625190</v>
          </cell>
          <cell r="O4418">
            <v>41579</v>
          </cell>
          <cell r="R4418" t="str">
            <v/>
          </cell>
          <cell r="T4418" t="str">
            <v>60 - 00011R41579</v>
          </cell>
        </row>
        <row r="4419">
          <cell r="H4419">
            <v>0</v>
          </cell>
          <cell r="O4419">
            <v>41579</v>
          </cell>
          <cell r="R4419" t="str">
            <v/>
          </cell>
          <cell r="T4419" t="str">
            <v>60 - 00011R41579</v>
          </cell>
        </row>
        <row r="4420">
          <cell r="H4420">
            <v>0</v>
          </cell>
          <cell r="O4420">
            <v>41579</v>
          </cell>
          <cell r="R4420" t="str">
            <v/>
          </cell>
          <cell r="T4420" t="str">
            <v>60 - 00011R41579</v>
          </cell>
        </row>
        <row r="4421">
          <cell r="H4421">
            <v>0</v>
          </cell>
          <cell r="O4421">
            <v>41579</v>
          </cell>
          <cell r="R4421" t="str">
            <v/>
          </cell>
          <cell r="T4421" t="str">
            <v>60 - 00011R41579</v>
          </cell>
        </row>
        <row r="4422">
          <cell r="H4422">
            <v>0</v>
          </cell>
          <cell r="O4422">
            <v>41579</v>
          </cell>
          <cell r="R4422" t="str">
            <v/>
          </cell>
          <cell r="T4422" t="str">
            <v>60 - 00011R41579</v>
          </cell>
        </row>
        <row r="4423">
          <cell r="H4423">
            <v>705837</v>
          </cell>
          <cell r="O4423">
            <v>41579</v>
          </cell>
          <cell r="R4423" t="str">
            <v/>
          </cell>
          <cell r="T4423" t="str">
            <v>60 - 00011R41579</v>
          </cell>
        </row>
        <row r="4424">
          <cell r="H4424">
            <v>8887880</v>
          </cell>
          <cell r="O4424">
            <v>41579</v>
          </cell>
          <cell r="R4424" t="str">
            <v/>
          </cell>
          <cell r="T4424" t="str">
            <v>60 - 00011R41579</v>
          </cell>
        </row>
        <row r="4425">
          <cell r="H4425">
            <v>3117440</v>
          </cell>
          <cell r="O4425">
            <v>41579</v>
          </cell>
          <cell r="R4425" t="str">
            <v/>
          </cell>
          <cell r="T4425" t="str">
            <v>60 - 00011R41579</v>
          </cell>
        </row>
        <row r="4426">
          <cell r="H4426">
            <v>0</v>
          </cell>
          <cell r="O4426">
            <v>41579</v>
          </cell>
          <cell r="R4426" t="str">
            <v/>
          </cell>
          <cell r="T4426" t="str">
            <v>60 - 00011R41579</v>
          </cell>
        </row>
        <row r="4427">
          <cell r="H4427">
            <v>0</v>
          </cell>
          <cell r="O4427">
            <v>41579</v>
          </cell>
          <cell r="R4427" t="str">
            <v/>
          </cell>
          <cell r="T4427" t="str">
            <v>60 - 00011R41579</v>
          </cell>
        </row>
        <row r="4428">
          <cell r="H4428">
            <v>56050</v>
          </cell>
          <cell r="O4428">
            <v>41579</v>
          </cell>
          <cell r="R4428" t="str">
            <v/>
          </cell>
          <cell r="T4428" t="str">
            <v>60 - 00011R41579</v>
          </cell>
        </row>
        <row r="4429">
          <cell r="H4429">
            <v>0</v>
          </cell>
          <cell r="O4429">
            <v>41579</v>
          </cell>
          <cell r="R4429" t="str">
            <v/>
          </cell>
          <cell r="T4429" t="str">
            <v>60 - 00011R41579</v>
          </cell>
        </row>
        <row r="4430">
          <cell r="H4430">
            <v>0</v>
          </cell>
          <cell r="O4430">
            <v>41579</v>
          </cell>
          <cell r="R4430" t="str">
            <v/>
          </cell>
          <cell r="T4430" t="str">
            <v>60 - 00011R41579</v>
          </cell>
        </row>
        <row r="4431">
          <cell r="H4431">
            <v>0</v>
          </cell>
          <cell r="O4431">
            <v>41579</v>
          </cell>
          <cell r="R4431" t="str">
            <v/>
          </cell>
          <cell r="T4431" t="str">
            <v>60 - 00011R41579</v>
          </cell>
        </row>
        <row r="4432">
          <cell r="H4432">
            <v>0</v>
          </cell>
          <cell r="O4432">
            <v>41579</v>
          </cell>
          <cell r="R4432" t="str">
            <v/>
          </cell>
          <cell r="T4432" t="str">
            <v>60 - 00011R41579</v>
          </cell>
        </row>
        <row r="4433">
          <cell r="H4433">
            <v>0</v>
          </cell>
          <cell r="O4433">
            <v>41579</v>
          </cell>
          <cell r="R4433" t="str">
            <v/>
          </cell>
          <cell r="T4433" t="str">
            <v>60 - 00011R41579</v>
          </cell>
        </row>
        <row r="4434">
          <cell r="H4434">
            <v>128904</v>
          </cell>
          <cell r="O4434">
            <v>41579</v>
          </cell>
          <cell r="R4434" t="str">
            <v/>
          </cell>
          <cell r="T4434" t="str">
            <v>60 - 00011R41579</v>
          </cell>
        </row>
        <row r="4435">
          <cell r="H4435">
            <v>0</v>
          </cell>
          <cell r="O4435">
            <v>41579</v>
          </cell>
          <cell r="R4435" t="str">
            <v/>
          </cell>
          <cell r="T4435" t="str">
            <v>60 - 00011R41579</v>
          </cell>
        </row>
        <row r="4436">
          <cell r="H4436">
            <v>0</v>
          </cell>
          <cell r="O4436">
            <v>41579</v>
          </cell>
          <cell r="R4436" t="str">
            <v/>
          </cell>
          <cell r="T4436" t="str">
            <v>60 - 00011R41579</v>
          </cell>
        </row>
        <row r="4437">
          <cell r="H4437">
            <v>13043000</v>
          </cell>
          <cell r="O4437">
            <v>41579</v>
          </cell>
          <cell r="R4437" t="str">
            <v/>
          </cell>
          <cell r="T4437" t="str">
            <v>60 - 00011U41579</v>
          </cell>
        </row>
        <row r="4438">
          <cell r="H4438">
            <v>0</v>
          </cell>
          <cell r="O4438">
            <v>41579</v>
          </cell>
          <cell r="R4438" t="str">
            <v/>
          </cell>
          <cell r="T4438" t="str">
            <v>60 - 00011B41579</v>
          </cell>
        </row>
        <row r="4439">
          <cell r="H4439">
            <v>21714</v>
          </cell>
          <cell r="O4439">
            <v>41579</v>
          </cell>
          <cell r="R4439" t="str">
            <v/>
          </cell>
          <cell r="T4439" t="str">
            <v>60 - 00011B41579</v>
          </cell>
        </row>
        <row r="4440">
          <cell r="H4440">
            <v>18346</v>
          </cell>
          <cell r="O4440">
            <v>41579</v>
          </cell>
          <cell r="R4440" t="str">
            <v/>
          </cell>
          <cell r="T4440" t="str">
            <v>60 - 00011B41579</v>
          </cell>
        </row>
        <row r="4441">
          <cell r="H4441">
            <v>380</v>
          </cell>
          <cell r="O4441">
            <v>41579</v>
          </cell>
          <cell r="R4441" t="str">
            <v/>
          </cell>
          <cell r="T4441" t="str">
            <v>60 - 00011B41579</v>
          </cell>
        </row>
        <row r="4442">
          <cell r="H4442">
            <v>0</v>
          </cell>
          <cell r="O4442">
            <v>41579</v>
          </cell>
          <cell r="R4442" t="str">
            <v/>
          </cell>
          <cell r="T4442" t="str">
            <v>60 - 00011B41579</v>
          </cell>
        </row>
        <row r="4443">
          <cell r="H4443">
            <v>0</v>
          </cell>
          <cell r="O4443">
            <v>41579</v>
          </cell>
          <cell r="R4443" t="str">
            <v/>
          </cell>
          <cell r="T4443" t="str">
            <v>60 - 00011R41579</v>
          </cell>
        </row>
        <row r="4444">
          <cell r="H4444">
            <v>0</v>
          </cell>
          <cell r="O4444">
            <v>41579</v>
          </cell>
          <cell r="R4444" t="str">
            <v/>
          </cell>
          <cell r="T4444" t="str">
            <v>60 - 00011R41579</v>
          </cell>
        </row>
        <row r="4445">
          <cell r="H4445">
            <v>0</v>
          </cell>
          <cell r="O4445">
            <v>41579</v>
          </cell>
          <cell r="R4445" t="str">
            <v/>
          </cell>
          <cell r="T4445" t="str">
            <v>60 - 00011R41579</v>
          </cell>
        </row>
        <row r="4446">
          <cell r="H4446">
            <v>0</v>
          </cell>
          <cell r="O4446">
            <v>41579</v>
          </cell>
          <cell r="R4446" t="str">
            <v/>
          </cell>
          <cell r="T4446" t="str">
            <v>60 - 00011R41579</v>
          </cell>
        </row>
        <row r="4447">
          <cell r="H4447">
            <v>0</v>
          </cell>
          <cell r="O4447">
            <v>41579</v>
          </cell>
          <cell r="R4447" t="str">
            <v/>
          </cell>
          <cell r="T4447" t="str">
            <v>60 - 00011R41579</v>
          </cell>
        </row>
        <row r="4448">
          <cell r="H4448">
            <v>0</v>
          </cell>
          <cell r="O4448">
            <v>41579</v>
          </cell>
          <cell r="R4448" t="str">
            <v/>
          </cell>
          <cell r="T4448" t="str">
            <v>60 - 00011R41579</v>
          </cell>
        </row>
        <row r="4449">
          <cell r="H4449">
            <v>7232400</v>
          </cell>
          <cell r="O4449">
            <v>41579</v>
          </cell>
          <cell r="R4449" t="str">
            <v/>
          </cell>
          <cell r="T4449" t="str">
            <v>60 - 00011R41579</v>
          </cell>
        </row>
        <row r="4450">
          <cell r="H4450">
            <v>0</v>
          </cell>
          <cell r="O4450">
            <v>41579</v>
          </cell>
          <cell r="R4450" t="str">
            <v/>
          </cell>
          <cell r="T4450" t="str">
            <v>60 - 00011R41579</v>
          </cell>
        </row>
        <row r="4451">
          <cell r="H4451">
            <v>1648000</v>
          </cell>
          <cell r="O4451">
            <v>41579</v>
          </cell>
          <cell r="R4451" t="str">
            <v/>
          </cell>
          <cell r="T4451" t="str">
            <v>60 - 00011R41579</v>
          </cell>
        </row>
        <row r="4452">
          <cell r="H4452">
            <v>25199</v>
          </cell>
          <cell r="O4452">
            <v>41579</v>
          </cell>
          <cell r="R4452" t="str">
            <v/>
          </cell>
          <cell r="T4452" t="str">
            <v>60 - 00011R41579</v>
          </cell>
        </row>
        <row r="4453">
          <cell r="H4453">
            <v>0</v>
          </cell>
          <cell r="O4453">
            <v>41579</v>
          </cell>
          <cell r="R4453" t="str">
            <v/>
          </cell>
          <cell r="T4453" t="str">
            <v>60 - 00011R41579</v>
          </cell>
        </row>
        <row r="4454">
          <cell r="H4454">
            <v>146422362</v>
          </cell>
          <cell r="O4454">
            <v>41579</v>
          </cell>
          <cell r="R4454" t="str">
            <v/>
          </cell>
          <cell r="T4454" t="str">
            <v>60 - 00011R41579</v>
          </cell>
        </row>
        <row r="4455">
          <cell r="H4455">
            <v>0</v>
          </cell>
          <cell r="O4455">
            <v>41579</v>
          </cell>
          <cell r="R4455" t="str">
            <v/>
          </cell>
          <cell r="T4455" t="str">
            <v>60 - 00011R41579</v>
          </cell>
        </row>
        <row r="4456">
          <cell r="H4456">
            <v>1590404</v>
          </cell>
          <cell r="O4456">
            <v>41579</v>
          </cell>
          <cell r="R4456" t="str">
            <v/>
          </cell>
          <cell r="T4456" t="str">
            <v>60 - 00011R41579</v>
          </cell>
        </row>
        <row r="4457">
          <cell r="H4457">
            <v>7474127</v>
          </cell>
          <cell r="O4457">
            <v>41579</v>
          </cell>
          <cell r="R4457" t="str">
            <v/>
          </cell>
          <cell r="T4457" t="str">
            <v>60 - 00011R41579</v>
          </cell>
        </row>
        <row r="4458">
          <cell r="H4458">
            <v>0</v>
          </cell>
          <cell r="O4458">
            <v>41579</v>
          </cell>
          <cell r="R4458" t="str">
            <v/>
          </cell>
          <cell r="T4458" t="str">
            <v>60 - 00011R41579</v>
          </cell>
        </row>
        <row r="4459">
          <cell r="H4459">
            <v>0</v>
          </cell>
          <cell r="O4459">
            <v>41579</v>
          </cell>
          <cell r="R4459" t="str">
            <v/>
          </cell>
          <cell r="T4459" t="str">
            <v>60 - 00011R41579</v>
          </cell>
        </row>
        <row r="4460">
          <cell r="H4460">
            <v>0</v>
          </cell>
          <cell r="O4460">
            <v>41579</v>
          </cell>
          <cell r="R4460" t="str">
            <v/>
          </cell>
          <cell r="T4460" t="str">
            <v>60 - 00011R41579</v>
          </cell>
        </row>
        <row r="4461">
          <cell r="H4461">
            <v>0</v>
          </cell>
          <cell r="O4461">
            <v>41579</v>
          </cell>
          <cell r="R4461" t="str">
            <v/>
          </cell>
          <cell r="T4461" t="str">
            <v>60 - 00011R41579</v>
          </cell>
        </row>
        <row r="4462">
          <cell r="H4462">
            <v>2469</v>
          </cell>
          <cell r="O4462">
            <v>41579</v>
          </cell>
          <cell r="R4462" t="str">
            <v/>
          </cell>
          <cell r="T4462" t="str">
            <v>60 - 00011R41579</v>
          </cell>
        </row>
        <row r="4463">
          <cell r="H4463">
            <v>6799</v>
          </cell>
          <cell r="O4463">
            <v>41579</v>
          </cell>
          <cell r="R4463" t="str">
            <v/>
          </cell>
          <cell r="T4463" t="str">
            <v>60 - 00011R41579</v>
          </cell>
        </row>
        <row r="4464">
          <cell r="H4464">
            <v>197</v>
          </cell>
          <cell r="O4464">
            <v>41579</v>
          </cell>
          <cell r="R4464" t="str">
            <v/>
          </cell>
          <cell r="T4464" t="str">
            <v>60 - 00011R41579</v>
          </cell>
        </row>
        <row r="4465">
          <cell r="H4465">
            <v>86</v>
          </cell>
          <cell r="O4465">
            <v>41579</v>
          </cell>
          <cell r="R4465" t="str">
            <v/>
          </cell>
          <cell r="T4465" t="str">
            <v>60 - 00011R41579</v>
          </cell>
        </row>
        <row r="4466">
          <cell r="H4466">
            <v>6</v>
          </cell>
          <cell r="O4466">
            <v>41579</v>
          </cell>
          <cell r="R4466" t="str">
            <v/>
          </cell>
          <cell r="T4466" t="str">
            <v>60 - 00011R41579</v>
          </cell>
        </row>
        <row r="4467">
          <cell r="H4467">
            <v>1405</v>
          </cell>
          <cell r="O4467">
            <v>41579</v>
          </cell>
          <cell r="R4467" t="str">
            <v/>
          </cell>
          <cell r="T4467" t="str">
            <v>60 - 00011R41579</v>
          </cell>
        </row>
        <row r="4468">
          <cell r="H4468">
            <v>11919</v>
          </cell>
          <cell r="O4468">
            <v>41579</v>
          </cell>
          <cell r="R4468" t="str">
            <v/>
          </cell>
          <cell r="T4468" t="str">
            <v>60 - 00011R41579</v>
          </cell>
        </row>
        <row r="4469">
          <cell r="H4469">
            <v>0</v>
          </cell>
          <cell r="O4469">
            <v>41579</v>
          </cell>
          <cell r="R4469" t="str">
            <v/>
          </cell>
          <cell r="T4469" t="str">
            <v>60 - 00011R41579</v>
          </cell>
        </row>
        <row r="4470">
          <cell r="H4470">
            <v>18920251</v>
          </cell>
          <cell r="O4470">
            <v>41579</v>
          </cell>
          <cell r="R4470" t="str">
            <v/>
          </cell>
          <cell r="T4470" t="str">
            <v>60 - 00011R41579</v>
          </cell>
        </row>
        <row r="4471">
          <cell r="H4471">
            <v>21710</v>
          </cell>
          <cell r="O4471">
            <v>41579</v>
          </cell>
          <cell r="R4471" t="str">
            <v/>
          </cell>
          <cell r="T4471" t="str">
            <v>60 - 00011R41579</v>
          </cell>
        </row>
        <row r="4472">
          <cell r="H4472">
            <v>0</v>
          </cell>
          <cell r="O4472">
            <v>41579</v>
          </cell>
          <cell r="R4472" t="str">
            <v/>
          </cell>
          <cell r="T4472" t="str">
            <v>60 - 00011R41579</v>
          </cell>
        </row>
        <row r="4473">
          <cell r="H4473">
            <v>0</v>
          </cell>
          <cell r="O4473">
            <v>41579</v>
          </cell>
          <cell r="R4473" t="str">
            <v/>
          </cell>
          <cell r="T4473" t="str">
            <v>60 - 00011R41579</v>
          </cell>
        </row>
        <row r="4474">
          <cell r="H4474">
            <v>50000</v>
          </cell>
          <cell r="O4474">
            <v>41579</v>
          </cell>
          <cell r="R4474" t="str">
            <v/>
          </cell>
          <cell r="T4474" t="str">
            <v>60 - 00011R41579</v>
          </cell>
        </row>
        <row r="4475">
          <cell r="H4475">
            <v>92080</v>
          </cell>
          <cell r="O4475">
            <v>41579</v>
          </cell>
          <cell r="R4475" t="str">
            <v/>
          </cell>
          <cell r="T4475" t="str">
            <v>60 - 00011R41579</v>
          </cell>
        </row>
        <row r="4476">
          <cell r="H4476">
            <v>5089000</v>
          </cell>
          <cell r="O4476">
            <v>41579</v>
          </cell>
          <cell r="R4476" t="str">
            <v/>
          </cell>
          <cell r="T4476" t="str">
            <v>60 - 00011R41579</v>
          </cell>
        </row>
        <row r="4477">
          <cell r="H4477">
            <v>0</v>
          </cell>
          <cell r="O4477">
            <v>41579</v>
          </cell>
          <cell r="R4477" t="str">
            <v/>
          </cell>
          <cell r="T4477" t="str">
            <v>60 - 00011R41579</v>
          </cell>
        </row>
        <row r="4478">
          <cell r="H4478">
            <v>0</v>
          </cell>
          <cell r="O4478">
            <v>41579</v>
          </cell>
          <cell r="R4478" t="str">
            <v/>
          </cell>
          <cell r="T4478" t="str">
            <v>60 - 00011R41579</v>
          </cell>
        </row>
        <row r="4479">
          <cell r="H4479">
            <v>0</v>
          </cell>
          <cell r="O4479">
            <v>41579</v>
          </cell>
          <cell r="R4479" t="str">
            <v/>
          </cell>
          <cell r="T4479" t="str">
            <v>60 - 00011R41579</v>
          </cell>
        </row>
        <row r="4480">
          <cell r="H4480">
            <v>380</v>
          </cell>
          <cell r="O4480">
            <v>41579</v>
          </cell>
          <cell r="R4480" t="str">
            <v/>
          </cell>
          <cell r="T4480" t="str">
            <v>60 - 00011R41579</v>
          </cell>
        </row>
        <row r="4481">
          <cell r="H4481">
            <v>0</v>
          </cell>
          <cell r="O4481">
            <v>41579</v>
          </cell>
          <cell r="R4481" t="str">
            <v/>
          </cell>
          <cell r="T4481" t="str">
            <v>60 - 00011R41579</v>
          </cell>
        </row>
        <row r="4482">
          <cell r="H4482">
            <v>1148000</v>
          </cell>
          <cell r="O4482">
            <v>41579</v>
          </cell>
          <cell r="R4482" t="str">
            <v/>
          </cell>
          <cell r="T4482" t="str">
            <v>60 - 00011U41579</v>
          </cell>
        </row>
        <row r="4483">
          <cell r="H4483">
            <v>0</v>
          </cell>
          <cell r="O4483">
            <v>41579</v>
          </cell>
          <cell r="R4483" t="str">
            <v/>
          </cell>
          <cell r="T4483" t="str">
            <v>60 - 00011B41579</v>
          </cell>
        </row>
        <row r="4484">
          <cell r="H4484">
            <v>632982</v>
          </cell>
          <cell r="O4484">
            <v>41579</v>
          </cell>
          <cell r="R4484" t="str">
            <v/>
          </cell>
          <cell r="T4484" t="str">
            <v>60 - 00011B41579</v>
          </cell>
        </row>
        <row r="4485">
          <cell r="H4485">
            <v>-369086</v>
          </cell>
          <cell r="O4485">
            <v>41579</v>
          </cell>
          <cell r="R4485" t="str">
            <v/>
          </cell>
          <cell r="T4485" t="str">
            <v>60 - 00011B41579</v>
          </cell>
        </row>
        <row r="4486">
          <cell r="H4486">
            <v>1842</v>
          </cell>
          <cell r="O4486">
            <v>41579</v>
          </cell>
          <cell r="R4486" t="str">
            <v/>
          </cell>
          <cell r="T4486" t="str">
            <v>60 - 00011B41579</v>
          </cell>
        </row>
        <row r="4487">
          <cell r="H4487">
            <v>1182322</v>
          </cell>
          <cell r="O4487">
            <v>41579</v>
          </cell>
          <cell r="R4487" t="str">
            <v/>
          </cell>
          <cell r="T4487" t="str">
            <v>60 - 00011B41579</v>
          </cell>
        </row>
        <row r="4488">
          <cell r="H4488">
            <v>0</v>
          </cell>
          <cell r="O4488">
            <v>41579</v>
          </cell>
          <cell r="R4488" t="str">
            <v/>
          </cell>
          <cell r="T4488" t="str">
            <v>60 - 00011B41579</v>
          </cell>
        </row>
        <row r="4489">
          <cell r="H4489">
            <v>188000</v>
          </cell>
          <cell r="O4489">
            <v>41579</v>
          </cell>
          <cell r="R4489" t="str">
            <v/>
          </cell>
          <cell r="T4489" t="str">
            <v>60 - 00011B41579</v>
          </cell>
        </row>
        <row r="4490">
          <cell r="H4490">
            <v>2219</v>
          </cell>
          <cell r="O4490">
            <v>41579</v>
          </cell>
          <cell r="R4490" t="str">
            <v/>
          </cell>
          <cell r="T4490" t="str">
            <v>60 - 00011B41579</v>
          </cell>
        </row>
        <row r="4491">
          <cell r="H4491">
            <v>0</v>
          </cell>
          <cell r="O4491">
            <v>41579</v>
          </cell>
          <cell r="R4491" t="str">
            <v/>
          </cell>
          <cell r="T4491" t="str">
            <v>60 - 00011B41579</v>
          </cell>
        </row>
        <row r="4492">
          <cell r="H4492">
            <v>0</v>
          </cell>
          <cell r="O4492">
            <v>41579</v>
          </cell>
          <cell r="R4492" t="str">
            <v/>
          </cell>
          <cell r="T4492" t="str">
            <v>60 - 00011B41579</v>
          </cell>
        </row>
        <row r="4493">
          <cell r="H4493">
            <v>119590</v>
          </cell>
          <cell r="O4493">
            <v>41579</v>
          </cell>
          <cell r="R4493" t="str">
            <v/>
          </cell>
          <cell r="T4493" t="str">
            <v>60 - 00011B41579</v>
          </cell>
        </row>
        <row r="4494">
          <cell r="H4494">
            <v>35074</v>
          </cell>
          <cell r="O4494">
            <v>41579</v>
          </cell>
          <cell r="R4494" t="str">
            <v/>
          </cell>
          <cell r="T4494" t="str">
            <v>60 - 00011B41579</v>
          </cell>
        </row>
        <row r="4495">
          <cell r="H4495">
            <v>62575</v>
          </cell>
          <cell r="O4495">
            <v>41579</v>
          </cell>
          <cell r="R4495" t="str">
            <v/>
          </cell>
          <cell r="T4495" t="str">
            <v>60 - 00011B41579</v>
          </cell>
        </row>
        <row r="4496">
          <cell r="H4496">
            <v>0</v>
          </cell>
          <cell r="O4496">
            <v>41579</v>
          </cell>
          <cell r="R4496" t="str">
            <v/>
          </cell>
          <cell r="T4496" t="str">
            <v>60 - 00011B41579</v>
          </cell>
        </row>
        <row r="4497">
          <cell r="H4497">
            <v>0</v>
          </cell>
          <cell r="O4497">
            <v>41579</v>
          </cell>
          <cell r="R4497" t="str">
            <v/>
          </cell>
          <cell r="T4497" t="str">
            <v>60 - 00011R41579</v>
          </cell>
        </row>
        <row r="4498">
          <cell r="H4498">
            <v>0</v>
          </cell>
          <cell r="O4498">
            <v>41579</v>
          </cell>
          <cell r="R4498" t="str">
            <v/>
          </cell>
          <cell r="T4498" t="str">
            <v>60 - 00011R41579</v>
          </cell>
        </row>
        <row r="4499">
          <cell r="H4499">
            <v>0</v>
          </cell>
          <cell r="O4499">
            <v>41579</v>
          </cell>
          <cell r="R4499" t="str">
            <v/>
          </cell>
          <cell r="T4499" t="str">
            <v>60 - 00011R41579</v>
          </cell>
        </row>
        <row r="4500">
          <cell r="H4500">
            <v>0</v>
          </cell>
          <cell r="O4500">
            <v>41579</v>
          </cell>
          <cell r="R4500" t="str">
            <v/>
          </cell>
          <cell r="T4500" t="str">
            <v>60 - 00011R41579</v>
          </cell>
        </row>
        <row r="4501">
          <cell r="H4501">
            <v>0</v>
          </cell>
          <cell r="O4501">
            <v>41579</v>
          </cell>
          <cell r="R4501" t="str">
            <v/>
          </cell>
          <cell r="T4501" t="str">
            <v>60 - 00011R41579</v>
          </cell>
        </row>
        <row r="4502">
          <cell r="H4502">
            <v>0</v>
          </cell>
          <cell r="O4502">
            <v>41579</v>
          </cell>
          <cell r="R4502" t="str">
            <v/>
          </cell>
          <cell r="T4502" t="str">
            <v>60 - 00011R41579</v>
          </cell>
        </row>
        <row r="4503">
          <cell r="H4503">
            <v>0</v>
          </cell>
          <cell r="O4503">
            <v>41579</v>
          </cell>
          <cell r="R4503" t="str">
            <v/>
          </cell>
          <cell r="T4503" t="str">
            <v>60 - 00011R41579</v>
          </cell>
        </row>
        <row r="4504">
          <cell r="H4504">
            <v>0</v>
          </cell>
          <cell r="O4504">
            <v>41579</v>
          </cell>
          <cell r="R4504" t="str">
            <v/>
          </cell>
          <cell r="T4504" t="str">
            <v>60 - 00011R41579</v>
          </cell>
        </row>
        <row r="4505">
          <cell r="H4505">
            <v>0</v>
          </cell>
          <cell r="O4505">
            <v>41579</v>
          </cell>
          <cell r="R4505" t="str">
            <v/>
          </cell>
          <cell r="T4505" t="str">
            <v>60 - 00011R41579</v>
          </cell>
        </row>
        <row r="4506">
          <cell r="H4506">
            <v>0</v>
          </cell>
          <cell r="O4506">
            <v>41579</v>
          </cell>
          <cell r="R4506" t="str">
            <v/>
          </cell>
          <cell r="T4506" t="str">
            <v>60 - 00011R41579</v>
          </cell>
        </row>
        <row r="4507">
          <cell r="H4507">
            <v>0</v>
          </cell>
          <cell r="O4507">
            <v>41579</v>
          </cell>
          <cell r="R4507" t="str">
            <v/>
          </cell>
          <cell r="T4507" t="str">
            <v>60 - 00011R41579</v>
          </cell>
        </row>
        <row r="4508">
          <cell r="H4508">
            <v>6309600</v>
          </cell>
          <cell r="O4508">
            <v>41579</v>
          </cell>
          <cell r="R4508" t="str">
            <v/>
          </cell>
          <cell r="T4508" t="str">
            <v>60 - 00011R41579</v>
          </cell>
        </row>
        <row r="4509">
          <cell r="H4509">
            <v>1973716</v>
          </cell>
          <cell r="O4509">
            <v>41579</v>
          </cell>
          <cell r="R4509" t="str">
            <v/>
          </cell>
          <cell r="T4509" t="str">
            <v>60 - 00011R41579</v>
          </cell>
        </row>
        <row r="4510">
          <cell r="H4510">
            <v>7</v>
          </cell>
          <cell r="O4510">
            <v>41579</v>
          </cell>
          <cell r="R4510" t="str">
            <v/>
          </cell>
          <cell r="T4510" t="str">
            <v>60 - 00011R41579</v>
          </cell>
        </row>
        <row r="4511">
          <cell r="H4511">
            <v>985</v>
          </cell>
          <cell r="O4511">
            <v>41579</v>
          </cell>
          <cell r="R4511" t="str">
            <v/>
          </cell>
          <cell r="T4511" t="str">
            <v>60 - 00011R41579</v>
          </cell>
        </row>
        <row r="4512">
          <cell r="H4512">
            <v>1842</v>
          </cell>
          <cell r="O4512">
            <v>41579</v>
          </cell>
          <cell r="R4512" t="str">
            <v/>
          </cell>
          <cell r="T4512" t="str">
            <v>60 - 00011R41579</v>
          </cell>
        </row>
        <row r="4513">
          <cell r="H4513">
            <v>0</v>
          </cell>
          <cell r="O4513">
            <v>41579</v>
          </cell>
          <cell r="R4513" t="str">
            <v/>
          </cell>
          <cell r="T4513" t="str">
            <v>60 - 00011R41579</v>
          </cell>
        </row>
        <row r="4514">
          <cell r="H4514">
            <v>0</v>
          </cell>
          <cell r="O4514">
            <v>41579</v>
          </cell>
          <cell r="R4514" t="str">
            <v/>
          </cell>
          <cell r="T4514" t="str">
            <v>60 - 00011R41579</v>
          </cell>
        </row>
        <row r="4515">
          <cell r="H4515">
            <v>0</v>
          </cell>
          <cell r="O4515">
            <v>41579</v>
          </cell>
          <cell r="R4515" t="str">
            <v/>
          </cell>
          <cell r="T4515" t="str">
            <v>60 - 00011R41579</v>
          </cell>
        </row>
        <row r="4516">
          <cell r="H4516">
            <v>69</v>
          </cell>
          <cell r="O4516">
            <v>41579</v>
          </cell>
          <cell r="R4516" t="str">
            <v/>
          </cell>
          <cell r="T4516" t="str">
            <v>60 - 00011R41579</v>
          </cell>
        </row>
        <row r="4517">
          <cell r="H4517">
            <v>16561</v>
          </cell>
          <cell r="O4517">
            <v>41579</v>
          </cell>
          <cell r="R4517" t="str">
            <v/>
          </cell>
          <cell r="T4517" t="str">
            <v>60 - 00011R41579</v>
          </cell>
        </row>
        <row r="4518">
          <cell r="H4518">
            <v>0</v>
          </cell>
          <cell r="O4518">
            <v>41579</v>
          </cell>
          <cell r="R4518" t="str">
            <v/>
          </cell>
          <cell r="T4518" t="str">
            <v>60 - 00011R41579</v>
          </cell>
        </row>
        <row r="4519">
          <cell r="H4519">
            <v>0</v>
          </cell>
          <cell r="O4519">
            <v>41579</v>
          </cell>
          <cell r="R4519" t="str">
            <v/>
          </cell>
          <cell r="T4519" t="str">
            <v>60 - 00011R41579</v>
          </cell>
        </row>
        <row r="4520">
          <cell r="H4520">
            <v>0</v>
          </cell>
          <cell r="O4520">
            <v>41579</v>
          </cell>
          <cell r="R4520" t="str">
            <v/>
          </cell>
          <cell r="T4520" t="str">
            <v>60 - 00011R41579</v>
          </cell>
        </row>
        <row r="4521">
          <cell r="H4521">
            <v>0</v>
          </cell>
          <cell r="O4521">
            <v>41579</v>
          </cell>
          <cell r="R4521" t="str">
            <v/>
          </cell>
          <cell r="T4521" t="str">
            <v>60 - 00011R41579</v>
          </cell>
        </row>
        <row r="4522">
          <cell r="H4522">
            <v>0</v>
          </cell>
          <cell r="O4522">
            <v>41579</v>
          </cell>
          <cell r="R4522" t="str">
            <v/>
          </cell>
          <cell r="T4522" t="str">
            <v>60 - 00011R41579</v>
          </cell>
        </row>
        <row r="4523">
          <cell r="H4523">
            <v>0</v>
          </cell>
          <cell r="O4523">
            <v>41579</v>
          </cell>
          <cell r="R4523" t="str">
            <v/>
          </cell>
          <cell r="T4523" t="str">
            <v>60 - 00011R41579</v>
          </cell>
        </row>
        <row r="4524">
          <cell r="H4524">
            <v>249691</v>
          </cell>
          <cell r="O4524">
            <v>41579</v>
          </cell>
          <cell r="R4524" t="str">
            <v/>
          </cell>
          <cell r="T4524" t="str">
            <v>60 - 00011R41579</v>
          </cell>
        </row>
        <row r="4525">
          <cell r="H4525">
            <v>0</v>
          </cell>
          <cell r="O4525">
            <v>41579</v>
          </cell>
          <cell r="R4525" t="str">
            <v/>
          </cell>
          <cell r="T4525" t="str">
            <v>60 - 00011R41579</v>
          </cell>
        </row>
        <row r="4526">
          <cell r="H4526">
            <v>0</v>
          </cell>
          <cell r="O4526">
            <v>41579</v>
          </cell>
          <cell r="R4526" t="str">
            <v/>
          </cell>
          <cell r="T4526" t="str">
            <v>60 - 00011R41579</v>
          </cell>
        </row>
        <row r="4527">
          <cell r="H4527">
            <v>0</v>
          </cell>
          <cell r="O4527">
            <v>41579</v>
          </cell>
          <cell r="R4527" t="str">
            <v/>
          </cell>
          <cell r="T4527" t="str">
            <v>60 - 00011R41579</v>
          </cell>
        </row>
        <row r="4528">
          <cell r="H4528">
            <v>767</v>
          </cell>
          <cell r="O4528">
            <v>41579</v>
          </cell>
          <cell r="R4528" t="str">
            <v/>
          </cell>
          <cell r="T4528" t="str">
            <v>60 - 00011R41579</v>
          </cell>
        </row>
        <row r="4529">
          <cell r="H4529">
            <v>0</v>
          </cell>
          <cell r="O4529">
            <v>41579</v>
          </cell>
          <cell r="R4529" t="str">
            <v/>
          </cell>
          <cell r="T4529" t="str">
            <v>60 - 00011R41579</v>
          </cell>
        </row>
        <row r="4530">
          <cell r="H4530">
            <v>0</v>
          </cell>
          <cell r="O4530">
            <v>41579</v>
          </cell>
          <cell r="R4530" t="str">
            <v/>
          </cell>
          <cell r="T4530" t="str">
            <v>60 - 00011R41579</v>
          </cell>
        </row>
        <row r="4531">
          <cell r="H4531">
            <v>-5878000</v>
          </cell>
          <cell r="O4531">
            <v>41579</v>
          </cell>
          <cell r="R4531" t="str">
            <v/>
          </cell>
          <cell r="T4531" t="str">
            <v>60 - 00011U41579</v>
          </cell>
        </row>
        <row r="4532">
          <cell r="H4532">
            <v>0</v>
          </cell>
          <cell r="O4532">
            <v>41579</v>
          </cell>
          <cell r="R4532" t="str">
            <v/>
          </cell>
          <cell r="T4532" t="str">
            <v>60 - 00011R41579</v>
          </cell>
        </row>
        <row r="4533">
          <cell r="H4533">
            <v>0</v>
          </cell>
          <cell r="O4533">
            <v>41579</v>
          </cell>
          <cell r="R4533" t="str">
            <v/>
          </cell>
          <cell r="T4533" t="str">
            <v>60 - 00011R41579</v>
          </cell>
        </row>
        <row r="4534">
          <cell r="H4534">
            <v>0</v>
          </cell>
          <cell r="O4534">
            <v>41579</v>
          </cell>
          <cell r="R4534" t="str">
            <v/>
          </cell>
          <cell r="T4534" t="str">
            <v>60 - 00011R41579</v>
          </cell>
        </row>
        <row r="4535">
          <cell r="H4535">
            <v>33545</v>
          </cell>
          <cell r="O4535">
            <v>41579</v>
          </cell>
          <cell r="R4535" t="str">
            <v/>
          </cell>
          <cell r="T4535" t="str">
            <v>60 - 00011R41579</v>
          </cell>
        </row>
        <row r="4536">
          <cell r="H4536">
            <v>12905</v>
          </cell>
          <cell r="O4536">
            <v>41579</v>
          </cell>
          <cell r="R4536" t="str">
            <v/>
          </cell>
          <cell r="T4536" t="str">
            <v>60 - 00011R41579</v>
          </cell>
        </row>
        <row r="4537">
          <cell r="H4537">
            <v>1693436</v>
          </cell>
          <cell r="O4537">
            <v>41579</v>
          </cell>
          <cell r="R4537" t="str">
            <v/>
          </cell>
          <cell r="T4537" t="str">
            <v>60 - 00011R41579</v>
          </cell>
        </row>
        <row r="4538">
          <cell r="H4538">
            <v>687437</v>
          </cell>
          <cell r="O4538">
            <v>41579</v>
          </cell>
          <cell r="R4538" t="str">
            <v/>
          </cell>
          <cell r="T4538" t="str">
            <v>60 - 00011R41579</v>
          </cell>
        </row>
        <row r="4539">
          <cell r="H4539">
            <v>31</v>
          </cell>
          <cell r="O4539">
            <v>41579</v>
          </cell>
          <cell r="R4539" t="str">
            <v/>
          </cell>
          <cell r="T4539" t="str">
            <v>60 - 00011R41579</v>
          </cell>
        </row>
        <row r="4540">
          <cell r="H4540">
            <v>59426</v>
          </cell>
          <cell r="O4540">
            <v>41579</v>
          </cell>
          <cell r="R4540" t="str">
            <v/>
          </cell>
          <cell r="T4540" t="str">
            <v>60 - 00011R41579</v>
          </cell>
        </row>
        <row r="4541">
          <cell r="H4541">
            <v>698238</v>
          </cell>
          <cell r="O4541">
            <v>41579</v>
          </cell>
          <cell r="R4541" t="str">
            <v/>
          </cell>
          <cell r="T4541" t="str">
            <v>60 - 00011R41579</v>
          </cell>
        </row>
        <row r="4542">
          <cell r="H4542">
            <v>3029</v>
          </cell>
          <cell r="O4542">
            <v>41579</v>
          </cell>
          <cell r="R4542" t="str">
            <v/>
          </cell>
          <cell r="T4542" t="str">
            <v>60 - 00011R41579</v>
          </cell>
        </row>
        <row r="4543">
          <cell r="H4543">
            <v>0</v>
          </cell>
          <cell r="O4543">
            <v>41579</v>
          </cell>
          <cell r="R4543" t="str">
            <v/>
          </cell>
          <cell r="T4543" t="str">
            <v>60 - 00011R41579</v>
          </cell>
        </row>
        <row r="4544">
          <cell r="H4544">
            <v>269000</v>
          </cell>
          <cell r="O4544">
            <v>41579</v>
          </cell>
          <cell r="R4544" t="str">
            <v/>
          </cell>
          <cell r="T4544" t="str">
            <v>60 - 00011U41579</v>
          </cell>
        </row>
        <row r="4545">
          <cell r="H4545">
            <v>0</v>
          </cell>
          <cell r="O4545">
            <v>41579</v>
          </cell>
          <cell r="R4545" t="str">
            <v/>
          </cell>
          <cell r="T4545" t="str">
            <v>60 - 00011R41579</v>
          </cell>
        </row>
        <row r="4546">
          <cell r="H4546">
            <v>0</v>
          </cell>
          <cell r="O4546">
            <v>41579</v>
          </cell>
          <cell r="R4546" t="str">
            <v/>
          </cell>
          <cell r="T4546" t="str">
            <v>60 - 00012B41579</v>
          </cell>
        </row>
        <row r="4547">
          <cell r="H4547">
            <v>115561546</v>
          </cell>
          <cell r="O4547">
            <v>41579</v>
          </cell>
          <cell r="R4547" t="str">
            <v/>
          </cell>
          <cell r="T4547" t="str">
            <v>60 - 00012B41579</v>
          </cell>
        </row>
        <row r="4548">
          <cell r="H4548">
            <v>172085</v>
          </cell>
          <cell r="O4548">
            <v>41579</v>
          </cell>
          <cell r="R4548" t="str">
            <v/>
          </cell>
          <cell r="T4548" t="str">
            <v>60 - 00012B41579</v>
          </cell>
        </row>
        <row r="4549">
          <cell r="H4549">
            <v>31589</v>
          </cell>
          <cell r="O4549">
            <v>41579</v>
          </cell>
          <cell r="R4549" t="str">
            <v/>
          </cell>
          <cell r="T4549" t="str">
            <v>60 - 00012B41579</v>
          </cell>
        </row>
        <row r="4550">
          <cell r="H4550">
            <v>5286187</v>
          </cell>
          <cell r="O4550">
            <v>41579</v>
          </cell>
          <cell r="R4550" t="str">
            <v/>
          </cell>
          <cell r="T4550" t="str">
            <v>60 - 00012B41579</v>
          </cell>
        </row>
        <row r="4551">
          <cell r="H4551">
            <v>87214</v>
          </cell>
          <cell r="O4551">
            <v>41579</v>
          </cell>
          <cell r="R4551" t="str">
            <v/>
          </cell>
          <cell r="T4551" t="str">
            <v>60 - 00012B41579</v>
          </cell>
        </row>
        <row r="4552">
          <cell r="H4552">
            <v>109947</v>
          </cell>
          <cell r="O4552">
            <v>41579</v>
          </cell>
          <cell r="R4552" t="str">
            <v/>
          </cell>
          <cell r="T4552" t="str">
            <v>60 - 00012B41579</v>
          </cell>
        </row>
        <row r="4553">
          <cell r="H4553">
            <v>760607</v>
          </cell>
          <cell r="O4553">
            <v>41579</v>
          </cell>
          <cell r="R4553" t="str">
            <v/>
          </cell>
          <cell r="T4553" t="str">
            <v>60 - 00012B41579</v>
          </cell>
        </row>
        <row r="4554">
          <cell r="H4554">
            <v>0</v>
          </cell>
          <cell r="O4554">
            <v>41579</v>
          </cell>
          <cell r="R4554" t="str">
            <v/>
          </cell>
          <cell r="T4554" t="str">
            <v>60 - 00012B41579</v>
          </cell>
        </row>
        <row r="4555">
          <cell r="H4555">
            <v>0</v>
          </cell>
          <cell r="O4555">
            <v>41579</v>
          </cell>
          <cell r="R4555" t="str">
            <v>41579WARESAGA</v>
          </cell>
          <cell r="T4555" t="str">
            <v>60 - 00012R41579</v>
          </cell>
        </row>
        <row r="4556">
          <cell r="H4556">
            <v>0</v>
          </cell>
          <cell r="O4556">
            <v>41579</v>
          </cell>
          <cell r="R4556" t="str">
            <v>41579WARESAGA</v>
          </cell>
          <cell r="T4556" t="str">
            <v>60 - 00012R41579</v>
          </cell>
        </row>
        <row r="4557">
          <cell r="H4557">
            <v>0</v>
          </cell>
          <cell r="O4557">
            <v>41579</v>
          </cell>
          <cell r="R4557" t="str">
            <v>41579WARESAGA</v>
          </cell>
          <cell r="T4557" t="str">
            <v>60 - 00012R41579</v>
          </cell>
        </row>
        <row r="4558">
          <cell r="H4558">
            <v>0</v>
          </cell>
          <cell r="O4558">
            <v>41579</v>
          </cell>
          <cell r="R4558" t="str">
            <v>41579WARESAGA</v>
          </cell>
          <cell r="T4558" t="str">
            <v>60 - 00012R41579</v>
          </cell>
        </row>
        <row r="4559">
          <cell r="H4559">
            <v>0</v>
          </cell>
          <cell r="O4559">
            <v>41579</v>
          </cell>
          <cell r="R4559" t="str">
            <v>41579WARESAGA</v>
          </cell>
          <cell r="T4559" t="str">
            <v>60 - 00012R41579</v>
          </cell>
        </row>
        <row r="4560">
          <cell r="H4560">
            <v>0</v>
          </cell>
          <cell r="O4560">
            <v>41579</v>
          </cell>
          <cell r="R4560" t="str">
            <v>41579WARESAGA</v>
          </cell>
          <cell r="T4560" t="str">
            <v>60 - 00012R41579</v>
          </cell>
        </row>
        <row r="4561">
          <cell r="H4561">
            <v>0</v>
          </cell>
          <cell r="O4561">
            <v>41579</v>
          </cell>
          <cell r="R4561" t="str">
            <v>41579WARESAGA</v>
          </cell>
          <cell r="T4561" t="str">
            <v>60 - 00012R41579</v>
          </cell>
        </row>
        <row r="4562">
          <cell r="H4562">
            <v>115561569</v>
          </cell>
          <cell r="O4562">
            <v>41579</v>
          </cell>
          <cell r="R4562" t="str">
            <v>41579WARES16</v>
          </cell>
          <cell r="T4562" t="str">
            <v>60 - 00012R41579</v>
          </cell>
        </row>
        <row r="4563">
          <cell r="H4563">
            <v>172085</v>
          </cell>
          <cell r="O4563">
            <v>41579</v>
          </cell>
          <cell r="R4563" t="str">
            <v>41579WARES18</v>
          </cell>
          <cell r="T4563" t="str">
            <v>60 - 00012R41579</v>
          </cell>
        </row>
        <row r="4564">
          <cell r="H4564">
            <v>31589</v>
          </cell>
          <cell r="O4564">
            <v>41579</v>
          </cell>
          <cell r="R4564" t="str">
            <v>41579WARES18</v>
          </cell>
          <cell r="T4564" t="str">
            <v>60 - 00012R41579</v>
          </cell>
        </row>
        <row r="4565">
          <cell r="H4565">
            <v>0</v>
          </cell>
          <cell r="O4565">
            <v>41579</v>
          </cell>
          <cell r="R4565" t="str">
            <v>41579WARESAGA</v>
          </cell>
          <cell r="T4565" t="str">
            <v>60 - 00012R41579</v>
          </cell>
        </row>
        <row r="4566">
          <cell r="H4566">
            <v>0</v>
          </cell>
          <cell r="O4566">
            <v>41579</v>
          </cell>
          <cell r="R4566" t="str">
            <v>41579WARESAGA</v>
          </cell>
          <cell r="T4566" t="str">
            <v>60 - 00012R41579</v>
          </cell>
        </row>
        <row r="4567">
          <cell r="H4567">
            <v>5286187</v>
          </cell>
          <cell r="O4567">
            <v>41579</v>
          </cell>
          <cell r="R4567" t="str">
            <v>41579WARES17</v>
          </cell>
          <cell r="T4567" t="str">
            <v>60 - 00012R41579</v>
          </cell>
        </row>
        <row r="4568">
          <cell r="H4568">
            <v>87214</v>
          </cell>
          <cell r="O4568">
            <v>41579</v>
          </cell>
          <cell r="R4568" t="str">
            <v>41579WARES15</v>
          </cell>
          <cell r="T4568" t="str">
            <v>60 - 00012R41579</v>
          </cell>
        </row>
        <row r="4569">
          <cell r="H4569">
            <v>109947</v>
          </cell>
          <cell r="O4569">
            <v>41579</v>
          </cell>
          <cell r="R4569" t="str">
            <v>41579WARES16</v>
          </cell>
          <cell r="T4569" t="str">
            <v>60 - 00012R41579</v>
          </cell>
        </row>
        <row r="4570">
          <cell r="H4570">
            <v>760626</v>
          </cell>
          <cell r="O4570">
            <v>41579</v>
          </cell>
          <cell r="R4570" t="str">
            <v>41579WARES24</v>
          </cell>
          <cell r="T4570" t="str">
            <v>60 - 00012R41579</v>
          </cell>
        </row>
        <row r="4571">
          <cell r="H4571">
            <v>0</v>
          </cell>
          <cell r="O4571">
            <v>41579</v>
          </cell>
          <cell r="R4571" t="str">
            <v>41579WARESAGA</v>
          </cell>
          <cell r="T4571" t="str">
            <v>60 - 00012R41579</v>
          </cell>
        </row>
        <row r="4572">
          <cell r="H4572">
            <v>23473000</v>
          </cell>
          <cell r="O4572">
            <v>41579</v>
          </cell>
          <cell r="R4572" t="str">
            <v>41579WARES88</v>
          </cell>
          <cell r="T4572" t="str">
            <v>60 - 00012U41579</v>
          </cell>
        </row>
        <row r="4573">
          <cell r="H4573">
            <v>0</v>
          </cell>
          <cell r="O4573">
            <v>41579</v>
          </cell>
          <cell r="R4573" t="str">
            <v>41579WARESAGA</v>
          </cell>
          <cell r="T4573" t="str">
            <v>60 - 00012U41579</v>
          </cell>
        </row>
        <row r="4574">
          <cell r="H4574">
            <v>0</v>
          </cell>
          <cell r="O4574">
            <v>41579</v>
          </cell>
          <cell r="R4574" t="str">
            <v/>
          </cell>
          <cell r="T4574" t="str">
            <v>60 - 00012B41579</v>
          </cell>
        </row>
        <row r="4575">
          <cell r="H4575">
            <v>3263403</v>
          </cell>
          <cell r="O4575">
            <v>41579</v>
          </cell>
          <cell r="R4575" t="str">
            <v/>
          </cell>
          <cell r="T4575" t="str">
            <v>60 - 00012B41579</v>
          </cell>
        </row>
        <row r="4576">
          <cell r="H4576">
            <v>11216</v>
          </cell>
          <cell r="O4576">
            <v>41579</v>
          </cell>
          <cell r="R4576" t="str">
            <v/>
          </cell>
          <cell r="T4576" t="str">
            <v>60 - 00012B41579</v>
          </cell>
        </row>
        <row r="4577">
          <cell r="H4577">
            <v>9059507</v>
          </cell>
          <cell r="O4577">
            <v>41579</v>
          </cell>
          <cell r="R4577" t="str">
            <v/>
          </cell>
          <cell r="T4577" t="str">
            <v>60 - 00012B41579</v>
          </cell>
        </row>
        <row r="4578">
          <cell r="H4578">
            <v>40895</v>
          </cell>
          <cell r="O4578">
            <v>41579</v>
          </cell>
          <cell r="R4578" t="str">
            <v/>
          </cell>
          <cell r="T4578" t="str">
            <v>60 - 00012B41579</v>
          </cell>
        </row>
        <row r="4579">
          <cell r="H4579">
            <v>72</v>
          </cell>
          <cell r="O4579">
            <v>41579</v>
          </cell>
          <cell r="R4579" t="str">
            <v/>
          </cell>
          <cell r="T4579" t="str">
            <v>60 - 00012B41579</v>
          </cell>
        </row>
        <row r="4580">
          <cell r="H4580">
            <v>887</v>
          </cell>
          <cell r="O4580">
            <v>41579</v>
          </cell>
          <cell r="R4580" t="str">
            <v/>
          </cell>
          <cell r="T4580" t="str">
            <v>60 - 00012B41579</v>
          </cell>
        </row>
        <row r="4581">
          <cell r="H4581">
            <v>0</v>
          </cell>
          <cell r="O4581">
            <v>41579</v>
          </cell>
          <cell r="R4581" t="str">
            <v/>
          </cell>
          <cell r="T4581" t="str">
            <v>60 - 00012B41579</v>
          </cell>
        </row>
        <row r="4582">
          <cell r="H4582">
            <v>0</v>
          </cell>
          <cell r="O4582">
            <v>41579</v>
          </cell>
          <cell r="R4582" t="str">
            <v>41579WACOMAGA</v>
          </cell>
          <cell r="T4582" t="str">
            <v>60 - 00012R41579</v>
          </cell>
        </row>
        <row r="4583">
          <cell r="H4583">
            <v>0</v>
          </cell>
          <cell r="O4583">
            <v>41579</v>
          </cell>
          <cell r="R4583" t="str">
            <v>41579WACOMAGA</v>
          </cell>
          <cell r="T4583" t="str">
            <v>60 - 00012R41579</v>
          </cell>
        </row>
        <row r="4584">
          <cell r="H4584">
            <v>0</v>
          </cell>
          <cell r="O4584">
            <v>41579</v>
          </cell>
          <cell r="R4584" t="str">
            <v>41579WACOMAGA</v>
          </cell>
          <cell r="T4584" t="str">
            <v>60 - 00012R41579</v>
          </cell>
        </row>
        <row r="4585">
          <cell r="H4585">
            <v>0</v>
          </cell>
          <cell r="O4585">
            <v>41579</v>
          </cell>
          <cell r="R4585" t="str">
            <v>41579WACOMAGA</v>
          </cell>
          <cell r="T4585" t="str">
            <v>60 - 00012R41579</v>
          </cell>
        </row>
        <row r="4586">
          <cell r="H4586">
            <v>0</v>
          </cell>
          <cell r="O4586">
            <v>41579</v>
          </cell>
          <cell r="R4586" t="str">
            <v>41579WACOMAGA</v>
          </cell>
          <cell r="T4586" t="str">
            <v>60 - 00012R41579</v>
          </cell>
        </row>
        <row r="4587">
          <cell r="H4587">
            <v>0</v>
          </cell>
          <cell r="O4587">
            <v>41579</v>
          </cell>
          <cell r="R4587" t="str">
            <v>41579WACOMAGA</v>
          </cell>
          <cell r="T4587" t="str">
            <v>60 - 00012R41579</v>
          </cell>
        </row>
        <row r="4588">
          <cell r="H4588">
            <v>36975353</v>
          </cell>
          <cell r="O4588">
            <v>41579</v>
          </cell>
          <cell r="R4588" t="str">
            <v>41579WACOM24</v>
          </cell>
          <cell r="T4588" t="str">
            <v>60 - 00012R41579</v>
          </cell>
        </row>
        <row r="4589">
          <cell r="H4589">
            <v>92921</v>
          </cell>
          <cell r="O4589">
            <v>41579</v>
          </cell>
          <cell r="R4589" t="str">
            <v>41579WACOM24</v>
          </cell>
          <cell r="T4589" t="str">
            <v>60 - 00012R41579</v>
          </cell>
        </row>
        <row r="4590">
          <cell r="H4590">
            <v>62550848</v>
          </cell>
          <cell r="O4590">
            <v>41579</v>
          </cell>
          <cell r="R4590" t="str">
            <v>41579WACOM36</v>
          </cell>
          <cell r="T4590" t="str">
            <v>60 - 00012R41579</v>
          </cell>
        </row>
        <row r="4591">
          <cell r="H4591">
            <v>16111780</v>
          </cell>
          <cell r="O4591">
            <v>41579</v>
          </cell>
          <cell r="R4591" t="str">
            <v>41579WACOM48T</v>
          </cell>
          <cell r="T4591" t="str">
            <v>60 - 00012R41579</v>
          </cell>
        </row>
        <row r="4592">
          <cell r="H4592">
            <v>0</v>
          </cell>
          <cell r="O4592">
            <v>41579</v>
          </cell>
          <cell r="R4592" t="str">
            <v>41579WACOMAGA</v>
          </cell>
          <cell r="T4592" t="str">
            <v>60 - 00012R41579</v>
          </cell>
        </row>
        <row r="4593">
          <cell r="H4593">
            <v>0</v>
          </cell>
          <cell r="O4593">
            <v>41579</v>
          </cell>
          <cell r="R4593" t="str">
            <v>41579WACOMAGA</v>
          </cell>
          <cell r="T4593" t="str">
            <v>60 - 00012R41579</v>
          </cell>
        </row>
        <row r="4594">
          <cell r="H4594">
            <v>0</v>
          </cell>
          <cell r="O4594">
            <v>41579</v>
          </cell>
          <cell r="R4594" t="str">
            <v>41579WACOMAGA</v>
          </cell>
          <cell r="T4594" t="str">
            <v>60 - 00012R41579</v>
          </cell>
        </row>
        <row r="4595">
          <cell r="H4595">
            <v>0</v>
          </cell>
          <cell r="O4595">
            <v>41579</v>
          </cell>
          <cell r="R4595" t="str">
            <v>41579WACOMAGA</v>
          </cell>
          <cell r="T4595" t="str">
            <v>60 - 00012R41579</v>
          </cell>
        </row>
        <row r="4596">
          <cell r="H4596">
            <v>0</v>
          </cell>
          <cell r="O4596">
            <v>41579</v>
          </cell>
          <cell r="R4596" t="str">
            <v>41579WACOMAGA</v>
          </cell>
          <cell r="T4596" t="str">
            <v>60 - 00012R41579</v>
          </cell>
        </row>
        <row r="4597">
          <cell r="H4597">
            <v>131281</v>
          </cell>
          <cell r="O4597">
            <v>41579</v>
          </cell>
          <cell r="R4597" t="str">
            <v>41579WACOM15</v>
          </cell>
          <cell r="T4597" t="str">
            <v>60 - 00012R41579</v>
          </cell>
        </row>
        <row r="4598">
          <cell r="H4598">
            <v>35492</v>
          </cell>
          <cell r="O4598">
            <v>41579</v>
          </cell>
          <cell r="R4598" t="str">
            <v>41579WACOM54</v>
          </cell>
          <cell r="T4598" t="str">
            <v>60 - 00012R41579</v>
          </cell>
        </row>
        <row r="4599">
          <cell r="H4599">
            <v>0</v>
          </cell>
          <cell r="O4599">
            <v>41579</v>
          </cell>
          <cell r="R4599" t="str">
            <v>41579WACOMAGA</v>
          </cell>
          <cell r="T4599" t="str">
            <v>60 - 00012R41579</v>
          </cell>
        </row>
        <row r="4600">
          <cell r="H4600">
            <v>62019</v>
          </cell>
          <cell r="O4600">
            <v>41579</v>
          </cell>
          <cell r="R4600" t="str">
            <v>41579WACOM24</v>
          </cell>
          <cell r="T4600" t="str">
            <v>60 - 00012R41579</v>
          </cell>
        </row>
        <row r="4601">
          <cell r="H4601">
            <v>3263434</v>
          </cell>
          <cell r="O4601">
            <v>41579</v>
          </cell>
          <cell r="R4601" t="str">
            <v>41579WACOM24</v>
          </cell>
          <cell r="T4601" t="str">
            <v>60 - 00012R41579</v>
          </cell>
        </row>
        <row r="4602">
          <cell r="H4602">
            <v>11218</v>
          </cell>
          <cell r="O4602">
            <v>41579</v>
          </cell>
          <cell r="R4602" t="str">
            <v>41579WACOM24</v>
          </cell>
          <cell r="T4602" t="str">
            <v>60 - 00012R41579</v>
          </cell>
        </row>
        <row r="4603">
          <cell r="H4603">
            <v>9059507</v>
          </cell>
          <cell r="O4603">
            <v>41579</v>
          </cell>
          <cell r="R4603" t="str">
            <v>41579WACOM36</v>
          </cell>
          <cell r="T4603" t="str">
            <v>60 - 00012R41579</v>
          </cell>
        </row>
        <row r="4604">
          <cell r="H4604">
            <v>39615</v>
          </cell>
          <cell r="O4604">
            <v>41579</v>
          </cell>
          <cell r="R4604" t="str">
            <v>41579WACOM15</v>
          </cell>
          <cell r="T4604" t="str">
            <v>60 - 00012R41579</v>
          </cell>
        </row>
        <row r="4605">
          <cell r="H4605">
            <v>25642</v>
          </cell>
          <cell r="O4605">
            <v>41579</v>
          </cell>
          <cell r="R4605" t="str">
            <v>41579WACOM24</v>
          </cell>
          <cell r="T4605" t="str">
            <v>60 - 00012R41579</v>
          </cell>
        </row>
        <row r="4606">
          <cell r="H4606">
            <v>0</v>
          </cell>
          <cell r="O4606">
            <v>41579</v>
          </cell>
          <cell r="R4606" t="str">
            <v>41579WACOMAGA</v>
          </cell>
          <cell r="T4606" t="str">
            <v>60 - 00012R41579</v>
          </cell>
        </row>
        <row r="4607">
          <cell r="H4607">
            <v>0</v>
          </cell>
          <cell r="O4607">
            <v>41579</v>
          </cell>
          <cell r="R4607" t="str">
            <v>41579WACOMAGA</v>
          </cell>
          <cell r="T4607" t="str">
            <v>60 - 00012R41579</v>
          </cell>
        </row>
        <row r="4608">
          <cell r="H4608">
            <v>95520</v>
          </cell>
          <cell r="O4608">
            <v>41579</v>
          </cell>
          <cell r="R4608" t="str">
            <v>41579WACOM36</v>
          </cell>
          <cell r="T4608" t="str">
            <v>60 - 00012R41579</v>
          </cell>
        </row>
        <row r="4609">
          <cell r="H4609">
            <v>318000</v>
          </cell>
          <cell r="O4609">
            <v>41579</v>
          </cell>
          <cell r="R4609" t="str">
            <v>41579WACOM48T</v>
          </cell>
          <cell r="T4609" t="str">
            <v>60 - 00012R41579</v>
          </cell>
        </row>
        <row r="4610">
          <cell r="H4610">
            <v>0</v>
          </cell>
          <cell r="O4610">
            <v>41579</v>
          </cell>
          <cell r="R4610" t="str">
            <v>41579WACOMAGA</v>
          </cell>
          <cell r="T4610" t="str">
            <v>60 - 00012R41579</v>
          </cell>
        </row>
        <row r="4611">
          <cell r="H4611">
            <v>-3846000</v>
          </cell>
          <cell r="O4611">
            <v>41579</v>
          </cell>
          <cell r="R4611" t="str">
            <v>41579WACOM88</v>
          </cell>
          <cell r="T4611" t="str">
            <v>60 - 00012U41579</v>
          </cell>
        </row>
        <row r="4612">
          <cell r="H4612">
            <v>0</v>
          </cell>
          <cell r="O4612">
            <v>41579</v>
          </cell>
          <cell r="R4612" t="str">
            <v/>
          </cell>
          <cell r="T4612" t="str">
            <v>60 - 00012B41579</v>
          </cell>
        </row>
        <row r="4613">
          <cell r="H4613">
            <v>128315</v>
          </cell>
          <cell r="O4613">
            <v>41579</v>
          </cell>
          <cell r="R4613" t="str">
            <v/>
          </cell>
          <cell r="T4613" t="str">
            <v>60 - 00012B41579</v>
          </cell>
        </row>
        <row r="4614">
          <cell r="H4614">
            <v>16</v>
          </cell>
          <cell r="O4614">
            <v>41579</v>
          </cell>
          <cell r="R4614" t="str">
            <v/>
          </cell>
          <cell r="T4614" t="str">
            <v>60 - 00012B41579</v>
          </cell>
        </row>
        <row r="4615">
          <cell r="H4615">
            <v>218300</v>
          </cell>
          <cell r="O4615">
            <v>41579</v>
          </cell>
          <cell r="R4615" t="str">
            <v/>
          </cell>
          <cell r="T4615" t="str">
            <v>60 - 00012B41579</v>
          </cell>
        </row>
        <row r="4616">
          <cell r="H4616">
            <v>2380</v>
          </cell>
          <cell r="O4616">
            <v>41579</v>
          </cell>
          <cell r="R4616" t="str">
            <v/>
          </cell>
          <cell r="T4616" t="str">
            <v>60 - 00012B41579</v>
          </cell>
        </row>
        <row r="4617">
          <cell r="H4617">
            <v>0</v>
          </cell>
          <cell r="O4617">
            <v>41579</v>
          </cell>
          <cell r="R4617" t="str">
            <v/>
          </cell>
          <cell r="T4617" t="str">
            <v>60 - 00012B41579</v>
          </cell>
        </row>
        <row r="4618">
          <cell r="H4618">
            <v>0</v>
          </cell>
          <cell r="O4618">
            <v>41579</v>
          </cell>
          <cell r="R4618" t="str">
            <v>41579WAINDAGA</v>
          </cell>
          <cell r="T4618" t="str">
            <v>60 - 00012R41579</v>
          </cell>
        </row>
        <row r="4619">
          <cell r="H4619">
            <v>0</v>
          </cell>
          <cell r="O4619">
            <v>41579</v>
          </cell>
          <cell r="R4619" t="str">
            <v>41579WAINDAGA</v>
          </cell>
          <cell r="T4619" t="str">
            <v>60 - 00012R41579</v>
          </cell>
        </row>
        <row r="4620">
          <cell r="H4620">
            <v>0</v>
          </cell>
          <cell r="O4620">
            <v>41579</v>
          </cell>
          <cell r="R4620" t="str">
            <v>41579WAINDAGA</v>
          </cell>
          <cell r="T4620" t="str">
            <v>60 - 00012R41579</v>
          </cell>
        </row>
        <row r="4621">
          <cell r="H4621">
            <v>0</v>
          </cell>
          <cell r="O4621">
            <v>41579</v>
          </cell>
          <cell r="R4621" t="str">
            <v>41579WAINDAGA</v>
          </cell>
          <cell r="T4621" t="str">
            <v>60 - 00012R41579</v>
          </cell>
        </row>
        <row r="4622">
          <cell r="H4622">
            <v>0</v>
          </cell>
          <cell r="O4622">
            <v>41579</v>
          </cell>
          <cell r="R4622" t="str">
            <v>41579WAINDAGA</v>
          </cell>
          <cell r="T4622" t="str">
            <v>60 - 00012R41579</v>
          </cell>
        </row>
        <row r="4623">
          <cell r="H4623">
            <v>1364881</v>
          </cell>
          <cell r="O4623">
            <v>41579</v>
          </cell>
          <cell r="R4623" t="str">
            <v>41579WAIND24</v>
          </cell>
          <cell r="T4623" t="str">
            <v>60 - 00012R41579</v>
          </cell>
        </row>
        <row r="4624">
          <cell r="H4624">
            <v>2776</v>
          </cell>
          <cell r="O4624">
            <v>41579</v>
          </cell>
          <cell r="R4624" t="str">
            <v>41579WAIND24</v>
          </cell>
          <cell r="T4624" t="str">
            <v>60 - 00012R41579</v>
          </cell>
        </row>
        <row r="4625">
          <cell r="H4625">
            <v>10038020</v>
          </cell>
          <cell r="O4625">
            <v>41579</v>
          </cell>
          <cell r="R4625" t="str">
            <v>41579WAIND36</v>
          </cell>
          <cell r="T4625" t="str">
            <v>60 - 00012R41579</v>
          </cell>
        </row>
        <row r="4626">
          <cell r="H4626">
            <v>56336450</v>
          </cell>
          <cell r="O4626">
            <v>41579</v>
          </cell>
          <cell r="R4626" t="str">
            <v>41579WAIND48T</v>
          </cell>
          <cell r="T4626" t="str">
            <v>60 - 00012R41579</v>
          </cell>
        </row>
        <row r="4627">
          <cell r="H4627">
            <v>10225</v>
          </cell>
          <cell r="O4627">
            <v>41579</v>
          </cell>
          <cell r="R4627" t="str">
            <v>41579WAIND15</v>
          </cell>
          <cell r="T4627" t="str">
            <v>60 - 00012R41579</v>
          </cell>
        </row>
        <row r="4628">
          <cell r="H4628">
            <v>333000</v>
          </cell>
          <cell r="O4628">
            <v>41579</v>
          </cell>
          <cell r="R4628" t="str">
            <v>41579WAIND47</v>
          </cell>
          <cell r="T4628" t="str">
            <v>60 - 00012R41579</v>
          </cell>
        </row>
        <row r="4629">
          <cell r="H4629">
            <v>128317</v>
          </cell>
          <cell r="O4629">
            <v>41579</v>
          </cell>
          <cell r="R4629" t="str">
            <v>41579WAIND24</v>
          </cell>
          <cell r="T4629" t="str">
            <v>60 - 00012R41579</v>
          </cell>
        </row>
        <row r="4630">
          <cell r="H4630">
            <v>16</v>
          </cell>
          <cell r="O4630">
            <v>41579</v>
          </cell>
          <cell r="R4630" t="str">
            <v>41579WAIND24</v>
          </cell>
          <cell r="T4630" t="str">
            <v>60 - 00012R41579</v>
          </cell>
        </row>
        <row r="4631">
          <cell r="H4631">
            <v>218300</v>
          </cell>
          <cell r="O4631">
            <v>41579</v>
          </cell>
          <cell r="R4631" t="str">
            <v>41579WAIND36</v>
          </cell>
          <cell r="T4631" t="str">
            <v>60 - 00012R41579</v>
          </cell>
        </row>
        <row r="4632">
          <cell r="H4632">
            <v>2380</v>
          </cell>
          <cell r="O4632">
            <v>41579</v>
          </cell>
          <cell r="R4632" t="str">
            <v>41579WAIND15</v>
          </cell>
          <cell r="T4632" t="str">
            <v>60 - 00012R41579</v>
          </cell>
        </row>
        <row r="4633">
          <cell r="H4633">
            <v>0</v>
          </cell>
          <cell r="O4633">
            <v>41579</v>
          </cell>
          <cell r="R4633" t="str">
            <v>41579WAINDAGA</v>
          </cell>
          <cell r="T4633" t="str">
            <v>60 - 00012R41579</v>
          </cell>
        </row>
        <row r="4634">
          <cell r="H4634">
            <v>8316000</v>
          </cell>
          <cell r="O4634">
            <v>41579</v>
          </cell>
          <cell r="R4634" t="str">
            <v>41579WAIND88</v>
          </cell>
          <cell r="T4634" t="str">
            <v>60 - 00012U41579</v>
          </cell>
        </row>
        <row r="4635">
          <cell r="H4635">
            <v>0</v>
          </cell>
          <cell r="O4635">
            <v>41579</v>
          </cell>
          <cell r="R4635" t="str">
            <v/>
          </cell>
          <cell r="T4635" t="str">
            <v>60 - 00012B41579</v>
          </cell>
        </row>
        <row r="4636">
          <cell r="H4636">
            <v>6479649</v>
          </cell>
          <cell r="O4636">
            <v>41579</v>
          </cell>
          <cell r="R4636" t="str">
            <v/>
          </cell>
          <cell r="T4636" t="str">
            <v>60 - 00012B41579</v>
          </cell>
        </row>
        <row r="4637">
          <cell r="H4637">
            <v>-240613</v>
          </cell>
          <cell r="O4637">
            <v>41579</v>
          </cell>
          <cell r="R4637" t="str">
            <v/>
          </cell>
          <cell r="T4637" t="str">
            <v>60 - 00012B41579</v>
          </cell>
        </row>
        <row r="4638">
          <cell r="H4638">
            <v>0</v>
          </cell>
          <cell r="O4638">
            <v>41579</v>
          </cell>
          <cell r="R4638" t="str">
            <v/>
          </cell>
          <cell r="T4638" t="str">
            <v>60 - 00012B41579</v>
          </cell>
        </row>
        <row r="4639">
          <cell r="H4639">
            <v>0</v>
          </cell>
          <cell r="O4639">
            <v>41579</v>
          </cell>
          <cell r="R4639" t="str">
            <v/>
          </cell>
          <cell r="T4639" t="str">
            <v>60 - 00012B41579</v>
          </cell>
        </row>
        <row r="4640">
          <cell r="H4640">
            <v>0</v>
          </cell>
          <cell r="O4640">
            <v>41579</v>
          </cell>
          <cell r="R4640" t="str">
            <v>41579WAINDAGA</v>
          </cell>
          <cell r="T4640" t="str">
            <v>60 - 00012R41579</v>
          </cell>
        </row>
        <row r="4641">
          <cell r="H4641">
            <v>0</v>
          </cell>
          <cell r="O4641">
            <v>41579</v>
          </cell>
          <cell r="R4641" t="str">
            <v>41579WAINDAGA</v>
          </cell>
          <cell r="T4641" t="str">
            <v>60 - 00012R41579</v>
          </cell>
        </row>
        <row r="4642">
          <cell r="H4642">
            <v>0</v>
          </cell>
          <cell r="O4642">
            <v>41579</v>
          </cell>
          <cell r="R4642" t="str">
            <v>41579WAINDAGA</v>
          </cell>
          <cell r="T4642" t="str">
            <v>60 - 00012R41579</v>
          </cell>
        </row>
        <row r="4643">
          <cell r="H4643">
            <v>0</v>
          </cell>
          <cell r="O4643">
            <v>41579</v>
          </cell>
          <cell r="R4643" t="str">
            <v>41579WAINDAGA</v>
          </cell>
          <cell r="T4643" t="str">
            <v>60 - 00012R41579</v>
          </cell>
        </row>
        <row r="4644">
          <cell r="H4644">
            <v>0</v>
          </cell>
          <cell r="O4644">
            <v>41579</v>
          </cell>
          <cell r="R4644" t="str">
            <v>41579WAINDAGA</v>
          </cell>
          <cell r="T4644" t="str">
            <v>60 - 00012R41579</v>
          </cell>
        </row>
        <row r="4645">
          <cell r="H4645">
            <v>6479756</v>
          </cell>
          <cell r="O4645">
            <v>41579</v>
          </cell>
          <cell r="R4645" t="str">
            <v>41579WAIND40</v>
          </cell>
          <cell r="T4645" t="str">
            <v>60 - 00012R41579</v>
          </cell>
        </row>
        <row r="4646">
          <cell r="H4646">
            <v>199419</v>
          </cell>
          <cell r="O4646">
            <v>41579</v>
          </cell>
          <cell r="R4646" t="str">
            <v>41579WAIND40</v>
          </cell>
          <cell r="T4646" t="str">
            <v>60 - 00012R41579</v>
          </cell>
        </row>
        <row r="4647">
          <cell r="H4647">
            <v>0</v>
          </cell>
          <cell r="O4647">
            <v>41579</v>
          </cell>
          <cell r="R4647" t="str">
            <v>41579WAINDAGA</v>
          </cell>
          <cell r="T4647" t="str">
            <v>60 - 00012R41579</v>
          </cell>
        </row>
        <row r="4648">
          <cell r="H4648">
            <v>0</v>
          </cell>
          <cell r="O4648">
            <v>41579</v>
          </cell>
          <cell r="R4648" t="str">
            <v>41579WAINDAGA</v>
          </cell>
          <cell r="T4648" t="str">
            <v>60 - 00012R41579</v>
          </cell>
        </row>
        <row r="4649">
          <cell r="H4649">
            <v>0</v>
          </cell>
          <cell r="O4649">
            <v>41579</v>
          </cell>
          <cell r="R4649" t="str">
            <v>41579WAINDAGA</v>
          </cell>
          <cell r="T4649" t="str">
            <v>60 - 00012R41579</v>
          </cell>
        </row>
        <row r="4650">
          <cell r="H4650">
            <v>0</v>
          </cell>
          <cell r="O4650">
            <v>41579</v>
          </cell>
          <cell r="R4650" t="str">
            <v>41579WAINDAGA</v>
          </cell>
          <cell r="T4650" t="str">
            <v>60 - 00012R41579</v>
          </cell>
        </row>
        <row r="4651">
          <cell r="H4651">
            <v>0</v>
          </cell>
          <cell r="O4651">
            <v>41579</v>
          </cell>
          <cell r="R4651" t="str">
            <v>41579WAINDAGA</v>
          </cell>
          <cell r="T4651" t="str">
            <v>60 - 00012R41579</v>
          </cell>
        </row>
        <row r="4652">
          <cell r="H4652">
            <v>475</v>
          </cell>
          <cell r="O4652">
            <v>41579</v>
          </cell>
          <cell r="R4652" t="str">
            <v>41579WAIND40</v>
          </cell>
          <cell r="T4652" t="str">
            <v>60 - 00012R41579</v>
          </cell>
        </row>
        <row r="4653">
          <cell r="H4653">
            <v>0</v>
          </cell>
          <cell r="O4653">
            <v>41579</v>
          </cell>
          <cell r="R4653" t="str">
            <v>41579WAINDAGA</v>
          </cell>
          <cell r="T4653" t="str">
            <v>60 - 00012R41579</v>
          </cell>
        </row>
        <row r="4654">
          <cell r="H4654">
            <v>-1068000</v>
          </cell>
          <cell r="O4654">
            <v>41579</v>
          </cell>
          <cell r="R4654" t="str">
            <v>41579WAIND89</v>
          </cell>
          <cell r="T4654" t="str">
            <v>60 - 00012U41579</v>
          </cell>
        </row>
        <row r="4655">
          <cell r="H4655">
            <v>0</v>
          </cell>
          <cell r="O4655">
            <v>41579</v>
          </cell>
          <cell r="R4655" t="str">
            <v>41579WAPSHAGA</v>
          </cell>
          <cell r="T4655" t="str">
            <v>60 - 00012R41579</v>
          </cell>
        </row>
        <row r="4656">
          <cell r="H4656">
            <v>0</v>
          </cell>
          <cell r="O4656">
            <v>41579</v>
          </cell>
          <cell r="R4656" t="str">
            <v>41579WAPSHAGA</v>
          </cell>
          <cell r="T4656" t="str">
            <v>60 - 00012R41579</v>
          </cell>
        </row>
        <row r="4657">
          <cell r="H4657">
            <v>0</v>
          </cell>
          <cell r="O4657">
            <v>41579</v>
          </cell>
          <cell r="R4657" t="str">
            <v>41579WAPSHAGA</v>
          </cell>
          <cell r="T4657" t="str">
            <v>60 - 00012R41579</v>
          </cell>
        </row>
        <row r="4658">
          <cell r="H4658">
            <v>0</v>
          </cell>
          <cell r="O4658">
            <v>41579</v>
          </cell>
          <cell r="R4658" t="str">
            <v>41579WAPSHAGA</v>
          </cell>
          <cell r="T4658" t="str">
            <v>60 - 00012R41579</v>
          </cell>
        </row>
        <row r="4659">
          <cell r="H4659">
            <v>18326</v>
          </cell>
          <cell r="O4659">
            <v>41579</v>
          </cell>
          <cell r="R4659" t="str">
            <v>41579WAPSH52</v>
          </cell>
          <cell r="T4659" t="str">
            <v>60 - 00012R41579</v>
          </cell>
        </row>
        <row r="4660">
          <cell r="H4660">
            <v>62453</v>
          </cell>
          <cell r="O4660">
            <v>41579</v>
          </cell>
          <cell r="R4660" t="str">
            <v>41579WAPSH53</v>
          </cell>
          <cell r="T4660" t="str">
            <v>60 - 00012R41579</v>
          </cell>
        </row>
        <row r="4661">
          <cell r="H4661">
            <v>106486</v>
          </cell>
          <cell r="O4661">
            <v>41579</v>
          </cell>
          <cell r="R4661" t="str">
            <v>41579WAPSH53</v>
          </cell>
          <cell r="T4661" t="str">
            <v>60 - 00012R41579</v>
          </cell>
        </row>
        <row r="4662">
          <cell r="H4662">
            <v>288510</v>
          </cell>
          <cell r="O4662">
            <v>41579</v>
          </cell>
          <cell r="R4662" t="str">
            <v>41579WAPSH51</v>
          </cell>
          <cell r="T4662" t="str">
            <v>60 - 00012R41579</v>
          </cell>
        </row>
        <row r="4663">
          <cell r="H4663">
            <v>161081</v>
          </cell>
          <cell r="O4663">
            <v>41579</v>
          </cell>
          <cell r="R4663" t="str">
            <v>41579WAPSH57</v>
          </cell>
          <cell r="T4663" t="str">
            <v>60 - 00012R41579</v>
          </cell>
        </row>
        <row r="4664">
          <cell r="H4664">
            <v>0</v>
          </cell>
          <cell r="O4664">
            <v>41579</v>
          </cell>
          <cell r="R4664" t="str">
            <v>41579WAPSHAGA</v>
          </cell>
          <cell r="T4664" t="str">
            <v>60 - 00012R41579</v>
          </cell>
        </row>
        <row r="4665">
          <cell r="H4665">
            <v>-685000</v>
          </cell>
          <cell r="O4665">
            <v>41579</v>
          </cell>
          <cell r="R4665" t="str">
            <v>41579WAPSH88</v>
          </cell>
          <cell r="T4665" t="str">
            <v>60 - 00012U41579</v>
          </cell>
        </row>
        <row r="4666">
          <cell r="H4666">
            <v>0</v>
          </cell>
          <cell r="O4666">
            <v>41609</v>
          </cell>
          <cell r="R4666" t="str">
            <v/>
          </cell>
          <cell r="T4666" t="str">
            <v>60 - 00016R41609</v>
          </cell>
        </row>
        <row r="4667">
          <cell r="H4667">
            <v>0</v>
          </cell>
          <cell r="O4667">
            <v>41609</v>
          </cell>
          <cell r="R4667" t="str">
            <v/>
          </cell>
          <cell r="T4667" t="str">
            <v>60 - 00016R41609</v>
          </cell>
        </row>
        <row r="4668">
          <cell r="H4668">
            <v>0</v>
          </cell>
          <cell r="O4668">
            <v>41609</v>
          </cell>
          <cell r="R4668" t="str">
            <v/>
          </cell>
          <cell r="T4668" t="str">
            <v>60 - 00016R41609</v>
          </cell>
        </row>
        <row r="4669">
          <cell r="H4669">
            <v>0</v>
          </cell>
          <cell r="O4669">
            <v>41609</v>
          </cell>
          <cell r="R4669" t="str">
            <v/>
          </cell>
          <cell r="T4669" t="str">
            <v>60 - 00016R41609</v>
          </cell>
        </row>
        <row r="4670">
          <cell r="H4670">
            <v>0</v>
          </cell>
          <cell r="O4670">
            <v>41609</v>
          </cell>
          <cell r="R4670" t="str">
            <v/>
          </cell>
          <cell r="T4670" t="str">
            <v>60 - 00016R41609</v>
          </cell>
        </row>
        <row r="4671">
          <cell r="H4671">
            <v>0</v>
          </cell>
          <cell r="O4671">
            <v>41609</v>
          </cell>
          <cell r="R4671" t="str">
            <v/>
          </cell>
          <cell r="T4671" t="str">
            <v>60 - 00016R41609</v>
          </cell>
        </row>
        <row r="4672">
          <cell r="H4672">
            <v>24561</v>
          </cell>
          <cell r="O4672">
            <v>41609</v>
          </cell>
          <cell r="R4672" t="str">
            <v/>
          </cell>
          <cell r="T4672" t="str">
            <v>60 - 00016R41609</v>
          </cell>
        </row>
        <row r="4673">
          <cell r="H4673">
            <v>13780727</v>
          </cell>
          <cell r="O4673">
            <v>41609</v>
          </cell>
          <cell r="R4673" t="str">
            <v/>
          </cell>
          <cell r="T4673" t="str">
            <v>60 - 00016R41609</v>
          </cell>
        </row>
        <row r="4674">
          <cell r="H4674">
            <v>19065745</v>
          </cell>
          <cell r="O4674">
            <v>41609</v>
          </cell>
          <cell r="R4674" t="str">
            <v/>
          </cell>
          <cell r="T4674" t="str">
            <v>60 - 00016R41609</v>
          </cell>
        </row>
        <row r="4675">
          <cell r="H4675">
            <v>0</v>
          </cell>
          <cell r="O4675">
            <v>41609</v>
          </cell>
          <cell r="R4675" t="str">
            <v/>
          </cell>
          <cell r="T4675" t="str">
            <v>60 - 00016R41609</v>
          </cell>
        </row>
        <row r="4676">
          <cell r="H4676">
            <v>98084</v>
          </cell>
          <cell r="O4676">
            <v>41609</v>
          </cell>
          <cell r="R4676" t="str">
            <v/>
          </cell>
          <cell r="T4676" t="str">
            <v>60 - 00016R41609</v>
          </cell>
        </row>
        <row r="4677">
          <cell r="H4677">
            <v>9884303</v>
          </cell>
          <cell r="O4677">
            <v>41609</v>
          </cell>
          <cell r="R4677" t="str">
            <v/>
          </cell>
          <cell r="T4677" t="str">
            <v>60 - 00016R41609</v>
          </cell>
        </row>
        <row r="4678">
          <cell r="H4678">
            <v>0</v>
          </cell>
          <cell r="O4678">
            <v>41609</v>
          </cell>
          <cell r="R4678" t="str">
            <v/>
          </cell>
          <cell r="T4678" t="str">
            <v>60 - 00016R41609</v>
          </cell>
        </row>
        <row r="4679">
          <cell r="H4679">
            <v>24981</v>
          </cell>
          <cell r="O4679">
            <v>41609</v>
          </cell>
          <cell r="R4679" t="str">
            <v/>
          </cell>
          <cell r="T4679" t="str">
            <v>60 - 00016R41609</v>
          </cell>
        </row>
        <row r="4680">
          <cell r="H4680">
            <v>143429</v>
          </cell>
          <cell r="O4680">
            <v>41609</v>
          </cell>
          <cell r="R4680" t="str">
            <v/>
          </cell>
          <cell r="T4680" t="str">
            <v>60 - 00016R41609</v>
          </cell>
        </row>
        <row r="4681">
          <cell r="H4681">
            <v>93426</v>
          </cell>
          <cell r="O4681">
            <v>41609</v>
          </cell>
          <cell r="R4681" t="str">
            <v/>
          </cell>
          <cell r="T4681" t="str">
            <v>60 - 00016R41609</v>
          </cell>
        </row>
        <row r="4682">
          <cell r="H4682">
            <v>0</v>
          </cell>
          <cell r="O4682">
            <v>41609</v>
          </cell>
          <cell r="R4682" t="str">
            <v/>
          </cell>
          <cell r="T4682" t="str">
            <v>60 - 00016R41609</v>
          </cell>
        </row>
        <row r="4683">
          <cell r="H4683">
            <v>0</v>
          </cell>
          <cell r="O4683">
            <v>41609</v>
          </cell>
          <cell r="R4683" t="str">
            <v/>
          </cell>
          <cell r="T4683" t="str">
            <v>60 - 00016R41609</v>
          </cell>
        </row>
        <row r="4684">
          <cell r="H4684">
            <v>0</v>
          </cell>
          <cell r="O4684">
            <v>41609</v>
          </cell>
          <cell r="R4684" t="str">
            <v/>
          </cell>
          <cell r="T4684" t="str">
            <v>60 - 00016R41609</v>
          </cell>
        </row>
        <row r="4685">
          <cell r="H4685">
            <v>0</v>
          </cell>
          <cell r="O4685">
            <v>41609</v>
          </cell>
          <cell r="R4685" t="str">
            <v/>
          </cell>
          <cell r="T4685" t="str">
            <v>60 - 00016R41609</v>
          </cell>
        </row>
        <row r="4686">
          <cell r="H4686">
            <v>0</v>
          </cell>
          <cell r="O4686">
            <v>41609</v>
          </cell>
          <cell r="R4686" t="str">
            <v/>
          </cell>
          <cell r="T4686" t="str">
            <v>60 - 00016R41609</v>
          </cell>
        </row>
        <row r="4687">
          <cell r="H4687">
            <v>0</v>
          </cell>
          <cell r="O4687">
            <v>41609</v>
          </cell>
          <cell r="R4687" t="str">
            <v/>
          </cell>
          <cell r="T4687" t="str">
            <v>60 - 00016R41609</v>
          </cell>
        </row>
        <row r="4688">
          <cell r="H4688">
            <v>0</v>
          </cell>
          <cell r="O4688">
            <v>41609</v>
          </cell>
          <cell r="R4688" t="str">
            <v/>
          </cell>
          <cell r="T4688" t="str">
            <v>60 - 00016R41609</v>
          </cell>
        </row>
        <row r="4689">
          <cell r="H4689">
            <v>8020060</v>
          </cell>
          <cell r="O4689">
            <v>41609</v>
          </cell>
          <cell r="R4689" t="str">
            <v/>
          </cell>
          <cell r="T4689" t="str">
            <v>60 - 00016R41609</v>
          </cell>
        </row>
        <row r="4690">
          <cell r="H4690">
            <v>5457067</v>
          </cell>
          <cell r="O4690">
            <v>41609</v>
          </cell>
          <cell r="R4690" t="str">
            <v/>
          </cell>
          <cell r="T4690" t="str">
            <v>60 - 00016R41609</v>
          </cell>
        </row>
        <row r="4691">
          <cell r="H4691">
            <v>118699</v>
          </cell>
          <cell r="O4691">
            <v>41609</v>
          </cell>
          <cell r="R4691" t="str">
            <v/>
          </cell>
          <cell r="T4691" t="str">
            <v>60 - 00016R41609</v>
          </cell>
        </row>
        <row r="4692">
          <cell r="H4692">
            <v>6270488</v>
          </cell>
          <cell r="O4692">
            <v>41609</v>
          </cell>
          <cell r="R4692" t="str">
            <v/>
          </cell>
          <cell r="T4692" t="str">
            <v>60 - 00016R41609</v>
          </cell>
        </row>
        <row r="4693">
          <cell r="H4693">
            <v>0</v>
          </cell>
          <cell r="O4693">
            <v>41609</v>
          </cell>
          <cell r="R4693" t="str">
            <v/>
          </cell>
          <cell r="T4693" t="str">
            <v>60 - 00016R41609</v>
          </cell>
        </row>
        <row r="4694">
          <cell r="H4694">
            <v>0</v>
          </cell>
          <cell r="O4694">
            <v>41609</v>
          </cell>
          <cell r="R4694" t="str">
            <v/>
          </cell>
          <cell r="T4694" t="str">
            <v>60 - 00016R41609</v>
          </cell>
        </row>
        <row r="4695">
          <cell r="H4695">
            <v>0</v>
          </cell>
          <cell r="O4695">
            <v>41609</v>
          </cell>
          <cell r="R4695" t="str">
            <v/>
          </cell>
          <cell r="T4695" t="str">
            <v>60 - 00016R41609</v>
          </cell>
        </row>
        <row r="4696">
          <cell r="H4696">
            <v>55333</v>
          </cell>
          <cell r="O4696">
            <v>41609</v>
          </cell>
          <cell r="R4696" t="str">
            <v/>
          </cell>
          <cell r="T4696" t="str">
            <v>60 - 00016R41609</v>
          </cell>
        </row>
        <row r="4697">
          <cell r="H4697">
            <v>12922</v>
          </cell>
          <cell r="O4697">
            <v>41609</v>
          </cell>
          <cell r="R4697" t="str">
            <v/>
          </cell>
          <cell r="T4697" t="str">
            <v>60 - 00016R41609</v>
          </cell>
        </row>
        <row r="4698">
          <cell r="H4698">
            <v>2686700</v>
          </cell>
          <cell r="O4698">
            <v>41609</v>
          </cell>
          <cell r="R4698" t="str">
            <v/>
          </cell>
          <cell r="T4698" t="str">
            <v>60 - 00016R41609</v>
          </cell>
        </row>
        <row r="4699">
          <cell r="H4699">
            <v>0</v>
          </cell>
          <cell r="O4699">
            <v>41609</v>
          </cell>
          <cell r="R4699" t="str">
            <v/>
          </cell>
          <cell r="T4699" t="str">
            <v>60 - 00016R41609</v>
          </cell>
        </row>
        <row r="4700">
          <cell r="H4700">
            <v>11483</v>
          </cell>
          <cell r="O4700">
            <v>41609</v>
          </cell>
          <cell r="R4700" t="str">
            <v/>
          </cell>
          <cell r="T4700" t="str">
            <v>60 - 00016R41609</v>
          </cell>
        </row>
        <row r="4701">
          <cell r="H4701">
            <v>88045</v>
          </cell>
          <cell r="O4701">
            <v>41609</v>
          </cell>
          <cell r="R4701" t="str">
            <v/>
          </cell>
          <cell r="T4701" t="str">
            <v>60 - 00016R41609</v>
          </cell>
        </row>
        <row r="4702">
          <cell r="H4702">
            <v>0</v>
          </cell>
          <cell r="O4702">
            <v>41609</v>
          </cell>
          <cell r="R4702" t="str">
            <v/>
          </cell>
          <cell r="T4702" t="str">
            <v>60 - 00016R41609</v>
          </cell>
        </row>
        <row r="4703">
          <cell r="H4703">
            <v>262280</v>
          </cell>
          <cell r="O4703">
            <v>41609</v>
          </cell>
          <cell r="R4703" t="str">
            <v/>
          </cell>
          <cell r="T4703" t="str">
            <v>60 - 00016R41609</v>
          </cell>
        </row>
        <row r="4704">
          <cell r="H4704">
            <v>290100</v>
          </cell>
          <cell r="O4704">
            <v>41609</v>
          </cell>
          <cell r="R4704" t="str">
            <v/>
          </cell>
          <cell r="T4704" t="str">
            <v>60 - 00016R41609</v>
          </cell>
        </row>
        <row r="4705">
          <cell r="H4705">
            <v>0</v>
          </cell>
          <cell r="O4705">
            <v>41609</v>
          </cell>
          <cell r="R4705" t="str">
            <v/>
          </cell>
          <cell r="T4705" t="str">
            <v>60 - 00016R41609</v>
          </cell>
        </row>
        <row r="4706">
          <cell r="H4706">
            <v>0</v>
          </cell>
          <cell r="O4706">
            <v>41609</v>
          </cell>
          <cell r="R4706" t="str">
            <v/>
          </cell>
          <cell r="T4706" t="str">
            <v>60 - 00016R41609</v>
          </cell>
        </row>
        <row r="4707">
          <cell r="H4707">
            <v>0</v>
          </cell>
          <cell r="O4707">
            <v>41609</v>
          </cell>
          <cell r="R4707" t="str">
            <v/>
          </cell>
          <cell r="T4707" t="str">
            <v>60 - 00016R41609</v>
          </cell>
        </row>
        <row r="4708">
          <cell r="H4708">
            <v>0</v>
          </cell>
          <cell r="O4708">
            <v>41609</v>
          </cell>
          <cell r="R4708" t="str">
            <v/>
          </cell>
          <cell r="T4708" t="str">
            <v>60 - 00016R41609</v>
          </cell>
        </row>
        <row r="4709">
          <cell r="H4709">
            <v>0</v>
          </cell>
          <cell r="O4709">
            <v>41609</v>
          </cell>
          <cell r="R4709" t="str">
            <v/>
          </cell>
          <cell r="T4709" t="str">
            <v>60 - 00016R41609</v>
          </cell>
        </row>
        <row r="4710">
          <cell r="H4710">
            <v>0</v>
          </cell>
          <cell r="O4710">
            <v>41609</v>
          </cell>
          <cell r="R4710" t="str">
            <v/>
          </cell>
          <cell r="T4710" t="str">
            <v>60 - 00016R41609</v>
          </cell>
        </row>
        <row r="4711">
          <cell r="H4711">
            <v>115167</v>
          </cell>
          <cell r="O4711">
            <v>41609</v>
          </cell>
          <cell r="R4711" t="str">
            <v/>
          </cell>
          <cell r="T4711" t="str">
            <v>60 - 00016R41609</v>
          </cell>
        </row>
        <row r="4712">
          <cell r="H4712">
            <v>59769</v>
          </cell>
          <cell r="O4712">
            <v>41609</v>
          </cell>
          <cell r="R4712" t="str">
            <v/>
          </cell>
          <cell r="T4712" t="str">
            <v>60 - 00016R41609</v>
          </cell>
        </row>
        <row r="4713">
          <cell r="H4713">
            <v>416060</v>
          </cell>
          <cell r="O4713">
            <v>41609</v>
          </cell>
          <cell r="R4713" t="str">
            <v/>
          </cell>
          <cell r="T4713" t="str">
            <v>60 - 00016R41609</v>
          </cell>
        </row>
        <row r="4714">
          <cell r="H4714">
            <v>3073820</v>
          </cell>
          <cell r="O4714">
            <v>41609</v>
          </cell>
          <cell r="R4714" t="str">
            <v/>
          </cell>
          <cell r="T4714" t="str">
            <v>60 - 00016R41609</v>
          </cell>
        </row>
        <row r="4715">
          <cell r="H4715">
            <v>0</v>
          </cell>
          <cell r="O4715">
            <v>41609</v>
          </cell>
          <cell r="R4715" t="str">
            <v/>
          </cell>
          <cell r="T4715" t="str">
            <v>60 - 00016R41609</v>
          </cell>
        </row>
        <row r="4716">
          <cell r="H4716">
            <v>0</v>
          </cell>
          <cell r="O4716">
            <v>41609</v>
          </cell>
          <cell r="R4716" t="str">
            <v/>
          </cell>
          <cell r="T4716" t="str">
            <v>60 - 00016R41609</v>
          </cell>
        </row>
        <row r="4717">
          <cell r="H4717">
            <v>0</v>
          </cell>
          <cell r="O4717">
            <v>41609</v>
          </cell>
          <cell r="R4717" t="str">
            <v/>
          </cell>
          <cell r="T4717" t="str">
            <v>60 - 00016R41609</v>
          </cell>
        </row>
        <row r="4718">
          <cell r="H4718">
            <v>0</v>
          </cell>
          <cell r="O4718">
            <v>41609</v>
          </cell>
          <cell r="R4718" t="str">
            <v/>
          </cell>
          <cell r="T4718" t="str">
            <v>60 - 00016R41609</v>
          </cell>
        </row>
        <row r="4719">
          <cell r="H4719">
            <v>0</v>
          </cell>
          <cell r="O4719">
            <v>41609</v>
          </cell>
          <cell r="R4719" t="str">
            <v/>
          </cell>
          <cell r="T4719" t="str">
            <v>60 - 00016R41609</v>
          </cell>
        </row>
        <row r="4720">
          <cell r="H4720">
            <v>27927</v>
          </cell>
          <cell r="O4720">
            <v>41609</v>
          </cell>
          <cell r="R4720" t="str">
            <v/>
          </cell>
          <cell r="T4720" t="str">
            <v>60 - 00016R41609</v>
          </cell>
        </row>
        <row r="4721">
          <cell r="H4721">
            <v>0</v>
          </cell>
          <cell r="O4721">
            <v>41609</v>
          </cell>
          <cell r="R4721" t="str">
            <v/>
          </cell>
          <cell r="T4721" t="str">
            <v>60 - 00016R41609</v>
          </cell>
        </row>
        <row r="4722">
          <cell r="H4722">
            <v>3200</v>
          </cell>
          <cell r="O4722">
            <v>41609</v>
          </cell>
          <cell r="R4722" t="str">
            <v/>
          </cell>
          <cell r="T4722" t="str">
            <v>60 - 00016R41609</v>
          </cell>
        </row>
        <row r="4723">
          <cell r="H4723">
            <v>9480</v>
          </cell>
          <cell r="O4723">
            <v>41609</v>
          </cell>
          <cell r="R4723" t="str">
            <v/>
          </cell>
          <cell r="T4723" t="str">
            <v>60 - 00016R41609</v>
          </cell>
        </row>
        <row r="4724">
          <cell r="H4724">
            <v>726</v>
          </cell>
          <cell r="O4724">
            <v>41609</v>
          </cell>
          <cell r="R4724" t="str">
            <v/>
          </cell>
          <cell r="T4724" t="str">
            <v>60 - 00016R41609</v>
          </cell>
        </row>
        <row r="4725">
          <cell r="H4725">
            <v>0</v>
          </cell>
          <cell r="O4725">
            <v>41609</v>
          </cell>
          <cell r="R4725" t="str">
            <v/>
          </cell>
          <cell r="T4725" t="str">
            <v>60 - 00016R41609</v>
          </cell>
        </row>
        <row r="4726">
          <cell r="H4726">
            <v>0</v>
          </cell>
          <cell r="O4726">
            <v>41609</v>
          </cell>
          <cell r="R4726" t="str">
            <v/>
          </cell>
          <cell r="T4726" t="str">
            <v>60 - 00016R41609</v>
          </cell>
        </row>
        <row r="4727">
          <cell r="H4727">
            <v>0</v>
          </cell>
          <cell r="O4727">
            <v>41609</v>
          </cell>
          <cell r="R4727" t="str">
            <v/>
          </cell>
          <cell r="T4727" t="str">
            <v>60 - 00016R41609</v>
          </cell>
        </row>
        <row r="4728">
          <cell r="H4728">
            <v>0</v>
          </cell>
          <cell r="O4728">
            <v>41609</v>
          </cell>
          <cell r="R4728" t="str">
            <v/>
          </cell>
          <cell r="T4728" t="str">
            <v>60 - 00016R41609</v>
          </cell>
        </row>
        <row r="4729">
          <cell r="H4729">
            <v>119211</v>
          </cell>
          <cell r="O4729">
            <v>41609</v>
          </cell>
          <cell r="R4729" t="str">
            <v/>
          </cell>
          <cell r="T4729" t="str">
            <v>60 - 00016R41609</v>
          </cell>
        </row>
        <row r="4730">
          <cell r="H4730">
            <v>19758</v>
          </cell>
          <cell r="O4730">
            <v>41609</v>
          </cell>
          <cell r="R4730" t="str">
            <v/>
          </cell>
          <cell r="T4730" t="str">
            <v>60 - 00016R41609</v>
          </cell>
        </row>
        <row r="4731">
          <cell r="H4731">
            <v>56544</v>
          </cell>
          <cell r="O4731">
            <v>41609</v>
          </cell>
          <cell r="R4731" t="str">
            <v/>
          </cell>
          <cell r="T4731" t="str">
            <v>60 - 00016R41609</v>
          </cell>
        </row>
        <row r="4732">
          <cell r="H4732">
            <v>0</v>
          </cell>
          <cell r="O4732">
            <v>41609</v>
          </cell>
          <cell r="R4732" t="str">
            <v/>
          </cell>
          <cell r="T4732" t="str">
            <v>60 - 00016R41609</v>
          </cell>
        </row>
        <row r="4733">
          <cell r="H4733">
            <v>0</v>
          </cell>
          <cell r="O4733">
            <v>41609</v>
          </cell>
          <cell r="R4733" t="str">
            <v/>
          </cell>
          <cell r="T4733" t="str">
            <v>60 - 00011B41609</v>
          </cell>
        </row>
        <row r="4734">
          <cell r="H4734">
            <v>410671398</v>
          </cell>
          <cell r="O4734">
            <v>41609</v>
          </cell>
          <cell r="R4734" t="str">
            <v/>
          </cell>
          <cell r="T4734" t="str">
            <v>60 - 00011B41609</v>
          </cell>
        </row>
        <row r="4735">
          <cell r="H4735">
            <v>1897641</v>
          </cell>
          <cell r="O4735">
            <v>41609</v>
          </cell>
          <cell r="R4735" t="str">
            <v/>
          </cell>
          <cell r="T4735" t="str">
            <v>60 - 00011B41609</v>
          </cell>
        </row>
        <row r="4736">
          <cell r="H4736">
            <v>1103988</v>
          </cell>
          <cell r="O4736">
            <v>41609</v>
          </cell>
          <cell r="R4736" t="str">
            <v/>
          </cell>
          <cell r="T4736" t="str">
            <v>60 - 00011B41609</v>
          </cell>
        </row>
        <row r="4737">
          <cell r="H4737">
            <v>10516</v>
          </cell>
          <cell r="O4737">
            <v>41609</v>
          </cell>
          <cell r="R4737" t="str">
            <v/>
          </cell>
          <cell r="T4737" t="str">
            <v>60 - 00011B41609</v>
          </cell>
        </row>
        <row r="4738">
          <cell r="H4738">
            <v>281284</v>
          </cell>
          <cell r="O4738">
            <v>41609</v>
          </cell>
          <cell r="R4738" t="str">
            <v/>
          </cell>
          <cell r="T4738" t="str">
            <v>60 - 00011B41609</v>
          </cell>
        </row>
        <row r="4739">
          <cell r="H4739">
            <v>190029</v>
          </cell>
          <cell r="O4739">
            <v>41609</v>
          </cell>
          <cell r="R4739" t="str">
            <v/>
          </cell>
          <cell r="T4739" t="str">
            <v>60 - 00011B41609</v>
          </cell>
        </row>
        <row r="4740">
          <cell r="H4740">
            <v>3857642</v>
          </cell>
          <cell r="O4740">
            <v>41609</v>
          </cell>
          <cell r="R4740" t="str">
            <v/>
          </cell>
          <cell r="T4740" t="str">
            <v>60 - 00011B41609</v>
          </cell>
        </row>
        <row r="4741">
          <cell r="H4741">
            <v>568</v>
          </cell>
          <cell r="O4741">
            <v>41609</v>
          </cell>
          <cell r="R4741" t="str">
            <v/>
          </cell>
          <cell r="T4741" t="str">
            <v>60 - 00011B41609</v>
          </cell>
        </row>
        <row r="4742">
          <cell r="H4742">
            <v>0</v>
          </cell>
          <cell r="O4742">
            <v>41609</v>
          </cell>
          <cell r="R4742" t="str">
            <v/>
          </cell>
          <cell r="T4742" t="str">
            <v>60 - 00011B41609</v>
          </cell>
        </row>
        <row r="4743">
          <cell r="H4743">
            <v>0</v>
          </cell>
          <cell r="O4743">
            <v>41609</v>
          </cell>
          <cell r="R4743" t="str">
            <v/>
          </cell>
          <cell r="T4743" t="str">
            <v>60 - 00011R41609</v>
          </cell>
        </row>
        <row r="4744">
          <cell r="H4744">
            <v>0</v>
          </cell>
          <cell r="O4744">
            <v>41609</v>
          </cell>
          <cell r="R4744" t="str">
            <v/>
          </cell>
          <cell r="T4744" t="str">
            <v>60 - 00011R41609</v>
          </cell>
        </row>
        <row r="4745">
          <cell r="H4745">
            <v>0</v>
          </cell>
          <cell r="O4745">
            <v>41609</v>
          </cell>
          <cell r="R4745" t="str">
            <v/>
          </cell>
          <cell r="T4745" t="str">
            <v>60 - 00011R41609</v>
          </cell>
        </row>
        <row r="4746">
          <cell r="H4746">
            <v>0</v>
          </cell>
          <cell r="O4746">
            <v>41609</v>
          </cell>
          <cell r="R4746" t="str">
            <v/>
          </cell>
          <cell r="T4746" t="str">
            <v>60 - 00011R41609</v>
          </cell>
        </row>
        <row r="4747">
          <cell r="H4747">
            <v>0</v>
          </cell>
          <cell r="O4747">
            <v>41609</v>
          </cell>
          <cell r="R4747" t="str">
            <v/>
          </cell>
          <cell r="T4747" t="str">
            <v>60 - 00011R41609</v>
          </cell>
        </row>
        <row r="4748">
          <cell r="H4748">
            <v>0</v>
          </cell>
          <cell r="O4748">
            <v>41609</v>
          </cell>
          <cell r="R4748" t="str">
            <v/>
          </cell>
          <cell r="T4748" t="str">
            <v>60 - 00011R41609</v>
          </cell>
        </row>
        <row r="4749">
          <cell r="H4749">
            <v>0</v>
          </cell>
          <cell r="O4749">
            <v>41609</v>
          </cell>
          <cell r="R4749" t="str">
            <v/>
          </cell>
          <cell r="T4749" t="str">
            <v>60 - 00011R41609</v>
          </cell>
        </row>
        <row r="4750">
          <cell r="H4750">
            <v>0</v>
          </cell>
          <cell r="O4750">
            <v>41609</v>
          </cell>
          <cell r="R4750" t="str">
            <v/>
          </cell>
          <cell r="T4750" t="str">
            <v>60 - 00011R41609</v>
          </cell>
        </row>
        <row r="4751">
          <cell r="H4751">
            <v>0</v>
          </cell>
          <cell r="O4751">
            <v>41609</v>
          </cell>
          <cell r="R4751" t="str">
            <v/>
          </cell>
          <cell r="T4751" t="str">
            <v>60 - 00011R41609</v>
          </cell>
        </row>
        <row r="4752">
          <cell r="H4752">
            <v>0</v>
          </cell>
          <cell r="O4752">
            <v>41609</v>
          </cell>
          <cell r="R4752" t="str">
            <v/>
          </cell>
          <cell r="T4752" t="str">
            <v>60 - 00011R41609</v>
          </cell>
        </row>
        <row r="4753">
          <cell r="H4753">
            <v>0</v>
          </cell>
          <cell r="O4753">
            <v>41609</v>
          </cell>
          <cell r="R4753" t="str">
            <v/>
          </cell>
          <cell r="T4753" t="str">
            <v>60 - 00011R41609</v>
          </cell>
        </row>
        <row r="4754">
          <cell r="H4754">
            <v>0</v>
          </cell>
          <cell r="O4754">
            <v>41609</v>
          </cell>
          <cell r="R4754" t="str">
            <v/>
          </cell>
          <cell r="T4754" t="str">
            <v>60 - 00011R41609</v>
          </cell>
        </row>
        <row r="4755">
          <cell r="H4755">
            <v>631196063</v>
          </cell>
          <cell r="O4755">
            <v>41609</v>
          </cell>
          <cell r="R4755" t="str">
            <v/>
          </cell>
          <cell r="T4755" t="str">
            <v>60 - 00011R41609</v>
          </cell>
        </row>
        <row r="4756">
          <cell r="H4756">
            <v>4805983</v>
          </cell>
          <cell r="O4756">
            <v>41609</v>
          </cell>
          <cell r="R4756" t="str">
            <v/>
          </cell>
          <cell r="T4756" t="str">
            <v>60 - 00011R41609</v>
          </cell>
        </row>
        <row r="4757">
          <cell r="H4757">
            <v>31645978</v>
          </cell>
          <cell r="O4757">
            <v>41609</v>
          </cell>
          <cell r="R4757" t="str">
            <v/>
          </cell>
          <cell r="T4757" t="str">
            <v>60 - 00011R41609</v>
          </cell>
        </row>
        <row r="4758">
          <cell r="H4758">
            <v>0</v>
          </cell>
          <cell r="O4758">
            <v>41609</v>
          </cell>
          <cell r="R4758" t="str">
            <v/>
          </cell>
          <cell r="T4758" t="str">
            <v>60 - 00011R41609</v>
          </cell>
        </row>
        <row r="4759">
          <cell r="H4759">
            <v>2161087</v>
          </cell>
          <cell r="O4759">
            <v>41609</v>
          </cell>
          <cell r="R4759" t="str">
            <v/>
          </cell>
          <cell r="T4759" t="str">
            <v>60 - 00011R41609</v>
          </cell>
        </row>
        <row r="4760">
          <cell r="H4760">
            <v>0</v>
          </cell>
          <cell r="O4760">
            <v>41609</v>
          </cell>
          <cell r="R4760" t="str">
            <v/>
          </cell>
          <cell r="T4760" t="str">
            <v>60 - 00011R41609</v>
          </cell>
        </row>
        <row r="4761">
          <cell r="H4761">
            <v>0</v>
          </cell>
          <cell r="O4761">
            <v>41609</v>
          </cell>
          <cell r="R4761" t="str">
            <v/>
          </cell>
          <cell r="T4761" t="str">
            <v>60 - 00011R41609</v>
          </cell>
        </row>
        <row r="4762">
          <cell r="H4762">
            <v>0</v>
          </cell>
          <cell r="O4762">
            <v>41609</v>
          </cell>
          <cell r="R4762" t="str">
            <v/>
          </cell>
          <cell r="T4762" t="str">
            <v>60 - 00011R41609</v>
          </cell>
        </row>
        <row r="4763">
          <cell r="H4763">
            <v>190028</v>
          </cell>
          <cell r="O4763">
            <v>41609</v>
          </cell>
          <cell r="R4763" t="str">
            <v/>
          </cell>
          <cell r="T4763" t="str">
            <v>60 - 00011R41609</v>
          </cell>
        </row>
        <row r="4764">
          <cell r="H4764">
            <v>0</v>
          </cell>
          <cell r="O4764">
            <v>41609</v>
          </cell>
          <cell r="R4764" t="str">
            <v/>
          </cell>
          <cell r="T4764" t="str">
            <v>60 - 00011R41609</v>
          </cell>
        </row>
        <row r="4765">
          <cell r="H4765">
            <v>3842249</v>
          </cell>
          <cell r="O4765">
            <v>41609</v>
          </cell>
          <cell r="R4765" t="str">
            <v/>
          </cell>
          <cell r="T4765" t="str">
            <v>60 - 00011R41609</v>
          </cell>
        </row>
        <row r="4766">
          <cell r="H4766">
            <v>13134</v>
          </cell>
          <cell r="O4766">
            <v>41609</v>
          </cell>
          <cell r="R4766" t="str">
            <v/>
          </cell>
          <cell r="T4766" t="str">
            <v>60 - 00011R41609</v>
          </cell>
        </row>
        <row r="4767">
          <cell r="H4767">
            <v>2917</v>
          </cell>
          <cell r="O4767">
            <v>41609</v>
          </cell>
          <cell r="R4767" t="str">
            <v/>
          </cell>
          <cell r="T4767" t="str">
            <v>60 - 00011R41609</v>
          </cell>
        </row>
        <row r="4768">
          <cell r="H4768">
            <v>0</v>
          </cell>
          <cell r="O4768">
            <v>41609</v>
          </cell>
          <cell r="R4768" t="str">
            <v/>
          </cell>
          <cell r="T4768" t="str">
            <v>60 - 00011R41609</v>
          </cell>
        </row>
        <row r="4769">
          <cell r="H4769">
            <v>0</v>
          </cell>
          <cell r="O4769">
            <v>41609</v>
          </cell>
          <cell r="R4769" t="str">
            <v/>
          </cell>
          <cell r="T4769" t="str">
            <v>60 - 00011R41609</v>
          </cell>
        </row>
        <row r="4770">
          <cell r="H4770">
            <v>0</v>
          </cell>
          <cell r="O4770">
            <v>41609</v>
          </cell>
          <cell r="R4770" t="str">
            <v/>
          </cell>
          <cell r="T4770" t="str">
            <v>60 - 00011B41609</v>
          </cell>
        </row>
        <row r="4771">
          <cell r="H4771">
            <v>8147226</v>
          </cell>
          <cell r="O4771">
            <v>41609</v>
          </cell>
          <cell r="R4771" t="str">
            <v/>
          </cell>
          <cell r="T4771" t="str">
            <v>60 - 00011B41609</v>
          </cell>
        </row>
        <row r="4772">
          <cell r="H4772">
            <v>42443</v>
          </cell>
          <cell r="O4772">
            <v>41609</v>
          </cell>
          <cell r="R4772" t="str">
            <v/>
          </cell>
          <cell r="T4772" t="str">
            <v>60 - 00011B41609</v>
          </cell>
        </row>
        <row r="4773">
          <cell r="H4773">
            <v>14424854</v>
          </cell>
          <cell r="O4773">
            <v>41609</v>
          </cell>
          <cell r="R4773" t="str">
            <v/>
          </cell>
          <cell r="T4773" t="str">
            <v>60 - 00011B41609</v>
          </cell>
        </row>
        <row r="4774">
          <cell r="H4774">
            <v>15509494</v>
          </cell>
          <cell r="O4774">
            <v>41609</v>
          </cell>
          <cell r="R4774" t="str">
            <v/>
          </cell>
          <cell r="T4774" t="str">
            <v>60 - 00011B41609</v>
          </cell>
        </row>
        <row r="4775">
          <cell r="H4775">
            <v>465000</v>
          </cell>
          <cell r="O4775">
            <v>41609</v>
          </cell>
          <cell r="R4775" t="str">
            <v/>
          </cell>
          <cell r="T4775" t="str">
            <v>60 - 00011B41609</v>
          </cell>
        </row>
        <row r="4776">
          <cell r="H4776">
            <v>18609</v>
          </cell>
          <cell r="O4776">
            <v>41609</v>
          </cell>
          <cell r="R4776" t="str">
            <v/>
          </cell>
          <cell r="T4776" t="str">
            <v>60 - 00011B41609</v>
          </cell>
        </row>
        <row r="4777">
          <cell r="H4777">
            <v>31950</v>
          </cell>
          <cell r="O4777">
            <v>41609</v>
          </cell>
          <cell r="R4777" t="str">
            <v/>
          </cell>
          <cell r="T4777" t="str">
            <v>60 - 00011B41609</v>
          </cell>
        </row>
        <row r="4778">
          <cell r="H4778">
            <v>141984</v>
          </cell>
          <cell r="O4778">
            <v>41609</v>
          </cell>
          <cell r="R4778" t="str">
            <v/>
          </cell>
          <cell r="T4778" t="str">
            <v>60 - 00011B41609</v>
          </cell>
        </row>
        <row r="4779">
          <cell r="H4779">
            <v>124838</v>
          </cell>
          <cell r="O4779">
            <v>41609</v>
          </cell>
          <cell r="R4779" t="str">
            <v/>
          </cell>
          <cell r="T4779" t="str">
            <v>60 - 00011B41609</v>
          </cell>
        </row>
        <row r="4780">
          <cell r="H4780">
            <v>83164</v>
          </cell>
          <cell r="O4780">
            <v>41609</v>
          </cell>
          <cell r="R4780" t="str">
            <v/>
          </cell>
          <cell r="T4780" t="str">
            <v>60 - 00011B41609</v>
          </cell>
        </row>
        <row r="4781">
          <cell r="H4781">
            <v>0</v>
          </cell>
          <cell r="O4781">
            <v>41609</v>
          </cell>
          <cell r="R4781" t="str">
            <v/>
          </cell>
          <cell r="T4781" t="str">
            <v>60 - 00011B41609</v>
          </cell>
        </row>
        <row r="4782">
          <cell r="H4782">
            <v>0</v>
          </cell>
          <cell r="O4782">
            <v>41609</v>
          </cell>
          <cell r="R4782" t="str">
            <v/>
          </cell>
          <cell r="T4782" t="str">
            <v>60 - 00011R41609</v>
          </cell>
        </row>
        <row r="4783">
          <cell r="H4783">
            <v>0</v>
          </cell>
          <cell r="O4783">
            <v>41609</v>
          </cell>
          <cell r="R4783" t="str">
            <v/>
          </cell>
          <cell r="T4783" t="str">
            <v>60 - 00011R41609</v>
          </cell>
        </row>
        <row r="4784">
          <cell r="H4784">
            <v>0</v>
          </cell>
          <cell r="O4784">
            <v>41609</v>
          </cell>
          <cell r="R4784" t="str">
            <v/>
          </cell>
          <cell r="T4784" t="str">
            <v>60 - 00011R41609</v>
          </cell>
        </row>
        <row r="4785">
          <cell r="H4785">
            <v>0</v>
          </cell>
          <cell r="O4785">
            <v>41609</v>
          </cell>
          <cell r="R4785" t="str">
            <v/>
          </cell>
          <cell r="T4785" t="str">
            <v>60 - 00011R41609</v>
          </cell>
        </row>
        <row r="4786">
          <cell r="H4786">
            <v>0</v>
          </cell>
          <cell r="O4786">
            <v>41609</v>
          </cell>
          <cell r="R4786" t="str">
            <v/>
          </cell>
          <cell r="T4786" t="str">
            <v>60 - 00011R41609</v>
          </cell>
        </row>
        <row r="4787">
          <cell r="H4787">
            <v>0</v>
          </cell>
          <cell r="O4787">
            <v>41609</v>
          </cell>
          <cell r="R4787" t="str">
            <v/>
          </cell>
          <cell r="T4787" t="str">
            <v>60 - 00011R41609</v>
          </cell>
        </row>
        <row r="4788">
          <cell r="H4788">
            <v>5574000</v>
          </cell>
          <cell r="O4788">
            <v>41609</v>
          </cell>
          <cell r="R4788" t="str">
            <v/>
          </cell>
          <cell r="T4788" t="str">
            <v>60 - 00011R41609</v>
          </cell>
        </row>
        <row r="4789">
          <cell r="H4789">
            <v>0</v>
          </cell>
          <cell r="O4789">
            <v>41609</v>
          </cell>
          <cell r="R4789" t="str">
            <v/>
          </cell>
          <cell r="T4789" t="str">
            <v>60 - 00011R41609</v>
          </cell>
        </row>
        <row r="4790">
          <cell r="H4790">
            <v>0</v>
          </cell>
          <cell r="O4790">
            <v>41609</v>
          </cell>
          <cell r="R4790" t="str">
            <v/>
          </cell>
          <cell r="T4790" t="str">
            <v>60 - 00011R41609</v>
          </cell>
        </row>
        <row r="4791">
          <cell r="H4791">
            <v>0</v>
          </cell>
          <cell r="O4791">
            <v>41609</v>
          </cell>
          <cell r="R4791" t="str">
            <v/>
          </cell>
          <cell r="T4791" t="str">
            <v>60 - 00011R41609</v>
          </cell>
        </row>
        <row r="4792">
          <cell r="H4792">
            <v>0</v>
          </cell>
          <cell r="O4792">
            <v>41609</v>
          </cell>
          <cell r="R4792" t="str">
            <v/>
          </cell>
          <cell r="T4792" t="str">
            <v>60 - 00011R41609</v>
          </cell>
        </row>
        <row r="4793">
          <cell r="H4793">
            <v>3014150</v>
          </cell>
          <cell r="O4793">
            <v>41609</v>
          </cell>
          <cell r="R4793" t="str">
            <v/>
          </cell>
          <cell r="T4793" t="str">
            <v>60 - 00011R41609</v>
          </cell>
        </row>
        <row r="4794">
          <cell r="H4794">
            <v>463798</v>
          </cell>
          <cell r="O4794">
            <v>41609</v>
          </cell>
          <cell r="R4794" t="str">
            <v/>
          </cell>
          <cell r="T4794" t="str">
            <v>60 - 00011R41609</v>
          </cell>
        </row>
        <row r="4795">
          <cell r="H4795">
            <v>91777</v>
          </cell>
          <cell r="O4795">
            <v>41609</v>
          </cell>
          <cell r="R4795" t="str">
            <v/>
          </cell>
          <cell r="T4795" t="str">
            <v>60 - 00011R41609</v>
          </cell>
        </row>
        <row r="4796">
          <cell r="H4796">
            <v>0</v>
          </cell>
          <cell r="O4796">
            <v>41609</v>
          </cell>
          <cell r="R4796" t="str">
            <v/>
          </cell>
          <cell r="T4796" t="str">
            <v>60 - 00011R41609</v>
          </cell>
        </row>
        <row r="4797">
          <cell r="H4797">
            <v>71855026</v>
          </cell>
          <cell r="O4797">
            <v>41609</v>
          </cell>
          <cell r="R4797" t="str">
            <v/>
          </cell>
          <cell r="T4797" t="str">
            <v>60 - 00011R41609</v>
          </cell>
        </row>
        <row r="4798">
          <cell r="H4798">
            <v>0</v>
          </cell>
          <cell r="O4798">
            <v>41609</v>
          </cell>
          <cell r="R4798" t="str">
            <v/>
          </cell>
          <cell r="T4798" t="str">
            <v>60 - 00011R41609</v>
          </cell>
        </row>
        <row r="4799">
          <cell r="H4799">
            <v>0</v>
          </cell>
          <cell r="O4799">
            <v>41609</v>
          </cell>
          <cell r="R4799" t="str">
            <v/>
          </cell>
          <cell r="T4799" t="str">
            <v>60 - 00011R41609</v>
          </cell>
        </row>
        <row r="4800">
          <cell r="H4800">
            <v>96283380</v>
          </cell>
          <cell r="O4800">
            <v>41609</v>
          </cell>
          <cell r="R4800" t="str">
            <v/>
          </cell>
          <cell r="T4800" t="str">
            <v>60 - 00011R41609</v>
          </cell>
        </row>
        <row r="4801">
          <cell r="H4801">
            <v>179644888</v>
          </cell>
          <cell r="O4801">
            <v>41609</v>
          </cell>
          <cell r="R4801" t="str">
            <v/>
          </cell>
          <cell r="T4801" t="str">
            <v>60 - 00011R41609</v>
          </cell>
        </row>
        <row r="4802">
          <cell r="H4802">
            <v>0</v>
          </cell>
          <cell r="O4802">
            <v>41609</v>
          </cell>
          <cell r="R4802" t="str">
            <v/>
          </cell>
          <cell r="T4802" t="str">
            <v>60 - 00011R41609</v>
          </cell>
        </row>
        <row r="4803">
          <cell r="H4803">
            <v>0</v>
          </cell>
          <cell r="O4803">
            <v>41609</v>
          </cell>
          <cell r="R4803" t="str">
            <v/>
          </cell>
          <cell r="T4803" t="str">
            <v>60 - 00011R41609</v>
          </cell>
        </row>
        <row r="4804">
          <cell r="H4804">
            <v>0</v>
          </cell>
          <cell r="O4804">
            <v>41609</v>
          </cell>
          <cell r="R4804" t="str">
            <v/>
          </cell>
          <cell r="T4804" t="str">
            <v>60 - 00011R41609</v>
          </cell>
        </row>
        <row r="4805">
          <cell r="H4805">
            <v>0</v>
          </cell>
          <cell r="O4805">
            <v>41609</v>
          </cell>
          <cell r="R4805" t="str">
            <v/>
          </cell>
          <cell r="T4805" t="str">
            <v>60 - 00011R41609</v>
          </cell>
        </row>
        <row r="4806">
          <cell r="H4806">
            <v>264233</v>
          </cell>
          <cell r="O4806">
            <v>41609</v>
          </cell>
          <cell r="R4806" t="str">
            <v/>
          </cell>
          <cell r="T4806" t="str">
            <v>60 - 00011R41609</v>
          </cell>
        </row>
        <row r="4807">
          <cell r="H4807">
            <v>375472</v>
          </cell>
          <cell r="O4807">
            <v>41609</v>
          </cell>
          <cell r="R4807" t="str">
            <v/>
          </cell>
          <cell r="T4807" t="str">
            <v>60 - 00011R41609</v>
          </cell>
        </row>
        <row r="4808">
          <cell r="H4808">
            <v>43077</v>
          </cell>
          <cell r="O4808">
            <v>41609</v>
          </cell>
          <cell r="R4808" t="str">
            <v/>
          </cell>
          <cell r="T4808" t="str">
            <v>60 - 00011R41609</v>
          </cell>
        </row>
        <row r="4809">
          <cell r="H4809">
            <v>811068</v>
          </cell>
          <cell r="O4809">
            <v>41609</v>
          </cell>
          <cell r="R4809" t="str">
            <v/>
          </cell>
          <cell r="T4809" t="str">
            <v>60 - 00011R41609</v>
          </cell>
        </row>
        <row r="4810">
          <cell r="H4810">
            <v>734173</v>
          </cell>
          <cell r="O4810">
            <v>41609</v>
          </cell>
          <cell r="R4810" t="str">
            <v/>
          </cell>
          <cell r="T4810" t="str">
            <v>60 - 00011R41609</v>
          </cell>
        </row>
        <row r="4811">
          <cell r="H4811">
            <v>243708</v>
          </cell>
          <cell r="O4811">
            <v>41609</v>
          </cell>
          <cell r="R4811" t="str">
            <v/>
          </cell>
          <cell r="T4811" t="str">
            <v>60 - 00011R41609</v>
          </cell>
        </row>
        <row r="4812">
          <cell r="H4812">
            <v>0</v>
          </cell>
          <cell r="O4812">
            <v>41609</v>
          </cell>
          <cell r="R4812" t="str">
            <v/>
          </cell>
          <cell r="T4812" t="str">
            <v>60 - 00011R41609</v>
          </cell>
        </row>
        <row r="4813">
          <cell r="H4813">
            <v>19412</v>
          </cell>
          <cell r="O4813">
            <v>41609</v>
          </cell>
          <cell r="R4813" t="str">
            <v/>
          </cell>
          <cell r="T4813" t="str">
            <v>60 - 00011R41609</v>
          </cell>
        </row>
        <row r="4814">
          <cell r="H4814">
            <v>46735</v>
          </cell>
          <cell r="O4814">
            <v>41609</v>
          </cell>
          <cell r="R4814" t="str">
            <v/>
          </cell>
          <cell r="T4814" t="str">
            <v>60 - 00011R41609</v>
          </cell>
        </row>
        <row r="4815">
          <cell r="H4815">
            <v>279289</v>
          </cell>
          <cell r="O4815">
            <v>41609</v>
          </cell>
          <cell r="R4815" t="str">
            <v/>
          </cell>
          <cell r="T4815" t="str">
            <v>60 - 00011R41609</v>
          </cell>
        </row>
        <row r="4816">
          <cell r="H4816">
            <v>1433817</v>
          </cell>
          <cell r="O4816">
            <v>41609</v>
          </cell>
          <cell r="R4816" t="str">
            <v/>
          </cell>
          <cell r="T4816" t="str">
            <v>60 - 00011R41609</v>
          </cell>
        </row>
        <row r="4817">
          <cell r="H4817">
            <v>440949</v>
          </cell>
          <cell r="O4817">
            <v>41609</v>
          </cell>
          <cell r="R4817" t="str">
            <v/>
          </cell>
          <cell r="T4817" t="str">
            <v>60 - 00011R41609</v>
          </cell>
        </row>
        <row r="4818">
          <cell r="H4818">
            <v>23800</v>
          </cell>
          <cell r="O4818">
            <v>41609</v>
          </cell>
          <cell r="R4818" t="str">
            <v/>
          </cell>
          <cell r="T4818" t="str">
            <v>60 - 00011R41609</v>
          </cell>
        </row>
        <row r="4819">
          <cell r="H4819">
            <v>0</v>
          </cell>
          <cell r="O4819">
            <v>41609</v>
          </cell>
          <cell r="R4819" t="str">
            <v/>
          </cell>
          <cell r="T4819" t="str">
            <v>60 - 00011R41609</v>
          </cell>
        </row>
        <row r="4820">
          <cell r="H4820">
            <v>92180486</v>
          </cell>
          <cell r="O4820">
            <v>41609</v>
          </cell>
          <cell r="R4820" t="str">
            <v/>
          </cell>
          <cell r="T4820" t="str">
            <v>60 - 00011R41609</v>
          </cell>
        </row>
        <row r="4821">
          <cell r="H4821">
            <v>8047352</v>
          </cell>
          <cell r="O4821">
            <v>41609</v>
          </cell>
          <cell r="R4821" t="str">
            <v/>
          </cell>
          <cell r="T4821" t="str">
            <v>60 - 00011R41609</v>
          </cell>
        </row>
        <row r="4822">
          <cell r="H4822">
            <v>0</v>
          </cell>
          <cell r="O4822">
            <v>41609</v>
          </cell>
          <cell r="R4822" t="str">
            <v/>
          </cell>
          <cell r="T4822" t="str">
            <v>60 - 00011R41609</v>
          </cell>
        </row>
        <row r="4823">
          <cell r="H4823">
            <v>0</v>
          </cell>
          <cell r="O4823">
            <v>41609</v>
          </cell>
          <cell r="R4823" t="str">
            <v/>
          </cell>
          <cell r="T4823" t="str">
            <v>60 - 00011R41609</v>
          </cell>
        </row>
        <row r="4824">
          <cell r="H4824">
            <v>0</v>
          </cell>
          <cell r="O4824">
            <v>41609</v>
          </cell>
          <cell r="R4824" t="str">
            <v/>
          </cell>
          <cell r="T4824" t="str">
            <v>60 - 00011R41609</v>
          </cell>
        </row>
        <row r="4825">
          <cell r="H4825">
            <v>0</v>
          </cell>
          <cell r="O4825">
            <v>41609</v>
          </cell>
          <cell r="R4825" t="str">
            <v/>
          </cell>
          <cell r="T4825" t="str">
            <v>60 - 00011R41609</v>
          </cell>
        </row>
        <row r="4826">
          <cell r="H4826">
            <v>789075</v>
          </cell>
          <cell r="O4826">
            <v>41609</v>
          </cell>
          <cell r="R4826" t="str">
            <v/>
          </cell>
          <cell r="T4826" t="str">
            <v>60 - 00011R41609</v>
          </cell>
        </row>
        <row r="4827">
          <cell r="H4827">
            <v>9557400</v>
          </cell>
          <cell r="O4827">
            <v>41609</v>
          </cell>
          <cell r="R4827" t="str">
            <v/>
          </cell>
          <cell r="T4827" t="str">
            <v>60 - 00011R41609</v>
          </cell>
        </row>
        <row r="4828">
          <cell r="H4828">
            <v>3554240</v>
          </cell>
          <cell r="O4828">
            <v>41609</v>
          </cell>
          <cell r="R4828" t="str">
            <v/>
          </cell>
          <cell r="T4828" t="str">
            <v>60 - 00011R41609</v>
          </cell>
        </row>
        <row r="4829">
          <cell r="H4829">
            <v>0</v>
          </cell>
          <cell r="O4829">
            <v>41609</v>
          </cell>
          <cell r="R4829" t="str">
            <v/>
          </cell>
          <cell r="T4829" t="str">
            <v>60 - 00011R41609</v>
          </cell>
        </row>
        <row r="4830">
          <cell r="H4830">
            <v>0</v>
          </cell>
          <cell r="O4830">
            <v>41609</v>
          </cell>
          <cell r="R4830" t="str">
            <v/>
          </cell>
          <cell r="T4830" t="str">
            <v>60 - 00011R41609</v>
          </cell>
        </row>
        <row r="4831">
          <cell r="H4831">
            <v>49640</v>
          </cell>
          <cell r="O4831">
            <v>41609</v>
          </cell>
          <cell r="R4831" t="str">
            <v/>
          </cell>
          <cell r="T4831" t="str">
            <v>60 - 00011R41609</v>
          </cell>
        </row>
        <row r="4832">
          <cell r="H4832">
            <v>0</v>
          </cell>
          <cell r="O4832">
            <v>41609</v>
          </cell>
          <cell r="R4832" t="str">
            <v/>
          </cell>
          <cell r="T4832" t="str">
            <v>60 - 00011R41609</v>
          </cell>
        </row>
        <row r="4833">
          <cell r="H4833">
            <v>0</v>
          </cell>
          <cell r="O4833">
            <v>41609</v>
          </cell>
          <cell r="R4833" t="str">
            <v/>
          </cell>
          <cell r="T4833" t="str">
            <v>60 - 00011R41609</v>
          </cell>
        </row>
        <row r="4834">
          <cell r="H4834">
            <v>0</v>
          </cell>
          <cell r="O4834">
            <v>41609</v>
          </cell>
          <cell r="R4834" t="str">
            <v/>
          </cell>
          <cell r="T4834" t="str">
            <v>60 - 00011R41609</v>
          </cell>
        </row>
        <row r="4835">
          <cell r="H4835">
            <v>0</v>
          </cell>
          <cell r="O4835">
            <v>41609</v>
          </cell>
          <cell r="R4835" t="str">
            <v/>
          </cell>
          <cell r="T4835" t="str">
            <v>60 - 00011R41609</v>
          </cell>
        </row>
        <row r="4836">
          <cell r="H4836">
            <v>0</v>
          </cell>
          <cell r="O4836">
            <v>41609</v>
          </cell>
          <cell r="R4836" t="str">
            <v/>
          </cell>
          <cell r="T4836" t="str">
            <v>60 - 00011R41609</v>
          </cell>
        </row>
        <row r="4837">
          <cell r="H4837">
            <v>124838</v>
          </cell>
          <cell r="O4837">
            <v>41609</v>
          </cell>
          <cell r="R4837" t="str">
            <v/>
          </cell>
          <cell r="T4837" t="str">
            <v>60 - 00011R41609</v>
          </cell>
        </row>
        <row r="4838">
          <cell r="H4838">
            <v>0</v>
          </cell>
          <cell r="O4838">
            <v>41609</v>
          </cell>
          <cell r="R4838" t="str">
            <v/>
          </cell>
          <cell r="T4838" t="str">
            <v>60 - 00011R41609</v>
          </cell>
        </row>
        <row r="4839">
          <cell r="H4839">
            <v>0</v>
          </cell>
          <cell r="O4839">
            <v>41609</v>
          </cell>
          <cell r="R4839" t="str">
            <v/>
          </cell>
          <cell r="T4839" t="str">
            <v>60 - 00011R41609</v>
          </cell>
        </row>
        <row r="4840">
          <cell r="H4840">
            <v>0</v>
          </cell>
          <cell r="O4840">
            <v>41609</v>
          </cell>
          <cell r="R4840" t="str">
            <v/>
          </cell>
          <cell r="T4840" t="str">
            <v>60 - 00011B41609</v>
          </cell>
        </row>
        <row r="4841">
          <cell r="H4841">
            <v>31202</v>
          </cell>
          <cell r="O4841">
            <v>41609</v>
          </cell>
          <cell r="R4841" t="str">
            <v/>
          </cell>
          <cell r="T4841" t="str">
            <v>60 - 00011B41609</v>
          </cell>
        </row>
        <row r="4842">
          <cell r="H4842">
            <v>27879</v>
          </cell>
          <cell r="O4842">
            <v>41609</v>
          </cell>
          <cell r="R4842" t="str">
            <v/>
          </cell>
          <cell r="T4842" t="str">
            <v>60 - 00011B41609</v>
          </cell>
        </row>
        <row r="4843">
          <cell r="H4843">
            <v>380</v>
          </cell>
          <cell r="O4843">
            <v>41609</v>
          </cell>
          <cell r="R4843" t="str">
            <v/>
          </cell>
          <cell r="T4843" t="str">
            <v>60 - 00011B41609</v>
          </cell>
        </row>
        <row r="4844">
          <cell r="H4844">
            <v>0</v>
          </cell>
          <cell r="O4844">
            <v>41609</v>
          </cell>
          <cell r="R4844" t="str">
            <v/>
          </cell>
          <cell r="T4844" t="str">
            <v>60 - 00011B41609</v>
          </cell>
        </row>
        <row r="4845">
          <cell r="H4845">
            <v>0</v>
          </cell>
          <cell r="O4845">
            <v>41609</v>
          </cell>
          <cell r="R4845" t="str">
            <v/>
          </cell>
          <cell r="T4845" t="str">
            <v>60 - 00011R41609</v>
          </cell>
        </row>
        <row r="4846">
          <cell r="H4846">
            <v>0</v>
          </cell>
          <cell r="O4846">
            <v>41609</v>
          </cell>
          <cell r="R4846" t="str">
            <v/>
          </cell>
          <cell r="T4846" t="str">
            <v>60 - 00011R41609</v>
          </cell>
        </row>
        <row r="4847">
          <cell r="H4847">
            <v>0</v>
          </cell>
          <cell r="O4847">
            <v>41609</v>
          </cell>
          <cell r="R4847" t="str">
            <v/>
          </cell>
          <cell r="T4847" t="str">
            <v>60 - 00011R41609</v>
          </cell>
        </row>
        <row r="4848">
          <cell r="H4848">
            <v>0</v>
          </cell>
          <cell r="O4848">
            <v>41609</v>
          </cell>
          <cell r="R4848" t="str">
            <v/>
          </cell>
          <cell r="T4848" t="str">
            <v>60 - 00011R41609</v>
          </cell>
        </row>
        <row r="4849">
          <cell r="H4849">
            <v>0</v>
          </cell>
          <cell r="O4849">
            <v>41609</v>
          </cell>
          <cell r="R4849" t="str">
            <v/>
          </cell>
          <cell r="T4849" t="str">
            <v>60 - 00011R41609</v>
          </cell>
        </row>
        <row r="4850">
          <cell r="H4850">
            <v>0</v>
          </cell>
          <cell r="O4850">
            <v>41609</v>
          </cell>
          <cell r="R4850" t="str">
            <v/>
          </cell>
          <cell r="T4850" t="str">
            <v>60 - 00011R41609</v>
          </cell>
        </row>
        <row r="4851">
          <cell r="H4851">
            <v>7754400</v>
          </cell>
          <cell r="O4851">
            <v>41609</v>
          </cell>
          <cell r="R4851" t="str">
            <v/>
          </cell>
          <cell r="T4851" t="str">
            <v>60 - 00011R41609</v>
          </cell>
        </row>
        <row r="4852">
          <cell r="H4852">
            <v>0</v>
          </cell>
          <cell r="O4852">
            <v>41609</v>
          </cell>
          <cell r="R4852" t="str">
            <v/>
          </cell>
          <cell r="T4852" t="str">
            <v>60 - 00011R41609</v>
          </cell>
        </row>
        <row r="4853">
          <cell r="H4853">
            <v>1664000</v>
          </cell>
          <cell r="O4853">
            <v>41609</v>
          </cell>
          <cell r="R4853" t="str">
            <v/>
          </cell>
          <cell r="T4853" t="str">
            <v>60 - 00011R41609</v>
          </cell>
        </row>
        <row r="4854">
          <cell r="H4854">
            <v>19385</v>
          </cell>
          <cell r="O4854">
            <v>41609</v>
          </cell>
          <cell r="R4854" t="str">
            <v/>
          </cell>
          <cell r="T4854" t="str">
            <v>60 - 00011R41609</v>
          </cell>
        </row>
        <row r="4855">
          <cell r="H4855">
            <v>0</v>
          </cell>
          <cell r="O4855">
            <v>41609</v>
          </cell>
          <cell r="R4855" t="str">
            <v/>
          </cell>
          <cell r="T4855" t="str">
            <v>60 - 00011R41609</v>
          </cell>
        </row>
        <row r="4856">
          <cell r="H4856">
            <v>147691812</v>
          </cell>
          <cell r="O4856">
            <v>41609</v>
          </cell>
          <cell r="R4856" t="str">
            <v/>
          </cell>
          <cell r="T4856" t="str">
            <v>60 - 00011R41609</v>
          </cell>
        </row>
        <row r="4857">
          <cell r="H4857">
            <v>0</v>
          </cell>
          <cell r="O4857">
            <v>41609</v>
          </cell>
          <cell r="R4857" t="str">
            <v/>
          </cell>
          <cell r="T4857" t="str">
            <v>60 - 00011R41609</v>
          </cell>
        </row>
        <row r="4858">
          <cell r="H4858">
            <v>2036990</v>
          </cell>
          <cell r="O4858">
            <v>41609</v>
          </cell>
          <cell r="R4858" t="str">
            <v/>
          </cell>
          <cell r="T4858" t="str">
            <v>60 - 00011R41609</v>
          </cell>
        </row>
        <row r="4859">
          <cell r="H4859">
            <v>8643780</v>
          </cell>
          <cell r="O4859">
            <v>41609</v>
          </cell>
          <cell r="R4859" t="str">
            <v/>
          </cell>
          <cell r="T4859" t="str">
            <v>60 - 00011R41609</v>
          </cell>
        </row>
        <row r="4860">
          <cell r="H4860">
            <v>0</v>
          </cell>
          <cell r="O4860">
            <v>41609</v>
          </cell>
          <cell r="R4860" t="str">
            <v/>
          </cell>
          <cell r="T4860" t="str">
            <v>60 - 00011R41609</v>
          </cell>
        </row>
        <row r="4861">
          <cell r="H4861">
            <v>0</v>
          </cell>
          <cell r="O4861">
            <v>41609</v>
          </cell>
          <cell r="R4861" t="str">
            <v/>
          </cell>
          <cell r="T4861" t="str">
            <v>60 - 00011R41609</v>
          </cell>
        </row>
        <row r="4862">
          <cell r="H4862">
            <v>0</v>
          </cell>
          <cell r="O4862">
            <v>41609</v>
          </cell>
          <cell r="R4862" t="str">
            <v/>
          </cell>
          <cell r="T4862" t="str">
            <v>60 - 00011R41609</v>
          </cell>
        </row>
        <row r="4863">
          <cell r="H4863">
            <v>0</v>
          </cell>
          <cell r="O4863">
            <v>41609</v>
          </cell>
          <cell r="R4863" t="str">
            <v/>
          </cell>
          <cell r="T4863" t="str">
            <v>60 - 00011R41609</v>
          </cell>
        </row>
        <row r="4864">
          <cell r="H4864">
            <v>5546</v>
          </cell>
          <cell r="O4864">
            <v>41609</v>
          </cell>
          <cell r="R4864" t="str">
            <v/>
          </cell>
          <cell r="T4864" t="str">
            <v>60 - 00011R41609</v>
          </cell>
        </row>
        <row r="4865">
          <cell r="H4865">
            <v>10057</v>
          </cell>
          <cell r="O4865">
            <v>41609</v>
          </cell>
          <cell r="R4865" t="str">
            <v/>
          </cell>
          <cell r="T4865" t="str">
            <v>60 - 00011R41609</v>
          </cell>
        </row>
        <row r="4866">
          <cell r="H4866">
            <v>197</v>
          </cell>
          <cell r="O4866">
            <v>41609</v>
          </cell>
          <cell r="R4866" t="str">
            <v/>
          </cell>
          <cell r="T4866" t="str">
            <v>60 - 00011R41609</v>
          </cell>
        </row>
        <row r="4867">
          <cell r="H4867">
            <v>86</v>
          </cell>
          <cell r="O4867">
            <v>41609</v>
          </cell>
          <cell r="R4867" t="str">
            <v/>
          </cell>
          <cell r="T4867" t="str">
            <v>60 - 00011R41609</v>
          </cell>
        </row>
        <row r="4868">
          <cell r="H4868">
            <v>14</v>
          </cell>
          <cell r="O4868">
            <v>41609</v>
          </cell>
          <cell r="R4868" t="str">
            <v/>
          </cell>
          <cell r="T4868" t="str">
            <v>60 - 00011R41609</v>
          </cell>
        </row>
        <row r="4869">
          <cell r="H4869">
            <v>1637</v>
          </cell>
          <cell r="O4869">
            <v>41609</v>
          </cell>
          <cell r="R4869" t="str">
            <v/>
          </cell>
          <cell r="T4869" t="str">
            <v>60 - 00011R41609</v>
          </cell>
        </row>
        <row r="4870">
          <cell r="H4870">
            <v>14247</v>
          </cell>
          <cell r="O4870">
            <v>41609</v>
          </cell>
          <cell r="R4870" t="str">
            <v/>
          </cell>
          <cell r="T4870" t="str">
            <v>60 - 00011R41609</v>
          </cell>
        </row>
        <row r="4871">
          <cell r="H4871">
            <v>0</v>
          </cell>
          <cell r="O4871">
            <v>41609</v>
          </cell>
          <cell r="R4871" t="str">
            <v/>
          </cell>
          <cell r="T4871" t="str">
            <v>60 - 00011R41609</v>
          </cell>
        </row>
        <row r="4872">
          <cell r="H4872">
            <v>18294654</v>
          </cell>
          <cell r="O4872">
            <v>41609</v>
          </cell>
          <cell r="R4872" t="str">
            <v/>
          </cell>
          <cell r="T4872" t="str">
            <v>60 - 00011R41609</v>
          </cell>
        </row>
        <row r="4873">
          <cell r="H4873">
            <v>31189</v>
          </cell>
          <cell r="O4873">
            <v>41609</v>
          </cell>
          <cell r="R4873" t="str">
            <v/>
          </cell>
          <cell r="T4873" t="str">
            <v>60 - 00011R41609</v>
          </cell>
        </row>
        <row r="4874">
          <cell r="H4874">
            <v>0</v>
          </cell>
          <cell r="O4874">
            <v>41609</v>
          </cell>
          <cell r="R4874" t="str">
            <v/>
          </cell>
          <cell r="T4874" t="str">
            <v>60 - 00011R41609</v>
          </cell>
        </row>
        <row r="4875">
          <cell r="H4875">
            <v>0</v>
          </cell>
          <cell r="O4875">
            <v>41609</v>
          </cell>
          <cell r="R4875" t="str">
            <v/>
          </cell>
          <cell r="T4875" t="str">
            <v>60 - 00011R41609</v>
          </cell>
        </row>
        <row r="4876">
          <cell r="H4876">
            <v>8640</v>
          </cell>
          <cell r="O4876">
            <v>41609</v>
          </cell>
          <cell r="R4876" t="str">
            <v/>
          </cell>
          <cell r="T4876" t="str">
            <v>60 - 00011R41609</v>
          </cell>
        </row>
        <row r="4877">
          <cell r="H4877">
            <v>146480</v>
          </cell>
          <cell r="O4877">
            <v>41609</v>
          </cell>
          <cell r="R4877" t="str">
            <v/>
          </cell>
          <cell r="T4877" t="str">
            <v>60 - 00011R41609</v>
          </cell>
        </row>
        <row r="4878">
          <cell r="H4878">
            <v>5037000</v>
          </cell>
          <cell r="O4878">
            <v>41609</v>
          </cell>
          <cell r="R4878" t="str">
            <v/>
          </cell>
          <cell r="T4878" t="str">
            <v>60 - 00011R41609</v>
          </cell>
        </row>
        <row r="4879">
          <cell r="H4879">
            <v>0</v>
          </cell>
          <cell r="O4879">
            <v>41609</v>
          </cell>
          <cell r="R4879" t="str">
            <v/>
          </cell>
          <cell r="T4879" t="str">
            <v>60 - 00011R41609</v>
          </cell>
        </row>
        <row r="4880">
          <cell r="H4880">
            <v>0</v>
          </cell>
          <cell r="O4880">
            <v>41609</v>
          </cell>
          <cell r="R4880" t="str">
            <v/>
          </cell>
          <cell r="T4880" t="str">
            <v>60 - 00011R41609</v>
          </cell>
        </row>
        <row r="4881">
          <cell r="H4881">
            <v>0</v>
          </cell>
          <cell r="O4881">
            <v>41609</v>
          </cell>
          <cell r="R4881" t="str">
            <v/>
          </cell>
          <cell r="T4881" t="str">
            <v>60 - 00011R41609</v>
          </cell>
        </row>
        <row r="4882">
          <cell r="H4882">
            <v>380</v>
          </cell>
          <cell r="O4882">
            <v>41609</v>
          </cell>
          <cell r="R4882" t="str">
            <v/>
          </cell>
          <cell r="T4882" t="str">
            <v>60 - 00011R41609</v>
          </cell>
        </row>
        <row r="4883">
          <cell r="H4883">
            <v>0</v>
          </cell>
          <cell r="O4883">
            <v>41609</v>
          </cell>
          <cell r="R4883" t="str">
            <v/>
          </cell>
          <cell r="T4883" t="str">
            <v>60 - 00011R41609</v>
          </cell>
        </row>
        <row r="4884">
          <cell r="H4884">
            <v>0</v>
          </cell>
          <cell r="O4884">
            <v>41609</v>
          </cell>
          <cell r="R4884" t="str">
            <v/>
          </cell>
          <cell r="T4884" t="str">
            <v>60 - 00011B41609</v>
          </cell>
        </row>
        <row r="4885">
          <cell r="H4885">
            <v>139058</v>
          </cell>
          <cell r="O4885">
            <v>41609</v>
          </cell>
          <cell r="R4885" t="str">
            <v/>
          </cell>
          <cell r="T4885" t="str">
            <v>60 - 00011B41609</v>
          </cell>
        </row>
        <row r="4886">
          <cell r="H4886">
            <v>928</v>
          </cell>
          <cell r="O4886">
            <v>41609</v>
          </cell>
          <cell r="R4886" t="str">
            <v/>
          </cell>
          <cell r="T4886" t="str">
            <v>60 - 00011B41609</v>
          </cell>
        </row>
        <row r="4887">
          <cell r="H4887">
            <v>160755</v>
          </cell>
          <cell r="O4887">
            <v>41609</v>
          </cell>
          <cell r="R4887" t="str">
            <v/>
          </cell>
          <cell r="T4887" t="str">
            <v>60 - 00011B41609</v>
          </cell>
        </row>
        <row r="4888">
          <cell r="H4888">
            <v>-28427</v>
          </cell>
          <cell r="O4888">
            <v>41609</v>
          </cell>
          <cell r="R4888" t="str">
            <v/>
          </cell>
          <cell r="T4888" t="str">
            <v>60 - 00011B41609</v>
          </cell>
        </row>
        <row r="4889">
          <cell r="H4889">
            <v>0</v>
          </cell>
          <cell r="O4889">
            <v>41609</v>
          </cell>
          <cell r="R4889" t="str">
            <v/>
          </cell>
          <cell r="T4889" t="str">
            <v>60 - 00011B41609</v>
          </cell>
        </row>
        <row r="4890">
          <cell r="H4890">
            <v>0</v>
          </cell>
          <cell r="O4890">
            <v>41609</v>
          </cell>
          <cell r="R4890" t="str">
            <v/>
          </cell>
          <cell r="T4890" t="str">
            <v>60 - 00011B41609</v>
          </cell>
        </row>
        <row r="4891">
          <cell r="H4891">
            <v>852</v>
          </cell>
          <cell r="O4891">
            <v>41609</v>
          </cell>
          <cell r="R4891" t="str">
            <v/>
          </cell>
          <cell r="T4891" t="str">
            <v>60 - 00011B41609</v>
          </cell>
        </row>
        <row r="4892">
          <cell r="H4892">
            <v>2</v>
          </cell>
          <cell r="O4892">
            <v>41609</v>
          </cell>
          <cell r="R4892" t="str">
            <v/>
          </cell>
          <cell r="T4892" t="str">
            <v>60 - 00011B41609</v>
          </cell>
        </row>
        <row r="4893">
          <cell r="H4893">
            <v>0</v>
          </cell>
          <cell r="O4893">
            <v>41609</v>
          </cell>
          <cell r="R4893" t="str">
            <v/>
          </cell>
          <cell r="T4893" t="str">
            <v>60 - 00011B41609</v>
          </cell>
        </row>
        <row r="4894">
          <cell r="H4894">
            <v>5287</v>
          </cell>
          <cell r="O4894">
            <v>41609</v>
          </cell>
          <cell r="R4894" t="str">
            <v/>
          </cell>
          <cell r="T4894" t="str">
            <v>60 - 00011B41609</v>
          </cell>
        </row>
        <row r="4895">
          <cell r="H4895">
            <v>814</v>
          </cell>
          <cell r="O4895">
            <v>41609</v>
          </cell>
          <cell r="R4895" t="str">
            <v/>
          </cell>
          <cell r="T4895" t="str">
            <v>60 - 00011B41609</v>
          </cell>
        </row>
        <row r="4896">
          <cell r="H4896">
            <v>33133</v>
          </cell>
          <cell r="O4896">
            <v>41609</v>
          </cell>
          <cell r="R4896" t="str">
            <v/>
          </cell>
          <cell r="T4896" t="str">
            <v>60 - 00011B41609</v>
          </cell>
        </row>
        <row r="4897">
          <cell r="H4897">
            <v>0</v>
          </cell>
          <cell r="O4897">
            <v>41609</v>
          </cell>
          <cell r="R4897" t="str">
            <v/>
          </cell>
          <cell r="T4897" t="str">
            <v>60 - 00011B41609</v>
          </cell>
        </row>
        <row r="4898">
          <cell r="H4898">
            <v>0</v>
          </cell>
          <cell r="O4898">
            <v>41609</v>
          </cell>
          <cell r="R4898" t="str">
            <v/>
          </cell>
          <cell r="T4898" t="str">
            <v>60 - 00011R41609</v>
          </cell>
        </row>
        <row r="4899">
          <cell r="H4899">
            <v>0</v>
          </cell>
          <cell r="O4899">
            <v>41609</v>
          </cell>
          <cell r="R4899" t="str">
            <v/>
          </cell>
          <cell r="T4899" t="str">
            <v>60 - 00011R41609</v>
          </cell>
        </row>
        <row r="4900">
          <cell r="H4900">
            <v>0</v>
          </cell>
          <cell r="O4900">
            <v>41609</v>
          </cell>
          <cell r="R4900" t="str">
            <v/>
          </cell>
          <cell r="T4900" t="str">
            <v>60 - 00011R41609</v>
          </cell>
        </row>
        <row r="4901">
          <cell r="H4901">
            <v>0</v>
          </cell>
          <cell r="O4901">
            <v>41609</v>
          </cell>
          <cell r="R4901" t="str">
            <v/>
          </cell>
          <cell r="T4901" t="str">
            <v>60 - 00011R41609</v>
          </cell>
        </row>
        <row r="4902">
          <cell r="H4902">
            <v>0</v>
          </cell>
          <cell r="O4902">
            <v>41609</v>
          </cell>
          <cell r="R4902" t="str">
            <v/>
          </cell>
          <cell r="T4902" t="str">
            <v>60 - 00011R41609</v>
          </cell>
        </row>
        <row r="4903">
          <cell r="H4903">
            <v>0</v>
          </cell>
          <cell r="O4903">
            <v>41609</v>
          </cell>
          <cell r="R4903" t="str">
            <v/>
          </cell>
          <cell r="T4903" t="str">
            <v>60 - 00011R41609</v>
          </cell>
        </row>
        <row r="4904">
          <cell r="H4904">
            <v>0</v>
          </cell>
          <cell r="O4904">
            <v>41609</v>
          </cell>
          <cell r="R4904" t="str">
            <v/>
          </cell>
          <cell r="T4904" t="str">
            <v>60 - 00011R41609</v>
          </cell>
        </row>
        <row r="4905">
          <cell r="H4905">
            <v>0</v>
          </cell>
          <cell r="O4905">
            <v>41609</v>
          </cell>
          <cell r="R4905" t="str">
            <v/>
          </cell>
          <cell r="T4905" t="str">
            <v>60 - 00011R41609</v>
          </cell>
        </row>
        <row r="4906">
          <cell r="H4906">
            <v>0</v>
          </cell>
          <cell r="O4906">
            <v>41609</v>
          </cell>
          <cell r="R4906" t="str">
            <v/>
          </cell>
          <cell r="T4906" t="str">
            <v>60 - 00011R41609</v>
          </cell>
        </row>
        <row r="4907">
          <cell r="H4907">
            <v>392418</v>
          </cell>
          <cell r="O4907">
            <v>41609</v>
          </cell>
          <cell r="R4907" t="str">
            <v/>
          </cell>
          <cell r="T4907" t="str">
            <v>60 - 00011R41609</v>
          </cell>
        </row>
        <row r="4908">
          <cell r="H4908">
            <v>2912</v>
          </cell>
          <cell r="O4908">
            <v>41609</v>
          </cell>
          <cell r="R4908" t="str">
            <v/>
          </cell>
          <cell r="T4908" t="str">
            <v>60 - 00011R41609</v>
          </cell>
        </row>
        <row r="4909">
          <cell r="H4909">
            <v>928</v>
          </cell>
          <cell r="O4909">
            <v>41609</v>
          </cell>
          <cell r="R4909" t="str">
            <v/>
          </cell>
          <cell r="T4909" t="str">
            <v>60 - 00011R41609</v>
          </cell>
        </row>
        <row r="4910">
          <cell r="H4910">
            <v>0</v>
          </cell>
          <cell r="O4910">
            <v>41609</v>
          </cell>
          <cell r="R4910" t="str">
            <v/>
          </cell>
          <cell r="T4910" t="str">
            <v>60 - 00011R41609</v>
          </cell>
        </row>
        <row r="4911">
          <cell r="H4911">
            <v>0</v>
          </cell>
          <cell r="O4911">
            <v>41609</v>
          </cell>
          <cell r="R4911" t="str">
            <v/>
          </cell>
          <cell r="T4911" t="str">
            <v>60 - 00011R41609</v>
          </cell>
        </row>
        <row r="4912">
          <cell r="H4912">
            <v>0</v>
          </cell>
          <cell r="O4912">
            <v>41609</v>
          </cell>
          <cell r="R4912" t="str">
            <v/>
          </cell>
          <cell r="T4912" t="str">
            <v>60 - 00011R41609</v>
          </cell>
        </row>
        <row r="4913">
          <cell r="H4913">
            <v>14643</v>
          </cell>
          <cell r="O4913">
            <v>41609</v>
          </cell>
          <cell r="R4913" t="str">
            <v/>
          </cell>
          <cell r="T4913" t="str">
            <v>60 - 00011R41609</v>
          </cell>
        </row>
        <row r="4914">
          <cell r="H4914">
            <v>0</v>
          </cell>
          <cell r="O4914">
            <v>41609</v>
          </cell>
          <cell r="R4914" t="str">
            <v/>
          </cell>
          <cell r="T4914" t="str">
            <v>60 - 00011R41609</v>
          </cell>
        </row>
        <row r="4915">
          <cell r="H4915">
            <v>0</v>
          </cell>
          <cell r="O4915">
            <v>41609</v>
          </cell>
          <cell r="R4915" t="str">
            <v/>
          </cell>
          <cell r="T4915" t="str">
            <v>60 - 00011R41609</v>
          </cell>
        </row>
        <row r="4916">
          <cell r="H4916">
            <v>0</v>
          </cell>
          <cell r="O4916">
            <v>41609</v>
          </cell>
          <cell r="R4916" t="str">
            <v/>
          </cell>
          <cell r="T4916" t="str">
            <v>60 - 00011R41609</v>
          </cell>
        </row>
        <row r="4917">
          <cell r="H4917">
            <v>0</v>
          </cell>
          <cell r="O4917">
            <v>41609</v>
          </cell>
          <cell r="R4917" t="str">
            <v/>
          </cell>
          <cell r="T4917" t="str">
            <v>60 - 00011R41609</v>
          </cell>
        </row>
        <row r="4918">
          <cell r="H4918">
            <v>0</v>
          </cell>
          <cell r="O4918">
            <v>41609</v>
          </cell>
          <cell r="R4918" t="str">
            <v/>
          </cell>
          <cell r="T4918" t="str">
            <v>60 - 00011R41609</v>
          </cell>
        </row>
        <row r="4919">
          <cell r="H4919">
            <v>72843</v>
          </cell>
          <cell r="O4919">
            <v>41609</v>
          </cell>
          <cell r="R4919" t="str">
            <v/>
          </cell>
          <cell r="T4919" t="str">
            <v>60 - 00011R41609</v>
          </cell>
        </row>
        <row r="4920">
          <cell r="H4920">
            <v>0</v>
          </cell>
          <cell r="O4920">
            <v>41609</v>
          </cell>
          <cell r="R4920" t="str">
            <v/>
          </cell>
          <cell r="T4920" t="str">
            <v>60 - 00011R41609</v>
          </cell>
        </row>
        <row r="4921">
          <cell r="H4921">
            <v>0</v>
          </cell>
          <cell r="O4921">
            <v>41609</v>
          </cell>
          <cell r="R4921" t="str">
            <v/>
          </cell>
          <cell r="T4921" t="str">
            <v>60 - 00011R41609</v>
          </cell>
        </row>
        <row r="4922">
          <cell r="H4922">
            <v>0</v>
          </cell>
          <cell r="O4922">
            <v>41609</v>
          </cell>
          <cell r="R4922" t="str">
            <v/>
          </cell>
          <cell r="T4922" t="str">
            <v>60 - 00011R41609</v>
          </cell>
        </row>
        <row r="4923">
          <cell r="H4923">
            <v>0</v>
          </cell>
          <cell r="O4923">
            <v>41609</v>
          </cell>
          <cell r="R4923" t="str">
            <v/>
          </cell>
          <cell r="T4923" t="str">
            <v>60 - 00011R41609</v>
          </cell>
        </row>
        <row r="4924">
          <cell r="H4924">
            <v>0</v>
          </cell>
          <cell r="O4924">
            <v>41609</v>
          </cell>
          <cell r="R4924" t="str">
            <v/>
          </cell>
          <cell r="T4924" t="str">
            <v>60 - 00011R41609</v>
          </cell>
        </row>
        <row r="4925">
          <cell r="H4925">
            <v>0</v>
          </cell>
          <cell r="O4925">
            <v>41609</v>
          </cell>
          <cell r="R4925" t="str">
            <v/>
          </cell>
          <cell r="T4925" t="str">
            <v>60 - 00011R41609</v>
          </cell>
        </row>
        <row r="4926">
          <cell r="H4926">
            <v>0</v>
          </cell>
          <cell r="O4926">
            <v>41609</v>
          </cell>
          <cell r="R4926" t="str">
            <v/>
          </cell>
          <cell r="T4926" t="str">
            <v>60 - 00011R41609</v>
          </cell>
        </row>
        <row r="4927">
          <cell r="H4927">
            <v>0</v>
          </cell>
          <cell r="O4927">
            <v>41609</v>
          </cell>
          <cell r="R4927" t="str">
            <v/>
          </cell>
          <cell r="T4927" t="str">
            <v>60 - 00011R41609</v>
          </cell>
        </row>
        <row r="4928">
          <cell r="H4928">
            <v>0</v>
          </cell>
          <cell r="O4928">
            <v>41609</v>
          </cell>
          <cell r="R4928" t="str">
            <v/>
          </cell>
          <cell r="T4928" t="str">
            <v>60 - 00011R41609</v>
          </cell>
        </row>
        <row r="4929">
          <cell r="H4929">
            <v>22355</v>
          </cell>
          <cell r="O4929">
            <v>41609</v>
          </cell>
          <cell r="R4929" t="str">
            <v/>
          </cell>
          <cell r="T4929" t="str">
            <v>60 - 00011R41609</v>
          </cell>
        </row>
        <row r="4930">
          <cell r="H4930">
            <v>13459</v>
          </cell>
          <cell r="O4930">
            <v>41609</v>
          </cell>
          <cell r="R4930" t="str">
            <v/>
          </cell>
          <cell r="T4930" t="str">
            <v>60 - 00011R41609</v>
          </cell>
        </row>
        <row r="4931">
          <cell r="H4931">
            <v>1354539</v>
          </cell>
          <cell r="O4931">
            <v>41609</v>
          </cell>
          <cell r="R4931" t="str">
            <v/>
          </cell>
          <cell r="T4931" t="str">
            <v>60 - 00011R41609</v>
          </cell>
        </row>
        <row r="4932">
          <cell r="H4932">
            <v>660745</v>
          </cell>
          <cell r="O4932">
            <v>41609</v>
          </cell>
          <cell r="R4932" t="str">
            <v/>
          </cell>
          <cell r="T4932" t="str">
            <v>60 - 00011R41609</v>
          </cell>
        </row>
        <row r="4933">
          <cell r="H4933">
            <v>77</v>
          </cell>
          <cell r="O4933">
            <v>41609</v>
          </cell>
          <cell r="R4933" t="str">
            <v/>
          </cell>
          <cell r="T4933" t="str">
            <v>60 - 00011R41609</v>
          </cell>
        </row>
        <row r="4934">
          <cell r="H4934">
            <v>89854</v>
          </cell>
          <cell r="O4934">
            <v>41609</v>
          </cell>
          <cell r="R4934" t="str">
            <v/>
          </cell>
          <cell r="T4934" t="str">
            <v>60 - 00011R41609</v>
          </cell>
        </row>
        <row r="4935">
          <cell r="H4935">
            <v>699792</v>
          </cell>
          <cell r="O4935">
            <v>41609</v>
          </cell>
          <cell r="R4935" t="str">
            <v/>
          </cell>
          <cell r="T4935" t="str">
            <v>60 - 00011R41609</v>
          </cell>
        </row>
        <row r="4936">
          <cell r="H4936">
            <v>1184</v>
          </cell>
          <cell r="O4936">
            <v>41609</v>
          </cell>
          <cell r="R4936" t="str">
            <v/>
          </cell>
          <cell r="T4936" t="str">
            <v>60 - 00011R41609</v>
          </cell>
        </row>
        <row r="4937">
          <cell r="H4937">
            <v>0</v>
          </cell>
          <cell r="O4937">
            <v>41609</v>
          </cell>
          <cell r="R4937" t="str">
            <v/>
          </cell>
          <cell r="T4937" t="str">
            <v>60 - 00011R41609</v>
          </cell>
        </row>
        <row r="4938">
          <cell r="H4938">
            <v>0</v>
          </cell>
          <cell r="O4938">
            <v>41609</v>
          </cell>
          <cell r="R4938" t="str">
            <v/>
          </cell>
          <cell r="T4938" t="str">
            <v>60 - 00012B41609</v>
          </cell>
        </row>
        <row r="4939">
          <cell r="H4939">
            <v>198218269</v>
          </cell>
          <cell r="O4939">
            <v>41609</v>
          </cell>
          <cell r="R4939" t="str">
            <v/>
          </cell>
          <cell r="T4939" t="str">
            <v>60 - 00012B41609</v>
          </cell>
        </row>
        <row r="4940">
          <cell r="H4940">
            <v>251714</v>
          </cell>
          <cell r="O4940">
            <v>41609</v>
          </cell>
          <cell r="R4940" t="str">
            <v/>
          </cell>
          <cell r="T4940" t="str">
            <v>60 - 00012B41609</v>
          </cell>
        </row>
        <row r="4941">
          <cell r="H4941">
            <v>44634</v>
          </cell>
          <cell r="O4941">
            <v>41609</v>
          </cell>
          <cell r="R4941" t="str">
            <v/>
          </cell>
          <cell r="T4941" t="str">
            <v>60 - 00012B41609</v>
          </cell>
        </row>
        <row r="4942">
          <cell r="H4942">
            <v>9435514</v>
          </cell>
          <cell r="O4942">
            <v>41609</v>
          </cell>
          <cell r="R4942" t="str">
            <v/>
          </cell>
          <cell r="T4942" t="str">
            <v>60 - 00012B41609</v>
          </cell>
        </row>
        <row r="4943">
          <cell r="H4943">
            <v>87847</v>
          </cell>
          <cell r="O4943">
            <v>41609</v>
          </cell>
          <cell r="R4943" t="str">
            <v/>
          </cell>
          <cell r="T4943" t="str">
            <v>60 - 00012B41609</v>
          </cell>
        </row>
        <row r="4944">
          <cell r="H4944">
            <v>258912</v>
          </cell>
          <cell r="O4944">
            <v>41609</v>
          </cell>
          <cell r="R4944" t="str">
            <v/>
          </cell>
          <cell r="T4944" t="str">
            <v>60 - 00012B41609</v>
          </cell>
        </row>
        <row r="4945">
          <cell r="H4945">
            <v>1221660</v>
          </cell>
          <cell r="O4945">
            <v>41609</v>
          </cell>
          <cell r="R4945" t="str">
            <v/>
          </cell>
          <cell r="T4945" t="str">
            <v>60 - 00012B41609</v>
          </cell>
        </row>
        <row r="4946">
          <cell r="H4946">
            <v>0</v>
          </cell>
          <cell r="O4946">
            <v>41609</v>
          </cell>
          <cell r="R4946" t="str">
            <v/>
          </cell>
          <cell r="T4946" t="str">
            <v>60 - 00012B41609</v>
          </cell>
        </row>
        <row r="4947">
          <cell r="H4947">
            <v>0</v>
          </cell>
          <cell r="O4947">
            <v>41609</v>
          </cell>
          <cell r="R4947" t="str">
            <v>41609WARESAGA</v>
          </cell>
          <cell r="T4947" t="str">
            <v>60 - 00012R41609</v>
          </cell>
        </row>
        <row r="4948">
          <cell r="H4948">
            <v>0</v>
          </cell>
          <cell r="O4948">
            <v>41609</v>
          </cell>
          <cell r="R4948" t="str">
            <v>41609WARESAGA</v>
          </cell>
          <cell r="T4948" t="str">
            <v>60 - 00012R41609</v>
          </cell>
        </row>
        <row r="4949">
          <cell r="H4949">
            <v>0</v>
          </cell>
          <cell r="O4949">
            <v>41609</v>
          </cell>
          <cell r="R4949" t="str">
            <v>41609WARESAGA</v>
          </cell>
          <cell r="T4949" t="str">
            <v>60 - 00012R41609</v>
          </cell>
        </row>
        <row r="4950">
          <cell r="H4950">
            <v>0</v>
          </cell>
          <cell r="O4950">
            <v>41609</v>
          </cell>
          <cell r="R4950" t="str">
            <v>41609WARESAGA</v>
          </cell>
          <cell r="T4950" t="str">
            <v>60 - 00012R41609</v>
          </cell>
        </row>
        <row r="4951">
          <cell r="H4951">
            <v>0</v>
          </cell>
          <cell r="O4951">
            <v>41609</v>
          </cell>
          <cell r="R4951" t="str">
            <v>41609WARESAGA</v>
          </cell>
          <cell r="T4951" t="str">
            <v>60 - 00012R41609</v>
          </cell>
        </row>
        <row r="4952">
          <cell r="H4952">
            <v>0</v>
          </cell>
          <cell r="O4952">
            <v>41609</v>
          </cell>
          <cell r="R4952" t="str">
            <v>41609WARESAGA</v>
          </cell>
          <cell r="T4952" t="str">
            <v>60 - 00012R41609</v>
          </cell>
        </row>
        <row r="4953">
          <cell r="H4953">
            <v>0</v>
          </cell>
          <cell r="O4953">
            <v>41609</v>
          </cell>
          <cell r="R4953" t="str">
            <v>41609WARESAGA</v>
          </cell>
          <cell r="T4953" t="str">
            <v>60 - 00012R41609</v>
          </cell>
        </row>
        <row r="4954">
          <cell r="H4954">
            <v>198218340</v>
          </cell>
          <cell r="O4954">
            <v>41609</v>
          </cell>
          <cell r="R4954" t="str">
            <v>41609WARES16</v>
          </cell>
          <cell r="T4954" t="str">
            <v>60 - 00012R41609</v>
          </cell>
        </row>
        <row r="4955">
          <cell r="H4955">
            <v>251716</v>
          </cell>
          <cell r="O4955">
            <v>41609</v>
          </cell>
          <cell r="R4955" t="str">
            <v>41609WARES18</v>
          </cell>
          <cell r="T4955" t="str">
            <v>60 - 00012R41609</v>
          </cell>
        </row>
        <row r="4956">
          <cell r="H4956">
            <v>44634</v>
          </cell>
          <cell r="O4956">
            <v>41609</v>
          </cell>
          <cell r="R4956" t="str">
            <v>41609WARES18</v>
          </cell>
          <cell r="T4956" t="str">
            <v>60 - 00012R41609</v>
          </cell>
        </row>
        <row r="4957">
          <cell r="H4957">
            <v>0</v>
          </cell>
          <cell r="O4957">
            <v>41609</v>
          </cell>
          <cell r="R4957" t="str">
            <v>41609WARESAGA</v>
          </cell>
          <cell r="T4957" t="str">
            <v>60 - 00012R41609</v>
          </cell>
        </row>
        <row r="4958">
          <cell r="H4958">
            <v>9435511</v>
          </cell>
          <cell r="O4958">
            <v>41609</v>
          </cell>
          <cell r="R4958" t="str">
            <v>41609WARES17</v>
          </cell>
          <cell r="T4958" t="str">
            <v>60 - 00012R41609</v>
          </cell>
        </row>
        <row r="4959">
          <cell r="H4959">
            <v>87847</v>
          </cell>
          <cell r="O4959">
            <v>41609</v>
          </cell>
          <cell r="R4959" t="str">
            <v>41609WARES15</v>
          </cell>
          <cell r="T4959" t="str">
            <v>60 - 00012R41609</v>
          </cell>
        </row>
        <row r="4960">
          <cell r="H4960">
            <v>258912</v>
          </cell>
          <cell r="O4960">
            <v>41609</v>
          </cell>
          <cell r="R4960" t="str">
            <v>41609WARES16</v>
          </cell>
          <cell r="T4960" t="str">
            <v>60 - 00012R41609</v>
          </cell>
        </row>
        <row r="4961">
          <cell r="H4961">
            <v>1221670</v>
          </cell>
          <cell r="O4961">
            <v>41609</v>
          </cell>
          <cell r="R4961" t="str">
            <v>41609WARES24</v>
          </cell>
          <cell r="T4961" t="str">
            <v>60 - 00012R41609</v>
          </cell>
        </row>
        <row r="4962">
          <cell r="H4962">
            <v>0</v>
          </cell>
          <cell r="O4962">
            <v>41609</v>
          </cell>
          <cell r="R4962" t="str">
            <v>41609WARESAGA</v>
          </cell>
          <cell r="T4962" t="str">
            <v>60 - 00012R41609</v>
          </cell>
        </row>
        <row r="4963">
          <cell r="H4963">
            <v>0</v>
          </cell>
          <cell r="O4963">
            <v>41609</v>
          </cell>
          <cell r="R4963" t="str">
            <v/>
          </cell>
          <cell r="T4963" t="str">
            <v>60 - 00012B41609</v>
          </cell>
        </row>
        <row r="4964">
          <cell r="H4964">
            <v>4097698</v>
          </cell>
          <cell r="O4964">
            <v>41609</v>
          </cell>
          <cell r="R4964" t="str">
            <v/>
          </cell>
          <cell r="T4964" t="str">
            <v>60 - 00012B41609</v>
          </cell>
        </row>
        <row r="4965">
          <cell r="H4965">
            <v>7025</v>
          </cell>
          <cell r="O4965">
            <v>41609</v>
          </cell>
          <cell r="R4965" t="str">
            <v/>
          </cell>
          <cell r="T4965" t="str">
            <v>60 - 00012B41609</v>
          </cell>
        </row>
        <row r="4966">
          <cell r="H4966">
            <v>9090580</v>
          </cell>
          <cell r="O4966">
            <v>41609</v>
          </cell>
          <cell r="R4966" t="str">
            <v/>
          </cell>
          <cell r="T4966" t="str">
            <v>60 - 00012B41609</v>
          </cell>
        </row>
        <row r="4967">
          <cell r="H4967">
            <v>46714</v>
          </cell>
          <cell r="O4967">
            <v>41609</v>
          </cell>
          <cell r="R4967" t="str">
            <v/>
          </cell>
          <cell r="T4967" t="str">
            <v>60 - 00012B41609</v>
          </cell>
        </row>
        <row r="4968">
          <cell r="H4968">
            <v>72</v>
          </cell>
          <cell r="O4968">
            <v>41609</v>
          </cell>
          <cell r="R4968" t="str">
            <v/>
          </cell>
          <cell r="T4968" t="str">
            <v>60 - 00012B41609</v>
          </cell>
        </row>
        <row r="4969">
          <cell r="H4969">
            <v>630</v>
          </cell>
          <cell r="O4969">
            <v>41609</v>
          </cell>
          <cell r="R4969" t="str">
            <v/>
          </cell>
          <cell r="T4969" t="str">
            <v>60 - 00012B41609</v>
          </cell>
        </row>
        <row r="4970">
          <cell r="H4970">
            <v>0</v>
          </cell>
          <cell r="O4970">
            <v>41609</v>
          </cell>
          <cell r="R4970" t="str">
            <v/>
          </cell>
          <cell r="T4970" t="str">
            <v>60 - 00012B41609</v>
          </cell>
        </row>
        <row r="4971">
          <cell r="H4971">
            <v>0</v>
          </cell>
          <cell r="O4971">
            <v>41609</v>
          </cell>
          <cell r="R4971" t="str">
            <v>41609WACOMAGA</v>
          </cell>
          <cell r="T4971" t="str">
            <v>60 - 00012R41609</v>
          </cell>
        </row>
        <row r="4972">
          <cell r="H4972">
            <v>0</v>
          </cell>
          <cell r="O4972">
            <v>41609</v>
          </cell>
          <cell r="R4972" t="str">
            <v>41609WACOMAGA</v>
          </cell>
          <cell r="T4972" t="str">
            <v>60 - 00012R41609</v>
          </cell>
        </row>
        <row r="4973">
          <cell r="H4973">
            <v>0</v>
          </cell>
          <cell r="O4973">
            <v>41609</v>
          </cell>
          <cell r="R4973" t="str">
            <v>41609WACOMAGA</v>
          </cell>
          <cell r="T4973" t="str">
            <v>60 - 00012R41609</v>
          </cell>
        </row>
        <row r="4974">
          <cell r="H4974">
            <v>0</v>
          </cell>
          <cell r="O4974">
            <v>41609</v>
          </cell>
          <cell r="R4974" t="str">
            <v>41609WACOMAGA</v>
          </cell>
          <cell r="T4974" t="str">
            <v>60 - 00012R41609</v>
          </cell>
        </row>
        <row r="4975">
          <cell r="H4975">
            <v>0</v>
          </cell>
          <cell r="O4975">
            <v>41609</v>
          </cell>
          <cell r="R4975" t="str">
            <v>41609WACOMAGA</v>
          </cell>
          <cell r="T4975" t="str">
            <v>60 - 00012R41609</v>
          </cell>
        </row>
        <row r="4976">
          <cell r="H4976">
            <v>0</v>
          </cell>
          <cell r="O4976">
            <v>41609</v>
          </cell>
          <cell r="R4976" t="str">
            <v>41609WACOMAGA</v>
          </cell>
          <cell r="T4976" t="str">
            <v>60 - 00012R41609</v>
          </cell>
        </row>
        <row r="4977">
          <cell r="H4977">
            <v>46589885</v>
          </cell>
          <cell r="O4977">
            <v>41609</v>
          </cell>
          <cell r="R4977" t="str">
            <v>41609WACOM24</v>
          </cell>
          <cell r="T4977" t="str">
            <v>60 - 00012R41609</v>
          </cell>
        </row>
        <row r="4978">
          <cell r="H4978">
            <v>92919</v>
          </cell>
          <cell r="O4978">
            <v>41609</v>
          </cell>
          <cell r="R4978" t="str">
            <v>41609WACOM24</v>
          </cell>
          <cell r="T4978" t="str">
            <v>60 - 00012R41609</v>
          </cell>
        </row>
        <row r="4979">
          <cell r="H4979">
            <v>65393316</v>
          </cell>
          <cell r="O4979">
            <v>41609</v>
          </cell>
          <cell r="R4979" t="str">
            <v>41609WACOM36</v>
          </cell>
          <cell r="T4979" t="str">
            <v>60 - 00012R41609</v>
          </cell>
        </row>
        <row r="4980">
          <cell r="H4980">
            <v>15472980</v>
          </cell>
          <cell r="O4980">
            <v>41609</v>
          </cell>
          <cell r="R4980" t="str">
            <v>41609WACOM48T</v>
          </cell>
          <cell r="T4980" t="str">
            <v>60 - 00012R41609</v>
          </cell>
        </row>
        <row r="4981">
          <cell r="H4981">
            <v>0</v>
          </cell>
          <cell r="O4981">
            <v>41609</v>
          </cell>
          <cell r="R4981" t="str">
            <v>41609WACOMAGA</v>
          </cell>
          <cell r="T4981" t="str">
            <v>60 - 00012R41609</v>
          </cell>
        </row>
        <row r="4982">
          <cell r="H4982">
            <v>0</v>
          </cell>
          <cell r="O4982">
            <v>41609</v>
          </cell>
          <cell r="R4982" t="str">
            <v>41609WACOMAGA</v>
          </cell>
          <cell r="T4982" t="str">
            <v>60 - 00012R41609</v>
          </cell>
        </row>
        <row r="4983">
          <cell r="H4983">
            <v>0</v>
          </cell>
          <cell r="O4983">
            <v>41609</v>
          </cell>
          <cell r="R4983" t="str">
            <v>41609WACOMAGA</v>
          </cell>
          <cell r="T4983" t="str">
            <v>60 - 00012R41609</v>
          </cell>
        </row>
        <row r="4984">
          <cell r="H4984">
            <v>0</v>
          </cell>
          <cell r="O4984">
            <v>41609</v>
          </cell>
          <cell r="R4984" t="str">
            <v>41609WACOMAGA</v>
          </cell>
          <cell r="T4984" t="str">
            <v>60 - 00012R41609</v>
          </cell>
        </row>
        <row r="4985">
          <cell r="H4985">
            <v>0</v>
          </cell>
          <cell r="O4985">
            <v>41609</v>
          </cell>
          <cell r="R4985" t="str">
            <v>41609WACOMAGA</v>
          </cell>
          <cell r="T4985" t="str">
            <v>60 - 00012R41609</v>
          </cell>
        </row>
        <row r="4986">
          <cell r="H4986">
            <v>131904</v>
          </cell>
          <cell r="O4986">
            <v>41609</v>
          </cell>
          <cell r="R4986" t="str">
            <v>41609WACOM15</v>
          </cell>
          <cell r="T4986" t="str">
            <v>60 - 00012R41609</v>
          </cell>
        </row>
        <row r="4987">
          <cell r="H4987">
            <v>18651</v>
          </cell>
          <cell r="O4987">
            <v>41609</v>
          </cell>
          <cell r="R4987" t="str">
            <v>41609WACOM54</v>
          </cell>
          <cell r="T4987" t="str">
            <v>60 - 00012R41609</v>
          </cell>
        </row>
        <row r="4988">
          <cell r="H4988">
            <v>0</v>
          </cell>
          <cell r="O4988">
            <v>41609</v>
          </cell>
          <cell r="R4988" t="str">
            <v>41609WACOMAGA</v>
          </cell>
          <cell r="T4988" t="str">
            <v>60 - 00012R41609</v>
          </cell>
        </row>
        <row r="4989">
          <cell r="H4989">
            <v>81003</v>
          </cell>
          <cell r="O4989">
            <v>41609</v>
          </cell>
          <cell r="R4989" t="str">
            <v>41609WACOM24</v>
          </cell>
          <cell r="T4989" t="str">
            <v>60 - 00012R41609</v>
          </cell>
        </row>
        <row r="4990">
          <cell r="H4990">
            <v>4097720</v>
          </cell>
          <cell r="O4990">
            <v>41609</v>
          </cell>
          <cell r="R4990" t="str">
            <v>41609WACOM24</v>
          </cell>
          <cell r="T4990" t="str">
            <v>60 - 00012R41609</v>
          </cell>
        </row>
        <row r="4991">
          <cell r="H4991">
            <v>7035</v>
          </cell>
          <cell r="O4991">
            <v>41609</v>
          </cell>
          <cell r="R4991" t="str">
            <v>41609WACOM24</v>
          </cell>
          <cell r="T4991" t="str">
            <v>60 - 00012R41609</v>
          </cell>
        </row>
        <row r="4992">
          <cell r="H4992">
            <v>9090572</v>
          </cell>
          <cell r="O4992">
            <v>41609</v>
          </cell>
          <cell r="R4992" t="str">
            <v>41609WACOM36</v>
          </cell>
          <cell r="T4992" t="str">
            <v>60 - 00012R41609</v>
          </cell>
        </row>
        <row r="4993">
          <cell r="H4993">
            <v>46714</v>
          </cell>
          <cell r="O4993">
            <v>41609</v>
          </cell>
          <cell r="R4993" t="str">
            <v>41609WACOM15</v>
          </cell>
          <cell r="T4993" t="str">
            <v>60 - 00012R41609</v>
          </cell>
        </row>
        <row r="4994">
          <cell r="H4994">
            <v>12857</v>
          </cell>
          <cell r="O4994">
            <v>41609</v>
          </cell>
          <cell r="R4994" t="str">
            <v>41609WACOM24</v>
          </cell>
          <cell r="T4994" t="str">
            <v>60 - 00012R41609</v>
          </cell>
        </row>
        <row r="4995">
          <cell r="H4995">
            <v>0</v>
          </cell>
          <cell r="O4995">
            <v>41609</v>
          </cell>
          <cell r="R4995" t="str">
            <v>41609WACOMAGA</v>
          </cell>
          <cell r="T4995" t="str">
            <v>60 - 00012R41609</v>
          </cell>
        </row>
        <row r="4996">
          <cell r="H4996">
            <v>114800</v>
          </cell>
          <cell r="O4996">
            <v>41609</v>
          </cell>
          <cell r="R4996" t="str">
            <v>41609WACOM36</v>
          </cell>
          <cell r="T4996" t="str">
            <v>60 - 00012R41609</v>
          </cell>
        </row>
        <row r="4997">
          <cell r="H4997">
            <v>399600</v>
          </cell>
          <cell r="O4997">
            <v>41609</v>
          </cell>
          <cell r="R4997" t="str">
            <v>41609WACOM48T</v>
          </cell>
          <cell r="T4997" t="str">
            <v>60 - 00012R41609</v>
          </cell>
        </row>
        <row r="4998">
          <cell r="H4998">
            <v>0</v>
          </cell>
          <cell r="O4998">
            <v>41609</v>
          </cell>
          <cell r="R4998" t="str">
            <v>41609WACOMAGA</v>
          </cell>
          <cell r="T4998" t="str">
            <v>60 - 00012R41609</v>
          </cell>
        </row>
        <row r="4999">
          <cell r="H4999">
            <v>0</v>
          </cell>
          <cell r="O4999">
            <v>41609</v>
          </cell>
          <cell r="R4999" t="str">
            <v/>
          </cell>
          <cell r="T4999" t="str">
            <v>60 - 00012B41609</v>
          </cell>
        </row>
        <row r="5000">
          <cell r="H5000">
            <v>165383</v>
          </cell>
          <cell r="O5000">
            <v>41609</v>
          </cell>
          <cell r="R5000" t="str">
            <v/>
          </cell>
          <cell r="T5000" t="str">
            <v>60 - 00012B41609</v>
          </cell>
        </row>
        <row r="5001">
          <cell r="H5001">
            <v>19</v>
          </cell>
          <cell r="O5001">
            <v>41609</v>
          </cell>
          <cell r="R5001" t="str">
            <v/>
          </cell>
          <cell r="T5001" t="str">
            <v>60 - 00012B41609</v>
          </cell>
        </row>
        <row r="5002">
          <cell r="H5002">
            <v>92700</v>
          </cell>
          <cell r="O5002">
            <v>41609</v>
          </cell>
          <cell r="R5002" t="str">
            <v/>
          </cell>
          <cell r="T5002" t="str">
            <v>60 - 00012B41609</v>
          </cell>
        </row>
        <row r="5003">
          <cell r="H5003">
            <v>2380</v>
          </cell>
          <cell r="O5003">
            <v>41609</v>
          </cell>
          <cell r="R5003" t="str">
            <v/>
          </cell>
          <cell r="T5003" t="str">
            <v>60 - 00012B41609</v>
          </cell>
        </row>
        <row r="5004">
          <cell r="H5004">
            <v>0</v>
          </cell>
          <cell r="O5004">
            <v>41609</v>
          </cell>
          <cell r="R5004" t="str">
            <v/>
          </cell>
          <cell r="T5004" t="str">
            <v>60 - 00012B41609</v>
          </cell>
        </row>
        <row r="5005">
          <cell r="H5005">
            <v>0</v>
          </cell>
          <cell r="O5005">
            <v>41609</v>
          </cell>
          <cell r="R5005" t="str">
            <v>41609WAINDAGA</v>
          </cell>
          <cell r="T5005" t="str">
            <v>60 - 00012R41609</v>
          </cell>
        </row>
        <row r="5006">
          <cell r="H5006">
            <v>0</v>
          </cell>
          <cell r="O5006">
            <v>41609</v>
          </cell>
          <cell r="R5006" t="str">
            <v>41609WAINDAGA</v>
          </cell>
          <cell r="T5006" t="str">
            <v>60 - 00012R41609</v>
          </cell>
        </row>
        <row r="5007">
          <cell r="H5007">
            <v>0</v>
          </cell>
          <cell r="O5007">
            <v>41609</v>
          </cell>
          <cell r="R5007" t="str">
            <v>41609WAINDAGA</v>
          </cell>
          <cell r="T5007" t="str">
            <v>60 - 00012R41609</v>
          </cell>
        </row>
        <row r="5008">
          <cell r="H5008">
            <v>0</v>
          </cell>
          <cell r="O5008">
            <v>41609</v>
          </cell>
          <cell r="R5008" t="str">
            <v>41609WAINDAGA</v>
          </cell>
          <cell r="T5008" t="str">
            <v>60 - 00012R41609</v>
          </cell>
        </row>
        <row r="5009">
          <cell r="H5009">
            <v>0</v>
          </cell>
          <cell r="O5009">
            <v>41609</v>
          </cell>
          <cell r="R5009" t="str">
            <v>41609WAINDAGA</v>
          </cell>
          <cell r="T5009" t="str">
            <v>60 - 00012R41609</v>
          </cell>
        </row>
        <row r="5010">
          <cell r="H5010">
            <v>1808970</v>
          </cell>
          <cell r="O5010">
            <v>41609</v>
          </cell>
          <cell r="R5010" t="str">
            <v>41609WAIND24</v>
          </cell>
          <cell r="T5010" t="str">
            <v>60 - 00012R41609</v>
          </cell>
        </row>
        <row r="5011">
          <cell r="H5011">
            <v>2777</v>
          </cell>
          <cell r="O5011">
            <v>41609</v>
          </cell>
          <cell r="R5011" t="str">
            <v>41609WAIND24</v>
          </cell>
          <cell r="T5011" t="str">
            <v>60 - 00012R41609</v>
          </cell>
        </row>
        <row r="5012">
          <cell r="H5012">
            <v>9332001</v>
          </cell>
          <cell r="O5012">
            <v>41609</v>
          </cell>
          <cell r="R5012" t="str">
            <v>41609WAIND36</v>
          </cell>
          <cell r="T5012" t="str">
            <v>60 - 00012R41609</v>
          </cell>
        </row>
        <row r="5013">
          <cell r="H5013">
            <v>56708551</v>
          </cell>
          <cell r="O5013">
            <v>41609</v>
          </cell>
          <cell r="R5013" t="str">
            <v>41609WAIND48T</v>
          </cell>
          <cell r="T5013" t="str">
            <v>60 - 00012R41609</v>
          </cell>
        </row>
        <row r="5014">
          <cell r="H5014">
            <v>10131</v>
          </cell>
          <cell r="O5014">
            <v>41609</v>
          </cell>
          <cell r="R5014" t="str">
            <v>41609WAIND15</v>
          </cell>
          <cell r="T5014" t="str">
            <v>60 - 00012R41609</v>
          </cell>
        </row>
        <row r="5015">
          <cell r="H5015">
            <v>277000</v>
          </cell>
          <cell r="O5015">
            <v>41609</v>
          </cell>
          <cell r="R5015" t="str">
            <v>41609WAIND47</v>
          </cell>
          <cell r="T5015" t="str">
            <v>60 - 00012R41609</v>
          </cell>
        </row>
        <row r="5016">
          <cell r="H5016">
            <v>165385</v>
          </cell>
          <cell r="O5016">
            <v>41609</v>
          </cell>
          <cell r="R5016" t="str">
            <v>41609WAIND24</v>
          </cell>
          <cell r="T5016" t="str">
            <v>60 - 00012R41609</v>
          </cell>
        </row>
        <row r="5017">
          <cell r="H5017">
            <v>19</v>
          </cell>
          <cell r="O5017">
            <v>41609</v>
          </cell>
          <cell r="R5017" t="str">
            <v>41609WAIND24</v>
          </cell>
          <cell r="T5017" t="str">
            <v>60 - 00012R41609</v>
          </cell>
        </row>
        <row r="5018">
          <cell r="H5018">
            <v>92700</v>
          </cell>
          <cell r="O5018">
            <v>41609</v>
          </cell>
          <cell r="R5018" t="str">
            <v>41609WAIND36</v>
          </cell>
          <cell r="T5018" t="str">
            <v>60 - 00012R41609</v>
          </cell>
        </row>
        <row r="5019">
          <cell r="H5019">
            <v>2380</v>
          </cell>
          <cell r="O5019">
            <v>41609</v>
          </cell>
          <cell r="R5019" t="str">
            <v>41609WAIND15</v>
          </cell>
          <cell r="T5019" t="str">
            <v>60 - 00012R41609</v>
          </cell>
        </row>
        <row r="5020">
          <cell r="H5020">
            <v>0</v>
          </cell>
          <cell r="O5020">
            <v>41609</v>
          </cell>
          <cell r="R5020" t="str">
            <v>41609WAINDAGA</v>
          </cell>
          <cell r="T5020" t="str">
            <v>60 - 00012R41609</v>
          </cell>
        </row>
        <row r="5021">
          <cell r="H5021">
            <v>0</v>
          </cell>
          <cell r="O5021">
            <v>41609</v>
          </cell>
          <cell r="R5021" t="str">
            <v/>
          </cell>
          <cell r="T5021" t="str">
            <v>60 - 00012B41609</v>
          </cell>
        </row>
        <row r="5022">
          <cell r="H5022">
            <v>645164</v>
          </cell>
          <cell r="O5022">
            <v>41609</v>
          </cell>
          <cell r="R5022" t="str">
            <v/>
          </cell>
          <cell r="T5022" t="str">
            <v>60 - 00012B41609</v>
          </cell>
        </row>
        <row r="5023">
          <cell r="H5023">
            <v>368</v>
          </cell>
          <cell r="O5023">
            <v>41609</v>
          </cell>
          <cell r="R5023" t="str">
            <v/>
          </cell>
          <cell r="T5023" t="str">
            <v>60 - 00012B41609</v>
          </cell>
        </row>
        <row r="5024">
          <cell r="H5024">
            <v>0</v>
          </cell>
          <cell r="O5024">
            <v>41609</v>
          </cell>
          <cell r="R5024" t="str">
            <v/>
          </cell>
          <cell r="T5024" t="str">
            <v>60 - 00012B41609</v>
          </cell>
        </row>
        <row r="5025">
          <cell r="H5025">
            <v>0</v>
          </cell>
          <cell r="O5025">
            <v>41609</v>
          </cell>
          <cell r="R5025" t="str">
            <v>41609WAINDAGA</v>
          </cell>
          <cell r="T5025" t="str">
            <v>60 - 00012R41609</v>
          </cell>
        </row>
        <row r="5026">
          <cell r="H5026">
            <v>0</v>
          </cell>
          <cell r="O5026">
            <v>41609</v>
          </cell>
          <cell r="R5026" t="str">
            <v>41609WAINDAGA</v>
          </cell>
          <cell r="T5026" t="str">
            <v>60 - 00012R41609</v>
          </cell>
        </row>
        <row r="5027">
          <cell r="H5027">
            <v>0</v>
          </cell>
          <cell r="O5027">
            <v>41609</v>
          </cell>
          <cell r="R5027" t="str">
            <v>41609WAINDAGA</v>
          </cell>
          <cell r="T5027" t="str">
            <v>60 - 00012R41609</v>
          </cell>
        </row>
        <row r="5028">
          <cell r="H5028">
            <v>0</v>
          </cell>
          <cell r="O5028">
            <v>41609</v>
          </cell>
          <cell r="R5028" t="str">
            <v>41609WAINDAGA</v>
          </cell>
          <cell r="T5028" t="str">
            <v>60 - 00012R41609</v>
          </cell>
        </row>
        <row r="5029">
          <cell r="H5029">
            <v>645304</v>
          </cell>
          <cell r="O5029">
            <v>41609</v>
          </cell>
          <cell r="R5029" t="str">
            <v>41609WAIND40</v>
          </cell>
          <cell r="T5029" t="str">
            <v>60 - 00012R41609</v>
          </cell>
        </row>
        <row r="5030">
          <cell r="H5030">
            <v>80255</v>
          </cell>
          <cell r="O5030">
            <v>41609</v>
          </cell>
          <cell r="R5030" t="str">
            <v>41609WAIND40</v>
          </cell>
          <cell r="T5030" t="str">
            <v>60 - 00012R41609</v>
          </cell>
        </row>
        <row r="5031">
          <cell r="H5031">
            <v>0</v>
          </cell>
          <cell r="O5031">
            <v>41609</v>
          </cell>
          <cell r="R5031" t="str">
            <v>41609WAINDAGA</v>
          </cell>
          <cell r="T5031" t="str">
            <v>60 - 00012R41609</v>
          </cell>
        </row>
        <row r="5032">
          <cell r="H5032">
            <v>0</v>
          </cell>
          <cell r="O5032">
            <v>41609</v>
          </cell>
          <cell r="R5032" t="str">
            <v>41609WAINDAGA</v>
          </cell>
          <cell r="T5032" t="str">
            <v>60 - 00012R41609</v>
          </cell>
        </row>
        <row r="5033">
          <cell r="H5033">
            <v>0</v>
          </cell>
          <cell r="O5033">
            <v>41609</v>
          </cell>
          <cell r="R5033" t="str">
            <v>41609WAINDAGA</v>
          </cell>
          <cell r="T5033" t="str">
            <v>60 - 00012R41609</v>
          </cell>
        </row>
        <row r="5034">
          <cell r="H5034">
            <v>0</v>
          </cell>
          <cell r="O5034">
            <v>41609</v>
          </cell>
          <cell r="R5034" t="str">
            <v>41609WAINDAGA</v>
          </cell>
          <cell r="T5034" t="str">
            <v>60 - 00012R41609</v>
          </cell>
        </row>
        <row r="5035">
          <cell r="H5035">
            <v>0</v>
          </cell>
          <cell r="O5035">
            <v>41609</v>
          </cell>
          <cell r="R5035" t="str">
            <v>41609WAINDAGA</v>
          </cell>
          <cell r="T5035" t="str">
            <v>60 - 00012R41609</v>
          </cell>
        </row>
        <row r="5036">
          <cell r="H5036">
            <v>0</v>
          </cell>
          <cell r="O5036">
            <v>41609</v>
          </cell>
          <cell r="R5036" t="str">
            <v>41609WAINDAGA</v>
          </cell>
          <cell r="T5036" t="str">
            <v>60 - 00012R41609</v>
          </cell>
        </row>
        <row r="5037">
          <cell r="H5037">
            <v>368</v>
          </cell>
          <cell r="O5037">
            <v>41609</v>
          </cell>
          <cell r="R5037" t="str">
            <v>41609WAIND40</v>
          </cell>
          <cell r="T5037" t="str">
            <v>60 - 00012R41609</v>
          </cell>
        </row>
        <row r="5038">
          <cell r="H5038">
            <v>0</v>
          </cell>
          <cell r="O5038">
            <v>41609</v>
          </cell>
          <cell r="R5038" t="str">
            <v>41609WAINDAGA</v>
          </cell>
          <cell r="T5038" t="str">
            <v>60 - 00012R41609</v>
          </cell>
        </row>
        <row r="5039">
          <cell r="H5039">
            <v>0</v>
          </cell>
          <cell r="O5039">
            <v>41609</v>
          </cell>
          <cell r="R5039" t="str">
            <v>41609WAPSHAGA</v>
          </cell>
          <cell r="T5039" t="str">
            <v>60 - 00012R41609</v>
          </cell>
        </row>
        <row r="5040">
          <cell r="H5040">
            <v>0</v>
          </cell>
          <cell r="O5040">
            <v>41609</v>
          </cell>
          <cell r="R5040" t="str">
            <v>41609WAPSHAGA</v>
          </cell>
          <cell r="T5040" t="str">
            <v>60 - 00012R41609</v>
          </cell>
        </row>
        <row r="5041">
          <cell r="H5041">
            <v>0</v>
          </cell>
          <cell r="O5041">
            <v>41609</v>
          </cell>
          <cell r="R5041" t="str">
            <v>41609WAPSHAGA</v>
          </cell>
          <cell r="T5041" t="str">
            <v>60 - 00012R41609</v>
          </cell>
        </row>
        <row r="5042">
          <cell r="H5042">
            <v>0</v>
          </cell>
          <cell r="O5042">
            <v>41609</v>
          </cell>
          <cell r="R5042" t="str">
            <v>41609WAPSHAGA</v>
          </cell>
          <cell r="T5042" t="str">
            <v>60 - 00012R41609</v>
          </cell>
        </row>
        <row r="5043">
          <cell r="H5043">
            <v>18276</v>
          </cell>
          <cell r="O5043">
            <v>41609</v>
          </cell>
          <cell r="R5043" t="str">
            <v>41609WAPSH52</v>
          </cell>
          <cell r="T5043" t="str">
            <v>60 - 00012R41609</v>
          </cell>
        </row>
        <row r="5044">
          <cell r="H5044">
            <v>286930</v>
          </cell>
          <cell r="O5044">
            <v>41609</v>
          </cell>
          <cell r="R5044" t="str">
            <v>41609WAPSH53</v>
          </cell>
          <cell r="T5044" t="str">
            <v>60 - 00012R41609</v>
          </cell>
        </row>
        <row r="5045">
          <cell r="H5045">
            <v>132833</v>
          </cell>
          <cell r="O5045">
            <v>41609</v>
          </cell>
          <cell r="R5045" t="str">
            <v>41609WAPSH53</v>
          </cell>
          <cell r="T5045" t="str">
            <v>60 - 00012R41609</v>
          </cell>
        </row>
        <row r="5046">
          <cell r="H5046">
            <v>294368</v>
          </cell>
          <cell r="O5046">
            <v>41609</v>
          </cell>
          <cell r="R5046" t="str">
            <v>41609WAPSH51</v>
          </cell>
          <cell r="T5046" t="str">
            <v>60 - 00012R41609</v>
          </cell>
        </row>
        <row r="5047">
          <cell r="H5047">
            <v>160495</v>
          </cell>
          <cell r="O5047">
            <v>41609</v>
          </cell>
          <cell r="R5047" t="str">
            <v>41609WAPSH57</v>
          </cell>
          <cell r="T5047" t="str">
            <v>60 - 00012R41609</v>
          </cell>
        </row>
        <row r="5048">
          <cell r="H5048">
            <v>0</v>
          </cell>
          <cell r="O5048">
            <v>41609</v>
          </cell>
          <cell r="R5048" t="str">
            <v>41609WAPSHAGA</v>
          </cell>
          <cell r="T5048" t="str">
            <v>60 - 00012R41609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6">
          <cell r="A6" t="str">
            <v>Sum of Total kWh</v>
          </cell>
        </row>
      </sheetData>
      <sheetData sheetId="35">
        <row r="6">
          <cell r="A6" t="str">
            <v>Sum of Total kWh</v>
          </cell>
        </row>
      </sheetData>
      <sheetData sheetId="36">
        <row r="8">
          <cell r="C8">
            <v>0</v>
          </cell>
          <cell r="D8">
            <v>180715.07425076482</v>
          </cell>
        </row>
        <row r="9">
          <cell r="C9">
            <v>8898.8257791058786</v>
          </cell>
          <cell r="D9">
            <v>47414246.883789606</v>
          </cell>
        </row>
        <row r="10">
          <cell r="C10">
            <v>218762.92047253129</v>
          </cell>
          <cell r="D10">
            <v>74731873.609021679</v>
          </cell>
        </row>
        <row r="11">
          <cell r="C11">
            <v>0</v>
          </cell>
          <cell r="D11">
            <v>17176239.998890828</v>
          </cell>
        </row>
        <row r="12">
          <cell r="C12">
            <v>0</v>
          </cell>
          <cell r="D12">
            <v>22167.876264128499</v>
          </cell>
        </row>
        <row r="13">
          <cell r="C13">
            <v>0</v>
          </cell>
          <cell r="D13">
            <v>12357</v>
          </cell>
        </row>
        <row r="14">
          <cell r="C14">
            <v>0</v>
          </cell>
          <cell r="D14">
            <v>1617668.9159092249</v>
          </cell>
        </row>
        <row r="15">
          <cell r="C15">
            <v>0</v>
          </cell>
          <cell r="D15">
            <v>9914039.3807346243</v>
          </cell>
        </row>
        <row r="16">
          <cell r="C16">
            <v>0</v>
          </cell>
          <cell r="D16">
            <v>97000</v>
          </cell>
        </row>
        <row r="17">
          <cell r="C17">
            <v>0</v>
          </cell>
          <cell r="D17">
            <v>58470749.954400368</v>
          </cell>
        </row>
        <row r="18">
          <cell r="C18">
            <v>15928.0201840309</v>
          </cell>
          <cell r="D18">
            <v>25071313.953488365</v>
          </cell>
        </row>
        <row r="19">
          <cell r="C19">
            <v>0</v>
          </cell>
          <cell r="D19">
            <v>294820</v>
          </cell>
        </row>
        <row r="20">
          <cell r="C20">
            <v>0</v>
          </cell>
          <cell r="D20">
            <v>18326.113327702402</v>
          </cell>
        </row>
        <row r="21">
          <cell r="C21">
            <v>0</v>
          </cell>
          <cell r="D21">
            <v>373965.73209224461</v>
          </cell>
        </row>
        <row r="22">
          <cell r="C22">
            <v>0</v>
          </cell>
          <cell r="D22">
            <v>161740</v>
          </cell>
        </row>
        <row r="23">
          <cell r="C23">
            <v>0</v>
          </cell>
          <cell r="D23">
            <v>88813.744916820695</v>
          </cell>
        </row>
        <row r="24">
          <cell r="C24">
            <v>13186.099697020351</v>
          </cell>
          <cell r="D24">
            <v>112409662.18664312</v>
          </cell>
        </row>
        <row r="25">
          <cell r="C25">
            <v>0</v>
          </cell>
          <cell r="D25">
            <v>3711054.6872942401</v>
          </cell>
        </row>
        <row r="26">
          <cell r="C26">
            <v>0</v>
          </cell>
          <cell r="D26">
            <v>224905.93666538651</v>
          </cell>
        </row>
        <row r="27">
          <cell r="D27">
            <v>646382.17701851716</v>
          </cell>
        </row>
        <row r="28">
          <cell r="C28">
            <v>256775.86613268842</v>
          </cell>
          <cell r="D28">
            <v>352638043.2247076</v>
          </cell>
        </row>
      </sheetData>
      <sheetData sheetId="37"/>
      <sheetData sheetId="38"/>
      <sheetData sheetId="39"/>
      <sheetData sheetId="40"/>
      <sheetData sheetId="4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D2">
            <v>1204</v>
          </cell>
          <cell r="L2">
            <v>124.95</v>
          </cell>
        </row>
      </sheetData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D2">
            <v>1204</v>
          </cell>
          <cell r="L2">
            <v>125.3</v>
          </cell>
        </row>
      </sheetData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D2">
            <v>11840</v>
          </cell>
        </row>
        <row r="3">
          <cell r="D3">
            <v>2379</v>
          </cell>
        </row>
      </sheetData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N2">
            <v>132462.70000000001</v>
          </cell>
        </row>
        <row r="4">
          <cell r="G4">
            <v>717600</v>
          </cell>
        </row>
      </sheetData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No._(JRS-3)"/>
      <sheetName val="Exhibit No._(JRS-4)"/>
      <sheetName val="Exhibit No._(JRS-5) p1"/>
      <sheetName val="Exhibit No._(JRS-5) p2"/>
      <sheetName val="Exhibit No._(JRS-5) p3"/>
      <sheetName val="Exhibit No._(JRS-5) p4"/>
      <sheetName val="Exhibit No._(JRS-5) p5"/>
      <sheetName val="Exhibit No._(JRS-5) p6"/>
      <sheetName val="Exhibit No._(JRS-5) p7"/>
      <sheetName val="Exhibit No._(JRS-6) p1"/>
      <sheetName val="Exhibit No._(JRS-6) p2"/>
      <sheetName val="Stop Here"/>
      <sheetName val="Rate Spread"/>
      <sheetName val="NPC Spread"/>
      <sheetName val="by rate"/>
      <sheetName val="Table 1-Revenues"/>
      <sheetName val="Table 1 - kWh"/>
      <sheetName val="Table 2"/>
      <sheetName val="Table 3"/>
      <sheetName val="Temperature"/>
      <sheetName val="Temp. Adjustments"/>
      <sheetName val="305 VS COGNOS kWh"/>
      <sheetName val="305 VS COGNOS Revenue"/>
      <sheetName val="SBC-Hydro"/>
      <sheetName val="WA HDS Revenue"/>
      <sheetName val="Ded Fac Hydro Revenue"/>
      <sheetName val="Load Loss"/>
      <sheetName val="SBC"/>
      <sheetName val="Hydro Deferral"/>
      <sheetName val="Backed Out Revenue Totals"/>
      <sheetName val="SBC (Old)"/>
      <sheetName val="Billing Determinants (2)"/>
      <sheetName val="Blocking - detail"/>
      <sheetName val="Normalized Monthly kWh"/>
      <sheetName val="Normalized Monthly revenue"/>
      <sheetName val="305 Inputs"/>
      <sheetName val="June 305 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6">
          <cell r="Q16">
            <v>154743.4898797966</v>
          </cell>
          <cell r="V16">
            <v>0.14989975358028876</v>
          </cell>
        </row>
        <row r="22">
          <cell r="Q22">
            <v>50676.807538141969</v>
          </cell>
          <cell r="V22">
            <v>0.1196489217305137</v>
          </cell>
        </row>
        <row r="24">
          <cell r="Q24">
            <v>69925.634005942964</v>
          </cell>
          <cell r="V24">
            <v>0.14076</v>
          </cell>
        </row>
        <row r="25">
          <cell r="Q25">
            <v>13770.95172618835</v>
          </cell>
          <cell r="V25">
            <v>0.1196489217305137</v>
          </cell>
        </row>
        <row r="26">
          <cell r="Q26">
            <v>334.11546079693397</v>
          </cell>
          <cell r="V26">
            <v>0.14989975358028876</v>
          </cell>
        </row>
        <row r="27">
          <cell r="Q27">
            <v>26316.764611590159</v>
          </cell>
          <cell r="V27">
            <v>0.14076</v>
          </cell>
        </row>
        <row r="28">
          <cell r="Q28">
            <v>28814.457545580204</v>
          </cell>
          <cell r="V28">
            <v>0.14989975358028876</v>
          </cell>
        </row>
        <row r="29">
          <cell r="Q29">
            <v>25.7146442175919</v>
          </cell>
        </row>
        <row r="35">
          <cell r="Q35">
            <v>503.13959747741052</v>
          </cell>
          <cell r="V35">
            <v>0.04</v>
          </cell>
        </row>
        <row r="36">
          <cell r="Q36">
            <v>624.46277817713087</v>
          </cell>
        </row>
        <row r="37">
          <cell r="Q37">
            <v>48.490279562518566</v>
          </cell>
        </row>
        <row r="38">
          <cell r="Q38">
            <v>308.07668077700367</v>
          </cell>
        </row>
        <row r="39">
          <cell r="Q39">
            <v>227.4118230833468</v>
          </cell>
        </row>
      </sheetData>
      <sheetData sheetId="13">
        <row r="33">
          <cell r="D33">
            <v>56760761.517471984</v>
          </cell>
          <cell r="E33">
            <v>18054120.492522724</v>
          </cell>
          <cell r="F33">
            <v>28605195.273029372</v>
          </cell>
          <cell r="I33">
            <v>4762684.196680231</v>
          </cell>
        </row>
        <row r="37">
          <cell r="J37">
            <v>79017.888474984095</v>
          </cell>
        </row>
        <row r="38">
          <cell r="J38">
            <v>76171.367725336429</v>
          </cell>
        </row>
        <row r="39">
          <cell r="J39">
            <v>7183.1887088935891</v>
          </cell>
        </row>
        <row r="40">
          <cell r="J40">
            <v>107265.62800609166</v>
          </cell>
        </row>
        <row r="41">
          <cell r="J41">
            <v>6477.0695393212054</v>
          </cell>
        </row>
        <row r="42">
          <cell r="J42">
            <v>44836.314839393301</v>
          </cell>
        </row>
      </sheetData>
      <sheetData sheetId="14" refreshError="1"/>
      <sheetData sheetId="15">
        <row r="21">
          <cell r="J21">
            <v>304063208.36000001</v>
          </cell>
        </row>
      </sheetData>
      <sheetData sheetId="16">
        <row r="21">
          <cell r="F21">
            <v>4000612315.4745183</v>
          </cell>
        </row>
      </sheetData>
      <sheetData sheetId="17">
        <row r="13">
          <cell r="H13">
            <v>-98559.970767906168</v>
          </cell>
        </row>
        <row r="14">
          <cell r="H14">
            <v>-4050.066849352972</v>
          </cell>
        </row>
        <row r="15">
          <cell r="H15">
            <v>-141.94975056245792</v>
          </cell>
        </row>
        <row r="16">
          <cell r="H16">
            <v>-27.758051490267285</v>
          </cell>
        </row>
        <row r="17">
          <cell r="H17">
            <v>0</v>
          </cell>
        </row>
        <row r="18">
          <cell r="H18">
            <v>-151.59181207680737</v>
          </cell>
        </row>
        <row r="21">
          <cell r="H21">
            <v>-68.662768611323841</v>
          </cell>
        </row>
        <row r="41">
          <cell r="H41">
            <v>-1344873.1991789686</v>
          </cell>
        </row>
        <row r="42">
          <cell r="H42">
            <v>-3272.5983006765778</v>
          </cell>
        </row>
        <row r="43">
          <cell r="H43">
            <v>-905.99909962916831</v>
          </cell>
        </row>
        <row r="46">
          <cell r="H46">
            <v>-1937617.861591337</v>
          </cell>
        </row>
        <row r="49">
          <cell r="H49">
            <v>-366841.9413010361</v>
          </cell>
        </row>
        <row r="52">
          <cell r="H52">
            <v>-5758.1427362705708</v>
          </cell>
        </row>
        <row r="53">
          <cell r="H53">
            <v>-730.25779208267056</v>
          </cell>
        </row>
        <row r="71">
          <cell r="H71">
            <v>238998.12647392348</v>
          </cell>
        </row>
        <row r="72">
          <cell r="H72">
            <v>457.04356388458245</v>
          </cell>
        </row>
        <row r="73">
          <cell r="H73">
            <v>83.237273799650609</v>
          </cell>
        </row>
        <row r="76">
          <cell r="H76">
            <v>1503569.2477187554</v>
          </cell>
        </row>
        <row r="79">
          <cell r="H79">
            <v>23474.365497148876</v>
          </cell>
        </row>
        <row r="80">
          <cell r="H80">
            <v>2929218.748509191</v>
          </cell>
        </row>
        <row r="81">
          <cell r="H81">
            <v>6414140.5675242878</v>
          </cell>
        </row>
        <row r="84">
          <cell r="H84">
            <v>2058.6634390073832</v>
          </cell>
        </row>
        <row r="101">
          <cell r="H101">
            <v>2272009.0196180283</v>
          </cell>
        </row>
        <row r="102">
          <cell r="H102">
            <v>82990.980381971647</v>
          </cell>
        </row>
        <row r="121">
          <cell r="H121">
            <v>-27426.275046401868</v>
          </cell>
        </row>
        <row r="122">
          <cell r="H122">
            <v>-307654.71277995309</v>
          </cell>
        </row>
        <row r="123">
          <cell r="H123">
            <v>-101897.79395560994</v>
          </cell>
        </row>
        <row r="124">
          <cell r="H124">
            <v>-290831.01874098979</v>
          </cell>
        </row>
        <row r="125">
          <cell r="H125">
            <v>-171190.19947704519</v>
          </cell>
        </row>
        <row r="140">
          <cell r="F140">
            <v>132378.51388888832</v>
          </cell>
          <cell r="M140">
            <v>4000612315.4745183</v>
          </cell>
        </row>
      </sheetData>
      <sheetData sheetId="18">
        <row r="13">
          <cell r="E13">
            <v>12440.360107517636</v>
          </cell>
        </row>
        <row r="14">
          <cell r="E14">
            <v>509.23332391723989</v>
          </cell>
        </row>
        <row r="15">
          <cell r="E15">
            <v>19.723602875558147</v>
          </cell>
        </row>
        <row r="16">
          <cell r="E16">
            <v>3.7869002045382243</v>
          </cell>
        </row>
        <row r="17">
          <cell r="E17">
            <v>0</v>
          </cell>
        </row>
        <row r="18">
          <cell r="E18">
            <v>11.556216535227565</v>
          </cell>
        </row>
        <row r="21">
          <cell r="E21">
            <v>15.339848949801738</v>
          </cell>
        </row>
        <row r="24">
          <cell r="D24">
            <v>359.04999999999995</v>
          </cell>
        </row>
        <row r="41">
          <cell r="E41">
            <v>-127697.18695907027</v>
          </cell>
        </row>
        <row r="42">
          <cell r="E42">
            <v>-457.64161025595331</v>
          </cell>
        </row>
        <row r="43">
          <cell r="E43">
            <v>-300.81745054377819</v>
          </cell>
        </row>
        <row r="46">
          <cell r="E46">
            <v>-154956.56153473366</v>
          </cell>
        </row>
        <row r="49">
          <cell r="E49">
            <v>-26603.603302829546</v>
          </cell>
        </row>
        <row r="52">
          <cell r="E52">
            <v>-910.80858255895487</v>
          </cell>
        </row>
        <row r="53">
          <cell r="E53">
            <v>-73.380560007788219</v>
          </cell>
        </row>
        <row r="56">
          <cell r="D56">
            <v>357848.37</v>
          </cell>
        </row>
        <row r="71">
          <cell r="E71">
            <v>24162.483012530323</v>
          </cell>
        </row>
        <row r="72">
          <cell r="E72">
            <v>125.2739508222905</v>
          </cell>
        </row>
        <row r="73">
          <cell r="E73">
            <v>37.66331015255323</v>
          </cell>
        </row>
        <row r="76">
          <cell r="E76">
            <v>132135.06500870228</v>
          </cell>
        </row>
        <row r="79">
          <cell r="E79">
            <v>4619.5116938615674</v>
          </cell>
        </row>
        <row r="80">
          <cell r="E80">
            <v>222642.17382612941</v>
          </cell>
        </row>
        <row r="81">
          <cell r="E81">
            <v>397954.38596668228</v>
          </cell>
        </row>
        <row r="84">
          <cell r="E84">
            <v>323.44323111926008</v>
          </cell>
        </row>
        <row r="87">
          <cell r="D87">
            <v>0</v>
          </cell>
        </row>
        <row r="101">
          <cell r="E101">
            <v>277909.20330886031</v>
          </cell>
        </row>
        <row r="102">
          <cell r="E102">
            <v>10090.79669113968</v>
          </cell>
        </row>
        <row r="105">
          <cell r="D105">
            <v>186753.91999999998</v>
          </cell>
        </row>
        <row r="121">
          <cell r="E121">
            <v>-4174.4211898859912</v>
          </cell>
        </row>
        <row r="122">
          <cell r="E122">
            <v>-19944.378113311941</v>
          </cell>
        </row>
        <row r="123">
          <cell r="E123">
            <v>-6553.3942164922319</v>
          </cell>
        </row>
        <row r="124">
          <cell r="E124">
            <v>-53742.020983527946</v>
          </cell>
        </row>
        <row r="125">
          <cell r="E125">
            <v>-19585.785496781922</v>
          </cell>
        </row>
        <row r="129">
          <cell r="D129">
            <v>90.84</v>
          </cell>
        </row>
        <row r="140">
          <cell r="P140">
            <v>304063208.36000001</v>
          </cell>
        </row>
      </sheetData>
      <sheetData sheetId="19">
        <row r="22">
          <cell r="B22">
            <v>-2709.7292351466403</v>
          </cell>
          <cell r="C22">
            <v>-1160.6465942039538</v>
          </cell>
        </row>
        <row r="40">
          <cell r="C40">
            <v>-31.357853747902833</v>
          </cell>
          <cell r="D40">
            <v>-39.960799822226555</v>
          </cell>
        </row>
        <row r="58">
          <cell r="C58">
            <v>-0.83783234744435098</v>
          </cell>
          <cell r="D58">
            <v>-2.3126328714680646</v>
          </cell>
        </row>
        <row r="75">
          <cell r="C75">
            <v>-1112.9182225538821</v>
          </cell>
          <cell r="D75">
            <v>-2434.6862304533097</v>
          </cell>
          <cell r="E75">
            <v>-1022.6847384393573</v>
          </cell>
          <cell r="P75">
            <v>-7.0867935176775276</v>
          </cell>
          <cell r="Q75">
            <v>-1.8445509179817383</v>
          </cell>
          <cell r="R75">
            <v>0</v>
          </cell>
        </row>
        <row r="92">
          <cell r="B92">
            <v>-2078.4876356633904</v>
          </cell>
        </row>
      </sheetData>
      <sheetData sheetId="20">
        <row r="5">
          <cell r="F5">
            <v>3281.5282510501602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1">
          <cell r="C11">
            <v>12.0666666666667</v>
          </cell>
        </row>
        <row r="14">
          <cell r="C14">
            <v>8210</v>
          </cell>
        </row>
        <row r="16">
          <cell r="C16">
            <v>6770</v>
          </cell>
        </row>
        <row r="19">
          <cell r="C19">
            <v>482666.66666666698</v>
          </cell>
        </row>
        <row r="20">
          <cell r="C20">
            <v>1138333.333333333</v>
          </cell>
        </row>
        <row r="21">
          <cell r="C21">
            <v>3547.4</v>
          </cell>
        </row>
        <row r="25">
          <cell r="C25">
            <v>12.0666666666667</v>
          </cell>
        </row>
        <row r="27">
          <cell r="C27">
            <v>8210</v>
          </cell>
        </row>
        <row r="28">
          <cell r="C28">
            <v>6770</v>
          </cell>
        </row>
        <row r="30">
          <cell r="C30">
            <v>482666.66666666698</v>
          </cell>
        </row>
        <row r="31">
          <cell r="C31">
            <v>1138333.333333333</v>
          </cell>
        </row>
        <row r="32">
          <cell r="C32">
            <v>3547.4</v>
          </cell>
        </row>
        <row r="33">
          <cell r="C33">
            <v>12</v>
          </cell>
        </row>
        <row r="34">
          <cell r="C34">
            <v>8210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>
        <row r="172">
          <cell r="I172">
            <v>60</v>
          </cell>
        </row>
        <row r="173">
          <cell r="I173">
            <v>-30</v>
          </cell>
        </row>
        <row r="455">
          <cell r="I455">
            <v>0.06</v>
          </cell>
        </row>
        <row r="504">
          <cell r="I504">
            <v>60</v>
          </cell>
        </row>
        <row r="505">
          <cell r="I505">
            <v>-30</v>
          </cell>
        </row>
        <row r="623">
          <cell r="I623">
            <v>60</v>
          </cell>
        </row>
        <row r="624">
          <cell r="I624">
            <v>-30</v>
          </cell>
        </row>
      </sheetData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>
        <row r="2">
          <cell r="F2">
            <v>29521.266666666601</v>
          </cell>
          <cell r="G2">
            <v>19130</v>
          </cell>
          <cell r="H2">
            <v>17598460</v>
          </cell>
          <cell r="I2">
            <v>9960813.3333333097</v>
          </cell>
          <cell r="J2">
            <v>6677172.6666666502</v>
          </cell>
          <cell r="K2">
            <v>11535.5</v>
          </cell>
        </row>
        <row r="3">
          <cell r="F3">
            <v>12</v>
          </cell>
          <cell r="H3">
            <v>6878</v>
          </cell>
          <cell r="I3">
            <v>6058</v>
          </cell>
          <cell r="J3">
            <v>820</v>
          </cell>
        </row>
        <row r="4">
          <cell r="F4">
            <v>6779.9333333333097</v>
          </cell>
          <cell r="G4">
            <v>69319.5</v>
          </cell>
          <cell r="H4">
            <v>23018330</v>
          </cell>
          <cell r="I4">
            <v>3740379</v>
          </cell>
          <cell r="J4">
            <v>10249835</v>
          </cell>
          <cell r="K4">
            <v>39996.5</v>
          </cell>
          <cell r="L4">
            <v>9556.7333333333299</v>
          </cell>
        </row>
        <row r="5">
          <cell r="F5">
            <v>72.066666666666706</v>
          </cell>
          <cell r="G5">
            <v>305.5</v>
          </cell>
          <cell r="H5">
            <v>264796</v>
          </cell>
          <cell r="I5">
            <v>72066.666666666701</v>
          </cell>
          <cell r="J5">
            <v>192729.33333333299</v>
          </cell>
          <cell r="K5">
            <v>69</v>
          </cell>
        </row>
        <row r="6">
          <cell r="F6">
            <v>121109.033333327</v>
          </cell>
          <cell r="G6">
            <v>253112.5</v>
          </cell>
          <cell r="H6">
            <v>181589643</v>
          </cell>
          <cell r="I6">
            <v>70401862.333332002</v>
          </cell>
          <cell r="J6">
            <v>100176407.666664</v>
          </cell>
          <cell r="K6">
            <v>145790</v>
          </cell>
          <cell r="L6">
            <v>235.53333333333299</v>
          </cell>
        </row>
        <row r="7">
          <cell r="F7">
            <v>30.566666666666698</v>
          </cell>
          <cell r="G7">
            <v>99</v>
          </cell>
          <cell r="H7">
            <v>166482</v>
          </cell>
          <cell r="I7">
            <v>28855</v>
          </cell>
          <cell r="J7">
            <v>133329</v>
          </cell>
          <cell r="K7">
            <v>42.5</v>
          </cell>
        </row>
        <row r="8">
          <cell r="F8">
            <v>24.066666666666698</v>
          </cell>
          <cell r="G8">
            <v>725.5</v>
          </cell>
          <cell r="H8">
            <v>229800</v>
          </cell>
          <cell r="I8">
            <v>18066.666666666701</v>
          </cell>
          <cell r="J8">
            <v>134533.33333333299</v>
          </cell>
          <cell r="K8">
            <v>364</v>
          </cell>
        </row>
        <row r="9">
          <cell r="F9">
            <v>60.066666666666698</v>
          </cell>
          <cell r="G9">
            <v>732</v>
          </cell>
          <cell r="H9">
            <v>114600</v>
          </cell>
          <cell r="I9">
            <v>23033.333333333299</v>
          </cell>
          <cell r="J9">
            <v>88686.666666666701</v>
          </cell>
          <cell r="K9">
            <v>237</v>
          </cell>
          <cell r="L9">
            <v>2643.7</v>
          </cell>
        </row>
        <row r="10">
          <cell r="F10">
            <v>52030.766666665797</v>
          </cell>
          <cell r="G10">
            <v>811740.5</v>
          </cell>
          <cell r="H10">
            <v>298182458</v>
          </cell>
          <cell r="I10">
            <v>42012093.999999903</v>
          </cell>
          <cell r="J10">
            <v>160464505</v>
          </cell>
          <cell r="K10">
            <v>543838.5</v>
          </cell>
          <cell r="L10">
            <v>83183.299999999799</v>
          </cell>
        </row>
        <row r="11">
          <cell r="F11">
            <v>22.7</v>
          </cell>
          <cell r="G11">
            <v>37</v>
          </cell>
          <cell r="H11">
            <v>20613</v>
          </cell>
          <cell r="I11">
            <v>13410.666666666701</v>
          </cell>
          <cell r="J11">
            <v>7202.3333333333303</v>
          </cell>
          <cell r="K11">
            <v>3</v>
          </cell>
        </row>
        <row r="12">
          <cell r="F12">
            <v>41.133333333333297</v>
          </cell>
          <cell r="G12">
            <v>1860</v>
          </cell>
          <cell r="H12">
            <v>437801</v>
          </cell>
          <cell r="I12">
            <v>41133.333333333299</v>
          </cell>
          <cell r="J12">
            <v>160107.66666666701</v>
          </cell>
          <cell r="K12">
            <v>1706</v>
          </cell>
          <cell r="L12">
            <v>87.466666666666697</v>
          </cell>
        </row>
        <row r="13">
          <cell r="F13">
            <v>4.2</v>
          </cell>
          <cell r="H13">
            <v>896</v>
          </cell>
          <cell r="I13">
            <v>896</v>
          </cell>
        </row>
        <row r="14">
          <cell r="F14">
            <v>515.83333333333303</v>
          </cell>
          <cell r="G14">
            <v>446</v>
          </cell>
          <cell r="H14">
            <v>259930</v>
          </cell>
          <cell r="I14">
            <v>156149.33333333299</v>
          </cell>
          <cell r="J14">
            <v>88460.666666666701</v>
          </cell>
          <cell r="K14">
            <v>167</v>
          </cell>
        </row>
        <row r="15">
          <cell r="F15">
            <v>641.20000000000005</v>
          </cell>
          <cell r="G15">
            <v>11069</v>
          </cell>
          <cell r="H15">
            <v>1712805</v>
          </cell>
          <cell r="I15">
            <v>383768.33333333302</v>
          </cell>
          <cell r="J15">
            <v>866186.66666666698</v>
          </cell>
          <cell r="K15">
            <v>3788</v>
          </cell>
          <cell r="L15">
            <v>2342.36666666667</v>
          </cell>
        </row>
        <row r="16">
          <cell r="F16">
            <v>1652.3</v>
          </cell>
          <cell r="G16">
            <v>3207</v>
          </cell>
          <cell r="H16">
            <v>2171876</v>
          </cell>
          <cell r="I16">
            <v>900353.66666666698</v>
          </cell>
          <cell r="J16">
            <v>1237316.33333333</v>
          </cell>
          <cell r="K16">
            <v>1375</v>
          </cell>
        </row>
        <row r="17">
          <cell r="F17">
            <v>3</v>
          </cell>
          <cell r="G17">
            <v>264</v>
          </cell>
          <cell r="H17">
            <v>67200</v>
          </cell>
          <cell r="I17">
            <v>3000</v>
          </cell>
          <cell r="J17">
            <v>24000</v>
          </cell>
          <cell r="K17">
            <v>132</v>
          </cell>
        </row>
        <row r="18">
          <cell r="F18">
            <v>2627.1</v>
          </cell>
          <cell r="G18">
            <v>47779</v>
          </cell>
          <cell r="H18">
            <v>13208289</v>
          </cell>
          <cell r="I18">
            <v>2084720.33333333</v>
          </cell>
          <cell r="J18">
            <v>7486381.6666666605</v>
          </cell>
          <cell r="K18">
            <v>31757.5</v>
          </cell>
          <cell r="L18">
            <v>12392</v>
          </cell>
        </row>
        <row r="19">
          <cell r="F19">
            <v>7.7666666666666702</v>
          </cell>
          <cell r="I19">
            <v>3196</v>
          </cell>
          <cell r="J19">
            <v>3691</v>
          </cell>
        </row>
        <row r="20">
          <cell r="F20">
            <v>1176.4000000000001</v>
          </cell>
          <cell r="G20">
            <v>53</v>
          </cell>
          <cell r="I20">
            <v>333990</v>
          </cell>
          <cell r="J20">
            <v>65804</v>
          </cell>
          <cell r="K20">
            <v>14</v>
          </cell>
        </row>
        <row r="21">
          <cell r="F21">
            <v>77.133333333333297</v>
          </cell>
          <cell r="I21">
            <v>28907.333333333299</v>
          </cell>
          <cell r="J21">
            <v>18144.666666666701</v>
          </cell>
        </row>
        <row r="22">
          <cell r="F22">
            <v>1890.36666666667</v>
          </cell>
          <cell r="G22">
            <v>504</v>
          </cell>
          <cell r="I22">
            <v>614422.33333333302</v>
          </cell>
          <cell r="J22">
            <v>182570.66666666701</v>
          </cell>
          <cell r="K22">
            <v>266</v>
          </cell>
        </row>
        <row r="23">
          <cell r="F23">
            <v>9</v>
          </cell>
          <cell r="I23">
            <v>1940</v>
          </cell>
        </row>
        <row r="24">
          <cell r="F24">
            <v>118.1</v>
          </cell>
          <cell r="G24">
            <v>21</v>
          </cell>
          <cell r="I24">
            <v>52033</v>
          </cell>
          <cell r="J24">
            <v>47857</v>
          </cell>
          <cell r="K24">
            <v>2</v>
          </cell>
        </row>
        <row r="25">
          <cell r="F25">
            <v>2664.36666666666</v>
          </cell>
          <cell r="G25">
            <v>405</v>
          </cell>
          <cell r="I25">
            <v>754268</v>
          </cell>
          <cell r="J25">
            <v>178007</v>
          </cell>
          <cell r="K25">
            <v>224</v>
          </cell>
        </row>
        <row r="26">
          <cell r="F26">
            <v>157.13333333333301</v>
          </cell>
          <cell r="G26">
            <v>8</v>
          </cell>
          <cell r="I26">
            <v>55784.333333333299</v>
          </cell>
          <cell r="J26">
            <v>33066.666666666701</v>
          </cell>
        </row>
      </sheetData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Spread"/>
      <sheetName val="Exhibit No._(JRS-3)"/>
      <sheetName val="Exhibit No._(JRS-4)"/>
      <sheetName val="Exhibit No._(JRS-5) p1"/>
      <sheetName val="Exhibit No._(JRS-5) p2"/>
      <sheetName val="Exhibit No._(JRS-5) p3"/>
      <sheetName val="Exhibit No._(JRS-5) p4"/>
      <sheetName val="Exhibit No._(JRS-5) p5"/>
      <sheetName val="Exhibit No._(JRS-5) p6"/>
      <sheetName val="Exhibit No._(JRS-5) p7"/>
      <sheetName val="Low Income p 1"/>
      <sheetName val="Low Income p2"/>
      <sheetName val="NPC Spread"/>
      <sheetName val="by rate"/>
      <sheetName val="Comparison"/>
      <sheetName val="Table 1-Revenues"/>
      <sheetName val="Table 1 - kWh"/>
      <sheetName val="Table 2"/>
      <sheetName val="Table 3"/>
      <sheetName val="Temperature"/>
      <sheetName val="Temp. Adjustments"/>
      <sheetName val="305 VS COGNOS kWh"/>
      <sheetName val="305 VS COGNOS Revenue"/>
      <sheetName val="SBC-Hydro"/>
      <sheetName val="WA HDS Revenue"/>
      <sheetName val="Boise Hydro Revenue"/>
      <sheetName val="Table A by class"/>
      <sheetName val="Load Loss"/>
      <sheetName val="SBC"/>
      <sheetName val="Hydro Deferral"/>
      <sheetName val="Backed Out Revenue Totals"/>
      <sheetName val="SBC (Old)"/>
      <sheetName val="Billing Determinants (2)"/>
      <sheetName val="Blocking - detail"/>
      <sheetName val="Normalized Monthly kWh"/>
      <sheetName val="Normalized Monthly revenue"/>
      <sheetName val="305 Inputs"/>
      <sheetName val="June 305 12"/>
      <sheetName val="Rate Spread equal %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9">
          <cell r="F19">
            <v>104804.68611111111</v>
          </cell>
          <cell r="M19">
            <v>1604165500.9643974</v>
          </cell>
        </row>
        <row r="22">
          <cell r="F22">
            <v>1164.1666666666667</v>
          </cell>
          <cell r="M22">
            <v>1071959.3372313888</v>
          </cell>
        </row>
        <row r="24">
          <cell r="M24">
            <v>0</v>
          </cell>
          <cell r="R24">
            <v>359.04999999999995</v>
          </cell>
        </row>
        <row r="36">
          <cell r="M36">
            <v>0</v>
          </cell>
          <cell r="R36">
            <v>0</v>
          </cell>
        </row>
        <row r="44">
          <cell r="F44">
            <v>17680.797222221616</v>
          </cell>
          <cell r="M44">
            <v>517339061.01197416</v>
          </cell>
        </row>
        <row r="46">
          <cell r="F46">
            <v>905.91111111111115</v>
          </cell>
          <cell r="M46">
            <v>749608637.13840866</v>
          </cell>
        </row>
        <row r="49">
          <cell r="F49">
            <v>26.166666666666668</v>
          </cell>
          <cell r="M49">
            <v>141920599.05869895</v>
          </cell>
        </row>
        <row r="52">
          <cell r="F52">
            <v>1376.9166666666667</v>
          </cell>
          <cell r="M52">
            <v>2227659.8572637294</v>
          </cell>
        </row>
        <row r="53">
          <cell r="F53">
            <v>29.083333333333332</v>
          </cell>
          <cell r="M53">
            <v>282515.74220791733</v>
          </cell>
        </row>
        <row r="56">
          <cell r="M56">
            <v>0</v>
          </cell>
          <cell r="R56">
            <v>357848.37</v>
          </cell>
        </row>
        <row r="66">
          <cell r="M66">
            <v>0</v>
          </cell>
          <cell r="R66">
            <v>0</v>
          </cell>
        </row>
        <row r="74">
          <cell r="F74">
            <v>458.2861111111111</v>
          </cell>
          <cell r="M74">
            <v>17699018.407311607</v>
          </cell>
        </row>
        <row r="76">
          <cell r="F76">
            <v>138.58333333333334</v>
          </cell>
          <cell r="M76">
            <v>111095753.24771875</v>
          </cell>
        </row>
        <row r="79">
          <cell r="F79">
            <v>1</v>
          </cell>
          <cell r="M79">
            <v>1734474.3654971488</v>
          </cell>
        </row>
        <row r="80">
          <cell r="F80">
            <v>31.75</v>
          </cell>
          <cell r="M80">
            <v>216434170.7485092</v>
          </cell>
        </row>
        <row r="81">
          <cell r="F81">
            <v>1</v>
          </cell>
          <cell r="M81">
            <v>473928140.56752431</v>
          </cell>
        </row>
        <row r="84">
          <cell r="F84">
            <v>58.083333333333336</v>
          </cell>
          <cell r="M84">
            <v>152110.66343900739</v>
          </cell>
        </row>
        <row r="87">
          <cell r="M87">
            <v>0</v>
          </cell>
          <cell r="R87">
            <v>0</v>
          </cell>
        </row>
        <row r="95">
          <cell r="M95">
            <v>0</v>
          </cell>
          <cell r="R95">
            <v>0</v>
          </cell>
        </row>
        <row r="103">
          <cell r="F103">
            <v>5260</v>
          </cell>
          <cell r="M103">
            <v>153555065.36433661</v>
          </cell>
        </row>
        <row r="105">
          <cell r="M105">
            <v>0</v>
          </cell>
          <cell r="R105">
            <v>186753.91999999998</v>
          </cell>
        </row>
        <row r="115">
          <cell r="M115">
            <v>0</v>
          </cell>
          <cell r="R115">
            <v>0</v>
          </cell>
        </row>
        <row r="121">
          <cell r="F121">
            <v>18</v>
          </cell>
          <cell r="M121">
            <v>286698.72495359811</v>
          </cell>
        </row>
        <row r="122">
          <cell r="F122">
            <v>119.91666666666667</v>
          </cell>
          <cell r="M122">
            <v>3216052.2872200469</v>
          </cell>
        </row>
        <row r="123">
          <cell r="F123">
            <v>100.08333333333333</v>
          </cell>
          <cell r="M123">
            <v>1065183.2060443901</v>
          </cell>
        </row>
        <row r="124">
          <cell r="F124">
            <v>163</v>
          </cell>
          <cell r="M124">
            <v>3040186.9812590103</v>
          </cell>
        </row>
        <row r="125">
          <cell r="F125">
            <v>41.083333333333336</v>
          </cell>
          <cell r="M125">
            <v>1789527.8005229549</v>
          </cell>
        </row>
        <row r="129">
          <cell r="M129">
            <v>0</v>
          </cell>
          <cell r="R129">
            <v>90.84</v>
          </cell>
        </row>
        <row r="135">
          <cell r="M135">
            <v>0</v>
          </cell>
          <cell r="R135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4">
          <cell r="B4" t="str">
            <v>12 Months Ended June 2012</v>
          </cell>
        </row>
      </sheetData>
      <sheetData sheetId="37" refreshError="1"/>
      <sheetData sheetId="38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Spread"/>
      <sheetName val="Rate Design"/>
      <sheetName val="Sch 16 Bill Comparison"/>
      <sheetName val="Sch 24 Bill Comparison"/>
      <sheetName val="Sch 36 Bill Comparison"/>
      <sheetName val="Sch 40 Bill Comparison"/>
      <sheetName val="Sch 48 Bill Comparison Sec"/>
      <sheetName val="Sch 48 Bill Comparison Pri"/>
      <sheetName val="Sch 48 Bill Comparison Ded"/>
      <sheetName val="Rate Design Low Inc Surcharge"/>
      <sheetName val="Rate Design Low Inc Credit"/>
      <sheetName val="Stop Here"/>
      <sheetName val="Rate Spread targets"/>
      <sheetName val="NPC Spread"/>
      <sheetName val="by rate"/>
      <sheetName val="Table 1-Revenues"/>
      <sheetName val="Table 1 - kWh"/>
      <sheetName val="Table 2"/>
      <sheetName val="Table 3"/>
      <sheetName val="Temperature"/>
      <sheetName val="Temp. Adjustments"/>
      <sheetName val="305 VS COGNOS kWh"/>
      <sheetName val="305 VS COGNOS Revenue"/>
      <sheetName val="SBC-Hydro"/>
      <sheetName val="WA HDS Revenue"/>
      <sheetName val="Ded Fac Hydro Revenue"/>
      <sheetName val="Load Loss"/>
      <sheetName val="SBC"/>
      <sheetName val="Hydro Deferral"/>
      <sheetName val="Backed Out Revenue Totals"/>
      <sheetName val="SBC (Old)"/>
      <sheetName val="Billing Determinants (2)"/>
      <sheetName val="Blocking - detail"/>
      <sheetName val="Normalized Monthly kWh"/>
      <sheetName val="Normalized Monthly revenue"/>
      <sheetName val="305 Inputs"/>
      <sheetName val="June 305 12"/>
    </sheetNames>
    <sheetDataSet>
      <sheetData sheetId="0"/>
      <sheetData sheetId="1">
        <row r="23">
          <cell r="C23">
            <v>31190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6">
          <cell r="Q16">
            <v>142148.90809270568</v>
          </cell>
          <cell r="V16">
            <v>5.6309344674088324E-2</v>
          </cell>
        </row>
        <row r="22">
          <cell r="Q22">
            <v>47809.973574621792</v>
          </cell>
          <cell r="V22">
            <v>5.6309344674088324E-2</v>
          </cell>
        </row>
        <row r="24">
          <cell r="Q24">
            <v>64749.027519143165</v>
          </cell>
          <cell r="V24">
            <v>5.6309344674088324E-2</v>
          </cell>
        </row>
        <row r="25">
          <cell r="Q25">
            <v>12991.916225798559</v>
          </cell>
          <cell r="V25">
            <v>5.6309344674088324E-2</v>
          </cell>
        </row>
        <row r="26">
          <cell r="Q26">
            <v>306.92178369551067</v>
          </cell>
          <cell r="V26">
            <v>5.6309344674088324E-2</v>
          </cell>
        </row>
        <row r="27">
          <cell r="Q27">
            <v>24336.164044681533</v>
          </cell>
          <cell r="V27">
            <v>5.6309344674088324E-2</v>
          </cell>
        </row>
        <row r="28">
          <cell r="Q28">
            <v>26470.870142930169</v>
          </cell>
          <cell r="V28">
            <v>5.6309344674088324E-2</v>
          </cell>
        </row>
        <row r="29">
          <cell r="Q29">
            <v>24.725619439992212</v>
          </cell>
        </row>
        <row r="35">
          <cell r="Q35">
            <v>483.78807449751014</v>
          </cell>
          <cell r="V35">
            <v>0</v>
          </cell>
        </row>
        <row r="36">
          <cell r="Q36">
            <v>600.44497901647196</v>
          </cell>
        </row>
        <row r="37">
          <cell r="Q37">
            <v>46.625268810114008</v>
          </cell>
        </row>
        <row r="38">
          <cell r="Q38">
            <v>296.22757767019584</v>
          </cell>
        </row>
        <row r="39">
          <cell r="Q39">
            <v>218.66521450321807</v>
          </cell>
        </row>
      </sheetData>
      <sheetData sheetId="13"/>
      <sheetData sheetId="14"/>
      <sheetData sheetId="15">
        <row r="21">
          <cell r="J21">
            <v>304063208.36000001</v>
          </cell>
        </row>
      </sheetData>
      <sheetData sheetId="16">
        <row r="21">
          <cell r="F21">
            <v>4000612315.4745183</v>
          </cell>
        </row>
      </sheetData>
      <sheetData sheetId="17">
        <row r="13">
          <cell r="H13">
            <v>-98559.970767906168</v>
          </cell>
        </row>
        <row r="14">
          <cell r="H14">
            <v>-4050.066849352972</v>
          </cell>
        </row>
        <row r="15">
          <cell r="H15">
            <v>-141.94975056245792</v>
          </cell>
        </row>
        <row r="16">
          <cell r="H16">
            <v>-27.758051490267285</v>
          </cell>
        </row>
        <row r="17">
          <cell r="H17">
            <v>0</v>
          </cell>
        </row>
        <row r="18">
          <cell r="H18">
            <v>-151.59181207680737</v>
          </cell>
        </row>
        <row r="21">
          <cell r="H21">
            <v>-68.662768611323841</v>
          </cell>
        </row>
        <row r="41">
          <cell r="H41">
            <v>-1344873.1991789686</v>
          </cell>
        </row>
        <row r="42">
          <cell r="H42">
            <v>-3272.5983006765778</v>
          </cell>
        </row>
        <row r="43">
          <cell r="H43">
            <v>-905.99909962916831</v>
          </cell>
        </row>
        <row r="46">
          <cell r="H46">
            <v>-1937617.861591337</v>
          </cell>
        </row>
        <row r="49">
          <cell r="H49">
            <v>-366841.9413010361</v>
          </cell>
        </row>
        <row r="52">
          <cell r="H52">
            <v>-5758.1427362705708</v>
          </cell>
        </row>
        <row r="53">
          <cell r="H53">
            <v>-730.25779208267056</v>
          </cell>
        </row>
        <row r="71">
          <cell r="H71">
            <v>238998.12647392348</v>
          </cell>
        </row>
        <row r="72">
          <cell r="H72">
            <v>457.04356388458245</v>
          </cell>
        </row>
        <row r="73">
          <cell r="H73">
            <v>83.237273799650609</v>
          </cell>
        </row>
        <row r="76">
          <cell r="H76">
            <v>1503569.2477187554</v>
          </cell>
        </row>
        <row r="79">
          <cell r="H79">
            <v>23474.365497148876</v>
          </cell>
        </row>
        <row r="80">
          <cell r="H80">
            <v>2929218.748509191</v>
          </cell>
        </row>
        <row r="81">
          <cell r="H81">
            <v>6414140.5675242878</v>
          </cell>
        </row>
        <row r="84">
          <cell r="H84">
            <v>2058.6634390073832</v>
          </cell>
        </row>
        <row r="101">
          <cell r="H101">
            <v>2272009.0196180283</v>
          </cell>
        </row>
        <row r="102">
          <cell r="H102">
            <v>82990.980381971647</v>
          </cell>
        </row>
        <row r="121">
          <cell r="H121">
            <v>-27426.275046401868</v>
          </cell>
        </row>
        <row r="122">
          <cell r="H122">
            <v>-307654.71277995309</v>
          </cell>
        </row>
        <row r="123">
          <cell r="H123">
            <v>-101897.79395560994</v>
          </cell>
        </row>
        <row r="124">
          <cell r="H124">
            <v>-290831.01874098979</v>
          </cell>
        </row>
        <row r="125">
          <cell r="H125">
            <v>-171190.19947704519</v>
          </cell>
        </row>
        <row r="140">
          <cell r="F140">
            <v>132378.51388888832</v>
          </cell>
          <cell r="M140">
            <v>4000612315.4745183</v>
          </cell>
        </row>
      </sheetData>
      <sheetData sheetId="18">
        <row r="13">
          <cell r="E13">
            <v>12440.360107517636</v>
          </cell>
        </row>
        <row r="14">
          <cell r="E14">
            <v>509.23332391723989</v>
          </cell>
        </row>
        <row r="15">
          <cell r="E15">
            <v>19.723602875558147</v>
          </cell>
        </row>
        <row r="16">
          <cell r="E16">
            <v>3.7869002045382243</v>
          </cell>
        </row>
        <row r="17">
          <cell r="E17">
            <v>0</v>
          </cell>
        </row>
        <row r="18">
          <cell r="E18">
            <v>11.556216535227565</v>
          </cell>
        </row>
        <row r="21">
          <cell r="E21">
            <v>15.339848949801738</v>
          </cell>
        </row>
        <row r="24">
          <cell r="D24">
            <v>359.04999999999995</v>
          </cell>
        </row>
        <row r="41">
          <cell r="E41">
            <v>-127697.18695907027</v>
          </cell>
        </row>
        <row r="42">
          <cell r="E42">
            <v>-457.64161025595331</v>
          </cell>
        </row>
        <row r="43">
          <cell r="E43">
            <v>-300.81745054377819</v>
          </cell>
        </row>
        <row r="46">
          <cell r="E46">
            <v>-154956.56153473366</v>
          </cell>
        </row>
        <row r="52">
          <cell r="E52">
            <v>-910.80858255895487</v>
          </cell>
        </row>
        <row r="53">
          <cell r="E53">
            <v>-73.380560007788219</v>
          </cell>
        </row>
        <row r="56">
          <cell r="D56">
            <v>357848.37</v>
          </cell>
        </row>
        <row r="71">
          <cell r="E71">
            <v>24162.483012530323</v>
          </cell>
        </row>
        <row r="72">
          <cell r="E72">
            <v>125.2739508222905</v>
          </cell>
        </row>
        <row r="73">
          <cell r="E73">
            <v>37.66331015255323</v>
          </cell>
        </row>
        <row r="76">
          <cell r="E76">
            <v>132135.06500870228</v>
          </cell>
        </row>
        <row r="79">
          <cell r="E79">
            <v>4619.5116938615674</v>
          </cell>
        </row>
        <row r="81">
          <cell r="E81">
            <v>397954.38596668228</v>
          </cell>
        </row>
        <row r="84">
          <cell r="E84">
            <v>323.44323111926008</v>
          </cell>
        </row>
        <row r="87">
          <cell r="D87">
            <v>0</v>
          </cell>
        </row>
        <row r="101">
          <cell r="E101">
            <v>277909.20330886031</v>
          </cell>
        </row>
        <row r="102">
          <cell r="E102">
            <v>10090.79669113968</v>
          </cell>
        </row>
        <row r="105">
          <cell r="D105">
            <v>186753.91999999998</v>
          </cell>
        </row>
        <row r="121">
          <cell r="E121">
            <v>-4174.4211898859912</v>
          </cell>
        </row>
        <row r="122">
          <cell r="E122">
            <v>-19944.378113311941</v>
          </cell>
        </row>
        <row r="123">
          <cell r="E123">
            <v>-6553.3942164922319</v>
          </cell>
        </row>
        <row r="124">
          <cell r="E124">
            <v>-53742.020983527946</v>
          </cell>
        </row>
        <row r="125">
          <cell r="E125">
            <v>-19585.785496781922</v>
          </cell>
        </row>
        <row r="129">
          <cell r="D129">
            <v>90.84</v>
          </cell>
        </row>
        <row r="140">
          <cell r="P140">
            <v>304063208.36000001</v>
          </cell>
        </row>
      </sheetData>
      <sheetData sheetId="19">
        <row r="22">
          <cell r="B22">
            <v>-2709.7292351466403</v>
          </cell>
          <cell r="C22">
            <v>-1160.6465942039538</v>
          </cell>
        </row>
        <row r="40">
          <cell r="C40">
            <v>-31.357853747902833</v>
          </cell>
          <cell r="D40">
            <v>-39.960799822226555</v>
          </cell>
        </row>
        <row r="58">
          <cell r="C58">
            <v>-0.83783234744435098</v>
          </cell>
          <cell r="D58">
            <v>-2.3126328714680646</v>
          </cell>
        </row>
        <row r="75">
          <cell r="R75">
            <v>0</v>
          </cell>
        </row>
        <row r="92">
          <cell r="B92">
            <v>-2078.4876356633904</v>
          </cell>
        </row>
      </sheetData>
      <sheetData sheetId="20"/>
      <sheetData sheetId="21"/>
      <sheetData sheetId="22"/>
      <sheetData sheetId="23"/>
      <sheetData sheetId="24"/>
      <sheetData sheetId="25"/>
      <sheetData sheetId="26">
        <row r="11">
          <cell r="C11">
            <v>12.0666666666667</v>
          </cell>
        </row>
        <row r="14">
          <cell r="C14">
            <v>8210</v>
          </cell>
        </row>
        <row r="16">
          <cell r="C16">
            <v>6770</v>
          </cell>
        </row>
        <row r="19">
          <cell r="C19">
            <v>482666.66666666698</v>
          </cell>
        </row>
        <row r="20">
          <cell r="C20">
            <v>1138333.333333333</v>
          </cell>
        </row>
        <row r="21">
          <cell r="C21">
            <v>3547.4</v>
          </cell>
        </row>
        <row r="25">
          <cell r="C25">
            <v>12.0666666666667</v>
          </cell>
        </row>
        <row r="27">
          <cell r="C27">
            <v>8210</v>
          </cell>
        </row>
        <row r="28">
          <cell r="C28">
            <v>6770</v>
          </cell>
        </row>
        <row r="30">
          <cell r="C30">
            <v>482666.66666666698</v>
          </cell>
        </row>
        <row r="31">
          <cell r="C31">
            <v>1138333.333333333</v>
          </cell>
        </row>
        <row r="32">
          <cell r="C32">
            <v>3547.4</v>
          </cell>
        </row>
        <row r="33">
          <cell r="C33">
            <v>12</v>
          </cell>
        </row>
        <row r="34">
          <cell r="C34">
            <v>8210</v>
          </cell>
        </row>
      </sheetData>
      <sheetData sheetId="27"/>
      <sheetData sheetId="28"/>
      <sheetData sheetId="29"/>
      <sheetData sheetId="30"/>
      <sheetData sheetId="31"/>
      <sheetData sheetId="32">
        <row r="172">
          <cell r="I172">
            <v>60</v>
          </cell>
        </row>
        <row r="173">
          <cell r="I173">
            <v>-30</v>
          </cell>
        </row>
        <row r="504">
          <cell r="I504">
            <v>60</v>
          </cell>
        </row>
        <row r="505">
          <cell r="I505">
            <v>-30</v>
          </cell>
        </row>
        <row r="623">
          <cell r="I623">
            <v>60</v>
          </cell>
        </row>
        <row r="624">
          <cell r="I624">
            <v>-30</v>
          </cell>
        </row>
      </sheetData>
      <sheetData sheetId="33"/>
      <sheetData sheetId="34"/>
      <sheetData sheetId="35"/>
      <sheetData sheetId="36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Spread"/>
      <sheetName val="Rate Design"/>
      <sheetName val="Sch 16 Bill Comparison"/>
      <sheetName val="Sch 24 Bill Comparison"/>
      <sheetName val="Sch 36 Bill Comparison"/>
      <sheetName val="Sch 40 Bill Comparison"/>
      <sheetName val="Sch 48 Bill Comparison Sec"/>
      <sheetName val="Sch 48 Bill Comparison Pri"/>
      <sheetName val="Sch 48 Bill Comparison Ded"/>
      <sheetName val="Rate Design Low Inc Surcharge"/>
      <sheetName val="Rate Design Low Inc Credit"/>
    </sheetNames>
    <sheetDataSet>
      <sheetData sheetId="0" refreshError="1"/>
      <sheetData sheetId="1">
        <row r="794">
          <cell r="I794">
            <v>593992.38596668234</v>
          </cell>
          <cell r="L794">
            <v>593992.38596668234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REGULATN/PA&amp;D/CASES/WA%20GRC%2014/Schedule%2017/WA%20Schedule%2017%20Blocking%20201301-201312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Zimmerman, Michael" refreshedDate="41733.364883680559" createdVersion="4" refreshedVersion="4" minRefreshableVersion="3" recordCount="25509">
  <cacheSource type="worksheet">
    <worksheetSource ref="A6:H25515" sheet="by rate (2)" r:id="rId2"/>
  </cacheSource>
  <cacheFields count="8">
    <cacheField name="Invoice Status Cd" numFmtId="0">
      <sharedItems containsBlank="1"/>
    </cacheField>
    <cacheField name="Genyearmonth" numFmtId="0">
      <sharedItems containsBlank="1"/>
    </cacheField>
    <cacheField name="Unit Price New" numFmtId="0">
      <sharedItems containsBlank="1" containsMixedTypes="1" containsNumber="1" minValue="2.6890000000000001" maxValue="6.3959999999999999" count="7">
        <n v="2.6890000000000001"/>
        <m/>
        <s v="2.68900E+0 Total"/>
        <n v="4.3029999999999999"/>
        <s v="4.30300E+0 Total"/>
        <n v="6.3959999999999999"/>
        <s v="6.39600E+0 Total"/>
      </sharedItems>
    </cacheField>
    <cacheField name="Concat Agreement Number" numFmtId="0">
      <sharedItems containsBlank="1"/>
    </cacheField>
    <cacheField name="Sum of Amount" numFmtId="7">
      <sharedItems containsSemiMixedTypes="0" containsString="0" containsNumber="1" minValue="-1173978.299999997" maxValue="-0.02"/>
    </cacheField>
    <cacheField name="Sum of Billing Quantity" numFmtId="37">
      <sharedItems containsSemiMixedTypes="0" containsString="0" containsNumber="1" containsInteger="1" minValue="1" maxValue="26749914"/>
    </cacheField>
    <cacheField name="Count of Concat Agreement Number" numFmtId="0">
      <sharedItems containsSemiMixedTypes="0" containsString="0" containsNumber="1" containsInteger="1" minValue="1" maxValue="28012"/>
    </cacheField>
    <cacheField name="Participants" numFmtId="0">
      <sharedItems containsSemiMixedTypes="0" containsString="0" containsNumber="1" containsInteger="1" minValue="1" maxValue="177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509">
  <r>
    <s v="G"/>
    <s v="201301"/>
    <x v="0"/>
    <s v="00237051001001"/>
    <n v="-29.28"/>
    <n v="1195"/>
    <n v="1"/>
    <n v="1"/>
  </r>
  <r>
    <m/>
    <m/>
    <x v="1"/>
    <s v="00388467001002"/>
    <n v="-44.93"/>
    <n v="1834"/>
    <n v="1"/>
    <n v="1"/>
  </r>
  <r>
    <m/>
    <m/>
    <x v="1"/>
    <s v="00416718001001"/>
    <n v="-90.63"/>
    <n v="3699"/>
    <n v="1"/>
    <n v="1"/>
  </r>
  <r>
    <m/>
    <m/>
    <x v="1"/>
    <s v="00447035006001"/>
    <n v="-82.3"/>
    <n v="3359"/>
    <n v="1"/>
    <n v="1"/>
  </r>
  <r>
    <m/>
    <m/>
    <x v="1"/>
    <s v="00525614001004"/>
    <n v="-21.56"/>
    <n v="880"/>
    <n v="1"/>
    <n v="1"/>
  </r>
  <r>
    <m/>
    <m/>
    <x v="1"/>
    <s v="00637691001001"/>
    <n v="-28.27"/>
    <n v="1154"/>
    <n v="1"/>
    <n v="1"/>
  </r>
  <r>
    <m/>
    <m/>
    <x v="1"/>
    <s v="00785166001003"/>
    <n v="-10.27"/>
    <n v="419"/>
    <n v="1"/>
    <n v="1"/>
  </r>
  <r>
    <m/>
    <m/>
    <x v="1"/>
    <s v="00969996001001"/>
    <n v="-26.02"/>
    <n v="1062"/>
    <n v="1"/>
    <n v="1"/>
  </r>
  <r>
    <m/>
    <m/>
    <x v="1"/>
    <s v="01063383001003"/>
    <n v="-20.85"/>
    <n v="851"/>
    <n v="1"/>
    <n v="1"/>
  </r>
  <r>
    <m/>
    <m/>
    <x v="1"/>
    <s v="01128497001005"/>
    <n v="-71.69"/>
    <n v="2926"/>
    <n v="1"/>
    <n v="1"/>
  </r>
  <r>
    <m/>
    <m/>
    <x v="1"/>
    <s v="01164114001001"/>
    <n v="-78.33"/>
    <n v="3197"/>
    <n v="1"/>
    <n v="1"/>
  </r>
  <r>
    <m/>
    <m/>
    <x v="1"/>
    <s v="01423270002001"/>
    <n v="-54.12"/>
    <n v="2209"/>
    <n v="1"/>
    <n v="1"/>
  </r>
  <r>
    <m/>
    <m/>
    <x v="1"/>
    <s v="01883451001001"/>
    <n v="-34.299999999999997"/>
    <n v="1400"/>
    <n v="1"/>
    <n v="1"/>
  </r>
  <r>
    <m/>
    <m/>
    <x v="1"/>
    <s v="01930076001001"/>
    <n v="-34.549999999999997"/>
    <n v="1410"/>
    <n v="1"/>
    <n v="1"/>
  </r>
  <r>
    <m/>
    <m/>
    <x v="1"/>
    <s v="01947250001001"/>
    <n v="-34.94"/>
    <n v="1426"/>
    <n v="1"/>
    <n v="1"/>
  </r>
  <r>
    <m/>
    <m/>
    <x v="1"/>
    <s v="02367690001003"/>
    <n v="-53.9"/>
    <n v="2200"/>
    <n v="1"/>
    <n v="1"/>
  </r>
  <r>
    <m/>
    <m/>
    <x v="1"/>
    <s v="02947249002001"/>
    <n v="-36.770000000000003"/>
    <n v="1501"/>
    <n v="1"/>
    <n v="1"/>
  </r>
  <r>
    <m/>
    <m/>
    <x v="1"/>
    <s v="03344382001001"/>
    <n v="-40.11"/>
    <n v="1637"/>
    <n v="1"/>
    <n v="1"/>
  </r>
  <r>
    <m/>
    <m/>
    <x v="1"/>
    <s v="03556592002007"/>
    <n v="-8.09"/>
    <n v="330"/>
    <n v="1"/>
    <n v="1"/>
  </r>
  <r>
    <m/>
    <m/>
    <x v="1"/>
    <s v="03566581001003"/>
    <n v="-65.64"/>
    <n v="2679"/>
    <n v="1"/>
    <n v="1"/>
  </r>
  <r>
    <m/>
    <m/>
    <x v="1"/>
    <s v="03799095002001"/>
    <n v="-89.13"/>
    <n v="3638"/>
    <n v="1"/>
    <n v="1"/>
  </r>
  <r>
    <m/>
    <m/>
    <x v="1"/>
    <s v="03819092002003"/>
    <n v="-30.43"/>
    <n v="1242"/>
    <n v="1"/>
    <n v="1"/>
  </r>
  <r>
    <m/>
    <m/>
    <x v="1"/>
    <s v="03931679001001"/>
    <n v="-51.08"/>
    <n v="2085"/>
    <n v="1"/>
    <n v="1"/>
  </r>
  <r>
    <m/>
    <m/>
    <x v="1"/>
    <s v="03991437001001"/>
    <n v="-31.21"/>
    <n v="1274"/>
    <n v="1"/>
    <n v="1"/>
  </r>
  <r>
    <m/>
    <m/>
    <x v="1"/>
    <s v="04205533001001"/>
    <n v="-62.35"/>
    <n v="2545"/>
    <n v="1"/>
    <n v="1"/>
  </r>
  <r>
    <m/>
    <m/>
    <x v="1"/>
    <s v="04681150001001"/>
    <n v="-57.72"/>
    <n v="2356"/>
    <n v="1"/>
    <n v="1"/>
  </r>
  <r>
    <m/>
    <m/>
    <x v="1"/>
    <s v="04886136001001"/>
    <n v="-32.76"/>
    <n v="1337"/>
    <n v="1"/>
    <n v="1"/>
  </r>
  <r>
    <m/>
    <m/>
    <x v="1"/>
    <s v="04891223001003"/>
    <n v="-24.94"/>
    <n v="1018"/>
    <n v="1"/>
    <n v="1"/>
  </r>
  <r>
    <m/>
    <m/>
    <x v="1"/>
    <s v="05135552001001"/>
    <n v="-60.03"/>
    <n v="2450"/>
    <n v="1"/>
    <n v="1"/>
  </r>
  <r>
    <m/>
    <m/>
    <x v="1"/>
    <s v="05169515001001"/>
    <n v="-22.12"/>
    <n v="903"/>
    <n v="1"/>
    <n v="1"/>
  </r>
  <r>
    <m/>
    <m/>
    <x v="1"/>
    <s v="05631665002001"/>
    <n v="-33.39"/>
    <n v="1363"/>
    <n v="1"/>
    <n v="1"/>
  </r>
  <r>
    <m/>
    <m/>
    <x v="1"/>
    <s v="05793654001003"/>
    <n v="-1.23"/>
    <n v="50"/>
    <n v="1"/>
    <n v="1"/>
  </r>
  <r>
    <m/>
    <m/>
    <x v="1"/>
    <s v="05867332001001"/>
    <n v="-47.04"/>
    <n v="1920"/>
    <n v="1"/>
    <n v="1"/>
  </r>
  <r>
    <m/>
    <m/>
    <x v="1"/>
    <s v="05950340001002"/>
    <n v="-59.19"/>
    <n v="2416"/>
    <n v="1"/>
    <n v="1"/>
  </r>
  <r>
    <m/>
    <m/>
    <x v="1"/>
    <s v="06087532001006"/>
    <n v="-34.840000000000003"/>
    <n v="1422"/>
    <n v="1"/>
    <n v="1"/>
  </r>
  <r>
    <m/>
    <m/>
    <x v="1"/>
    <s v="06414889001004"/>
    <n v="-66.66"/>
    <n v="2721"/>
    <n v="1"/>
    <n v="1"/>
  </r>
  <r>
    <m/>
    <m/>
    <x v="1"/>
    <s v="06525325001005"/>
    <n v="-76.91"/>
    <n v="3139"/>
    <n v="1"/>
    <n v="1"/>
  </r>
  <r>
    <m/>
    <m/>
    <x v="1"/>
    <s v="06546723004003"/>
    <n v="-111.4"/>
    <n v="4547"/>
    <n v="1"/>
    <n v="1"/>
  </r>
  <r>
    <m/>
    <m/>
    <x v="1"/>
    <s v="06547490001007"/>
    <n v="-24.97"/>
    <n v="1019"/>
    <n v="1"/>
    <n v="1"/>
  </r>
  <r>
    <m/>
    <m/>
    <x v="1"/>
    <s v="06618747003005"/>
    <n v="-30.97"/>
    <n v="1264"/>
    <n v="1"/>
    <n v="1"/>
  </r>
  <r>
    <m/>
    <m/>
    <x v="1"/>
    <s v="06802240001003"/>
    <n v="-22.44"/>
    <n v="916"/>
    <n v="1"/>
    <n v="1"/>
  </r>
  <r>
    <m/>
    <m/>
    <x v="1"/>
    <s v="06910038001001"/>
    <n v="-4.83"/>
    <n v="197"/>
    <n v="1"/>
    <n v="1"/>
  </r>
  <r>
    <m/>
    <m/>
    <x v="1"/>
    <s v="06998048001001"/>
    <n v="-26.48"/>
    <n v="1081"/>
    <n v="1"/>
    <n v="1"/>
  </r>
  <r>
    <m/>
    <m/>
    <x v="1"/>
    <s v="07444293001002"/>
    <n v="-74.849999999999994"/>
    <n v="3055"/>
    <n v="1"/>
    <n v="1"/>
  </r>
  <r>
    <m/>
    <m/>
    <x v="1"/>
    <s v="07459672001001"/>
    <n v="-64.44"/>
    <n v="2630"/>
    <n v="1"/>
    <n v="1"/>
  </r>
  <r>
    <m/>
    <m/>
    <x v="1"/>
    <s v="07561969008001"/>
    <n v="-72.150000000000006"/>
    <n v="2945"/>
    <n v="1"/>
    <n v="1"/>
  </r>
  <r>
    <m/>
    <m/>
    <x v="1"/>
    <s v="07623916001007"/>
    <n v="-85.63"/>
    <n v="3495"/>
    <n v="1"/>
    <n v="1"/>
  </r>
  <r>
    <m/>
    <m/>
    <x v="1"/>
    <s v="07782109001001"/>
    <n v="-48.78"/>
    <n v="1991"/>
    <n v="1"/>
    <n v="1"/>
  </r>
  <r>
    <m/>
    <m/>
    <x v="1"/>
    <s v="07866347005003"/>
    <n v="-34.450000000000003"/>
    <n v="1406"/>
    <n v="1"/>
    <n v="1"/>
  </r>
  <r>
    <m/>
    <m/>
    <x v="1"/>
    <s v="07961096001001"/>
    <n v="-48.76"/>
    <n v="1990"/>
    <n v="1"/>
    <n v="1"/>
  </r>
  <r>
    <m/>
    <m/>
    <x v="1"/>
    <s v="08005911001002"/>
    <n v="-55.81"/>
    <n v="2278"/>
    <n v="1"/>
    <n v="1"/>
  </r>
  <r>
    <m/>
    <m/>
    <x v="1"/>
    <s v="08016256001003"/>
    <n v="-54.15"/>
    <n v="2210"/>
    <n v="1"/>
    <n v="1"/>
  </r>
  <r>
    <m/>
    <m/>
    <x v="1"/>
    <s v="08070610002001"/>
    <n v="-49.98"/>
    <n v="2040"/>
    <n v="1"/>
    <n v="1"/>
  </r>
  <r>
    <m/>
    <m/>
    <x v="1"/>
    <s v="08355466001007"/>
    <n v="-48.76"/>
    <n v="1990"/>
    <n v="1"/>
    <n v="1"/>
  </r>
  <r>
    <m/>
    <m/>
    <x v="1"/>
    <s v="08740262001001"/>
    <n v="-38.32"/>
    <n v="1564"/>
    <n v="1"/>
    <n v="1"/>
  </r>
  <r>
    <m/>
    <m/>
    <x v="1"/>
    <s v="08747776001001"/>
    <n v="-52.87"/>
    <n v="2158"/>
    <n v="1"/>
    <n v="1"/>
  </r>
  <r>
    <m/>
    <m/>
    <x v="1"/>
    <s v="08808764002008"/>
    <n v="-56.96"/>
    <n v="2325"/>
    <n v="1"/>
    <n v="1"/>
  </r>
  <r>
    <m/>
    <m/>
    <x v="1"/>
    <s v="08937879001001"/>
    <n v="-3.36"/>
    <n v="137"/>
    <n v="1"/>
    <n v="1"/>
  </r>
  <r>
    <m/>
    <m/>
    <x v="1"/>
    <s v="09136104001001"/>
    <n v="-1.64"/>
    <n v="67"/>
    <n v="1"/>
    <n v="1"/>
  </r>
  <r>
    <m/>
    <m/>
    <x v="1"/>
    <s v="09482609001001"/>
    <n v="-65.680000000000007"/>
    <n v="2681"/>
    <n v="1"/>
    <n v="1"/>
  </r>
  <r>
    <m/>
    <m/>
    <x v="1"/>
    <s v="09557772001003"/>
    <n v="-51.3"/>
    <n v="2094"/>
    <n v="1"/>
    <n v="1"/>
  </r>
  <r>
    <m/>
    <m/>
    <x v="1"/>
    <s v="10045212001003"/>
    <n v="-28.91"/>
    <n v="1180"/>
    <n v="1"/>
    <n v="1"/>
  </r>
  <r>
    <m/>
    <m/>
    <x v="1"/>
    <s v="10059373002001"/>
    <n v="-10.39"/>
    <n v="424"/>
    <n v="1"/>
    <n v="1"/>
  </r>
  <r>
    <m/>
    <m/>
    <x v="1"/>
    <s v="10153548001001"/>
    <n v="-38"/>
    <n v="1551"/>
    <n v="1"/>
    <n v="1"/>
  </r>
  <r>
    <m/>
    <m/>
    <x v="1"/>
    <s v="10196138001001"/>
    <n v="-51.21"/>
    <n v="2090"/>
    <n v="1"/>
    <n v="1"/>
  </r>
  <r>
    <m/>
    <m/>
    <x v="1"/>
    <s v="10214211001007"/>
    <n v="-12.2"/>
    <n v="498"/>
    <n v="1"/>
    <n v="1"/>
  </r>
  <r>
    <m/>
    <m/>
    <x v="1"/>
    <s v="10356260001001"/>
    <n v="-68.28"/>
    <n v="2787"/>
    <n v="1"/>
    <n v="1"/>
  </r>
  <r>
    <m/>
    <m/>
    <x v="1"/>
    <s v="10650049001003"/>
    <n v="-6.54"/>
    <n v="267"/>
    <n v="1"/>
    <n v="1"/>
  </r>
  <r>
    <m/>
    <m/>
    <x v="1"/>
    <s v="11078715001003"/>
    <n v="-58.85"/>
    <n v="2402"/>
    <n v="1"/>
    <n v="1"/>
  </r>
  <r>
    <m/>
    <m/>
    <x v="1"/>
    <s v="11144829001001"/>
    <n v="-40.229999999999997"/>
    <n v="1642"/>
    <n v="1"/>
    <n v="1"/>
  </r>
  <r>
    <m/>
    <m/>
    <x v="1"/>
    <s v="11263199001003"/>
    <n v="-55.08"/>
    <n v="2248"/>
    <n v="1"/>
    <n v="1"/>
  </r>
  <r>
    <m/>
    <m/>
    <x v="1"/>
    <s v="11296202003001"/>
    <n v="-32.340000000000003"/>
    <n v="1320"/>
    <n v="1"/>
    <n v="1"/>
  </r>
  <r>
    <m/>
    <m/>
    <x v="1"/>
    <s v="11373197001002"/>
    <n v="-10.78"/>
    <n v="440"/>
    <n v="1"/>
    <n v="1"/>
  </r>
  <r>
    <m/>
    <m/>
    <x v="1"/>
    <s v="11397922002001"/>
    <n v="-28.67"/>
    <n v="1170"/>
    <n v="1"/>
    <n v="1"/>
  </r>
  <r>
    <m/>
    <m/>
    <x v="1"/>
    <s v="11542543001001"/>
    <n v="-0.96"/>
    <n v="39"/>
    <n v="1"/>
    <n v="1"/>
  </r>
  <r>
    <m/>
    <m/>
    <x v="1"/>
    <s v="11964851001002"/>
    <n v="-10.39"/>
    <n v="424"/>
    <n v="1"/>
    <n v="1"/>
  </r>
  <r>
    <m/>
    <m/>
    <x v="1"/>
    <s v="12670921001001"/>
    <n v="-1.91"/>
    <n v="78"/>
    <n v="1"/>
    <n v="1"/>
  </r>
  <r>
    <m/>
    <m/>
    <x v="1"/>
    <s v="12738579001003"/>
    <n v="-43.46"/>
    <n v="1774"/>
    <n v="1"/>
    <n v="1"/>
  </r>
  <r>
    <m/>
    <m/>
    <x v="1"/>
    <s v="13116014001003"/>
    <n v="-19.940000000000001"/>
    <n v="814"/>
    <n v="1"/>
    <n v="1"/>
  </r>
  <r>
    <m/>
    <m/>
    <x v="1"/>
    <s v="13551843001002"/>
    <n v="-3.8"/>
    <n v="155"/>
    <n v="1"/>
    <n v="1"/>
  </r>
  <r>
    <m/>
    <m/>
    <x v="1"/>
    <s v="13844306002004"/>
    <n v="-21"/>
    <n v="857"/>
    <n v="1"/>
    <n v="1"/>
  </r>
  <r>
    <m/>
    <m/>
    <x v="1"/>
    <s v="13854832004003"/>
    <n v="-16.39"/>
    <n v="669"/>
    <n v="1"/>
    <n v="1"/>
  </r>
  <r>
    <m/>
    <m/>
    <x v="1"/>
    <s v="13899655001008"/>
    <n v="-50.64"/>
    <n v="2067"/>
    <n v="1"/>
    <n v="1"/>
  </r>
  <r>
    <m/>
    <m/>
    <x v="1"/>
    <s v="13972735001001"/>
    <n v="-25.31"/>
    <n v="1033"/>
    <n v="1"/>
    <n v="1"/>
  </r>
  <r>
    <m/>
    <m/>
    <x v="1"/>
    <s v="14115069001001"/>
    <n v="-1.2"/>
    <n v="49"/>
    <n v="1"/>
    <n v="1"/>
  </r>
  <r>
    <m/>
    <m/>
    <x v="1"/>
    <s v="14276797001005"/>
    <n v="-45.23"/>
    <n v="1846"/>
    <n v="1"/>
    <n v="1"/>
  </r>
  <r>
    <m/>
    <m/>
    <x v="1"/>
    <s v="14663014001002"/>
    <n v="-37.090000000000003"/>
    <n v="1514"/>
    <n v="1"/>
    <n v="1"/>
  </r>
  <r>
    <m/>
    <m/>
    <x v="1"/>
    <s v="14994182001007"/>
    <n v="-55.37"/>
    <n v="2260"/>
    <n v="1"/>
    <n v="1"/>
  </r>
  <r>
    <m/>
    <m/>
    <x v="1"/>
    <s v="15161620001001"/>
    <n v="-31.24"/>
    <n v="1275"/>
    <n v="1"/>
    <n v="1"/>
  </r>
  <r>
    <m/>
    <m/>
    <x v="1"/>
    <s v="15391958001009"/>
    <n v="-17.13"/>
    <n v="699"/>
    <n v="1"/>
    <n v="1"/>
  </r>
  <r>
    <m/>
    <m/>
    <x v="1"/>
    <s v="15707865001001"/>
    <n v="-6.03"/>
    <n v="246"/>
    <n v="1"/>
    <n v="1"/>
  </r>
  <r>
    <m/>
    <m/>
    <x v="1"/>
    <s v="15752716002001"/>
    <n v="-101.16"/>
    <n v="4129"/>
    <n v="1"/>
    <n v="1"/>
  </r>
  <r>
    <m/>
    <m/>
    <x v="1"/>
    <s v="15868625001001"/>
    <n v="-47.9"/>
    <n v="1955"/>
    <n v="1"/>
    <n v="1"/>
  </r>
  <r>
    <m/>
    <m/>
    <x v="1"/>
    <s v="15896167001005"/>
    <n v="-54.41"/>
    <n v="2221"/>
    <n v="1"/>
    <n v="1"/>
  </r>
  <r>
    <m/>
    <m/>
    <x v="1"/>
    <s v="15931265001001"/>
    <n v="-24.55"/>
    <n v="1002"/>
    <n v="1"/>
    <n v="1"/>
  </r>
  <r>
    <m/>
    <m/>
    <x v="1"/>
    <s v="15945184001001"/>
    <n v="-22.91"/>
    <n v="935"/>
    <n v="1"/>
    <n v="1"/>
  </r>
  <r>
    <m/>
    <m/>
    <x v="1"/>
    <s v="15945413001003"/>
    <n v="-43.81"/>
    <n v="1788"/>
    <n v="1"/>
    <n v="1"/>
  </r>
  <r>
    <m/>
    <m/>
    <x v="1"/>
    <s v="15972551001005"/>
    <n v="-14.87"/>
    <n v="607"/>
    <n v="1"/>
    <n v="1"/>
  </r>
  <r>
    <m/>
    <m/>
    <x v="1"/>
    <s v="16309419001005"/>
    <n v="-8.4499999999999993"/>
    <n v="345"/>
    <n v="1"/>
    <n v="1"/>
  </r>
  <r>
    <m/>
    <m/>
    <x v="1"/>
    <s v="16354772002003"/>
    <n v="-21.32"/>
    <n v="870"/>
    <n v="1"/>
    <n v="1"/>
  </r>
  <r>
    <m/>
    <m/>
    <x v="1"/>
    <s v="16709268001002"/>
    <n v="-31.38"/>
    <n v="1281"/>
    <n v="1"/>
    <n v="1"/>
  </r>
  <r>
    <m/>
    <m/>
    <x v="1"/>
    <s v="16801512002002"/>
    <n v="-73.13"/>
    <n v="2985"/>
    <n v="1"/>
    <n v="1"/>
  </r>
  <r>
    <m/>
    <m/>
    <x v="1"/>
    <s v="16884109001002"/>
    <n v="-56.23"/>
    <n v="2295"/>
    <n v="1"/>
    <n v="1"/>
  </r>
  <r>
    <m/>
    <m/>
    <x v="1"/>
    <s v="17175636001003"/>
    <n v="-10.02"/>
    <n v="409"/>
    <n v="1"/>
    <n v="1"/>
  </r>
  <r>
    <m/>
    <m/>
    <x v="1"/>
    <s v="17329177001003"/>
    <n v="-42.02"/>
    <n v="1715"/>
    <n v="1"/>
    <n v="1"/>
  </r>
  <r>
    <m/>
    <m/>
    <x v="1"/>
    <s v="17581646001002"/>
    <n v="-33.44"/>
    <n v="1365"/>
    <n v="1"/>
    <n v="1"/>
  </r>
  <r>
    <m/>
    <m/>
    <x v="1"/>
    <s v="17695560001001"/>
    <n v="-28.93"/>
    <n v="1181"/>
    <n v="1"/>
    <n v="1"/>
  </r>
  <r>
    <m/>
    <m/>
    <x v="1"/>
    <s v="17700255001003"/>
    <n v="-48.22"/>
    <n v="1968"/>
    <n v="1"/>
    <n v="1"/>
  </r>
  <r>
    <m/>
    <m/>
    <x v="1"/>
    <s v="17834267001002"/>
    <n v="-31.78"/>
    <n v="1297"/>
    <n v="1"/>
    <n v="1"/>
  </r>
  <r>
    <m/>
    <m/>
    <x v="1"/>
    <s v="17993993001003"/>
    <n v="-21.44"/>
    <n v="875"/>
    <n v="1"/>
    <n v="1"/>
  </r>
  <r>
    <m/>
    <m/>
    <x v="1"/>
    <s v="19396001001001"/>
    <n v="-8.5299999999999994"/>
    <n v="348"/>
    <n v="1"/>
    <n v="1"/>
  </r>
  <r>
    <m/>
    <m/>
    <x v="1"/>
    <s v="19497588001001"/>
    <n v="-3.8"/>
    <n v="155"/>
    <n v="1"/>
    <n v="1"/>
  </r>
  <r>
    <m/>
    <m/>
    <x v="1"/>
    <s v="19508093004001"/>
    <n v="-43"/>
    <n v="1755"/>
    <n v="1"/>
    <n v="1"/>
  </r>
  <r>
    <m/>
    <m/>
    <x v="1"/>
    <s v="19669200001002"/>
    <n v="-43.05"/>
    <n v="1757"/>
    <n v="1"/>
    <n v="1"/>
  </r>
  <r>
    <m/>
    <m/>
    <x v="1"/>
    <s v="19678433003003"/>
    <n v="-1.35"/>
    <n v="55"/>
    <n v="1"/>
    <n v="1"/>
  </r>
  <r>
    <m/>
    <m/>
    <x v="1"/>
    <s v="20011333001001"/>
    <n v="-15.46"/>
    <n v="631"/>
    <n v="1"/>
    <n v="1"/>
  </r>
  <r>
    <m/>
    <m/>
    <x v="1"/>
    <s v="20283219003003"/>
    <n v="-62.5"/>
    <n v="2551"/>
    <n v="1"/>
    <n v="1"/>
  </r>
  <r>
    <m/>
    <m/>
    <x v="1"/>
    <s v="20367566001001"/>
    <n v="-72.69"/>
    <n v="2967"/>
    <n v="1"/>
    <n v="1"/>
  </r>
  <r>
    <m/>
    <m/>
    <x v="1"/>
    <s v="20375453005001"/>
    <n v="-52.68"/>
    <n v="2150"/>
    <n v="1"/>
    <n v="1"/>
  </r>
  <r>
    <m/>
    <m/>
    <x v="1"/>
    <s v="20444426001001"/>
    <n v="-8.4499999999999993"/>
    <n v="345"/>
    <n v="1"/>
    <n v="1"/>
  </r>
  <r>
    <m/>
    <m/>
    <x v="1"/>
    <s v="20482636001005"/>
    <n v="-28.52"/>
    <n v="1164"/>
    <n v="1"/>
    <n v="1"/>
  </r>
  <r>
    <m/>
    <m/>
    <x v="1"/>
    <s v="21046404001005"/>
    <n v="-43.93"/>
    <n v="1793"/>
    <n v="1"/>
    <n v="1"/>
  </r>
  <r>
    <m/>
    <m/>
    <x v="1"/>
    <s v="21057119001003"/>
    <n v="-72.150000000000006"/>
    <n v="2945"/>
    <n v="1"/>
    <n v="1"/>
  </r>
  <r>
    <m/>
    <m/>
    <x v="1"/>
    <s v="21322695001001"/>
    <n v="-2.0099999999999998"/>
    <n v="82"/>
    <n v="1"/>
    <n v="1"/>
  </r>
  <r>
    <m/>
    <m/>
    <x v="1"/>
    <s v="21528376001001"/>
    <n v="-15.31"/>
    <n v="625"/>
    <n v="1"/>
    <n v="1"/>
  </r>
  <r>
    <m/>
    <m/>
    <x v="1"/>
    <s v="21610680001001"/>
    <n v="-68.430000000000007"/>
    <n v="2793"/>
    <n v="1"/>
    <n v="1"/>
  </r>
  <r>
    <m/>
    <m/>
    <x v="1"/>
    <s v="21883954001003"/>
    <n v="-35.28"/>
    <n v="1440"/>
    <n v="1"/>
    <n v="1"/>
  </r>
  <r>
    <m/>
    <m/>
    <x v="1"/>
    <s v="22107625001001"/>
    <n v="-60.86"/>
    <n v="2484"/>
    <n v="1"/>
    <n v="1"/>
  </r>
  <r>
    <m/>
    <m/>
    <x v="1"/>
    <s v="22178371001001"/>
    <n v="-36.6"/>
    <n v="1494"/>
    <n v="1"/>
    <n v="1"/>
  </r>
  <r>
    <m/>
    <m/>
    <x v="1"/>
    <s v="22280876001009"/>
    <n v="-90.9"/>
    <n v="3710"/>
    <n v="1"/>
    <n v="1"/>
  </r>
  <r>
    <m/>
    <m/>
    <x v="1"/>
    <s v="22384711002002"/>
    <n v="-6.13"/>
    <n v="250"/>
    <n v="1"/>
    <n v="1"/>
  </r>
  <r>
    <m/>
    <m/>
    <x v="1"/>
    <s v="22556911001001"/>
    <n v="-41.18"/>
    <n v="1681"/>
    <n v="1"/>
    <n v="1"/>
  </r>
  <r>
    <m/>
    <m/>
    <x v="1"/>
    <s v="22860010001001"/>
    <n v="-52.09"/>
    <n v="2126"/>
    <n v="1"/>
    <n v="1"/>
  </r>
  <r>
    <m/>
    <m/>
    <x v="1"/>
    <s v="23207615004001"/>
    <n v="-129.65"/>
    <n v="5292"/>
    <n v="1"/>
    <n v="1"/>
  </r>
  <r>
    <m/>
    <m/>
    <x v="1"/>
    <s v="23465139001008"/>
    <n v="-50.35"/>
    <n v="2055"/>
    <n v="1"/>
    <n v="1"/>
  </r>
  <r>
    <m/>
    <m/>
    <x v="1"/>
    <s v="23478212002003"/>
    <n v="-24.82"/>
    <n v="1013"/>
    <n v="1"/>
    <n v="1"/>
  </r>
  <r>
    <m/>
    <m/>
    <x v="1"/>
    <s v="23492030001001"/>
    <n v="-44.3"/>
    <n v="1808"/>
    <n v="1"/>
    <n v="1"/>
  </r>
  <r>
    <m/>
    <m/>
    <x v="1"/>
    <s v="23628172002001"/>
    <n v="-62.77"/>
    <n v="2562"/>
    <n v="1"/>
    <n v="1"/>
  </r>
  <r>
    <m/>
    <m/>
    <x v="1"/>
    <s v="24324136002006"/>
    <n v="-21.66"/>
    <n v="884"/>
    <n v="1"/>
    <n v="1"/>
  </r>
  <r>
    <m/>
    <m/>
    <x v="1"/>
    <s v="24367594001003"/>
    <n v="-59.95"/>
    <n v="2447"/>
    <n v="1"/>
    <n v="1"/>
  </r>
  <r>
    <m/>
    <m/>
    <x v="1"/>
    <s v="24944686001001"/>
    <n v="-2.0099999999999998"/>
    <n v="82"/>
    <n v="1"/>
    <n v="1"/>
  </r>
  <r>
    <m/>
    <m/>
    <x v="1"/>
    <s v="25026606001003"/>
    <n v="-20.41"/>
    <n v="833"/>
    <n v="1"/>
    <n v="1"/>
  </r>
  <r>
    <m/>
    <m/>
    <x v="1"/>
    <s v="25269969001001"/>
    <n v="-21.17"/>
    <n v="864"/>
    <n v="1"/>
    <n v="1"/>
  </r>
  <r>
    <m/>
    <m/>
    <x v="1"/>
    <s v="25549425001001"/>
    <n v="-88.54"/>
    <n v="3614"/>
    <n v="1"/>
    <n v="1"/>
  </r>
  <r>
    <m/>
    <m/>
    <x v="1"/>
    <s v="25616940003001"/>
    <n v="-28.15"/>
    <n v="1149"/>
    <n v="1"/>
    <n v="1"/>
  </r>
  <r>
    <m/>
    <m/>
    <x v="1"/>
    <s v="25664446001001"/>
    <n v="-48.58"/>
    <n v="1983"/>
    <n v="1"/>
    <n v="1"/>
  </r>
  <r>
    <m/>
    <m/>
    <x v="1"/>
    <s v="25818682001001"/>
    <n v="-10.78"/>
    <n v="440"/>
    <n v="1"/>
    <n v="1"/>
  </r>
  <r>
    <m/>
    <m/>
    <x v="1"/>
    <s v="25829665002003"/>
    <n v="-169.54"/>
    <n v="6920"/>
    <n v="1"/>
    <n v="1"/>
  </r>
  <r>
    <m/>
    <m/>
    <x v="1"/>
    <s v="25839879001001"/>
    <n v="-50.52"/>
    <n v="2062"/>
    <n v="1"/>
    <n v="1"/>
  </r>
  <r>
    <m/>
    <m/>
    <x v="1"/>
    <s v="26254990001003"/>
    <n v="-1.57"/>
    <n v="64"/>
    <n v="1"/>
    <n v="1"/>
  </r>
  <r>
    <m/>
    <m/>
    <x v="1"/>
    <s v="26278650001003"/>
    <n v="-32.39"/>
    <n v="1322"/>
    <n v="1"/>
    <n v="1"/>
  </r>
  <r>
    <m/>
    <m/>
    <x v="1"/>
    <s v="26476096002001"/>
    <n v="-28.4"/>
    <n v="1159"/>
    <n v="1"/>
    <n v="1"/>
  </r>
  <r>
    <m/>
    <m/>
    <x v="1"/>
    <s v="26835966001001"/>
    <n v="-18.91"/>
    <n v="772"/>
    <n v="1"/>
    <n v="1"/>
  </r>
  <r>
    <m/>
    <m/>
    <x v="1"/>
    <s v="26841750001003"/>
    <n v="-68.400000000000006"/>
    <n v="2792"/>
    <n v="1"/>
    <n v="1"/>
  </r>
  <r>
    <m/>
    <m/>
    <x v="1"/>
    <s v="27141666001001"/>
    <n v="-61.1"/>
    <n v="2494"/>
    <n v="1"/>
    <n v="1"/>
  </r>
  <r>
    <m/>
    <m/>
    <x v="1"/>
    <s v="27250246001005"/>
    <n v="-36.21"/>
    <n v="1478"/>
    <n v="1"/>
    <n v="1"/>
  </r>
  <r>
    <m/>
    <m/>
    <x v="1"/>
    <s v="27553023001001"/>
    <n v="-48.58"/>
    <n v="1983"/>
    <n v="1"/>
    <n v="1"/>
  </r>
  <r>
    <m/>
    <m/>
    <x v="1"/>
    <s v="27608911002001"/>
    <n v="-1.1499999999999999"/>
    <n v="47"/>
    <n v="1"/>
    <n v="1"/>
  </r>
  <r>
    <m/>
    <m/>
    <x v="1"/>
    <s v="27668170001005"/>
    <n v="-141.29"/>
    <n v="5767"/>
    <n v="1"/>
    <n v="1"/>
  </r>
  <r>
    <m/>
    <m/>
    <x v="1"/>
    <s v="27696108001012"/>
    <n v="-56.06"/>
    <n v="2288"/>
    <n v="1"/>
    <n v="1"/>
  </r>
  <r>
    <m/>
    <m/>
    <x v="1"/>
    <s v="27733480001001"/>
    <n v="-37.26"/>
    <n v="1521"/>
    <n v="1"/>
    <n v="1"/>
  </r>
  <r>
    <m/>
    <m/>
    <x v="1"/>
    <s v="27883736001001"/>
    <n v="-70.930000000000007"/>
    <n v="2895"/>
    <n v="1"/>
    <n v="1"/>
  </r>
  <r>
    <m/>
    <m/>
    <x v="1"/>
    <s v="27977791001003"/>
    <n v="-12.1"/>
    <n v="494"/>
    <n v="1"/>
    <n v="1"/>
  </r>
  <r>
    <m/>
    <m/>
    <x v="1"/>
    <s v="27991196001001"/>
    <n v="-49.54"/>
    <n v="2022"/>
    <n v="1"/>
    <n v="1"/>
  </r>
  <r>
    <m/>
    <m/>
    <x v="1"/>
    <s v="28006021003005"/>
    <n v="-48.58"/>
    <n v="1983"/>
    <n v="1"/>
    <n v="1"/>
  </r>
  <r>
    <m/>
    <m/>
    <x v="1"/>
    <s v="28065736001006"/>
    <n v="-87.66"/>
    <n v="3578"/>
    <n v="1"/>
    <n v="1"/>
  </r>
  <r>
    <m/>
    <m/>
    <x v="1"/>
    <s v="28282482001001"/>
    <n v="-53.61"/>
    <n v="2188"/>
    <n v="1"/>
    <n v="1"/>
  </r>
  <r>
    <m/>
    <m/>
    <x v="1"/>
    <s v="28535255003001"/>
    <n v="-56.94"/>
    <n v="2324"/>
    <n v="1"/>
    <n v="1"/>
  </r>
  <r>
    <m/>
    <m/>
    <x v="1"/>
    <s v="28592824001002"/>
    <n v="-7.82"/>
    <n v="319"/>
    <n v="1"/>
    <n v="1"/>
  </r>
  <r>
    <m/>
    <m/>
    <x v="1"/>
    <s v="28626166001001"/>
    <n v="-9.82"/>
    <n v="401"/>
    <n v="1"/>
    <n v="1"/>
  </r>
  <r>
    <m/>
    <m/>
    <x v="1"/>
    <s v="28827702001004"/>
    <n v="-58.75"/>
    <n v="2398"/>
    <n v="1"/>
    <n v="1"/>
  </r>
  <r>
    <m/>
    <m/>
    <x v="1"/>
    <s v="29018645001003"/>
    <n v="-79.14"/>
    <n v="3230"/>
    <n v="1"/>
    <n v="1"/>
  </r>
  <r>
    <m/>
    <m/>
    <x v="1"/>
    <s v="29120389001004"/>
    <n v="-21.56"/>
    <n v="880"/>
    <n v="1"/>
    <n v="1"/>
  </r>
  <r>
    <m/>
    <m/>
    <x v="1"/>
    <s v="29250419001001"/>
    <n v="-74.239999999999995"/>
    <n v="3030"/>
    <n v="1"/>
    <n v="1"/>
  </r>
  <r>
    <m/>
    <m/>
    <x v="1"/>
    <s v="29333477001001"/>
    <n v="-23.1"/>
    <n v="943"/>
    <n v="1"/>
    <n v="1"/>
  </r>
  <r>
    <m/>
    <m/>
    <x v="1"/>
    <s v="29519438001001"/>
    <n v="-69.56"/>
    <n v="2839"/>
    <n v="1"/>
    <n v="1"/>
  </r>
  <r>
    <m/>
    <m/>
    <x v="1"/>
    <s v="29647367001002"/>
    <n v="-47.87"/>
    <n v="1954"/>
    <n v="1"/>
    <n v="1"/>
  </r>
  <r>
    <m/>
    <m/>
    <x v="1"/>
    <s v="29786462001001"/>
    <n v="-38.96"/>
    <n v="1590"/>
    <n v="1"/>
    <n v="1"/>
  </r>
  <r>
    <m/>
    <m/>
    <x v="1"/>
    <s v="30043368001001"/>
    <n v="-50.52"/>
    <n v="2062"/>
    <n v="1"/>
    <n v="1"/>
  </r>
  <r>
    <m/>
    <m/>
    <x v="1"/>
    <s v="30231904001002"/>
    <n v="-6.59"/>
    <n v="269"/>
    <n v="1"/>
    <n v="1"/>
  </r>
  <r>
    <m/>
    <m/>
    <x v="1"/>
    <s v="30315366001001"/>
    <n v="-72.08"/>
    <n v="2942"/>
    <n v="1"/>
    <n v="1"/>
  </r>
  <r>
    <m/>
    <m/>
    <x v="1"/>
    <s v="30656073001007"/>
    <n v="-20.34"/>
    <n v="830"/>
    <n v="1"/>
    <n v="1"/>
  </r>
  <r>
    <m/>
    <m/>
    <x v="1"/>
    <s v="30975210001001"/>
    <n v="-71.86"/>
    <n v="2933"/>
    <n v="1"/>
    <n v="1"/>
  </r>
  <r>
    <m/>
    <m/>
    <x v="1"/>
    <s v="31104124001001"/>
    <n v="-45.08"/>
    <n v="1840"/>
    <n v="1"/>
    <n v="1"/>
  </r>
  <r>
    <m/>
    <m/>
    <x v="1"/>
    <s v="31263952001003"/>
    <n v="-62.65"/>
    <n v="2557"/>
    <n v="1"/>
    <n v="1"/>
  </r>
  <r>
    <m/>
    <m/>
    <x v="1"/>
    <s v="31266211001004"/>
    <n v="-41.41"/>
    <n v="1690"/>
    <n v="1"/>
    <n v="1"/>
  </r>
  <r>
    <m/>
    <m/>
    <x v="1"/>
    <s v="31309940001001"/>
    <n v="-33.93"/>
    <n v="1385"/>
    <n v="1"/>
    <n v="1"/>
  </r>
  <r>
    <m/>
    <m/>
    <x v="1"/>
    <s v="31345337001002"/>
    <n v="-15.78"/>
    <n v="644"/>
    <n v="1"/>
    <n v="1"/>
  </r>
  <r>
    <m/>
    <m/>
    <x v="1"/>
    <s v="31419012001003"/>
    <n v="-63.41"/>
    <n v="2588"/>
    <n v="1"/>
    <n v="1"/>
  </r>
  <r>
    <m/>
    <m/>
    <x v="1"/>
    <s v="31589368001001"/>
    <n v="-57.35"/>
    <n v="2341"/>
    <n v="1"/>
    <n v="1"/>
  </r>
  <r>
    <m/>
    <m/>
    <x v="1"/>
    <s v="32105928002003"/>
    <n v="-37.49"/>
    <n v="1530"/>
    <n v="1"/>
    <n v="1"/>
  </r>
  <r>
    <m/>
    <m/>
    <x v="1"/>
    <s v="32321580001004"/>
    <n v="-43.41"/>
    <n v="1772"/>
    <n v="1"/>
    <n v="1"/>
  </r>
  <r>
    <m/>
    <m/>
    <x v="1"/>
    <s v="32701639002001"/>
    <n v="-34.57"/>
    <n v="1411"/>
    <n v="1"/>
    <n v="1"/>
  </r>
  <r>
    <m/>
    <m/>
    <x v="1"/>
    <s v="32885919001001"/>
    <n v="-35.28"/>
    <n v="1440"/>
    <n v="1"/>
    <n v="1"/>
  </r>
  <r>
    <m/>
    <m/>
    <x v="1"/>
    <s v="32971914002001"/>
    <n v="-20.53"/>
    <n v="838"/>
    <n v="1"/>
    <n v="1"/>
  </r>
  <r>
    <m/>
    <m/>
    <x v="1"/>
    <s v="33062190002001"/>
    <n v="-56.74"/>
    <n v="2316"/>
    <n v="1"/>
    <n v="1"/>
  </r>
  <r>
    <m/>
    <m/>
    <x v="1"/>
    <s v="33397794002001"/>
    <n v="-99.37"/>
    <n v="4056"/>
    <n v="1"/>
    <n v="1"/>
  </r>
  <r>
    <m/>
    <m/>
    <x v="1"/>
    <s v="33633028001001"/>
    <n v="-24.82"/>
    <n v="1013"/>
    <n v="1"/>
    <n v="1"/>
  </r>
  <r>
    <m/>
    <m/>
    <x v="1"/>
    <s v="33887728001004"/>
    <n v="-50.86"/>
    <n v="2076"/>
    <n v="1"/>
    <n v="1"/>
  </r>
  <r>
    <m/>
    <m/>
    <x v="1"/>
    <s v="34181343001001"/>
    <n v="-60.78"/>
    <n v="2481"/>
    <n v="1"/>
    <n v="1"/>
  </r>
  <r>
    <m/>
    <m/>
    <x v="1"/>
    <s v="34197993001005"/>
    <n v="-10.56"/>
    <n v="431"/>
    <n v="1"/>
    <n v="1"/>
  </r>
  <r>
    <m/>
    <m/>
    <x v="1"/>
    <s v="34256010001004"/>
    <n v="-46.67"/>
    <n v="1905"/>
    <n v="1"/>
    <n v="1"/>
  </r>
  <r>
    <m/>
    <m/>
    <x v="1"/>
    <s v="34329415001002"/>
    <n v="-12.57"/>
    <n v="513"/>
    <n v="1"/>
    <n v="1"/>
  </r>
  <r>
    <m/>
    <m/>
    <x v="1"/>
    <s v="34348453001007"/>
    <n v="-60.71"/>
    <n v="2478"/>
    <n v="1"/>
    <n v="1"/>
  </r>
  <r>
    <m/>
    <m/>
    <x v="1"/>
    <s v="34394848001001"/>
    <n v="-47.16"/>
    <n v="1925"/>
    <n v="1"/>
    <n v="1"/>
  </r>
  <r>
    <m/>
    <m/>
    <x v="1"/>
    <s v="34678157001001"/>
    <n v="-41.55"/>
    <n v="1696"/>
    <n v="1"/>
    <n v="1"/>
  </r>
  <r>
    <m/>
    <m/>
    <x v="1"/>
    <s v="34861184002001"/>
    <n v="-137.37"/>
    <n v="5607"/>
    <n v="1"/>
    <n v="1"/>
  </r>
  <r>
    <m/>
    <m/>
    <x v="1"/>
    <s v="34902092001003"/>
    <n v="-20.87"/>
    <n v="852"/>
    <n v="1"/>
    <n v="1"/>
  </r>
  <r>
    <m/>
    <m/>
    <x v="1"/>
    <s v="34923612001001"/>
    <n v="-3.92"/>
    <n v="160"/>
    <n v="1"/>
    <n v="1"/>
  </r>
  <r>
    <m/>
    <m/>
    <x v="1"/>
    <s v="35202172002003"/>
    <n v="-23.18"/>
    <n v="946"/>
    <n v="1"/>
    <n v="1"/>
  </r>
  <r>
    <m/>
    <m/>
    <x v="1"/>
    <s v="35482082002001"/>
    <n v="-71.88"/>
    <n v="2934"/>
    <n v="1"/>
    <n v="1"/>
  </r>
  <r>
    <m/>
    <m/>
    <x v="1"/>
    <s v="36023502001013"/>
    <n v="-76.930000000000007"/>
    <n v="3140"/>
    <n v="1"/>
    <n v="1"/>
  </r>
  <r>
    <m/>
    <m/>
    <x v="1"/>
    <s v="36052702001001"/>
    <n v="-30.55"/>
    <n v="1247"/>
    <n v="1"/>
    <n v="1"/>
  </r>
  <r>
    <m/>
    <m/>
    <x v="1"/>
    <s v="36065414001010"/>
    <n v="-57.82"/>
    <n v="2360"/>
    <n v="1"/>
    <n v="1"/>
  </r>
  <r>
    <m/>
    <m/>
    <x v="1"/>
    <s v="36529463001001"/>
    <n v="-56.99"/>
    <n v="2326"/>
    <n v="1"/>
    <n v="1"/>
  </r>
  <r>
    <m/>
    <m/>
    <x v="1"/>
    <s v="36995940001003"/>
    <n v="-71.12"/>
    <n v="2903"/>
    <n v="1"/>
    <n v="1"/>
  </r>
  <r>
    <m/>
    <m/>
    <x v="1"/>
    <s v="37047706001003"/>
    <n v="-73.84"/>
    <n v="3014"/>
    <n v="1"/>
    <n v="1"/>
  </r>
  <r>
    <m/>
    <m/>
    <x v="1"/>
    <s v="37380947001001"/>
    <n v="-52.28"/>
    <n v="2134"/>
    <n v="1"/>
    <n v="1"/>
  </r>
  <r>
    <m/>
    <m/>
    <x v="1"/>
    <s v="37578682001001"/>
    <n v="-30.55"/>
    <n v="1247"/>
    <n v="1"/>
    <n v="1"/>
  </r>
  <r>
    <m/>
    <m/>
    <x v="1"/>
    <s v="38031459001001"/>
    <n v="-22"/>
    <n v="898"/>
    <n v="1"/>
    <n v="1"/>
  </r>
  <r>
    <m/>
    <m/>
    <x v="1"/>
    <s v="38067720003001"/>
    <n v="-19.920000000000002"/>
    <n v="813"/>
    <n v="1"/>
    <n v="1"/>
  </r>
  <r>
    <m/>
    <m/>
    <x v="1"/>
    <s v="38319008002003"/>
    <n v="-48.41"/>
    <n v="1976"/>
    <n v="1"/>
    <n v="1"/>
  </r>
  <r>
    <m/>
    <m/>
    <x v="1"/>
    <s v="38613622001005"/>
    <n v="-18.739999999999998"/>
    <n v="765"/>
    <n v="1"/>
    <n v="1"/>
  </r>
  <r>
    <m/>
    <m/>
    <x v="1"/>
    <s v="38860694001003"/>
    <n v="-67.64"/>
    <n v="2761"/>
    <n v="1"/>
    <n v="1"/>
  </r>
  <r>
    <m/>
    <m/>
    <x v="1"/>
    <s v="39281076001004"/>
    <n v="-81.83"/>
    <n v="3340"/>
    <n v="1"/>
    <n v="1"/>
  </r>
  <r>
    <m/>
    <m/>
    <x v="1"/>
    <s v="39597196001001"/>
    <n v="-41.99"/>
    <n v="1714"/>
    <n v="1"/>
    <n v="1"/>
  </r>
  <r>
    <m/>
    <m/>
    <x v="1"/>
    <s v="39658784002001"/>
    <n v="-11.34"/>
    <n v="463"/>
    <n v="1"/>
    <n v="1"/>
  </r>
  <r>
    <m/>
    <m/>
    <x v="1"/>
    <s v="39662471001003"/>
    <n v="-46.31"/>
    <n v="1890"/>
    <n v="1"/>
    <n v="1"/>
  </r>
  <r>
    <m/>
    <m/>
    <x v="1"/>
    <s v="39810811001003"/>
    <n v="-44.32"/>
    <n v="1809"/>
    <n v="1"/>
    <n v="1"/>
  </r>
  <r>
    <m/>
    <m/>
    <x v="1"/>
    <s v="39822134003009"/>
    <n v="-35.380000000000003"/>
    <n v="1444"/>
    <n v="1"/>
    <n v="1"/>
  </r>
  <r>
    <m/>
    <m/>
    <x v="1"/>
    <s v="39860007001003"/>
    <n v="-40.25"/>
    <n v="1643"/>
    <n v="1"/>
    <n v="1"/>
  </r>
  <r>
    <m/>
    <m/>
    <x v="1"/>
    <s v="40635703001001"/>
    <n v="-6.52"/>
    <n v="266"/>
    <n v="1"/>
    <n v="1"/>
  </r>
  <r>
    <m/>
    <m/>
    <x v="1"/>
    <s v="40670304001003"/>
    <n v="-28.96"/>
    <n v="1182"/>
    <n v="2"/>
    <n v="1"/>
  </r>
  <r>
    <m/>
    <m/>
    <x v="1"/>
    <s v="41140540002001"/>
    <n v="-26.56"/>
    <n v="1084"/>
    <n v="1"/>
    <n v="1"/>
  </r>
  <r>
    <m/>
    <m/>
    <x v="1"/>
    <s v="41231167001001"/>
    <n v="-7.55"/>
    <n v="308"/>
    <n v="1"/>
    <n v="1"/>
  </r>
  <r>
    <m/>
    <m/>
    <x v="1"/>
    <s v="41383064001001"/>
    <n v="-65.83"/>
    <n v="2687"/>
    <n v="1"/>
    <n v="1"/>
  </r>
  <r>
    <m/>
    <m/>
    <x v="1"/>
    <s v="41426603001001"/>
    <n v="-18.72"/>
    <n v="764"/>
    <n v="1"/>
    <n v="1"/>
  </r>
  <r>
    <m/>
    <m/>
    <x v="1"/>
    <s v="42203478001003"/>
    <n v="-26.09"/>
    <n v="1065"/>
    <n v="1"/>
    <n v="1"/>
  </r>
  <r>
    <m/>
    <m/>
    <x v="1"/>
    <s v="42514151001004"/>
    <n v="-5.05"/>
    <n v="206"/>
    <n v="1"/>
    <n v="1"/>
  </r>
  <r>
    <m/>
    <m/>
    <x v="1"/>
    <s v="42514501001001"/>
    <n v="-27.69"/>
    <n v="1130"/>
    <n v="1"/>
    <n v="1"/>
  </r>
  <r>
    <m/>
    <m/>
    <x v="1"/>
    <s v="42524441001002"/>
    <n v="-70"/>
    <n v="2857"/>
    <n v="1"/>
    <n v="1"/>
  </r>
  <r>
    <m/>
    <m/>
    <x v="1"/>
    <s v="42528501001002"/>
    <n v="-32.51"/>
    <n v="1327"/>
    <n v="1"/>
    <n v="1"/>
  </r>
  <r>
    <m/>
    <m/>
    <x v="1"/>
    <s v="42536481001002"/>
    <n v="-67.42"/>
    <n v="2752"/>
    <n v="1"/>
    <n v="1"/>
  </r>
  <r>
    <m/>
    <m/>
    <x v="1"/>
    <s v="42540401001001"/>
    <n v="-2.79"/>
    <n v="114"/>
    <n v="1"/>
    <n v="1"/>
  </r>
  <r>
    <m/>
    <m/>
    <x v="1"/>
    <s v="42586041004001"/>
    <n v="-19.36"/>
    <n v="790"/>
    <n v="1"/>
    <n v="1"/>
  </r>
  <r>
    <m/>
    <m/>
    <x v="1"/>
    <s v="42613341001001"/>
    <n v="-10.27"/>
    <n v="419"/>
    <n v="1"/>
    <n v="1"/>
  </r>
  <r>
    <m/>
    <m/>
    <x v="1"/>
    <s v="42620271001001"/>
    <n v="-19.940000000000001"/>
    <n v="814"/>
    <n v="1"/>
    <n v="1"/>
  </r>
  <r>
    <m/>
    <m/>
    <x v="1"/>
    <s v="42628881001001"/>
    <n v="-3.31"/>
    <n v="135"/>
    <n v="1"/>
    <n v="1"/>
  </r>
  <r>
    <m/>
    <m/>
    <x v="1"/>
    <s v="42649321001001"/>
    <n v="-7.99"/>
    <n v="326"/>
    <n v="1"/>
    <n v="1"/>
  </r>
  <r>
    <m/>
    <m/>
    <x v="1"/>
    <s v="42659261001004"/>
    <n v="-29.89"/>
    <n v="1220"/>
    <n v="1"/>
    <n v="1"/>
  </r>
  <r>
    <m/>
    <m/>
    <x v="1"/>
    <s v="42677111001001"/>
    <n v="-9.68"/>
    <n v="395"/>
    <n v="1"/>
    <n v="1"/>
  </r>
  <r>
    <m/>
    <m/>
    <x v="1"/>
    <s v="42812561001002"/>
    <n v="-42.9"/>
    <n v="1751"/>
    <n v="1"/>
    <n v="1"/>
  </r>
  <r>
    <m/>
    <m/>
    <x v="1"/>
    <s v="42890570001001"/>
    <n v="-92.46"/>
    <n v="3774"/>
    <n v="1"/>
    <n v="1"/>
  </r>
  <r>
    <m/>
    <m/>
    <x v="1"/>
    <s v="42898451001001"/>
    <n v="-7.64"/>
    <n v="312"/>
    <n v="1"/>
    <n v="1"/>
  </r>
  <r>
    <m/>
    <m/>
    <x v="1"/>
    <s v="42910351006001"/>
    <n v="-54.73"/>
    <n v="2234"/>
    <n v="1"/>
    <n v="1"/>
  </r>
  <r>
    <m/>
    <m/>
    <x v="1"/>
    <s v="42954661002001"/>
    <n v="-17.93"/>
    <n v="732"/>
    <n v="1"/>
    <n v="1"/>
  </r>
  <r>
    <m/>
    <m/>
    <x v="1"/>
    <s v="43033085001001"/>
    <n v="-23.57"/>
    <n v="962"/>
    <n v="1"/>
    <n v="1"/>
  </r>
  <r>
    <m/>
    <m/>
    <x v="1"/>
    <s v="43124621001001"/>
    <n v="-22.69"/>
    <n v="926"/>
    <n v="1"/>
    <n v="1"/>
  </r>
  <r>
    <m/>
    <m/>
    <x v="1"/>
    <s v="43137151001001"/>
    <n v="-38.81"/>
    <n v="1584"/>
    <n v="1"/>
    <n v="1"/>
  </r>
  <r>
    <m/>
    <m/>
    <x v="1"/>
    <s v="43243411001002"/>
    <n v="-39.96"/>
    <n v="1631"/>
    <n v="1"/>
    <n v="1"/>
  </r>
  <r>
    <m/>
    <m/>
    <x v="1"/>
    <s v="43278341001001"/>
    <n v="-2.08"/>
    <n v="85"/>
    <n v="1"/>
    <n v="1"/>
  </r>
  <r>
    <m/>
    <m/>
    <x v="1"/>
    <s v="43288421001001"/>
    <n v="-16.64"/>
    <n v="679"/>
    <n v="1"/>
    <n v="1"/>
  </r>
  <r>
    <m/>
    <m/>
    <x v="1"/>
    <s v="43291781001001"/>
    <n v="-19.38"/>
    <n v="791"/>
    <n v="1"/>
    <n v="1"/>
  </r>
  <r>
    <m/>
    <m/>
    <x v="1"/>
    <s v="43297591001002"/>
    <n v="-49.93"/>
    <n v="2038"/>
    <n v="1"/>
    <n v="1"/>
  </r>
  <r>
    <m/>
    <m/>
    <x v="1"/>
    <s v="43325521001002"/>
    <n v="-21.93"/>
    <n v="895"/>
    <n v="1"/>
    <n v="1"/>
  </r>
  <r>
    <m/>
    <m/>
    <x v="1"/>
    <s v="43333711001002"/>
    <n v="-15.44"/>
    <n v="630"/>
    <n v="1"/>
    <n v="1"/>
  </r>
  <r>
    <m/>
    <m/>
    <x v="1"/>
    <s v="43341691001009"/>
    <n v="-42.65"/>
    <n v="1741"/>
    <n v="1"/>
    <n v="1"/>
  </r>
  <r>
    <m/>
    <m/>
    <x v="1"/>
    <s v="43363111001003"/>
    <n v="-83.55"/>
    <n v="3410"/>
    <n v="1"/>
    <n v="1"/>
  </r>
  <r>
    <m/>
    <m/>
    <x v="1"/>
    <s v="43390341005001"/>
    <n v="-3.11"/>
    <n v="127"/>
    <n v="1"/>
    <n v="1"/>
  </r>
  <r>
    <m/>
    <m/>
    <x v="1"/>
    <s v="43399301001004"/>
    <n v="-49.86"/>
    <n v="2035"/>
    <n v="1"/>
    <n v="1"/>
  </r>
  <r>
    <m/>
    <m/>
    <x v="1"/>
    <s v="43492640001001"/>
    <n v="-28.79"/>
    <n v="1175"/>
    <n v="1"/>
    <n v="1"/>
  </r>
  <r>
    <m/>
    <m/>
    <x v="1"/>
    <s v="43499059001005"/>
    <n v="-7.99"/>
    <n v="326"/>
    <n v="1"/>
    <n v="1"/>
  </r>
  <r>
    <m/>
    <m/>
    <x v="1"/>
    <s v="43629601001002"/>
    <n v="-35.67"/>
    <n v="1456"/>
    <n v="1"/>
    <n v="1"/>
  </r>
  <r>
    <m/>
    <m/>
    <x v="1"/>
    <s v="43659561001002"/>
    <n v="-24.82"/>
    <n v="1013"/>
    <n v="1"/>
    <n v="1"/>
  </r>
  <r>
    <m/>
    <m/>
    <x v="1"/>
    <s v="43676781001004"/>
    <n v="-8.1300000000000008"/>
    <n v="332"/>
    <n v="1"/>
    <n v="1"/>
  </r>
  <r>
    <m/>
    <m/>
    <x v="1"/>
    <s v="43677061001004"/>
    <n v="-5.41"/>
    <n v="221"/>
    <n v="1"/>
    <n v="1"/>
  </r>
  <r>
    <m/>
    <m/>
    <x v="1"/>
    <s v="43684761001003"/>
    <n v="-10.27"/>
    <n v="419"/>
    <n v="1"/>
    <n v="1"/>
  </r>
  <r>
    <m/>
    <m/>
    <x v="1"/>
    <s v="43686651002002"/>
    <n v="-62.28"/>
    <n v="2542"/>
    <n v="1"/>
    <n v="1"/>
  </r>
  <r>
    <m/>
    <m/>
    <x v="1"/>
    <s v="43692811001002"/>
    <n v="-46.57"/>
    <n v="1901"/>
    <n v="1"/>
    <n v="1"/>
  </r>
  <r>
    <m/>
    <m/>
    <x v="1"/>
    <s v="43717941001003"/>
    <n v="-27.15"/>
    <n v="1108"/>
    <n v="1"/>
    <n v="1"/>
  </r>
  <r>
    <m/>
    <m/>
    <x v="1"/>
    <s v="43720585001001"/>
    <n v="-25.63"/>
    <n v="1046"/>
    <n v="1"/>
    <n v="1"/>
  </r>
  <r>
    <m/>
    <m/>
    <x v="1"/>
    <s v="43726551002001"/>
    <n v="-45.35"/>
    <n v="1851"/>
    <n v="1"/>
    <n v="1"/>
  </r>
  <r>
    <m/>
    <m/>
    <x v="1"/>
    <s v="43764561001002"/>
    <n v="-51.35"/>
    <n v="2096"/>
    <n v="1"/>
    <n v="1"/>
  </r>
  <r>
    <m/>
    <m/>
    <x v="1"/>
    <s v="43822311002001"/>
    <n v="-12.67"/>
    <n v="517"/>
    <n v="1"/>
    <n v="1"/>
  </r>
  <r>
    <m/>
    <m/>
    <x v="1"/>
    <s v="43829871002001"/>
    <n v="-35.82"/>
    <n v="1462"/>
    <n v="1"/>
    <n v="1"/>
  </r>
  <r>
    <m/>
    <m/>
    <x v="1"/>
    <s v="43863401001002"/>
    <n v="-23.79"/>
    <n v="971"/>
    <n v="1"/>
    <n v="1"/>
  </r>
  <r>
    <m/>
    <m/>
    <x v="1"/>
    <s v="43881111001003"/>
    <n v="-20.58"/>
    <n v="840"/>
    <n v="1"/>
    <n v="1"/>
  </r>
  <r>
    <m/>
    <m/>
    <x v="1"/>
    <s v="43883841001001"/>
    <n v="-23.74"/>
    <n v="969"/>
    <n v="1"/>
    <n v="1"/>
  </r>
  <r>
    <m/>
    <m/>
    <x v="1"/>
    <s v="43901831002001"/>
    <n v="-37.29"/>
    <n v="1522"/>
    <n v="1"/>
    <n v="1"/>
  </r>
  <r>
    <m/>
    <m/>
    <x v="1"/>
    <s v="43918351001003"/>
    <n v="-22.49"/>
    <n v="918"/>
    <n v="1"/>
    <n v="1"/>
  </r>
  <r>
    <m/>
    <m/>
    <x v="1"/>
    <s v="43920871001009"/>
    <n v="-16.78"/>
    <n v="685"/>
    <n v="1"/>
    <n v="1"/>
  </r>
  <r>
    <m/>
    <m/>
    <x v="1"/>
    <s v="43956630001003"/>
    <n v="-6.74"/>
    <n v="275"/>
    <n v="1"/>
    <n v="1"/>
  </r>
  <r>
    <m/>
    <m/>
    <x v="1"/>
    <s v="43991683002001"/>
    <n v="-47.19"/>
    <n v="1926"/>
    <n v="1"/>
    <n v="1"/>
  </r>
  <r>
    <m/>
    <m/>
    <x v="1"/>
    <s v="43992272001007"/>
    <n v="-39.35"/>
    <n v="1606"/>
    <n v="1"/>
    <n v="1"/>
  </r>
  <r>
    <m/>
    <m/>
    <x v="1"/>
    <s v="44032311001001"/>
    <n v="-6.1"/>
    <n v="249"/>
    <n v="1"/>
    <n v="1"/>
  </r>
  <r>
    <m/>
    <m/>
    <x v="1"/>
    <s v="44032521001001"/>
    <n v="-15.17"/>
    <n v="619"/>
    <n v="1"/>
    <n v="1"/>
  </r>
  <r>
    <m/>
    <m/>
    <x v="1"/>
    <s v="44141337001005"/>
    <n v="-47.8"/>
    <n v="1951"/>
    <n v="1"/>
    <n v="1"/>
  </r>
  <r>
    <m/>
    <m/>
    <x v="1"/>
    <s v="44225511001001"/>
    <n v="-75.36"/>
    <n v="3076"/>
    <n v="1"/>
    <n v="1"/>
  </r>
  <r>
    <m/>
    <m/>
    <x v="1"/>
    <s v="44254071001001"/>
    <n v="-35.75"/>
    <n v="1459"/>
    <n v="1"/>
    <n v="1"/>
  </r>
  <r>
    <m/>
    <m/>
    <x v="1"/>
    <s v="44271711001001"/>
    <n v="-15.07"/>
    <n v="615"/>
    <n v="1"/>
    <n v="1"/>
  </r>
  <r>
    <m/>
    <m/>
    <x v="1"/>
    <s v="44279131001001"/>
    <n v="-4.41"/>
    <n v="180"/>
    <n v="1"/>
    <n v="1"/>
  </r>
  <r>
    <m/>
    <m/>
    <x v="1"/>
    <s v="44301741001003"/>
    <n v="-69.36"/>
    <n v="2831"/>
    <n v="1"/>
    <n v="1"/>
  </r>
  <r>
    <m/>
    <m/>
    <x v="1"/>
    <s v="44319801001012"/>
    <n v="-31.8"/>
    <n v="1298"/>
    <n v="1"/>
    <n v="1"/>
  </r>
  <r>
    <m/>
    <m/>
    <x v="1"/>
    <s v="44339401001001"/>
    <n v="-78.52"/>
    <n v="3205"/>
    <n v="1"/>
    <n v="1"/>
  </r>
  <r>
    <m/>
    <m/>
    <x v="1"/>
    <s v="44353961001003"/>
    <n v="-59.09"/>
    <n v="2412"/>
    <n v="1"/>
    <n v="1"/>
  </r>
  <r>
    <m/>
    <m/>
    <x v="1"/>
    <s v="44355501001004"/>
    <n v="-39.200000000000003"/>
    <n v="1600"/>
    <n v="1"/>
    <n v="1"/>
  </r>
  <r>
    <m/>
    <m/>
    <x v="1"/>
    <s v="44378391001002"/>
    <n v="-19.77"/>
    <n v="807"/>
    <n v="1"/>
    <n v="1"/>
  </r>
  <r>
    <m/>
    <m/>
    <x v="1"/>
    <s v="44413951001005"/>
    <n v="-12.45"/>
    <n v="508"/>
    <n v="1"/>
    <n v="1"/>
  </r>
  <r>
    <m/>
    <m/>
    <x v="1"/>
    <s v="44431101001001"/>
    <n v="-34.81"/>
    <n v="1421"/>
    <n v="1"/>
    <n v="1"/>
  </r>
  <r>
    <m/>
    <m/>
    <x v="1"/>
    <s v="44437261002001"/>
    <n v="-97.73"/>
    <n v="3989"/>
    <n v="1"/>
    <n v="1"/>
  </r>
  <r>
    <m/>
    <m/>
    <x v="1"/>
    <s v="44449861003001"/>
    <n v="-77.760000000000005"/>
    <n v="3174"/>
    <n v="1"/>
    <n v="1"/>
  </r>
  <r>
    <m/>
    <m/>
    <x v="1"/>
    <s v="44468901001002"/>
    <n v="-39.03"/>
    <n v="1593"/>
    <n v="1"/>
    <n v="1"/>
  </r>
  <r>
    <m/>
    <m/>
    <x v="1"/>
    <s v="44487731001001"/>
    <n v="-65.95"/>
    <n v="2692"/>
    <n v="1"/>
    <n v="1"/>
  </r>
  <r>
    <m/>
    <m/>
    <x v="1"/>
    <s v="44496438001001"/>
    <n v="-40.200000000000003"/>
    <n v="1641"/>
    <n v="1"/>
    <n v="1"/>
  </r>
  <r>
    <m/>
    <m/>
    <x v="1"/>
    <s v="44500471002001"/>
    <n v="-74.77"/>
    <n v="3052"/>
    <n v="1"/>
    <n v="1"/>
  </r>
  <r>
    <m/>
    <m/>
    <x v="1"/>
    <s v="44524131001001"/>
    <n v="-0.22"/>
    <n v="9"/>
    <n v="1"/>
    <n v="1"/>
  </r>
  <r>
    <m/>
    <m/>
    <x v="1"/>
    <s v="44524271001003"/>
    <n v="-26.17"/>
    <n v="1068"/>
    <n v="1"/>
    <n v="1"/>
  </r>
  <r>
    <m/>
    <m/>
    <x v="1"/>
    <s v="44577121001003"/>
    <n v="-17.2"/>
    <n v="702"/>
    <n v="1"/>
    <n v="1"/>
  </r>
  <r>
    <m/>
    <m/>
    <x v="1"/>
    <s v="44577611002002"/>
    <n v="-17.52"/>
    <n v="715"/>
    <n v="1"/>
    <n v="1"/>
  </r>
  <r>
    <m/>
    <m/>
    <x v="1"/>
    <s v="44697801002002"/>
    <n v="-59.39"/>
    <n v="2424"/>
    <n v="1"/>
    <n v="1"/>
  </r>
  <r>
    <m/>
    <m/>
    <x v="1"/>
    <s v="44717961001001"/>
    <n v="-6.76"/>
    <n v="276"/>
    <n v="1"/>
    <n v="1"/>
  </r>
  <r>
    <m/>
    <m/>
    <x v="1"/>
    <s v="44719431001001"/>
    <n v="-27.32"/>
    <n v="1115"/>
    <n v="1"/>
    <n v="1"/>
  </r>
  <r>
    <m/>
    <m/>
    <x v="1"/>
    <s v="44726291001003"/>
    <n v="-0.47"/>
    <n v="19"/>
    <n v="1"/>
    <n v="1"/>
  </r>
  <r>
    <m/>
    <m/>
    <x v="1"/>
    <s v="44726851001001"/>
    <n v="-78.55"/>
    <n v="3206"/>
    <n v="1"/>
    <n v="1"/>
  </r>
  <r>
    <m/>
    <m/>
    <x v="1"/>
    <s v="44728321004001"/>
    <n v="-44.27"/>
    <n v="1807"/>
    <n v="1"/>
    <n v="1"/>
  </r>
  <r>
    <m/>
    <m/>
    <x v="1"/>
    <s v="44755971001002"/>
    <n v="-22.56"/>
    <n v="921"/>
    <n v="1"/>
    <n v="1"/>
  </r>
  <r>
    <m/>
    <m/>
    <x v="1"/>
    <s v="44760031004001"/>
    <n v="-70.849999999999994"/>
    <n v="2892"/>
    <n v="1"/>
    <n v="1"/>
  </r>
  <r>
    <m/>
    <m/>
    <x v="1"/>
    <s v="44797411005020"/>
    <n v="-47.48"/>
    <n v="1938"/>
    <n v="1"/>
    <n v="1"/>
  </r>
  <r>
    <m/>
    <m/>
    <x v="1"/>
    <s v="44805881002002"/>
    <n v="-73.48"/>
    <n v="2999"/>
    <n v="1"/>
    <n v="1"/>
  </r>
  <r>
    <m/>
    <m/>
    <x v="1"/>
    <s v="44811481003005"/>
    <n v="-41.14"/>
    <n v="1679"/>
    <n v="1"/>
    <n v="1"/>
  </r>
  <r>
    <m/>
    <m/>
    <x v="1"/>
    <s v="44813091001002"/>
    <n v="-39.979999999999997"/>
    <n v="1632"/>
    <n v="1"/>
    <n v="1"/>
  </r>
  <r>
    <m/>
    <m/>
    <x v="1"/>
    <s v="44815261001002"/>
    <n v="-17.13"/>
    <n v="699"/>
    <n v="1"/>
    <n v="1"/>
  </r>
  <r>
    <m/>
    <m/>
    <x v="1"/>
    <s v="44827301001001"/>
    <n v="-59.66"/>
    <n v="2435"/>
    <n v="1"/>
    <n v="1"/>
  </r>
  <r>
    <m/>
    <m/>
    <x v="1"/>
    <s v="44847951001001"/>
    <n v="-100.55"/>
    <n v="4104"/>
    <n v="1"/>
    <n v="1"/>
  </r>
  <r>
    <m/>
    <m/>
    <x v="1"/>
    <s v="44876721001002"/>
    <n v="-59.98"/>
    <n v="2448"/>
    <n v="1"/>
    <n v="1"/>
  </r>
  <r>
    <m/>
    <m/>
    <x v="1"/>
    <s v="44883581001001"/>
    <n v="-49.27"/>
    <n v="2011"/>
    <n v="1"/>
    <n v="1"/>
  </r>
  <r>
    <m/>
    <m/>
    <x v="1"/>
    <s v="44884351001001"/>
    <n v="-2.13"/>
    <n v="87"/>
    <n v="1"/>
    <n v="1"/>
  </r>
  <r>
    <m/>
    <m/>
    <x v="1"/>
    <s v="44908641001004"/>
    <n v="-30.6"/>
    <n v="1249"/>
    <n v="1"/>
    <n v="1"/>
  </r>
  <r>
    <m/>
    <m/>
    <x v="1"/>
    <s v="44908781005003"/>
    <n v="-16.170000000000002"/>
    <n v="660"/>
    <n v="1"/>
    <n v="1"/>
  </r>
  <r>
    <m/>
    <m/>
    <x v="1"/>
    <s v="44910531001006"/>
    <n v="-18.91"/>
    <n v="772"/>
    <n v="1"/>
    <n v="1"/>
  </r>
  <r>
    <m/>
    <m/>
    <x v="1"/>
    <s v="44919491002001"/>
    <n v="-97.56"/>
    <n v="3982"/>
    <n v="1"/>
    <n v="1"/>
  </r>
  <r>
    <m/>
    <m/>
    <x v="1"/>
    <s v="44943221001001"/>
    <n v="-53.9"/>
    <n v="2200"/>
    <n v="1"/>
    <n v="1"/>
  </r>
  <r>
    <m/>
    <m/>
    <x v="1"/>
    <s v="44983121001001"/>
    <n v="-38.44"/>
    <n v="1569"/>
    <n v="1"/>
    <n v="1"/>
  </r>
  <r>
    <m/>
    <m/>
    <x v="1"/>
    <s v="44995231002001"/>
    <n v="-34.18"/>
    <n v="1395"/>
    <n v="1"/>
    <n v="1"/>
  </r>
  <r>
    <m/>
    <m/>
    <x v="1"/>
    <s v="45037931001001"/>
    <n v="-59.9"/>
    <n v="2445"/>
    <n v="1"/>
    <n v="1"/>
  </r>
  <r>
    <m/>
    <m/>
    <x v="1"/>
    <s v="45045911001001"/>
    <n v="-31.14"/>
    <n v="1271"/>
    <n v="1"/>
    <n v="1"/>
  </r>
  <r>
    <m/>
    <m/>
    <x v="1"/>
    <s v="45045981001003"/>
    <n v="-46.97"/>
    <n v="1917"/>
    <n v="1"/>
    <n v="1"/>
  </r>
  <r>
    <m/>
    <m/>
    <x v="1"/>
    <s v="45049061001001"/>
    <n v="-9.68"/>
    <n v="395"/>
    <n v="1"/>
    <n v="1"/>
  </r>
  <r>
    <m/>
    <m/>
    <x v="1"/>
    <s v="45051231004001"/>
    <n v="-46.16"/>
    <n v="1884"/>
    <n v="1"/>
    <n v="1"/>
  </r>
  <r>
    <m/>
    <m/>
    <x v="1"/>
    <s v="45060821001003"/>
    <n v="-68.31"/>
    <n v="2788"/>
    <n v="1"/>
    <n v="1"/>
  </r>
  <r>
    <m/>
    <m/>
    <x v="1"/>
    <s v="45087071001001"/>
    <n v="-84.06"/>
    <n v="3431"/>
    <n v="1"/>
    <n v="1"/>
  </r>
  <r>
    <m/>
    <m/>
    <x v="1"/>
    <s v="45128721001001"/>
    <n v="-33.03"/>
    <n v="1348"/>
    <n v="1"/>
    <n v="1"/>
  </r>
  <r>
    <m/>
    <m/>
    <x v="1"/>
    <s v="45155461001001"/>
    <n v="-73.92"/>
    <n v="3017"/>
    <n v="1"/>
    <n v="1"/>
  </r>
  <r>
    <m/>
    <m/>
    <x v="1"/>
    <s v="45161551001001"/>
    <n v="-58.21"/>
    <n v="2376"/>
    <n v="1"/>
    <n v="1"/>
  </r>
  <r>
    <m/>
    <m/>
    <x v="1"/>
    <s v="45162391001001"/>
    <n v="-52.85"/>
    <n v="2157"/>
    <n v="1"/>
    <n v="1"/>
  </r>
  <r>
    <m/>
    <m/>
    <x v="1"/>
    <s v="45185561001003"/>
    <n v="-83.18"/>
    <n v="3395"/>
    <n v="1"/>
    <n v="1"/>
  </r>
  <r>
    <m/>
    <m/>
    <x v="1"/>
    <s v="45188011001001"/>
    <n v="-21.29"/>
    <n v="869"/>
    <n v="1"/>
    <n v="1"/>
  </r>
  <r>
    <m/>
    <m/>
    <x v="1"/>
    <s v="45206841001001"/>
    <n v="-64.680000000000007"/>
    <n v="2640"/>
    <n v="1"/>
    <n v="1"/>
  </r>
  <r>
    <m/>
    <m/>
    <x v="1"/>
    <s v="45259341001001"/>
    <n v="-23.08"/>
    <n v="942"/>
    <n v="1"/>
    <n v="1"/>
  </r>
  <r>
    <m/>
    <m/>
    <x v="1"/>
    <s v="45272991001001"/>
    <n v="-10.68"/>
    <n v="436"/>
    <n v="1"/>
    <n v="1"/>
  </r>
  <r>
    <m/>
    <m/>
    <x v="1"/>
    <s v="45329621001002"/>
    <n v="-101.97"/>
    <n v="4162"/>
    <n v="1"/>
    <n v="1"/>
  </r>
  <r>
    <m/>
    <m/>
    <x v="1"/>
    <s v="45381281001001"/>
    <n v="-1.05"/>
    <n v="43"/>
    <n v="1"/>
    <n v="1"/>
  </r>
  <r>
    <m/>
    <m/>
    <x v="1"/>
    <s v="45384011001002"/>
    <n v="-63.01"/>
    <n v="2572"/>
    <n v="1"/>
    <n v="1"/>
  </r>
  <r>
    <m/>
    <m/>
    <x v="1"/>
    <s v="45435111001002"/>
    <n v="-23.52"/>
    <n v="960"/>
    <n v="1"/>
    <n v="1"/>
  </r>
  <r>
    <m/>
    <m/>
    <x v="1"/>
    <s v="45455716004001"/>
    <n v="-57.48"/>
    <n v="2346"/>
    <n v="1"/>
    <n v="1"/>
  </r>
  <r>
    <m/>
    <m/>
    <x v="1"/>
    <s v="45487611001002"/>
    <n v="-50.91"/>
    <n v="2078"/>
    <n v="1"/>
    <n v="1"/>
  </r>
  <r>
    <m/>
    <m/>
    <x v="1"/>
    <s v="45508261001001"/>
    <n v="-22.12"/>
    <n v="903"/>
    <n v="1"/>
    <n v="1"/>
  </r>
  <r>
    <m/>
    <m/>
    <x v="1"/>
    <s v="45568391005001"/>
    <n v="-55.3"/>
    <n v="2257"/>
    <n v="1"/>
    <n v="1"/>
  </r>
  <r>
    <m/>
    <m/>
    <x v="1"/>
    <s v="45595131003001"/>
    <n v="-23.18"/>
    <n v="946"/>
    <n v="1"/>
    <n v="1"/>
  </r>
  <r>
    <m/>
    <m/>
    <x v="1"/>
    <s v="45599751001003"/>
    <n v="-35.840000000000003"/>
    <n v="1463"/>
    <n v="1"/>
    <n v="1"/>
  </r>
  <r>
    <m/>
    <m/>
    <x v="1"/>
    <s v="45599961001001"/>
    <n v="-2.67"/>
    <n v="109"/>
    <n v="1"/>
    <n v="1"/>
  </r>
  <r>
    <m/>
    <m/>
    <x v="1"/>
    <s v="45613471002002"/>
    <n v="-7.5"/>
    <n v="306"/>
    <n v="1"/>
    <n v="1"/>
  </r>
  <r>
    <m/>
    <m/>
    <x v="1"/>
    <s v="45628101001001"/>
    <n v="-64.900000000000006"/>
    <n v="2649"/>
    <n v="1"/>
    <n v="1"/>
  </r>
  <r>
    <m/>
    <m/>
    <x v="1"/>
    <s v="45634593001005"/>
    <n v="-5.68"/>
    <n v="232"/>
    <n v="1"/>
    <n v="1"/>
  </r>
  <r>
    <m/>
    <m/>
    <x v="1"/>
    <s v="45692851001002"/>
    <n v="-54.37"/>
    <n v="2219"/>
    <n v="1"/>
    <n v="1"/>
  </r>
  <r>
    <m/>
    <m/>
    <x v="1"/>
    <s v="45755151003001"/>
    <n v="-58.7"/>
    <n v="2396"/>
    <n v="1"/>
    <n v="1"/>
  </r>
  <r>
    <m/>
    <m/>
    <x v="1"/>
    <s v="45765931005001"/>
    <n v="-59.83"/>
    <n v="2442"/>
    <n v="1"/>
    <n v="1"/>
  </r>
  <r>
    <m/>
    <m/>
    <x v="1"/>
    <s v="45788681002001"/>
    <n v="-15.24"/>
    <n v="622"/>
    <n v="1"/>
    <n v="1"/>
  </r>
  <r>
    <m/>
    <m/>
    <x v="1"/>
    <s v="45796661003006"/>
    <n v="-90.6"/>
    <n v="3698"/>
    <n v="1"/>
    <n v="1"/>
  </r>
  <r>
    <m/>
    <m/>
    <x v="1"/>
    <s v="45796731002001"/>
    <n v="-50.94"/>
    <n v="2079"/>
    <n v="1"/>
    <n v="1"/>
  </r>
  <r>
    <m/>
    <m/>
    <x v="1"/>
    <s v="45818361008003"/>
    <n v="-16.420000000000002"/>
    <n v="670"/>
    <n v="1"/>
    <n v="1"/>
  </r>
  <r>
    <m/>
    <m/>
    <x v="1"/>
    <s v="45846991001001"/>
    <n v="-91.92"/>
    <n v="3752"/>
    <n v="1"/>
    <n v="1"/>
  </r>
  <r>
    <m/>
    <m/>
    <x v="1"/>
    <s v="45848321002005"/>
    <n v="-21.95"/>
    <n v="896"/>
    <n v="1"/>
    <n v="1"/>
  </r>
  <r>
    <m/>
    <m/>
    <x v="1"/>
    <s v="45851261001001"/>
    <n v="-50.69"/>
    <n v="2069"/>
    <n v="1"/>
    <n v="1"/>
  </r>
  <r>
    <m/>
    <m/>
    <x v="1"/>
    <s v="45855951001001"/>
    <n v="-38.659999999999997"/>
    <n v="1578"/>
    <n v="1"/>
    <n v="1"/>
  </r>
  <r>
    <m/>
    <m/>
    <x v="1"/>
    <s v="45929941001001"/>
    <n v="-9.2100000000000009"/>
    <n v="376"/>
    <n v="1"/>
    <n v="1"/>
  </r>
  <r>
    <m/>
    <m/>
    <x v="1"/>
    <s v="45981872001001"/>
    <n v="-10.88"/>
    <n v="444"/>
    <n v="1"/>
    <n v="1"/>
  </r>
  <r>
    <m/>
    <m/>
    <x v="1"/>
    <s v="46002181001004"/>
    <n v="-48.12"/>
    <n v="1964"/>
    <n v="1"/>
    <n v="1"/>
  </r>
  <r>
    <m/>
    <m/>
    <x v="1"/>
    <s v="46040191001001"/>
    <n v="-2.16"/>
    <n v="88"/>
    <n v="1"/>
    <n v="1"/>
  </r>
  <r>
    <m/>
    <m/>
    <x v="1"/>
    <s v="46087791001001"/>
    <n v="-82.88"/>
    <n v="3383"/>
    <n v="1"/>
    <n v="1"/>
  </r>
  <r>
    <m/>
    <m/>
    <x v="1"/>
    <s v="46096471001002"/>
    <n v="-28"/>
    <n v="1143"/>
    <n v="1"/>
    <n v="1"/>
  </r>
  <r>
    <m/>
    <m/>
    <x v="1"/>
    <s v="46108706001003"/>
    <n v="-63.95"/>
    <n v="2610"/>
    <n v="1"/>
    <n v="1"/>
  </r>
  <r>
    <m/>
    <m/>
    <x v="1"/>
    <s v="46109911001006"/>
    <n v="-40.35"/>
    <n v="1647"/>
    <n v="1"/>
    <n v="1"/>
  </r>
  <r>
    <m/>
    <m/>
    <x v="1"/>
    <s v="46115161001001"/>
    <n v="-22.91"/>
    <n v="935"/>
    <n v="1"/>
    <n v="1"/>
  </r>
  <r>
    <m/>
    <m/>
    <x v="1"/>
    <s v="46127621002001"/>
    <n v="-61.86"/>
    <n v="2525"/>
    <n v="1"/>
    <n v="1"/>
  </r>
  <r>
    <m/>
    <m/>
    <x v="1"/>
    <s v="46140781001002"/>
    <n v="-40.840000000000003"/>
    <n v="1667"/>
    <n v="1"/>
    <n v="1"/>
  </r>
  <r>
    <m/>
    <m/>
    <x v="1"/>
    <s v="46181801006035"/>
    <n v="-46.65"/>
    <n v="1904"/>
    <n v="1"/>
    <n v="1"/>
  </r>
  <r>
    <m/>
    <m/>
    <x v="1"/>
    <s v="46208961001005"/>
    <n v="-52.26"/>
    <n v="2133"/>
    <n v="1"/>
    <n v="1"/>
  </r>
  <r>
    <m/>
    <m/>
    <x v="1"/>
    <s v="46212041001001"/>
    <n v="-9.26"/>
    <n v="378"/>
    <n v="1"/>
    <n v="1"/>
  </r>
  <r>
    <m/>
    <m/>
    <x v="1"/>
    <s v="46227600003001"/>
    <n v="-24.6"/>
    <n v="1004"/>
    <n v="1"/>
    <n v="1"/>
  </r>
  <r>
    <m/>
    <m/>
    <x v="1"/>
    <s v="46228281001002"/>
    <n v="-40.01"/>
    <n v="1633"/>
    <n v="1"/>
    <n v="1"/>
  </r>
  <r>
    <m/>
    <m/>
    <x v="1"/>
    <s v="46288761001001"/>
    <n v="-37.630000000000003"/>
    <n v="1536"/>
    <n v="1"/>
    <n v="1"/>
  </r>
  <r>
    <m/>
    <m/>
    <x v="1"/>
    <s v="46332861005002"/>
    <n v="-91.46"/>
    <n v="3733"/>
    <n v="1"/>
    <n v="1"/>
  </r>
  <r>
    <m/>
    <m/>
    <x v="1"/>
    <s v="46341751001001"/>
    <n v="-48.73"/>
    <n v="1989"/>
    <n v="1"/>
    <n v="1"/>
  </r>
  <r>
    <m/>
    <m/>
    <x v="1"/>
    <s v="46345951001005"/>
    <n v="-11.76"/>
    <n v="480"/>
    <n v="1"/>
    <n v="1"/>
  </r>
  <r>
    <m/>
    <m/>
    <x v="1"/>
    <s v="46392431004003"/>
    <n v="-58.51"/>
    <n v="2388"/>
    <n v="1"/>
    <n v="1"/>
  </r>
  <r>
    <m/>
    <m/>
    <x v="1"/>
    <s v="46403001005001"/>
    <n v="-105.74"/>
    <n v="4316"/>
    <n v="1"/>
    <n v="1"/>
  </r>
  <r>
    <m/>
    <m/>
    <x v="1"/>
    <s v="46439681002002"/>
    <n v="-6.15"/>
    <n v="251"/>
    <n v="1"/>
    <n v="1"/>
  </r>
  <r>
    <m/>
    <m/>
    <x v="1"/>
    <s v="46447731001002"/>
    <n v="-51.94"/>
    <n v="2120"/>
    <n v="1"/>
    <n v="1"/>
  </r>
  <r>
    <m/>
    <m/>
    <x v="1"/>
    <s v="46459421003005"/>
    <n v="-42.65"/>
    <n v="1741"/>
    <n v="1"/>
    <n v="1"/>
  </r>
  <r>
    <m/>
    <m/>
    <x v="1"/>
    <s v="46461591002001"/>
    <n v="-25.01"/>
    <n v="1021"/>
    <n v="1"/>
    <n v="1"/>
  </r>
  <r>
    <m/>
    <m/>
    <x v="1"/>
    <s v="46562181001001"/>
    <n v="-112.65"/>
    <n v="4598"/>
    <n v="1"/>
    <n v="1"/>
  </r>
  <r>
    <m/>
    <m/>
    <x v="1"/>
    <s v="46613701001001"/>
    <n v="-64.95"/>
    <n v="2651"/>
    <n v="1"/>
    <n v="1"/>
  </r>
  <r>
    <m/>
    <m/>
    <x v="1"/>
    <s v="46689301001005"/>
    <n v="-56.77"/>
    <n v="2317"/>
    <n v="1"/>
    <n v="1"/>
  </r>
  <r>
    <m/>
    <m/>
    <x v="1"/>
    <s v="46749431002001"/>
    <n v="-15.04"/>
    <n v="614"/>
    <n v="1"/>
    <n v="1"/>
  </r>
  <r>
    <m/>
    <m/>
    <x v="1"/>
    <s v="46806971002001"/>
    <n v="-54.37"/>
    <n v="2219"/>
    <n v="1"/>
    <n v="1"/>
  </r>
  <r>
    <m/>
    <m/>
    <x v="1"/>
    <s v="46853523001007"/>
    <n v="-39.71"/>
    <n v="1621"/>
    <n v="1"/>
    <n v="1"/>
  </r>
  <r>
    <m/>
    <m/>
    <x v="1"/>
    <s v="46868991001001"/>
    <n v="-25.7"/>
    <n v="1049"/>
    <n v="1"/>
    <n v="1"/>
  </r>
  <r>
    <m/>
    <m/>
    <x v="1"/>
    <s v="46933740002003"/>
    <n v="-35.67"/>
    <n v="1456"/>
    <n v="1"/>
    <n v="1"/>
  </r>
  <r>
    <m/>
    <m/>
    <x v="1"/>
    <s v="46951731001001"/>
    <n v="-5.78"/>
    <n v="236"/>
    <n v="1"/>
    <n v="1"/>
  </r>
  <r>
    <m/>
    <m/>
    <x v="1"/>
    <s v="46955931001002"/>
    <n v="-16.12"/>
    <n v="658"/>
    <n v="1"/>
    <n v="1"/>
  </r>
  <r>
    <m/>
    <m/>
    <x v="1"/>
    <s v="47056381002002"/>
    <n v="-68.55"/>
    <n v="2798"/>
    <n v="1"/>
    <n v="1"/>
  </r>
  <r>
    <m/>
    <m/>
    <x v="1"/>
    <s v="47162081002004"/>
    <n v="-26.58"/>
    <n v="1085"/>
    <n v="1"/>
    <n v="1"/>
  </r>
  <r>
    <m/>
    <m/>
    <x v="1"/>
    <s v="47166561001004"/>
    <n v="-77.319999999999993"/>
    <n v="3156"/>
    <n v="1"/>
    <n v="1"/>
  </r>
  <r>
    <m/>
    <m/>
    <x v="1"/>
    <s v="47167121008001"/>
    <n v="-67.739999999999995"/>
    <n v="2765"/>
    <n v="1"/>
    <n v="1"/>
  </r>
  <r>
    <m/>
    <m/>
    <x v="1"/>
    <s v="47184061008001"/>
    <n v="-8.6999999999999993"/>
    <n v="355"/>
    <n v="1"/>
    <n v="1"/>
  </r>
  <r>
    <m/>
    <m/>
    <x v="1"/>
    <s v="47189634001001"/>
    <n v="-63.01"/>
    <n v="2572"/>
    <n v="1"/>
    <n v="1"/>
  </r>
  <r>
    <m/>
    <m/>
    <x v="1"/>
    <s v="47203101003001"/>
    <n v="-79.06"/>
    <n v="3227"/>
    <n v="1"/>
    <n v="1"/>
  </r>
  <r>
    <m/>
    <m/>
    <x v="1"/>
    <s v="47210381001002"/>
    <n v="-2.2999999999999998"/>
    <n v="94"/>
    <n v="1"/>
    <n v="1"/>
  </r>
  <r>
    <m/>
    <m/>
    <x v="1"/>
    <s v="47227107001005"/>
    <n v="-21.22"/>
    <n v="866"/>
    <n v="1"/>
    <n v="1"/>
  </r>
  <r>
    <m/>
    <m/>
    <x v="1"/>
    <s v="47234572001003"/>
    <n v="-13.33"/>
    <n v="544"/>
    <n v="1"/>
    <n v="1"/>
  </r>
  <r>
    <m/>
    <m/>
    <x v="1"/>
    <s v="47282621001001"/>
    <n v="-21.68"/>
    <n v="885"/>
    <n v="1"/>
    <n v="1"/>
  </r>
  <r>
    <m/>
    <m/>
    <x v="1"/>
    <s v="47299108003003"/>
    <n v="-27.46"/>
    <n v="1121"/>
    <n v="1"/>
    <n v="1"/>
  </r>
  <r>
    <m/>
    <m/>
    <x v="1"/>
    <s v="47309291001002"/>
    <n v="-17.64"/>
    <n v="720"/>
    <n v="1"/>
    <n v="1"/>
  </r>
  <r>
    <m/>
    <m/>
    <x v="1"/>
    <s v="47315031001007"/>
    <n v="-9.2899999999999991"/>
    <n v="379"/>
    <n v="1"/>
    <n v="1"/>
  </r>
  <r>
    <m/>
    <m/>
    <x v="1"/>
    <s v="47404141001001"/>
    <n v="-22.39"/>
    <n v="914"/>
    <n v="1"/>
    <n v="1"/>
  </r>
  <r>
    <m/>
    <m/>
    <x v="1"/>
    <s v="47418141001001"/>
    <n v="-55.15"/>
    <n v="2251"/>
    <n v="1"/>
    <n v="1"/>
  </r>
  <r>
    <m/>
    <m/>
    <x v="1"/>
    <s v="47484221001003"/>
    <n v="-16.32"/>
    <n v="666"/>
    <n v="1"/>
    <n v="1"/>
  </r>
  <r>
    <m/>
    <m/>
    <x v="1"/>
    <s v="47496751010001"/>
    <n v="-30.55"/>
    <n v="1247"/>
    <n v="1"/>
    <n v="1"/>
  </r>
  <r>
    <m/>
    <m/>
    <x v="1"/>
    <s v="47558607001001"/>
    <n v="-81.290000000000006"/>
    <n v="3318"/>
    <n v="1"/>
    <n v="1"/>
  </r>
  <r>
    <m/>
    <m/>
    <x v="1"/>
    <s v="47567311002006"/>
    <n v="-42.58"/>
    <n v="1738"/>
    <n v="1"/>
    <n v="1"/>
  </r>
  <r>
    <m/>
    <m/>
    <x v="1"/>
    <s v="47593271001001"/>
    <n v="-39.35"/>
    <n v="1606"/>
    <n v="1"/>
    <n v="1"/>
  </r>
  <r>
    <m/>
    <m/>
    <x v="1"/>
    <s v="47598881005001"/>
    <n v="-43.39"/>
    <n v="1771"/>
    <n v="1"/>
    <n v="1"/>
  </r>
  <r>
    <m/>
    <m/>
    <x v="1"/>
    <s v="47671401001005"/>
    <n v="-72.349999999999994"/>
    <n v="2953"/>
    <n v="1"/>
    <n v="1"/>
  </r>
  <r>
    <m/>
    <m/>
    <x v="1"/>
    <s v="47673221001005"/>
    <n v="-60"/>
    <n v="2449"/>
    <n v="1"/>
    <n v="1"/>
  </r>
  <r>
    <m/>
    <m/>
    <x v="1"/>
    <s v="47686731001002"/>
    <n v="-4.4800000000000004"/>
    <n v="183"/>
    <n v="1"/>
    <n v="1"/>
  </r>
  <r>
    <m/>
    <m/>
    <x v="1"/>
    <s v="47696251001001"/>
    <n v="-51.18"/>
    <n v="2089"/>
    <n v="1"/>
    <n v="1"/>
  </r>
  <r>
    <m/>
    <m/>
    <x v="1"/>
    <s v="47707871002001"/>
    <n v="-63.23"/>
    <n v="2581"/>
    <n v="1"/>
    <n v="1"/>
  </r>
  <r>
    <m/>
    <m/>
    <x v="1"/>
    <s v="47758971002003"/>
    <n v="-27.93"/>
    <n v="1140"/>
    <n v="1"/>
    <n v="1"/>
  </r>
  <r>
    <m/>
    <m/>
    <x v="1"/>
    <s v="47759881007003"/>
    <n v="-23.86"/>
    <n v="974"/>
    <n v="1"/>
    <n v="1"/>
  </r>
  <r>
    <m/>
    <m/>
    <x v="1"/>
    <s v="47762878002003"/>
    <n v="-31.43"/>
    <n v="1283"/>
    <n v="1"/>
    <n v="1"/>
  </r>
  <r>
    <m/>
    <m/>
    <x v="1"/>
    <s v="47795791001001"/>
    <n v="-49.66"/>
    <n v="2027"/>
    <n v="1"/>
    <n v="1"/>
  </r>
  <r>
    <m/>
    <m/>
    <x v="1"/>
    <s v="47842341003001"/>
    <n v="-28.35"/>
    <n v="1157"/>
    <n v="1"/>
    <n v="1"/>
  </r>
  <r>
    <m/>
    <m/>
    <x v="1"/>
    <s v="47848571001001"/>
    <n v="-33.17"/>
    <n v="1354"/>
    <n v="1"/>
    <n v="1"/>
  </r>
  <r>
    <m/>
    <m/>
    <x v="1"/>
    <s v="47849621001003"/>
    <n v="-58.36"/>
    <n v="2382"/>
    <n v="1"/>
    <n v="1"/>
  </r>
  <r>
    <m/>
    <m/>
    <x v="1"/>
    <s v="47863481003003"/>
    <n v="-64.459999999999994"/>
    <n v="2631"/>
    <n v="1"/>
    <n v="1"/>
  </r>
  <r>
    <m/>
    <m/>
    <x v="1"/>
    <s v="47865371001001"/>
    <n v="-43.27"/>
    <n v="1766"/>
    <n v="1"/>
    <n v="1"/>
  </r>
  <r>
    <m/>
    <m/>
    <x v="1"/>
    <s v="47874432001002"/>
    <n v="-56.33"/>
    <n v="2299"/>
    <n v="1"/>
    <n v="1"/>
  </r>
  <r>
    <m/>
    <m/>
    <x v="1"/>
    <s v="47902401001001"/>
    <n v="-74.16"/>
    <n v="3027"/>
    <n v="1"/>
    <n v="1"/>
  </r>
  <r>
    <m/>
    <m/>
    <x v="1"/>
    <s v="47907721006007"/>
    <n v="-47.04"/>
    <n v="1920"/>
    <n v="1"/>
    <n v="1"/>
  </r>
  <r>
    <m/>
    <m/>
    <x v="1"/>
    <s v="47951681001003"/>
    <n v="-41.94"/>
    <n v="1712"/>
    <n v="1"/>
    <n v="1"/>
  </r>
  <r>
    <m/>
    <m/>
    <x v="1"/>
    <s v="47967501001003"/>
    <n v="-9.4600000000000009"/>
    <n v="386"/>
    <n v="1"/>
    <n v="1"/>
  </r>
  <r>
    <m/>
    <m/>
    <x v="1"/>
    <s v="47977511001001"/>
    <n v="-75.31"/>
    <n v="3074"/>
    <n v="1"/>
    <n v="1"/>
  </r>
  <r>
    <m/>
    <m/>
    <x v="1"/>
    <s v="48019581004001"/>
    <n v="-46.16"/>
    <n v="1884"/>
    <n v="1"/>
    <n v="1"/>
  </r>
  <r>
    <m/>
    <m/>
    <x v="1"/>
    <s v="48051781001007"/>
    <n v="-2.4300000000000002"/>
    <n v="99"/>
    <n v="1"/>
    <n v="1"/>
  </r>
  <r>
    <m/>
    <m/>
    <x v="1"/>
    <s v="48090281007001"/>
    <n v="-87.27"/>
    <n v="3562"/>
    <n v="1"/>
    <n v="1"/>
  </r>
  <r>
    <m/>
    <m/>
    <x v="1"/>
    <s v="48098261002004"/>
    <n v="-28.3"/>
    <n v="1155"/>
    <n v="1"/>
    <n v="1"/>
  </r>
  <r>
    <m/>
    <m/>
    <x v="1"/>
    <s v="48109251001002"/>
    <n v="-21.17"/>
    <n v="864"/>
    <n v="1"/>
    <n v="1"/>
  </r>
  <r>
    <m/>
    <m/>
    <x v="1"/>
    <s v="48121991001001"/>
    <n v="-47.78"/>
    <n v="1950"/>
    <n v="1"/>
    <n v="1"/>
  </r>
  <r>
    <m/>
    <m/>
    <x v="1"/>
    <s v="48244561001001"/>
    <n v="-55.88"/>
    <n v="2281"/>
    <n v="1"/>
    <n v="1"/>
  </r>
  <r>
    <m/>
    <m/>
    <x v="1"/>
    <s v="48270598001001"/>
    <n v="-63.53"/>
    <n v="2593"/>
    <n v="1"/>
    <n v="1"/>
  </r>
  <r>
    <m/>
    <m/>
    <x v="1"/>
    <s v="48320511001002"/>
    <n v="-18.399999999999999"/>
    <n v="751"/>
    <n v="1"/>
    <n v="1"/>
  </r>
  <r>
    <m/>
    <m/>
    <x v="1"/>
    <s v="48401751001001"/>
    <n v="-46.82"/>
    <n v="1911"/>
    <n v="1"/>
    <n v="1"/>
  </r>
  <r>
    <m/>
    <m/>
    <x v="1"/>
    <s v="48520235002004"/>
    <n v="-7.2"/>
    <n v="294"/>
    <n v="1"/>
    <n v="1"/>
  </r>
  <r>
    <m/>
    <m/>
    <x v="1"/>
    <s v="48571671001004"/>
    <n v="-23.67"/>
    <n v="966"/>
    <n v="1"/>
    <n v="1"/>
  </r>
  <r>
    <m/>
    <m/>
    <x v="1"/>
    <s v="48622948001002"/>
    <n v="-35.43"/>
    <n v="1446"/>
    <n v="1"/>
    <n v="1"/>
  </r>
  <r>
    <m/>
    <m/>
    <x v="1"/>
    <s v="48676391001001"/>
    <n v="-36.33"/>
    <n v="1483"/>
    <n v="1"/>
    <n v="1"/>
  </r>
  <r>
    <m/>
    <m/>
    <x v="1"/>
    <s v="48681659001003"/>
    <n v="-5.49"/>
    <n v="224"/>
    <n v="1"/>
    <n v="1"/>
  </r>
  <r>
    <m/>
    <m/>
    <x v="1"/>
    <s v="48754161004001"/>
    <n v="-94.52"/>
    <n v="3858"/>
    <n v="1"/>
    <n v="1"/>
  </r>
  <r>
    <m/>
    <m/>
    <x v="1"/>
    <s v="48813330001001"/>
    <n v="-48.58"/>
    <n v="1983"/>
    <n v="1"/>
    <n v="1"/>
  </r>
  <r>
    <m/>
    <m/>
    <x v="1"/>
    <s v="48919522001001"/>
    <n v="-89.4"/>
    <n v="3649"/>
    <n v="1"/>
    <n v="1"/>
  </r>
  <r>
    <m/>
    <m/>
    <x v="1"/>
    <s v="48925311003003"/>
    <n v="-36.75"/>
    <n v="1500"/>
    <n v="1"/>
    <n v="1"/>
  </r>
  <r>
    <m/>
    <m/>
    <x v="1"/>
    <s v="48926217001001"/>
    <n v="-45.72"/>
    <n v="1866"/>
    <n v="1"/>
    <n v="1"/>
  </r>
  <r>
    <m/>
    <m/>
    <x v="1"/>
    <s v="48944491003004"/>
    <n v="-64.209999999999994"/>
    <n v="2621"/>
    <n v="1"/>
    <n v="1"/>
  </r>
  <r>
    <m/>
    <m/>
    <x v="1"/>
    <s v="48985511001001"/>
    <n v="-80.12"/>
    <n v="3270"/>
    <n v="1"/>
    <n v="1"/>
  </r>
  <r>
    <m/>
    <m/>
    <x v="1"/>
    <s v="49040181002004"/>
    <n v="-20.73"/>
    <n v="846"/>
    <n v="1"/>
    <n v="1"/>
  </r>
  <r>
    <m/>
    <m/>
    <x v="1"/>
    <s v="49078891001002"/>
    <n v="-13.25"/>
    <n v="541"/>
    <n v="1"/>
    <n v="1"/>
  </r>
  <r>
    <m/>
    <m/>
    <x v="1"/>
    <s v="49240871005001"/>
    <n v="-29.82"/>
    <n v="1217"/>
    <n v="1"/>
    <n v="1"/>
  </r>
  <r>
    <m/>
    <m/>
    <x v="1"/>
    <s v="49283851001002"/>
    <n v="-45.52"/>
    <n v="1858"/>
    <n v="1"/>
    <n v="1"/>
  </r>
  <r>
    <m/>
    <m/>
    <x v="1"/>
    <s v="49301721001001"/>
    <n v="-55.93"/>
    <n v="2283"/>
    <n v="1"/>
    <n v="1"/>
  </r>
  <r>
    <m/>
    <m/>
    <x v="1"/>
    <s v="49320041001002"/>
    <n v="-29.67"/>
    <n v="1211"/>
    <n v="1"/>
    <n v="1"/>
  </r>
  <r>
    <m/>
    <m/>
    <x v="1"/>
    <s v="49365331001001"/>
    <n v="-40.94"/>
    <n v="1671"/>
    <n v="1"/>
    <n v="1"/>
  </r>
  <r>
    <m/>
    <m/>
    <x v="1"/>
    <s v="49399211004004"/>
    <n v="-45.62"/>
    <n v="1862"/>
    <n v="1"/>
    <n v="1"/>
  </r>
  <r>
    <m/>
    <m/>
    <x v="1"/>
    <s v="49419650001003"/>
    <n v="-37"/>
    <n v="1510"/>
    <n v="1"/>
    <n v="1"/>
  </r>
  <r>
    <m/>
    <m/>
    <x v="1"/>
    <s v="49422279001002"/>
    <n v="-55.98"/>
    <n v="2285"/>
    <n v="1"/>
    <n v="1"/>
  </r>
  <r>
    <m/>
    <m/>
    <x v="1"/>
    <s v="49494020001001"/>
    <n v="-75.069999999999993"/>
    <n v="3064"/>
    <n v="1"/>
    <n v="1"/>
  </r>
  <r>
    <m/>
    <m/>
    <x v="1"/>
    <s v="49495461002007"/>
    <n v="-30.16"/>
    <n v="1231"/>
    <n v="1"/>
    <n v="1"/>
  </r>
  <r>
    <m/>
    <m/>
    <x v="1"/>
    <s v="49495741001001"/>
    <n v="-48.22"/>
    <n v="1968"/>
    <n v="1"/>
    <n v="1"/>
  </r>
  <r>
    <m/>
    <m/>
    <x v="1"/>
    <s v="49508621001001"/>
    <n v="-30.89"/>
    <n v="1261"/>
    <n v="1"/>
    <n v="1"/>
  </r>
  <r>
    <m/>
    <m/>
    <x v="1"/>
    <s v="49541451001001"/>
    <n v="-16.61"/>
    <n v="678"/>
    <n v="1"/>
    <n v="1"/>
  </r>
  <r>
    <m/>
    <m/>
    <x v="1"/>
    <s v="49543901002001"/>
    <n v="-36.26"/>
    <n v="1480"/>
    <n v="1"/>
    <n v="1"/>
  </r>
  <r>
    <m/>
    <m/>
    <x v="1"/>
    <s v="49577991001002"/>
    <n v="-31.78"/>
    <n v="1297"/>
    <n v="1"/>
    <n v="1"/>
  </r>
  <r>
    <m/>
    <m/>
    <x v="1"/>
    <s v="49585614001003"/>
    <n v="-25.77"/>
    <n v="1052"/>
    <n v="1"/>
    <n v="1"/>
  </r>
  <r>
    <m/>
    <m/>
    <x v="1"/>
    <s v="49597101001003"/>
    <n v="-6.84"/>
    <n v="279"/>
    <n v="1"/>
    <n v="1"/>
  </r>
  <r>
    <m/>
    <m/>
    <x v="1"/>
    <s v="49656951001001"/>
    <n v="-54.32"/>
    <n v="2217"/>
    <n v="1"/>
    <n v="1"/>
  </r>
  <r>
    <m/>
    <m/>
    <x v="1"/>
    <s v="49672030001003"/>
    <n v="-43.81"/>
    <n v="1788"/>
    <n v="1"/>
    <n v="1"/>
  </r>
  <r>
    <m/>
    <m/>
    <x v="1"/>
    <s v="49686351001004"/>
    <n v="-55.44"/>
    <n v="2263"/>
    <n v="1"/>
    <n v="1"/>
  </r>
  <r>
    <m/>
    <m/>
    <x v="1"/>
    <s v="49762441001002"/>
    <n v="-16.88"/>
    <n v="689"/>
    <n v="1"/>
    <n v="1"/>
  </r>
  <r>
    <m/>
    <m/>
    <x v="1"/>
    <s v="49824467001003"/>
    <n v="-34.770000000000003"/>
    <n v="1419"/>
    <n v="1"/>
    <n v="1"/>
  </r>
  <r>
    <m/>
    <m/>
    <x v="1"/>
    <s v="49882561001006"/>
    <n v="-6.3"/>
    <n v="257"/>
    <n v="1"/>
    <n v="1"/>
  </r>
  <r>
    <m/>
    <m/>
    <x v="1"/>
    <s v="49929881001003"/>
    <n v="-73.08"/>
    <n v="2983"/>
    <n v="1"/>
    <n v="1"/>
  </r>
  <r>
    <m/>
    <m/>
    <x v="1"/>
    <s v="49930301001001"/>
    <n v="-58.68"/>
    <n v="2395"/>
    <n v="1"/>
    <n v="1"/>
  </r>
  <r>
    <m/>
    <m/>
    <x v="1"/>
    <s v="50008447001011"/>
    <n v="-52.45"/>
    <n v="2141"/>
    <n v="1"/>
    <n v="1"/>
  </r>
  <r>
    <m/>
    <m/>
    <x v="1"/>
    <s v="50087731002008"/>
    <n v="-40.5"/>
    <n v="1653"/>
    <n v="1"/>
    <n v="1"/>
  </r>
  <r>
    <m/>
    <m/>
    <x v="1"/>
    <s v="50112547001005"/>
    <n v="-46.84"/>
    <n v="1912"/>
    <n v="1"/>
    <n v="1"/>
  </r>
  <r>
    <m/>
    <m/>
    <x v="1"/>
    <s v="50185311001007"/>
    <n v="-37.78"/>
    <n v="1542"/>
    <n v="1"/>
    <n v="1"/>
  </r>
  <r>
    <m/>
    <m/>
    <x v="1"/>
    <s v="50193571001001"/>
    <n v="-36.770000000000003"/>
    <n v="1501"/>
    <n v="1"/>
    <n v="1"/>
  </r>
  <r>
    <m/>
    <m/>
    <x v="1"/>
    <s v="50237638001001"/>
    <n v="-28.62"/>
    <n v="1168"/>
    <n v="1"/>
    <n v="1"/>
  </r>
  <r>
    <m/>
    <m/>
    <x v="1"/>
    <s v="50301161005001"/>
    <n v="-13.06"/>
    <n v="533"/>
    <n v="1"/>
    <n v="1"/>
  </r>
  <r>
    <m/>
    <m/>
    <x v="1"/>
    <s v="50368711001001"/>
    <n v="-79.599999999999994"/>
    <n v="3249"/>
    <n v="1"/>
    <n v="1"/>
  </r>
  <r>
    <m/>
    <m/>
    <x v="1"/>
    <s v="50379561001003"/>
    <n v="-28.42"/>
    <n v="1160"/>
    <n v="1"/>
    <n v="1"/>
  </r>
  <r>
    <m/>
    <m/>
    <x v="1"/>
    <s v="50381816001001"/>
    <n v="-29.67"/>
    <n v="1211"/>
    <n v="1"/>
    <n v="1"/>
  </r>
  <r>
    <m/>
    <m/>
    <x v="1"/>
    <s v="50402241001002"/>
    <n v="-39.840000000000003"/>
    <n v="1626"/>
    <n v="1"/>
    <n v="1"/>
  </r>
  <r>
    <m/>
    <m/>
    <x v="1"/>
    <s v="50442211002001"/>
    <n v="-65.709999999999994"/>
    <n v="2682"/>
    <n v="1"/>
    <n v="1"/>
  </r>
  <r>
    <m/>
    <m/>
    <x v="1"/>
    <s v="50448651006001"/>
    <n v="-47.02"/>
    <n v="1919"/>
    <n v="1"/>
    <n v="1"/>
  </r>
  <r>
    <m/>
    <m/>
    <x v="1"/>
    <s v="50475466003001"/>
    <n v="-73.87"/>
    <n v="3015"/>
    <n v="1"/>
    <n v="1"/>
  </r>
  <r>
    <m/>
    <m/>
    <x v="1"/>
    <s v="50499961001001"/>
    <n v="-40.72"/>
    <n v="1662"/>
    <n v="1"/>
    <n v="1"/>
  </r>
  <r>
    <m/>
    <m/>
    <x v="1"/>
    <s v="50535031003001"/>
    <n v="-70.22"/>
    <n v="2866"/>
    <n v="1"/>
    <n v="1"/>
  </r>
  <r>
    <m/>
    <m/>
    <x v="1"/>
    <s v="50570311001001"/>
    <n v="-66.739999999999995"/>
    <n v="2724"/>
    <n v="1"/>
    <n v="1"/>
  </r>
  <r>
    <m/>
    <m/>
    <x v="1"/>
    <s v="50573811005005"/>
    <n v="-119.76"/>
    <n v="4888"/>
    <n v="1"/>
    <n v="1"/>
  </r>
  <r>
    <m/>
    <m/>
    <x v="1"/>
    <s v="50587853001001"/>
    <n v="-31.19"/>
    <n v="1273"/>
    <n v="1"/>
    <n v="1"/>
  </r>
  <r>
    <m/>
    <m/>
    <x v="1"/>
    <s v="50603564001001"/>
    <n v="-45.69"/>
    <n v="1865"/>
    <n v="1"/>
    <n v="1"/>
  </r>
  <r>
    <m/>
    <m/>
    <x v="1"/>
    <s v="50633661001004"/>
    <n v="-22.3"/>
    <n v="910"/>
    <n v="1"/>
    <n v="1"/>
  </r>
  <r>
    <m/>
    <m/>
    <x v="1"/>
    <s v="50634081002001"/>
    <n v="-9.9"/>
    <n v="404"/>
    <n v="1"/>
    <n v="1"/>
  </r>
  <r>
    <m/>
    <m/>
    <x v="1"/>
    <s v="50645281001001"/>
    <n v="-60.54"/>
    <n v="2471"/>
    <n v="1"/>
    <n v="1"/>
  </r>
  <r>
    <m/>
    <m/>
    <x v="1"/>
    <s v="50670003002005"/>
    <n v="-36.58"/>
    <n v="1493"/>
    <n v="1"/>
    <n v="1"/>
  </r>
  <r>
    <m/>
    <m/>
    <x v="1"/>
    <s v="50692811001009"/>
    <n v="-2.2999999999999998"/>
    <n v="94"/>
    <n v="1"/>
    <n v="1"/>
  </r>
  <r>
    <m/>
    <m/>
    <x v="1"/>
    <s v="50704851001003"/>
    <n v="-36.729999999999997"/>
    <n v="1499"/>
    <n v="1"/>
    <n v="1"/>
  </r>
  <r>
    <m/>
    <m/>
    <x v="1"/>
    <s v="50707021001003"/>
    <n v="-83.28"/>
    <n v="3399"/>
    <n v="1"/>
    <n v="1"/>
  </r>
  <r>
    <m/>
    <m/>
    <x v="1"/>
    <s v="50737681001001"/>
    <n v="-12.74"/>
    <n v="520"/>
    <n v="1"/>
    <n v="1"/>
  </r>
  <r>
    <m/>
    <m/>
    <x v="1"/>
    <s v="50750548001001"/>
    <n v="-47.29"/>
    <n v="1930"/>
    <n v="1"/>
    <n v="1"/>
  </r>
  <r>
    <m/>
    <m/>
    <x v="1"/>
    <s v="50774501001001"/>
    <n v="-55.32"/>
    <n v="2258"/>
    <n v="1"/>
    <n v="1"/>
  </r>
  <r>
    <m/>
    <m/>
    <x v="1"/>
    <s v="50791371001002"/>
    <n v="-33.340000000000003"/>
    <n v="1361"/>
    <n v="1"/>
    <n v="1"/>
  </r>
  <r>
    <m/>
    <m/>
    <x v="1"/>
    <s v="50800541001001"/>
    <n v="-22.83"/>
    <n v="932"/>
    <n v="1"/>
    <n v="1"/>
  </r>
  <r>
    <m/>
    <m/>
    <x v="1"/>
    <s v="50806272001001"/>
    <n v="-53.41"/>
    <n v="2180"/>
    <n v="1"/>
    <n v="1"/>
  </r>
  <r>
    <m/>
    <m/>
    <x v="1"/>
    <s v="50808661003002"/>
    <n v="-8.06"/>
    <n v="329"/>
    <n v="1"/>
    <n v="1"/>
  </r>
  <r>
    <m/>
    <m/>
    <x v="1"/>
    <s v="50813841001001"/>
    <n v="-48.66"/>
    <n v="1986"/>
    <n v="1"/>
    <n v="1"/>
  </r>
  <r>
    <m/>
    <m/>
    <x v="1"/>
    <s v="50830851001009"/>
    <n v="-77.319999999999993"/>
    <n v="3156"/>
    <n v="1"/>
    <n v="1"/>
  </r>
  <r>
    <m/>
    <m/>
    <x v="1"/>
    <s v="50839041006001"/>
    <n v="-63.6"/>
    <n v="2596"/>
    <n v="1"/>
    <n v="1"/>
  </r>
  <r>
    <m/>
    <m/>
    <x v="1"/>
    <s v="50841001001001"/>
    <n v="-0.22"/>
    <n v="9"/>
    <n v="1"/>
    <n v="1"/>
  </r>
  <r>
    <m/>
    <m/>
    <x v="1"/>
    <s v="50841762002002"/>
    <n v="-44.84"/>
    <n v="1830"/>
    <n v="1"/>
    <n v="1"/>
  </r>
  <r>
    <m/>
    <m/>
    <x v="1"/>
    <s v="50841911003002"/>
    <n v="-57.11"/>
    <n v="2331"/>
    <n v="1"/>
    <n v="1"/>
  </r>
  <r>
    <m/>
    <m/>
    <x v="1"/>
    <s v="50852621001002"/>
    <n v="-12.96"/>
    <n v="529"/>
    <n v="1"/>
    <n v="1"/>
  </r>
  <r>
    <m/>
    <m/>
    <x v="1"/>
    <s v="50858501001001"/>
    <n v="-1.76"/>
    <n v="72"/>
    <n v="1"/>
    <n v="1"/>
  </r>
  <r>
    <m/>
    <m/>
    <x v="1"/>
    <s v="50860461001005"/>
    <n v="-28.54"/>
    <n v="1165"/>
    <n v="1"/>
    <n v="1"/>
  </r>
  <r>
    <m/>
    <m/>
    <x v="1"/>
    <s v="50901131002003"/>
    <n v="-50.72"/>
    <n v="2070"/>
    <n v="1"/>
    <n v="1"/>
  </r>
  <r>
    <m/>
    <m/>
    <x v="1"/>
    <s v="50903441001001"/>
    <n v="-127.06"/>
    <n v="5186"/>
    <n v="1"/>
    <n v="1"/>
  </r>
  <r>
    <m/>
    <m/>
    <x v="1"/>
    <s v="50924581001001"/>
    <n v="-72.42"/>
    <n v="2956"/>
    <n v="1"/>
    <n v="1"/>
  </r>
  <r>
    <m/>
    <m/>
    <x v="1"/>
    <s v="50950411001003"/>
    <n v="-22.22"/>
    <n v="907"/>
    <n v="1"/>
    <n v="1"/>
  </r>
  <r>
    <m/>
    <m/>
    <x v="1"/>
    <s v="50978201001001"/>
    <n v="-46.23"/>
    <n v="1887"/>
    <n v="1"/>
    <n v="1"/>
  </r>
  <r>
    <m/>
    <m/>
    <x v="1"/>
    <s v="50996471001001"/>
    <n v="-31.73"/>
    <n v="1295"/>
    <n v="1"/>
    <n v="1"/>
  </r>
  <r>
    <m/>
    <m/>
    <x v="1"/>
    <s v="50996751002001"/>
    <n v="-95.45"/>
    <n v="3896"/>
    <n v="1"/>
    <n v="1"/>
  </r>
  <r>
    <m/>
    <m/>
    <x v="1"/>
    <s v="50998792001004"/>
    <n v="-39.79"/>
    <n v="1624"/>
    <n v="1"/>
    <n v="1"/>
  </r>
  <r>
    <m/>
    <m/>
    <x v="1"/>
    <s v="51004521001001"/>
    <n v="-55.96"/>
    <n v="2284"/>
    <n v="1"/>
    <n v="1"/>
  </r>
  <r>
    <m/>
    <m/>
    <x v="1"/>
    <s v="51005081004002"/>
    <n v="-50.27"/>
    <n v="2052"/>
    <n v="1"/>
    <n v="1"/>
  </r>
  <r>
    <m/>
    <m/>
    <x v="1"/>
    <s v="51040081001001"/>
    <n v="-53.63"/>
    <n v="2189"/>
    <n v="1"/>
    <n v="1"/>
  </r>
  <r>
    <m/>
    <m/>
    <x v="1"/>
    <s v="51053871001001"/>
    <n v="-18.87"/>
    <n v="770"/>
    <n v="1"/>
    <n v="1"/>
  </r>
  <r>
    <m/>
    <m/>
    <x v="1"/>
    <s v="51068641001003"/>
    <n v="-75.78"/>
    <n v="3093"/>
    <n v="1"/>
    <n v="1"/>
  </r>
  <r>
    <m/>
    <m/>
    <x v="1"/>
    <s v="51072491007001"/>
    <n v="-54.78"/>
    <n v="2236"/>
    <n v="1"/>
    <n v="1"/>
  </r>
  <r>
    <m/>
    <m/>
    <x v="1"/>
    <s v="51088381003003"/>
    <n v="-18.690000000000001"/>
    <n v="763"/>
    <n v="1"/>
    <n v="1"/>
  </r>
  <r>
    <m/>
    <m/>
    <x v="1"/>
    <s v="51094611001002"/>
    <n v="-26.12"/>
    <n v="1066"/>
    <n v="1"/>
    <n v="1"/>
  </r>
  <r>
    <m/>
    <m/>
    <x v="1"/>
    <s v="51118901001001"/>
    <n v="-9.24"/>
    <n v="377"/>
    <n v="1"/>
    <n v="1"/>
  </r>
  <r>
    <m/>
    <m/>
    <x v="1"/>
    <s v="51123890001005"/>
    <n v="-32.14"/>
    <n v="1312"/>
    <n v="1"/>
    <n v="1"/>
  </r>
  <r>
    <m/>
    <m/>
    <x v="1"/>
    <s v="51130381001001"/>
    <n v="-24.03"/>
    <n v="981"/>
    <n v="1"/>
    <n v="1"/>
  </r>
  <r>
    <m/>
    <m/>
    <x v="1"/>
    <s v="51130521001001"/>
    <n v="-67.739999999999995"/>
    <n v="2765"/>
    <n v="1"/>
    <n v="1"/>
  </r>
  <r>
    <m/>
    <m/>
    <x v="1"/>
    <s v="51132481001002"/>
    <n v="-46.8"/>
    <n v="1910"/>
    <n v="1"/>
    <n v="1"/>
  </r>
  <r>
    <m/>
    <m/>
    <x v="1"/>
    <s v="51134651003001"/>
    <n v="-51.77"/>
    <n v="2113"/>
    <n v="1"/>
    <n v="1"/>
  </r>
  <r>
    <m/>
    <m/>
    <x v="1"/>
    <s v="51136541001001"/>
    <n v="-47.73"/>
    <n v="1948"/>
    <n v="1"/>
    <n v="1"/>
  </r>
  <r>
    <m/>
    <m/>
    <x v="1"/>
    <s v="51139481001001"/>
    <n v="-47.11"/>
    <n v="1923"/>
    <n v="1"/>
    <n v="1"/>
  </r>
  <r>
    <m/>
    <m/>
    <x v="1"/>
    <s v="51148861001002"/>
    <n v="-33.71"/>
    <n v="1376"/>
    <n v="1"/>
    <n v="1"/>
  </r>
  <r>
    <m/>
    <m/>
    <x v="1"/>
    <s v="51157051002006"/>
    <n v="-54.24"/>
    <n v="2214"/>
    <n v="1"/>
    <n v="1"/>
  </r>
  <r>
    <m/>
    <m/>
    <x v="1"/>
    <s v="51159081001001"/>
    <n v="-29.65"/>
    <n v="1210"/>
    <n v="1"/>
    <n v="1"/>
  </r>
  <r>
    <m/>
    <m/>
    <x v="1"/>
    <s v="51165941001001"/>
    <n v="-47.63"/>
    <n v="1944"/>
    <n v="1"/>
    <n v="1"/>
  </r>
  <r>
    <m/>
    <m/>
    <x v="1"/>
    <s v="51172101004001"/>
    <n v="-52.31"/>
    <n v="2135"/>
    <n v="1"/>
    <n v="1"/>
  </r>
  <r>
    <m/>
    <m/>
    <x v="1"/>
    <s v="51185331001003"/>
    <n v="-94.08"/>
    <n v="3840"/>
    <n v="1"/>
    <n v="1"/>
  </r>
  <r>
    <m/>
    <m/>
    <x v="1"/>
    <s v="51193241002001"/>
    <n v="-51.96"/>
    <n v="2121"/>
    <n v="1"/>
    <n v="1"/>
  </r>
  <r>
    <m/>
    <m/>
    <x v="1"/>
    <s v="51206961001001"/>
    <n v="-44.52"/>
    <n v="1817"/>
    <n v="1"/>
    <n v="1"/>
  </r>
  <r>
    <m/>
    <m/>
    <x v="1"/>
    <s v="51333171001001"/>
    <n v="-70.34"/>
    <n v="2871"/>
    <n v="1"/>
    <n v="1"/>
  </r>
  <r>
    <m/>
    <m/>
    <x v="1"/>
    <s v="51335971001001"/>
    <n v="-48.85"/>
    <n v="1994"/>
    <n v="1"/>
    <n v="1"/>
  </r>
  <r>
    <m/>
    <m/>
    <x v="1"/>
    <s v="51337301001006"/>
    <n v="-58.09"/>
    <n v="2371"/>
    <n v="1"/>
    <n v="1"/>
  </r>
  <r>
    <m/>
    <m/>
    <x v="1"/>
    <s v="51351441001005"/>
    <n v="-37.630000000000003"/>
    <n v="1536"/>
    <n v="1"/>
    <n v="1"/>
  </r>
  <r>
    <m/>
    <m/>
    <x v="1"/>
    <s v="51366841003001"/>
    <n v="-26.73"/>
    <n v="1091"/>
    <n v="1"/>
    <n v="1"/>
  </r>
  <r>
    <m/>
    <m/>
    <x v="1"/>
    <s v="51386861002001"/>
    <n v="-38.61"/>
    <n v="1576"/>
    <n v="1"/>
    <n v="1"/>
  </r>
  <r>
    <m/>
    <m/>
    <x v="1"/>
    <s v="51450281001002"/>
    <n v="-92.76"/>
    <n v="3786"/>
    <n v="1"/>
    <n v="1"/>
  </r>
  <r>
    <m/>
    <m/>
    <x v="1"/>
    <s v="51450421001005"/>
    <n v="-58.51"/>
    <n v="2388"/>
    <n v="1"/>
    <n v="1"/>
  </r>
  <r>
    <m/>
    <m/>
    <x v="1"/>
    <s v="51462741002002"/>
    <n v="-60.78"/>
    <n v="2481"/>
    <n v="1"/>
    <n v="1"/>
  </r>
  <r>
    <m/>
    <m/>
    <x v="1"/>
    <s v="51493121002001"/>
    <n v="-68.45"/>
    <n v="2794"/>
    <n v="1"/>
    <n v="1"/>
  </r>
  <r>
    <m/>
    <m/>
    <x v="1"/>
    <s v="51513351001001"/>
    <n v="-32.1"/>
    <n v="1310"/>
    <n v="1"/>
    <n v="1"/>
  </r>
  <r>
    <m/>
    <m/>
    <x v="1"/>
    <s v="51518531001001"/>
    <n v="-16.27"/>
    <n v="664"/>
    <n v="1"/>
    <n v="1"/>
  </r>
  <r>
    <m/>
    <m/>
    <x v="1"/>
    <s v="51518881001001"/>
    <n v="-56.06"/>
    <n v="2288"/>
    <n v="1"/>
    <n v="1"/>
  </r>
  <r>
    <m/>
    <m/>
    <x v="1"/>
    <s v="51529534001001"/>
    <n v="-37.07"/>
    <n v="1513"/>
    <n v="1"/>
    <n v="1"/>
  </r>
  <r>
    <m/>
    <m/>
    <x v="1"/>
    <s v="51532811002001"/>
    <n v="-65.59"/>
    <n v="2677"/>
    <n v="1"/>
    <n v="1"/>
  </r>
  <r>
    <m/>
    <m/>
    <x v="1"/>
    <s v="51539946002026"/>
    <n v="-23.69"/>
    <n v="967"/>
    <n v="1"/>
    <n v="1"/>
  </r>
  <r>
    <m/>
    <m/>
    <x v="1"/>
    <s v="51583981001001"/>
    <n v="-41.72"/>
    <n v="1703"/>
    <n v="1"/>
    <n v="1"/>
  </r>
  <r>
    <m/>
    <m/>
    <x v="1"/>
    <s v="51593991001001"/>
    <n v="-21.17"/>
    <n v="864"/>
    <n v="1"/>
    <n v="1"/>
  </r>
  <r>
    <m/>
    <m/>
    <x v="1"/>
    <s v="51596441002007"/>
    <n v="-15.58"/>
    <n v="636"/>
    <n v="1"/>
    <n v="1"/>
  </r>
  <r>
    <m/>
    <m/>
    <x v="1"/>
    <s v="51607711002002"/>
    <n v="-36.409999999999997"/>
    <n v="1486"/>
    <n v="1"/>
    <n v="1"/>
  </r>
  <r>
    <m/>
    <m/>
    <x v="1"/>
    <s v="51609951002002"/>
    <n v="-52.5"/>
    <n v="2143"/>
    <n v="1"/>
    <n v="1"/>
  </r>
  <r>
    <m/>
    <m/>
    <x v="1"/>
    <s v="51610931001001"/>
    <n v="-53.07"/>
    <n v="2166"/>
    <n v="1"/>
    <n v="1"/>
  </r>
  <r>
    <m/>
    <m/>
    <x v="1"/>
    <s v="51613591003001"/>
    <n v="-41.53"/>
    <n v="1695"/>
    <n v="1"/>
    <n v="1"/>
  </r>
  <r>
    <m/>
    <m/>
    <x v="1"/>
    <s v="51613941001002"/>
    <n v="-59.29"/>
    <n v="2420"/>
    <n v="1"/>
    <n v="1"/>
  </r>
  <r>
    <m/>
    <m/>
    <x v="1"/>
    <s v="51622971001007"/>
    <n v="-40.43"/>
    <n v="1650"/>
    <n v="1"/>
    <n v="1"/>
  </r>
  <r>
    <m/>
    <m/>
    <x v="1"/>
    <s v="51626401001009"/>
    <n v="-2.21"/>
    <n v="90"/>
    <n v="1"/>
    <n v="1"/>
  </r>
  <r>
    <m/>
    <m/>
    <x v="1"/>
    <s v="51635711001002"/>
    <n v="-42.88"/>
    <n v="1750"/>
    <n v="1"/>
    <n v="1"/>
  </r>
  <r>
    <m/>
    <m/>
    <x v="1"/>
    <s v="51773839001001"/>
    <n v="-74.19"/>
    <n v="3028"/>
    <n v="1"/>
    <n v="1"/>
  </r>
  <r>
    <m/>
    <m/>
    <x v="1"/>
    <s v="51911437001003"/>
    <n v="-44.25"/>
    <n v="1806"/>
    <n v="1"/>
    <n v="1"/>
  </r>
  <r>
    <m/>
    <m/>
    <x v="1"/>
    <s v="52411414001001"/>
    <n v="-51.79"/>
    <n v="2114"/>
    <n v="1"/>
    <n v="1"/>
  </r>
  <r>
    <m/>
    <m/>
    <x v="1"/>
    <s v="52604309001004"/>
    <n v="-148.47"/>
    <n v="6060"/>
    <n v="1"/>
    <n v="1"/>
  </r>
  <r>
    <m/>
    <m/>
    <x v="1"/>
    <s v="52682385001007"/>
    <n v="-26.41"/>
    <n v="1078"/>
    <n v="1"/>
    <n v="1"/>
  </r>
  <r>
    <m/>
    <m/>
    <x v="1"/>
    <s v="52743980001001"/>
    <n v="-41.06"/>
    <n v="1676"/>
    <n v="1"/>
    <n v="1"/>
  </r>
  <r>
    <m/>
    <m/>
    <x v="1"/>
    <s v="52822965001002"/>
    <n v="-2.4700000000000002"/>
    <n v="101"/>
    <n v="1"/>
    <n v="1"/>
  </r>
  <r>
    <m/>
    <m/>
    <x v="1"/>
    <s v="52969548001004"/>
    <n v="-25.21"/>
    <n v="1029"/>
    <n v="1"/>
    <n v="1"/>
  </r>
  <r>
    <m/>
    <m/>
    <x v="1"/>
    <s v="52987911001001"/>
    <n v="-39.270000000000003"/>
    <n v="1603"/>
    <n v="1"/>
    <n v="1"/>
  </r>
  <r>
    <m/>
    <m/>
    <x v="1"/>
    <s v="53001899001007"/>
    <n v="-77.44"/>
    <n v="3161"/>
    <n v="1"/>
    <n v="1"/>
  </r>
  <r>
    <m/>
    <m/>
    <x v="1"/>
    <s v="53062226003001"/>
    <n v="-6.47"/>
    <n v="264"/>
    <n v="1"/>
    <n v="1"/>
  </r>
  <r>
    <m/>
    <m/>
    <x v="1"/>
    <s v="53097867001003"/>
    <n v="-54"/>
    <n v="2204"/>
    <n v="1"/>
    <n v="1"/>
  </r>
  <r>
    <m/>
    <m/>
    <x v="1"/>
    <s v="53145339001003"/>
    <n v="-49.2"/>
    <n v="2008"/>
    <n v="1"/>
    <n v="1"/>
  </r>
  <r>
    <m/>
    <m/>
    <x v="1"/>
    <s v="53199928001001"/>
    <n v="-26.44"/>
    <n v="1079"/>
    <n v="1"/>
    <n v="1"/>
  </r>
  <r>
    <m/>
    <m/>
    <x v="1"/>
    <s v="53233663001001"/>
    <n v="-33"/>
    <n v="1347"/>
    <n v="1"/>
    <n v="1"/>
  </r>
  <r>
    <m/>
    <m/>
    <x v="1"/>
    <s v="53241086001003"/>
    <n v="-13.94"/>
    <n v="569"/>
    <n v="1"/>
    <n v="1"/>
  </r>
  <r>
    <m/>
    <m/>
    <x v="1"/>
    <s v="53403855001001"/>
    <n v="-18.010000000000002"/>
    <n v="735"/>
    <n v="1"/>
    <n v="1"/>
  </r>
  <r>
    <m/>
    <m/>
    <x v="1"/>
    <s v="53483833001003"/>
    <n v="-32.51"/>
    <n v="1327"/>
    <n v="1"/>
    <n v="1"/>
  </r>
  <r>
    <m/>
    <m/>
    <x v="1"/>
    <s v="53913484003002"/>
    <n v="-59.14"/>
    <n v="2414"/>
    <n v="1"/>
    <n v="1"/>
  </r>
  <r>
    <m/>
    <m/>
    <x v="1"/>
    <s v="53931640001001"/>
    <n v="-41.94"/>
    <n v="1712"/>
    <n v="1"/>
    <n v="1"/>
  </r>
  <r>
    <m/>
    <m/>
    <x v="1"/>
    <s v="54011290001001"/>
    <n v="-55.22"/>
    <n v="2254"/>
    <n v="1"/>
    <n v="1"/>
  </r>
  <r>
    <m/>
    <m/>
    <x v="1"/>
    <s v="54099172001001"/>
    <n v="-21.41"/>
    <n v="874"/>
    <n v="1"/>
    <n v="1"/>
  </r>
  <r>
    <m/>
    <m/>
    <x v="1"/>
    <s v="54213868001001"/>
    <n v="-123.5"/>
    <n v="5041"/>
    <n v="1"/>
    <n v="1"/>
  </r>
  <r>
    <m/>
    <m/>
    <x v="1"/>
    <s v="54273862001002"/>
    <n v="-48.27"/>
    <n v="1970"/>
    <n v="1"/>
    <n v="1"/>
  </r>
  <r>
    <m/>
    <m/>
    <x v="1"/>
    <s v="54291381001009"/>
    <n v="-33.25"/>
    <n v="1357"/>
    <n v="1"/>
    <n v="1"/>
  </r>
  <r>
    <m/>
    <m/>
    <x v="1"/>
    <s v="54626005001001"/>
    <n v="-16.149999999999999"/>
    <n v="659"/>
    <n v="1"/>
    <n v="1"/>
  </r>
  <r>
    <m/>
    <m/>
    <x v="1"/>
    <s v="55096000001001"/>
    <n v="-24.99"/>
    <n v="1020"/>
    <n v="1"/>
    <n v="1"/>
  </r>
  <r>
    <m/>
    <m/>
    <x v="1"/>
    <s v="55151623003001"/>
    <n v="-67.23"/>
    <n v="2744"/>
    <n v="1"/>
    <n v="1"/>
  </r>
  <r>
    <m/>
    <m/>
    <x v="1"/>
    <s v="55250557001001"/>
    <n v="-22.56"/>
    <n v="921"/>
    <n v="1"/>
    <n v="1"/>
  </r>
  <r>
    <m/>
    <m/>
    <x v="1"/>
    <s v="55495324001002"/>
    <n v="-45.82"/>
    <n v="1870"/>
    <n v="1"/>
    <n v="1"/>
  </r>
  <r>
    <m/>
    <m/>
    <x v="1"/>
    <s v="55663297001003"/>
    <n v="-54.24"/>
    <n v="2214"/>
    <n v="1"/>
    <n v="1"/>
  </r>
  <r>
    <m/>
    <m/>
    <x v="1"/>
    <s v="55742379001001"/>
    <n v="-28.62"/>
    <n v="1168"/>
    <n v="1"/>
    <n v="1"/>
  </r>
  <r>
    <m/>
    <m/>
    <x v="1"/>
    <s v="56055745002003"/>
    <n v="-50.76"/>
    <n v="2072"/>
    <n v="1"/>
    <n v="1"/>
  </r>
  <r>
    <m/>
    <m/>
    <x v="1"/>
    <s v="56091920005001"/>
    <n v="-32.93"/>
    <n v="1344"/>
    <n v="1"/>
    <n v="1"/>
  </r>
  <r>
    <m/>
    <m/>
    <x v="1"/>
    <s v="56105605001004"/>
    <n v="-28.86"/>
    <n v="1178"/>
    <n v="1"/>
    <n v="1"/>
  </r>
  <r>
    <m/>
    <m/>
    <x v="1"/>
    <s v="56408599001001"/>
    <n v="-85.82"/>
    <n v="3503"/>
    <n v="1"/>
    <n v="1"/>
  </r>
  <r>
    <m/>
    <m/>
    <x v="1"/>
    <s v="57113275001001"/>
    <n v="-70.17"/>
    <n v="2864"/>
    <n v="1"/>
    <n v="1"/>
  </r>
  <r>
    <m/>
    <m/>
    <x v="1"/>
    <s v="57165863001001"/>
    <n v="-73.650000000000006"/>
    <n v="3006"/>
    <n v="1"/>
    <n v="1"/>
  </r>
  <r>
    <m/>
    <m/>
    <x v="1"/>
    <s v="57364558001001"/>
    <n v="-84.26"/>
    <n v="3439"/>
    <n v="1"/>
    <n v="1"/>
  </r>
  <r>
    <m/>
    <m/>
    <x v="1"/>
    <s v="57560991001007"/>
    <n v="-49.37"/>
    <n v="2015"/>
    <n v="1"/>
    <n v="1"/>
  </r>
  <r>
    <m/>
    <m/>
    <x v="1"/>
    <s v="57810254001002"/>
    <n v="-55.39"/>
    <n v="2261"/>
    <n v="1"/>
    <n v="1"/>
  </r>
  <r>
    <m/>
    <m/>
    <x v="1"/>
    <s v="57834181001001"/>
    <n v="-47.75"/>
    <n v="1949"/>
    <n v="1"/>
    <n v="1"/>
  </r>
  <r>
    <m/>
    <m/>
    <x v="1"/>
    <s v="58010908001002"/>
    <n v="-51.7"/>
    <n v="2110"/>
    <n v="1"/>
    <n v="1"/>
  </r>
  <r>
    <m/>
    <m/>
    <x v="1"/>
    <s v="58027310005001"/>
    <n v="-28.2"/>
    <n v="1151"/>
    <n v="1"/>
    <n v="1"/>
  </r>
  <r>
    <m/>
    <m/>
    <x v="1"/>
    <s v="58157660001002"/>
    <n v="-56.94"/>
    <n v="2324"/>
    <n v="1"/>
    <n v="1"/>
  </r>
  <r>
    <m/>
    <m/>
    <x v="1"/>
    <s v="58433748001002"/>
    <n v="-37.24"/>
    <n v="1520"/>
    <n v="1"/>
    <n v="1"/>
  </r>
  <r>
    <m/>
    <m/>
    <x v="1"/>
    <s v="59248245001001"/>
    <n v="-61.86"/>
    <n v="2525"/>
    <n v="1"/>
    <n v="1"/>
  </r>
  <r>
    <m/>
    <m/>
    <x v="1"/>
    <s v="59431046001003"/>
    <n v="-12.79"/>
    <n v="522"/>
    <n v="1"/>
    <n v="1"/>
  </r>
  <r>
    <m/>
    <m/>
    <x v="1"/>
    <s v="59524591001003"/>
    <n v="-3.45"/>
    <n v="141"/>
    <n v="1"/>
    <n v="1"/>
  </r>
  <r>
    <m/>
    <m/>
    <x v="1"/>
    <s v="59567010001005"/>
    <n v="-9.33"/>
    <n v="381"/>
    <n v="1"/>
    <n v="1"/>
  </r>
  <r>
    <m/>
    <m/>
    <x v="1"/>
    <s v="59766724001001"/>
    <n v="-44.3"/>
    <n v="1808"/>
    <n v="1"/>
    <n v="1"/>
  </r>
  <r>
    <m/>
    <m/>
    <x v="1"/>
    <s v="59801546001007"/>
    <n v="-32.49"/>
    <n v="1326"/>
    <n v="1"/>
    <n v="1"/>
  </r>
  <r>
    <m/>
    <m/>
    <x v="1"/>
    <s v="59807684001002"/>
    <n v="-3.65"/>
    <n v="149"/>
    <n v="1"/>
    <n v="1"/>
  </r>
  <r>
    <m/>
    <m/>
    <x v="1"/>
    <s v="59901721001001"/>
    <n v="-61.18"/>
    <n v="2497"/>
    <n v="1"/>
    <n v="1"/>
  </r>
  <r>
    <m/>
    <m/>
    <x v="1"/>
    <s v="59999162001001"/>
    <n v="-34.28"/>
    <n v="1399"/>
    <n v="1"/>
    <n v="1"/>
  </r>
  <r>
    <m/>
    <m/>
    <x v="1"/>
    <s v="60053306001001"/>
    <n v="-36.43"/>
    <n v="1487"/>
    <n v="1"/>
    <n v="1"/>
  </r>
  <r>
    <m/>
    <m/>
    <x v="1"/>
    <s v="60216914001002"/>
    <n v="-2.52"/>
    <n v="103"/>
    <n v="1"/>
    <n v="1"/>
  </r>
  <r>
    <m/>
    <m/>
    <x v="1"/>
    <s v="60362120001002"/>
    <n v="-32.83"/>
    <n v="1340"/>
    <n v="1"/>
    <n v="1"/>
  </r>
  <r>
    <m/>
    <m/>
    <x v="1"/>
    <s v="60461927001006"/>
    <n v="-18.45"/>
    <n v="753"/>
    <n v="1"/>
    <n v="1"/>
  </r>
  <r>
    <m/>
    <m/>
    <x v="1"/>
    <s v="60536331001001"/>
    <n v="-51.65"/>
    <n v="2108"/>
    <n v="1"/>
    <n v="1"/>
  </r>
  <r>
    <m/>
    <m/>
    <x v="1"/>
    <s v="60599585001001"/>
    <n v="-32.44"/>
    <n v="1324"/>
    <n v="1"/>
    <n v="1"/>
  </r>
  <r>
    <m/>
    <m/>
    <x v="1"/>
    <s v="60756030001002"/>
    <n v="-55.59"/>
    <n v="2269"/>
    <n v="1"/>
    <n v="1"/>
  </r>
  <r>
    <m/>
    <m/>
    <x v="1"/>
    <s v="60814201001003"/>
    <n v="-26.36"/>
    <n v="1076"/>
    <n v="1"/>
    <n v="1"/>
  </r>
  <r>
    <m/>
    <m/>
    <x v="1"/>
    <s v="60817017004001"/>
    <n v="-13.08"/>
    <n v="534"/>
    <n v="1"/>
    <n v="1"/>
  </r>
  <r>
    <m/>
    <m/>
    <x v="1"/>
    <s v="60850163002001"/>
    <n v="-50.59"/>
    <n v="2065"/>
    <n v="1"/>
    <n v="1"/>
  </r>
  <r>
    <m/>
    <m/>
    <x v="1"/>
    <s v="60997302001006"/>
    <n v="-20.309999999999999"/>
    <n v="829"/>
    <n v="1"/>
    <n v="1"/>
  </r>
  <r>
    <m/>
    <m/>
    <x v="1"/>
    <s v="61176690001001"/>
    <n v="-25.6"/>
    <n v="1045"/>
    <n v="1"/>
    <n v="1"/>
  </r>
  <r>
    <m/>
    <m/>
    <x v="1"/>
    <s v="61759982001001"/>
    <n v="-50.18"/>
    <n v="2048"/>
    <n v="1"/>
    <n v="1"/>
  </r>
  <r>
    <m/>
    <m/>
    <x v="1"/>
    <s v="61779550001001"/>
    <n v="-85.95"/>
    <n v="3508"/>
    <n v="1"/>
    <n v="1"/>
  </r>
  <r>
    <m/>
    <m/>
    <x v="1"/>
    <s v="62038452002001"/>
    <n v="-67.25"/>
    <n v="2745"/>
    <n v="1"/>
    <n v="1"/>
  </r>
  <r>
    <m/>
    <m/>
    <x v="1"/>
    <s v="62111926001007"/>
    <n v="-36.97"/>
    <n v="1509"/>
    <n v="1"/>
    <n v="1"/>
  </r>
  <r>
    <m/>
    <m/>
    <x v="1"/>
    <s v="62125470001002"/>
    <n v="-45.37"/>
    <n v="1852"/>
    <n v="1"/>
    <n v="1"/>
  </r>
  <r>
    <m/>
    <m/>
    <x v="1"/>
    <s v="62139312001006"/>
    <n v="-22"/>
    <n v="898"/>
    <n v="1"/>
    <n v="1"/>
  </r>
  <r>
    <m/>
    <m/>
    <x v="1"/>
    <s v="62166846001001"/>
    <n v="-33.08"/>
    <n v="1350"/>
    <n v="1"/>
    <n v="1"/>
  </r>
  <r>
    <m/>
    <m/>
    <x v="1"/>
    <s v="62244159001003"/>
    <n v="-68.94"/>
    <n v="2814"/>
    <n v="1"/>
    <n v="1"/>
  </r>
  <r>
    <m/>
    <m/>
    <x v="1"/>
    <s v="62852130001002"/>
    <n v="-3.14"/>
    <n v="128"/>
    <n v="1"/>
    <n v="1"/>
  </r>
  <r>
    <m/>
    <m/>
    <x v="1"/>
    <s v="63054171001001"/>
    <n v="-79.48"/>
    <n v="3244"/>
    <n v="1"/>
    <n v="1"/>
  </r>
  <r>
    <m/>
    <m/>
    <x v="1"/>
    <s v="63184485001003"/>
    <n v="-10.78"/>
    <n v="440"/>
    <n v="1"/>
    <n v="1"/>
  </r>
  <r>
    <m/>
    <m/>
    <x v="1"/>
    <s v="63189646005005"/>
    <n v="-23.86"/>
    <n v="974"/>
    <n v="1"/>
    <n v="1"/>
  </r>
  <r>
    <m/>
    <m/>
    <x v="1"/>
    <s v="63415000003005"/>
    <n v="-34.130000000000003"/>
    <n v="1393"/>
    <n v="1"/>
    <n v="1"/>
  </r>
  <r>
    <m/>
    <m/>
    <x v="1"/>
    <s v="63578652001001"/>
    <n v="-51.89"/>
    <n v="2118"/>
    <n v="1"/>
    <n v="1"/>
  </r>
  <r>
    <m/>
    <m/>
    <x v="1"/>
    <s v="63707556001001"/>
    <n v="-60.61"/>
    <n v="2474"/>
    <n v="1"/>
    <n v="1"/>
  </r>
  <r>
    <m/>
    <m/>
    <x v="1"/>
    <s v="63792896001001"/>
    <n v="-28.81"/>
    <n v="1176"/>
    <n v="1"/>
    <n v="1"/>
  </r>
  <r>
    <m/>
    <m/>
    <x v="1"/>
    <s v="63952309001001"/>
    <n v="-49.98"/>
    <n v="2040"/>
    <n v="1"/>
    <n v="1"/>
  </r>
  <r>
    <m/>
    <m/>
    <x v="1"/>
    <s v="64061605002004"/>
    <n v="-28.1"/>
    <n v="1147"/>
    <n v="1"/>
    <n v="1"/>
  </r>
  <r>
    <m/>
    <m/>
    <x v="1"/>
    <s v="64168501001010"/>
    <n v="-73.3"/>
    <n v="2992"/>
    <n v="1"/>
    <n v="1"/>
  </r>
  <r>
    <m/>
    <m/>
    <x v="1"/>
    <s v="64295366002001"/>
    <n v="-21.49"/>
    <n v="877"/>
    <n v="1"/>
    <n v="1"/>
  </r>
  <r>
    <m/>
    <m/>
    <x v="1"/>
    <s v="64412831001001"/>
    <n v="-56.25"/>
    <n v="2296"/>
    <n v="1"/>
    <n v="1"/>
  </r>
  <r>
    <m/>
    <m/>
    <x v="1"/>
    <s v="64578518001001"/>
    <n v="-24.52"/>
    <n v="1001"/>
    <n v="1"/>
    <n v="1"/>
  </r>
  <r>
    <m/>
    <m/>
    <x v="1"/>
    <s v="64597306001001"/>
    <n v="-83.89"/>
    <n v="3424"/>
    <n v="1"/>
    <n v="1"/>
  </r>
  <r>
    <m/>
    <m/>
    <x v="1"/>
    <s v="64700335001001"/>
    <n v="-42.41"/>
    <n v="1731"/>
    <n v="1"/>
    <n v="1"/>
  </r>
  <r>
    <m/>
    <m/>
    <x v="1"/>
    <s v="64874042001003"/>
    <n v="-19.5"/>
    <n v="796"/>
    <n v="1"/>
    <n v="1"/>
  </r>
  <r>
    <m/>
    <m/>
    <x v="1"/>
    <s v="65001066001001"/>
    <n v="-8.8699999999999992"/>
    <n v="362"/>
    <n v="1"/>
    <n v="1"/>
  </r>
  <r>
    <m/>
    <m/>
    <x v="1"/>
    <s v="65368514001004"/>
    <n v="-42.85"/>
    <n v="1749"/>
    <n v="1"/>
    <n v="1"/>
  </r>
  <r>
    <m/>
    <m/>
    <x v="1"/>
    <s v="65369611001005"/>
    <n v="-16.86"/>
    <n v="688"/>
    <n v="1"/>
    <n v="1"/>
  </r>
  <r>
    <m/>
    <m/>
    <x v="1"/>
    <s v="65509206001003"/>
    <n v="-60.98"/>
    <n v="2489"/>
    <n v="1"/>
    <n v="1"/>
  </r>
  <r>
    <m/>
    <m/>
    <x v="1"/>
    <s v="65641724008001"/>
    <n v="-12.23"/>
    <n v="499"/>
    <n v="1"/>
    <n v="1"/>
  </r>
  <r>
    <m/>
    <m/>
    <x v="1"/>
    <s v="65935021001001"/>
    <n v="-0.37"/>
    <n v="15"/>
    <n v="1"/>
    <n v="1"/>
  </r>
  <r>
    <m/>
    <m/>
    <x v="1"/>
    <s v="66154595001001"/>
    <n v="-16.29"/>
    <n v="665"/>
    <n v="1"/>
    <n v="1"/>
  </r>
  <r>
    <m/>
    <m/>
    <x v="1"/>
    <s v="66308224001001"/>
    <n v="-33.659999999999997"/>
    <n v="1374"/>
    <n v="1"/>
    <n v="1"/>
  </r>
  <r>
    <m/>
    <m/>
    <x v="1"/>
    <s v="66622465002001"/>
    <n v="-44.22"/>
    <n v="1805"/>
    <n v="1"/>
    <n v="1"/>
  </r>
  <r>
    <m/>
    <m/>
    <x v="1"/>
    <s v="66846616001003"/>
    <n v="-34.909999999999997"/>
    <n v="1425"/>
    <n v="1"/>
    <n v="1"/>
  </r>
  <r>
    <m/>
    <m/>
    <x v="1"/>
    <s v="66851187001007"/>
    <n v="-47.73"/>
    <n v="1948"/>
    <n v="1"/>
    <n v="1"/>
  </r>
  <r>
    <m/>
    <m/>
    <x v="1"/>
    <s v="66923121001005"/>
    <n v="-86.44"/>
    <n v="3528"/>
    <n v="1"/>
    <n v="1"/>
  </r>
  <r>
    <m/>
    <m/>
    <x v="1"/>
    <s v="66997780001001"/>
    <n v="-70.56"/>
    <n v="2880"/>
    <n v="1"/>
    <n v="1"/>
  </r>
  <r>
    <m/>
    <m/>
    <x v="1"/>
    <s v="67059049001004"/>
    <n v="-46.6"/>
    <n v="1902"/>
    <n v="1"/>
    <n v="1"/>
  </r>
  <r>
    <m/>
    <m/>
    <x v="1"/>
    <s v="67116312001003"/>
    <n v="-30.31"/>
    <n v="1237"/>
    <n v="1"/>
    <n v="1"/>
  </r>
  <r>
    <m/>
    <m/>
    <x v="1"/>
    <s v="67479940002009"/>
    <n v="-40.28"/>
    <n v="1644"/>
    <n v="1"/>
    <n v="1"/>
  </r>
  <r>
    <m/>
    <m/>
    <x v="1"/>
    <s v="67565406001001"/>
    <n v="-55.37"/>
    <n v="2260"/>
    <n v="1"/>
    <n v="1"/>
  </r>
  <r>
    <m/>
    <m/>
    <x v="1"/>
    <s v="67575902001005"/>
    <n v="-13.94"/>
    <n v="569"/>
    <n v="1"/>
    <n v="1"/>
  </r>
  <r>
    <m/>
    <m/>
    <x v="1"/>
    <s v="67587226001001"/>
    <n v="-44.15"/>
    <n v="1802"/>
    <n v="1"/>
    <n v="1"/>
  </r>
  <r>
    <m/>
    <m/>
    <x v="1"/>
    <s v="67831166001001"/>
    <n v="-97.98"/>
    <n v="3999"/>
    <n v="1"/>
    <n v="1"/>
  </r>
  <r>
    <m/>
    <m/>
    <x v="1"/>
    <s v="68028456001001"/>
    <n v="-30.28"/>
    <n v="1236"/>
    <n v="1"/>
    <n v="1"/>
  </r>
  <r>
    <m/>
    <m/>
    <x v="1"/>
    <s v="68107039001001"/>
    <n v="-49.27"/>
    <n v="2011"/>
    <n v="1"/>
    <n v="1"/>
  </r>
  <r>
    <m/>
    <m/>
    <x v="1"/>
    <s v="68322478003001"/>
    <n v="-48.73"/>
    <n v="1989"/>
    <n v="1"/>
    <n v="1"/>
  </r>
  <r>
    <m/>
    <m/>
    <x v="1"/>
    <s v="68400908001007"/>
    <n v="-55.57"/>
    <n v="2268"/>
    <n v="1"/>
    <n v="1"/>
  </r>
  <r>
    <m/>
    <m/>
    <x v="1"/>
    <s v="68439076001001"/>
    <n v="-18.96"/>
    <n v="774"/>
    <n v="1"/>
    <n v="1"/>
  </r>
  <r>
    <m/>
    <m/>
    <x v="1"/>
    <s v="68472022001003"/>
    <n v="-3.53"/>
    <n v="144"/>
    <n v="1"/>
    <n v="1"/>
  </r>
  <r>
    <m/>
    <m/>
    <x v="1"/>
    <s v="68623369001004"/>
    <n v="-39.54"/>
    <n v="1614"/>
    <n v="1"/>
    <n v="1"/>
  </r>
  <r>
    <m/>
    <m/>
    <x v="1"/>
    <s v="68624650001002"/>
    <n v="-30.14"/>
    <n v="1230"/>
    <n v="1"/>
    <n v="1"/>
  </r>
  <r>
    <m/>
    <m/>
    <x v="1"/>
    <s v="68781814001005"/>
    <n v="-84.65"/>
    <n v="3455"/>
    <n v="1"/>
    <n v="1"/>
  </r>
  <r>
    <m/>
    <m/>
    <x v="1"/>
    <s v="69000077001002"/>
    <n v="-80.12"/>
    <n v="3270"/>
    <n v="1"/>
    <n v="1"/>
  </r>
  <r>
    <m/>
    <m/>
    <x v="1"/>
    <s v="69172909001002"/>
    <n v="-54.17"/>
    <n v="2211"/>
    <n v="1"/>
    <n v="1"/>
  </r>
  <r>
    <m/>
    <m/>
    <x v="1"/>
    <s v="69212535001003"/>
    <n v="-43.27"/>
    <n v="1766"/>
    <n v="1"/>
    <n v="1"/>
  </r>
  <r>
    <m/>
    <m/>
    <x v="1"/>
    <s v="69243847003001"/>
    <n v="-40.82"/>
    <n v="1666"/>
    <n v="1"/>
    <n v="1"/>
  </r>
  <r>
    <m/>
    <m/>
    <x v="1"/>
    <s v="69278841002001"/>
    <n v="-7.94"/>
    <n v="324"/>
    <n v="1"/>
    <n v="1"/>
  </r>
  <r>
    <m/>
    <m/>
    <x v="1"/>
    <s v="69363729001001"/>
    <n v="-46.92"/>
    <n v="1915"/>
    <n v="1"/>
    <n v="1"/>
  </r>
  <r>
    <m/>
    <m/>
    <x v="1"/>
    <s v="69425844001001"/>
    <n v="-4.43"/>
    <n v="181"/>
    <n v="1"/>
    <n v="1"/>
  </r>
  <r>
    <m/>
    <m/>
    <x v="1"/>
    <s v="69589294001001"/>
    <n v="-29.01"/>
    <n v="1184"/>
    <n v="1"/>
    <n v="1"/>
  </r>
  <r>
    <m/>
    <m/>
    <x v="1"/>
    <s v="69593297001008"/>
    <n v="-29.72"/>
    <n v="1213"/>
    <n v="1"/>
    <n v="1"/>
  </r>
  <r>
    <m/>
    <m/>
    <x v="1"/>
    <s v="69697436003002"/>
    <n v="-5.15"/>
    <n v="210"/>
    <n v="1"/>
    <n v="1"/>
  </r>
  <r>
    <m/>
    <m/>
    <x v="1"/>
    <s v="69938123001005"/>
    <n v="-23.08"/>
    <n v="942"/>
    <n v="1"/>
    <n v="1"/>
  </r>
  <r>
    <m/>
    <m/>
    <x v="1"/>
    <s v="69998675005001"/>
    <n v="-39.54"/>
    <n v="1614"/>
    <n v="1"/>
    <n v="1"/>
  </r>
  <r>
    <m/>
    <m/>
    <x v="1"/>
    <s v="70069494001002"/>
    <n v="-2.2999999999999998"/>
    <n v="94"/>
    <n v="1"/>
    <n v="1"/>
  </r>
  <r>
    <m/>
    <m/>
    <x v="1"/>
    <s v="70221164001005"/>
    <n v="-40.869999999999997"/>
    <n v="1668"/>
    <n v="1"/>
    <n v="1"/>
  </r>
  <r>
    <m/>
    <m/>
    <x v="1"/>
    <s v="70498831001001"/>
    <n v="-54.88"/>
    <n v="2240"/>
    <n v="1"/>
    <n v="1"/>
  </r>
  <r>
    <m/>
    <m/>
    <x v="1"/>
    <s v="70508523001001"/>
    <n v="-33.32"/>
    <n v="1360"/>
    <n v="1"/>
    <n v="1"/>
  </r>
  <r>
    <m/>
    <m/>
    <x v="1"/>
    <s v="70517135001001"/>
    <n v="-25.82"/>
    <n v="1054"/>
    <n v="1"/>
    <n v="1"/>
  </r>
  <r>
    <m/>
    <m/>
    <x v="1"/>
    <s v="70805952001004"/>
    <n v="-76.069999999999993"/>
    <n v="3105"/>
    <n v="1"/>
    <n v="1"/>
  </r>
  <r>
    <m/>
    <m/>
    <x v="1"/>
    <s v="70925378002003"/>
    <n v="-43.98"/>
    <n v="1795"/>
    <n v="1"/>
    <n v="1"/>
  </r>
  <r>
    <m/>
    <m/>
    <x v="1"/>
    <s v="70934025001005"/>
    <n v="-23.62"/>
    <n v="964"/>
    <n v="1"/>
    <n v="1"/>
  </r>
  <r>
    <m/>
    <m/>
    <x v="1"/>
    <s v="71361970001009"/>
    <n v="-8.94"/>
    <n v="365"/>
    <n v="1"/>
    <n v="1"/>
  </r>
  <r>
    <m/>
    <m/>
    <x v="1"/>
    <s v="71508543001001"/>
    <n v="-10.17"/>
    <n v="415"/>
    <n v="1"/>
    <n v="1"/>
  </r>
  <r>
    <m/>
    <m/>
    <x v="1"/>
    <s v="71669535001005"/>
    <n v="-46.5"/>
    <n v="1898"/>
    <n v="1"/>
    <n v="1"/>
  </r>
  <r>
    <m/>
    <m/>
    <x v="1"/>
    <s v="72106643001003"/>
    <n v="-8.16"/>
    <n v="333"/>
    <n v="1"/>
    <n v="1"/>
  </r>
  <r>
    <m/>
    <m/>
    <x v="1"/>
    <s v="72680010001001"/>
    <n v="-36.21"/>
    <n v="1478"/>
    <n v="1"/>
    <n v="1"/>
  </r>
  <r>
    <m/>
    <m/>
    <x v="1"/>
    <s v="72769540001001"/>
    <n v="-8.75"/>
    <n v="357"/>
    <n v="1"/>
    <n v="1"/>
  </r>
  <r>
    <m/>
    <m/>
    <x v="1"/>
    <s v="73413066001003"/>
    <n v="-13.3"/>
    <n v="543"/>
    <n v="1"/>
    <n v="1"/>
  </r>
  <r>
    <m/>
    <m/>
    <x v="1"/>
    <s v="73439615001001"/>
    <n v="-42.39"/>
    <n v="1730"/>
    <n v="1"/>
    <n v="1"/>
  </r>
  <r>
    <m/>
    <m/>
    <x v="1"/>
    <s v="73718834002001"/>
    <n v="-58.97"/>
    <n v="2407"/>
    <n v="1"/>
    <n v="1"/>
  </r>
  <r>
    <m/>
    <m/>
    <x v="1"/>
    <s v="74556668001006"/>
    <n v="-18.989999999999998"/>
    <n v="775"/>
    <n v="1"/>
    <n v="1"/>
  </r>
  <r>
    <m/>
    <m/>
    <x v="1"/>
    <s v="74657239001002"/>
    <n v="-12.05"/>
    <n v="492"/>
    <n v="1"/>
    <n v="1"/>
  </r>
  <r>
    <m/>
    <m/>
    <x v="1"/>
    <s v="74849102001003"/>
    <n v="-76.099999999999994"/>
    <n v="3106"/>
    <n v="1"/>
    <n v="1"/>
  </r>
  <r>
    <m/>
    <m/>
    <x v="1"/>
    <s v="74916061001001"/>
    <n v="-56.18"/>
    <n v="2293"/>
    <n v="1"/>
    <n v="1"/>
  </r>
  <r>
    <m/>
    <m/>
    <x v="1"/>
    <s v="75013681001001"/>
    <n v="-33.69"/>
    <n v="1375"/>
    <n v="1"/>
    <n v="1"/>
  </r>
  <r>
    <m/>
    <m/>
    <x v="1"/>
    <s v="75149375001006"/>
    <n v="-30.23"/>
    <n v="1234"/>
    <n v="1"/>
    <n v="1"/>
  </r>
  <r>
    <m/>
    <m/>
    <x v="1"/>
    <s v="75178826001001"/>
    <n v="-11.52"/>
    <n v="470"/>
    <n v="1"/>
    <n v="1"/>
  </r>
  <r>
    <m/>
    <m/>
    <x v="1"/>
    <s v="75544198001002"/>
    <n v="-43.9"/>
    <n v="1792"/>
    <n v="1"/>
    <n v="1"/>
  </r>
  <r>
    <m/>
    <m/>
    <x v="1"/>
    <s v="75558866002001"/>
    <n v="-52.48"/>
    <n v="2142"/>
    <n v="1"/>
    <n v="1"/>
  </r>
  <r>
    <m/>
    <m/>
    <x v="1"/>
    <s v="75743118001001"/>
    <n v="-33.369999999999997"/>
    <n v="1362"/>
    <n v="1"/>
    <n v="1"/>
  </r>
  <r>
    <m/>
    <m/>
    <x v="1"/>
    <s v="75814877002001"/>
    <n v="-100.33"/>
    <n v="4095"/>
    <n v="1"/>
    <n v="1"/>
  </r>
  <r>
    <m/>
    <m/>
    <x v="1"/>
    <s v="75977479001003"/>
    <n v="-53.9"/>
    <n v="2200"/>
    <n v="1"/>
    <n v="1"/>
  </r>
  <r>
    <m/>
    <m/>
    <x v="1"/>
    <s v="76017664001001"/>
    <n v="-30.45"/>
    <n v="1243"/>
    <n v="1"/>
    <n v="1"/>
  </r>
  <r>
    <m/>
    <m/>
    <x v="1"/>
    <s v="76035247001002"/>
    <n v="-41.45"/>
    <n v="1692"/>
    <n v="1"/>
    <n v="1"/>
  </r>
  <r>
    <m/>
    <m/>
    <x v="1"/>
    <s v="76297115001001"/>
    <n v="-34.96"/>
    <n v="1427"/>
    <n v="1"/>
    <n v="1"/>
  </r>
  <r>
    <m/>
    <m/>
    <x v="1"/>
    <s v="76559936001004"/>
    <n v="-12.18"/>
    <n v="497"/>
    <n v="1"/>
    <n v="1"/>
  </r>
  <r>
    <m/>
    <m/>
    <x v="1"/>
    <s v="76614777003003"/>
    <n v="-98.88"/>
    <n v="4036"/>
    <n v="1"/>
    <n v="1"/>
  </r>
  <r>
    <m/>
    <m/>
    <x v="1"/>
    <s v="76615869001006"/>
    <n v="-82.52"/>
    <n v="3368"/>
    <n v="1"/>
    <n v="1"/>
  </r>
  <r>
    <m/>
    <m/>
    <x v="1"/>
    <s v="76670454001001"/>
    <n v="-77.2"/>
    <n v="3151"/>
    <n v="1"/>
    <n v="1"/>
  </r>
  <r>
    <m/>
    <m/>
    <x v="1"/>
    <s v="76795463001003"/>
    <n v="-43.95"/>
    <n v="1794"/>
    <n v="1"/>
    <n v="1"/>
  </r>
  <r>
    <m/>
    <m/>
    <x v="1"/>
    <s v="76854949001003"/>
    <n v="-61.01"/>
    <n v="2490"/>
    <n v="1"/>
    <n v="1"/>
  </r>
  <r>
    <m/>
    <m/>
    <x v="1"/>
    <s v="77319670001005"/>
    <n v="-22.91"/>
    <n v="935"/>
    <n v="1"/>
    <n v="1"/>
  </r>
  <r>
    <m/>
    <m/>
    <x v="1"/>
    <s v="77414176001005"/>
    <n v="-68.67"/>
    <n v="2803"/>
    <n v="1"/>
    <n v="1"/>
  </r>
  <r>
    <m/>
    <m/>
    <x v="1"/>
    <s v="77745389002003"/>
    <n v="-9.7799999999999994"/>
    <n v="399"/>
    <n v="1"/>
    <n v="1"/>
  </r>
  <r>
    <m/>
    <m/>
    <x v="1"/>
    <s v="77931356002006"/>
    <n v="-39.049999999999997"/>
    <n v="1594"/>
    <n v="1"/>
    <n v="1"/>
  </r>
  <r>
    <m/>
    <m/>
    <x v="1"/>
    <s v="78067360001002"/>
    <n v="-73.260000000000005"/>
    <n v="2990"/>
    <n v="1"/>
    <n v="1"/>
  </r>
  <r>
    <m/>
    <m/>
    <x v="1"/>
    <s v="78102550001004"/>
    <n v="-41.97"/>
    <n v="1713"/>
    <n v="1"/>
    <n v="1"/>
  </r>
  <r>
    <m/>
    <m/>
    <x v="1"/>
    <s v="78241325001001"/>
    <n v="-86.95"/>
    <n v="3549"/>
    <n v="1"/>
    <n v="1"/>
  </r>
  <r>
    <m/>
    <m/>
    <x v="1"/>
    <s v="79495965001001"/>
    <n v="-12.72"/>
    <n v="519"/>
    <n v="1"/>
    <n v="1"/>
  </r>
  <r>
    <m/>
    <m/>
    <x v="1"/>
    <s v="79543609001001"/>
    <n v="-44.39"/>
    <n v="1812"/>
    <n v="1"/>
    <n v="1"/>
  </r>
  <r>
    <m/>
    <m/>
    <x v="1"/>
    <s v="79559262001003"/>
    <n v="-24.23"/>
    <n v="989"/>
    <n v="1"/>
    <n v="1"/>
  </r>
  <r>
    <m/>
    <m/>
    <x v="1"/>
    <s v="79713989002001"/>
    <n v="-62.7"/>
    <n v="2559"/>
    <n v="1"/>
    <n v="1"/>
  </r>
  <r>
    <m/>
    <m/>
    <x v="1"/>
    <s v="80040145002003"/>
    <n v="-86.71"/>
    <n v="3539"/>
    <n v="1"/>
    <n v="1"/>
  </r>
  <r>
    <m/>
    <m/>
    <x v="1"/>
    <s v="80164416001009"/>
    <n v="-67.989999999999995"/>
    <n v="2775"/>
    <n v="1"/>
    <n v="1"/>
  </r>
  <r>
    <m/>
    <m/>
    <x v="1"/>
    <s v="80546282001001"/>
    <n v="-41.26"/>
    <n v="1684"/>
    <n v="1"/>
    <n v="1"/>
  </r>
  <r>
    <m/>
    <m/>
    <x v="1"/>
    <s v="80618652002003"/>
    <n v="-10.66"/>
    <n v="435"/>
    <n v="1"/>
    <n v="1"/>
  </r>
  <r>
    <m/>
    <m/>
    <x v="1"/>
    <s v="80918426001002"/>
    <n v="-47.7"/>
    <n v="1947"/>
    <n v="1"/>
    <n v="1"/>
  </r>
  <r>
    <m/>
    <m/>
    <x v="1"/>
    <s v="81097028001001"/>
    <n v="-31.16"/>
    <n v="1272"/>
    <n v="1"/>
    <n v="1"/>
  </r>
  <r>
    <m/>
    <m/>
    <x v="1"/>
    <s v="81376958001002"/>
    <n v="-63.16"/>
    <n v="2578"/>
    <n v="1"/>
    <n v="1"/>
  </r>
  <r>
    <m/>
    <m/>
    <x v="1"/>
    <s v="81416667001004"/>
    <n v="-25.21"/>
    <n v="1029"/>
    <n v="1"/>
    <n v="1"/>
  </r>
  <r>
    <m/>
    <m/>
    <x v="1"/>
    <s v="81454274001001"/>
    <n v="-36.51"/>
    <n v="1490"/>
    <n v="1"/>
    <n v="1"/>
  </r>
  <r>
    <m/>
    <m/>
    <x v="1"/>
    <s v="81489053002003"/>
    <n v="-70.95"/>
    <n v="2896"/>
    <n v="1"/>
    <n v="1"/>
  </r>
  <r>
    <m/>
    <m/>
    <x v="1"/>
    <s v="81507693001002"/>
    <n v="-8.6999999999999993"/>
    <n v="355"/>
    <n v="1"/>
    <n v="1"/>
  </r>
  <r>
    <m/>
    <m/>
    <x v="1"/>
    <s v="81870119001003"/>
    <n v="-11"/>
    <n v="449"/>
    <n v="1"/>
    <n v="1"/>
  </r>
  <r>
    <m/>
    <m/>
    <x v="1"/>
    <s v="81978497001003"/>
    <n v="-7.35"/>
    <n v="300"/>
    <n v="1"/>
    <n v="1"/>
  </r>
  <r>
    <m/>
    <m/>
    <x v="1"/>
    <s v="82043401001001"/>
    <n v="-42.68"/>
    <n v="1742"/>
    <n v="1"/>
    <n v="1"/>
  </r>
  <r>
    <m/>
    <m/>
    <x v="1"/>
    <s v="82082422001001"/>
    <n v="-44.27"/>
    <n v="1807"/>
    <n v="1"/>
    <n v="1"/>
  </r>
  <r>
    <m/>
    <m/>
    <x v="1"/>
    <s v="82141496001007"/>
    <n v="-21.27"/>
    <n v="868"/>
    <n v="1"/>
    <n v="1"/>
  </r>
  <r>
    <m/>
    <m/>
    <x v="1"/>
    <s v="82322990001001"/>
    <n v="-67.87"/>
    <n v="2770"/>
    <n v="1"/>
    <n v="1"/>
  </r>
  <r>
    <m/>
    <m/>
    <x v="1"/>
    <s v="82549973001001"/>
    <n v="-8.4499999999999993"/>
    <n v="345"/>
    <n v="1"/>
    <n v="1"/>
  </r>
  <r>
    <m/>
    <m/>
    <x v="1"/>
    <s v="82705141002003"/>
    <n v="-53.39"/>
    <n v="2179"/>
    <n v="1"/>
    <n v="1"/>
  </r>
  <r>
    <m/>
    <m/>
    <x v="1"/>
    <s v="83058315001004"/>
    <n v="-59.54"/>
    <n v="2430"/>
    <n v="1"/>
    <n v="1"/>
  </r>
  <r>
    <m/>
    <m/>
    <x v="1"/>
    <s v="83144829001001"/>
    <n v="-20.6"/>
    <n v="841"/>
    <n v="1"/>
    <n v="1"/>
  </r>
  <r>
    <m/>
    <m/>
    <x v="1"/>
    <s v="83365022001002"/>
    <n v="-40.47"/>
    <n v="1652"/>
    <n v="1"/>
    <n v="1"/>
  </r>
  <r>
    <m/>
    <m/>
    <x v="1"/>
    <s v="83567560001001"/>
    <n v="-8.1300000000000008"/>
    <n v="332"/>
    <n v="1"/>
    <n v="1"/>
  </r>
  <r>
    <m/>
    <m/>
    <x v="1"/>
    <s v="83701204001002"/>
    <n v="-3.53"/>
    <n v="144"/>
    <n v="1"/>
    <n v="1"/>
  </r>
  <r>
    <m/>
    <m/>
    <x v="1"/>
    <s v="83951109003001"/>
    <n v="-55.49"/>
    <n v="2265"/>
    <n v="1"/>
    <n v="1"/>
  </r>
  <r>
    <m/>
    <m/>
    <x v="1"/>
    <s v="83981500001003"/>
    <n v="-49.66"/>
    <n v="2027"/>
    <n v="1"/>
    <n v="1"/>
  </r>
  <r>
    <m/>
    <m/>
    <x v="1"/>
    <s v="84160982001001"/>
    <n v="-14.19"/>
    <n v="579"/>
    <n v="1"/>
    <n v="1"/>
  </r>
  <r>
    <m/>
    <m/>
    <x v="1"/>
    <s v="84270072001001"/>
    <n v="-32.880000000000003"/>
    <n v="1342"/>
    <n v="1"/>
    <n v="1"/>
  </r>
  <r>
    <m/>
    <m/>
    <x v="1"/>
    <s v="84545227002004"/>
    <n v="-25.26"/>
    <n v="1031"/>
    <n v="1"/>
    <n v="1"/>
  </r>
  <r>
    <m/>
    <m/>
    <x v="1"/>
    <s v="84649205001001"/>
    <n v="-41.67"/>
    <n v="1701"/>
    <n v="1"/>
    <n v="1"/>
  </r>
  <r>
    <m/>
    <m/>
    <x v="1"/>
    <s v="84767508001007"/>
    <n v="-5.32"/>
    <n v="217"/>
    <n v="1"/>
    <n v="1"/>
  </r>
  <r>
    <m/>
    <m/>
    <x v="1"/>
    <s v="84854567001007"/>
    <n v="-56.82"/>
    <n v="2319"/>
    <n v="1"/>
    <n v="1"/>
  </r>
  <r>
    <m/>
    <m/>
    <x v="1"/>
    <s v="84938068001001"/>
    <n v="-31.12"/>
    <n v="1270"/>
    <n v="1"/>
    <n v="1"/>
  </r>
  <r>
    <m/>
    <m/>
    <x v="1"/>
    <s v="85218753001001"/>
    <n v="-51.16"/>
    <n v="2088"/>
    <n v="1"/>
    <n v="1"/>
  </r>
  <r>
    <m/>
    <m/>
    <x v="1"/>
    <s v="85220903001004"/>
    <n v="-15.73"/>
    <n v="642"/>
    <n v="1"/>
    <n v="1"/>
  </r>
  <r>
    <m/>
    <m/>
    <x v="1"/>
    <s v="85373492001005"/>
    <n v="-47.41"/>
    <n v="1935"/>
    <n v="1"/>
    <n v="1"/>
  </r>
  <r>
    <m/>
    <m/>
    <x v="1"/>
    <s v="85607457001003"/>
    <n v="-29.91"/>
    <n v="1221"/>
    <n v="1"/>
    <n v="1"/>
  </r>
  <r>
    <m/>
    <m/>
    <x v="1"/>
    <s v="85718733005005"/>
    <n v="-39.369999999999997"/>
    <n v="1607"/>
    <n v="1"/>
    <n v="1"/>
  </r>
  <r>
    <m/>
    <m/>
    <x v="1"/>
    <s v="85809881001003"/>
    <n v="-29.62"/>
    <n v="1209"/>
    <n v="1"/>
    <n v="1"/>
  </r>
  <r>
    <m/>
    <m/>
    <x v="1"/>
    <s v="85865787001003"/>
    <n v="-12.99"/>
    <n v="530"/>
    <n v="1"/>
    <n v="1"/>
  </r>
  <r>
    <m/>
    <m/>
    <x v="1"/>
    <s v="85949429001002"/>
    <n v="-31.97"/>
    <n v="1305"/>
    <n v="1"/>
    <n v="1"/>
  </r>
  <r>
    <m/>
    <m/>
    <x v="1"/>
    <s v="85972728001001"/>
    <n v="-19.13"/>
    <n v="781"/>
    <n v="1"/>
    <n v="1"/>
  </r>
  <r>
    <m/>
    <m/>
    <x v="1"/>
    <s v="86314126001001"/>
    <n v="-34.86"/>
    <n v="1423"/>
    <n v="1"/>
    <n v="1"/>
  </r>
  <r>
    <m/>
    <m/>
    <x v="1"/>
    <s v="86521508002003"/>
    <n v="-55.32"/>
    <n v="2258"/>
    <n v="1"/>
    <n v="1"/>
  </r>
  <r>
    <m/>
    <m/>
    <x v="1"/>
    <s v="86574879001008"/>
    <n v="-80.040000000000006"/>
    <n v="3267"/>
    <n v="1"/>
    <n v="1"/>
  </r>
  <r>
    <m/>
    <m/>
    <x v="1"/>
    <s v="86826206004005"/>
    <n v="-40.159999999999997"/>
    <n v="1639"/>
    <n v="1"/>
    <n v="1"/>
  </r>
  <r>
    <m/>
    <m/>
    <x v="1"/>
    <s v="87298950001009"/>
    <n v="-12.94"/>
    <n v="528"/>
    <n v="1"/>
    <n v="1"/>
  </r>
  <r>
    <m/>
    <m/>
    <x v="1"/>
    <s v="87409773002001"/>
    <n v="-68.33"/>
    <n v="2789"/>
    <n v="1"/>
    <n v="1"/>
  </r>
  <r>
    <m/>
    <m/>
    <x v="1"/>
    <s v="87496184001004"/>
    <n v="-18.2"/>
    <n v="743"/>
    <n v="1"/>
    <n v="1"/>
  </r>
  <r>
    <m/>
    <m/>
    <x v="1"/>
    <s v="87567739001004"/>
    <n v="-81.22"/>
    <n v="3315"/>
    <n v="1"/>
    <n v="1"/>
  </r>
  <r>
    <m/>
    <m/>
    <x v="1"/>
    <s v="87984399001003"/>
    <n v="-92"/>
    <n v="3755"/>
    <n v="1"/>
    <n v="1"/>
  </r>
  <r>
    <m/>
    <m/>
    <x v="1"/>
    <s v="88302097001001"/>
    <n v="-51.87"/>
    <n v="2117"/>
    <n v="1"/>
    <n v="1"/>
  </r>
  <r>
    <m/>
    <m/>
    <x v="1"/>
    <s v="88416298001001"/>
    <n v="-21.54"/>
    <n v="879"/>
    <n v="1"/>
    <n v="1"/>
  </r>
  <r>
    <m/>
    <m/>
    <x v="1"/>
    <s v="88537204001001"/>
    <n v="-30.09"/>
    <n v="1228"/>
    <n v="1"/>
    <n v="1"/>
  </r>
  <r>
    <m/>
    <m/>
    <x v="1"/>
    <s v="88600796001001"/>
    <n v="-22.93"/>
    <n v="936"/>
    <n v="1"/>
    <n v="1"/>
  </r>
  <r>
    <m/>
    <m/>
    <x v="1"/>
    <s v="88674501001001"/>
    <n v="-11.88"/>
    <n v="485"/>
    <n v="1"/>
    <n v="1"/>
  </r>
  <r>
    <m/>
    <m/>
    <x v="1"/>
    <s v="88795471002001"/>
    <n v="-35.18"/>
    <n v="1436"/>
    <n v="1"/>
    <n v="1"/>
  </r>
  <r>
    <m/>
    <m/>
    <x v="1"/>
    <s v="88908327001003"/>
    <n v="-32.39"/>
    <n v="1322"/>
    <n v="1"/>
    <n v="1"/>
  </r>
  <r>
    <m/>
    <m/>
    <x v="1"/>
    <s v="89067112002001"/>
    <n v="-60.98"/>
    <n v="2489"/>
    <n v="1"/>
    <n v="1"/>
  </r>
  <r>
    <m/>
    <m/>
    <x v="1"/>
    <s v="89105915001001"/>
    <n v="-158.44"/>
    <n v="6467"/>
    <n v="1"/>
    <n v="1"/>
  </r>
  <r>
    <m/>
    <m/>
    <x v="1"/>
    <s v="89128471001009"/>
    <n v="-65.42"/>
    <n v="2670"/>
    <n v="1"/>
    <n v="1"/>
  </r>
  <r>
    <m/>
    <m/>
    <x v="1"/>
    <s v="89435607001002"/>
    <n v="-69.38"/>
    <n v="2832"/>
    <n v="1"/>
    <n v="1"/>
  </r>
  <r>
    <m/>
    <m/>
    <x v="1"/>
    <s v="89599726001001"/>
    <n v="-37.26"/>
    <n v="1521"/>
    <n v="1"/>
    <n v="1"/>
  </r>
  <r>
    <m/>
    <m/>
    <x v="1"/>
    <s v="89987541001001"/>
    <n v="-10.58"/>
    <n v="432"/>
    <n v="1"/>
    <n v="1"/>
  </r>
  <r>
    <m/>
    <m/>
    <x v="1"/>
    <s v="90070067001013"/>
    <n v="-15.85"/>
    <n v="647"/>
    <n v="1"/>
    <n v="1"/>
  </r>
  <r>
    <m/>
    <m/>
    <x v="1"/>
    <s v="90423930002005"/>
    <n v="-39.64"/>
    <n v="1618"/>
    <n v="1"/>
    <n v="1"/>
  </r>
  <r>
    <m/>
    <m/>
    <x v="1"/>
    <s v="90474886001001"/>
    <n v="-16.95"/>
    <n v="692"/>
    <n v="1"/>
    <n v="1"/>
  </r>
  <r>
    <m/>
    <m/>
    <x v="1"/>
    <s v="90642244003005"/>
    <n v="-38.96"/>
    <n v="1590"/>
    <n v="1"/>
    <n v="1"/>
  </r>
  <r>
    <m/>
    <m/>
    <x v="1"/>
    <s v="90666654001001"/>
    <n v="-44.98"/>
    <n v="1836"/>
    <n v="1"/>
    <n v="1"/>
  </r>
  <r>
    <m/>
    <m/>
    <x v="1"/>
    <s v="90878226001001"/>
    <n v="-28.44"/>
    <n v="1161"/>
    <n v="1"/>
    <n v="1"/>
  </r>
  <r>
    <m/>
    <m/>
    <x v="1"/>
    <s v="91251961001001"/>
    <n v="-29.08"/>
    <n v="1187"/>
    <n v="1"/>
    <n v="1"/>
  </r>
  <r>
    <m/>
    <m/>
    <x v="1"/>
    <s v="91266513001005"/>
    <n v="-33.96"/>
    <n v="1386"/>
    <n v="1"/>
    <n v="1"/>
  </r>
  <r>
    <m/>
    <m/>
    <x v="1"/>
    <s v="91666691002003"/>
    <n v="-93.42"/>
    <n v="3813"/>
    <n v="1"/>
    <n v="1"/>
  </r>
  <r>
    <m/>
    <m/>
    <x v="1"/>
    <s v="91700255001001"/>
    <n v="-67.55"/>
    <n v="2757"/>
    <n v="1"/>
    <n v="1"/>
  </r>
  <r>
    <m/>
    <m/>
    <x v="1"/>
    <s v="91722865001003"/>
    <n v="-23.62"/>
    <n v="964"/>
    <n v="1"/>
    <n v="1"/>
  </r>
  <r>
    <m/>
    <m/>
    <x v="1"/>
    <s v="91727388001001"/>
    <n v="-36.090000000000003"/>
    <n v="1473"/>
    <n v="1"/>
    <n v="1"/>
  </r>
  <r>
    <m/>
    <m/>
    <x v="1"/>
    <s v="92277523001006"/>
    <n v="-33.79"/>
    <n v="1379"/>
    <n v="1"/>
    <n v="1"/>
  </r>
  <r>
    <m/>
    <m/>
    <x v="1"/>
    <s v="92602233001001"/>
    <n v="-64.09"/>
    <n v="2616"/>
    <n v="1"/>
    <n v="1"/>
  </r>
  <r>
    <m/>
    <m/>
    <x v="1"/>
    <s v="93447974001001"/>
    <n v="-58.68"/>
    <n v="2395"/>
    <n v="1"/>
    <n v="1"/>
  </r>
  <r>
    <m/>
    <m/>
    <x v="1"/>
    <s v="93541991001003"/>
    <n v="-4.75"/>
    <n v="194"/>
    <n v="1"/>
    <n v="1"/>
  </r>
  <r>
    <m/>
    <m/>
    <x v="1"/>
    <s v="94290441002001"/>
    <n v="-13.25"/>
    <n v="541"/>
    <n v="1"/>
    <n v="1"/>
  </r>
  <r>
    <m/>
    <m/>
    <x v="1"/>
    <s v="94684058001001"/>
    <n v="-36.31"/>
    <n v="1482"/>
    <n v="1"/>
    <n v="1"/>
  </r>
  <r>
    <m/>
    <m/>
    <x v="1"/>
    <s v="94908251002001"/>
    <n v="-57.65"/>
    <n v="2353"/>
    <n v="1"/>
    <n v="1"/>
  </r>
  <r>
    <m/>
    <m/>
    <x v="1"/>
    <s v="94963671001001"/>
    <n v="-57.82"/>
    <n v="2360"/>
    <n v="1"/>
    <n v="1"/>
  </r>
  <r>
    <m/>
    <m/>
    <x v="1"/>
    <s v="95137278001001"/>
    <n v="-13.97"/>
    <n v="570"/>
    <n v="1"/>
    <n v="1"/>
  </r>
  <r>
    <m/>
    <m/>
    <x v="1"/>
    <s v="95229231001002"/>
    <n v="-45.08"/>
    <n v="1840"/>
    <n v="1"/>
    <n v="1"/>
  </r>
  <r>
    <m/>
    <m/>
    <x v="1"/>
    <s v="95311280001001"/>
    <n v="-37.39"/>
    <n v="1526"/>
    <n v="1"/>
    <n v="1"/>
  </r>
  <r>
    <m/>
    <m/>
    <x v="1"/>
    <s v="95373261001005"/>
    <n v="-43.59"/>
    <n v="1779"/>
    <n v="1"/>
    <n v="1"/>
  </r>
  <r>
    <m/>
    <m/>
    <x v="1"/>
    <s v="95431402002004"/>
    <n v="-3.75"/>
    <n v="153"/>
    <n v="1"/>
    <n v="1"/>
  </r>
  <r>
    <m/>
    <m/>
    <x v="1"/>
    <s v="95438353001014"/>
    <n v="-45.57"/>
    <n v="1860"/>
    <n v="1"/>
    <n v="1"/>
  </r>
  <r>
    <m/>
    <m/>
    <x v="1"/>
    <s v="95448714001004"/>
    <n v="-1.03"/>
    <n v="42"/>
    <n v="1"/>
    <n v="1"/>
  </r>
  <r>
    <m/>
    <m/>
    <x v="1"/>
    <s v="95496596001001"/>
    <n v="-21.93"/>
    <n v="895"/>
    <n v="1"/>
    <n v="1"/>
  </r>
  <r>
    <m/>
    <m/>
    <x v="1"/>
    <s v="95527245001004"/>
    <n v="-4.83"/>
    <n v="197"/>
    <n v="1"/>
    <n v="1"/>
  </r>
  <r>
    <m/>
    <m/>
    <x v="1"/>
    <s v="95538650001001"/>
    <n v="-15.39"/>
    <n v="628"/>
    <n v="1"/>
    <n v="1"/>
  </r>
  <r>
    <m/>
    <m/>
    <x v="1"/>
    <s v="95699360003004"/>
    <n v="-21.85"/>
    <n v="892"/>
    <n v="1"/>
    <n v="1"/>
  </r>
  <r>
    <m/>
    <m/>
    <x v="1"/>
    <s v="95974841004001"/>
    <n v="-27.24"/>
    <n v="1112"/>
    <n v="1"/>
    <n v="1"/>
  </r>
  <r>
    <m/>
    <m/>
    <x v="1"/>
    <s v="96052911001001"/>
    <n v="-35.65"/>
    <n v="1455"/>
    <n v="1"/>
    <n v="1"/>
  </r>
  <r>
    <m/>
    <m/>
    <x v="1"/>
    <s v="96226382001001"/>
    <n v="-18.77"/>
    <n v="766"/>
    <n v="1"/>
    <n v="1"/>
  </r>
  <r>
    <m/>
    <m/>
    <x v="1"/>
    <s v="96244044003001"/>
    <n v="-5.34"/>
    <n v="218"/>
    <n v="1"/>
    <n v="1"/>
  </r>
  <r>
    <m/>
    <m/>
    <x v="1"/>
    <s v="96258552001004"/>
    <n v="-27.71"/>
    <n v="1131"/>
    <n v="1"/>
    <n v="1"/>
  </r>
  <r>
    <m/>
    <m/>
    <x v="1"/>
    <s v="96369039001001"/>
    <n v="-67.64"/>
    <n v="2761"/>
    <n v="1"/>
    <n v="1"/>
  </r>
  <r>
    <m/>
    <m/>
    <x v="1"/>
    <s v="96989595001001"/>
    <n v="-32.83"/>
    <n v="1340"/>
    <n v="1"/>
    <n v="1"/>
  </r>
  <r>
    <m/>
    <m/>
    <x v="1"/>
    <s v="97058089002005"/>
    <n v="-27.22"/>
    <n v="1111"/>
    <n v="1"/>
    <n v="1"/>
  </r>
  <r>
    <m/>
    <m/>
    <x v="1"/>
    <s v="97149121001001"/>
    <n v="-0.44"/>
    <n v="18"/>
    <n v="1"/>
    <n v="1"/>
  </r>
  <r>
    <m/>
    <m/>
    <x v="1"/>
    <s v="97419061001003"/>
    <n v="-52.01"/>
    <n v="2123"/>
    <n v="1"/>
    <n v="1"/>
  </r>
  <r>
    <m/>
    <m/>
    <x v="1"/>
    <s v="97521847001001"/>
    <n v="-35.79"/>
    <n v="1461"/>
    <n v="1"/>
    <n v="1"/>
  </r>
  <r>
    <m/>
    <m/>
    <x v="1"/>
    <s v="98359259001005"/>
    <n v="-53.17"/>
    <n v="2170"/>
    <n v="1"/>
    <n v="1"/>
  </r>
  <r>
    <m/>
    <m/>
    <x v="1"/>
    <s v="98361540001003"/>
    <n v="-18.52"/>
    <n v="756"/>
    <n v="1"/>
    <n v="1"/>
  </r>
  <r>
    <m/>
    <m/>
    <x v="1"/>
    <s v="98550222001001"/>
    <n v="-60.98"/>
    <n v="2489"/>
    <n v="1"/>
    <n v="1"/>
  </r>
  <r>
    <m/>
    <m/>
    <x v="1"/>
    <s v="98859974001007"/>
    <n v="-32.340000000000003"/>
    <n v="1320"/>
    <n v="1"/>
    <n v="1"/>
  </r>
  <r>
    <m/>
    <m/>
    <x v="1"/>
    <s v="98982821001003"/>
    <n v="-57.31"/>
    <n v="2339"/>
    <n v="1"/>
    <n v="1"/>
  </r>
  <r>
    <m/>
    <m/>
    <x v="1"/>
    <s v="99547055001003"/>
    <n v="-76.42"/>
    <n v="3119"/>
    <n v="1"/>
    <n v="1"/>
  </r>
  <r>
    <m/>
    <m/>
    <x v="1"/>
    <s v="99605913001001"/>
    <n v="-15.58"/>
    <n v="636"/>
    <n v="1"/>
    <n v="1"/>
  </r>
  <r>
    <m/>
    <m/>
    <x v="1"/>
    <s v="99678131001001"/>
    <n v="-36.19"/>
    <n v="1477"/>
    <n v="1"/>
    <n v="1"/>
  </r>
  <r>
    <m/>
    <m/>
    <x v="1"/>
    <s v="99752520001007"/>
    <n v="-54.17"/>
    <n v="2211"/>
    <n v="1"/>
    <n v="1"/>
  </r>
  <r>
    <m/>
    <m/>
    <x v="1"/>
    <s v="99789909001001"/>
    <n v="-7.3"/>
    <n v="298"/>
    <n v="1"/>
    <n v="1"/>
  </r>
  <r>
    <m/>
    <m/>
    <x v="1"/>
    <s v="99831171002001"/>
    <n v="-105.52"/>
    <n v="4307"/>
    <n v="1"/>
    <n v="1"/>
  </r>
  <r>
    <m/>
    <m/>
    <x v="1"/>
    <s v="99840626001004"/>
    <n v="-39.130000000000003"/>
    <n v="1597"/>
    <n v="1"/>
    <n v="1"/>
  </r>
  <r>
    <m/>
    <m/>
    <x v="2"/>
    <m/>
    <n v="-37305.44999999999"/>
    <n v="1522658"/>
    <n v="915"/>
    <n v="914"/>
  </r>
  <r>
    <m/>
    <m/>
    <x v="3"/>
    <s v="00046637001001"/>
    <n v="-44.82"/>
    <n v="1143"/>
    <n v="1"/>
    <n v="1"/>
  </r>
  <r>
    <m/>
    <m/>
    <x v="1"/>
    <s v="00438452001003"/>
    <n v="-4.8600000000000003"/>
    <n v="124"/>
    <n v="1"/>
    <n v="1"/>
  </r>
  <r>
    <m/>
    <m/>
    <x v="1"/>
    <s v="00505142002001"/>
    <n v="-53.72"/>
    <n v="1370"/>
    <n v="1"/>
    <n v="1"/>
  </r>
  <r>
    <m/>
    <m/>
    <x v="1"/>
    <s v="00620929001002"/>
    <n v="-63.68"/>
    <n v="1624"/>
    <n v="1"/>
    <n v="1"/>
  </r>
  <r>
    <m/>
    <m/>
    <x v="1"/>
    <s v="00809273002003"/>
    <n v="-107.04"/>
    <n v="2730"/>
    <n v="1"/>
    <n v="1"/>
  </r>
  <r>
    <m/>
    <m/>
    <x v="1"/>
    <s v="00829036001001"/>
    <n v="-58.42"/>
    <n v="1490"/>
    <n v="1"/>
    <n v="1"/>
  </r>
  <r>
    <m/>
    <m/>
    <x v="1"/>
    <s v="00838430001003"/>
    <n v="-84.11"/>
    <n v="2145"/>
    <n v="1"/>
    <n v="1"/>
  </r>
  <r>
    <m/>
    <m/>
    <x v="1"/>
    <s v="00876650001003"/>
    <n v="-100.06"/>
    <n v="2552"/>
    <n v="1"/>
    <n v="1"/>
  </r>
  <r>
    <m/>
    <m/>
    <x v="1"/>
    <s v="00927680001011"/>
    <n v="-52.54"/>
    <n v="1340"/>
    <n v="1"/>
    <n v="1"/>
  </r>
  <r>
    <m/>
    <m/>
    <x v="1"/>
    <s v="01147160001001"/>
    <n v="-107.75"/>
    <n v="2748"/>
    <n v="1"/>
    <n v="1"/>
  </r>
  <r>
    <m/>
    <m/>
    <x v="1"/>
    <s v="01335294001005"/>
    <n v="-32.659999999999997"/>
    <n v="833"/>
    <n v="1"/>
    <n v="1"/>
  </r>
  <r>
    <m/>
    <m/>
    <x v="1"/>
    <s v="01519525001005"/>
    <n v="-58.66"/>
    <n v="1496"/>
    <n v="1"/>
    <n v="1"/>
  </r>
  <r>
    <m/>
    <m/>
    <x v="1"/>
    <s v="01520368001007"/>
    <n v="-38.39"/>
    <n v="979"/>
    <n v="1"/>
    <n v="1"/>
  </r>
  <r>
    <m/>
    <m/>
    <x v="1"/>
    <s v="01858972001001"/>
    <n v="-101.36"/>
    <n v="2585"/>
    <n v="1"/>
    <n v="1"/>
  </r>
  <r>
    <m/>
    <m/>
    <x v="1"/>
    <s v="02383685001001"/>
    <n v="-76.66"/>
    <n v="1955"/>
    <n v="1"/>
    <n v="1"/>
  </r>
  <r>
    <m/>
    <m/>
    <x v="1"/>
    <s v="02495470002001"/>
    <n v="-54.74"/>
    <n v="1396"/>
    <n v="1"/>
    <n v="1"/>
  </r>
  <r>
    <m/>
    <m/>
    <x v="1"/>
    <s v="02514781001007"/>
    <n v="-39.409999999999997"/>
    <n v="1005"/>
    <n v="1"/>
    <n v="1"/>
  </r>
  <r>
    <m/>
    <m/>
    <x v="1"/>
    <s v="02670836001001"/>
    <n v="-8.7799999999999994"/>
    <n v="224"/>
    <n v="1"/>
    <n v="1"/>
  </r>
  <r>
    <m/>
    <m/>
    <x v="1"/>
    <s v="02761318001001"/>
    <n v="-82.85"/>
    <n v="2113"/>
    <n v="1"/>
    <n v="1"/>
  </r>
  <r>
    <m/>
    <m/>
    <x v="1"/>
    <s v="02861062001008"/>
    <n v="-29.56"/>
    <n v="754"/>
    <n v="1"/>
    <n v="1"/>
  </r>
  <r>
    <m/>
    <m/>
    <x v="1"/>
    <s v="02975140001002"/>
    <n v="-4.43"/>
    <n v="113"/>
    <n v="1"/>
    <n v="1"/>
  </r>
  <r>
    <m/>
    <m/>
    <x v="1"/>
    <s v="03276788001006"/>
    <n v="-85.63"/>
    <n v="2184"/>
    <n v="1"/>
    <n v="1"/>
  </r>
  <r>
    <m/>
    <m/>
    <x v="1"/>
    <s v="03303681001001"/>
    <n v="-67.52"/>
    <n v="1722"/>
    <n v="1"/>
    <n v="1"/>
  </r>
  <r>
    <m/>
    <m/>
    <x v="1"/>
    <s v="03425988001004"/>
    <n v="-45.99"/>
    <n v="1173"/>
    <n v="1"/>
    <n v="1"/>
  </r>
  <r>
    <m/>
    <m/>
    <x v="1"/>
    <s v="04226765001003"/>
    <n v="-87.75"/>
    <n v="2238"/>
    <n v="1"/>
    <n v="1"/>
  </r>
  <r>
    <m/>
    <m/>
    <x v="1"/>
    <s v="04330395001006"/>
    <n v="-57.09"/>
    <n v="1456"/>
    <n v="1"/>
    <n v="1"/>
  </r>
  <r>
    <m/>
    <m/>
    <x v="1"/>
    <s v="04615660011001"/>
    <n v="-22.82"/>
    <n v="582"/>
    <n v="1"/>
    <n v="1"/>
  </r>
  <r>
    <m/>
    <m/>
    <x v="1"/>
    <s v="04707114001003"/>
    <n v="-103.59"/>
    <n v="2642"/>
    <n v="1"/>
    <n v="1"/>
  </r>
  <r>
    <m/>
    <m/>
    <x v="1"/>
    <s v="04758207001001"/>
    <n v="-51.21"/>
    <n v="1306"/>
    <n v="1"/>
    <n v="1"/>
  </r>
  <r>
    <m/>
    <m/>
    <x v="1"/>
    <s v="04813613001001"/>
    <n v="-106.22"/>
    <n v="2709"/>
    <n v="1"/>
    <n v="1"/>
  </r>
  <r>
    <m/>
    <m/>
    <x v="1"/>
    <s v="04935304004001"/>
    <n v="-120.88"/>
    <n v="3083"/>
    <n v="1"/>
    <n v="1"/>
  </r>
  <r>
    <m/>
    <m/>
    <x v="1"/>
    <s v="05035089001002"/>
    <n v="-79.36"/>
    <n v="2024"/>
    <n v="1"/>
    <n v="1"/>
  </r>
  <r>
    <m/>
    <m/>
    <x v="1"/>
    <s v="05077769001001"/>
    <n v="-37.99"/>
    <n v="969"/>
    <n v="1"/>
    <n v="1"/>
  </r>
  <r>
    <m/>
    <m/>
    <x v="1"/>
    <s v="05266292001004"/>
    <n v="-49.21"/>
    <n v="1255"/>
    <n v="1"/>
    <n v="1"/>
  </r>
  <r>
    <m/>
    <m/>
    <x v="1"/>
    <s v="05424431002001"/>
    <n v="-68.930000000000007"/>
    <n v="1758"/>
    <n v="1"/>
    <n v="1"/>
  </r>
  <r>
    <m/>
    <m/>
    <x v="1"/>
    <s v="05467882001001"/>
    <n v="-145.27000000000001"/>
    <n v="3705"/>
    <n v="1"/>
    <n v="1"/>
  </r>
  <r>
    <m/>
    <m/>
    <x v="1"/>
    <s v="05489508003005"/>
    <n v="-82.62"/>
    <n v="2107"/>
    <n v="1"/>
    <n v="1"/>
  </r>
  <r>
    <m/>
    <m/>
    <x v="1"/>
    <s v="05608094001001"/>
    <n v="-21.92"/>
    <n v="559"/>
    <n v="1"/>
    <n v="1"/>
  </r>
  <r>
    <m/>
    <m/>
    <x v="1"/>
    <s v="05767750001001"/>
    <n v="-97.36"/>
    <n v="2483"/>
    <n v="1"/>
    <n v="1"/>
  </r>
  <r>
    <m/>
    <m/>
    <x v="1"/>
    <s v="05803986001003"/>
    <n v="-98.34"/>
    <n v="2508"/>
    <n v="1"/>
    <n v="1"/>
  </r>
  <r>
    <m/>
    <m/>
    <x v="1"/>
    <s v="05896822001001"/>
    <n v="-151.12"/>
    <n v="3854"/>
    <n v="1"/>
    <n v="1"/>
  </r>
  <r>
    <m/>
    <m/>
    <x v="1"/>
    <s v="05918137001001"/>
    <n v="-11.21"/>
    <n v="286"/>
    <n v="1"/>
    <n v="1"/>
  </r>
  <r>
    <m/>
    <m/>
    <x v="1"/>
    <s v="05939875001001"/>
    <n v="-80.73"/>
    <n v="2059"/>
    <n v="1"/>
    <n v="1"/>
  </r>
  <r>
    <m/>
    <m/>
    <x v="1"/>
    <s v="06381309001002"/>
    <n v="-114.53"/>
    <n v="2921"/>
    <n v="1"/>
    <n v="1"/>
  </r>
  <r>
    <m/>
    <m/>
    <x v="1"/>
    <s v="06483393001005"/>
    <n v="-35.409999999999997"/>
    <n v="903"/>
    <n v="1"/>
    <n v="1"/>
  </r>
  <r>
    <m/>
    <m/>
    <x v="1"/>
    <s v="06651048001002"/>
    <n v="-98.5"/>
    <n v="2512"/>
    <n v="1"/>
    <n v="1"/>
  </r>
  <r>
    <m/>
    <m/>
    <x v="1"/>
    <s v="06815394001001"/>
    <n v="-29.37"/>
    <n v="749"/>
    <n v="1"/>
    <n v="1"/>
  </r>
  <r>
    <m/>
    <m/>
    <x v="1"/>
    <s v="06870862001003"/>
    <n v="-22.51"/>
    <n v="574"/>
    <n v="1"/>
    <n v="1"/>
  </r>
  <r>
    <m/>
    <m/>
    <x v="1"/>
    <s v="07214889002013"/>
    <n v="-85.91"/>
    <n v="2191"/>
    <n v="1"/>
    <n v="1"/>
  </r>
  <r>
    <m/>
    <m/>
    <x v="1"/>
    <s v="07573474001004"/>
    <n v="-31.45"/>
    <n v="802"/>
    <n v="1"/>
    <n v="1"/>
  </r>
  <r>
    <m/>
    <m/>
    <x v="1"/>
    <s v="07775926001003"/>
    <n v="-83.99"/>
    <n v="2142"/>
    <n v="1"/>
    <n v="1"/>
  </r>
  <r>
    <m/>
    <m/>
    <x v="1"/>
    <s v="07923176001001"/>
    <n v="-85.36"/>
    <n v="2177"/>
    <n v="1"/>
    <n v="1"/>
  </r>
  <r>
    <m/>
    <m/>
    <x v="1"/>
    <s v="08007689001001"/>
    <n v="-231.89"/>
    <n v="5914"/>
    <n v="1"/>
    <n v="1"/>
  </r>
  <r>
    <m/>
    <m/>
    <x v="1"/>
    <s v="08067240001001"/>
    <n v="-14.27"/>
    <n v="364"/>
    <n v="1"/>
    <n v="1"/>
  </r>
  <r>
    <m/>
    <m/>
    <x v="1"/>
    <s v="08189439001003"/>
    <n v="-21.21"/>
    <n v="541"/>
    <n v="1"/>
    <n v="1"/>
  </r>
  <r>
    <m/>
    <m/>
    <x v="1"/>
    <s v="08233163001005"/>
    <n v="-128.02000000000001"/>
    <n v="3265"/>
    <n v="1"/>
    <n v="1"/>
  </r>
  <r>
    <m/>
    <m/>
    <x v="1"/>
    <s v="08314540001003"/>
    <n v="-30.15"/>
    <n v="769"/>
    <n v="1"/>
    <n v="1"/>
  </r>
  <r>
    <m/>
    <m/>
    <x v="1"/>
    <s v="08360608001002"/>
    <n v="-73.09"/>
    <n v="1864"/>
    <n v="1"/>
    <n v="1"/>
  </r>
  <r>
    <m/>
    <m/>
    <x v="1"/>
    <s v="08435512001003"/>
    <n v="-93.83"/>
    <n v="2393"/>
    <n v="1"/>
    <n v="1"/>
  </r>
  <r>
    <m/>
    <m/>
    <x v="1"/>
    <s v="08685884001001"/>
    <n v="-15.45"/>
    <n v="394"/>
    <n v="1"/>
    <n v="1"/>
  </r>
  <r>
    <m/>
    <m/>
    <x v="1"/>
    <s v="08851339001001"/>
    <n v="-8.74"/>
    <n v="223"/>
    <n v="1"/>
    <n v="1"/>
  </r>
  <r>
    <m/>
    <m/>
    <x v="1"/>
    <s v="08897151001004"/>
    <n v="-128.41"/>
    <n v="3275"/>
    <n v="1"/>
    <n v="1"/>
  </r>
  <r>
    <m/>
    <m/>
    <x v="1"/>
    <s v="08985850001001"/>
    <n v="-52.86"/>
    <n v="1348"/>
    <n v="1"/>
    <n v="1"/>
  </r>
  <r>
    <m/>
    <m/>
    <x v="1"/>
    <s v="08994743001001"/>
    <n v="-89.09"/>
    <n v="2272"/>
    <n v="1"/>
    <n v="1"/>
  </r>
  <r>
    <m/>
    <m/>
    <x v="1"/>
    <s v="09089643001002"/>
    <n v="-36.86"/>
    <n v="940"/>
    <n v="1"/>
    <n v="1"/>
  </r>
  <r>
    <m/>
    <m/>
    <x v="1"/>
    <s v="09159151001002"/>
    <n v="-92.03"/>
    <n v="2347"/>
    <n v="1"/>
    <n v="1"/>
  </r>
  <r>
    <m/>
    <m/>
    <x v="1"/>
    <s v="09353338001001"/>
    <n v="-65.95"/>
    <n v="1682"/>
    <n v="1"/>
    <n v="1"/>
  </r>
  <r>
    <m/>
    <m/>
    <x v="1"/>
    <s v="09381479001007"/>
    <n v="-27.41"/>
    <n v="699"/>
    <n v="1"/>
    <n v="1"/>
  </r>
  <r>
    <m/>
    <m/>
    <x v="1"/>
    <s v="09510965001001"/>
    <n v="-94.03"/>
    <n v="2398"/>
    <n v="1"/>
    <n v="1"/>
  </r>
  <r>
    <m/>
    <m/>
    <x v="1"/>
    <s v="09528611001001"/>
    <n v="-23.02"/>
    <n v="587"/>
    <n v="1"/>
    <n v="1"/>
  </r>
  <r>
    <m/>
    <m/>
    <x v="1"/>
    <s v="09912352001004"/>
    <n v="-28.58"/>
    <n v="729"/>
    <n v="1"/>
    <n v="1"/>
  </r>
  <r>
    <m/>
    <m/>
    <x v="1"/>
    <s v="10427012001001"/>
    <n v="-86.77"/>
    <n v="2213"/>
    <n v="1"/>
    <n v="1"/>
  </r>
  <r>
    <m/>
    <m/>
    <x v="1"/>
    <s v="10567153001001"/>
    <n v="-18.78"/>
    <n v="479"/>
    <n v="1"/>
    <n v="1"/>
  </r>
  <r>
    <m/>
    <m/>
    <x v="1"/>
    <s v="10597439001001"/>
    <n v="-10.98"/>
    <n v="280"/>
    <n v="1"/>
    <n v="1"/>
  </r>
  <r>
    <m/>
    <m/>
    <x v="1"/>
    <s v="10898812001001"/>
    <n v="-25.72"/>
    <n v="656"/>
    <n v="1"/>
    <n v="1"/>
  </r>
  <r>
    <m/>
    <m/>
    <x v="1"/>
    <s v="10998604001001"/>
    <n v="-4.3899999999999997"/>
    <n v="112"/>
    <n v="1"/>
    <n v="1"/>
  </r>
  <r>
    <m/>
    <m/>
    <x v="1"/>
    <s v="11073517001005"/>
    <n v="-21.57"/>
    <n v="550"/>
    <n v="1"/>
    <n v="1"/>
  </r>
  <r>
    <m/>
    <m/>
    <x v="1"/>
    <s v="11284469001003"/>
    <n v="-73.709999999999994"/>
    <n v="1880"/>
    <n v="1"/>
    <n v="1"/>
  </r>
  <r>
    <m/>
    <m/>
    <x v="1"/>
    <s v="11380184001001"/>
    <n v="-5.65"/>
    <n v="144"/>
    <n v="1"/>
    <n v="1"/>
  </r>
  <r>
    <m/>
    <m/>
    <x v="1"/>
    <s v="11457839001001"/>
    <n v="-1.73"/>
    <n v="44"/>
    <n v="1"/>
    <n v="1"/>
  </r>
  <r>
    <m/>
    <m/>
    <x v="1"/>
    <s v="11498623002001"/>
    <n v="-124.49"/>
    <n v="3175"/>
    <n v="1"/>
    <n v="1"/>
  </r>
  <r>
    <m/>
    <m/>
    <x v="1"/>
    <s v="11558237001001"/>
    <n v="-87.36"/>
    <n v="2228"/>
    <n v="1"/>
    <n v="1"/>
  </r>
  <r>
    <m/>
    <m/>
    <x v="1"/>
    <s v="11649874003001"/>
    <n v="-30.23"/>
    <n v="771"/>
    <n v="1"/>
    <n v="1"/>
  </r>
  <r>
    <m/>
    <m/>
    <x v="1"/>
    <s v="11762846001001"/>
    <n v="-45.05"/>
    <n v="1149"/>
    <n v="1"/>
    <n v="1"/>
  </r>
  <r>
    <m/>
    <m/>
    <x v="1"/>
    <s v="11787709001001"/>
    <n v="-67.64"/>
    <n v="1725"/>
    <n v="1"/>
    <n v="1"/>
  </r>
  <r>
    <m/>
    <m/>
    <x v="1"/>
    <s v="11918881001001"/>
    <n v="-33.01"/>
    <n v="842"/>
    <n v="1"/>
    <n v="1"/>
  </r>
  <r>
    <m/>
    <m/>
    <x v="1"/>
    <s v="11968828001003"/>
    <n v="-58.74"/>
    <n v="1498"/>
    <n v="1"/>
    <n v="1"/>
  </r>
  <r>
    <m/>
    <m/>
    <x v="1"/>
    <s v="12157971001001"/>
    <n v="-25.41"/>
    <n v="648"/>
    <n v="1"/>
    <n v="1"/>
  </r>
  <r>
    <m/>
    <m/>
    <x v="1"/>
    <s v="12325069001003"/>
    <n v="-60.3"/>
    <n v="1538"/>
    <n v="1"/>
    <n v="1"/>
  </r>
  <r>
    <m/>
    <m/>
    <x v="1"/>
    <s v="12421088001004"/>
    <n v="-37.99"/>
    <n v="969"/>
    <n v="1"/>
    <n v="1"/>
  </r>
  <r>
    <m/>
    <m/>
    <x v="1"/>
    <s v="12591289001004"/>
    <n v="-65.72"/>
    <n v="1676"/>
    <n v="1"/>
    <n v="1"/>
  </r>
  <r>
    <m/>
    <m/>
    <x v="1"/>
    <s v="12677370001003"/>
    <n v="-3.8"/>
    <n v="97"/>
    <n v="1"/>
    <n v="1"/>
  </r>
  <r>
    <m/>
    <m/>
    <x v="1"/>
    <s v="12818134001004"/>
    <n v="-66.849999999999994"/>
    <n v="1705"/>
    <n v="1"/>
    <n v="1"/>
  </r>
  <r>
    <m/>
    <m/>
    <x v="1"/>
    <s v="12990985004003"/>
    <n v="-33.29"/>
    <n v="849"/>
    <n v="1"/>
    <n v="1"/>
  </r>
  <r>
    <m/>
    <m/>
    <x v="1"/>
    <s v="12998199001002"/>
    <n v="-117.55"/>
    <n v="2998"/>
    <n v="1"/>
    <n v="1"/>
  </r>
  <r>
    <m/>
    <m/>
    <x v="1"/>
    <s v="13074980001004"/>
    <n v="-18.82"/>
    <n v="480"/>
    <n v="1"/>
    <n v="1"/>
  </r>
  <r>
    <m/>
    <m/>
    <x v="1"/>
    <s v="13150161001001"/>
    <n v="-40.270000000000003"/>
    <n v="1027"/>
    <n v="1"/>
    <n v="1"/>
  </r>
  <r>
    <m/>
    <m/>
    <x v="1"/>
    <s v="13653453001001"/>
    <n v="-73.010000000000005"/>
    <n v="1862"/>
    <n v="1"/>
    <n v="1"/>
  </r>
  <r>
    <m/>
    <m/>
    <x v="1"/>
    <s v="13661749001003"/>
    <n v="-106.34"/>
    <n v="2712"/>
    <n v="1"/>
    <n v="1"/>
  </r>
  <r>
    <m/>
    <m/>
    <x v="1"/>
    <s v="13942590001005"/>
    <n v="-50.62"/>
    <n v="1291"/>
    <n v="1"/>
    <n v="1"/>
  </r>
  <r>
    <m/>
    <m/>
    <x v="1"/>
    <s v="14250991001001"/>
    <n v="-63.64"/>
    <n v="1623"/>
    <n v="1"/>
    <n v="1"/>
  </r>
  <r>
    <m/>
    <m/>
    <x v="1"/>
    <s v="14523509002001"/>
    <n v="-122.96"/>
    <n v="3136"/>
    <n v="1"/>
    <n v="1"/>
  </r>
  <r>
    <m/>
    <m/>
    <x v="1"/>
    <s v="14550816001001"/>
    <n v="-36.270000000000003"/>
    <n v="925"/>
    <n v="1"/>
    <n v="1"/>
  </r>
  <r>
    <m/>
    <m/>
    <x v="1"/>
    <s v="14612915001001"/>
    <n v="-73.87"/>
    <n v="1884"/>
    <n v="1"/>
    <n v="1"/>
  </r>
  <r>
    <m/>
    <m/>
    <x v="1"/>
    <s v="14864623004003"/>
    <n v="-30.58"/>
    <n v="780"/>
    <n v="1"/>
    <n v="1"/>
  </r>
  <r>
    <m/>
    <m/>
    <x v="1"/>
    <s v="14880751002003"/>
    <n v="-80.069999999999993"/>
    <n v="2042"/>
    <n v="1"/>
    <n v="1"/>
  </r>
  <r>
    <m/>
    <m/>
    <x v="1"/>
    <s v="14884998001013"/>
    <n v="-53.05"/>
    <n v="1353"/>
    <n v="1"/>
    <n v="1"/>
  </r>
  <r>
    <m/>
    <m/>
    <x v="1"/>
    <s v="14969179001001"/>
    <n v="-6.94"/>
    <n v="177"/>
    <n v="1"/>
    <n v="1"/>
  </r>
  <r>
    <m/>
    <m/>
    <x v="1"/>
    <s v="14986800001003"/>
    <n v="-59.4"/>
    <n v="1515"/>
    <n v="1"/>
    <n v="1"/>
  </r>
  <r>
    <m/>
    <m/>
    <x v="1"/>
    <s v="15120810001001"/>
    <n v="-21.29"/>
    <n v="543"/>
    <n v="1"/>
    <n v="1"/>
  </r>
  <r>
    <m/>
    <m/>
    <x v="1"/>
    <s v="15125902001003"/>
    <n v="-57.52"/>
    <n v="1467"/>
    <n v="1"/>
    <n v="1"/>
  </r>
  <r>
    <m/>
    <m/>
    <x v="1"/>
    <s v="15210168001005"/>
    <n v="-140.61000000000001"/>
    <n v="3586"/>
    <n v="1"/>
    <n v="1"/>
  </r>
  <r>
    <m/>
    <m/>
    <x v="1"/>
    <s v="15429562002003"/>
    <n v="-87.6"/>
    <n v="2234"/>
    <n v="1"/>
    <n v="1"/>
  </r>
  <r>
    <m/>
    <m/>
    <x v="1"/>
    <s v="15522534001001"/>
    <n v="-16.12"/>
    <n v="411"/>
    <n v="1"/>
    <n v="1"/>
  </r>
  <r>
    <m/>
    <m/>
    <x v="1"/>
    <s v="16000002001005"/>
    <n v="-60.93"/>
    <n v="1554"/>
    <n v="1"/>
    <n v="1"/>
  </r>
  <r>
    <m/>
    <m/>
    <x v="1"/>
    <s v="16208723002001"/>
    <n v="-73.209999999999994"/>
    <n v="1867"/>
    <n v="1"/>
    <n v="1"/>
  </r>
  <r>
    <m/>
    <m/>
    <x v="1"/>
    <s v="16222691001005"/>
    <n v="-63.28"/>
    <n v="1614"/>
    <n v="1"/>
    <n v="1"/>
  </r>
  <r>
    <m/>
    <m/>
    <x v="1"/>
    <s v="16268790001003"/>
    <n v="-93.44"/>
    <n v="2383"/>
    <n v="1"/>
    <n v="1"/>
  </r>
  <r>
    <m/>
    <m/>
    <x v="1"/>
    <s v="16414586003001"/>
    <n v="-64.459999999999994"/>
    <n v="1644"/>
    <n v="1"/>
    <n v="1"/>
  </r>
  <r>
    <m/>
    <m/>
    <x v="1"/>
    <s v="16450177001001"/>
    <n v="-106.81"/>
    <n v="2724"/>
    <n v="1"/>
    <n v="1"/>
  </r>
  <r>
    <m/>
    <m/>
    <x v="1"/>
    <s v="16474562001006"/>
    <n v="-49.33"/>
    <n v="1258"/>
    <n v="1"/>
    <n v="1"/>
  </r>
  <r>
    <m/>
    <m/>
    <x v="1"/>
    <s v="16483184001001"/>
    <n v="-17.489999999999998"/>
    <n v="446"/>
    <n v="1"/>
    <n v="1"/>
  </r>
  <r>
    <m/>
    <m/>
    <x v="1"/>
    <s v="16578645001005"/>
    <n v="-69.400000000000006"/>
    <n v="1770"/>
    <n v="1"/>
    <n v="1"/>
  </r>
  <r>
    <m/>
    <m/>
    <x v="1"/>
    <s v="16614801002003"/>
    <n v="-129.82"/>
    <n v="3311"/>
    <n v="1"/>
    <n v="1"/>
  </r>
  <r>
    <m/>
    <m/>
    <x v="1"/>
    <s v="16878925001003"/>
    <n v="-142.1"/>
    <n v="3624"/>
    <n v="1"/>
    <n v="1"/>
  </r>
  <r>
    <m/>
    <m/>
    <x v="1"/>
    <s v="16947410001002"/>
    <n v="-73.75"/>
    <n v="1881"/>
    <n v="1"/>
    <n v="1"/>
  </r>
  <r>
    <m/>
    <m/>
    <x v="1"/>
    <s v="16954651006001"/>
    <n v="-17.760000000000002"/>
    <n v="453"/>
    <n v="1"/>
    <n v="1"/>
  </r>
  <r>
    <m/>
    <m/>
    <x v="1"/>
    <s v="17143195002001"/>
    <n v="-135.94"/>
    <n v="3467"/>
    <n v="1"/>
    <n v="1"/>
  </r>
  <r>
    <m/>
    <m/>
    <x v="1"/>
    <s v="17146839001001"/>
    <n v="-46.23"/>
    <n v="1179"/>
    <n v="1"/>
    <n v="1"/>
  </r>
  <r>
    <m/>
    <m/>
    <x v="1"/>
    <s v="17196615001005"/>
    <n v="-29.37"/>
    <n v="749"/>
    <n v="1"/>
    <n v="1"/>
  </r>
  <r>
    <m/>
    <m/>
    <x v="1"/>
    <s v="17441909001004"/>
    <n v="-20.94"/>
    <n v="534"/>
    <n v="1"/>
    <n v="1"/>
  </r>
  <r>
    <m/>
    <m/>
    <x v="1"/>
    <s v="17540542001001"/>
    <n v="-139.12"/>
    <n v="3548"/>
    <n v="1"/>
    <n v="1"/>
  </r>
  <r>
    <m/>
    <m/>
    <x v="1"/>
    <s v="17724609001006"/>
    <n v="-66.66"/>
    <n v="1700"/>
    <n v="1"/>
    <n v="1"/>
  </r>
  <r>
    <m/>
    <m/>
    <x v="1"/>
    <s v="17740472001001"/>
    <n v="-56.74"/>
    <n v="1447"/>
    <n v="1"/>
    <n v="1"/>
  </r>
  <r>
    <m/>
    <m/>
    <x v="1"/>
    <s v="17953292001001"/>
    <n v="-57.17"/>
    <n v="1458"/>
    <n v="1"/>
    <n v="1"/>
  </r>
  <r>
    <m/>
    <m/>
    <x v="1"/>
    <s v="18165838001002"/>
    <n v="-47.48"/>
    <n v="1211"/>
    <n v="1"/>
    <n v="1"/>
  </r>
  <r>
    <m/>
    <m/>
    <x v="1"/>
    <s v="18557213001004"/>
    <n v="-54.97"/>
    <n v="1402"/>
    <n v="1"/>
    <n v="1"/>
  </r>
  <r>
    <m/>
    <m/>
    <x v="1"/>
    <s v="18634519001001"/>
    <n v="-45.88"/>
    <n v="1170"/>
    <n v="1"/>
    <n v="1"/>
  </r>
  <r>
    <m/>
    <m/>
    <x v="1"/>
    <s v="18802755001007"/>
    <n v="-42.74"/>
    <n v="1090"/>
    <n v="1"/>
    <n v="1"/>
  </r>
  <r>
    <m/>
    <m/>
    <x v="1"/>
    <s v="19003606001001"/>
    <n v="-15.41"/>
    <n v="393"/>
    <n v="1"/>
    <n v="1"/>
  </r>
  <r>
    <m/>
    <m/>
    <x v="1"/>
    <s v="19009803001003"/>
    <n v="-47.99"/>
    <n v="1224"/>
    <n v="1"/>
    <n v="1"/>
  </r>
  <r>
    <m/>
    <m/>
    <x v="1"/>
    <s v="19345185001001"/>
    <n v="-95.83"/>
    <n v="2444"/>
    <n v="1"/>
    <n v="1"/>
  </r>
  <r>
    <m/>
    <m/>
    <x v="1"/>
    <s v="19370368001003"/>
    <n v="-10.08"/>
    <n v="257"/>
    <n v="1"/>
    <n v="1"/>
  </r>
  <r>
    <m/>
    <m/>
    <x v="1"/>
    <s v="19857581001001"/>
    <n v="-20.9"/>
    <n v="533"/>
    <n v="1"/>
    <n v="1"/>
  </r>
  <r>
    <m/>
    <m/>
    <x v="1"/>
    <s v="19922627001001"/>
    <n v="-116.77"/>
    <n v="2978"/>
    <n v="1"/>
    <n v="1"/>
  </r>
  <r>
    <m/>
    <m/>
    <x v="1"/>
    <s v="20021948002001"/>
    <n v="-98.85"/>
    <n v="2521"/>
    <n v="1"/>
    <n v="1"/>
  </r>
  <r>
    <m/>
    <m/>
    <x v="1"/>
    <s v="20135004001001"/>
    <n v="-21.76"/>
    <n v="555"/>
    <n v="1"/>
    <n v="1"/>
  </r>
  <r>
    <m/>
    <m/>
    <x v="1"/>
    <s v="20242520001001"/>
    <n v="-26.35"/>
    <n v="672"/>
    <n v="1"/>
    <n v="1"/>
  </r>
  <r>
    <m/>
    <m/>
    <x v="1"/>
    <s v="20332813001010"/>
    <n v="-12.63"/>
    <n v="322"/>
    <n v="1"/>
    <n v="1"/>
  </r>
  <r>
    <m/>
    <m/>
    <x v="1"/>
    <s v="20373554001003"/>
    <n v="-82.3"/>
    <n v="2099"/>
    <n v="1"/>
    <n v="1"/>
  </r>
  <r>
    <m/>
    <m/>
    <x v="1"/>
    <s v="20449624001007"/>
    <n v="-25.53"/>
    <n v="651"/>
    <n v="1"/>
    <n v="1"/>
  </r>
  <r>
    <m/>
    <m/>
    <x v="1"/>
    <s v="20542360001003"/>
    <n v="-123.47"/>
    <n v="3149"/>
    <n v="1"/>
    <n v="1"/>
  </r>
  <r>
    <m/>
    <m/>
    <x v="1"/>
    <s v="20683934001002"/>
    <n v="-105.2"/>
    <n v="2683"/>
    <n v="1"/>
    <n v="1"/>
  </r>
  <r>
    <m/>
    <m/>
    <x v="1"/>
    <s v="20806802001001"/>
    <n v="-90.07"/>
    <n v="2297"/>
    <n v="1"/>
    <n v="1"/>
  </r>
  <r>
    <m/>
    <m/>
    <x v="1"/>
    <s v="21033205001006"/>
    <n v="-13.06"/>
    <n v="333"/>
    <n v="1"/>
    <n v="1"/>
  </r>
  <r>
    <m/>
    <m/>
    <x v="1"/>
    <s v="21046205001001"/>
    <n v="-23.13"/>
    <n v="590"/>
    <n v="1"/>
    <n v="1"/>
  </r>
  <r>
    <m/>
    <m/>
    <x v="1"/>
    <s v="21125964001008"/>
    <n v="-20.86"/>
    <n v="532"/>
    <n v="1"/>
    <n v="1"/>
  </r>
  <r>
    <m/>
    <m/>
    <x v="1"/>
    <s v="21330324001003"/>
    <n v="-25.72"/>
    <n v="656"/>
    <n v="1"/>
    <n v="1"/>
  </r>
  <r>
    <m/>
    <m/>
    <x v="1"/>
    <s v="21429755001006"/>
    <n v="-16.39"/>
    <n v="418"/>
    <n v="1"/>
    <n v="1"/>
  </r>
  <r>
    <m/>
    <m/>
    <x v="1"/>
    <s v="21567301001001"/>
    <n v="-129.9"/>
    <n v="3313"/>
    <n v="1"/>
    <n v="1"/>
  </r>
  <r>
    <m/>
    <m/>
    <x v="1"/>
    <s v="21809926001003"/>
    <n v="-49.33"/>
    <n v="1258"/>
    <n v="1"/>
    <n v="1"/>
  </r>
  <r>
    <m/>
    <m/>
    <x v="1"/>
    <s v="21820617001003"/>
    <n v="-42.82"/>
    <n v="1092"/>
    <n v="1"/>
    <n v="1"/>
  </r>
  <r>
    <m/>
    <m/>
    <x v="1"/>
    <s v="21943625001001"/>
    <n v="-35.409999999999997"/>
    <n v="903"/>
    <n v="1"/>
    <n v="1"/>
  </r>
  <r>
    <m/>
    <m/>
    <x v="1"/>
    <s v="21995120001004"/>
    <n v="-42.82"/>
    <n v="1092"/>
    <n v="1"/>
    <n v="1"/>
  </r>
  <r>
    <m/>
    <m/>
    <x v="1"/>
    <s v="22305793001002"/>
    <n v="-107.44"/>
    <n v="2740"/>
    <n v="1"/>
    <n v="1"/>
  </r>
  <r>
    <m/>
    <m/>
    <x v="1"/>
    <s v="22380133001001"/>
    <n v="-86.46"/>
    <n v="2205"/>
    <n v="1"/>
    <n v="1"/>
  </r>
  <r>
    <m/>
    <m/>
    <x v="1"/>
    <s v="22426919001001"/>
    <n v="-35.64"/>
    <n v="909"/>
    <n v="1"/>
    <n v="1"/>
  </r>
  <r>
    <m/>
    <m/>
    <x v="1"/>
    <s v="22617306001001"/>
    <n v="-67.400000000000006"/>
    <n v="1719"/>
    <n v="1"/>
    <n v="1"/>
  </r>
  <r>
    <m/>
    <m/>
    <x v="1"/>
    <s v="22675655001001"/>
    <n v="-64.19"/>
    <n v="1637"/>
    <n v="1"/>
    <n v="1"/>
  </r>
  <r>
    <m/>
    <m/>
    <x v="1"/>
    <s v="22784555001001"/>
    <n v="-54.07"/>
    <n v="1379"/>
    <n v="1"/>
    <n v="1"/>
  </r>
  <r>
    <m/>
    <m/>
    <x v="1"/>
    <s v="22793293001002"/>
    <n v="-29.09"/>
    <n v="742"/>
    <n v="1"/>
    <n v="1"/>
  </r>
  <r>
    <m/>
    <m/>
    <x v="1"/>
    <s v="23045379001003"/>
    <n v="-62.89"/>
    <n v="1604"/>
    <n v="1"/>
    <n v="1"/>
  </r>
  <r>
    <m/>
    <m/>
    <x v="1"/>
    <s v="23201827004001"/>
    <n v="-25.84"/>
    <n v="659"/>
    <n v="1"/>
    <n v="1"/>
  </r>
  <r>
    <m/>
    <m/>
    <x v="1"/>
    <s v="23403071001003"/>
    <n v="-17.489999999999998"/>
    <n v="446"/>
    <n v="1"/>
    <n v="1"/>
  </r>
  <r>
    <m/>
    <m/>
    <x v="1"/>
    <s v="23407345001003"/>
    <n v="-35.72"/>
    <n v="911"/>
    <n v="1"/>
    <n v="1"/>
  </r>
  <r>
    <m/>
    <m/>
    <x v="1"/>
    <s v="23427190001001"/>
    <n v="-56.89"/>
    <n v="1451"/>
    <n v="1"/>
    <n v="1"/>
  </r>
  <r>
    <m/>
    <m/>
    <x v="1"/>
    <s v="23460450001003"/>
    <n v="-2.82"/>
    <n v="72"/>
    <n v="1"/>
    <n v="1"/>
  </r>
  <r>
    <m/>
    <m/>
    <x v="1"/>
    <s v="23460849001003"/>
    <n v="-45.48"/>
    <n v="1160"/>
    <n v="1"/>
    <n v="1"/>
  </r>
  <r>
    <m/>
    <m/>
    <x v="1"/>
    <s v="23535049001001"/>
    <n v="-34.619999999999997"/>
    <n v="883"/>
    <n v="1"/>
    <n v="1"/>
  </r>
  <r>
    <m/>
    <m/>
    <x v="1"/>
    <s v="23582904002001"/>
    <n v="-40.9"/>
    <n v="1043"/>
    <n v="1"/>
    <n v="1"/>
  </r>
  <r>
    <m/>
    <m/>
    <x v="1"/>
    <s v="23857343001001"/>
    <n v="-84.46"/>
    <n v="2154"/>
    <n v="1"/>
    <n v="1"/>
  </r>
  <r>
    <m/>
    <m/>
    <x v="1"/>
    <s v="23863133001011"/>
    <n v="-45.99"/>
    <n v="1173"/>
    <n v="1"/>
    <n v="1"/>
  </r>
  <r>
    <m/>
    <m/>
    <x v="1"/>
    <s v="23890949001001"/>
    <n v="-22.43"/>
    <n v="572"/>
    <n v="1"/>
    <n v="1"/>
  </r>
  <r>
    <m/>
    <m/>
    <x v="1"/>
    <s v="23938269001003"/>
    <n v="-38.5"/>
    <n v="982"/>
    <n v="1"/>
    <n v="1"/>
  </r>
  <r>
    <m/>
    <m/>
    <x v="1"/>
    <s v="24288214001005"/>
    <n v="-90.85"/>
    <n v="2317"/>
    <n v="1"/>
    <n v="1"/>
  </r>
  <r>
    <m/>
    <m/>
    <x v="1"/>
    <s v="24369303001001"/>
    <n v="-72.7"/>
    <n v="1854"/>
    <n v="1"/>
    <n v="1"/>
  </r>
  <r>
    <m/>
    <m/>
    <x v="1"/>
    <s v="24488041001003"/>
    <n v="-6.43"/>
    <n v="164"/>
    <n v="1"/>
    <n v="1"/>
  </r>
  <r>
    <m/>
    <m/>
    <x v="1"/>
    <s v="24516542001001"/>
    <n v="-16.47"/>
    <n v="420"/>
    <n v="1"/>
    <n v="1"/>
  </r>
  <r>
    <m/>
    <m/>
    <x v="1"/>
    <s v="24516542001006"/>
    <n v="-25.92"/>
    <n v="661"/>
    <n v="1"/>
    <n v="1"/>
  </r>
  <r>
    <m/>
    <m/>
    <x v="1"/>
    <s v="24533539006003"/>
    <n v="-58.66"/>
    <n v="1496"/>
    <n v="1"/>
    <n v="1"/>
  </r>
  <r>
    <m/>
    <m/>
    <x v="1"/>
    <s v="24785101001002"/>
    <n v="-83.24"/>
    <n v="2123"/>
    <n v="1"/>
    <n v="1"/>
  </r>
  <r>
    <m/>
    <m/>
    <x v="1"/>
    <s v="24901880001001"/>
    <n v="-109.04"/>
    <n v="2781"/>
    <n v="1"/>
    <n v="1"/>
  </r>
  <r>
    <m/>
    <m/>
    <x v="1"/>
    <s v="24992881001001"/>
    <n v="-75.48"/>
    <n v="1925"/>
    <n v="1"/>
    <n v="1"/>
  </r>
  <r>
    <m/>
    <m/>
    <x v="1"/>
    <s v="25133485004003"/>
    <n v="-142.37"/>
    <n v="3631"/>
    <n v="1"/>
    <n v="1"/>
  </r>
  <r>
    <m/>
    <m/>
    <x v="1"/>
    <s v="25266054001002"/>
    <n v="-76.930000000000007"/>
    <n v="1962"/>
    <n v="1"/>
    <n v="1"/>
  </r>
  <r>
    <m/>
    <m/>
    <x v="1"/>
    <s v="25302590001001"/>
    <n v="-49.76"/>
    <n v="1269"/>
    <n v="1"/>
    <n v="1"/>
  </r>
  <r>
    <m/>
    <m/>
    <x v="1"/>
    <s v="25577769001001"/>
    <n v="-38.74"/>
    <n v="988"/>
    <n v="1"/>
    <n v="1"/>
  </r>
  <r>
    <m/>
    <m/>
    <x v="1"/>
    <s v="25780799001001"/>
    <n v="-40.43"/>
    <n v="1031"/>
    <n v="1"/>
    <n v="1"/>
  </r>
  <r>
    <m/>
    <m/>
    <x v="1"/>
    <s v="25919981001003"/>
    <n v="-28.98"/>
    <n v="739"/>
    <n v="1"/>
    <n v="1"/>
  </r>
  <r>
    <m/>
    <m/>
    <x v="1"/>
    <s v="26133946001003"/>
    <n v="-88.54"/>
    <n v="2258"/>
    <n v="1"/>
    <n v="1"/>
  </r>
  <r>
    <m/>
    <m/>
    <x v="1"/>
    <s v="26300310001002"/>
    <n v="-13.33"/>
    <n v="340"/>
    <n v="1"/>
    <n v="1"/>
  </r>
  <r>
    <m/>
    <m/>
    <x v="1"/>
    <s v="26406770002001"/>
    <n v="-85.01"/>
    <n v="2168"/>
    <n v="1"/>
    <n v="1"/>
  </r>
  <r>
    <m/>
    <m/>
    <x v="1"/>
    <s v="26449890001003"/>
    <n v="-18.079999999999998"/>
    <n v="461"/>
    <n v="1"/>
    <n v="1"/>
  </r>
  <r>
    <m/>
    <m/>
    <x v="1"/>
    <s v="26564429001001"/>
    <n v="-11.14"/>
    <n v="284"/>
    <n v="1"/>
    <n v="1"/>
  </r>
  <r>
    <m/>
    <m/>
    <x v="1"/>
    <s v="26574451002003"/>
    <n v="-192.76"/>
    <n v="4916"/>
    <n v="1"/>
    <n v="1"/>
  </r>
  <r>
    <m/>
    <m/>
    <x v="1"/>
    <s v="26826704001001"/>
    <n v="-116.06"/>
    <n v="2960"/>
    <n v="1"/>
    <n v="1"/>
  </r>
  <r>
    <m/>
    <m/>
    <x v="1"/>
    <s v="26832624001007"/>
    <n v="-54.07"/>
    <n v="1379"/>
    <n v="1"/>
    <n v="1"/>
  </r>
  <r>
    <m/>
    <m/>
    <x v="1"/>
    <s v="26917575001001"/>
    <n v="-126.81"/>
    <n v="3234"/>
    <n v="1"/>
    <n v="1"/>
  </r>
  <r>
    <m/>
    <m/>
    <x v="1"/>
    <s v="27004406002001"/>
    <n v="-50.97"/>
    <n v="1300"/>
    <n v="1"/>
    <n v="1"/>
  </r>
  <r>
    <m/>
    <m/>
    <x v="1"/>
    <s v="27035079002007"/>
    <n v="-28.62"/>
    <n v="730"/>
    <n v="1"/>
    <n v="1"/>
  </r>
  <r>
    <m/>
    <m/>
    <x v="1"/>
    <s v="27274493001001"/>
    <n v="-46.27"/>
    <n v="1180"/>
    <n v="1"/>
    <n v="1"/>
  </r>
  <r>
    <m/>
    <m/>
    <x v="1"/>
    <s v="27356342001008"/>
    <n v="-49.09"/>
    <n v="1252"/>
    <n v="1"/>
    <n v="1"/>
  </r>
  <r>
    <m/>
    <m/>
    <x v="1"/>
    <s v="27612583002003"/>
    <n v="-172.52"/>
    <n v="4400"/>
    <n v="1"/>
    <n v="1"/>
  </r>
  <r>
    <m/>
    <m/>
    <x v="1"/>
    <s v="27708255007001"/>
    <n v="-45.6"/>
    <n v="1163"/>
    <n v="1"/>
    <n v="1"/>
  </r>
  <r>
    <m/>
    <m/>
    <x v="1"/>
    <s v="27943716001001"/>
    <n v="-24.74"/>
    <n v="631"/>
    <n v="1"/>
    <n v="1"/>
  </r>
  <r>
    <m/>
    <m/>
    <x v="1"/>
    <s v="28014351004010"/>
    <n v="-31.25"/>
    <n v="797"/>
    <n v="1"/>
    <n v="1"/>
  </r>
  <r>
    <m/>
    <m/>
    <x v="1"/>
    <s v="28085146002003"/>
    <n v="-140.49"/>
    <n v="3583"/>
    <n v="1"/>
    <n v="1"/>
  </r>
  <r>
    <m/>
    <m/>
    <x v="1"/>
    <s v="28099314001001"/>
    <n v="-20.55"/>
    <n v="524"/>
    <n v="1"/>
    <n v="1"/>
  </r>
  <r>
    <m/>
    <m/>
    <x v="1"/>
    <s v="28330708001001"/>
    <n v="-124.1"/>
    <n v="3165"/>
    <n v="1"/>
    <n v="1"/>
  </r>
  <r>
    <m/>
    <m/>
    <x v="1"/>
    <s v="28430533001001"/>
    <n v="-27.92"/>
    <n v="712"/>
    <n v="1"/>
    <n v="1"/>
  </r>
  <r>
    <m/>
    <m/>
    <x v="1"/>
    <s v="28452386002001"/>
    <n v="-55.05"/>
    <n v="1404"/>
    <n v="1"/>
    <n v="1"/>
  </r>
  <r>
    <m/>
    <m/>
    <x v="1"/>
    <s v="28758621002008"/>
    <n v="-192.01"/>
    <n v="4897"/>
    <n v="1"/>
    <n v="1"/>
  </r>
  <r>
    <m/>
    <m/>
    <x v="1"/>
    <s v="28950576001002"/>
    <n v="-34.659999999999997"/>
    <n v="884"/>
    <n v="1"/>
    <n v="1"/>
  </r>
  <r>
    <m/>
    <m/>
    <x v="1"/>
    <s v="28959951001001"/>
    <n v="-111.98"/>
    <n v="2856"/>
    <n v="1"/>
    <n v="1"/>
  </r>
  <r>
    <m/>
    <m/>
    <x v="1"/>
    <s v="29196761001004"/>
    <n v="-112.53"/>
    <n v="2870"/>
    <n v="1"/>
    <n v="1"/>
  </r>
  <r>
    <m/>
    <m/>
    <x v="1"/>
    <s v="29225864001003"/>
    <n v="-82.65"/>
    <n v="2108"/>
    <n v="1"/>
    <n v="1"/>
  </r>
  <r>
    <m/>
    <m/>
    <x v="1"/>
    <s v="29365356001002"/>
    <n v="-71.83"/>
    <n v="1832"/>
    <n v="1"/>
    <n v="1"/>
  </r>
  <r>
    <m/>
    <m/>
    <x v="1"/>
    <s v="29374050001001"/>
    <n v="-38.15"/>
    <n v="973"/>
    <n v="1"/>
    <n v="1"/>
  </r>
  <r>
    <m/>
    <m/>
    <x v="1"/>
    <s v="29403974001002"/>
    <n v="-69.239999999999995"/>
    <n v="1766"/>
    <n v="1"/>
    <n v="1"/>
  </r>
  <r>
    <m/>
    <m/>
    <x v="1"/>
    <s v="29448259001002"/>
    <n v="-63.72"/>
    <n v="1625"/>
    <n v="1"/>
    <n v="1"/>
  </r>
  <r>
    <m/>
    <m/>
    <x v="1"/>
    <s v="29577821001001"/>
    <n v="-53.99"/>
    <n v="1377"/>
    <n v="1"/>
    <n v="1"/>
  </r>
  <r>
    <m/>
    <m/>
    <x v="1"/>
    <s v="29629435002003"/>
    <n v="-52.19"/>
    <n v="1331"/>
    <n v="1"/>
    <n v="1"/>
  </r>
  <r>
    <m/>
    <m/>
    <x v="1"/>
    <s v="29971660001004"/>
    <n v="-36.229999999999997"/>
    <n v="924"/>
    <n v="1"/>
    <n v="1"/>
  </r>
  <r>
    <m/>
    <m/>
    <x v="1"/>
    <s v="30325264001001"/>
    <n v="-149.9"/>
    <n v="3823"/>
    <n v="1"/>
    <n v="1"/>
  </r>
  <r>
    <m/>
    <m/>
    <x v="1"/>
    <s v="30370464002001"/>
    <n v="-127.71"/>
    <n v="3257"/>
    <n v="1"/>
    <n v="1"/>
  </r>
  <r>
    <m/>
    <m/>
    <x v="1"/>
    <s v="30405921001003"/>
    <n v="-60.78"/>
    <n v="1550"/>
    <n v="1"/>
    <n v="1"/>
  </r>
  <r>
    <m/>
    <m/>
    <x v="1"/>
    <s v="30757590002002"/>
    <n v="-149.38999999999999"/>
    <n v="3810"/>
    <n v="1"/>
    <n v="1"/>
  </r>
  <r>
    <m/>
    <m/>
    <x v="1"/>
    <s v="30816545001001"/>
    <n v="-101.48"/>
    <n v="2588"/>
    <n v="1"/>
    <n v="1"/>
  </r>
  <r>
    <m/>
    <m/>
    <x v="1"/>
    <s v="30889982001011"/>
    <n v="-141.74"/>
    <n v="3615"/>
    <n v="1"/>
    <n v="1"/>
  </r>
  <r>
    <m/>
    <m/>
    <x v="1"/>
    <s v="30947723001004"/>
    <n v="-94.61"/>
    <n v="2413"/>
    <n v="1"/>
    <n v="1"/>
  </r>
  <r>
    <m/>
    <m/>
    <x v="1"/>
    <s v="31180821001001"/>
    <n v="-92.57"/>
    <n v="2361"/>
    <n v="1"/>
    <n v="1"/>
  </r>
  <r>
    <m/>
    <m/>
    <x v="1"/>
    <s v="31347134001001"/>
    <n v="-44.23"/>
    <n v="1128"/>
    <n v="1"/>
    <n v="1"/>
  </r>
  <r>
    <m/>
    <m/>
    <x v="1"/>
    <s v="31555689001001"/>
    <n v="-39.29"/>
    <n v="1002"/>
    <n v="1"/>
    <n v="1"/>
  </r>
  <r>
    <m/>
    <m/>
    <x v="1"/>
    <s v="31608000001004"/>
    <n v="-156.53"/>
    <n v="3992"/>
    <n v="1"/>
    <n v="1"/>
  </r>
  <r>
    <m/>
    <m/>
    <x v="1"/>
    <s v="31611013002002"/>
    <n v="-8.08"/>
    <n v="206"/>
    <n v="1"/>
    <n v="1"/>
  </r>
  <r>
    <m/>
    <m/>
    <x v="1"/>
    <s v="31781301001003"/>
    <n v="-172.92"/>
    <n v="4410"/>
    <n v="1"/>
    <n v="1"/>
  </r>
  <r>
    <m/>
    <m/>
    <x v="1"/>
    <s v="31833646004004"/>
    <n v="-136.06"/>
    <n v="3470"/>
    <n v="1"/>
    <n v="1"/>
  </r>
  <r>
    <m/>
    <m/>
    <x v="1"/>
    <s v="31854579001001"/>
    <n v="-13.65"/>
    <n v="348"/>
    <n v="1"/>
    <n v="1"/>
  </r>
  <r>
    <m/>
    <m/>
    <x v="1"/>
    <s v="31987952001001"/>
    <n v="-38.31"/>
    <n v="977"/>
    <n v="1"/>
    <n v="1"/>
  </r>
  <r>
    <m/>
    <m/>
    <x v="1"/>
    <s v="31991405001001"/>
    <n v="-164.64"/>
    <n v="4199"/>
    <n v="1"/>
    <n v="1"/>
  </r>
  <r>
    <m/>
    <m/>
    <x v="1"/>
    <s v="32003969001001"/>
    <n v="-53.76"/>
    <n v="1371"/>
    <n v="1"/>
    <n v="1"/>
  </r>
  <r>
    <m/>
    <m/>
    <x v="1"/>
    <s v="32085084001001"/>
    <n v="-11.21"/>
    <n v="286"/>
    <n v="1"/>
    <n v="1"/>
  </r>
  <r>
    <m/>
    <m/>
    <x v="1"/>
    <s v="32202242001001"/>
    <n v="-25.68"/>
    <n v="655"/>
    <n v="1"/>
    <n v="1"/>
  </r>
  <r>
    <m/>
    <m/>
    <x v="1"/>
    <s v="32610278001004"/>
    <n v="-16.47"/>
    <n v="420"/>
    <n v="1"/>
    <n v="1"/>
  </r>
  <r>
    <m/>
    <m/>
    <x v="1"/>
    <s v="32750874002001"/>
    <n v="-113.91"/>
    <n v="2905"/>
    <n v="1"/>
    <n v="1"/>
  </r>
  <r>
    <m/>
    <m/>
    <x v="1"/>
    <s v="33066711002006"/>
    <n v="-74.77"/>
    <n v="1907"/>
    <n v="1"/>
    <n v="1"/>
  </r>
  <r>
    <m/>
    <m/>
    <x v="1"/>
    <s v="33642246001005"/>
    <n v="-51.44"/>
    <n v="1312"/>
    <n v="1"/>
    <n v="1"/>
  </r>
  <r>
    <m/>
    <m/>
    <x v="1"/>
    <s v="33687453001001"/>
    <n v="-96.46"/>
    <n v="2460"/>
    <n v="1"/>
    <n v="1"/>
  </r>
  <r>
    <m/>
    <m/>
    <x v="1"/>
    <s v="33829956002003"/>
    <n v="-60.15"/>
    <n v="1534"/>
    <n v="1"/>
    <n v="1"/>
  </r>
  <r>
    <m/>
    <m/>
    <x v="1"/>
    <s v="33910067001003"/>
    <n v="-93.75"/>
    <n v="2391"/>
    <n v="1"/>
    <n v="1"/>
  </r>
  <r>
    <m/>
    <m/>
    <x v="1"/>
    <s v="34080235001002"/>
    <n v="-53.33"/>
    <n v="1360"/>
    <n v="1"/>
    <n v="1"/>
  </r>
  <r>
    <m/>
    <m/>
    <x v="1"/>
    <s v="34160604001001"/>
    <n v="-59.83"/>
    <n v="1526"/>
    <n v="1"/>
    <n v="1"/>
  </r>
  <r>
    <m/>
    <m/>
    <x v="1"/>
    <s v="34758238001001"/>
    <n v="-43.25"/>
    <n v="1103"/>
    <n v="1"/>
    <n v="1"/>
  </r>
  <r>
    <m/>
    <m/>
    <x v="1"/>
    <s v="34822690001003"/>
    <n v="-50.23"/>
    <n v="1281"/>
    <n v="1"/>
    <n v="1"/>
  </r>
  <r>
    <m/>
    <m/>
    <x v="1"/>
    <s v="34827216001001"/>
    <n v="-159"/>
    <n v="4055"/>
    <n v="1"/>
    <n v="1"/>
  </r>
  <r>
    <m/>
    <m/>
    <x v="1"/>
    <s v="34859648001001"/>
    <n v="-35.96"/>
    <n v="917"/>
    <n v="1"/>
    <n v="1"/>
  </r>
  <r>
    <m/>
    <m/>
    <x v="1"/>
    <s v="34874155001002"/>
    <n v="-30.78"/>
    <n v="785"/>
    <n v="1"/>
    <n v="1"/>
  </r>
  <r>
    <m/>
    <m/>
    <x v="1"/>
    <s v="35256283001003"/>
    <n v="-68.03"/>
    <n v="1735"/>
    <n v="1"/>
    <n v="1"/>
  </r>
  <r>
    <m/>
    <m/>
    <x v="1"/>
    <s v="35260727001006"/>
    <n v="-13.21"/>
    <n v="337"/>
    <n v="1"/>
    <n v="1"/>
  </r>
  <r>
    <m/>
    <m/>
    <x v="1"/>
    <s v="35268541002002"/>
    <n v="-64.97"/>
    <n v="1657"/>
    <n v="1"/>
    <n v="1"/>
  </r>
  <r>
    <m/>
    <m/>
    <x v="1"/>
    <s v="35387208001001"/>
    <n v="-113.63"/>
    <n v="2898"/>
    <n v="1"/>
    <n v="1"/>
  </r>
  <r>
    <m/>
    <m/>
    <x v="1"/>
    <s v="35402111001001"/>
    <n v="-18.62"/>
    <n v="475"/>
    <n v="1"/>
    <n v="1"/>
  </r>
  <r>
    <m/>
    <m/>
    <x v="1"/>
    <s v="35508083001003"/>
    <n v="-0.51"/>
    <n v="13"/>
    <n v="1"/>
    <n v="1"/>
  </r>
  <r>
    <m/>
    <m/>
    <x v="1"/>
    <s v="35571209001001"/>
    <n v="-24.86"/>
    <n v="634"/>
    <n v="1"/>
    <n v="1"/>
  </r>
  <r>
    <m/>
    <m/>
    <x v="1"/>
    <s v="35755859001007"/>
    <n v="-2.5099999999999998"/>
    <n v="64"/>
    <n v="1"/>
    <n v="1"/>
  </r>
  <r>
    <m/>
    <m/>
    <x v="1"/>
    <s v="35830208001001"/>
    <n v="-50.19"/>
    <n v="1280"/>
    <n v="1"/>
    <n v="1"/>
  </r>
  <r>
    <m/>
    <m/>
    <x v="1"/>
    <s v="35880618001005"/>
    <n v="-42.78"/>
    <n v="1091"/>
    <n v="1"/>
    <n v="1"/>
  </r>
  <r>
    <m/>
    <m/>
    <x v="1"/>
    <s v="35958850001005"/>
    <n v="-24.51"/>
    <n v="625"/>
    <n v="1"/>
    <n v="1"/>
  </r>
  <r>
    <m/>
    <m/>
    <x v="1"/>
    <s v="35962874001004"/>
    <n v="-79.239999999999995"/>
    <n v="2021"/>
    <n v="1"/>
    <n v="1"/>
  </r>
  <r>
    <m/>
    <m/>
    <x v="1"/>
    <s v="36046479001001"/>
    <n v="-128.77000000000001"/>
    <n v="3284"/>
    <n v="1"/>
    <n v="1"/>
  </r>
  <r>
    <m/>
    <m/>
    <x v="1"/>
    <s v="36078864001001"/>
    <n v="-38.35"/>
    <n v="978"/>
    <n v="1"/>
    <n v="1"/>
  </r>
  <r>
    <m/>
    <m/>
    <x v="1"/>
    <s v="36193790001003"/>
    <n v="-47.33"/>
    <n v="1207"/>
    <n v="1"/>
    <n v="1"/>
  </r>
  <r>
    <m/>
    <m/>
    <x v="1"/>
    <s v="36264381001001"/>
    <n v="-91.79"/>
    <n v="2341"/>
    <n v="1"/>
    <n v="1"/>
  </r>
  <r>
    <m/>
    <m/>
    <x v="1"/>
    <s v="36265466001001"/>
    <n v="-65.83"/>
    <n v="1679"/>
    <n v="1"/>
    <n v="1"/>
  </r>
  <r>
    <m/>
    <m/>
    <x v="1"/>
    <s v="36294296001004"/>
    <n v="-52.38"/>
    <n v="1336"/>
    <n v="1"/>
    <n v="1"/>
  </r>
  <r>
    <m/>
    <m/>
    <x v="1"/>
    <s v="36340954001005"/>
    <n v="-21.64"/>
    <n v="552"/>
    <n v="1"/>
    <n v="1"/>
  </r>
  <r>
    <m/>
    <m/>
    <x v="1"/>
    <s v="36405485001001"/>
    <n v="-55.13"/>
    <n v="1406"/>
    <n v="1"/>
    <n v="1"/>
  </r>
  <r>
    <m/>
    <m/>
    <x v="1"/>
    <s v="36445725001001"/>
    <n v="-120.77"/>
    <n v="3080"/>
    <n v="1"/>
    <n v="1"/>
  </r>
  <r>
    <m/>
    <m/>
    <x v="1"/>
    <s v="36617800001001"/>
    <n v="-47.4"/>
    <n v="1209"/>
    <n v="1"/>
    <n v="1"/>
  </r>
  <r>
    <m/>
    <m/>
    <x v="1"/>
    <s v="36872264001001"/>
    <n v="-129.82"/>
    <n v="3311"/>
    <n v="1"/>
    <n v="1"/>
  </r>
  <r>
    <m/>
    <m/>
    <x v="1"/>
    <s v="36931062001008"/>
    <n v="-70.930000000000007"/>
    <n v="1809"/>
    <n v="1"/>
    <n v="1"/>
  </r>
  <r>
    <m/>
    <m/>
    <x v="1"/>
    <s v="37014491001001"/>
    <n v="-101.87"/>
    <n v="2598"/>
    <n v="1"/>
    <n v="1"/>
  </r>
  <r>
    <m/>
    <m/>
    <x v="1"/>
    <s v="37477159001001"/>
    <n v="-46.03"/>
    <n v="1174"/>
    <n v="1"/>
    <n v="1"/>
  </r>
  <r>
    <m/>
    <m/>
    <x v="1"/>
    <s v="37518547001003"/>
    <n v="-75.52"/>
    <n v="1926"/>
    <n v="1"/>
    <n v="1"/>
  </r>
  <r>
    <m/>
    <m/>
    <x v="1"/>
    <s v="37546855001001"/>
    <n v="-67.52"/>
    <n v="1722"/>
    <n v="1"/>
    <n v="1"/>
  </r>
  <r>
    <m/>
    <m/>
    <x v="1"/>
    <s v="37694672001008"/>
    <n v="-67.989999999999995"/>
    <n v="1734"/>
    <n v="1"/>
    <n v="1"/>
  </r>
  <r>
    <m/>
    <m/>
    <x v="1"/>
    <s v="37962417001003"/>
    <n v="-98.26"/>
    <n v="2506"/>
    <n v="1"/>
    <n v="1"/>
  </r>
  <r>
    <m/>
    <m/>
    <x v="1"/>
    <s v="38003358004003"/>
    <n v="-62.11"/>
    <n v="1584"/>
    <n v="1"/>
    <n v="1"/>
  </r>
  <r>
    <m/>
    <m/>
    <x v="1"/>
    <s v="38058429001003"/>
    <n v="-48.11"/>
    <n v="1227"/>
    <n v="1"/>
    <n v="1"/>
  </r>
  <r>
    <m/>
    <m/>
    <x v="1"/>
    <s v="38059806002007"/>
    <n v="-79.13"/>
    <n v="2018"/>
    <n v="1"/>
    <n v="1"/>
  </r>
  <r>
    <m/>
    <m/>
    <x v="1"/>
    <s v="38161821001001"/>
    <n v="-9.76"/>
    <n v="249"/>
    <n v="1"/>
    <n v="1"/>
  </r>
  <r>
    <m/>
    <m/>
    <x v="1"/>
    <s v="38371635001001"/>
    <n v="-89.28"/>
    <n v="2277"/>
    <n v="1"/>
    <n v="1"/>
  </r>
  <r>
    <m/>
    <m/>
    <x v="1"/>
    <s v="38447668001004"/>
    <n v="-16.66"/>
    <n v="425"/>
    <n v="1"/>
    <n v="1"/>
  </r>
  <r>
    <m/>
    <m/>
    <x v="1"/>
    <s v="38606746001003"/>
    <n v="-62.85"/>
    <n v="1603"/>
    <n v="1"/>
    <n v="1"/>
  </r>
  <r>
    <m/>
    <m/>
    <x v="1"/>
    <s v="38907178001004"/>
    <n v="-15.61"/>
    <n v="398"/>
    <n v="1"/>
    <n v="1"/>
  </r>
  <r>
    <m/>
    <m/>
    <x v="1"/>
    <s v="38911036001003"/>
    <n v="-49.01"/>
    <n v="1250"/>
    <n v="1"/>
    <n v="1"/>
  </r>
  <r>
    <m/>
    <m/>
    <x v="1"/>
    <s v="39388823001005"/>
    <n v="-25.8"/>
    <n v="658"/>
    <n v="1"/>
    <n v="1"/>
  </r>
  <r>
    <m/>
    <m/>
    <x v="1"/>
    <s v="39398603002003"/>
    <n v="-74.260000000000005"/>
    <n v="1894"/>
    <n v="1"/>
    <n v="1"/>
  </r>
  <r>
    <m/>
    <m/>
    <x v="1"/>
    <s v="39638031005001"/>
    <n v="-0.31"/>
    <n v="8"/>
    <n v="1"/>
    <n v="1"/>
  </r>
  <r>
    <m/>
    <m/>
    <x v="1"/>
    <s v="39832575001004"/>
    <n v="-36.47"/>
    <n v="930"/>
    <n v="1"/>
    <n v="1"/>
  </r>
  <r>
    <m/>
    <m/>
    <x v="1"/>
    <s v="39857500001003"/>
    <n v="-41.95"/>
    <n v="1070"/>
    <n v="1"/>
    <n v="1"/>
  </r>
  <r>
    <m/>
    <m/>
    <x v="1"/>
    <s v="40009788001009"/>
    <n v="-75.09"/>
    <n v="1915"/>
    <n v="1"/>
    <n v="1"/>
  </r>
  <r>
    <m/>
    <m/>
    <x v="1"/>
    <s v="40054017001004"/>
    <n v="-73.75"/>
    <n v="1881"/>
    <n v="1"/>
    <n v="1"/>
  </r>
  <r>
    <m/>
    <m/>
    <x v="1"/>
    <s v="40302520001002"/>
    <n v="-18.04"/>
    <n v="460"/>
    <n v="1"/>
    <n v="1"/>
  </r>
  <r>
    <m/>
    <m/>
    <x v="1"/>
    <s v="40575106001004"/>
    <n v="-54.27"/>
    <n v="1384"/>
    <n v="1"/>
    <n v="1"/>
  </r>
  <r>
    <m/>
    <m/>
    <x v="1"/>
    <s v="40602210001001"/>
    <n v="-37.25"/>
    <n v="950"/>
    <n v="1"/>
    <n v="1"/>
  </r>
  <r>
    <m/>
    <m/>
    <x v="1"/>
    <s v="40799378002001"/>
    <n v="-54.27"/>
    <n v="1384"/>
    <n v="1"/>
    <n v="1"/>
  </r>
  <r>
    <m/>
    <m/>
    <x v="1"/>
    <s v="40819353001002"/>
    <n v="-65.25"/>
    <n v="1664"/>
    <n v="1"/>
    <n v="1"/>
  </r>
  <r>
    <m/>
    <m/>
    <x v="1"/>
    <s v="40913214001003"/>
    <n v="-11.49"/>
    <n v="293"/>
    <n v="1"/>
    <n v="1"/>
  </r>
  <r>
    <m/>
    <m/>
    <x v="1"/>
    <s v="40940003001003"/>
    <n v="-102.61"/>
    <n v="2617"/>
    <n v="1"/>
    <n v="1"/>
  </r>
  <r>
    <m/>
    <m/>
    <x v="1"/>
    <s v="41102044001001"/>
    <n v="-48.35"/>
    <n v="1233"/>
    <n v="1"/>
    <n v="1"/>
  </r>
  <r>
    <m/>
    <m/>
    <x v="1"/>
    <s v="41343811001004"/>
    <n v="-56.34"/>
    <n v="1437"/>
    <n v="1"/>
    <n v="1"/>
  </r>
  <r>
    <m/>
    <m/>
    <x v="1"/>
    <s v="41344855001009"/>
    <n v="-33.64"/>
    <n v="858"/>
    <n v="1"/>
    <n v="1"/>
  </r>
  <r>
    <m/>
    <m/>
    <x v="1"/>
    <s v="41547810001001"/>
    <n v="-23.72"/>
    <n v="605"/>
    <n v="1"/>
    <n v="1"/>
  </r>
  <r>
    <m/>
    <m/>
    <x v="1"/>
    <s v="41568295001001"/>
    <n v="-113.87"/>
    <n v="2904"/>
    <n v="1"/>
    <n v="1"/>
  </r>
  <r>
    <m/>
    <m/>
    <x v="1"/>
    <s v="41586223005001"/>
    <n v="-171.9"/>
    <n v="4384"/>
    <n v="1"/>
    <n v="1"/>
  </r>
  <r>
    <m/>
    <m/>
    <x v="1"/>
    <s v="41690888001001"/>
    <n v="-6.27"/>
    <n v="160"/>
    <n v="1"/>
    <n v="1"/>
  </r>
  <r>
    <m/>
    <m/>
    <x v="1"/>
    <s v="41731451001005"/>
    <n v="-7.25"/>
    <n v="185"/>
    <n v="1"/>
    <n v="1"/>
  </r>
  <r>
    <m/>
    <m/>
    <x v="1"/>
    <s v="41809389001005"/>
    <n v="-94.03"/>
    <n v="2398"/>
    <n v="1"/>
    <n v="1"/>
  </r>
  <r>
    <m/>
    <m/>
    <x v="1"/>
    <s v="41836630001003"/>
    <n v="-43.64"/>
    <n v="1113"/>
    <n v="1"/>
    <n v="1"/>
  </r>
  <r>
    <m/>
    <m/>
    <x v="1"/>
    <s v="41921625002001"/>
    <n v="-201.38"/>
    <n v="5136"/>
    <n v="1"/>
    <n v="1"/>
  </r>
  <r>
    <m/>
    <m/>
    <x v="1"/>
    <s v="41938265001001"/>
    <n v="-80.89"/>
    <n v="2063"/>
    <n v="1"/>
    <n v="1"/>
  </r>
  <r>
    <m/>
    <m/>
    <x v="1"/>
    <s v="41950346001005"/>
    <n v="-14.19"/>
    <n v="362"/>
    <n v="1"/>
    <n v="1"/>
  </r>
  <r>
    <m/>
    <m/>
    <x v="1"/>
    <s v="42046814001001"/>
    <n v="-40.74"/>
    <n v="1039"/>
    <n v="1"/>
    <n v="1"/>
  </r>
  <r>
    <m/>
    <m/>
    <x v="1"/>
    <s v="42066880001001"/>
    <n v="-26.86"/>
    <n v="685"/>
    <n v="1"/>
    <n v="1"/>
  </r>
  <r>
    <m/>
    <m/>
    <x v="1"/>
    <s v="42453517001001"/>
    <n v="-56.07"/>
    <n v="1430"/>
    <n v="1"/>
    <n v="1"/>
  </r>
  <r>
    <m/>
    <m/>
    <x v="1"/>
    <s v="42490701001001"/>
    <n v="-7.96"/>
    <n v="203"/>
    <n v="1"/>
    <n v="1"/>
  </r>
  <r>
    <m/>
    <m/>
    <x v="1"/>
    <s v="42502321001005"/>
    <n v="-21.06"/>
    <n v="537"/>
    <n v="1"/>
    <n v="1"/>
  </r>
  <r>
    <m/>
    <m/>
    <x v="1"/>
    <s v="42503511001002"/>
    <n v="-55.25"/>
    <n v="1409"/>
    <n v="1"/>
    <n v="1"/>
  </r>
  <r>
    <m/>
    <m/>
    <x v="1"/>
    <s v="42503651001002"/>
    <n v="-51.21"/>
    <n v="1306"/>
    <n v="1"/>
    <n v="1"/>
  </r>
  <r>
    <m/>
    <m/>
    <x v="1"/>
    <s v="42507081005002"/>
    <n v="-64.23"/>
    <n v="1638"/>
    <n v="1"/>
    <n v="1"/>
  </r>
  <r>
    <m/>
    <m/>
    <x v="1"/>
    <s v="42515551001011"/>
    <n v="-25.68"/>
    <n v="655"/>
    <n v="1"/>
    <n v="1"/>
  </r>
  <r>
    <m/>
    <m/>
    <x v="1"/>
    <s v="42518981005010"/>
    <n v="-25.53"/>
    <n v="651"/>
    <n v="1"/>
    <n v="1"/>
  </r>
  <r>
    <m/>
    <m/>
    <x v="1"/>
    <s v="42523746002001"/>
    <n v="-81.91"/>
    <n v="2089"/>
    <n v="1"/>
    <n v="1"/>
  </r>
  <r>
    <m/>
    <m/>
    <x v="1"/>
    <s v="42533821001001"/>
    <n v="-44.66"/>
    <n v="1139"/>
    <n v="1"/>
    <n v="1"/>
  </r>
  <r>
    <m/>
    <m/>
    <x v="1"/>
    <s v="42535011001002"/>
    <n v="-16.47"/>
    <n v="420"/>
    <n v="1"/>
    <n v="1"/>
  </r>
  <r>
    <m/>
    <m/>
    <x v="1"/>
    <s v="42543901001001"/>
    <n v="-83.01"/>
    <n v="2117"/>
    <n v="1"/>
    <n v="1"/>
  </r>
  <r>
    <m/>
    <m/>
    <x v="1"/>
    <s v="42569591004003"/>
    <n v="-26.15"/>
    <n v="667"/>
    <n v="1"/>
    <n v="1"/>
  </r>
  <r>
    <m/>
    <m/>
    <x v="1"/>
    <s v="42599481001004"/>
    <n v="-25.37"/>
    <n v="647"/>
    <n v="1"/>
    <n v="1"/>
  </r>
  <r>
    <m/>
    <m/>
    <x v="1"/>
    <s v="42627831001003"/>
    <n v="-6.16"/>
    <n v="157"/>
    <n v="1"/>
    <n v="1"/>
  </r>
  <r>
    <m/>
    <m/>
    <x v="1"/>
    <s v="42637141001007"/>
    <n v="-67.209999999999994"/>
    <n v="1714"/>
    <n v="1"/>
    <n v="1"/>
  </r>
  <r>
    <m/>
    <m/>
    <x v="1"/>
    <s v="42640641001001"/>
    <n v="-119.2"/>
    <n v="3040"/>
    <n v="1"/>
    <n v="1"/>
  </r>
  <r>
    <m/>
    <m/>
    <x v="1"/>
    <s v="42640711003001"/>
    <n v="-57.25"/>
    <n v="1460"/>
    <n v="1"/>
    <n v="1"/>
  </r>
  <r>
    <m/>
    <m/>
    <x v="1"/>
    <s v="42646171001006"/>
    <n v="-33.090000000000003"/>
    <n v="844"/>
    <n v="1"/>
    <n v="1"/>
  </r>
  <r>
    <m/>
    <m/>
    <x v="1"/>
    <s v="42653101001002"/>
    <n v="-25.57"/>
    <n v="652"/>
    <n v="2"/>
    <n v="1"/>
  </r>
  <r>
    <m/>
    <m/>
    <x v="1"/>
    <s v="42653661001001"/>
    <n v="-23.29"/>
    <n v="594"/>
    <n v="1"/>
    <n v="1"/>
  </r>
  <r>
    <m/>
    <m/>
    <x v="1"/>
    <s v="42653801001002"/>
    <n v="-10.63"/>
    <n v="271"/>
    <n v="1"/>
    <n v="1"/>
  </r>
  <r>
    <m/>
    <m/>
    <x v="1"/>
    <s v="42662971001011"/>
    <n v="-101.36"/>
    <n v="2585"/>
    <n v="1"/>
    <n v="1"/>
  </r>
  <r>
    <m/>
    <m/>
    <x v="1"/>
    <s v="42671651001004"/>
    <n v="-14.27"/>
    <n v="364"/>
    <n v="1"/>
    <n v="1"/>
  </r>
  <r>
    <m/>
    <m/>
    <x v="1"/>
    <s v="42689921004001"/>
    <n v="-74.77"/>
    <n v="1907"/>
    <n v="1"/>
    <n v="1"/>
  </r>
  <r>
    <m/>
    <m/>
    <x v="1"/>
    <s v="42717921001003"/>
    <n v="-110.96"/>
    <n v="2830"/>
    <n v="1"/>
    <n v="1"/>
  </r>
  <r>
    <m/>
    <m/>
    <x v="1"/>
    <s v="42734931001007"/>
    <n v="-38.11"/>
    <n v="972"/>
    <n v="1"/>
    <n v="1"/>
  </r>
  <r>
    <m/>
    <m/>
    <x v="1"/>
    <s v="42740811001004"/>
    <n v="-42.19"/>
    <n v="1076"/>
    <n v="1"/>
    <n v="1"/>
  </r>
  <r>
    <m/>
    <m/>
    <x v="1"/>
    <s v="42753761003001"/>
    <n v="-36.74"/>
    <n v="937"/>
    <n v="1"/>
    <n v="1"/>
  </r>
  <r>
    <m/>
    <m/>
    <x v="1"/>
    <s v="42811861001001"/>
    <n v="-86.77"/>
    <n v="2213"/>
    <n v="1"/>
    <n v="1"/>
  </r>
  <r>
    <m/>
    <m/>
    <x v="1"/>
    <s v="42829781003005"/>
    <n v="-13.06"/>
    <n v="333"/>
    <n v="1"/>
    <n v="1"/>
  </r>
  <r>
    <m/>
    <m/>
    <x v="1"/>
    <s v="42837831001001"/>
    <n v="-3.72"/>
    <n v="95"/>
    <n v="1"/>
    <n v="1"/>
  </r>
  <r>
    <m/>
    <m/>
    <x v="1"/>
    <s v="42858901001003"/>
    <n v="-22.86"/>
    <n v="583"/>
    <n v="1"/>
    <n v="1"/>
  </r>
  <r>
    <m/>
    <m/>
    <x v="1"/>
    <s v="42862751002001"/>
    <n v="-19.21"/>
    <n v="490"/>
    <n v="1"/>
    <n v="1"/>
  </r>
  <r>
    <m/>
    <m/>
    <x v="1"/>
    <s v="43016751001009"/>
    <n v="-29.64"/>
    <n v="756"/>
    <n v="1"/>
    <n v="1"/>
  </r>
  <r>
    <m/>
    <m/>
    <x v="1"/>
    <s v="43024731003001"/>
    <n v="-33.96"/>
    <n v="866"/>
    <n v="1"/>
    <n v="1"/>
  </r>
  <r>
    <m/>
    <m/>
    <x v="1"/>
    <s v="43029771001001"/>
    <n v="-37.090000000000003"/>
    <n v="946"/>
    <n v="1"/>
    <n v="1"/>
  </r>
  <r>
    <m/>
    <m/>
    <x v="1"/>
    <s v="43037331002001"/>
    <n v="-66.849999999999994"/>
    <n v="1705"/>
    <n v="1"/>
    <n v="1"/>
  </r>
  <r>
    <m/>
    <m/>
    <x v="1"/>
    <s v="43037471001001"/>
    <n v="-20.86"/>
    <n v="532"/>
    <n v="1"/>
    <n v="1"/>
  </r>
  <r>
    <m/>
    <m/>
    <x v="1"/>
    <s v="43067921001001"/>
    <n v="-69.95"/>
    <n v="1784"/>
    <n v="1"/>
    <n v="1"/>
  </r>
  <r>
    <m/>
    <m/>
    <x v="1"/>
    <s v="43079401001005"/>
    <n v="-49.6"/>
    <n v="1265"/>
    <n v="1"/>
    <n v="1"/>
  </r>
  <r>
    <m/>
    <m/>
    <x v="1"/>
    <s v="43081641001002"/>
    <n v="-5.0199999999999996"/>
    <n v="128"/>
    <n v="1"/>
    <n v="1"/>
  </r>
  <r>
    <m/>
    <m/>
    <x v="1"/>
    <s v="43103551001002"/>
    <n v="-21.96"/>
    <n v="560"/>
    <n v="1"/>
    <n v="1"/>
  </r>
  <r>
    <m/>
    <m/>
    <x v="1"/>
    <s v="43210791001004"/>
    <n v="-8.9"/>
    <n v="227"/>
    <n v="1"/>
    <n v="1"/>
  </r>
  <r>
    <m/>
    <m/>
    <x v="1"/>
    <s v="43219471001003"/>
    <n v="-32.9"/>
    <n v="839"/>
    <n v="1"/>
    <n v="1"/>
  </r>
  <r>
    <m/>
    <m/>
    <x v="1"/>
    <s v="43225001001001"/>
    <n v="-67.52"/>
    <n v="1722"/>
    <n v="1"/>
    <n v="1"/>
  </r>
  <r>
    <m/>
    <m/>
    <x v="1"/>
    <s v="43239421002001"/>
    <n v="-53.48"/>
    <n v="1364"/>
    <n v="1"/>
    <n v="1"/>
  </r>
  <r>
    <m/>
    <m/>
    <x v="1"/>
    <s v="43245091005003"/>
    <n v="-87.79"/>
    <n v="2239"/>
    <n v="1"/>
    <n v="1"/>
  </r>
  <r>
    <m/>
    <m/>
    <x v="1"/>
    <s v="43261541001001"/>
    <n v="-65.209999999999994"/>
    <n v="1663"/>
    <n v="1"/>
    <n v="1"/>
  </r>
  <r>
    <m/>
    <m/>
    <x v="1"/>
    <s v="43262451002003"/>
    <n v="-36.5"/>
    <n v="931"/>
    <n v="1"/>
    <n v="1"/>
  </r>
  <r>
    <m/>
    <m/>
    <x v="1"/>
    <s v="43282051003001"/>
    <n v="-19.489999999999998"/>
    <n v="497"/>
    <n v="1"/>
    <n v="1"/>
  </r>
  <r>
    <m/>
    <m/>
    <x v="1"/>
    <s v="43285971001002"/>
    <n v="-2.5499999999999998"/>
    <n v="65"/>
    <n v="1"/>
    <n v="1"/>
  </r>
  <r>
    <m/>
    <m/>
    <x v="1"/>
    <s v="43301371002001"/>
    <n v="-19.8"/>
    <n v="505"/>
    <n v="1"/>
    <n v="1"/>
  </r>
  <r>
    <m/>
    <m/>
    <x v="1"/>
    <s v="43330105002001"/>
    <n v="-209.22"/>
    <n v="5336"/>
    <n v="1"/>
    <n v="1"/>
  </r>
  <r>
    <m/>
    <m/>
    <x v="1"/>
    <s v="43334201001001"/>
    <n v="-73.75"/>
    <n v="1881"/>
    <n v="1"/>
    <n v="1"/>
  </r>
  <r>
    <m/>
    <m/>
    <x v="1"/>
    <s v="43347711001001"/>
    <n v="-90.81"/>
    <n v="2316"/>
    <n v="1"/>
    <n v="1"/>
  </r>
  <r>
    <m/>
    <m/>
    <x v="1"/>
    <s v="43386911002002"/>
    <n v="-76.3"/>
    <n v="1946"/>
    <n v="1"/>
    <n v="1"/>
  </r>
  <r>
    <m/>
    <m/>
    <x v="1"/>
    <s v="43415471005001"/>
    <n v="-102.49"/>
    <n v="2614"/>
    <n v="1"/>
    <n v="1"/>
  </r>
  <r>
    <m/>
    <m/>
    <x v="1"/>
    <s v="43530621001001"/>
    <n v="-182.56"/>
    <n v="4656"/>
    <n v="1"/>
    <n v="1"/>
  </r>
  <r>
    <m/>
    <m/>
    <x v="1"/>
    <s v="43661996001002"/>
    <n v="-67.87"/>
    <n v="1731"/>
    <n v="1"/>
    <n v="1"/>
  </r>
  <r>
    <m/>
    <m/>
    <x v="1"/>
    <s v="43665824001005"/>
    <n v="-27.84"/>
    <n v="710"/>
    <n v="1"/>
    <n v="1"/>
  </r>
  <r>
    <m/>
    <m/>
    <x v="1"/>
    <s v="43678461001003"/>
    <n v="-18.510000000000002"/>
    <n v="472"/>
    <n v="1"/>
    <n v="1"/>
  </r>
  <r>
    <m/>
    <m/>
    <x v="1"/>
    <s v="43688479001001"/>
    <n v="-42.58"/>
    <n v="1086"/>
    <n v="1"/>
    <n v="1"/>
  </r>
  <r>
    <m/>
    <m/>
    <x v="1"/>
    <s v="43718571001006"/>
    <n v="-11.33"/>
    <n v="289"/>
    <n v="1"/>
    <n v="1"/>
  </r>
  <r>
    <m/>
    <m/>
    <x v="1"/>
    <s v="43721161001001"/>
    <n v="-104.46"/>
    <n v="2664"/>
    <n v="1"/>
    <n v="1"/>
  </r>
  <r>
    <m/>
    <m/>
    <x v="1"/>
    <s v="43736211001004"/>
    <n v="-46.39"/>
    <n v="1183"/>
    <n v="1"/>
    <n v="1"/>
  </r>
  <r>
    <m/>
    <m/>
    <x v="1"/>
    <s v="43742651001007"/>
    <n v="-3.37"/>
    <n v="86"/>
    <n v="1"/>
    <n v="1"/>
  </r>
  <r>
    <m/>
    <m/>
    <x v="1"/>
    <s v="43784132001001"/>
    <n v="-116.14"/>
    <n v="2962"/>
    <n v="1"/>
    <n v="1"/>
  </r>
  <r>
    <m/>
    <m/>
    <x v="1"/>
    <s v="43784151001001"/>
    <n v="-44.74"/>
    <n v="1141"/>
    <n v="1"/>
    <n v="1"/>
  </r>
  <r>
    <m/>
    <m/>
    <x v="1"/>
    <s v="43801381001001"/>
    <n v="-92.65"/>
    <n v="2363"/>
    <n v="1"/>
    <n v="1"/>
  </r>
  <r>
    <m/>
    <m/>
    <x v="1"/>
    <s v="43823991001001"/>
    <n v="-44.39"/>
    <n v="1132"/>
    <n v="1"/>
    <n v="1"/>
  </r>
  <r>
    <m/>
    <m/>
    <x v="1"/>
    <s v="43924371003001"/>
    <n v="-32.47"/>
    <n v="828"/>
    <n v="1"/>
    <n v="1"/>
  </r>
  <r>
    <m/>
    <m/>
    <x v="1"/>
    <s v="43928151001002"/>
    <n v="-66.42"/>
    <n v="1694"/>
    <n v="1"/>
    <n v="1"/>
  </r>
  <r>
    <m/>
    <m/>
    <x v="1"/>
    <s v="43981430001003"/>
    <n v="-23.53"/>
    <n v="600"/>
    <n v="1"/>
    <n v="1"/>
  </r>
  <r>
    <m/>
    <m/>
    <x v="1"/>
    <s v="43992657001001"/>
    <n v="-54.42"/>
    <n v="1388"/>
    <n v="1"/>
    <n v="1"/>
  </r>
  <r>
    <m/>
    <m/>
    <x v="1"/>
    <s v="43997887009001"/>
    <n v="-114.65"/>
    <n v="2924"/>
    <n v="1"/>
    <n v="1"/>
  </r>
  <r>
    <m/>
    <m/>
    <x v="1"/>
    <s v="44017401001003"/>
    <n v="-79.16"/>
    <n v="2019"/>
    <n v="1"/>
    <n v="1"/>
  </r>
  <r>
    <m/>
    <m/>
    <x v="1"/>
    <s v="44035671002001"/>
    <n v="-46.74"/>
    <n v="1192"/>
    <n v="1"/>
    <n v="1"/>
  </r>
  <r>
    <m/>
    <m/>
    <x v="1"/>
    <s v="44070041001001"/>
    <n v="-118.73"/>
    <n v="3028"/>
    <n v="1"/>
    <n v="1"/>
  </r>
  <r>
    <m/>
    <m/>
    <x v="1"/>
    <s v="44095871001001"/>
    <n v="-171.35"/>
    <n v="4370"/>
    <n v="1"/>
    <n v="1"/>
  </r>
  <r>
    <m/>
    <m/>
    <x v="1"/>
    <s v="44133601001001"/>
    <n v="-146.88"/>
    <n v="3746"/>
    <n v="1"/>
    <n v="1"/>
  </r>
  <r>
    <m/>
    <m/>
    <x v="1"/>
    <s v="44172520001001"/>
    <n v="-90.97"/>
    <n v="2320"/>
    <n v="1"/>
    <n v="1"/>
  </r>
  <r>
    <m/>
    <m/>
    <x v="1"/>
    <s v="44198701001002"/>
    <n v="-134.37"/>
    <n v="3427"/>
    <n v="1"/>
    <n v="1"/>
  </r>
  <r>
    <m/>
    <m/>
    <x v="1"/>
    <s v="44200871001010"/>
    <n v="-32.9"/>
    <n v="839"/>
    <n v="1"/>
    <n v="1"/>
  </r>
  <r>
    <m/>
    <m/>
    <x v="1"/>
    <s v="44235381001002"/>
    <n v="-50.86"/>
    <n v="1297"/>
    <n v="1"/>
    <n v="1"/>
  </r>
  <r>
    <m/>
    <m/>
    <x v="1"/>
    <s v="44237551001002"/>
    <n v="-80.58"/>
    <n v="2055"/>
    <n v="1"/>
    <n v="1"/>
  </r>
  <r>
    <m/>
    <m/>
    <x v="1"/>
    <s v="44257565001004"/>
    <n v="-7.92"/>
    <n v="202"/>
    <n v="1"/>
    <n v="1"/>
  </r>
  <r>
    <m/>
    <m/>
    <x v="1"/>
    <s v="44271641001001"/>
    <n v="-22.27"/>
    <n v="568"/>
    <n v="1"/>
    <n v="1"/>
  </r>
  <r>
    <m/>
    <m/>
    <x v="1"/>
    <s v="44286551002002"/>
    <n v="-92.14"/>
    <n v="2350"/>
    <n v="1"/>
    <n v="1"/>
  </r>
  <r>
    <m/>
    <m/>
    <x v="1"/>
    <s v="44293551003001"/>
    <n v="-75.91"/>
    <n v="1936"/>
    <n v="1"/>
    <n v="1"/>
  </r>
  <r>
    <m/>
    <m/>
    <x v="1"/>
    <s v="44318891001003"/>
    <n v="-9.61"/>
    <n v="245"/>
    <n v="1"/>
    <n v="1"/>
  </r>
  <r>
    <m/>
    <m/>
    <x v="1"/>
    <s v="44327781001003"/>
    <n v="-21.6"/>
    <n v="551"/>
    <n v="1"/>
    <n v="1"/>
  </r>
  <r>
    <m/>
    <m/>
    <x v="1"/>
    <s v="44340381001001"/>
    <n v="-91.05"/>
    <n v="2322"/>
    <n v="1"/>
    <n v="1"/>
  </r>
  <r>
    <m/>
    <m/>
    <x v="1"/>
    <s v="44365721001001"/>
    <n v="-58.34"/>
    <n v="1488"/>
    <n v="1"/>
    <n v="1"/>
  </r>
  <r>
    <m/>
    <m/>
    <x v="1"/>
    <s v="44389521001001"/>
    <n v="-58.54"/>
    <n v="1493"/>
    <n v="1"/>
    <n v="1"/>
  </r>
  <r>
    <m/>
    <m/>
    <x v="1"/>
    <s v="44423891001003"/>
    <n v="-38.11"/>
    <n v="972"/>
    <n v="1"/>
    <n v="1"/>
  </r>
  <r>
    <m/>
    <m/>
    <x v="1"/>
    <s v="44442320001003"/>
    <n v="-75.44"/>
    <n v="1924"/>
    <n v="1"/>
    <n v="1"/>
  </r>
  <r>
    <m/>
    <m/>
    <x v="1"/>
    <s v="44445801002001"/>
    <n v="-109.4"/>
    <n v="2790"/>
    <n v="1"/>
    <n v="1"/>
  </r>
  <r>
    <m/>
    <m/>
    <x v="1"/>
    <s v="44484511001002"/>
    <n v="-40.86"/>
    <n v="1042"/>
    <n v="1"/>
    <n v="1"/>
  </r>
  <r>
    <m/>
    <m/>
    <x v="1"/>
    <s v="44490601001001"/>
    <n v="-55.25"/>
    <n v="1409"/>
    <n v="1"/>
    <n v="1"/>
  </r>
  <r>
    <m/>
    <m/>
    <x v="1"/>
    <s v="44502641001003"/>
    <n v="-127.63"/>
    <n v="3255"/>
    <n v="1"/>
    <n v="1"/>
  </r>
  <r>
    <m/>
    <m/>
    <x v="1"/>
    <s v="44525601001001"/>
    <n v="-71.44"/>
    <n v="1822"/>
    <n v="1"/>
    <n v="1"/>
  </r>
  <r>
    <m/>
    <m/>
    <x v="1"/>
    <s v="44545061002001"/>
    <n v="-40.270000000000003"/>
    <n v="1027"/>
    <n v="1"/>
    <n v="1"/>
  </r>
  <r>
    <m/>
    <m/>
    <x v="1"/>
    <s v="44560811001004"/>
    <n v="-52.27"/>
    <n v="1333"/>
    <n v="1"/>
    <n v="1"/>
  </r>
  <r>
    <m/>
    <m/>
    <x v="1"/>
    <s v="44574881001005"/>
    <n v="-103.24"/>
    <n v="2633"/>
    <n v="1"/>
    <n v="1"/>
  </r>
  <r>
    <m/>
    <m/>
    <x v="1"/>
    <s v="44603651002001"/>
    <n v="-133.51"/>
    <n v="3405"/>
    <n v="1"/>
    <n v="1"/>
  </r>
  <r>
    <m/>
    <m/>
    <x v="1"/>
    <s v="44617161001001"/>
    <n v="-59.36"/>
    <n v="1514"/>
    <n v="1"/>
    <n v="1"/>
  </r>
  <r>
    <m/>
    <m/>
    <x v="1"/>
    <s v="44617721001003"/>
    <n v="-50.03"/>
    <n v="1276"/>
    <n v="1"/>
    <n v="1"/>
  </r>
  <r>
    <m/>
    <m/>
    <x v="1"/>
    <s v="44686531002001"/>
    <n v="-13.68"/>
    <n v="349"/>
    <n v="1"/>
    <n v="1"/>
  </r>
  <r>
    <m/>
    <m/>
    <x v="1"/>
    <s v="44688351001001"/>
    <n v="-19.53"/>
    <n v="498"/>
    <n v="1"/>
    <n v="1"/>
  </r>
  <r>
    <m/>
    <m/>
    <x v="1"/>
    <s v="44688771001005"/>
    <n v="-132.88"/>
    <n v="3389"/>
    <n v="1"/>
    <n v="1"/>
  </r>
  <r>
    <m/>
    <m/>
    <x v="1"/>
    <s v="44706621001001"/>
    <n v="-27.53"/>
    <n v="702"/>
    <n v="1"/>
    <n v="1"/>
  </r>
  <r>
    <m/>
    <m/>
    <x v="1"/>
    <s v="44717821001014"/>
    <n v="-22.27"/>
    <n v="568"/>
    <n v="1"/>
    <n v="1"/>
  </r>
  <r>
    <m/>
    <m/>
    <x v="1"/>
    <s v="44736744001004"/>
    <n v="-17.37"/>
    <n v="443"/>
    <n v="1"/>
    <n v="1"/>
  </r>
  <r>
    <m/>
    <m/>
    <x v="1"/>
    <s v="44770041002001"/>
    <n v="-39.840000000000003"/>
    <n v="1016"/>
    <n v="1"/>
    <n v="1"/>
  </r>
  <r>
    <m/>
    <m/>
    <x v="1"/>
    <s v="44773681001001"/>
    <n v="-75.2"/>
    <n v="1918"/>
    <n v="1"/>
    <n v="1"/>
  </r>
  <r>
    <m/>
    <m/>
    <x v="1"/>
    <s v="44774521001002"/>
    <n v="-71.010000000000005"/>
    <n v="1811"/>
    <n v="1"/>
    <n v="1"/>
  </r>
  <r>
    <m/>
    <m/>
    <x v="1"/>
    <s v="44781521001003"/>
    <n v="-99.95"/>
    <n v="2549"/>
    <n v="1"/>
    <n v="1"/>
  </r>
  <r>
    <m/>
    <m/>
    <x v="1"/>
    <s v="44789781001001"/>
    <n v="-72.38"/>
    <n v="1846"/>
    <n v="1"/>
    <n v="1"/>
  </r>
  <r>
    <m/>
    <m/>
    <x v="1"/>
    <s v="44804971001001"/>
    <n v="-20.23"/>
    <n v="516"/>
    <n v="1"/>
    <n v="1"/>
  </r>
  <r>
    <m/>
    <m/>
    <x v="1"/>
    <s v="44808191002002"/>
    <n v="-142.33000000000001"/>
    <n v="3630"/>
    <n v="1"/>
    <n v="1"/>
  </r>
  <r>
    <m/>
    <m/>
    <x v="1"/>
    <s v="44839691002002"/>
    <n v="-9.2899999999999991"/>
    <n v="237"/>
    <n v="1"/>
    <n v="1"/>
  </r>
  <r>
    <m/>
    <m/>
    <x v="1"/>
    <s v="44843401002001"/>
    <n v="-51.29"/>
    <n v="1308"/>
    <n v="1"/>
    <n v="1"/>
  </r>
  <r>
    <m/>
    <m/>
    <x v="1"/>
    <s v="44875461001001"/>
    <n v="-32.43"/>
    <n v="827"/>
    <n v="1"/>
    <n v="1"/>
  </r>
  <r>
    <m/>
    <m/>
    <x v="1"/>
    <s v="44881201001001"/>
    <n v="-58.5"/>
    <n v="1492"/>
    <n v="1"/>
    <n v="1"/>
  </r>
  <r>
    <m/>
    <m/>
    <x v="1"/>
    <s v="44881551001001"/>
    <n v="-56.46"/>
    <n v="1440"/>
    <n v="1"/>
    <n v="1"/>
  </r>
  <r>
    <m/>
    <m/>
    <x v="1"/>
    <s v="44896251001001"/>
    <n v="-67.28"/>
    <n v="1716"/>
    <n v="1"/>
    <n v="1"/>
  </r>
  <r>
    <m/>
    <m/>
    <x v="1"/>
    <s v="44898175001005"/>
    <n v="-81.790000000000006"/>
    <n v="2086"/>
    <n v="1"/>
    <n v="1"/>
  </r>
  <r>
    <m/>
    <m/>
    <x v="1"/>
    <s v="44898351001001"/>
    <n v="-63.91"/>
    <n v="1630"/>
    <n v="1"/>
    <n v="1"/>
  </r>
  <r>
    <m/>
    <m/>
    <x v="1"/>
    <s v="44935871001004"/>
    <n v="-15.76"/>
    <n v="402"/>
    <n v="1"/>
    <n v="1"/>
  </r>
  <r>
    <m/>
    <m/>
    <x v="1"/>
    <s v="44955261001002"/>
    <n v="-103.91"/>
    <n v="2650"/>
    <n v="1"/>
    <n v="1"/>
  </r>
  <r>
    <m/>
    <m/>
    <x v="1"/>
    <s v="44959251002002"/>
    <n v="-58.82"/>
    <n v="1500"/>
    <n v="1"/>
    <n v="1"/>
  </r>
  <r>
    <m/>
    <m/>
    <x v="1"/>
    <s v="44970917001001"/>
    <n v="-38.35"/>
    <n v="978"/>
    <n v="1"/>
    <n v="1"/>
  </r>
  <r>
    <m/>
    <m/>
    <x v="1"/>
    <s v="44976331003006"/>
    <n v="-23.68"/>
    <n v="604"/>
    <n v="1"/>
    <n v="1"/>
  </r>
  <r>
    <m/>
    <m/>
    <x v="1"/>
    <s v="44983051001001"/>
    <n v="-68.03"/>
    <n v="1735"/>
    <n v="1"/>
    <n v="1"/>
  </r>
  <r>
    <m/>
    <m/>
    <x v="1"/>
    <s v="44995807001001"/>
    <n v="-16.739999999999998"/>
    <n v="427"/>
    <n v="1"/>
    <n v="1"/>
  </r>
  <r>
    <m/>
    <m/>
    <x v="1"/>
    <s v="45016581002001"/>
    <n v="-51.64"/>
    <n v="1317"/>
    <n v="1"/>
    <n v="1"/>
  </r>
  <r>
    <m/>
    <m/>
    <x v="1"/>
    <s v="45020011002001"/>
    <n v="-38.5"/>
    <n v="982"/>
    <n v="1"/>
    <n v="1"/>
  </r>
  <r>
    <m/>
    <m/>
    <x v="1"/>
    <s v="45022671002001"/>
    <n v="-95.24"/>
    <n v="2429"/>
    <n v="1"/>
    <n v="1"/>
  </r>
  <r>
    <m/>
    <m/>
    <x v="1"/>
    <s v="45023091001001"/>
    <n v="-19.45"/>
    <n v="496"/>
    <n v="1"/>
    <n v="1"/>
  </r>
  <r>
    <m/>
    <m/>
    <x v="1"/>
    <s v="45028411001001"/>
    <n v="-50.78"/>
    <n v="1295"/>
    <n v="1"/>
    <n v="1"/>
  </r>
  <r>
    <m/>
    <m/>
    <x v="1"/>
    <s v="45032471001003"/>
    <n v="-124.69"/>
    <n v="3180"/>
    <n v="1"/>
    <n v="1"/>
  </r>
  <r>
    <m/>
    <m/>
    <x v="1"/>
    <s v="45035075001001"/>
    <n v="-124.73"/>
    <n v="3181"/>
    <n v="1"/>
    <n v="1"/>
  </r>
  <r>
    <m/>
    <m/>
    <x v="1"/>
    <s v="45058426001008"/>
    <n v="-49.99"/>
    <n v="1275"/>
    <n v="1"/>
    <n v="1"/>
  </r>
  <r>
    <m/>
    <m/>
    <x v="1"/>
    <s v="45064461001001"/>
    <n v="-76.73"/>
    <n v="1957"/>
    <n v="1"/>
    <n v="1"/>
  </r>
  <r>
    <m/>
    <m/>
    <x v="1"/>
    <s v="45064531001001"/>
    <n v="-52.78"/>
    <n v="1346"/>
    <n v="1"/>
    <n v="1"/>
  </r>
  <r>
    <m/>
    <m/>
    <x v="1"/>
    <s v="45064881001001"/>
    <n v="-131.51"/>
    <n v="3354"/>
    <n v="1"/>
    <n v="1"/>
  </r>
  <r>
    <m/>
    <m/>
    <x v="1"/>
    <s v="45068661003001"/>
    <n v="-52.74"/>
    <n v="1345"/>
    <n v="1"/>
    <n v="1"/>
  </r>
  <r>
    <m/>
    <m/>
    <x v="1"/>
    <s v="45072511001002"/>
    <n v="-52.74"/>
    <n v="1345"/>
    <n v="1"/>
    <n v="1"/>
  </r>
  <r>
    <m/>
    <m/>
    <x v="1"/>
    <s v="45073281001004"/>
    <n v="-95.12"/>
    <n v="2426"/>
    <n v="1"/>
    <n v="1"/>
  </r>
  <r>
    <m/>
    <m/>
    <x v="1"/>
    <s v="45074541002003"/>
    <n v="-56.19"/>
    <n v="1433"/>
    <n v="1"/>
    <n v="1"/>
  </r>
  <r>
    <m/>
    <m/>
    <x v="1"/>
    <s v="45077271001001"/>
    <n v="-14.27"/>
    <n v="364"/>
    <n v="1"/>
    <n v="1"/>
  </r>
  <r>
    <m/>
    <m/>
    <x v="1"/>
    <s v="45091654002003"/>
    <n v="-83.28"/>
    <n v="2124"/>
    <n v="1"/>
    <n v="1"/>
  </r>
  <r>
    <m/>
    <m/>
    <x v="1"/>
    <s v="45101911002002"/>
    <n v="-55.4"/>
    <n v="1413"/>
    <n v="1"/>
    <n v="1"/>
  </r>
  <r>
    <m/>
    <m/>
    <x v="1"/>
    <s v="45119621001001"/>
    <n v="-72.11"/>
    <n v="1839"/>
    <n v="1"/>
    <n v="1"/>
  </r>
  <r>
    <m/>
    <m/>
    <x v="1"/>
    <s v="45120321002003"/>
    <n v="-66.739999999999995"/>
    <n v="1702"/>
    <n v="1"/>
    <n v="1"/>
  </r>
  <r>
    <m/>
    <m/>
    <x v="1"/>
    <s v="45124731002005"/>
    <n v="-47.48"/>
    <n v="1211"/>
    <n v="1"/>
    <n v="1"/>
  </r>
  <r>
    <m/>
    <m/>
    <x v="1"/>
    <s v="45126411001001"/>
    <n v="-52.54"/>
    <n v="1340"/>
    <n v="1"/>
    <n v="1"/>
  </r>
  <r>
    <m/>
    <m/>
    <x v="1"/>
    <s v="45128931001001"/>
    <n v="-45.52"/>
    <n v="1161"/>
    <n v="1"/>
    <n v="1"/>
  </r>
  <r>
    <m/>
    <m/>
    <x v="1"/>
    <s v="45136421001001"/>
    <n v="-110.65"/>
    <n v="2822"/>
    <n v="1"/>
    <n v="1"/>
  </r>
  <r>
    <m/>
    <m/>
    <x v="1"/>
    <s v="45143631001001"/>
    <n v="-7.1"/>
    <n v="181"/>
    <n v="1"/>
    <n v="1"/>
  </r>
  <r>
    <m/>
    <m/>
    <x v="1"/>
    <s v="45160921001001"/>
    <n v="-61.83"/>
    <n v="1577"/>
    <n v="1"/>
    <n v="1"/>
  </r>
  <r>
    <m/>
    <m/>
    <x v="1"/>
    <s v="45161201003001"/>
    <n v="-42.31"/>
    <n v="1079"/>
    <n v="1"/>
    <n v="1"/>
  </r>
  <r>
    <m/>
    <m/>
    <x v="1"/>
    <s v="45170721001001"/>
    <n v="-81.709999999999994"/>
    <n v="2084"/>
    <n v="1"/>
    <n v="1"/>
  </r>
  <r>
    <m/>
    <m/>
    <x v="1"/>
    <s v="45174711001002"/>
    <n v="-18.55"/>
    <n v="473"/>
    <n v="1"/>
    <n v="1"/>
  </r>
  <r>
    <m/>
    <m/>
    <x v="1"/>
    <s v="45188221002002"/>
    <n v="-73.239999999999995"/>
    <n v="1868"/>
    <n v="1"/>
    <n v="1"/>
  </r>
  <r>
    <m/>
    <m/>
    <x v="1"/>
    <s v="45190531001001"/>
    <n v="-31.09"/>
    <n v="793"/>
    <n v="1"/>
    <n v="1"/>
  </r>
  <r>
    <m/>
    <m/>
    <x v="1"/>
    <s v="45191721001004"/>
    <n v="-48.97"/>
    <n v="1249"/>
    <n v="1"/>
    <n v="1"/>
  </r>
  <r>
    <m/>
    <m/>
    <x v="1"/>
    <s v="45192001001001"/>
    <n v="-68.77"/>
    <n v="1754"/>
    <n v="1"/>
    <n v="1"/>
  </r>
  <r>
    <m/>
    <m/>
    <x v="1"/>
    <s v="45194661001001"/>
    <n v="-40.43"/>
    <n v="1031"/>
    <n v="1"/>
    <n v="1"/>
  </r>
  <r>
    <m/>
    <m/>
    <x v="1"/>
    <s v="45195641001001"/>
    <n v="-80.5"/>
    <n v="2053"/>
    <n v="1"/>
    <n v="1"/>
  </r>
  <r>
    <m/>
    <m/>
    <x v="1"/>
    <s v="45200261001001"/>
    <n v="-18.47"/>
    <n v="471"/>
    <n v="1"/>
    <n v="1"/>
  </r>
  <r>
    <m/>
    <m/>
    <x v="1"/>
    <s v="45204881002001"/>
    <n v="-21.88"/>
    <n v="558"/>
    <n v="1"/>
    <n v="1"/>
  </r>
  <r>
    <m/>
    <m/>
    <x v="1"/>
    <s v="45221093002001"/>
    <n v="-57.95"/>
    <n v="1478"/>
    <n v="1"/>
    <n v="1"/>
  </r>
  <r>
    <m/>
    <m/>
    <x v="1"/>
    <s v="45222165001003"/>
    <n v="-49.52"/>
    <n v="1263"/>
    <n v="1"/>
    <n v="1"/>
  </r>
  <r>
    <m/>
    <m/>
    <x v="1"/>
    <s v="45233441001001"/>
    <n v="-87.44"/>
    <n v="2230"/>
    <n v="1"/>
    <n v="1"/>
  </r>
  <r>
    <m/>
    <m/>
    <x v="1"/>
    <s v="45241140001003"/>
    <n v="-49.44"/>
    <n v="1261"/>
    <n v="1"/>
    <n v="1"/>
  </r>
  <r>
    <m/>
    <m/>
    <x v="1"/>
    <s v="45259201001001"/>
    <n v="-66.260000000000005"/>
    <n v="1690"/>
    <n v="1"/>
    <n v="1"/>
  </r>
  <r>
    <m/>
    <m/>
    <x v="1"/>
    <s v="45324791001001"/>
    <n v="-138.41"/>
    <n v="3530"/>
    <n v="1"/>
    <n v="1"/>
  </r>
  <r>
    <m/>
    <m/>
    <x v="1"/>
    <s v="45329411001001"/>
    <n v="-4.9800000000000004"/>
    <n v="127"/>
    <n v="1"/>
    <n v="1"/>
  </r>
  <r>
    <m/>
    <m/>
    <x v="1"/>
    <s v="45336971001001"/>
    <n v="-4.8600000000000003"/>
    <n v="124"/>
    <n v="1"/>
    <n v="1"/>
  </r>
  <r>
    <m/>
    <m/>
    <x v="1"/>
    <s v="45350901001001"/>
    <n v="-26.35"/>
    <n v="672"/>
    <n v="1"/>
    <n v="1"/>
  </r>
  <r>
    <m/>
    <m/>
    <x v="1"/>
    <s v="45353841001001"/>
    <n v="-54.58"/>
    <n v="1392"/>
    <n v="1"/>
    <n v="1"/>
  </r>
  <r>
    <m/>
    <m/>
    <x v="1"/>
    <s v="45382261001001"/>
    <n v="-97.12"/>
    <n v="2477"/>
    <n v="1"/>
    <n v="1"/>
  </r>
  <r>
    <m/>
    <m/>
    <x v="1"/>
    <s v="45384361001001"/>
    <n v="-91.99"/>
    <n v="2346"/>
    <n v="1"/>
    <n v="1"/>
  </r>
  <r>
    <m/>
    <m/>
    <x v="1"/>
    <s v="45389331002003"/>
    <n v="-16.39"/>
    <n v="418"/>
    <n v="1"/>
    <n v="1"/>
  </r>
  <r>
    <m/>
    <m/>
    <x v="1"/>
    <s v="45390801001001"/>
    <n v="-94.57"/>
    <n v="2412"/>
    <n v="1"/>
    <n v="1"/>
  </r>
  <r>
    <m/>
    <m/>
    <x v="1"/>
    <s v="45395421001001"/>
    <n v="-21.02"/>
    <n v="536"/>
    <n v="1"/>
    <n v="1"/>
  </r>
  <r>
    <m/>
    <m/>
    <x v="1"/>
    <s v="45431568001002"/>
    <n v="-118.77"/>
    <n v="3029"/>
    <n v="1"/>
    <n v="1"/>
  </r>
  <r>
    <m/>
    <m/>
    <x v="1"/>
    <s v="45451701001002"/>
    <n v="-128.41"/>
    <n v="3275"/>
    <n v="1"/>
    <n v="1"/>
  </r>
  <r>
    <m/>
    <m/>
    <x v="1"/>
    <s v="45466051001001"/>
    <n v="-55.13"/>
    <n v="1406"/>
    <n v="1"/>
    <n v="1"/>
  </r>
  <r>
    <m/>
    <m/>
    <x v="1"/>
    <s v="45469341007001"/>
    <n v="-115.12"/>
    <n v="2936"/>
    <n v="1"/>
    <n v="1"/>
  </r>
  <r>
    <m/>
    <m/>
    <x v="1"/>
    <s v="45472001001001"/>
    <n v="-33.520000000000003"/>
    <n v="855"/>
    <n v="1"/>
    <n v="1"/>
  </r>
  <r>
    <m/>
    <m/>
    <x v="1"/>
    <s v="45473261001002"/>
    <n v="-137.51"/>
    <n v="3507"/>
    <n v="1"/>
    <n v="1"/>
  </r>
  <r>
    <m/>
    <m/>
    <x v="1"/>
    <s v="45491181001001"/>
    <n v="-6.51"/>
    <n v="166"/>
    <n v="1"/>
    <n v="1"/>
  </r>
  <r>
    <m/>
    <m/>
    <x v="1"/>
    <s v="45496921001002"/>
    <n v="-33.21"/>
    <n v="847"/>
    <n v="1"/>
    <n v="1"/>
  </r>
  <r>
    <m/>
    <m/>
    <x v="1"/>
    <s v="45503921006001"/>
    <n v="-67.75"/>
    <n v="1728"/>
    <n v="1"/>
    <n v="1"/>
  </r>
  <r>
    <m/>
    <m/>
    <x v="1"/>
    <s v="45512671001001"/>
    <n v="-110.34"/>
    <n v="2814"/>
    <n v="1"/>
    <n v="1"/>
  </r>
  <r>
    <m/>
    <m/>
    <x v="1"/>
    <s v="45513791001001"/>
    <n v="-54.5"/>
    <n v="1390"/>
    <n v="1"/>
    <n v="1"/>
  </r>
  <r>
    <m/>
    <m/>
    <x v="1"/>
    <s v="45518411001001"/>
    <n v="-33.049999999999997"/>
    <n v="843"/>
    <n v="1"/>
    <n v="1"/>
  </r>
  <r>
    <m/>
    <m/>
    <x v="1"/>
    <s v="45525746001005"/>
    <n v="-88.34"/>
    <n v="2253"/>
    <n v="1"/>
    <n v="1"/>
  </r>
  <r>
    <m/>
    <m/>
    <x v="1"/>
    <s v="45526041001005"/>
    <n v="-39.369999999999997"/>
    <n v="1004"/>
    <n v="1"/>
    <n v="1"/>
  </r>
  <r>
    <m/>
    <m/>
    <x v="1"/>
    <s v="45529821001003"/>
    <n v="-4.04"/>
    <n v="103"/>
    <n v="1"/>
    <n v="1"/>
  </r>
  <r>
    <m/>
    <m/>
    <x v="1"/>
    <s v="45532411001003"/>
    <n v="-24.51"/>
    <n v="625"/>
    <n v="1"/>
    <n v="1"/>
  </r>
  <r>
    <m/>
    <m/>
    <x v="1"/>
    <s v="45559221007005"/>
    <n v="-73.87"/>
    <n v="1884"/>
    <n v="1"/>
    <n v="1"/>
  </r>
  <r>
    <m/>
    <m/>
    <x v="1"/>
    <s v="45626771003001"/>
    <n v="-150.37"/>
    <n v="3835"/>
    <n v="1"/>
    <n v="1"/>
  </r>
  <r>
    <m/>
    <m/>
    <x v="1"/>
    <s v="45644831001001"/>
    <n v="-47.76"/>
    <n v="1218"/>
    <n v="1"/>
    <n v="1"/>
  </r>
  <r>
    <m/>
    <m/>
    <x v="1"/>
    <s v="45645881001002"/>
    <n v="-244.51"/>
    <n v="6236"/>
    <n v="1"/>
    <n v="1"/>
  </r>
  <r>
    <m/>
    <m/>
    <x v="1"/>
    <s v="45725261001001"/>
    <n v="-140.49"/>
    <n v="3583"/>
    <n v="1"/>
    <n v="1"/>
  </r>
  <r>
    <m/>
    <m/>
    <x v="1"/>
    <s v="45742621001001"/>
    <n v="-103.83"/>
    <n v="2648"/>
    <n v="1"/>
    <n v="1"/>
  </r>
  <r>
    <m/>
    <m/>
    <x v="1"/>
    <s v="45751371001001"/>
    <n v="-30.11"/>
    <n v="768"/>
    <n v="1"/>
    <n v="1"/>
  </r>
  <r>
    <m/>
    <m/>
    <x v="1"/>
    <s v="45751441001001"/>
    <n v="-5.61"/>
    <n v="143"/>
    <n v="1"/>
    <n v="1"/>
  </r>
  <r>
    <m/>
    <m/>
    <x v="1"/>
    <s v="45755851001001"/>
    <n v="-77.010000000000005"/>
    <n v="1964"/>
    <n v="1"/>
    <n v="1"/>
  </r>
  <r>
    <m/>
    <m/>
    <x v="1"/>
    <s v="45768031001001"/>
    <n v="-76.930000000000007"/>
    <n v="1962"/>
    <n v="1"/>
    <n v="1"/>
  </r>
  <r>
    <m/>
    <m/>
    <x v="1"/>
    <s v="45771181001001"/>
    <n v="-107.75"/>
    <n v="2748"/>
    <n v="1"/>
    <n v="1"/>
  </r>
  <r>
    <m/>
    <m/>
    <x v="1"/>
    <s v="45785601001001"/>
    <n v="-25.45"/>
    <n v="649"/>
    <n v="1"/>
    <n v="1"/>
  </r>
  <r>
    <m/>
    <m/>
    <x v="1"/>
    <s v="45786091001001"/>
    <n v="-140.84"/>
    <n v="3592"/>
    <n v="1"/>
    <n v="1"/>
  </r>
  <r>
    <m/>
    <m/>
    <x v="1"/>
    <s v="45794821001001"/>
    <n v="-3.65"/>
    <n v="93"/>
    <n v="1"/>
    <n v="1"/>
  </r>
  <r>
    <m/>
    <m/>
    <x v="1"/>
    <s v="45799741001002"/>
    <n v="-136.80000000000001"/>
    <n v="3489"/>
    <n v="1"/>
    <n v="1"/>
  </r>
  <r>
    <m/>
    <m/>
    <x v="1"/>
    <s v="45848041001001"/>
    <n v="-132.29"/>
    <n v="3374"/>
    <n v="1"/>
    <n v="1"/>
  </r>
  <r>
    <m/>
    <m/>
    <x v="1"/>
    <s v="45884231001001"/>
    <n v="-125.39"/>
    <n v="3198"/>
    <n v="1"/>
    <n v="1"/>
  </r>
  <r>
    <m/>
    <m/>
    <x v="1"/>
    <s v="45895291003004"/>
    <n v="-223.03"/>
    <n v="5688"/>
    <n v="1"/>
    <n v="1"/>
  </r>
  <r>
    <m/>
    <m/>
    <x v="1"/>
    <s v="45896761002001"/>
    <n v="-36.270000000000003"/>
    <n v="925"/>
    <n v="1"/>
    <n v="1"/>
  </r>
  <r>
    <m/>
    <m/>
    <x v="1"/>
    <s v="45918951003002"/>
    <n v="-45.64"/>
    <n v="1164"/>
    <n v="1"/>
    <n v="1"/>
  </r>
  <r>
    <m/>
    <m/>
    <x v="1"/>
    <s v="45919931008001"/>
    <n v="-63.52"/>
    <n v="1620"/>
    <n v="1"/>
    <n v="1"/>
  </r>
  <r>
    <m/>
    <m/>
    <x v="1"/>
    <s v="45931061001003"/>
    <n v="-97.01"/>
    <n v="2474"/>
    <n v="1"/>
    <n v="1"/>
  </r>
  <r>
    <m/>
    <m/>
    <x v="1"/>
    <s v="45934211002001"/>
    <n v="-85.2"/>
    <n v="2173"/>
    <n v="1"/>
    <n v="1"/>
  </r>
  <r>
    <m/>
    <m/>
    <x v="1"/>
    <s v="45943591002001"/>
    <n v="-27.96"/>
    <n v="713"/>
    <n v="1"/>
    <n v="1"/>
  </r>
  <r>
    <m/>
    <m/>
    <x v="1"/>
    <s v="45996931001002"/>
    <n v="-35.72"/>
    <n v="911"/>
    <n v="1"/>
    <n v="1"/>
  </r>
  <r>
    <m/>
    <m/>
    <x v="1"/>
    <s v="46014571002003"/>
    <n v="-59.36"/>
    <n v="1514"/>
    <n v="1"/>
    <n v="1"/>
  </r>
  <r>
    <m/>
    <m/>
    <x v="1"/>
    <s v="46026754003007"/>
    <n v="-42.82"/>
    <n v="1092"/>
    <n v="1"/>
    <n v="1"/>
  </r>
  <r>
    <m/>
    <m/>
    <x v="1"/>
    <s v="46042851003005"/>
    <n v="-66.81"/>
    <n v="1704"/>
    <n v="1"/>
    <n v="1"/>
  </r>
  <r>
    <m/>
    <m/>
    <x v="1"/>
    <s v="46120971001001"/>
    <n v="-18.47"/>
    <n v="471"/>
    <n v="1"/>
    <n v="1"/>
  </r>
  <r>
    <m/>
    <m/>
    <x v="1"/>
    <s v="46135041001002"/>
    <n v="-122.57"/>
    <n v="3126"/>
    <n v="1"/>
    <n v="1"/>
  </r>
  <r>
    <m/>
    <m/>
    <x v="1"/>
    <s v="46146381001003"/>
    <n v="-90.5"/>
    <n v="2308"/>
    <n v="1"/>
    <n v="1"/>
  </r>
  <r>
    <m/>
    <m/>
    <x v="1"/>
    <s v="46153451002002"/>
    <n v="-42.07"/>
    <n v="1073"/>
    <n v="1"/>
    <n v="1"/>
  </r>
  <r>
    <m/>
    <m/>
    <x v="1"/>
    <s v="46178853001001"/>
    <n v="-4"/>
    <n v="102"/>
    <n v="1"/>
    <n v="1"/>
  </r>
  <r>
    <m/>
    <m/>
    <x v="1"/>
    <s v="46217501012001"/>
    <n v="-18.66"/>
    <n v="476"/>
    <n v="1"/>
    <n v="1"/>
  </r>
  <r>
    <m/>
    <m/>
    <x v="1"/>
    <s v="46246869001009"/>
    <n v="-66.58"/>
    <n v="1698"/>
    <n v="1"/>
    <n v="1"/>
  </r>
  <r>
    <m/>
    <m/>
    <x v="1"/>
    <s v="46246971001001"/>
    <n v="-258.04000000000002"/>
    <n v="6581"/>
    <n v="1"/>
    <n v="1"/>
  </r>
  <r>
    <m/>
    <m/>
    <x v="1"/>
    <s v="46253481001006"/>
    <n v="-25.88"/>
    <n v="660"/>
    <n v="1"/>
    <n v="1"/>
  </r>
  <r>
    <m/>
    <m/>
    <x v="1"/>
    <s v="46289951001001"/>
    <n v="-79.91"/>
    <n v="2038"/>
    <n v="1"/>
    <n v="1"/>
  </r>
  <r>
    <m/>
    <m/>
    <x v="1"/>
    <s v="46322361003003"/>
    <n v="-140.96"/>
    <n v="3595"/>
    <n v="1"/>
    <n v="1"/>
  </r>
  <r>
    <m/>
    <m/>
    <x v="1"/>
    <s v="46327821002001"/>
    <n v="-106.22"/>
    <n v="2709"/>
    <n v="1"/>
    <n v="1"/>
  </r>
  <r>
    <m/>
    <m/>
    <x v="1"/>
    <s v="46336781001001"/>
    <n v="-63.4"/>
    <n v="1617"/>
    <n v="1"/>
    <n v="1"/>
  </r>
  <r>
    <m/>
    <m/>
    <x v="1"/>
    <s v="46338531001001"/>
    <n v="-38.659999999999997"/>
    <n v="986"/>
    <n v="1"/>
    <n v="1"/>
  </r>
  <r>
    <m/>
    <m/>
    <x v="1"/>
    <s v="46341891001007"/>
    <n v="-56.34"/>
    <n v="1437"/>
    <n v="1"/>
    <n v="1"/>
  </r>
  <r>
    <m/>
    <m/>
    <x v="1"/>
    <s v="46350221006001"/>
    <n v="-11.45"/>
    <n v="292"/>
    <n v="1"/>
    <n v="1"/>
  </r>
  <r>
    <m/>
    <m/>
    <x v="1"/>
    <s v="46367511001007"/>
    <n v="-7.33"/>
    <n v="187"/>
    <n v="1"/>
    <n v="1"/>
  </r>
  <r>
    <m/>
    <m/>
    <x v="1"/>
    <s v="46370031001001"/>
    <n v="-121.39"/>
    <n v="3096"/>
    <n v="1"/>
    <n v="1"/>
  </r>
  <r>
    <m/>
    <m/>
    <x v="1"/>
    <s v="46400411001001"/>
    <n v="-20.149999999999999"/>
    <n v="514"/>
    <n v="1"/>
    <n v="1"/>
  </r>
  <r>
    <m/>
    <m/>
    <x v="1"/>
    <s v="46421145001001"/>
    <n v="-73.09"/>
    <n v="1864"/>
    <n v="1"/>
    <n v="1"/>
  </r>
  <r>
    <m/>
    <m/>
    <x v="1"/>
    <s v="46475241001003"/>
    <n v="-69.989999999999995"/>
    <n v="1785"/>
    <n v="1"/>
    <n v="1"/>
  </r>
  <r>
    <m/>
    <m/>
    <x v="1"/>
    <s v="46482661001005"/>
    <n v="-120.65"/>
    <n v="3077"/>
    <n v="1"/>
    <n v="1"/>
  </r>
  <r>
    <m/>
    <m/>
    <x v="1"/>
    <s v="46488681001003"/>
    <n v="-105.95"/>
    <n v="2702"/>
    <n v="1"/>
    <n v="1"/>
  </r>
  <r>
    <m/>
    <m/>
    <x v="1"/>
    <s v="46504501001001"/>
    <n v="-64.81"/>
    <n v="1653"/>
    <n v="1"/>
    <n v="1"/>
  </r>
  <r>
    <m/>
    <m/>
    <x v="1"/>
    <s v="46578701001001"/>
    <n v="-25.33"/>
    <n v="646"/>
    <n v="1"/>
    <n v="1"/>
  </r>
  <r>
    <m/>
    <m/>
    <x v="1"/>
    <s v="46581641003003"/>
    <n v="-39.840000000000003"/>
    <n v="1016"/>
    <n v="1"/>
    <n v="1"/>
  </r>
  <r>
    <m/>
    <m/>
    <x v="1"/>
    <s v="46596411002002"/>
    <n v="-2.31"/>
    <n v="59"/>
    <n v="1"/>
    <n v="1"/>
  </r>
  <r>
    <m/>
    <m/>
    <x v="1"/>
    <s v="46605651001001"/>
    <n v="-71.83"/>
    <n v="1832"/>
    <n v="1"/>
    <n v="1"/>
  </r>
  <r>
    <m/>
    <m/>
    <x v="1"/>
    <s v="46649901001004"/>
    <n v="-22.15"/>
    <n v="565"/>
    <n v="1"/>
    <n v="1"/>
  </r>
  <r>
    <m/>
    <m/>
    <x v="1"/>
    <s v="46752049002013"/>
    <n v="-99.55"/>
    <n v="2539"/>
    <n v="1"/>
    <n v="1"/>
  </r>
  <r>
    <m/>
    <m/>
    <x v="1"/>
    <s v="46763571002001"/>
    <n v="-14.12"/>
    <n v="360"/>
    <n v="1"/>
    <n v="1"/>
  </r>
  <r>
    <m/>
    <m/>
    <x v="1"/>
    <s v="46784991001003"/>
    <n v="-85.36"/>
    <n v="2177"/>
    <n v="1"/>
    <n v="1"/>
  </r>
  <r>
    <m/>
    <m/>
    <x v="1"/>
    <s v="46791361001012"/>
    <n v="-32.03"/>
    <n v="817"/>
    <n v="1"/>
    <n v="1"/>
  </r>
  <r>
    <m/>
    <m/>
    <x v="1"/>
    <s v="46805851001001"/>
    <n v="-37.96"/>
    <n v="968"/>
    <n v="1"/>
    <n v="1"/>
  </r>
  <r>
    <m/>
    <m/>
    <x v="1"/>
    <s v="46824191001001"/>
    <n v="-87.01"/>
    <n v="2219"/>
    <n v="1"/>
    <n v="1"/>
  </r>
  <r>
    <m/>
    <m/>
    <x v="1"/>
    <s v="46829091001001"/>
    <n v="-44.78"/>
    <n v="1142"/>
    <n v="1"/>
    <n v="1"/>
  </r>
  <r>
    <m/>
    <m/>
    <x v="1"/>
    <s v="46831051002001"/>
    <n v="-67.44"/>
    <n v="1720"/>
    <n v="1"/>
    <n v="1"/>
  </r>
  <r>
    <m/>
    <m/>
    <x v="1"/>
    <s v="46858841001004"/>
    <n v="-185.5"/>
    <n v="4731"/>
    <n v="1"/>
    <n v="1"/>
  </r>
  <r>
    <m/>
    <m/>
    <x v="1"/>
    <s v="46867241001005"/>
    <n v="-37.130000000000003"/>
    <n v="947"/>
    <n v="1"/>
    <n v="1"/>
  </r>
  <r>
    <m/>
    <m/>
    <x v="1"/>
    <s v="46883740001002"/>
    <n v="-63.76"/>
    <n v="1626"/>
    <n v="1"/>
    <n v="1"/>
  </r>
  <r>
    <m/>
    <m/>
    <x v="1"/>
    <s v="46905092001001"/>
    <n v="-97.91"/>
    <n v="2497"/>
    <n v="1"/>
    <n v="1"/>
  </r>
  <r>
    <m/>
    <m/>
    <x v="1"/>
    <s v="46948371001001"/>
    <n v="-42.74"/>
    <n v="1090"/>
    <n v="1"/>
    <n v="1"/>
  </r>
  <r>
    <m/>
    <m/>
    <x v="1"/>
    <s v="46950121002001"/>
    <n v="-31.76"/>
    <n v="810"/>
    <n v="1"/>
    <n v="1"/>
  </r>
  <r>
    <m/>
    <m/>
    <x v="1"/>
    <s v="46950191001002"/>
    <n v="-8.19"/>
    <n v="209"/>
    <n v="1"/>
    <n v="1"/>
  </r>
  <r>
    <m/>
    <m/>
    <x v="1"/>
    <s v="46962301001002"/>
    <n v="-26.9"/>
    <n v="686"/>
    <n v="1"/>
    <n v="1"/>
  </r>
  <r>
    <m/>
    <m/>
    <x v="1"/>
    <s v="46966151001003"/>
    <n v="-42.78"/>
    <n v="1091"/>
    <n v="1"/>
    <n v="1"/>
  </r>
  <r>
    <m/>
    <m/>
    <x v="1"/>
    <s v="47057417001008"/>
    <n v="-47.4"/>
    <n v="1209"/>
    <n v="1"/>
    <n v="1"/>
  </r>
  <r>
    <m/>
    <m/>
    <x v="1"/>
    <s v="47139891001002"/>
    <n v="-60.54"/>
    <n v="1544"/>
    <n v="1"/>
    <n v="1"/>
  </r>
  <r>
    <m/>
    <m/>
    <x v="1"/>
    <s v="47140101001006"/>
    <n v="-52.27"/>
    <n v="1333"/>
    <n v="1"/>
    <n v="1"/>
  </r>
  <r>
    <m/>
    <m/>
    <x v="1"/>
    <s v="47142481001004"/>
    <n v="-43.01"/>
    <n v="1097"/>
    <n v="1"/>
    <n v="1"/>
  </r>
  <r>
    <m/>
    <m/>
    <x v="1"/>
    <s v="47161241001003"/>
    <n v="-61.6"/>
    <n v="1571"/>
    <n v="1"/>
    <n v="1"/>
  </r>
  <r>
    <m/>
    <m/>
    <x v="1"/>
    <s v="47164607001003"/>
    <n v="-22.58"/>
    <n v="576"/>
    <n v="1"/>
    <n v="1"/>
  </r>
  <r>
    <m/>
    <m/>
    <x v="1"/>
    <s v="47180631003001"/>
    <n v="-66.03"/>
    <n v="1684"/>
    <n v="1"/>
    <n v="1"/>
  </r>
  <r>
    <m/>
    <m/>
    <x v="1"/>
    <s v="47194351001001"/>
    <n v="-44.07"/>
    <n v="1124"/>
    <n v="1"/>
    <n v="1"/>
  </r>
  <r>
    <m/>
    <m/>
    <x v="1"/>
    <s v="47198691002001"/>
    <n v="-101.24"/>
    <n v="2582"/>
    <n v="1"/>
    <n v="1"/>
  </r>
  <r>
    <m/>
    <m/>
    <x v="1"/>
    <s v="47205271001007"/>
    <n v="-40.46"/>
    <n v="1032"/>
    <n v="1"/>
    <n v="1"/>
  </r>
  <r>
    <m/>
    <m/>
    <x v="1"/>
    <s v="47230121003006"/>
    <n v="-23.21"/>
    <n v="592"/>
    <n v="1"/>
    <n v="1"/>
  </r>
  <r>
    <m/>
    <m/>
    <x v="1"/>
    <s v="47231801001002"/>
    <n v="-62.07"/>
    <n v="1583"/>
    <n v="1"/>
    <n v="1"/>
  </r>
  <r>
    <m/>
    <m/>
    <x v="1"/>
    <s v="47237681002003"/>
    <n v="-100.61"/>
    <n v="2566"/>
    <n v="1"/>
    <n v="1"/>
  </r>
  <r>
    <m/>
    <m/>
    <x v="1"/>
    <s v="47328821001007"/>
    <n v="-96.93"/>
    <n v="2472"/>
    <n v="1"/>
    <n v="1"/>
  </r>
  <r>
    <m/>
    <m/>
    <x v="1"/>
    <s v="47345831001004"/>
    <n v="-54.07"/>
    <n v="1379"/>
    <n v="1"/>
    <n v="1"/>
  </r>
  <r>
    <m/>
    <m/>
    <x v="1"/>
    <s v="47354441001003"/>
    <n v="-103.75"/>
    <n v="2646"/>
    <n v="1"/>
    <n v="1"/>
  </r>
  <r>
    <m/>
    <m/>
    <x v="1"/>
    <s v="47354861004001"/>
    <n v="-21.92"/>
    <n v="559"/>
    <n v="1"/>
    <n v="1"/>
  </r>
  <r>
    <m/>
    <m/>
    <x v="1"/>
    <s v="47356829001002"/>
    <n v="-28.15"/>
    <n v="718"/>
    <n v="1"/>
    <n v="1"/>
  </r>
  <r>
    <m/>
    <m/>
    <x v="1"/>
    <s v="47376841002006"/>
    <n v="-64.42"/>
    <n v="1643"/>
    <n v="1"/>
    <n v="1"/>
  </r>
  <r>
    <m/>
    <m/>
    <x v="1"/>
    <s v="47382371002004"/>
    <n v="-26.74"/>
    <n v="682"/>
    <n v="1"/>
    <n v="1"/>
  </r>
  <r>
    <m/>
    <m/>
    <x v="1"/>
    <s v="47414851004001"/>
    <n v="-108.73"/>
    <n v="2773"/>
    <n v="1"/>
    <n v="1"/>
  </r>
  <r>
    <m/>
    <m/>
    <x v="1"/>
    <s v="47445167002001"/>
    <n v="-80.459999999999994"/>
    <n v="2052"/>
    <n v="1"/>
    <n v="1"/>
  </r>
  <r>
    <m/>
    <m/>
    <x v="1"/>
    <s v="47456402001001"/>
    <n v="-108.57"/>
    <n v="2769"/>
    <n v="1"/>
    <n v="1"/>
  </r>
  <r>
    <m/>
    <m/>
    <x v="1"/>
    <s v="47467911001002"/>
    <n v="-35.049999999999997"/>
    <n v="894"/>
    <n v="1"/>
    <n v="1"/>
  </r>
  <r>
    <m/>
    <m/>
    <x v="1"/>
    <s v="47541901001001"/>
    <n v="-82.65"/>
    <n v="2108"/>
    <n v="1"/>
    <n v="1"/>
  </r>
  <r>
    <m/>
    <m/>
    <x v="1"/>
    <s v="47552611001001"/>
    <n v="-127.08"/>
    <n v="3241"/>
    <n v="1"/>
    <n v="1"/>
  </r>
  <r>
    <m/>
    <m/>
    <x v="1"/>
    <s v="47555411002001"/>
    <n v="-69.48"/>
    <n v="1772"/>
    <n v="1"/>
    <n v="1"/>
  </r>
  <r>
    <m/>
    <m/>
    <x v="1"/>
    <s v="47583201001004"/>
    <n v="-14.31"/>
    <n v="365"/>
    <n v="1"/>
    <n v="1"/>
  </r>
  <r>
    <m/>
    <m/>
    <x v="1"/>
    <s v="47585534001003"/>
    <n v="-32.74"/>
    <n v="835"/>
    <n v="1"/>
    <n v="1"/>
  </r>
  <r>
    <m/>
    <m/>
    <x v="1"/>
    <s v="47596151001005"/>
    <n v="-46.97"/>
    <n v="1198"/>
    <n v="1"/>
    <n v="1"/>
  </r>
  <r>
    <m/>
    <m/>
    <x v="1"/>
    <s v="47605461003004"/>
    <n v="-45.52"/>
    <n v="1161"/>
    <n v="1"/>
    <n v="1"/>
  </r>
  <r>
    <m/>
    <m/>
    <x v="1"/>
    <s v="47670141001007"/>
    <n v="-39.21"/>
    <n v="1000"/>
    <n v="1"/>
    <n v="1"/>
  </r>
  <r>
    <m/>
    <m/>
    <x v="1"/>
    <s v="47760721004001"/>
    <n v="-56.62"/>
    <n v="1444"/>
    <n v="1"/>
    <n v="1"/>
  </r>
  <r>
    <m/>
    <m/>
    <x v="1"/>
    <s v="47767651001002"/>
    <n v="-32.74"/>
    <n v="835"/>
    <n v="1"/>
    <n v="1"/>
  </r>
  <r>
    <m/>
    <m/>
    <x v="1"/>
    <s v="47770451001002"/>
    <n v="-58.31"/>
    <n v="1487"/>
    <n v="1"/>
    <n v="1"/>
  </r>
  <r>
    <m/>
    <m/>
    <x v="1"/>
    <s v="47821341001001"/>
    <n v="-53.6"/>
    <n v="1367"/>
    <n v="1"/>
    <n v="1"/>
  </r>
  <r>
    <m/>
    <m/>
    <x v="1"/>
    <s v="47822951004003"/>
    <n v="-14.47"/>
    <n v="369"/>
    <n v="1"/>
    <n v="1"/>
  </r>
  <r>
    <m/>
    <m/>
    <x v="1"/>
    <s v="47837581001001"/>
    <n v="-66.89"/>
    <n v="1706"/>
    <n v="1"/>
    <n v="1"/>
  </r>
  <r>
    <m/>
    <m/>
    <x v="1"/>
    <s v="47852771008001"/>
    <n v="-62.89"/>
    <n v="1604"/>
    <n v="1"/>
    <n v="1"/>
  </r>
  <r>
    <m/>
    <m/>
    <x v="1"/>
    <s v="47854171001002"/>
    <n v="-121.35"/>
    <n v="3095"/>
    <n v="1"/>
    <n v="1"/>
  </r>
  <r>
    <m/>
    <m/>
    <x v="1"/>
    <s v="47871671002003"/>
    <n v="-61.95"/>
    <n v="1580"/>
    <n v="1"/>
    <n v="1"/>
  </r>
  <r>
    <m/>
    <m/>
    <x v="1"/>
    <s v="47907161002002"/>
    <n v="-73.13"/>
    <n v="1865"/>
    <n v="1"/>
    <n v="1"/>
  </r>
  <r>
    <m/>
    <m/>
    <x v="1"/>
    <s v="47909401001001"/>
    <n v="-21.84"/>
    <n v="557"/>
    <n v="1"/>
    <n v="1"/>
  </r>
  <r>
    <m/>
    <m/>
    <x v="1"/>
    <s v="47912897001001"/>
    <n v="-18.940000000000001"/>
    <n v="483"/>
    <n v="1"/>
    <n v="1"/>
  </r>
  <r>
    <m/>
    <m/>
    <x v="1"/>
    <s v="47943771006001"/>
    <n v="-137.78"/>
    <n v="3514"/>
    <n v="1"/>
    <n v="1"/>
  </r>
  <r>
    <m/>
    <m/>
    <x v="1"/>
    <s v="47943981001003"/>
    <n v="-60.66"/>
    <n v="1547"/>
    <n v="1"/>
    <n v="1"/>
  </r>
  <r>
    <m/>
    <m/>
    <x v="1"/>
    <s v="47971841001005"/>
    <n v="-100.18"/>
    <n v="2555"/>
    <n v="1"/>
    <n v="1"/>
  </r>
  <r>
    <m/>
    <m/>
    <x v="1"/>
    <s v="48036521001001"/>
    <n v="-104.42"/>
    <n v="2663"/>
    <n v="1"/>
    <n v="1"/>
  </r>
  <r>
    <m/>
    <m/>
    <x v="1"/>
    <s v="48037781003001"/>
    <n v="-81.400000000000006"/>
    <n v="2076"/>
    <n v="1"/>
    <n v="1"/>
  </r>
  <r>
    <m/>
    <m/>
    <x v="1"/>
    <s v="48048211001001"/>
    <n v="-82.65"/>
    <n v="2108"/>
    <n v="1"/>
    <n v="1"/>
  </r>
  <r>
    <m/>
    <m/>
    <x v="1"/>
    <s v="48058431001001"/>
    <n v="-109.75"/>
    <n v="2799"/>
    <n v="1"/>
    <n v="1"/>
  </r>
  <r>
    <m/>
    <m/>
    <x v="1"/>
    <s v="48078640001004"/>
    <n v="-38.58"/>
    <n v="984"/>
    <n v="1"/>
    <n v="1"/>
  </r>
  <r>
    <m/>
    <m/>
    <x v="1"/>
    <s v="48115691001003"/>
    <n v="-38.47"/>
    <n v="981"/>
    <n v="1"/>
    <n v="1"/>
  </r>
  <r>
    <m/>
    <m/>
    <x v="1"/>
    <s v="48121641002006"/>
    <n v="-88.97"/>
    <n v="2269"/>
    <n v="1"/>
    <n v="1"/>
  </r>
  <r>
    <m/>
    <m/>
    <x v="1"/>
    <s v="48124752001001"/>
    <n v="-105.75"/>
    <n v="2697"/>
    <n v="1"/>
    <n v="1"/>
  </r>
  <r>
    <m/>
    <m/>
    <x v="1"/>
    <s v="48168055001001"/>
    <n v="-105.87"/>
    <n v="2700"/>
    <n v="1"/>
    <n v="1"/>
  </r>
  <r>
    <m/>
    <m/>
    <x v="1"/>
    <s v="48182681001001"/>
    <n v="-56.78"/>
    <n v="1448"/>
    <n v="1"/>
    <n v="1"/>
  </r>
  <r>
    <m/>
    <m/>
    <x v="1"/>
    <s v="48194791003001"/>
    <n v="-82.62"/>
    <n v="2107"/>
    <n v="1"/>
    <n v="1"/>
  </r>
  <r>
    <m/>
    <m/>
    <x v="1"/>
    <s v="48219833001001"/>
    <n v="-119.28"/>
    <n v="3042"/>
    <n v="1"/>
    <n v="1"/>
  </r>
  <r>
    <m/>
    <m/>
    <x v="1"/>
    <s v="48278021001002"/>
    <n v="-28.39"/>
    <n v="724"/>
    <n v="1"/>
    <n v="1"/>
  </r>
  <r>
    <m/>
    <m/>
    <x v="1"/>
    <s v="48368531001006"/>
    <n v="-80.34"/>
    <n v="2049"/>
    <n v="1"/>
    <n v="1"/>
  </r>
  <r>
    <m/>
    <m/>
    <x v="1"/>
    <s v="48398584006001"/>
    <n v="-62.3"/>
    <n v="1589"/>
    <n v="1"/>
    <n v="1"/>
  </r>
  <r>
    <m/>
    <m/>
    <x v="1"/>
    <s v="48438811004001"/>
    <n v="-84.89"/>
    <n v="2165"/>
    <n v="1"/>
    <n v="1"/>
  </r>
  <r>
    <m/>
    <m/>
    <x v="1"/>
    <s v="48455961001001"/>
    <n v="-9.8000000000000007"/>
    <n v="250"/>
    <n v="1"/>
    <n v="1"/>
  </r>
  <r>
    <m/>
    <m/>
    <x v="1"/>
    <s v="48498657001001"/>
    <n v="-50.19"/>
    <n v="1280"/>
    <n v="1"/>
    <n v="1"/>
  </r>
  <r>
    <m/>
    <m/>
    <x v="1"/>
    <s v="48551861002001"/>
    <n v="-28.54"/>
    <n v="728"/>
    <n v="1"/>
    <n v="1"/>
  </r>
  <r>
    <m/>
    <m/>
    <x v="1"/>
    <s v="48581489001001"/>
    <n v="-106.34"/>
    <n v="2712"/>
    <n v="1"/>
    <n v="1"/>
  </r>
  <r>
    <m/>
    <m/>
    <x v="1"/>
    <s v="48629818001001"/>
    <n v="-63.21"/>
    <n v="1612"/>
    <n v="1"/>
    <n v="1"/>
  </r>
  <r>
    <m/>
    <m/>
    <x v="1"/>
    <s v="48660341001001"/>
    <n v="-23.84"/>
    <n v="608"/>
    <n v="1"/>
    <n v="1"/>
  </r>
  <r>
    <m/>
    <m/>
    <x v="1"/>
    <s v="48684021001001"/>
    <n v="-103.51"/>
    <n v="2640"/>
    <n v="1"/>
    <n v="1"/>
  </r>
  <r>
    <m/>
    <m/>
    <x v="1"/>
    <s v="48752136001002"/>
    <n v="-21.25"/>
    <n v="542"/>
    <n v="1"/>
    <n v="1"/>
  </r>
  <r>
    <m/>
    <m/>
    <x v="1"/>
    <s v="48762278001001"/>
    <n v="-61.13"/>
    <n v="1559"/>
    <n v="1"/>
    <n v="1"/>
  </r>
  <r>
    <m/>
    <m/>
    <x v="1"/>
    <s v="48804422001006"/>
    <n v="-23.06"/>
    <n v="588"/>
    <n v="1"/>
    <n v="1"/>
  </r>
  <r>
    <m/>
    <m/>
    <x v="1"/>
    <s v="48813381002001"/>
    <n v="-110.77"/>
    <n v="2825"/>
    <n v="1"/>
    <n v="1"/>
  </r>
  <r>
    <m/>
    <m/>
    <x v="1"/>
    <s v="48826277001001"/>
    <n v="-100.5"/>
    <n v="2563"/>
    <n v="1"/>
    <n v="1"/>
  </r>
  <r>
    <m/>
    <m/>
    <x v="1"/>
    <s v="48834171001003"/>
    <n v="-88.1"/>
    <n v="2247"/>
    <n v="1"/>
    <n v="1"/>
  </r>
  <r>
    <m/>
    <m/>
    <x v="1"/>
    <s v="48845721001001"/>
    <n v="-28.43"/>
    <n v="725"/>
    <n v="1"/>
    <n v="1"/>
  </r>
  <r>
    <m/>
    <m/>
    <x v="1"/>
    <s v="48937755001004"/>
    <n v="-6.51"/>
    <n v="166"/>
    <n v="1"/>
    <n v="1"/>
  </r>
  <r>
    <m/>
    <m/>
    <x v="1"/>
    <s v="48972001002006"/>
    <n v="-25.41"/>
    <n v="648"/>
    <n v="1"/>
    <n v="1"/>
  </r>
  <r>
    <m/>
    <m/>
    <x v="1"/>
    <s v="48996360001005"/>
    <n v="-77.599999999999994"/>
    <n v="1979"/>
    <n v="1"/>
    <n v="1"/>
  </r>
  <r>
    <m/>
    <m/>
    <x v="1"/>
    <s v="49074901003004"/>
    <n v="-0.35"/>
    <n v="9"/>
    <n v="1"/>
    <n v="1"/>
  </r>
  <r>
    <m/>
    <m/>
    <x v="1"/>
    <s v="49153651002001"/>
    <n v="-0.35"/>
    <n v="9"/>
    <n v="1"/>
    <n v="1"/>
  </r>
  <r>
    <m/>
    <m/>
    <x v="1"/>
    <s v="49166301001001"/>
    <n v="-40.700000000000003"/>
    <n v="1038"/>
    <n v="1"/>
    <n v="1"/>
  </r>
  <r>
    <m/>
    <m/>
    <x v="1"/>
    <s v="49180461001001"/>
    <n v="-23.64"/>
    <n v="603"/>
    <n v="1"/>
    <n v="1"/>
  </r>
  <r>
    <m/>
    <m/>
    <x v="1"/>
    <s v="49187126001001"/>
    <n v="-144.29"/>
    <n v="3680"/>
    <n v="1"/>
    <n v="1"/>
  </r>
  <r>
    <m/>
    <m/>
    <x v="1"/>
    <s v="49267961004003"/>
    <n v="-47.17"/>
    <n v="1203"/>
    <n v="1"/>
    <n v="1"/>
  </r>
  <r>
    <m/>
    <m/>
    <x v="1"/>
    <s v="49298970001001"/>
    <n v="-60.54"/>
    <n v="1544"/>
    <n v="1"/>
    <n v="1"/>
  </r>
  <r>
    <m/>
    <m/>
    <x v="1"/>
    <s v="49315865001001"/>
    <n v="-30.47"/>
    <n v="777"/>
    <n v="1"/>
    <n v="1"/>
  </r>
  <r>
    <m/>
    <m/>
    <x v="1"/>
    <s v="49326370001005"/>
    <n v="-117.9"/>
    <n v="3007"/>
    <n v="1"/>
    <n v="1"/>
  </r>
  <r>
    <m/>
    <m/>
    <x v="1"/>
    <s v="49350283001001"/>
    <n v="-71.05"/>
    <n v="1812"/>
    <n v="1"/>
    <n v="1"/>
  </r>
  <r>
    <m/>
    <m/>
    <x v="1"/>
    <s v="49371491001002"/>
    <n v="-107.47"/>
    <n v="2741"/>
    <n v="1"/>
    <n v="1"/>
  </r>
  <r>
    <m/>
    <m/>
    <x v="1"/>
    <s v="49418111002001"/>
    <n v="-70.7"/>
    <n v="1803"/>
    <n v="1"/>
    <n v="1"/>
  </r>
  <r>
    <m/>
    <m/>
    <x v="1"/>
    <s v="49448561001001"/>
    <n v="-147.04"/>
    <n v="3750"/>
    <n v="1"/>
    <n v="1"/>
  </r>
  <r>
    <m/>
    <m/>
    <x v="1"/>
    <s v="49554261003001"/>
    <n v="-102.46"/>
    <n v="2613"/>
    <n v="1"/>
    <n v="1"/>
  </r>
  <r>
    <m/>
    <m/>
    <x v="1"/>
    <s v="49570081001002"/>
    <n v="-56.38"/>
    <n v="1438"/>
    <n v="1"/>
    <n v="1"/>
  </r>
  <r>
    <m/>
    <m/>
    <x v="1"/>
    <s v="49580441001001"/>
    <n v="-86.42"/>
    <n v="2204"/>
    <n v="1"/>
    <n v="1"/>
  </r>
  <r>
    <m/>
    <m/>
    <x v="1"/>
    <s v="49581631001005"/>
    <n v="-63.56"/>
    <n v="1621"/>
    <n v="1"/>
    <n v="1"/>
  </r>
  <r>
    <m/>
    <m/>
    <x v="1"/>
    <s v="49591431001003"/>
    <n v="-31.02"/>
    <n v="791"/>
    <n v="1"/>
    <n v="1"/>
  </r>
  <r>
    <m/>
    <m/>
    <x v="1"/>
    <s v="49600181003002"/>
    <n v="-85.44"/>
    <n v="2179"/>
    <n v="1"/>
    <n v="1"/>
  </r>
  <r>
    <m/>
    <m/>
    <x v="1"/>
    <s v="49602561001001"/>
    <n v="-84.14"/>
    <n v="2146"/>
    <n v="1"/>
    <n v="1"/>
  </r>
  <r>
    <m/>
    <m/>
    <x v="1"/>
    <s v="49608231003009"/>
    <n v="-122.65"/>
    <n v="3128"/>
    <n v="1"/>
    <n v="1"/>
  </r>
  <r>
    <m/>
    <m/>
    <x v="1"/>
    <s v="49649391002003"/>
    <n v="-79.239999999999995"/>
    <n v="2021"/>
    <n v="1"/>
    <n v="1"/>
  </r>
  <r>
    <m/>
    <m/>
    <x v="1"/>
    <s v="49693491002008"/>
    <n v="-48.15"/>
    <n v="1228"/>
    <n v="1"/>
    <n v="1"/>
  </r>
  <r>
    <m/>
    <m/>
    <x v="1"/>
    <s v="49702654001002"/>
    <n v="-20.78"/>
    <n v="530"/>
    <n v="1"/>
    <n v="1"/>
  </r>
  <r>
    <m/>
    <m/>
    <x v="1"/>
    <s v="49716043001002"/>
    <n v="-25.53"/>
    <n v="651"/>
    <n v="1"/>
    <n v="1"/>
  </r>
  <r>
    <m/>
    <m/>
    <x v="1"/>
    <s v="49717151001001"/>
    <n v="-111.59"/>
    <n v="2846"/>
    <n v="1"/>
    <n v="1"/>
  </r>
  <r>
    <m/>
    <m/>
    <x v="1"/>
    <s v="49735399001001"/>
    <n v="-48.27"/>
    <n v="1231"/>
    <n v="1"/>
    <n v="1"/>
  </r>
  <r>
    <m/>
    <m/>
    <x v="1"/>
    <s v="49761531001001"/>
    <n v="-57.91"/>
    <n v="1477"/>
    <n v="1"/>
    <n v="1"/>
  </r>
  <r>
    <m/>
    <m/>
    <x v="1"/>
    <s v="49809621001004"/>
    <n v="-20"/>
    <n v="510"/>
    <n v="1"/>
    <n v="1"/>
  </r>
  <r>
    <m/>
    <m/>
    <x v="1"/>
    <s v="49828031002004"/>
    <n v="-103.71"/>
    <n v="2645"/>
    <n v="1"/>
    <n v="1"/>
  </r>
  <r>
    <m/>
    <m/>
    <x v="1"/>
    <s v="49841331001004"/>
    <n v="-54.38"/>
    <n v="1387"/>
    <n v="1"/>
    <n v="1"/>
  </r>
  <r>
    <m/>
    <m/>
    <x v="1"/>
    <s v="49866391001002"/>
    <n v="-34.03"/>
    <n v="868"/>
    <n v="1"/>
    <n v="1"/>
  </r>
  <r>
    <m/>
    <m/>
    <x v="1"/>
    <s v="49896911001001"/>
    <n v="-4.8600000000000003"/>
    <n v="124"/>
    <n v="1"/>
    <n v="1"/>
  </r>
  <r>
    <m/>
    <m/>
    <x v="1"/>
    <s v="49916861001001"/>
    <n v="-74.069999999999993"/>
    <n v="1889"/>
    <n v="1"/>
    <n v="1"/>
  </r>
  <r>
    <m/>
    <m/>
    <x v="1"/>
    <s v="49949341001003"/>
    <n v="-25.37"/>
    <n v="647"/>
    <n v="1"/>
    <n v="1"/>
  </r>
  <r>
    <m/>
    <m/>
    <x v="1"/>
    <s v="49949551002003"/>
    <n v="-7.69"/>
    <n v="196"/>
    <n v="1"/>
    <n v="1"/>
  </r>
  <r>
    <m/>
    <m/>
    <x v="1"/>
    <s v="49950321001002"/>
    <n v="-22.58"/>
    <n v="576"/>
    <n v="1"/>
    <n v="1"/>
  </r>
  <r>
    <m/>
    <m/>
    <x v="1"/>
    <s v="49950881001002"/>
    <n v="-25.92"/>
    <n v="661"/>
    <n v="1"/>
    <n v="1"/>
  </r>
  <r>
    <m/>
    <m/>
    <x v="1"/>
    <s v="49951931001004"/>
    <n v="-17.170000000000002"/>
    <n v="438"/>
    <n v="1"/>
    <n v="1"/>
  </r>
  <r>
    <m/>
    <m/>
    <x v="1"/>
    <s v="49965791001003"/>
    <n v="-20.55"/>
    <n v="524"/>
    <n v="1"/>
    <n v="1"/>
  </r>
  <r>
    <m/>
    <m/>
    <x v="1"/>
    <s v="50032081001001"/>
    <n v="-95.32"/>
    <n v="2431"/>
    <n v="1"/>
    <n v="1"/>
  </r>
  <r>
    <m/>
    <m/>
    <x v="1"/>
    <s v="50043981001003"/>
    <n v="-73.44"/>
    <n v="1873"/>
    <n v="1"/>
    <n v="1"/>
  </r>
  <r>
    <m/>
    <m/>
    <x v="1"/>
    <s v="50069630001004"/>
    <n v="-38.43"/>
    <n v="980"/>
    <n v="1"/>
    <n v="1"/>
  </r>
  <r>
    <m/>
    <m/>
    <x v="1"/>
    <s v="50071631001001"/>
    <n v="-71.790000000000006"/>
    <n v="1831"/>
    <n v="1"/>
    <n v="1"/>
  </r>
  <r>
    <m/>
    <m/>
    <x v="1"/>
    <s v="50095781001001"/>
    <n v="-45.44"/>
    <n v="1159"/>
    <n v="1"/>
    <n v="1"/>
  </r>
  <r>
    <m/>
    <m/>
    <x v="1"/>
    <s v="50097303001004"/>
    <n v="-64.27"/>
    <n v="1639"/>
    <n v="1"/>
    <n v="1"/>
  </r>
  <r>
    <m/>
    <m/>
    <x v="1"/>
    <s v="50180049001004"/>
    <n v="-125.79"/>
    <n v="3208"/>
    <n v="1"/>
    <n v="1"/>
  </r>
  <r>
    <m/>
    <m/>
    <x v="1"/>
    <s v="50181601002005"/>
    <n v="-52.66"/>
    <n v="1343"/>
    <n v="1"/>
    <n v="1"/>
  </r>
  <r>
    <m/>
    <m/>
    <x v="1"/>
    <s v="50198191001001"/>
    <n v="-101.36"/>
    <n v="2585"/>
    <n v="1"/>
    <n v="1"/>
  </r>
  <r>
    <m/>
    <m/>
    <x v="1"/>
    <s v="50249641001001"/>
    <n v="-113.04"/>
    <n v="2883"/>
    <n v="1"/>
    <n v="1"/>
  </r>
  <r>
    <m/>
    <m/>
    <x v="1"/>
    <s v="50254821001001"/>
    <n v="-123.59"/>
    <n v="3152"/>
    <n v="1"/>
    <n v="1"/>
  </r>
  <r>
    <m/>
    <m/>
    <x v="1"/>
    <s v="50295491001002"/>
    <n v="-0.86"/>
    <n v="22"/>
    <n v="1"/>
    <n v="1"/>
  </r>
  <r>
    <m/>
    <m/>
    <x v="1"/>
    <s v="50305221001001"/>
    <n v="-105.44"/>
    <n v="2689"/>
    <n v="1"/>
    <n v="1"/>
  </r>
  <r>
    <m/>
    <m/>
    <x v="1"/>
    <s v="50306876001004"/>
    <n v="-47.6"/>
    <n v="1214"/>
    <n v="1"/>
    <n v="1"/>
  </r>
  <r>
    <m/>
    <m/>
    <x v="1"/>
    <s v="50314391002005"/>
    <n v="-94.77"/>
    <n v="2417"/>
    <n v="1"/>
    <n v="1"/>
  </r>
  <r>
    <m/>
    <m/>
    <x v="1"/>
    <s v="50412391001001"/>
    <n v="-16.43"/>
    <n v="419"/>
    <n v="1"/>
    <n v="1"/>
  </r>
  <r>
    <m/>
    <m/>
    <x v="1"/>
    <s v="50425271002004"/>
    <n v="-54.74"/>
    <n v="1396"/>
    <n v="1"/>
    <n v="1"/>
  </r>
  <r>
    <m/>
    <m/>
    <x v="1"/>
    <s v="50446617005005"/>
    <n v="-34.03"/>
    <n v="868"/>
    <n v="1"/>
    <n v="1"/>
  </r>
  <r>
    <m/>
    <m/>
    <x v="1"/>
    <s v="50556031001003"/>
    <n v="-115"/>
    <n v="2933"/>
    <n v="1"/>
    <n v="1"/>
  </r>
  <r>
    <m/>
    <m/>
    <x v="1"/>
    <s v="50695261001002"/>
    <n v="-15.33"/>
    <n v="391"/>
    <n v="1"/>
    <n v="1"/>
  </r>
  <r>
    <m/>
    <m/>
    <x v="1"/>
    <s v="50715495001001"/>
    <n v="-1.61"/>
    <n v="41"/>
    <n v="1"/>
    <n v="1"/>
  </r>
  <r>
    <m/>
    <m/>
    <x v="1"/>
    <s v="50725151001007"/>
    <n v="-57.33"/>
    <n v="1462"/>
    <n v="1"/>
    <n v="1"/>
  </r>
  <r>
    <m/>
    <m/>
    <x v="1"/>
    <s v="50740761001001"/>
    <n v="-189.54"/>
    <n v="4834"/>
    <n v="1"/>
    <n v="1"/>
  </r>
  <r>
    <m/>
    <m/>
    <x v="1"/>
    <s v="50756231001002"/>
    <n v="-36.86"/>
    <n v="940"/>
    <n v="1"/>
    <n v="1"/>
  </r>
  <r>
    <m/>
    <m/>
    <x v="1"/>
    <s v="50757911001003"/>
    <n v="-83.32"/>
    <n v="2125"/>
    <n v="1"/>
    <n v="1"/>
  </r>
  <r>
    <m/>
    <m/>
    <x v="1"/>
    <s v="50768201001001"/>
    <n v="-9.41"/>
    <n v="240"/>
    <n v="1"/>
    <n v="1"/>
  </r>
  <r>
    <m/>
    <m/>
    <x v="1"/>
    <s v="50782131001001"/>
    <n v="-26.19"/>
    <n v="668"/>
    <n v="1"/>
    <n v="1"/>
  </r>
  <r>
    <m/>
    <m/>
    <x v="1"/>
    <s v="50787241001001"/>
    <n v="-30.86"/>
    <n v="787"/>
    <n v="1"/>
    <n v="1"/>
  </r>
  <r>
    <m/>
    <m/>
    <x v="1"/>
    <s v="50808591001001"/>
    <n v="-115.08"/>
    <n v="2935"/>
    <n v="1"/>
    <n v="1"/>
  </r>
  <r>
    <m/>
    <m/>
    <x v="1"/>
    <s v="50809571001001"/>
    <n v="-60.54"/>
    <n v="1544"/>
    <n v="1"/>
    <n v="1"/>
  </r>
  <r>
    <m/>
    <m/>
    <x v="1"/>
    <s v="50823431001001"/>
    <n v="-82.18"/>
    <n v="2096"/>
    <n v="1"/>
    <n v="1"/>
  </r>
  <r>
    <m/>
    <m/>
    <x v="1"/>
    <s v="50831971001002"/>
    <n v="-38.78"/>
    <n v="989"/>
    <n v="1"/>
    <n v="1"/>
  </r>
  <r>
    <m/>
    <m/>
    <x v="1"/>
    <s v="50849401001002"/>
    <n v="-78.180000000000007"/>
    <n v="1994"/>
    <n v="1"/>
    <n v="1"/>
  </r>
  <r>
    <m/>
    <m/>
    <x v="1"/>
    <s v="50858361001001"/>
    <n v="-94.1"/>
    <n v="2400"/>
    <n v="1"/>
    <n v="1"/>
  </r>
  <r>
    <m/>
    <m/>
    <x v="1"/>
    <s v="50863261005003"/>
    <n v="-7.06"/>
    <n v="180"/>
    <n v="1"/>
    <n v="1"/>
  </r>
  <r>
    <m/>
    <m/>
    <x v="1"/>
    <s v="50870401001001"/>
    <n v="-12.12"/>
    <n v="309"/>
    <n v="1"/>
    <n v="1"/>
  </r>
  <r>
    <m/>
    <m/>
    <x v="1"/>
    <s v="50918728001001"/>
    <n v="-48.27"/>
    <n v="1231"/>
    <n v="1"/>
    <n v="1"/>
  </r>
  <r>
    <m/>
    <m/>
    <x v="1"/>
    <s v="50919121001001"/>
    <n v="-108.49"/>
    <n v="2767"/>
    <n v="1"/>
    <n v="1"/>
  </r>
  <r>
    <m/>
    <m/>
    <x v="1"/>
    <s v="50919821001002"/>
    <n v="-99.4"/>
    <n v="2535"/>
    <n v="1"/>
    <n v="1"/>
  </r>
  <r>
    <m/>
    <m/>
    <x v="1"/>
    <s v="50940891001005"/>
    <n v="-17.53"/>
    <n v="447"/>
    <n v="1"/>
    <n v="1"/>
  </r>
  <r>
    <m/>
    <m/>
    <x v="1"/>
    <s v="51002491002001"/>
    <n v="-17.68"/>
    <n v="451"/>
    <n v="1"/>
    <n v="1"/>
  </r>
  <r>
    <m/>
    <m/>
    <x v="1"/>
    <s v="51005151001001"/>
    <n v="-12.35"/>
    <n v="315"/>
    <n v="1"/>
    <n v="1"/>
  </r>
  <r>
    <m/>
    <m/>
    <x v="1"/>
    <s v="51005711001001"/>
    <n v="-39.64"/>
    <n v="1011"/>
    <n v="1"/>
    <n v="1"/>
  </r>
  <r>
    <m/>
    <m/>
    <x v="1"/>
    <s v="51009071001001"/>
    <n v="-129.94"/>
    <n v="3314"/>
    <n v="1"/>
    <n v="1"/>
  </r>
  <r>
    <m/>
    <m/>
    <x v="1"/>
    <s v="51009701002001"/>
    <n v="-151.51"/>
    <n v="3864"/>
    <n v="1"/>
    <n v="1"/>
  </r>
  <r>
    <m/>
    <m/>
    <x v="1"/>
    <s v="51010891001001"/>
    <n v="-34.82"/>
    <n v="888"/>
    <n v="1"/>
    <n v="1"/>
  </r>
  <r>
    <m/>
    <m/>
    <x v="1"/>
    <s v="51011661001002"/>
    <n v="-39.21"/>
    <n v="1000"/>
    <n v="1"/>
    <n v="1"/>
  </r>
  <r>
    <m/>
    <m/>
    <x v="1"/>
    <s v="51027411002001"/>
    <n v="-11.88"/>
    <n v="303"/>
    <n v="1"/>
    <n v="1"/>
  </r>
  <r>
    <m/>
    <m/>
    <x v="1"/>
    <s v="51036671001001"/>
    <n v="-41.41"/>
    <n v="1056"/>
    <n v="1"/>
    <n v="1"/>
  </r>
  <r>
    <m/>
    <m/>
    <x v="1"/>
    <s v="51040151001001"/>
    <n v="-68.77"/>
    <n v="1754"/>
    <n v="1"/>
    <n v="1"/>
  </r>
  <r>
    <m/>
    <m/>
    <x v="1"/>
    <s v="51048061001001"/>
    <n v="-5.92"/>
    <n v="151"/>
    <n v="1"/>
    <n v="1"/>
  </r>
  <r>
    <m/>
    <m/>
    <x v="1"/>
    <s v="51057441001003"/>
    <n v="-130.61000000000001"/>
    <n v="3331"/>
    <n v="1"/>
    <n v="1"/>
  </r>
  <r>
    <m/>
    <m/>
    <x v="1"/>
    <s v="51073821001002"/>
    <n v="-10.67"/>
    <n v="272"/>
    <n v="1"/>
    <n v="1"/>
  </r>
  <r>
    <m/>
    <m/>
    <x v="1"/>
    <s v="51082221002003"/>
    <n v="-107.95"/>
    <n v="2753"/>
    <n v="1"/>
    <n v="1"/>
  </r>
  <r>
    <m/>
    <m/>
    <x v="1"/>
    <s v="51084811002002"/>
    <n v="-79.36"/>
    <n v="2024"/>
    <n v="1"/>
    <n v="1"/>
  </r>
  <r>
    <m/>
    <m/>
    <x v="1"/>
    <s v="51098181001001"/>
    <n v="-7.06"/>
    <n v="180"/>
    <n v="1"/>
    <n v="1"/>
  </r>
  <r>
    <m/>
    <m/>
    <x v="1"/>
    <s v="51108401001003"/>
    <n v="-46.58"/>
    <n v="1188"/>
    <n v="1"/>
    <n v="1"/>
  </r>
  <r>
    <m/>
    <m/>
    <x v="1"/>
    <s v="51130731001001"/>
    <n v="-9.65"/>
    <n v="246"/>
    <n v="1"/>
    <n v="1"/>
  </r>
  <r>
    <m/>
    <m/>
    <x v="1"/>
    <s v="51138081002001"/>
    <n v="-120.57"/>
    <n v="3075"/>
    <n v="1"/>
    <n v="1"/>
  </r>
  <r>
    <m/>
    <m/>
    <x v="1"/>
    <s v="51138571001004"/>
    <n v="-75.599999999999994"/>
    <n v="1928"/>
    <n v="1"/>
    <n v="1"/>
  </r>
  <r>
    <m/>
    <m/>
    <x v="1"/>
    <s v="51140391002005"/>
    <n v="-26.94"/>
    <n v="687"/>
    <n v="1"/>
    <n v="1"/>
  </r>
  <r>
    <m/>
    <m/>
    <x v="1"/>
    <s v="51151311001002"/>
    <n v="-98.46"/>
    <n v="2511"/>
    <n v="1"/>
    <n v="1"/>
  </r>
  <r>
    <m/>
    <m/>
    <x v="1"/>
    <s v="51155161001001"/>
    <n v="-41.8"/>
    <n v="1066"/>
    <n v="1"/>
    <n v="1"/>
  </r>
  <r>
    <m/>
    <m/>
    <x v="1"/>
    <s v="51155231001001"/>
    <n v="-69.13"/>
    <n v="1763"/>
    <n v="1"/>
    <n v="1"/>
  </r>
  <r>
    <m/>
    <m/>
    <x v="1"/>
    <s v="51158731001003"/>
    <n v="-16.43"/>
    <n v="419"/>
    <n v="1"/>
    <n v="1"/>
  </r>
  <r>
    <m/>
    <m/>
    <x v="1"/>
    <s v="51159641001002"/>
    <n v="-56.85"/>
    <n v="1450"/>
    <n v="1"/>
    <n v="1"/>
  </r>
  <r>
    <m/>
    <m/>
    <x v="1"/>
    <s v="51159921001001"/>
    <n v="-26.62"/>
    <n v="679"/>
    <n v="1"/>
    <n v="1"/>
  </r>
  <r>
    <m/>
    <m/>
    <x v="1"/>
    <s v="51163211002005"/>
    <n v="-129.31"/>
    <n v="3298"/>
    <n v="1"/>
    <n v="1"/>
  </r>
  <r>
    <m/>
    <m/>
    <x v="1"/>
    <s v="51163561001003"/>
    <n v="-68.38"/>
    <n v="1744"/>
    <n v="1"/>
    <n v="1"/>
  </r>
  <r>
    <m/>
    <m/>
    <x v="1"/>
    <s v="51163841001002"/>
    <n v="-74.42"/>
    <n v="1898"/>
    <n v="1"/>
    <n v="1"/>
  </r>
  <r>
    <m/>
    <m/>
    <x v="1"/>
    <s v="51166641001002"/>
    <n v="-158.44999999999999"/>
    <n v="4041"/>
    <n v="1"/>
    <n v="1"/>
  </r>
  <r>
    <m/>
    <m/>
    <x v="1"/>
    <s v="51175111003001"/>
    <n v="-52.74"/>
    <n v="1345"/>
    <n v="1"/>
    <n v="1"/>
  </r>
  <r>
    <m/>
    <m/>
    <x v="1"/>
    <s v="51184281006001"/>
    <n v="-66.34"/>
    <n v="1692"/>
    <n v="1"/>
    <n v="1"/>
  </r>
  <r>
    <m/>
    <m/>
    <x v="1"/>
    <s v="51193044001001"/>
    <n v="-38.9"/>
    <n v="992"/>
    <n v="1"/>
    <n v="1"/>
  </r>
  <r>
    <m/>
    <m/>
    <x v="1"/>
    <s v="51198211001002"/>
    <n v="-75.64"/>
    <n v="1929"/>
    <n v="1"/>
    <n v="1"/>
  </r>
  <r>
    <m/>
    <m/>
    <x v="1"/>
    <s v="51208991001001"/>
    <n v="-51.95"/>
    <n v="1325"/>
    <n v="1"/>
    <n v="1"/>
  </r>
  <r>
    <m/>
    <m/>
    <x v="1"/>
    <s v="51221801001005"/>
    <n v="-32.619999999999997"/>
    <n v="832"/>
    <n v="1"/>
    <n v="1"/>
  </r>
  <r>
    <m/>
    <m/>
    <x v="1"/>
    <s v="51225161002001"/>
    <n v="-95.79"/>
    <n v="2443"/>
    <n v="1"/>
    <n v="1"/>
  </r>
  <r>
    <m/>
    <m/>
    <x v="1"/>
    <s v="51227051001001"/>
    <n v="-33.21"/>
    <n v="847"/>
    <n v="1"/>
    <n v="1"/>
  </r>
  <r>
    <m/>
    <m/>
    <x v="1"/>
    <s v="51230691001002"/>
    <n v="-173.94"/>
    <n v="4436"/>
    <n v="1"/>
    <n v="1"/>
  </r>
  <r>
    <m/>
    <m/>
    <x v="1"/>
    <s v="51237341002006"/>
    <n v="-111"/>
    <n v="2831"/>
    <n v="1"/>
    <n v="1"/>
  </r>
  <r>
    <m/>
    <m/>
    <x v="1"/>
    <s v="51237411001001"/>
    <n v="-1.29"/>
    <n v="33"/>
    <n v="1"/>
    <n v="1"/>
  </r>
  <r>
    <m/>
    <m/>
    <x v="1"/>
    <s v="51286341001003"/>
    <n v="-78.81"/>
    <n v="2010"/>
    <n v="1"/>
    <n v="1"/>
  </r>
  <r>
    <m/>
    <m/>
    <x v="1"/>
    <s v="51286691001002"/>
    <n v="-43.88"/>
    <n v="1119"/>
    <n v="1"/>
    <n v="1"/>
  </r>
  <r>
    <m/>
    <m/>
    <x v="1"/>
    <s v="51293341001001"/>
    <n v="-86.22"/>
    <n v="2199"/>
    <n v="1"/>
    <n v="1"/>
  </r>
  <r>
    <m/>
    <m/>
    <x v="1"/>
    <s v="51309651001001"/>
    <n v="-89.59"/>
    <n v="2285"/>
    <n v="1"/>
    <n v="1"/>
  </r>
  <r>
    <m/>
    <m/>
    <x v="1"/>
    <s v="51309721001001"/>
    <n v="-162.21"/>
    <n v="4137"/>
    <n v="1"/>
    <n v="1"/>
  </r>
  <r>
    <m/>
    <m/>
    <x v="1"/>
    <s v="51316301003004"/>
    <n v="-0.98"/>
    <n v="25"/>
    <n v="1"/>
    <n v="1"/>
  </r>
  <r>
    <m/>
    <m/>
    <x v="1"/>
    <s v="51318751001001"/>
    <n v="-72.58"/>
    <n v="1851"/>
    <n v="1"/>
    <n v="1"/>
  </r>
  <r>
    <m/>
    <m/>
    <x v="1"/>
    <s v="51320291002008"/>
    <n v="-26.82"/>
    <n v="684"/>
    <n v="1"/>
    <n v="1"/>
  </r>
  <r>
    <m/>
    <m/>
    <x v="1"/>
    <s v="51323511001002"/>
    <n v="-50.89"/>
    <n v="1298"/>
    <n v="1"/>
    <n v="1"/>
  </r>
  <r>
    <m/>
    <m/>
    <x v="1"/>
    <s v="51324911001001"/>
    <n v="-17.53"/>
    <n v="447"/>
    <n v="1"/>
    <n v="1"/>
  </r>
  <r>
    <m/>
    <m/>
    <x v="1"/>
    <s v="51344791001003"/>
    <n v="-76.150000000000006"/>
    <n v="1942"/>
    <n v="1"/>
    <n v="1"/>
  </r>
  <r>
    <m/>
    <m/>
    <x v="1"/>
    <s v="51344861001001"/>
    <n v="-72.5"/>
    <n v="1849"/>
    <n v="1"/>
    <n v="1"/>
  </r>
  <r>
    <m/>
    <m/>
    <x v="1"/>
    <s v="51356061003003"/>
    <n v="-51.56"/>
    <n v="1315"/>
    <n v="1"/>
    <n v="1"/>
  </r>
  <r>
    <m/>
    <m/>
    <x v="1"/>
    <s v="51370831001001"/>
    <n v="-154.13"/>
    <n v="3931"/>
    <n v="1"/>
    <n v="1"/>
  </r>
  <r>
    <m/>
    <m/>
    <x v="1"/>
    <s v="51395961001001"/>
    <n v="-117.04"/>
    <n v="2985"/>
    <n v="1"/>
    <n v="1"/>
  </r>
  <r>
    <m/>
    <m/>
    <x v="1"/>
    <s v="51405271001001"/>
    <n v="-83.01"/>
    <n v="2117"/>
    <n v="1"/>
    <n v="1"/>
  </r>
  <r>
    <m/>
    <m/>
    <x v="1"/>
    <s v="51411291004004"/>
    <n v="-66.3"/>
    <n v="1691"/>
    <n v="1"/>
    <n v="1"/>
  </r>
  <r>
    <m/>
    <m/>
    <x v="1"/>
    <s v="51416681001001"/>
    <n v="-78.3"/>
    <n v="1997"/>
    <n v="1"/>
    <n v="1"/>
  </r>
  <r>
    <m/>
    <m/>
    <x v="1"/>
    <s v="51506701002001"/>
    <n v="-64.069999999999993"/>
    <n v="1634"/>
    <n v="1"/>
    <n v="1"/>
  </r>
  <r>
    <m/>
    <m/>
    <x v="1"/>
    <s v="51514051001001"/>
    <n v="-12.23"/>
    <n v="312"/>
    <n v="1"/>
    <n v="1"/>
  </r>
  <r>
    <m/>
    <m/>
    <x v="1"/>
    <s v="51514331001001"/>
    <n v="-26.19"/>
    <n v="668"/>
    <n v="1"/>
    <n v="1"/>
  </r>
  <r>
    <m/>
    <m/>
    <x v="1"/>
    <s v="51519091001003"/>
    <n v="-1.84"/>
    <n v="47"/>
    <n v="1"/>
    <n v="1"/>
  </r>
  <r>
    <m/>
    <m/>
    <x v="1"/>
    <s v="51519511001001"/>
    <n v="-2"/>
    <n v="51"/>
    <n v="1"/>
    <n v="1"/>
  </r>
  <r>
    <m/>
    <m/>
    <x v="1"/>
    <s v="51525601001002"/>
    <n v="-31.37"/>
    <n v="800"/>
    <n v="1"/>
    <n v="1"/>
  </r>
  <r>
    <m/>
    <m/>
    <x v="1"/>
    <s v="51531201001002"/>
    <n v="-100.73"/>
    <n v="2569"/>
    <n v="1"/>
    <n v="1"/>
  </r>
  <r>
    <m/>
    <m/>
    <x v="1"/>
    <s v="51555701001005"/>
    <n v="-101.48"/>
    <n v="2588"/>
    <n v="1"/>
    <n v="1"/>
  </r>
  <r>
    <m/>
    <m/>
    <x v="1"/>
    <s v="51593291002001"/>
    <n v="-82.3"/>
    <n v="2099"/>
    <n v="1"/>
    <n v="1"/>
  </r>
  <r>
    <m/>
    <m/>
    <x v="1"/>
    <s v="51595741001001"/>
    <n v="-14.59"/>
    <n v="372"/>
    <n v="1"/>
    <n v="1"/>
  </r>
  <r>
    <m/>
    <m/>
    <x v="1"/>
    <s v="51601341001003"/>
    <n v="-29.29"/>
    <n v="747"/>
    <n v="1"/>
    <n v="1"/>
  </r>
  <r>
    <m/>
    <m/>
    <x v="1"/>
    <s v="51604071001005"/>
    <n v="-23.09"/>
    <n v="589"/>
    <n v="1"/>
    <n v="1"/>
  </r>
  <r>
    <m/>
    <m/>
    <x v="1"/>
    <s v="51618981001001"/>
    <n v="-103.98"/>
    <n v="2652"/>
    <n v="1"/>
    <n v="1"/>
  </r>
  <r>
    <m/>
    <m/>
    <x v="1"/>
    <s v="51625911001001"/>
    <n v="-74.19"/>
    <n v="1892"/>
    <n v="1"/>
    <n v="1"/>
  </r>
  <r>
    <m/>
    <m/>
    <x v="1"/>
    <s v="52072311002001"/>
    <n v="-122.26"/>
    <n v="3118"/>
    <n v="1"/>
    <n v="1"/>
  </r>
  <r>
    <m/>
    <m/>
    <x v="1"/>
    <s v="52219018001001"/>
    <n v="-21.76"/>
    <n v="555"/>
    <n v="1"/>
    <n v="1"/>
  </r>
  <r>
    <m/>
    <m/>
    <x v="1"/>
    <s v="52439752001001"/>
    <n v="-17.329999999999998"/>
    <n v="442"/>
    <n v="1"/>
    <n v="1"/>
  </r>
  <r>
    <m/>
    <m/>
    <x v="1"/>
    <s v="52553675001011"/>
    <n v="-77.48"/>
    <n v="1976"/>
    <n v="1"/>
    <n v="1"/>
  </r>
  <r>
    <m/>
    <m/>
    <x v="1"/>
    <s v="52724555001001"/>
    <n v="-106.38"/>
    <n v="2713"/>
    <n v="1"/>
    <n v="1"/>
  </r>
  <r>
    <m/>
    <m/>
    <x v="1"/>
    <s v="52815374001001"/>
    <n v="-40.94"/>
    <n v="1044"/>
    <n v="1"/>
    <n v="1"/>
  </r>
  <r>
    <m/>
    <m/>
    <x v="1"/>
    <s v="52896992001002"/>
    <n v="-55.05"/>
    <n v="1404"/>
    <n v="1"/>
    <n v="1"/>
  </r>
  <r>
    <m/>
    <m/>
    <x v="1"/>
    <s v="52981742001003"/>
    <n v="-46.58"/>
    <n v="1188"/>
    <n v="1"/>
    <n v="1"/>
  </r>
  <r>
    <m/>
    <m/>
    <x v="1"/>
    <s v="53108976001002"/>
    <n v="-65.790000000000006"/>
    <n v="1678"/>
    <n v="1"/>
    <n v="1"/>
  </r>
  <r>
    <m/>
    <m/>
    <x v="1"/>
    <s v="53180045001003"/>
    <n v="-78.42"/>
    <n v="2000"/>
    <n v="1"/>
    <n v="1"/>
  </r>
  <r>
    <m/>
    <m/>
    <x v="1"/>
    <s v="53279419001001"/>
    <n v="-24.43"/>
    <n v="623"/>
    <n v="1"/>
    <n v="1"/>
  </r>
  <r>
    <m/>
    <m/>
    <x v="1"/>
    <s v="53287877001001"/>
    <n v="-110.96"/>
    <n v="2830"/>
    <n v="1"/>
    <n v="1"/>
  </r>
  <r>
    <m/>
    <m/>
    <x v="1"/>
    <s v="53425442001001"/>
    <n v="-84.69"/>
    <n v="2160"/>
    <n v="1"/>
    <n v="1"/>
  </r>
  <r>
    <m/>
    <m/>
    <x v="1"/>
    <s v="53681358001002"/>
    <n v="-53.87"/>
    <n v="1374"/>
    <n v="1"/>
    <n v="1"/>
  </r>
  <r>
    <m/>
    <m/>
    <x v="1"/>
    <s v="53697250001001"/>
    <n v="-81.709999999999994"/>
    <n v="2084"/>
    <n v="1"/>
    <n v="1"/>
  </r>
  <r>
    <m/>
    <m/>
    <x v="1"/>
    <s v="53915118004001"/>
    <n v="-106.65"/>
    <n v="2720"/>
    <n v="1"/>
    <n v="1"/>
  </r>
  <r>
    <m/>
    <m/>
    <x v="1"/>
    <s v="54019982001004"/>
    <n v="-116.57"/>
    <n v="2973"/>
    <n v="1"/>
    <n v="1"/>
  </r>
  <r>
    <m/>
    <m/>
    <x v="1"/>
    <s v="54084274001001"/>
    <n v="-4.3099999999999996"/>
    <n v="110"/>
    <n v="1"/>
    <n v="1"/>
  </r>
  <r>
    <m/>
    <m/>
    <x v="1"/>
    <s v="54146036001001"/>
    <n v="-86.07"/>
    <n v="2195"/>
    <n v="1"/>
    <n v="1"/>
  </r>
  <r>
    <m/>
    <m/>
    <x v="1"/>
    <s v="54155574001001"/>
    <n v="-42.43"/>
    <n v="1082"/>
    <n v="1"/>
    <n v="1"/>
  </r>
  <r>
    <m/>
    <m/>
    <x v="1"/>
    <s v="54362749001005"/>
    <n v="-66.150000000000006"/>
    <n v="1687"/>
    <n v="1"/>
    <n v="1"/>
  </r>
  <r>
    <m/>
    <m/>
    <x v="1"/>
    <s v="54555658001004"/>
    <n v="-149.86000000000001"/>
    <n v="3822"/>
    <n v="1"/>
    <n v="1"/>
  </r>
  <r>
    <m/>
    <m/>
    <x v="1"/>
    <s v="54604589002003"/>
    <n v="-19.329999999999998"/>
    <n v="493"/>
    <n v="1"/>
    <n v="1"/>
  </r>
  <r>
    <m/>
    <m/>
    <x v="1"/>
    <s v="54768692001001"/>
    <n v="-277.61"/>
    <n v="7080"/>
    <n v="1"/>
    <n v="1"/>
  </r>
  <r>
    <m/>
    <m/>
    <x v="1"/>
    <s v="54807945001001"/>
    <n v="-52.27"/>
    <n v="1333"/>
    <n v="1"/>
    <n v="1"/>
  </r>
  <r>
    <m/>
    <m/>
    <x v="1"/>
    <s v="54875955001001"/>
    <n v="-78.03"/>
    <n v="1990"/>
    <n v="1"/>
    <n v="1"/>
  </r>
  <r>
    <m/>
    <m/>
    <x v="1"/>
    <s v="54915640001001"/>
    <n v="-79.83"/>
    <n v="2036"/>
    <n v="1"/>
    <n v="1"/>
  </r>
  <r>
    <m/>
    <m/>
    <x v="1"/>
    <s v="54934096001001"/>
    <n v="-94.42"/>
    <n v="2408"/>
    <n v="1"/>
    <n v="1"/>
  </r>
  <r>
    <m/>
    <m/>
    <x v="1"/>
    <s v="55036747001002"/>
    <n v="-96.85"/>
    <n v="2470"/>
    <n v="1"/>
    <n v="1"/>
  </r>
  <r>
    <m/>
    <m/>
    <x v="1"/>
    <s v="55116401001003"/>
    <n v="-39.049999999999997"/>
    <n v="996"/>
    <n v="1"/>
    <n v="1"/>
  </r>
  <r>
    <m/>
    <m/>
    <x v="1"/>
    <s v="55208319002001"/>
    <n v="-138.44999999999999"/>
    <n v="3531"/>
    <n v="1"/>
    <n v="1"/>
  </r>
  <r>
    <m/>
    <m/>
    <x v="1"/>
    <s v="55514801001013"/>
    <n v="-26.47"/>
    <n v="675"/>
    <n v="1"/>
    <n v="1"/>
  </r>
  <r>
    <m/>
    <m/>
    <x v="1"/>
    <s v="55598081001003"/>
    <n v="-56.7"/>
    <n v="1446"/>
    <n v="1"/>
    <n v="1"/>
  </r>
  <r>
    <m/>
    <m/>
    <x v="1"/>
    <s v="55776761001013"/>
    <n v="-86.73"/>
    <n v="2212"/>
    <n v="1"/>
    <n v="1"/>
  </r>
  <r>
    <m/>
    <m/>
    <x v="1"/>
    <s v="55852549001005"/>
    <n v="-90.34"/>
    <n v="2304"/>
    <n v="1"/>
    <n v="1"/>
  </r>
  <r>
    <m/>
    <m/>
    <x v="1"/>
    <s v="56051310004001"/>
    <n v="-145.38999999999999"/>
    <n v="3708"/>
    <n v="1"/>
    <n v="1"/>
  </r>
  <r>
    <m/>
    <m/>
    <x v="1"/>
    <s v="56056275001001"/>
    <n v="-3.69"/>
    <n v="94"/>
    <n v="1"/>
    <n v="1"/>
  </r>
  <r>
    <m/>
    <m/>
    <x v="1"/>
    <s v="56272890001001"/>
    <n v="-51.91"/>
    <n v="1324"/>
    <n v="1"/>
    <n v="1"/>
  </r>
  <r>
    <m/>
    <m/>
    <x v="1"/>
    <s v="56308644001003"/>
    <n v="-79.95"/>
    <n v="2039"/>
    <n v="1"/>
    <n v="1"/>
  </r>
  <r>
    <m/>
    <m/>
    <x v="1"/>
    <s v="56463265001003"/>
    <n v="-73.48"/>
    <n v="1874"/>
    <n v="1"/>
    <n v="1"/>
  </r>
  <r>
    <m/>
    <m/>
    <x v="1"/>
    <s v="56607981001002"/>
    <n v="-12.78"/>
    <n v="326"/>
    <n v="1"/>
    <n v="1"/>
  </r>
  <r>
    <m/>
    <m/>
    <x v="1"/>
    <s v="56726418001010"/>
    <n v="-65.56"/>
    <n v="1672"/>
    <n v="1"/>
    <n v="1"/>
  </r>
  <r>
    <m/>
    <m/>
    <x v="1"/>
    <s v="56745375001001"/>
    <n v="-32.86"/>
    <n v="838"/>
    <n v="1"/>
    <n v="1"/>
  </r>
  <r>
    <m/>
    <m/>
    <x v="1"/>
    <s v="56940246001005"/>
    <n v="-41.95"/>
    <n v="1070"/>
    <n v="1"/>
    <n v="1"/>
  </r>
  <r>
    <m/>
    <m/>
    <x v="1"/>
    <s v="56979825001002"/>
    <n v="-30.35"/>
    <n v="774"/>
    <n v="1"/>
    <n v="1"/>
  </r>
  <r>
    <m/>
    <m/>
    <x v="1"/>
    <s v="57629831001001"/>
    <n v="-112.34"/>
    <n v="2865"/>
    <n v="1"/>
    <n v="1"/>
  </r>
  <r>
    <m/>
    <m/>
    <x v="1"/>
    <s v="58035525001001"/>
    <n v="-30.19"/>
    <n v="770"/>
    <n v="1"/>
    <n v="1"/>
  </r>
  <r>
    <m/>
    <m/>
    <x v="1"/>
    <s v="58161623001001"/>
    <n v="-76.540000000000006"/>
    <n v="1952"/>
    <n v="1"/>
    <n v="1"/>
  </r>
  <r>
    <m/>
    <m/>
    <x v="1"/>
    <s v="58195945001003"/>
    <n v="-211.03"/>
    <n v="5382"/>
    <n v="1"/>
    <n v="1"/>
  </r>
  <r>
    <m/>
    <m/>
    <x v="1"/>
    <s v="58413059001001"/>
    <n v="-79.48"/>
    <n v="2027"/>
    <n v="1"/>
    <n v="1"/>
  </r>
  <r>
    <m/>
    <m/>
    <x v="1"/>
    <s v="58619499001001"/>
    <n v="-143.63"/>
    <n v="3663"/>
    <n v="1"/>
    <n v="1"/>
  </r>
  <r>
    <m/>
    <m/>
    <x v="1"/>
    <s v="58704052001001"/>
    <n v="-17.45"/>
    <n v="445"/>
    <n v="1"/>
    <n v="1"/>
  </r>
  <r>
    <m/>
    <m/>
    <x v="1"/>
    <s v="58708783001003"/>
    <n v="-130.80000000000001"/>
    <n v="3336"/>
    <n v="1"/>
    <n v="1"/>
  </r>
  <r>
    <m/>
    <m/>
    <x v="1"/>
    <s v="58876732001003"/>
    <n v="-115.12"/>
    <n v="2936"/>
    <n v="1"/>
    <n v="1"/>
  </r>
  <r>
    <m/>
    <m/>
    <x v="1"/>
    <s v="58961407001001"/>
    <n v="-8.67"/>
    <n v="221"/>
    <n v="1"/>
    <n v="1"/>
  </r>
  <r>
    <m/>
    <m/>
    <x v="1"/>
    <s v="59201289002001"/>
    <n v="-35.090000000000003"/>
    <n v="895"/>
    <n v="1"/>
    <n v="1"/>
  </r>
  <r>
    <m/>
    <m/>
    <x v="1"/>
    <s v="59304140001003"/>
    <n v="-160.84"/>
    <n v="4102"/>
    <n v="1"/>
    <n v="1"/>
  </r>
  <r>
    <m/>
    <m/>
    <x v="1"/>
    <s v="59498637001004"/>
    <n v="-85.44"/>
    <n v="2179"/>
    <n v="1"/>
    <n v="1"/>
  </r>
  <r>
    <m/>
    <m/>
    <x v="1"/>
    <s v="59553713001001"/>
    <n v="-88.42"/>
    <n v="2255"/>
    <n v="1"/>
    <n v="1"/>
  </r>
  <r>
    <m/>
    <m/>
    <x v="1"/>
    <s v="59657734001001"/>
    <n v="-79.36"/>
    <n v="2024"/>
    <n v="1"/>
    <n v="1"/>
  </r>
  <r>
    <m/>
    <m/>
    <x v="1"/>
    <s v="59739422001001"/>
    <n v="-73.87"/>
    <n v="1884"/>
    <n v="1"/>
    <n v="1"/>
  </r>
  <r>
    <m/>
    <m/>
    <x v="1"/>
    <s v="59766552006003"/>
    <n v="-10.08"/>
    <n v="257"/>
    <n v="1"/>
    <n v="1"/>
  </r>
  <r>
    <m/>
    <m/>
    <x v="1"/>
    <s v="60130241001001"/>
    <n v="-31.8"/>
    <n v="811"/>
    <n v="1"/>
    <n v="1"/>
  </r>
  <r>
    <m/>
    <m/>
    <x v="1"/>
    <s v="60176479001001"/>
    <n v="-78.34"/>
    <n v="1998"/>
    <n v="1"/>
    <n v="1"/>
  </r>
  <r>
    <m/>
    <m/>
    <x v="1"/>
    <s v="60460345001001"/>
    <n v="-33.880000000000003"/>
    <n v="864"/>
    <n v="1"/>
    <n v="1"/>
  </r>
  <r>
    <m/>
    <m/>
    <x v="1"/>
    <s v="60469517001003"/>
    <n v="-76.34"/>
    <n v="1947"/>
    <n v="1"/>
    <n v="1"/>
  </r>
  <r>
    <m/>
    <m/>
    <x v="1"/>
    <s v="60544922001001"/>
    <n v="-35.450000000000003"/>
    <n v="904"/>
    <n v="1"/>
    <n v="1"/>
  </r>
  <r>
    <m/>
    <m/>
    <x v="1"/>
    <s v="60623325001001"/>
    <n v="-89.87"/>
    <n v="2292"/>
    <n v="1"/>
    <n v="1"/>
  </r>
  <r>
    <m/>
    <m/>
    <x v="1"/>
    <s v="60708476001002"/>
    <n v="-89.32"/>
    <n v="2278"/>
    <n v="1"/>
    <n v="1"/>
  </r>
  <r>
    <m/>
    <m/>
    <x v="1"/>
    <s v="60721174001011"/>
    <n v="-59.36"/>
    <n v="1514"/>
    <n v="1"/>
    <n v="1"/>
  </r>
  <r>
    <m/>
    <m/>
    <x v="1"/>
    <s v="60784386002004"/>
    <n v="-78.58"/>
    <n v="2004"/>
    <n v="1"/>
    <n v="1"/>
  </r>
  <r>
    <m/>
    <m/>
    <x v="1"/>
    <s v="60790565001008"/>
    <n v="-133.27000000000001"/>
    <n v="3399"/>
    <n v="1"/>
    <n v="1"/>
  </r>
  <r>
    <m/>
    <m/>
    <x v="1"/>
    <s v="60952463002005"/>
    <n v="-11.8"/>
    <n v="301"/>
    <n v="1"/>
    <n v="1"/>
  </r>
  <r>
    <m/>
    <m/>
    <x v="1"/>
    <s v="61201741003001"/>
    <n v="-62.89"/>
    <n v="1604"/>
    <n v="1"/>
    <n v="1"/>
  </r>
  <r>
    <m/>
    <m/>
    <x v="1"/>
    <s v="61308081001001"/>
    <n v="-101.44"/>
    <n v="2587"/>
    <n v="1"/>
    <n v="1"/>
  </r>
  <r>
    <m/>
    <m/>
    <x v="1"/>
    <s v="61432189003001"/>
    <n v="-33.369999999999997"/>
    <n v="851"/>
    <n v="1"/>
    <n v="1"/>
  </r>
  <r>
    <m/>
    <m/>
    <x v="1"/>
    <s v="61690664001003"/>
    <n v="-13.96"/>
    <n v="356"/>
    <n v="1"/>
    <n v="1"/>
  </r>
  <r>
    <m/>
    <m/>
    <x v="1"/>
    <s v="61919998001001"/>
    <n v="-93.83"/>
    <n v="2393"/>
    <n v="1"/>
    <n v="1"/>
  </r>
  <r>
    <m/>
    <m/>
    <x v="1"/>
    <s v="61959666001001"/>
    <n v="-106.57"/>
    <n v="2718"/>
    <n v="1"/>
    <n v="1"/>
  </r>
  <r>
    <m/>
    <m/>
    <x v="1"/>
    <s v="62003086001001"/>
    <n v="-108.22"/>
    <n v="2760"/>
    <n v="1"/>
    <n v="1"/>
  </r>
  <r>
    <m/>
    <m/>
    <x v="1"/>
    <s v="62091193002001"/>
    <n v="-52.97"/>
    <n v="1351"/>
    <n v="1"/>
    <n v="1"/>
  </r>
  <r>
    <m/>
    <m/>
    <x v="1"/>
    <s v="62182271001002"/>
    <n v="-99.75"/>
    <n v="2544"/>
    <n v="1"/>
    <n v="1"/>
  </r>
  <r>
    <m/>
    <m/>
    <x v="1"/>
    <s v="62268891001001"/>
    <n v="-70.81"/>
    <n v="1806"/>
    <n v="1"/>
    <n v="1"/>
  </r>
  <r>
    <m/>
    <m/>
    <x v="1"/>
    <s v="62305746001001"/>
    <n v="-73.709999999999994"/>
    <n v="1880"/>
    <n v="1"/>
    <n v="1"/>
  </r>
  <r>
    <m/>
    <m/>
    <x v="1"/>
    <s v="62498679001005"/>
    <n v="-32.54"/>
    <n v="830"/>
    <n v="1"/>
    <n v="1"/>
  </r>
  <r>
    <m/>
    <m/>
    <x v="1"/>
    <s v="62531889001001"/>
    <n v="-38.619999999999997"/>
    <n v="985"/>
    <n v="1"/>
    <n v="1"/>
  </r>
  <r>
    <m/>
    <m/>
    <x v="1"/>
    <s v="62620561001002"/>
    <n v="-75.87"/>
    <n v="1935"/>
    <n v="1"/>
    <n v="1"/>
  </r>
  <r>
    <m/>
    <m/>
    <x v="1"/>
    <s v="62712929001001"/>
    <n v="-68.58"/>
    <n v="1749"/>
    <n v="1"/>
    <n v="1"/>
  </r>
  <r>
    <m/>
    <m/>
    <x v="1"/>
    <s v="62878804001007"/>
    <n v="-159.22999999999999"/>
    <n v="4061"/>
    <n v="1"/>
    <n v="1"/>
  </r>
  <r>
    <m/>
    <m/>
    <x v="1"/>
    <s v="63123242001001"/>
    <n v="-147.16"/>
    <n v="3753"/>
    <n v="1"/>
    <n v="1"/>
  </r>
  <r>
    <m/>
    <m/>
    <x v="1"/>
    <s v="63172903002001"/>
    <n v="-29.64"/>
    <n v="756"/>
    <n v="1"/>
    <n v="1"/>
  </r>
  <r>
    <m/>
    <m/>
    <x v="1"/>
    <s v="63196464001001"/>
    <n v="-80.69"/>
    <n v="2058"/>
    <n v="1"/>
    <n v="1"/>
  </r>
  <r>
    <m/>
    <m/>
    <x v="1"/>
    <s v="63263435001001"/>
    <n v="-72.34"/>
    <n v="1845"/>
    <n v="1"/>
    <n v="1"/>
  </r>
  <r>
    <m/>
    <m/>
    <x v="1"/>
    <s v="63421413002003"/>
    <n v="-23.88"/>
    <n v="609"/>
    <n v="1"/>
    <n v="1"/>
  </r>
  <r>
    <m/>
    <m/>
    <x v="1"/>
    <s v="63473427001003"/>
    <n v="-53.33"/>
    <n v="1360"/>
    <n v="1"/>
    <n v="1"/>
  </r>
  <r>
    <m/>
    <m/>
    <x v="1"/>
    <s v="63586086001002"/>
    <n v="-24.86"/>
    <n v="634"/>
    <n v="1"/>
    <n v="1"/>
  </r>
  <r>
    <m/>
    <m/>
    <x v="1"/>
    <s v="63875460001002"/>
    <n v="-52.19"/>
    <n v="1331"/>
    <n v="1"/>
    <n v="1"/>
  </r>
  <r>
    <m/>
    <m/>
    <x v="1"/>
    <s v="63898256001003"/>
    <n v="-45.91"/>
    <n v="1171"/>
    <n v="1"/>
    <n v="1"/>
  </r>
  <r>
    <m/>
    <m/>
    <x v="1"/>
    <s v="64490982003003"/>
    <n v="-25.13"/>
    <n v="641"/>
    <n v="1"/>
    <n v="1"/>
  </r>
  <r>
    <m/>
    <m/>
    <x v="1"/>
    <s v="64587795001002"/>
    <n v="-69.36"/>
    <n v="1769"/>
    <n v="1"/>
    <n v="1"/>
  </r>
  <r>
    <m/>
    <m/>
    <x v="1"/>
    <s v="64653489001002"/>
    <n v="-67.989999999999995"/>
    <n v="1734"/>
    <n v="1"/>
    <n v="1"/>
  </r>
  <r>
    <m/>
    <m/>
    <x v="1"/>
    <s v="64802495002001"/>
    <n v="-69.09"/>
    <n v="1762"/>
    <n v="1"/>
    <n v="1"/>
  </r>
  <r>
    <m/>
    <m/>
    <x v="1"/>
    <s v="64815090001001"/>
    <n v="-23.64"/>
    <n v="603"/>
    <n v="1"/>
    <n v="1"/>
  </r>
  <r>
    <m/>
    <m/>
    <x v="1"/>
    <s v="64826160001001"/>
    <n v="-72.260000000000005"/>
    <n v="1843"/>
    <n v="1"/>
    <n v="1"/>
  </r>
  <r>
    <m/>
    <m/>
    <x v="1"/>
    <s v="65098964002001"/>
    <n v="-109.91"/>
    <n v="2803"/>
    <n v="1"/>
    <n v="1"/>
  </r>
  <r>
    <m/>
    <m/>
    <x v="1"/>
    <s v="65242015001001"/>
    <n v="-24.51"/>
    <n v="625"/>
    <n v="1"/>
    <n v="1"/>
  </r>
  <r>
    <m/>
    <m/>
    <x v="1"/>
    <s v="65270935001002"/>
    <n v="-80.22"/>
    <n v="2046"/>
    <n v="1"/>
    <n v="1"/>
  </r>
  <r>
    <m/>
    <m/>
    <x v="1"/>
    <s v="65395282001003"/>
    <n v="-42.43"/>
    <n v="1082"/>
    <n v="1"/>
    <n v="1"/>
  </r>
  <r>
    <m/>
    <m/>
    <x v="1"/>
    <s v="65413433002003"/>
    <n v="-38.54"/>
    <n v="983"/>
    <n v="1"/>
    <n v="1"/>
  </r>
  <r>
    <m/>
    <m/>
    <x v="1"/>
    <s v="65447350001002"/>
    <n v="-29.72"/>
    <n v="758"/>
    <n v="1"/>
    <n v="1"/>
  </r>
  <r>
    <m/>
    <m/>
    <x v="1"/>
    <s v="65474469002008"/>
    <n v="-34.74"/>
    <n v="886"/>
    <n v="1"/>
    <n v="1"/>
  </r>
  <r>
    <m/>
    <m/>
    <x v="1"/>
    <s v="65633759005001"/>
    <n v="-119.12"/>
    <n v="3038"/>
    <n v="1"/>
    <n v="1"/>
  </r>
  <r>
    <m/>
    <m/>
    <x v="1"/>
    <s v="65715070001005"/>
    <n v="-114.22"/>
    <n v="2913"/>
    <n v="1"/>
    <n v="1"/>
  </r>
  <r>
    <m/>
    <m/>
    <x v="1"/>
    <s v="65734956001007"/>
    <n v="-114.41"/>
    <n v="2918"/>
    <n v="1"/>
    <n v="1"/>
  </r>
  <r>
    <m/>
    <m/>
    <x v="1"/>
    <s v="65798712001005"/>
    <n v="-72.930000000000007"/>
    <n v="1860"/>
    <n v="1"/>
    <n v="1"/>
  </r>
  <r>
    <m/>
    <m/>
    <x v="1"/>
    <s v="65818545001003"/>
    <n v="-101.12"/>
    <n v="2579"/>
    <n v="1"/>
    <n v="1"/>
  </r>
  <r>
    <m/>
    <m/>
    <x v="1"/>
    <s v="65819822001006"/>
    <n v="-101.71"/>
    <n v="2594"/>
    <n v="1"/>
    <n v="1"/>
  </r>
  <r>
    <m/>
    <m/>
    <x v="1"/>
    <s v="66122783001004"/>
    <n v="-26.35"/>
    <n v="672"/>
    <n v="1"/>
    <n v="1"/>
  </r>
  <r>
    <m/>
    <m/>
    <x v="1"/>
    <s v="66219418001001"/>
    <n v="-28.94"/>
    <n v="738"/>
    <n v="1"/>
    <n v="1"/>
  </r>
  <r>
    <m/>
    <m/>
    <x v="1"/>
    <s v="66421133001001"/>
    <n v="-53.72"/>
    <n v="1370"/>
    <n v="1"/>
    <n v="1"/>
  </r>
  <r>
    <m/>
    <m/>
    <x v="1"/>
    <s v="66526766001001"/>
    <n v="-4.82"/>
    <n v="123"/>
    <n v="1"/>
    <n v="1"/>
  </r>
  <r>
    <m/>
    <m/>
    <x v="1"/>
    <s v="66682187001003"/>
    <n v="-85.95"/>
    <n v="2192"/>
    <n v="1"/>
    <n v="1"/>
  </r>
  <r>
    <m/>
    <m/>
    <x v="1"/>
    <s v="66758040001002"/>
    <n v="-9.8800000000000008"/>
    <n v="252"/>
    <n v="1"/>
    <n v="1"/>
  </r>
  <r>
    <m/>
    <m/>
    <x v="1"/>
    <s v="66942119001003"/>
    <n v="-24.82"/>
    <n v="633"/>
    <n v="1"/>
    <n v="1"/>
  </r>
  <r>
    <m/>
    <m/>
    <x v="1"/>
    <s v="67084260003001"/>
    <n v="-3.33"/>
    <n v="85"/>
    <n v="1"/>
    <n v="1"/>
  </r>
  <r>
    <m/>
    <m/>
    <x v="1"/>
    <s v="67267992001001"/>
    <n v="-79.87"/>
    <n v="2037"/>
    <n v="1"/>
    <n v="1"/>
  </r>
  <r>
    <m/>
    <m/>
    <x v="1"/>
    <s v="67277026001001"/>
    <n v="-29.25"/>
    <n v="746"/>
    <n v="1"/>
    <n v="1"/>
  </r>
  <r>
    <m/>
    <m/>
    <x v="1"/>
    <s v="67361765001002"/>
    <n v="-86.07"/>
    <n v="2195"/>
    <n v="1"/>
    <n v="1"/>
  </r>
  <r>
    <m/>
    <m/>
    <x v="1"/>
    <s v="67563007001003"/>
    <n v="-120.69"/>
    <n v="3078"/>
    <n v="1"/>
    <n v="1"/>
  </r>
  <r>
    <m/>
    <m/>
    <x v="1"/>
    <s v="67683314001002"/>
    <n v="-3.72"/>
    <n v="95"/>
    <n v="1"/>
    <n v="1"/>
  </r>
  <r>
    <m/>
    <m/>
    <x v="1"/>
    <s v="68101697001005"/>
    <n v="-70.930000000000007"/>
    <n v="1809"/>
    <n v="1"/>
    <n v="1"/>
  </r>
  <r>
    <m/>
    <m/>
    <x v="1"/>
    <s v="68146157001004"/>
    <n v="-26.98"/>
    <n v="688"/>
    <n v="1"/>
    <n v="1"/>
  </r>
  <r>
    <m/>
    <m/>
    <x v="1"/>
    <s v="68156471001004"/>
    <n v="-40.31"/>
    <n v="1028"/>
    <n v="1"/>
    <n v="1"/>
  </r>
  <r>
    <m/>
    <m/>
    <x v="1"/>
    <s v="68261372001003"/>
    <n v="-77.2"/>
    <n v="1969"/>
    <n v="1"/>
    <n v="1"/>
  </r>
  <r>
    <m/>
    <m/>
    <x v="1"/>
    <s v="68338933001001"/>
    <n v="-117.63"/>
    <n v="3000"/>
    <n v="1"/>
    <n v="1"/>
  </r>
  <r>
    <m/>
    <m/>
    <x v="1"/>
    <s v="68419291001001"/>
    <n v="-165.15"/>
    <n v="4212"/>
    <n v="1"/>
    <n v="1"/>
  </r>
  <r>
    <m/>
    <m/>
    <x v="1"/>
    <s v="68453365001003"/>
    <n v="-67.010000000000005"/>
    <n v="1709"/>
    <n v="1"/>
    <n v="1"/>
  </r>
  <r>
    <m/>
    <m/>
    <x v="1"/>
    <s v="68461671002003"/>
    <n v="-49.64"/>
    <n v="1266"/>
    <n v="1"/>
    <n v="1"/>
  </r>
  <r>
    <m/>
    <m/>
    <x v="1"/>
    <s v="68471539001001"/>
    <n v="-9.25"/>
    <n v="236"/>
    <n v="1"/>
    <n v="1"/>
  </r>
  <r>
    <m/>
    <m/>
    <x v="1"/>
    <s v="68562129001001"/>
    <n v="-76.22"/>
    <n v="1944"/>
    <n v="1"/>
    <n v="1"/>
  </r>
  <r>
    <m/>
    <m/>
    <x v="1"/>
    <s v="68711288001003"/>
    <n v="-137.71"/>
    <n v="3512"/>
    <n v="1"/>
    <n v="1"/>
  </r>
  <r>
    <m/>
    <m/>
    <x v="1"/>
    <s v="68836312001001"/>
    <n v="-27.8"/>
    <n v="709"/>
    <n v="1"/>
    <n v="1"/>
  </r>
  <r>
    <m/>
    <m/>
    <x v="1"/>
    <s v="68894705001001"/>
    <n v="-22.11"/>
    <n v="564"/>
    <n v="1"/>
    <n v="1"/>
  </r>
  <r>
    <m/>
    <m/>
    <x v="1"/>
    <s v="68970693005001"/>
    <n v="-79.75"/>
    <n v="2034"/>
    <n v="1"/>
    <n v="1"/>
  </r>
  <r>
    <m/>
    <m/>
    <x v="1"/>
    <s v="69170739001001"/>
    <n v="-35.76"/>
    <n v="912"/>
    <n v="1"/>
    <n v="1"/>
  </r>
  <r>
    <m/>
    <m/>
    <x v="1"/>
    <s v="69208025001001"/>
    <n v="-49.21"/>
    <n v="1255"/>
    <n v="1"/>
    <n v="1"/>
  </r>
  <r>
    <m/>
    <m/>
    <x v="1"/>
    <s v="69340720001002"/>
    <n v="-97.95"/>
    <n v="2498"/>
    <n v="1"/>
    <n v="1"/>
  </r>
  <r>
    <m/>
    <m/>
    <x v="1"/>
    <s v="69343800002003"/>
    <n v="-66.069999999999993"/>
    <n v="1685"/>
    <n v="1"/>
    <n v="1"/>
  </r>
  <r>
    <m/>
    <m/>
    <x v="1"/>
    <s v="69443775003001"/>
    <n v="-138.06"/>
    <n v="3521"/>
    <n v="1"/>
    <n v="1"/>
  </r>
  <r>
    <m/>
    <m/>
    <x v="1"/>
    <s v="69542400001002"/>
    <n v="-103.2"/>
    <n v="2632"/>
    <n v="1"/>
    <n v="1"/>
  </r>
  <r>
    <m/>
    <m/>
    <x v="1"/>
    <s v="69570598001001"/>
    <n v="-96.1"/>
    <n v="2451"/>
    <n v="1"/>
    <n v="1"/>
  </r>
  <r>
    <m/>
    <m/>
    <x v="1"/>
    <s v="69596317004001"/>
    <n v="-77.44"/>
    <n v="1975"/>
    <n v="1"/>
    <n v="1"/>
  </r>
  <r>
    <m/>
    <m/>
    <x v="1"/>
    <s v="69704870003001"/>
    <n v="-100.89"/>
    <n v="2573"/>
    <n v="1"/>
    <n v="1"/>
  </r>
  <r>
    <m/>
    <m/>
    <x v="1"/>
    <s v="69878059001003"/>
    <n v="-0.63"/>
    <n v="16"/>
    <n v="1"/>
    <n v="1"/>
  </r>
  <r>
    <m/>
    <m/>
    <x v="1"/>
    <s v="69906946003001"/>
    <n v="-34.229999999999997"/>
    <n v="873"/>
    <n v="1"/>
    <n v="1"/>
  </r>
  <r>
    <m/>
    <m/>
    <x v="1"/>
    <s v="69952866001005"/>
    <n v="-24.43"/>
    <n v="623"/>
    <n v="1"/>
    <n v="1"/>
  </r>
  <r>
    <m/>
    <m/>
    <x v="1"/>
    <s v="70109905001001"/>
    <n v="-58.85"/>
    <n v="1501"/>
    <n v="1"/>
    <n v="1"/>
  </r>
  <r>
    <m/>
    <m/>
    <x v="1"/>
    <s v="70272425001001"/>
    <n v="-26.94"/>
    <n v="687"/>
    <n v="1"/>
    <n v="1"/>
  </r>
  <r>
    <m/>
    <m/>
    <x v="1"/>
    <s v="70350989002001"/>
    <n v="-15.49"/>
    <n v="395"/>
    <n v="1"/>
    <n v="1"/>
  </r>
  <r>
    <m/>
    <m/>
    <x v="1"/>
    <s v="70483477001001"/>
    <n v="-99.4"/>
    <n v="2535"/>
    <n v="1"/>
    <n v="1"/>
  </r>
  <r>
    <m/>
    <m/>
    <x v="1"/>
    <s v="70566844001001"/>
    <n v="-69.599999999999994"/>
    <n v="1775"/>
    <n v="1"/>
    <n v="1"/>
  </r>
  <r>
    <m/>
    <m/>
    <x v="1"/>
    <s v="70587997002003"/>
    <n v="-50.07"/>
    <n v="1277"/>
    <n v="1"/>
    <n v="1"/>
  </r>
  <r>
    <m/>
    <m/>
    <x v="1"/>
    <s v="70915951001003"/>
    <n v="-40.700000000000003"/>
    <n v="1038"/>
    <n v="1"/>
    <n v="1"/>
  </r>
  <r>
    <m/>
    <m/>
    <x v="1"/>
    <s v="70944177001002"/>
    <n v="-50.86"/>
    <n v="1297"/>
    <n v="1"/>
    <n v="1"/>
  </r>
  <r>
    <m/>
    <m/>
    <x v="1"/>
    <s v="71274854001001"/>
    <n v="-72.540000000000006"/>
    <n v="1850"/>
    <n v="1"/>
    <n v="1"/>
  </r>
  <r>
    <m/>
    <m/>
    <x v="1"/>
    <s v="71339719006001"/>
    <n v="-56.93"/>
    <n v="1452"/>
    <n v="1"/>
    <n v="1"/>
  </r>
  <r>
    <m/>
    <m/>
    <x v="1"/>
    <s v="71348793001001"/>
    <n v="-55.33"/>
    <n v="1411"/>
    <n v="1"/>
    <n v="1"/>
  </r>
  <r>
    <m/>
    <m/>
    <x v="1"/>
    <s v="71360086001001"/>
    <n v="-68.38"/>
    <n v="1744"/>
    <n v="1"/>
    <n v="1"/>
  </r>
  <r>
    <m/>
    <m/>
    <x v="1"/>
    <s v="71428133001002"/>
    <n v="-9.18"/>
    <n v="234"/>
    <n v="1"/>
    <n v="1"/>
  </r>
  <r>
    <m/>
    <m/>
    <x v="1"/>
    <s v="71625176001001"/>
    <n v="-57.72"/>
    <n v="1472"/>
    <n v="1"/>
    <n v="1"/>
  </r>
  <r>
    <m/>
    <m/>
    <x v="1"/>
    <s v="71771733001003"/>
    <n v="-84.26"/>
    <n v="2149"/>
    <n v="1"/>
    <n v="1"/>
  </r>
  <r>
    <m/>
    <m/>
    <x v="1"/>
    <s v="71822800001001"/>
    <n v="-146.49"/>
    <n v="3736"/>
    <n v="1"/>
    <n v="1"/>
  </r>
  <r>
    <m/>
    <m/>
    <x v="1"/>
    <s v="71835065001003"/>
    <n v="-40.35"/>
    <n v="1029"/>
    <n v="1"/>
    <n v="1"/>
  </r>
  <r>
    <m/>
    <m/>
    <x v="1"/>
    <s v="71968164001001"/>
    <n v="-149.35"/>
    <n v="3809"/>
    <n v="1"/>
    <n v="1"/>
  </r>
  <r>
    <m/>
    <m/>
    <x v="1"/>
    <s v="71983541001003"/>
    <n v="-71.790000000000006"/>
    <n v="1831"/>
    <n v="1"/>
    <n v="1"/>
  </r>
  <r>
    <m/>
    <m/>
    <x v="1"/>
    <s v="72021826001002"/>
    <n v="-217.03"/>
    <n v="5535"/>
    <n v="1"/>
    <n v="1"/>
  </r>
  <r>
    <m/>
    <m/>
    <x v="1"/>
    <s v="72116107007001"/>
    <n v="-12.98"/>
    <n v="331"/>
    <n v="1"/>
    <n v="1"/>
  </r>
  <r>
    <m/>
    <m/>
    <x v="1"/>
    <s v="72255939001003"/>
    <n v="-46.19"/>
    <n v="1178"/>
    <n v="1"/>
    <n v="1"/>
  </r>
  <r>
    <m/>
    <m/>
    <x v="1"/>
    <s v="72281719002001"/>
    <n v="-42.9"/>
    <n v="1094"/>
    <n v="1"/>
    <n v="1"/>
  </r>
  <r>
    <m/>
    <m/>
    <x v="1"/>
    <s v="72349625001002"/>
    <n v="-22.27"/>
    <n v="568"/>
    <n v="1"/>
    <n v="1"/>
  </r>
  <r>
    <m/>
    <m/>
    <x v="1"/>
    <s v="72414106001007"/>
    <n v="-69.83"/>
    <n v="1781"/>
    <n v="1"/>
    <n v="1"/>
  </r>
  <r>
    <m/>
    <m/>
    <x v="1"/>
    <s v="72889636001003"/>
    <n v="-129.16"/>
    <n v="3294"/>
    <n v="1"/>
    <n v="1"/>
  </r>
  <r>
    <m/>
    <m/>
    <x v="1"/>
    <s v="72947721001001"/>
    <n v="-2.23"/>
    <n v="57"/>
    <n v="1"/>
    <n v="1"/>
  </r>
  <r>
    <m/>
    <m/>
    <x v="1"/>
    <s v="73073162002001"/>
    <n v="-21.29"/>
    <n v="543"/>
    <n v="1"/>
    <n v="1"/>
  </r>
  <r>
    <m/>
    <m/>
    <x v="1"/>
    <s v="73183338001003"/>
    <n v="-61.72"/>
    <n v="1574"/>
    <n v="1"/>
    <n v="1"/>
  </r>
  <r>
    <m/>
    <m/>
    <x v="1"/>
    <s v="73183610001001"/>
    <n v="-45.25"/>
    <n v="1154"/>
    <n v="1"/>
    <n v="1"/>
  </r>
  <r>
    <m/>
    <m/>
    <x v="1"/>
    <s v="73241290002003"/>
    <n v="-59.91"/>
    <n v="1528"/>
    <n v="1"/>
    <n v="1"/>
  </r>
  <r>
    <m/>
    <m/>
    <x v="1"/>
    <s v="73630920001004"/>
    <n v="-55.99"/>
    <n v="1428"/>
    <n v="1"/>
    <n v="1"/>
  </r>
  <r>
    <m/>
    <m/>
    <x v="1"/>
    <s v="73695260003001"/>
    <n v="-26.66"/>
    <n v="680"/>
    <n v="1"/>
    <n v="1"/>
  </r>
  <r>
    <m/>
    <m/>
    <x v="1"/>
    <s v="73758151001001"/>
    <n v="-75.87"/>
    <n v="1935"/>
    <n v="1"/>
    <n v="1"/>
  </r>
  <r>
    <m/>
    <m/>
    <x v="1"/>
    <s v="73783764001001"/>
    <n v="-44.86"/>
    <n v="1144"/>
    <n v="1"/>
    <n v="1"/>
  </r>
  <r>
    <m/>
    <m/>
    <x v="1"/>
    <s v="74187446001006"/>
    <n v="-129.86000000000001"/>
    <n v="3312"/>
    <n v="1"/>
    <n v="1"/>
  </r>
  <r>
    <m/>
    <m/>
    <x v="1"/>
    <s v="74446426001001"/>
    <n v="-124.73"/>
    <n v="3181"/>
    <n v="1"/>
    <n v="1"/>
  </r>
  <r>
    <m/>
    <m/>
    <x v="1"/>
    <s v="75321301001004"/>
    <n v="-59.95"/>
    <n v="1529"/>
    <n v="1"/>
    <n v="1"/>
  </r>
  <r>
    <m/>
    <m/>
    <x v="1"/>
    <s v="75379491002001"/>
    <n v="-34.35"/>
    <n v="876"/>
    <n v="1"/>
    <n v="1"/>
  </r>
  <r>
    <m/>
    <m/>
    <x v="1"/>
    <s v="75404405001001"/>
    <n v="-35.520000000000003"/>
    <n v="906"/>
    <n v="1"/>
    <n v="1"/>
  </r>
  <r>
    <m/>
    <m/>
    <x v="1"/>
    <s v="75487883001003"/>
    <n v="-44.15"/>
    <n v="1126"/>
    <n v="1"/>
    <n v="1"/>
  </r>
  <r>
    <m/>
    <m/>
    <x v="1"/>
    <s v="75656650001006"/>
    <n v="-75.87"/>
    <n v="1935"/>
    <n v="1"/>
    <n v="1"/>
  </r>
  <r>
    <m/>
    <m/>
    <x v="1"/>
    <s v="75990063001006"/>
    <n v="-11.88"/>
    <n v="303"/>
    <n v="1"/>
    <n v="1"/>
  </r>
  <r>
    <m/>
    <m/>
    <x v="1"/>
    <s v="76051640001005"/>
    <n v="-42.19"/>
    <n v="1076"/>
    <n v="1"/>
    <n v="1"/>
  </r>
  <r>
    <m/>
    <m/>
    <x v="1"/>
    <s v="76419170001003"/>
    <n v="-75.989999999999995"/>
    <n v="1938"/>
    <n v="1"/>
    <n v="1"/>
  </r>
  <r>
    <m/>
    <m/>
    <x v="1"/>
    <s v="76824306001001"/>
    <n v="-48.35"/>
    <n v="1233"/>
    <n v="1"/>
    <n v="1"/>
  </r>
  <r>
    <m/>
    <m/>
    <x v="1"/>
    <s v="76834821003003"/>
    <n v="-13.72"/>
    <n v="350"/>
    <n v="1"/>
    <n v="1"/>
  </r>
  <r>
    <m/>
    <m/>
    <x v="1"/>
    <s v="76882051001003"/>
    <n v="-31.37"/>
    <n v="800"/>
    <n v="1"/>
    <n v="1"/>
  </r>
  <r>
    <m/>
    <m/>
    <x v="1"/>
    <s v="77034079001001"/>
    <n v="-63.25"/>
    <n v="1613"/>
    <n v="1"/>
    <n v="1"/>
  </r>
  <r>
    <m/>
    <m/>
    <x v="1"/>
    <s v="77289428001004"/>
    <n v="-45.41"/>
    <n v="1158"/>
    <n v="1"/>
    <n v="1"/>
  </r>
  <r>
    <m/>
    <m/>
    <x v="1"/>
    <s v="77431809001004"/>
    <n v="-110.06"/>
    <n v="2807"/>
    <n v="1"/>
    <n v="1"/>
  </r>
  <r>
    <m/>
    <m/>
    <x v="1"/>
    <s v="77456701001001"/>
    <n v="-82.3"/>
    <n v="2099"/>
    <n v="1"/>
    <n v="1"/>
  </r>
  <r>
    <m/>
    <m/>
    <x v="1"/>
    <s v="77469310001005"/>
    <n v="-80.5"/>
    <n v="2053"/>
    <n v="1"/>
    <n v="1"/>
  </r>
  <r>
    <m/>
    <m/>
    <x v="1"/>
    <s v="77538150006001"/>
    <n v="-62.81"/>
    <n v="1602"/>
    <n v="1"/>
    <n v="1"/>
  </r>
  <r>
    <m/>
    <m/>
    <x v="1"/>
    <s v="77813221001001"/>
    <n v="-8.74"/>
    <n v="223"/>
    <n v="1"/>
    <n v="1"/>
  </r>
  <r>
    <m/>
    <m/>
    <x v="1"/>
    <s v="77965745001001"/>
    <n v="-75.599999999999994"/>
    <n v="1928"/>
    <n v="1"/>
    <n v="1"/>
  </r>
  <r>
    <m/>
    <m/>
    <x v="1"/>
    <s v="77976864001001"/>
    <n v="-27.49"/>
    <n v="701"/>
    <n v="1"/>
    <n v="1"/>
  </r>
  <r>
    <m/>
    <m/>
    <x v="1"/>
    <s v="78002899002002"/>
    <n v="-94.38"/>
    <n v="2407"/>
    <n v="1"/>
    <n v="1"/>
  </r>
  <r>
    <m/>
    <m/>
    <x v="1"/>
    <s v="78040116001002"/>
    <n v="-112.89"/>
    <n v="2879"/>
    <n v="1"/>
    <n v="1"/>
  </r>
  <r>
    <m/>
    <m/>
    <x v="1"/>
    <s v="78107039001001"/>
    <n v="-12.51"/>
    <n v="319"/>
    <n v="1"/>
    <n v="1"/>
  </r>
  <r>
    <m/>
    <m/>
    <x v="1"/>
    <s v="78272932003021"/>
    <n v="-89.87"/>
    <n v="2292"/>
    <n v="1"/>
    <n v="1"/>
  </r>
  <r>
    <m/>
    <m/>
    <x v="1"/>
    <s v="78319567001011"/>
    <n v="-92.07"/>
    <n v="2348"/>
    <n v="1"/>
    <n v="1"/>
  </r>
  <r>
    <m/>
    <m/>
    <x v="1"/>
    <s v="78360766001001"/>
    <n v="-169.7"/>
    <n v="4328"/>
    <n v="1"/>
    <n v="1"/>
  </r>
  <r>
    <m/>
    <m/>
    <x v="1"/>
    <s v="78365326001003"/>
    <n v="-52.93"/>
    <n v="1350"/>
    <n v="1"/>
    <n v="1"/>
  </r>
  <r>
    <m/>
    <m/>
    <x v="1"/>
    <s v="78415920003009"/>
    <n v="-38.11"/>
    <n v="972"/>
    <n v="1"/>
    <n v="1"/>
  </r>
  <r>
    <m/>
    <m/>
    <x v="1"/>
    <s v="78981033002001"/>
    <n v="-138.44999999999999"/>
    <n v="3531"/>
    <n v="1"/>
    <n v="1"/>
  </r>
  <r>
    <m/>
    <m/>
    <x v="1"/>
    <s v="79262329001005"/>
    <n v="-59.83"/>
    <n v="1526"/>
    <n v="1"/>
    <n v="1"/>
  </r>
  <r>
    <m/>
    <m/>
    <x v="1"/>
    <s v="79691093001003"/>
    <n v="-72.38"/>
    <n v="1846"/>
    <n v="1"/>
    <n v="1"/>
  </r>
  <r>
    <m/>
    <m/>
    <x v="1"/>
    <s v="79692122001001"/>
    <n v="-79.400000000000006"/>
    <n v="2025"/>
    <n v="1"/>
    <n v="1"/>
  </r>
  <r>
    <m/>
    <m/>
    <x v="1"/>
    <s v="79728915002004"/>
    <n v="-91.05"/>
    <n v="2322"/>
    <n v="1"/>
    <n v="1"/>
  </r>
  <r>
    <m/>
    <m/>
    <x v="1"/>
    <s v="79876400001001"/>
    <n v="-54.46"/>
    <n v="1389"/>
    <n v="1"/>
    <n v="1"/>
  </r>
  <r>
    <m/>
    <m/>
    <x v="1"/>
    <s v="79989931001001"/>
    <n v="-23.29"/>
    <n v="594"/>
    <n v="1"/>
    <n v="1"/>
  </r>
  <r>
    <m/>
    <m/>
    <x v="1"/>
    <s v="80231406001003"/>
    <n v="-70.150000000000006"/>
    <n v="1789"/>
    <n v="1"/>
    <n v="1"/>
  </r>
  <r>
    <m/>
    <m/>
    <x v="1"/>
    <s v="80579052001003"/>
    <n v="-70.34"/>
    <n v="1794"/>
    <n v="1"/>
    <n v="1"/>
  </r>
  <r>
    <m/>
    <m/>
    <x v="1"/>
    <s v="80583516001005"/>
    <n v="-156.13"/>
    <n v="3982"/>
    <n v="1"/>
    <n v="1"/>
  </r>
  <r>
    <m/>
    <m/>
    <x v="1"/>
    <s v="80690359001001"/>
    <n v="-34.659999999999997"/>
    <n v="884"/>
    <n v="1"/>
    <n v="1"/>
  </r>
  <r>
    <m/>
    <m/>
    <x v="1"/>
    <s v="80691482001003"/>
    <n v="-73.91"/>
    <n v="1885"/>
    <n v="1"/>
    <n v="1"/>
  </r>
  <r>
    <m/>
    <m/>
    <x v="1"/>
    <s v="80927139001003"/>
    <n v="-38.9"/>
    <n v="992"/>
    <n v="1"/>
    <n v="1"/>
  </r>
  <r>
    <m/>
    <m/>
    <x v="1"/>
    <s v="81117422001006"/>
    <n v="-85.24"/>
    <n v="2174"/>
    <n v="1"/>
    <n v="1"/>
  </r>
  <r>
    <m/>
    <m/>
    <x v="1"/>
    <s v="81283750001001"/>
    <n v="-43.25"/>
    <n v="1103"/>
    <n v="1"/>
    <n v="1"/>
  </r>
  <r>
    <m/>
    <m/>
    <x v="1"/>
    <s v="81304932001001"/>
    <n v="-87.71"/>
    <n v="2237"/>
    <n v="1"/>
    <n v="1"/>
  </r>
  <r>
    <m/>
    <m/>
    <x v="1"/>
    <s v="81331550002001"/>
    <n v="-8.59"/>
    <n v="219"/>
    <n v="1"/>
    <n v="1"/>
  </r>
  <r>
    <m/>
    <m/>
    <x v="1"/>
    <s v="81337996001001"/>
    <n v="-111.67"/>
    <n v="2848"/>
    <n v="1"/>
    <n v="1"/>
  </r>
  <r>
    <m/>
    <m/>
    <x v="1"/>
    <s v="81404769001001"/>
    <n v="-3.41"/>
    <n v="87"/>
    <n v="1"/>
    <n v="1"/>
  </r>
  <r>
    <m/>
    <m/>
    <x v="1"/>
    <s v="81515835001001"/>
    <n v="-19.53"/>
    <n v="498"/>
    <n v="1"/>
    <n v="1"/>
  </r>
  <r>
    <m/>
    <m/>
    <x v="1"/>
    <s v="81678039001001"/>
    <n v="-39.29"/>
    <n v="1002"/>
    <n v="1"/>
    <n v="1"/>
  </r>
  <r>
    <m/>
    <m/>
    <x v="1"/>
    <s v="81890846004001"/>
    <n v="-59.6"/>
    <n v="1520"/>
    <n v="1"/>
    <n v="1"/>
  </r>
  <r>
    <m/>
    <m/>
    <x v="1"/>
    <s v="81905257001001"/>
    <n v="-84.97"/>
    <n v="2167"/>
    <n v="1"/>
    <n v="1"/>
  </r>
  <r>
    <m/>
    <m/>
    <x v="1"/>
    <s v="82041298001001"/>
    <n v="-126.02"/>
    <n v="3214"/>
    <n v="1"/>
    <n v="1"/>
  </r>
  <r>
    <m/>
    <m/>
    <x v="1"/>
    <s v="82061210002003"/>
    <n v="-84.65"/>
    <n v="2159"/>
    <n v="1"/>
    <n v="1"/>
  </r>
  <r>
    <m/>
    <m/>
    <x v="1"/>
    <s v="82090212005001"/>
    <n v="-82.97"/>
    <n v="2116"/>
    <n v="1"/>
    <n v="1"/>
  </r>
  <r>
    <m/>
    <m/>
    <x v="1"/>
    <s v="82301770001003"/>
    <n v="-53.95"/>
    <n v="1376"/>
    <n v="1"/>
    <n v="1"/>
  </r>
  <r>
    <m/>
    <m/>
    <x v="1"/>
    <s v="82411065001003"/>
    <n v="-4.74"/>
    <n v="121"/>
    <n v="1"/>
    <n v="1"/>
  </r>
  <r>
    <m/>
    <m/>
    <x v="1"/>
    <s v="82412634002004"/>
    <n v="-62.66"/>
    <n v="1598"/>
    <n v="1"/>
    <n v="1"/>
  </r>
  <r>
    <m/>
    <m/>
    <x v="1"/>
    <s v="82440956001001"/>
    <n v="-106.1"/>
    <n v="2706"/>
    <n v="1"/>
    <n v="1"/>
  </r>
  <r>
    <m/>
    <m/>
    <x v="1"/>
    <s v="82467652003001"/>
    <n v="-65.48"/>
    <n v="1670"/>
    <n v="1"/>
    <n v="1"/>
  </r>
  <r>
    <m/>
    <m/>
    <x v="1"/>
    <s v="82488681001001"/>
    <n v="-50.11"/>
    <n v="1278"/>
    <n v="1"/>
    <n v="1"/>
  </r>
  <r>
    <m/>
    <m/>
    <x v="1"/>
    <s v="82697231001002"/>
    <n v="-33.799999999999997"/>
    <n v="862"/>
    <n v="1"/>
    <n v="1"/>
  </r>
  <r>
    <m/>
    <m/>
    <x v="1"/>
    <s v="82800086001001"/>
    <n v="-55.91"/>
    <n v="1426"/>
    <n v="1"/>
    <n v="1"/>
  </r>
  <r>
    <m/>
    <m/>
    <x v="1"/>
    <s v="82877362001001"/>
    <n v="-37.92"/>
    <n v="967"/>
    <n v="1"/>
    <n v="1"/>
  </r>
  <r>
    <m/>
    <m/>
    <x v="1"/>
    <s v="83010955001001"/>
    <n v="-27.25"/>
    <n v="695"/>
    <n v="1"/>
    <n v="1"/>
  </r>
  <r>
    <m/>
    <m/>
    <x v="1"/>
    <s v="83187563001001"/>
    <n v="-44.97"/>
    <n v="1147"/>
    <n v="1"/>
    <n v="1"/>
  </r>
  <r>
    <m/>
    <m/>
    <x v="1"/>
    <s v="83637951001001"/>
    <n v="-0.59"/>
    <n v="15"/>
    <n v="1"/>
    <n v="1"/>
  </r>
  <r>
    <m/>
    <m/>
    <x v="1"/>
    <s v="83648881001001"/>
    <n v="-93.67"/>
    <n v="2389"/>
    <n v="1"/>
    <n v="1"/>
  </r>
  <r>
    <m/>
    <m/>
    <x v="1"/>
    <s v="83981932001002"/>
    <n v="-2.98"/>
    <n v="76"/>
    <n v="1"/>
    <n v="1"/>
  </r>
  <r>
    <m/>
    <m/>
    <x v="1"/>
    <s v="84030372005001"/>
    <n v="-95.2"/>
    <n v="2428"/>
    <n v="2"/>
    <n v="1"/>
  </r>
  <r>
    <m/>
    <m/>
    <x v="1"/>
    <s v="84291714001001"/>
    <n v="-55.6"/>
    <n v="1418"/>
    <n v="1"/>
    <n v="1"/>
  </r>
  <r>
    <m/>
    <m/>
    <x v="1"/>
    <s v="84497328001001"/>
    <n v="-45.17"/>
    <n v="1152"/>
    <n v="1"/>
    <n v="1"/>
  </r>
  <r>
    <m/>
    <m/>
    <x v="1"/>
    <s v="84539713001002"/>
    <n v="-12.82"/>
    <n v="327"/>
    <n v="1"/>
    <n v="1"/>
  </r>
  <r>
    <m/>
    <m/>
    <x v="1"/>
    <s v="84644192001003"/>
    <n v="-4.2"/>
    <n v="107"/>
    <n v="1"/>
    <n v="1"/>
  </r>
  <r>
    <m/>
    <m/>
    <x v="1"/>
    <s v="85052617001010"/>
    <n v="-8.82"/>
    <n v="225"/>
    <n v="1"/>
    <n v="1"/>
  </r>
  <r>
    <m/>
    <m/>
    <x v="1"/>
    <s v="85307300001016"/>
    <n v="-92.5"/>
    <n v="2359"/>
    <n v="1"/>
    <n v="1"/>
  </r>
  <r>
    <m/>
    <m/>
    <x v="1"/>
    <s v="85316731004002"/>
    <n v="-122.02"/>
    <n v="3112"/>
    <n v="1"/>
    <n v="1"/>
  </r>
  <r>
    <m/>
    <m/>
    <x v="1"/>
    <s v="85581255001001"/>
    <n v="-25.92"/>
    <n v="661"/>
    <n v="1"/>
    <n v="1"/>
  </r>
  <r>
    <m/>
    <m/>
    <x v="1"/>
    <s v="85590751001003"/>
    <n v="-77.2"/>
    <n v="1969"/>
    <n v="1"/>
    <n v="1"/>
  </r>
  <r>
    <m/>
    <m/>
    <x v="1"/>
    <s v="85648933001001"/>
    <n v="-84.65"/>
    <n v="2159"/>
    <n v="1"/>
    <n v="1"/>
  </r>
  <r>
    <m/>
    <m/>
    <x v="1"/>
    <s v="85663723001011"/>
    <n v="-112.61"/>
    <n v="2872"/>
    <n v="1"/>
    <n v="1"/>
  </r>
  <r>
    <m/>
    <m/>
    <x v="1"/>
    <s v="85877100003003"/>
    <n v="-34.03"/>
    <n v="868"/>
    <n v="1"/>
    <n v="1"/>
  </r>
  <r>
    <m/>
    <m/>
    <x v="1"/>
    <s v="86090490001001"/>
    <n v="-106.85"/>
    <n v="2725"/>
    <n v="1"/>
    <n v="1"/>
  </r>
  <r>
    <m/>
    <m/>
    <x v="1"/>
    <s v="86166400001001"/>
    <n v="-202.09"/>
    <n v="5154"/>
    <n v="1"/>
    <n v="1"/>
  </r>
  <r>
    <m/>
    <m/>
    <x v="1"/>
    <s v="86307010001002"/>
    <n v="-78.260000000000005"/>
    <n v="1996"/>
    <n v="1"/>
    <n v="1"/>
  </r>
  <r>
    <m/>
    <m/>
    <x v="1"/>
    <s v="86342190001003"/>
    <n v="-64.58"/>
    <n v="1647"/>
    <n v="1"/>
    <n v="1"/>
  </r>
  <r>
    <m/>
    <m/>
    <x v="1"/>
    <s v="86363752001001"/>
    <n v="-36.659999999999997"/>
    <n v="935"/>
    <n v="1"/>
    <n v="1"/>
  </r>
  <r>
    <m/>
    <m/>
    <x v="1"/>
    <s v="86674199001002"/>
    <n v="-86.5"/>
    <n v="2206"/>
    <n v="1"/>
    <n v="1"/>
  </r>
  <r>
    <m/>
    <m/>
    <x v="1"/>
    <s v="86709161001013"/>
    <n v="-49.09"/>
    <n v="1252"/>
    <n v="1"/>
    <n v="1"/>
  </r>
  <r>
    <m/>
    <m/>
    <x v="1"/>
    <s v="86799046001002"/>
    <n v="-58.82"/>
    <n v="1500"/>
    <n v="1"/>
    <n v="1"/>
  </r>
  <r>
    <m/>
    <m/>
    <x v="1"/>
    <s v="86860532001001"/>
    <n v="-10.98"/>
    <n v="280"/>
    <n v="1"/>
    <n v="1"/>
  </r>
  <r>
    <m/>
    <m/>
    <x v="1"/>
    <s v="86965244003001"/>
    <n v="-67.72"/>
    <n v="1727"/>
    <n v="1"/>
    <n v="1"/>
  </r>
  <r>
    <m/>
    <m/>
    <x v="1"/>
    <s v="86993697001006"/>
    <n v="-56.62"/>
    <n v="1444"/>
    <n v="1"/>
    <n v="1"/>
  </r>
  <r>
    <m/>
    <m/>
    <x v="1"/>
    <s v="86997021001001"/>
    <n v="-67.28"/>
    <n v="1716"/>
    <n v="1"/>
    <n v="1"/>
  </r>
  <r>
    <m/>
    <m/>
    <x v="1"/>
    <s v="87027409001001"/>
    <n v="-152.57"/>
    <n v="3891"/>
    <n v="1"/>
    <n v="1"/>
  </r>
  <r>
    <m/>
    <m/>
    <x v="1"/>
    <s v="87070196001003"/>
    <n v="-28.66"/>
    <n v="731"/>
    <n v="1"/>
    <n v="1"/>
  </r>
  <r>
    <m/>
    <m/>
    <x v="1"/>
    <s v="87114513002001"/>
    <n v="-71.75"/>
    <n v="1830"/>
    <n v="1"/>
    <n v="1"/>
  </r>
  <r>
    <m/>
    <m/>
    <x v="1"/>
    <s v="87134959001001"/>
    <n v="-126.69"/>
    <n v="3231"/>
    <n v="1"/>
    <n v="1"/>
  </r>
  <r>
    <m/>
    <m/>
    <x v="1"/>
    <s v="87157714001003"/>
    <n v="-38.78"/>
    <n v="989"/>
    <n v="1"/>
    <n v="1"/>
  </r>
  <r>
    <m/>
    <m/>
    <x v="1"/>
    <s v="87271363001002"/>
    <n v="-12.12"/>
    <n v="309"/>
    <n v="1"/>
    <n v="1"/>
  </r>
  <r>
    <m/>
    <m/>
    <x v="1"/>
    <s v="87486491001002"/>
    <n v="-15.84"/>
    <n v="404"/>
    <n v="1"/>
    <n v="1"/>
  </r>
  <r>
    <m/>
    <m/>
    <x v="1"/>
    <s v="87498972001001"/>
    <n v="-55.33"/>
    <n v="1411"/>
    <n v="1"/>
    <n v="1"/>
  </r>
  <r>
    <m/>
    <m/>
    <x v="1"/>
    <s v="88037259002004"/>
    <n v="-127.43"/>
    <n v="3250"/>
    <n v="1"/>
    <n v="1"/>
  </r>
  <r>
    <m/>
    <m/>
    <x v="1"/>
    <s v="88060410001002"/>
    <n v="-11.92"/>
    <n v="304"/>
    <n v="1"/>
    <n v="1"/>
  </r>
  <r>
    <m/>
    <m/>
    <x v="1"/>
    <s v="88063060001002"/>
    <n v="-153.19"/>
    <n v="3907"/>
    <n v="1"/>
    <n v="1"/>
  </r>
  <r>
    <m/>
    <m/>
    <x v="1"/>
    <s v="88182721001002"/>
    <n v="-10.55"/>
    <n v="269"/>
    <n v="1"/>
    <n v="1"/>
  </r>
  <r>
    <m/>
    <m/>
    <x v="1"/>
    <s v="88450306001003"/>
    <n v="-47.33"/>
    <n v="1207"/>
    <n v="1"/>
    <n v="1"/>
  </r>
  <r>
    <m/>
    <m/>
    <x v="1"/>
    <s v="88484707001005"/>
    <n v="-36.11"/>
    <n v="921"/>
    <n v="1"/>
    <n v="1"/>
  </r>
  <r>
    <m/>
    <m/>
    <x v="1"/>
    <s v="88801044001001"/>
    <n v="-100.18"/>
    <n v="2555"/>
    <n v="1"/>
    <n v="1"/>
  </r>
  <r>
    <m/>
    <m/>
    <x v="1"/>
    <s v="88915775001003"/>
    <n v="-25.53"/>
    <n v="651"/>
    <n v="1"/>
    <n v="1"/>
  </r>
  <r>
    <m/>
    <m/>
    <x v="1"/>
    <s v="88983549001001"/>
    <n v="-93.16"/>
    <n v="2376"/>
    <n v="1"/>
    <n v="1"/>
  </r>
  <r>
    <m/>
    <m/>
    <x v="1"/>
    <s v="89107006001001"/>
    <n v="-45.64"/>
    <n v="1164"/>
    <n v="1"/>
    <n v="1"/>
  </r>
  <r>
    <m/>
    <m/>
    <x v="1"/>
    <s v="89156906001001"/>
    <n v="-37.450000000000003"/>
    <n v="955"/>
    <n v="1"/>
    <n v="1"/>
  </r>
  <r>
    <m/>
    <m/>
    <x v="1"/>
    <s v="89366347001001"/>
    <n v="-179.19"/>
    <n v="4570"/>
    <n v="1"/>
    <n v="1"/>
  </r>
  <r>
    <m/>
    <m/>
    <x v="1"/>
    <s v="89416711001001"/>
    <n v="-47.76"/>
    <n v="1218"/>
    <n v="1"/>
    <n v="1"/>
  </r>
  <r>
    <m/>
    <m/>
    <x v="1"/>
    <s v="89520809001009"/>
    <n v="-96.89"/>
    <n v="2471"/>
    <n v="1"/>
    <n v="1"/>
  </r>
  <r>
    <m/>
    <m/>
    <x v="1"/>
    <s v="89581153002001"/>
    <n v="-32.11"/>
    <n v="819"/>
    <n v="1"/>
    <n v="1"/>
  </r>
  <r>
    <m/>
    <m/>
    <x v="1"/>
    <s v="89768877001001"/>
    <n v="-86.97"/>
    <n v="2218"/>
    <n v="1"/>
    <n v="1"/>
  </r>
  <r>
    <m/>
    <m/>
    <x v="1"/>
    <s v="89864539001001"/>
    <n v="-90.73"/>
    <n v="2314"/>
    <n v="1"/>
    <n v="1"/>
  </r>
  <r>
    <m/>
    <m/>
    <x v="1"/>
    <s v="89949893001001"/>
    <n v="-27.88"/>
    <n v="711"/>
    <n v="1"/>
    <n v="1"/>
  </r>
  <r>
    <m/>
    <m/>
    <x v="1"/>
    <s v="89953012002004"/>
    <n v="-26"/>
    <n v="663"/>
    <n v="1"/>
    <n v="1"/>
  </r>
  <r>
    <m/>
    <m/>
    <x v="1"/>
    <s v="90466455001004"/>
    <n v="-104.42"/>
    <n v="2663"/>
    <n v="1"/>
    <n v="1"/>
  </r>
  <r>
    <m/>
    <m/>
    <x v="1"/>
    <s v="90516824001003"/>
    <n v="-82.26"/>
    <n v="2098"/>
    <n v="1"/>
    <n v="1"/>
  </r>
  <r>
    <m/>
    <m/>
    <x v="1"/>
    <s v="90673462003001"/>
    <n v="-93.05"/>
    <n v="2373"/>
    <n v="1"/>
    <n v="1"/>
  </r>
  <r>
    <m/>
    <m/>
    <x v="1"/>
    <s v="90805481002003"/>
    <n v="-167.82"/>
    <n v="4280"/>
    <n v="1"/>
    <n v="1"/>
  </r>
  <r>
    <m/>
    <m/>
    <x v="1"/>
    <s v="90822925001006"/>
    <n v="-91.4"/>
    <n v="2331"/>
    <n v="1"/>
    <n v="1"/>
  </r>
  <r>
    <m/>
    <m/>
    <x v="1"/>
    <s v="90876636001005"/>
    <n v="-41.13"/>
    <n v="1049"/>
    <n v="1"/>
    <n v="1"/>
  </r>
  <r>
    <m/>
    <m/>
    <x v="1"/>
    <s v="91039711003001"/>
    <n v="-93.52"/>
    <n v="2385"/>
    <n v="1"/>
    <n v="1"/>
  </r>
  <r>
    <m/>
    <m/>
    <x v="1"/>
    <s v="91059700002001"/>
    <n v="-56.62"/>
    <n v="1444"/>
    <n v="1"/>
    <n v="1"/>
  </r>
  <r>
    <m/>
    <m/>
    <x v="1"/>
    <s v="91081109001003"/>
    <n v="-38.54"/>
    <n v="983"/>
    <n v="1"/>
    <n v="1"/>
  </r>
  <r>
    <m/>
    <m/>
    <x v="1"/>
    <s v="91086693001001"/>
    <n v="-19.02"/>
    <n v="485"/>
    <n v="1"/>
    <n v="1"/>
  </r>
  <r>
    <m/>
    <m/>
    <x v="1"/>
    <s v="91789984001002"/>
    <n v="-10.98"/>
    <n v="280"/>
    <n v="1"/>
    <n v="1"/>
  </r>
  <r>
    <m/>
    <m/>
    <x v="1"/>
    <s v="91911316001004"/>
    <n v="-62.19"/>
    <n v="1586"/>
    <n v="1"/>
    <n v="1"/>
  </r>
  <r>
    <m/>
    <m/>
    <x v="1"/>
    <s v="92061113001004"/>
    <n v="-21.02"/>
    <n v="536"/>
    <n v="1"/>
    <n v="1"/>
  </r>
  <r>
    <m/>
    <m/>
    <x v="1"/>
    <s v="92631033001005"/>
    <n v="-137.51"/>
    <n v="3507"/>
    <n v="1"/>
    <n v="1"/>
  </r>
  <r>
    <m/>
    <m/>
    <x v="1"/>
    <s v="92711390001001"/>
    <n v="-90.3"/>
    <n v="2303"/>
    <n v="1"/>
    <n v="1"/>
  </r>
  <r>
    <m/>
    <m/>
    <x v="1"/>
    <s v="92883803001003"/>
    <n v="-94.34"/>
    <n v="2406"/>
    <n v="1"/>
    <n v="1"/>
  </r>
  <r>
    <m/>
    <m/>
    <x v="1"/>
    <s v="93053068001003"/>
    <n v="-79.319999999999993"/>
    <n v="2023"/>
    <n v="1"/>
    <n v="1"/>
  </r>
  <r>
    <m/>
    <m/>
    <x v="1"/>
    <s v="93262077001007"/>
    <n v="-52.66"/>
    <n v="1343"/>
    <n v="1"/>
    <n v="1"/>
  </r>
  <r>
    <m/>
    <m/>
    <x v="1"/>
    <s v="93280654001004"/>
    <n v="-36.31"/>
    <n v="926"/>
    <n v="1"/>
    <n v="1"/>
  </r>
  <r>
    <m/>
    <m/>
    <x v="1"/>
    <s v="93295699001010"/>
    <n v="-94.85"/>
    <n v="2419"/>
    <n v="1"/>
    <n v="1"/>
  </r>
  <r>
    <m/>
    <m/>
    <x v="1"/>
    <s v="93332324001001"/>
    <n v="-27.09"/>
    <n v="691"/>
    <n v="1"/>
    <n v="1"/>
  </r>
  <r>
    <m/>
    <m/>
    <x v="1"/>
    <s v="93416826004001"/>
    <n v="-88.26"/>
    <n v="2251"/>
    <n v="1"/>
    <n v="1"/>
  </r>
  <r>
    <m/>
    <m/>
    <x v="1"/>
    <s v="93483899001002"/>
    <n v="-84.46"/>
    <n v="2154"/>
    <n v="1"/>
    <n v="1"/>
  </r>
  <r>
    <m/>
    <m/>
    <x v="1"/>
    <s v="93502736001008"/>
    <n v="-10.74"/>
    <n v="274"/>
    <n v="1"/>
    <n v="1"/>
  </r>
  <r>
    <m/>
    <m/>
    <x v="1"/>
    <s v="93525219001001"/>
    <n v="-77.83"/>
    <n v="1985"/>
    <n v="1"/>
    <n v="1"/>
  </r>
  <r>
    <m/>
    <m/>
    <x v="1"/>
    <s v="93549993001001"/>
    <n v="-127.2"/>
    <n v="3244"/>
    <n v="1"/>
    <n v="1"/>
  </r>
  <r>
    <m/>
    <m/>
    <x v="1"/>
    <s v="93630806001004"/>
    <n v="-93.08"/>
    <n v="2374"/>
    <n v="1"/>
    <n v="1"/>
  </r>
  <r>
    <m/>
    <m/>
    <x v="1"/>
    <s v="93645499001014"/>
    <n v="-52.46"/>
    <n v="1338"/>
    <n v="1"/>
    <n v="1"/>
  </r>
  <r>
    <m/>
    <m/>
    <x v="1"/>
    <s v="93704068001008"/>
    <n v="-4.3099999999999996"/>
    <n v="110"/>
    <n v="1"/>
    <n v="1"/>
  </r>
  <r>
    <m/>
    <m/>
    <x v="1"/>
    <s v="94027788001002"/>
    <n v="-52.89"/>
    <n v="1349"/>
    <n v="1"/>
    <n v="1"/>
  </r>
  <r>
    <m/>
    <m/>
    <x v="1"/>
    <s v="94167857001010"/>
    <n v="-38.86"/>
    <n v="991"/>
    <n v="1"/>
    <n v="1"/>
  </r>
  <r>
    <m/>
    <m/>
    <x v="1"/>
    <s v="94294869001001"/>
    <n v="-45.68"/>
    <n v="1165"/>
    <n v="1"/>
    <n v="1"/>
  </r>
  <r>
    <m/>
    <m/>
    <x v="1"/>
    <s v="94384624001001"/>
    <n v="-37.64"/>
    <n v="960"/>
    <n v="1"/>
    <n v="1"/>
  </r>
  <r>
    <m/>
    <m/>
    <x v="1"/>
    <s v="94490206001005"/>
    <n v="-12.86"/>
    <n v="328"/>
    <n v="1"/>
    <n v="1"/>
  </r>
  <r>
    <m/>
    <m/>
    <x v="1"/>
    <s v="94506465001003"/>
    <n v="-60.58"/>
    <n v="1545"/>
    <n v="1"/>
    <n v="1"/>
  </r>
  <r>
    <m/>
    <m/>
    <x v="1"/>
    <s v="94703589005001"/>
    <n v="-35.33"/>
    <n v="901"/>
    <n v="1"/>
    <n v="1"/>
  </r>
  <r>
    <m/>
    <m/>
    <x v="1"/>
    <s v="94860723001003"/>
    <n v="-53.48"/>
    <n v="1364"/>
    <n v="1"/>
    <n v="1"/>
  </r>
  <r>
    <m/>
    <m/>
    <x v="1"/>
    <s v="94938062001001"/>
    <n v="-125.28"/>
    <n v="3195"/>
    <n v="1"/>
    <n v="1"/>
  </r>
  <r>
    <m/>
    <m/>
    <x v="1"/>
    <s v="95275266001003"/>
    <n v="-53.4"/>
    <n v="1362"/>
    <n v="1"/>
    <n v="1"/>
  </r>
  <r>
    <m/>
    <m/>
    <x v="1"/>
    <s v="95429454001002"/>
    <n v="-16.739999999999998"/>
    <n v="427"/>
    <n v="1"/>
    <n v="1"/>
  </r>
  <r>
    <m/>
    <m/>
    <x v="1"/>
    <s v="96127192001001"/>
    <n v="-68.03"/>
    <n v="1735"/>
    <n v="1"/>
    <n v="1"/>
  </r>
  <r>
    <m/>
    <m/>
    <x v="1"/>
    <s v="96171891001007"/>
    <n v="-60.42"/>
    <n v="1541"/>
    <n v="1"/>
    <n v="1"/>
  </r>
  <r>
    <m/>
    <m/>
    <x v="1"/>
    <s v="96186430001005"/>
    <n v="-90.18"/>
    <n v="2300"/>
    <n v="1"/>
    <n v="1"/>
  </r>
  <r>
    <m/>
    <m/>
    <x v="1"/>
    <s v="96305704001001"/>
    <n v="-75.48"/>
    <n v="1925"/>
    <n v="1"/>
    <n v="1"/>
  </r>
  <r>
    <m/>
    <m/>
    <x v="1"/>
    <s v="96336668001003"/>
    <n v="-74.22"/>
    <n v="1893"/>
    <n v="1"/>
    <n v="1"/>
  </r>
  <r>
    <m/>
    <m/>
    <x v="1"/>
    <s v="96386777001002"/>
    <n v="-55.84"/>
    <n v="1424"/>
    <n v="1"/>
    <n v="1"/>
  </r>
  <r>
    <m/>
    <m/>
    <x v="1"/>
    <s v="96743423001001"/>
    <n v="-25.53"/>
    <n v="651"/>
    <n v="1"/>
    <n v="1"/>
  </r>
  <r>
    <m/>
    <m/>
    <x v="1"/>
    <s v="96816452001001"/>
    <n v="-19.96"/>
    <n v="509"/>
    <n v="1"/>
    <n v="1"/>
  </r>
  <r>
    <m/>
    <m/>
    <x v="1"/>
    <s v="96882822001001"/>
    <n v="-62.23"/>
    <n v="1587"/>
    <n v="1"/>
    <n v="1"/>
  </r>
  <r>
    <m/>
    <m/>
    <x v="1"/>
    <s v="97207122002003"/>
    <n v="-141.63"/>
    <n v="3612"/>
    <n v="1"/>
    <n v="1"/>
  </r>
  <r>
    <m/>
    <m/>
    <x v="1"/>
    <s v="97389502001003"/>
    <n v="-38.35"/>
    <n v="978"/>
    <n v="1"/>
    <n v="1"/>
  </r>
  <r>
    <m/>
    <m/>
    <x v="1"/>
    <s v="97517408001003"/>
    <n v="-39.130000000000003"/>
    <n v="998"/>
    <n v="1"/>
    <n v="1"/>
  </r>
  <r>
    <m/>
    <m/>
    <x v="1"/>
    <s v="97778274001003"/>
    <n v="-39.130000000000003"/>
    <n v="998"/>
    <n v="1"/>
    <n v="1"/>
  </r>
  <r>
    <m/>
    <m/>
    <x v="1"/>
    <s v="97919016001004"/>
    <n v="-149.31"/>
    <n v="3808"/>
    <n v="1"/>
    <n v="1"/>
  </r>
  <r>
    <m/>
    <m/>
    <x v="1"/>
    <s v="97943952002001"/>
    <n v="-102.42"/>
    <n v="2612"/>
    <n v="1"/>
    <n v="1"/>
  </r>
  <r>
    <m/>
    <m/>
    <x v="1"/>
    <s v="98004963001002"/>
    <n v="-85.48"/>
    <n v="2180"/>
    <n v="1"/>
    <n v="1"/>
  </r>
  <r>
    <m/>
    <m/>
    <x v="1"/>
    <s v="98163492001001"/>
    <n v="-81.400000000000006"/>
    <n v="2076"/>
    <n v="1"/>
    <n v="1"/>
  </r>
  <r>
    <m/>
    <m/>
    <x v="1"/>
    <s v="98323580001002"/>
    <n v="-41.84"/>
    <n v="1067"/>
    <n v="1"/>
    <n v="1"/>
  </r>
  <r>
    <m/>
    <m/>
    <x v="1"/>
    <s v="98330301001001"/>
    <n v="-61.76"/>
    <n v="1575"/>
    <n v="1"/>
    <n v="1"/>
  </r>
  <r>
    <m/>
    <m/>
    <x v="1"/>
    <s v="98396921001007"/>
    <n v="-58.23"/>
    <n v="1485"/>
    <n v="1"/>
    <n v="1"/>
  </r>
  <r>
    <m/>
    <m/>
    <x v="1"/>
    <s v="98478092001001"/>
    <n v="-46.78"/>
    <n v="1193"/>
    <n v="1"/>
    <n v="1"/>
  </r>
  <r>
    <m/>
    <m/>
    <x v="1"/>
    <s v="98525309002001"/>
    <n v="-102.89"/>
    <n v="2624"/>
    <n v="1"/>
    <n v="1"/>
  </r>
  <r>
    <m/>
    <m/>
    <x v="1"/>
    <s v="98568936001003"/>
    <n v="-141.63"/>
    <n v="3612"/>
    <n v="1"/>
    <n v="1"/>
  </r>
  <r>
    <m/>
    <m/>
    <x v="1"/>
    <s v="98573702001003"/>
    <n v="-42.78"/>
    <n v="1091"/>
    <n v="1"/>
    <n v="1"/>
  </r>
  <r>
    <m/>
    <m/>
    <x v="1"/>
    <s v="98706279001001"/>
    <n v="-38.619999999999997"/>
    <n v="985"/>
    <n v="1"/>
    <n v="1"/>
  </r>
  <r>
    <m/>
    <m/>
    <x v="1"/>
    <s v="98841325001003"/>
    <n v="-88.46"/>
    <n v="2256"/>
    <n v="1"/>
    <n v="1"/>
  </r>
  <r>
    <m/>
    <m/>
    <x v="1"/>
    <s v="99162209001001"/>
    <n v="-153.59"/>
    <n v="3917"/>
    <n v="1"/>
    <n v="1"/>
  </r>
  <r>
    <m/>
    <m/>
    <x v="1"/>
    <s v="99181573002001"/>
    <n v="-17.8"/>
    <n v="454"/>
    <n v="1"/>
    <n v="1"/>
  </r>
  <r>
    <m/>
    <m/>
    <x v="1"/>
    <s v="99215914001001"/>
    <n v="-76.540000000000006"/>
    <n v="1952"/>
    <n v="1"/>
    <n v="1"/>
  </r>
  <r>
    <m/>
    <m/>
    <x v="1"/>
    <s v="99400145001001"/>
    <n v="-1.53"/>
    <n v="39"/>
    <n v="1"/>
    <n v="1"/>
  </r>
  <r>
    <m/>
    <m/>
    <x v="1"/>
    <s v="99427689006001"/>
    <n v="-56.31"/>
    <n v="1436"/>
    <n v="1"/>
    <n v="1"/>
  </r>
  <r>
    <m/>
    <m/>
    <x v="1"/>
    <s v="99609771001001"/>
    <n v="-63.13"/>
    <n v="1610"/>
    <n v="1"/>
    <n v="1"/>
  </r>
  <r>
    <m/>
    <m/>
    <x v="1"/>
    <s v="99647025001001"/>
    <n v="-60.93"/>
    <n v="1554"/>
    <n v="1"/>
    <n v="1"/>
  </r>
  <r>
    <m/>
    <m/>
    <x v="1"/>
    <s v="99676271001001"/>
    <n v="-20.7"/>
    <n v="528"/>
    <n v="1"/>
    <n v="1"/>
  </r>
  <r>
    <m/>
    <m/>
    <x v="1"/>
    <s v="99770512001001"/>
    <n v="-58.97"/>
    <n v="1504"/>
    <n v="1"/>
    <n v="1"/>
  </r>
  <r>
    <m/>
    <m/>
    <x v="4"/>
    <m/>
    <n v="-78286.650000000052"/>
    <n v="1996598"/>
    <n v="1237"/>
    <n v="1235"/>
  </r>
  <r>
    <m/>
    <m/>
    <x v="5"/>
    <s v="00148726001003"/>
    <n v="-96.28"/>
    <n v="1652"/>
    <n v="1"/>
    <n v="1"/>
  </r>
  <r>
    <m/>
    <m/>
    <x v="1"/>
    <s v="00259343010001"/>
    <n v="-42.78"/>
    <n v="734"/>
    <n v="1"/>
    <n v="1"/>
  </r>
  <r>
    <m/>
    <m/>
    <x v="1"/>
    <s v="00319594001001"/>
    <n v="-68.36"/>
    <n v="1173"/>
    <n v="1"/>
    <n v="1"/>
  </r>
  <r>
    <m/>
    <m/>
    <x v="1"/>
    <s v="00365733004005"/>
    <n v="-25.41"/>
    <n v="436"/>
    <n v="1"/>
    <n v="1"/>
  </r>
  <r>
    <m/>
    <m/>
    <x v="1"/>
    <s v="00403507003001"/>
    <n v="-132.53"/>
    <n v="2274"/>
    <n v="1"/>
    <n v="1"/>
  </r>
  <r>
    <m/>
    <m/>
    <x v="1"/>
    <s v="00477416001005"/>
    <n v="-279.04000000000002"/>
    <n v="4788"/>
    <n v="1"/>
    <n v="1"/>
  </r>
  <r>
    <m/>
    <m/>
    <x v="1"/>
    <s v="00546153003003"/>
    <n v="-104.32"/>
    <n v="1790"/>
    <n v="1"/>
    <n v="1"/>
  </r>
  <r>
    <m/>
    <m/>
    <x v="1"/>
    <s v="00722915001001"/>
    <n v="-46.74"/>
    <n v="802"/>
    <n v="1"/>
    <n v="1"/>
  </r>
  <r>
    <m/>
    <m/>
    <x v="1"/>
    <s v="01058313001005"/>
    <n v="-134.69"/>
    <n v="2311"/>
    <n v="1"/>
    <n v="1"/>
  </r>
  <r>
    <m/>
    <m/>
    <x v="1"/>
    <s v="01092252001001"/>
    <n v="-90.74"/>
    <n v="1557"/>
    <n v="1"/>
    <n v="1"/>
  </r>
  <r>
    <m/>
    <m/>
    <x v="1"/>
    <s v="01252370002003"/>
    <n v="-44.41"/>
    <n v="762"/>
    <n v="1"/>
    <n v="1"/>
  </r>
  <r>
    <m/>
    <m/>
    <x v="1"/>
    <s v="01346674001004"/>
    <n v="-29.02"/>
    <n v="498"/>
    <n v="1"/>
    <n v="1"/>
  </r>
  <r>
    <m/>
    <m/>
    <x v="1"/>
    <s v="01403700005001"/>
    <n v="-82.23"/>
    <n v="1411"/>
    <n v="1"/>
    <n v="1"/>
  </r>
  <r>
    <m/>
    <m/>
    <x v="1"/>
    <s v="01701580001001"/>
    <n v="-165.52"/>
    <n v="2840"/>
    <n v="1"/>
    <n v="1"/>
  </r>
  <r>
    <m/>
    <m/>
    <x v="1"/>
    <s v="01775038001002"/>
    <n v="-120.23"/>
    <n v="2063"/>
    <n v="1"/>
    <n v="1"/>
  </r>
  <r>
    <m/>
    <m/>
    <x v="1"/>
    <s v="01948293001001"/>
    <n v="-17.95"/>
    <n v="308"/>
    <n v="1"/>
    <n v="1"/>
  </r>
  <r>
    <m/>
    <m/>
    <x v="1"/>
    <s v="01973851002001"/>
    <n v="-88.82"/>
    <n v="1524"/>
    <n v="1"/>
    <n v="1"/>
  </r>
  <r>
    <m/>
    <m/>
    <x v="1"/>
    <s v="02094728002012"/>
    <n v="-24.77"/>
    <n v="425"/>
    <n v="1"/>
    <n v="1"/>
  </r>
  <r>
    <m/>
    <m/>
    <x v="1"/>
    <s v="02164047003001"/>
    <n v="-93.42"/>
    <n v="1603"/>
    <n v="1"/>
    <n v="1"/>
  </r>
  <r>
    <m/>
    <m/>
    <x v="1"/>
    <s v="02179705001007"/>
    <n v="-149.9"/>
    <n v="2572"/>
    <n v="1"/>
    <n v="1"/>
  </r>
  <r>
    <m/>
    <m/>
    <x v="1"/>
    <s v="02232792001001"/>
    <n v="-108.93"/>
    <n v="1869"/>
    <n v="1"/>
    <n v="1"/>
  </r>
  <r>
    <m/>
    <m/>
    <x v="1"/>
    <s v="02342104001006"/>
    <n v="-60.38"/>
    <n v="1036"/>
    <n v="1"/>
    <n v="1"/>
  </r>
  <r>
    <m/>
    <m/>
    <x v="1"/>
    <s v="02380352002001"/>
    <n v="-87.01"/>
    <n v="1493"/>
    <n v="1"/>
    <n v="1"/>
  </r>
  <r>
    <m/>
    <m/>
    <x v="1"/>
    <s v="02393997001015"/>
    <n v="-63.99"/>
    <n v="1098"/>
    <n v="1"/>
    <n v="1"/>
  </r>
  <r>
    <m/>
    <m/>
    <x v="1"/>
    <s v="02425825002002"/>
    <n v="-89.05"/>
    <n v="1528"/>
    <n v="1"/>
    <n v="1"/>
  </r>
  <r>
    <m/>
    <m/>
    <x v="1"/>
    <s v="02447419003012"/>
    <n v="-96.69"/>
    <n v="1659"/>
    <n v="1"/>
    <n v="1"/>
  </r>
  <r>
    <m/>
    <m/>
    <x v="1"/>
    <s v="02464003001001"/>
    <n v="-106.94"/>
    <n v="1835"/>
    <n v="1"/>
    <n v="1"/>
  </r>
  <r>
    <m/>
    <m/>
    <x v="1"/>
    <s v="02485811001007"/>
    <n v="-113.94"/>
    <n v="1955"/>
    <n v="1"/>
    <n v="1"/>
  </r>
  <r>
    <m/>
    <m/>
    <x v="1"/>
    <s v="02486188001001"/>
    <n v="-101.17"/>
    <n v="1736"/>
    <n v="1"/>
    <n v="1"/>
  </r>
  <r>
    <m/>
    <m/>
    <x v="1"/>
    <s v="02489977001002"/>
    <n v="-73.67"/>
    <n v="1264"/>
    <n v="1"/>
    <n v="1"/>
  </r>
  <r>
    <m/>
    <m/>
    <x v="1"/>
    <s v="02683413001001"/>
    <n v="-125.3"/>
    <n v="2150"/>
    <n v="1"/>
    <n v="1"/>
  </r>
  <r>
    <m/>
    <m/>
    <x v="1"/>
    <s v="02704694001001"/>
    <n v="-70.58"/>
    <n v="1211"/>
    <n v="1"/>
    <n v="1"/>
  </r>
  <r>
    <m/>
    <m/>
    <x v="1"/>
    <s v="02884496001010"/>
    <n v="-165.22"/>
    <n v="2835"/>
    <n v="1"/>
    <n v="1"/>
  </r>
  <r>
    <m/>
    <m/>
    <x v="1"/>
    <s v="03013295002003"/>
    <n v="-107.99"/>
    <n v="1853"/>
    <n v="1"/>
    <n v="1"/>
  </r>
  <r>
    <m/>
    <m/>
    <x v="1"/>
    <s v="03018483004001"/>
    <n v="-137.6"/>
    <n v="2361"/>
    <n v="1"/>
    <n v="1"/>
  </r>
  <r>
    <m/>
    <m/>
    <x v="1"/>
    <s v="03019509001001"/>
    <n v="-105.14"/>
    <n v="1804"/>
    <n v="1"/>
    <n v="1"/>
  </r>
  <r>
    <m/>
    <m/>
    <x v="1"/>
    <s v="03051677001003"/>
    <n v="-142.26"/>
    <n v="2441"/>
    <n v="1"/>
    <n v="1"/>
  </r>
  <r>
    <m/>
    <m/>
    <x v="1"/>
    <s v="03074570001005"/>
    <n v="-138.71"/>
    <n v="2380"/>
    <n v="1"/>
    <n v="1"/>
  </r>
  <r>
    <m/>
    <m/>
    <x v="1"/>
    <s v="03107202002001"/>
    <n v="-71.45"/>
    <n v="1226"/>
    <n v="1"/>
    <n v="1"/>
  </r>
  <r>
    <m/>
    <m/>
    <x v="1"/>
    <s v="03308022002001"/>
    <n v="-149.19999999999999"/>
    <n v="2560"/>
    <n v="1"/>
    <n v="1"/>
  </r>
  <r>
    <m/>
    <m/>
    <x v="1"/>
    <s v="03330463001002"/>
    <n v="-151.76"/>
    <n v="2604"/>
    <n v="1"/>
    <n v="1"/>
  </r>
  <r>
    <m/>
    <m/>
    <x v="1"/>
    <s v="03379746001001"/>
    <n v="-82.47"/>
    <n v="1415"/>
    <n v="1"/>
    <n v="1"/>
  </r>
  <r>
    <m/>
    <m/>
    <x v="1"/>
    <s v="03476916002003"/>
    <n v="-33.74"/>
    <n v="579"/>
    <n v="1"/>
    <n v="1"/>
  </r>
  <r>
    <m/>
    <m/>
    <x v="1"/>
    <s v="03498939002001"/>
    <n v="-66.959999999999994"/>
    <n v="1149"/>
    <n v="1"/>
    <n v="1"/>
  </r>
  <r>
    <m/>
    <m/>
    <x v="1"/>
    <s v="03554715002003"/>
    <n v="-114"/>
    <n v="1956"/>
    <n v="1"/>
    <n v="1"/>
  </r>
  <r>
    <m/>
    <m/>
    <x v="1"/>
    <s v="03650699001006"/>
    <n v="-122.39"/>
    <n v="2100"/>
    <n v="1"/>
    <n v="1"/>
  </r>
  <r>
    <m/>
    <m/>
    <x v="1"/>
    <s v="03918846001002"/>
    <n v="-130.43"/>
    <n v="2238"/>
    <n v="1"/>
    <n v="1"/>
  </r>
  <r>
    <m/>
    <m/>
    <x v="1"/>
    <s v="04195526001007"/>
    <n v="-89.34"/>
    <n v="1533"/>
    <n v="1"/>
    <n v="1"/>
  </r>
  <r>
    <m/>
    <m/>
    <x v="1"/>
    <s v="04274208001003"/>
    <n v="-23.08"/>
    <n v="396"/>
    <n v="1"/>
    <n v="1"/>
  </r>
  <r>
    <m/>
    <m/>
    <x v="1"/>
    <s v="04316925001003"/>
    <n v="-108.81"/>
    <n v="1867"/>
    <n v="1"/>
    <n v="1"/>
  </r>
  <r>
    <m/>
    <m/>
    <x v="1"/>
    <s v="04347740001005"/>
    <n v="-131.13"/>
    <n v="2250"/>
    <n v="1"/>
    <n v="1"/>
  </r>
  <r>
    <m/>
    <m/>
    <x v="1"/>
    <s v="04366073001001"/>
    <n v="-62.65"/>
    <n v="1075"/>
    <n v="1"/>
    <n v="1"/>
  </r>
  <r>
    <m/>
    <m/>
    <x v="1"/>
    <s v="04587647002001"/>
    <n v="-114.75"/>
    <n v="1969"/>
    <n v="1"/>
    <n v="1"/>
  </r>
  <r>
    <m/>
    <m/>
    <x v="1"/>
    <s v="04842107001001"/>
    <n v="-174.78"/>
    <n v="2999"/>
    <n v="2"/>
    <n v="1"/>
  </r>
  <r>
    <m/>
    <m/>
    <x v="1"/>
    <s v="04914620002001"/>
    <n v="-98.38"/>
    <n v="1688"/>
    <n v="1"/>
    <n v="1"/>
  </r>
  <r>
    <m/>
    <m/>
    <x v="1"/>
    <s v="05055558001001"/>
    <n v="-60.61"/>
    <n v="1040"/>
    <n v="1"/>
    <n v="1"/>
  </r>
  <r>
    <m/>
    <m/>
    <x v="1"/>
    <s v="05077001002001"/>
    <n v="-49.65"/>
    <n v="852"/>
    <n v="1"/>
    <n v="1"/>
  </r>
  <r>
    <m/>
    <m/>
    <x v="1"/>
    <s v="05105357001003"/>
    <n v="-50.35"/>
    <n v="864"/>
    <n v="1"/>
    <n v="1"/>
  </r>
  <r>
    <m/>
    <m/>
    <x v="1"/>
    <s v="05178218001003"/>
    <n v="-114.7"/>
    <n v="1968"/>
    <n v="1"/>
    <n v="1"/>
  </r>
  <r>
    <m/>
    <m/>
    <x v="1"/>
    <s v="05214090001003"/>
    <n v="-36.659999999999997"/>
    <n v="629"/>
    <n v="1"/>
    <n v="1"/>
  </r>
  <r>
    <m/>
    <m/>
    <x v="1"/>
    <s v="05228793003001"/>
    <n v="-90.04"/>
    <n v="1545"/>
    <n v="1"/>
    <n v="1"/>
  </r>
  <r>
    <m/>
    <m/>
    <x v="1"/>
    <s v="05234970001001"/>
    <n v="-55.13"/>
    <n v="946"/>
    <n v="1"/>
    <n v="1"/>
  </r>
  <r>
    <m/>
    <m/>
    <x v="1"/>
    <s v="05412886001001"/>
    <n v="-123.5"/>
    <n v="2119"/>
    <n v="1"/>
    <n v="1"/>
  </r>
  <r>
    <m/>
    <m/>
    <x v="1"/>
    <s v="05707361001002"/>
    <n v="-105.78"/>
    <n v="1815"/>
    <n v="1"/>
    <n v="1"/>
  </r>
  <r>
    <m/>
    <m/>
    <x v="1"/>
    <s v="05729807001001"/>
    <n v="-4.72"/>
    <n v="81"/>
    <n v="1"/>
    <n v="1"/>
  </r>
  <r>
    <m/>
    <m/>
    <x v="1"/>
    <s v="05860137001003"/>
    <n v="-38.35"/>
    <n v="658"/>
    <n v="1"/>
    <n v="1"/>
  </r>
  <r>
    <m/>
    <m/>
    <x v="1"/>
    <s v="05861722001003"/>
    <n v="-151.94"/>
    <n v="2607"/>
    <n v="1"/>
    <n v="1"/>
  </r>
  <r>
    <m/>
    <m/>
    <x v="1"/>
    <s v="05876891001003"/>
    <n v="-0.41"/>
    <n v="7"/>
    <n v="1"/>
    <n v="1"/>
  </r>
  <r>
    <m/>
    <m/>
    <x v="1"/>
    <s v="05933255001001"/>
    <n v="-31.3"/>
    <n v="537"/>
    <n v="1"/>
    <n v="1"/>
  </r>
  <r>
    <m/>
    <m/>
    <x v="1"/>
    <s v="05953974001003"/>
    <n v="-46.68"/>
    <n v="801"/>
    <n v="1"/>
    <n v="1"/>
  </r>
  <r>
    <m/>
    <m/>
    <x v="1"/>
    <s v="06309819004001"/>
    <n v="-109.39"/>
    <n v="1877"/>
    <n v="1"/>
    <n v="1"/>
  </r>
  <r>
    <m/>
    <m/>
    <x v="1"/>
    <s v="06359444001001"/>
    <n v="-168.9"/>
    <n v="2898"/>
    <n v="1"/>
    <n v="1"/>
  </r>
  <r>
    <m/>
    <m/>
    <x v="1"/>
    <s v="06440891001007"/>
    <n v="-135.03"/>
    <n v="2317"/>
    <n v="1"/>
    <n v="1"/>
  </r>
  <r>
    <m/>
    <m/>
    <x v="1"/>
    <s v="06497744001004"/>
    <n v="-6.64"/>
    <n v="114"/>
    <n v="1"/>
    <n v="1"/>
  </r>
  <r>
    <m/>
    <m/>
    <x v="1"/>
    <s v="06563369001001"/>
    <n v="-145.63999999999999"/>
    <n v="2499"/>
    <n v="1"/>
    <n v="1"/>
  </r>
  <r>
    <m/>
    <m/>
    <x v="1"/>
    <s v="06580144002011"/>
    <n v="-114.52"/>
    <n v="1965"/>
    <n v="1"/>
    <n v="1"/>
  </r>
  <r>
    <m/>
    <m/>
    <x v="1"/>
    <s v="06650635001001"/>
    <n v="-176.41"/>
    <n v="3027"/>
    <n v="1"/>
    <n v="1"/>
  </r>
  <r>
    <m/>
    <m/>
    <x v="1"/>
    <s v="06670399001005"/>
    <n v="-190.98"/>
    <n v="3277"/>
    <n v="1"/>
    <n v="1"/>
  </r>
  <r>
    <m/>
    <m/>
    <x v="1"/>
    <s v="06761853001001"/>
    <n v="-136.84"/>
    <n v="2348"/>
    <n v="1"/>
    <n v="1"/>
  </r>
  <r>
    <m/>
    <m/>
    <x v="1"/>
    <s v="06797083002002"/>
    <n v="-101.41"/>
    <n v="1740"/>
    <n v="1"/>
    <n v="1"/>
  </r>
  <r>
    <m/>
    <m/>
    <x v="1"/>
    <s v="06850200002007"/>
    <n v="-19.82"/>
    <n v="340"/>
    <n v="1"/>
    <n v="1"/>
  </r>
  <r>
    <m/>
    <m/>
    <x v="1"/>
    <s v="06909023001010"/>
    <n v="-49.3"/>
    <n v="846"/>
    <n v="1"/>
    <n v="1"/>
  </r>
  <r>
    <m/>
    <m/>
    <x v="1"/>
    <s v="06956115001001"/>
    <n v="-206.31"/>
    <n v="3540"/>
    <n v="1"/>
    <n v="1"/>
  </r>
  <r>
    <m/>
    <m/>
    <x v="1"/>
    <s v="06998825001004"/>
    <n v="-132.69999999999999"/>
    <n v="2277"/>
    <n v="1"/>
    <n v="1"/>
  </r>
  <r>
    <m/>
    <m/>
    <x v="1"/>
    <s v="07122450001004"/>
    <n v="-42.66"/>
    <n v="732"/>
    <n v="1"/>
    <n v="1"/>
  </r>
  <r>
    <m/>
    <m/>
    <x v="1"/>
    <s v="07188065003001"/>
    <n v="-84.39"/>
    <n v="1448"/>
    <n v="1"/>
    <n v="1"/>
  </r>
  <r>
    <m/>
    <m/>
    <x v="1"/>
    <s v="07248551001001"/>
    <n v="-120.52"/>
    <n v="2068"/>
    <n v="1"/>
    <n v="1"/>
  </r>
  <r>
    <m/>
    <m/>
    <x v="1"/>
    <s v="07424854003003"/>
    <n v="-155.37"/>
    <n v="2666"/>
    <n v="1"/>
    <n v="1"/>
  </r>
  <r>
    <m/>
    <m/>
    <x v="1"/>
    <s v="07576140001005"/>
    <n v="-112.07"/>
    <n v="1923"/>
    <n v="1"/>
    <n v="1"/>
  </r>
  <r>
    <m/>
    <m/>
    <x v="1"/>
    <s v="07753575001007"/>
    <n v="-63.41"/>
    <n v="1088"/>
    <n v="1"/>
    <n v="1"/>
  </r>
  <r>
    <m/>
    <m/>
    <x v="1"/>
    <s v="07805842001001"/>
    <n v="-59.33"/>
    <n v="1018"/>
    <n v="1"/>
    <n v="1"/>
  </r>
  <r>
    <m/>
    <m/>
    <x v="1"/>
    <s v="07928044001004"/>
    <n v="-97.09"/>
    <n v="1666"/>
    <n v="1"/>
    <n v="1"/>
  </r>
  <r>
    <m/>
    <m/>
    <x v="1"/>
    <s v="08205707001003"/>
    <n v="-43.65"/>
    <n v="749"/>
    <n v="1"/>
    <n v="1"/>
  </r>
  <r>
    <m/>
    <m/>
    <x v="1"/>
    <s v="08291880001007"/>
    <n v="-141.33000000000001"/>
    <n v="2425"/>
    <n v="1"/>
    <n v="1"/>
  </r>
  <r>
    <m/>
    <m/>
    <x v="1"/>
    <s v="08293744002001"/>
    <n v="-133.11000000000001"/>
    <n v="2284"/>
    <n v="1"/>
    <n v="1"/>
  </r>
  <r>
    <m/>
    <m/>
    <x v="1"/>
    <s v="08341079003003"/>
    <n v="-102.05"/>
    <n v="1751"/>
    <n v="1"/>
    <n v="1"/>
  </r>
  <r>
    <m/>
    <m/>
    <x v="1"/>
    <s v="08395040001001"/>
    <n v="-184.28"/>
    <n v="3162"/>
    <n v="1"/>
    <n v="1"/>
  </r>
  <r>
    <m/>
    <m/>
    <x v="1"/>
    <s v="08422119001005"/>
    <n v="-107.58"/>
    <n v="1846"/>
    <n v="1"/>
    <n v="1"/>
  </r>
  <r>
    <m/>
    <m/>
    <x v="1"/>
    <s v="08551503001003"/>
    <n v="-131.30000000000001"/>
    <n v="2253"/>
    <n v="1"/>
    <n v="1"/>
  </r>
  <r>
    <m/>
    <m/>
    <x v="1"/>
    <s v="08657953002001"/>
    <n v="-109.62"/>
    <n v="1881"/>
    <n v="1"/>
    <n v="1"/>
  </r>
  <r>
    <m/>
    <m/>
    <x v="1"/>
    <s v="08662234001004"/>
    <n v="-30.42"/>
    <n v="522"/>
    <n v="1"/>
    <n v="1"/>
  </r>
  <r>
    <m/>
    <m/>
    <x v="1"/>
    <s v="08694261001001"/>
    <n v="-137.13"/>
    <n v="2353"/>
    <n v="1"/>
    <n v="1"/>
  </r>
  <r>
    <m/>
    <m/>
    <x v="1"/>
    <s v="08733004003005"/>
    <n v="-110.21"/>
    <n v="1891"/>
    <n v="1"/>
    <n v="1"/>
  </r>
  <r>
    <m/>
    <m/>
    <x v="1"/>
    <s v="08749105002001"/>
    <n v="-54.55"/>
    <n v="936"/>
    <n v="1"/>
    <n v="1"/>
  </r>
  <r>
    <m/>
    <m/>
    <x v="1"/>
    <s v="08860390001003"/>
    <n v="-69.12"/>
    <n v="1186"/>
    <n v="1"/>
    <n v="1"/>
  </r>
  <r>
    <m/>
    <m/>
    <x v="1"/>
    <s v="08885109001001"/>
    <n v="-7.75"/>
    <n v="133"/>
    <n v="1"/>
    <n v="1"/>
  </r>
  <r>
    <m/>
    <m/>
    <x v="1"/>
    <s v="08947024001001"/>
    <n v="-101.35"/>
    <n v="1739"/>
    <n v="1"/>
    <n v="1"/>
  </r>
  <r>
    <m/>
    <m/>
    <x v="1"/>
    <s v="08951802001002"/>
    <n v="-143.6"/>
    <n v="2464"/>
    <n v="1"/>
    <n v="1"/>
  </r>
  <r>
    <m/>
    <m/>
    <x v="1"/>
    <s v="08955164001001"/>
    <n v="-151.63999999999999"/>
    <n v="2602"/>
    <n v="1"/>
    <n v="1"/>
  </r>
  <r>
    <m/>
    <m/>
    <x v="1"/>
    <s v="09062578001001"/>
    <n v="-99.31"/>
    <n v="1704"/>
    <n v="1"/>
    <n v="1"/>
  </r>
  <r>
    <m/>
    <m/>
    <x v="1"/>
    <s v="09084610002003"/>
    <n v="-109.86"/>
    <n v="1885"/>
    <n v="1"/>
    <n v="1"/>
  </r>
  <r>
    <m/>
    <m/>
    <x v="1"/>
    <s v="09125101001001"/>
    <n v="-78.5"/>
    <n v="1347"/>
    <n v="1"/>
    <n v="1"/>
  </r>
  <r>
    <m/>
    <m/>
    <x v="1"/>
    <s v="09315806002001"/>
    <n v="-63.29"/>
    <n v="1086"/>
    <n v="1"/>
    <n v="1"/>
  </r>
  <r>
    <m/>
    <m/>
    <x v="1"/>
    <s v="09318796001003"/>
    <n v="-140.28"/>
    <n v="2407"/>
    <n v="1"/>
    <n v="1"/>
  </r>
  <r>
    <m/>
    <m/>
    <x v="1"/>
    <s v="09446670001003"/>
    <n v="-33.51"/>
    <n v="575"/>
    <n v="1"/>
    <n v="1"/>
  </r>
  <r>
    <m/>
    <m/>
    <x v="1"/>
    <s v="09448617003001"/>
    <n v="-162.08000000000001"/>
    <n v="2781"/>
    <n v="1"/>
    <n v="1"/>
  </r>
  <r>
    <m/>
    <m/>
    <x v="1"/>
    <s v="09451288001001"/>
    <n v="-53.85"/>
    <n v="924"/>
    <n v="1"/>
    <n v="1"/>
  </r>
  <r>
    <m/>
    <m/>
    <x v="1"/>
    <s v="09717335001001"/>
    <n v="-116.85"/>
    <n v="2005"/>
    <n v="1"/>
    <n v="1"/>
  </r>
  <r>
    <m/>
    <m/>
    <x v="1"/>
    <s v="09718241001001"/>
    <n v="-60.44"/>
    <n v="1037"/>
    <n v="1"/>
    <n v="1"/>
  </r>
  <r>
    <m/>
    <m/>
    <x v="1"/>
    <s v="09742133005001"/>
    <n v="-130.55000000000001"/>
    <n v="2240"/>
    <n v="1"/>
    <n v="1"/>
  </r>
  <r>
    <m/>
    <m/>
    <x v="1"/>
    <s v="09771064001005"/>
    <n v="-209.4"/>
    <n v="3593"/>
    <n v="1"/>
    <n v="1"/>
  </r>
  <r>
    <m/>
    <m/>
    <x v="1"/>
    <s v="09790156001005"/>
    <n v="-94.76"/>
    <n v="1626"/>
    <n v="1"/>
    <n v="1"/>
  </r>
  <r>
    <m/>
    <m/>
    <x v="1"/>
    <s v="09830097001003"/>
    <n v="-103.68"/>
    <n v="1779"/>
    <n v="1"/>
    <n v="1"/>
  </r>
  <r>
    <m/>
    <m/>
    <x v="1"/>
    <s v="09956672001005"/>
    <n v="-115.45"/>
    <n v="1981"/>
    <n v="1"/>
    <n v="1"/>
  </r>
  <r>
    <m/>
    <m/>
    <x v="1"/>
    <s v="10032544001001"/>
    <n v="-79.14"/>
    <n v="1358"/>
    <n v="1"/>
    <n v="1"/>
  </r>
  <r>
    <m/>
    <m/>
    <x v="1"/>
    <s v="10059606001005"/>
    <n v="-23.78"/>
    <n v="408"/>
    <n v="1"/>
    <n v="1"/>
  </r>
  <r>
    <m/>
    <m/>
    <x v="1"/>
    <s v="10089238001001"/>
    <n v="-56.36"/>
    <n v="967"/>
    <n v="1"/>
    <n v="1"/>
  </r>
  <r>
    <m/>
    <m/>
    <x v="1"/>
    <s v="10119522001001"/>
    <n v="-39.11"/>
    <n v="671"/>
    <n v="1"/>
    <n v="1"/>
  </r>
  <r>
    <m/>
    <m/>
    <x v="1"/>
    <s v="10291136001005"/>
    <n v="-163.88"/>
    <n v="2812"/>
    <n v="1"/>
    <n v="1"/>
  </r>
  <r>
    <m/>
    <m/>
    <x v="1"/>
    <s v="10342020001001"/>
    <n v="-115.57"/>
    <n v="1983"/>
    <n v="1"/>
    <n v="1"/>
  </r>
  <r>
    <m/>
    <m/>
    <x v="1"/>
    <s v="10377894001016"/>
    <n v="-128.91999999999999"/>
    <n v="2212"/>
    <n v="1"/>
    <n v="1"/>
  </r>
  <r>
    <m/>
    <m/>
    <x v="1"/>
    <s v="10430136002001"/>
    <n v="-34.68"/>
    <n v="595"/>
    <n v="1"/>
    <n v="1"/>
  </r>
  <r>
    <m/>
    <m/>
    <x v="1"/>
    <s v="10532169002004"/>
    <n v="-110.97"/>
    <n v="1904"/>
    <n v="1"/>
    <n v="1"/>
  </r>
  <r>
    <m/>
    <m/>
    <x v="1"/>
    <s v="10584250001001"/>
    <n v="-69.12"/>
    <n v="1186"/>
    <n v="1"/>
    <n v="1"/>
  </r>
  <r>
    <m/>
    <m/>
    <x v="1"/>
    <s v="10602704001001"/>
    <n v="-77.05"/>
    <n v="1322"/>
    <n v="1"/>
    <n v="1"/>
  </r>
  <r>
    <m/>
    <m/>
    <x v="1"/>
    <s v="10701194001007"/>
    <n v="-94.47"/>
    <n v="1621"/>
    <n v="1"/>
    <n v="1"/>
  </r>
  <r>
    <m/>
    <m/>
    <x v="1"/>
    <s v="10769950001001"/>
    <n v="-88.76"/>
    <n v="1523"/>
    <n v="1"/>
    <n v="1"/>
  </r>
  <r>
    <m/>
    <m/>
    <x v="1"/>
    <s v="10792246001002"/>
    <n v="-101.12"/>
    <n v="1735"/>
    <n v="1"/>
    <n v="1"/>
  </r>
  <r>
    <m/>
    <m/>
    <x v="1"/>
    <s v="10852636002001"/>
    <n v="-47.03"/>
    <n v="807"/>
    <n v="1"/>
    <n v="1"/>
  </r>
  <r>
    <m/>
    <m/>
    <x v="1"/>
    <s v="10865475001001"/>
    <n v="-106.42"/>
    <n v="1826"/>
    <n v="1"/>
    <n v="1"/>
  </r>
  <r>
    <m/>
    <m/>
    <x v="1"/>
    <s v="10948443001012"/>
    <n v="-68.13"/>
    <n v="1169"/>
    <n v="1"/>
    <n v="1"/>
  </r>
  <r>
    <m/>
    <m/>
    <x v="1"/>
    <s v="11044266002005"/>
    <n v="-92.72"/>
    <n v="1591"/>
    <n v="1"/>
    <n v="1"/>
  </r>
  <r>
    <m/>
    <m/>
    <x v="1"/>
    <s v="11181273001011"/>
    <n v="-109.74"/>
    <n v="1883"/>
    <n v="1"/>
    <n v="1"/>
  </r>
  <r>
    <m/>
    <m/>
    <x v="1"/>
    <s v="11191517003003"/>
    <n v="-197.28"/>
    <n v="3385"/>
    <n v="1"/>
    <n v="1"/>
  </r>
  <r>
    <m/>
    <m/>
    <x v="1"/>
    <s v="11381042002003"/>
    <n v="-166.04"/>
    <n v="2849"/>
    <n v="1"/>
    <n v="1"/>
  </r>
  <r>
    <m/>
    <m/>
    <x v="1"/>
    <s v="11647392001003"/>
    <n v="-4.72"/>
    <n v="81"/>
    <n v="1"/>
    <n v="1"/>
  </r>
  <r>
    <m/>
    <m/>
    <x v="1"/>
    <s v="11718825001001"/>
    <n v="-56.53"/>
    <n v="970"/>
    <n v="1"/>
    <n v="1"/>
  </r>
  <r>
    <m/>
    <m/>
    <x v="1"/>
    <s v="11724480001002"/>
    <n v="-120.52"/>
    <n v="2068"/>
    <n v="1"/>
    <n v="1"/>
  </r>
  <r>
    <m/>
    <m/>
    <x v="1"/>
    <s v="11764245001001"/>
    <n v="-42.6"/>
    <n v="731"/>
    <n v="1"/>
    <n v="1"/>
  </r>
  <r>
    <m/>
    <m/>
    <x v="1"/>
    <s v="11864835001004"/>
    <n v="-169.48"/>
    <n v="2908"/>
    <n v="1"/>
    <n v="1"/>
  </r>
  <r>
    <m/>
    <m/>
    <x v="1"/>
    <s v="12161900001001"/>
    <n v="-66.150000000000006"/>
    <n v="1135"/>
    <n v="1"/>
    <n v="1"/>
  </r>
  <r>
    <m/>
    <m/>
    <x v="1"/>
    <s v="12178408001003"/>
    <n v="-25.88"/>
    <n v="444"/>
    <n v="1"/>
    <n v="1"/>
  </r>
  <r>
    <m/>
    <m/>
    <x v="1"/>
    <s v="12193027001001"/>
    <n v="-39.049999999999997"/>
    <n v="670"/>
    <n v="1"/>
    <n v="1"/>
  </r>
  <r>
    <m/>
    <m/>
    <x v="1"/>
    <s v="12199696001001"/>
    <n v="-198.04"/>
    <n v="3398"/>
    <n v="1"/>
    <n v="1"/>
  </r>
  <r>
    <m/>
    <m/>
    <x v="1"/>
    <s v="12431136001001"/>
    <n v="-107.29"/>
    <n v="1841"/>
    <n v="1"/>
    <n v="1"/>
  </r>
  <r>
    <m/>
    <m/>
    <x v="1"/>
    <s v="12640965001001"/>
    <n v="-158.52000000000001"/>
    <n v="2720"/>
    <n v="1"/>
    <n v="1"/>
  </r>
  <r>
    <m/>
    <m/>
    <x v="1"/>
    <s v="12750086001005"/>
    <n v="-160.91"/>
    <n v="2761"/>
    <n v="1"/>
    <n v="1"/>
  </r>
  <r>
    <m/>
    <m/>
    <x v="1"/>
    <s v="12887725001001"/>
    <n v="-95.05"/>
    <n v="1631"/>
    <n v="1"/>
    <n v="1"/>
  </r>
  <r>
    <m/>
    <m/>
    <x v="1"/>
    <s v="12890384003001"/>
    <n v="-156.37"/>
    <n v="2683"/>
    <n v="1"/>
    <n v="1"/>
  </r>
  <r>
    <m/>
    <m/>
    <x v="1"/>
    <s v="12902462003001"/>
    <n v="-126"/>
    <n v="2162"/>
    <n v="1"/>
    <n v="1"/>
  </r>
  <r>
    <m/>
    <m/>
    <x v="1"/>
    <s v="12923934001001"/>
    <n v="-24.07"/>
    <n v="413"/>
    <n v="1"/>
    <n v="1"/>
  </r>
  <r>
    <m/>
    <m/>
    <x v="1"/>
    <s v="12968693001002"/>
    <n v="-77.16"/>
    <n v="1324"/>
    <n v="1"/>
    <n v="1"/>
  </r>
  <r>
    <m/>
    <m/>
    <x v="1"/>
    <s v="13120231001014"/>
    <n v="-96.05"/>
    <n v="1648"/>
    <n v="1"/>
    <n v="1"/>
  </r>
  <r>
    <m/>
    <m/>
    <x v="1"/>
    <s v="13147069001001"/>
    <n v="-82.17"/>
    <n v="1410"/>
    <n v="1"/>
    <n v="1"/>
  </r>
  <r>
    <m/>
    <m/>
    <x v="1"/>
    <s v="13184132001003"/>
    <n v="-94.47"/>
    <n v="1621"/>
    <n v="1"/>
    <n v="1"/>
  </r>
  <r>
    <m/>
    <m/>
    <x v="1"/>
    <s v="13219544001001"/>
    <n v="-237.78"/>
    <n v="4080"/>
    <n v="1"/>
    <n v="1"/>
  </r>
  <r>
    <m/>
    <m/>
    <x v="1"/>
    <s v="13250149001002"/>
    <n v="-164.52"/>
    <n v="2823"/>
    <n v="1"/>
    <n v="1"/>
  </r>
  <r>
    <m/>
    <m/>
    <x v="1"/>
    <s v="13319972001001"/>
    <n v="-17.66"/>
    <n v="303"/>
    <n v="1"/>
    <n v="1"/>
  </r>
  <r>
    <m/>
    <m/>
    <x v="1"/>
    <s v="13341729001002"/>
    <n v="-111.78"/>
    <n v="1918"/>
    <n v="1"/>
    <n v="1"/>
  </r>
  <r>
    <m/>
    <m/>
    <x v="1"/>
    <s v="13392614001001"/>
    <n v="-14.57"/>
    <n v="250"/>
    <n v="1"/>
    <n v="1"/>
  </r>
  <r>
    <m/>
    <m/>
    <x v="1"/>
    <s v="13434804001011"/>
    <n v="-123.85"/>
    <n v="2125"/>
    <n v="1"/>
    <n v="1"/>
  </r>
  <r>
    <m/>
    <m/>
    <x v="1"/>
    <s v="13584754001005"/>
    <n v="-46.27"/>
    <n v="794"/>
    <n v="1"/>
    <n v="1"/>
  </r>
  <r>
    <m/>
    <m/>
    <x v="1"/>
    <s v="13623153001006"/>
    <n v="-197.74"/>
    <n v="3393"/>
    <n v="1"/>
    <n v="1"/>
  </r>
  <r>
    <m/>
    <m/>
    <x v="1"/>
    <s v="13666615002003"/>
    <n v="-74.77"/>
    <n v="1283"/>
    <n v="1"/>
    <n v="1"/>
  </r>
  <r>
    <m/>
    <m/>
    <x v="1"/>
    <s v="13731146001001"/>
    <n v="-20.22"/>
    <n v="347"/>
    <n v="1"/>
    <n v="1"/>
  </r>
  <r>
    <m/>
    <m/>
    <x v="1"/>
    <s v="13794916004003"/>
    <n v="-139.52000000000001"/>
    <n v="2394"/>
    <n v="1"/>
    <n v="1"/>
  </r>
  <r>
    <m/>
    <m/>
    <x v="1"/>
    <s v="13882655001005"/>
    <n v="-133.52000000000001"/>
    <n v="2291"/>
    <n v="1"/>
    <n v="1"/>
  </r>
  <r>
    <m/>
    <m/>
    <x v="1"/>
    <s v="14105636001003"/>
    <n v="-240.7"/>
    <n v="4130"/>
    <n v="1"/>
    <n v="1"/>
  </r>
  <r>
    <m/>
    <m/>
    <x v="1"/>
    <s v="14112463001010"/>
    <n v="-95.11"/>
    <n v="1632"/>
    <n v="1"/>
    <n v="1"/>
  </r>
  <r>
    <m/>
    <m/>
    <x v="1"/>
    <s v="14123583001011"/>
    <n v="-39.22"/>
    <n v="673"/>
    <n v="1"/>
    <n v="1"/>
  </r>
  <r>
    <m/>
    <m/>
    <x v="1"/>
    <s v="14158880001001"/>
    <n v="-93.66"/>
    <n v="1607"/>
    <n v="1"/>
    <n v="1"/>
  </r>
  <r>
    <m/>
    <m/>
    <x v="1"/>
    <s v="14171251001006"/>
    <n v="-50"/>
    <n v="858"/>
    <n v="1"/>
    <n v="1"/>
  </r>
  <r>
    <m/>
    <m/>
    <x v="1"/>
    <s v="14201594001002"/>
    <n v="-18.13"/>
    <n v="311"/>
    <n v="1"/>
    <n v="1"/>
  </r>
  <r>
    <m/>
    <m/>
    <x v="1"/>
    <s v="14417667001001"/>
    <n v="-90.68"/>
    <n v="1556"/>
    <n v="1"/>
    <n v="1"/>
  </r>
  <r>
    <m/>
    <m/>
    <x v="1"/>
    <s v="14546711001003"/>
    <n v="-75.010000000000005"/>
    <n v="1287"/>
    <n v="1"/>
    <n v="1"/>
  </r>
  <r>
    <m/>
    <m/>
    <x v="1"/>
    <s v="14606942002003"/>
    <n v="-167.15"/>
    <n v="2868"/>
    <n v="1"/>
    <n v="1"/>
  </r>
  <r>
    <m/>
    <m/>
    <x v="1"/>
    <s v="14688187005003"/>
    <n v="-120.35"/>
    <n v="2065"/>
    <n v="1"/>
    <n v="1"/>
  </r>
  <r>
    <m/>
    <m/>
    <x v="1"/>
    <s v="14783592001004"/>
    <n v="-89.17"/>
    <n v="1530"/>
    <n v="1"/>
    <n v="1"/>
  </r>
  <r>
    <m/>
    <m/>
    <x v="1"/>
    <s v="14809005001008"/>
    <n v="-57.35"/>
    <n v="984"/>
    <n v="1"/>
    <n v="1"/>
  </r>
  <r>
    <m/>
    <m/>
    <x v="1"/>
    <s v="14916764001003"/>
    <n v="-40.909999999999997"/>
    <n v="702"/>
    <n v="1"/>
    <n v="1"/>
  </r>
  <r>
    <m/>
    <m/>
    <x v="1"/>
    <s v="14932788004002"/>
    <n v="-70.400000000000006"/>
    <n v="1208"/>
    <n v="1"/>
    <n v="1"/>
  </r>
  <r>
    <m/>
    <m/>
    <x v="1"/>
    <s v="14988573003007"/>
    <n v="-48.61"/>
    <n v="834"/>
    <n v="1"/>
    <n v="1"/>
  </r>
  <r>
    <m/>
    <m/>
    <x v="1"/>
    <s v="15371962001008"/>
    <n v="-27.1"/>
    <n v="465"/>
    <n v="1"/>
    <n v="1"/>
  </r>
  <r>
    <m/>
    <m/>
    <x v="1"/>
    <s v="15399217001007"/>
    <n v="-107.64"/>
    <n v="1847"/>
    <n v="1"/>
    <n v="1"/>
  </r>
  <r>
    <m/>
    <m/>
    <x v="1"/>
    <s v="15433507001001"/>
    <n v="-7.75"/>
    <n v="133"/>
    <n v="1"/>
    <n v="1"/>
  </r>
  <r>
    <m/>
    <m/>
    <x v="1"/>
    <s v="15497150001007"/>
    <n v="-39.28"/>
    <n v="674"/>
    <n v="1"/>
    <n v="1"/>
  </r>
  <r>
    <m/>
    <m/>
    <x v="1"/>
    <s v="15503574001005"/>
    <n v="-24.19"/>
    <n v="415"/>
    <n v="1"/>
    <n v="1"/>
  </r>
  <r>
    <m/>
    <m/>
    <x v="1"/>
    <s v="15605670001005"/>
    <n v="-79.73"/>
    <n v="1368"/>
    <n v="1"/>
    <n v="1"/>
  </r>
  <r>
    <m/>
    <m/>
    <x v="1"/>
    <s v="15639686001001"/>
    <n v="-16.260000000000002"/>
    <n v="279"/>
    <n v="1"/>
    <n v="1"/>
  </r>
  <r>
    <m/>
    <m/>
    <x v="1"/>
    <s v="15663487001001"/>
    <n v="-44.76"/>
    <n v="768"/>
    <n v="1"/>
    <n v="1"/>
  </r>
  <r>
    <m/>
    <m/>
    <x v="1"/>
    <s v="15663563001002"/>
    <n v="-88.29"/>
    <n v="1515"/>
    <n v="1"/>
    <n v="1"/>
  </r>
  <r>
    <m/>
    <m/>
    <x v="1"/>
    <s v="15666421003001"/>
    <n v="-120.41"/>
    <n v="2066"/>
    <n v="1"/>
    <n v="1"/>
  </r>
  <r>
    <m/>
    <m/>
    <x v="1"/>
    <s v="15745592001001"/>
    <n v="-164.76"/>
    <n v="2827"/>
    <n v="1"/>
    <n v="1"/>
  </r>
  <r>
    <m/>
    <m/>
    <x v="1"/>
    <s v="15925995001001"/>
    <n v="-60.67"/>
    <n v="1041"/>
    <n v="1"/>
    <n v="1"/>
  </r>
  <r>
    <m/>
    <m/>
    <x v="1"/>
    <s v="15994043001001"/>
    <n v="-18.18"/>
    <n v="312"/>
    <n v="1"/>
    <n v="1"/>
  </r>
  <r>
    <m/>
    <m/>
    <x v="1"/>
    <s v="16066827003001"/>
    <n v="-116.27"/>
    <n v="1995"/>
    <n v="1"/>
    <n v="1"/>
  </r>
  <r>
    <m/>
    <m/>
    <x v="1"/>
    <s v="16099578001001"/>
    <n v="-161.72999999999999"/>
    <n v="2775"/>
    <n v="1"/>
    <n v="1"/>
  </r>
  <r>
    <m/>
    <m/>
    <x v="1"/>
    <s v="16141513003001"/>
    <n v="-71.510000000000005"/>
    <n v="1227"/>
    <n v="1"/>
    <n v="1"/>
  </r>
  <r>
    <m/>
    <m/>
    <x v="1"/>
    <s v="16174085001001"/>
    <n v="-114.29"/>
    <n v="1961"/>
    <n v="1"/>
    <n v="1"/>
  </r>
  <r>
    <m/>
    <m/>
    <x v="1"/>
    <s v="16175755001003"/>
    <n v="-40.04"/>
    <n v="687"/>
    <n v="1"/>
    <n v="1"/>
  </r>
  <r>
    <m/>
    <m/>
    <x v="1"/>
    <s v="16324942001001"/>
    <n v="-52.45"/>
    <n v="900"/>
    <n v="1"/>
    <n v="1"/>
  </r>
  <r>
    <m/>
    <m/>
    <x v="1"/>
    <s v="16428953002001"/>
    <n v="-44.12"/>
    <n v="757"/>
    <n v="1"/>
    <n v="1"/>
  </r>
  <r>
    <m/>
    <m/>
    <x v="1"/>
    <s v="16568578002001"/>
    <n v="-29.84"/>
    <n v="512"/>
    <n v="1"/>
    <n v="1"/>
  </r>
  <r>
    <m/>
    <m/>
    <x v="1"/>
    <s v="16616380001003"/>
    <n v="-47.15"/>
    <n v="809"/>
    <n v="1"/>
    <n v="1"/>
  </r>
  <r>
    <m/>
    <m/>
    <x v="1"/>
    <s v="16821471001003"/>
    <n v="-71.510000000000005"/>
    <n v="1227"/>
    <n v="1"/>
    <n v="1"/>
  </r>
  <r>
    <m/>
    <m/>
    <x v="1"/>
    <s v="16865540003001"/>
    <n v="-19"/>
    <n v="326"/>
    <n v="1"/>
    <n v="1"/>
  </r>
  <r>
    <m/>
    <m/>
    <x v="1"/>
    <s v="16940606001001"/>
    <n v="-189.18"/>
    <n v="3246"/>
    <n v="1"/>
    <n v="1"/>
  </r>
  <r>
    <m/>
    <m/>
    <x v="1"/>
    <s v="16946064001004"/>
    <n v="-20.05"/>
    <n v="344"/>
    <n v="1"/>
    <n v="1"/>
  </r>
  <r>
    <m/>
    <m/>
    <x v="1"/>
    <s v="17002950001001"/>
    <n v="-175.89"/>
    <n v="3018"/>
    <n v="1"/>
    <n v="1"/>
  </r>
  <r>
    <m/>
    <m/>
    <x v="1"/>
    <s v="17076630003001"/>
    <n v="-99.08"/>
    <n v="1700"/>
    <n v="1"/>
    <n v="1"/>
  </r>
  <r>
    <m/>
    <m/>
    <x v="1"/>
    <s v="17180472001001"/>
    <n v="-46.62"/>
    <n v="800"/>
    <n v="1"/>
    <n v="1"/>
  </r>
  <r>
    <m/>
    <m/>
    <x v="1"/>
    <s v="17378301001002"/>
    <n v="-161.55000000000001"/>
    <n v="2772"/>
    <n v="1"/>
    <n v="1"/>
  </r>
  <r>
    <m/>
    <m/>
    <x v="1"/>
    <s v="17391702001004"/>
    <n v="-104.44"/>
    <n v="1792"/>
    <n v="1"/>
    <n v="1"/>
  </r>
  <r>
    <m/>
    <m/>
    <x v="1"/>
    <s v="17479759004002"/>
    <n v="-163.47999999999999"/>
    <n v="2805"/>
    <n v="1"/>
    <n v="1"/>
  </r>
  <r>
    <m/>
    <m/>
    <x v="1"/>
    <s v="17606006001001"/>
    <n v="-158.06"/>
    <n v="2712"/>
    <n v="1"/>
    <n v="1"/>
  </r>
  <r>
    <m/>
    <m/>
    <x v="1"/>
    <s v="17640682001003"/>
    <n v="-108.23"/>
    <n v="1857"/>
    <n v="1"/>
    <n v="1"/>
  </r>
  <r>
    <m/>
    <m/>
    <x v="1"/>
    <s v="17706944001001"/>
    <n v="-145.35"/>
    <n v="2494"/>
    <n v="1"/>
    <n v="1"/>
  </r>
  <r>
    <m/>
    <m/>
    <x v="1"/>
    <s v="17776485001001"/>
    <n v="-66.73"/>
    <n v="1145"/>
    <n v="1"/>
    <n v="1"/>
  </r>
  <r>
    <m/>
    <m/>
    <x v="1"/>
    <s v="17836081001001"/>
    <n v="-80.08"/>
    <n v="1374"/>
    <n v="1"/>
    <n v="1"/>
  </r>
  <r>
    <m/>
    <m/>
    <x v="1"/>
    <s v="17847574002001"/>
    <n v="-164.41"/>
    <n v="2821"/>
    <n v="1"/>
    <n v="1"/>
  </r>
  <r>
    <m/>
    <m/>
    <x v="1"/>
    <s v="17860325001001"/>
    <n v="-29.31"/>
    <n v="503"/>
    <n v="1"/>
    <n v="1"/>
  </r>
  <r>
    <m/>
    <m/>
    <x v="1"/>
    <s v="18046704001003"/>
    <n v="-7.75"/>
    <n v="133"/>
    <n v="1"/>
    <n v="1"/>
  </r>
  <r>
    <m/>
    <m/>
    <x v="1"/>
    <s v="18093249001001"/>
    <n v="-221.76"/>
    <n v="3805"/>
    <n v="1"/>
    <n v="1"/>
  </r>
  <r>
    <m/>
    <m/>
    <x v="1"/>
    <s v="18203462003005"/>
    <n v="-7.05"/>
    <n v="121"/>
    <n v="1"/>
    <n v="1"/>
  </r>
  <r>
    <m/>
    <m/>
    <x v="1"/>
    <s v="18264564004001"/>
    <n v="-226.48"/>
    <n v="3886"/>
    <n v="1"/>
    <n v="1"/>
  </r>
  <r>
    <m/>
    <m/>
    <x v="1"/>
    <s v="18510970001001"/>
    <n v="-98.03"/>
    <n v="1682"/>
    <n v="1"/>
    <n v="1"/>
  </r>
  <r>
    <m/>
    <m/>
    <x v="1"/>
    <s v="18558909001002"/>
    <n v="-395.37"/>
    <n v="6784"/>
    <n v="1"/>
    <n v="1"/>
  </r>
  <r>
    <m/>
    <m/>
    <x v="1"/>
    <s v="18598550001006"/>
    <n v="-67.599999999999994"/>
    <n v="1160"/>
    <n v="1"/>
    <n v="1"/>
  </r>
  <r>
    <m/>
    <m/>
    <x v="1"/>
    <s v="18891872005001"/>
    <n v="-94.18"/>
    <n v="1616"/>
    <n v="1"/>
    <n v="1"/>
  </r>
  <r>
    <m/>
    <m/>
    <x v="1"/>
    <s v="18896376002001"/>
    <n v="-227.87"/>
    <n v="3910"/>
    <n v="1"/>
    <n v="1"/>
  </r>
  <r>
    <m/>
    <m/>
    <x v="1"/>
    <s v="18898892001005"/>
    <n v="-5.36"/>
    <n v="92"/>
    <n v="1"/>
    <n v="1"/>
  </r>
  <r>
    <m/>
    <m/>
    <x v="1"/>
    <s v="19066582001001"/>
    <n v="-93.83"/>
    <n v="1610"/>
    <n v="1"/>
    <n v="1"/>
  </r>
  <r>
    <m/>
    <m/>
    <x v="1"/>
    <s v="19112010001001"/>
    <n v="-55.95"/>
    <n v="960"/>
    <n v="1"/>
    <n v="1"/>
  </r>
  <r>
    <m/>
    <m/>
    <x v="1"/>
    <s v="19229155004001"/>
    <n v="-214.94"/>
    <n v="3688"/>
    <n v="1"/>
    <n v="1"/>
  </r>
  <r>
    <m/>
    <m/>
    <x v="1"/>
    <s v="19248493001003"/>
    <n v="-70.58"/>
    <n v="1211"/>
    <n v="1"/>
    <n v="1"/>
  </r>
  <r>
    <m/>
    <m/>
    <x v="1"/>
    <s v="19280275005001"/>
    <n v="-79.489999999999995"/>
    <n v="1364"/>
    <n v="1"/>
    <n v="1"/>
  </r>
  <r>
    <m/>
    <m/>
    <x v="1"/>
    <s v="19435050001006"/>
    <n v="-241.22"/>
    <n v="4139"/>
    <n v="1"/>
    <n v="1"/>
  </r>
  <r>
    <m/>
    <m/>
    <x v="1"/>
    <s v="19562566001001"/>
    <n v="-80.25"/>
    <n v="1377"/>
    <n v="1"/>
    <n v="1"/>
  </r>
  <r>
    <m/>
    <m/>
    <x v="1"/>
    <s v="19625257001005"/>
    <n v="-208.23"/>
    <n v="3573"/>
    <n v="1"/>
    <n v="1"/>
  </r>
  <r>
    <m/>
    <m/>
    <x v="1"/>
    <s v="19672934001001"/>
    <n v="-43.65"/>
    <n v="749"/>
    <n v="1"/>
    <n v="1"/>
  </r>
  <r>
    <m/>
    <m/>
    <x v="1"/>
    <s v="19760888001002"/>
    <n v="-17.95"/>
    <n v="308"/>
    <n v="1"/>
    <n v="1"/>
  </r>
  <r>
    <m/>
    <m/>
    <x v="1"/>
    <s v="19844787001003"/>
    <n v="-54.32"/>
    <n v="932"/>
    <n v="1"/>
    <n v="1"/>
  </r>
  <r>
    <m/>
    <m/>
    <x v="1"/>
    <s v="19858663001009"/>
    <n v="-71.63"/>
    <n v="1229"/>
    <n v="1"/>
    <n v="1"/>
  </r>
  <r>
    <m/>
    <m/>
    <x v="1"/>
    <s v="19984149003004"/>
    <n v="-82.17"/>
    <n v="1410"/>
    <n v="1"/>
    <n v="1"/>
  </r>
  <r>
    <m/>
    <m/>
    <x v="1"/>
    <s v="19984502001006"/>
    <n v="-126.47"/>
    <n v="2170"/>
    <n v="1"/>
    <n v="1"/>
  </r>
  <r>
    <m/>
    <m/>
    <x v="1"/>
    <s v="20017970001001"/>
    <n v="-44.99"/>
    <n v="772"/>
    <n v="1"/>
    <n v="1"/>
  </r>
  <r>
    <m/>
    <m/>
    <x v="1"/>
    <s v="20104962001001"/>
    <n v="-82.06"/>
    <n v="1408"/>
    <n v="1"/>
    <n v="1"/>
  </r>
  <r>
    <m/>
    <m/>
    <x v="1"/>
    <s v="20150975001012"/>
    <n v="-69.7"/>
    <n v="1196"/>
    <n v="1"/>
    <n v="1"/>
  </r>
  <r>
    <m/>
    <m/>
    <x v="1"/>
    <s v="20271876001002"/>
    <n v="-101.64"/>
    <n v="1744"/>
    <n v="1"/>
    <n v="1"/>
  </r>
  <r>
    <m/>
    <m/>
    <x v="1"/>
    <s v="20353719002001"/>
    <n v="-62.59"/>
    <n v="1074"/>
    <n v="1"/>
    <n v="1"/>
  </r>
  <r>
    <m/>
    <m/>
    <x v="1"/>
    <s v="20394809001002"/>
    <n v="-124.78"/>
    <n v="2141"/>
    <n v="1"/>
    <n v="1"/>
  </r>
  <r>
    <m/>
    <m/>
    <x v="1"/>
    <s v="20495106003001"/>
    <n v="-67.95"/>
    <n v="1166"/>
    <n v="1"/>
    <n v="1"/>
  </r>
  <r>
    <m/>
    <m/>
    <x v="1"/>
    <s v="20531435001001"/>
    <n v="-97.04"/>
    <n v="1665"/>
    <n v="1"/>
    <n v="1"/>
  </r>
  <r>
    <m/>
    <m/>
    <x v="1"/>
    <s v="20563492001001"/>
    <n v="-86.95"/>
    <n v="1492"/>
    <n v="1"/>
    <n v="1"/>
  </r>
  <r>
    <m/>
    <m/>
    <x v="1"/>
    <s v="20622831001001"/>
    <n v="-44.93"/>
    <n v="771"/>
    <n v="1"/>
    <n v="1"/>
  </r>
  <r>
    <m/>
    <m/>
    <x v="1"/>
    <s v="20661619001004"/>
    <n v="-168.84"/>
    <n v="2897"/>
    <n v="1"/>
    <n v="1"/>
  </r>
  <r>
    <m/>
    <m/>
    <x v="1"/>
    <s v="20704837002001"/>
    <n v="-92.08"/>
    <n v="1580"/>
    <n v="1"/>
    <n v="1"/>
  </r>
  <r>
    <m/>
    <m/>
    <x v="1"/>
    <s v="20924266001001"/>
    <n v="-87.25"/>
    <n v="1497"/>
    <n v="1"/>
    <n v="1"/>
  </r>
  <r>
    <m/>
    <m/>
    <x v="1"/>
    <s v="20988421001001"/>
    <n v="-70.58"/>
    <n v="1211"/>
    <n v="1"/>
    <n v="1"/>
  </r>
  <r>
    <m/>
    <m/>
    <x v="1"/>
    <s v="21000703003001"/>
    <n v="-91.85"/>
    <n v="1576"/>
    <n v="1"/>
    <n v="1"/>
  </r>
  <r>
    <m/>
    <m/>
    <x v="1"/>
    <s v="21014172001007"/>
    <n v="-55.48"/>
    <n v="952"/>
    <n v="1"/>
    <n v="1"/>
  </r>
  <r>
    <m/>
    <m/>
    <x v="1"/>
    <s v="21076316001002"/>
    <n v="-118.48"/>
    <n v="2033"/>
    <n v="1"/>
    <n v="1"/>
  </r>
  <r>
    <m/>
    <m/>
    <x v="1"/>
    <s v="21211434001004"/>
    <n v="-148.79"/>
    <n v="2553"/>
    <n v="1"/>
    <n v="1"/>
  </r>
  <r>
    <m/>
    <m/>
    <x v="1"/>
    <s v="21227003001003"/>
    <n v="-126.12"/>
    <n v="2164"/>
    <n v="1"/>
    <n v="1"/>
  </r>
  <r>
    <m/>
    <m/>
    <x v="1"/>
    <s v="21262148002004"/>
    <n v="-75.650000000000006"/>
    <n v="1298"/>
    <n v="1"/>
    <n v="1"/>
  </r>
  <r>
    <m/>
    <m/>
    <x v="1"/>
    <s v="21279456001002"/>
    <n v="-89.93"/>
    <n v="1543"/>
    <n v="1"/>
    <n v="1"/>
  </r>
  <r>
    <m/>
    <m/>
    <x v="1"/>
    <s v="21469093001007"/>
    <n v="-49.42"/>
    <n v="848"/>
    <n v="2"/>
    <n v="1"/>
  </r>
  <r>
    <m/>
    <m/>
    <x v="1"/>
    <s v="21530313001003"/>
    <n v="-46.97"/>
    <n v="806"/>
    <n v="1"/>
    <n v="1"/>
  </r>
  <r>
    <m/>
    <m/>
    <x v="1"/>
    <s v="21546690001003"/>
    <n v="-99.25"/>
    <n v="1703"/>
    <n v="1"/>
    <n v="1"/>
  </r>
  <r>
    <m/>
    <m/>
    <x v="1"/>
    <s v="21555911001001"/>
    <n v="-156.71"/>
    <n v="2689"/>
    <n v="1"/>
    <n v="1"/>
  </r>
  <r>
    <m/>
    <m/>
    <x v="1"/>
    <s v="21633111003003"/>
    <n v="-8.1"/>
    <n v="139"/>
    <n v="1"/>
    <n v="1"/>
  </r>
  <r>
    <m/>
    <m/>
    <x v="1"/>
    <s v="21653812001006"/>
    <n v="-95.35"/>
    <n v="1636"/>
    <n v="1"/>
    <n v="1"/>
  </r>
  <r>
    <m/>
    <m/>
    <x v="1"/>
    <s v="21694077001003"/>
    <n v="-47.61"/>
    <n v="817"/>
    <n v="1"/>
    <n v="1"/>
  </r>
  <r>
    <m/>
    <m/>
    <x v="1"/>
    <s v="21753313001013"/>
    <n v="-6.24"/>
    <n v="107"/>
    <n v="1"/>
    <n v="1"/>
  </r>
  <r>
    <m/>
    <m/>
    <x v="1"/>
    <s v="21859275001001"/>
    <n v="-12.47"/>
    <n v="214"/>
    <n v="1"/>
    <n v="1"/>
  </r>
  <r>
    <m/>
    <m/>
    <x v="1"/>
    <s v="22010468001003"/>
    <n v="-103.04"/>
    <n v="1768"/>
    <n v="1"/>
    <n v="1"/>
  </r>
  <r>
    <m/>
    <m/>
    <x v="1"/>
    <s v="22062156001001"/>
    <n v="-38.81"/>
    <n v="666"/>
    <n v="1"/>
    <n v="1"/>
  </r>
  <r>
    <m/>
    <m/>
    <x v="1"/>
    <s v="22102529001008"/>
    <n v="-70.290000000000006"/>
    <n v="1206"/>
    <n v="1"/>
    <n v="1"/>
  </r>
  <r>
    <m/>
    <m/>
    <x v="1"/>
    <s v="22203493001001"/>
    <n v="-45.05"/>
    <n v="773"/>
    <n v="1"/>
    <n v="1"/>
  </r>
  <r>
    <m/>
    <m/>
    <x v="1"/>
    <s v="22361013001001"/>
    <n v="-179.56"/>
    <n v="3081"/>
    <n v="1"/>
    <n v="1"/>
  </r>
  <r>
    <m/>
    <m/>
    <x v="1"/>
    <s v="22381989001002"/>
    <n v="-140.22"/>
    <n v="2406"/>
    <n v="1"/>
    <n v="1"/>
  </r>
  <r>
    <m/>
    <m/>
    <x v="1"/>
    <s v="22408901001001"/>
    <n v="-40.5"/>
    <n v="695"/>
    <n v="1"/>
    <n v="1"/>
  </r>
  <r>
    <m/>
    <m/>
    <x v="1"/>
    <s v="22424413001003"/>
    <n v="-106.07"/>
    <n v="1820"/>
    <n v="1"/>
    <n v="1"/>
  </r>
  <r>
    <m/>
    <m/>
    <x v="1"/>
    <s v="22461172001010"/>
    <n v="-40.74"/>
    <n v="699"/>
    <n v="1"/>
    <n v="1"/>
  </r>
  <r>
    <m/>
    <m/>
    <x v="1"/>
    <s v="22697285001003"/>
    <n v="-87.59"/>
    <n v="1503"/>
    <n v="1"/>
    <n v="1"/>
  </r>
  <r>
    <m/>
    <m/>
    <x v="1"/>
    <s v="22779889001001"/>
    <n v="-60.03"/>
    <n v="1030"/>
    <n v="1"/>
    <n v="1"/>
  </r>
  <r>
    <m/>
    <m/>
    <x v="1"/>
    <s v="22849605002001"/>
    <n v="-169.3"/>
    <n v="2905"/>
    <n v="1"/>
    <n v="1"/>
  </r>
  <r>
    <m/>
    <m/>
    <x v="1"/>
    <s v="23056711001001"/>
    <n v="-124.14"/>
    <n v="2130"/>
    <n v="1"/>
    <n v="1"/>
  </r>
  <r>
    <m/>
    <m/>
    <x v="1"/>
    <s v="23072089004002"/>
    <n v="-102.05"/>
    <n v="1751"/>
    <n v="1"/>
    <n v="1"/>
  </r>
  <r>
    <m/>
    <m/>
    <x v="1"/>
    <s v="23103586001001"/>
    <n v="-11.83"/>
    <n v="203"/>
    <n v="1"/>
    <n v="1"/>
  </r>
  <r>
    <m/>
    <m/>
    <x v="1"/>
    <s v="23131202001001"/>
    <n v="-103.68"/>
    <n v="1779"/>
    <n v="1"/>
    <n v="1"/>
  </r>
  <r>
    <m/>
    <m/>
    <x v="1"/>
    <s v="23143876001001"/>
    <n v="-120.06"/>
    <n v="2060"/>
    <n v="1"/>
    <n v="1"/>
  </r>
  <r>
    <m/>
    <m/>
    <x v="1"/>
    <s v="23227062001002"/>
    <n v="-80.540000000000006"/>
    <n v="1382"/>
    <n v="1"/>
    <n v="1"/>
  </r>
  <r>
    <m/>
    <m/>
    <x v="1"/>
    <s v="23396729002001"/>
    <n v="-83.52"/>
    <n v="1433"/>
    <n v="1"/>
    <n v="1"/>
  </r>
  <r>
    <m/>
    <m/>
    <x v="1"/>
    <s v="23453749007001"/>
    <n v="-69.64"/>
    <n v="1195"/>
    <n v="1"/>
    <n v="1"/>
  </r>
  <r>
    <m/>
    <m/>
    <x v="1"/>
    <s v="23468135001004"/>
    <n v="-24.36"/>
    <n v="418"/>
    <n v="1"/>
    <n v="1"/>
  </r>
  <r>
    <m/>
    <m/>
    <x v="1"/>
    <s v="23478229001001"/>
    <n v="-21.97"/>
    <n v="377"/>
    <n v="1"/>
    <n v="1"/>
  </r>
  <r>
    <m/>
    <m/>
    <x v="1"/>
    <s v="23600074001001"/>
    <n v="-60.61"/>
    <n v="1040"/>
    <n v="1"/>
    <n v="1"/>
  </r>
  <r>
    <m/>
    <m/>
    <x v="1"/>
    <s v="23634903001001"/>
    <n v="-26.93"/>
    <n v="462"/>
    <n v="1"/>
    <n v="1"/>
  </r>
  <r>
    <m/>
    <m/>
    <x v="1"/>
    <s v="23714586001003"/>
    <n v="-47.56"/>
    <n v="816"/>
    <n v="1"/>
    <n v="1"/>
  </r>
  <r>
    <m/>
    <m/>
    <x v="1"/>
    <s v="23879667001001"/>
    <n v="-56.88"/>
    <n v="976"/>
    <n v="1"/>
    <n v="1"/>
  </r>
  <r>
    <m/>
    <m/>
    <x v="1"/>
    <s v="23937121001001"/>
    <n v="-51"/>
    <n v="875"/>
    <n v="1"/>
    <n v="1"/>
  </r>
  <r>
    <m/>
    <m/>
    <x v="1"/>
    <s v="24219598004001"/>
    <n v="-91.38"/>
    <n v="1568"/>
    <n v="1"/>
    <n v="1"/>
  </r>
  <r>
    <m/>
    <m/>
    <x v="1"/>
    <s v="24291697001001"/>
    <n v="-123.32"/>
    <n v="2116"/>
    <n v="1"/>
    <n v="1"/>
  </r>
  <r>
    <m/>
    <m/>
    <x v="1"/>
    <s v="24300134001001"/>
    <n v="-58.4"/>
    <n v="1002"/>
    <n v="1"/>
    <n v="1"/>
  </r>
  <r>
    <m/>
    <m/>
    <x v="1"/>
    <s v="24336943003005"/>
    <n v="-256.08"/>
    <n v="4394"/>
    <n v="1"/>
    <n v="1"/>
  </r>
  <r>
    <m/>
    <m/>
    <x v="1"/>
    <s v="24338902001001"/>
    <n v="-49.71"/>
    <n v="853"/>
    <n v="1"/>
    <n v="1"/>
  </r>
  <r>
    <m/>
    <m/>
    <x v="1"/>
    <s v="24367805001001"/>
    <n v="-33.22"/>
    <n v="570"/>
    <n v="1"/>
    <n v="1"/>
  </r>
  <r>
    <m/>
    <m/>
    <x v="1"/>
    <s v="24434887002003"/>
    <n v="-46.97"/>
    <n v="806"/>
    <n v="1"/>
    <n v="1"/>
  </r>
  <r>
    <m/>
    <m/>
    <x v="1"/>
    <s v="24503591001001"/>
    <n v="-84.51"/>
    <n v="1450"/>
    <n v="1"/>
    <n v="1"/>
  </r>
  <r>
    <m/>
    <m/>
    <x v="1"/>
    <s v="24504553001005"/>
    <n v="-81.59"/>
    <n v="1400"/>
    <n v="1"/>
    <n v="1"/>
  </r>
  <r>
    <m/>
    <m/>
    <x v="1"/>
    <s v="24505066002001"/>
    <n v="-130.96"/>
    <n v="2247"/>
    <n v="1"/>
    <n v="1"/>
  </r>
  <r>
    <m/>
    <m/>
    <x v="1"/>
    <s v="24715679001001"/>
    <n v="-51.34"/>
    <n v="881"/>
    <n v="1"/>
    <n v="1"/>
  </r>
  <r>
    <m/>
    <m/>
    <x v="1"/>
    <s v="24751934001001"/>
    <n v="-100.59"/>
    <n v="1726"/>
    <n v="1"/>
    <n v="1"/>
  </r>
  <r>
    <m/>
    <m/>
    <x v="1"/>
    <s v="24806438001006"/>
    <n v="-96.22"/>
    <n v="1651"/>
    <n v="1"/>
    <n v="1"/>
  </r>
  <r>
    <m/>
    <m/>
    <x v="1"/>
    <s v="24884421006012"/>
    <n v="-119.47"/>
    <n v="2050"/>
    <n v="1"/>
    <n v="1"/>
  </r>
  <r>
    <m/>
    <m/>
    <x v="1"/>
    <s v="25160457004003"/>
    <n v="-191.97"/>
    <n v="3294"/>
    <n v="1"/>
    <n v="1"/>
  </r>
  <r>
    <m/>
    <m/>
    <x v="1"/>
    <s v="25383308001001"/>
    <n v="-172.04"/>
    <n v="2952"/>
    <n v="1"/>
    <n v="1"/>
  </r>
  <r>
    <m/>
    <m/>
    <x v="1"/>
    <s v="25428167001001"/>
    <n v="-36.19"/>
    <n v="621"/>
    <n v="1"/>
    <n v="1"/>
  </r>
  <r>
    <m/>
    <m/>
    <x v="1"/>
    <s v="25580805001001"/>
    <n v="-38.64"/>
    <n v="663"/>
    <n v="1"/>
    <n v="1"/>
  </r>
  <r>
    <m/>
    <m/>
    <x v="1"/>
    <s v="25584708001005"/>
    <n v="-115.04"/>
    <n v="1974"/>
    <n v="1"/>
    <n v="1"/>
  </r>
  <r>
    <m/>
    <m/>
    <x v="1"/>
    <s v="25611864001004"/>
    <n v="-80.31"/>
    <n v="1378"/>
    <n v="1"/>
    <n v="1"/>
  </r>
  <r>
    <m/>
    <m/>
    <x v="1"/>
    <s v="25644209001001"/>
    <n v="-30.36"/>
    <n v="521"/>
    <n v="1"/>
    <n v="1"/>
  </r>
  <r>
    <m/>
    <m/>
    <x v="1"/>
    <s v="25741551007013"/>
    <n v="-214.41"/>
    <n v="3679"/>
    <n v="1"/>
    <n v="1"/>
  </r>
  <r>
    <m/>
    <m/>
    <x v="1"/>
    <s v="25769735001009"/>
    <n v="-96.28"/>
    <n v="1652"/>
    <n v="1"/>
    <n v="1"/>
  </r>
  <r>
    <m/>
    <m/>
    <x v="1"/>
    <s v="25783482001001"/>
    <n v="-236.91"/>
    <n v="4065"/>
    <n v="1"/>
    <n v="1"/>
  </r>
  <r>
    <m/>
    <m/>
    <x v="1"/>
    <s v="25784922001004"/>
    <n v="-99.37"/>
    <n v="1705"/>
    <n v="1"/>
    <n v="1"/>
  </r>
  <r>
    <m/>
    <m/>
    <x v="1"/>
    <s v="25810340001001"/>
    <n v="-144.01"/>
    <n v="2471"/>
    <n v="1"/>
    <n v="1"/>
  </r>
  <r>
    <m/>
    <m/>
    <x v="1"/>
    <s v="25816610001008"/>
    <n v="-147.97"/>
    <n v="2539"/>
    <n v="1"/>
    <n v="1"/>
  </r>
  <r>
    <m/>
    <m/>
    <x v="1"/>
    <s v="25824653001001"/>
    <n v="-63.35"/>
    <n v="1087"/>
    <n v="1"/>
    <n v="1"/>
  </r>
  <r>
    <m/>
    <m/>
    <x v="1"/>
    <s v="25980885005001"/>
    <n v="-122.39"/>
    <n v="2100"/>
    <n v="1"/>
    <n v="1"/>
  </r>
  <r>
    <m/>
    <m/>
    <x v="1"/>
    <s v="26054021001002"/>
    <n v="-73.260000000000005"/>
    <n v="1257"/>
    <n v="1"/>
    <n v="1"/>
  </r>
  <r>
    <m/>
    <m/>
    <x v="1"/>
    <s v="26264318008001"/>
    <n v="-174.37"/>
    <n v="2992"/>
    <n v="1"/>
    <n v="1"/>
  </r>
  <r>
    <m/>
    <m/>
    <x v="1"/>
    <s v="26360288004001"/>
    <n v="-77.34"/>
    <n v="1327"/>
    <n v="1"/>
    <n v="1"/>
  </r>
  <r>
    <m/>
    <m/>
    <x v="1"/>
    <s v="26400210001001"/>
    <n v="-67.55"/>
    <n v="1159"/>
    <n v="1"/>
    <n v="1"/>
  </r>
  <r>
    <m/>
    <m/>
    <x v="1"/>
    <s v="26537288001001"/>
    <n v="-45.57"/>
    <n v="782"/>
    <n v="1"/>
    <n v="1"/>
  </r>
  <r>
    <m/>
    <m/>
    <x v="1"/>
    <s v="26545623004004"/>
    <n v="-92.08"/>
    <n v="1580"/>
    <n v="1"/>
    <n v="1"/>
  </r>
  <r>
    <m/>
    <m/>
    <x v="1"/>
    <s v="26569299001003"/>
    <n v="-120.99"/>
    <n v="2076"/>
    <n v="1"/>
    <n v="1"/>
  </r>
  <r>
    <m/>
    <m/>
    <x v="1"/>
    <s v="26902722002003"/>
    <n v="-205.9"/>
    <n v="3533"/>
    <n v="1"/>
    <n v="1"/>
  </r>
  <r>
    <m/>
    <m/>
    <x v="1"/>
    <s v="27057981001001"/>
    <n v="-73.55"/>
    <n v="1262"/>
    <n v="1"/>
    <n v="1"/>
  </r>
  <r>
    <m/>
    <m/>
    <x v="1"/>
    <s v="27069473001005"/>
    <n v="-133.87"/>
    <n v="2297"/>
    <n v="1"/>
    <n v="1"/>
  </r>
  <r>
    <m/>
    <m/>
    <x v="1"/>
    <s v="27104996002014"/>
    <n v="-112.66"/>
    <n v="1933"/>
    <n v="1"/>
    <n v="1"/>
  </r>
  <r>
    <m/>
    <m/>
    <x v="1"/>
    <s v="27207665001001"/>
    <n v="-42.78"/>
    <n v="734"/>
    <n v="1"/>
    <n v="1"/>
  </r>
  <r>
    <m/>
    <m/>
    <x v="1"/>
    <s v="27261268009001"/>
    <n v="-18.940000000000001"/>
    <n v="325"/>
    <n v="1"/>
    <n v="1"/>
  </r>
  <r>
    <m/>
    <m/>
    <x v="1"/>
    <s v="27353470003003"/>
    <n v="-150.77000000000001"/>
    <n v="2587"/>
    <n v="1"/>
    <n v="1"/>
  </r>
  <r>
    <m/>
    <m/>
    <x v="1"/>
    <s v="27457180001003"/>
    <n v="-191.51"/>
    <n v="3286"/>
    <n v="1"/>
    <n v="1"/>
  </r>
  <r>
    <m/>
    <m/>
    <x v="1"/>
    <s v="27563696001003"/>
    <n v="-48.96"/>
    <n v="840"/>
    <n v="1"/>
    <n v="1"/>
  </r>
  <r>
    <m/>
    <m/>
    <x v="1"/>
    <s v="27614236002001"/>
    <n v="-50.7"/>
    <n v="870"/>
    <n v="1"/>
    <n v="1"/>
  </r>
  <r>
    <m/>
    <m/>
    <x v="1"/>
    <s v="27629352001002"/>
    <n v="-194.6"/>
    <n v="3339"/>
    <n v="1"/>
    <n v="1"/>
  </r>
  <r>
    <m/>
    <m/>
    <x v="1"/>
    <s v="27691065001006"/>
    <n v="-112.66"/>
    <n v="1933"/>
    <n v="1"/>
    <n v="1"/>
  </r>
  <r>
    <m/>
    <m/>
    <x v="1"/>
    <s v="27796579002001"/>
    <n v="-69.64"/>
    <n v="1195"/>
    <n v="1"/>
    <n v="1"/>
  </r>
  <r>
    <m/>
    <m/>
    <x v="1"/>
    <s v="27807380001004"/>
    <n v="-3.9"/>
    <n v="67"/>
    <n v="1"/>
    <n v="1"/>
  </r>
  <r>
    <m/>
    <m/>
    <x v="1"/>
    <s v="28059627001003"/>
    <n v="-64.52"/>
    <n v="1107"/>
    <n v="1"/>
    <n v="1"/>
  </r>
  <r>
    <m/>
    <m/>
    <x v="1"/>
    <s v="28204362001001"/>
    <n v="-46.92"/>
    <n v="805"/>
    <n v="1"/>
    <n v="1"/>
  </r>
  <r>
    <m/>
    <m/>
    <x v="1"/>
    <s v="28227700001002"/>
    <n v="-109.39"/>
    <n v="1877"/>
    <n v="1"/>
    <n v="1"/>
  </r>
  <r>
    <m/>
    <m/>
    <x v="1"/>
    <s v="28349379001003"/>
    <n v="-187.02"/>
    <n v="3209"/>
    <n v="1"/>
    <n v="1"/>
  </r>
  <r>
    <m/>
    <m/>
    <x v="1"/>
    <s v="28416675003005"/>
    <n v="-16.260000000000002"/>
    <n v="279"/>
    <n v="1"/>
    <n v="1"/>
  </r>
  <r>
    <m/>
    <m/>
    <x v="1"/>
    <s v="28477040001004"/>
    <n v="-66.319999999999993"/>
    <n v="1138"/>
    <n v="1"/>
    <n v="1"/>
  </r>
  <r>
    <m/>
    <m/>
    <x v="1"/>
    <s v="28647586001001"/>
    <n v="-59.04"/>
    <n v="1013"/>
    <n v="1"/>
    <n v="1"/>
  </r>
  <r>
    <m/>
    <m/>
    <x v="1"/>
    <s v="28704245001001"/>
    <n v="-124.54"/>
    <n v="2137"/>
    <n v="1"/>
    <n v="1"/>
  </r>
  <r>
    <m/>
    <m/>
    <x v="1"/>
    <s v="28722691001003"/>
    <n v="-92.14"/>
    <n v="1581"/>
    <n v="1"/>
    <n v="1"/>
  </r>
  <r>
    <m/>
    <m/>
    <x v="1"/>
    <s v="28804615002002"/>
    <n v="-95.99"/>
    <n v="1647"/>
    <n v="1"/>
    <n v="1"/>
  </r>
  <r>
    <m/>
    <m/>
    <x v="1"/>
    <s v="28868417001005"/>
    <n v="-46.8"/>
    <n v="803"/>
    <n v="1"/>
    <n v="1"/>
  </r>
  <r>
    <m/>
    <m/>
    <x v="1"/>
    <s v="28903097001004"/>
    <n v="-82.41"/>
    <n v="1414"/>
    <n v="1"/>
    <n v="1"/>
  </r>
  <r>
    <m/>
    <m/>
    <x v="1"/>
    <s v="29000608001001"/>
    <n v="-55.6"/>
    <n v="954"/>
    <n v="1"/>
    <n v="1"/>
  </r>
  <r>
    <m/>
    <m/>
    <x v="1"/>
    <s v="29018357001001"/>
    <n v="-8.0399999999999991"/>
    <n v="138"/>
    <n v="1"/>
    <n v="1"/>
  </r>
  <r>
    <m/>
    <m/>
    <x v="1"/>
    <s v="29121023001001"/>
    <n v="-92.14"/>
    <n v="1581"/>
    <n v="1"/>
    <n v="1"/>
  </r>
  <r>
    <m/>
    <m/>
    <x v="1"/>
    <s v="29435988001007"/>
    <n v="-64.11"/>
    <n v="1100"/>
    <n v="1"/>
    <n v="1"/>
  </r>
  <r>
    <m/>
    <m/>
    <x v="1"/>
    <s v="29492327001001"/>
    <n v="-76.989999999999995"/>
    <n v="1321"/>
    <n v="1"/>
    <n v="1"/>
  </r>
  <r>
    <m/>
    <m/>
    <x v="1"/>
    <s v="29527274001001"/>
    <n v="-82.76"/>
    <n v="1420"/>
    <n v="1"/>
    <n v="1"/>
  </r>
  <r>
    <m/>
    <m/>
    <x v="1"/>
    <s v="29879754001001"/>
    <n v="-121.22"/>
    <n v="2080"/>
    <n v="1"/>
    <n v="1"/>
  </r>
  <r>
    <m/>
    <m/>
    <x v="1"/>
    <s v="30002964001001"/>
    <n v="-51.58"/>
    <n v="885"/>
    <n v="1"/>
    <n v="1"/>
  </r>
  <r>
    <m/>
    <m/>
    <x v="1"/>
    <s v="30133433001001"/>
    <n v="-169.25"/>
    <n v="2904"/>
    <n v="1"/>
    <n v="1"/>
  </r>
  <r>
    <m/>
    <m/>
    <x v="1"/>
    <s v="30319002002003"/>
    <n v="-96.98"/>
    <n v="1664"/>
    <n v="1"/>
    <n v="1"/>
  </r>
  <r>
    <m/>
    <m/>
    <x v="1"/>
    <s v="30357439001001"/>
    <n v="-40.619999999999997"/>
    <n v="697"/>
    <n v="1"/>
    <n v="1"/>
  </r>
  <r>
    <m/>
    <m/>
    <x v="1"/>
    <s v="30360605008001"/>
    <n v="-110.56"/>
    <n v="1897"/>
    <n v="1"/>
    <n v="1"/>
  </r>
  <r>
    <m/>
    <m/>
    <x v="1"/>
    <s v="30498530001006"/>
    <n v="-93.42"/>
    <n v="1603"/>
    <n v="1"/>
    <n v="1"/>
  </r>
  <r>
    <m/>
    <m/>
    <x v="1"/>
    <s v="30521149001003"/>
    <n v="-166.8"/>
    <n v="2862"/>
    <n v="1"/>
    <n v="1"/>
  </r>
  <r>
    <m/>
    <m/>
    <x v="1"/>
    <s v="30536220001001"/>
    <n v="-132.53"/>
    <n v="2274"/>
    <n v="1"/>
    <n v="1"/>
  </r>
  <r>
    <m/>
    <m/>
    <x v="1"/>
    <s v="30915212001003"/>
    <n v="-89.98"/>
    <n v="1544"/>
    <n v="1"/>
    <n v="1"/>
  </r>
  <r>
    <m/>
    <m/>
    <x v="1"/>
    <s v="30965089001001"/>
    <n v="-45.69"/>
    <n v="784"/>
    <n v="1"/>
    <n v="1"/>
  </r>
  <r>
    <m/>
    <m/>
    <x v="1"/>
    <s v="31016219002001"/>
    <n v="-18.59"/>
    <n v="319"/>
    <n v="1"/>
    <n v="1"/>
  </r>
  <r>
    <m/>
    <m/>
    <x v="1"/>
    <s v="31043707001001"/>
    <n v="-42.84"/>
    <n v="735"/>
    <n v="1"/>
    <n v="1"/>
  </r>
  <r>
    <m/>
    <m/>
    <x v="1"/>
    <s v="31180110007001"/>
    <n v="-121.4"/>
    <n v="2083"/>
    <n v="1"/>
    <n v="1"/>
  </r>
  <r>
    <m/>
    <m/>
    <x v="1"/>
    <s v="31207589001006"/>
    <n v="-200.25"/>
    <n v="3436"/>
    <n v="1"/>
    <n v="1"/>
  </r>
  <r>
    <m/>
    <m/>
    <x v="1"/>
    <s v="31283347001004"/>
    <n v="-111.37"/>
    <n v="1911"/>
    <n v="1"/>
    <n v="1"/>
  </r>
  <r>
    <m/>
    <m/>
    <x v="1"/>
    <s v="31363659001003"/>
    <n v="-7.52"/>
    <n v="129"/>
    <n v="1"/>
    <n v="1"/>
  </r>
  <r>
    <m/>
    <m/>
    <x v="1"/>
    <s v="31396728001005"/>
    <n v="-40.1"/>
    <n v="688"/>
    <n v="1"/>
    <n v="1"/>
  </r>
  <r>
    <m/>
    <m/>
    <x v="1"/>
    <s v="31484435001001"/>
    <n v="-84.21"/>
    <n v="1445"/>
    <n v="1"/>
    <n v="1"/>
  </r>
  <r>
    <m/>
    <m/>
    <x v="1"/>
    <s v="31533047001001"/>
    <n v="-113.7"/>
    <n v="1951"/>
    <n v="1"/>
    <n v="1"/>
  </r>
  <r>
    <m/>
    <m/>
    <x v="1"/>
    <s v="31770964001004"/>
    <n v="-260.05"/>
    <n v="4462"/>
    <n v="1"/>
    <n v="1"/>
  </r>
  <r>
    <m/>
    <m/>
    <x v="1"/>
    <s v="31813958002003"/>
    <n v="-156.88999999999999"/>
    <n v="2692"/>
    <n v="1"/>
    <n v="1"/>
  </r>
  <r>
    <m/>
    <m/>
    <x v="1"/>
    <s v="32116135002001"/>
    <n v="-234.29"/>
    <n v="4020"/>
    <n v="1"/>
    <n v="1"/>
  </r>
  <r>
    <m/>
    <m/>
    <x v="1"/>
    <s v="32202621001001"/>
    <n v="-150.36000000000001"/>
    <n v="2580"/>
    <n v="1"/>
    <n v="1"/>
  </r>
  <r>
    <m/>
    <m/>
    <x v="1"/>
    <s v="32293901002001"/>
    <n v="-154.09"/>
    <n v="2644"/>
    <n v="1"/>
    <n v="1"/>
  </r>
  <r>
    <m/>
    <m/>
    <x v="1"/>
    <s v="32412801002002"/>
    <n v="-112.25"/>
    <n v="1926"/>
    <n v="1"/>
    <n v="1"/>
  </r>
  <r>
    <m/>
    <m/>
    <x v="1"/>
    <s v="32447778001001"/>
    <n v="-84.1"/>
    <n v="1443"/>
    <n v="1"/>
    <n v="1"/>
  </r>
  <r>
    <m/>
    <m/>
    <x v="1"/>
    <s v="32720886001003"/>
    <n v="-81.53"/>
    <n v="1399"/>
    <n v="1"/>
    <n v="1"/>
  </r>
  <r>
    <m/>
    <m/>
    <x v="1"/>
    <s v="32767929001001"/>
    <n v="-150.6"/>
    <n v="2584"/>
    <n v="1"/>
    <n v="1"/>
  </r>
  <r>
    <m/>
    <m/>
    <x v="1"/>
    <s v="32853341001004"/>
    <n v="-152.69"/>
    <n v="2620"/>
    <n v="1"/>
    <n v="1"/>
  </r>
  <r>
    <m/>
    <m/>
    <x v="1"/>
    <s v="32988846004001"/>
    <n v="-146.52000000000001"/>
    <n v="2514"/>
    <n v="1"/>
    <n v="1"/>
  </r>
  <r>
    <m/>
    <m/>
    <x v="1"/>
    <s v="33218089001003"/>
    <n v="-93.13"/>
    <n v="1598"/>
    <n v="1"/>
    <n v="1"/>
  </r>
  <r>
    <m/>
    <m/>
    <x v="1"/>
    <s v="33292898001002"/>
    <n v="-122.15"/>
    <n v="2096"/>
    <n v="1"/>
    <n v="1"/>
  </r>
  <r>
    <m/>
    <m/>
    <x v="1"/>
    <s v="33325640001005"/>
    <n v="-161.61000000000001"/>
    <n v="2773"/>
    <n v="1"/>
    <n v="1"/>
  </r>
  <r>
    <m/>
    <m/>
    <x v="1"/>
    <s v="33449904002001"/>
    <n v="-57.58"/>
    <n v="988"/>
    <n v="1"/>
    <n v="1"/>
  </r>
  <r>
    <m/>
    <m/>
    <x v="1"/>
    <s v="33459488001004"/>
    <n v="-83.81"/>
    <n v="1438"/>
    <n v="1"/>
    <n v="1"/>
  </r>
  <r>
    <m/>
    <m/>
    <x v="1"/>
    <s v="33524631002001"/>
    <n v="-154.03"/>
    <n v="2643"/>
    <n v="1"/>
    <n v="1"/>
  </r>
  <r>
    <m/>
    <m/>
    <x v="1"/>
    <s v="33529526001001"/>
    <n v="-86.95"/>
    <n v="1492"/>
    <n v="1"/>
    <n v="1"/>
  </r>
  <r>
    <m/>
    <m/>
    <x v="1"/>
    <s v="33551931001003"/>
    <n v="-171.87"/>
    <n v="2949"/>
    <n v="1"/>
    <n v="1"/>
  </r>
  <r>
    <m/>
    <m/>
    <x v="1"/>
    <s v="33559246001001"/>
    <n v="-128.86000000000001"/>
    <n v="2211"/>
    <n v="1"/>
    <n v="1"/>
  </r>
  <r>
    <m/>
    <m/>
    <x v="1"/>
    <s v="33652204001001"/>
    <n v="-61.02"/>
    <n v="1047"/>
    <n v="1"/>
    <n v="1"/>
  </r>
  <r>
    <m/>
    <m/>
    <x v="1"/>
    <s v="33705370001001"/>
    <n v="-143.72"/>
    <n v="2466"/>
    <n v="1"/>
    <n v="1"/>
  </r>
  <r>
    <m/>
    <m/>
    <x v="1"/>
    <s v="33933922008001"/>
    <n v="-182.36"/>
    <n v="3129"/>
    <n v="1"/>
    <n v="1"/>
  </r>
  <r>
    <m/>
    <m/>
    <x v="1"/>
    <s v="33946666001001"/>
    <n v="-342.05"/>
    <n v="5869"/>
    <n v="1"/>
    <n v="1"/>
  </r>
  <r>
    <m/>
    <m/>
    <x v="1"/>
    <s v="33988440001001"/>
    <n v="-143.6"/>
    <n v="2464"/>
    <n v="1"/>
    <n v="1"/>
  </r>
  <r>
    <m/>
    <m/>
    <x v="1"/>
    <s v="34683105001001"/>
    <n v="-129.15"/>
    <n v="2216"/>
    <n v="1"/>
    <n v="1"/>
  </r>
  <r>
    <m/>
    <m/>
    <x v="1"/>
    <s v="34685741001001"/>
    <n v="-14.1"/>
    <n v="242"/>
    <n v="1"/>
    <n v="1"/>
  </r>
  <r>
    <m/>
    <m/>
    <x v="1"/>
    <s v="34717698001005"/>
    <n v="-72.150000000000006"/>
    <n v="1238"/>
    <n v="1"/>
    <n v="1"/>
  </r>
  <r>
    <m/>
    <m/>
    <x v="1"/>
    <s v="35012953001002"/>
    <n v="-151.47"/>
    <n v="2599"/>
    <n v="1"/>
    <n v="1"/>
  </r>
  <r>
    <m/>
    <m/>
    <x v="1"/>
    <s v="35060732007005"/>
    <n v="-42.02"/>
    <n v="721"/>
    <n v="1"/>
    <n v="1"/>
  </r>
  <r>
    <m/>
    <m/>
    <x v="1"/>
    <s v="35150603002003"/>
    <n v="-41.26"/>
    <n v="708"/>
    <n v="1"/>
    <n v="1"/>
  </r>
  <r>
    <m/>
    <m/>
    <x v="1"/>
    <s v="35225739001001"/>
    <n v="-103.33"/>
    <n v="1773"/>
    <n v="1"/>
    <n v="1"/>
  </r>
  <r>
    <m/>
    <m/>
    <x v="1"/>
    <s v="35251550001001"/>
    <n v="-183.52"/>
    <n v="3149"/>
    <n v="1"/>
    <n v="1"/>
  </r>
  <r>
    <m/>
    <m/>
    <x v="1"/>
    <s v="35296076001001"/>
    <n v="-29.9"/>
    <n v="513"/>
    <n v="1"/>
    <n v="1"/>
  </r>
  <r>
    <m/>
    <m/>
    <x v="1"/>
    <s v="35340232002001"/>
    <n v="-209.57"/>
    <n v="3596"/>
    <n v="1"/>
    <n v="1"/>
  </r>
  <r>
    <m/>
    <m/>
    <x v="1"/>
    <s v="35453275001007"/>
    <n v="-186.79"/>
    <n v="3205"/>
    <n v="1"/>
    <n v="1"/>
  </r>
  <r>
    <m/>
    <m/>
    <x v="1"/>
    <s v="35504902001001"/>
    <n v="-67.900000000000006"/>
    <n v="1165"/>
    <n v="1"/>
    <n v="1"/>
  </r>
  <r>
    <m/>
    <m/>
    <x v="1"/>
    <s v="35523656002003"/>
    <n v="-96.16"/>
    <n v="1650"/>
    <n v="1"/>
    <n v="1"/>
  </r>
  <r>
    <m/>
    <m/>
    <x v="1"/>
    <s v="35691353001006"/>
    <n v="-131.07"/>
    <n v="2249"/>
    <n v="1"/>
    <n v="1"/>
  </r>
  <r>
    <m/>
    <m/>
    <x v="1"/>
    <s v="35696004001002"/>
    <n v="-122.33"/>
    <n v="2099"/>
    <n v="1"/>
    <n v="1"/>
  </r>
  <r>
    <m/>
    <m/>
    <x v="1"/>
    <s v="35735102001001"/>
    <n v="-120.76"/>
    <n v="2072"/>
    <n v="1"/>
    <n v="1"/>
  </r>
  <r>
    <m/>
    <m/>
    <x v="1"/>
    <s v="35784461001001"/>
    <n v="-26.4"/>
    <n v="453"/>
    <n v="1"/>
    <n v="1"/>
  </r>
  <r>
    <m/>
    <m/>
    <x v="1"/>
    <s v="35882527001002"/>
    <n v="-107.76"/>
    <n v="1849"/>
    <n v="1"/>
    <n v="1"/>
  </r>
  <r>
    <m/>
    <m/>
    <x v="1"/>
    <s v="35900670002005"/>
    <n v="-37.71"/>
    <n v="647"/>
    <n v="1"/>
    <n v="1"/>
  </r>
  <r>
    <m/>
    <m/>
    <x v="1"/>
    <s v="36008083001001"/>
    <n v="-117.96"/>
    <n v="2024"/>
    <n v="1"/>
    <n v="1"/>
  </r>
  <r>
    <m/>
    <m/>
    <x v="1"/>
    <s v="36026930001001"/>
    <n v="-129.72999999999999"/>
    <n v="2226"/>
    <n v="1"/>
    <n v="1"/>
  </r>
  <r>
    <m/>
    <m/>
    <x v="1"/>
    <s v="36079563001001"/>
    <n v="-130.84"/>
    <n v="2245"/>
    <n v="1"/>
    <n v="1"/>
  </r>
  <r>
    <m/>
    <m/>
    <x v="1"/>
    <s v="36103245002011"/>
    <n v="-204.8"/>
    <n v="3514"/>
    <n v="1"/>
    <n v="1"/>
  </r>
  <r>
    <m/>
    <m/>
    <x v="1"/>
    <s v="36341076001001"/>
    <n v="-228.98"/>
    <n v="3929"/>
    <n v="1"/>
    <n v="1"/>
  </r>
  <r>
    <m/>
    <m/>
    <x v="1"/>
    <s v="36557126001001"/>
    <n v="-19.82"/>
    <n v="340"/>
    <n v="1"/>
    <n v="1"/>
  </r>
  <r>
    <m/>
    <m/>
    <x v="1"/>
    <s v="36599941001001"/>
    <n v="-45.75"/>
    <n v="785"/>
    <n v="1"/>
    <n v="1"/>
  </r>
  <r>
    <m/>
    <m/>
    <x v="1"/>
    <s v="36618779001001"/>
    <n v="-77.099999999999994"/>
    <n v="1323"/>
    <n v="1"/>
    <n v="1"/>
  </r>
  <r>
    <m/>
    <m/>
    <x v="1"/>
    <s v="36686919001003"/>
    <n v="-51.69"/>
    <n v="887"/>
    <n v="1"/>
    <n v="1"/>
  </r>
  <r>
    <m/>
    <m/>
    <x v="1"/>
    <s v="36698749001001"/>
    <n v="-122.33"/>
    <n v="2099"/>
    <n v="1"/>
    <n v="1"/>
  </r>
  <r>
    <m/>
    <m/>
    <x v="1"/>
    <s v="36829904002003"/>
    <n v="-174.84"/>
    <n v="3000"/>
    <n v="1"/>
    <n v="1"/>
  </r>
  <r>
    <m/>
    <m/>
    <x v="1"/>
    <s v="37058752001009"/>
    <n v="-78.150000000000006"/>
    <n v="1341"/>
    <n v="1"/>
    <n v="1"/>
  </r>
  <r>
    <m/>
    <m/>
    <x v="1"/>
    <s v="37060503001007"/>
    <n v="-129.27000000000001"/>
    <n v="2218"/>
    <n v="1"/>
    <n v="1"/>
  </r>
  <r>
    <m/>
    <m/>
    <x v="1"/>
    <s v="37232118001006"/>
    <n v="-60.26"/>
    <n v="1034"/>
    <n v="1"/>
    <n v="1"/>
  </r>
  <r>
    <m/>
    <m/>
    <x v="1"/>
    <s v="37239471001005"/>
    <n v="-91.79"/>
    <n v="1575"/>
    <n v="1"/>
    <n v="1"/>
  </r>
  <r>
    <m/>
    <m/>
    <x v="1"/>
    <s v="37250462001001"/>
    <n v="-196.58"/>
    <n v="3373"/>
    <n v="1"/>
    <n v="1"/>
  </r>
  <r>
    <m/>
    <m/>
    <x v="1"/>
    <s v="37486921001001"/>
    <n v="-46.27"/>
    <n v="794"/>
    <n v="1"/>
    <n v="1"/>
  </r>
  <r>
    <m/>
    <m/>
    <x v="1"/>
    <s v="37524139001001"/>
    <n v="-2.21"/>
    <n v="38"/>
    <n v="1"/>
    <n v="1"/>
  </r>
  <r>
    <m/>
    <m/>
    <x v="1"/>
    <s v="37624653001003"/>
    <n v="-69.760000000000005"/>
    <n v="1197"/>
    <n v="1"/>
    <n v="1"/>
  </r>
  <r>
    <m/>
    <m/>
    <x v="1"/>
    <s v="37644296001002"/>
    <n v="-110.15"/>
    <n v="1890"/>
    <n v="1"/>
    <n v="1"/>
  </r>
  <r>
    <m/>
    <m/>
    <x v="1"/>
    <s v="37649110001001"/>
    <n v="-16.43"/>
    <n v="282"/>
    <n v="1"/>
    <n v="1"/>
  </r>
  <r>
    <m/>
    <m/>
    <x v="1"/>
    <s v="37682914001001"/>
    <n v="-29.49"/>
    <n v="506"/>
    <n v="1"/>
    <n v="1"/>
  </r>
  <r>
    <m/>
    <m/>
    <x v="1"/>
    <s v="37734979001001"/>
    <n v="-35.14"/>
    <n v="603"/>
    <n v="1"/>
    <n v="1"/>
  </r>
  <r>
    <m/>
    <m/>
    <x v="1"/>
    <s v="37819864001004"/>
    <n v="-62.48"/>
    <n v="1072"/>
    <n v="1"/>
    <n v="1"/>
  </r>
  <r>
    <m/>
    <m/>
    <x v="1"/>
    <s v="37910513001001"/>
    <n v="-37.47"/>
    <n v="643"/>
    <n v="1"/>
    <n v="1"/>
  </r>
  <r>
    <m/>
    <m/>
    <x v="1"/>
    <s v="38026902001003"/>
    <n v="-41.85"/>
    <n v="718"/>
    <n v="1"/>
    <n v="1"/>
  </r>
  <r>
    <m/>
    <m/>
    <x v="1"/>
    <s v="38054004001001"/>
    <n v="-106.07"/>
    <n v="1820"/>
    <n v="1"/>
    <n v="1"/>
  </r>
  <r>
    <m/>
    <m/>
    <x v="1"/>
    <s v="38159601001012"/>
    <n v="-145.63999999999999"/>
    <n v="2499"/>
    <n v="1"/>
    <n v="1"/>
  </r>
  <r>
    <m/>
    <m/>
    <x v="1"/>
    <s v="38272305001003"/>
    <n v="-58.34"/>
    <n v="1001"/>
    <n v="1"/>
    <n v="1"/>
  </r>
  <r>
    <m/>
    <m/>
    <x v="1"/>
    <s v="38301351001001"/>
    <n v="-146.16999999999999"/>
    <n v="2508"/>
    <n v="1"/>
    <n v="1"/>
  </r>
  <r>
    <m/>
    <m/>
    <x v="1"/>
    <s v="38371698002001"/>
    <n v="-21.45"/>
    <n v="368"/>
    <n v="1"/>
    <n v="1"/>
  </r>
  <r>
    <m/>
    <m/>
    <x v="1"/>
    <s v="38397225001002"/>
    <n v="-140.34"/>
    <n v="2408"/>
    <n v="1"/>
    <n v="1"/>
  </r>
  <r>
    <m/>
    <m/>
    <x v="1"/>
    <s v="38424727001004"/>
    <n v="-86.78"/>
    <n v="1489"/>
    <n v="1"/>
    <n v="1"/>
  </r>
  <r>
    <m/>
    <m/>
    <x v="1"/>
    <s v="38499863001004"/>
    <n v="-181.25"/>
    <n v="3110"/>
    <n v="1"/>
    <n v="1"/>
  </r>
  <r>
    <m/>
    <m/>
    <x v="1"/>
    <s v="38540989001007"/>
    <n v="-42.84"/>
    <n v="735"/>
    <n v="1"/>
    <n v="1"/>
  </r>
  <r>
    <m/>
    <m/>
    <x v="1"/>
    <s v="38611961001001"/>
    <n v="-400.09"/>
    <n v="6865"/>
    <n v="1"/>
    <n v="1"/>
  </r>
  <r>
    <m/>
    <m/>
    <x v="1"/>
    <s v="38666511001005"/>
    <n v="-184.11"/>
    <n v="3159"/>
    <n v="1"/>
    <n v="1"/>
  </r>
  <r>
    <m/>
    <m/>
    <x v="1"/>
    <s v="38774008001001"/>
    <n v="-14.86"/>
    <n v="255"/>
    <n v="1"/>
    <n v="1"/>
  </r>
  <r>
    <m/>
    <m/>
    <x v="1"/>
    <s v="38838346002005"/>
    <n v="-207.59"/>
    <n v="3562"/>
    <n v="1"/>
    <n v="1"/>
  </r>
  <r>
    <m/>
    <m/>
    <x v="1"/>
    <s v="39177585002001"/>
    <n v="-12.76"/>
    <n v="219"/>
    <n v="1"/>
    <n v="1"/>
  </r>
  <r>
    <m/>
    <m/>
    <x v="1"/>
    <s v="39197222001001"/>
    <n v="-62.42"/>
    <n v="1071"/>
    <n v="1"/>
    <n v="1"/>
  </r>
  <r>
    <m/>
    <m/>
    <x v="1"/>
    <s v="39206681001007"/>
    <n v="-230.79"/>
    <n v="3960"/>
    <n v="1"/>
    <n v="1"/>
  </r>
  <r>
    <m/>
    <m/>
    <x v="1"/>
    <s v="39356056001006"/>
    <n v="-24.59"/>
    <n v="422"/>
    <n v="1"/>
    <n v="1"/>
  </r>
  <r>
    <m/>
    <m/>
    <x v="1"/>
    <s v="39421231001001"/>
    <n v="-16.2"/>
    <n v="278"/>
    <n v="1"/>
    <n v="1"/>
  </r>
  <r>
    <m/>
    <m/>
    <x v="1"/>
    <s v="39500179007001"/>
    <n v="-72.97"/>
    <n v="1252"/>
    <n v="1"/>
    <n v="1"/>
  </r>
  <r>
    <m/>
    <m/>
    <x v="1"/>
    <s v="39509588001002"/>
    <n v="-85.21"/>
    <n v="1462"/>
    <n v="1"/>
    <n v="1"/>
  </r>
  <r>
    <m/>
    <m/>
    <x v="1"/>
    <s v="39523212004008"/>
    <n v="-58.63"/>
    <n v="1006"/>
    <n v="1"/>
    <n v="1"/>
  </r>
  <r>
    <m/>
    <m/>
    <x v="1"/>
    <s v="39758083001001"/>
    <n v="-86.6"/>
    <n v="1486"/>
    <n v="1"/>
    <n v="1"/>
  </r>
  <r>
    <m/>
    <m/>
    <x v="1"/>
    <s v="39904885001002"/>
    <n v="-75.94"/>
    <n v="1303"/>
    <n v="1"/>
    <n v="1"/>
  </r>
  <r>
    <m/>
    <m/>
    <x v="1"/>
    <s v="39991003001001"/>
    <n v="-18.53"/>
    <n v="318"/>
    <n v="1"/>
    <n v="1"/>
  </r>
  <r>
    <m/>
    <m/>
    <x v="1"/>
    <s v="40065036001001"/>
    <n v="-124.78"/>
    <n v="2141"/>
    <n v="1"/>
    <n v="1"/>
  </r>
  <r>
    <m/>
    <m/>
    <x v="1"/>
    <s v="40082327001001"/>
    <n v="-8.33"/>
    <n v="143"/>
    <n v="1"/>
    <n v="1"/>
  </r>
  <r>
    <m/>
    <m/>
    <x v="1"/>
    <s v="40139129001002"/>
    <n v="-254.33"/>
    <n v="4364"/>
    <n v="1"/>
    <n v="1"/>
  </r>
  <r>
    <m/>
    <m/>
    <x v="1"/>
    <s v="40186507001001"/>
    <n v="-19.93"/>
    <n v="342"/>
    <n v="1"/>
    <n v="1"/>
  </r>
  <r>
    <m/>
    <m/>
    <x v="1"/>
    <s v="40187844001001"/>
    <n v="-22.09"/>
    <n v="379"/>
    <n v="1"/>
    <n v="1"/>
  </r>
  <r>
    <m/>
    <m/>
    <x v="1"/>
    <s v="40195770001001"/>
    <n v="-148.56"/>
    <n v="2549"/>
    <n v="1"/>
    <n v="1"/>
  </r>
  <r>
    <m/>
    <m/>
    <x v="1"/>
    <s v="40345568001001"/>
    <n v="-103.33"/>
    <n v="1773"/>
    <n v="1"/>
    <n v="1"/>
  </r>
  <r>
    <m/>
    <m/>
    <x v="1"/>
    <s v="40354936001001"/>
    <n v="-77.510000000000005"/>
    <n v="1330"/>
    <n v="1"/>
    <n v="1"/>
  </r>
  <r>
    <m/>
    <m/>
    <x v="1"/>
    <s v="40680887001001"/>
    <n v="-231.49"/>
    <n v="3972"/>
    <n v="1"/>
    <n v="1"/>
  </r>
  <r>
    <m/>
    <m/>
    <x v="1"/>
    <s v="40811850001003"/>
    <n v="-118.42"/>
    <n v="2032"/>
    <n v="1"/>
    <n v="1"/>
  </r>
  <r>
    <m/>
    <m/>
    <x v="1"/>
    <s v="40849252002005"/>
    <n v="-82.12"/>
    <n v="1409"/>
    <n v="1"/>
    <n v="1"/>
  </r>
  <r>
    <m/>
    <m/>
    <x v="1"/>
    <s v="40965656008001"/>
    <n v="-69.819999999999993"/>
    <n v="1198"/>
    <n v="1"/>
    <n v="1"/>
  </r>
  <r>
    <m/>
    <m/>
    <x v="1"/>
    <s v="41212065001001"/>
    <n v="-114.23"/>
    <n v="1960"/>
    <n v="1"/>
    <n v="1"/>
  </r>
  <r>
    <m/>
    <m/>
    <x v="1"/>
    <s v="41218173004005"/>
    <n v="-129.72999999999999"/>
    <n v="2226"/>
    <n v="1"/>
    <n v="1"/>
  </r>
  <r>
    <m/>
    <m/>
    <x v="1"/>
    <s v="41221819001001"/>
    <n v="-25.35"/>
    <n v="435"/>
    <n v="1"/>
    <n v="1"/>
  </r>
  <r>
    <m/>
    <m/>
    <x v="1"/>
    <s v="41261705001002"/>
    <n v="-189.47"/>
    <n v="3251"/>
    <n v="1"/>
    <n v="1"/>
  </r>
  <r>
    <m/>
    <m/>
    <x v="1"/>
    <s v="41572109004001"/>
    <n v="-16.32"/>
    <n v="280"/>
    <n v="1"/>
    <n v="1"/>
  </r>
  <r>
    <m/>
    <m/>
    <x v="1"/>
    <s v="41605082002003"/>
    <n v="-47.85"/>
    <n v="821"/>
    <n v="1"/>
    <n v="1"/>
  </r>
  <r>
    <m/>
    <m/>
    <x v="1"/>
    <s v="41650115001003"/>
    <n v="-22.61"/>
    <n v="388"/>
    <n v="1"/>
    <n v="1"/>
  </r>
  <r>
    <m/>
    <m/>
    <x v="1"/>
    <s v="41791652002003"/>
    <n v="-36.08"/>
    <n v="619"/>
    <n v="1"/>
    <n v="1"/>
  </r>
  <r>
    <m/>
    <m/>
    <x v="1"/>
    <s v="41850336001002"/>
    <n v="-64.92"/>
    <n v="1114"/>
    <n v="1"/>
    <n v="1"/>
  </r>
  <r>
    <m/>
    <m/>
    <x v="1"/>
    <s v="41878216001003"/>
    <n v="-112.95"/>
    <n v="1938"/>
    <n v="1"/>
    <n v="1"/>
  </r>
  <r>
    <m/>
    <m/>
    <x v="1"/>
    <s v="41980548001001"/>
    <n v="-164.29"/>
    <n v="2819"/>
    <n v="1"/>
    <n v="1"/>
  </r>
  <r>
    <m/>
    <m/>
    <x v="1"/>
    <s v="42029419001001"/>
    <n v="-67.31"/>
    <n v="1155"/>
    <n v="1"/>
    <n v="1"/>
  </r>
  <r>
    <m/>
    <m/>
    <x v="1"/>
    <s v="42053353001001"/>
    <n v="-177.4"/>
    <n v="3044"/>
    <n v="1"/>
    <n v="1"/>
  </r>
  <r>
    <m/>
    <m/>
    <x v="1"/>
    <s v="42073484003001"/>
    <n v="-164.87"/>
    <n v="2829"/>
    <n v="1"/>
    <n v="1"/>
  </r>
  <r>
    <m/>
    <m/>
    <x v="1"/>
    <s v="42131911001008"/>
    <n v="-240.87"/>
    <n v="4133"/>
    <n v="1"/>
    <n v="1"/>
  </r>
  <r>
    <m/>
    <m/>
    <x v="1"/>
    <s v="42185507001001"/>
    <n v="-134.1"/>
    <n v="2301"/>
    <n v="1"/>
    <n v="1"/>
  </r>
  <r>
    <m/>
    <m/>
    <x v="1"/>
    <s v="42244289002003"/>
    <n v="-123.2"/>
    <n v="2114"/>
    <n v="1"/>
    <n v="1"/>
  </r>
  <r>
    <m/>
    <m/>
    <x v="1"/>
    <s v="42270867001005"/>
    <n v="-178.74"/>
    <n v="3067"/>
    <n v="1"/>
    <n v="1"/>
  </r>
  <r>
    <m/>
    <m/>
    <x v="1"/>
    <s v="42281329001011"/>
    <n v="-111.96"/>
    <n v="1921"/>
    <n v="1"/>
    <n v="1"/>
  </r>
  <r>
    <m/>
    <m/>
    <x v="1"/>
    <s v="42343001003004"/>
    <n v="-141.80000000000001"/>
    <n v="2433"/>
    <n v="1"/>
    <n v="1"/>
  </r>
  <r>
    <m/>
    <m/>
    <x v="1"/>
    <s v="42367522001001"/>
    <n v="-162.78"/>
    <n v="2793"/>
    <n v="1"/>
    <n v="1"/>
  </r>
  <r>
    <m/>
    <m/>
    <x v="1"/>
    <s v="42433691001006"/>
    <n v="-101.99"/>
    <n v="1750"/>
    <n v="1"/>
    <n v="1"/>
  </r>
  <r>
    <m/>
    <m/>
    <x v="1"/>
    <s v="42472921002002"/>
    <n v="-173.79"/>
    <n v="2982"/>
    <n v="1"/>
    <n v="1"/>
  </r>
  <r>
    <m/>
    <m/>
    <x v="1"/>
    <s v="42488881004001"/>
    <n v="-30.71"/>
    <n v="527"/>
    <n v="1"/>
    <n v="1"/>
  </r>
  <r>
    <m/>
    <m/>
    <x v="1"/>
    <s v="42500151001003"/>
    <n v="-73.430000000000007"/>
    <n v="1260"/>
    <n v="1"/>
    <n v="1"/>
  </r>
  <r>
    <m/>
    <m/>
    <x v="1"/>
    <s v="42504631004001"/>
    <n v="-42.6"/>
    <n v="731"/>
    <n v="1"/>
    <n v="1"/>
  </r>
  <r>
    <m/>
    <m/>
    <x v="1"/>
    <s v="42531581001002"/>
    <n v="-106.42"/>
    <n v="1826"/>
    <n v="1"/>
    <n v="1"/>
  </r>
  <r>
    <m/>
    <m/>
    <x v="1"/>
    <s v="42535431005001"/>
    <n v="-130.72"/>
    <n v="2243"/>
    <n v="1"/>
    <n v="1"/>
  </r>
  <r>
    <m/>
    <m/>
    <x v="1"/>
    <s v="42559441005001"/>
    <n v="-124.6"/>
    <n v="2138"/>
    <n v="1"/>
    <n v="1"/>
  </r>
  <r>
    <m/>
    <m/>
    <x v="1"/>
    <s v="42571131004001"/>
    <n v="-154.68"/>
    <n v="2654"/>
    <n v="1"/>
    <n v="1"/>
  </r>
  <r>
    <m/>
    <m/>
    <x v="1"/>
    <s v="42577291003003"/>
    <n v="-81.3"/>
    <n v="1395"/>
    <n v="1"/>
    <n v="1"/>
  </r>
  <r>
    <m/>
    <m/>
    <x v="1"/>
    <s v="42577991002002"/>
    <n v="-173.85"/>
    <n v="2983"/>
    <n v="1"/>
    <n v="1"/>
  </r>
  <r>
    <m/>
    <m/>
    <x v="1"/>
    <s v="42593181002003"/>
    <n v="-141.91"/>
    <n v="2435"/>
    <n v="1"/>
    <n v="1"/>
  </r>
  <r>
    <m/>
    <m/>
    <x v="1"/>
    <s v="42595211001004"/>
    <n v="-119.59"/>
    <n v="2052"/>
    <n v="1"/>
    <n v="1"/>
  </r>
  <r>
    <m/>
    <m/>
    <x v="1"/>
    <s v="42633571002001"/>
    <n v="-36.130000000000003"/>
    <n v="620"/>
    <n v="1"/>
    <n v="1"/>
  </r>
  <r>
    <m/>
    <m/>
    <x v="1"/>
    <s v="42642951010001"/>
    <n v="-34.33"/>
    <n v="589"/>
    <n v="1"/>
    <n v="1"/>
  </r>
  <r>
    <m/>
    <m/>
    <x v="1"/>
    <s v="42673331002003"/>
    <n v="-143.49"/>
    <n v="2462"/>
    <n v="1"/>
    <n v="1"/>
  </r>
  <r>
    <m/>
    <m/>
    <x v="1"/>
    <s v="42686841002008"/>
    <n v="-19.12"/>
    <n v="328"/>
    <n v="1"/>
    <n v="1"/>
  </r>
  <r>
    <m/>
    <m/>
    <x v="1"/>
    <s v="42718551001001"/>
    <n v="-73.489999999999995"/>
    <n v="1261"/>
    <n v="1"/>
    <n v="1"/>
  </r>
  <r>
    <m/>
    <m/>
    <x v="1"/>
    <s v="42725901002002"/>
    <n v="-117.43"/>
    <n v="2015"/>
    <n v="1"/>
    <n v="1"/>
  </r>
  <r>
    <m/>
    <m/>
    <x v="1"/>
    <s v="42737381006001"/>
    <n v="-161.96"/>
    <n v="2779"/>
    <n v="1"/>
    <n v="1"/>
  </r>
  <r>
    <m/>
    <m/>
    <x v="1"/>
    <s v="42783651002001"/>
    <n v="-102.16"/>
    <n v="1753"/>
    <n v="1"/>
    <n v="1"/>
  </r>
  <r>
    <m/>
    <m/>
    <x v="1"/>
    <s v="42875841001008"/>
    <n v="-3.03"/>
    <n v="52"/>
    <n v="1"/>
    <n v="1"/>
  </r>
  <r>
    <m/>
    <m/>
    <x v="1"/>
    <s v="42878921002001"/>
    <n v="-44.88"/>
    <n v="770"/>
    <n v="1"/>
    <n v="1"/>
  </r>
  <r>
    <m/>
    <m/>
    <x v="1"/>
    <s v="42972931001004"/>
    <n v="-103.39"/>
    <n v="1774"/>
    <n v="1"/>
    <n v="1"/>
  </r>
  <r>
    <m/>
    <m/>
    <x v="1"/>
    <s v="43023681011001"/>
    <n v="-50.88"/>
    <n v="873"/>
    <n v="1"/>
    <n v="1"/>
  </r>
  <r>
    <m/>
    <m/>
    <x v="1"/>
    <s v="43023751003001"/>
    <n v="-125.24"/>
    <n v="2149"/>
    <n v="1"/>
    <n v="1"/>
  </r>
  <r>
    <m/>
    <m/>
    <x v="1"/>
    <s v="43104111001003"/>
    <n v="-3.38"/>
    <n v="58"/>
    <n v="1"/>
    <n v="1"/>
  </r>
  <r>
    <m/>
    <m/>
    <x v="1"/>
    <s v="43122241004005"/>
    <n v="-89.05"/>
    <n v="1528"/>
    <n v="1"/>
    <n v="1"/>
  </r>
  <r>
    <m/>
    <m/>
    <x v="1"/>
    <s v="43131201001002"/>
    <n v="-98.61"/>
    <n v="1692"/>
    <n v="1"/>
    <n v="1"/>
  </r>
  <r>
    <m/>
    <m/>
    <x v="1"/>
    <s v="43154466001003"/>
    <n v="-106.94"/>
    <n v="1835"/>
    <n v="1"/>
    <n v="1"/>
  </r>
  <r>
    <m/>
    <m/>
    <x v="1"/>
    <s v="43192521002006"/>
    <n v="-63.87"/>
    <n v="1096"/>
    <n v="1"/>
    <n v="1"/>
  </r>
  <r>
    <m/>
    <m/>
    <x v="1"/>
    <s v="43195531002001"/>
    <n v="-56.42"/>
    <n v="968"/>
    <n v="1"/>
    <n v="1"/>
  </r>
  <r>
    <m/>
    <m/>
    <x v="1"/>
    <s v="43209041003005"/>
    <n v="-78.33"/>
    <n v="1344"/>
    <n v="1"/>
    <n v="1"/>
  </r>
  <r>
    <m/>
    <m/>
    <x v="1"/>
    <s v="43213661002005"/>
    <n v="-119.36"/>
    <n v="2048"/>
    <n v="1"/>
    <n v="1"/>
  </r>
  <r>
    <m/>
    <m/>
    <x v="1"/>
    <s v="43218351001006"/>
    <n v="-49.6"/>
    <n v="851"/>
    <n v="1"/>
    <n v="1"/>
  </r>
  <r>
    <m/>
    <m/>
    <x v="1"/>
    <s v="43233574002001"/>
    <n v="-57.35"/>
    <n v="984"/>
    <n v="1"/>
    <n v="1"/>
  </r>
  <r>
    <m/>
    <m/>
    <x v="1"/>
    <s v="43240331001004"/>
    <n v="-105.95"/>
    <n v="1818"/>
    <n v="1"/>
    <n v="1"/>
  </r>
  <r>
    <m/>
    <m/>
    <x v="1"/>
    <s v="43240401001003"/>
    <n v="-114"/>
    <n v="1956"/>
    <n v="1"/>
    <n v="1"/>
  </r>
  <r>
    <m/>
    <m/>
    <x v="1"/>
    <s v="43248661001005"/>
    <n v="-66.209999999999994"/>
    <n v="1136"/>
    <n v="1"/>
    <n v="1"/>
  </r>
  <r>
    <m/>
    <m/>
    <x v="1"/>
    <s v="43251181001001"/>
    <n v="-28.09"/>
    <n v="482"/>
    <n v="1"/>
    <n v="1"/>
  </r>
  <r>
    <m/>
    <m/>
    <x v="1"/>
    <s v="43268821001001"/>
    <n v="-97.5"/>
    <n v="1673"/>
    <n v="1"/>
    <n v="1"/>
  </r>
  <r>
    <m/>
    <m/>
    <x v="1"/>
    <s v="43296891001001"/>
    <n v="-170.64"/>
    <n v="2928"/>
    <n v="1"/>
    <n v="1"/>
  </r>
  <r>
    <m/>
    <m/>
    <x v="1"/>
    <s v="43302281004001"/>
    <n v="-74.709999999999994"/>
    <n v="1282"/>
    <n v="1"/>
    <n v="1"/>
  </r>
  <r>
    <m/>
    <m/>
    <x v="1"/>
    <s v="43384741001002"/>
    <n v="-53.21"/>
    <n v="913"/>
    <n v="1"/>
    <n v="1"/>
  </r>
  <r>
    <m/>
    <m/>
    <x v="1"/>
    <s v="43445991001003"/>
    <n v="-77.569999999999993"/>
    <n v="1331"/>
    <n v="1"/>
    <n v="1"/>
  </r>
  <r>
    <m/>
    <m/>
    <x v="1"/>
    <s v="43499657001001"/>
    <n v="-45.17"/>
    <n v="775"/>
    <n v="1"/>
    <n v="1"/>
  </r>
  <r>
    <m/>
    <m/>
    <x v="1"/>
    <s v="43627431002001"/>
    <n v="-0.52"/>
    <n v="9"/>
    <n v="1"/>
    <n v="1"/>
  </r>
  <r>
    <m/>
    <m/>
    <x v="1"/>
    <s v="43691761001001"/>
    <n v="-209.81"/>
    <n v="3600"/>
    <n v="1"/>
    <n v="1"/>
  </r>
  <r>
    <m/>
    <m/>
    <x v="1"/>
    <s v="43697462001003"/>
    <n v="-85.15"/>
    <n v="1461"/>
    <n v="1"/>
    <n v="1"/>
  </r>
  <r>
    <m/>
    <m/>
    <x v="1"/>
    <s v="43743281001003"/>
    <n v="-37.01"/>
    <n v="635"/>
    <n v="1"/>
    <n v="1"/>
  </r>
  <r>
    <m/>
    <m/>
    <x v="1"/>
    <s v="43843941001002"/>
    <n v="-209.63"/>
    <n v="3597"/>
    <n v="1"/>
    <n v="1"/>
  </r>
  <r>
    <m/>
    <m/>
    <x v="1"/>
    <s v="43908201002002"/>
    <n v="-15.91"/>
    <n v="273"/>
    <n v="1"/>
    <n v="1"/>
  </r>
  <r>
    <m/>
    <m/>
    <x v="1"/>
    <s v="43930309005001"/>
    <n v="-92.49"/>
    <n v="1587"/>
    <n v="1"/>
    <n v="1"/>
  </r>
  <r>
    <m/>
    <m/>
    <x v="1"/>
    <s v="43948451001001"/>
    <n v="-156.41999999999999"/>
    <n v="2684"/>
    <n v="1"/>
    <n v="1"/>
  </r>
  <r>
    <m/>
    <m/>
    <x v="1"/>
    <s v="43991291001001"/>
    <n v="-200.6"/>
    <n v="3442"/>
    <n v="1"/>
    <n v="1"/>
  </r>
  <r>
    <m/>
    <m/>
    <x v="1"/>
    <s v="44000134001003"/>
    <n v="-34.619999999999997"/>
    <n v="594"/>
    <n v="1"/>
    <n v="1"/>
  </r>
  <r>
    <m/>
    <m/>
    <x v="1"/>
    <s v="44027831001002"/>
    <n v="-66.91"/>
    <n v="1148"/>
    <n v="1"/>
    <n v="1"/>
  </r>
  <r>
    <m/>
    <m/>
    <x v="1"/>
    <s v="44132341001001"/>
    <n v="-144.71"/>
    <n v="2483"/>
    <n v="1"/>
    <n v="1"/>
  </r>
  <r>
    <m/>
    <m/>
    <x v="1"/>
    <s v="44216253004008"/>
    <n v="-5.65"/>
    <n v="97"/>
    <n v="1"/>
    <n v="1"/>
  </r>
  <r>
    <m/>
    <m/>
    <x v="1"/>
    <s v="44271151005001"/>
    <n v="-17.600000000000001"/>
    <n v="302"/>
    <n v="1"/>
    <n v="1"/>
  </r>
  <r>
    <m/>
    <m/>
    <x v="1"/>
    <s v="44289141002001"/>
    <n v="-29.31"/>
    <n v="503"/>
    <n v="1"/>
    <n v="1"/>
  </r>
  <r>
    <m/>
    <m/>
    <x v="1"/>
    <s v="44295021002002"/>
    <n v="-86.31"/>
    <n v="1481"/>
    <n v="1"/>
    <n v="1"/>
  </r>
  <r>
    <m/>
    <m/>
    <x v="1"/>
    <s v="44310351005002"/>
    <n v="-121.22"/>
    <n v="2080"/>
    <n v="1"/>
    <n v="1"/>
  </r>
  <r>
    <m/>
    <m/>
    <x v="1"/>
    <s v="44346821001002"/>
    <n v="-139.06"/>
    <n v="2386"/>
    <n v="1"/>
    <n v="1"/>
  </r>
  <r>
    <m/>
    <m/>
    <x v="1"/>
    <s v="44348081005001"/>
    <n v="-145.12"/>
    <n v="2490"/>
    <n v="1"/>
    <n v="1"/>
  </r>
  <r>
    <m/>
    <m/>
    <x v="1"/>
    <s v="44350671002005"/>
    <n v="-129.38"/>
    <n v="2220"/>
    <n v="1"/>
    <n v="1"/>
  </r>
  <r>
    <m/>
    <m/>
    <x v="1"/>
    <s v="44365791001001"/>
    <n v="-15.15"/>
    <n v="260"/>
    <n v="1"/>
    <n v="1"/>
  </r>
  <r>
    <m/>
    <m/>
    <x v="1"/>
    <s v="44371461001006"/>
    <n v="-137.31"/>
    <n v="2356"/>
    <n v="1"/>
    <n v="1"/>
  </r>
  <r>
    <m/>
    <m/>
    <x v="1"/>
    <s v="44377901001003"/>
    <n v="-22.32"/>
    <n v="383"/>
    <n v="1"/>
    <n v="1"/>
  </r>
  <r>
    <m/>
    <m/>
    <x v="1"/>
    <s v="44380071003003"/>
    <n v="-111.2"/>
    <n v="1908"/>
    <n v="1"/>
    <n v="1"/>
  </r>
  <r>
    <m/>
    <m/>
    <x v="1"/>
    <s v="44389693001001"/>
    <n v="-81.069999999999993"/>
    <n v="1391"/>
    <n v="1"/>
    <n v="1"/>
  </r>
  <r>
    <m/>
    <m/>
    <x v="1"/>
    <s v="44400231001002"/>
    <n v="-94.82"/>
    <n v="1627"/>
    <n v="1"/>
    <n v="1"/>
  </r>
  <r>
    <m/>
    <m/>
    <x v="1"/>
    <s v="44424535001002"/>
    <n v="-108.69"/>
    <n v="1865"/>
    <n v="1"/>
    <n v="1"/>
  </r>
  <r>
    <m/>
    <m/>
    <x v="1"/>
    <s v="44437541001001"/>
    <n v="-262.61"/>
    <n v="4506"/>
    <n v="1"/>
    <n v="1"/>
  </r>
  <r>
    <m/>
    <m/>
    <x v="1"/>
    <s v="44510481001001"/>
    <n v="-164.64"/>
    <n v="2825"/>
    <n v="1"/>
    <n v="1"/>
  </r>
  <r>
    <m/>
    <m/>
    <x v="1"/>
    <s v="44510901001001"/>
    <n v="-134.97999999999999"/>
    <n v="2316"/>
    <n v="1"/>
    <n v="1"/>
  </r>
  <r>
    <m/>
    <m/>
    <x v="1"/>
    <s v="44512971001001"/>
    <n v="-95.93"/>
    <n v="1646"/>
    <n v="1"/>
    <n v="1"/>
  </r>
  <r>
    <m/>
    <m/>
    <x v="1"/>
    <s v="44517723001001"/>
    <n v="-48.9"/>
    <n v="839"/>
    <n v="1"/>
    <n v="1"/>
  </r>
  <r>
    <m/>
    <m/>
    <x v="1"/>
    <s v="44521191004001"/>
    <n v="-211.96"/>
    <n v="3637"/>
    <n v="1"/>
    <n v="1"/>
  </r>
  <r>
    <m/>
    <m/>
    <x v="1"/>
    <s v="44524481001001"/>
    <n v="-93.54"/>
    <n v="1605"/>
    <n v="1"/>
    <n v="1"/>
  </r>
  <r>
    <m/>
    <m/>
    <x v="1"/>
    <s v="44581251003001"/>
    <n v="-62.18"/>
    <n v="1067"/>
    <n v="1"/>
    <n v="1"/>
  </r>
  <r>
    <m/>
    <m/>
    <x v="1"/>
    <s v="44596091002001"/>
    <n v="-65.91"/>
    <n v="1131"/>
    <n v="1"/>
    <n v="1"/>
  </r>
  <r>
    <m/>
    <m/>
    <x v="1"/>
    <s v="44613171001010"/>
    <n v="-128.44999999999999"/>
    <n v="2204"/>
    <n v="1"/>
    <n v="1"/>
  </r>
  <r>
    <m/>
    <m/>
    <x v="1"/>
    <s v="44621361001003"/>
    <n v="-11.31"/>
    <n v="194"/>
    <n v="1"/>
    <n v="1"/>
  </r>
  <r>
    <m/>
    <m/>
    <x v="1"/>
    <s v="44639981001001"/>
    <n v="-108.87"/>
    <n v="1868"/>
    <n v="1"/>
    <n v="1"/>
  </r>
  <r>
    <m/>
    <m/>
    <x v="1"/>
    <s v="44663409001001"/>
    <n v="-158.29"/>
    <n v="2716"/>
    <n v="1"/>
    <n v="1"/>
  </r>
  <r>
    <m/>
    <m/>
    <x v="1"/>
    <s v="44694441001003"/>
    <n v="-167.03"/>
    <n v="2866"/>
    <n v="1"/>
    <n v="1"/>
  </r>
  <r>
    <m/>
    <m/>
    <x v="1"/>
    <s v="44698571001002"/>
    <n v="-14.34"/>
    <n v="246"/>
    <n v="1"/>
    <n v="1"/>
  </r>
  <r>
    <m/>
    <m/>
    <x v="1"/>
    <s v="44710891001001"/>
    <n v="-99.48"/>
    <n v="1707"/>
    <n v="1"/>
    <n v="1"/>
  </r>
  <r>
    <m/>
    <m/>
    <x v="1"/>
    <s v="44752516001001"/>
    <n v="-25.76"/>
    <n v="442"/>
    <n v="1"/>
    <n v="1"/>
  </r>
  <r>
    <m/>
    <m/>
    <x v="1"/>
    <s v="44753381001001"/>
    <n v="-93.48"/>
    <n v="1604"/>
    <n v="1"/>
    <n v="1"/>
  </r>
  <r>
    <m/>
    <m/>
    <x v="1"/>
    <s v="44761361002003"/>
    <n v="-121.11"/>
    <n v="2078"/>
    <n v="1"/>
    <n v="1"/>
  </r>
  <r>
    <m/>
    <m/>
    <x v="1"/>
    <s v="44792564005003"/>
    <n v="-29.43"/>
    <n v="505"/>
    <n v="1"/>
    <n v="1"/>
  </r>
  <r>
    <m/>
    <m/>
    <x v="1"/>
    <s v="44813021001003"/>
    <n v="-89.17"/>
    <n v="1530"/>
    <n v="1"/>
    <n v="1"/>
  </r>
  <r>
    <m/>
    <m/>
    <x v="1"/>
    <s v="44837782001001"/>
    <n v="-258.76"/>
    <n v="4440"/>
    <n v="1"/>
    <n v="1"/>
  </r>
  <r>
    <m/>
    <m/>
    <x v="1"/>
    <s v="44848161001001"/>
    <n v="-151.53"/>
    <n v="2600"/>
    <n v="1"/>
    <n v="1"/>
  </r>
  <r>
    <m/>
    <m/>
    <x v="1"/>
    <s v="44859011005001"/>
    <n v="-107.47"/>
    <n v="1844"/>
    <n v="1"/>
    <n v="1"/>
  </r>
  <r>
    <m/>
    <m/>
    <x v="1"/>
    <s v="44861671002001"/>
    <n v="-44.99"/>
    <n v="772"/>
    <n v="1"/>
    <n v="1"/>
  </r>
  <r>
    <m/>
    <m/>
    <x v="1"/>
    <s v="44863491001001"/>
    <n v="-147.33000000000001"/>
    <n v="2528"/>
    <n v="1"/>
    <n v="1"/>
  </r>
  <r>
    <m/>
    <m/>
    <x v="1"/>
    <s v="44881621001001"/>
    <n v="-115.86"/>
    <n v="1988"/>
    <n v="1"/>
    <n v="1"/>
  </r>
  <r>
    <m/>
    <m/>
    <x v="1"/>
    <s v="44902061004004"/>
    <n v="-140.75"/>
    <n v="2415"/>
    <n v="1"/>
    <n v="1"/>
  </r>
  <r>
    <m/>
    <m/>
    <x v="1"/>
    <s v="44930551001003"/>
    <n v="-91.21"/>
    <n v="1565"/>
    <n v="1"/>
    <n v="1"/>
  </r>
  <r>
    <m/>
    <m/>
    <x v="1"/>
    <s v="44956311001001"/>
    <n v="-101.29"/>
    <n v="1738"/>
    <n v="1"/>
    <n v="1"/>
  </r>
  <r>
    <m/>
    <m/>
    <x v="1"/>
    <s v="44967161001001"/>
    <n v="-178.1"/>
    <n v="3056"/>
    <n v="1"/>
    <n v="1"/>
  </r>
  <r>
    <m/>
    <m/>
    <x v="1"/>
    <s v="44976051001004"/>
    <n v="-60.67"/>
    <n v="1041"/>
    <n v="1"/>
    <n v="1"/>
  </r>
  <r>
    <m/>
    <m/>
    <x v="1"/>
    <s v="44990541001001"/>
    <n v="-40.56"/>
    <n v="696"/>
    <n v="1"/>
    <n v="1"/>
  </r>
  <r>
    <m/>
    <m/>
    <x v="1"/>
    <s v="45008951004001"/>
    <n v="-159.80000000000001"/>
    <n v="2742"/>
    <n v="1"/>
    <n v="1"/>
  </r>
  <r>
    <m/>
    <m/>
    <x v="1"/>
    <s v="45021901002006"/>
    <n v="-227.18"/>
    <n v="3898"/>
    <n v="1"/>
    <n v="1"/>
  </r>
  <r>
    <m/>
    <m/>
    <x v="1"/>
    <s v="45022391001002"/>
    <n v="-2.39"/>
    <n v="41"/>
    <n v="1"/>
    <n v="1"/>
  </r>
  <r>
    <m/>
    <m/>
    <x v="1"/>
    <s v="45047731002001"/>
    <n v="-162.13"/>
    <n v="2782"/>
    <n v="1"/>
    <n v="1"/>
  </r>
  <r>
    <m/>
    <m/>
    <x v="1"/>
    <s v="45048221001001"/>
    <n v="-53.15"/>
    <n v="912"/>
    <n v="1"/>
    <n v="1"/>
  </r>
  <r>
    <m/>
    <m/>
    <x v="1"/>
    <s v="45050391007001"/>
    <n v="-150.13"/>
    <n v="2576"/>
    <n v="1"/>
    <n v="1"/>
  </r>
  <r>
    <m/>
    <m/>
    <x v="1"/>
    <s v="45055431001001"/>
    <n v="-104.44"/>
    <n v="1792"/>
    <n v="1"/>
    <n v="1"/>
  </r>
  <r>
    <m/>
    <m/>
    <x v="1"/>
    <s v="45057461003001"/>
    <n v="-57.58"/>
    <n v="988"/>
    <n v="1"/>
    <n v="1"/>
  </r>
  <r>
    <m/>
    <m/>
    <x v="1"/>
    <s v="45061941003003"/>
    <n v="-127.57"/>
    <n v="2189"/>
    <n v="1"/>
    <n v="1"/>
  </r>
  <r>
    <m/>
    <m/>
    <x v="1"/>
    <s v="45072791003019"/>
    <n v="-129.5"/>
    <n v="2222"/>
    <n v="1"/>
    <n v="1"/>
  </r>
  <r>
    <m/>
    <m/>
    <x v="1"/>
    <s v="45074891004011"/>
    <n v="-47.21"/>
    <n v="810"/>
    <n v="1"/>
    <n v="1"/>
  </r>
  <r>
    <m/>
    <m/>
    <x v="1"/>
    <s v="45075591004001"/>
    <n v="-43.36"/>
    <n v="744"/>
    <n v="1"/>
    <n v="1"/>
  </r>
  <r>
    <m/>
    <m/>
    <x v="1"/>
    <s v="45076781001003"/>
    <n v="-126.18"/>
    <n v="2165"/>
    <n v="1"/>
    <n v="1"/>
  </r>
  <r>
    <m/>
    <m/>
    <x v="1"/>
    <s v="45132711001002"/>
    <n v="-166.45"/>
    <n v="2856"/>
    <n v="1"/>
    <n v="1"/>
  </r>
  <r>
    <m/>
    <m/>
    <x v="1"/>
    <s v="45137261001001"/>
    <n v="-235.68"/>
    <n v="4044"/>
    <n v="1"/>
    <n v="1"/>
  </r>
  <r>
    <m/>
    <m/>
    <x v="1"/>
    <s v="45156161001001"/>
    <n v="-41.85"/>
    <n v="718"/>
    <n v="1"/>
    <n v="1"/>
  </r>
  <r>
    <m/>
    <m/>
    <x v="1"/>
    <s v="45162468001001"/>
    <n v="-130.08000000000001"/>
    <n v="2232"/>
    <n v="1"/>
    <n v="1"/>
  </r>
  <r>
    <m/>
    <m/>
    <x v="1"/>
    <s v="45170842001005"/>
    <n v="-48.02"/>
    <n v="824"/>
    <n v="1"/>
    <n v="1"/>
  </r>
  <r>
    <m/>
    <m/>
    <x v="1"/>
    <s v="45174431001001"/>
    <n v="-41.15"/>
    <n v="706"/>
    <n v="1"/>
    <n v="1"/>
  </r>
  <r>
    <m/>
    <m/>
    <x v="1"/>
    <s v="45192841001001"/>
    <n v="-41.96"/>
    <n v="720"/>
    <n v="1"/>
    <n v="1"/>
  </r>
  <r>
    <m/>
    <m/>
    <x v="1"/>
    <s v="45208591002004"/>
    <n v="-31.88"/>
    <n v="547"/>
    <n v="1"/>
    <n v="1"/>
  </r>
  <r>
    <m/>
    <m/>
    <x v="1"/>
    <s v="45242051001003"/>
    <n v="-211.67"/>
    <n v="3632"/>
    <n v="1"/>
    <n v="1"/>
  </r>
  <r>
    <m/>
    <m/>
    <x v="1"/>
    <s v="45253671001001"/>
    <n v="-116.39"/>
    <n v="1997"/>
    <n v="1"/>
    <n v="1"/>
  </r>
  <r>
    <m/>
    <m/>
    <x v="1"/>
    <s v="45322971007001"/>
    <n v="-54.14"/>
    <n v="929"/>
    <n v="1"/>
    <n v="1"/>
  </r>
  <r>
    <m/>
    <m/>
    <x v="1"/>
    <s v="45362871001003"/>
    <n v="-191.74"/>
    <n v="3290"/>
    <n v="1"/>
    <n v="1"/>
  </r>
  <r>
    <m/>
    <m/>
    <x v="1"/>
    <s v="45379041001001"/>
    <n v="-139.99"/>
    <n v="2402"/>
    <n v="1"/>
    <n v="1"/>
  </r>
  <r>
    <m/>
    <m/>
    <x v="1"/>
    <s v="45408608002003"/>
    <n v="-152.99"/>
    <n v="2625"/>
    <n v="1"/>
    <n v="1"/>
  </r>
  <r>
    <m/>
    <m/>
    <x v="1"/>
    <s v="45412781001004"/>
    <n v="-97.68"/>
    <n v="1676"/>
    <n v="1"/>
    <n v="1"/>
  </r>
  <r>
    <m/>
    <m/>
    <x v="1"/>
    <s v="45420831002002"/>
    <n v="-179.85"/>
    <n v="3086"/>
    <n v="1"/>
    <n v="1"/>
  </r>
  <r>
    <m/>
    <m/>
    <x v="1"/>
    <s v="45447641001001"/>
    <n v="-113.59"/>
    <n v="1949"/>
    <n v="1"/>
    <n v="1"/>
  </r>
  <r>
    <m/>
    <m/>
    <x v="1"/>
    <s v="45447711001002"/>
    <n v="-144.24"/>
    <n v="2475"/>
    <n v="1"/>
    <n v="1"/>
  </r>
  <r>
    <m/>
    <m/>
    <x v="1"/>
    <s v="45454501002002"/>
    <n v="-75.3"/>
    <n v="1292"/>
    <n v="1"/>
    <n v="1"/>
  </r>
  <r>
    <m/>
    <m/>
    <x v="1"/>
    <s v="45500981001001"/>
    <n v="-108.46"/>
    <n v="1861"/>
    <n v="1"/>
    <n v="1"/>
  </r>
  <r>
    <m/>
    <m/>
    <x v="1"/>
    <s v="45523171024001"/>
    <n v="-56.18"/>
    <n v="964"/>
    <n v="1"/>
    <n v="1"/>
  </r>
  <r>
    <m/>
    <m/>
    <x v="1"/>
    <s v="45528421001002"/>
    <n v="-136.84"/>
    <n v="2348"/>
    <n v="1"/>
    <n v="1"/>
  </r>
  <r>
    <m/>
    <m/>
    <x v="1"/>
    <s v="45554531001005"/>
    <n v="-79.38"/>
    <n v="1362"/>
    <n v="1"/>
    <n v="1"/>
  </r>
  <r>
    <m/>
    <m/>
    <x v="1"/>
    <s v="45622851001009"/>
    <n v="-69.94"/>
    <n v="1200"/>
    <n v="1"/>
    <n v="1"/>
  </r>
  <r>
    <m/>
    <m/>
    <x v="1"/>
    <s v="45764531001001"/>
    <n v="-41.15"/>
    <n v="706"/>
    <n v="1"/>
    <n v="1"/>
  </r>
  <r>
    <m/>
    <m/>
    <x v="1"/>
    <s v="45765441001002"/>
    <n v="-38.17"/>
    <n v="655"/>
    <n v="1"/>
    <n v="1"/>
  </r>
  <r>
    <m/>
    <m/>
    <x v="1"/>
    <s v="45824016001003"/>
    <n v="-93.66"/>
    <n v="1607"/>
    <n v="1"/>
    <n v="1"/>
  </r>
  <r>
    <m/>
    <m/>
    <x v="1"/>
    <s v="45845101001001"/>
    <n v="-82.35"/>
    <n v="1413"/>
    <n v="1"/>
    <n v="1"/>
  </r>
  <r>
    <m/>
    <m/>
    <x v="1"/>
    <s v="45861201001008"/>
    <n v="-102.86"/>
    <n v="1765"/>
    <n v="1"/>
    <n v="1"/>
  </r>
  <r>
    <m/>
    <m/>
    <x v="1"/>
    <s v="45878001001001"/>
    <n v="-82.17"/>
    <n v="1410"/>
    <n v="1"/>
    <n v="1"/>
  </r>
  <r>
    <m/>
    <m/>
    <x v="1"/>
    <s v="45930081004001"/>
    <n v="-50.12"/>
    <n v="860"/>
    <n v="1"/>
    <n v="1"/>
  </r>
  <r>
    <m/>
    <m/>
    <x v="1"/>
    <s v="45979501004001"/>
    <n v="-97.15"/>
    <n v="1667"/>
    <n v="1"/>
    <n v="1"/>
  </r>
  <r>
    <m/>
    <m/>
    <x v="1"/>
    <s v="45987934001001"/>
    <n v="-111.43"/>
    <n v="1912"/>
    <n v="1"/>
    <n v="1"/>
  </r>
  <r>
    <m/>
    <m/>
    <x v="1"/>
    <s v="45999031007001"/>
    <n v="-109.8"/>
    <n v="1884"/>
    <n v="1"/>
    <n v="1"/>
  </r>
  <r>
    <m/>
    <m/>
    <x v="1"/>
    <s v="46112501001001"/>
    <n v="-143.08000000000001"/>
    <n v="2455"/>
    <n v="1"/>
    <n v="1"/>
  </r>
  <r>
    <m/>
    <m/>
    <x v="1"/>
    <s v="46133151002005"/>
    <n v="-125.71"/>
    <n v="2157"/>
    <n v="1"/>
    <n v="1"/>
  </r>
  <r>
    <m/>
    <m/>
    <x v="1"/>
    <s v="46135601001001"/>
    <n v="-96.63"/>
    <n v="1658"/>
    <n v="1"/>
    <n v="1"/>
  </r>
  <r>
    <m/>
    <m/>
    <x v="1"/>
    <s v="46141131001003"/>
    <n v="-70.75"/>
    <n v="1214"/>
    <n v="1"/>
    <n v="1"/>
  </r>
  <r>
    <m/>
    <m/>
    <x v="1"/>
    <s v="46149601001005"/>
    <n v="-114.64"/>
    <n v="1967"/>
    <n v="1"/>
    <n v="1"/>
  </r>
  <r>
    <m/>
    <m/>
    <x v="1"/>
    <s v="46151701002002"/>
    <n v="-4.43"/>
    <n v="76"/>
    <n v="1"/>
    <n v="1"/>
  </r>
  <r>
    <m/>
    <m/>
    <x v="1"/>
    <s v="46161221003014"/>
    <n v="-129.72999999999999"/>
    <n v="2226"/>
    <n v="1"/>
    <n v="1"/>
  </r>
  <r>
    <m/>
    <m/>
    <x v="1"/>
    <s v="46210291002003"/>
    <n v="-165.22"/>
    <n v="2835"/>
    <n v="1"/>
    <n v="1"/>
  </r>
  <r>
    <m/>
    <m/>
    <x v="1"/>
    <s v="46217641006001"/>
    <n v="-167.73"/>
    <n v="2878"/>
    <n v="1"/>
    <n v="1"/>
  </r>
  <r>
    <m/>
    <m/>
    <x v="1"/>
    <s v="46242001001004"/>
    <n v="-75.819999999999993"/>
    <n v="1301"/>
    <n v="1"/>
    <n v="1"/>
  </r>
  <r>
    <m/>
    <m/>
    <x v="1"/>
    <s v="46248581001001"/>
    <n v="-132.41"/>
    <n v="2272"/>
    <n v="1"/>
    <n v="1"/>
  </r>
  <r>
    <m/>
    <m/>
    <x v="1"/>
    <s v="46255143001001"/>
    <n v="-82.7"/>
    <n v="1419"/>
    <n v="1"/>
    <n v="1"/>
  </r>
  <r>
    <m/>
    <m/>
    <x v="1"/>
    <s v="46290511001002"/>
    <n v="-150.6"/>
    <n v="2584"/>
    <n v="1"/>
    <n v="1"/>
  </r>
  <r>
    <m/>
    <m/>
    <x v="1"/>
    <s v="46365411003001"/>
    <n v="-25.41"/>
    <n v="436"/>
    <n v="1"/>
    <n v="1"/>
  </r>
  <r>
    <m/>
    <m/>
    <x v="1"/>
    <s v="46383371002005"/>
    <n v="-42.89"/>
    <n v="736"/>
    <n v="1"/>
    <n v="1"/>
  </r>
  <r>
    <m/>
    <m/>
    <x v="1"/>
    <s v="46396071001002"/>
    <n v="-62.94"/>
    <n v="1080"/>
    <n v="1"/>
    <n v="1"/>
  </r>
  <r>
    <m/>
    <m/>
    <x v="1"/>
    <s v="46399081006001"/>
    <n v="-131.54"/>
    <n v="2257"/>
    <n v="1"/>
    <n v="1"/>
  </r>
  <r>
    <m/>
    <m/>
    <x v="1"/>
    <s v="46402441001006"/>
    <n v="-34.15"/>
    <n v="586"/>
    <n v="1"/>
    <n v="1"/>
  </r>
  <r>
    <m/>
    <m/>
    <x v="1"/>
    <s v="46412521001006"/>
    <n v="-61.95"/>
    <n v="1063"/>
    <n v="1"/>
    <n v="1"/>
  </r>
  <r>
    <m/>
    <m/>
    <x v="1"/>
    <s v="46438981001002"/>
    <n v="-171.87"/>
    <n v="2949"/>
    <n v="1"/>
    <n v="1"/>
  </r>
  <r>
    <m/>
    <m/>
    <x v="1"/>
    <s v="46440861001007"/>
    <n v="-86.9"/>
    <n v="1491"/>
    <n v="1"/>
    <n v="1"/>
  </r>
  <r>
    <m/>
    <m/>
    <x v="1"/>
    <s v="46458791001003"/>
    <n v="-112.95"/>
    <n v="1938"/>
    <n v="1"/>
    <n v="1"/>
  </r>
  <r>
    <m/>
    <m/>
    <x v="1"/>
    <s v="46467611002001"/>
    <n v="-63.06"/>
    <n v="1082"/>
    <n v="1"/>
    <n v="1"/>
  </r>
  <r>
    <m/>
    <m/>
    <x v="1"/>
    <s v="46478573003001"/>
    <n v="-97.27"/>
    <n v="1669"/>
    <n v="1"/>
    <n v="1"/>
  </r>
  <r>
    <m/>
    <m/>
    <x v="1"/>
    <s v="46486763001003"/>
    <n v="-52.86"/>
    <n v="907"/>
    <n v="1"/>
    <n v="1"/>
  </r>
  <r>
    <m/>
    <m/>
    <x v="1"/>
    <s v="46539265001001"/>
    <n v="-11.6"/>
    <n v="199"/>
    <n v="1"/>
    <n v="1"/>
  </r>
  <r>
    <m/>
    <m/>
    <x v="1"/>
    <s v="46684121001001"/>
    <n v="-81.77"/>
    <n v="1403"/>
    <n v="1"/>
    <n v="1"/>
  </r>
  <r>
    <m/>
    <m/>
    <x v="1"/>
    <s v="46713395001001"/>
    <n v="-52.1"/>
    <n v="894"/>
    <n v="1"/>
    <n v="1"/>
  </r>
  <r>
    <m/>
    <m/>
    <x v="1"/>
    <s v="46755031001004"/>
    <n v="-19.93"/>
    <n v="342"/>
    <n v="1"/>
    <n v="1"/>
  </r>
  <r>
    <m/>
    <m/>
    <x v="1"/>
    <s v="46767001003001"/>
    <n v="-123.96"/>
    <n v="2127"/>
    <n v="1"/>
    <n v="1"/>
  </r>
  <r>
    <m/>
    <m/>
    <x v="1"/>
    <s v="46767211003001"/>
    <n v="-95.93"/>
    <n v="1646"/>
    <n v="1"/>
    <n v="1"/>
  </r>
  <r>
    <m/>
    <m/>
    <x v="1"/>
    <s v="46769241002001"/>
    <n v="-133.34"/>
    <n v="2288"/>
    <n v="1"/>
    <n v="1"/>
  </r>
  <r>
    <m/>
    <m/>
    <x v="1"/>
    <s v="46772111002005"/>
    <n v="-145.69999999999999"/>
    <n v="2500"/>
    <n v="1"/>
    <n v="1"/>
  </r>
  <r>
    <m/>
    <m/>
    <x v="1"/>
    <s v="46773581002002"/>
    <n v="-158.35"/>
    <n v="2717"/>
    <n v="1"/>
    <n v="1"/>
  </r>
  <r>
    <m/>
    <m/>
    <x v="1"/>
    <s v="46778971002001"/>
    <n v="-74.709999999999994"/>
    <n v="1282"/>
    <n v="1"/>
    <n v="1"/>
  </r>
  <r>
    <m/>
    <m/>
    <x v="1"/>
    <s v="46779671001003"/>
    <n v="-15.33"/>
    <n v="263"/>
    <n v="1"/>
    <n v="1"/>
  </r>
  <r>
    <m/>
    <m/>
    <x v="1"/>
    <s v="46789961001001"/>
    <n v="-78.739999999999995"/>
    <n v="1351"/>
    <n v="1"/>
    <n v="1"/>
  </r>
  <r>
    <m/>
    <m/>
    <x v="1"/>
    <s v="46790122001005"/>
    <n v="-43.54"/>
    <n v="747"/>
    <n v="1"/>
    <n v="1"/>
  </r>
  <r>
    <m/>
    <m/>
    <x v="1"/>
    <s v="46825208001001"/>
    <n v="-126"/>
    <n v="2162"/>
    <n v="1"/>
    <n v="1"/>
  </r>
  <r>
    <m/>
    <m/>
    <x v="1"/>
    <s v="46831191008001"/>
    <n v="-131.88999999999999"/>
    <n v="2263"/>
    <n v="1"/>
    <n v="1"/>
  </r>
  <r>
    <m/>
    <m/>
    <x v="1"/>
    <s v="46834341003003"/>
    <n v="-151.24"/>
    <n v="2595"/>
    <n v="1"/>
    <n v="1"/>
  </r>
  <r>
    <m/>
    <m/>
    <x v="1"/>
    <s v="46844491002002"/>
    <n v="-163.41999999999999"/>
    <n v="2804"/>
    <n v="1"/>
    <n v="1"/>
  </r>
  <r>
    <m/>
    <m/>
    <x v="1"/>
    <s v="46848061001005"/>
    <n v="-63.53"/>
    <n v="1090"/>
    <n v="1"/>
    <n v="1"/>
  </r>
  <r>
    <m/>
    <m/>
    <x v="1"/>
    <s v="46855629001001"/>
    <n v="-33.340000000000003"/>
    <n v="572"/>
    <n v="1"/>
    <n v="1"/>
  </r>
  <r>
    <m/>
    <m/>
    <x v="1"/>
    <s v="46866331001002"/>
    <n v="-142.13999999999999"/>
    <n v="2439"/>
    <n v="1"/>
    <n v="1"/>
  </r>
  <r>
    <m/>
    <m/>
    <x v="1"/>
    <s v="46962021001002"/>
    <n v="-19.989999999999998"/>
    <n v="343"/>
    <n v="1"/>
    <n v="1"/>
  </r>
  <r>
    <m/>
    <m/>
    <x v="1"/>
    <s v="46966753003003"/>
    <n v="-114.7"/>
    <n v="1968"/>
    <n v="1"/>
    <n v="1"/>
  </r>
  <r>
    <m/>
    <m/>
    <x v="1"/>
    <s v="46967818003001"/>
    <n v="-170.24"/>
    <n v="2921"/>
    <n v="1"/>
    <n v="1"/>
  </r>
  <r>
    <m/>
    <m/>
    <x v="1"/>
    <s v="47028499003001"/>
    <n v="-131.30000000000001"/>
    <n v="2253"/>
    <n v="1"/>
    <n v="1"/>
  </r>
  <r>
    <m/>
    <m/>
    <x v="1"/>
    <s v="47135971001002"/>
    <n v="-109.74"/>
    <n v="1883"/>
    <n v="1"/>
    <n v="1"/>
  </r>
  <r>
    <m/>
    <m/>
    <x v="1"/>
    <s v="47164321003004"/>
    <n v="-61.49"/>
    <n v="1055"/>
    <n v="1"/>
    <n v="1"/>
  </r>
  <r>
    <m/>
    <m/>
    <x v="1"/>
    <s v="47176711002001"/>
    <n v="-44.53"/>
    <n v="764"/>
    <n v="1"/>
    <n v="1"/>
  </r>
  <r>
    <m/>
    <m/>
    <x v="1"/>
    <s v="47233131004002"/>
    <n v="-195.24"/>
    <n v="3350"/>
    <n v="1"/>
    <n v="1"/>
  </r>
  <r>
    <m/>
    <m/>
    <x v="1"/>
    <s v="47258973001001"/>
    <n v="-50.88"/>
    <n v="873"/>
    <n v="1"/>
    <n v="1"/>
  </r>
  <r>
    <m/>
    <m/>
    <x v="1"/>
    <s v="47275061002003"/>
    <n v="-65.33"/>
    <n v="1121"/>
    <n v="1"/>
    <n v="1"/>
  </r>
  <r>
    <m/>
    <m/>
    <x v="1"/>
    <s v="47282411002001"/>
    <n v="-78.790000000000006"/>
    <n v="1352"/>
    <n v="1"/>
    <n v="1"/>
  </r>
  <r>
    <m/>
    <m/>
    <x v="1"/>
    <s v="47312021001002"/>
    <n v="-91.5"/>
    <n v="1570"/>
    <n v="1"/>
    <n v="1"/>
  </r>
  <r>
    <m/>
    <m/>
    <x v="1"/>
    <s v="47318111005003"/>
    <n v="-197.74"/>
    <n v="3393"/>
    <n v="1"/>
    <n v="1"/>
  </r>
  <r>
    <m/>
    <m/>
    <x v="1"/>
    <s v="47341211003001"/>
    <n v="-94.65"/>
    <n v="1624"/>
    <n v="1"/>
    <n v="1"/>
  </r>
  <r>
    <m/>
    <m/>
    <x v="1"/>
    <s v="47356261001002"/>
    <n v="-207.42"/>
    <n v="3559"/>
    <n v="1"/>
    <n v="1"/>
  </r>
  <r>
    <m/>
    <m/>
    <x v="1"/>
    <s v="47375581005013"/>
    <n v="-121.75"/>
    <n v="2089"/>
    <n v="1"/>
    <n v="1"/>
  </r>
  <r>
    <m/>
    <m/>
    <x v="1"/>
    <s v="47382721001001"/>
    <n v="-107.58"/>
    <n v="1846"/>
    <n v="1"/>
    <n v="1"/>
  </r>
  <r>
    <m/>
    <m/>
    <x v="1"/>
    <s v="47385801001001"/>
    <n v="-71.45"/>
    <n v="1226"/>
    <n v="1"/>
    <n v="1"/>
  </r>
  <r>
    <m/>
    <m/>
    <x v="1"/>
    <s v="47386711001003"/>
    <n v="-110.56"/>
    <n v="1897"/>
    <n v="1"/>
    <n v="1"/>
  </r>
  <r>
    <m/>
    <m/>
    <x v="1"/>
    <s v="47388041001006"/>
    <n v="-181.89"/>
    <n v="3121"/>
    <n v="1"/>
    <n v="1"/>
  </r>
  <r>
    <m/>
    <m/>
    <x v="1"/>
    <s v="47403091001002"/>
    <n v="-100.42"/>
    <n v="1723"/>
    <n v="1"/>
    <n v="1"/>
  </r>
  <r>
    <m/>
    <m/>
    <x v="1"/>
    <s v="47406740001003"/>
    <n v="-158.69999999999999"/>
    <n v="2723"/>
    <n v="1"/>
    <n v="1"/>
  </r>
  <r>
    <m/>
    <m/>
    <x v="1"/>
    <s v="47429201001003"/>
    <n v="-38.869999999999997"/>
    <n v="667"/>
    <n v="1"/>
    <n v="1"/>
  </r>
  <r>
    <m/>
    <m/>
    <x v="1"/>
    <s v="47431160001002"/>
    <n v="-189.06"/>
    <n v="3244"/>
    <n v="1"/>
    <n v="1"/>
  </r>
  <r>
    <m/>
    <m/>
    <x v="1"/>
    <s v="47463011003001"/>
    <n v="-157.18"/>
    <n v="2697"/>
    <n v="1"/>
    <n v="1"/>
  </r>
  <r>
    <m/>
    <m/>
    <x v="1"/>
    <s v="47480441007001"/>
    <n v="-223.33"/>
    <n v="3832"/>
    <n v="1"/>
    <n v="1"/>
  </r>
  <r>
    <m/>
    <m/>
    <x v="1"/>
    <s v="47562061007001"/>
    <n v="-82.93"/>
    <n v="1423"/>
    <n v="1"/>
    <n v="1"/>
  </r>
  <r>
    <m/>
    <m/>
    <x v="1"/>
    <s v="47569271001018"/>
    <n v="-31.82"/>
    <n v="546"/>
    <n v="1"/>
    <n v="1"/>
  </r>
  <r>
    <m/>
    <m/>
    <x v="1"/>
    <s v="47574941012001"/>
    <n v="-97.15"/>
    <n v="1667"/>
    <n v="1"/>
    <n v="1"/>
  </r>
  <r>
    <m/>
    <m/>
    <x v="1"/>
    <s v="47576624002003"/>
    <n v="-207.65"/>
    <n v="3563"/>
    <n v="1"/>
    <n v="1"/>
  </r>
  <r>
    <m/>
    <m/>
    <x v="1"/>
    <s v="47599651005003"/>
    <n v="-69.7"/>
    <n v="1196"/>
    <n v="1"/>
    <n v="1"/>
  </r>
  <r>
    <m/>
    <m/>
    <x v="1"/>
    <s v="47600631003001"/>
    <n v="-134.16"/>
    <n v="2302"/>
    <n v="1"/>
    <n v="1"/>
  </r>
  <r>
    <m/>
    <m/>
    <x v="1"/>
    <s v="47672521001007"/>
    <n v="-74.25"/>
    <n v="1274"/>
    <n v="1"/>
    <n v="1"/>
  </r>
  <r>
    <m/>
    <m/>
    <x v="1"/>
    <s v="47723831004003"/>
    <n v="-122.15"/>
    <n v="2096"/>
    <n v="1"/>
    <n v="1"/>
  </r>
  <r>
    <m/>
    <m/>
    <x v="1"/>
    <s v="47755961001002"/>
    <n v="-245.71"/>
    <n v="4216"/>
    <n v="1"/>
    <n v="1"/>
  </r>
  <r>
    <m/>
    <m/>
    <x v="1"/>
    <s v="47762681005001"/>
    <n v="-239.65"/>
    <n v="4112"/>
    <n v="1"/>
    <n v="1"/>
  </r>
  <r>
    <m/>
    <m/>
    <x v="1"/>
    <s v="47821404001002"/>
    <n v="-11.48"/>
    <n v="197"/>
    <n v="1"/>
    <n v="1"/>
  </r>
  <r>
    <m/>
    <m/>
    <x v="1"/>
    <s v="47866841003004"/>
    <n v="-46.27"/>
    <n v="794"/>
    <n v="1"/>
    <n v="1"/>
  </r>
  <r>
    <m/>
    <m/>
    <x v="1"/>
    <s v="47874541007001"/>
    <n v="-99.08"/>
    <n v="1700"/>
    <n v="1"/>
    <n v="1"/>
  </r>
  <r>
    <m/>
    <m/>
    <x v="1"/>
    <s v="47876291003003"/>
    <n v="-69.349999999999994"/>
    <n v="1190"/>
    <n v="1"/>
    <n v="1"/>
  </r>
  <r>
    <m/>
    <m/>
    <x v="1"/>
    <s v="47919224001001"/>
    <n v="-47.44"/>
    <n v="814"/>
    <n v="1"/>
    <n v="1"/>
  </r>
  <r>
    <m/>
    <m/>
    <x v="1"/>
    <s v="47945381004001"/>
    <n v="-149.49"/>
    <n v="2565"/>
    <n v="1"/>
    <n v="1"/>
  </r>
  <r>
    <m/>
    <m/>
    <x v="1"/>
    <s v="47966661006001"/>
    <n v="-32.229999999999997"/>
    <n v="553"/>
    <n v="1"/>
    <n v="1"/>
  </r>
  <r>
    <m/>
    <m/>
    <x v="1"/>
    <s v="47983531004001"/>
    <n v="-64.52"/>
    <n v="1107"/>
    <n v="1"/>
    <n v="1"/>
  </r>
  <r>
    <m/>
    <m/>
    <x v="1"/>
    <s v="48013109001003"/>
    <n v="-151.88"/>
    <n v="2606"/>
    <n v="1"/>
    <n v="1"/>
  </r>
  <r>
    <m/>
    <m/>
    <x v="1"/>
    <s v="48036574003001"/>
    <n v="-47.67"/>
    <n v="818"/>
    <n v="1"/>
    <n v="1"/>
  </r>
  <r>
    <m/>
    <m/>
    <x v="1"/>
    <s v="48040883001002"/>
    <n v="-34.15"/>
    <n v="586"/>
    <n v="1"/>
    <n v="1"/>
  </r>
  <r>
    <m/>
    <m/>
    <x v="1"/>
    <s v="48065577001006"/>
    <n v="-121.11"/>
    <n v="2078"/>
    <n v="1"/>
    <n v="1"/>
  </r>
  <r>
    <m/>
    <m/>
    <x v="1"/>
    <s v="48076533001001"/>
    <n v="-182.65"/>
    <n v="3134"/>
    <n v="1"/>
    <n v="1"/>
  </r>
  <r>
    <m/>
    <m/>
    <x v="1"/>
    <s v="48085381001001"/>
    <n v="-65.8"/>
    <n v="1129"/>
    <n v="1"/>
    <n v="1"/>
  </r>
  <r>
    <m/>
    <m/>
    <x v="1"/>
    <s v="48091876002001"/>
    <n v="-12.41"/>
    <n v="213"/>
    <n v="1"/>
    <n v="1"/>
  </r>
  <r>
    <m/>
    <m/>
    <x v="1"/>
    <s v="48182191001001"/>
    <n v="-172.86"/>
    <n v="2966"/>
    <n v="1"/>
    <n v="1"/>
  </r>
  <r>
    <m/>
    <m/>
    <x v="1"/>
    <s v="48214181001001"/>
    <n v="-129.15"/>
    <n v="2216"/>
    <n v="1"/>
    <n v="1"/>
  </r>
  <r>
    <m/>
    <m/>
    <x v="1"/>
    <s v="48254983001001"/>
    <n v="-122.04"/>
    <n v="2094"/>
    <n v="1"/>
    <n v="1"/>
  </r>
  <r>
    <m/>
    <m/>
    <x v="1"/>
    <s v="48287655003001"/>
    <n v="-55.37"/>
    <n v="950"/>
    <n v="1"/>
    <n v="1"/>
  </r>
  <r>
    <m/>
    <m/>
    <x v="1"/>
    <s v="48385973001003"/>
    <n v="-62.65"/>
    <n v="1075"/>
    <n v="1"/>
    <n v="1"/>
  </r>
  <r>
    <m/>
    <m/>
    <x v="1"/>
    <s v="48490261001001"/>
    <n v="-139.69999999999999"/>
    <n v="2397"/>
    <n v="1"/>
    <n v="1"/>
  </r>
  <r>
    <m/>
    <m/>
    <x v="1"/>
    <s v="48518541001001"/>
    <n v="-101.12"/>
    <n v="1735"/>
    <n v="1"/>
    <n v="1"/>
  </r>
  <r>
    <m/>
    <m/>
    <x v="1"/>
    <s v="48529741001003"/>
    <n v="-107.93"/>
    <n v="1852"/>
    <n v="1"/>
    <n v="1"/>
  </r>
  <r>
    <m/>
    <m/>
    <x v="1"/>
    <s v="48552561001006"/>
    <n v="-25.41"/>
    <n v="436"/>
    <n v="1"/>
    <n v="1"/>
  </r>
  <r>
    <m/>
    <m/>
    <x v="1"/>
    <s v="48671160001004"/>
    <n v="-163.83000000000001"/>
    <n v="2811"/>
    <n v="1"/>
    <n v="1"/>
  </r>
  <r>
    <m/>
    <m/>
    <x v="1"/>
    <s v="48704876001001"/>
    <n v="-111.08"/>
    <n v="1906"/>
    <n v="1"/>
    <n v="1"/>
  </r>
  <r>
    <m/>
    <m/>
    <x v="1"/>
    <s v="48705861001001"/>
    <n v="-58.16"/>
    <n v="998"/>
    <n v="1"/>
    <n v="1"/>
  </r>
  <r>
    <m/>
    <m/>
    <x v="1"/>
    <s v="48789559005001"/>
    <n v="-75.59"/>
    <n v="1297"/>
    <n v="1"/>
    <n v="1"/>
  </r>
  <r>
    <m/>
    <m/>
    <x v="1"/>
    <s v="48798510001003"/>
    <n v="-106.83"/>
    <n v="1833"/>
    <n v="1"/>
    <n v="1"/>
  </r>
  <r>
    <m/>
    <m/>
    <x v="1"/>
    <s v="48843876001001"/>
    <n v="-103.16"/>
    <n v="1770"/>
    <n v="1"/>
    <n v="1"/>
  </r>
  <r>
    <m/>
    <m/>
    <x v="1"/>
    <s v="48867586002009"/>
    <n v="-80.31"/>
    <n v="1378"/>
    <n v="1"/>
    <n v="1"/>
  </r>
  <r>
    <m/>
    <m/>
    <x v="1"/>
    <s v="48920787001001"/>
    <n v="-28.15"/>
    <n v="483"/>
    <n v="1"/>
    <n v="1"/>
  </r>
  <r>
    <m/>
    <m/>
    <x v="1"/>
    <s v="48930701001003"/>
    <n v="-44.93"/>
    <n v="771"/>
    <n v="1"/>
    <n v="1"/>
  </r>
  <r>
    <m/>
    <m/>
    <x v="1"/>
    <s v="49069822001001"/>
    <n v="-138.01"/>
    <n v="2368"/>
    <n v="1"/>
    <n v="1"/>
  </r>
  <r>
    <m/>
    <m/>
    <x v="1"/>
    <s v="49110279001004"/>
    <n v="-112.19"/>
    <n v="1925"/>
    <n v="1"/>
    <n v="1"/>
  </r>
  <r>
    <m/>
    <m/>
    <x v="1"/>
    <s v="49114661001002"/>
    <n v="-64.569999999999993"/>
    <n v="1108"/>
    <n v="1"/>
    <n v="1"/>
  </r>
  <r>
    <m/>
    <m/>
    <x v="1"/>
    <s v="49146371004001"/>
    <n v="-61.6"/>
    <n v="1057"/>
    <n v="1"/>
    <n v="1"/>
  </r>
  <r>
    <m/>
    <m/>
    <x v="1"/>
    <s v="49200673001001"/>
    <n v="-55.07"/>
    <n v="945"/>
    <n v="1"/>
    <n v="1"/>
  </r>
  <r>
    <m/>
    <m/>
    <x v="1"/>
    <s v="49214775001001"/>
    <n v="-63.06"/>
    <n v="1082"/>
    <n v="1"/>
    <n v="1"/>
  </r>
  <r>
    <m/>
    <m/>
    <x v="1"/>
    <s v="49217701003005"/>
    <n v="-279.16000000000003"/>
    <n v="4790"/>
    <n v="1"/>
    <n v="1"/>
  </r>
  <r>
    <m/>
    <m/>
    <x v="1"/>
    <s v="49295866001005"/>
    <n v="-166.97"/>
    <n v="2865"/>
    <n v="1"/>
    <n v="1"/>
  </r>
  <r>
    <m/>
    <m/>
    <x v="1"/>
    <s v="49299299001005"/>
    <n v="-115.22"/>
    <n v="1977"/>
    <n v="1"/>
    <n v="1"/>
  </r>
  <r>
    <m/>
    <m/>
    <x v="1"/>
    <s v="49472851001001"/>
    <n v="-75.650000000000006"/>
    <n v="1298"/>
    <n v="1"/>
    <n v="1"/>
  </r>
  <r>
    <m/>
    <m/>
    <x v="1"/>
    <s v="49520699001002"/>
    <n v="-51.93"/>
    <n v="891"/>
    <n v="1"/>
    <n v="1"/>
  </r>
  <r>
    <m/>
    <m/>
    <x v="1"/>
    <s v="49542151005001"/>
    <n v="-237.49"/>
    <n v="4075"/>
    <n v="1"/>
    <n v="1"/>
  </r>
  <r>
    <m/>
    <m/>
    <x v="1"/>
    <s v="49576941007001"/>
    <n v="-41.96"/>
    <n v="720"/>
    <n v="1"/>
    <n v="1"/>
  </r>
  <r>
    <m/>
    <m/>
    <x v="1"/>
    <s v="49586951001001"/>
    <n v="-77.569999999999993"/>
    <n v="1331"/>
    <n v="1"/>
    <n v="1"/>
  </r>
  <r>
    <m/>
    <m/>
    <x v="1"/>
    <s v="49622441001001"/>
    <n v="-84.04"/>
    <n v="1442"/>
    <n v="1"/>
    <n v="1"/>
  </r>
  <r>
    <m/>
    <m/>
    <x v="1"/>
    <s v="49632381001008"/>
    <n v="-137.88999999999999"/>
    <n v="2366"/>
    <n v="1"/>
    <n v="1"/>
  </r>
  <r>
    <m/>
    <m/>
    <x v="1"/>
    <s v="49711801001001"/>
    <n v="-46.57"/>
    <n v="799"/>
    <n v="1"/>
    <n v="1"/>
  </r>
  <r>
    <m/>
    <m/>
    <x v="1"/>
    <s v="49751731003001"/>
    <n v="-8.6300000000000008"/>
    <n v="148"/>
    <n v="1"/>
    <n v="1"/>
  </r>
  <r>
    <m/>
    <m/>
    <x v="1"/>
    <s v="49820681003003"/>
    <n v="-112.19"/>
    <n v="1925"/>
    <n v="1"/>
    <n v="1"/>
  </r>
  <r>
    <m/>
    <m/>
    <x v="1"/>
    <s v="49897285001001"/>
    <n v="-169.07"/>
    <n v="2901"/>
    <n v="1"/>
    <n v="1"/>
  </r>
  <r>
    <m/>
    <m/>
    <x v="1"/>
    <s v="49903001001002"/>
    <n v="-187.84"/>
    <n v="3223"/>
    <n v="1"/>
    <n v="1"/>
  </r>
  <r>
    <m/>
    <m/>
    <x v="1"/>
    <s v="49904401001017"/>
    <n v="-218.49"/>
    <n v="3749"/>
    <n v="1"/>
    <n v="1"/>
  </r>
  <r>
    <m/>
    <m/>
    <x v="1"/>
    <s v="49915250002001"/>
    <n v="-53.91"/>
    <n v="925"/>
    <n v="1"/>
    <n v="1"/>
  </r>
  <r>
    <m/>
    <m/>
    <x v="1"/>
    <s v="49926110001001"/>
    <n v="-94.12"/>
    <n v="1615"/>
    <n v="1"/>
    <n v="1"/>
  </r>
  <r>
    <m/>
    <m/>
    <x v="1"/>
    <s v="49960891003001"/>
    <n v="-36.950000000000003"/>
    <n v="634"/>
    <n v="1"/>
    <n v="1"/>
  </r>
  <r>
    <m/>
    <m/>
    <x v="1"/>
    <s v="50032221001002"/>
    <n v="-140.97999999999999"/>
    <n v="2419"/>
    <n v="1"/>
    <n v="1"/>
  </r>
  <r>
    <m/>
    <m/>
    <x v="1"/>
    <s v="50119791001001"/>
    <n v="-21.39"/>
    <n v="367"/>
    <n v="1"/>
    <n v="1"/>
  </r>
  <r>
    <m/>
    <m/>
    <x v="1"/>
    <s v="50146181002001"/>
    <n v="-171.93"/>
    <n v="2950"/>
    <n v="1"/>
    <n v="1"/>
  </r>
  <r>
    <m/>
    <m/>
    <x v="1"/>
    <s v="50146531001002"/>
    <n v="-33.340000000000003"/>
    <n v="572"/>
    <n v="1"/>
    <n v="1"/>
  </r>
  <r>
    <m/>
    <m/>
    <x v="1"/>
    <s v="50159341001001"/>
    <n v="-75.3"/>
    <n v="1292"/>
    <n v="1"/>
    <n v="1"/>
  </r>
  <r>
    <m/>
    <m/>
    <x v="1"/>
    <s v="50175157001008"/>
    <n v="-57.35"/>
    <n v="984"/>
    <n v="1"/>
    <n v="1"/>
  </r>
  <r>
    <m/>
    <m/>
    <x v="1"/>
    <s v="50186781001001"/>
    <n v="-163.07"/>
    <n v="2798"/>
    <n v="1"/>
    <n v="1"/>
  </r>
  <r>
    <m/>
    <m/>
    <x v="1"/>
    <s v="50218504001005"/>
    <n v="-63"/>
    <n v="1081"/>
    <n v="1"/>
    <n v="1"/>
  </r>
  <r>
    <m/>
    <m/>
    <x v="1"/>
    <s v="50234784001005"/>
    <n v="-145.06"/>
    <n v="2489"/>
    <n v="1"/>
    <n v="1"/>
  </r>
  <r>
    <m/>
    <m/>
    <x v="1"/>
    <s v="50245081001005"/>
    <n v="-146.05000000000001"/>
    <n v="2506"/>
    <n v="1"/>
    <n v="1"/>
  </r>
  <r>
    <m/>
    <m/>
    <x v="1"/>
    <s v="50271551003001"/>
    <n v="-129.15"/>
    <n v="2216"/>
    <n v="1"/>
    <n v="1"/>
  </r>
  <r>
    <m/>
    <m/>
    <x v="1"/>
    <s v="50336736001011"/>
    <n v="-53.68"/>
    <n v="921"/>
    <n v="1"/>
    <n v="1"/>
  </r>
  <r>
    <m/>
    <m/>
    <x v="1"/>
    <s v="50340550001005"/>
    <n v="-70.64"/>
    <n v="1212"/>
    <n v="1"/>
    <n v="1"/>
  </r>
  <r>
    <m/>
    <m/>
    <x v="1"/>
    <s v="50363741006001"/>
    <n v="-85.73"/>
    <n v="1471"/>
    <n v="1"/>
    <n v="1"/>
  </r>
  <r>
    <m/>
    <m/>
    <x v="1"/>
    <s v="50383551002003"/>
    <n v="-126.29"/>
    <n v="2167"/>
    <n v="1"/>
    <n v="1"/>
  </r>
  <r>
    <m/>
    <m/>
    <x v="1"/>
    <s v="50403176001001"/>
    <n v="-30.54"/>
    <n v="524"/>
    <n v="1"/>
    <n v="1"/>
  </r>
  <r>
    <m/>
    <m/>
    <x v="1"/>
    <s v="50409381003001"/>
    <n v="-42.84"/>
    <n v="735"/>
    <n v="1"/>
    <n v="1"/>
  </r>
  <r>
    <m/>
    <m/>
    <x v="1"/>
    <s v="50448812001001"/>
    <n v="-55.42"/>
    <n v="951"/>
    <n v="1"/>
    <n v="1"/>
  </r>
  <r>
    <m/>
    <m/>
    <x v="1"/>
    <s v="50578291001002"/>
    <n v="-87.94"/>
    <n v="1509"/>
    <n v="1"/>
    <n v="1"/>
  </r>
  <r>
    <m/>
    <m/>
    <x v="1"/>
    <s v="50583810001001"/>
    <n v="-226.71"/>
    <n v="3890"/>
    <n v="1"/>
    <n v="1"/>
  </r>
  <r>
    <m/>
    <m/>
    <x v="1"/>
    <s v="50632541001006"/>
    <n v="-140.28"/>
    <n v="2407"/>
    <n v="1"/>
    <n v="1"/>
  </r>
  <r>
    <m/>
    <m/>
    <x v="1"/>
    <s v="50720811001003"/>
    <n v="-16.489999999999998"/>
    <n v="283"/>
    <n v="1"/>
    <n v="1"/>
  </r>
  <r>
    <m/>
    <m/>
    <x v="1"/>
    <s v="50745624002003"/>
    <n v="-93.07"/>
    <n v="1597"/>
    <n v="1"/>
    <n v="1"/>
  </r>
  <r>
    <m/>
    <m/>
    <x v="1"/>
    <s v="50757351002006"/>
    <n v="-106.3"/>
    <n v="1824"/>
    <n v="1"/>
    <n v="1"/>
  </r>
  <r>
    <m/>
    <m/>
    <x v="1"/>
    <s v="50802890001001"/>
    <n v="-9.9700000000000006"/>
    <n v="171"/>
    <n v="1"/>
    <n v="1"/>
  </r>
  <r>
    <m/>
    <m/>
    <x v="1"/>
    <s v="50861231003003"/>
    <n v="-278.05"/>
    <n v="4771"/>
    <n v="1"/>
    <n v="1"/>
  </r>
  <r>
    <m/>
    <m/>
    <x v="1"/>
    <s v="50873620001001"/>
    <n v="-209.17"/>
    <n v="3589"/>
    <n v="1"/>
    <n v="1"/>
  </r>
  <r>
    <m/>
    <m/>
    <x v="1"/>
    <s v="50955251001001"/>
    <n v="-69.819999999999993"/>
    <n v="1198"/>
    <n v="1"/>
    <n v="1"/>
  </r>
  <r>
    <m/>
    <m/>
    <x v="1"/>
    <s v="50980185001006"/>
    <n v="-101.7"/>
    <n v="1745"/>
    <n v="1"/>
    <n v="1"/>
  </r>
  <r>
    <m/>
    <m/>
    <x v="1"/>
    <s v="50980301002006"/>
    <n v="-106.13"/>
    <n v="1821"/>
    <n v="1"/>
    <n v="1"/>
  </r>
  <r>
    <m/>
    <m/>
    <x v="1"/>
    <s v="50990101002001"/>
    <n v="-158.87"/>
    <n v="2726"/>
    <n v="1"/>
    <n v="1"/>
  </r>
  <r>
    <m/>
    <m/>
    <x v="1"/>
    <s v="50991711001005"/>
    <n v="-122.21"/>
    <n v="2097"/>
    <n v="1"/>
    <n v="1"/>
  </r>
  <r>
    <m/>
    <m/>
    <x v="1"/>
    <s v="51001301006001"/>
    <n v="-165.34"/>
    <n v="2837"/>
    <n v="1"/>
    <n v="1"/>
  </r>
  <r>
    <m/>
    <m/>
    <x v="1"/>
    <s v="51002981005001"/>
    <n v="-48.78"/>
    <n v="837"/>
    <n v="1"/>
    <n v="1"/>
  </r>
  <r>
    <m/>
    <m/>
    <x v="1"/>
    <s v="51011101001001"/>
    <n v="-122.8"/>
    <n v="2107"/>
    <n v="1"/>
    <n v="1"/>
  </r>
  <r>
    <m/>
    <m/>
    <x v="1"/>
    <s v="51018171004001"/>
    <n v="-65.8"/>
    <n v="1129"/>
    <n v="1"/>
    <n v="1"/>
  </r>
  <r>
    <m/>
    <m/>
    <x v="1"/>
    <s v="51026361001001"/>
    <n v="-246.99"/>
    <n v="4238"/>
    <n v="1"/>
    <n v="1"/>
  </r>
  <r>
    <m/>
    <m/>
    <x v="1"/>
    <s v="51027691001003"/>
    <n v="-157.94"/>
    <n v="2710"/>
    <n v="1"/>
    <n v="1"/>
  </r>
  <r>
    <m/>
    <m/>
    <x v="1"/>
    <s v="51049671008001"/>
    <n v="-211.09"/>
    <n v="3622"/>
    <n v="1"/>
    <n v="1"/>
  </r>
  <r>
    <m/>
    <m/>
    <x v="1"/>
    <s v="51084041002005"/>
    <n v="-123.5"/>
    <n v="2119"/>
    <n v="1"/>
    <n v="1"/>
  </r>
  <r>
    <m/>
    <m/>
    <x v="1"/>
    <s v="51104901004003"/>
    <n v="-66.319999999999993"/>
    <n v="1138"/>
    <n v="1"/>
    <n v="1"/>
  </r>
  <r>
    <m/>
    <m/>
    <x v="1"/>
    <s v="51106511001005"/>
    <n v="-68.19"/>
    <n v="1170"/>
    <n v="1"/>
    <n v="1"/>
  </r>
  <r>
    <m/>
    <m/>
    <x v="1"/>
    <s v="51155456001001"/>
    <n v="-142.9"/>
    <n v="2452"/>
    <n v="1"/>
    <n v="1"/>
  </r>
  <r>
    <m/>
    <m/>
    <x v="1"/>
    <s v="51159431001001"/>
    <n v="-124.14"/>
    <n v="2130"/>
    <n v="1"/>
    <n v="1"/>
  </r>
  <r>
    <m/>
    <m/>
    <x v="1"/>
    <s v="51174201001004"/>
    <n v="-25.93"/>
    <n v="445"/>
    <n v="1"/>
    <n v="1"/>
  </r>
  <r>
    <m/>
    <m/>
    <x v="1"/>
    <s v="51180361001001"/>
    <n v="-18.3"/>
    <n v="314"/>
    <n v="1"/>
    <n v="1"/>
  </r>
  <r>
    <m/>
    <m/>
    <x v="1"/>
    <s v="51182321003003"/>
    <n v="-196.35"/>
    <n v="3369"/>
    <n v="1"/>
    <n v="1"/>
  </r>
  <r>
    <m/>
    <m/>
    <x v="1"/>
    <s v="51206821003010"/>
    <n v="-135.91"/>
    <n v="2332"/>
    <n v="1"/>
    <n v="1"/>
  </r>
  <r>
    <m/>
    <m/>
    <x v="1"/>
    <s v="51216341012001"/>
    <n v="-38.93"/>
    <n v="668"/>
    <n v="1"/>
    <n v="1"/>
  </r>
  <r>
    <m/>
    <m/>
    <x v="1"/>
    <s v="51222851001001"/>
    <n v="-75.41"/>
    <n v="1294"/>
    <n v="1"/>
    <n v="1"/>
  </r>
  <r>
    <m/>
    <m/>
    <x v="1"/>
    <s v="51241523001003"/>
    <n v="-109.74"/>
    <n v="1883"/>
    <n v="1"/>
    <n v="1"/>
  </r>
  <r>
    <m/>
    <m/>
    <x v="1"/>
    <s v="51266111002002"/>
    <n v="-109.22"/>
    <n v="1874"/>
    <n v="1"/>
    <n v="1"/>
  </r>
  <r>
    <m/>
    <m/>
    <x v="1"/>
    <s v="51340941002001"/>
    <n v="-182.13"/>
    <n v="3125"/>
    <n v="1"/>
    <n v="1"/>
  </r>
  <r>
    <m/>
    <m/>
    <x v="1"/>
    <s v="51356328002001"/>
    <n v="-147.1"/>
    <n v="2524"/>
    <n v="1"/>
    <n v="1"/>
  </r>
  <r>
    <m/>
    <m/>
    <x v="1"/>
    <s v="51396381005001"/>
    <n v="-222.22"/>
    <n v="3813"/>
    <n v="1"/>
    <n v="1"/>
  </r>
  <r>
    <m/>
    <m/>
    <x v="1"/>
    <s v="51441601002001"/>
    <n v="-197.04"/>
    <n v="3381"/>
    <n v="1"/>
    <n v="1"/>
  </r>
  <r>
    <m/>
    <m/>
    <x v="1"/>
    <s v="51446011004001"/>
    <n v="-131.54"/>
    <n v="2257"/>
    <n v="1"/>
    <n v="1"/>
  </r>
  <r>
    <m/>
    <m/>
    <x v="1"/>
    <s v="51453851003001"/>
    <n v="-168.9"/>
    <n v="2898"/>
    <n v="1"/>
    <n v="1"/>
  </r>
  <r>
    <m/>
    <m/>
    <x v="1"/>
    <s v="51467250001001"/>
    <n v="-36.31"/>
    <n v="623"/>
    <n v="1"/>
    <n v="1"/>
  </r>
  <r>
    <m/>
    <m/>
    <x v="1"/>
    <s v="51483531009001"/>
    <n v="-149.66"/>
    <n v="2568"/>
    <n v="1"/>
    <n v="1"/>
  </r>
  <r>
    <m/>
    <m/>
    <x v="1"/>
    <s v="51516081001002"/>
    <n v="-31.18"/>
    <n v="535"/>
    <n v="1"/>
    <n v="1"/>
  </r>
  <r>
    <m/>
    <m/>
    <x v="1"/>
    <s v="51516571001002"/>
    <n v="-196.05"/>
    <n v="3364"/>
    <n v="1"/>
    <n v="1"/>
  </r>
  <r>
    <m/>
    <m/>
    <x v="1"/>
    <s v="51528681001002"/>
    <n v="-45.46"/>
    <n v="780"/>
    <n v="1"/>
    <n v="1"/>
  </r>
  <r>
    <m/>
    <m/>
    <x v="1"/>
    <s v="51542891001003"/>
    <n v="-112.66"/>
    <n v="1933"/>
    <n v="1"/>
    <n v="1"/>
  </r>
  <r>
    <m/>
    <m/>
    <x v="1"/>
    <s v="51556121001002"/>
    <n v="-97.21"/>
    <n v="1668"/>
    <n v="1"/>
    <n v="1"/>
  </r>
  <r>
    <m/>
    <m/>
    <x v="1"/>
    <s v="51568021003009"/>
    <n v="-69.819999999999993"/>
    <n v="1198"/>
    <n v="1"/>
    <n v="1"/>
  </r>
  <r>
    <m/>
    <m/>
    <x v="1"/>
    <s v="51572011001005"/>
    <n v="-159.75"/>
    <n v="2741"/>
    <n v="1"/>
    <n v="1"/>
  </r>
  <r>
    <m/>
    <m/>
    <x v="1"/>
    <s v="51584751002008"/>
    <n v="-127.34"/>
    <n v="2185"/>
    <n v="1"/>
    <n v="1"/>
  </r>
  <r>
    <m/>
    <m/>
    <x v="1"/>
    <s v="51589096001005"/>
    <n v="-129.85"/>
    <n v="2228"/>
    <n v="1"/>
    <n v="1"/>
  </r>
  <r>
    <m/>
    <m/>
    <x v="1"/>
    <s v="51591471001001"/>
    <n v="-126.58"/>
    <n v="2172"/>
    <n v="1"/>
    <n v="1"/>
  </r>
  <r>
    <m/>
    <m/>
    <x v="1"/>
    <s v="51601590001003"/>
    <n v="-32.93"/>
    <n v="565"/>
    <n v="1"/>
    <n v="1"/>
  </r>
  <r>
    <m/>
    <m/>
    <x v="1"/>
    <s v="51603441001001"/>
    <n v="-135.62"/>
    <n v="2327"/>
    <n v="1"/>
    <n v="1"/>
  </r>
  <r>
    <m/>
    <m/>
    <x v="1"/>
    <s v="51609181001001"/>
    <n v="-180.26"/>
    <n v="3093"/>
    <n v="1"/>
    <n v="1"/>
  </r>
  <r>
    <m/>
    <m/>
    <x v="1"/>
    <s v="51610791002001"/>
    <n v="-65.62"/>
    <n v="1126"/>
    <n v="1"/>
    <n v="1"/>
  </r>
  <r>
    <m/>
    <m/>
    <x v="1"/>
    <s v="51615411001001"/>
    <n v="-106.59"/>
    <n v="1829"/>
    <n v="1"/>
    <n v="1"/>
  </r>
  <r>
    <m/>
    <m/>
    <x v="1"/>
    <s v="51615551001001"/>
    <n v="-173.44"/>
    <n v="2976"/>
    <n v="1"/>
    <n v="1"/>
  </r>
  <r>
    <m/>
    <m/>
    <x v="1"/>
    <s v="51618911002001"/>
    <n v="-147.27000000000001"/>
    <n v="2527"/>
    <n v="1"/>
    <n v="1"/>
  </r>
  <r>
    <m/>
    <m/>
    <x v="1"/>
    <s v="51627661001003"/>
    <n v="-139.29"/>
    <n v="2390"/>
    <n v="1"/>
    <n v="1"/>
  </r>
  <r>
    <m/>
    <m/>
    <x v="1"/>
    <s v="51628011003001"/>
    <n v="-68.36"/>
    <n v="1173"/>
    <n v="1"/>
    <n v="1"/>
  </r>
  <r>
    <m/>
    <m/>
    <x v="1"/>
    <s v="51719592001003"/>
    <n v="-123.44"/>
    <n v="2118"/>
    <n v="1"/>
    <n v="1"/>
  </r>
  <r>
    <m/>
    <m/>
    <x v="1"/>
    <s v="51733911001002"/>
    <n v="-97.62"/>
    <n v="1675"/>
    <n v="1"/>
    <n v="1"/>
  </r>
  <r>
    <m/>
    <m/>
    <x v="1"/>
    <s v="51772856006001"/>
    <n v="-71.739999999999995"/>
    <n v="1231"/>
    <n v="1"/>
    <n v="1"/>
  </r>
  <r>
    <m/>
    <m/>
    <x v="1"/>
    <s v="51808006003005"/>
    <n v="-183.58"/>
    <n v="3150"/>
    <n v="1"/>
    <n v="1"/>
  </r>
  <r>
    <m/>
    <m/>
    <x v="1"/>
    <s v="51910701001010"/>
    <n v="-108.17"/>
    <n v="1856"/>
    <n v="1"/>
    <n v="1"/>
  </r>
  <r>
    <m/>
    <m/>
    <x v="1"/>
    <s v="51976041001003"/>
    <n v="-75.650000000000006"/>
    <n v="1298"/>
    <n v="1"/>
    <n v="1"/>
  </r>
  <r>
    <m/>
    <m/>
    <x v="1"/>
    <s v="52042325001004"/>
    <n v="-177.46"/>
    <n v="3045"/>
    <n v="1"/>
    <n v="1"/>
  </r>
  <r>
    <m/>
    <m/>
    <x v="1"/>
    <s v="52075169001003"/>
    <n v="-8.0399999999999991"/>
    <n v="138"/>
    <n v="1"/>
    <n v="1"/>
  </r>
  <r>
    <m/>
    <m/>
    <x v="1"/>
    <s v="52175886001002"/>
    <n v="-108.23"/>
    <n v="1857"/>
    <n v="1"/>
    <n v="1"/>
  </r>
  <r>
    <m/>
    <m/>
    <x v="1"/>
    <s v="52259109001002"/>
    <n v="-118.89"/>
    <n v="2040"/>
    <n v="1"/>
    <n v="1"/>
  </r>
  <r>
    <m/>
    <m/>
    <x v="1"/>
    <s v="52306367002003"/>
    <n v="-195.3"/>
    <n v="3351"/>
    <n v="1"/>
    <n v="1"/>
  </r>
  <r>
    <m/>
    <m/>
    <x v="1"/>
    <s v="52383903001008"/>
    <n v="-83.63"/>
    <n v="1435"/>
    <n v="1"/>
    <n v="1"/>
  </r>
  <r>
    <m/>
    <m/>
    <x v="1"/>
    <s v="52400577001001"/>
    <n v="-114.46"/>
    <n v="1964"/>
    <n v="1"/>
    <n v="1"/>
  </r>
  <r>
    <m/>
    <m/>
    <x v="1"/>
    <s v="52499165001001"/>
    <n v="-52.63"/>
    <n v="903"/>
    <n v="1"/>
    <n v="1"/>
  </r>
  <r>
    <m/>
    <m/>
    <x v="1"/>
    <s v="52507041001001"/>
    <n v="-46.62"/>
    <n v="800"/>
    <n v="1"/>
    <n v="1"/>
  </r>
  <r>
    <m/>
    <m/>
    <x v="1"/>
    <s v="52742616001001"/>
    <n v="-292.22000000000003"/>
    <n v="5014"/>
    <n v="1"/>
    <n v="1"/>
  </r>
  <r>
    <m/>
    <m/>
    <x v="1"/>
    <s v="52767326001001"/>
    <n v="-22.09"/>
    <n v="379"/>
    <n v="1"/>
    <n v="1"/>
  </r>
  <r>
    <m/>
    <m/>
    <x v="1"/>
    <s v="52778254001001"/>
    <n v="-94.06"/>
    <n v="1614"/>
    <n v="1"/>
    <n v="1"/>
  </r>
  <r>
    <m/>
    <m/>
    <x v="1"/>
    <s v="52942632001005"/>
    <n v="-77.400000000000006"/>
    <n v="1328"/>
    <n v="1"/>
    <n v="1"/>
  </r>
  <r>
    <m/>
    <m/>
    <x v="1"/>
    <s v="53040645001004"/>
    <n v="-154.5"/>
    <n v="2651"/>
    <n v="1"/>
    <n v="1"/>
  </r>
  <r>
    <m/>
    <m/>
    <x v="1"/>
    <s v="53059671003001"/>
    <n v="-59.85"/>
    <n v="1027"/>
    <n v="1"/>
    <n v="1"/>
  </r>
  <r>
    <m/>
    <m/>
    <x v="1"/>
    <s v="53096079004003"/>
    <n v="-81.3"/>
    <n v="1395"/>
    <n v="1"/>
    <n v="1"/>
  </r>
  <r>
    <m/>
    <m/>
    <x v="1"/>
    <s v="53276260002001"/>
    <n v="-169.01"/>
    <n v="2900"/>
    <n v="1"/>
    <n v="1"/>
  </r>
  <r>
    <m/>
    <m/>
    <x v="1"/>
    <s v="53296048001001"/>
    <n v="-68.77"/>
    <n v="1180"/>
    <n v="1"/>
    <n v="1"/>
  </r>
  <r>
    <m/>
    <m/>
    <x v="1"/>
    <s v="53333677003005"/>
    <n v="-100.01"/>
    <n v="1716"/>
    <n v="1"/>
    <n v="1"/>
  </r>
  <r>
    <m/>
    <m/>
    <x v="1"/>
    <s v="53350345002007"/>
    <n v="-27.22"/>
    <n v="467"/>
    <n v="1"/>
    <n v="1"/>
  </r>
  <r>
    <m/>
    <m/>
    <x v="1"/>
    <s v="53355064001008"/>
    <n v="-105.02"/>
    <n v="1802"/>
    <n v="1"/>
    <n v="1"/>
  </r>
  <r>
    <m/>
    <m/>
    <x v="1"/>
    <s v="53390379003003"/>
    <n v="-55.02"/>
    <n v="944"/>
    <n v="1"/>
    <n v="1"/>
  </r>
  <r>
    <m/>
    <m/>
    <x v="1"/>
    <s v="53403598003001"/>
    <n v="-37.53"/>
    <n v="644"/>
    <n v="1"/>
    <n v="1"/>
  </r>
  <r>
    <m/>
    <m/>
    <x v="1"/>
    <s v="53512067001011"/>
    <n v="-208.7"/>
    <n v="3581"/>
    <n v="1"/>
    <n v="1"/>
  </r>
  <r>
    <m/>
    <m/>
    <x v="1"/>
    <s v="53586339001001"/>
    <n v="-60.9"/>
    <n v="1045"/>
    <n v="1"/>
    <n v="1"/>
  </r>
  <r>
    <m/>
    <m/>
    <x v="1"/>
    <s v="53707529001003"/>
    <n v="-65.45"/>
    <n v="1123"/>
    <n v="1"/>
    <n v="1"/>
  </r>
  <r>
    <m/>
    <m/>
    <x v="1"/>
    <s v="53784070001007"/>
    <n v="-51.81"/>
    <n v="889"/>
    <n v="1"/>
    <n v="1"/>
  </r>
  <r>
    <m/>
    <m/>
    <x v="1"/>
    <s v="53812406001002"/>
    <n v="-73.08"/>
    <n v="1254"/>
    <n v="1"/>
    <n v="1"/>
  </r>
  <r>
    <m/>
    <m/>
    <x v="1"/>
    <s v="53911595001002"/>
    <n v="-56.01"/>
    <n v="961"/>
    <n v="1"/>
    <n v="1"/>
  </r>
  <r>
    <m/>
    <m/>
    <x v="1"/>
    <s v="53923154001002"/>
    <n v="-47.96"/>
    <n v="823"/>
    <n v="1"/>
    <n v="1"/>
  </r>
  <r>
    <m/>
    <m/>
    <x v="1"/>
    <s v="54086288002005"/>
    <n v="-107.58"/>
    <n v="1846"/>
    <n v="1"/>
    <n v="1"/>
  </r>
  <r>
    <m/>
    <m/>
    <x v="1"/>
    <s v="54306064004001"/>
    <n v="-89.87"/>
    <n v="1542"/>
    <n v="1"/>
    <n v="1"/>
  </r>
  <r>
    <m/>
    <m/>
    <x v="1"/>
    <s v="54329736005001"/>
    <n v="-51.46"/>
    <n v="883"/>
    <n v="1"/>
    <n v="1"/>
  </r>
  <r>
    <m/>
    <m/>
    <x v="1"/>
    <s v="54408477001001"/>
    <n v="-83.22"/>
    <n v="1428"/>
    <n v="1"/>
    <n v="1"/>
  </r>
  <r>
    <m/>
    <m/>
    <x v="1"/>
    <s v="54417155001003"/>
    <n v="-31.82"/>
    <n v="546"/>
    <n v="1"/>
    <n v="1"/>
  </r>
  <r>
    <m/>
    <m/>
    <x v="1"/>
    <s v="54477932001004"/>
    <n v="-72.03"/>
    <n v="1236"/>
    <n v="1"/>
    <n v="1"/>
  </r>
  <r>
    <m/>
    <m/>
    <x v="1"/>
    <s v="54503017001001"/>
    <n v="-22.96"/>
    <n v="394"/>
    <n v="1"/>
    <n v="1"/>
  </r>
  <r>
    <m/>
    <m/>
    <x v="1"/>
    <s v="54754288002005"/>
    <n v="-45.57"/>
    <n v="782"/>
    <n v="1"/>
    <n v="1"/>
  </r>
  <r>
    <m/>
    <m/>
    <x v="1"/>
    <s v="54844815001003"/>
    <n v="-24.89"/>
    <n v="427"/>
    <n v="1"/>
    <n v="1"/>
  </r>
  <r>
    <m/>
    <m/>
    <x v="1"/>
    <s v="54951169001003"/>
    <n v="-80.430000000000007"/>
    <n v="1380"/>
    <n v="1"/>
    <n v="1"/>
  </r>
  <r>
    <m/>
    <m/>
    <x v="1"/>
    <s v="54978920001003"/>
    <n v="-92.37"/>
    <n v="1585"/>
    <n v="1"/>
    <n v="1"/>
  </r>
  <r>
    <m/>
    <m/>
    <x v="1"/>
    <s v="55356091006001"/>
    <n v="-118.72"/>
    <n v="2037"/>
    <n v="1"/>
    <n v="1"/>
  </r>
  <r>
    <m/>
    <m/>
    <x v="1"/>
    <s v="55394040001001"/>
    <n v="-89.75"/>
    <n v="1540"/>
    <n v="1"/>
    <n v="1"/>
  </r>
  <r>
    <m/>
    <m/>
    <x v="1"/>
    <s v="55476730001005"/>
    <n v="-101.76"/>
    <n v="1746"/>
    <n v="1"/>
    <n v="1"/>
  </r>
  <r>
    <m/>
    <m/>
    <x v="1"/>
    <s v="55536729004001"/>
    <n v="-107.24"/>
    <n v="1840"/>
    <n v="1"/>
    <n v="1"/>
  </r>
  <r>
    <m/>
    <m/>
    <x v="1"/>
    <s v="55537391001001"/>
    <n v="-48.78"/>
    <n v="837"/>
    <n v="1"/>
    <n v="1"/>
  </r>
  <r>
    <m/>
    <m/>
    <x v="1"/>
    <s v="55566255001001"/>
    <n v="-66.03"/>
    <n v="1133"/>
    <n v="1"/>
    <n v="1"/>
  </r>
  <r>
    <m/>
    <m/>
    <x v="1"/>
    <s v="55703490001004"/>
    <n v="-57.76"/>
    <n v="991"/>
    <n v="1"/>
    <n v="1"/>
  </r>
  <r>
    <m/>
    <m/>
    <x v="1"/>
    <s v="55781832001008"/>
    <n v="-137.66"/>
    <n v="2362"/>
    <n v="1"/>
    <n v="1"/>
  </r>
  <r>
    <m/>
    <m/>
    <x v="1"/>
    <s v="55940653002003"/>
    <n v="-365.47"/>
    <n v="6271"/>
    <n v="1"/>
    <n v="1"/>
  </r>
  <r>
    <m/>
    <m/>
    <x v="1"/>
    <s v="56027623001001"/>
    <n v="-179.74"/>
    <n v="3084"/>
    <n v="1"/>
    <n v="1"/>
  </r>
  <r>
    <m/>
    <m/>
    <x v="1"/>
    <s v="56079112001004"/>
    <n v="-113.24"/>
    <n v="1943"/>
    <n v="1"/>
    <n v="1"/>
  </r>
  <r>
    <m/>
    <m/>
    <x v="1"/>
    <s v="56095941001001"/>
    <n v="-129.91"/>
    <n v="2229"/>
    <n v="1"/>
    <n v="1"/>
  </r>
  <r>
    <m/>
    <m/>
    <x v="1"/>
    <s v="56154051001001"/>
    <n v="-23.25"/>
    <n v="399"/>
    <n v="1"/>
    <n v="1"/>
  </r>
  <r>
    <m/>
    <m/>
    <x v="1"/>
    <s v="56213971001003"/>
    <n v="-190.63"/>
    <n v="3271"/>
    <n v="1"/>
    <n v="1"/>
  </r>
  <r>
    <m/>
    <m/>
    <x v="1"/>
    <s v="56215841001001"/>
    <n v="-109.51"/>
    <n v="1879"/>
    <n v="1"/>
    <n v="1"/>
  </r>
  <r>
    <m/>
    <m/>
    <x v="1"/>
    <s v="56312823002001"/>
    <n v="-106.01"/>
    <n v="1819"/>
    <n v="1"/>
    <n v="1"/>
  </r>
  <r>
    <m/>
    <m/>
    <x v="1"/>
    <s v="56348148001001"/>
    <n v="-77.86"/>
    <n v="1336"/>
    <n v="1"/>
    <n v="1"/>
  </r>
  <r>
    <m/>
    <m/>
    <x v="1"/>
    <s v="56354960001003"/>
    <n v="-107.06"/>
    <n v="1837"/>
    <n v="1"/>
    <n v="1"/>
  </r>
  <r>
    <m/>
    <m/>
    <x v="1"/>
    <s v="56378536001001"/>
    <n v="-87.83"/>
    <n v="1507"/>
    <n v="1"/>
    <n v="1"/>
  </r>
  <r>
    <m/>
    <m/>
    <x v="1"/>
    <s v="56386327001003"/>
    <n v="-94.06"/>
    <n v="1614"/>
    <n v="1"/>
    <n v="1"/>
  </r>
  <r>
    <m/>
    <m/>
    <x v="1"/>
    <s v="56404144001004"/>
    <n v="-39.159999999999997"/>
    <n v="672"/>
    <n v="1"/>
    <n v="1"/>
  </r>
  <r>
    <m/>
    <m/>
    <x v="1"/>
    <s v="56634209003002"/>
    <n v="-37.47"/>
    <n v="643"/>
    <n v="1"/>
    <n v="1"/>
  </r>
  <r>
    <m/>
    <m/>
    <x v="1"/>
    <s v="56725042001004"/>
    <n v="-51.05"/>
    <n v="876"/>
    <n v="1"/>
    <n v="1"/>
  </r>
  <r>
    <m/>
    <m/>
    <x v="1"/>
    <s v="56805763001004"/>
    <n v="-39.979999999999997"/>
    <n v="686"/>
    <n v="1"/>
    <n v="1"/>
  </r>
  <r>
    <m/>
    <m/>
    <x v="1"/>
    <s v="56947002001001"/>
    <n v="-88.76"/>
    <n v="1523"/>
    <n v="1"/>
    <n v="1"/>
  </r>
  <r>
    <m/>
    <m/>
    <x v="1"/>
    <s v="57000650001002"/>
    <n v="-77.510000000000005"/>
    <n v="1330"/>
    <n v="1"/>
    <n v="1"/>
  </r>
  <r>
    <m/>
    <m/>
    <x v="1"/>
    <s v="57011783002003"/>
    <n v="-95.81"/>
    <n v="1644"/>
    <n v="1"/>
    <n v="1"/>
  </r>
  <r>
    <m/>
    <m/>
    <x v="1"/>
    <s v="57050305002003"/>
    <n v="-61.02"/>
    <n v="1047"/>
    <n v="1"/>
    <n v="1"/>
  </r>
  <r>
    <m/>
    <m/>
    <x v="1"/>
    <s v="57053280001002"/>
    <n v="-192.62"/>
    <n v="3305"/>
    <n v="1"/>
    <n v="1"/>
  </r>
  <r>
    <m/>
    <m/>
    <x v="1"/>
    <s v="57092073001001"/>
    <n v="-62.18"/>
    <n v="1067"/>
    <n v="1"/>
    <n v="1"/>
  </r>
  <r>
    <m/>
    <m/>
    <x v="1"/>
    <s v="57157582001007"/>
    <n v="-106.83"/>
    <n v="1833"/>
    <n v="1"/>
    <n v="1"/>
  </r>
  <r>
    <m/>
    <m/>
    <x v="1"/>
    <s v="57270675001001"/>
    <n v="-8.68"/>
    <n v="149"/>
    <n v="1"/>
    <n v="1"/>
  </r>
  <r>
    <m/>
    <m/>
    <x v="1"/>
    <s v="57331350001001"/>
    <n v="-116.04"/>
    <n v="1991"/>
    <n v="1"/>
    <n v="1"/>
  </r>
  <r>
    <m/>
    <m/>
    <x v="1"/>
    <s v="57409186002001"/>
    <n v="-31.82"/>
    <n v="546"/>
    <n v="1"/>
    <n v="1"/>
  </r>
  <r>
    <m/>
    <m/>
    <x v="1"/>
    <s v="57422963001002"/>
    <n v="-111.72"/>
    <n v="1917"/>
    <n v="1"/>
    <n v="1"/>
  </r>
  <r>
    <m/>
    <m/>
    <x v="1"/>
    <s v="57504758001005"/>
    <n v="-58.63"/>
    <n v="1006"/>
    <n v="1"/>
    <n v="1"/>
  </r>
  <r>
    <m/>
    <m/>
    <x v="1"/>
    <s v="57631181001002"/>
    <n v="-41.85"/>
    <n v="718"/>
    <n v="1"/>
    <n v="1"/>
  </r>
  <r>
    <m/>
    <m/>
    <x v="1"/>
    <s v="57703524001001"/>
    <n v="-30.48"/>
    <n v="523"/>
    <n v="1"/>
    <n v="1"/>
  </r>
  <r>
    <m/>
    <m/>
    <x v="1"/>
    <s v="57785781001002"/>
    <n v="-100.71"/>
    <n v="1728"/>
    <n v="1"/>
    <n v="1"/>
  </r>
  <r>
    <m/>
    <m/>
    <x v="1"/>
    <s v="57869500001003"/>
    <n v="-57.64"/>
    <n v="989"/>
    <n v="1"/>
    <n v="1"/>
  </r>
  <r>
    <m/>
    <m/>
    <x v="1"/>
    <s v="58021308001009"/>
    <n v="-63.7"/>
    <n v="1093"/>
    <n v="1"/>
    <n v="1"/>
  </r>
  <r>
    <m/>
    <m/>
    <x v="1"/>
    <s v="58214480001001"/>
    <n v="-154.62"/>
    <n v="2653"/>
    <n v="1"/>
    <n v="1"/>
  </r>
  <r>
    <m/>
    <m/>
    <x v="1"/>
    <s v="58280210001001"/>
    <n v="-97.79"/>
    <n v="1678"/>
    <n v="1"/>
    <n v="1"/>
  </r>
  <r>
    <m/>
    <m/>
    <x v="1"/>
    <s v="58426355002001"/>
    <n v="-30.66"/>
    <n v="526"/>
    <n v="1"/>
    <n v="1"/>
  </r>
  <r>
    <m/>
    <m/>
    <x v="1"/>
    <s v="58436858001004"/>
    <n v="-109.86"/>
    <n v="1885"/>
    <n v="1"/>
    <n v="1"/>
  </r>
  <r>
    <m/>
    <m/>
    <x v="1"/>
    <s v="58469818001001"/>
    <n v="-23.6"/>
    <n v="405"/>
    <n v="1"/>
    <n v="1"/>
  </r>
  <r>
    <m/>
    <m/>
    <x v="1"/>
    <s v="58476662001005"/>
    <n v="-97.68"/>
    <n v="1676"/>
    <n v="1"/>
    <n v="1"/>
  </r>
  <r>
    <m/>
    <m/>
    <x v="1"/>
    <s v="58496743001008"/>
    <n v="-4.3099999999999996"/>
    <n v="74"/>
    <n v="1"/>
    <n v="1"/>
  </r>
  <r>
    <m/>
    <m/>
    <x v="1"/>
    <s v="58549564001001"/>
    <n v="-102.63"/>
    <n v="1761"/>
    <n v="1"/>
    <n v="1"/>
  </r>
  <r>
    <m/>
    <m/>
    <x v="1"/>
    <s v="58552786001001"/>
    <n v="-136.96"/>
    <n v="2350"/>
    <n v="1"/>
    <n v="1"/>
  </r>
  <r>
    <m/>
    <m/>
    <x v="1"/>
    <s v="58719680001003"/>
    <n v="-78.209999999999994"/>
    <n v="1342"/>
    <n v="1"/>
    <n v="1"/>
  </r>
  <r>
    <m/>
    <m/>
    <x v="1"/>
    <s v="58828870011001"/>
    <n v="-62.01"/>
    <n v="1064"/>
    <n v="1"/>
    <n v="1"/>
  </r>
  <r>
    <m/>
    <m/>
    <x v="1"/>
    <s v="58833936002005"/>
    <n v="-22.03"/>
    <n v="378"/>
    <n v="1"/>
    <n v="1"/>
  </r>
  <r>
    <m/>
    <m/>
    <x v="1"/>
    <s v="59006289004001"/>
    <n v="-101.29"/>
    <n v="1738"/>
    <n v="1"/>
    <n v="1"/>
  </r>
  <r>
    <m/>
    <m/>
    <x v="1"/>
    <s v="59136213001001"/>
    <n v="-120.52"/>
    <n v="2068"/>
    <n v="1"/>
    <n v="1"/>
  </r>
  <r>
    <m/>
    <m/>
    <x v="1"/>
    <s v="59145811001005"/>
    <n v="-38.99"/>
    <n v="669"/>
    <n v="1"/>
    <n v="1"/>
  </r>
  <r>
    <m/>
    <m/>
    <x v="1"/>
    <s v="59243405001001"/>
    <n v="-184.81"/>
    <n v="3171"/>
    <n v="1"/>
    <n v="1"/>
  </r>
  <r>
    <m/>
    <m/>
    <x v="1"/>
    <s v="59547463005003"/>
    <n v="-187.37"/>
    <n v="3215"/>
    <n v="1"/>
    <n v="1"/>
  </r>
  <r>
    <m/>
    <m/>
    <x v="1"/>
    <s v="59582257003001"/>
    <n v="-79.84"/>
    <n v="1370"/>
    <n v="1"/>
    <n v="1"/>
  </r>
  <r>
    <m/>
    <m/>
    <x v="1"/>
    <s v="59767700001001"/>
    <n v="-28.79"/>
    <n v="494"/>
    <n v="1"/>
    <n v="1"/>
  </r>
  <r>
    <m/>
    <m/>
    <x v="1"/>
    <s v="59835939001001"/>
    <n v="-53.62"/>
    <n v="920"/>
    <n v="1"/>
    <n v="1"/>
  </r>
  <r>
    <m/>
    <m/>
    <x v="1"/>
    <s v="59904249001001"/>
    <n v="-168.78"/>
    <n v="2896"/>
    <n v="1"/>
    <n v="1"/>
  </r>
  <r>
    <m/>
    <m/>
    <x v="1"/>
    <s v="60063354001001"/>
    <n v="-306.32"/>
    <n v="5256"/>
    <n v="1"/>
    <n v="1"/>
  </r>
  <r>
    <m/>
    <m/>
    <x v="1"/>
    <s v="60103851002003"/>
    <n v="-41.55"/>
    <n v="713"/>
    <n v="1"/>
    <n v="1"/>
  </r>
  <r>
    <m/>
    <m/>
    <x v="1"/>
    <s v="60148123001001"/>
    <n v="-157.88"/>
    <n v="2709"/>
    <n v="1"/>
    <n v="1"/>
  </r>
  <r>
    <m/>
    <m/>
    <x v="1"/>
    <s v="60226051001005"/>
    <n v="-32.869999999999997"/>
    <n v="564"/>
    <n v="1"/>
    <n v="1"/>
  </r>
  <r>
    <m/>
    <m/>
    <x v="1"/>
    <s v="60262385001001"/>
    <n v="-273.86"/>
    <n v="4699"/>
    <n v="1"/>
    <n v="1"/>
  </r>
  <r>
    <m/>
    <m/>
    <x v="1"/>
    <s v="60311235002003"/>
    <n v="-14.69"/>
    <n v="252"/>
    <n v="1"/>
    <n v="1"/>
  </r>
  <r>
    <m/>
    <m/>
    <x v="1"/>
    <s v="60323445002004"/>
    <n v="-56.24"/>
    <n v="965"/>
    <n v="1"/>
    <n v="1"/>
  </r>
  <r>
    <m/>
    <m/>
    <x v="1"/>
    <s v="60378444004001"/>
    <n v="-151.29"/>
    <n v="2596"/>
    <n v="1"/>
    <n v="1"/>
  </r>
  <r>
    <m/>
    <m/>
    <x v="1"/>
    <s v="60473262001001"/>
    <n v="-81.48"/>
    <n v="1398"/>
    <n v="1"/>
    <n v="1"/>
  </r>
  <r>
    <m/>
    <m/>
    <x v="1"/>
    <s v="60603915001011"/>
    <n v="-165.63"/>
    <n v="2842"/>
    <n v="1"/>
    <n v="1"/>
  </r>
  <r>
    <m/>
    <m/>
    <x v="1"/>
    <s v="60626334001001"/>
    <n v="-27.1"/>
    <n v="465"/>
    <n v="1"/>
    <n v="1"/>
  </r>
  <r>
    <m/>
    <m/>
    <x v="1"/>
    <s v="60661525001001"/>
    <n v="-93.31"/>
    <n v="1601"/>
    <n v="1"/>
    <n v="1"/>
  </r>
  <r>
    <m/>
    <m/>
    <x v="1"/>
    <s v="60925111001003"/>
    <n v="-168.95"/>
    <n v="2899"/>
    <n v="1"/>
    <n v="1"/>
  </r>
  <r>
    <m/>
    <m/>
    <x v="1"/>
    <s v="60942818001007"/>
    <n v="-91.85"/>
    <n v="1576"/>
    <n v="1"/>
    <n v="1"/>
  </r>
  <r>
    <m/>
    <m/>
    <x v="1"/>
    <s v="60950439001011"/>
    <n v="-177.11"/>
    <n v="3039"/>
    <n v="1"/>
    <n v="1"/>
  </r>
  <r>
    <m/>
    <m/>
    <x v="1"/>
    <s v="61063646001001"/>
    <n v="-32.64"/>
    <n v="560"/>
    <n v="1"/>
    <n v="1"/>
  </r>
  <r>
    <m/>
    <m/>
    <x v="1"/>
    <s v="61237473001001"/>
    <n v="-104.03"/>
    <n v="1785"/>
    <n v="1"/>
    <n v="1"/>
  </r>
  <r>
    <m/>
    <m/>
    <x v="1"/>
    <s v="61241854001001"/>
    <n v="-79.84"/>
    <n v="1370"/>
    <n v="1"/>
    <n v="1"/>
  </r>
  <r>
    <m/>
    <m/>
    <x v="1"/>
    <s v="61254120001004"/>
    <n v="-78.209999999999994"/>
    <n v="1342"/>
    <n v="1"/>
    <n v="1"/>
  </r>
  <r>
    <m/>
    <m/>
    <x v="1"/>
    <s v="61309008001005"/>
    <n v="-72.56"/>
    <n v="1245"/>
    <n v="1"/>
    <n v="1"/>
  </r>
  <r>
    <m/>
    <m/>
    <x v="1"/>
    <s v="61647293001003"/>
    <n v="-92.61"/>
    <n v="1589"/>
    <n v="1"/>
    <n v="1"/>
  </r>
  <r>
    <m/>
    <m/>
    <x v="1"/>
    <s v="61935568001001"/>
    <n v="-14.57"/>
    <n v="250"/>
    <n v="1"/>
    <n v="1"/>
  </r>
  <r>
    <m/>
    <m/>
    <x v="1"/>
    <s v="62062811001010"/>
    <n v="-11.13"/>
    <n v="191"/>
    <n v="1"/>
    <n v="1"/>
  </r>
  <r>
    <m/>
    <m/>
    <x v="1"/>
    <s v="62065609001001"/>
    <n v="-140.86000000000001"/>
    <n v="2417"/>
    <n v="1"/>
    <n v="1"/>
  </r>
  <r>
    <m/>
    <m/>
    <x v="1"/>
    <s v="62148084003001"/>
    <n v="-43.19"/>
    <n v="741"/>
    <n v="1"/>
    <n v="1"/>
  </r>
  <r>
    <m/>
    <m/>
    <x v="1"/>
    <s v="62235479001001"/>
    <n v="-27.1"/>
    <n v="465"/>
    <n v="1"/>
    <n v="1"/>
  </r>
  <r>
    <m/>
    <m/>
    <x v="1"/>
    <s v="62296705003003"/>
    <n v="-218.72"/>
    <n v="3753"/>
    <n v="1"/>
    <n v="1"/>
  </r>
  <r>
    <m/>
    <m/>
    <x v="1"/>
    <s v="62360104001003"/>
    <n v="-154.15"/>
    <n v="2645"/>
    <n v="1"/>
    <n v="1"/>
  </r>
  <r>
    <m/>
    <m/>
    <x v="1"/>
    <s v="62495514001001"/>
    <n v="-63.76"/>
    <n v="1094"/>
    <n v="1"/>
    <n v="1"/>
  </r>
  <r>
    <m/>
    <m/>
    <x v="1"/>
    <s v="62610781001004"/>
    <n v="-105.14"/>
    <n v="1804"/>
    <n v="1"/>
    <n v="1"/>
  </r>
  <r>
    <m/>
    <m/>
    <x v="1"/>
    <s v="62615155002001"/>
    <n v="-117.73"/>
    <n v="2020"/>
    <n v="1"/>
    <n v="1"/>
  </r>
  <r>
    <m/>
    <m/>
    <x v="1"/>
    <s v="62682462001001"/>
    <n v="-266.57"/>
    <n v="4574"/>
    <n v="1"/>
    <n v="1"/>
  </r>
  <r>
    <m/>
    <m/>
    <x v="1"/>
    <s v="62780064001001"/>
    <n v="-96.28"/>
    <n v="1652"/>
    <n v="1"/>
    <n v="1"/>
  </r>
  <r>
    <m/>
    <m/>
    <x v="1"/>
    <s v="62820845001004"/>
    <n v="-94.47"/>
    <n v="1621"/>
    <n v="1"/>
    <n v="1"/>
  </r>
  <r>
    <m/>
    <m/>
    <x v="1"/>
    <s v="62842326002001"/>
    <n v="-35.08"/>
    <n v="602"/>
    <n v="1"/>
    <n v="1"/>
  </r>
  <r>
    <m/>
    <m/>
    <x v="1"/>
    <s v="62843836001005"/>
    <n v="-0.52"/>
    <n v="9"/>
    <n v="1"/>
    <n v="1"/>
  </r>
  <r>
    <m/>
    <m/>
    <x v="1"/>
    <s v="62855144002003"/>
    <n v="-92.32"/>
    <n v="1584"/>
    <n v="1"/>
    <n v="1"/>
  </r>
  <r>
    <m/>
    <m/>
    <x v="1"/>
    <s v="62965041001001"/>
    <n v="-17.13"/>
    <n v="294"/>
    <n v="1"/>
    <n v="1"/>
  </r>
  <r>
    <m/>
    <m/>
    <x v="1"/>
    <s v="63178902001002"/>
    <n v="-41.38"/>
    <n v="710"/>
    <n v="1"/>
    <n v="1"/>
  </r>
  <r>
    <m/>
    <m/>
    <x v="1"/>
    <s v="63202392001004"/>
    <n v="-19.350000000000001"/>
    <n v="332"/>
    <n v="1"/>
    <n v="1"/>
  </r>
  <r>
    <m/>
    <m/>
    <x v="1"/>
    <s v="63257498001003"/>
    <n v="-126.18"/>
    <n v="2165"/>
    <n v="1"/>
    <n v="1"/>
  </r>
  <r>
    <m/>
    <m/>
    <x v="1"/>
    <s v="63278864002003"/>
    <n v="-131.6"/>
    <n v="2258"/>
    <n v="1"/>
    <n v="1"/>
  </r>
  <r>
    <m/>
    <m/>
    <x v="1"/>
    <s v="63473902002001"/>
    <n v="-128.38999999999999"/>
    <n v="2203"/>
    <n v="1"/>
    <n v="1"/>
  </r>
  <r>
    <m/>
    <m/>
    <x v="1"/>
    <s v="63716547001001"/>
    <n v="-25.7"/>
    <n v="441"/>
    <n v="1"/>
    <n v="1"/>
  </r>
  <r>
    <m/>
    <m/>
    <x v="1"/>
    <s v="63843169001005"/>
    <n v="-162.47999999999999"/>
    <n v="2788"/>
    <n v="1"/>
    <n v="1"/>
  </r>
  <r>
    <m/>
    <m/>
    <x v="1"/>
    <s v="63847291001002"/>
    <n v="-107.88"/>
    <n v="1851"/>
    <n v="1"/>
    <n v="1"/>
  </r>
  <r>
    <m/>
    <m/>
    <x v="1"/>
    <s v="64277366004001"/>
    <n v="-99.78"/>
    <n v="1712"/>
    <n v="1"/>
    <n v="1"/>
  </r>
  <r>
    <m/>
    <m/>
    <x v="1"/>
    <s v="64306926001001"/>
    <n v="-286.33"/>
    <n v="4913"/>
    <n v="1"/>
    <n v="1"/>
  </r>
  <r>
    <m/>
    <m/>
    <x v="1"/>
    <s v="64722020001001"/>
    <n v="-155.55000000000001"/>
    <n v="2669"/>
    <n v="1"/>
    <n v="1"/>
  </r>
  <r>
    <m/>
    <m/>
    <x v="1"/>
    <s v="64739095001003"/>
    <n v="-109.68"/>
    <n v="1882"/>
    <n v="1"/>
    <n v="1"/>
  </r>
  <r>
    <m/>
    <m/>
    <x v="1"/>
    <s v="64787221002001"/>
    <n v="-64.63"/>
    <n v="1109"/>
    <n v="1"/>
    <n v="1"/>
  </r>
  <r>
    <m/>
    <m/>
    <x v="1"/>
    <s v="64947999002003"/>
    <n v="-223.27"/>
    <n v="3831"/>
    <n v="1"/>
    <n v="1"/>
  </r>
  <r>
    <m/>
    <m/>
    <x v="1"/>
    <s v="64960542001013"/>
    <n v="-68.25"/>
    <n v="1171"/>
    <n v="1"/>
    <n v="1"/>
  </r>
  <r>
    <m/>
    <m/>
    <x v="1"/>
    <s v="65047530001001"/>
    <n v="-207.01"/>
    <n v="3552"/>
    <n v="1"/>
    <n v="1"/>
  </r>
  <r>
    <m/>
    <m/>
    <x v="1"/>
    <s v="65169375001002"/>
    <n v="-135.03"/>
    <n v="2317"/>
    <n v="1"/>
    <n v="1"/>
  </r>
  <r>
    <m/>
    <m/>
    <x v="1"/>
    <s v="65303114002001"/>
    <n v="-113.06"/>
    <n v="1940"/>
    <n v="1"/>
    <n v="1"/>
  </r>
  <r>
    <m/>
    <m/>
    <x v="1"/>
    <s v="65349971001003"/>
    <n v="-83.05"/>
    <n v="1425"/>
    <n v="1"/>
    <n v="1"/>
  </r>
  <r>
    <m/>
    <m/>
    <x v="1"/>
    <s v="65500085001007"/>
    <n v="-138.01"/>
    <n v="2368"/>
    <n v="1"/>
    <n v="1"/>
  </r>
  <r>
    <m/>
    <m/>
    <x v="1"/>
    <s v="66083905003006"/>
    <n v="-39.22"/>
    <n v="673"/>
    <n v="1"/>
    <n v="1"/>
  </r>
  <r>
    <m/>
    <m/>
    <x v="1"/>
    <s v="66094656001008"/>
    <n v="-153.28"/>
    <n v="2630"/>
    <n v="1"/>
    <n v="1"/>
  </r>
  <r>
    <m/>
    <m/>
    <x v="1"/>
    <s v="66113464003004"/>
    <n v="-55.77"/>
    <n v="957"/>
    <n v="1"/>
    <n v="1"/>
  </r>
  <r>
    <m/>
    <m/>
    <x v="1"/>
    <s v="66310272001003"/>
    <n v="-146.91999999999999"/>
    <n v="2521"/>
    <n v="1"/>
    <n v="1"/>
  </r>
  <r>
    <m/>
    <m/>
    <x v="1"/>
    <s v="66322585001001"/>
    <n v="-77.63"/>
    <n v="1332"/>
    <n v="1"/>
    <n v="1"/>
  </r>
  <r>
    <m/>
    <m/>
    <x v="1"/>
    <s v="66358624001009"/>
    <n v="-61.84"/>
    <n v="1061"/>
    <n v="1"/>
    <n v="1"/>
  </r>
  <r>
    <m/>
    <m/>
    <x v="1"/>
    <s v="66401415007001"/>
    <n v="-142.26"/>
    <n v="2441"/>
    <n v="1"/>
    <n v="1"/>
  </r>
  <r>
    <m/>
    <m/>
    <x v="1"/>
    <s v="66438713001009"/>
    <n v="-91.56"/>
    <n v="1571"/>
    <n v="1"/>
    <n v="1"/>
  </r>
  <r>
    <m/>
    <m/>
    <x v="1"/>
    <s v="66455859001001"/>
    <n v="-115.63"/>
    <n v="1984"/>
    <n v="1"/>
    <n v="1"/>
  </r>
  <r>
    <m/>
    <m/>
    <x v="1"/>
    <s v="66529315001004"/>
    <n v="-1.86"/>
    <n v="32"/>
    <n v="1"/>
    <n v="1"/>
  </r>
  <r>
    <m/>
    <m/>
    <x v="1"/>
    <s v="66541721002003"/>
    <n v="-131.37"/>
    <n v="2254"/>
    <n v="2"/>
    <n v="1"/>
  </r>
  <r>
    <m/>
    <m/>
    <x v="1"/>
    <s v="66753430001001"/>
    <n v="-134.86000000000001"/>
    <n v="2314"/>
    <n v="1"/>
    <n v="1"/>
  </r>
  <r>
    <m/>
    <m/>
    <x v="1"/>
    <s v="66777400001001"/>
    <n v="-50.18"/>
    <n v="861"/>
    <n v="1"/>
    <n v="1"/>
  </r>
  <r>
    <m/>
    <m/>
    <x v="1"/>
    <s v="66793225001004"/>
    <n v="-42.25"/>
    <n v="725"/>
    <n v="1"/>
    <n v="1"/>
  </r>
  <r>
    <m/>
    <m/>
    <x v="1"/>
    <s v="66795559006001"/>
    <n v="-85.03"/>
    <n v="1459"/>
    <n v="1"/>
    <n v="1"/>
  </r>
  <r>
    <m/>
    <m/>
    <x v="1"/>
    <s v="66842259001003"/>
    <n v="-119.59"/>
    <n v="2052"/>
    <n v="1"/>
    <n v="1"/>
  </r>
  <r>
    <m/>
    <m/>
    <x v="1"/>
    <s v="67052660001005"/>
    <n v="-191.68"/>
    <n v="3289"/>
    <n v="1"/>
    <n v="1"/>
  </r>
  <r>
    <m/>
    <m/>
    <x v="1"/>
    <s v="67083125001001"/>
    <n v="-101.76"/>
    <n v="1746"/>
    <n v="1"/>
    <n v="1"/>
  </r>
  <r>
    <m/>
    <m/>
    <x v="1"/>
    <s v="67271689001005"/>
    <n v="-110.5"/>
    <n v="1896"/>
    <n v="1"/>
    <n v="1"/>
  </r>
  <r>
    <m/>
    <m/>
    <x v="1"/>
    <s v="67318625001003"/>
    <n v="-9.09"/>
    <n v="156"/>
    <n v="1"/>
    <n v="1"/>
  </r>
  <r>
    <m/>
    <m/>
    <x v="1"/>
    <s v="67456537001003"/>
    <n v="-74.77"/>
    <n v="1283"/>
    <n v="1"/>
    <n v="1"/>
  </r>
  <r>
    <m/>
    <m/>
    <x v="1"/>
    <s v="67504661003001"/>
    <n v="-11.89"/>
    <n v="204"/>
    <n v="1"/>
    <n v="1"/>
  </r>
  <r>
    <m/>
    <m/>
    <x v="1"/>
    <s v="67552852001001"/>
    <n v="-73.67"/>
    <n v="1264"/>
    <n v="1"/>
    <n v="1"/>
  </r>
  <r>
    <m/>
    <m/>
    <x v="1"/>
    <s v="67722017001004"/>
    <n v="-57.64"/>
    <n v="989"/>
    <n v="1"/>
    <n v="1"/>
  </r>
  <r>
    <m/>
    <m/>
    <x v="1"/>
    <s v="67774002001001"/>
    <n v="-33.450000000000003"/>
    <n v="574"/>
    <n v="1"/>
    <n v="1"/>
  </r>
  <r>
    <m/>
    <m/>
    <x v="1"/>
    <s v="67844298001011"/>
    <n v="-57.58"/>
    <n v="988"/>
    <n v="1"/>
    <n v="1"/>
  </r>
  <r>
    <m/>
    <m/>
    <x v="1"/>
    <s v="67994603001007"/>
    <n v="-247.46"/>
    <n v="4246"/>
    <n v="1"/>
    <n v="1"/>
  </r>
  <r>
    <m/>
    <m/>
    <x v="1"/>
    <s v="68039419001001"/>
    <n v="-100.94"/>
    <n v="1732"/>
    <n v="1"/>
    <n v="1"/>
  </r>
  <r>
    <m/>
    <m/>
    <x v="1"/>
    <s v="68251608001001"/>
    <n v="-45.81"/>
    <n v="786"/>
    <n v="1"/>
    <n v="1"/>
  </r>
  <r>
    <m/>
    <m/>
    <x v="1"/>
    <s v="68468118001001"/>
    <n v="-126.18"/>
    <n v="2165"/>
    <n v="1"/>
    <n v="1"/>
  </r>
  <r>
    <m/>
    <m/>
    <x v="1"/>
    <s v="68497807001010"/>
    <n v="-83.05"/>
    <n v="1425"/>
    <n v="1"/>
    <n v="1"/>
  </r>
  <r>
    <m/>
    <m/>
    <x v="1"/>
    <s v="68520131001002"/>
    <n v="-82.12"/>
    <n v="1409"/>
    <n v="1"/>
    <n v="1"/>
  </r>
  <r>
    <m/>
    <m/>
    <x v="1"/>
    <s v="68540315001002"/>
    <n v="-118.6"/>
    <n v="2035"/>
    <n v="1"/>
    <n v="1"/>
  </r>
  <r>
    <m/>
    <m/>
    <x v="1"/>
    <s v="68561006001001"/>
    <n v="-116.27"/>
    <n v="1995"/>
    <n v="1"/>
    <n v="1"/>
  </r>
  <r>
    <m/>
    <m/>
    <x v="1"/>
    <s v="68616474001006"/>
    <n v="-119.59"/>
    <n v="2052"/>
    <n v="1"/>
    <n v="1"/>
  </r>
  <r>
    <m/>
    <m/>
    <x v="1"/>
    <s v="68732877001001"/>
    <n v="-79.900000000000006"/>
    <n v="1371"/>
    <n v="1"/>
    <n v="1"/>
  </r>
  <r>
    <m/>
    <m/>
    <x v="1"/>
    <s v="68747880001001"/>
    <n v="-144.18"/>
    <n v="2474"/>
    <n v="1"/>
    <n v="1"/>
  </r>
  <r>
    <m/>
    <m/>
    <x v="1"/>
    <s v="68769952001001"/>
    <n v="-70.75"/>
    <n v="1214"/>
    <n v="1"/>
    <n v="1"/>
  </r>
  <r>
    <m/>
    <m/>
    <x v="1"/>
    <s v="68803965001003"/>
    <n v="-30.89"/>
    <n v="530"/>
    <n v="1"/>
    <n v="1"/>
  </r>
  <r>
    <m/>
    <m/>
    <x v="1"/>
    <s v="68928083001002"/>
    <n v="-267.10000000000002"/>
    <n v="4583"/>
    <n v="1"/>
    <n v="1"/>
  </r>
  <r>
    <m/>
    <m/>
    <x v="1"/>
    <s v="69106756001007"/>
    <n v="-141.56"/>
    <n v="2429"/>
    <n v="1"/>
    <n v="1"/>
  </r>
  <r>
    <m/>
    <m/>
    <x v="1"/>
    <s v="69182870001007"/>
    <n v="-172.33"/>
    <n v="2957"/>
    <n v="1"/>
    <n v="1"/>
  </r>
  <r>
    <m/>
    <m/>
    <x v="1"/>
    <s v="69458124001003"/>
    <n v="-25.64"/>
    <n v="440"/>
    <n v="1"/>
    <n v="1"/>
  </r>
  <r>
    <m/>
    <m/>
    <x v="1"/>
    <s v="69499962002001"/>
    <n v="-90.68"/>
    <n v="1556"/>
    <n v="1"/>
    <n v="1"/>
  </r>
  <r>
    <m/>
    <m/>
    <x v="1"/>
    <s v="69512047001001"/>
    <n v="-70.17"/>
    <n v="1204"/>
    <n v="1"/>
    <n v="1"/>
  </r>
  <r>
    <m/>
    <m/>
    <x v="1"/>
    <s v="69552058001004"/>
    <n v="-7.05"/>
    <n v="121"/>
    <n v="1"/>
    <n v="1"/>
  </r>
  <r>
    <m/>
    <m/>
    <x v="1"/>
    <s v="69552955001005"/>
    <n v="-92.9"/>
    <n v="1594"/>
    <n v="1"/>
    <n v="1"/>
  </r>
  <r>
    <m/>
    <m/>
    <x v="1"/>
    <s v="69726976003004"/>
    <n v="-75.06"/>
    <n v="1288"/>
    <n v="1"/>
    <n v="1"/>
  </r>
  <r>
    <m/>
    <m/>
    <x v="1"/>
    <s v="69795270001001"/>
    <n v="-78.790000000000006"/>
    <n v="1352"/>
    <n v="1"/>
    <n v="1"/>
  </r>
  <r>
    <m/>
    <m/>
    <x v="1"/>
    <s v="69860520001002"/>
    <n v="-45.63"/>
    <n v="783"/>
    <n v="1"/>
    <n v="1"/>
  </r>
  <r>
    <m/>
    <m/>
    <x v="1"/>
    <s v="69970331001001"/>
    <n v="-41.15"/>
    <n v="706"/>
    <n v="1"/>
    <n v="1"/>
  </r>
  <r>
    <m/>
    <m/>
    <x v="1"/>
    <s v="69991566001003"/>
    <n v="-143.54"/>
    <n v="2463"/>
    <n v="1"/>
    <n v="1"/>
  </r>
  <r>
    <m/>
    <m/>
    <x v="1"/>
    <s v="70196025004001"/>
    <n v="-62.71"/>
    <n v="1076"/>
    <n v="1"/>
    <n v="1"/>
  </r>
  <r>
    <m/>
    <m/>
    <x v="1"/>
    <s v="70723544001001"/>
    <n v="-122.15"/>
    <n v="2096"/>
    <n v="1"/>
    <n v="1"/>
  </r>
  <r>
    <m/>
    <m/>
    <x v="1"/>
    <s v="70863501002003"/>
    <n v="-172.57"/>
    <n v="2961"/>
    <n v="1"/>
    <n v="1"/>
  </r>
  <r>
    <m/>
    <m/>
    <x v="1"/>
    <s v="71042572002007"/>
    <n v="-2.21"/>
    <n v="38"/>
    <n v="1"/>
    <n v="1"/>
  </r>
  <r>
    <m/>
    <m/>
    <x v="1"/>
    <s v="71196011001009"/>
    <n v="-142.49"/>
    <n v="2445"/>
    <n v="1"/>
    <n v="1"/>
  </r>
  <r>
    <m/>
    <m/>
    <x v="1"/>
    <s v="71274320003001"/>
    <n v="-243.32"/>
    <n v="4175"/>
    <n v="1"/>
    <n v="1"/>
  </r>
  <r>
    <m/>
    <m/>
    <x v="1"/>
    <s v="71278625001004"/>
    <n v="-187.43"/>
    <n v="3216"/>
    <n v="1"/>
    <n v="1"/>
  </r>
  <r>
    <m/>
    <m/>
    <x v="1"/>
    <s v="71350439001001"/>
    <n v="-29.9"/>
    <n v="513"/>
    <n v="1"/>
    <n v="1"/>
  </r>
  <r>
    <m/>
    <m/>
    <x v="1"/>
    <s v="71391581006001"/>
    <n v="-164.12"/>
    <n v="2816"/>
    <n v="1"/>
    <n v="1"/>
  </r>
  <r>
    <m/>
    <m/>
    <x v="1"/>
    <s v="71499386001002"/>
    <n v="-74.66"/>
    <n v="1281"/>
    <n v="1"/>
    <n v="1"/>
  </r>
  <r>
    <m/>
    <m/>
    <x v="1"/>
    <s v="71502529002001"/>
    <n v="-20.75"/>
    <n v="356"/>
    <n v="1"/>
    <n v="1"/>
  </r>
  <r>
    <m/>
    <m/>
    <x v="1"/>
    <s v="71634438001003"/>
    <n v="-62.13"/>
    <n v="1066"/>
    <n v="1"/>
    <n v="1"/>
  </r>
  <r>
    <m/>
    <m/>
    <x v="1"/>
    <s v="71769014004002"/>
    <n v="-183.23"/>
    <n v="3144"/>
    <n v="1"/>
    <n v="1"/>
  </r>
  <r>
    <m/>
    <m/>
    <x v="1"/>
    <s v="71997040001001"/>
    <n v="-107.76"/>
    <n v="1849"/>
    <n v="1"/>
    <n v="1"/>
  </r>
  <r>
    <m/>
    <m/>
    <x v="1"/>
    <s v="72146811001001"/>
    <n v="-48.14"/>
    <n v="826"/>
    <n v="1"/>
    <n v="1"/>
  </r>
  <r>
    <m/>
    <m/>
    <x v="1"/>
    <s v="72209762001002"/>
    <n v="-23.31"/>
    <n v="400"/>
    <n v="1"/>
    <n v="1"/>
  </r>
  <r>
    <m/>
    <m/>
    <x v="1"/>
    <s v="72308737001004"/>
    <n v="-11.95"/>
    <n v="205"/>
    <n v="1"/>
    <n v="1"/>
  </r>
  <r>
    <m/>
    <m/>
    <x v="1"/>
    <s v="72331837001003"/>
    <n v="-31.47"/>
    <n v="540"/>
    <n v="1"/>
    <n v="1"/>
  </r>
  <r>
    <m/>
    <m/>
    <x v="1"/>
    <s v="72521223001005"/>
    <n v="-3.03"/>
    <n v="52"/>
    <n v="1"/>
    <n v="1"/>
  </r>
  <r>
    <m/>
    <m/>
    <x v="1"/>
    <s v="72621276001001"/>
    <n v="-73.430000000000007"/>
    <n v="1260"/>
    <n v="1"/>
    <n v="1"/>
  </r>
  <r>
    <m/>
    <m/>
    <x v="1"/>
    <s v="72648295001001"/>
    <n v="-91.15"/>
    <n v="1564"/>
    <n v="1"/>
    <n v="1"/>
  </r>
  <r>
    <m/>
    <m/>
    <x v="1"/>
    <s v="73088070001002"/>
    <n v="-78.39"/>
    <n v="1345"/>
    <n v="1"/>
    <n v="1"/>
  </r>
  <r>
    <m/>
    <m/>
    <x v="1"/>
    <s v="73099039001001"/>
    <n v="-54.38"/>
    <n v="933"/>
    <n v="1"/>
    <n v="1"/>
  </r>
  <r>
    <m/>
    <m/>
    <x v="1"/>
    <s v="73114048001002"/>
    <n v="-147.56"/>
    <n v="2532"/>
    <n v="1"/>
    <n v="1"/>
  </r>
  <r>
    <m/>
    <m/>
    <x v="1"/>
    <s v="73173555001001"/>
    <n v="-166.33"/>
    <n v="2854"/>
    <n v="1"/>
    <n v="1"/>
  </r>
  <r>
    <m/>
    <m/>
    <x v="1"/>
    <s v="73206885003006"/>
    <n v="-19.059999999999999"/>
    <n v="327"/>
    <n v="1"/>
    <n v="1"/>
  </r>
  <r>
    <m/>
    <m/>
    <x v="1"/>
    <s v="73258916001001"/>
    <n v="-172.16"/>
    <n v="2954"/>
    <n v="1"/>
    <n v="1"/>
  </r>
  <r>
    <m/>
    <m/>
    <x v="1"/>
    <s v="73287265003003"/>
    <n v="-3.09"/>
    <n v="53"/>
    <n v="1"/>
    <n v="1"/>
  </r>
  <r>
    <m/>
    <m/>
    <x v="1"/>
    <s v="73355098003007"/>
    <n v="-93.19"/>
    <n v="1599"/>
    <n v="1"/>
    <n v="1"/>
  </r>
  <r>
    <m/>
    <m/>
    <x v="1"/>
    <s v="73416515001001"/>
    <n v="-47.32"/>
    <n v="812"/>
    <n v="1"/>
    <n v="1"/>
  </r>
  <r>
    <m/>
    <m/>
    <x v="1"/>
    <s v="73496965001001"/>
    <n v="-138.88"/>
    <n v="2383"/>
    <n v="1"/>
    <n v="1"/>
  </r>
  <r>
    <m/>
    <m/>
    <x v="1"/>
    <s v="73558422001001"/>
    <n v="-49.19"/>
    <n v="844"/>
    <n v="1"/>
    <n v="1"/>
  </r>
  <r>
    <m/>
    <m/>
    <x v="1"/>
    <s v="73774640001002"/>
    <n v="-144.36000000000001"/>
    <n v="2477"/>
    <n v="1"/>
    <n v="1"/>
  </r>
  <r>
    <m/>
    <m/>
    <x v="1"/>
    <s v="73775929001005"/>
    <n v="-87.01"/>
    <n v="1493"/>
    <n v="1"/>
    <n v="1"/>
  </r>
  <r>
    <m/>
    <m/>
    <x v="1"/>
    <s v="73788624001001"/>
    <n v="-8.51"/>
    <n v="146"/>
    <n v="1"/>
    <n v="1"/>
  </r>
  <r>
    <m/>
    <m/>
    <x v="1"/>
    <s v="73873764003003"/>
    <n v="-33.39"/>
    <n v="573"/>
    <n v="1"/>
    <n v="1"/>
  </r>
  <r>
    <m/>
    <m/>
    <x v="1"/>
    <s v="73935992001002"/>
    <n v="-184.63"/>
    <n v="3168"/>
    <n v="1"/>
    <n v="1"/>
  </r>
  <r>
    <m/>
    <m/>
    <x v="1"/>
    <s v="74022126002001"/>
    <n v="-66.5"/>
    <n v="1141"/>
    <n v="1"/>
    <n v="1"/>
  </r>
  <r>
    <m/>
    <m/>
    <x v="1"/>
    <s v="74044690001001"/>
    <n v="-67.430000000000007"/>
    <n v="1157"/>
    <n v="1"/>
    <n v="1"/>
  </r>
  <r>
    <m/>
    <m/>
    <x v="1"/>
    <s v="74055933001001"/>
    <n v="-297.39999999999998"/>
    <n v="5103"/>
    <n v="1"/>
    <n v="1"/>
  </r>
  <r>
    <m/>
    <m/>
    <x v="1"/>
    <s v="74076340001005"/>
    <n v="-86.66"/>
    <n v="1487"/>
    <n v="1"/>
    <n v="1"/>
  </r>
  <r>
    <m/>
    <m/>
    <x v="1"/>
    <s v="74101362001001"/>
    <n v="-128.97"/>
    <n v="2213"/>
    <n v="1"/>
    <n v="1"/>
  </r>
  <r>
    <m/>
    <m/>
    <x v="1"/>
    <s v="74228888001001"/>
    <n v="-69.290000000000006"/>
    <n v="1189"/>
    <n v="1"/>
    <n v="1"/>
  </r>
  <r>
    <m/>
    <m/>
    <x v="1"/>
    <s v="74242350003003"/>
    <n v="-83.22"/>
    <n v="1428"/>
    <n v="1"/>
    <n v="1"/>
  </r>
  <r>
    <m/>
    <m/>
    <x v="1"/>
    <s v="74369035001007"/>
    <n v="-70.69"/>
    <n v="1213"/>
    <n v="1"/>
    <n v="1"/>
  </r>
  <r>
    <m/>
    <m/>
    <x v="1"/>
    <s v="74380477001003"/>
    <n v="-45.98"/>
    <n v="789"/>
    <n v="1"/>
    <n v="1"/>
  </r>
  <r>
    <m/>
    <m/>
    <x v="1"/>
    <s v="74440719001001"/>
    <n v="-34.619999999999997"/>
    <n v="594"/>
    <n v="1"/>
    <n v="1"/>
  </r>
  <r>
    <m/>
    <m/>
    <x v="1"/>
    <s v="74467874001005"/>
    <n v="-50.59"/>
    <n v="868"/>
    <n v="1"/>
    <n v="1"/>
  </r>
  <r>
    <m/>
    <m/>
    <x v="1"/>
    <s v="74529868001012"/>
    <n v="-119.42"/>
    <n v="2049"/>
    <n v="1"/>
    <n v="1"/>
  </r>
  <r>
    <m/>
    <m/>
    <x v="1"/>
    <s v="74765201001002"/>
    <n v="-1.92"/>
    <n v="33"/>
    <n v="1"/>
    <n v="1"/>
  </r>
  <r>
    <m/>
    <m/>
    <x v="1"/>
    <s v="74773751003001"/>
    <n v="-105.14"/>
    <n v="1804"/>
    <n v="1"/>
    <n v="1"/>
  </r>
  <r>
    <m/>
    <m/>
    <x v="1"/>
    <s v="74797014003003"/>
    <n v="-7.93"/>
    <n v="136"/>
    <n v="1"/>
    <n v="1"/>
  </r>
  <r>
    <m/>
    <m/>
    <x v="1"/>
    <s v="74802804001001"/>
    <n v="-100.77"/>
    <n v="1729"/>
    <n v="1"/>
    <n v="1"/>
  </r>
  <r>
    <m/>
    <m/>
    <x v="1"/>
    <s v="74881596001006"/>
    <n v="-25.64"/>
    <n v="440"/>
    <n v="1"/>
    <n v="1"/>
  </r>
  <r>
    <m/>
    <m/>
    <x v="1"/>
    <s v="74897585001003"/>
    <n v="-93.13"/>
    <n v="1598"/>
    <n v="1"/>
    <n v="1"/>
  </r>
  <r>
    <m/>
    <m/>
    <x v="1"/>
    <s v="74921730001003"/>
    <n v="-83.28"/>
    <n v="1429"/>
    <n v="1"/>
    <n v="1"/>
  </r>
  <r>
    <m/>
    <m/>
    <x v="1"/>
    <s v="74925966001001"/>
    <n v="-86.95"/>
    <n v="1492"/>
    <n v="1"/>
    <n v="1"/>
  </r>
  <r>
    <m/>
    <m/>
    <x v="1"/>
    <s v="74965108005005"/>
    <n v="-144.53"/>
    <n v="2480"/>
    <n v="1"/>
    <n v="1"/>
  </r>
  <r>
    <m/>
    <m/>
    <x v="1"/>
    <s v="75053878001002"/>
    <n v="-74.19"/>
    <n v="1273"/>
    <n v="1"/>
    <n v="1"/>
  </r>
  <r>
    <m/>
    <m/>
    <x v="1"/>
    <s v="75076089001006"/>
    <n v="-61.89"/>
    <n v="1062"/>
    <n v="1"/>
    <n v="1"/>
  </r>
  <r>
    <m/>
    <m/>
    <x v="1"/>
    <s v="75083574001001"/>
    <n v="-63.93"/>
    <n v="1097"/>
    <n v="1"/>
    <n v="1"/>
  </r>
  <r>
    <m/>
    <m/>
    <x v="1"/>
    <s v="75470988001001"/>
    <n v="-131.71"/>
    <n v="2260"/>
    <n v="1"/>
    <n v="1"/>
  </r>
  <r>
    <m/>
    <m/>
    <x v="1"/>
    <s v="75518241003003"/>
    <n v="-27.16"/>
    <n v="466"/>
    <n v="1"/>
    <n v="1"/>
  </r>
  <r>
    <m/>
    <m/>
    <x v="1"/>
    <s v="75599421001001"/>
    <n v="-94.36"/>
    <n v="1619"/>
    <n v="1"/>
    <n v="1"/>
  </r>
  <r>
    <m/>
    <m/>
    <x v="1"/>
    <s v="75764971002001"/>
    <n v="-16.61"/>
    <n v="285"/>
    <n v="1"/>
    <n v="1"/>
  </r>
  <r>
    <m/>
    <m/>
    <x v="1"/>
    <s v="75854409001001"/>
    <n v="-47.15"/>
    <n v="809"/>
    <n v="1"/>
    <n v="1"/>
  </r>
  <r>
    <m/>
    <m/>
    <x v="1"/>
    <s v="75878216001003"/>
    <n v="-108.46"/>
    <n v="1861"/>
    <n v="1"/>
    <n v="1"/>
  </r>
  <r>
    <m/>
    <m/>
    <x v="1"/>
    <s v="76033198001011"/>
    <n v="-104.38"/>
    <n v="1791"/>
    <n v="1"/>
    <n v="1"/>
  </r>
  <r>
    <m/>
    <m/>
    <x v="1"/>
    <s v="76068750001001"/>
    <n v="-36.72"/>
    <n v="630"/>
    <n v="1"/>
    <n v="1"/>
  </r>
  <r>
    <m/>
    <m/>
    <x v="1"/>
    <s v="76140288001007"/>
    <n v="-77.86"/>
    <n v="1336"/>
    <n v="1"/>
    <n v="1"/>
  </r>
  <r>
    <m/>
    <m/>
    <x v="1"/>
    <s v="76156300001003"/>
    <n v="-151.29"/>
    <n v="2596"/>
    <n v="1"/>
    <n v="1"/>
  </r>
  <r>
    <m/>
    <m/>
    <x v="1"/>
    <s v="76165932001003"/>
    <n v="-9.7899999999999991"/>
    <n v="168"/>
    <n v="1"/>
    <n v="1"/>
  </r>
  <r>
    <m/>
    <m/>
    <x v="1"/>
    <s v="76214834004001"/>
    <n v="-108.23"/>
    <n v="1857"/>
    <n v="1"/>
    <n v="1"/>
  </r>
  <r>
    <m/>
    <m/>
    <x v="1"/>
    <s v="76387576001001"/>
    <n v="-32.520000000000003"/>
    <n v="558"/>
    <n v="1"/>
    <n v="1"/>
  </r>
  <r>
    <m/>
    <m/>
    <x v="1"/>
    <s v="76533513001001"/>
    <n v="-73.08"/>
    <n v="1254"/>
    <n v="1"/>
    <n v="1"/>
  </r>
  <r>
    <m/>
    <m/>
    <x v="1"/>
    <s v="76557416001001"/>
    <n v="-131.83000000000001"/>
    <n v="2262"/>
    <n v="1"/>
    <n v="1"/>
  </r>
  <r>
    <m/>
    <m/>
    <x v="1"/>
    <s v="76629522001015"/>
    <n v="-82.64"/>
    <n v="1418"/>
    <n v="1"/>
    <n v="1"/>
  </r>
  <r>
    <m/>
    <m/>
    <x v="1"/>
    <s v="76645220002001"/>
    <n v="-142.9"/>
    <n v="2452"/>
    <n v="1"/>
    <n v="1"/>
  </r>
  <r>
    <m/>
    <m/>
    <x v="1"/>
    <s v="76681576002009"/>
    <n v="-40.909999999999997"/>
    <n v="702"/>
    <n v="1"/>
    <n v="1"/>
  </r>
  <r>
    <m/>
    <m/>
    <x v="1"/>
    <s v="76686982001003"/>
    <n v="-69.88"/>
    <n v="1199"/>
    <n v="1"/>
    <n v="1"/>
  </r>
  <r>
    <m/>
    <m/>
    <x v="1"/>
    <s v="76757615001002"/>
    <n v="-16.14"/>
    <n v="277"/>
    <n v="1"/>
    <n v="1"/>
  </r>
  <r>
    <m/>
    <m/>
    <x v="1"/>
    <s v="76821093007001"/>
    <n v="-158.11000000000001"/>
    <n v="2713"/>
    <n v="1"/>
    <n v="1"/>
  </r>
  <r>
    <m/>
    <m/>
    <x v="1"/>
    <s v="76903196001004"/>
    <n v="-161.09"/>
    <n v="2764"/>
    <n v="1"/>
    <n v="1"/>
  </r>
  <r>
    <m/>
    <m/>
    <x v="1"/>
    <s v="77028105003004"/>
    <n v="-135.03"/>
    <n v="2317"/>
    <n v="1"/>
    <n v="1"/>
  </r>
  <r>
    <m/>
    <m/>
    <x v="1"/>
    <s v="77168759001001"/>
    <n v="-150.77000000000001"/>
    <n v="2587"/>
    <n v="1"/>
    <n v="1"/>
  </r>
  <r>
    <m/>
    <m/>
    <x v="1"/>
    <s v="77330718001007"/>
    <n v="-122.5"/>
    <n v="2102"/>
    <n v="1"/>
    <n v="1"/>
  </r>
  <r>
    <m/>
    <m/>
    <x v="1"/>
    <s v="77524629001001"/>
    <n v="-59.56"/>
    <n v="1022"/>
    <n v="1"/>
    <n v="1"/>
  </r>
  <r>
    <m/>
    <m/>
    <x v="1"/>
    <s v="77539706002006"/>
    <n v="-35.729999999999997"/>
    <n v="613"/>
    <n v="1"/>
    <n v="1"/>
  </r>
  <r>
    <m/>
    <m/>
    <x v="1"/>
    <s v="77650352001001"/>
    <n v="-39.57"/>
    <n v="679"/>
    <n v="1"/>
    <n v="1"/>
  </r>
  <r>
    <m/>
    <m/>
    <x v="1"/>
    <s v="77681333001007"/>
    <n v="-88.18"/>
    <n v="1513"/>
    <n v="1"/>
    <n v="1"/>
  </r>
  <r>
    <m/>
    <m/>
    <x v="1"/>
    <s v="77743243001003"/>
    <n v="-5.77"/>
    <n v="99"/>
    <n v="1"/>
    <n v="1"/>
  </r>
  <r>
    <m/>
    <m/>
    <x v="1"/>
    <s v="77810743001005"/>
    <n v="-93.13"/>
    <n v="1598"/>
    <n v="1"/>
    <n v="1"/>
  </r>
  <r>
    <m/>
    <m/>
    <x v="1"/>
    <s v="77834930001003"/>
    <n v="-107.99"/>
    <n v="1853"/>
    <n v="1"/>
    <n v="1"/>
  </r>
  <r>
    <m/>
    <m/>
    <x v="1"/>
    <s v="77909473002001"/>
    <n v="-166.45"/>
    <n v="2856"/>
    <n v="1"/>
    <n v="1"/>
  </r>
  <r>
    <m/>
    <m/>
    <x v="1"/>
    <s v="78058251001001"/>
    <n v="-201.94"/>
    <n v="3465"/>
    <n v="1"/>
    <n v="1"/>
  </r>
  <r>
    <m/>
    <m/>
    <x v="1"/>
    <s v="78231851001001"/>
    <n v="-49.77"/>
    <n v="854"/>
    <n v="1"/>
    <n v="1"/>
  </r>
  <r>
    <m/>
    <m/>
    <x v="1"/>
    <s v="78305476001002"/>
    <n v="-100.77"/>
    <n v="1729"/>
    <n v="1"/>
    <n v="1"/>
  </r>
  <r>
    <m/>
    <m/>
    <x v="1"/>
    <s v="78378527001001"/>
    <n v="-94.36"/>
    <n v="1619"/>
    <n v="1"/>
    <n v="1"/>
  </r>
  <r>
    <m/>
    <m/>
    <x v="1"/>
    <s v="78465175004001"/>
    <n v="-103.51"/>
    <n v="1776"/>
    <n v="1"/>
    <n v="1"/>
  </r>
  <r>
    <m/>
    <m/>
    <x v="1"/>
    <s v="78487633001001"/>
    <n v="-113.76"/>
    <n v="1952"/>
    <n v="1"/>
    <n v="1"/>
  </r>
  <r>
    <m/>
    <m/>
    <x v="1"/>
    <s v="78563696001001"/>
    <n v="-1.34"/>
    <n v="23"/>
    <n v="1"/>
    <n v="1"/>
  </r>
  <r>
    <m/>
    <m/>
    <x v="1"/>
    <s v="78581101002001"/>
    <n v="-186.85"/>
    <n v="3206"/>
    <n v="1"/>
    <n v="1"/>
  </r>
  <r>
    <m/>
    <m/>
    <x v="1"/>
    <s v="78695215001003"/>
    <n v="-76.459999999999994"/>
    <n v="1312"/>
    <n v="1"/>
    <n v="1"/>
  </r>
  <r>
    <m/>
    <m/>
    <x v="1"/>
    <s v="79030418001001"/>
    <n v="-76.41"/>
    <n v="1311"/>
    <n v="1"/>
    <n v="1"/>
  </r>
  <r>
    <m/>
    <m/>
    <x v="1"/>
    <s v="79032616001001"/>
    <n v="-7.34"/>
    <n v="126"/>
    <n v="1"/>
    <n v="1"/>
  </r>
  <r>
    <m/>
    <m/>
    <x v="1"/>
    <s v="79041940001001"/>
    <n v="-25.18"/>
    <n v="432"/>
    <n v="1"/>
    <n v="1"/>
  </r>
  <r>
    <m/>
    <m/>
    <x v="1"/>
    <s v="79143940001001"/>
    <n v="-47.85"/>
    <n v="821"/>
    <n v="1"/>
    <n v="1"/>
  </r>
  <r>
    <m/>
    <m/>
    <x v="1"/>
    <s v="79205630002009"/>
    <n v="-127.17"/>
    <n v="2182"/>
    <n v="1"/>
    <n v="1"/>
  </r>
  <r>
    <m/>
    <m/>
    <x v="1"/>
    <s v="79229022001003"/>
    <n v="-114.4"/>
    <n v="1963"/>
    <n v="1"/>
    <n v="1"/>
  </r>
  <r>
    <m/>
    <m/>
    <x v="1"/>
    <s v="79474986003003"/>
    <n v="-96.8"/>
    <n v="1661"/>
    <n v="1"/>
    <n v="1"/>
  </r>
  <r>
    <m/>
    <m/>
    <x v="1"/>
    <s v="79578265001001"/>
    <n v="-1.75"/>
    <n v="30"/>
    <n v="1"/>
    <n v="1"/>
  </r>
  <r>
    <m/>
    <m/>
    <x v="1"/>
    <s v="79790907001005"/>
    <n v="-77.63"/>
    <n v="1332"/>
    <n v="1"/>
    <n v="1"/>
  </r>
  <r>
    <m/>
    <m/>
    <x v="1"/>
    <s v="79955342001001"/>
    <n v="-109.45"/>
    <n v="1878"/>
    <n v="1"/>
    <n v="1"/>
  </r>
  <r>
    <m/>
    <m/>
    <x v="1"/>
    <s v="79985097001001"/>
    <n v="-71.8"/>
    <n v="1232"/>
    <n v="1"/>
    <n v="1"/>
  </r>
  <r>
    <m/>
    <m/>
    <x v="1"/>
    <s v="80157270001001"/>
    <n v="-51.4"/>
    <n v="882"/>
    <n v="1"/>
    <n v="1"/>
  </r>
  <r>
    <m/>
    <m/>
    <x v="1"/>
    <s v="80214838001001"/>
    <n v="-79.73"/>
    <n v="1368"/>
    <n v="1"/>
    <n v="1"/>
  </r>
  <r>
    <m/>
    <m/>
    <x v="1"/>
    <s v="80220416001005"/>
    <n v="-130.61000000000001"/>
    <n v="2241"/>
    <n v="1"/>
    <n v="1"/>
  </r>
  <r>
    <m/>
    <m/>
    <x v="1"/>
    <s v="80461014001001"/>
    <n v="-44.18"/>
    <n v="758"/>
    <n v="1"/>
    <n v="1"/>
  </r>
  <r>
    <m/>
    <m/>
    <x v="1"/>
    <s v="80534796005001"/>
    <n v="-228.28"/>
    <n v="3917"/>
    <n v="1"/>
    <n v="1"/>
  </r>
  <r>
    <m/>
    <m/>
    <x v="1"/>
    <s v="80538341001002"/>
    <n v="-132.53"/>
    <n v="2274"/>
    <n v="1"/>
    <n v="1"/>
  </r>
  <r>
    <m/>
    <m/>
    <x v="1"/>
    <s v="80564935001001"/>
    <n v="-36.950000000000003"/>
    <n v="634"/>
    <n v="1"/>
    <n v="1"/>
  </r>
  <r>
    <m/>
    <m/>
    <x v="1"/>
    <s v="80635643001001"/>
    <n v="-81.13"/>
    <n v="1392"/>
    <n v="1"/>
    <n v="1"/>
  </r>
  <r>
    <m/>
    <m/>
    <x v="1"/>
    <s v="80668896002003"/>
    <n v="-55.66"/>
    <n v="955"/>
    <n v="1"/>
    <n v="1"/>
  </r>
  <r>
    <m/>
    <m/>
    <x v="1"/>
    <s v="80921920002005"/>
    <n v="-153.16"/>
    <n v="2628"/>
    <n v="1"/>
    <n v="1"/>
  </r>
  <r>
    <m/>
    <m/>
    <x v="1"/>
    <s v="80926951003001"/>
    <n v="-72.38"/>
    <n v="1242"/>
    <n v="1"/>
    <n v="1"/>
  </r>
  <r>
    <m/>
    <m/>
    <x v="1"/>
    <s v="81005861001001"/>
    <n v="-55.77"/>
    <n v="957"/>
    <n v="1"/>
    <n v="1"/>
  </r>
  <r>
    <m/>
    <m/>
    <x v="1"/>
    <s v="81099232001001"/>
    <n v="-24.89"/>
    <n v="427"/>
    <n v="1"/>
    <n v="1"/>
  </r>
  <r>
    <m/>
    <m/>
    <x v="1"/>
    <s v="81113647002001"/>
    <n v="-95.17"/>
    <n v="1633"/>
    <n v="1"/>
    <n v="1"/>
  </r>
  <r>
    <m/>
    <m/>
    <x v="1"/>
    <s v="81276857002001"/>
    <n v="-98.2"/>
    <n v="1685"/>
    <n v="1"/>
    <n v="1"/>
  </r>
  <r>
    <m/>
    <m/>
    <x v="1"/>
    <s v="81390168001001"/>
    <n v="-74.709999999999994"/>
    <n v="1282"/>
    <n v="1"/>
    <n v="1"/>
  </r>
  <r>
    <m/>
    <m/>
    <x v="1"/>
    <s v="81445174003001"/>
    <n v="-95"/>
    <n v="1630"/>
    <n v="1"/>
    <n v="1"/>
  </r>
  <r>
    <m/>
    <m/>
    <x v="1"/>
    <s v="81498585001005"/>
    <n v="-43.77"/>
    <n v="751"/>
    <n v="1"/>
    <n v="1"/>
  </r>
  <r>
    <m/>
    <m/>
    <x v="1"/>
    <s v="81645123001001"/>
    <n v="-171.98"/>
    <n v="2951"/>
    <n v="1"/>
    <n v="1"/>
  </r>
  <r>
    <m/>
    <m/>
    <x v="1"/>
    <s v="81725915001001"/>
    <n v="-232.83"/>
    <n v="3995"/>
    <n v="1"/>
    <n v="1"/>
  </r>
  <r>
    <m/>
    <m/>
    <x v="1"/>
    <s v="81762889001004"/>
    <n v="-59.39"/>
    <n v="1019"/>
    <n v="1"/>
    <n v="1"/>
  </r>
  <r>
    <m/>
    <m/>
    <x v="1"/>
    <s v="81796976001002"/>
    <n v="-37.01"/>
    <n v="635"/>
    <n v="1"/>
    <n v="1"/>
  </r>
  <r>
    <m/>
    <m/>
    <x v="1"/>
    <s v="81908653002007"/>
    <n v="-167.85"/>
    <n v="2880"/>
    <n v="1"/>
    <n v="1"/>
  </r>
  <r>
    <m/>
    <m/>
    <x v="1"/>
    <s v="81917999001003"/>
    <n v="-68.89"/>
    <n v="1182"/>
    <n v="1"/>
    <n v="1"/>
  </r>
  <r>
    <m/>
    <m/>
    <x v="1"/>
    <s v="81956135001004"/>
    <n v="-126"/>
    <n v="2162"/>
    <n v="1"/>
    <n v="1"/>
  </r>
  <r>
    <m/>
    <m/>
    <x v="1"/>
    <s v="82153211002003"/>
    <n v="-81.88"/>
    <n v="1405"/>
    <n v="1"/>
    <n v="1"/>
  </r>
  <r>
    <m/>
    <m/>
    <x v="1"/>
    <s v="82225464001008"/>
    <n v="-130.9"/>
    <n v="2246"/>
    <n v="1"/>
    <n v="1"/>
  </r>
  <r>
    <m/>
    <m/>
    <x v="1"/>
    <s v="82233435001002"/>
    <n v="-14.8"/>
    <n v="254"/>
    <n v="1"/>
    <n v="1"/>
  </r>
  <r>
    <m/>
    <m/>
    <x v="1"/>
    <s v="82239948003003"/>
    <n v="-125.77"/>
    <n v="2158"/>
    <n v="1"/>
    <n v="1"/>
  </r>
  <r>
    <m/>
    <m/>
    <x v="1"/>
    <s v="82307326003001"/>
    <n v="-118.89"/>
    <n v="2040"/>
    <n v="1"/>
    <n v="1"/>
  </r>
  <r>
    <m/>
    <m/>
    <x v="1"/>
    <s v="82478438001003"/>
    <n v="-125.59"/>
    <n v="2155"/>
    <n v="1"/>
    <n v="1"/>
  </r>
  <r>
    <m/>
    <m/>
    <x v="1"/>
    <s v="82551362001003"/>
    <n v="-64.98"/>
    <n v="1115"/>
    <n v="1"/>
    <n v="1"/>
  </r>
  <r>
    <m/>
    <m/>
    <x v="1"/>
    <s v="82713739001005"/>
    <n v="-51.87"/>
    <n v="890"/>
    <n v="1"/>
    <n v="1"/>
  </r>
  <r>
    <m/>
    <m/>
    <x v="1"/>
    <s v="82980447003001"/>
    <n v="-80.48"/>
    <n v="1381"/>
    <n v="1"/>
    <n v="1"/>
  </r>
  <r>
    <m/>
    <m/>
    <x v="1"/>
    <s v="83053405001004"/>
    <n v="-11.6"/>
    <n v="199"/>
    <n v="1"/>
    <n v="1"/>
  </r>
  <r>
    <m/>
    <m/>
    <x v="1"/>
    <s v="83122628002001"/>
    <n v="-64.98"/>
    <n v="1115"/>
    <n v="1"/>
    <n v="1"/>
  </r>
  <r>
    <m/>
    <m/>
    <x v="1"/>
    <s v="83216854001001"/>
    <n v="-48.31"/>
    <n v="829"/>
    <n v="1"/>
    <n v="1"/>
  </r>
  <r>
    <m/>
    <m/>
    <x v="1"/>
    <s v="83345985001001"/>
    <n v="-57.06"/>
    <n v="979"/>
    <n v="1"/>
    <n v="1"/>
  </r>
  <r>
    <m/>
    <m/>
    <x v="1"/>
    <s v="83389146001010"/>
    <n v="-144.53"/>
    <n v="2480"/>
    <n v="1"/>
    <n v="1"/>
  </r>
  <r>
    <m/>
    <m/>
    <x v="1"/>
    <s v="83416228001001"/>
    <n v="-235.8"/>
    <n v="4046"/>
    <n v="1"/>
    <n v="1"/>
  </r>
  <r>
    <m/>
    <m/>
    <x v="1"/>
    <s v="83464000001003"/>
    <n v="-89.58"/>
    <n v="1537"/>
    <n v="1"/>
    <n v="1"/>
  </r>
  <r>
    <m/>
    <m/>
    <x v="1"/>
    <s v="83488906003011"/>
    <n v="-89.17"/>
    <n v="1530"/>
    <n v="1"/>
    <n v="1"/>
  </r>
  <r>
    <m/>
    <m/>
    <x v="1"/>
    <s v="83489581005001"/>
    <n v="-74.42"/>
    <n v="1277"/>
    <n v="1"/>
    <n v="1"/>
  </r>
  <r>
    <m/>
    <m/>
    <x v="1"/>
    <s v="83512091001003"/>
    <n v="-27.74"/>
    <n v="476"/>
    <n v="1"/>
    <n v="1"/>
  </r>
  <r>
    <m/>
    <m/>
    <x v="1"/>
    <s v="83743311001001"/>
    <n v="-290.7"/>
    <n v="4988"/>
    <n v="1"/>
    <n v="1"/>
  </r>
  <r>
    <m/>
    <m/>
    <x v="1"/>
    <s v="83801335001005"/>
    <n v="-166.27"/>
    <n v="2853"/>
    <n v="1"/>
    <n v="1"/>
  </r>
  <r>
    <m/>
    <m/>
    <x v="1"/>
    <s v="83855211001006"/>
    <n v="-48.49"/>
    <n v="832"/>
    <n v="1"/>
    <n v="1"/>
  </r>
  <r>
    <m/>
    <m/>
    <x v="1"/>
    <s v="84033106001003"/>
    <n v="-8.68"/>
    <n v="149"/>
    <n v="1"/>
    <n v="1"/>
  </r>
  <r>
    <m/>
    <m/>
    <x v="1"/>
    <s v="84108570003004"/>
    <n v="-40.39"/>
    <n v="693"/>
    <n v="1"/>
    <n v="1"/>
  </r>
  <r>
    <m/>
    <m/>
    <x v="1"/>
    <s v="84749539001001"/>
    <n v="-85.03"/>
    <n v="1459"/>
    <n v="1"/>
    <n v="1"/>
  </r>
  <r>
    <m/>
    <m/>
    <x v="1"/>
    <s v="84877125001007"/>
    <n v="-4.08"/>
    <n v="70"/>
    <n v="1"/>
    <n v="1"/>
  </r>
  <r>
    <m/>
    <m/>
    <x v="1"/>
    <s v="84968906001001"/>
    <n v="-36.08"/>
    <n v="619"/>
    <n v="1"/>
    <n v="1"/>
  </r>
  <r>
    <m/>
    <m/>
    <x v="1"/>
    <s v="85004567002010"/>
    <n v="-84.56"/>
    <n v="1451"/>
    <n v="1"/>
    <n v="1"/>
  </r>
  <r>
    <m/>
    <m/>
    <x v="1"/>
    <s v="85036880003001"/>
    <n v="-38.520000000000003"/>
    <n v="661"/>
    <n v="1"/>
    <n v="1"/>
  </r>
  <r>
    <m/>
    <m/>
    <x v="1"/>
    <s v="85242909001001"/>
    <n v="-54.03"/>
    <n v="927"/>
    <n v="1"/>
    <n v="1"/>
  </r>
  <r>
    <m/>
    <m/>
    <x v="1"/>
    <s v="85292110001006"/>
    <n v="-122.62"/>
    <n v="2104"/>
    <n v="1"/>
    <n v="1"/>
  </r>
  <r>
    <m/>
    <m/>
    <x v="1"/>
    <s v="85307977001005"/>
    <n v="-120.17"/>
    <n v="2062"/>
    <n v="1"/>
    <n v="1"/>
  </r>
  <r>
    <m/>
    <m/>
    <x v="1"/>
    <s v="85360992003005"/>
    <n v="-151.59"/>
    <n v="2601"/>
    <n v="1"/>
    <n v="1"/>
  </r>
  <r>
    <m/>
    <m/>
    <x v="1"/>
    <s v="85767727002001"/>
    <n v="-126.93"/>
    <n v="2178"/>
    <n v="1"/>
    <n v="1"/>
  </r>
  <r>
    <m/>
    <m/>
    <x v="1"/>
    <s v="85980006001001"/>
    <n v="-102.98"/>
    <n v="1767"/>
    <n v="1"/>
    <n v="1"/>
  </r>
  <r>
    <m/>
    <m/>
    <x v="1"/>
    <s v="86028893001003"/>
    <n v="-95.58"/>
    <n v="1640"/>
    <n v="1"/>
    <n v="1"/>
  </r>
  <r>
    <m/>
    <m/>
    <x v="1"/>
    <s v="86039754003001"/>
    <n v="-41.5"/>
    <n v="712"/>
    <n v="1"/>
    <n v="1"/>
  </r>
  <r>
    <m/>
    <m/>
    <x v="1"/>
    <s v="86090695001001"/>
    <n v="-21.21"/>
    <n v="364"/>
    <n v="1"/>
    <n v="1"/>
  </r>
  <r>
    <m/>
    <m/>
    <x v="1"/>
    <s v="86223556001003"/>
    <n v="-133.69"/>
    <n v="2294"/>
    <n v="1"/>
    <n v="1"/>
  </r>
  <r>
    <m/>
    <m/>
    <x v="1"/>
    <s v="86390002001003"/>
    <n v="-105.25"/>
    <n v="1806"/>
    <n v="1"/>
    <n v="1"/>
  </r>
  <r>
    <m/>
    <m/>
    <x v="1"/>
    <s v="86397266002003"/>
    <n v="-51"/>
    <n v="875"/>
    <n v="1"/>
    <n v="1"/>
  </r>
  <r>
    <m/>
    <m/>
    <x v="1"/>
    <s v="86415123001005"/>
    <n v="-157.47"/>
    <n v="2702"/>
    <n v="1"/>
    <n v="1"/>
  </r>
  <r>
    <m/>
    <m/>
    <x v="1"/>
    <s v="86437804001005"/>
    <n v="-40.15"/>
    <n v="689"/>
    <n v="1"/>
    <n v="1"/>
  </r>
  <r>
    <m/>
    <m/>
    <x v="1"/>
    <s v="86725672001005"/>
    <n v="-75.010000000000005"/>
    <n v="1287"/>
    <n v="1"/>
    <n v="1"/>
  </r>
  <r>
    <m/>
    <m/>
    <x v="1"/>
    <s v="86736871001001"/>
    <n v="-132.30000000000001"/>
    <n v="2270"/>
    <n v="1"/>
    <n v="1"/>
  </r>
  <r>
    <m/>
    <m/>
    <x v="1"/>
    <s v="86773366001001"/>
    <n v="-156.25"/>
    <n v="2681"/>
    <n v="1"/>
    <n v="1"/>
  </r>
  <r>
    <m/>
    <m/>
    <x v="1"/>
    <s v="86865469001001"/>
    <n v="-23.31"/>
    <n v="400"/>
    <n v="1"/>
    <n v="1"/>
  </r>
  <r>
    <m/>
    <m/>
    <x v="1"/>
    <s v="86983732001001"/>
    <n v="-164.99"/>
    <n v="2831"/>
    <n v="1"/>
    <n v="1"/>
  </r>
  <r>
    <m/>
    <m/>
    <x v="1"/>
    <s v="87014077001006"/>
    <n v="-90.74"/>
    <n v="1557"/>
    <n v="1"/>
    <n v="1"/>
  </r>
  <r>
    <m/>
    <m/>
    <x v="1"/>
    <s v="87032981001001"/>
    <n v="-74.540000000000006"/>
    <n v="1279"/>
    <n v="1"/>
    <n v="1"/>
  </r>
  <r>
    <m/>
    <m/>
    <x v="1"/>
    <s v="87048037006007"/>
    <n v="-160.56"/>
    <n v="2755"/>
    <n v="1"/>
    <n v="1"/>
  </r>
  <r>
    <m/>
    <m/>
    <x v="1"/>
    <s v="87070925001002"/>
    <n v="-71.39"/>
    <n v="1225"/>
    <n v="1"/>
    <n v="1"/>
  </r>
  <r>
    <m/>
    <m/>
    <x v="1"/>
    <s v="87315623001002"/>
    <n v="-86.25"/>
    <n v="1480"/>
    <n v="1"/>
    <n v="1"/>
  </r>
  <r>
    <m/>
    <m/>
    <x v="1"/>
    <s v="87380869001001"/>
    <n v="-106.36"/>
    <n v="1825"/>
    <n v="1"/>
    <n v="1"/>
  </r>
  <r>
    <m/>
    <m/>
    <x v="1"/>
    <s v="87418750001001"/>
    <n v="-137.25"/>
    <n v="2355"/>
    <n v="1"/>
    <n v="1"/>
  </r>
  <r>
    <m/>
    <m/>
    <x v="1"/>
    <s v="87544588001002"/>
    <n v="-58.69"/>
    <n v="1007"/>
    <n v="1"/>
    <n v="1"/>
  </r>
  <r>
    <m/>
    <m/>
    <x v="1"/>
    <s v="87551644002001"/>
    <n v="-95.17"/>
    <n v="1633"/>
    <n v="1"/>
    <n v="1"/>
  </r>
  <r>
    <m/>
    <m/>
    <x v="1"/>
    <s v="87687840001001"/>
    <n v="-20.98"/>
    <n v="360"/>
    <n v="1"/>
    <n v="1"/>
  </r>
  <r>
    <m/>
    <m/>
    <x v="1"/>
    <s v="87707939001001"/>
    <n v="-6.7"/>
    <n v="115"/>
    <n v="1"/>
    <n v="1"/>
  </r>
  <r>
    <m/>
    <m/>
    <x v="1"/>
    <s v="87791029001001"/>
    <n v="-78.040000000000006"/>
    <n v="1339"/>
    <n v="1"/>
    <n v="1"/>
  </r>
  <r>
    <m/>
    <m/>
    <x v="1"/>
    <s v="87810851004003"/>
    <n v="-185.21"/>
    <n v="3178"/>
    <n v="1"/>
    <n v="1"/>
  </r>
  <r>
    <m/>
    <m/>
    <x v="1"/>
    <s v="87815744002003"/>
    <n v="-123.61"/>
    <n v="2121"/>
    <n v="1"/>
    <n v="1"/>
  </r>
  <r>
    <m/>
    <m/>
    <x v="1"/>
    <s v="87834379001011"/>
    <n v="-6.53"/>
    <n v="112"/>
    <n v="1"/>
    <n v="1"/>
  </r>
  <r>
    <m/>
    <m/>
    <x v="1"/>
    <s v="88106567001003"/>
    <n v="-1.86"/>
    <n v="32"/>
    <n v="1"/>
    <n v="1"/>
  </r>
  <r>
    <m/>
    <m/>
    <x v="1"/>
    <s v="88179789001004"/>
    <n v="-118.54"/>
    <n v="2034"/>
    <n v="1"/>
    <n v="1"/>
  </r>
  <r>
    <m/>
    <m/>
    <x v="1"/>
    <s v="88269625001005"/>
    <n v="-26.46"/>
    <n v="454"/>
    <n v="1"/>
    <n v="1"/>
  </r>
  <r>
    <m/>
    <m/>
    <x v="1"/>
    <s v="88298279001006"/>
    <n v="-50.41"/>
    <n v="865"/>
    <n v="1"/>
    <n v="1"/>
  </r>
  <r>
    <m/>
    <m/>
    <x v="1"/>
    <s v="88386366001006"/>
    <n v="-58.28"/>
    <n v="1000"/>
    <n v="1"/>
    <n v="1"/>
  </r>
  <r>
    <m/>
    <m/>
    <x v="1"/>
    <s v="88585974001001"/>
    <n v="-146.4"/>
    <n v="2512"/>
    <n v="1"/>
    <n v="1"/>
  </r>
  <r>
    <m/>
    <m/>
    <x v="1"/>
    <s v="88695058001001"/>
    <n v="-117.14"/>
    <n v="2010"/>
    <n v="1"/>
    <n v="1"/>
  </r>
  <r>
    <m/>
    <m/>
    <x v="1"/>
    <s v="88706120001001"/>
    <n v="-125.65"/>
    <n v="2156"/>
    <n v="1"/>
    <n v="1"/>
  </r>
  <r>
    <m/>
    <m/>
    <x v="1"/>
    <s v="88772979001005"/>
    <n v="-32.049999999999997"/>
    <n v="550"/>
    <n v="1"/>
    <n v="1"/>
  </r>
  <r>
    <m/>
    <m/>
    <x v="1"/>
    <s v="88797325001004"/>
    <n v="-42.72"/>
    <n v="733"/>
    <n v="1"/>
    <n v="1"/>
  </r>
  <r>
    <m/>
    <m/>
    <x v="1"/>
    <s v="88822809001005"/>
    <n v="-107.7"/>
    <n v="1848"/>
    <n v="1"/>
    <n v="1"/>
  </r>
  <r>
    <m/>
    <m/>
    <x v="1"/>
    <s v="88854433001001"/>
    <n v="-51.46"/>
    <n v="883"/>
    <n v="1"/>
    <n v="1"/>
  </r>
  <r>
    <m/>
    <m/>
    <x v="1"/>
    <s v="88891691002011"/>
    <n v="-583.79"/>
    <n v="10017"/>
    <n v="1"/>
    <n v="1"/>
  </r>
  <r>
    <m/>
    <m/>
    <x v="1"/>
    <s v="89037466001001"/>
    <n v="-34.090000000000003"/>
    <n v="585"/>
    <n v="1"/>
    <n v="1"/>
  </r>
  <r>
    <m/>
    <m/>
    <x v="1"/>
    <s v="89128925001003"/>
    <n v="-37.770000000000003"/>
    <n v="648"/>
    <n v="1"/>
    <n v="1"/>
  </r>
  <r>
    <m/>
    <m/>
    <x v="1"/>
    <s v="89184529001001"/>
    <n v="-159.91999999999999"/>
    <n v="2744"/>
    <n v="1"/>
    <n v="1"/>
  </r>
  <r>
    <m/>
    <m/>
    <x v="1"/>
    <s v="89214483001001"/>
    <n v="-6.76"/>
    <n v="116"/>
    <n v="1"/>
    <n v="1"/>
  </r>
  <r>
    <m/>
    <m/>
    <x v="1"/>
    <s v="89224302002001"/>
    <n v="-119.77"/>
    <n v="2055"/>
    <n v="1"/>
    <n v="1"/>
  </r>
  <r>
    <m/>
    <m/>
    <x v="1"/>
    <s v="89432491001006"/>
    <n v="-108.23"/>
    <n v="1857"/>
    <n v="1"/>
    <n v="1"/>
  </r>
  <r>
    <m/>
    <m/>
    <x v="1"/>
    <s v="89456905001002"/>
    <n v="-94.47"/>
    <n v="1621"/>
    <n v="1"/>
    <n v="1"/>
  </r>
  <r>
    <m/>
    <m/>
    <x v="1"/>
    <s v="89597176008001"/>
    <n v="-184.51"/>
    <n v="3166"/>
    <n v="1"/>
    <n v="1"/>
  </r>
  <r>
    <m/>
    <m/>
    <x v="1"/>
    <s v="89703662001007"/>
    <n v="-7.29"/>
    <n v="125"/>
    <n v="1"/>
    <n v="1"/>
  </r>
  <r>
    <m/>
    <m/>
    <x v="1"/>
    <s v="89718018001006"/>
    <n v="-9.2100000000000009"/>
    <n v="158"/>
    <n v="1"/>
    <n v="1"/>
  </r>
  <r>
    <m/>
    <m/>
    <x v="1"/>
    <s v="89747832004001"/>
    <n v="-170.47"/>
    <n v="2925"/>
    <n v="1"/>
    <n v="1"/>
  </r>
  <r>
    <m/>
    <m/>
    <x v="1"/>
    <s v="89769832001004"/>
    <n v="-59.33"/>
    <n v="1018"/>
    <n v="1"/>
    <n v="1"/>
  </r>
  <r>
    <m/>
    <m/>
    <x v="1"/>
    <s v="89805136001001"/>
    <n v="-246.76"/>
    <n v="4234"/>
    <n v="1"/>
    <n v="1"/>
  </r>
  <r>
    <m/>
    <m/>
    <x v="1"/>
    <s v="89843398001002"/>
    <n v="-139.06"/>
    <n v="2386"/>
    <n v="1"/>
    <n v="1"/>
  </r>
  <r>
    <m/>
    <m/>
    <x v="1"/>
    <s v="89870121001001"/>
    <n v="-98.43"/>
    <n v="1689"/>
    <n v="1"/>
    <n v="1"/>
  </r>
  <r>
    <m/>
    <m/>
    <x v="1"/>
    <s v="89900422001003"/>
    <n v="-50.53"/>
    <n v="867"/>
    <n v="1"/>
    <n v="1"/>
  </r>
  <r>
    <m/>
    <m/>
    <x v="1"/>
    <s v="89916310001001"/>
    <n v="-15.39"/>
    <n v="264"/>
    <n v="1"/>
    <n v="1"/>
  </r>
  <r>
    <m/>
    <m/>
    <x v="1"/>
    <s v="89962058001001"/>
    <n v="-178.22"/>
    <n v="3058"/>
    <n v="1"/>
    <n v="1"/>
  </r>
  <r>
    <m/>
    <m/>
    <x v="1"/>
    <s v="89999378009001"/>
    <n v="-38.869999999999997"/>
    <n v="667"/>
    <n v="1"/>
    <n v="1"/>
  </r>
  <r>
    <m/>
    <m/>
    <x v="1"/>
    <s v="90024059001003"/>
    <n v="-86.84"/>
    <n v="1490"/>
    <n v="1"/>
    <n v="1"/>
  </r>
  <r>
    <m/>
    <m/>
    <x v="1"/>
    <s v="90115475001003"/>
    <n v="-45.46"/>
    <n v="780"/>
    <n v="1"/>
    <n v="1"/>
  </r>
  <r>
    <m/>
    <m/>
    <x v="1"/>
    <s v="90244033001001"/>
    <n v="-15.09"/>
    <n v="259"/>
    <n v="1"/>
    <n v="1"/>
  </r>
  <r>
    <m/>
    <m/>
    <x v="1"/>
    <s v="90376961001005"/>
    <n v="-112.42"/>
    <n v="1929"/>
    <n v="1"/>
    <n v="1"/>
  </r>
  <r>
    <m/>
    <m/>
    <x v="1"/>
    <s v="90381406001001"/>
    <n v="-43.77"/>
    <n v="751"/>
    <n v="1"/>
    <n v="1"/>
  </r>
  <r>
    <m/>
    <m/>
    <x v="1"/>
    <s v="90421000005001"/>
    <n v="-112.25"/>
    <n v="1926"/>
    <n v="1"/>
    <n v="1"/>
  </r>
  <r>
    <m/>
    <m/>
    <x v="1"/>
    <s v="90593570008003"/>
    <n v="-150.77000000000001"/>
    <n v="2587"/>
    <n v="1"/>
    <n v="1"/>
  </r>
  <r>
    <m/>
    <m/>
    <x v="1"/>
    <s v="90718040001001"/>
    <n v="-134.1"/>
    <n v="2301"/>
    <n v="1"/>
    <n v="1"/>
  </r>
  <r>
    <m/>
    <m/>
    <x v="1"/>
    <s v="90725573001001"/>
    <n v="-73.08"/>
    <n v="1254"/>
    <n v="1"/>
    <n v="1"/>
  </r>
  <r>
    <m/>
    <m/>
    <x v="1"/>
    <s v="90729873001001"/>
    <n v="-38"/>
    <n v="652"/>
    <n v="1"/>
    <n v="1"/>
  </r>
  <r>
    <m/>
    <m/>
    <x v="1"/>
    <s v="90740546001001"/>
    <n v="-154.72999999999999"/>
    <n v="2655"/>
    <n v="1"/>
    <n v="1"/>
  </r>
  <r>
    <m/>
    <m/>
    <x v="1"/>
    <s v="91085873002001"/>
    <n v="-30.36"/>
    <n v="521"/>
    <n v="1"/>
    <n v="1"/>
  </r>
  <r>
    <m/>
    <m/>
    <x v="1"/>
    <s v="91168263001001"/>
    <n v="-204.97"/>
    <n v="3517"/>
    <n v="1"/>
    <n v="1"/>
  </r>
  <r>
    <m/>
    <m/>
    <x v="1"/>
    <s v="91237440001003"/>
    <n v="-96.28"/>
    <n v="1652"/>
    <n v="1"/>
    <n v="1"/>
  </r>
  <r>
    <m/>
    <m/>
    <x v="1"/>
    <s v="91441345001005"/>
    <n v="-163.18"/>
    <n v="2800"/>
    <n v="1"/>
    <n v="1"/>
  </r>
  <r>
    <m/>
    <m/>
    <x v="1"/>
    <s v="91634459001003"/>
    <n v="-98.96"/>
    <n v="1698"/>
    <n v="1"/>
    <n v="1"/>
  </r>
  <r>
    <m/>
    <m/>
    <x v="1"/>
    <s v="91659027002001"/>
    <n v="-108.87"/>
    <n v="1868"/>
    <n v="1"/>
    <n v="1"/>
  </r>
  <r>
    <m/>
    <m/>
    <x v="1"/>
    <s v="91686493001001"/>
    <n v="-82.06"/>
    <n v="1408"/>
    <n v="1"/>
    <n v="1"/>
  </r>
  <r>
    <m/>
    <m/>
    <x v="1"/>
    <s v="91694661001009"/>
    <n v="-56.53"/>
    <n v="970"/>
    <n v="1"/>
    <n v="1"/>
  </r>
  <r>
    <m/>
    <m/>
    <x v="1"/>
    <s v="91708621001001"/>
    <n v="-112.83"/>
    <n v="1936"/>
    <n v="1"/>
    <n v="1"/>
  </r>
  <r>
    <m/>
    <m/>
    <x v="1"/>
    <s v="91847159001001"/>
    <n v="-41.61"/>
    <n v="714"/>
    <n v="1"/>
    <n v="1"/>
  </r>
  <r>
    <m/>
    <m/>
    <x v="1"/>
    <s v="91895802001005"/>
    <n v="-52.8"/>
    <n v="906"/>
    <n v="1"/>
    <n v="1"/>
  </r>
  <r>
    <m/>
    <m/>
    <x v="1"/>
    <s v="92103491001001"/>
    <n v="-153.57"/>
    <n v="2635"/>
    <n v="1"/>
    <n v="1"/>
  </r>
  <r>
    <m/>
    <m/>
    <x v="1"/>
    <s v="92139692001003"/>
    <n v="-271.52999999999997"/>
    <n v="4659"/>
    <n v="1"/>
    <n v="1"/>
  </r>
  <r>
    <m/>
    <m/>
    <x v="1"/>
    <s v="92227325006001"/>
    <n v="-191.51"/>
    <n v="3286"/>
    <n v="1"/>
    <n v="1"/>
  </r>
  <r>
    <m/>
    <m/>
    <x v="1"/>
    <s v="92297397002002"/>
    <n v="-120.99"/>
    <n v="2076"/>
    <n v="1"/>
    <n v="1"/>
  </r>
  <r>
    <m/>
    <m/>
    <x v="1"/>
    <s v="92335711002001"/>
    <n v="-25.64"/>
    <n v="440"/>
    <n v="1"/>
    <n v="1"/>
  </r>
  <r>
    <m/>
    <m/>
    <x v="1"/>
    <s v="92360208002001"/>
    <n v="-47.96"/>
    <n v="823"/>
    <n v="1"/>
    <n v="1"/>
  </r>
  <r>
    <m/>
    <m/>
    <x v="1"/>
    <s v="92399017001001"/>
    <n v="-78.27"/>
    <n v="1343"/>
    <n v="1"/>
    <n v="1"/>
  </r>
  <r>
    <m/>
    <m/>
    <x v="1"/>
    <s v="92643112001001"/>
    <n v="-21.45"/>
    <n v="368"/>
    <n v="1"/>
    <n v="1"/>
  </r>
  <r>
    <m/>
    <m/>
    <x v="1"/>
    <s v="92665096001001"/>
    <n v="-134.74"/>
    <n v="2312"/>
    <n v="1"/>
    <n v="1"/>
  </r>
  <r>
    <m/>
    <m/>
    <x v="1"/>
    <s v="92873766001005"/>
    <n v="-82.12"/>
    <n v="1409"/>
    <n v="1"/>
    <n v="1"/>
  </r>
  <r>
    <m/>
    <m/>
    <x v="1"/>
    <s v="92962587001001"/>
    <n v="-216.74"/>
    <n v="3719"/>
    <n v="1"/>
    <n v="1"/>
  </r>
  <r>
    <m/>
    <m/>
    <x v="1"/>
    <s v="92973520001003"/>
    <n v="-44.58"/>
    <n v="765"/>
    <n v="1"/>
    <n v="1"/>
  </r>
  <r>
    <m/>
    <m/>
    <x v="1"/>
    <s v="93164650004007"/>
    <n v="-108.23"/>
    <n v="1857"/>
    <n v="1"/>
    <n v="1"/>
  </r>
  <r>
    <m/>
    <m/>
    <x v="1"/>
    <s v="93304243002003"/>
    <n v="-280.85000000000002"/>
    <n v="4819"/>
    <n v="1"/>
    <n v="1"/>
  </r>
  <r>
    <m/>
    <m/>
    <x v="1"/>
    <s v="93368775001001"/>
    <n v="-52.04"/>
    <n v="893"/>
    <n v="1"/>
    <n v="1"/>
  </r>
  <r>
    <m/>
    <m/>
    <x v="1"/>
    <s v="93387211001009"/>
    <n v="-72.44"/>
    <n v="1243"/>
    <n v="1"/>
    <n v="1"/>
  </r>
  <r>
    <m/>
    <m/>
    <x v="1"/>
    <s v="93477594002001"/>
    <n v="-50.76"/>
    <n v="871"/>
    <n v="1"/>
    <n v="1"/>
  </r>
  <r>
    <m/>
    <m/>
    <x v="1"/>
    <s v="93594305001003"/>
    <n v="-49.48"/>
    <n v="849"/>
    <n v="1"/>
    <n v="1"/>
  </r>
  <r>
    <m/>
    <m/>
    <x v="1"/>
    <s v="93626551001002"/>
    <n v="-36.08"/>
    <n v="619"/>
    <n v="1"/>
    <n v="1"/>
  </r>
  <r>
    <m/>
    <m/>
    <x v="1"/>
    <s v="93813014002001"/>
    <n v="-309.12"/>
    <n v="5304"/>
    <n v="1"/>
    <n v="1"/>
  </r>
  <r>
    <m/>
    <m/>
    <x v="1"/>
    <s v="93981586001007"/>
    <n v="-171.17"/>
    <n v="2937"/>
    <n v="1"/>
    <n v="1"/>
  </r>
  <r>
    <m/>
    <m/>
    <x v="1"/>
    <s v="94072499001003"/>
    <n v="-222.8"/>
    <n v="3823"/>
    <n v="1"/>
    <n v="1"/>
  </r>
  <r>
    <m/>
    <m/>
    <x v="1"/>
    <s v="94122890001001"/>
    <n v="-31"/>
    <n v="532"/>
    <n v="1"/>
    <n v="1"/>
  </r>
  <r>
    <m/>
    <m/>
    <x v="1"/>
    <s v="94236722001001"/>
    <n v="-123.96"/>
    <n v="2127"/>
    <n v="1"/>
    <n v="1"/>
  </r>
  <r>
    <m/>
    <m/>
    <x v="1"/>
    <s v="94287883002008"/>
    <n v="-42.19"/>
    <n v="724"/>
    <n v="1"/>
    <n v="1"/>
  </r>
  <r>
    <m/>
    <m/>
    <x v="1"/>
    <s v="94290285002001"/>
    <n v="-92.37"/>
    <n v="1585"/>
    <n v="1"/>
    <n v="1"/>
  </r>
  <r>
    <m/>
    <m/>
    <x v="1"/>
    <s v="94305261001003"/>
    <n v="-100.36"/>
    <n v="1722"/>
    <n v="1"/>
    <n v="1"/>
  </r>
  <r>
    <m/>
    <m/>
    <x v="1"/>
    <s v="94338453002003"/>
    <n v="-154.85"/>
    <n v="2657"/>
    <n v="1"/>
    <n v="1"/>
  </r>
  <r>
    <m/>
    <m/>
    <x v="1"/>
    <s v="94383332001012"/>
    <n v="-122.68"/>
    <n v="2105"/>
    <n v="1"/>
    <n v="1"/>
  </r>
  <r>
    <m/>
    <m/>
    <x v="1"/>
    <s v="94462558005001"/>
    <n v="-5.59"/>
    <n v="96"/>
    <n v="1"/>
    <n v="1"/>
  </r>
  <r>
    <m/>
    <m/>
    <x v="1"/>
    <s v="94464191001001"/>
    <n v="-71.63"/>
    <n v="1229"/>
    <n v="1"/>
    <n v="1"/>
  </r>
  <r>
    <m/>
    <m/>
    <x v="1"/>
    <s v="94495822001011"/>
    <n v="-49.01"/>
    <n v="841"/>
    <n v="1"/>
    <n v="1"/>
  </r>
  <r>
    <m/>
    <m/>
    <x v="1"/>
    <s v="94535473001005"/>
    <n v="-78.5"/>
    <n v="1347"/>
    <n v="1"/>
    <n v="1"/>
  </r>
  <r>
    <m/>
    <m/>
    <x v="1"/>
    <s v="94600455002001"/>
    <n v="-210.16"/>
    <n v="3606"/>
    <n v="1"/>
    <n v="1"/>
  </r>
  <r>
    <m/>
    <m/>
    <x v="1"/>
    <s v="94648149001003"/>
    <n v="-71.739999999999995"/>
    <n v="1231"/>
    <n v="1"/>
    <n v="1"/>
  </r>
  <r>
    <m/>
    <m/>
    <x v="1"/>
    <s v="94670446001001"/>
    <n v="-66.91"/>
    <n v="1148"/>
    <n v="1"/>
    <n v="1"/>
  </r>
  <r>
    <m/>
    <m/>
    <x v="1"/>
    <s v="94788572001004"/>
    <n v="-126.76"/>
    <n v="2175"/>
    <n v="1"/>
    <n v="1"/>
  </r>
  <r>
    <m/>
    <m/>
    <x v="1"/>
    <s v="94794096001013"/>
    <n v="-147.38999999999999"/>
    <n v="2529"/>
    <n v="1"/>
    <n v="1"/>
  </r>
  <r>
    <m/>
    <m/>
    <x v="1"/>
    <s v="94900294001001"/>
    <n v="-226.36"/>
    <n v="3884"/>
    <n v="1"/>
    <n v="1"/>
  </r>
  <r>
    <m/>
    <m/>
    <x v="1"/>
    <s v="95019430001001"/>
    <n v="-160.04"/>
    <n v="2746"/>
    <n v="1"/>
    <n v="1"/>
  </r>
  <r>
    <m/>
    <m/>
    <x v="1"/>
    <s v="95248906001001"/>
    <n v="-102.51"/>
    <n v="1759"/>
    <n v="1"/>
    <n v="1"/>
  </r>
  <r>
    <m/>
    <m/>
    <x v="1"/>
    <s v="95273141001001"/>
    <n v="-174.84"/>
    <n v="3000"/>
    <n v="1"/>
    <n v="1"/>
  </r>
  <r>
    <m/>
    <m/>
    <x v="1"/>
    <s v="95315181001001"/>
    <n v="-20.51"/>
    <n v="352"/>
    <n v="1"/>
    <n v="1"/>
  </r>
  <r>
    <m/>
    <m/>
    <x v="1"/>
    <s v="95382413001005"/>
    <n v="-58.57"/>
    <n v="1005"/>
    <n v="1"/>
    <n v="1"/>
  </r>
  <r>
    <m/>
    <m/>
    <x v="1"/>
    <s v="95629019002003"/>
    <n v="-58.28"/>
    <n v="1000"/>
    <n v="1"/>
    <n v="1"/>
  </r>
  <r>
    <m/>
    <m/>
    <x v="1"/>
    <s v="95833037001003"/>
    <n v="-52.51"/>
    <n v="901"/>
    <n v="1"/>
    <n v="1"/>
  </r>
  <r>
    <m/>
    <m/>
    <x v="1"/>
    <s v="95880839001001"/>
    <n v="-21.86"/>
    <n v="375"/>
    <n v="1"/>
    <n v="1"/>
  </r>
  <r>
    <m/>
    <m/>
    <x v="1"/>
    <s v="95983524001002"/>
    <n v="-178.86"/>
    <n v="3069"/>
    <n v="1"/>
    <n v="1"/>
  </r>
  <r>
    <m/>
    <m/>
    <x v="1"/>
    <s v="96031734001001"/>
    <n v="-119.59"/>
    <n v="2052"/>
    <n v="1"/>
    <n v="1"/>
  </r>
  <r>
    <m/>
    <m/>
    <x v="1"/>
    <s v="96145942001001"/>
    <n v="-12.41"/>
    <n v="213"/>
    <n v="1"/>
    <n v="1"/>
  </r>
  <r>
    <m/>
    <m/>
    <x v="1"/>
    <s v="96326521001007"/>
    <n v="-37.119999999999997"/>
    <n v="637"/>
    <n v="1"/>
    <n v="1"/>
  </r>
  <r>
    <m/>
    <m/>
    <x v="1"/>
    <s v="96426781002003"/>
    <n v="-54.49"/>
    <n v="935"/>
    <n v="1"/>
    <n v="1"/>
  </r>
  <r>
    <m/>
    <m/>
    <x v="1"/>
    <s v="96489324001005"/>
    <n v="-41.26"/>
    <n v="708"/>
    <n v="1"/>
    <n v="1"/>
  </r>
  <r>
    <m/>
    <m/>
    <x v="1"/>
    <s v="96526669001001"/>
    <n v="-22.9"/>
    <n v="393"/>
    <n v="1"/>
    <n v="1"/>
  </r>
  <r>
    <m/>
    <m/>
    <x v="1"/>
    <s v="96583136006003"/>
    <n v="-38.58"/>
    <n v="662"/>
    <n v="1"/>
    <n v="1"/>
  </r>
  <r>
    <m/>
    <m/>
    <x v="1"/>
    <s v="96609922001004"/>
    <n v="-60.49"/>
    <n v="1038"/>
    <n v="1"/>
    <n v="1"/>
  </r>
  <r>
    <m/>
    <m/>
    <x v="1"/>
    <s v="96626642003001"/>
    <n v="-1.34"/>
    <n v="23"/>
    <n v="1"/>
    <n v="1"/>
  </r>
  <r>
    <m/>
    <m/>
    <x v="1"/>
    <s v="96660241001001"/>
    <n v="-113.59"/>
    <n v="1949"/>
    <n v="1"/>
    <n v="1"/>
  </r>
  <r>
    <m/>
    <m/>
    <x v="1"/>
    <s v="96664201001004"/>
    <n v="-87.83"/>
    <n v="1507"/>
    <n v="1"/>
    <n v="1"/>
  </r>
  <r>
    <m/>
    <m/>
    <x v="1"/>
    <s v="96678659001003"/>
    <n v="-131.41999999999999"/>
    <n v="2255"/>
    <n v="1"/>
    <n v="1"/>
  </r>
  <r>
    <m/>
    <m/>
    <x v="1"/>
    <s v="96696838001001"/>
    <n v="-127.34"/>
    <n v="2185"/>
    <n v="1"/>
    <n v="1"/>
  </r>
  <r>
    <m/>
    <m/>
    <x v="1"/>
    <s v="96759256001001"/>
    <n v="-85.5"/>
    <n v="1467"/>
    <n v="1"/>
    <n v="1"/>
  </r>
  <r>
    <m/>
    <m/>
    <x v="1"/>
    <s v="96913407001002"/>
    <n v="-31.41"/>
    <n v="539"/>
    <n v="1"/>
    <n v="1"/>
  </r>
  <r>
    <m/>
    <m/>
    <x v="1"/>
    <s v="96956354001001"/>
    <n v="-147.86000000000001"/>
    <n v="2537"/>
    <n v="1"/>
    <n v="1"/>
  </r>
  <r>
    <m/>
    <m/>
    <x v="1"/>
    <s v="96958659001002"/>
    <n v="-81.53"/>
    <n v="1399"/>
    <n v="1"/>
    <n v="1"/>
  </r>
  <r>
    <m/>
    <m/>
    <x v="1"/>
    <s v="97014070001001"/>
    <n v="-40.85"/>
    <n v="701"/>
    <n v="1"/>
    <n v="1"/>
  </r>
  <r>
    <m/>
    <m/>
    <x v="1"/>
    <s v="97019963001004"/>
    <n v="-131.47999999999999"/>
    <n v="2256"/>
    <n v="1"/>
    <n v="1"/>
  </r>
  <r>
    <m/>
    <m/>
    <x v="1"/>
    <s v="97071150001005"/>
    <n v="-24.19"/>
    <n v="415"/>
    <n v="1"/>
    <n v="1"/>
  </r>
  <r>
    <m/>
    <m/>
    <x v="1"/>
    <s v="97203407001003"/>
    <n v="-76.75"/>
    <n v="1317"/>
    <n v="1"/>
    <n v="1"/>
  </r>
  <r>
    <m/>
    <m/>
    <x v="1"/>
    <s v="97231261001003"/>
    <n v="-144.41999999999999"/>
    <n v="2478"/>
    <n v="1"/>
    <n v="1"/>
  </r>
  <r>
    <m/>
    <m/>
    <x v="1"/>
    <s v="97512804001001"/>
    <n v="-33.1"/>
    <n v="568"/>
    <n v="1"/>
    <n v="1"/>
  </r>
  <r>
    <m/>
    <m/>
    <x v="1"/>
    <s v="97514722001003"/>
    <n v="-157.76"/>
    <n v="2707"/>
    <n v="1"/>
    <n v="1"/>
  </r>
  <r>
    <m/>
    <m/>
    <x v="1"/>
    <s v="97610141001001"/>
    <n v="-93.25"/>
    <n v="1600"/>
    <n v="1"/>
    <n v="1"/>
  </r>
  <r>
    <m/>
    <m/>
    <x v="1"/>
    <s v="97610955001003"/>
    <n v="-3.21"/>
    <n v="55"/>
    <n v="1"/>
    <n v="1"/>
  </r>
  <r>
    <m/>
    <m/>
    <x v="1"/>
    <s v="97655232002004"/>
    <n v="-146.81"/>
    <n v="2519"/>
    <n v="1"/>
    <n v="1"/>
  </r>
  <r>
    <m/>
    <m/>
    <x v="1"/>
    <s v="97678050001005"/>
    <n v="-148.09"/>
    <n v="2541"/>
    <n v="1"/>
    <n v="1"/>
  </r>
  <r>
    <m/>
    <m/>
    <x v="1"/>
    <s v="97876560004001"/>
    <n v="-169.42"/>
    <n v="2907"/>
    <n v="1"/>
    <n v="1"/>
  </r>
  <r>
    <m/>
    <m/>
    <x v="1"/>
    <s v="97905025001001"/>
    <n v="-24.65"/>
    <n v="423"/>
    <n v="1"/>
    <n v="1"/>
  </r>
  <r>
    <m/>
    <m/>
    <x v="1"/>
    <s v="97956025003003"/>
    <n v="-71.28"/>
    <n v="1223"/>
    <n v="1"/>
    <n v="1"/>
  </r>
  <r>
    <m/>
    <m/>
    <x v="1"/>
    <s v="97968796004005"/>
    <n v="-99.13"/>
    <n v="1701"/>
    <n v="1"/>
    <n v="1"/>
  </r>
  <r>
    <m/>
    <m/>
    <x v="1"/>
    <s v="98256974001001"/>
    <n v="-0.52"/>
    <n v="9"/>
    <n v="1"/>
    <n v="1"/>
  </r>
  <r>
    <m/>
    <m/>
    <x v="1"/>
    <s v="98374511001001"/>
    <n v="-84.39"/>
    <n v="1448"/>
    <n v="1"/>
    <n v="1"/>
  </r>
  <r>
    <m/>
    <m/>
    <x v="1"/>
    <s v="98499617005001"/>
    <n v="-68.36"/>
    <n v="1173"/>
    <n v="1"/>
    <n v="1"/>
  </r>
  <r>
    <m/>
    <m/>
    <x v="1"/>
    <s v="98567491001001"/>
    <n v="-73.02"/>
    <n v="1253"/>
    <n v="1"/>
    <n v="1"/>
  </r>
  <r>
    <m/>
    <m/>
    <x v="1"/>
    <s v="98734416001003"/>
    <n v="-156.71"/>
    <n v="2689"/>
    <n v="1"/>
    <n v="1"/>
  </r>
  <r>
    <m/>
    <m/>
    <x v="1"/>
    <s v="98925007001003"/>
    <n v="-120.52"/>
    <n v="2068"/>
    <n v="1"/>
    <n v="1"/>
  </r>
  <r>
    <m/>
    <m/>
    <x v="1"/>
    <s v="99086775001001"/>
    <n v="-77.16"/>
    <n v="1324"/>
    <n v="1"/>
    <n v="1"/>
  </r>
  <r>
    <m/>
    <m/>
    <x v="1"/>
    <s v="99107518001001"/>
    <n v="-21.74"/>
    <n v="373"/>
    <n v="1"/>
    <n v="1"/>
  </r>
  <r>
    <m/>
    <m/>
    <x v="1"/>
    <s v="99207126001001"/>
    <n v="-176.94"/>
    <n v="3036"/>
    <n v="1"/>
    <n v="1"/>
  </r>
  <r>
    <m/>
    <m/>
    <x v="1"/>
    <s v="99342816001009"/>
    <n v="-14.34"/>
    <n v="246"/>
    <n v="1"/>
    <n v="1"/>
  </r>
  <r>
    <m/>
    <m/>
    <x v="1"/>
    <s v="99398410001007"/>
    <n v="-82.58"/>
    <n v="1417"/>
    <n v="1"/>
    <n v="1"/>
  </r>
  <r>
    <m/>
    <m/>
    <x v="1"/>
    <s v="99409195002001"/>
    <n v="-72.09"/>
    <n v="1237"/>
    <n v="1"/>
    <n v="1"/>
  </r>
  <r>
    <m/>
    <m/>
    <x v="1"/>
    <s v="99442912002003"/>
    <n v="-121.63"/>
    <n v="2087"/>
    <n v="1"/>
    <n v="1"/>
  </r>
  <r>
    <m/>
    <m/>
    <x v="1"/>
    <s v="99456731002005"/>
    <n v="-108.34"/>
    <n v="1859"/>
    <n v="1"/>
    <n v="1"/>
  </r>
  <r>
    <m/>
    <m/>
    <x v="1"/>
    <s v="99576705001002"/>
    <n v="-51.46"/>
    <n v="883"/>
    <n v="1"/>
    <n v="1"/>
  </r>
  <r>
    <m/>
    <m/>
    <x v="1"/>
    <s v="99777701001004"/>
    <n v="-76.290000000000006"/>
    <n v="1309"/>
    <n v="1"/>
    <n v="1"/>
  </r>
  <r>
    <m/>
    <m/>
    <x v="6"/>
    <m/>
    <n v="-142774.36999999973"/>
    <n v="2449803"/>
    <n v="1472"/>
    <n v="1469"/>
  </r>
  <r>
    <m/>
    <s v="201302"/>
    <x v="0"/>
    <s v="00237051001001"/>
    <n v="-14.38"/>
    <n v="587"/>
    <n v="1"/>
    <n v="1"/>
  </r>
  <r>
    <m/>
    <m/>
    <x v="1"/>
    <s v="00388467001002"/>
    <n v="-34.64"/>
    <n v="1414"/>
    <n v="1"/>
    <n v="1"/>
  </r>
  <r>
    <m/>
    <m/>
    <x v="1"/>
    <s v="00416718001001"/>
    <n v="-79.31"/>
    <n v="3237"/>
    <n v="1"/>
    <n v="1"/>
  </r>
  <r>
    <m/>
    <m/>
    <x v="1"/>
    <s v="00447035006001"/>
    <n v="-51.25"/>
    <n v="2092"/>
    <n v="1"/>
    <n v="1"/>
  </r>
  <r>
    <m/>
    <m/>
    <x v="1"/>
    <s v="00785166001003"/>
    <n v="-6.25"/>
    <n v="255"/>
    <n v="1"/>
    <n v="1"/>
  </r>
  <r>
    <m/>
    <m/>
    <x v="1"/>
    <s v="00969996001001"/>
    <n v="-15.26"/>
    <n v="623"/>
    <n v="1"/>
    <n v="1"/>
  </r>
  <r>
    <m/>
    <m/>
    <x v="1"/>
    <s v="01063383001003"/>
    <n v="-30.18"/>
    <n v="1232"/>
    <n v="1"/>
    <n v="1"/>
  </r>
  <r>
    <m/>
    <m/>
    <x v="1"/>
    <s v="01128497001005"/>
    <n v="-56.37"/>
    <n v="2301"/>
    <n v="1"/>
    <n v="1"/>
  </r>
  <r>
    <m/>
    <m/>
    <x v="1"/>
    <s v="01164114001001"/>
    <n v="-71.2"/>
    <n v="2906"/>
    <n v="1"/>
    <n v="1"/>
  </r>
  <r>
    <m/>
    <m/>
    <x v="1"/>
    <s v="01423270002001"/>
    <n v="-45.25"/>
    <n v="1847"/>
    <n v="1"/>
    <n v="1"/>
  </r>
  <r>
    <m/>
    <m/>
    <x v="1"/>
    <s v="01883451001001"/>
    <n v="-30.31"/>
    <n v="1237"/>
    <n v="1"/>
    <n v="1"/>
  </r>
  <r>
    <m/>
    <m/>
    <x v="1"/>
    <s v="01930076001001"/>
    <n v="-23.59"/>
    <n v="963"/>
    <n v="1"/>
    <n v="1"/>
  </r>
  <r>
    <m/>
    <m/>
    <x v="1"/>
    <s v="01947250001001"/>
    <n v="-18.47"/>
    <n v="754"/>
    <n v="1"/>
    <n v="1"/>
  </r>
  <r>
    <m/>
    <m/>
    <x v="1"/>
    <s v="02018025004001"/>
    <n v="-66.62"/>
    <n v="2719"/>
    <n v="1"/>
    <n v="1"/>
  </r>
  <r>
    <m/>
    <m/>
    <x v="1"/>
    <s v="02367690001003"/>
    <n v="-54.49"/>
    <n v="2224"/>
    <n v="1"/>
    <n v="1"/>
  </r>
  <r>
    <m/>
    <m/>
    <x v="1"/>
    <s v="02947249002001"/>
    <n v="-19.09"/>
    <n v="779"/>
    <n v="1"/>
    <n v="1"/>
  </r>
  <r>
    <m/>
    <m/>
    <x v="1"/>
    <s v="03556592002007"/>
    <n v="-9.43"/>
    <n v="385"/>
    <n v="1"/>
    <n v="1"/>
  </r>
  <r>
    <m/>
    <m/>
    <x v="1"/>
    <s v="03566581001003"/>
    <n v="-56.67"/>
    <n v="2313"/>
    <n v="1"/>
    <n v="1"/>
  </r>
  <r>
    <m/>
    <m/>
    <x v="1"/>
    <s v="03799095002001"/>
    <n v="-33.81"/>
    <n v="1380"/>
    <n v="1"/>
    <n v="1"/>
  </r>
  <r>
    <m/>
    <m/>
    <x v="1"/>
    <s v="03819092002003"/>
    <n v="-21.17"/>
    <n v="864"/>
    <n v="1"/>
    <n v="1"/>
  </r>
  <r>
    <m/>
    <m/>
    <x v="1"/>
    <s v="03931679001001"/>
    <n v="-36.51"/>
    <n v="1490"/>
    <n v="1"/>
    <n v="1"/>
  </r>
  <r>
    <m/>
    <m/>
    <x v="1"/>
    <s v="03991437001001"/>
    <n v="-23.35"/>
    <n v="953"/>
    <n v="1"/>
    <n v="1"/>
  </r>
  <r>
    <m/>
    <m/>
    <x v="1"/>
    <s v="04193072001001"/>
    <n v="-42.41"/>
    <n v="1731"/>
    <n v="1"/>
    <n v="1"/>
  </r>
  <r>
    <m/>
    <m/>
    <x v="1"/>
    <s v="04205533001001"/>
    <n v="-49.69"/>
    <n v="2028"/>
    <n v="1"/>
    <n v="1"/>
  </r>
  <r>
    <m/>
    <m/>
    <x v="1"/>
    <s v="04316925001003"/>
    <n v="-44.27"/>
    <n v="1807"/>
    <n v="1"/>
    <n v="1"/>
  </r>
  <r>
    <m/>
    <m/>
    <x v="1"/>
    <s v="04347740001005"/>
    <n v="-60.07"/>
    <n v="2452"/>
    <n v="1"/>
    <n v="1"/>
  </r>
  <r>
    <m/>
    <m/>
    <x v="1"/>
    <s v="04886136001001"/>
    <n v="-21.27"/>
    <n v="868"/>
    <n v="1"/>
    <n v="1"/>
  </r>
  <r>
    <m/>
    <m/>
    <x v="1"/>
    <s v="04891223001003"/>
    <n v="-16.12"/>
    <n v="658"/>
    <n v="1"/>
    <n v="1"/>
  </r>
  <r>
    <m/>
    <m/>
    <x v="1"/>
    <s v="05135552001001"/>
    <n v="-45.99"/>
    <n v="1877"/>
    <n v="1"/>
    <n v="1"/>
  </r>
  <r>
    <m/>
    <m/>
    <x v="1"/>
    <s v="05169515001001"/>
    <n v="-11.66"/>
    <n v="476"/>
    <n v="1"/>
    <n v="1"/>
  </r>
  <r>
    <m/>
    <m/>
    <x v="1"/>
    <s v="05631665002001"/>
    <n v="-25.43"/>
    <n v="1038"/>
    <n v="1"/>
    <n v="1"/>
  </r>
  <r>
    <m/>
    <m/>
    <x v="1"/>
    <s v="05867332001001"/>
    <n v="-39.67"/>
    <n v="1619"/>
    <n v="1"/>
    <n v="1"/>
  </r>
  <r>
    <m/>
    <m/>
    <x v="1"/>
    <s v="05918137001001"/>
    <n v="-6.13"/>
    <n v="250"/>
    <n v="1"/>
    <n v="1"/>
  </r>
  <r>
    <m/>
    <m/>
    <x v="1"/>
    <s v="05950340001002"/>
    <n v="-38.64"/>
    <n v="1577"/>
    <n v="1"/>
    <n v="1"/>
  </r>
  <r>
    <m/>
    <m/>
    <x v="1"/>
    <s v="06087532001006"/>
    <n v="-38.47"/>
    <n v="1570"/>
    <n v="1"/>
    <n v="1"/>
  </r>
  <r>
    <m/>
    <m/>
    <x v="1"/>
    <s v="06155229001001"/>
    <n v="-9.2899999999999991"/>
    <n v="379"/>
    <n v="1"/>
    <n v="1"/>
  </r>
  <r>
    <m/>
    <m/>
    <x v="1"/>
    <s v="06414889001004"/>
    <n v="-41.92"/>
    <n v="1711"/>
    <n v="1"/>
    <n v="1"/>
  </r>
  <r>
    <m/>
    <m/>
    <x v="1"/>
    <s v="06525325001005"/>
    <n v="-53.53"/>
    <n v="2185"/>
    <n v="1"/>
    <n v="1"/>
  </r>
  <r>
    <m/>
    <m/>
    <x v="1"/>
    <s v="06546723004003"/>
    <n v="-65.22"/>
    <n v="2662"/>
    <n v="1"/>
    <n v="1"/>
  </r>
  <r>
    <m/>
    <m/>
    <x v="1"/>
    <s v="06547490001007"/>
    <n v="-18.329999999999998"/>
    <n v="748"/>
    <n v="1"/>
    <n v="1"/>
  </r>
  <r>
    <m/>
    <m/>
    <x v="1"/>
    <s v="06618747003005"/>
    <n v="-44.12"/>
    <n v="1801"/>
    <n v="1"/>
    <n v="1"/>
  </r>
  <r>
    <m/>
    <m/>
    <x v="1"/>
    <s v="06802240001003"/>
    <n v="-23.18"/>
    <n v="946"/>
    <n v="1"/>
    <n v="1"/>
  </r>
  <r>
    <m/>
    <m/>
    <x v="1"/>
    <s v="06910038001001"/>
    <n v="-2.82"/>
    <n v="115"/>
    <n v="1"/>
    <n v="1"/>
  </r>
  <r>
    <m/>
    <m/>
    <x v="1"/>
    <s v="06998048001001"/>
    <n v="-17.98"/>
    <n v="734"/>
    <n v="1"/>
    <n v="1"/>
  </r>
  <r>
    <m/>
    <m/>
    <x v="1"/>
    <s v="07187712009001"/>
    <n v="-18.72"/>
    <n v="764"/>
    <n v="1"/>
    <n v="1"/>
  </r>
  <r>
    <m/>
    <m/>
    <x v="1"/>
    <s v="07444293001002"/>
    <n v="-48.31"/>
    <n v="1972"/>
    <n v="1"/>
    <n v="1"/>
  </r>
  <r>
    <m/>
    <m/>
    <x v="1"/>
    <s v="07453783001003"/>
    <n v="-33.61"/>
    <n v="1372"/>
    <n v="1"/>
    <n v="1"/>
  </r>
  <r>
    <m/>
    <m/>
    <x v="1"/>
    <s v="07459672001001"/>
    <n v="-39.299999999999997"/>
    <n v="1604"/>
    <n v="1"/>
    <n v="1"/>
  </r>
  <r>
    <m/>
    <m/>
    <x v="1"/>
    <s v="07561969008001"/>
    <n v="-83.42"/>
    <n v="3405"/>
    <n v="1"/>
    <n v="1"/>
  </r>
  <r>
    <m/>
    <m/>
    <x v="1"/>
    <s v="07623916001007"/>
    <n v="-58.7"/>
    <n v="2396"/>
    <n v="1"/>
    <n v="1"/>
  </r>
  <r>
    <m/>
    <m/>
    <x v="1"/>
    <s v="07782109001001"/>
    <n v="-32.119999999999997"/>
    <n v="1311"/>
    <n v="1"/>
    <n v="1"/>
  </r>
  <r>
    <m/>
    <m/>
    <x v="1"/>
    <s v="07866347005003"/>
    <n v="-28.89"/>
    <n v="1179"/>
    <n v="1"/>
    <n v="1"/>
  </r>
  <r>
    <m/>
    <m/>
    <x v="1"/>
    <s v="07961096001001"/>
    <n v="-48.51"/>
    <n v="1980"/>
    <n v="1"/>
    <n v="1"/>
  </r>
  <r>
    <m/>
    <m/>
    <x v="1"/>
    <s v="07992532001002"/>
    <n v="-8.5"/>
    <n v="347"/>
    <n v="1"/>
    <n v="1"/>
  </r>
  <r>
    <m/>
    <m/>
    <x v="1"/>
    <s v="08005911001002"/>
    <n v="-40.47"/>
    <n v="1652"/>
    <n v="1"/>
    <n v="1"/>
  </r>
  <r>
    <m/>
    <m/>
    <x v="1"/>
    <s v="08016256001003"/>
    <n v="-54.24"/>
    <n v="2214"/>
    <n v="1"/>
    <n v="1"/>
  </r>
  <r>
    <m/>
    <m/>
    <x v="1"/>
    <s v="08070610002001"/>
    <n v="-48.51"/>
    <n v="1980"/>
    <n v="1"/>
    <n v="1"/>
  </r>
  <r>
    <m/>
    <m/>
    <x v="1"/>
    <s v="08355466001007"/>
    <n v="-38.340000000000003"/>
    <n v="1565"/>
    <n v="1"/>
    <n v="1"/>
  </r>
  <r>
    <m/>
    <m/>
    <x v="1"/>
    <s v="08688999005001"/>
    <n v="-18.739999999999998"/>
    <n v="765"/>
    <n v="1"/>
    <n v="1"/>
  </r>
  <r>
    <m/>
    <m/>
    <x v="1"/>
    <s v="08740262001001"/>
    <n v="-31.46"/>
    <n v="1284"/>
    <n v="1"/>
    <n v="1"/>
  </r>
  <r>
    <m/>
    <m/>
    <x v="1"/>
    <s v="08747776001001"/>
    <n v="-50.76"/>
    <n v="2072"/>
    <n v="1"/>
    <n v="1"/>
  </r>
  <r>
    <m/>
    <m/>
    <x v="1"/>
    <s v="08808764002008"/>
    <n v="-46.21"/>
    <n v="1886"/>
    <n v="1"/>
    <n v="1"/>
  </r>
  <r>
    <m/>
    <m/>
    <x v="1"/>
    <s v="08937879001001"/>
    <n v="-0.42"/>
    <n v="17"/>
    <n v="1"/>
    <n v="1"/>
  </r>
  <r>
    <m/>
    <m/>
    <x v="1"/>
    <s v="09136104001001"/>
    <n v="-0.98"/>
    <n v="40"/>
    <n v="1"/>
    <n v="1"/>
  </r>
  <r>
    <m/>
    <m/>
    <x v="1"/>
    <s v="09301778001001"/>
    <n v="-27.69"/>
    <n v="1130"/>
    <n v="1"/>
    <n v="1"/>
  </r>
  <r>
    <m/>
    <m/>
    <x v="1"/>
    <s v="09482609001001"/>
    <n v="-49.88"/>
    <n v="2036"/>
    <n v="1"/>
    <n v="1"/>
  </r>
  <r>
    <m/>
    <m/>
    <x v="1"/>
    <s v="09557772001003"/>
    <n v="-46.4"/>
    <n v="1894"/>
    <n v="1"/>
    <n v="1"/>
  </r>
  <r>
    <m/>
    <m/>
    <x v="1"/>
    <s v="10045212001003"/>
    <n v="-22.27"/>
    <n v="909"/>
    <n v="1"/>
    <n v="1"/>
  </r>
  <r>
    <m/>
    <m/>
    <x v="1"/>
    <s v="10059373002001"/>
    <n v="-11.81"/>
    <n v="482"/>
    <n v="1"/>
    <n v="1"/>
  </r>
  <r>
    <m/>
    <m/>
    <x v="1"/>
    <s v="10153548001001"/>
    <n v="-23.47"/>
    <n v="958"/>
    <n v="1"/>
    <n v="1"/>
  </r>
  <r>
    <m/>
    <m/>
    <x v="1"/>
    <s v="10196138001001"/>
    <n v="-52.36"/>
    <n v="2137"/>
    <n v="1"/>
    <n v="1"/>
  </r>
  <r>
    <m/>
    <m/>
    <x v="1"/>
    <s v="10214211001007"/>
    <n v="-7.42"/>
    <n v="303"/>
    <n v="1"/>
    <n v="1"/>
  </r>
  <r>
    <m/>
    <m/>
    <x v="1"/>
    <s v="10356260001001"/>
    <n v="-57.33"/>
    <n v="2340"/>
    <n v="1"/>
    <n v="1"/>
  </r>
  <r>
    <m/>
    <m/>
    <x v="1"/>
    <s v="10650049001003"/>
    <n v="-1.42"/>
    <n v="58"/>
    <n v="1"/>
    <n v="1"/>
  </r>
  <r>
    <m/>
    <m/>
    <x v="1"/>
    <s v="11078715001003"/>
    <n v="-55.25"/>
    <n v="2255"/>
    <n v="1"/>
    <n v="1"/>
  </r>
  <r>
    <m/>
    <m/>
    <x v="1"/>
    <s v="11144829001001"/>
    <n v="-35.67"/>
    <n v="1456"/>
    <n v="1"/>
    <n v="1"/>
  </r>
  <r>
    <m/>
    <m/>
    <x v="1"/>
    <s v="11263199001003"/>
    <n v="-39.130000000000003"/>
    <n v="1597"/>
    <n v="1"/>
    <n v="1"/>
  </r>
  <r>
    <m/>
    <m/>
    <x v="1"/>
    <s v="11296202003001"/>
    <n v="-15.56"/>
    <n v="635"/>
    <n v="1"/>
    <n v="1"/>
  </r>
  <r>
    <m/>
    <m/>
    <x v="1"/>
    <s v="11373197001002"/>
    <n v="-6.66"/>
    <n v="272"/>
    <n v="1"/>
    <n v="1"/>
  </r>
  <r>
    <m/>
    <m/>
    <x v="1"/>
    <s v="11397922002001"/>
    <n v="-35.99"/>
    <n v="1469"/>
    <n v="1"/>
    <n v="1"/>
  </r>
  <r>
    <m/>
    <m/>
    <x v="1"/>
    <s v="11964851001002"/>
    <n v="-8.99"/>
    <n v="367"/>
    <n v="1"/>
    <n v="1"/>
  </r>
  <r>
    <m/>
    <m/>
    <x v="1"/>
    <s v="12738579001003"/>
    <n v="-31.38"/>
    <n v="1281"/>
    <n v="1"/>
    <n v="1"/>
  </r>
  <r>
    <m/>
    <m/>
    <x v="1"/>
    <s v="13114260001002"/>
    <n v="-23.05"/>
    <n v="941"/>
    <n v="1"/>
    <n v="1"/>
  </r>
  <r>
    <m/>
    <m/>
    <x v="1"/>
    <s v="13116014001003"/>
    <n v="-12.67"/>
    <n v="517"/>
    <n v="1"/>
    <n v="1"/>
  </r>
  <r>
    <m/>
    <m/>
    <x v="1"/>
    <s v="13844306002004"/>
    <n v="-16.73"/>
    <n v="683"/>
    <n v="1"/>
    <n v="1"/>
  </r>
  <r>
    <m/>
    <m/>
    <x v="1"/>
    <s v="13854832004003"/>
    <n v="-6.25"/>
    <n v="255"/>
    <n v="1"/>
    <n v="1"/>
  </r>
  <r>
    <m/>
    <m/>
    <x v="1"/>
    <s v="13899655001008"/>
    <n v="-28.57"/>
    <n v="1166"/>
    <n v="1"/>
    <n v="1"/>
  </r>
  <r>
    <m/>
    <m/>
    <x v="1"/>
    <s v="13972735001001"/>
    <n v="-23.47"/>
    <n v="958"/>
    <n v="1"/>
    <n v="1"/>
  </r>
  <r>
    <m/>
    <m/>
    <x v="1"/>
    <s v="14057368001006"/>
    <n v="-45.1"/>
    <n v="1841"/>
    <n v="1"/>
    <n v="1"/>
  </r>
  <r>
    <m/>
    <m/>
    <x v="1"/>
    <s v="14115069001001"/>
    <n v="-0.02"/>
    <n v="1"/>
    <n v="1"/>
    <n v="1"/>
  </r>
  <r>
    <m/>
    <m/>
    <x v="1"/>
    <s v="14276797001005"/>
    <n v="-32.729999999999997"/>
    <n v="1336"/>
    <n v="1"/>
    <n v="1"/>
  </r>
  <r>
    <m/>
    <m/>
    <x v="1"/>
    <s v="14364355001001"/>
    <n v="-59.68"/>
    <n v="2436"/>
    <n v="1"/>
    <n v="1"/>
  </r>
  <r>
    <m/>
    <m/>
    <x v="1"/>
    <s v="14663014001002"/>
    <n v="-24.08"/>
    <n v="983"/>
    <n v="1"/>
    <n v="1"/>
  </r>
  <r>
    <m/>
    <m/>
    <x v="1"/>
    <s v="14994182001007"/>
    <n v="-47.87"/>
    <n v="1954"/>
    <n v="1"/>
    <n v="1"/>
  </r>
  <r>
    <m/>
    <m/>
    <x v="1"/>
    <s v="15161620001001"/>
    <n v="-30.14"/>
    <n v="1230"/>
    <n v="1"/>
    <n v="1"/>
  </r>
  <r>
    <m/>
    <m/>
    <x v="1"/>
    <s v="15391958001009"/>
    <n v="-9.19"/>
    <n v="375"/>
    <n v="1"/>
    <n v="1"/>
  </r>
  <r>
    <m/>
    <m/>
    <x v="1"/>
    <s v="15707865001001"/>
    <n v="-3.09"/>
    <n v="126"/>
    <n v="1"/>
    <n v="1"/>
  </r>
  <r>
    <m/>
    <m/>
    <x v="1"/>
    <s v="15752716002001"/>
    <n v="-79.87"/>
    <n v="3260"/>
    <n v="1"/>
    <n v="1"/>
  </r>
  <r>
    <m/>
    <m/>
    <x v="1"/>
    <s v="15868625001001"/>
    <n v="-26.31"/>
    <n v="1074"/>
    <n v="1"/>
    <n v="1"/>
  </r>
  <r>
    <m/>
    <m/>
    <x v="1"/>
    <s v="15896167001005"/>
    <n v="-52.09"/>
    <n v="2126"/>
    <n v="1"/>
    <n v="1"/>
  </r>
  <r>
    <m/>
    <m/>
    <x v="1"/>
    <s v="15945184001001"/>
    <n v="-11.74"/>
    <n v="479"/>
    <n v="1"/>
    <n v="1"/>
  </r>
  <r>
    <m/>
    <m/>
    <x v="1"/>
    <s v="15945413001003"/>
    <n v="-25.38"/>
    <n v="1036"/>
    <n v="1"/>
    <n v="1"/>
  </r>
  <r>
    <m/>
    <m/>
    <x v="1"/>
    <s v="15972551001005"/>
    <n v="-9.58"/>
    <n v="391"/>
    <n v="1"/>
    <n v="1"/>
  </r>
  <r>
    <m/>
    <m/>
    <x v="1"/>
    <s v="16192571001003"/>
    <n v="-17.690000000000001"/>
    <n v="722"/>
    <n v="1"/>
    <n v="1"/>
  </r>
  <r>
    <m/>
    <m/>
    <x v="1"/>
    <s v="16309419001005"/>
    <n v="-11.64"/>
    <n v="475"/>
    <n v="1"/>
    <n v="1"/>
  </r>
  <r>
    <m/>
    <m/>
    <x v="1"/>
    <s v="16354772002003"/>
    <n v="-17.489999999999998"/>
    <n v="714"/>
    <n v="1"/>
    <n v="1"/>
  </r>
  <r>
    <m/>
    <m/>
    <x v="1"/>
    <s v="16572947001005"/>
    <n v="-48.12"/>
    <n v="1964"/>
    <n v="1"/>
    <n v="1"/>
  </r>
  <r>
    <m/>
    <m/>
    <x v="1"/>
    <s v="16709268001002"/>
    <n v="-29.13"/>
    <n v="1189"/>
    <n v="1"/>
    <n v="1"/>
  </r>
  <r>
    <m/>
    <m/>
    <x v="1"/>
    <s v="16801512002002"/>
    <n v="-49.2"/>
    <n v="2008"/>
    <n v="1"/>
    <n v="1"/>
  </r>
  <r>
    <m/>
    <m/>
    <x v="1"/>
    <s v="16854224002003"/>
    <n v="-8.33"/>
    <n v="340"/>
    <n v="1"/>
    <n v="1"/>
  </r>
  <r>
    <m/>
    <m/>
    <x v="1"/>
    <s v="16884109001002"/>
    <n v="-35.130000000000003"/>
    <n v="1434"/>
    <n v="1"/>
    <n v="1"/>
  </r>
  <r>
    <m/>
    <m/>
    <x v="1"/>
    <s v="17175636001003"/>
    <n v="-8.01"/>
    <n v="327"/>
    <n v="1"/>
    <n v="1"/>
  </r>
  <r>
    <m/>
    <m/>
    <x v="1"/>
    <s v="17226786001001"/>
    <n v="-11.05"/>
    <n v="451"/>
    <n v="1"/>
    <n v="1"/>
  </r>
  <r>
    <m/>
    <m/>
    <x v="1"/>
    <s v="17329177001003"/>
    <n v="-34.299999999999997"/>
    <n v="1400"/>
    <n v="1"/>
    <n v="1"/>
  </r>
  <r>
    <m/>
    <m/>
    <x v="1"/>
    <s v="17581646001002"/>
    <n v="-31.12"/>
    <n v="1270"/>
    <n v="1"/>
    <n v="1"/>
  </r>
  <r>
    <m/>
    <m/>
    <x v="1"/>
    <s v="17700255001003"/>
    <n v="-40.28"/>
    <n v="1644"/>
    <n v="1"/>
    <n v="1"/>
  </r>
  <r>
    <m/>
    <m/>
    <x v="1"/>
    <s v="17834267001002"/>
    <n v="-24.6"/>
    <n v="1004"/>
    <n v="1"/>
    <n v="1"/>
  </r>
  <r>
    <m/>
    <m/>
    <x v="1"/>
    <s v="17836081001001"/>
    <n v="-21.32"/>
    <n v="870"/>
    <n v="1"/>
    <n v="1"/>
  </r>
  <r>
    <m/>
    <m/>
    <x v="1"/>
    <s v="17993993001003"/>
    <n v="-10.73"/>
    <n v="438"/>
    <n v="1"/>
    <n v="1"/>
  </r>
  <r>
    <m/>
    <m/>
    <x v="1"/>
    <s v="19396001001001"/>
    <n v="-7.64"/>
    <n v="312"/>
    <n v="1"/>
    <n v="1"/>
  </r>
  <r>
    <m/>
    <m/>
    <x v="1"/>
    <s v="19497588001001"/>
    <n v="-4.9000000000000004"/>
    <n v="200"/>
    <n v="1"/>
    <n v="1"/>
  </r>
  <r>
    <m/>
    <m/>
    <x v="1"/>
    <s v="19508093004001"/>
    <n v="-41.72"/>
    <n v="1703"/>
    <n v="1"/>
    <n v="1"/>
  </r>
  <r>
    <m/>
    <m/>
    <x v="1"/>
    <s v="19669200001002"/>
    <n v="-40.92"/>
    <n v="1670"/>
    <n v="1"/>
    <n v="1"/>
  </r>
  <r>
    <m/>
    <m/>
    <x v="1"/>
    <s v="20011333001001"/>
    <n v="-19.77"/>
    <n v="807"/>
    <n v="1"/>
    <n v="1"/>
  </r>
  <r>
    <m/>
    <m/>
    <x v="1"/>
    <s v="20283219003003"/>
    <n v="-49.1"/>
    <n v="2004"/>
    <n v="1"/>
    <n v="1"/>
  </r>
  <r>
    <m/>
    <m/>
    <x v="1"/>
    <s v="20367566001001"/>
    <n v="-46.89"/>
    <n v="1914"/>
    <n v="1"/>
    <n v="1"/>
  </r>
  <r>
    <m/>
    <m/>
    <x v="1"/>
    <s v="20375453005001"/>
    <n v="-49.12"/>
    <n v="2005"/>
    <n v="1"/>
    <n v="1"/>
  </r>
  <r>
    <m/>
    <m/>
    <x v="1"/>
    <s v="20444426001001"/>
    <n v="-6.17"/>
    <n v="252"/>
    <n v="1"/>
    <n v="1"/>
  </r>
  <r>
    <m/>
    <m/>
    <x v="1"/>
    <s v="20482636001005"/>
    <n v="-15.85"/>
    <n v="647"/>
    <n v="1"/>
    <n v="1"/>
  </r>
  <r>
    <m/>
    <m/>
    <x v="1"/>
    <s v="21046404001005"/>
    <n v="-41.43"/>
    <n v="1691"/>
    <n v="1"/>
    <n v="1"/>
  </r>
  <r>
    <m/>
    <m/>
    <x v="1"/>
    <s v="21300261001003"/>
    <n v="-16.93"/>
    <n v="691"/>
    <n v="1"/>
    <n v="1"/>
  </r>
  <r>
    <m/>
    <m/>
    <x v="1"/>
    <s v="21322695001001"/>
    <n v="-2.0099999999999998"/>
    <n v="82"/>
    <n v="1"/>
    <n v="1"/>
  </r>
  <r>
    <m/>
    <m/>
    <x v="1"/>
    <s v="21528376001001"/>
    <n v="-8.7200000000000006"/>
    <n v="356"/>
    <n v="1"/>
    <n v="1"/>
  </r>
  <r>
    <m/>
    <m/>
    <x v="1"/>
    <s v="21546259001005"/>
    <n v="-67.67"/>
    <n v="2762"/>
    <n v="1"/>
    <n v="1"/>
  </r>
  <r>
    <m/>
    <m/>
    <x v="1"/>
    <s v="21610680001001"/>
    <n v="-61.2"/>
    <n v="2498"/>
    <n v="1"/>
    <n v="1"/>
  </r>
  <r>
    <m/>
    <m/>
    <x v="1"/>
    <s v="21883954001003"/>
    <n v="-24.48"/>
    <n v="999"/>
    <n v="1"/>
    <n v="1"/>
  </r>
  <r>
    <m/>
    <m/>
    <x v="1"/>
    <s v="22107625001001"/>
    <n v="-60.12"/>
    <n v="2454"/>
    <n v="1"/>
    <n v="1"/>
  </r>
  <r>
    <m/>
    <m/>
    <x v="1"/>
    <s v="22178371001001"/>
    <n v="-20.53"/>
    <n v="838"/>
    <n v="1"/>
    <n v="1"/>
  </r>
  <r>
    <m/>
    <m/>
    <x v="1"/>
    <s v="22280876001009"/>
    <n v="-78.08"/>
    <n v="3187"/>
    <n v="1"/>
    <n v="1"/>
  </r>
  <r>
    <m/>
    <m/>
    <x v="1"/>
    <s v="22384711002002"/>
    <n v="-12.5"/>
    <n v="510"/>
    <n v="1"/>
    <n v="1"/>
  </r>
  <r>
    <m/>
    <m/>
    <x v="1"/>
    <s v="22556911001001"/>
    <n v="-37.24"/>
    <n v="1520"/>
    <n v="1"/>
    <n v="1"/>
  </r>
  <r>
    <m/>
    <m/>
    <x v="1"/>
    <s v="22860010001001"/>
    <n v="-38.659999999999997"/>
    <n v="1578"/>
    <n v="1"/>
    <n v="1"/>
  </r>
  <r>
    <m/>
    <m/>
    <x v="1"/>
    <s v="23207615004001"/>
    <n v="-105.67"/>
    <n v="4313"/>
    <n v="1"/>
    <n v="1"/>
  </r>
  <r>
    <m/>
    <m/>
    <x v="1"/>
    <s v="23465139001008"/>
    <n v="-48.27"/>
    <n v="1970"/>
    <n v="1"/>
    <n v="1"/>
  </r>
  <r>
    <m/>
    <m/>
    <x v="1"/>
    <s v="23478212002003"/>
    <n v="-17.149999999999999"/>
    <n v="700"/>
    <n v="1"/>
    <n v="1"/>
  </r>
  <r>
    <m/>
    <m/>
    <x v="1"/>
    <s v="23492030001001"/>
    <n v="-52.48"/>
    <n v="2142"/>
    <n v="1"/>
    <n v="1"/>
  </r>
  <r>
    <m/>
    <m/>
    <x v="1"/>
    <s v="23628172002001"/>
    <n v="-63.95"/>
    <n v="2610"/>
    <n v="1"/>
    <n v="1"/>
  </r>
  <r>
    <m/>
    <m/>
    <x v="1"/>
    <s v="24324136002006"/>
    <n v="-8.18"/>
    <n v="334"/>
    <n v="1"/>
    <n v="1"/>
  </r>
  <r>
    <m/>
    <m/>
    <x v="1"/>
    <s v="24367594001003"/>
    <n v="-64.09"/>
    <n v="2616"/>
    <n v="1"/>
    <n v="1"/>
  </r>
  <r>
    <m/>
    <m/>
    <x v="1"/>
    <s v="24944686001001"/>
    <n v="-0.28999999999999998"/>
    <n v="12"/>
    <n v="1"/>
    <n v="1"/>
  </r>
  <r>
    <m/>
    <m/>
    <x v="1"/>
    <s v="25269969001001"/>
    <n v="-12.15"/>
    <n v="496"/>
    <n v="1"/>
    <n v="1"/>
  </r>
  <r>
    <m/>
    <m/>
    <x v="1"/>
    <s v="25549425001001"/>
    <n v="-70.540000000000006"/>
    <n v="2879"/>
    <n v="1"/>
    <n v="1"/>
  </r>
  <r>
    <m/>
    <m/>
    <x v="1"/>
    <s v="25616940003001"/>
    <n v="-17.59"/>
    <n v="718"/>
    <n v="1"/>
    <n v="1"/>
  </r>
  <r>
    <m/>
    <m/>
    <x v="1"/>
    <s v="25664446001001"/>
    <n v="-46.57"/>
    <n v="1901"/>
    <n v="1"/>
    <n v="1"/>
  </r>
  <r>
    <m/>
    <m/>
    <x v="1"/>
    <s v="25818682001001"/>
    <n v="-7.01"/>
    <n v="286"/>
    <n v="1"/>
    <n v="1"/>
  </r>
  <r>
    <m/>
    <m/>
    <x v="1"/>
    <s v="25829665002003"/>
    <n v="-149.94"/>
    <n v="6120"/>
    <n v="1"/>
    <n v="1"/>
  </r>
  <r>
    <m/>
    <m/>
    <x v="1"/>
    <s v="25839879001001"/>
    <n v="-26.07"/>
    <n v="1064"/>
    <n v="1"/>
    <n v="1"/>
  </r>
  <r>
    <m/>
    <m/>
    <x v="1"/>
    <s v="26254990001003"/>
    <n v="-2.87"/>
    <n v="117"/>
    <n v="1"/>
    <n v="1"/>
  </r>
  <r>
    <m/>
    <m/>
    <x v="1"/>
    <s v="26278650001003"/>
    <n v="-21.02"/>
    <n v="858"/>
    <n v="1"/>
    <n v="1"/>
  </r>
  <r>
    <m/>
    <m/>
    <x v="1"/>
    <s v="26476096002001"/>
    <n v="-15.63"/>
    <n v="638"/>
    <n v="1"/>
    <n v="1"/>
  </r>
  <r>
    <m/>
    <m/>
    <x v="1"/>
    <s v="26835966001001"/>
    <n v="-24.7"/>
    <n v="1008"/>
    <n v="1"/>
    <n v="1"/>
  </r>
  <r>
    <m/>
    <m/>
    <x v="1"/>
    <s v="26841750001003"/>
    <n v="-39.32"/>
    <n v="1605"/>
    <n v="1"/>
    <n v="1"/>
  </r>
  <r>
    <m/>
    <m/>
    <x v="1"/>
    <s v="27126363001003"/>
    <n v="-57.8"/>
    <n v="2359"/>
    <n v="1"/>
    <n v="1"/>
  </r>
  <r>
    <m/>
    <m/>
    <x v="1"/>
    <s v="27141666001001"/>
    <n v="-37.659999999999997"/>
    <n v="1537"/>
    <n v="1"/>
    <n v="1"/>
  </r>
  <r>
    <m/>
    <m/>
    <x v="1"/>
    <s v="27250246001005"/>
    <n v="-30.6"/>
    <n v="1249"/>
    <n v="1"/>
    <n v="1"/>
  </r>
  <r>
    <m/>
    <m/>
    <x v="1"/>
    <s v="27553023001001"/>
    <n v="-38.909999999999997"/>
    <n v="1588"/>
    <n v="1"/>
    <n v="1"/>
  </r>
  <r>
    <m/>
    <m/>
    <x v="1"/>
    <s v="27608911002001"/>
    <n v="-0.86"/>
    <n v="35"/>
    <n v="1"/>
    <n v="1"/>
  </r>
  <r>
    <m/>
    <m/>
    <x v="1"/>
    <s v="27668170001005"/>
    <n v="-97.29"/>
    <n v="3971"/>
    <n v="1"/>
    <n v="1"/>
  </r>
  <r>
    <m/>
    <m/>
    <x v="1"/>
    <s v="27696108001012"/>
    <n v="-36.19"/>
    <n v="1477"/>
    <n v="1"/>
    <n v="1"/>
  </r>
  <r>
    <m/>
    <m/>
    <x v="1"/>
    <s v="27733480001001"/>
    <n v="-23.84"/>
    <n v="973"/>
    <n v="1"/>
    <n v="1"/>
  </r>
  <r>
    <m/>
    <m/>
    <x v="1"/>
    <s v="27883736001001"/>
    <n v="-72.64"/>
    <n v="2965"/>
    <n v="1"/>
    <n v="1"/>
  </r>
  <r>
    <m/>
    <m/>
    <x v="1"/>
    <s v="27977791001003"/>
    <n v="-9.8000000000000007"/>
    <n v="400"/>
    <n v="1"/>
    <n v="1"/>
  </r>
  <r>
    <m/>
    <m/>
    <x v="1"/>
    <s v="27991196001001"/>
    <n v="-39.42"/>
    <n v="1609"/>
    <n v="1"/>
    <n v="1"/>
  </r>
  <r>
    <m/>
    <m/>
    <x v="1"/>
    <s v="28006021003005"/>
    <n v="-54.39"/>
    <n v="2220"/>
    <n v="1"/>
    <n v="1"/>
  </r>
  <r>
    <m/>
    <m/>
    <x v="1"/>
    <s v="28065736001006"/>
    <n v="-54.46"/>
    <n v="2223"/>
    <n v="1"/>
    <n v="1"/>
  </r>
  <r>
    <m/>
    <m/>
    <x v="1"/>
    <s v="28535255003001"/>
    <n v="-32.78"/>
    <n v="1338"/>
    <n v="1"/>
    <n v="1"/>
  </r>
  <r>
    <m/>
    <m/>
    <x v="1"/>
    <s v="28592824001002"/>
    <n v="-12.23"/>
    <n v="499"/>
    <n v="1"/>
    <n v="1"/>
  </r>
  <r>
    <m/>
    <m/>
    <x v="1"/>
    <s v="28626166001001"/>
    <n v="-7.47"/>
    <n v="305"/>
    <n v="1"/>
    <n v="1"/>
  </r>
  <r>
    <m/>
    <m/>
    <x v="1"/>
    <s v="28827702001004"/>
    <n v="-55.17"/>
    <n v="2252"/>
    <n v="1"/>
    <n v="1"/>
  </r>
  <r>
    <m/>
    <m/>
    <x v="1"/>
    <s v="29018645001003"/>
    <n v="-59.22"/>
    <n v="2417"/>
    <n v="1"/>
    <n v="1"/>
  </r>
  <r>
    <m/>
    <m/>
    <x v="1"/>
    <s v="29250419001001"/>
    <n v="-73.11"/>
    <n v="2984"/>
    <n v="1"/>
    <n v="1"/>
  </r>
  <r>
    <m/>
    <m/>
    <x v="1"/>
    <s v="29333477001001"/>
    <n v="-22.52"/>
    <n v="919"/>
    <n v="1"/>
    <n v="1"/>
  </r>
  <r>
    <m/>
    <m/>
    <x v="1"/>
    <s v="29519438001001"/>
    <n v="-65.540000000000006"/>
    <n v="2675"/>
    <n v="1"/>
    <n v="1"/>
  </r>
  <r>
    <m/>
    <m/>
    <x v="1"/>
    <s v="29647367001002"/>
    <n v="-41.5"/>
    <n v="1694"/>
    <n v="1"/>
    <n v="1"/>
  </r>
  <r>
    <m/>
    <m/>
    <x v="1"/>
    <s v="29786462001001"/>
    <n v="-24.57"/>
    <n v="1003"/>
    <n v="1"/>
    <n v="1"/>
  </r>
  <r>
    <m/>
    <m/>
    <x v="1"/>
    <s v="30043368001001"/>
    <n v="-46.6"/>
    <n v="1902"/>
    <n v="1"/>
    <n v="1"/>
  </r>
  <r>
    <m/>
    <m/>
    <x v="1"/>
    <s v="30231904001002"/>
    <n v="-6.17"/>
    <n v="252"/>
    <n v="1"/>
    <n v="1"/>
  </r>
  <r>
    <m/>
    <m/>
    <x v="1"/>
    <s v="30315366001001"/>
    <n v="-54.61"/>
    <n v="2229"/>
    <n v="1"/>
    <n v="1"/>
  </r>
  <r>
    <m/>
    <m/>
    <x v="1"/>
    <s v="30656073001007"/>
    <n v="-14.48"/>
    <n v="591"/>
    <n v="1"/>
    <n v="1"/>
  </r>
  <r>
    <m/>
    <m/>
    <x v="1"/>
    <s v="30975210001001"/>
    <n v="-53.09"/>
    <n v="2167"/>
    <n v="1"/>
    <n v="1"/>
  </r>
  <r>
    <m/>
    <m/>
    <x v="1"/>
    <s v="31104124001001"/>
    <n v="-31.63"/>
    <n v="1291"/>
    <n v="1"/>
    <n v="1"/>
  </r>
  <r>
    <m/>
    <m/>
    <x v="1"/>
    <s v="31263952001003"/>
    <n v="-29.5"/>
    <n v="1204"/>
    <n v="1"/>
    <n v="1"/>
  </r>
  <r>
    <m/>
    <m/>
    <x v="1"/>
    <s v="31266211001004"/>
    <n v="-35.26"/>
    <n v="1439"/>
    <n v="1"/>
    <n v="1"/>
  </r>
  <r>
    <m/>
    <m/>
    <x v="1"/>
    <s v="31308854001001"/>
    <n v="-34.229999999999997"/>
    <n v="1397"/>
    <n v="1"/>
    <n v="1"/>
  </r>
  <r>
    <m/>
    <m/>
    <x v="1"/>
    <s v="31309940001001"/>
    <n v="-14.6"/>
    <n v="596"/>
    <n v="1"/>
    <n v="1"/>
  </r>
  <r>
    <m/>
    <m/>
    <x v="1"/>
    <s v="31345337001002"/>
    <n v="-11.52"/>
    <n v="470"/>
    <n v="1"/>
    <n v="1"/>
  </r>
  <r>
    <m/>
    <m/>
    <x v="1"/>
    <s v="31589368001001"/>
    <n v="-38.42"/>
    <n v="1568"/>
    <n v="1"/>
    <n v="1"/>
  </r>
  <r>
    <m/>
    <m/>
    <x v="1"/>
    <s v="32105928002003"/>
    <n v="-32.39"/>
    <n v="1322"/>
    <n v="1"/>
    <n v="1"/>
  </r>
  <r>
    <m/>
    <m/>
    <x v="1"/>
    <s v="32321580001004"/>
    <n v="-36.19"/>
    <n v="1477"/>
    <n v="1"/>
    <n v="1"/>
  </r>
  <r>
    <m/>
    <m/>
    <x v="1"/>
    <s v="32701639002001"/>
    <n v="-18.5"/>
    <n v="755"/>
    <n v="1"/>
    <n v="1"/>
  </r>
  <r>
    <m/>
    <m/>
    <x v="1"/>
    <s v="32885919001001"/>
    <n v="-24.5"/>
    <n v="1000"/>
    <n v="1"/>
    <n v="1"/>
  </r>
  <r>
    <m/>
    <m/>
    <x v="1"/>
    <s v="32971914002001"/>
    <n v="-17.760000000000002"/>
    <n v="725"/>
    <n v="1"/>
    <n v="1"/>
  </r>
  <r>
    <m/>
    <m/>
    <x v="1"/>
    <s v="33062190002001"/>
    <n v="-36.65"/>
    <n v="1496"/>
    <n v="1"/>
    <n v="1"/>
  </r>
  <r>
    <m/>
    <m/>
    <x v="1"/>
    <s v="33397794002001"/>
    <n v="-74.14"/>
    <n v="3026"/>
    <n v="1"/>
    <n v="1"/>
  </r>
  <r>
    <m/>
    <m/>
    <x v="1"/>
    <s v="33633028001001"/>
    <n v="-21.88"/>
    <n v="893"/>
    <n v="1"/>
    <n v="1"/>
  </r>
  <r>
    <m/>
    <m/>
    <x v="1"/>
    <s v="33887728001004"/>
    <n v="-32"/>
    <n v="1306"/>
    <n v="1"/>
    <n v="1"/>
  </r>
  <r>
    <m/>
    <m/>
    <x v="1"/>
    <s v="34181343001001"/>
    <n v="-58.53"/>
    <n v="2389"/>
    <n v="1"/>
    <n v="1"/>
  </r>
  <r>
    <m/>
    <m/>
    <x v="1"/>
    <s v="34197993001005"/>
    <n v="-10.58"/>
    <n v="432"/>
    <n v="1"/>
    <n v="1"/>
  </r>
  <r>
    <m/>
    <m/>
    <x v="1"/>
    <s v="34256010001004"/>
    <n v="-42.07"/>
    <n v="1717"/>
    <n v="1"/>
    <n v="1"/>
  </r>
  <r>
    <m/>
    <m/>
    <x v="1"/>
    <s v="34329415001002"/>
    <n v="-2.67"/>
    <n v="109"/>
    <n v="1"/>
    <n v="1"/>
  </r>
  <r>
    <m/>
    <m/>
    <x v="1"/>
    <s v="34348453001007"/>
    <n v="-64.53"/>
    <n v="2634"/>
    <n v="1"/>
    <n v="1"/>
  </r>
  <r>
    <m/>
    <m/>
    <x v="1"/>
    <s v="34394848001001"/>
    <n v="-29.74"/>
    <n v="1214"/>
    <n v="1"/>
    <n v="1"/>
  </r>
  <r>
    <m/>
    <m/>
    <x v="1"/>
    <s v="34678157001001"/>
    <n v="-29.91"/>
    <n v="1221"/>
    <n v="1"/>
    <n v="1"/>
  </r>
  <r>
    <m/>
    <m/>
    <x v="1"/>
    <s v="34861184002001"/>
    <n v="-127.13"/>
    <n v="5189"/>
    <n v="1"/>
    <n v="1"/>
  </r>
  <r>
    <m/>
    <m/>
    <x v="1"/>
    <s v="34902092001003"/>
    <n v="-9.75"/>
    <n v="398"/>
    <n v="1"/>
    <n v="1"/>
  </r>
  <r>
    <m/>
    <m/>
    <x v="1"/>
    <s v="34923612001001"/>
    <n v="-3.14"/>
    <n v="128"/>
    <n v="1"/>
    <n v="1"/>
  </r>
  <r>
    <m/>
    <m/>
    <x v="1"/>
    <s v="35202172002003"/>
    <n v="-13.82"/>
    <n v="564"/>
    <n v="1"/>
    <n v="1"/>
  </r>
  <r>
    <m/>
    <m/>
    <x v="1"/>
    <s v="35482082002001"/>
    <n v="-52.75"/>
    <n v="2153"/>
    <n v="1"/>
    <n v="1"/>
  </r>
  <r>
    <m/>
    <m/>
    <x v="1"/>
    <s v="36023502001013"/>
    <n v="-62.89"/>
    <n v="2567"/>
    <n v="1"/>
    <n v="1"/>
  </r>
  <r>
    <m/>
    <m/>
    <x v="1"/>
    <s v="36052702001001"/>
    <n v="-22.2"/>
    <n v="906"/>
    <n v="1"/>
    <n v="1"/>
  </r>
  <r>
    <m/>
    <m/>
    <x v="1"/>
    <s v="36065414001010"/>
    <n v="-41.97"/>
    <n v="1713"/>
    <n v="1"/>
    <n v="1"/>
  </r>
  <r>
    <m/>
    <m/>
    <x v="1"/>
    <s v="36529463001001"/>
    <n v="-38.83"/>
    <n v="1585"/>
    <n v="1"/>
    <n v="1"/>
  </r>
  <r>
    <m/>
    <m/>
    <x v="1"/>
    <s v="36555550001003"/>
    <n v="-48.36"/>
    <n v="1974"/>
    <n v="1"/>
    <n v="1"/>
  </r>
  <r>
    <m/>
    <m/>
    <x v="1"/>
    <s v="36995940001003"/>
    <n v="-54.59"/>
    <n v="2228"/>
    <n v="1"/>
    <n v="1"/>
  </r>
  <r>
    <m/>
    <m/>
    <x v="1"/>
    <s v="37047706001003"/>
    <n v="-69.19"/>
    <n v="2824"/>
    <n v="1"/>
    <n v="1"/>
  </r>
  <r>
    <m/>
    <m/>
    <x v="1"/>
    <s v="37196788001012"/>
    <n v="-6.05"/>
    <n v="247"/>
    <n v="1"/>
    <n v="1"/>
  </r>
  <r>
    <m/>
    <m/>
    <x v="1"/>
    <s v="37380947001001"/>
    <n v="-45.28"/>
    <n v="1848"/>
    <n v="1"/>
    <n v="1"/>
  </r>
  <r>
    <m/>
    <m/>
    <x v="1"/>
    <s v="37578682001001"/>
    <n v="-36.33"/>
    <n v="1483"/>
    <n v="1"/>
    <n v="1"/>
  </r>
  <r>
    <m/>
    <m/>
    <x v="1"/>
    <s v="38031459001001"/>
    <n v="-22.61"/>
    <n v="923"/>
    <n v="1"/>
    <n v="1"/>
  </r>
  <r>
    <m/>
    <m/>
    <x v="1"/>
    <s v="38067720003001"/>
    <n v="-18.62"/>
    <n v="760"/>
    <n v="1"/>
    <n v="1"/>
  </r>
  <r>
    <m/>
    <m/>
    <x v="1"/>
    <s v="38319008002003"/>
    <n v="-50.64"/>
    <n v="2067"/>
    <n v="1"/>
    <n v="1"/>
  </r>
  <r>
    <m/>
    <m/>
    <x v="1"/>
    <s v="38613622001005"/>
    <n v="-13.6"/>
    <n v="555"/>
    <n v="1"/>
    <n v="1"/>
  </r>
  <r>
    <m/>
    <m/>
    <x v="1"/>
    <s v="38860694001003"/>
    <n v="-48.49"/>
    <n v="1979"/>
    <n v="1"/>
    <n v="1"/>
  </r>
  <r>
    <m/>
    <m/>
    <x v="1"/>
    <s v="39272181001001"/>
    <n v="-18.45"/>
    <n v="753"/>
    <n v="1"/>
    <n v="1"/>
  </r>
  <r>
    <m/>
    <m/>
    <x v="1"/>
    <s v="39281076001004"/>
    <n v="-72.86"/>
    <n v="2974"/>
    <n v="1"/>
    <n v="1"/>
  </r>
  <r>
    <m/>
    <m/>
    <x v="1"/>
    <s v="39597196001001"/>
    <n v="-46.16"/>
    <n v="1884"/>
    <n v="1"/>
    <n v="1"/>
  </r>
  <r>
    <m/>
    <m/>
    <x v="1"/>
    <s v="39658784002001"/>
    <n v="-11"/>
    <n v="449"/>
    <n v="1"/>
    <n v="1"/>
  </r>
  <r>
    <m/>
    <m/>
    <x v="1"/>
    <s v="39662471001003"/>
    <n v="-61.84"/>
    <n v="2524"/>
    <n v="1"/>
    <n v="1"/>
  </r>
  <r>
    <m/>
    <m/>
    <x v="1"/>
    <s v="39810811001003"/>
    <n v="-26.95"/>
    <n v="1100"/>
    <n v="1"/>
    <n v="1"/>
  </r>
  <r>
    <m/>
    <m/>
    <x v="1"/>
    <s v="39822134003009"/>
    <n v="-42.8"/>
    <n v="1747"/>
    <n v="1"/>
    <n v="1"/>
  </r>
  <r>
    <m/>
    <m/>
    <x v="1"/>
    <s v="39860007001003"/>
    <n v="-46.99"/>
    <n v="1918"/>
    <n v="1"/>
    <n v="1"/>
  </r>
  <r>
    <m/>
    <m/>
    <x v="1"/>
    <s v="40288069002001"/>
    <n v="-131.47"/>
    <n v="5366"/>
    <n v="1"/>
    <n v="1"/>
  </r>
  <r>
    <m/>
    <m/>
    <x v="1"/>
    <s v="40458113001001"/>
    <n v="-23.23"/>
    <n v="948"/>
    <n v="1"/>
    <n v="1"/>
  </r>
  <r>
    <m/>
    <m/>
    <x v="1"/>
    <s v="40635703001001"/>
    <n v="-2.4700000000000002"/>
    <n v="101"/>
    <n v="1"/>
    <n v="1"/>
  </r>
  <r>
    <m/>
    <m/>
    <x v="1"/>
    <s v="41019151002001"/>
    <n v="-23.05"/>
    <n v="941"/>
    <n v="1"/>
    <n v="1"/>
  </r>
  <r>
    <m/>
    <m/>
    <x v="1"/>
    <s v="41140540002001"/>
    <n v="-18.82"/>
    <n v="768"/>
    <n v="1"/>
    <n v="1"/>
  </r>
  <r>
    <m/>
    <m/>
    <x v="1"/>
    <s v="41231167001001"/>
    <n v="-1.86"/>
    <n v="76"/>
    <n v="1"/>
    <n v="1"/>
  </r>
  <r>
    <m/>
    <m/>
    <x v="1"/>
    <s v="41383064001001"/>
    <n v="-53.34"/>
    <n v="2177"/>
    <n v="1"/>
    <n v="1"/>
  </r>
  <r>
    <m/>
    <m/>
    <x v="1"/>
    <s v="41426603001001"/>
    <n v="-13.99"/>
    <n v="571"/>
    <n v="1"/>
    <n v="1"/>
  </r>
  <r>
    <m/>
    <m/>
    <x v="1"/>
    <s v="42203478001003"/>
    <n v="-8.2100000000000009"/>
    <n v="335"/>
    <n v="1"/>
    <n v="1"/>
  </r>
  <r>
    <m/>
    <m/>
    <x v="1"/>
    <s v="42491401001003"/>
    <n v="-60.17"/>
    <n v="2456"/>
    <n v="1"/>
    <n v="1"/>
  </r>
  <r>
    <m/>
    <m/>
    <x v="1"/>
    <s v="42514151001004"/>
    <n v="-7.15"/>
    <n v="292"/>
    <n v="1"/>
    <n v="1"/>
  </r>
  <r>
    <m/>
    <m/>
    <x v="1"/>
    <s v="42514501001001"/>
    <n v="-21.02"/>
    <n v="858"/>
    <n v="1"/>
    <n v="1"/>
  </r>
  <r>
    <m/>
    <m/>
    <x v="1"/>
    <s v="42524441001002"/>
    <n v="-67.69"/>
    <n v="2763"/>
    <n v="1"/>
    <n v="1"/>
  </r>
  <r>
    <m/>
    <m/>
    <x v="1"/>
    <s v="42528501001002"/>
    <n v="-35.130000000000003"/>
    <n v="1434"/>
    <n v="1"/>
    <n v="1"/>
  </r>
  <r>
    <m/>
    <m/>
    <x v="1"/>
    <s v="42536481001002"/>
    <n v="-68.62"/>
    <n v="2801"/>
    <n v="1"/>
    <n v="1"/>
  </r>
  <r>
    <m/>
    <m/>
    <x v="1"/>
    <s v="42586041004001"/>
    <n v="-41.45"/>
    <n v="1692"/>
    <n v="1"/>
    <n v="1"/>
  </r>
  <r>
    <m/>
    <m/>
    <x v="1"/>
    <s v="42613341001001"/>
    <n v="-12.13"/>
    <n v="495"/>
    <n v="1"/>
    <n v="1"/>
  </r>
  <r>
    <m/>
    <m/>
    <x v="1"/>
    <s v="42620271001001"/>
    <n v="-18.2"/>
    <n v="743"/>
    <n v="1"/>
    <n v="1"/>
  </r>
  <r>
    <m/>
    <m/>
    <x v="1"/>
    <s v="42628881001001"/>
    <n v="-7.72"/>
    <n v="315"/>
    <n v="1"/>
    <n v="1"/>
  </r>
  <r>
    <m/>
    <m/>
    <x v="1"/>
    <s v="42649321001001"/>
    <n v="-5.81"/>
    <n v="237"/>
    <n v="1"/>
    <n v="1"/>
  </r>
  <r>
    <m/>
    <m/>
    <x v="1"/>
    <s v="42659261001004"/>
    <n v="-12.35"/>
    <n v="504"/>
    <n v="1"/>
    <n v="1"/>
  </r>
  <r>
    <m/>
    <m/>
    <x v="1"/>
    <s v="42677111001001"/>
    <n v="-7.6"/>
    <n v="310"/>
    <n v="1"/>
    <n v="1"/>
  </r>
  <r>
    <m/>
    <m/>
    <x v="1"/>
    <s v="42812561001002"/>
    <n v="-47.41"/>
    <n v="1935"/>
    <n v="1"/>
    <n v="1"/>
  </r>
  <r>
    <m/>
    <m/>
    <x v="1"/>
    <s v="42890570001001"/>
    <n v="-91.39"/>
    <n v="3730"/>
    <n v="1"/>
    <n v="1"/>
  </r>
  <r>
    <m/>
    <m/>
    <x v="1"/>
    <s v="42898451001001"/>
    <n v="-5.93"/>
    <n v="242"/>
    <n v="1"/>
    <n v="1"/>
  </r>
  <r>
    <m/>
    <m/>
    <x v="1"/>
    <s v="42910351006001"/>
    <n v="-90.13"/>
    <n v="3679"/>
    <n v="2"/>
    <n v="1"/>
  </r>
  <r>
    <m/>
    <m/>
    <x v="1"/>
    <s v="42954661002001"/>
    <n v="-14.14"/>
    <n v="577"/>
    <n v="1"/>
    <n v="1"/>
  </r>
  <r>
    <m/>
    <m/>
    <x v="1"/>
    <s v="43033085001001"/>
    <n v="-18.79"/>
    <n v="767"/>
    <n v="1"/>
    <n v="1"/>
  </r>
  <r>
    <m/>
    <m/>
    <x v="1"/>
    <s v="43124621001001"/>
    <n v="-24.06"/>
    <n v="982"/>
    <n v="1"/>
    <n v="1"/>
  </r>
  <r>
    <m/>
    <m/>
    <x v="1"/>
    <s v="43137151001001"/>
    <n v="-41.55"/>
    <n v="1696"/>
    <n v="1"/>
    <n v="1"/>
  </r>
  <r>
    <m/>
    <m/>
    <x v="1"/>
    <s v="43234101001001"/>
    <n v="-34.369999999999997"/>
    <n v="1403"/>
    <n v="1"/>
    <n v="1"/>
  </r>
  <r>
    <m/>
    <m/>
    <x v="1"/>
    <s v="43243411001002"/>
    <n v="-30.4"/>
    <n v="1241"/>
    <n v="1"/>
    <n v="1"/>
  </r>
  <r>
    <m/>
    <m/>
    <x v="1"/>
    <s v="43278341001001"/>
    <n v="-1.23"/>
    <n v="50"/>
    <n v="1"/>
    <n v="1"/>
  </r>
  <r>
    <m/>
    <m/>
    <x v="1"/>
    <s v="43288421001001"/>
    <n v="-10.02"/>
    <n v="409"/>
    <n v="1"/>
    <n v="1"/>
  </r>
  <r>
    <m/>
    <m/>
    <x v="1"/>
    <s v="43291781001001"/>
    <n v="-21.93"/>
    <n v="895"/>
    <n v="1"/>
    <n v="1"/>
  </r>
  <r>
    <m/>
    <m/>
    <x v="1"/>
    <s v="43297591001002"/>
    <n v="-57.13"/>
    <n v="2332"/>
    <n v="1"/>
    <n v="1"/>
  </r>
  <r>
    <m/>
    <m/>
    <x v="1"/>
    <s v="43325521001002"/>
    <n v="-25.19"/>
    <n v="1028"/>
    <n v="1"/>
    <n v="1"/>
  </r>
  <r>
    <m/>
    <m/>
    <x v="1"/>
    <s v="43333711001002"/>
    <n v="-18.600000000000001"/>
    <n v="759"/>
    <n v="1"/>
    <n v="1"/>
  </r>
  <r>
    <m/>
    <m/>
    <x v="1"/>
    <s v="43341691001009"/>
    <n v="-41.33"/>
    <n v="1687"/>
    <n v="1"/>
    <n v="1"/>
  </r>
  <r>
    <m/>
    <m/>
    <x v="1"/>
    <s v="43363111001003"/>
    <n v="-71.91"/>
    <n v="2935"/>
    <n v="1"/>
    <n v="1"/>
  </r>
  <r>
    <m/>
    <m/>
    <x v="1"/>
    <s v="43399301001004"/>
    <n v="-47.11"/>
    <n v="1923"/>
    <n v="1"/>
    <n v="1"/>
  </r>
  <r>
    <m/>
    <m/>
    <x v="1"/>
    <s v="43455426003001"/>
    <n v="-51.11"/>
    <n v="2086"/>
    <n v="1"/>
    <n v="1"/>
  </r>
  <r>
    <m/>
    <m/>
    <x v="1"/>
    <s v="43492640001001"/>
    <n v="-21.07"/>
    <n v="860"/>
    <n v="1"/>
    <n v="1"/>
  </r>
  <r>
    <m/>
    <m/>
    <x v="1"/>
    <s v="43499059001005"/>
    <n v="-2.57"/>
    <n v="105"/>
    <n v="1"/>
    <n v="1"/>
  </r>
  <r>
    <m/>
    <m/>
    <x v="1"/>
    <s v="43629601001002"/>
    <n v="-30.09"/>
    <n v="1228"/>
    <n v="1"/>
    <n v="1"/>
  </r>
  <r>
    <m/>
    <m/>
    <x v="1"/>
    <s v="43659561001002"/>
    <n v="-10.83"/>
    <n v="442"/>
    <n v="1"/>
    <n v="1"/>
  </r>
  <r>
    <m/>
    <m/>
    <x v="1"/>
    <s v="43675801001005"/>
    <n v="-26.04"/>
    <n v="1063"/>
    <n v="1"/>
    <n v="1"/>
  </r>
  <r>
    <m/>
    <m/>
    <x v="1"/>
    <s v="43676781001004"/>
    <n v="-6.81"/>
    <n v="278"/>
    <n v="1"/>
    <n v="1"/>
  </r>
  <r>
    <m/>
    <m/>
    <x v="1"/>
    <s v="43677061001004"/>
    <n v="-4.43"/>
    <n v="181"/>
    <n v="1"/>
    <n v="1"/>
  </r>
  <r>
    <m/>
    <m/>
    <x v="1"/>
    <s v="43684761001003"/>
    <n v="-9.07"/>
    <n v="370"/>
    <n v="1"/>
    <n v="1"/>
  </r>
  <r>
    <m/>
    <m/>
    <x v="1"/>
    <s v="43686651002002"/>
    <n v="-43.1"/>
    <n v="1759"/>
    <n v="1"/>
    <n v="1"/>
  </r>
  <r>
    <m/>
    <m/>
    <x v="1"/>
    <s v="43687491001003"/>
    <n v="-9.43"/>
    <n v="385"/>
    <n v="1"/>
    <n v="1"/>
  </r>
  <r>
    <m/>
    <m/>
    <x v="1"/>
    <s v="43692811001002"/>
    <n v="-44.57"/>
    <n v="1819"/>
    <n v="1"/>
    <n v="1"/>
  </r>
  <r>
    <m/>
    <m/>
    <x v="1"/>
    <s v="43717941001003"/>
    <n v="-26.22"/>
    <n v="1070"/>
    <n v="1"/>
    <n v="1"/>
  </r>
  <r>
    <m/>
    <m/>
    <x v="1"/>
    <s v="43720585001001"/>
    <n v="-14.82"/>
    <n v="605"/>
    <n v="1"/>
    <n v="1"/>
  </r>
  <r>
    <m/>
    <m/>
    <x v="1"/>
    <s v="43726551002001"/>
    <n v="-45.74"/>
    <n v="1867"/>
    <n v="1"/>
    <n v="1"/>
  </r>
  <r>
    <m/>
    <m/>
    <x v="1"/>
    <s v="43764561001002"/>
    <n v="-46.04"/>
    <n v="1879"/>
    <n v="1"/>
    <n v="1"/>
  </r>
  <r>
    <m/>
    <m/>
    <x v="1"/>
    <s v="43822311002001"/>
    <n v="-6.3"/>
    <n v="257"/>
    <n v="1"/>
    <n v="1"/>
  </r>
  <r>
    <m/>
    <m/>
    <x v="1"/>
    <s v="43829871002001"/>
    <n v="-34.32"/>
    <n v="1401"/>
    <n v="1"/>
    <n v="1"/>
  </r>
  <r>
    <m/>
    <m/>
    <x v="1"/>
    <s v="43863401001002"/>
    <n v="-25.21"/>
    <n v="1029"/>
    <n v="1"/>
    <n v="1"/>
  </r>
  <r>
    <m/>
    <m/>
    <x v="1"/>
    <s v="43881111001003"/>
    <n v="-18.45"/>
    <n v="753"/>
    <n v="1"/>
    <n v="1"/>
  </r>
  <r>
    <m/>
    <m/>
    <x v="1"/>
    <s v="43883841001001"/>
    <n v="-22.34"/>
    <n v="912"/>
    <n v="1"/>
    <n v="1"/>
  </r>
  <r>
    <m/>
    <m/>
    <x v="1"/>
    <s v="43901831002001"/>
    <n v="-36.159999999999997"/>
    <n v="1476"/>
    <n v="1"/>
    <n v="1"/>
  </r>
  <r>
    <m/>
    <m/>
    <x v="1"/>
    <s v="43918351001003"/>
    <n v="-19.989999999999998"/>
    <n v="816"/>
    <n v="1"/>
    <n v="1"/>
  </r>
  <r>
    <m/>
    <m/>
    <x v="1"/>
    <s v="43920871001009"/>
    <n v="-13.38"/>
    <n v="546"/>
    <n v="1"/>
    <n v="1"/>
  </r>
  <r>
    <m/>
    <m/>
    <x v="1"/>
    <s v="43953794001001"/>
    <n v="-40.450000000000003"/>
    <n v="1651"/>
    <n v="1"/>
    <n v="1"/>
  </r>
  <r>
    <m/>
    <m/>
    <x v="1"/>
    <s v="43956630001003"/>
    <n v="-3.68"/>
    <n v="150"/>
    <n v="1"/>
    <n v="1"/>
  </r>
  <r>
    <m/>
    <m/>
    <x v="1"/>
    <s v="43991683002001"/>
    <n v="-36.92"/>
    <n v="1507"/>
    <n v="1"/>
    <n v="1"/>
  </r>
  <r>
    <m/>
    <m/>
    <x v="1"/>
    <s v="43992272001007"/>
    <n v="-32.83"/>
    <n v="1340"/>
    <n v="1"/>
    <n v="1"/>
  </r>
  <r>
    <m/>
    <m/>
    <x v="1"/>
    <s v="44032311001001"/>
    <n v="-4.95"/>
    <n v="202"/>
    <n v="1"/>
    <n v="1"/>
  </r>
  <r>
    <m/>
    <m/>
    <x v="1"/>
    <s v="44032521001001"/>
    <n v="-14.28"/>
    <n v="583"/>
    <n v="1"/>
    <n v="1"/>
  </r>
  <r>
    <m/>
    <m/>
    <x v="1"/>
    <s v="44141337001005"/>
    <n v="-43.66"/>
    <n v="1782"/>
    <n v="1"/>
    <n v="1"/>
  </r>
  <r>
    <m/>
    <m/>
    <x v="1"/>
    <s v="44225511001001"/>
    <n v="-82.37"/>
    <n v="3362"/>
    <n v="1"/>
    <n v="1"/>
  </r>
  <r>
    <m/>
    <m/>
    <x v="1"/>
    <s v="44254071001001"/>
    <n v="-37.119999999999997"/>
    <n v="1515"/>
    <n v="1"/>
    <n v="1"/>
  </r>
  <r>
    <m/>
    <m/>
    <x v="1"/>
    <s v="44271711001001"/>
    <n v="-5.61"/>
    <n v="229"/>
    <n v="1"/>
    <n v="1"/>
  </r>
  <r>
    <m/>
    <m/>
    <x v="1"/>
    <s v="44279131001001"/>
    <n v="-1.45"/>
    <n v="59"/>
    <n v="1"/>
    <n v="1"/>
  </r>
  <r>
    <m/>
    <m/>
    <x v="1"/>
    <s v="44301741001003"/>
    <n v="-70.09"/>
    <n v="2861"/>
    <n v="1"/>
    <n v="1"/>
  </r>
  <r>
    <m/>
    <m/>
    <x v="1"/>
    <s v="44319801001012"/>
    <n v="-14.75"/>
    <n v="602"/>
    <n v="1"/>
    <n v="1"/>
  </r>
  <r>
    <m/>
    <m/>
    <x v="1"/>
    <s v="44339401001001"/>
    <n v="-65.34"/>
    <n v="2667"/>
    <n v="1"/>
    <n v="1"/>
  </r>
  <r>
    <m/>
    <m/>
    <x v="1"/>
    <s v="44353961001003"/>
    <n v="-34.35"/>
    <n v="1402"/>
    <n v="1"/>
    <n v="1"/>
  </r>
  <r>
    <m/>
    <m/>
    <x v="1"/>
    <s v="44355501001004"/>
    <n v="-16.91"/>
    <n v="690"/>
    <n v="1"/>
    <n v="1"/>
  </r>
  <r>
    <m/>
    <m/>
    <x v="1"/>
    <s v="44378391001002"/>
    <n v="-13.45"/>
    <n v="549"/>
    <n v="1"/>
    <n v="1"/>
  </r>
  <r>
    <m/>
    <m/>
    <x v="1"/>
    <s v="44413951001005"/>
    <n v="-9.8699999999999992"/>
    <n v="403"/>
    <n v="1"/>
    <n v="1"/>
  </r>
  <r>
    <m/>
    <m/>
    <x v="1"/>
    <s v="44431101001001"/>
    <n v="-23.05"/>
    <n v="941"/>
    <n v="1"/>
    <n v="1"/>
  </r>
  <r>
    <m/>
    <m/>
    <x v="1"/>
    <s v="44437261002001"/>
    <n v="-89.01"/>
    <n v="3633"/>
    <n v="1"/>
    <n v="1"/>
  </r>
  <r>
    <m/>
    <m/>
    <x v="1"/>
    <s v="44449861003001"/>
    <n v="-69.78"/>
    <n v="2848"/>
    <n v="1"/>
    <n v="1"/>
  </r>
  <r>
    <m/>
    <m/>
    <x v="1"/>
    <s v="44468901001002"/>
    <n v="-29.84"/>
    <n v="1218"/>
    <n v="1"/>
    <n v="1"/>
  </r>
  <r>
    <m/>
    <m/>
    <x v="1"/>
    <s v="44487731001001"/>
    <n v="-12.05"/>
    <n v="492"/>
    <n v="1"/>
    <n v="1"/>
  </r>
  <r>
    <m/>
    <m/>
    <x v="1"/>
    <s v="44496438001001"/>
    <n v="-46.11"/>
    <n v="1882"/>
    <n v="1"/>
    <n v="1"/>
  </r>
  <r>
    <m/>
    <m/>
    <x v="1"/>
    <s v="44500471002001"/>
    <n v="-79.650000000000006"/>
    <n v="3251"/>
    <n v="1"/>
    <n v="1"/>
  </r>
  <r>
    <m/>
    <m/>
    <x v="1"/>
    <s v="44524271001003"/>
    <n v="-18.079999999999998"/>
    <n v="738"/>
    <n v="1"/>
    <n v="1"/>
  </r>
  <r>
    <m/>
    <m/>
    <x v="1"/>
    <s v="44577611002002"/>
    <n v="-15.46"/>
    <n v="631"/>
    <n v="1"/>
    <n v="1"/>
  </r>
  <r>
    <m/>
    <m/>
    <x v="1"/>
    <s v="44588111004001"/>
    <n v="-51.99"/>
    <n v="2122"/>
    <n v="1"/>
    <n v="1"/>
  </r>
  <r>
    <m/>
    <m/>
    <x v="1"/>
    <s v="44636061001001"/>
    <n v="-54.32"/>
    <n v="2217"/>
    <n v="1"/>
    <n v="1"/>
  </r>
  <r>
    <m/>
    <m/>
    <x v="1"/>
    <s v="44697801002002"/>
    <n v="-49.12"/>
    <n v="2005"/>
    <n v="1"/>
    <n v="1"/>
  </r>
  <r>
    <m/>
    <m/>
    <x v="1"/>
    <s v="44717961001001"/>
    <n v="-3.75"/>
    <n v="153"/>
    <n v="1"/>
    <n v="1"/>
  </r>
  <r>
    <m/>
    <m/>
    <x v="1"/>
    <s v="44719431001001"/>
    <n v="-22.56"/>
    <n v="921"/>
    <n v="1"/>
    <n v="1"/>
  </r>
  <r>
    <m/>
    <m/>
    <x v="1"/>
    <s v="44726851001001"/>
    <n v="-79.849999999999994"/>
    <n v="3259"/>
    <n v="1"/>
    <n v="1"/>
  </r>
  <r>
    <m/>
    <m/>
    <x v="1"/>
    <s v="44728321004001"/>
    <n v="-24.52"/>
    <n v="1001"/>
    <n v="1"/>
    <n v="1"/>
  </r>
  <r>
    <m/>
    <m/>
    <x v="1"/>
    <s v="44760031004001"/>
    <n v="-45.89"/>
    <n v="1873"/>
    <n v="1"/>
    <n v="1"/>
  </r>
  <r>
    <m/>
    <m/>
    <x v="1"/>
    <s v="44765141002005"/>
    <n v="-12.91"/>
    <n v="527"/>
    <n v="1"/>
    <n v="1"/>
  </r>
  <r>
    <m/>
    <m/>
    <x v="1"/>
    <s v="44797411005020"/>
    <n v="-24.11"/>
    <n v="984"/>
    <n v="1"/>
    <n v="1"/>
  </r>
  <r>
    <m/>
    <m/>
    <x v="1"/>
    <s v="44805881002002"/>
    <n v="-64.14"/>
    <n v="2618"/>
    <n v="1"/>
    <n v="1"/>
  </r>
  <r>
    <m/>
    <m/>
    <x v="1"/>
    <s v="44811481003005"/>
    <n v="-31.48"/>
    <n v="1285"/>
    <n v="1"/>
    <n v="1"/>
  </r>
  <r>
    <m/>
    <m/>
    <x v="1"/>
    <s v="44813091001002"/>
    <n v="-35.840000000000003"/>
    <n v="1463"/>
    <n v="1"/>
    <n v="1"/>
  </r>
  <r>
    <m/>
    <m/>
    <x v="1"/>
    <s v="44827301001001"/>
    <n v="-45.3"/>
    <n v="1849"/>
    <n v="1"/>
    <n v="1"/>
  </r>
  <r>
    <m/>
    <m/>
    <x v="1"/>
    <s v="44847951001001"/>
    <n v="-71.3"/>
    <n v="2910"/>
    <n v="1"/>
    <n v="1"/>
  </r>
  <r>
    <m/>
    <m/>
    <x v="1"/>
    <s v="44876721001002"/>
    <n v="-25.36"/>
    <n v="1035"/>
    <n v="1"/>
    <n v="1"/>
  </r>
  <r>
    <m/>
    <m/>
    <x v="1"/>
    <s v="44882082003001"/>
    <n v="-17.760000000000002"/>
    <n v="725"/>
    <n v="1"/>
    <n v="1"/>
  </r>
  <r>
    <m/>
    <m/>
    <x v="1"/>
    <s v="44883581001001"/>
    <n v="-46.7"/>
    <n v="1906"/>
    <n v="1"/>
    <n v="1"/>
  </r>
  <r>
    <m/>
    <m/>
    <x v="1"/>
    <s v="44884351001001"/>
    <n v="-0.91"/>
    <n v="37"/>
    <n v="1"/>
    <n v="1"/>
  </r>
  <r>
    <m/>
    <m/>
    <x v="1"/>
    <s v="44908641001004"/>
    <n v="-30.94"/>
    <n v="1263"/>
    <n v="1"/>
    <n v="1"/>
  </r>
  <r>
    <m/>
    <m/>
    <x v="1"/>
    <s v="44908781005003"/>
    <n v="-12.08"/>
    <n v="493"/>
    <n v="1"/>
    <n v="1"/>
  </r>
  <r>
    <m/>
    <m/>
    <x v="1"/>
    <s v="44909201001001"/>
    <n v="-1.62"/>
    <n v="66"/>
    <n v="1"/>
    <n v="1"/>
  </r>
  <r>
    <m/>
    <m/>
    <x v="1"/>
    <s v="44943221001001"/>
    <n v="-56.96"/>
    <n v="2325"/>
    <n v="1"/>
    <n v="1"/>
  </r>
  <r>
    <m/>
    <m/>
    <x v="1"/>
    <s v="44983121001001"/>
    <n v="-38.69"/>
    <n v="1579"/>
    <n v="1"/>
    <n v="1"/>
  </r>
  <r>
    <m/>
    <m/>
    <x v="1"/>
    <s v="44983611001002"/>
    <n v="-3.45"/>
    <n v="141"/>
    <n v="1"/>
    <n v="1"/>
  </r>
  <r>
    <m/>
    <m/>
    <x v="1"/>
    <s v="44995231002001"/>
    <n v="-26.63"/>
    <n v="1087"/>
    <n v="1"/>
    <n v="1"/>
  </r>
  <r>
    <m/>
    <m/>
    <x v="1"/>
    <s v="45037931001001"/>
    <n v="-40.28"/>
    <n v="1644"/>
    <n v="1"/>
    <n v="1"/>
  </r>
  <r>
    <m/>
    <m/>
    <x v="1"/>
    <s v="45045911001001"/>
    <n v="-26.19"/>
    <n v="1069"/>
    <n v="1"/>
    <n v="1"/>
  </r>
  <r>
    <m/>
    <m/>
    <x v="1"/>
    <s v="45045981001003"/>
    <n v="-29.18"/>
    <n v="1191"/>
    <n v="1"/>
    <n v="1"/>
  </r>
  <r>
    <m/>
    <m/>
    <x v="1"/>
    <s v="45049061001001"/>
    <n v="-4.1399999999999997"/>
    <n v="169"/>
    <n v="1"/>
    <n v="1"/>
  </r>
  <r>
    <m/>
    <m/>
    <x v="1"/>
    <s v="45051231004001"/>
    <n v="-31.48"/>
    <n v="1285"/>
    <n v="1"/>
    <n v="1"/>
  </r>
  <r>
    <m/>
    <m/>
    <x v="1"/>
    <s v="45060821001003"/>
    <n v="-56.3"/>
    <n v="2298"/>
    <n v="1"/>
    <n v="1"/>
  </r>
  <r>
    <m/>
    <m/>
    <x v="1"/>
    <s v="45087071001001"/>
    <n v="-57.8"/>
    <n v="2359"/>
    <n v="1"/>
    <n v="1"/>
  </r>
  <r>
    <m/>
    <m/>
    <x v="1"/>
    <s v="45128721001001"/>
    <n v="-14.46"/>
    <n v="590"/>
    <n v="1"/>
    <n v="1"/>
  </r>
  <r>
    <m/>
    <m/>
    <x v="1"/>
    <s v="45155461001001"/>
    <n v="-75.02"/>
    <n v="3062"/>
    <n v="1"/>
    <n v="1"/>
  </r>
  <r>
    <m/>
    <m/>
    <x v="1"/>
    <s v="45161551001001"/>
    <n v="-51.5"/>
    <n v="2102"/>
    <n v="1"/>
    <n v="1"/>
  </r>
  <r>
    <m/>
    <m/>
    <x v="1"/>
    <s v="45162391001001"/>
    <n v="-55.66"/>
    <n v="2272"/>
    <n v="1"/>
    <n v="1"/>
  </r>
  <r>
    <m/>
    <m/>
    <x v="1"/>
    <s v="45185561001003"/>
    <n v="-93.98"/>
    <n v="3836"/>
    <n v="1"/>
    <n v="1"/>
  </r>
  <r>
    <m/>
    <m/>
    <x v="1"/>
    <s v="45188011001001"/>
    <n v="-21.19"/>
    <n v="865"/>
    <n v="1"/>
    <n v="1"/>
  </r>
  <r>
    <m/>
    <m/>
    <x v="1"/>
    <s v="45206841001001"/>
    <n v="-57.6"/>
    <n v="2351"/>
    <n v="1"/>
    <n v="1"/>
  </r>
  <r>
    <m/>
    <m/>
    <x v="1"/>
    <s v="45253371002003"/>
    <n v="-36.700000000000003"/>
    <n v="1498"/>
    <n v="1"/>
    <n v="1"/>
  </r>
  <r>
    <m/>
    <m/>
    <x v="1"/>
    <s v="45259341001001"/>
    <n v="-19.72"/>
    <n v="805"/>
    <n v="1"/>
    <n v="1"/>
  </r>
  <r>
    <m/>
    <m/>
    <x v="1"/>
    <s v="45272991001001"/>
    <n v="-7.2"/>
    <n v="294"/>
    <n v="1"/>
    <n v="1"/>
  </r>
  <r>
    <m/>
    <m/>
    <x v="1"/>
    <s v="45329621001002"/>
    <n v="-99.67"/>
    <n v="4068"/>
    <n v="1"/>
    <n v="1"/>
  </r>
  <r>
    <m/>
    <m/>
    <x v="1"/>
    <s v="45381281001001"/>
    <n v="-2.0299999999999998"/>
    <n v="83"/>
    <n v="1"/>
    <n v="1"/>
  </r>
  <r>
    <m/>
    <m/>
    <x v="1"/>
    <s v="45384011001002"/>
    <n v="-61.67"/>
    <n v="2517"/>
    <n v="1"/>
    <n v="1"/>
  </r>
  <r>
    <m/>
    <m/>
    <x v="1"/>
    <s v="45435111001002"/>
    <n v="-23.59"/>
    <n v="963"/>
    <n v="1"/>
    <n v="1"/>
  </r>
  <r>
    <m/>
    <m/>
    <x v="1"/>
    <s v="45455716004001"/>
    <n v="-65.709999999999994"/>
    <n v="2682"/>
    <n v="1"/>
    <n v="1"/>
  </r>
  <r>
    <m/>
    <m/>
    <x v="1"/>
    <s v="45487611001002"/>
    <n v="-43.88"/>
    <n v="1791"/>
    <n v="1"/>
    <n v="1"/>
  </r>
  <r>
    <m/>
    <m/>
    <x v="1"/>
    <s v="45508261001001"/>
    <n v="-32.14"/>
    <n v="1312"/>
    <n v="1"/>
    <n v="1"/>
  </r>
  <r>
    <m/>
    <m/>
    <x v="1"/>
    <s v="45595131003001"/>
    <n v="-9.68"/>
    <n v="395"/>
    <n v="1"/>
    <n v="1"/>
  </r>
  <r>
    <m/>
    <m/>
    <x v="1"/>
    <s v="45599751001003"/>
    <n v="-22.52"/>
    <n v="919"/>
    <n v="1"/>
    <n v="1"/>
  </r>
  <r>
    <m/>
    <m/>
    <x v="1"/>
    <s v="45613471002002"/>
    <n v="-3.82"/>
    <n v="156"/>
    <n v="1"/>
    <n v="1"/>
  </r>
  <r>
    <m/>
    <m/>
    <x v="1"/>
    <s v="45628101001001"/>
    <n v="-62.77"/>
    <n v="2562"/>
    <n v="1"/>
    <n v="1"/>
  </r>
  <r>
    <m/>
    <m/>
    <x v="1"/>
    <s v="45634593001005"/>
    <n v="-4.24"/>
    <n v="173"/>
    <n v="1"/>
    <n v="1"/>
  </r>
  <r>
    <m/>
    <m/>
    <x v="1"/>
    <s v="45692851001002"/>
    <n v="-32.68"/>
    <n v="1334"/>
    <n v="1"/>
    <n v="1"/>
  </r>
  <r>
    <m/>
    <m/>
    <x v="1"/>
    <s v="45755151003001"/>
    <n v="-27.46"/>
    <n v="1121"/>
    <n v="1"/>
    <n v="1"/>
  </r>
  <r>
    <m/>
    <m/>
    <x v="1"/>
    <s v="45765931005001"/>
    <n v="-41.97"/>
    <n v="1713"/>
    <n v="1"/>
    <n v="1"/>
  </r>
  <r>
    <m/>
    <m/>
    <x v="1"/>
    <s v="45788681002001"/>
    <n v="-15.68"/>
    <n v="640"/>
    <n v="1"/>
    <n v="1"/>
  </r>
  <r>
    <m/>
    <m/>
    <x v="1"/>
    <s v="45796661003006"/>
    <n v="-67.45"/>
    <n v="2753"/>
    <n v="1"/>
    <n v="1"/>
  </r>
  <r>
    <m/>
    <m/>
    <x v="1"/>
    <s v="45796731002001"/>
    <n v="-24.82"/>
    <n v="1013"/>
    <n v="1"/>
    <n v="1"/>
  </r>
  <r>
    <m/>
    <m/>
    <x v="1"/>
    <s v="45818361008003"/>
    <n v="-15.7"/>
    <n v="641"/>
    <n v="1"/>
    <n v="1"/>
  </r>
  <r>
    <m/>
    <m/>
    <x v="1"/>
    <s v="45846991001001"/>
    <n v="-83.64"/>
    <n v="3414"/>
    <n v="1"/>
    <n v="1"/>
  </r>
  <r>
    <m/>
    <m/>
    <x v="1"/>
    <s v="45848321002005"/>
    <n v="-14.01"/>
    <n v="572"/>
    <n v="1"/>
    <n v="1"/>
  </r>
  <r>
    <m/>
    <m/>
    <x v="1"/>
    <s v="45851261001001"/>
    <n v="-48.14"/>
    <n v="1965"/>
    <n v="1"/>
    <n v="1"/>
  </r>
  <r>
    <m/>
    <m/>
    <x v="1"/>
    <s v="45855951001001"/>
    <n v="-39.42"/>
    <n v="1609"/>
    <n v="1"/>
    <n v="1"/>
  </r>
  <r>
    <m/>
    <m/>
    <x v="1"/>
    <s v="45929941001001"/>
    <n v="-4.97"/>
    <n v="203"/>
    <n v="1"/>
    <n v="1"/>
  </r>
  <r>
    <m/>
    <m/>
    <x v="1"/>
    <s v="45955491001002"/>
    <n v="-36.11"/>
    <n v="1474"/>
    <n v="1"/>
    <n v="1"/>
  </r>
  <r>
    <m/>
    <m/>
    <x v="1"/>
    <s v="45981872001001"/>
    <n v="-9.9"/>
    <n v="404"/>
    <n v="1"/>
    <n v="1"/>
  </r>
  <r>
    <m/>
    <m/>
    <x v="1"/>
    <s v="46002181001004"/>
    <n v="-29.99"/>
    <n v="1224"/>
    <n v="1"/>
    <n v="1"/>
  </r>
  <r>
    <m/>
    <m/>
    <x v="1"/>
    <s v="46087791001001"/>
    <n v="-52.19"/>
    <n v="2130"/>
    <n v="1"/>
    <n v="1"/>
  </r>
  <r>
    <m/>
    <m/>
    <x v="1"/>
    <s v="46096471001002"/>
    <n v="-15.93"/>
    <n v="650"/>
    <n v="1"/>
    <n v="1"/>
  </r>
  <r>
    <m/>
    <m/>
    <x v="1"/>
    <s v="46108706001003"/>
    <n v="-44.57"/>
    <n v="1819"/>
    <n v="1"/>
    <n v="1"/>
  </r>
  <r>
    <m/>
    <m/>
    <x v="1"/>
    <s v="46109911001006"/>
    <n v="-30.26"/>
    <n v="1235"/>
    <n v="1"/>
    <n v="1"/>
  </r>
  <r>
    <m/>
    <m/>
    <x v="1"/>
    <s v="46115161001001"/>
    <n v="-22.34"/>
    <n v="912"/>
    <n v="1"/>
    <n v="1"/>
  </r>
  <r>
    <m/>
    <m/>
    <x v="1"/>
    <s v="46127621002001"/>
    <n v="-70.73"/>
    <n v="2887"/>
    <n v="1"/>
    <n v="1"/>
  </r>
  <r>
    <m/>
    <m/>
    <x v="1"/>
    <s v="46140781001002"/>
    <n v="-24.06"/>
    <n v="982"/>
    <n v="1"/>
    <n v="1"/>
  </r>
  <r>
    <m/>
    <m/>
    <x v="1"/>
    <s v="46181801006035"/>
    <n v="-41.87"/>
    <n v="1709"/>
    <n v="1"/>
    <n v="1"/>
  </r>
  <r>
    <m/>
    <m/>
    <x v="1"/>
    <s v="46208961001005"/>
    <n v="-31.04"/>
    <n v="1267"/>
    <n v="1"/>
    <n v="1"/>
  </r>
  <r>
    <m/>
    <m/>
    <x v="1"/>
    <s v="46212041001001"/>
    <n v="-4.41"/>
    <n v="180"/>
    <n v="1"/>
    <n v="1"/>
  </r>
  <r>
    <m/>
    <m/>
    <x v="1"/>
    <s v="46227600003001"/>
    <n v="-15.14"/>
    <n v="618"/>
    <n v="1"/>
    <n v="1"/>
  </r>
  <r>
    <m/>
    <m/>
    <x v="1"/>
    <s v="46228281001002"/>
    <n v="-45.86"/>
    <n v="1872"/>
    <n v="1"/>
    <n v="1"/>
  </r>
  <r>
    <m/>
    <m/>
    <x v="1"/>
    <s v="46288761001001"/>
    <n v="-21.9"/>
    <n v="894"/>
    <n v="1"/>
    <n v="1"/>
  </r>
  <r>
    <m/>
    <m/>
    <x v="1"/>
    <s v="46332861005002"/>
    <n v="-87.98"/>
    <n v="3591"/>
    <n v="1"/>
    <n v="1"/>
  </r>
  <r>
    <m/>
    <m/>
    <x v="1"/>
    <s v="46341751001001"/>
    <n v="-46.97"/>
    <n v="1917"/>
    <n v="1"/>
    <n v="1"/>
  </r>
  <r>
    <m/>
    <m/>
    <x v="1"/>
    <s v="46345951001005"/>
    <n v="-22.2"/>
    <n v="906"/>
    <n v="1"/>
    <n v="1"/>
  </r>
  <r>
    <m/>
    <m/>
    <x v="1"/>
    <s v="46350571001003"/>
    <n v="-13.74"/>
    <n v="561"/>
    <n v="1"/>
    <n v="1"/>
  </r>
  <r>
    <m/>
    <m/>
    <x v="1"/>
    <s v="46392431004003"/>
    <n v="-41.55"/>
    <n v="1696"/>
    <n v="1"/>
    <n v="1"/>
  </r>
  <r>
    <m/>
    <m/>
    <x v="1"/>
    <s v="46403001005001"/>
    <n v="-56.06"/>
    <n v="2288"/>
    <n v="1"/>
    <n v="1"/>
  </r>
  <r>
    <m/>
    <m/>
    <x v="1"/>
    <s v="46439681002002"/>
    <n v="-3.19"/>
    <n v="130"/>
    <n v="1"/>
    <n v="1"/>
  </r>
  <r>
    <m/>
    <m/>
    <x v="1"/>
    <s v="46447731001002"/>
    <n v="-55.69"/>
    <n v="2273"/>
    <n v="1"/>
    <n v="1"/>
  </r>
  <r>
    <m/>
    <m/>
    <x v="1"/>
    <s v="46459421003005"/>
    <n v="-33.47"/>
    <n v="1366"/>
    <n v="1"/>
    <n v="1"/>
  </r>
  <r>
    <m/>
    <m/>
    <x v="1"/>
    <s v="46461591002001"/>
    <n v="-21.07"/>
    <n v="860"/>
    <n v="1"/>
    <n v="1"/>
  </r>
  <r>
    <m/>
    <m/>
    <x v="1"/>
    <s v="46562181001001"/>
    <n v="-50.05"/>
    <n v="2043"/>
    <n v="1"/>
    <n v="1"/>
  </r>
  <r>
    <m/>
    <m/>
    <x v="1"/>
    <s v="46613701001001"/>
    <n v="-37.75"/>
    <n v="1541"/>
    <n v="1"/>
    <n v="1"/>
  </r>
  <r>
    <m/>
    <m/>
    <x v="1"/>
    <s v="46689301001005"/>
    <n v="-34.64"/>
    <n v="1414"/>
    <n v="1"/>
    <n v="1"/>
  </r>
  <r>
    <m/>
    <m/>
    <x v="1"/>
    <s v="46749431002001"/>
    <n v="-14.6"/>
    <n v="596"/>
    <n v="1"/>
    <n v="1"/>
  </r>
  <r>
    <m/>
    <m/>
    <x v="1"/>
    <s v="46774841003005"/>
    <n v="-37.14"/>
    <n v="1516"/>
    <n v="1"/>
    <n v="1"/>
  </r>
  <r>
    <m/>
    <m/>
    <x v="1"/>
    <s v="46806971002001"/>
    <n v="-50.03"/>
    <n v="2042"/>
    <n v="1"/>
    <n v="1"/>
  </r>
  <r>
    <m/>
    <m/>
    <x v="1"/>
    <s v="46853523001007"/>
    <n v="-23.23"/>
    <n v="948"/>
    <n v="1"/>
    <n v="1"/>
  </r>
  <r>
    <m/>
    <m/>
    <x v="1"/>
    <s v="46868991001001"/>
    <n v="-25.85"/>
    <n v="1055"/>
    <n v="1"/>
    <n v="1"/>
  </r>
  <r>
    <m/>
    <m/>
    <x v="1"/>
    <s v="46933740002003"/>
    <n v="-15.7"/>
    <n v="641"/>
    <n v="1"/>
    <n v="1"/>
  </r>
  <r>
    <m/>
    <m/>
    <x v="1"/>
    <s v="46955931001002"/>
    <n v="-10.54"/>
    <n v="430"/>
    <n v="1"/>
    <n v="1"/>
  </r>
  <r>
    <m/>
    <m/>
    <x v="1"/>
    <s v="47056381002002"/>
    <n v="-35.75"/>
    <n v="1459"/>
    <n v="1"/>
    <n v="1"/>
  </r>
  <r>
    <m/>
    <m/>
    <x v="1"/>
    <s v="47162081002004"/>
    <n v="-28.57"/>
    <n v="1166"/>
    <n v="1"/>
    <n v="1"/>
  </r>
  <r>
    <m/>
    <m/>
    <x v="1"/>
    <s v="47164607001003"/>
    <n v="-11.66"/>
    <n v="476"/>
    <n v="1"/>
    <n v="1"/>
  </r>
  <r>
    <m/>
    <m/>
    <x v="1"/>
    <s v="47166561001004"/>
    <n v="-70.58"/>
    <n v="2881"/>
    <n v="1"/>
    <n v="1"/>
  </r>
  <r>
    <m/>
    <m/>
    <x v="1"/>
    <s v="47167121008001"/>
    <n v="-74.7"/>
    <n v="3049"/>
    <n v="1"/>
    <n v="1"/>
  </r>
  <r>
    <m/>
    <m/>
    <x v="1"/>
    <s v="47184061008001"/>
    <n v="-3.5"/>
    <n v="143"/>
    <n v="1"/>
    <n v="1"/>
  </r>
  <r>
    <m/>
    <m/>
    <x v="1"/>
    <s v="47189634001001"/>
    <n v="-21.24"/>
    <n v="867"/>
    <n v="1"/>
    <n v="1"/>
  </r>
  <r>
    <m/>
    <m/>
    <x v="1"/>
    <s v="47203101003001"/>
    <n v="-60.2"/>
    <n v="2457"/>
    <n v="1"/>
    <n v="1"/>
  </r>
  <r>
    <m/>
    <m/>
    <x v="1"/>
    <s v="47210031006001"/>
    <n v="-48.8"/>
    <n v="1992"/>
    <n v="1"/>
    <n v="1"/>
  </r>
  <r>
    <m/>
    <m/>
    <x v="1"/>
    <s v="47227107001005"/>
    <n v="-9.14"/>
    <n v="373"/>
    <n v="1"/>
    <n v="1"/>
  </r>
  <r>
    <m/>
    <m/>
    <x v="1"/>
    <s v="47234572001003"/>
    <n v="-12.67"/>
    <n v="517"/>
    <n v="1"/>
    <n v="1"/>
  </r>
  <r>
    <m/>
    <m/>
    <x v="1"/>
    <s v="47282621001001"/>
    <n v="-14.11"/>
    <n v="576"/>
    <n v="1"/>
    <n v="1"/>
  </r>
  <r>
    <m/>
    <m/>
    <x v="1"/>
    <s v="47299108003003"/>
    <n v="-26.44"/>
    <n v="1079"/>
    <n v="1"/>
    <n v="1"/>
  </r>
  <r>
    <m/>
    <m/>
    <x v="1"/>
    <s v="47309291001002"/>
    <n v="-15.68"/>
    <n v="640"/>
    <n v="1"/>
    <n v="1"/>
  </r>
  <r>
    <m/>
    <m/>
    <x v="1"/>
    <s v="47315031001007"/>
    <n v="-7.06"/>
    <n v="288"/>
    <n v="1"/>
    <n v="1"/>
  </r>
  <r>
    <m/>
    <m/>
    <x v="1"/>
    <s v="47404141001001"/>
    <n v="-21.95"/>
    <n v="896"/>
    <n v="1"/>
    <n v="1"/>
  </r>
  <r>
    <m/>
    <m/>
    <x v="1"/>
    <s v="47418141001001"/>
    <n v="-37.07"/>
    <n v="1513"/>
    <n v="1"/>
    <n v="1"/>
  </r>
  <r>
    <m/>
    <m/>
    <x v="1"/>
    <s v="47484221001003"/>
    <n v="-17.32"/>
    <n v="707"/>
    <n v="1"/>
    <n v="1"/>
  </r>
  <r>
    <m/>
    <m/>
    <x v="1"/>
    <s v="47496751010001"/>
    <n v="-31.16"/>
    <n v="1272"/>
    <n v="1"/>
    <n v="1"/>
  </r>
  <r>
    <m/>
    <m/>
    <x v="1"/>
    <s v="47505992001004"/>
    <n v="-66.25"/>
    <n v="2704"/>
    <n v="1"/>
    <n v="1"/>
  </r>
  <r>
    <m/>
    <m/>
    <x v="1"/>
    <s v="47558607001001"/>
    <n v="-53.97"/>
    <n v="2203"/>
    <n v="1"/>
    <n v="1"/>
  </r>
  <r>
    <m/>
    <m/>
    <x v="1"/>
    <s v="47567311002006"/>
    <n v="-41.48"/>
    <n v="1693"/>
    <n v="1"/>
    <n v="1"/>
  </r>
  <r>
    <m/>
    <m/>
    <x v="1"/>
    <s v="47593271001001"/>
    <n v="-22.69"/>
    <n v="926"/>
    <n v="1"/>
    <n v="1"/>
  </r>
  <r>
    <m/>
    <m/>
    <x v="1"/>
    <s v="47598881005001"/>
    <n v="-41.11"/>
    <n v="1678"/>
    <n v="1"/>
    <n v="1"/>
  </r>
  <r>
    <m/>
    <m/>
    <x v="1"/>
    <s v="47603221004001"/>
    <n v="-11.61"/>
    <n v="474"/>
    <n v="1"/>
    <n v="1"/>
  </r>
  <r>
    <m/>
    <m/>
    <x v="1"/>
    <s v="47671401001005"/>
    <n v="-52.94"/>
    <n v="2161"/>
    <n v="1"/>
    <n v="1"/>
  </r>
  <r>
    <m/>
    <m/>
    <x v="1"/>
    <s v="47673221001005"/>
    <n v="-29.03"/>
    <n v="1185"/>
    <n v="1"/>
    <n v="1"/>
  </r>
  <r>
    <m/>
    <m/>
    <x v="1"/>
    <s v="47696251001001"/>
    <n v="-21.76"/>
    <n v="888"/>
    <n v="1"/>
    <n v="1"/>
  </r>
  <r>
    <m/>
    <m/>
    <x v="1"/>
    <s v="47707871002001"/>
    <n v="-59.83"/>
    <n v="2442"/>
    <n v="1"/>
    <n v="1"/>
  </r>
  <r>
    <m/>
    <m/>
    <x v="1"/>
    <s v="47758971002003"/>
    <n v="-6.88"/>
    <n v="281"/>
    <n v="1"/>
    <n v="1"/>
  </r>
  <r>
    <m/>
    <m/>
    <x v="1"/>
    <s v="47759881007003"/>
    <n v="-13.01"/>
    <n v="531"/>
    <n v="1"/>
    <n v="1"/>
  </r>
  <r>
    <m/>
    <m/>
    <x v="1"/>
    <s v="47762878002003"/>
    <n v="-27.54"/>
    <n v="1124"/>
    <n v="1"/>
    <n v="1"/>
  </r>
  <r>
    <m/>
    <m/>
    <x v="1"/>
    <s v="47795791001001"/>
    <n v="-38.81"/>
    <n v="1584"/>
    <n v="1"/>
    <n v="1"/>
  </r>
  <r>
    <m/>
    <m/>
    <x v="1"/>
    <s v="47848571001001"/>
    <n v="-26.17"/>
    <n v="1068"/>
    <n v="1"/>
    <n v="1"/>
  </r>
  <r>
    <m/>
    <m/>
    <x v="1"/>
    <s v="47849621001003"/>
    <n v="-45.47"/>
    <n v="1856"/>
    <n v="1"/>
    <n v="1"/>
  </r>
  <r>
    <m/>
    <m/>
    <x v="1"/>
    <s v="47863481003003"/>
    <n v="-43.95"/>
    <n v="1794"/>
    <n v="1"/>
    <n v="1"/>
  </r>
  <r>
    <m/>
    <m/>
    <x v="1"/>
    <s v="47865371001001"/>
    <n v="-35.99"/>
    <n v="1469"/>
    <n v="1"/>
    <n v="1"/>
  </r>
  <r>
    <m/>
    <m/>
    <x v="1"/>
    <s v="47871671002003"/>
    <n v="-25.26"/>
    <n v="1031"/>
    <n v="1"/>
    <n v="1"/>
  </r>
  <r>
    <m/>
    <m/>
    <x v="1"/>
    <s v="47874432001002"/>
    <n v="-61.89"/>
    <n v="2526"/>
    <n v="1"/>
    <n v="1"/>
  </r>
  <r>
    <m/>
    <m/>
    <x v="1"/>
    <s v="47902401001001"/>
    <n v="-54.78"/>
    <n v="2236"/>
    <n v="1"/>
    <n v="1"/>
  </r>
  <r>
    <m/>
    <m/>
    <x v="1"/>
    <s v="47907721006007"/>
    <n v="-33.83"/>
    <n v="1381"/>
    <n v="1"/>
    <n v="1"/>
  </r>
  <r>
    <m/>
    <m/>
    <x v="1"/>
    <s v="47951681001003"/>
    <n v="-35.11"/>
    <n v="1433"/>
    <n v="1"/>
    <n v="1"/>
  </r>
  <r>
    <m/>
    <m/>
    <x v="1"/>
    <s v="48019581004001"/>
    <n v="-31.65"/>
    <n v="1292"/>
    <n v="1"/>
    <n v="1"/>
  </r>
  <r>
    <m/>
    <m/>
    <x v="1"/>
    <s v="48051781001007"/>
    <n v="-16.170000000000002"/>
    <n v="660"/>
    <n v="1"/>
    <n v="1"/>
  </r>
  <r>
    <m/>
    <m/>
    <x v="1"/>
    <s v="48090281007001"/>
    <n v="-66.739999999999995"/>
    <n v="2724"/>
    <n v="1"/>
    <n v="1"/>
  </r>
  <r>
    <m/>
    <m/>
    <x v="1"/>
    <s v="48098261002004"/>
    <n v="-25.31"/>
    <n v="1033"/>
    <n v="1"/>
    <n v="1"/>
  </r>
  <r>
    <m/>
    <m/>
    <x v="1"/>
    <s v="48098490001001"/>
    <n v="-53.73"/>
    <n v="2193"/>
    <n v="1"/>
    <n v="1"/>
  </r>
  <r>
    <m/>
    <m/>
    <x v="1"/>
    <s v="48109251001002"/>
    <n v="-17.54"/>
    <n v="716"/>
    <n v="1"/>
    <n v="1"/>
  </r>
  <r>
    <m/>
    <m/>
    <x v="1"/>
    <s v="48227142001001"/>
    <n v="-21.85"/>
    <n v="892"/>
    <n v="1"/>
    <n v="1"/>
  </r>
  <r>
    <m/>
    <m/>
    <x v="1"/>
    <s v="48244561001001"/>
    <n v="-54.9"/>
    <n v="2241"/>
    <n v="1"/>
    <n v="1"/>
  </r>
  <r>
    <m/>
    <m/>
    <x v="1"/>
    <s v="48270598001001"/>
    <n v="-41.85"/>
    <n v="1708"/>
    <n v="1"/>
    <n v="1"/>
  </r>
  <r>
    <m/>
    <m/>
    <x v="1"/>
    <s v="48320511001002"/>
    <n v="-14.23"/>
    <n v="581"/>
    <n v="1"/>
    <n v="1"/>
  </r>
  <r>
    <m/>
    <m/>
    <x v="1"/>
    <s v="48401751001001"/>
    <n v="-22.3"/>
    <n v="910"/>
    <n v="1"/>
    <n v="1"/>
  </r>
  <r>
    <m/>
    <m/>
    <x v="1"/>
    <s v="48498657001001"/>
    <n v="-20.51"/>
    <n v="837"/>
    <n v="1"/>
    <n v="1"/>
  </r>
  <r>
    <m/>
    <m/>
    <x v="1"/>
    <s v="48520235002004"/>
    <n v="-5.46"/>
    <n v="223"/>
    <n v="1"/>
    <n v="1"/>
  </r>
  <r>
    <m/>
    <m/>
    <x v="1"/>
    <s v="48622948001002"/>
    <n v="-38.32"/>
    <n v="1564"/>
    <n v="1"/>
    <n v="1"/>
  </r>
  <r>
    <m/>
    <m/>
    <x v="1"/>
    <s v="48676391001001"/>
    <n v="-40.130000000000003"/>
    <n v="1638"/>
    <n v="1"/>
    <n v="1"/>
  </r>
  <r>
    <m/>
    <m/>
    <x v="1"/>
    <s v="48681659001003"/>
    <n v="-4.1399999999999997"/>
    <n v="169"/>
    <n v="1"/>
    <n v="1"/>
  </r>
  <r>
    <m/>
    <m/>
    <x v="1"/>
    <s v="48754161004001"/>
    <n v="-75.02"/>
    <n v="3062"/>
    <n v="1"/>
    <n v="1"/>
  </r>
  <r>
    <m/>
    <m/>
    <x v="1"/>
    <s v="48813330001001"/>
    <n v="-51.43"/>
    <n v="2099"/>
    <n v="1"/>
    <n v="1"/>
  </r>
  <r>
    <m/>
    <m/>
    <x v="1"/>
    <s v="48919522001001"/>
    <n v="-51.43"/>
    <n v="2099"/>
    <n v="1"/>
    <n v="1"/>
  </r>
  <r>
    <m/>
    <m/>
    <x v="1"/>
    <s v="48925311003003"/>
    <n v="-35.04"/>
    <n v="1430"/>
    <n v="1"/>
    <n v="1"/>
  </r>
  <r>
    <m/>
    <m/>
    <x v="1"/>
    <s v="48926217001001"/>
    <n v="-37.979999999999997"/>
    <n v="1550"/>
    <n v="1"/>
    <n v="1"/>
  </r>
  <r>
    <m/>
    <m/>
    <x v="1"/>
    <s v="48937755001004"/>
    <n v="-0.27"/>
    <n v="11"/>
    <n v="1"/>
    <n v="1"/>
  </r>
  <r>
    <m/>
    <m/>
    <x v="1"/>
    <s v="48944491003004"/>
    <n v="-38.340000000000003"/>
    <n v="1565"/>
    <n v="1"/>
    <n v="1"/>
  </r>
  <r>
    <m/>
    <m/>
    <x v="1"/>
    <s v="48985511001001"/>
    <n v="-50.27"/>
    <n v="2052"/>
    <n v="1"/>
    <n v="1"/>
  </r>
  <r>
    <m/>
    <m/>
    <x v="1"/>
    <s v="49040181002004"/>
    <n v="-11.69"/>
    <n v="477"/>
    <n v="1"/>
    <n v="1"/>
  </r>
  <r>
    <m/>
    <m/>
    <x v="1"/>
    <s v="49078891001002"/>
    <n v="-8.2100000000000009"/>
    <n v="335"/>
    <n v="1"/>
    <n v="1"/>
  </r>
  <r>
    <m/>
    <m/>
    <x v="1"/>
    <s v="49240871005001"/>
    <n v="-17.54"/>
    <n v="716"/>
    <n v="1"/>
    <n v="1"/>
  </r>
  <r>
    <m/>
    <m/>
    <x v="1"/>
    <s v="49283851001002"/>
    <n v="-41.21"/>
    <n v="1682"/>
    <n v="1"/>
    <n v="1"/>
  </r>
  <r>
    <m/>
    <m/>
    <x v="1"/>
    <s v="49301721001001"/>
    <n v="-39.4"/>
    <n v="1608"/>
    <n v="1"/>
    <n v="1"/>
  </r>
  <r>
    <m/>
    <m/>
    <x v="1"/>
    <s v="49320041001002"/>
    <n v="-13.99"/>
    <n v="571"/>
    <n v="1"/>
    <n v="1"/>
  </r>
  <r>
    <m/>
    <m/>
    <x v="1"/>
    <s v="49365331001001"/>
    <n v="-4.66"/>
    <n v="190"/>
    <n v="1"/>
    <n v="1"/>
  </r>
  <r>
    <m/>
    <m/>
    <x v="1"/>
    <s v="49399211004004"/>
    <n v="-34.79"/>
    <n v="1420"/>
    <n v="1"/>
    <n v="1"/>
  </r>
  <r>
    <m/>
    <m/>
    <x v="1"/>
    <s v="49419650001003"/>
    <n v="-37.49"/>
    <n v="1530"/>
    <n v="1"/>
    <n v="1"/>
  </r>
  <r>
    <m/>
    <m/>
    <x v="1"/>
    <s v="49422279001002"/>
    <n v="-41.85"/>
    <n v="1708"/>
    <n v="1"/>
    <n v="1"/>
  </r>
  <r>
    <m/>
    <m/>
    <x v="1"/>
    <s v="49494020001001"/>
    <n v="-64.75"/>
    <n v="2643"/>
    <n v="1"/>
    <n v="1"/>
  </r>
  <r>
    <m/>
    <m/>
    <x v="1"/>
    <s v="49495461002007"/>
    <n v="-25.06"/>
    <n v="1023"/>
    <n v="1"/>
    <n v="1"/>
  </r>
  <r>
    <m/>
    <m/>
    <x v="1"/>
    <s v="49495741001001"/>
    <n v="-44.12"/>
    <n v="1801"/>
    <n v="1"/>
    <n v="1"/>
  </r>
  <r>
    <m/>
    <m/>
    <x v="1"/>
    <s v="49508621001001"/>
    <n v="-30.06"/>
    <n v="1227"/>
    <n v="1"/>
    <n v="1"/>
  </r>
  <r>
    <m/>
    <m/>
    <x v="1"/>
    <s v="49528221002003"/>
    <n v="-41.99"/>
    <n v="1714"/>
    <n v="1"/>
    <n v="1"/>
  </r>
  <r>
    <m/>
    <m/>
    <x v="1"/>
    <s v="49543901002001"/>
    <n v="-33.22"/>
    <n v="1356"/>
    <n v="1"/>
    <n v="1"/>
  </r>
  <r>
    <m/>
    <m/>
    <x v="1"/>
    <s v="49577991001002"/>
    <n v="-26.61"/>
    <n v="1086"/>
    <n v="1"/>
    <n v="1"/>
  </r>
  <r>
    <m/>
    <m/>
    <x v="1"/>
    <s v="49585614001003"/>
    <n v="-23.01"/>
    <n v="939"/>
    <n v="1"/>
    <n v="1"/>
  </r>
  <r>
    <m/>
    <m/>
    <x v="1"/>
    <s v="49597101001003"/>
    <n v="-3.26"/>
    <n v="133"/>
    <n v="1"/>
    <n v="1"/>
  </r>
  <r>
    <m/>
    <m/>
    <x v="1"/>
    <s v="49656951001001"/>
    <n v="-37.49"/>
    <n v="1530"/>
    <n v="1"/>
    <n v="1"/>
  </r>
  <r>
    <m/>
    <m/>
    <x v="1"/>
    <s v="49663504001001"/>
    <n v="-13.89"/>
    <n v="567"/>
    <n v="1"/>
    <n v="1"/>
  </r>
  <r>
    <m/>
    <m/>
    <x v="1"/>
    <s v="49672030001003"/>
    <n v="-40.619999999999997"/>
    <n v="1658"/>
    <n v="1"/>
    <n v="1"/>
  </r>
  <r>
    <m/>
    <m/>
    <x v="1"/>
    <s v="49686351001004"/>
    <n v="-34.69"/>
    <n v="1416"/>
    <n v="1"/>
    <n v="1"/>
  </r>
  <r>
    <m/>
    <m/>
    <x v="1"/>
    <s v="49762441001002"/>
    <n v="-7.55"/>
    <n v="308"/>
    <n v="1"/>
    <n v="1"/>
  </r>
  <r>
    <m/>
    <m/>
    <x v="1"/>
    <s v="49824467001003"/>
    <n v="-27.02"/>
    <n v="1103"/>
    <n v="1"/>
    <n v="1"/>
  </r>
  <r>
    <m/>
    <m/>
    <x v="1"/>
    <s v="49929881001003"/>
    <n v="-47.53"/>
    <n v="1940"/>
    <n v="1"/>
    <n v="1"/>
  </r>
  <r>
    <m/>
    <m/>
    <x v="1"/>
    <s v="49930301001001"/>
    <n v="-39.64"/>
    <n v="1618"/>
    <n v="1"/>
    <n v="1"/>
  </r>
  <r>
    <m/>
    <m/>
    <x v="1"/>
    <s v="50008447001011"/>
    <n v="-39.909999999999997"/>
    <n v="1629"/>
    <n v="1"/>
    <n v="1"/>
  </r>
  <r>
    <m/>
    <m/>
    <x v="1"/>
    <s v="50047300001003"/>
    <n v="-46.23"/>
    <n v="1887"/>
    <n v="1"/>
    <n v="1"/>
  </r>
  <r>
    <m/>
    <m/>
    <x v="1"/>
    <s v="50087731002008"/>
    <n v="-24.87"/>
    <n v="1015"/>
    <n v="1"/>
    <n v="1"/>
  </r>
  <r>
    <m/>
    <m/>
    <x v="1"/>
    <s v="50112547001005"/>
    <n v="-48.73"/>
    <n v="1989"/>
    <n v="1"/>
    <n v="1"/>
  </r>
  <r>
    <m/>
    <m/>
    <x v="1"/>
    <s v="50185311001007"/>
    <n v="-42.41"/>
    <n v="1731"/>
    <n v="1"/>
    <n v="1"/>
  </r>
  <r>
    <m/>
    <m/>
    <x v="1"/>
    <s v="50193571001001"/>
    <n v="-36.409999999999997"/>
    <n v="1486"/>
    <n v="1"/>
    <n v="1"/>
  </r>
  <r>
    <m/>
    <m/>
    <x v="1"/>
    <s v="50237638001001"/>
    <n v="-19.43"/>
    <n v="793"/>
    <n v="1"/>
    <n v="1"/>
  </r>
  <r>
    <m/>
    <m/>
    <x v="1"/>
    <s v="50368711001001"/>
    <n v="-49.17"/>
    <n v="2007"/>
    <n v="1"/>
    <n v="1"/>
  </r>
  <r>
    <m/>
    <m/>
    <x v="1"/>
    <s v="50379561001003"/>
    <n v="-12.47"/>
    <n v="509"/>
    <n v="1"/>
    <n v="1"/>
  </r>
  <r>
    <m/>
    <m/>
    <x v="1"/>
    <s v="50381816001001"/>
    <n v="-21.83"/>
    <n v="891"/>
    <n v="1"/>
    <n v="1"/>
  </r>
  <r>
    <m/>
    <m/>
    <x v="1"/>
    <s v="50402241001002"/>
    <n v="-31.46"/>
    <n v="1284"/>
    <n v="1"/>
    <n v="1"/>
  </r>
  <r>
    <m/>
    <m/>
    <x v="1"/>
    <s v="50442211002001"/>
    <n v="-54.88"/>
    <n v="2240"/>
    <n v="1"/>
    <n v="1"/>
  </r>
  <r>
    <m/>
    <m/>
    <x v="1"/>
    <s v="50446617005005"/>
    <n v="-17.2"/>
    <n v="702"/>
    <n v="1"/>
    <n v="1"/>
  </r>
  <r>
    <m/>
    <m/>
    <x v="1"/>
    <s v="50448651006001"/>
    <n v="-39.130000000000003"/>
    <n v="1597"/>
    <n v="1"/>
    <n v="1"/>
  </r>
  <r>
    <m/>
    <m/>
    <x v="1"/>
    <s v="50475466003001"/>
    <n v="-60.93"/>
    <n v="2487"/>
    <n v="1"/>
    <n v="1"/>
  </r>
  <r>
    <m/>
    <m/>
    <x v="1"/>
    <s v="50499961001001"/>
    <n v="-40.72"/>
    <n v="1662"/>
    <n v="1"/>
    <n v="1"/>
  </r>
  <r>
    <m/>
    <m/>
    <x v="1"/>
    <s v="50535031003001"/>
    <n v="-71.709999999999994"/>
    <n v="2927"/>
    <n v="1"/>
    <n v="1"/>
  </r>
  <r>
    <m/>
    <m/>
    <x v="1"/>
    <s v="50570311001001"/>
    <n v="-43.9"/>
    <n v="1792"/>
    <n v="1"/>
    <n v="1"/>
  </r>
  <r>
    <m/>
    <m/>
    <x v="1"/>
    <s v="50573811005005"/>
    <n v="-72.13"/>
    <n v="2944"/>
    <n v="1"/>
    <n v="1"/>
  </r>
  <r>
    <m/>
    <m/>
    <x v="1"/>
    <s v="50587853001001"/>
    <n v="-12.25"/>
    <n v="500"/>
    <n v="1"/>
    <n v="1"/>
  </r>
  <r>
    <m/>
    <m/>
    <x v="1"/>
    <s v="50603564001001"/>
    <n v="-42.9"/>
    <n v="1751"/>
    <n v="1"/>
    <n v="1"/>
  </r>
  <r>
    <m/>
    <m/>
    <x v="1"/>
    <s v="50633661001004"/>
    <n v="-15.88"/>
    <n v="648"/>
    <n v="1"/>
    <n v="1"/>
  </r>
  <r>
    <m/>
    <m/>
    <x v="1"/>
    <s v="50634081002001"/>
    <n v="-2.2799999999999998"/>
    <n v="93"/>
    <n v="1"/>
    <n v="1"/>
  </r>
  <r>
    <m/>
    <m/>
    <x v="1"/>
    <s v="50645281001001"/>
    <n v="-40.01"/>
    <n v="1633"/>
    <n v="1"/>
    <n v="1"/>
  </r>
  <r>
    <m/>
    <m/>
    <x v="1"/>
    <s v="50670003002005"/>
    <n v="-43.63"/>
    <n v="1781"/>
    <n v="1"/>
    <n v="1"/>
  </r>
  <r>
    <m/>
    <m/>
    <x v="1"/>
    <s v="50692811001009"/>
    <n v="-1.23"/>
    <n v="50"/>
    <n v="1"/>
    <n v="1"/>
  </r>
  <r>
    <m/>
    <m/>
    <x v="1"/>
    <s v="50704851001003"/>
    <n v="-37.19"/>
    <n v="1518"/>
    <n v="1"/>
    <n v="1"/>
  </r>
  <r>
    <m/>
    <m/>
    <x v="1"/>
    <s v="50707021001003"/>
    <n v="-75.63"/>
    <n v="3087"/>
    <n v="1"/>
    <n v="1"/>
  </r>
  <r>
    <m/>
    <m/>
    <x v="1"/>
    <s v="50737681001001"/>
    <n v="-32.340000000000003"/>
    <n v="1320"/>
    <n v="1"/>
    <n v="1"/>
  </r>
  <r>
    <m/>
    <m/>
    <x v="1"/>
    <s v="50750548001001"/>
    <n v="-38.119999999999997"/>
    <n v="1556"/>
    <n v="1"/>
    <n v="1"/>
  </r>
  <r>
    <m/>
    <m/>
    <x v="1"/>
    <s v="50774501001001"/>
    <n v="-34.94"/>
    <n v="1426"/>
    <n v="1"/>
    <n v="1"/>
  </r>
  <r>
    <m/>
    <m/>
    <x v="1"/>
    <s v="50791371001002"/>
    <n v="-16.64"/>
    <n v="679"/>
    <n v="1"/>
    <n v="1"/>
  </r>
  <r>
    <m/>
    <m/>
    <x v="1"/>
    <s v="50800541001001"/>
    <n v="-10"/>
    <n v="408"/>
    <n v="1"/>
    <n v="1"/>
  </r>
  <r>
    <m/>
    <m/>
    <x v="1"/>
    <s v="50806272001001"/>
    <n v="-42.97"/>
    <n v="1754"/>
    <n v="1"/>
    <n v="1"/>
  </r>
  <r>
    <m/>
    <m/>
    <x v="1"/>
    <s v="50808661003002"/>
    <n v="-3.41"/>
    <n v="139"/>
    <n v="1"/>
    <n v="1"/>
  </r>
  <r>
    <m/>
    <m/>
    <x v="1"/>
    <s v="50839041006001"/>
    <n v="-37.659999999999997"/>
    <n v="1537"/>
    <n v="1"/>
    <n v="1"/>
  </r>
  <r>
    <m/>
    <m/>
    <x v="1"/>
    <s v="50841001001001"/>
    <n v="-0.34"/>
    <n v="14"/>
    <n v="1"/>
    <n v="1"/>
  </r>
  <r>
    <m/>
    <m/>
    <x v="1"/>
    <s v="50841762002002"/>
    <n v="-43.02"/>
    <n v="1756"/>
    <n v="1"/>
    <n v="1"/>
  </r>
  <r>
    <m/>
    <m/>
    <x v="1"/>
    <s v="50841911003002"/>
    <n v="-25.58"/>
    <n v="1044"/>
    <n v="1"/>
    <n v="1"/>
  </r>
  <r>
    <m/>
    <m/>
    <x v="1"/>
    <s v="50852621001002"/>
    <n v="-10.68"/>
    <n v="436"/>
    <n v="1"/>
    <n v="1"/>
  </r>
  <r>
    <m/>
    <m/>
    <x v="1"/>
    <s v="50858501001001"/>
    <n v="-0.27"/>
    <n v="11"/>
    <n v="1"/>
    <n v="1"/>
  </r>
  <r>
    <m/>
    <m/>
    <x v="1"/>
    <s v="50860461001005"/>
    <n v="-20.43"/>
    <n v="834"/>
    <n v="1"/>
    <n v="1"/>
  </r>
  <r>
    <m/>
    <m/>
    <x v="1"/>
    <s v="50901131002003"/>
    <n v="-30.89"/>
    <n v="1261"/>
    <n v="1"/>
    <n v="1"/>
  </r>
  <r>
    <m/>
    <m/>
    <x v="1"/>
    <s v="50903441001001"/>
    <n v="-83.35"/>
    <n v="3402"/>
    <n v="1"/>
    <n v="1"/>
  </r>
  <r>
    <m/>
    <m/>
    <x v="1"/>
    <s v="50924581001001"/>
    <n v="-49.74"/>
    <n v="2030"/>
    <n v="1"/>
    <n v="1"/>
  </r>
  <r>
    <m/>
    <m/>
    <x v="1"/>
    <s v="50950411001003"/>
    <n v="-19.13"/>
    <n v="781"/>
    <n v="1"/>
    <n v="1"/>
  </r>
  <r>
    <m/>
    <m/>
    <x v="1"/>
    <s v="50996471001001"/>
    <n v="-28.79"/>
    <n v="1175"/>
    <n v="1"/>
    <n v="1"/>
  </r>
  <r>
    <m/>
    <m/>
    <x v="1"/>
    <s v="50996751002001"/>
    <n v="-55.59"/>
    <n v="2269"/>
    <n v="1"/>
    <n v="1"/>
  </r>
  <r>
    <m/>
    <m/>
    <x v="1"/>
    <s v="50998792001004"/>
    <n v="-37.04"/>
    <n v="1512"/>
    <n v="1"/>
    <n v="1"/>
  </r>
  <r>
    <m/>
    <m/>
    <x v="1"/>
    <s v="51004521001001"/>
    <n v="-35.97"/>
    <n v="1468"/>
    <n v="1"/>
    <n v="1"/>
  </r>
  <r>
    <m/>
    <m/>
    <x v="1"/>
    <s v="51040081001001"/>
    <n v="-29.2"/>
    <n v="1192"/>
    <n v="1"/>
    <n v="1"/>
  </r>
  <r>
    <m/>
    <m/>
    <x v="1"/>
    <s v="51068641001003"/>
    <n v="-39.96"/>
    <n v="1631"/>
    <n v="1"/>
    <n v="1"/>
  </r>
  <r>
    <m/>
    <m/>
    <x v="1"/>
    <s v="51088381003003"/>
    <n v="-14.19"/>
    <n v="579"/>
    <n v="1"/>
    <n v="1"/>
  </r>
  <r>
    <m/>
    <m/>
    <x v="1"/>
    <s v="51094611001002"/>
    <n v="-10.27"/>
    <n v="419"/>
    <n v="1"/>
    <n v="1"/>
  </r>
  <r>
    <m/>
    <m/>
    <x v="1"/>
    <s v="51118901001001"/>
    <n v="-0.96"/>
    <n v="39"/>
    <n v="1"/>
    <n v="1"/>
  </r>
  <r>
    <m/>
    <m/>
    <x v="1"/>
    <s v="51123890001005"/>
    <n v="-27.73"/>
    <n v="1132"/>
    <n v="1"/>
    <n v="1"/>
  </r>
  <r>
    <m/>
    <m/>
    <x v="1"/>
    <s v="51130381001001"/>
    <n v="-18.940000000000001"/>
    <n v="773"/>
    <n v="1"/>
    <n v="1"/>
  </r>
  <r>
    <m/>
    <m/>
    <x v="1"/>
    <s v="51130521001001"/>
    <n v="-44.79"/>
    <n v="1828"/>
    <n v="1"/>
    <n v="1"/>
  </r>
  <r>
    <m/>
    <m/>
    <x v="1"/>
    <s v="51132481001002"/>
    <n v="-39.130000000000003"/>
    <n v="1597"/>
    <n v="1"/>
    <n v="1"/>
  </r>
  <r>
    <m/>
    <m/>
    <x v="1"/>
    <s v="51134651003001"/>
    <n v="-27.2"/>
    <n v="1110"/>
    <n v="1"/>
    <n v="1"/>
  </r>
  <r>
    <m/>
    <m/>
    <x v="1"/>
    <s v="51136541001001"/>
    <n v="-36.21"/>
    <n v="1478"/>
    <n v="1"/>
    <n v="1"/>
  </r>
  <r>
    <m/>
    <m/>
    <x v="1"/>
    <s v="51148861001002"/>
    <n v="-24.06"/>
    <n v="982"/>
    <n v="1"/>
    <n v="1"/>
  </r>
  <r>
    <m/>
    <m/>
    <x v="1"/>
    <s v="51157051002006"/>
    <n v="-41.97"/>
    <n v="1713"/>
    <n v="1"/>
    <n v="1"/>
  </r>
  <r>
    <m/>
    <m/>
    <x v="1"/>
    <s v="51165241001003"/>
    <n v="-5.12"/>
    <n v="209"/>
    <n v="1"/>
    <n v="1"/>
  </r>
  <r>
    <m/>
    <m/>
    <x v="1"/>
    <s v="51172101004001"/>
    <n v="-39.76"/>
    <n v="1623"/>
    <n v="1"/>
    <n v="1"/>
  </r>
  <r>
    <m/>
    <m/>
    <x v="1"/>
    <s v="51185331001003"/>
    <n v="-61.01"/>
    <n v="2490"/>
    <n v="1"/>
    <n v="1"/>
  </r>
  <r>
    <m/>
    <m/>
    <x v="1"/>
    <s v="51193241002001"/>
    <n v="-32.76"/>
    <n v="1337"/>
    <n v="1"/>
    <n v="1"/>
  </r>
  <r>
    <m/>
    <m/>
    <x v="1"/>
    <s v="51206961001001"/>
    <n v="-22.52"/>
    <n v="919"/>
    <n v="1"/>
    <n v="1"/>
  </r>
  <r>
    <m/>
    <m/>
    <x v="1"/>
    <s v="51297541001005"/>
    <n v="-109.86"/>
    <n v="4484"/>
    <n v="1"/>
    <n v="1"/>
  </r>
  <r>
    <m/>
    <m/>
    <x v="1"/>
    <s v="51333171001001"/>
    <n v="-76.42"/>
    <n v="3119"/>
    <n v="1"/>
    <n v="1"/>
  </r>
  <r>
    <m/>
    <m/>
    <x v="1"/>
    <s v="51335971001001"/>
    <n v="-57.89"/>
    <n v="2363"/>
    <n v="1"/>
    <n v="1"/>
  </r>
  <r>
    <m/>
    <m/>
    <x v="1"/>
    <s v="51337301001006"/>
    <n v="-40.74"/>
    <n v="1663"/>
    <n v="1"/>
    <n v="1"/>
  </r>
  <r>
    <m/>
    <m/>
    <x v="1"/>
    <s v="51351441001005"/>
    <n v="-17"/>
    <n v="694"/>
    <n v="1"/>
    <n v="1"/>
  </r>
  <r>
    <m/>
    <m/>
    <x v="1"/>
    <s v="51366841003001"/>
    <n v="-26.93"/>
    <n v="1099"/>
    <n v="1"/>
    <n v="1"/>
  </r>
  <r>
    <m/>
    <m/>
    <x v="1"/>
    <s v="51386861002001"/>
    <n v="-32.54"/>
    <n v="1328"/>
    <n v="1"/>
    <n v="1"/>
  </r>
  <r>
    <m/>
    <m/>
    <x v="1"/>
    <s v="51450281001002"/>
    <n v="-100.13"/>
    <n v="4087"/>
    <n v="1"/>
    <n v="1"/>
  </r>
  <r>
    <m/>
    <m/>
    <x v="1"/>
    <s v="51450421001005"/>
    <n v="-62.82"/>
    <n v="2564"/>
    <n v="1"/>
    <n v="1"/>
  </r>
  <r>
    <m/>
    <m/>
    <x v="1"/>
    <s v="51462741002002"/>
    <n v="-59.78"/>
    <n v="2440"/>
    <n v="1"/>
    <n v="1"/>
  </r>
  <r>
    <m/>
    <m/>
    <x v="1"/>
    <s v="51493121002001"/>
    <n v="-49.54"/>
    <n v="2022"/>
    <n v="1"/>
    <n v="1"/>
  </r>
  <r>
    <m/>
    <m/>
    <x v="1"/>
    <s v="51513351001001"/>
    <n v="-23.94"/>
    <n v="977"/>
    <n v="1"/>
    <n v="1"/>
  </r>
  <r>
    <m/>
    <m/>
    <x v="1"/>
    <s v="51518531001001"/>
    <n v="-8.18"/>
    <n v="334"/>
    <n v="1"/>
    <n v="1"/>
  </r>
  <r>
    <m/>
    <m/>
    <x v="1"/>
    <s v="51518881001001"/>
    <n v="-37.409999999999997"/>
    <n v="1527"/>
    <n v="1"/>
    <n v="1"/>
  </r>
  <r>
    <m/>
    <m/>
    <x v="1"/>
    <s v="51519511001001"/>
    <n v="-0.05"/>
    <n v="2"/>
    <n v="1"/>
    <n v="1"/>
  </r>
  <r>
    <m/>
    <m/>
    <x v="1"/>
    <s v="51529534001001"/>
    <n v="-35.97"/>
    <n v="1468"/>
    <n v="1"/>
    <n v="1"/>
  </r>
  <r>
    <m/>
    <m/>
    <x v="1"/>
    <s v="51532811002001"/>
    <n v="-54.07"/>
    <n v="2207"/>
    <n v="1"/>
    <n v="1"/>
  </r>
  <r>
    <m/>
    <m/>
    <x v="1"/>
    <s v="51539946002026"/>
    <n v="-10.44"/>
    <n v="426"/>
    <n v="1"/>
    <n v="1"/>
  </r>
  <r>
    <m/>
    <m/>
    <x v="1"/>
    <s v="51549471001001"/>
    <n v="-16.489999999999998"/>
    <n v="673"/>
    <n v="1"/>
    <n v="1"/>
  </r>
  <r>
    <m/>
    <m/>
    <x v="1"/>
    <s v="51583981001001"/>
    <n v="-28.84"/>
    <n v="1177"/>
    <n v="1"/>
    <n v="1"/>
  </r>
  <r>
    <m/>
    <m/>
    <x v="1"/>
    <s v="51593501001001"/>
    <n v="-35.92"/>
    <n v="1466"/>
    <n v="1"/>
    <n v="1"/>
  </r>
  <r>
    <m/>
    <m/>
    <x v="1"/>
    <s v="51593991001001"/>
    <n v="-14.19"/>
    <n v="579"/>
    <n v="1"/>
    <n v="1"/>
  </r>
  <r>
    <m/>
    <m/>
    <x v="1"/>
    <s v="51596441002007"/>
    <n v="-9.3800000000000008"/>
    <n v="383"/>
    <n v="1"/>
    <n v="1"/>
  </r>
  <r>
    <m/>
    <m/>
    <x v="1"/>
    <s v="51609951002002"/>
    <n v="-56.64"/>
    <n v="2312"/>
    <n v="1"/>
    <n v="1"/>
  </r>
  <r>
    <m/>
    <m/>
    <x v="1"/>
    <s v="51610931001001"/>
    <n v="-41.41"/>
    <n v="1690"/>
    <n v="1"/>
    <n v="1"/>
  </r>
  <r>
    <m/>
    <m/>
    <x v="1"/>
    <s v="51613941001002"/>
    <n v="-43.76"/>
    <n v="1786"/>
    <n v="1"/>
    <n v="1"/>
  </r>
  <r>
    <m/>
    <m/>
    <x v="1"/>
    <s v="51635711001002"/>
    <n v="-33.17"/>
    <n v="1354"/>
    <n v="1"/>
    <n v="1"/>
  </r>
  <r>
    <m/>
    <m/>
    <x v="1"/>
    <s v="51773839001001"/>
    <n v="-51.89"/>
    <n v="2118"/>
    <n v="1"/>
    <n v="1"/>
  </r>
  <r>
    <m/>
    <m/>
    <x v="1"/>
    <s v="52411414001001"/>
    <n v="-47.38"/>
    <n v="1934"/>
    <n v="1"/>
    <n v="1"/>
  </r>
  <r>
    <m/>
    <m/>
    <x v="1"/>
    <s v="52604309001004"/>
    <n v="-102.83"/>
    <n v="4197"/>
    <n v="1"/>
    <n v="1"/>
  </r>
  <r>
    <m/>
    <m/>
    <x v="1"/>
    <s v="52682385001007"/>
    <n v="-33.340000000000003"/>
    <n v="1361"/>
    <n v="1"/>
    <n v="1"/>
  </r>
  <r>
    <m/>
    <m/>
    <x v="1"/>
    <s v="52743980001001"/>
    <n v="-34.770000000000003"/>
    <n v="1419"/>
    <n v="1"/>
    <n v="1"/>
  </r>
  <r>
    <m/>
    <m/>
    <x v="1"/>
    <s v="52969548001004"/>
    <n v="-17.71"/>
    <n v="723"/>
    <n v="1"/>
    <n v="1"/>
  </r>
  <r>
    <m/>
    <m/>
    <x v="1"/>
    <s v="52987911001001"/>
    <n v="-25.46"/>
    <n v="1039"/>
    <n v="1"/>
    <n v="1"/>
  </r>
  <r>
    <m/>
    <m/>
    <x v="1"/>
    <s v="53001899001007"/>
    <n v="-65.540000000000006"/>
    <n v="2675"/>
    <n v="1"/>
    <n v="1"/>
  </r>
  <r>
    <m/>
    <m/>
    <x v="1"/>
    <s v="53060982001003"/>
    <n v="-14.6"/>
    <n v="596"/>
    <n v="1"/>
    <n v="1"/>
  </r>
  <r>
    <m/>
    <m/>
    <x v="1"/>
    <s v="53097867001003"/>
    <n v="-50.2"/>
    <n v="2049"/>
    <n v="1"/>
    <n v="1"/>
  </r>
  <r>
    <m/>
    <m/>
    <x v="1"/>
    <s v="53145339001003"/>
    <n v="-32.93"/>
    <n v="1344"/>
    <n v="1"/>
    <n v="1"/>
  </r>
  <r>
    <m/>
    <m/>
    <x v="1"/>
    <s v="53199928001001"/>
    <n v="-20.56"/>
    <n v="839"/>
    <n v="1"/>
    <n v="1"/>
  </r>
  <r>
    <m/>
    <m/>
    <x v="1"/>
    <s v="53233663001001"/>
    <n v="-28.62"/>
    <n v="1168"/>
    <n v="1"/>
    <n v="1"/>
  </r>
  <r>
    <m/>
    <m/>
    <x v="1"/>
    <s v="53241086001003"/>
    <n v="-14.23"/>
    <n v="581"/>
    <n v="1"/>
    <n v="1"/>
  </r>
  <r>
    <m/>
    <m/>
    <x v="1"/>
    <s v="53403855001001"/>
    <n v="-8.75"/>
    <n v="357"/>
    <n v="1"/>
    <n v="1"/>
  </r>
  <r>
    <m/>
    <m/>
    <x v="1"/>
    <s v="53483833001003"/>
    <n v="-20.36"/>
    <n v="831"/>
    <n v="1"/>
    <n v="1"/>
  </r>
  <r>
    <m/>
    <m/>
    <x v="1"/>
    <s v="53913484003002"/>
    <n v="-57.5"/>
    <n v="2347"/>
    <n v="1"/>
    <n v="1"/>
  </r>
  <r>
    <m/>
    <m/>
    <x v="1"/>
    <s v="53931640001001"/>
    <n v="-45.37"/>
    <n v="1852"/>
    <n v="1"/>
    <n v="1"/>
  </r>
  <r>
    <m/>
    <m/>
    <x v="1"/>
    <s v="54011290001001"/>
    <n v="-38.47"/>
    <n v="1570"/>
    <n v="1"/>
    <n v="1"/>
  </r>
  <r>
    <m/>
    <m/>
    <x v="1"/>
    <s v="54099172001001"/>
    <n v="-14.58"/>
    <n v="595"/>
    <n v="1"/>
    <n v="1"/>
  </r>
  <r>
    <m/>
    <m/>
    <x v="1"/>
    <s v="54213868001001"/>
    <n v="-109.66"/>
    <n v="4476"/>
    <n v="1"/>
    <n v="1"/>
  </r>
  <r>
    <m/>
    <m/>
    <x v="1"/>
    <s v="54273862001002"/>
    <n v="-48.14"/>
    <n v="1965"/>
    <n v="1"/>
    <n v="1"/>
  </r>
  <r>
    <m/>
    <m/>
    <x v="1"/>
    <s v="54291381001009"/>
    <n v="-22.83"/>
    <n v="932"/>
    <n v="1"/>
    <n v="1"/>
  </r>
  <r>
    <m/>
    <m/>
    <x v="1"/>
    <s v="54626005001001"/>
    <n v="-19.8"/>
    <n v="808"/>
    <n v="1"/>
    <n v="1"/>
  </r>
  <r>
    <m/>
    <m/>
    <x v="1"/>
    <s v="55096000001001"/>
    <n v="-15.97"/>
    <n v="652"/>
    <n v="1"/>
    <n v="1"/>
  </r>
  <r>
    <m/>
    <m/>
    <x v="1"/>
    <s v="55151623003001"/>
    <n v="-48.61"/>
    <n v="1984"/>
    <n v="1"/>
    <n v="1"/>
  </r>
  <r>
    <m/>
    <m/>
    <x v="1"/>
    <s v="55250557001001"/>
    <n v="-12.15"/>
    <n v="496"/>
    <n v="1"/>
    <n v="1"/>
  </r>
  <r>
    <m/>
    <m/>
    <x v="1"/>
    <s v="55495324001002"/>
    <n v="-48.78"/>
    <n v="1991"/>
    <n v="1"/>
    <n v="1"/>
  </r>
  <r>
    <m/>
    <m/>
    <x v="1"/>
    <s v="55663297001003"/>
    <n v="-29.45"/>
    <n v="1202"/>
    <n v="1"/>
    <n v="1"/>
  </r>
  <r>
    <m/>
    <m/>
    <x v="1"/>
    <s v="56055745002003"/>
    <n v="-29.25"/>
    <n v="1194"/>
    <n v="1"/>
    <n v="1"/>
  </r>
  <r>
    <m/>
    <m/>
    <x v="1"/>
    <s v="56091920005001"/>
    <n v="-30.28"/>
    <n v="1236"/>
    <n v="1"/>
    <n v="1"/>
  </r>
  <r>
    <m/>
    <m/>
    <x v="1"/>
    <s v="56105605001004"/>
    <n v="-38.590000000000003"/>
    <n v="1575"/>
    <n v="1"/>
    <n v="1"/>
  </r>
  <r>
    <m/>
    <m/>
    <x v="1"/>
    <s v="56408599001001"/>
    <n v="-32.880000000000003"/>
    <n v="1342"/>
    <n v="1"/>
    <n v="1"/>
  </r>
  <r>
    <m/>
    <m/>
    <x v="1"/>
    <s v="57165863001001"/>
    <n v="-67.47"/>
    <n v="2754"/>
    <n v="1"/>
    <n v="1"/>
  </r>
  <r>
    <m/>
    <m/>
    <x v="1"/>
    <s v="57364558001001"/>
    <n v="-45.62"/>
    <n v="1862"/>
    <n v="1"/>
    <n v="1"/>
  </r>
  <r>
    <m/>
    <m/>
    <x v="1"/>
    <s v="57497445001001"/>
    <n v="-35.65"/>
    <n v="1455"/>
    <n v="1"/>
    <n v="1"/>
  </r>
  <r>
    <m/>
    <m/>
    <x v="1"/>
    <s v="57560991001007"/>
    <n v="-31.14"/>
    <n v="1271"/>
    <n v="1"/>
    <n v="1"/>
  </r>
  <r>
    <m/>
    <m/>
    <x v="1"/>
    <s v="57834181001001"/>
    <n v="-30.92"/>
    <n v="1262"/>
    <n v="1"/>
    <n v="1"/>
  </r>
  <r>
    <m/>
    <m/>
    <x v="1"/>
    <s v="58010908001002"/>
    <n v="-55.22"/>
    <n v="2254"/>
    <n v="1"/>
    <n v="1"/>
  </r>
  <r>
    <m/>
    <m/>
    <x v="1"/>
    <s v="58027310005001"/>
    <n v="-13.77"/>
    <n v="562"/>
    <n v="1"/>
    <n v="1"/>
  </r>
  <r>
    <m/>
    <m/>
    <x v="1"/>
    <s v="58157660001002"/>
    <n v="-55.49"/>
    <n v="2265"/>
    <n v="1"/>
    <n v="1"/>
  </r>
  <r>
    <m/>
    <m/>
    <x v="1"/>
    <s v="58340472001005"/>
    <n v="-12.3"/>
    <n v="502"/>
    <n v="1"/>
    <n v="1"/>
  </r>
  <r>
    <m/>
    <m/>
    <x v="1"/>
    <s v="58433748001002"/>
    <n v="-27.83"/>
    <n v="1136"/>
    <n v="1"/>
    <n v="1"/>
  </r>
  <r>
    <m/>
    <m/>
    <x v="1"/>
    <s v="58524123001003"/>
    <n v="-50.86"/>
    <n v="2076"/>
    <n v="1"/>
    <n v="1"/>
  </r>
  <r>
    <m/>
    <m/>
    <x v="1"/>
    <s v="59248245001001"/>
    <n v="-20.190000000000001"/>
    <n v="824"/>
    <n v="1"/>
    <n v="1"/>
  </r>
  <r>
    <m/>
    <m/>
    <x v="1"/>
    <s v="59371575001001"/>
    <n v="-28.59"/>
    <n v="1167"/>
    <n v="1"/>
    <n v="1"/>
  </r>
  <r>
    <m/>
    <m/>
    <x v="1"/>
    <s v="59431046001003"/>
    <n v="-11.54"/>
    <n v="471"/>
    <n v="1"/>
    <n v="1"/>
  </r>
  <r>
    <m/>
    <m/>
    <x v="1"/>
    <s v="59524591001003"/>
    <n v="-0.44"/>
    <n v="18"/>
    <n v="1"/>
    <n v="1"/>
  </r>
  <r>
    <m/>
    <m/>
    <x v="1"/>
    <s v="59567010001005"/>
    <n v="-7.62"/>
    <n v="311"/>
    <n v="1"/>
    <n v="1"/>
  </r>
  <r>
    <m/>
    <m/>
    <x v="1"/>
    <s v="59766724001001"/>
    <n v="-43.02"/>
    <n v="1756"/>
    <n v="1"/>
    <n v="1"/>
  </r>
  <r>
    <m/>
    <m/>
    <x v="1"/>
    <s v="59801546001007"/>
    <n v="-24.57"/>
    <n v="1003"/>
    <n v="1"/>
    <n v="1"/>
  </r>
  <r>
    <m/>
    <m/>
    <x v="1"/>
    <s v="59807684001002"/>
    <n v="-4.34"/>
    <n v="177"/>
    <n v="1"/>
    <n v="1"/>
  </r>
  <r>
    <m/>
    <m/>
    <x v="1"/>
    <s v="59901721001001"/>
    <n v="-30.09"/>
    <n v="1228"/>
    <n v="1"/>
    <n v="1"/>
  </r>
  <r>
    <m/>
    <m/>
    <x v="1"/>
    <s v="59997483001001"/>
    <n v="-19.82"/>
    <n v="809"/>
    <n v="1"/>
    <n v="1"/>
  </r>
  <r>
    <m/>
    <m/>
    <x v="1"/>
    <s v="59999162001001"/>
    <n v="-26.73"/>
    <n v="1091"/>
    <n v="1"/>
    <n v="1"/>
  </r>
  <r>
    <m/>
    <m/>
    <x v="1"/>
    <s v="60053306001001"/>
    <n v="-34.909999999999997"/>
    <n v="1425"/>
    <n v="1"/>
    <n v="1"/>
  </r>
  <r>
    <m/>
    <m/>
    <x v="1"/>
    <s v="60216914001002"/>
    <n v="-0.83"/>
    <n v="34"/>
    <n v="1"/>
    <n v="1"/>
  </r>
  <r>
    <m/>
    <m/>
    <x v="1"/>
    <s v="60362120001002"/>
    <n v="-20.75"/>
    <n v="847"/>
    <n v="1"/>
    <n v="1"/>
  </r>
  <r>
    <m/>
    <m/>
    <x v="1"/>
    <s v="60461927001006"/>
    <n v="-20.34"/>
    <n v="830"/>
    <n v="1"/>
    <n v="1"/>
  </r>
  <r>
    <m/>
    <m/>
    <x v="1"/>
    <s v="60536331001001"/>
    <n v="-34.03"/>
    <n v="1389"/>
    <n v="1"/>
    <n v="1"/>
  </r>
  <r>
    <m/>
    <m/>
    <x v="1"/>
    <s v="60599585001001"/>
    <n v="-30.94"/>
    <n v="1263"/>
    <n v="1"/>
    <n v="1"/>
  </r>
  <r>
    <m/>
    <m/>
    <x v="1"/>
    <s v="60756030001002"/>
    <n v="-28.22"/>
    <n v="1152"/>
    <n v="1"/>
    <n v="1"/>
  </r>
  <r>
    <m/>
    <m/>
    <x v="1"/>
    <s v="60814201001003"/>
    <n v="-31.24"/>
    <n v="1275"/>
    <n v="1"/>
    <n v="1"/>
  </r>
  <r>
    <m/>
    <m/>
    <x v="1"/>
    <s v="60817017004001"/>
    <n v="-7.55"/>
    <n v="308"/>
    <n v="1"/>
    <n v="1"/>
  </r>
  <r>
    <m/>
    <m/>
    <x v="1"/>
    <s v="60850163002001"/>
    <n v="-33.57"/>
    <n v="1370"/>
    <n v="1"/>
    <n v="1"/>
  </r>
  <r>
    <m/>
    <m/>
    <x v="1"/>
    <s v="60997302001006"/>
    <n v="-13.7"/>
    <n v="559"/>
    <n v="1"/>
    <n v="1"/>
  </r>
  <r>
    <m/>
    <m/>
    <x v="1"/>
    <s v="61176690001001"/>
    <n v="-23.79"/>
    <n v="971"/>
    <n v="1"/>
    <n v="1"/>
  </r>
  <r>
    <m/>
    <m/>
    <x v="1"/>
    <s v="61759982001001"/>
    <n v="-28.35"/>
    <n v="1157"/>
    <n v="1"/>
    <n v="1"/>
  </r>
  <r>
    <m/>
    <m/>
    <x v="1"/>
    <s v="61779550001001"/>
    <n v="-89.69"/>
    <n v="3661"/>
    <n v="1"/>
    <n v="1"/>
  </r>
  <r>
    <m/>
    <m/>
    <x v="1"/>
    <s v="62038452002001"/>
    <n v="-54.44"/>
    <n v="2222"/>
    <n v="1"/>
    <n v="1"/>
  </r>
  <r>
    <m/>
    <m/>
    <x v="1"/>
    <s v="62111926001007"/>
    <n v="-41.65"/>
    <n v="1700"/>
    <n v="1"/>
    <n v="1"/>
  </r>
  <r>
    <m/>
    <m/>
    <x v="1"/>
    <s v="62125470001002"/>
    <n v="-29.52"/>
    <n v="1205"/>
    <n v="1"/>
    <n v="1"/>
  </r>
  <r>
    <m/>
    <m/>
    <x v="1"/>
    <s v="62139312001006"/>
    <n v="-17.809999999999999"/>
    <n v="727"/>
    <n v="1"/>
    <n v="1"/>
  </r>
  <r>
    <m/>
    <m/>
    <x v="1"/>
    <s v="62166846001001"/>
    <n v="-14.82"/>
    <n v="605"/>
    <n v="1"/>
    <n v="1"/>
  </r>
  <r>
    <m/>
    <m/>
    <x v="1"/>
    <s v="62244159001003"/>
    <n v="-53.21"/>
    <n v="2172"/>
    <n v="1"/>
    <n v="1"/>
  </r>
  <r>
    <m/>
    <m/>
    <x v="1"/>
    <s v="62353953001003"/>
    <n v="-26.85"/>
    <n v="1096"/>
    <n v="1"/>
    <n v="1"/>
  </r>
  <r>
    <m/>
    <m/>
    <x v="1"/>
    <s v="63054171001001"/>
    <n v="-73.599999999999994"/>
    <n v="3004"/>
    <n v="1"/>
    <n v="1"/>
  </r>
  <r>
    <m/>
    <m/>
    <x v="1"/>
    <s v="63150661001001"/>
    <n v="-14.01"/>
    <n v="572"/>
    <n v="1"/>
    <n v="1"/>
  </r>
  <r>
    <m/>
    <m/>
    <x v="1"/>
    <s v="63184485001003"/>
    <n v="-7.89"/>
    <n v="322"/>
    <n v="1"/>
    <n v="1"/>
  </r>
  <r>
    <m/>
    <m/>
    <x v="1"/>
    <s v="63189646005005"/>
    <n v="-26.53"/>
    <n v="1083"/>
    <n v="1"/>
    <n v="1"/>
  </r>
  <r>
    <m/>
    <m/>
    <x v="1"/>
    <s v="63415000003005"/>
    <n v="-13.74"/>
    <n v="561"/>
    <n v="1"/>
    <n v="1"/>
  </r>
  <r>
    <m/>
    <m/>
    <x v="1"/>
    <s v="63578652001001"/>
    <n v="-65.290000000000006"/>
    <n v="2665"/>
    <n v="1"/>
    <n v="1"/>
  </r>
  <r>
    <m/>
    <m/>
    <x v="1"/>
    <s v="63707556001001"/>
    <n v="-46.38"/>
    <n v="1893"/>
    <n v="1"/>
    <n v="1"/>
  </r>
  <r>
    <m/>
    <m/>
    <x v="1"/>
    <s v="63792896001001"/>
    <n v="-30.89"/>
    <n v="1261"/>
    <n v="1"/>
    <n v="1"/>
  </r>
  <r>
    <m/>
    <m/>
    <x v="1"/>
    <s v="63952309001001"/>
    <n v="-47.53"/>
    <n v="1940"/>
    <n v="1"/>
    <n v="1"/>
  </r>
  <r>
    <m/>
    <m/>
    <x v="1"/>
    <s v="64061605002004"/>
    <n v="-13.82"/>
    <n v="564"/>
    <n v="1"/>
    <n v="1"/>
  </r>
  <r>
    <m/>
    <m/>
    <x v="1"/>
    <s v="64168501001010"/>
    <n v="-47.06"/>
    <n v="1921"/>
    <n v="1"/>
    <n v="1"/>
  </r>
  <r>
    <m/>
    <m/>
    <x v="1"/>
    <s v="64295366002001"/>
    <n v="-12.47"/>
    <n v="509"/>
    <n v="1"/>
    <n v="1"/>
  </r>
  <r>
    <m/>
    <m/>
    <x v="1"/>
    <s v="64412831001001"/>
    <n v="-49.47"/>
    <n v="2019"/>
    <n v="1"/>
    <n v="1"/>
  </r>
  <r>
    <m/>
    <m/>
    <x v="1"/>
    <s v="64578518001001"/>
    <n v="-11.44"/>
    <n v="467"/>
    <n v="1"/>
    <n v="1"/>
  </r>
  <r>
    <m/>
    <m/>
    <x v="1"/>
    <s v="64597306001001"/>
    <n v="-76.86"/>
    <n v="3137"/>
    <n v="1"/>
    <n v="1"/>
  </r>
  <r>
    <m/>
    <m/>
    <x v="1"/>
    <s v="64700335001001"/>
    <n v="-53.21"/>
    <n v="2172"/>
    <n v="1"/>
    <n v="1"/>
  </r>
  <r>
    <m/>
    <m/>
    <x v="1"/>
    <s v="64874042001003"/>
    <n v="-4.9000000000000004"/>
    <n v="200"/>
    <n v="1"/>
    <n v="1"/>
  </r>
  <r>
    <m/>
    <m/>
    <x v="1"/>
    <s v="65001066001001"/>
    <n v="-4.26"/>
    <n v="174"/>
    <n v="1"/>
    <n v="1"/>
  </r>
  <r>
    <m/>
    <m/>
    <x v="1"/>
    <s v="65368514001004"/>
    <n v="-38.56"/>
    <n v="1574"/>
    <n v="1"/>
    <n v="1"/>
  </r>
  <r>
    <m/>
    <m/>
    <x v="1"/>
    <s v="65369611001005"/>
    <n v="-11.49"/>
    <n v="469"/>
    <n v="1"/>
    <n v="1"/>
  </r>
  <r>
    <m/>
    <m/>
    <x v="1"/>
    <s v="65509206001003"/>
    <n v="-41.99"/>
    <n v="1714"/>
    <n v="1"/>
    <n v="1"/>
  </r>
  <r>
    <m/>
    <m/>
    <x v="1"/>
    <s v="65641724008001"/>
    <n v="-9.65"/>
    <n v="394"/>
    <n v="1"/>
    <n v="1"/>
  </r>
  <r>
    <m/>
    <m/>
    <x v="1"/>
    <s v="65935021001001"/>
    <n v="-1.08"/>
    <n v="44"/>
    <n v="1"/>
    <n v="1"/>
  </r>
  <r>
    <m/>
    <m/>
    <x v="1"/>
    <s v="66009948006003"/>
    <n v="-19.53"/>
    <n v="797"/>
    <n v="1"/>
    <n v="1"/>
  </r>
  <r>
    <m/>
    <m/>
    <x v="1"/>
    <s v="66154595001001"/>
    <n v="-14.04"/>
    <n v="573"/>
    <n v="1"/>
    <n v="1"/>
  </r>
  <r>
    <m/>
    <m/>
    <x v="1"/>
    <s v="66308224001001"/>
    <n v="-28.62"/>
    <n v="1168"/>
    <n v="1"/>
    <n v="1"/>
  </r>
  <r>
    <m/>
    <m/>
    <x v="1"/>
    <s v="66622465002001"/>
    <n v="-42.36"/>
    <n v="1729"/>
    <n v="1"/>
    <n v="1"/>
  </r>
  <r>
    <m/>
    <m/>
    <x v="1"/>
    <s v="66846616001003"/>
    <n v="-43.39"/>
    <n v="1771"/>
    <n v="1"/>
    <n v="1"/>
  </r>
  <r>
    <m/>
    <m/>
    <x v="1"/>
    <s v="66851187001007"/>
    <n v="-31.8"/>
    <n v="1298"/>
    <n v="1"/>
    <n v="1"/>
  </r>
  <r>
    <m/>
    <m/>
    <x v="1"/>
    <s v="66923121001005"/>
    <n v="-49.93"/>
    <n v="2038"/>
    <n v="1"/>
    <n v="1"/>
  </r>
  <r>
    <m/>
    <m/>
    <x v="1"/>
    <s v="66953942002008"/>
    <n v="-68.209999999999994"/>
    <n v="2784"/>
    <n v="1"/>
    <n v="1"/>
  </r>
  <r>
    <m/>
    <m/>
    <x v="1"/>
    <s v="66997780001001"/>
    <n v="-57.11"/>
    <n v="2331"/>
    <n v="1"/>
    <n v="1"/>
  </r>
  <r>
    <m/>
    <m/>
    <x v="1"/>
    <s v="67053287002001"/>
    <n v="-24.6"/>
    <n v="1004"/>
    <n v="1"/>
    <n v="1"/>
  </r>
  <r>
    <m/>
    <m/>
    <x v="1"/>
    <s v="67059049001004"/>
    <n v="-37.14"/>
    <n v="1516"/>
    <n v="1"/>
    <n v="1"/>
  </r>
  <r>
    <m/>
    <m/>
    <x v="1"/>
    <s v="67116312001003"/>
    <n v="-18.079999999999998"/>
    <n v="738"/>
    <n v="1"/>
    <n v="1"/>
  </r>
  <r>
    <m/>
    <m/>
    <x v="1"/>
    <s v="67479940002009"/>
    <n v="-50.2"/>
    <n v="2049"/>
    <n v="1"/>
    <n v="1"/>
  </r>
  <r>
    <m/>
    <m/>
    <x v="1"/>
    <s v="67565406001001"/>
    <n v="-53.58"/>
    <n v="2187"/>
    <n v="1"/>
    <n v="1"/>
  </r>
  <r>
    <m/>
    <m/>
    <x v="1"/>
    <s v="67575902001005"/>
    <n v="-6.15"/>
    <n v="251"/>
    <n v="1"/>
    <n v="1"/>
  </r>
  <r>
    <m/>
    <m/>
    <x v="1"/>
    <s v="67587226001001"/>
    <n v="-34.89"/>
    <n v="1424"/>
    <n v="1"/>
    <n v="1"/>
  </r>
  <r>
    <m/>
    <m/>
    <x v="1"/>
    <s v="68028456001001"/>
    <n v="-28.84"/>
    <n v="1177"/>
    <n v="1"/>
    <n v="1"/>
  </r>
  <r>
    <m/>
    <m/>
    <x v="1"/>
    <s v="68088779001001"/>
    <n v="-6.13"/>
    <n v="250"/>
    <n v="1"/>
    <n v="1"/>
  </r>
  <r>
    <m/>
    <m/>
    <x v="1"/>
    <s v="68322478003001"/>
    <n v="-41.41"/>
    <n v="1690"/>
    <n v="1"/>
    <n v="1"/>
  </r>
  <r>
    <m/>
    <m/>
    <x v="1"/>
    <s v="68400908001007"/>
    <n v="-46.23"/>
    <n v="1887"/>
    <n v="1"/>
    <n v="1"/>
  </r>
  <r>
    <m/>
    <m/>
    <x v="1"/>
    <s v="68439076001001"/>
    <n v="-23.62"/>
    <n v="964"/>
    <n v="1"/>
    <n v="1"/>
  </r>
  <r>
    <m/>
    <m/>
    <x v="1"/>
    <s v="68472022001003"/>
    <n v="-1.67"/>
    <n v="68"/>
    <n v="1"/>
    <n v="1"/>
  </r>
  <r>
    <m/>
    <m/>
    <x v="1"/>
    <s v="68623369001004"/>
    <n v="-21.32"/>
    <n v="870"/>
    <n v="1"/>
    <n v="1"/>
  </r>
  <r>
    <m/>
    <m/>
    <x v="1"/>
    <s v="68624650001002"/>
    <n v="-30.94"/>
    <n v="1263"/>
    <n v="1"/>
    <n v="1"/>
  </r>
  <r>
    <m/>
    <m/>
    <x v="1"/>
    <s v="69000077001002"/>
    <n v="-67.569999999999993"/>
    <n v="2758"/>
    <n v="1"/>
    <n v="1"/>
  </r>
  <r>
    <m/>
    <m/>
    <x v="1"/>
    <s v="69060183003015"/>
    <n v="-16.809999999999999"/>
    <n v="686"/>
    <n v="1"/>
    <n v="1"/>
  </r>
  <r>
    <m/>
    <m/>
    <x v="1"/>
    <s v="69172909001002"/>
    <n v="-58.53"/>
    <n v="2389"/>
    <n v="1"/>
    <n v="1"/>
  </r>
  <r>
    <m/>
    <m/>
    <x v="1"/>
    <s v="69212535001003"/>
    <n v="-31.58"/>
    <n v="1289"/>
    <n v="1"/>
    <n v="1"/>
  </r>
  <r>
    <m/>
    <m/>
    <x v="1"/>
    <s v="69243847003001"/>
    <n v="-29.16"/>
    <n v="1190"/>
    <n v="1"/>
    <n v="1"/>
  </r>
  <r>
    <m/>
    <m/>
    <x v="1"/>
    <s v="69278841002001"/>
    <n v="-16.88"/>
    <n v="689"/>
    <n v="1"/>
    <n v="1"/>
  </r>
  <r>
    <m/>
    <m/>
    <x v="1"/>
    <s v="69363729001001"/>
    <n v="-52.36"/>
    <n v="2137"/>
    <n v="1"/>
    <n v="1"/>
  </r>
  <r>
    <m/>
    <m/>
    <x v="1"/>
    <s v="69589294001001"/>
    <n v="-13.03"/>
    <n v="532"/>
    <n v="1"/>
    <n v="1"/>
  </r>
  <r>
    <m/>
    <m/>
    <x v="1"/>
    <s v="69593297001008"/>
    <n v="-11.39"/>
    <n v="465"/>
    <n v="1"/>
    <n v="1"/>
  </r>
  <r>
    <m/>
    <m/>
    <x v="1"/>
    <s v="69697436003002"/>
    <n v="-5.83"/>
    <n v="238"/>
    <n v="1"/>
    <n v="1"/>
  </r>
  <r>
    <m/>
    <m/>
    <x v="1"/>
    <s v="69938123001005"/>
    <n v="-23.86"/>
    <n v="974"/>
    <n v="1"/>
    <n v="1"/>
  </r>
  <r>
    <m/>
    <m/>
    <x v="1"/>
    <s v="69998675005001"/>
    <n v="-37.75"/>
    <n v="1541"/>
    <n v="1"/>
    <n v="1"/>
  </r>
  <r>
    <m/>
    <m/>
    <x v="1"/>
    <s v="70221164001005"/>
    <n v="-23.64"/>
    <n v="965"/>
    <n v="1"/>
    <n v="1"/>
  </r>
  <r>
    <m/>
    <m/>
    <x v="1"/>
    <s v="70498831001001"/>
    <n v="-36.26"/>
    <n v="1480"/>
    <n v="1"/>
    <n v="1"/>
  </r>
  <r>
    <m/>
    <m/>
    <x v="1"/>
    <s v="70508523001001"/>
    <n v="-17.57"/>
    <n v="717"/>
    <n v="1"/>
    <n v="1"/>
  </r>
  <r>
    <m/>
    <m/>
    <x v="1"/>
    <s v="70517135001001"/>
    <n v="-17.54"/>
    <n v="716"/>
    <n v="1"/>
    <n v="1"/>
  </r>
  <r>
    <m/>
    <m/>
    <x v="1"/>
    <s v="70805952001004"/>
    <n v="-62.06"/>
    <n v="2533"/>
    <n v="1"/>
    <n v="1"/>
  </r>
  <r>
    <m/>
    <m/>
    <x v="1"/>
    <s v="70925378002003"/>
    <n v="-26.24"/>
    <n v="1071"/>
    <n v="1"/>
    <n v="1"/>
  </r>
  <r>
    <m/>
    <m/>
    <x v="1"/>
    <s v="70934025001005"/>
    <n v="-23.28"/>
    <n v="950"/>
    <n v="1"/>
    <n v="1"/>
  </r>
  <r>
    <m/>
    <m/>
    <x v="1"/>
    <s v="71361970001009"/>
    <n v="-5.29"/>
    <n v="216"/>
    <n v="1"/>
    <n v="1"/>
  </r>
  <r>
    <m/>
    <m/>
    <x v="1"/>
    <s v="71508543001001"/>
    <n v="-8.6199999999999992"/>
    <n v="352"/>
    <n v="1"/>
    <n v="1"/>
  </r>
  <r>
    <m/>
    <m/>
    <x v="1"/>
    <s v="71669535001005"/>
    <n v="-28.32"/>
    <n v="1156"/>
    <n v="1"/>
    <n v="1"/>
  </r>
  <r>
    <m/>
    <m/>
    <x v="1"/>
    <s v="72106643001003"/>
    <n v="-25.28"/>
    <n v="1032"/>
    <n v="1"/>
    <n v="1"/>
  </r>
  <r>
    <m/>
    <m/>
    <x v="1"/>
    <s v="72680010001001"/>
    <n v="-34.57"/>
    <n v="1411"/>
    <n v="1"/>
    <n v="1"/>
  </r>
  <r>
    <m/>
    <m/>
    <x v="1"/>
    <s v="72769540001001"/>
    <n v="-5.34"/>
    <n v="218"/>
    <n v="1"/>
    <n v="1"/>
  </r>
  <r>
    <m/>
    <m/>
    <x v="1"/>
    <s v="73413066001003"/>
    <n v="-10.19"/>
    <n v="416"/>
    <n v="1"/>
    <n v="1"/>
  </r>
  <r>
    <m/>
    <m/>
    <x v="1"/>
    <s v="73439615001001"/>
    <n v="-35.700000000000003"/>
    <n v="1457"/>
    <n v="1"/>
    <n v="1"/>
  </r>
  <r>
    <m/>
    <m/>
    <x v="1"/>
    <s v="73718834002001"/>
    <n v="-50.47"/>
    <n v="2060"/>
    <n v="1"/>
    <n v="1"/>
  </r>
  <r>
    <m/>
    <m/>
    <x v="1"/>
    <s v="74280289001001"/>
    <n v="-8.2799999999999994"/>
    <n v="338"/>
    <n v="1"/>
    <n v="1"/>
  </r>
  <r>
    <m/>
    <m/>
    <x v="1"/>
    <s v="74556668001006"/>
    <n v="-17.62"/>
    <n v="719"/>
    <n v="1"/>
    <n v="1"/>
  </r>
  <r>
    <m/>
    <m/>
    <x v="1"/>
    <s v="74657239001002"/>
    <n v="-6.44"/>
    <n v="263"/>
    <n v="1"/>
    <n v="1"/>
  </r>
  <r>
    <m/>
    <m/>
    <x v="1"/>
    <s v="74849102001003"/>
    <n v="-68.77"/>
    <n v="2807"/>
    <n v="1"/>
    <n v="1"/>
  </r>
  <r>
    <m/>
    <m/>
    <x v="1"/>
    <s v="74916061001001"/>
    <n v="-34.520000000000003"/>
    <n v="1409"/>
    <n v="1"/>
    <n v="1"/>
  </r>
  <r>
    <m/>
    <m/>
    <x v="1"/>
    <s v="75013681001001"/>
    <n v="-18.89"/>
    <n v="771"/>
    <n v="1"/>
    <n v="1"/>
  </r>
  <r>
    <m/>
    <m/>
    <x v="1"/>
    <s v="75149375001006"/>
    <n v="-21.12"/>
    <n v="862"/>
    <n v="1"/>
    <n v="1"/>
  </r>
  <r>
    <m/>
    <m/>
    <x v="1"/>
    <s v="75178826001001"/>
    <n v="-6.2"/>
    <n v="253"/>
    <n v="1"/>
    <n v="1"/>
  </r>
  <r>
    <m/>
    <m/>
    <x v="1"/>
    <s v="75544198001002"/>
    <n v="-37.53"/>
    <n v="1532"/>
    <n v="1"/>
    <n v="1"/>
  </r>
  <r>
    <m/>
    <m/>
    <x v="1"/>
    <s v="75558866002001"/>
    <n v="-50.42"/>
    <n v="2058"/>
    <n v="1"/>
    <n v="1"/>
  </r>
  <r>
    <m/>
    <m/>
    <x v="1"/>
    <s v="75743118001001"/>
    <n v="-33.69"/>
    <n v="1375"/>
    <n v="1"/>
    <n v="1"/>
  </r>
  <r>
    <m/>
    <m/>
    <x v="1"/>
    <s v="75814877002001"/>
    <n v="-91.41"/>
    <n v="3731"/>
    <n v="1"/>
    <n v="1"/>
  </r>
  <r>
    <m/>
    <m/>
    <x v="1"/>
    <s v="76017664001001"/>
    <n v="-22.74"/>
    <n v="928"/>
    <n v="1"/>
    <n v="1"/>
  </r>
  <r>
    <m/>
    <m/>
    <x v="1"/>
    <s v="76035247001002"/>
    <n v="-32.979999999999997"/>
    <n v="1346"/>
    <n v="1"/>
    <n v="1"/>
  </r>
  <r>
    <m/>
    <m/>
    <x v="1"/>
    <s v="76557994001004"/>
    <n v="-2.38"/>
    <n v="97"/>
    <n v="1"/>
    <n v="1"/>
  </r>
  <r>
    <m/>
    <m/>
    <x v="1"/>
    <s v="76559936001004"/>
    <n v="-9.56"/>
    <n v="390"/>
    <n v="1"/>
    <n v="1"/>
  </r>
  <r>
    <m/>
    <m/>
    <x v="1"/>
    <s v="76588944001003"/>
    <n v="-11.69"/>
    <n v="477"/>
    <n v="1"/>
    <n v="1"/>
  </r>
  <r>
    <m/>
    <m/>
    <x v="1"/>
    <s v="76614777003003"/>
    <n v="-83.4"/>
    <n v="3404"/>
    <n v="1"/>
    <n v="1"/>
  </r>
  <r>
    <m/>
    <m/>
    <x v="1"/>
    <s v="76615869001006"/>
    <n v="-62.21"/>
    <n v="2539"/>
    <n v="1"/>
    <n v="1"/>
  </r>
  <r>
    <m/>
    <m/>
    <x v="1"/>
    <s v="76670454001001"/>
    <n v="-52.97"/>
    <n v="2162"/>
    <n v="1"/>
    <n v="1"/>
  </r>
  <r>
    <m/>
    <m/>
    <x v="1"/>
    <s v="76795463001003"/>
    <n v="-41.58"/>
    <n v="1697"/>
    <n v="1"/>
    <n v="1"/>
  </r>
  <r>
    <m/>
    <m/>
    <x v="1"/>
    <s v="76854949001003"/>
    <n v="-61.03"/>
    <n v="2491"/>
    <n v="1"/>
    <n v="1"/>
  </r>
  <r>
    <m/>
    <m/>
    <x v="1"/>
    <s v="77319670001005"/>
    <n v="-15.66"/>
    <n v="639"/>
    <n v="1"/>
    <n v="1"/>
  </r>
  <r>
    <m/>
    <m/>
    <x v="1"/>
    <s v="77414176001005"/>
    <n v="-47.09"/>
    <n v="1922"/>
    <n v="1"/>
    <n v="1"/>
  </r>
  <r>
    <m/>
    <m/>
    <x v="1"/>
    <s v="77745389002003"/>
    <n v="-12.81"/>
    <n v="523"/>
    <n v="1"/>
    <n v="1"/>
  </r>
  <r>
    <m/>
    <m/>
    <x v="1"/>
    <s v="77931356002006"/>
    <n v="-44.88"/>
    <n v="1832"/>
    <n v="1"/>
    <n v="1"/>
  </r>
  <r>
    <m/>
    <m/>
    <x v="1"/>
    <s v="78067360001002"/>
    <n v="-36.9"/>
    <n v="1506"/>
    <n v="1"/>
    <n v="1"/>
  </r>
  <r>
    <m/>
    <m/>
    <x v="1"/>
    <s v="78102550001004"/>
    <n v="-27"/>
    <n v="1102"/>
    <n v="1"/>
    <n v="1"/>
  </r>
  <r>
    <m/>
    <m/>
    <x v="1"/>
    <s v="78241325001001"/>
    <n v="-62.18"/>
    <n v="2538"/>
    <n v="1"/>
    <n v="1"/>
  </r>
  <r>
    <m/>
    <m/>
    <x v="1"/>
    <s v="79495965001001"/>
    <n v="-8.16"/>
    <n v="333"/>
    <n v="1"/>
    <n v="1"/>
  </r>
  <r>
    <m/>
    <m/>
    <x v="1"/>
    <s v="79543609001001"/>
    <n v="-25.14"/>
    <n v="1026"/>
    <n v="1"/>
    <n v="1"/>
  </r>
  <r>
    <m/>
    <m/>
    <x v="1"/>
    <s v="79559262001003"/>
    <n v="-18.23"/>
    <n v="744"/>
    <n v="1"/>
    <n v="1"/>
  </r>
  <r>
    <m/>
    <m/>
    <x v="1"/>
    <s v="79713989002001"/>
    <n v="-80.14"/>
    <n v="3271"/>
    <n v="1"/>
    <n v="1"/>
  </r>
  <r>
    <m/>
    <m/>
    <x v="1"/>
    <s v="79989931001001"/>
    <n v="-9.6"/>
    <n v="392"/>
    <n v="1"/>
    <n v="1"/>
  </r>
  <r>
    <m/>
    <m/>
    <x v="1"/>
    <s v="80164416001009"/>
    <n v="-57.04"/>
    <n v="2328"/>
    <n v="1"/>
    <n v="1"/>
  </r>
  <r>
    <m/>
    <m/>
    <x v="1"/>
    <s v="80546282001001"/>
    <n v="-25.77"/>
    <n v="1052"/>
    <n v="1"/>
    <n v="1"/>
  </r>
  <r>
    <m/>
    <m/>
    <x v="1"/>
    <s v="80618652002003"/>
    <n v="-8.89"/>
    <n v="363"/>
    <n v="1"/>
    <n v="1"/>
  </r>
  <r>
    <m/>
    <m/>
    <x v="1"/>
    <s v="80725718001001"/>
    <n v="-4.1900000000000004"/>
    <n v="171"/>
    <n v="1"/>
    <n v="1"/>
  </r>
  <r>
    <m/>
    <m/>
    <x v="1"/>
    <s v="80918426001002"/>
    <n v="-36.28"/>
    <n v="1481"/>
    <n v="1"/>
    <n v="1"/>
  </r>
  <r>
    <m/>
    <m/>
    <x v="1"/>
    <s v="81097028001001"/>
    <n v="-19.72"/>
    <n v="805"/>
    <n v="1"/>
    <n v="1"/>
  </r>
  <r>
    <m/>
    <m/>
    <x v="1"/>
    <s v="81182109001003"/>
    <n v="-13.74"/>
    <n v="561"/>
    <n v="1"/>
    <n v="1"/>
  </r>
  <r>
    <m/>
    <m/>
    <x v="1"/>
    <s v="81376958001002"/>
    <n v="-51.89"/>
    <n v="2118"/>
    <n v="1"/>
    <n v="1"/>
  </r>
  <r>
    <m/>
    <m/>
    <x v="1"/>
    <s v="81454274001001"/>
    <n v="-21.66"/>
    <n v="884"/>
    <n v="1"/>
    <n v="1"/>
  </r>
  <r>
    <m/>
    <m/>
    <x v="1"/>
    <s v="81489053002003"/>
    <n v="-49.17"/>
    <n v="2007"/>
    <n v="1"/>
    <n v="1"/>
  </r>
  <r>
    <m/>
    <m/>
    <x v="1"/>
    <s v="81507693001002"/>
    <n v="-10.73"/>
    <n v="438"/>
    <n v="1"/>
    <n v="1"/>
  </r>
  <r>
    <m/>
    <m/>
    <x v="1"/>
    <s v="81870119001003"/>
    <n v="-18.5"/>
    <n v="755"/>
    <n v="1"/>
    <n v="1"/>
  </r>
  <r>
    <m/>
    <m/>
    <x v="1"/>
    <s v="82043401001001"/>
    <n v="-22.37"/>
    <n v="913"/>
    <n v="1"/>
    <n v="1"/>
  </r>
  <r>
    <m/>
    <m/>
    <x v="1"/>
    <s v="82082422001001"/>
    <n v="-15.95"/>
    <n v="651"/>
    <n v="1"/>
    <n v="1"/>
  </r>
  <r>
    <m/>
    <m/>
    <x v="1"/>
    <s v="82322990001001"/>
    <n v="-50.64"/>
    <n v="2067"/>
    <n v="1"/>
    <n v="1"/>
  </r>
  <r>
    <m/>
    <m/>
    <x v="1"/>
    <s v="82549973001001"/>
    <n v="-5.76"/>
    <n v="235"/>
    <n v="1"/>
    <n v="1"/>
  </r>
  <r>
    <m/>
    <m/>
    <x v="1"/>
    <s v="82705141002003"/>
    <n v="-49.64"/>
    <n v="2026"/>
    <n v="1"/>
    <n v="1"/>
  </r>
  <r>
    <m/>
    <m/>
    <x v="1"/>
    <s v="82876457001003"/>
    <n v="-15.48"/>
    <n v="632"/>
    <n v="1"/>
    <n v="1"/>
  </r>
  <r>
    <m/>
    <m/>
    <x v="1"/>
    <s v="83012772001001"/>
    <n v="-27.78"/>
    <n v="1134"/>
    <n v="1"/>
    <n v="1"/>
  </r>
  <r>
    <m/>
    <m/>
    <x v="1"/>
    <s v="83058315001004"/>
    <n v="-53.12"/>
    <n v="2168"/>
    <n v="1"/>
    <n v="1"/>
  </r>
  <r>
    <m/>
    <m/>
    <x v="1"/>
    <s v="83144829001001"/>
    <n v="-12.69"/>
    <n v="518"/>
    <n v="1"/>
    <n v="1"/>
  </r>
  <r>
    <m/>
    <m/>
    <x v="1"/>
    <s v="83365022001002"/>
    <n v="-33.81"/>
    <n v="1380"/>
    <n v="1"/>
    <n v="1"/>
  </r>
  <r>
    <m/>
    <m/>
    <x v="1"/>
    <s v="83567560001001"/>
    <n v="-5.22"/>
    <n v="213"/>
    <n v="1"/>
    <n v="1"/>
  </r>
  <r>
    <m/>
    <m/>
    <x v="1"/>
    <s v="83589580001001"/>
    <n v="-35.6"/>
    <n v="1453"/>
    <n v="1"/>
    <n v="1"/>
  </r>
  <r>
    <m/>
    <m/>
    <x v="1"/>
    <s v="83951109003001"/>
    <n v="-62.45"/>
    <n v="2549"/>
    <n v="1"/>
    <n v="1"/>
  </r>
  <r>
    <m/>
    <m/>
    <x v="1"/>
    <s v="83981500001003"/>
    <n v="-41.45"/>
    <n v="1692"/>
    <n v="1"/>
    <n v="1"/>
  </r>
  <r>
    <m/>
    <m/>
    <x v="1"/>
    <s v="84160982001001"/>
    <n v="-7.55"/>
    <n v="308"/>
    <n v="1"/>
    <n v="1"/>
  </r>
  <r>
    <m/>
    <m/>
    <x v="1"/>
    <s v="84270072001001"/>
    <n v="-28.93"/>
    <n v="1181"/>
    <n v="1"/>
    <n v="1"/>
  </r>
  <r>
    <m/>
    <m/>
    <x v="1"/>
    <s v="84545227002004"/>
    <n v="-26.17"/>
    <n v="1068"/>
    <n v="1"/>
    <n v="1"/>
  </r>
  <r>
    <m/>
    <m/>
    <x v="1"/>
    <s v="84649205001001"/>
    <n v="-40.69"/>
    <n v="1661"/>
    <n v="1"/>
    <n v="1"/>
  </r>
  <r>
    <m/>
    <m/>
    <x v="1"/>
    <s v="84767508001007"/>
    <n v="-1.86"/>
    <n v="76"/>
    <n v="1"/>
    <n v="1"/>
  </r>
  <r>
    <m/>
    <m/>
    <x v="1"/>
    <s v="84854567001007"/>
    <n v="-36.33"/>
    <n v="1483"/>
    <n v="1"/>
    <n v="1"/>
  </r>
  <r>
    <m/>
    <m/>
    <x v="1"/>
    <s v="84929826001001"/>
    <n v="-14.82"/>
    <n v="605"/>
    <n v="1"/>
    <n v="1"/>
  </r>
  <r>
    <m/>
    <m/>
    <x v="1"/>
    <s v="84938068001001"/>
    <n v="-22.17"/>
    <n v="905"/>
    <n v="1"/>
    <n v="1"/>
  </r>
  <r>
    <m/>
    <m/>
    <x v="1"/>
    <s v="85218753001001"/>
    <n v="-54.49"/>
    <n v="2224"/>
    <n v="1"/>
    <n v="1"/>
  </r>
  <r>
    <m/>
    <m/>
    <x v="1"/>
    <s v="85220903001004"/>
    <n v="-8.09"/>
    <n v="330"/>
    <n v="1"/>
    <n v="1"/>
  </r>
  <r>
    <m/>
    <m/>
    <x v="1"/>
    <s v="85373492001005"/>
    <n v="-23.72"/>
    <n v="968"/>
    <n v="1"/>
    <n v="1"/>
  </r>
  <r>
    <m/>
    <m/>
    <x v="1"/>
    <s v="85607457001003"/>
    <n v="-28.15"/>
    <n v="1149"/>
    <n v="1"/>
    <n v="1"/>
  </r>
  <r>
    <m/>
    <m/>
    <x v="1"/>
    <s v="85718733005005"/>
    <n v="-30.7"/>
    <n v="1253"/>
    <n v="1"/>
    <n v="1"/>
  </r>
  <r>
    <m/>
    <m/>
    <x v="1"/>
    <s v="85809881001003"/>
    <n v="-15.73"/>
    <n v="642"/>
    <n v="1"/>
    <n v="1"/>
  </r>
  <r>
    <m/>
    <m/>
    <x v="1"/>
    <s v="85865787001003"/>
    <n v="-7.03"/>
    <n v="287"/>
    <n v="1"/>
    <n v="1"/>
  </r>
  <r>
    <m/>
    <m/>
    <x v="1"/>
    <s v="85949429001002"/>
    <n v="-34.369999999999997"/>
    <n v="1403"/>
    <n v="1"/>
    <n v="1"/>
  </r>
  <r>
    <m/>
    <m/>
    <x v="1"/>
    <s v="85972728001001"/>
    <n v="-19.940000000000001"/>
    <n v="814"/>
    <n v="1"/>
    <n v="1"/>
  </r>
  <r>
    <m/>
    <m/>
    <x v="1"/>
    <s v="86314126001001"/>
    <n v="-37.29"/>
    <n v="1522"/>
    <n v="1"/>
    <n v="1"/>
  </r>
  <r>
    <m/>
    <m/>
    <x v="1"/>
    <s v="86521508002003"/>
    <n v="-33.57"/>
    <n v="1370"/>
    <n v="1"/>
    <n v="1"/>
  </r>
  <r>
    <m/>
    <m/>
    <x v="1"/>
    <s v="86574879001008"/>
    <n v="-51.94"/>
    <n v="2120"/>
    <n v="1"/>
    <n v="1"/>
  </r>
  <r>
    <m/>
    <m/>
    <x v="1"/>
    <s v="86826206004005"/>
    <n v="-33.49"/>
    <n v="1367"/>
    <n v="1"/>
    <n v="1"/>
  </r>
  <r>
    <m/>
    <m/>
    <x v="1"/>
    <s v="86974765001001"/>
    <n v="-48.19"/>
    <n v="1967"/>
    <n v="1"/>
    <n v="1"/>
  </r>
  <r>
    <m/>
    <m/>
    <x v="1"/>
    <s v="87298950001009"/>
    <n v="-5.17"/>
    <n v="211"/>
    <n v="1"/>
    <n v="1"/>
  </r>
  <r>
    <m/>
    <m/>
    <x v="1"/>
    <s v="87402995001003"/>
    <n v="-37.9"/>
    <n v="1547"/>
    <n v="1"/>
    <n v="1"/>
  </r>
  <r>
    <m/>
    <m/>
    <x v="1"/>
    <s v="87409773002001"/>
    <n v="-43.66"/>
    <n v="1782"/>
    <n v="1"/>
    <n v="1"/>
  </r>
  <r>
    <m/>
    <m/>
    <x v="1"/>
    <s v="87496184001004"/>
    <n v="-16.02"/>
    <n v="654"/>
    <n v="1"/>
    <n v="1"/>
  </r>
  <r>
    <m/>
    <m/>
    <x v="1"/>
    <s v="87567739001004"/>
    <n v="-61.62"/>
    <n v="2515"/>
    <n v="1"/>
    <n v="1"/>
  </r>
  <r>
    <m/>
    <m/>
    <x v="1"/>
    <s v="87984399001003"/>
    <n v="-55.49"/>
    <n v="2265"/>
    <n v="1"/>
    <n v="1"/>
  </r>
  <r>
    <m/>
    <m/>
    <x v="1"/>
    <s v="88302097001001"/>
    <n v="-45.2"/>
    <n v="1845"/>
    <n v="1"/>
    <n v="1"/>
  </r>
  <r>
    <m/>
    <m/>
    <x v="1"/>
    <s v="88416298001001"/>
    <n v="-18.25"/>
    <n v="745"/>
    <n v="1"/>
    <n v="1"/>
  </r>
  <r>
    <m/>
    <m/>
    <x v="1"/>
    <s v="88537204001001"/>
    <n v="-35.18"/>
    <n v="1436"/>
    <n v="1"/>
    <n v="1"/>
  </r>
  <r>
    <m/>
    <m/>
    <x v="1"/>
    <s v="88600796001001"/>
    <n v="-25.97"/>
    <n v="1060"/>
    <n v="1"/>
    <n v="1"/>
  </r>
  <r>
    <m/>
    <m/>
    <x v="1"/>
    <s v="88674501001001"/>
    <n v="-9.56"/>
    <n v="390"/>
    <n v="1"/>
    <n v="1"/>
  </r>
  <r>
    <m/>
    <m/>
    <x v="1"/>
    <s v="88795471002001"/>
    <n v="-24.92"/>
    <n v="1017"/>
    <n v="1"/>
    <n v="1"/>
  </r>
  <r>
    <m/>
    <m/>
    <x v="1"/>
    <s v="88908327001003"/>
    <n v="-32.22"/>
    <n v="1315"/>
    <n v="1"/>
    <n v="1"/>
  </r>
  <r>
    <m/>
    <m/>
    <x v="1"/>
    <s v="89067112002001"/>
    <n v="-48.34"/>
    <n v="1973"/>
    <n v="1"/>
    <n v="1"/>
  </r>
  <r>
    <m/>
    <m/>
    <x v="1"/>
    <s v="89105915001001"/>
    <n v="-136.93"/>
    <n v="5589"/>
    <n v="1"/>
    <n v="1"/>
  </r>
  <r>
    <m/>
    <m/>
    <x v="1"/>
    <s v="89115051002001"/>
    <n v="-65.150000000000006"/>
    <n v="2659"/>
    <n v="1"/>
    <n v="1"/>
  </r>
  <r>
    <m/>
    <m/>
    <x v="1"/>
    <s v="89128471001009"/>
    <n v="-59.36"/>
    <n v="2423"/>
    <n v="1"/>
    <n v="1"/>
  </r>
  <r>
    <m/>
    <m/>
    <x v="1"/>
    <s v="89435607001002"/>
    <n v="-47.73"/>
    <n v="1948"/>
    <n v="1"/>
    <n v="1"/>
  </r>
  <r>
    <m/>
    <m/>
    <x v="1"/>
    <s v="89599726001001"/>
    <n v="-34.15"/>
    <n v="1394"/>
    <n v="1"/>
    <n v="1"/>
  </r>
  <r>
    <m/>
    <m/>
    <x v="1"/>
    <s v="89987541001001"/>
    <n v="-14.46"/>
    <n v="590"/>
    <n v="1"/>
    <n v="1"/>
  </r>
  <r>
    <m/>
    <m/>
    <x v="1"/>
    <s v="90070067001013"/>
    <n v="-13.7"/>
    <n v="559"/>
    <n v="1"/>
    <n v="1"/>
  </r>
  <r>
    <m/>
    <m/>
    <x v="1"/>
    <s v="90423930002005"/>
    <n v="-32.270000000000003"/>
    <n v="1317"/>
    <n v="1"/>
    <n v="1"/>
  </r>
  <r>
    <m/>
    <m/>
    <x v="1"/>
    <s v="90642244003005"/>
    <n v="-39.35"/>
    <n v="1606"/>
    <n v="1"/>
    <n v="1"/>
  </r>
  <r>
    <m/>
    <m/>
    <x v="1"/>
    <s v="90666654001001"/>
    <n v="-30.16"/>
    <n v="1231"/>
    <n v="1"/>
    <n v="1"/>
  </r>
  <r>
    <m/>
    <m/>
    <x v="1"/>
    <s v="91062173001001"/>
    <n v="-0.34"/>
    <n v="14"/>
    <n v="1"/>
    <n v="1"/>
  </r>
  <r>
    <m/>
    <m/>
    <x v="1"/>
    <s v="91251961001001"/>
    <n v="-6.57"/>
    <n v="268"/>
    <n v="1"/>
    <n v="1"/>
  </r>
  <r>
    <m/>
    <m/>
    <x v="1"/>
    <s v="91266513001005"/>
    <n v="-36.28"/>
    <n v="1481"/>
    <n v="1"/>
    <n v="1"/>
  </r>
  <r>
    <m/>
    <m/>
    <x v="1"/>
    <s v="91666691002003"/>
    <n v="-67.2"/>
    <n v="2743"/>
    <n v="1"/>
    <n v="1"/>
  </r>
  <r>
    <m/>
    <m/>
    <x v="1"/>
    <s v="91700255001001"/>
    <n v="-59.17"/>
    <n v="2415"/>
    <n v="1"/>
    <n v="1"/>
  </r>
  <r>
    <m/>
    <m/>
    <x v="1"/>
    <s v="91722865001003"/>
    <n v="-27.27"/>
    <n v="1113"/>
    <n v="1"/>
    <n v="1"/>
  </r>
  <r>
    <m/>
    <m/>
    <x v="1"/>
    <s v="91727388001001"/>
    <n v="-31.29"/>
    <n v="1277"/>
    <n v="1"/>
    <n v="1"/>
  </r>
  <r>
    <m/>
    <m/>
    <x v="1"/>
    <s v="92277523001006"/>
    <n v="-15.8"/>
    <n v="645"/>
    <n v="1"/>
    <n v="1"/>
  </r>
  <r>
    <m/>
    <m/>
    <x v="1"/>
    <s v="92602233001001"/>
    <n v="-31.58"/>
    <n v="1289"/>
    <n v="1"/>
    <n v="1"/>
  </r>
  <r>
    <m/>
    <m/>
    <x v="1"/>
    <s v="93107160001010"/>
    <n v="-54.12"/>
    <n v="2209"/>
    <n v="1"/>
    <n v="1"/>
  </r>
  <r>
    <m/>
    <m/>
    <x v="1"/>
    <s v="93499178002003"/>
    <n v="-16.66"/>
    <n v="680"/>
    <n v="1"/>
    <n v="1"/>
  </r>
  <r>
    <m/>
    <m/>
    <x v="1"/>
    <s v="93541991001003"/>
    <n v="-11.29"/>
    <n v="461"/>
    <n v="1"/>
    <n v="1"/>
  </r>
  <r>
    <m/>
    <m/>
    <x v="1"/>
    <s v="94290441002001"/>
    <n v="-6.98"/>
    <n v="285"/>
    <n v="1"/>
    <n v="1"/>
  </r>
  <r>
    <m/>
    <m/>
    <x v="1"/>
    <s v="94684058001001"/>
    <n v="-34.01"/>
    <n v="1388"/>
    <n v="1"/>
    <n v="1"/>
  </r>
  <r>
    <m/>
    <m/>
    <x v="1"/>
    <s v="94806860001001"/>
    <n v="-0.69"/>
    <n v="28"/>
    <n v="1"/>
    <n v="1"/>
  </r>
  <r>
    <m/>
    <m/>
    <x v="1"/>
    <s v="94908251002001"/>
    <n v="-34.18"/>
    <n v="1395"/>
    <n v="1"/>
    <n v="1"/>
  </r>
  <r>
    <m/>
    <m/>
    <x v="1"/>
    <s v="94963671001001"/>
    <n v="-33.049999999999997"/>
    <n v="1349"/>
    <n v="1"/>
    <n v="1"/>
  </r>
  <r>
    <m/>
    <m/>
    <x v="1"/>
    <s v="95016897001001"/>
    <n v="-16.68"/>
    <n v="681"/>
    <n v="1"/>
    <n v="1"/>
  </r>
  <r>
    <m/>
    <m/>
    <x v="1"/>
    <s v="95227952004001"/>
    <n v="-80.61"/>
    <n v="3290"/>
    <n v="1"/>
    <n v="1"/>
  </r>
  <r>
    <m/>
    <m/>
    <x v="1"/>
    <s v="95229231001002"/>
    <n v="-41.31"/>
    <n v="1686"/>
    <n v="1"/>
    <n v="1"/>
  </r>
  <r>
    <m/>
    <m/>
    <x v="1"/>
    <s v="95311280001001"/>
    <n v="-28.89"/>
    <n v="1179"/>
    <n v="1"/>
    <n v="1"/>
  </r>
  <r>
    <m/>
    <m/>
    <x v="1"/>
    <s v="95373261001005"/>
    <n v="-44"/>
    <n v="1796"/>
    <n v="1"/>
    <n v="1"/>
  </r>
  <r>
    <m/>
    <m/>
    <x v="1"/>
    <s v="95431402002004"/>
    <n v="-2.87"/>
    <n v="117"/>
    <n v="1"/>
    <n v="1"/>
  </r>
  <r>
    <m/>
    <m/>
    <x v="1"/>
    <s v="95438353001014"/>
    <n v="-43.61"/>
    <n v="1780"/>
    <n v="1"/>
    <n v="1"/>
  </r>
  <r>
    <m/>
    <m/>
    <x v="1"/>
    <s v="95496596001001"/>
    <n v="-8.82"/>
    <n v="360"/>
    <n v="1"/>
    <n v="1"/>
  </r>
  <r>
    <m/>
    <m/>
    <x v="1"/>
    <s v="95527245001004"/>
    <n v="-16.760000000000002"/>
    <n v="684"/>
    <n v="1"/>
    <n v="1"/>
  </r>
  <r>
    <m/>
    <m/>
    <x v="1"/>
    <s v="95538650001001"/>
    <n v="-15.02"/>
    <n v="613"/>
    <n v="1"/>
    <n v="1"/>
  </r>
  <r>
    <m/>
    <m/>
    <x v="1"/>
    <s v="95568206001001"/>
    <n v="-0.96"/>
    <n v="39"/>
    <n v="1"/>
    <n v="1"/>
  </r>
  <r>
    <m/>
    <m/>
    <x v="1"/>
    <s v="95699360003004"/>
    <n v="-29.82"/>
    <n v="1217"/>
    <n v="1"/>
    <n v="1"/>
  </r>
  <r>
    <m/>
    <m/>
    <x v="1"/>
    <s v="95972381001002"/>
    <n v="-39.590000000000003"/>
    <n v="1616"/>
    <n v="1"/>
    <n v="1"/>
  </r>
  <r>
    <m/>
    <m/>
    <x v="1"/>
    <s v="95974841004001"/>
    <n v="-23.89"/>
    <n v="975"/>
    <n v="1"/>
    <n v="1"/>
  </r>
  <r>
    <m/>
    <m/>
    <x v="1"/>
    <s v="96052911001001"/>
    <n v="-20.8"/>
    <n v="849"/>
    <n v="1"/>
    <n v="1"/>
  </r>
  <r>
    <m/>
    <m/>
    <x v="1"/>
    <s v="96226382001001"/>
    <n v="-14.68"/>
    <n v="599"/>
    <n v="1"/>
    <n v="1"/>
  </r>
  <r>
    <m/>
    <m/>
    <x v="1"/>
    <s v="96244044003001"/>
    <n v="-1.42"/>
    <n v="58"/>
    <n v="1"/>
    <n v="1"/>
  </r>
  <r>
    <m/>
    <m/>
    <x v="1"/>
    <s v="96258552001004"/>
    <n v="-18.28"/>
    <n v="746"/>
    <n v="1"/>
    <n v="1"/>
  </r>
  <r>
    <m/>
    <m/>
    <x v="1"/>
    <s v="96369039001001"/>
    <n v="-67.5"/>
    <n v="2755"/>
    <n v="1"/>
    <n v="1"/>
  </r>
  <r>
    <m/>
    <m/>
    <x v="1"/>
    <s v="96989595001001"/>
    <n v="-22.32"/>
    <n v="911"/>
    <n v="1"/>
    <n v="1"/>
  </r>
  <r>
    <m/>
    <m/>
    <x v="1"/>
    <s v="97058089002005"/>
    <n v="-20.36"/>
    <n v="831"/>
    <n v="1"/>
    <n v="1"/>
  </r>
  <r>
    <m/>
    <m/>
    <x v="1"/>
    <s v="97149121001001"/>
    <n v="-5.05"/>
    <n v="206"/>
    <n v="1"/>
    <n v="1"/>
  </r>
  <r>
    <m/>
    <m/>
    <x v="1"/>
    <s v="97419061001003"/>
    <n v="-52.16"/>
    <n v="2129"/>
    <n v="1"/>
    <n v="1"/>
  </r>
  <r>
    <m/>
    <m/>
    <x v="1"/>
    <s v="97521847001001"/>
    <n v="-25.11"/>
    <n v="1025"/>
    <n v="1"/>
    <n v="1"/>
  </r>
  <r>
    <m/>
    <m/>
    <x v="1"/>
    <s v="97956025003003"/>
    <n v="-31.04"/>
    <n v="1267"/>
    <n v="1"/>
    <n v="1"/>
  </r>
  <r>
    <m/>
    <m/>
    <x v="1"/>
    <s v="98359259001005"/>
    <n v="-55.93"/>
    <n v="2283"/>
    <n v="1"/>
    <n v="1"/>
  </r>
  <r>
    <m/>
    <m/>
    <x v="1"/>
    <s v="98361540001003"/>
    <n v="-12.57"/>
    <n v="513"/>
    <n v="1"/>
    <n v="1"/>
  </r>
  <r>
    <m/>
    <m/>
    <x v="1"/>
    <s v="98550222001001"/>
    <n v="-56.25"/>
    <n v="2296"/>
    <n v="1"/>
    <n v="1"/>
  </r>
  <r>
    <m/>
    <m/>
    <x v="1"/>
    <s v="98859974001007"/>
    <n v="-32.630000000000003"/>
    <n v="1332"/>
    <n v="1"/>
    <n v="1"/>
  </r>
  <r>
    <m/>
    <m/>
    <x v="1"/>
    <s v="98982821001003"/>
    <n v="-37.630000000000003"/>
    <n v="1536"/>
    <n v="1"/>
    <n v="1"/>
  </r>
  <r>
    <m/>
    <m/>
    <x v="1"/>
    <s v="99547055001003"/>
    <n v="-71.86"/>
    <n v="2933"/>
    <n v="1"/>
    <n v="1"/>
  </r>
  <r>
    <m/>
    <m/>
    <x v="1"/>
    <s v="99605913001001"/>
    <n v="-11.32"/>
    <n v="462"/>
    <n v="1"/>
    <n v="1"/>
  </r>
  <r>
    <m/>
    <m/>
    <x v="1"/>
    <s v="99678131001001"/>
    <n v="-19.38"/>
    <n v="791"/>
    <n v="1"/>
    <n v="1"/>
  </r>
  <r>
    <m/>
    <m/>
    <x v="1"/>
    <s v="99752520001007"/>
    <n v="-28.1"/>
    <n v="1147"/>
    <n v="1"/>
    <n v="1"/>
  </r>
  <r>
    <m/>
    <m/>
    <x v="1"/>
    <s v="99789909001001"/>
    <n v="-5.98"/>
    <n v="244"/>
    <n v="1"/>
    <n v="1"/>
  </r>
  <r>
    <m/>
    <m/>
    <x v="1"/>
    <s v="99831171002001"/>
    <n v="-86.73"/>
    <n v="3540"/>
    <n v="1"/>
    <n v="1"/>
  </r>
  <r>
    <m/>
    <m/>
    <x v="1"/>
    <s v="99840626001004"/>
    <n v="-29.28"/>
    <n v="1195"/>
    <n v="1"/>
    <n v="1"/>
  </r>
  <r>
    <m/>
    <m/>
    <x v="2"/>
    <m/>
    <n v="-30730.279999999995"/>
    <n v="1254289"/>
    <n v="936"/>
    <n v="935"/>
  </r>
  <r>
    <m/>
    <m/>
    <x v="3"/>
    <s v="00046637001001"/>
    <n v="-30.15"/>
    <n v="769"/>
    <n v="1"/>
    <n v="1"/>
  </r>
  <r>
    <m/>
    <m/>
    <x v="1"/>
    <s v="00438452001003"/>
    <n v="-5.0999999999999996"/>
    <n v="130"/>
    <n v="1"/>
    <n v="1"/>
  </r>
  <r>
    <m/>
    <m/>
    <x v="1"/>
    <s v="00505142002001"/>
    <n v="-51.72"/>
    <n v="1319"/>
    <n v="1"/>
    <n v="1"/>
  </r>
  <r>
    <m/>
    <m/>
    <x v="1"/>
    <s v="00620929001002"/>
    <n v="-55.68"/>
    <n v="1420"/>
    <n v="1"/>
    <n v="1"/>
  </r>
  <r>
    <m/>
    <m/>
    <x v="1"/>
    <s v="00809273002003"/>
    <n v="-91.56"/>
    <n v="2335"/>
    <n v="1"/>
    <n v="1"/>
  </r>
  <r>
    <m/>
    <m/>
    <x v="1"/>
    <s v="00829036001001"/>
    <n v="-57.09"/>
    <n v="1456"/>
    <n v="1"/>
    <n v="1"/>
  </r>
  <r>
    <m/>
    <m/>
    <x v="1"/>
    <s v="00838430001003"/>
    <n v="-79.87"/>
    <n v="2037"/>
    <n v="1"/>
    <n v="1"/>
  </r>
  <r>
    <m/>
    <m/>
    <x v="1"/>
    <s v="00876650001003"/>
    <n v="-87.52"/>
    <n v="2232"/>
    <n v="1"/>
    <n v="1"/>
  </r>
  <r>
    <m/>
    <m/>
    <x v="1"/>
    <s v="00927680001011"/>
    <n v="-32.07"/>
    <n v="818"/>
    <n v="1"/>
    <n v="1"/>
  </r>
  <r>
    <m/>
    <m/>
    <x v="1"/>
    <s v="01147160001001"/>
    <n v="-92.54"/>
    <n v="2360"/>
    <n v="1"/>
    <n v="1"/>
  </r>
  <r>
    <m/>
    <m/>
    <x v="1"/>
    <s v="01335294001005"/>
    <n v="-27.64"/>
    <n v="705"/>
    <n v="1"/>
    <n v="1"/>
  </r>
  <r>
    <m/>
    <m/>
    <x v="1"/>
    <s v="01519525001005"/>
    <n v="-32.74"/>
    <n v="835"/>
    <n v="1"/>
    <n v="1"/>
  </r>
  <r>
    <m/>
    <m/>
    <x v="1"/>
    <s v="01520368001007"/>
    <n v="-48.11"/>
    <n v="1227"/>
    <n v="1"/>
    <n v="1"/>
  </r>
  <r>
    <m/>
    <m/>
    <x v="1"/>
    <s v="01858972001001"/>
    <n v="-94.93"/>
    <n v="2421"/>
    <n v="1"/>
    <n v="1"/>
  </r>
  <r>
    <m/>
    <m/>
    <x v="1"/>
    <s v="02383685001001"/>
    <n v="-47.25"/>
    <n v="1205"/>
    <n v="1"/>
    <n v="1"/>
  </r>
  <r>
    <m/>
    <m/>
    <x v="1"/>
    <s v="02475445001006"/>
    <n v="-2.86"/>
    <n v="73"/>
    <n v="1"/>
    <n v="1"/>
  </r>
  <r>
    <m/>
    <m/>
    <x v="1"/>
    <s v="02495470002001"/>
    <n v="-45.68"/>
    <n v="1165"/>
    <n v="1"/>
    <n v="1"/>
  </r>
  <r>
    <m/>
    <m/>
    <x v="1"/>
    <s v="02514781001007"/>
    <n v="-19.84"/>
    <n v="506"/>
    <n v="1"/>
    <n v="1"/>
  </r>
  <r>
    <m/>
    <m/>
    <x v="1"/>
    <s v="02670836001001"/>
    <n v="-0.35"/>
    <n v="9"/>
    <n v="1"/>
    <n v="1"/>
  </r>
  <r>
    <m/>
    <m/>
    <x v="1"/>
    <s v="02761318001001"/>
    <n v="-64.069999999999993"/>
    <n v="1634"/>
    <n v="1"/>
    <n v="1"/>
  </r>
  <r>
    <m/>
    <m/>
    <x v="1"/>
    <s v="02861062001008"/>
    <n v="-16.149999999999999"/>
    <n v="412"/>
    <n v="1"/>
    <n v="1"/>
  </r>
  <r>
    <m/>
    <m/>
    <x v="1"/>
    <s v="02975140001002"/>
    <n v="-3.8"/>
    <n v="97"/>
    <n v="1"/>
    <n v="1"/>
  </r>
  <r>
    <m/>
    <m/>
    <x v="1"/>
    <s v="03276788001006"/>
    <n v="-73.44"/>
    <n v="1873"/>
    <n v="1"/>
    <n v="1"/>
  </r>
  <r>
    <m/>
    <m/>
    <x v="1"/>
    <s v="03303681001001"/>
    <n v="-68.58"/>
    <n v="1749"/>
    <n v="1"/>
    <n v="1"/>
  </r>
  <r>
    <m/>
    <m/>
    <x v="1"/>
    <s v="03425988001004"/>
    <n v="-37.520000000000003"/>
    <n v="957"/>
    <n v="1"/>
    <n v="1"/>
  </r>
  <r>
    <m/>
    <m/>
    <x v="1"/>
    <s v="03527986001008"/>
    <n v="-31.92"/>
    <n v="814"/>
    <n v="1"/>
    <n v="1"/>
  </r>
  <r>
    <m/>
    <m/>
    <x v="1"/>
    <s v="04226765001003"/>
    <n v="-82.65"/>
    <n v="2108"/>
    <n v="1"/>
    <n v="1"/>
  </r>
  <r>
    <m/>
    <m/>
    <x v="1"/>
    <s v="04330395001006"/>
    <n v="-53.21"/>
    <n v="1357"/>
    <n v="1"/>
    <n v="1"/>
  </r>
  <r>
    <m/>
    <m/>
    <x v="1"/>
    <s v="04615660011001"/>
    <n v="-26.82"/>
    <n v="684"/>
    <n v="1"/>
    <n v="1"/>
  </r>
  <r>
    <m/>
    <m/>
    <x v="1"/>
    <s v="04758207001001"/>
    <n v="-31.88"/>
    <n v="813"/>
    <n v="1"/>
    <n v="1"/>
  </r>
  <r>
    <m/>
    <m/>
    <x v="1"/>
    <s v="04813613001001"/>
    <n v="-114.85"/>
    <n v="2929"/>
    <n v="1"/>
    <n v="1"/>
  </r>
  <r>
    <m/>
    <m/>
    <x v="1"/>
    <s v="05077769001001"/>
    <n v="-39.21"/>
    <n v="1000"/>
    <n v="1"/>
    <n v="1"/>
  </r>
  <r>
    <m/>
    <m/>
    <x v="1"/>
    <s v="05266292001004"/>
    <n v="-42.07"/>
    <n v="1073"/>
    <n v="1"/>
    <n v="1"/>
  </r>
  <r>
    <m/>
    <m/>
    <x v="1"/>
    <s v="05424431002001"/>
    <n v="-60.46"/>
    <n v="1542"/>
    <n v="1"/>
    <n v="1"/>
  </r>
  <r>
    <m/>
    <m/>
    <x v="1"/>
    <s v="05467882001001"/>
    <n v="-115.2"/>
    <n v="2938"/>
    <n v="1"/>
    <n v="1"/>
  </r>
  <r>
    <m/>
    <m/>
    <x v="1"/>
    <s v="05489508003005"/>
    <n v="-46.11"/>
    <n v="1176"/>
    <n v="1"/>
    <n v="1"/>
  </r>
  <r>
    <m/>
    <m/>
    <x v="1"/>
    <s v="05608094001001"/>
    <n v="-18.47"/>
    <n v="471"/>
    <n v="1"/>
    <n v="1"/>
  </r>
  <r>
    <m/>
    <m/>
    <x v="1"/>
    <s v="05767750001001"/>
    <n v="-108.61"/>
    <n v="2770"/>
    <n v="1"/>
    <n v="1"/>
  </r>
  <r>
    <m/>
    <m/>
    <x v="1"/>
    <s v="05803986001003"/>
    <n v="-62.42"/>
    <n v="1592"/>
    <n v="1"/>
    <n v="1"/>
  </r>
  <r>
    <m/>
    <m/>
    <x v="1"/>
    <s v="05896822001001"/>
    <n v="-125.82"/>
    <n v="3209"/>
    <n v="1"/>
    <n v="1"/>
  </r>
  <r>
    <m/>
    <m/>
    <x v="1"/>
    <s v="05939875001001"/>
    <n v="-49.44"/>
    <n v="1261"/>
    <n v="1"/>
    <n v="1"/>
  </r>
  <r>
    <m/>
    <m/>
    <x v="1"/>
    <s v="06381309001002"/>
    <n v="-98.73"/>
    <n v="2518"/>
    <n v="1"/>
    <n v="1"/>
  </r>
  <r>
    <m/>
    <m/>
    <x v="1"/>
    <s v="06483393001005"/>
    <n v="-37.520000000000003"/>
    <n v="957"/>
    <n v="1"/>
    <n v="1"/>
  </r>
  <r>
    <m/>
    <m/>
    <x v="1"/>
    <s v="06651048001002"/>
    <n v="-101"/>
    <n v="2576"/>
    <n v="1"/>
    <n v="1"/>
  </r>
  <r>
    <m/>
    <m/>
    <x v="1"/>
    <s v="06815394001001"/>
    <n v="-20.39"/>
    <n v="520"/>
    <n v="1"/>
    <n v="1"/>
  </r>
  <r>
    <m/>
    <m/>
    <x v="1"/>
    <s v="06870862001003"/>
    <n v="-16.23"/>
    <n v="414"/>
    <n v="1"/>
    <n v="1"/>
  </r>
  <r>
    <m/>
    <m/>
    <x v="1"/>
    <s v="07214889002013"/>
    <n v="-80.069999999999993"/>
    <n v="2042"/>
    <n v="1"/>
    <n v="1"/>
  </r>
  <r>
    <m/>
    <m/>
    <x v="1"/>
    <s v="07573474001004"/>
    <n v="-20.23"/>
    <n v="516"/>
    <n v="1"/>
    <n v="1"/>
  </r>
  <r>
    <m/>
    <m/>
    <x v="1"/>
    <s v="07775926001003"/>
    <n v="-79.83"/>
    <n v="2036"/>
    <n v="1"/>
    <n v="1"/>
  </r>
  <r>
    <m/>
    <m/>
    <x v="1"/>
    <s v="07923176001001"/>
    <n v="-75.239999999999995"/>
    <n v="1919"/>
    <n v="1"/>
    <n v="1"/>
  </r>
  <r>
    <m/>
    <m/>
    <x v="1"/>
    <s v="08007689001001"/>
    <n v="-152.63999999999999"/>
    <n v="3893"/>
    <n v="1"/>
    <n v="1"/>
  </r>
  <r>
    <m/>
    <m/>
    <x v="1"/>
    <s v="08067240001001"/>
    <n v="-13.25"/>
    <n v="338"/>
    <n v="1"/>
    <n v="1"/>
  </r>
  <r>
    <m/>
    <m/>
    <x v="1"/>
    <s v="08189439001003"/>
    <n v="-15.21"/>
    <n v="388"/>
    <n v="1"/>
    <n v="1"/>
  </r>
  <r>
    <m/>
    <m/>
    <x v="1"/>
    <s v="08233163001005"/>
    <n v="-53.4"/>
    <n v="1362"/>
    <n v="1"/>
    <n v="1"/>
  </r>
  <r>
    <m/>
    <m/>
    <x v="1"/>
    <s v="08314540001003"/>
    <n v="-40.15"/>
    <n v="1024"/>
    <n v="1"/>
    <n v="1"/>
  </r>
  <r>
    <m/>
    <m/>
    <x v="1"/>
    <s v="08360608001002"/>
    <n v="-68.89"/>
    <n v="1757"/>
    <n v="1"/>
    <n v="1"/>
  </r>
  <r>
    <m/>
    <m/>
    <x v="1"/>
    <s v="08435512001003"/>
    <n v="-58.5"/>
    <n v="1492"/>
    <n v="1"/>
    <n v="1"/>
  </r>
  <r>
    <m/>
    <m/>
    <x v="1"/>
    <s v="08685884001001"/>
    <n v="-8.19"/>
    <n v="209"/>
    <n v="1"/>
    <n v="1"/>
  </r>
  <r>
    <m/>
    <m/>
    <x v="1"/>
    <s v="08851339001001"/>
    <n v="-7.76"/>
    <n v="198"/>
    <n v="1"/>
    <n v="1"/>
  </r>
  <r>
    <m/>
    <m/>
    <x v="1"/>
    <s v="08897151001004"/>
    <n v="-109.08"/>
    <n v="2782"/>
    <n v="1"/>
    <n v="1"/>
  </r>
  <r>
    <m/>
    <m/>
    <x v="1"/>
    <s v="08985850001001"/>
    <n v="-45.25"/>
    <n v="1154"/>
    <n v="1"/>
    <n v="1"/>
  </r>
  <r>
    <m/>
    <m/>
    <x v="1"/>
    <s v="08994743001001"/>
    <n v="-83.95"/>
    <n v="2141"/>
    <n v="1"/>
    <n v="1"/>
  </r>
  <r>
    <m/>
    <m/>
    <x v="1"/>
    <s v="09089643001002"/>
    <n v="-35.049999999999997"/>
    <n v="894"/>
    <n v="1"/>
    <n v="1"/>
  </r>
  <r>
    <m/>
    <m/>
    <x v="1"/>
    <s v="09159151001002"/>
    <n v="-91.12"/>
    <n v="2324"/>
    <n v="1"/>
    <n v="1"/>
  </r>
  <r>
    <m/>
    <m/>
    <x v="1"/>
    <s v="09353338001001"/>
    <n v="-68.3"/>
    <n v="1742"/>
    <n v="1"/>
    <n v="1"/>
  </r>
  <r>
    <m/>
    <m/>
    <x v="1"/>
    <s v="09381479001007"/>
    <n v="-24.04"/>
    <n v="613"/>
    <n v="1"/>
    <n v="1"/>
  </r>
  <r>
    <m/>
    <m/>
    <x v="1"/>
    <s v="09510965001001"/>
    <n v="-55.52"/>
    <n v="1416"/>
    <n v="1"/>
    <n v="1"/>
  </r>
  <r>
    <m/>
    <m/>
    <x v="1"/>
    <s v="09528611001001"/>
    <n v="-28.23"/>
    <n v="720"/>
    <n v="1"/>
    <n v="1"/>
  </r>
  <r>
    <m/>
    <m/>
    <x v="1"/>
    <s v="09912352001004"/>
    <n v="-26.19"/>
    <n v="668"/>
    <n v="1"/>
    <n v="1"/>
  </r>
  <r>
    <m/>
    <m/>
    <x v="1"/>
    <s v="10427012001001"/>
    <n v="-57.52"/>
    <n v="1467"/>
    <n v="1"/>
    <n v="1"/>
  </r>
  <r>
    <m/>
    <m/>
    <x v="1"/>
    <s v="10567153001001"/>
    <n v="-7.57"/>
    <n v="193"/>
    <n v="1"/>
    <n v="1"/>
  </r>
  <r>
    <m/>
    <m/>
    <x v="1"/>
    <s v="10898812001001"/>
    <n v="-11.29"/>
    <n v="288"/>
    <n v="1"/>
    <n v="1"/>
  </r>
  <r>
    <m/>
    <m/>
    <x v="1"/>
    <s v="11073517001005"/>
    <n v="-69.209999999999994"/>
    <n v="1765"/>
    <n v="1"/>
    <n v="1"/>
  </r>
  <r>
    <m/>
    <m/>
    <x v="1"/>
    <s v="11266870001001"/>
    <n v="-10.67"/>
    <n v="272"/>
    <n v="1"/>
    <n v="1"/>
  </r>
  <r>
    <m/>
    <m/>
    <x v="1"/>
    <s v="11284469001003"/>
    <n v="-58.93"/>
    <n v="1503"/>
    <n v="1"/>
    <n v="1"/>
  </r>
  <r>
    <m/>
    <m/>
    <x v="1"/>
    <s v="11380184001001"/>
    <n v="-5.25"/>
    <n v="134"/>
    <n v="1"/>
    <n v="1"/>
  </r>
  <r>
    <m/>
    <m/>
    <x v="1"/>
    <s v="11498623002001"/>
    <n v="-107.55"/>
    <n v="2743"/>
    <n v="1"/>
    <n v="1"/>
  </r>
  <r>
    <m/>
    <m/>
    <x v="1"/>
    <s v="11558237001001"/>
    <n v="-60.54"/>
    <n v="1544"/>
    <n v="1"/>
    <n v="1"/>
  </r>
  <r>
    <m/>
    <m/>
    <x v="1"/>
    <s v="11649874003001"/>
    <n v="-35.01"/>
    <n v="893"/>
    <n v="1"/>
    <n v="1"/>
  </r>
  <r>
    <m/>
    <m/>
    <x v="1"/>
    <s v="11762846001001"/>
    <n v="-44.9"/>
    <n v="1145"/>
    <n v="1"/>
    <n v="1"/>
  </r>
  <r>
    <m/>
    <m/>
    <x v="1"/>
    <s v="11787709001001"/>
    <n v="-83.52"/>
    <n v="2130"/>
    <n v="1"/>
    <n v="1"/>
  </r>
  <r>
    <m/>
    <m/>
    <x v="1"/>
    <s v="11918881001001"/>
    <n v="-22.15"/>
    <n v="565"/>
    <n v="1"/>
    <n v="1"/>
  </r>
  <r>
    <m/>
    <m/>
    <x v="1"/>
    <s v="11968828001003"/>
    <n v="-41.37"/>
    <n v="1055"/>
    <n v="1"/>
    <n v="1"/>
  </r>
  <r>
    <m/>
    <m/>
    <x v="1"/>
    <s v="12157971001001"/>
    <n v="-17.760000000000002"/>
    <n v="453"/>
    <n v="1"/>
    <n v="1"/>
  </r>
  <r>
    <m/>
    <m/>
    <x v="1"/>
    <s v="12325069001003"/>
    <n v="-47.95"/>
    <n v="1223"/>
    <n v="1"/>
    <n v="1"/>
  </r>
  <r>
    <m/>
    <m/>
    <x v="1"/>
    <s v="12421088001004"/>
    <n v="-35.450000000000003"/>
    <n v="904"/>
    <n v="1"/>
    <n v="1"/>
  </r>
  <r>
    <m/>
    <m/>
    <x v="1"/>
    <s v="12591289001004"/>
    <n v="-56.5"/>
    <n v="1441"/>
    <n v="1"/>
    <n v="1"/>
  </r>
  <r>
    <m/>
    <m/>
    <x v="1"/>
    <s v="12677370001003"/>
    <n v="-11.68"/>
    <n v="298"/>
    <n v="1"/>
    <n v="1"/>
  </r>
  <r>
    <m/>
    <m/>
    <x v="1"/>
    <s v="12818134001004"/>
    <n v="-69.44"/>
    <n v="1771"/>
    <n v="1"/>
    <n v="1"/>
  </r>
  <r>
    <m/>
    <m/>
    <x v="1"/>
    <s v="12990985004003"/>
    <n v="-22.23"/>
    <n v="567"/>
    <n v="1"/>
    <n v="1"/>
  </r>
  <r>
    <m/>
    <m/>
    <x v="1"/>
    <s v="13074980001004"/>
    <n v="-15.64"/>
    <n v="399"/>
    <n v="1"/>
    <n v="1"/>
  </r>
  <r>
    <m/>
    <m/>
    <x v="1"/>
    <s v="13150161001001"/>
    <n v="-42.58"/>
    <n v="1086"/>
    <n v="1"/>
    <n v="1"/>
  </r>
  <r>
    <m/>
    <m/>
    <x v="1"/>
    <s v="13653453001001"/>
    <n v="-55.95"/>
    <n v="1427"/>
    <n v="1"/>
    <n v="1"/>
  </r>
  <r>
    <m/>
    <m/>
    <x v="1"/>
    <s v="13661749001003"/>
    <n v="-62.07"/>
    <n v="1583"/>
    <n v="1"/>
    <n v="1"/>
  </r>
  <r>
    <m/>
    <m/>
    <x v="1"/>
    <s v="14250991001001"/>
    <n v="-26.51"/>
    <n v="676"/>
    <n v="1"/>
    <n v="1"/>
  </r>
  <r>
    <m/>
    <m/>
    <x v="1"/>
    <s v="14523509002001"/>
    <n v="-102.46"/>
    <n v="2613"/>
    <n v="1"/>
    <n v="1"/>
  </r>
  <r>
    <m/>
    <m/>
    <x v="1"/>
    <s v="14550816001001"/>
    <n v="-54.82"/>
    <n v="1398"/>
    <n v="1"/>
    <n v="1"/>
  </r>
  <r>
    <m/>
    <m/>
    <x v="1"/>
    <s v="14612915001001"/>
    <n v="-67.75"/>
    <n v="1728"/>
    <n v="1"/>
    <n v="1"/>
  </r>
  <r>
    <m/>
    <m/>
    <x v="1"/>
    <s v="14864623004003"/>
    <n v="-17.68"/>
    <n v="451"/>
    <n v="1"/>
    <n v="1"/>
  </r>
  <r>
    <m/>
    <m/>
    <x v="1"/>
    <s v="14880751002003"/>
    <n v="-52.46"/>
    <n v="1338"/>
    <n v="1"/>
    <n v="1"/>
  </r>
  <r>
    <m/>
    <m/>
    <x v="1"/>
    <s v="14884998001013"/>
    <n v="-29.45"/>
    <n v="751"/>
    <n v="1"/>
    <n v="1"/>
  </r>
  <r>
    <m/>
    <m/>
    <x v="1"/>
    <s v="14969179001001"/>
    <n v="-11.02"/>
    <n v="281"/>
    <n v="1"/>
    <n v="1"/>
  </r>
  <r>
    <m/>
    <m/>
    <x v="1"/>
    <s v="14986800001003"/>
    <n v="-74.7"/>
    <n v="1905"/>
    <n v="1"/>
    <n v="1"/>
  </r>
  <r>
    <m/>
    <m/>
    <x v="1"/>
    <s v="15120810001001"/>
    <n v="-16.079999999999998"/>
    <n v="410"/>
    <n v="1"/>
    <n v="1"/>
  </r>
  <r>
    <m/>
    <m/>
    <x v="1"/>
    <s v="15125902001003"/>
    <n v="-61.6"/>
    <n v="1571"/>
    <n v="1"/>
    <n v="1"/>
  </r>
  <r>
    <m/>
    <m/>
    <x v="1"/>
    <s v="15197163001001"/>
    <n v="-32.619999999999997"/>
    <n v="832"/>
    <n v="1"/>
    <n v="1"/>
  </r>
  <r>
    <m/>
    <m/>
    <x v="1"/>
    <s v="15210168001005"/>
    <n v="-114.89"/>
    <n v="2930"/>
    <n v="1"/>
    <n v="1"/>
  </r>
  <r>
    <m/>
    <m/>
    <x v="1"/>
    <s v="15429562002003"/>
    <n v="-71.48"/>
    <n v="1823"/>
    <n v="1"/>
    <n v="1"/>
  </r>
  <r>
    <m/>
    <m/>
    <x v="1"/>
    <s v="15522534001001"/>
    <n v="-8.0399999999999991"/>
    <n v="205"/>
    <n v="1"/>
    <n v="1"/>
  </r>
  <r>
    <m/>
    <m/>
    <x v="1"/>
    <s v="15572981001001"/>
    <n v="-45.37"/>
    <n v="1157"/>
    <n v="1"/>
    <n v="1"/>
  </r>
  <r>
    <m/>
    <m/>
    <x v="1"/>
    <s v="16000002001005"/>
    <n v="-51.44"/>
    <n v="1312"/>
    <n v="1"/>
    <n v="1"/>
  </r>
  <r>
    <m/>
    <m/>
    <x v="1"/>
    <s v="16208723002001"/>
    <n v="-60.66"/>
    <n v="1547"/>
    <n v="1"/>
    <n v="1"/>
  </r>
  <r>
    <m/>
    <m/>
    <x v="1"/>
    <s v="16222691001005"/>
    <n v="-68.89"/>
    <n v="1757"/>
    <n v="1"/>
    <n v="1"/>
  </r>
  <r>
    <m/>
    <m/>
    <x v="1"/>
    <s v="16268790001003"/>
    <n v="-52.54"/>
    <n v="1340"/>
    <n v="1"/>
    <n v="1"/>
  </r>
  <r>
    <m/>
    <m/>
    <x v="1"/>
    <s v="16343113001003"/>
    <n v="-57.76"/>
    <n v="1473"/>
    <n v="1"/>
    <n v="1"/>
  </r>
  <r>
    <m/>
    <m/>
    <x v="1"/>
    <s v="16349724001001"/>
    <n v="-1.88"/>
    <n v="48"/>
    <n v="1"/>
    <n v="1"/>
  </r>
  <r>
    <m/>
    <m/>
    <x v="1"/>
    <s v="16414586003001"/>
    <n v="-42.9"/>
    <n v="1094"/>
    <n v="1"/>
    <n v="1"/>
  </r>
  <r>
    <m/>
    <m/>
    <x v="1"/>
    <s v="16474562001006"/>
    <n v="-40.19"/>
    <n v="1025"/>
    <n v="1"/>
    <n v="1"/>
  </r>
  <r>
    <m/>
    <m/>
    <x v="1"/>
    <s v="16483184001001"/>
    <n v="-20.78"/>
    <n v="530"/>
    <n v="1"/>
    <n v="1"/>
  </r>
  <r>
    <m/>
    <m/>
    <x v="1"/>
    <s v="16578645001005"/>
    <n v="-34.229999999999997"/>
    <n v="873"/>
    <n v="1"/>
    <n v="1"/>
  </r>
  <r>
    <m/>
    <m/>
    <x v="1"/>
    <s v="16614801002003"/>
    <n v="-95.2"/>
    <n v="2428"/>
    <n v="1"/>
    <n v="1"/>
  </r>
  <r>
    <m/>
    <m/>
    <x v="1"/>
    <s v="16878925001003"/>
    <n v="-133.08000000000001"/>
    <n v="3394"/>
    <n v="1"/>
    <n v="1"/>
  </r>
  <r>
    <m/>
    <m/>
    <x v="1"/>
    <s v="16947410001002"/>
    <n v="-73.87"/>
    <n v="1884"/>
    <n v="1"/>
    <n v="1"/>
  </r>
  <r>
    <m/>
    <m/>
    <x v="1"/>
    <s v="17143195002001"/>
    <n v="-87.32"/>
    <n v="2227"/>
    <n v="1"/>
    <n v="1"/>
  </r>
  <r>
    <m/>
    <m/>
    <x v="1"/>
    <s v="17146839001001"/>
    <n v="-44.78"/>
    <n v="1142"/>
    <n v="1"/>
    <n v="1"/>
  </r>
  <r>
    <m/>
    <m/>
    <x v="1"/>
    <s v="17479759004002"/>
    <n v="-86.69"/>
    <n v="2211"/>
    <n v="1"/>
    <n v="1"/>
  </r>
  <r>
    <m/>
    <m/>
    <x v="1"/>
    <s v="17540542001001"/>
    <n v="-103.75"/>
    <n v="2646"/>
    <n v="1"/>
    <n v="1"/>
  </r>
  <r>
    <m/>
    <m/>
    <x v="1"/>
    <s v="17724609001006"/>
    <n v="-57.99"/>
    <n v="1479"/>
    <n v="1"/>
    <n v="1"/>
  </r>
  <r>
    <m/>
    <m/>
    <x v="1"/>
    <s v="17773522002001"/>
    <n v="-57.87"/>
    <n v="1476"/>
    <n v="1"/>
    <n v="1"/>
  </r>
  <r>
    <m/>
    <m/>
    <x v="1"/>
    <s v="17785645002001"/>
    <n v="-56.07"/>
    <n v="1430"/>
    <n v="1"/>
    <n v="1"/>
  </r>
  <r>
    <m/>
    <m/>
    <x v="1"/>
    <s v="17953292001001"/>
    <n v="-44.11"/>
    <n v="1125"/>
    <n v="1"/>
    <n v="1"/>
  </r>
  <r>
    <m/>
    <m/>
    <x v="1"/>
    <s v="18165838001002"/>
    <n v="-41.33"/>
    <n v="1054"/>
    <n v="1"/>
    <n v="1"/>
  </r>
  <r>
    <m/>
    <m/>
    <x v="1"/>
    <s v="18557213001004"/>
    <n v="-42.97"/>
    <n v="1096"/>
    <n v="1"/>
    <n v="1"/>
  </r>
  <r>
    <m/>
    <m/>
    <x v="1"/>
    <s v="18634519001001"/>
    <n v="-37.450000000000003"/>
    <n v="955"/>
    <n v="1"/>
    <n v="1"/>
  </r>
  <r>
    <m/>
    <m/>
    <x v="1"/>
    <s v="18802755001007"/>
    <n v="-58.34"/>
    <n v="1488"/>
    <n v="1"/>
    <n v="1"/>
  </r>
  <r>
    <m/>
    <m/>
    <x v="1"/>
    <s v="18996093002001"/>
    <n v="-109.67"/>
    <n v="2797"/>
    <n v="1"/>
    <n v="1"/>
  </r>
  <r>
    <m/>
    <m/>
    <x v="1"/>
    <s v="19003606001001"/>
    <n v="-12.55"/>
    <n v="320"/>
    <n v="1"/>
    <n v="1"/>
  </r>
  <r>
    <m/>
    <m/>
    <x v="1"/>
    <s v="19009803001003"/>
    <n v="-30.51"/>
    <n v="778"/>
    <n v="1"/>
    <n v="1"/>
  </r>
  <r>
    <m/>
    <m/>
    <x v="1"/>
    <s v="19345185001001"/>
    <n v="-59.09"/>
    <n v="1507"/>
    <n v="1"/>
    <n v="1"/>
  </r>
  <r>
    <m/>
    <m/>
    <x v="1"/>
    <s v="19857581001001"/>
    <n v="-23.76"/>
    <n v="606"/>
    <n v="1"/>
    <n v="1"/>
  </r>
  <r>
    <m/>
    <m/>
    <x v="1"/>
    <s v="19922627001001"/>
    <n v="-112.49"/>
    <n v="2869"/>
    <n v="1"/>
    <n v="1"/>
  </r>
  <r>
    <m/>
    <m/>
    <x v="1"/>
    <s v="20021948002001"/>
    <n v="-97.55"/>
    <n v="2488"/>
    <n v="1"/>
    <n v="1"/>
  </r>
  <r>
    <m/>
    <m/>
    <x v="1"/>
    <s v="20135004001001"/>
    <n v="-11.17"/>
    <n v="285"/>
    <n v="1"/>
    <n v="1"/>
  </r>
  <r>
    <m/>
    <m/>
    <x v="1"/>
    <s v="20242520001001"/>
    <n v="-26.07"/>
    <n v="665"/>
    <n v="1"/>
    <n v="1"/>
  </r>
  <r>
    <m/>
    <m/>
    <x v="1"/>
    <s v="20373554001003"/>
    <n v="-71.48"/>
    <n v="1823"/>
    <n v="1"/>
    <n v="1"/>
  </r>
  <r>
    <m/>
    <m/>
    <x v="1"/>
    <s v="20449624001007"/>
    <n v="-8.43"/>
    <n v="215"/>
    <n v="1"/>
    <n v="1"/>
  </r>
  <r>
    <m/>
    <m/>
    <x v="1"/>
    <s v="20542360001003"/>
    <n v="-29.8"/>
    <n v="760"/>
    <n v="1"/>
    <n v="1"/>
  </r>
  <r>
    <m/>
    <m/>
    <x v="1"/>
    <s v="20683934001002"/>
    <n v="-61.05"/>
    <n v="1557"/>
    <n v="1"/>
    <n v="1"/>
  </r>
  <r>
    <m/>
    <m/>
    <x v="1"/>
    <s v="20806802001001"/>
    <n v="-59.01"/>
    <n v="1505"/>
    <n v="1"/>
    <n v="1"/>
  </r>
  <r>
    <m/>
    <m/>
    <x v="1"/>
    <s v="21033205001006"/>
    <n v="-13.25"/>
    <n v="338"/>
    <n v="1"/>
    <n v="1"/>
  </r>
  <r>
    <m/>
    <m/>
    <x v="1"/>
    <s v="21046205001001"/>
    <n v="-5.69"/>
    <n v="145"/>
    <n v="1"/>
    <n v="1"/>
  </r>
  <r>
    <m/>
    <m/>
    <x v="1"/>
    <s v="21125964001008"/>
    <n v="-5.8"/>
    <n v="148"/>
    <n v="1"/>
    <n v="1"/>
  </r>
  <r>
    <m/>
    <m/>
    <x v="1"/>
    <s v="21330324001003"/>
    <n v="-22.43"/>
    <n v="572"/>
    <n v="1"/>
    <n v="1"/>
  </r>
  <r>
    <m/>
    <m/>
    <x v="1"/>
    <s v="21429755001006"/>
    <n v="-13.02"/>
    <n v="332"/>
    <n v="1"/>
    <n v="1"/>
  </r>
  <r>
    <m/>
    <m/>
    <x v="1"/>
    <s v="21809926001003"/>
    <n v="-32.270000000000003"/>
    <n v="823"/>
    <n v="1"/>
    <n v="1"/>
  </r>
  <r>
    <m/>
    <m/>
    <x v="1"/>
    <s v="21820617001003"/>
    <n v="-34.74"/>
    <n v="886"/>
    <n v="1"/>
    <n v="1"/>
  </r>
  <r>
    <m/>
    <m/>
    <x v="1"/>
    <s v="21943625001001"/>
    <n v="-28.66"/>
    <n v="731"/>
    <n v="1"/>
    <n v="1"/>
  </r>
  <r>
    <m/>
    <m/>
    <x v="1"/>
    <s v="21995120001004"/>
    <n v="-29.84"/>
    <n v="761"/>
    <n v="1"/>
    <n v="1"/>
  </r>
  <r>
    <m/>
    <m/>
    <x v="1"/>
    <s v="22050356001004"/>
    <n v="-9.9600000000000009"/>
    <n v="254"/>
    <n v="1"/>
    <n v="1"/>
  </r>
  <r>
    <m/>
    <m/>
    <x v="1"/>
    <s v="22305793001002"/>
    <n v="-60.74"/>
    <n v="1549"/>
    <n v="1"/>
    <n v="1"/>
  </r>
  <r>
    <m/>
    <m/>
    <x v="1"/>
    <s v="22380133001001"/>
    <n v="-73.599999999999994"/>
    <n v="1877"/>
    <n v="1"/>
    <n v="1"/>
  </r>
  <r>
    <m/>
    <m/>
    <x v="1"/>
    <s v="22426919001001"/>
    <n v="-32.659999999999997"/>
    <n v="833"/>
    <n v="1"/>
    <n v="1"/>
  </r>
  <r>
    <m/>
    <m/>
    <x v="1"/>
    <s v="22617306001001"/>
    <n v="-43.6"/>
    <n v="1112"/>
    <n v="1"/>
    <n v="1"/>
  </r>
  <r>
    <m/>
    <m/>
    <x v="1"/>
    <s v="22675655001001"/>
    <n v="-43.33"/>
    <n v="1105"/>
    <n v="1"/>
    <n v="1"/>
  </r>
  <r>
    <m/>
    <m/>
    <x v="1"/>
    <s v="22784555001001"/>
    <n v="-46.78"/>
    <n v="1193"/>
    <n v="1"/>
    <n v="1"/>
  </r>
  <r>
    <m/>
    <m/>
    <x v="1"/>
    <s v="22793293001002"/>
    <n v="-12.86"/>
    <n v="328"/>
    <n v="1"/>
    <n v="1"/>
  </r>
  <r>
    <m/>
    <m/>
    <x v="1"/>
    <s v="23045379001003"/>
    <n v="-37.6"/>
    <n v="959"/>
    <n v="1"/>
    <n v="1"/>
  </r>
  <r>
    <m/>
    <m/>
    <x v="1"/>
    <s v="23201827004001"/>
    <n v="-12.19"/>
    <n v="311"/>
    <n v="1"/>
    <n v="1"/>
  </r>
  <r>
    <m/>
    <m/>
    <x v="1"/>
    <s v="23403071001003"/>
    <n v="-7.84"/>
    <n v="200"/>
    <n v="1"/>
    <n v="1"/>
  </r>
  <r>
    <m/>
    <m/>
    <x v="1"/>
    <s v="23407345001003"/>
    <n v="-33.29"/>
    <n v="849"/>
    <n v="1"/>
    <n v="1"/>
  </r>
  <r>
    <m/>
    <m/>
    <x v="1"/>
    <s v="23427190001001"/>
    <n v="-42.7"/>
    <n v="1089"/>
    <n v="1"/>
    <n v="1"/>
  </r>
  <r>
    <m/>
    <m/>
    <x v="1"/>
    <s v="23460450001003"/>
    <n v="-4.71"/>
    <n v="120"/>
    <n v="1"/>
    <n v="1"/>
  </r>
  <r>
    <m/>
    <m/>
    <x v="1"/>
    <s v="23460849001003"/>
    <n v="-41.84"/>
    <n v="1067"/>
    <n v="1"/>
    <n v="1"/>
  </r>
  <r>
    <m/>
    <m/>
    <x v="1"/>
    <s v="23535049001001"/>
    <n v="-31.8"/>
    <n v="811"/>
    <n v="1"/>
    <n v="1"/>
  </r>
  <r>
    <m/>
    <m/>
    <x v="1"/>
    <s v="23582904002001"/>
    <n v="-31.41"/>
    <n v="801"/>
    <n v="1"/>
    <n v="1"/>
  </r>
  <r>
    <m/>
    <m/>
    <x v="1"/>
    <s v="23857343001001"/>
    <n v="-36.58"/>
    <n v="933"/>
    <n v="1"/>
    <n v="1"/>
  </r>
  <r>
    <m/>
    <m/>
    <x v="1"/>
    <s v="23863133001011"/>
    <n v="-31.76"/>
    <n v="810"/>
    <n v="1"/>
    <n v="1"/>
  </r>
  <r>
    <m/>
    <m/>
    <x v="1"/>
    <s v="23890949001001"/>
    <n v="-15.84"/>
    <n v="404"/>
    <n v="1"/>
    <n v="1"/>
  </r>
  <r>
    <m/>
    <m/>
    <x v="1"/>
    <s v="23938269001003"/>
    <n v="-36.78"/>
    <n v="938"/>
    <n v="1"/>
    <n v="1"/>
  </r>
  <r>
    <m/>
    <m/>
    <x v="1"/>
    <s v="24288214001005"/>
    <n v="-58.34"/>
    <n v="1488"/>
    <n v="1"/>
    <n v="1"/>
  </r>
  <r>
    <m/>
    <m/>
    <x v="1"/>
    <s v="24291697001001"/>
    <n v="-74.58"/>
    <n v="1902"/>
    <n v="1"/>
    <n v="1"/>
  </r>
  <r>
    <m/>
    <m/>
    <x v="1"/>
    <s v="24369303001001"/>
    <n v="-64.069999999999993"/>
    <n v="1634"/>
    <n v="1"/>
    <n v="1"/>
  </r>
  <r>
    <m/>
    <m/>
    <x v="1"/>
    <s v="24471043001004"/>
    <n v="-64.38"/>
    <n v="1642"/>
    <n v="1"/>
    <n v="1"/>
  </r>
  <r>
    <m/>
    <m/>
    <x v="1"/>
    <s v="24488041001003"/>
    <n v="-2.12"/>
    <n v="54"/>
    <n v="1"/>
    <n v="1"/>
  </r>
  <r>
    <m/>
    <m/>
    <x v="1"/>
    <s v="24516542001001"/>
    <n v="-11.02"/>
    <n v="281"/>
    <n v="1"/>
    <n v="1"/>
  </r>
  <r>
    <m/>
    <m/>
    <x v="1"/>
    <s v="24516542001006"/>
    <n v="-9.18"/>
    <n v="234"/>
    <n v="1"/>
    <n v="1"/>
  </r>
  <r>
    <m/>
    <m/>
    <x v="1"/>
    <s v="24533539006003"/>
    <n v="-32.51"/>
    <n v="829"/>
    <n v="1"/>
    <n v="1"/>
  </r>
  <r>
    <m/>
    <m/>
    <x v="1"/>
    <s v="24743896001001"/>
    <n v="-53.29"/>
    <n v="1359"/>
    <n v="1"/>
    <n v="1"/>
  </r>
  <r>
    <m/>
    <m/>
    <x v="1"/>
    <s v="24785101001002"/>
    <n v="-75.87"/>
    <n v="1935"/>
    <n v="1"/>
    <n v="1"/>
  </r>
  <r>
    <m/>
    <m/>
    <x v="1"/>
    <s v="24901880001001"/>
    <n v="-70.260000000000005"/>
    <n v="1792"/>
    <n v="1"/>
    <n v="1"/>
  </r>
  <r>
    <m/>
    <m/>
    <x v="1"/>
    <s v="24992881001001"/>
    <n v="-90.26"/>
    <n v="2302"/>
    <n v="1"/>
    <n v="1"/>
  </r>
  <r>
    <m/>
    <m/>
    <x v="1"/>
    <s v="25133485004003"/>
    <n v="-122.3"/>
    <n v="3119"/>
    <n v="1"/>
    <n v="1"/>
  </r>
  <r>
    <m/>
    <m/>
    <x v="1"/>
    <s v="25266054001002"/>
    <n v="-83.32"/>
    <n v="2125"/>
    <n v="1"/>
    <n v="1"/>
  </r>
  <r>
    <m/>
    <m/>
    <x v="1"/>
    <s v="25302590001001"/>
    <n v="-35.29"/>
    <n v="900"/>
    <n v="1"/>
    <n v="1"/>
  </r>
  <r>
    <m/>
    <m/>
    <x v="1"/>
    <s v="25577769001001"/>
    <n v="-17.45"/>
    <n v="445"/>
    <n v="1"/>
    <n v="1"/>
  </r>
  <r>
    <m/>
    <m/>
    <x v="1"/>
    <s v="25780799001001"/>
    <n v="-45.21"/>
    <n v="1153"/>
    <n v="1"/>
    <n v="1"/>
  </r>
  <r>
    <m/>
    <m/>
    <x v="1"/>
    <s v="25919981001003"/>
    <n v="-23.76"/>
    <n v="606"/>
    <n v="1"/>
    <n v="1"/>
  </r>
  <r>
    <m/>
    <m/>
    <x v="1"/>
    <s v="26133946001003"/>
    <n v="-86.3"/>
    <n v="2201"/>
    <n v="1"/>
    <n v="1"/>
  </r>
  <r>
    <m/>
    <m/>
    <x v="1"/>
    <s v="26300310001002"/>
    <n v="-13.45"/>
    <n v="343"/>
    <n v="1"/>
    <n v="1"/>
  </r>
  <r>
    <m/>
    <m/>
    <x v="1"/>
    <s v="26406770002001"/>
    <n v="-81.790000000000006"/>
    <n v="2086"/>
    <n v="1"/>
    <n v="1"/>
  </r>
  <r>
    <m/>
    <m/>
    <x v="1"/>
    <s v="26425910001010"/>
    <n v="-2.04"/>
    <n v="52"/>
    <n v="1"/>
    <n v="1"/>
  </r>
  <r>
    <m/>
    <m/>
    <x v="1"/>
    <s v="26449890001003"/>
    <n v="-17.53"/>
    <n v="447"/>
    <n v="1"/>
    <n v="1"/>
  </r>
  <r>
    <m/>
    <m/>
    <x v="1"/>
    <s v="26564429001001"/>
    <n v="-7.1"/>
    <n v="181"/>
    <n v="1"/>
    <n v="1"/>
  </r>
  <r>
    <m/>
    <m/>
    <x v="1"/>
    <s v="26574451002003"/>
    <n v="-156.76"/>
    <n v="3998"/>
    <n v="1"/>
    <n v="1"/>
  </r>
  <r>
    <m/>
    <m/>
    <x v="1"/>
    <s v="26826704001001"/>
    <n v="-78.5"/>
    <n v="2002"/>
    <n v="1"/>
    <n v="1"/>
  </r>
  <r>
    <m/>
    <m/>
    <x v="1"/>
    <s v="26832624001007"/>
    <n v="-38.19"/>
    <n v="974"/>
    <n v="1"/>
    <n v="1"/>
  </r>
  <r>
    <m/>
    <m/>
    <x v="1"/>
    <s v="26917575001001"/>
    <n v="-121.75"/>
    <n v="3105"/>
    <n v="1"/>
    <n v="1"/>
  </r>
  <r>
    <m/>
    <m/>
    <x v="1"/>
    <s v="27004406002001"/>
    <n v="-31.09"/>
    <n v="793"/>
    <n v="1"/>
    <n v="1"/>
  </r>
  <r>
    <m/>
    <m/>
    <x v="1"/>
    <s v="27035079002007"/>
    <n v="-37.369999999999997"/>
    <n v="953"/>
    <n v="1"/>
    <n v="1"/>
  </r>
  <r>
    <m/>
    <m/>
    <x v="1"/>
    <s v="27356342001008"/>
    <n v="-38.82"/>
    <n v="990"/>
    <n v="1"/>
    <n v="1"/>
  </r>
  <r>
    <m/>
    <m/>
    <x v="1"/>
    <s v="27612583002003"/>
    <n v="-132.06"/>
    <n v="3368"/>
    <n v="1"/>
    <n v="1"/>
  </r>
  <r>
    <m/>
    <m/>
    <x v="1"/>
    <s v="27708255007001"/>
    <n v="-39.049999999999997"/>
    <n v="996"/>
    <n v="1"/>
    <n v="1"/>
  </r>
  <r>
    <m/>
    <m/>
    <x v="1"/>
    <s v="27943716001001"/>
    <n v="-19.760000000000002"/>
    <n v="504"/>
    <n v="1"/>
    <n v="1"/>
  </r>
  <r>
    <m/>
    <m/>
    <x v="1"/>
    <s v="28014351004010"/>
    <n v="-28.47"/>
    <n v="726"/>
    <n v="1"/>
    <n v="1"/>
  </r>
  <r>
    <m/>
    <m/>
    <x v="1"/>
    <s v="28085146002003"/>
    <n v="-115.4"/>
    <n v="2943"/>
    <n v="1"/>
    <n v="1"/>
  </r>
  <r>
    <m/>
    <m/>
    <x v="1"/>
    <s v="28099314001001"/>
    <n v="-14.47"/>
    <n v="369"/>
    <n v="1"/>
    <n v="1"/>
  </r>
  <r>
    <m/>
    <m/>
    <x v="1"/>
    <s v="28330708001001"/>
    <n v="-73.28"/>
    <n v="1869"/>
    <n v="1"/>
    <n v="1"/>
  </r>
  <r>
    <m/>
    <m/>
    <x v="1"/>
    <s v="28430533001001"/>
    <n v="-30.78"/>
    <n v="785"/>
    <n v="1"/>
    <n v="1"/>
  </r>
  <r>
    <m/>
    <m/>
    <x v="1"/>
    <s v="28452386002001"/>
    <n v="-57.68"/>
    <n v="1471"/>
    <n v="1"/>
    <n v="1"/>
  </r>
  <r>
    <m/>
    <m/>
    <x v="1"/>
    <s v="28758621002008"/>
    <n v="-109.2"/>
    <n v="2785"/>
    <n v="1"/>
    <n v="1"/>
  </r>
  <r>
    <m/>
    <m/>
    <x v="1"/>
    <s v="28950576001002"/>
    <n v="-29.68"/>
    <n v="757"/>
    <n v="1"/>
    <n v="1"/>
  </r>
  <r>
    <m/>
    <m/>
    <x v="1"/>
    <s v="28959951001001"/>
    <n v="-106.38"/>
    <n v="2713"/>
    <n v="1"/>
    <n v="1"/>
  </r>
  <r>
    <m/>
    <m/>
    <x v="1"/>
    <s v="29196761001004"/>
    <n v="-80.22"/>
    <n v="2046"/>
    <n v="1"/>
    <n v="1"/>
  </r>
  <r>
    <m/>
    <m/>
    <x v="1"/>
    <s v="29219744003001"/>
    <n v="-32.82"/>
    <n v="837"/>
    <n v="1"/>
    <n v="1"/>
  </r>
  <r>
    <m/>
    <m/>
    <x v="1"/>
    <s v="29225864001003"/>
    <n v="-58.97"/>
    <n v="1504"/>
    <n v="1"/>
    <n v="1"/>
  </r>
  <r>
    <m/>
    <m/>
    <x v="1"/>
    <s v="29365356001002"/>
    <n v="-65.91"/>
    <n v="1681"/>
    <n v="1"/>
    <n v="1"/>
  </r>
  <r>
    <m/>
    <m/>
    <x v="1"/>
    <s v="29374050001001"/>
    <n v="-40.86"/>
    <n v="1042"/>
    <n v="1"/>
    <n v="1"/>
  </r>
  <r>
    <m/>
    <m/>
    <x v="1"/>
    <s v="29403974001002"/>
    <n v="-42.31"/>
    <n v="1079"/>
    <n v="1"/>
    <n v="1"/>
  </r>
  <r>
    <m/>
    <m/>
    <x v="1"/>
    <s v="29448259001002"/>
    <n v="-39.68"/>
    <n v="1012"/>
    <n v="1"/>
    <n v="1"/>
  </r>
  <r>
    <m/>
    <m/>
    <x v="1"/>
    <s v="29577821001001"/>
    <n v="-42.7"/>
    <n v="1089"/>
    <n v="1"/>
    <n v="1"/>
  </r>
  <r>
    <m/>
    <m/>
    <x v="1"/>
    <s v="29629435002003"/>
    <n v="-54.82"/>
    <n v="1398"/>
    <n v="1"/>
    <n v="1"/>
  </r>
  <r>
    <m/>
    <m/>
    <x v="1"/>
    <s v="29971660001004"/>
    <n v="-44.82"/>
    <n v="1143"/>
    <n v="1"/>
    <n v="1"/>
  </r>
  <r>
    <m/>
    <m/>
    <x v="1"/>
    <s v="30240552001001"/>
    <n v="-34.31"/>
    <n v="875"/>
    <n v="1"/>
    <n v="1"/>
  </r>
  <r>
    <m/>
    <m/>
    <x v="1"/>
    <s v="30325264001001"/>
    <n v="-92.61"/>
    <n v="2362"/>
    <n v="1"/>
    <n v="1"/>
  </r>
  <r>
    <m/>
    <m/>
    <x v="1"/>
    <s v="30370464002001"/>
    <n v="-121.55"/>
    <n v="3100"/>
    <n v="1"/>
    <n v="1"/>
  </r>
  <r>
    <m/>
    <m/>
    <x v="1"/>
    <s v="30405921001003"/>
    <n v="-48.82"/>
    <n v="1245"/>
    <n v="1"/>
    <n v="1"/>
  </r>
  <r>
    <m/>
    <m/>
    <x v="1"/>
    <s v="30757590002002"/>
    <n v="-92.89"/>
    <n v="2369"/>
    <n v="1"/>
    <n v="1"/>
  </r>
  <r>
    <m/>
    <m/>
    <x v="1"/>
    <s v="30816545001001"/>
    <n v="-87.95"/>
    <n v="2243"/>
    <n v="1"/>
    <n v="1"/>
  </r>
  <r>
    <m/>
    <m/>
    <x v="1"/>
    <s v="30889982001011"/>
    <n v="-78.180000000000007"/>
    <n v="1994"/>
    <n v="1"/>
    <n v="1"/>
  </r>
  <r>
    <m/>
    <m/>
    <x v="1"/>
    <s v="30947723001004"/>
    <n v="-75.91"/>
    <n v="1936"/>
    <n v="1"/>
    <n v="1"/>
  </r>
  <r>
    <m/>
    <m/>
    <x v="1"/>
    <s v="31180821001001"/>
    <n v="-64.38"/>
    <n v="1642"/>
    <n v="1"/>
    <n v="1"/>
  </r>
  <r>
    <m/>
    <m/>
    <x v="1"/>
    <s v="31347134001001"/>
    <n v="-30.03"/>
    <n v="766"/>
    <n v="1"/>
    <n v="1"/>
  </r>
  <r>
    <m/>
    <m/>
    <x v="1"/>
    <s v="31555689001001"/>
    <n v="-14"/>
    <n v="357"/>
    <n v="1"/>
    <n v="1"/>
  </r>
  <r>
    <m/>
    <m/>
    <x v="1"/>
    <s v="31608000001004"/>
    <n v="-49.52"/>
    <n v="1263"/>
    <n v="1"/>
    <n v="1"/>
  </r>
  <r>
    <m/>
    <m/>
    <x v="1"/>
    <s v="31611013002002"/>
    <n v="-2.98"/>
    <n v="76"/>
    <n v="1"/>
    <n v="1"/>
  </r>
  <r>
    <m/>
    <m/>
    <x v="1"/>
    <s v="31685952001001"/>
    <n v="-130.80000000000001"/>
    <n v="3336"/>
    <n v="1"/>
    <n v="1"/>
  </r>
  <r>
    <m/>
    <m/>
    <x v="1"/>
    <s v="31781301001003"/>
    <n v="-173.94"/>
    <n v="4436"/>
    <n v="1"/>
    <n v="1"/>
  </r>
  <r>
    <m/>
    <m/>
    <x v="1"/>
    <s v="31833646004004"/>
    <n v="-131.04"/>
    <n v="3342"/>
    <n v="1"/>
    <n v="1"/>
  </r>
  <r>
    <m/>
    <m/>
    <x v="1"/>
    <s v="31854579001001"/>
    <n v="-5.57"/>
    <n v="142"/>
    <n v="1"/>
    <n v="1"/>
  </r>
  <r>
    <m/>
    <m/>
    <x v="1"/>
    <s v="31987952001001"/>
    <n v="-18.739999999999998"/>
    <n v="478"/>
    <n v="1"/>
    <n v="1"/>
  </r>
  <r>
    <m/>
    <m/>
    <x v="1"/>
    <s v="31991405001001"/>
    <n v="-132.91999999999999"/>
    <n v="3390"/>
    <n v="1"/>
    <n v="1"/>
  </r>
  <r>
    <m/>
    <m/>
    <x v="1"/>
    <s v="32003969001001"/>
    <n v="-35.450000000000003"/>
    <n v="904"/>
    <n v="1"/>
    <n v="1"/>
  </r>
  <r>
    <m/>
    <m/>
    <x v="1"/>
    <s v="32085084001001"/>
    <n v="-61.79"/>
    <n v="1576"/>
    <n v="1"/>
    <n v="1"/>
  </r>
  <r>
    <m/>
    <m/>
    <x v="1"/>
    <s v="32202242001001"/>
    <n v="-11.61"/>
    <n v="296"/>
    <n v="1"/>
    <n v="1"/>
  </r>
  <r>
    <m/>
    <m/>
    <x v="1"/>
    <s v="32401108001005"/>
    <n v="-4.51"/>
    <n v="115"/>
    <n v="1"/>
    <n v="1"/>
  </r>
  <r>
    <m/>
    <m/>
    <x v="1"/>
    <s v="32610278001004"/>
    <n v="-18.62"/>
    <n v="475"/>
    <n v="1"/>
    <n v="1"/>
  </r>
  <r>
    <m/>
    <m/>
    <x v="1"/>
    <s v="32750874002001"/>
    <n v="-80.459999999999994"/>
    <n v="2052"/>
    <n v="1"/>
    <n v="1"/>
  </r>
  <r>
    <m/>
    <m/>
    <x v="1"/>
    <s v="33066711002006"/>
    <n v="-54.35"/>
    <n v="1386"/>
    <n v="1"/>
    <n v="1"/>
  </r>
  <r>
    <m/>
    <m/>
    <x v="1"/>
    <s v="33642246001005"/>
    <n v="-41.09"/>
    <n v="1048"/>
    <n v="1"/>
    <n v="1"/>
  </r>
  <r>
    <m/>
    <m/>
    <x v="1"/>
    <s v="33687453001001"/>
    <n v="-82.11"/>
    <n v="2094"/>
    <n v="1"/>
    <n v="1"/>
  </r>
  <r>
    <m/>
    <m/>
    <x v="1"/>
    <s v="33829956002003"/>
    <n v="-53.87"/>
    <n v="1374"/>
    <n v="1"/>
    <n v="1"/>
  </r>
  <r>
    <m/>
    <m/>
    <x v="1"/>
    <s v="33910067001003"/>
    <n v="-74.89"/>
    <n v="1910"/>
    <n v="1"/>
    <n v="1"/>
  </r>
  <r>
    <m/>
    <m/>
    <x v="1"/>
    <s v="34080235001002"/>
    <n v="-37.049999999999997"/>
    <n v="945"/>
    <n v="1"/>
    <n v="1"/>
  </r>
  <r>
    <m/>
    <m/>
    <x v="1"/>
    <s v="34160604001001"/>
    <n v="-44.66"/>
    <n v="1139"/>
    <n v="1"/>
    <n v="1"/>
  </r>
  <r>
    <m/>
    <m/>
    <x v="1"/>
    <s v="34571678001001"/>
    <n v="-41.6"/>
    <n v="1061"/>
    <n v="1"/>
    <n v="1"/>
  </r>
  <r>
    <m/>
    <m/>
    <x v="1"/>
    <s v="34758238001001"/>
    <n v="-36.03"/>
    <n v="919"/>
    <n v="1"/>
    <n v="1"/>
  </r>
  <r>
    <m/>
    <m/>
    <x v="1"/>
    <s v="34822690001003"/>
    <n v="-52.03"/>
    <n v="1327"/>
    <n v="1"/>
    <n v="1"/>
  </r>
  <r>
    <m/>
    <m/>
    <x v="1"/>
    <s v="34827216001001"/>
    <n v="-69.87"/>
    <n v="1782"/>
    <n v="1"/>
    <n v="1"/>
  </r>
  <r>
    <m/>
    <m/>
    <x v="1"/>
    <s v="34859648001001"/>
    <n v="-18.82"/>
    <n v="480"/>
    <n v="1"/>
    <n v="1"/>
  </r>
  <r>
    <m/>
    <m/>
    <x v="1"/>
    <s v="34874155001002"/>
    <n v="-27.49"/>
    <n v="701"/>
    <n v="1"/>
    <n v="1"/>
  </r>
  <r>
    <m/>
    <m/>
    <x v="1"/>
    <s v="35256283001003"/>
    <n v="-54.66"/>
    <n v="1394"/>
    <n v="1"/>
    <n v="1"/>
  </r>
  <r>
    <m/>
    <m/>
    <x v="1"/>
    <s v="35260727001006"/>
    <n v="-13.65"/>
    <n v="348"/>
    <n v="1"/>
    <n v="1"/>
  </r>
  <r>
    <m/>
    <m/>
    <x v="1"/>
    <s v="35268541002002"/>
    <n v="-42.07"/>
    <n v="1073"/>
    <n v="1"/>
    <n v="1"/>
  </r>
  <r>
    <m/>
    <m/>
    <x v="1"/>
    <s v="35387208001001"/>
    <n v="-121.79"/>
    <n v="3106"/>
    <n v="1"/>
    <n v="1"/>
  </r>
  <r>
    <m/>
    <m/>
    <x v="1"/>
    <s v="35402111001001"/>
    <n v="-5.0599999999999996"/>
    <n v="129"/>
    <n v="1"/>
    <n v="1"/>
  </r>
  <r>
    <m/>
    <m/>
    <x v="1"/>
    <s v="35453275001007"/>
    <n v="-94.85"/>
    <n v="2419"/>
    <n v="1"/>
    <n v="1"/>
  </r>
  <r>
    <m/>
    <m/>
    <x v="1"/>
    <s v="35508083001003"/>
    <n v="-2.98"/>
    <n v="76"/>
    <n v="1"/>
    <n v="1"/>
  </r>
  <r>
    <m/>
    <m/>
    <x v="1"/>
    <s v="35571209001001"/>
    <n v="-17.84"/>
    <n v="455"/>
    <n v="1"/>
    <n v="1"/>
  </r>
  <r>
    <m/>
    <m/>
    <x v="1"/>
    <s v="35830208001001"/>
    <n v="-51.01"/>
    <n v="1301"/>
    <n v="1"/>
    <n v="1"/>
  </r>
  <r>
    <m/>
    <m/>
    <x v="1"/>
    <s v="35880618001005"/>
    <n v="-41.64"/>
    <n v="1062"/>
    <n v="1"/>
    <n v="1"/>
  </r>
  <r>
    <m/>
    <m/>
    <x v="1"/>
    <s v="35958850001005"/>
    <n v="-24.31"/>
    <n v="620"/>
    <n v="1"/>
    <n v="1"/>
  </r>
  <r>
    <m/>
    <m/>
    <x v="1"/>
    <s v="36046479001001"/>
    <n v="-95.32"/>
    <n v="2431"/>
    <n v="1"/>
    <n v="1"/>
  </r>
  <r>
    <m/>
    <m/>
    <x v="1"/>
    <s v="36078864001001"/>
    <n v="-47.44"/>
    <n v="1210"/>
    <n v="1"/>
    <n v="1"/>
  </r>
  <r>
    <m/>
    <m/>
    <x v="1"/>
    <s v="36264381001001"/>
    <n v="-80.150000000000006"/>
    <n v="2044"/>
    <n v="1"/>
    <n v="1"/>
  </r>
  <r>
    <m/>
    <m/>
    <x v="1"/>
    <s v="36265466001001"/>
    <n v="-75.13"/>
    <n v="1916"/>
    <n v="1"/>
    <n v="1"/>
  </r>
  <r>
    <m/>
    <m/>
    <x v="1"/>
    <s v="36294296001004"/>
    <n v="-41.99"/>
    <n v="1071"/>
    <n v="1"/>
    <n v="1"/>
  </r>
  <r>
    <m/>
    <m/>
    <x v="1"/>
    <s v="36340954001005"/>
    <n v="-11.45"/>
    <n v="292"/>
    <n v="1"/>
    <n v="1"/>
  </r>
  <r>
    <m/>
    <m/>
    <x v="1"/>
    <s v="36405485001001"/>
    <n v="-47.29"/>
    <n v="1206"/>
    <n v="1"/>
    <n v="1"/>
  </r>
  <r>
    <m/>
    <m/>
    <x v="1"/>
    <s v="36445725001001"/>
    <n v="-106.22"/>
    <n v="2709"/>
    <n v="1"/>
    <n v="1"/>
  </r>
  <r>
    <m/>
    <m/>
    <x v="1"/>
    <s v="36617800001001"/>
    <n v="-22.78"/>
    <n v="581"/>
    <n v="1"/>
    <n v="1"/>
  </r>
  <r>
    <m/>
    <m/>
    <x v="1"/>
    <s v="36872264001001"/>
    <n v="-91.44"/>
    <n v="2332"/>
    <n v="1"/>
    <n v="1"/>
  </r>
  <r>
    <m/>
    <m/>
    <x v="1"/>
    <s v="36931062001008"/>
    <n v="-60.19"/>
    <n v="1535"/>
    <n v="1"/>
    <n v="1"/>
  </r>
  <r>
    <m/>
    <m/>
    <x v="1"/>
    <s v="37014491001001"/>
    <n v="-69.400000000000006"/>
    <n v="1770"/>
    <n v="1"/>
    <n v="1"/>
  </r>
  <r>
    <m/>
    <m/>
    <x v="1"/>
    <s v="37477159001001"/>
    <n v="-35.520000000000003"/>
    <n v="906"/>
    <n v="1"/>
    <n v="1"/>
  </r>
  <r>
    <m/>
    <m/>
    <x v="1"/>
    <s v="37518547001003"/>
    <n v="-67.25"/>
    <n v="1715"/>
    <n v="1"/>
    <n v="1"/>
  </r>
  <r>
    <m/>
    <m/>
    <x v="1"/>
    <s v="37546855001001"/>
    <n v="-85.87"/>
    <n v="2190"/>
    <n v="1"/>
    <n v="1"/>
  </r>
  <r>
    <m/>
    <m/>
    <x v="1"/>
    <s v="37694672001008"/>
    <n v="-28.35"/>
    <n v="723"/>
    <n v="1"/>
    <n v="1"/>
  </r>
  <r>
    <m/>
    <m/>
    <x v="1"/>
    <s v="37962417001003"/>
    <n v="-111.28"/>
    <n v="2838"/>
    <n v="1"/>
    <n v="1"/>
  </r>
  <r>
    <m/>
    <m/>
    <x v="1"/>
    <s v="38003358004003"/>
    <n v="-54.62"/>
    <n v="1393"/>
    <n v="1"/>
    <n v="1"/>
  </r>
  <r>
    <m/>
    <m/>
    <x v="1"/>
    <s v="38058429001003"/>
    <n v="-49.95"/>
    <n v="1274"/>
    <n v="1"/>
    <n v="1"/>
  </r>
  <r>
    <m/>
    <m/>
    <x v="1"/>
    <s v="38059806002007"/>
    <n v="-56.54"/>
    <n v="1442"/>
    <n v="1"/>
    <n v="1"/>
  </r>
  <r>
    <m/>
    <m/>
    <x v="1"/>
    <s v="38161821001001"/>
    <n v="-5.0599999999999996"/>
    <n v="129"/>
    <n v="1"/>
    <n v="1"/>
  </r>
  <r>
    <m/>
    <m/>
    <x v="1"/>
    <s v="38245625004008"/>
    <n v="-67.010000000000005"/>
    <n v="1709"/>
    <n v="1"/>
    <n v="1"/>
  </r>
  <r>
    <m/>
    <m/>
    <x v="1"/>
    <s v="38371635001001"/>
    <n v="-67.52"/>
    <n v="1722"/>
    <n v="1"/>
    <n v="1"/>
  </r>
  <r>
    <m/>
    <m/>
    <x v="1"/>
    <s v="38447668001004"/>
    <n v="-15.29"/>
    <n v="390"/>
    <n v="1"/>
    <n v="1"/>
  </r>
  <r>
    <m/>
    <m/>
    <x v="1"/>
    <s v="38606746001003"/>
    <n v="-67.48"/>
    <n v="1721"/>
    <n v="1"/>
    <n v="1"/>
  </r>
  <r>
    <m/>
    <m/>
    <x v="1"/>
    <s v="38907178001004"/>
    <n v="-20.74"/>
    <n v="529"/>
    <n v="1"/>
    <n v="1"/>
  </r>
  <r>
    <m/>
    <m/>
    <x v="1"/>
    <s v="38911036001003"/>
    <n v="-18.86"/>
    <n v="481"/>
    <n v="1"/>
    <n v="1"/>
  </r>
  <r>
    <m/>
    <m/>
    <x v="1"/>
    <s v="39337225001001"/>
    <n v="-88.89"/>
    <n v="2267"/>
    <n v="1"/>
    <n v="1"/>
  </r>
  <r>
    <m/>
    <m/>
    <x v="1"/>
    <s v="39388823001005"/>
    <n v="-15.25"/>
    <n v="389"/>
    <n v="1"/>
    <n v="1"/>
  </r>
  <r>
    <m/>
    <m/>
    <x v="1"/>
    <s v="39398603002003"/>
    <n v="-46.46"/>
    <n v="1185"/>
    <n v="1"/>
    <n v="1"/>
  </r>
  <r>
    <m/>
    <m/>
    <x v="1"/>
    <s v="39832575001004"/>
    <n v="-44.31"/>
    <n v="1130"/>
    <n v="1"/>
    <n v="1"/>
  </r>
  <r>
    <m/>
    <m/>
    <x v="1"/>
    <s v="40009788001009"/>
    <n v="-50.66"/>
    <n v="1292"/>
    <n v="1"/>
    <n v="1"/>
  </r>
  <r>
    <m/>
    <m/>
    <x v="1"/>
    <s v="40054017001004"/>
    <n v="-59.05"/>
    <n v="1506"/>
    <n v="1"/>
    <n v="1"/>
  </r>
  <r>
    <m/>
    <m/>
    <x v="1"/>
    <s v="40302520001002"/>
    <n v="-17.68"/>
    <n v="451"/>
    <n v="1"/>
    <n v="1"/>
  </r>
  <r>
    <m/>
    <m/>
    <x v="1"/>
    <s v="40396125001001"/>
    <n v="-60.42"/>
    <n v="1541"/>
    <n v="1"/>
    <n v="1"/>
  </r>
  <r>
    <m/>
    <m/>
    <x v="1"/>
    <s v="40575106001004"/>
    <n v="-38.03"/>
    <n v="970"/>
    <n v="1"/>
    <n v="1"/>
  </r>
  <r>
    <m/>
    <m/>
    <x v="1"/>
    <s v="40602210001001"/>
    <n v="-17.13"/>
    <n v="437"/>
    <n v="1"/>
    <n v="1"/>
  </r>
  <r>
    <m/>
    <m/>
    <x v="1"/>
    <s v="40777686001001"/>
    <n v="-18.86"/>
    <n v="481"/>
    <n v="1"/>
    <n v="1"/>
  </r>
  <r>
    <m/>
    <m/>
    <x v="1"/>
    <s v="40799378002001"/>
    <n v="-59.29"/>
    <n v="1512"/>
    <n v="1"/>
    <n v="1"/>
  </r>
  <r>
    <m/>
    <m/>
    <x v="1"/>
    <s v="40819353001002"/>
    <n v="-62.74"/>
    <n v="1600"/>
    <n v="1"/>
    <n v="1"/>
  </r>
  <r>
    <m/>
    <m/>
    <x v="1"/>
    <s v="40913214001003"/>
    <n v="-8.98"/>
    <n v="229"/>
    <n v="1"/>
    <n v="1"/>
  </r>
  <r>
    <m/>
    <m/>
    <x v="1"/>
    <s v="40940003001003"/>
    <n v="-84.89"/>
    <n v="2165"/>
    <n v="1"/>
    <n v="1"/>
  </r>
  <r>
    <m/>
    <m/>
    <x v="1"/>
    <s v="41102044001001"/>
    <n v="-39.01"/>
    <n v="995"/>
    <n v="1"/>
    <n v="1"/>
  </r>
  <r>
    <m/>
    <m/>
    <x v="1"/>
    <s v="41343811001004"/>
    <n v="-61.13"/>
    <n v="1559"/>
    <n v="1"/>
    <n v="1"/>
  </r>
  <r>
    <m/>
    <m/>
    <x v="1"/>
    <s v="41344855001009"/>
    <n v="-20.82"/>
    <n v="531"/>
    <n v="1"/>
    <n v="1"/>
  </r>
  <r>
    <m/>
    <m/>
    <x v="1"/>
    <s v="41547810001001"/>
    <n v="-11.72"/>
    <n v="299"/>
    <n v="1"/>
    <n v="1"/>
  </r>
  <r>
    <m/>
    <m/>
    <x v="1"/>
    <s v="41568295001001"/>
    <n v="-112.38"/>
    <n v="2866"/>
    <n v="1"/>
    <n v="1"/>
  </r>
  <r>
    <m/>
    <m/>
    <x v="1"/>
    <s v="41690888001001"/>
    <n v="-5.49"/>
    <n v="140"/>
    <n v="1"/>
    <n v="1"/>
  </r>
  <r>
    <m/>
    <m/>
    <x v="1"/>
    <s v="41731451001005"/>
    <n v="-5.69"/>
    <n v="145"/>
    <n v="1"/>
    <n v="1"/>
  </r>
  <r>
    <m/>
    <m/>
    <x v="1"/>
    <s v="41809389001005"/>
    <n v="-73.44"/>
    <n v="1873"/>
    <n v="1"/>
    <n v="1"/>
  </r>
  <r>
    <m/>
    <m/>
    <x v="1"/>
    <s v="41836630001003"/>
    <n v="-55.21"/>
    <n v="1408"/>
    <n v="1"/>
    <n v="1"/>
  </r>
  <r>
    <m/>
    <m/>
    <x v="1"/>
    <s v="41921625002001"/>
    <n v="-140.96"/>
    <n v="3595"/>
    <n v="1"/>
    <n v="1"/>
  </r>
  <r>
    <m/>
    <m/>
    <x v="1"/>
    <s v="41938265001001"/>
    <n v="-74.62"/>
    <n v="1903"/>
    <n v="1"/>
    <n v="1"/>
  </r>
  <r>
    <m/>
    <m/>
    <x v="1"/>
    <s v="41950346001005"/>
    <n v="-2.74"/>
    <n v="70"/>
    <n v="1"/>
    <n v="1"/>
  </r>
  <r>
    <m/>
    <m/>
    <x v="1"/>
    <s v="42046814001001"/>
    <n v="-43.33"/>
    <n v="1105"/>
    <n v="1"/>
    <n v="1"/>
  </r>
  <r>
    <m/>
    <m/>
    <x v="1"/>
    <s v="42066880001001"/>
    <n v="-22.51"/>
    <n v="574"/>
    <n v="1"/>
    <n v="1"/>
  </r>
  <r>
    <m/>
    <m/>
    <x v="1"/>
    <s v="42453517001001"/>
    <n v="-53.76"/>
    <n v="1371"/>
    <n v="1"/>
    <n v="1"/>
  </r>
  <r>
    <m/>
    <m/>
    <x v="1"/>
    <s v="42490701001001"/>
    <n v="-6.23"/>
    <n v="159"/>
    <n v="1"/>
    <n v="1"/>
  </r>
  <r>
    <m/>
    <m/>
    <x v="1"/>
    <s v="42502321001005"/>
    <n v="-29.64"/>
    <n v="756"/>
    <n v="1"/>
    <n v="1"/>
  </r>
  <r>
    <m/>
    <m/>
    <x v="1"/>
    <s v="42503511001002"/>
    <n v="-38.94"/>
    <n v="993"/>
    <n v="1"/>
    <n v="1"/>
  </r>
  <r>
    <m/>
    <m/>
    <x v="1"/>
    <s v="42503651001002"/>
    <n v="-64.66"/>
    <n v="1649"/>
    <n v="1"/>
    <n v="1"/>
  </r>
  <r>
    <m/>
    <m/>
    <x v="1"/>
    <s v="42507081005002"/>
    <n v="-63.21"/>
    <n v="1612"/>
    <n v="1"/>
    <n v="1"/>
  </r>
  <r>
    <m/>
    <m/>
    <x v="1"/>
    <s v="42515551001011"/>
    <n v="-14.39"/>
    <n v="367"/>
    <n v="1"/>
    <n v="1"/>
  </r>
  <r>
    <m/>
    <m/>
    <x v="1"/>
    <s v="42518981005010"/>
    <n v="-35.25"/>
    <n v="899"/>
    <n v="1"/>
    <n v="1"/>
  </r>
  <r>
    <m/>
    <m/>
    <x v="1"/>
    <s v="42523746002001"/>
    <n v="-83.79"/>
    <n v="2137"/>
    <n v="1"/>
    <n v="1"/>
  </r>
  <r>
    <m/>
    <m/>
    <x v="1"/>
    <s v="42533821001001"/>
    <n v="-38.270000000000003"/>
    <n v="976"/>
    <n v="1"/>
    <n v="1"/>
  </r>
  <r>
    <m/>
    <m/>
    <x v="1"/>
    <s v="42535011001002"/>
    <n v="-5.84"/>
    <n v="149"/>
    <n v="1"/>
    <n v="1"/>
  </r>
  <r>
    <m/>
    <m/>
    <x v="1"/>
    <s v="42543901001001"/>
    <n v="-65.48"/>
    <n v="1670"/>
    <n v="1"/>
    <n v="1"/>
  </r>
  <r>
    <m/>
    <m/>
    <x v="1"/>
    <s v="42569591004003"/>
    <n v="-17.72"/>
    <n v="452"/>
    <n v="1"/>
    <n v="1"/>
  </r>
  <r>
    <m/>
    <m/>
    <x v="1"/>
    <s v="42591011001001"/>
    <n v="-82.3"/>
    <n v="2099"/>
    <n v="1"/>
    <n v="1"/>
  </r>
  <r>
    <m/>
    <m/>
    <x v="1"/>
    <s v="42599481001004"/>
    <n v="-29.64"/>
    <n v="756"/>
    <n v="1"/>
    <n v="1"/>
  </r>
  <r>
    <m/>
    <m/>
    <x v="1"/>
    <s v="42627831001003"/>
    <n v="-5.65"/>
    <n v="144"/>
    <n v="1"/>
    <n v="1"/>
  </r>
  <r>
    <m/>
    <m/>
    <x v="1"/>
    <s v="42637141001007"/>
    <n v="-57.95"/>
    <n v="1478"/>
    <n v="1"/>
    <n v="1"/>
  </r>
  <r>
    <m/>
    <m/>
    <x v="1"/>
    <s v="42640641001001"/>
    <n v="-125.28"/>
    <n v="3195"/>
    <n v="1"/>
    <n v="1"/>
  </r>
  <r>
    <m/>
    <m/>
    <x v="1"/>
    <s v="42640711003001"/>
    <n v="-31.52"/>
    <n v="804"/>
    <n v="1"/>
    <n v="1"/>
  </r>
  <r>
    <m/>
    <m/>
    <x v="1"/>
    <s v="42646171001006"/>
    <n v="-29.56"/>
    <n v="754"/>
    <n v="1"/>
    <n v="1"/>
  </r>
  <r>
    <m/>
    <m/>
    <x v="1"/>
    <s v="42653661001001"/>
    <n v="-15.25"/>
    <n v="389"/>
    <n v="1"/>
    <n v="1"/>
  </r>
  <r>
    <m/>
    <m/>
    <x v="1"/>
    <s v="42653801001002"/>
    <n v="-12.9"/>
    <n v="329"/>
    <n v="1"/>
    <n v="1"/>
  </r>
  <r>
    <m/>
    <m/>
    <x v="1"/>
    <s v="42662971001011"/>
    <n v="-100.69"/>
    <n v="2568"/>
    <n v="1"/>
    <n v="1"/>
  </r>
  <r>
    <m/>
    <m/>
    <x v="1"/>
    <s v="42671651001004"/>
    <n v="-25.25"/>
    <n v="644"/>
    <n v="1"/>
    <n v="1"/>
  </r>
  <r>
    <m/>
    <m/>
    <x v="1"/>
    <s v="42689921004001"/>
    <n v="-68.069999999999993"/>
    <n v="1736"/>
    <n v="1"/>
    <n v="1"/>
  </r>
  <r>
    <m/>
    <m/>
    <x v="1"/>
    <s v="42717921001003"/>
    <n v="-110.49"/>
    <n v="2818"/>
    <n v="1"/>
    <n v="1"/>
  </r>
  <r>
    <m/>
    <m/>
    <x v="1"/>
    <s v="42734931001007"/>
    <n v="-30.86"/>
    <n v="787"/>
    <n v="1"/>
    <n v="1"/>
  </r>
  <r>
    <m/>
    <m/>
    <x v="1"/>
    <s v="42740811001004"/>
    <n v="-29.72"/>
    <n v="758"/>
    <n v="1"/>
    <n v="1"/>
  </r>
  <r>
    <m/>
    <m/>
    <x v="1"/>
    <s v="42753761003001"/>
    <n v="-35.840000000000003"/>
    <n v="914"/>
    <n v="1"/>
    <n v="1"/>
  </r>
  <r>
    <m/>
    <m/>
    <x v="1"/>
    <s v="42811861001001"/>
    <n v="-103.87"/>
    <n v="2649"/>
    <n v="1"/>
    <n v="1"/>
  </r>
  <r>
    <m/>
    <m/>
    <x v="1"/>
    <s v="42829781003005"/>
    <n v="-26.51"/>
    <n v="676"/>
    <n v="1"/>
    <n v="1"/>
  </r>
  <r>
    <m/>
    <m/>
    <x v="1"/>
    <s v="42837831001001"/>
    <n v="-2.27"/>
    <n v="58"/>
    <n v="1"/>
    <n v="1"/>
  </r>
  <r>
    <m/>
    <m/>
    <x v="1"/>
    <s v="42849491001007"/>
    <n v="-0.71"/>
    <n v="18"/>
    <n v="1"/>
    <n v="1"/>
  </r>
  <r>
    <m/>
    <m/>
    <x v="1"/>
    <s v="42858901001003"/>
    <n v="-26.66"/>
    <n v="680"/>
    <n v="1"/>
    <n v="1"/>
  </r>
  <r>
    <m/>
    <m/>
    <x v="1"/>
    <s v="42862751002001"/>
    <n v="-36.35"/>
    <n v="927"/>
    <n v="1"/>
    <n v="1"/>
  </r>
  <r>
    <m/>
    <m/>
    <x v="1"/>
    <s v="43016751001009"/>
    <n v="-31.17"/>
    <n v="795"/>
    <n v="1"/>
    <n v="1"/>
  </r>
  <r>
    <m/>
    <m/>
    <x v="1"/>
    <s v="43024731003001"/>
    <n v="-31.68"/>
    <n v="808"/>
    <n v="1"/>
    <n v="1"/>
  </r>
  <r>
    <m/>
    <m/>
    <x v="1"/>
    <s v="43029771001001"/>
    <n v="-36.82"/>
    <n v="939"/>
    <n v="1"/>
    <n v="1"/>
  </r>
  <r>
    <m/>
    <m/>
    <x v="1"/>
    <s v="43037331002001"/>
    <n v="-70.66"/>
    <n v="1802"/>
    <n v="1"/>
    <n v="1"/>
  </r>
  <r>
    <m/>
    <m/>
    <x v="1"/>
    <s v="43037471001001"/>
    <n v="-17.760000000000002"/>
    <n v="453"/>
    <n v="1"/>
    <n v="1"/>
  </r>
  <r>
    <m/>
    <m/>
    <x v="1"/>
    <s v="43067921001001"/>
    <n v="-83.32"/>
    <n v="2125"/>
    <n v="1"/>
    <n v="1"/>
  </r>
  <r>
    <m/>
    <m/>
    <x v="1"/>
    <s v="43079401001005"/>
    <n v="-15.96"/>
    <n v="407"/>
    <n v="1"/>
    <n v="1"/>
  </r>
  <r>
    <m/>
    <m/>
    <x v="1"/>
    <s v="43084721006001"/>
    <n v="-3.96"/>
    <n v="101"/>
    <n v="1"/>
    <n v="1"/>
  </r>
  <r>
    <m/>
    <m/>
    <x v="1"/>
    <s v="43103551001002"/>
    <n v="-18.86"/>
    <n v="481"/>
    <n v="1"/>
    <n v="1"/>
  </r>
  <r>
    <m/>
    <m/>
    <x v="1"/>
    <s v="43210791001004"/>
    <n v="-10.55"/>
    <n v="269"/>
    <n v="1"/>
    <n v="1"/>
  </r>
  <r>
    <m/>
    <m/>
    <x v="1"/>
    <s v="43219471001003"/>
    <n v="-39.369999999999997"/>
    <n v="1004"/>
    <n v="1"/>
    <n v="1"/>
  </r>
  <r>
    <m/>
    <m/>
    <x v="1"/>
    <s v="43225001001001"/>
    <n v="-75.28"/>
    <n v="1920"/>
    <n v="1"/>
    <n v="1"/>
  </r>
  <r>
    <m/>
    <m/>
    <x v="1"/>
    <s v="43239421002001"/>
    <n v="-28.58"/>
    <n v="729"/>
    <n v="1"/>
    <n v="1"/>
  </r>
  <r>
    <m/>
    <m/>
    <x v="1"/>
    <s v="43245091005003"/>
    <n v="-89.75"/>
    <n v="2289"/>
    <n v="1"/>
    <n v="1"/>
  </r>
  <r>
    <m/>
    <m/>
    <x v="1"/>
    <s v="43262451002003"/>
    <n v="-35.17"/>
    <n v="897"/>
    <n v="1"/>
    <n v="1"/>
  </r>
  <r>
    <m/>
    <m/>
    <x v="1"/>
    <s v="43282051003001"/>
    <n v="-24.66"/>
    <n v="629"/>
    <n v="1"/>
    <n v="1"/>
  </r>
  <r>
    <m/>
    <m/>
    <x v="1"/>
    <s v="43301371002001"/>
    <n v="-33.369999999999997"/>
    <n v="851"/>
    <n v="1"/>
    <n v="1"/>
  </r>
  <r>
    <m/>
    <m/>
    <x v="1"/>
    <s v="43330105002001"/>
    <n v="-159.55000000000001"/>
    <n v="4069"/>
    <n v="1"/>
    <n v="1"/>
  </r>
  <r>
    <m/>
    <m/>
    <x v="1"/>
    <s v="43334201001001"/>
    <n v="-65.25"/>
    <n v="1664"/>
    <n v="1"/>
    <n v="1"/>
  </r>
  <r>
    <m/>
    <m/>
    <x v="1"/>
    <s v="43347711001001"/>
    <n v="-70.23"/>
    <n v="1791"/>
    <n v="1"/>
    <n v="1"/>
  </r>
  <r>
    <m/>
    <m/>
    <x v="1"/>
    <s v="43386911002002"/>
    <n v="-71.010000000000005"/>
    <n v="1811"/>
    <n v="1"/>
    <n v="1"/>
  </r>
  <r>
    <m/>
    <m/>
    <x v="1"/>
    <s v="43415471005001"/>
    <n v="-100.69"/>
    <n v="2568"/>
    <n v="1"/>
    <n v="1"/>
  </r>
  <r>
    <m/>
    <m/>
    <x v="1"/>
    <s v="43530621001001"/>
    <n v="-155.66"/>
    <n v="3970"/>
    <n v="1"/>
    <n v="1"/>
  </r>
  <r>
    <m/>
    <m/>
    <x v="1"/>
    <s v="43661996001002"/>
    <n v="-83.52"/>
    <n v="2130"/>
    <n v="1"/>
    <n v="1"/>
  </r>
  <r>
    <m/>
    <m/>
    <x v="1"/>
    <s v="43665824001005"/>
    <n v="-42.97"/>
    <n v="1096"/>
    <n v="1"/>
    <n v="1"/>
  </r>
  <r>
    <m/>
    <m/>
    <x v="1"/>
    <s v="43678461001003"/>
    <n v="-12.51"/>
    <n v="319"/>
    <n v="1"/>
    <n v="1"/>
  </r>
  <r>
    <m/>
    <m/>
    <x v="1"/>
    <s v="43688479001001"/>
    <n v="-33.76"/>
    <n v="861"/>
    <n v="1"/>
    <n v="1"/>
  </r>
  <r>
    <m/>
    <m/>
    <x v="1"/>
    <s v="43718571001006"/>
    <n v="-9.3699999999999992"/>
    <n v="239"/>
    <n v="1"/>
    <n v="1"/>
  </r>
  <r>
    <m/>
    <m/>
    <x v="1"/>
    <s v="43721161001001"/>
    <n v="-66.849999999999994"/>
    <n v="1705"/>
    <n v="1"/>
    <n v="1"/>
  </r>
  <r>
    <m/>
    <m/>
    <x v="1"/>
    <s v="43736211001004"/>
    <n v="-42.07"/>
    <n v="1073"/>
    <n v="1"/>
    <n v="1"/>
  </r>
  <r>
    <m/>
    <m/>
    <x v="1"/>
    <s v="43742651001007"/>
    <n v="-3.76"/>
    <n v="96"/>
    <n v="1"/>
    <n v="1"/>
  </r>
  <r>
    <m/>
    <m/>
    <x v="1"/>
    <s v="43784132001001"/>
    <n v="-91.56"/>
    <n v="2335"/>
    <n v="1"/>
    <n v="1"/>
  </r>
  <r>
    <m/>
    <m/>
    <x v="1"/>
    <s v="43784151001001"/>
    <n v="-33.01"/>
    <n v="842"/>
    <n v="1"/>
    <n v="1"/>
  </r>
  <r>
    <m/>
    <m/>
    <x v="1"/>
    <s v="43801381001001"/>
    <n v="-79.13"/>
    <n v="2018"/>
    <n v="1"/>
    <n v="1"/>
  </r>
  <r>
    <m/>
    <m/>
    <x v="1"/>
    <s v="43823991001001"/>
    <n v="-39.56"/>
    <n v="1009"/>
    <n v="1"/>
    <n v="1"/>
  </r>
  <r>
    <m/>
    <m/>
    <x v="1"/>
    <s v="43924371003001"/>
    <n v="-24.19"/>
    <n v="617"/>
    <n v="1"/>
    <n v="1"/>
  </r>
  <r>
    <m/>
    <m/>
    <x v="1"/>
    <s v="43928151001002"/>
    <n v="-62.27"/>
    <n v="1588"/>
    <n v="1"/>
    <n v="1"/>
  </r>
  <r>
    <m/>
    <m/>
    <x v="1"/>
    <s v="43981430001003"/>
    <n v="-25.84"/>
    <n v="659"/>
    <n v="1"/>
    <n v="1"/>
  </r>
  <r>
    <m/>
    <m/>
    <x v="1"/>
    <s v="43992657001001"/>
    <n v="-13.76"/>
    <n v="351"/>
    <n v="1"/>
    <n v="1"/>
  </r>
  <r>
    <m/>
    <m/>
    <x v="1"/>
    <s v="43997887009001"/>
    <n v="-70.34"/>
    <n v="1794"/>
    <n v="1"/>
    <n v="1"/>
  </r>
  <r>
    <m/>
    <m/>
    <x v="1"/>
    <s v="44017401001003"/>
    <n v="-83.71"/>
    <n v="2135"/>
    <n v="1"/>
    <n v="1"/>
  </r>
  <r>
    <m/>
    <m/>
    <x v="1"/>
    <s v="44035671002001"/>
    <n v="-46.62"/>
    <n v="1189"/>
    <n v="1"/>
    <n v="1"/>
  </r>
  <r>
    <m/>
    <m/>
    <x v="1"/>
    <s v="44070041001001"/>
    <n v="-92.54"/>
    <n v="2360"/>
    <n v="1"/>
    <n v="1"/>
  </r>
  <r>
    <m/>
    <m/>
    <x v="1"/>
    <s v="44095871001001"/>
    <n v="-106.49"/>
    <n v="2716"/>
    <n v="1"/>
    <n v="1"/>
  </r>
  <r>
    <m/>
    <m/>
    <x v="1"/>
    <s v="44133601001001"/>
    <n v="-87.12"/>
    <n v="2222"/>
    <n v="1"/>
    <n v="1"/>
  </r>
  <r>
    <m/>
    <m/>
    <x v="1"/>
    <s v="44172520001001"/>
    <n v="-77.91"/>
    <n v="1987"/>
    <n v="1"/>
    <n v="1"/>
  </r>
  <r>
    <m/>
    <m/>
    <x v="1"/>
    <s v="44198701001002"/>
    <n v="-131"/>
    <n v="3341"/>
    <n v="1"/>
    <n v="1"/>
  </r>
  <r>
    <m/>
    <m/>
    <x v="1"/>
    <s v="44200871001010"/>
    <n v="-34.74"/>
    <n v="886"/>
    <n v="1"/>
    <n v="1"/>
  </r>
  <r>
    <m/>
    <m/>
    <x v="1"/>
    <s v="44235381001002"/>
    <n v="-58.5"/>
    <n v="1492"/>
    <n v="1"/>
    <n v="1"/>
  </r>
  <r>
    <m/>
    <m/>
    <x v="1"/>
    <s v="44237551001002"/>
    <n v="-96.77"/>
    <n v="2468"/>
    <n v="1"/>
    <n v="1"/>
  </r>
  <r>
    <m/>
    <m/>
    <x v="1"/>
    <s v="44271641001001"/>
    <n v="-10.51"/>
    <n v="268"/>
    <n v="1"/>
    <n v="1"/>
  </r>
  <r>
    <m/>
    <m/>
    <x v="1"/>
    <s v="44286551002002"/>
    <n v="-55.64"/>
    <n v="1419"/>
    <n v="1"/>
    <n v="1"/>
  </r>
  <r>
    <m/>
    <m/>
    <x v="1"/>
    <s v="44293551003001"/>
    <n v="-45.84"/>
    <n v="1169"/>
    <n v="1"/>
    <n v="1"/>
  </r>
  <r>
    <m/>
    <m/>
    <x v="1"/>
    <s v="44327781001003"/>
    <n v="-11.1"/>
    <n v="283"/>
    <n v="1"/>
    <n v="1"/>
  </r>
  <r>
    <m/>
    <m/>
    <x v="1"/>
    <s v="44340381001001"/>
    <n v="-59.21"/>
    <n v="1510"/>
    <n v="1"/>
    <n v="1"/>
  </r>
  <r>
    <m/>
    <m/>
    <x v="1"/>
    <s v="44365721001001"/>
    <n v="-48.82"/>
    <n v="1245"/>
    <n v="1"/>
    <n v="1"/>
  </r>
  <r>
    <m/>
    <m/>
    <x v="1"/>
    <s v="44389521001001"/>
    <n v="-39.880000000000003"/>
    <n v="1017"/>
    <n v="1"/>
    <n v="1"/>
  </r>
  <r>
    <m/>
    <m/>
    <x v="1"/>
    <s v="44423891001003"/>
    <n v="-37.6"/>
    <n v="959"/>
    <n v="1"/>
    <n v="1"/>
  </r>
  <r>
    <m/>
    <m/>
    <x v="1"/>
    <s v="44442320001003"/>
    <n v="-65.010000000000005"/>
    <n v="1658"/>
    <n v="1"/>
    <n v="1"/>
  </r>
  <r>
    <m/>
    <m/>
    <x v="1"/>
    <s v="44445801002001"/>
    <n v="-99.79"/>
    <n v="2545"/>
    <n v="1"/>
    <n v="1"/>
  </r>
  <r>
    <m/>
    <m/>
    <x v="1"/>
    <s v="44484511001002"/>
    <n v="-34"/>
    <n v="867"/>
    <n v="1"/>
    <n v="1"/>
  </r>
  <r>
    <m/>
    <m/>
    <x v="1"/>
    <s v="44490601001001"/>
    <n v="-19.920000000000002"/>
    <n v="508"/>
    <n v="1"/>
    <n v="1"/>
  </r>
  <r>
    <m/>
    <m/>
    <x v="1"/>
    <s v="44502641001003"/>
    <n v="-111.67"/>
    <n v="2848"/>
    <n v="1"/>
    <n v="1"/>
  </r>
  <r>
    <m/>
    <m/>
    <x v="1"/>
    <s v="44525601001001"/>
    <n v="-51.68"/>
    <n v="1318"/>
    <n v="1"/>
    <n v="1"/>
  </r>
  <r>
    <m/>
    <m/>
    <x v="1"/>
    <s v="44528121001001"/>
    <n v="-45.37"/>
    <n v="1157"/>
    <n v="1"/>
    <n v="1"/>
  </r>
  <r>
    <m/>
    <m/>
    <x v="1"/>
    <s v="44545061002001"/>
    <n v="-25.33"/>
    <n v="646"/>
    <n v="1"/>
    <n v="1"/>
  </r>
  <r>
    <m/>
    <m/>
    <x v="1"/>
    <s v="44560811001004"/>
    <n v="-46.42"/>
    <n v="1184"/>
    <n v="1"/>
    <n v="1"/>
  </r>
  <r>
    <m/>
    <m/>
    <x v="1"/>
    <s v="44574881001005"/>
    <n v="-83.44"/>
    <n v="2128"/>
    <n v="1"/>
    <n v="1"/>
  </r>
  <r>
    <m/>
    <m/>
    <x v="1"/>
    <s v="44617161001001"/>
    <n v="-50.07"/>
    <n v="1277"/>
    <n v="1"/>
    <n v="1"/>
  </r>
  <r>
    <m/>
    <m/>
    <x v="1"/>
    <s v="44617721001003"/>
    <n v="-44.97"/>
    <n v="1147"/>
    <n v="1"/>
    <n v="1"/>
  </r>
  <r>
    <m/>
    <m/>
    <x v="1"/>
    <s v="44628151002001"/>
    <n v="-31.33"/>
    <n v="799"/>
    <n v="1"/>
    <n v="1"/>
  </r>
  <r>
    <m/>
    <m/>
    <x v="1"/>
    <s v="44686531002001"/>
    <n v="-12.86"/>
    <n v="328"/>
    <n v="1"/>
    <n v="1"/>
  </r>
  <r>
    <m/>
    <m/>
    <x v="1"/>
    <s v="44688351001001"/>
    <n v="-16.39"/>
    <n v="418"/>
    <n v="1"/>
    <n v="1"/>
  </r>
  <r>
    <m/>
    <m/>
    <x v="1"/>
    <s v="44688771001005"/>
    <n v="-107.71"/>
    <n v="2747"/>
    <n v="1"/>
    <n v="1"/>
  </r>
  <r>
    <m/>
    <m/>
    <x v="1"/>
    <s v="44706621001001"/>
    <n v="-40.700000000000003"/>
    <n v="1038"/>
    <n v="1"/>
    <n v="1"/>
  </r>
  <r>
    <m/>
    <m/>
    <x v="1"/>
    <s v="44717821001014"/>
    <n v="-18.079999999999998"/>
    <n v="461"/>
    <n v="1"/>
    <n v="1"/>
  </r>
  <r>
    <m/>
    <m/>
    <x v="1"/>
    <s v="44736744001004"/>
    <n v="-13.14"/>
    <n v="335"/>
    <n v="1"/>
    <n v="1"/>
  </r>
  <r>
    <m/>
    <m/>
    <x v="1"/>
    <s v="44770041002001"/>
    <n v="-39.21"/>
    <n v="1000"/>
    <n v="1"/>
    <n v="1"/>
  </r>
  <r>
    <m/>
    <m/>
    <x v="1"/>
    <s v="44773681001001"/>
    <n v="-79.52"/>
    <n v="2028"/>
    <n v="1"/>
    <n v="1"/>
  </r>
  <r>
    <m/>
    <m/>
    <x v="1"/>
    <s v="44774521001002"/>
    <n v="-60.03"/>
    <n v="1531"/>
    <n v="1"/>
    <n v="1"/>
  </r>
  <r>
    <m/>
    <m/>
    <x v="1"/>
    <s v="44781521001003"/>
    <n v="-82.18"/>
    <n v="2096"/>
    <n v="1"/>
    <n v="1"/>
  </r>
  <r>
    <m/>
    <m/>
    <x v="1"/>
    <s v="44789781001001"/>
    <n v="-42.27"/>
    <n v="1078"/>
    <n v="1"/>
    <n v="1"/>
  </r>
  <r>
    <m/>
    <m/>
    <x v="1"/>
    <s v="44804971001001"/>
    <n v="-18.7"/>
    <n v="477"/>
    <n v="1"/>
    <n v="1"/>
  </r>
  <r>
    <m/>
    <m/>
    <x v="1"/>
    <s v="44806441001001"/>
    <n v="-1.41"/>
    <n v="36"/>
    <n v="1"/>
    <n v="1"/>
  </r>
  <r>
    <m/>
    <m/>
    <x v="1"/>
    <s v="44808191002002"/>
    <n v="-124.65"/>
    <n v="3179"/>
    <n v="1"/>
    <n v="1"/>
  </r>
  <r>
    <m/>
    <m/>
    <x v="1"/>
    <s v="44819842001003"/>
    <n v="-67.87"/>
    <n v="1731"/>
    <n v="1"/>
    <n v="1"/>
  </r>
  <r>
    <m/>
    <m/>
    <x v="1"/>
    <s v="44839691002002"/>
    <n v="-15.25"/>
    <n v="389"/>
    <n v="1"/>
    <n v="1"/>
  </r>
  <r>
    <m/>
    <m/>
    <x v="1"/>
    <s v="44843401002001"/>
    <n v="-49.6"/>
    <n v="1265"/>
    <n v="1"/>
    <n v="1"/>
  </r>
  <r>
    <m/>
    <m/>
    <x v="1"/>
    <s v="44861671002001"/>
    <n v="-17.45"/>
    <n v="445"/>
    <n v="1"/>
    <n v="1"/>
  </r>
  <r>
    <m/>
    <m/>
    <x v="1"/>
    <s v="44875461001001"/>
    <n v="-23.64"/>
    <n v="603"/>
    <n v="1"/>
    <n v="1"/>
  </r>
  <r>
    <m/>
    <m/>
    <x v="1"/>
    <s v="44881201001001"/>
    <n v="-53.33"/>
    <n v="1360"/>
    <n v="1"/>
    <n v="1"/>
  </r>
  <r>
    <m/>
    <m/>
    <x v="1"/>
    <s v="44896251001001"/>
    <n v="-57.36"/>
    <n v="1463"/>
    <n v="1"/>
    <n v="1"/>
  </r>
  <r>
    <m/>
    <m/>
    <x v="1"/>
    <s v="44898175001005"/>
    <n v="-76.73"/>
    <n v="1957"/>
    <n v="1"/>
    <n v="1"/>
  </r>
  <r>
    <m/>
    <m/>
    <x v="1"/>
    <s v="44898351001001"/>
    <n v="-112.42"/>
    <n v="2867"/>
    <n v="1"/>
    <n v="1"/>
  </r>
  <r>
    <m/>
    <m/>
    <x v="1"/>
    <s v="44906681002005"/>
    <n v="-56.54"/>
    <n v="1442"/>
    <n v="1"/>
    <n v="1"/>
  </r>
  <r>
    <m/>
    <m/>
    <x v="1"/>
    <s v="44955261001002"/>
    <n v="-102.46"/>
    <n v="2613"/>
    <n v="1"/>
    <n v="1"/>
  </r>
  <r>
    <m/>
    <m/>
    <x v="1"/>
    <s v="44959251002002"/>
    <n v="-69.95"/>
    <n v="1784"/>
    <n v="1"/>
    <n v="1"/>
  </r>
  <r>
    <m/>
    <m/>
    <x v="1"/>
    <s v="44970917001001"/>
    <n v="-44.42"/>
    <n v="1133"/>
    <n v="1"/>
    <n v="1"/>
  </r>
  <r>
    <m/>
    <m/>
    <x v="1"/>
    <s v="44976331003006"/>
    <n v="-17.21"/>
    <n v="439"/>
    <n v="1"/>
    <n v="1"/>
  </r>
  <r>
    <m/>
    <m/>
    <x v="1"/>
    <s v="44983051001001"/>
    <n v="-61.76"/>
    <n v="1575"/>
    <n v="1"/>
    <n v="1"/>
  </r>
  <r>
    <m/>
    <m/>
    <x v="1"/>
    <s v="44995807001001"/>
    <n v="-13.88"/>
    <n v="354"/>
    <n v="1"/>
    <n v="1"/>
  </r>
  <r>
    <m/>
    <m/>
    <x v="1"/>
    <s v="45016581002001"/>
    <n v="-34.74"/>
    <n v="886"/>
    <n v="1"/>
    <n v="1"/>
  </r>
  <r>
    <m/>
    <m/>
    <x v="1"/>
    <s v="45020011002001"/>
    <n v="-29.05"/>
    <n v="741"/>
    <n v="1"/>
    <n v="1"/>
  </r>
  <r>
    <m/>
    <m/>
    <x v="1"/>
    <s v="45022671002001"/>
    <n v="-66.5"/>
    <n v="1696"/>
    <n v="1"/>
    <n v="1"/>
  </r>
  <r>
    <m/>
    <m/>
    <x v="1"/>
    <s v="45023091001001"/>
    <n v="-9.92"/>
    <n v="253"/>
    <n v="1"/>
    <n v="1"/>
  </r>
  <r>
    <m/>
    <m/>
    <x v="1"/>
    <s v="45028411001001"/>
    <n v="-31.29"/>
    <n v="798"/>
    <n v="1"/>
    <n v="1"/>
  </r>
  <r>
    <m/>
    <m/>
    <x v="1"/>
    <s v="45032471001003"/>
    <n v="-77.91"/>
    <n v="1987"/>
    <n v="1"/>
    <n v="1"/>
  </r>
  <r>
    <m/>
    <m/>
    <x v="1"/>
    <s v="45035075001001"/>
    <n v="-79.36"/>
    <n v="2024"/>
    <n v="1"/>
    <n v="1"/>
  </r>
  <r>
    <m/>
    <m/>
    <x v="1"/>
    <s v="45058426001008"/>
    <n v="-53.48"/>
    <n v="1364"/>
    <n v="1"/>
    <n v="1"/>
  </r>
  <r>
    <m/>
    <m/>
    <x v="1"/>
    <s v="45064181002001"/>
    <n v="-9.4499999999999993"/>
    <n v="241"/>
    <n v="1"/>
    <n v="1"/>
  </r>
  <r>
    <m/>
    <m/>
    <x v="1"/>
    <s v="45064461001001"/>
    <n v="-44.74"/>
    <n v="1141"/>
    <n v="1"/>
    <n v="1"/>
  </r>
  <r>
    <m/>
    <m/>
    <x v="1"/>
    <s v="45064531001001"/>
    <n v="-25.17"/>
    <n v="642"/>
    <n v="1"/>
    <n v="1"/>
  </r>
  <r>
    <m/>
    <m/>
    <x v="1"/>
    <s v="45064881001001"/>
    <n v="-101.51"/>
    <n v="2589"/>
    <n v="1"/>
    <n v="1"/>
  </r>
  <r>
    <m/>
    <m/>
    <x v="1"/>
    <s v="45068661003001"/>
    <n v="-36.39"/>
    <n v="928"/>
    <n v="1"/>
    <n v="1"/>
  </r>
  <r>
    <m/>
    <m/>
    <x v="1"/>
    <s v="45073281001004"/>
    <n v="-56.19"/>
    <n v="1433"/>
    <n v="1"/>
    <n v="1"/>
  </r>
  <r>
    <m/>
    <m/>
    <x v="1"/>
    <s v="45074541002003"/>
    <n v="-38.47"/>
    <n v="981"/>
    <n v="1"/>
    <n v="1"/>
  </r>
  <r>
    <m/>
    <m/>
    <x v="1"/>
    <s v="45077271001001"/>
    <n v="-7.1"/>
    <n v="181"/>
    <n v="1"/>
    <n v="1"/>
  </r>
  <r>
    <m/>
    <m/>
    <x v="1"/>
    <s v="45091654002003"/>
    <n v="-71.599999999999994"/>
    <n v="1826"/>
    <n v="1"/>
    <n v="1"/>
  </r>
  <r>
    <m/>
    <m/>
    <x v="1"/>
    <s v="45101911002002"/>
    <n v="-45.95"/>
    <n v="1172"/>
    <n v="1"/>
    <n v="1"/>
  </r>
  <r>
    <m/>
    <m/>
    <x v="1"/>
    <s v="45119621001001"/>
    <n v="-48.89"/>
    <n v="1247"/>
    <n v="1"/>
    <n v="1"/>
  </r>
  <r>
    <m/>
    <m/>
    <x v="1"/>
    <s v="45120321002003"/>
    <n v="-47.48"/>
    <n v="1211"/>
    <n v="1"/>
    <n v="1"/>
  </r>
  <r>
    <m/>
    <m/>
    <x v="1"/>
    <s v="45124731002005"/>
    <n v="-41.33"/>
    <n v="1054"/>
    <n v="1"/>
    <n v="1"/>
  </r>
  <r>
    <m/>
    <m/>
    <x v="1"/>
    <s v="45126411001001"/>
    <n v="-29.49"/>
    <n v="752"/>
    <n v="1"/>
    <n v="1"/>
  </r>
  <r>
    <m/>
    <m/>
    <x v="1"/>
    <s v="45128931001001"/>
    <n v="-25.68"/>
    <n v="655"/>
    <n v="1"/>
    <n v="1"/>
  </r>
  <r>
    <m/>
    <m/>
    <x v="1"/>
    <s v="45136421001001"/>
    <n v="-98.73"/>
    <n v="2518"/>
    <n v="1"/>
    <n v="1"/>
  </r>
  <r>
    <m/>
    <m/>
    <x v="1"/>
    <s v="45143631001001"/>
    <n v="-4.2699999999999996"/>
    <n v="109"/>
    <n v="1"/>
    <n v="1"/>
  </r>
  <r>
    <m/>
    <m/>
    <x v="1"/>
    <s v="45160921001001"/>
    <n v="-61.32"/>
    <n v="1564"/>
    <n v="1"/>
    <n v="1"/>
  </r>
  <r>
    <m/>
    <m/>
    <x v="1"/>
    <s v="45161201003001"/>
    <n v="-49.95"/>
    <n v="1274"/>
    <n v="1"/>
    <n v="1"/>
  </r>
  <r>
    <m/>
    <m/>
    <x v="1"/>
    <s v="45170721001001"/>
    <n v="-82.58"/>
    <n v="2106"/>
    <n v="1"/>
    <n v="1"/>
  </r>
  <r>
    <m/>
    <m/>
    <x v="1"/>
    <s v="45174711001002"/>
    <n v="-11.49"/>
    <n v="293"/>
    <n v="1"/>
    <n v="1"/>
  </r>
  <r>
    <m/>
    <m/>
    <x v="1"/>
    <s v="45188221002002"/>
    <n v="-75.64"/>
    <n v="1929"/>
    <n v="1"/>
    <n v="1"/>
  </r>
  <r>
    <m/>
    <m/>
    <x v="1"/>
    <s v="45190531001001"/>
    <n v="-29.33"/>
    <n v="748"/>
    <n v="1"/>
    <n v="1"/>
  </r>
  <r>
    <m/>
    <m/>
    <x v="1"/>
    <s v="45191721001004"/>
    <n v="-39.880000000000003"/>
    <n v="1017"/>
    <n v="1"/>
    <n v="1"/>
  </r>
  <r>
    <m/>
    <m/>
    <x v="1"/>
    <s v="45192001001001"/>
    <n v="-70.89"/>
    <n v="1808"/>
    <n v="1"/>
    <n v="1"/>
  </r>
  <r>
    <m/>
    <m/>
    <x v="1"/>
    <s v="45194661001001"/>
    <n v="-46.39"/>
    <n v="1183"/>
    <n v="1"/>
    <n v="1"/>
  </r>
  <r>
    <m/>
    <m/>
    <x v="1"/>
    <s v="45195641001001"/>
    <n v="-79.239999999999995"/>
    <n v="2021"/>
    <n v="1"/>
    <n v="1"/>
  </r>
  <r>
    <m/>
    <m/>
    <x v="1"/>
    <s v="45200261001001"/>
    <n v="-12.66"/>
    <n v="323"/>
    <n v="1"/>
    <n v="1"/>
  </r>
  <r>
    <m/>
    <m/>
    <x v="1"/>
    <s v="45204881002001"/>
    <n v="-14.43"/>
    <n v="368"/>
    <n v="1"/>
    <n v="1"/>
  </r>
  <r>
    <m/>
    <m/>
    <x v="1"/>
    <s v="45221093002001"/>
    <n v="-63.32"/>
    <n v="1615"/>
    <n v="1"/>
    <n v="1"/>
  </r>
  <r>
    <m/>
    <m/>
    <x v="1"/>
    <s v="45222165001003"/>
    <n v="-67.36"/>
    <n v="1718"/>
    <n v="1"/>
    <n v="1"/>
  </r>
  <r>
    <m/>
    <m/>
    <x v="1"/>
    <s v="45233441001001"/>
    <n v="-74.66"/>
    <n v="1904"/>
    <n v="1"/>
    <n v="1"/>
  </r>
  <r>
    <m/>
    <m/>
    <x v="1"/>
    <s v="45241140001003"/>
    <n v="-20.62"/>
    <n v="526"/>
    <n v="1"/>
    <n v="1"/>
  </r>
  <r>
    <m/>
    <m/>
    <x v="1"/>
    <s v="45259201001001"/>
    <n v="-58.54"/>
    <n v="1493"/>
    <n v="1"/>
    <n v="1"/>
  </r>
  <r>
    <m/>
    <m/>
    <x v="1"/>
    <s v="45324791001001"/>
    <n v="-154.33000000000001"/>
    <n v="3936"/>
    <n v="1"/>
    <n v="1"/>
  </r>
  <r>
    <m/>
    <m/>
    <x v="1"/>
    <s v="45329411001001"/>
    <n v="-8.39"/>
    <n v="214"/>
    <n v="1"/>
    <n v="1"/>
  </r>
  <r>
    <m/>
    <m/>
    <x v="1"/>
    <s v="45350901001001"/>
    <n v="-19.45"/>
    <n v="496"/>
    <n v="1"/>
    <n v="1"/>
  </r>
  <r>
    <m/>
    <m/>
    <x v="1"/>
    <s v="45353841001001"/>
    <n v="-45.52"/>
    <n v="1161"/>
    <n v="1"/>
    <n v="1"/>
  </r>
  <r>
    <m/>
    <m/>
    <x v="1"/>
    <s v="45356011003001"/>
    <n v="-95.12"/>
    <n v="2426"/>
    <n v="1"/>
    <n v="1"/>
  </r>
  <r>
    <m/>
    <m/>
    <x v="1"/>
    <s v="45382261001001"/>
    <n v="-87.75"/>
    <n v="2238"/>
    <n v="1"/>
    <n v="1"/>
  </r>
  <r>
    <m/>
    <m/>
    <x v="1"/>
    <s v="45384361001001"/>
    <n v="-81.87"/>
    <n v="2088"/>
    <n v="1"/>
    <n v="1"/>
  </r>
  <r>
    <m/>
    <m/>
    <x v="1"/>
    <s v="45389331002003"/>
    <n v="-8.43"/>
    <n v="215"/>
    <n v="1"/>
    <n v="1"/>
  </r>
  <r>
    <m/>
    <m/>
    <x v="1"/>
    <s v="45390801001001"/>
    <n v="-79.48"/>
    <n v="2027"/>
    <n v="1"/>
    <n v="1"/>
  </r>
  <r>
    <m/>
    <m/>
    <x v="1"/>
    <s v="45395421001001"/>
    <n v="-31.05"/>
    <n v="792"/>
    <n v="1"/>
    <n v="1"/>
  </r>
  <r>
    <m/>
    <m/>
    <x v="1"/>
    <s v="45451701001002"/>
    <n v="-136.02000000000001"/>
    <n v="3469"/>
    <n v="1"/>
    <n v="1"/>
  </r>
  <r>
    <m/>
    <m/>
    <x v="1"/>
    <s v="45466051001001"/>
    <n v="-61.64"/>
    <n v="1572"/>
    <n v="1"/>
    <n v="1"/>
  </r>
  <r>
    <m/>
    <m/>
    <x v="1"/>
    <s v="45469341007001"/>
    <n v="-145.19"/>
    <n v="3703"/>
    <n v="1"/>
    <n v="1"/>
  </r>
  <r>
    <m/>
    <m/>
    <x v="1"/>
    <s v="45472001001001"/>
    <n v="-40.39"/>
    <n v="1030"/>
    <n v="1"/>
    <n v="1"/>
  </r>
  <r>
    <m/>
    <m/>
    <x v="1"/>
    <s v="45473261001002"/>
    <n v="-158.80000000000001"/>
    <n v="4050"/>
    <n v="1"/>
    <n v="1"/>
  </r>
  <r>
    <m/>
    <m/>
    <x v="1"/>
    <s v="45491181001001"/>
    <n v="-2.63"/>
    <n v="67"/>
    <n v="1"/>
    <n v="1"/>
  </r>
  <r>
    <m/>
    <m/>
    <x v="1"/>
    <s v="45496921001002"/>
    <n v="-50.5"/>
    <n v="1288"/>
    <n v="1"/>
    <n v="1"/>
  </r>
  <r>
    <m/>
    <m/>
    <x v="1"/>
    <s v="45503921006001"/>
    <n v="-61.56"/>
    <n v="1570"/>
    <n v="1"/>
    <n v="1"/>
  </r>
  <r>
    <m/>
    <m/>
    <x v="1"/>
    <s v="45512671001001"/>
    <n v="-121.98"/>
    <n v="3111"/>
    <n v="1"/>
    <n v="1"/>
  </r>
  <r>
    <m/>
    <m/>
    <x v="1"/>
    <s v="45513791001001"/>
    <n v="-59.72"/>
    <n v="1523"/>
    <n v="1"/>
    <n v="1"/>
  </r>
  <r>
    <m/>
    <m/>
    <x v="1"/>
    <s v="45518411001001"/>
    <n v="-37.090000000000003"/>
    <n v="946"/>
    <n v="1"/>
    <n v="1"/>
  </r>
  <r>
    <m/>
    <m/>
    <x v="1"/>
    <s v="45525746001005"/>
    <n v="-86.58"/>
    <n v="2208"/>
    <n v="1"/>
    <n v="1"/>
  </r>
  <r>
    <m/>
    <m/>
    <x v="1"/>
    <s v="45526041001005"/>
    <n v="-38.39"/>
    <n v="979"/>
    <n v="1"/>
    <n v="1"/>
  </r>
  <r>
    <m/>
    <m/>
    <x v="1"/>
    <s v="45529821001003"/>
    <n v="-7.14"/>
    <n v="182"/>
    <n v="1"/>
    <n v="1"/>
  </r>
  <r>
    <m/>
    <m/>
    <x v="1"/>
    <s v="45532411001003"/>
    <n v="-24.43"/>
    <n v="623"/>
    <n v="1"/>
    <n v="1"/>
  </r>
  <r>
    <m/>
    <m/>
    <x v="1"/>
    <s v="45559221007005"/>
    <n v="-48.74"/>
    <n v="1243"/>
    <n v="1"/>
    <n v="1"/>
  </r>
  <r>
    <m/>
    <m/>
    <x v="1"/>
    <s v="45626771003001"/>
    <n v="-147.04"/>
    <n v="3750"/>
    <n v="1"/>
    <n v="1"/>
  </r>
  <r>
    <m/>
    <m/>
    <x v="1"/>
    <s v="45644831001001"/>
    <n v="-26.62"/>
    <n v="679"/>
    <n v="1"/>
    <n v="1"/>
  </r>
  <r>
    <m/>
    <m/>
    <x v="1"/>
    <s v="45645881001002"/>
    <n v="-151.86000000000001"/>
    <n v="3873"/>
    <n v="1"/>
    <n v="1"/>
  </r>
  <r>
    <m/>
    <m/>
    <x v="1"/>
    <s v="45725261001001"/>
    <n v="-95.16"/>
    <n v="2427"/>
    <n v="1"/>
    <n v="1"/>
  </r>
  <r>
    <m/>
    <m/>
    <x v="1"/>
    <s v="45742621001001"/>
    <n v="-62.27"/>
    <n v="1588"/>
    <n v="1"/>
    <n v="1"/>
  </r>
  <r>
    <m/>
    <m/>
    <x v="1"/>
    <s v="45751371001001"/>
    <n v="-8.23"/>
    <n v="210"/>
    <n v="1"/>
    <n v="1"/>
  </r>
  <r>
    <m/>
    <m/>
    <x v="1"/>
    <s v="45751441001001"/>
    <n v="-8.74"/>
    <n v="223"/>
    <n v="1"/>
    <n v="1"/>
  </r>
  <r>
    <m/>
    <m/>
    <x v="1"/>
    <s v="45755851001001"/>
    <n v="-44.03"/>
    <n v="1123"/>
    <n v="1"/>
    <n v="1"/>
  </r>
  <r>
    <m/>
    <m/>
    <x v="1"/>
    <s v="45768031001001"/>
    <n v="-42.54"/>
    <n v="1085"/>
    <n v="1"/>
    <n v="1"/>
  </r>
  <r>
    <m/>
    <m/>
    <x v="1"/>
    <s v="45771181001001"/>
    <n v="-65.56"/>
    <n v="1672"/>
    <n v="1"/>
    <n v="1"/>
  </r>
  <r>
    <m/>
    <m/>
    <x v="1"/>
    <s v="45785601001001"/>
    <n v="-24.82"/>
    <n v="633"/>
    <n v="1"/>
    <n v="1"/>
  </r>
  <r>
    <m/>
    <m/>
    <x v="1"/>
    <s v="45786091001001"/>
    <n v="-123.75"/>
    <n v="3156"/>
    <n v="1"/>
    <n v="1"/>
  </r>
  <r>
    <m/>
    <m/>
    <x v="1"/>
    <s v="45794821001001"/>
    <n v="-0.94"/>
    <n v="24"/>
    <n v="1"/>
    <n v="1"/>
  </r>
  <r>
    <m/>
    <m/>
    <x v="1"/>
    <s v="45799741001002"/>
    <n v="-103.16"/>
    <n v="2631"/>
    <n v="1"/>
    <n v="1"/>
  </r>
  <r>
    <m/>
    <m/>
    <x v="1"/>
    <s v="45848041001001"/>
    <n v="-127.47"/>
    <n v="3251"/>
    <n v="1"/>
    <n v="1"/>
  </r>
  <r>
    <m/>
    <m/>
    <x v="1"/>
    <s v="45884231001001"/>
    <n v="-120.81"/>
    <n v="3081"/>
    <n v="1"/>
    <n v="1"/>
  </r>
  <r>
    <m/>
    <m/>
    <x v="1"/>
    <s v="45896761002001"/>
    <n v="-26.9"/>
    <n v="686"/>
    <n v="1"/>
    <n v="1"/>
  </r>
  <r>
    <m/>
    <m/>
    <x v="1"/>
    <s v="45918951003002"/>
    <n v="-48.07"/>
    <n v="1226"/>
    <n v="1"/>
    <n v="1"/>
  </r>
  <r>
    <m/>
    <m/>
    <x v="1"/>
    <s v="45919931008001"/>
    <n v="-39.01"/>
    <n v="995"/>
    <n v="1"/>
    <n v="1"/>
  </r>
  <r>
    <m/>
    <m/>
    <x v="1"/>
    <s v="45931061001003"/>
    <n v="-70.23"/>
    <n v="1791"/>
    <n v="1"/>
    <n v="1"/>
  </r>
  <r>
    <m/>
    <m/>
    <x v="1"/>
    <s v="45934211002001"/>
    <n v="-77.13"/>
    <n v="1967"/>
    <n v="1"/>
    <n v="1"/>
  </r>
  <r>
    <m/>
    <m/>
    <x v="1"/>
    <s v="45943591002001"/>
    <n v="-22.04"/>
    <n v="562"/>
    <n v="1"/>
    <n v="1"/>
  </r>
  <r>
    <m/>
    <m/>
    <x v="1"/>
    <s v="45996931001002"/>
    <n v="-14.98"/>
    <n v="382"/>
    <n v="1"/>
    <n v="1"/>
  </r>
  <r>
    <m/>
    <m/>
    <x v="1"/>
    <s v="46014571002003"/>
    <n v="-41.99"/>
    <n v="1071"/>
    <n v="1"/>
    <n v="1"/>
  </r>
  <r>
    <m/>
    <m/>
    <x v="1"/>
    <s v="46026754003007"/>
    <n v="-44.03"/>
    <n v="1123"/>
    <n v="1"/>
    <n v="1"/>
  </r>
  <r>
    <m/>
    <m/>
    <x v="1"/>
    <s v="46042851003005"/>
    <n v="-52.19"/>
    <n v="1331"/>
    <n v="1"/>
    <n v="1"/>
  </r>
  <r>
    <m/>
    <m/>
    <x v="1"/>
    <s v="46074210001001"/>
    <n v="-60.46"/>
    <n v="1542"/>
    <n v="1"/>
    <n v="1"/>
  </r>
  <r>
    <m/>
    <m/>
    <x v="1"/>
    <s v="46120971001001"/>
    <n v="-24.19"/>
    <n v="617"/>
    <n v="1"/>
    <n v="1"/>
  </r>
  <r>
    <m/>
    <m/>
    <x v="1"/>
    <s v="46135041001002"/>
    <n v="-119.24"/>
    <n v="3041"/>
    <n v="1"/>
    <n v="1"/>
  </r>
  <r>
    <m/>
    <m/>
    <x v="1"/>
    <s v="46146381001003"/>
    <n v="-93.79"/>
    <n v="2392"/>
    <n v="1"/>
    <n v="1"/>
  </r>
  <r>
    <m/>
    <m/>
    <x v="1"/>
    <s v="46153451002002"/>
    <n v="-35.29"/>
    <n v="900"/>
    <n v="1"/>
    <n v="1"/>
  </r>
  <r>
    <m/>
    <m/>
    <x v="1"/>
    <s v="46176053001002"/>
    <n v="-89.24"/>
    <n v="2276"/>
    <n v="1"/>
    <n v="1"/>
  </r>
  <r>
    <m/>
    <m/>
    <x v="1"/>
    <s v="46178853001001"/>
    <n v="-0.71"/>
    <n v="18"/>
    <n v="1"/>
    <n v="1"/>
  </r>
  <r>
    <m/>
    <m/>
    <x v="1"/>
    <s v="46246869001009"/>
    <n v="-46.35"/>
    <n v="1182"/>
    <n v="1"/>
    <n v="1"/>
  </r>
  <r>
    <m/>
    <m/>
    <x v="1"/>
    <s v="46246971001001"/>
    <n v="-170.01"/>
    <n v="4336"/>
    <n v="1"/>
    <n v="1"/>
  </r>
  <r>
    <m/>
    <m/>
    <x v="1"/>
    <s v="46253481001006"/>
    <n v="-10.08"/>
    <n v="257"/>
    <n v="1"/>
    <n v="1"/>
  </r>
  <r>
    <m/>
    <m/>
    <x v="1"/>
    <s v="46289951001001"/>
    <n v="-49.25"/>
    <n v="1256"/>
    <n v="1"/>
    <n v="1"/>
  </r>
  <r>
    <m/>
    <m/>
    <x v="1"/>
    <s v="46322361003003"/>
    <n v="-116.3"/>
    <n v="2966"/>
    <n v="1"/>
    <n v="1"/>
  </r>
  <r>
    <m/>
    <m/>
    <x v="1"/>
    <s v="46327821002001"/>
    <n v="-81.91"/>
    <n v="2089"/>
    <n v="1"/>
    <n v="1"/>
  </r>
  <r>
    <m/>
    <m/>
    <x v="1"/>
    <s v="46336781001001"/>
    <n v="-62.03"/>
    <n v="1582"/>
    <n v="1"/>
    <n v="1"/>
  </r>
  <r>
    <m/>
    <m/>
    <x v="1"/>
    <s v="46338531001001"/>
    <n v="-46.27"/>
    <n v="1180"/>
    <n v="1"/>
    <n v="1"/>
  </r>
  <r>
    <m/>
    <m/>
    <x v="1"/>
    <s v="46341891001007"/>
    <n v="-61.83"/>
    <n v="1577"/>
    <n v="1"/>
    <n v="1"/>
  </r>
  <r>
    <m/>
    <m/>
    <x v="1"/>
    <s v="46350221006001"/>
    <n v="-11.41"/>
    <n v="291"/>
    <n v="1"/>
    <n v="1"/>
  </r>
  <r>
    <m/>
    <m/>
    <x v="1"/>
    <s v="46367511001007"/>
    <n v="-10.7"/>
    <n v="273"/>
    <n v="1"/>
    <n v="1"/>
  </r>
  <r>
    <m/>
    <m/>
    <x v="1"/>
    <s v="46370031001001"/>
    <n v="-118.37"/>
    <n v="3019"/>
    <n v="1"/>
    <n v="1"/>
  </r>
  <r>
    <m/>
    <m/>
    <x v="1"/>
    <s v="46400411001001"/>
    <n v="-11.06"/>
    <n v="282"/>
    <n v="1"/>
    <n v="1"/>
  </r>
  <r>
    <m/>
    <m/>
    <x v="1"/>
    <s v="46421145001001"/>
    <n v="-58.82"/>
    <n v="1500"/>
    <n v="1"/>
    <n v="1"/>
  </r>
  <r>
    <m/>
    <m/>
    <x v="1"/>
    <s v="46458791001003"/>
    <n v="-65.91"/>
    <n v="1681"/>
    <n v="1"/>
    <n v="1"/>
  </r>
  <r>
    <m/>
    <m/>
    <x v="1"/>
    <s v="46475241001003"/>
    <n v="-52.5"/>
    <n v="1339"/>
    <n v="1"/>
    <n v="1"/>
  </r>
  <r>
    <m/>
    <m/>
    <x v="1"/>
    <s v="46482661001005"/>
    <n v="-86.73"/>
    <n v="2212"/>
    <n v="1"/>
    <n v="1"/>
  </r>
  <r>
    <m/>
    <m/>
    <x v="1"/>
    <s v="46488681001003"/>
    <n v="-77.05"/>
    <n v="1965"/>
    <n v="1"/>
    <n v="1"/>
  </r>
  <r>
    <m/>
    <m/>
    <x v="1"/>
    <s v="46504501001001"/>
    <n v="-34.39"/>
    <n v="877"/>
    <n v="1"/>
    <n v="1"/>
  </r>
  <r>
    <m/>
    <m/>
    <x v="1"/>
    <s v="46578701001001"/>
    <n v="-10.08"/>
    <n v="257"/>
    <n v="1"/>
    <n v="1"/>
  </r>
  <r>
    <m/>
    <m/>
    <x v="1"/>
    <s v="46581641003003"/>
    <n v="-19.170000000000002"/>
    <n v="489"/>
    <n v="1"/>
    <n v="1"/>
  </r>
  <r>
    <m/>
    <m/>
    <x v="1"/>
    <s v="46594231002001"/>
    <n v="-68.58"/>
    <n v="1749"/>
    <n v="1"/>
    <n v="1"/>
  </r>
  <r>
    <m/>
    <m/>
    <x v="1"/>
    <s v="46605651001001"/>
    <n v="-39.17"/>
    <n v="999"/>
    <n v="1"/>
    <n v="1"/>
  </r>
  <r>
    <m/>
    <m/>
    <x v="1"/>
    <s v="46649901001004"/>
    <n v="-30.19"/>
    <n v="770"/>
    <n v="1"/>
    <n v="1"/>
  </r>
  <r>
    <m/>
    <m/>
    <x v="1"/>
    <s v="46752049002013"/>
    <n v="-76.069999999999993"/>
    <n v="1940"/>
    <n v="1"/>
    <n v="1"/>
  </r>
  <r>
    <m/>
    <m/>
    <x v="1"/>
    <s v="46763571002001"/>
    <n v="-4.3499999999999996"/>
    <n v="111"/>
    <n v="1"/>
    <n v="1"/>
  </r>
  <r>
    <m/>
    <m/>
    <x v="1"/>
    <s v="46769241002001"/>
    <n v="-83.24"/>
    <n v="2123"/>
    <n v="1"/>
    <n v="1"/>
  </r>
  <r>
    <m/>
    <m/>
    <x v="1"/>
    <s v="46784991001003"/>
    <n v="-88.65"/>
    <n v="2261"/>
    <n v="1"/>
    <n v="1"/>
  </r>
  <r>
    <m/>
    <m/>
    <x v="1"/>
    <s v="46791361001012"/>
    <n v="-16.78"/>
    <n v="428"/>
    <n v="1"/>
    <n v="1"/>
  </r>
  <r>
    <m/>
    <m/>
    <x v="1"/>
    <s v="46805851001001"/>
    <n v="-41.21"/>
    <n v="1051"/>
    <n v="1"/>
    <n v="1"/>
  </r>
  <r>
    <m/>
    <m/>
    <x v="1"/>
    <s v="46824191001001"/>
    <n v="-77.09"/>
    <n v="1966"/>
    <n v="1"/>
    <n v="1"/>
  </r>
  <r>
    <m/>
    <m/>
    <x v="1"/>
    <s v="46829091001001"/>
    <n v="-43.76"/>
    <n v="1116"/>
    <n v="1"/>
    <n v="1"/>
  </r>
  <r>
    <m/>
    <m/>
    <x v="1"/>
    <s v="46831051002001"/>
    <n v="-62.58"/>
    <n v="1596"/>
    <n v="1"/>
    <n v="1"/>
  </r>
  <r>
    <m/>
    <m/>
    <x v="1"/>
    <s v="46858841001004"/>
    <n v="-145.74"/>
    <n v="3717"/>
    <n v="1"/>
    <n v="1"/>
  </r>
  <r>
    <m/>
    <m/>
    <x v="1"/>
    <s v="46867241001005"/>
    <n v="-37.29"/>
    <n v="951"/>
    <n v="1"/>
    <n v="1"/>
  </r>
  <r>
    <m/>
    <m/>
    <x v="1"/>
    <s v="46883740001002"/>
    <n v="-70.81"/>
    <n v="1806"/>
    <n v="1"/>
    <n v="1"/>
  </r>
  <r>
    <m/>
    <m/>
    <x v="1"/>
    <s v="46905092001001"/>
    <n v="-61.25"/>
    <n v="1562"/>
    <n v="1"/>
    <n v="1"/>
  </r>
  <r>
    <m/>
    <m/>
    <x v="1"/>
    <s v="46948371001001"/>
    <n v="-36.15"/>
    <n v="922"/>
    <n v="1"/>
    <n v="1"/>
  </r>
  <r>
    <m/>
    <m/>
    <x v="1"/>
    <s v="46950121002001"/>
    <n v="-22.23"/>
    <n v="567"/>
    <n v="1"/>
    <n v="1"/>
  </r>
  <r>
    <m/>
    <m/>
    <x v="1"/>
    <s v="46950191001002"/>
    <n v="-2.31"/>
    <n v="59"/>
    <n v="1"/>
    <n v="1"/>
  </r>
  <r>
    <m/>
    <m/>
    <x v="1"/>
    <s v="46962301001002"/>
    <n v="-18.43"/>
    <n v="470"/>
    <n v="1"/>
    <n v="1"/>
  </r>
  <r>
    <m/>
    <m/>
    <x v="1"/>
    <s v="46966151001003"/>
    <n v="-22.82"/>
    <n v="582"/>
    <n v="1"/>
    <n v="1"/>
  </r>
  <r>
    <m/>
    <m/>
    <x v="1"/>
    <s v="47001382001001"/>
    <n v="-142.72"/>
    <n v="3640"/>
    <n v="1"/>
    <n v="1"/>
  </r>
  <r>
    <m/>
    <m/>
    <x v="1"/>
    <s v="47057417001008"/>
    <n v="-36.15"/>
    <n v="922"/>
    <n v="1"/>
    <n v="1"/>
  </r>
  <r>
    <m/>
    <m/>
    <x v="1"/>
    <s v="47139891001002"/>
    <n v="-35.99"/>
    <n v="918"/>
    <n v="1"/>
    <n v="1"/>
  </r>
  <r>
    <m/>
    <m/>
    <x v="1"/>
    <s v="47140101001006"/>
    <n v="-60.23"/>
    <n v="1536"/>
    <n v="1"/>
    <n v="1"/>
  </r>
  <r>
    <m/>
    <m/>
    <x v="1"/>
    <s v="47142481001004"/>
    <n v="-32.07"/>
    <n v="818"/>
    <n v="1"/>
    <n v="1"/>
  </r>
  <r>
    <m/>
    <m/>
    <x v="1"/>
    <s v="47161241001003"/>
    <n v="-53.01"/>
    <n v="1352"/>
    <n v="1"/>
    <n v="1"/>
  </r>
  <r>
    <m/>
    <m/>
    <x v="1"/>
    <s v="47180631003001"/>
    <n v="-52.97"/>
    <n v="1351"/>
    <n v="1"/>
    <n v="1"/>
  </r>
  <r>
    <m/>
    <m/>
    <x v="1"/>
    <s v="47194351001001"/>
    <n v="-37.99"/>
    <n v="969"/>
    <n v="1"/>
    <n v="1"/>
  </r>
  <r>
    <m/>
    <m/>
    <x v="1"/>
    <s v="47198691002001"/>
    <n v="-85.36"/>
    <n v="2177"/>
    <n v="1"/>
    <n v="1"/>
  </r>
  <r>
    <m/>
    <m/>
    <x v="1"/>
    <s v="47205271001007"/>
    <n v="-32.47"/>
    <n v="828"/>
    <n v="1"/>
    <n v="1"/>
  </r>
  <r>
    <m/>
    <m/>
    <x v="1"/>
    <s v="47230121003006"/>
    <n v="-14.59"/>
    <n v="372"/>
    <n v="1"/>
    <n v="1"/>
  </r>
  <r>
    <m/>
    <m/>
    <x v="1"/>
    <s v="47231801001002"/>
    <n v="-36.39"/>
    <n v="928"/>
    <n v="1"/>
    <n v="1"/>
  </r>
  <r>
    <m/>
    <m/>
    <x v="1"/>
    <s v="47237681002003"/>
    <n v="-116.45"/>
    <n v="2970"/>
    <n v="1"/>
    <n v="1"/>
  </r>
  <r>
    <m/>
    <m/>
    <x v="1"/>
    <s v="47327071005001"/>
    <n v="-37.68"/>
    <n v="961"/>
    <n v="1"/>
    <n v="1"/>
  </r>
  <r>
    <m/>
    <m/>
    <x v="1"/>
    <s v="47328821001007"/>
    <n v="-67.87"/>
    <n v="1731"/>
    <n v="1"/>
    <n v="1"/>
  </r>
  <r>
    <m/>
    <m/>
    <x v="1"/>
    <s v="47345831001004"/>
    <n v="-45.09"/>
    <n v="1150"/>
    <n v="1"/>
    <n v="1"/>
  </r>
  <r>
    <m/>
    <m/>
    <x v="1"/>
    <s v="47354441001003"/>
    <n v="-114.57"/>
    <n v="2922"/>
    <n v="1"/>
    <n v="1"/>
  </r>
  <r>
    <m/>
    <m/>
    <x v="1"/>
    <s v="47354861004001"/>
    <n v="-13.1"/>
    <n v="334"/>
    <n v="1"/>
    <n v="1"/>
  </r>
  <r>
    <m/>
    <m/>
    <x v="1"/>
    <s v="47356829001002"/>
    <n v="-24.55"/>
    <n v="626"/>
    <n v="1"/>
    <n v="1"/>
  </r>
  <r>
    <m/>
    <m/>
    <x v="1"/>
    <s v="47363051001001"/>
    <n v="-53.4"/>
    <n v="1362"/>
    <n v="1"/>
    <n v="1"/>
  </r>
  <r>
    <m/>
    <m/>
    <x v="1"/>
    <s v="47376841002006"/>
    <n v="-38.5"/>
    <n v="982"/>
    <n v="1"/>
    <n v="1"/>
  </r>
  <r>
    <m/>
    <m/>
    <x v="1"/>
    <s v="47382371002004"/>
    <n v="-8.08"/>
    <n v="206"/>
    <n v="1"/>
    <n v="1"/>
  </r>
  <r>
    <m/>
    <m/>
    <x v="1"/>
    <s v="47414851004001"/>
    <n v="-85.12"/>
    <n v="2171"/>
    <n v="1"/>
    <n v="1"/>
  </r>
  <r>
    <m/>
    <m/>
    <x v="1"/>
    <s v="47445167002001"/>
    <n v="-47.64"/>
    <n v="1215"/>
    <n v="1"/>
    <n v="1"/>
  </r>
  <r>
    <m/>
    <m/>
    <x v="1"/>
    <s v="47456402001001"/>
    <n v="-97.83"/>
    <n v="2495"/>
    <n v="1"/>
    <n v="1"/>
  </r>
  <r>
    <m/>
    <m/>
    <x v="1"/>
    <s v="47467482001001"/>
    <n v="-0.04"/>
    <n v="1"/>
    <n v="1"/>
    <n v="1"/>
  </r>
  <r>
    <m/>
    <m/>
    <x v="1"/>
    <s v="47467911001002"/>
    <n v="-26.31"/>
    <n v="671"/>
    <n v="1"/>
    <n v="1"/>
  </r>
  <r>
    <m/>
    <m/>
    <x v="1"/>
    <s v="47541901001001"/>
    <n v="-56.11"/>
    <n v="1431"/>
    <n v="1"/>
    <n v="1"/>
  </r>
  <r>
    <m/>
    <m/>
    <x v="1"/>
    <s v="47552611001001"/>
    <n v="-106.38"/>
    <n v="2713"/>
    <n v="1"/>
    <n v="1"/>
  </r>
  <r>
    <m/>
    <m/>
    <x v="1"/>
    <s v="47555411002001"/>
    <n v="-70.03"/>
    <n v="1786"/>
    <n v="1"/>
    <n v="1"/>
  </r>
  <r>
    <m/>
    <m/>
    <x v="1"/>
    <s v="47585534001003"/>
    <n v="-26.94"/>
    <n v="687"/>
    <n v="1"/>
    <n v="1"/>
  </r>
  <r>
    <m/>
    <m/>
    <x v="1"/>
    <s v="47596151001005"/>
    <n v="-31.45"/>
    <n v="802"/>
    <n v="1"/>
    <n v="1"/>
  </r>
  <r>
    <m/>
    <m/>
    <x v="1"/>
    <s v="47605461003004"/>
    <n v="-74.38"/>
    <n v="1897"/>
    <n v="1"/>
    <n v="1"/>
  </r>
  <r>
    <m/>
    <m/>
    <x v="1"/>
    <s v="47670141001007"/>
    <n v="-25.84"/>
    <n v="659"/>
    <n v="1"/>
    <n v="1"/>
  </r>
  <r>
    <m/>
    <m/>
    <x v="1"/>
    <s v="47674271002001"/>
    <n v="-51.52"/>
    <n v="1314"/>
    <n v="1"/>
    <n v="1"/>
  </r>
  <r>
    <m/>
    <m/>
    <x v="1"/>
    <s v="47760721004001"/>
    <n v="-40.39"/>
    <n v="1030"/>
    <n v="1"/>
    <n v="1"/>
  </r>
  <r>
    <m/>
    <m/>
    <x v="1"/>
    <s v="47767651001002"/>
    <n v="-32.979999999999997"/>
    <n v="841"/>
    <n v="1"/>
    <n v="1"/>
  </r>
  <r>
    <m/>
    <m/>
    <x v="1"/>
    <s v="47770451001002"/>
    <n v="-45.91"/>
    <n v="1171"/>
    <n v="1"/>
    <n v="1"/>
  </r>
  <r>
    <m/>
    <m/>
    <x v="1"/>
    <s v="47821341001001"/>
    <n v="-40.78"/>
    <n v="1040"/>
    <n v="1"/>
    <n v="1"/>
  </r>
  <r>
    <m/>
    <m/>
    <x v="1"/>
    <s v="47822951004003"/>
    <n v="-1.65"/>
    <n v="42"/>
    <n v="1"/>
    <n v="1"/>
  </r>
  <r>
    <m/>
    <m/>
    <x v="1"/>
    <s v="47837581001001"/>
    <n v="-47.37"/>
    <n v="1208"/>
    <n v="1"/>
    <n v="1"/>
  </r>
  <r>
    <m/>
    <m/>
    <x v="1"/>
    <s v="47852771008001"/>
    <n v="-35.99"/>
    <n v="918"/>
    <n v="1"/>
    <n v="1"/>
  </r>
  <r>
    <m/>
    <m/>
    <x v="1"/>
    <s v="47854171001002"/>
    <n v="-95.75"/>
    <n v="2442"/>
    <n v="1"/>
    <n v="1"/>
  </r>
  <r>
    <m/>
    <m/>
    <x v="1"/>
    <s v="47876291003003"/>
    <n v="-52.82"/>
    <n v="1347"/>
    <n v="1"/>
    <n v="1"/>
  </r>
  <r>
    <m/>
    <m/>
    <x v="1"/>
    <s v="47907161002002"/>
    <n v="-54.89"/>
    <n v="1400"/>
    <n v="1"/>
    <n v="1"/>
  </r>
  <r>
    <m/>
    <m/>
    <x v="1"/>
    <s v="47909401001001"/>
    <n v="-9.25"/>
    <n v="236"/>
    <n v="1"/>
    <n v="1"/>
  </r>
  <r>
    <m/>
    <m/>
    <x v="1"/>
    <s v="47912897001001"/>
    <n v="-23.92"/>
    <n v="610"/>
    <n v="1"/>
    <n v="1"/>
  </r>
  <r>
    <m/>
    <m/>
    <x v="1"/>
    <s v="47943771006001"/>
    <n v="-92.5"/>
    <n v="2359"/>
    <n v="1"/>
    <n v="1"/>
  </r>
  <r>
    <m/>
    <m/>
    <x v="1"/>
    <s v="47943981001003"/>
    <n v="-53.33"/>
    <n v="1360"/>
    <n v="1"/>
    <n v="1"/>
  </r>
  <r>
    <m/>
    <m/>
    <x v="1"/>
    <s v="47971841001005"/>
    <n v="-54.82"/>
    <n v="1398"/>
    <n v="1"/>
    <n v="1"/>
  </r>
  <r>
    <m/>
    <m/>
    <x v="1"/>
    <s v="48036521001001"/>
    <n v="-71.599999999999994"/>
    <n v="1826"/>
    <n v="1"/>
    <n v="1"/>
  </r>
  <r>
    <m/>
    <m/>
    <x v="1"/>
    <s v="48037781003001"/>
    <n v="-56.97"/>
    <n v="1453"/>
    <n v="1"/>
    <n v="1"/>
  </r>
  <r>
    <m/>
    <m/>
    <x v="1"/>
    <s v="48048211001001"/>
    <n v="-58.93"/>
    <n v="1503"/>
    <n v="1"/>
    <n v="1"/>
  </r>
  <r>
    <m/>
    <m/>
    <x v="1"/>
    <s v="48058431001001"/>
    <n v="-81.83"/>
    <n v="2087"/>
    <n v="1"/>
    <n v="1"/>
  </r>
  <r>
    <m/>
    <m/>
    <x v="1"/>
    <s v="48078640001004"/>
    <n v="-44.9"/>
    <n v="1145"/>
    <n v="1"/>
    <n v="1"/>
  </r>
  <r>
    <m/>
    <m/>
    <x v="1"/>
    <s v="48115691001003"/>
    <n v="-28.27"/>
    <n v="721"/>
    <n v="1"/>
    <n v="1"/>
  </r>
  <r>
    <m/>
    <m/>
    <x v="1"/>
    <s v="48121641002006"/>
    <n v="-70.38"/>
    <n v="1795"/>
    <n v="1"/>
    <n v="1"/>
  </r>
  <r>
    <m/>
    <m/>
    <x v="1"/>
    <s v="48168055001001"/>
    <n v="-90.14"/>
    <n v="2299"/>
    <n v="1"/>
    <n v="1"/>
  </r>
  <r>
    <m/>
    <m/>
    <x v="1"/>
    <s v="48182681001001"/>
    <n v="-33.92"/>
    <n v="865"/>
    <n v="1"/>
    <n v="1"/>
  </r>
  <r>
    <m/>
    <m/>
    <x v="1"/>
    <s v="48194791003001"/>
    <n v="-59.25"/>
    <n v="1511"/>
    <n v="1"/>
    <n v="1"/>
  </r>
  <r>
    <m/>
    <m/>
    <x v="1"/>
    <s v="48219833001001"/>
    <n v="-102.85"/>
    <n v="2623"/>
    <n v="1"/>
    <n v="1"/>
  </r>
  <r>
    <m/>
    <m/>
    <x v="1"/>
    <s v="48221391002003"/>
    <n v="-46.7"/>
    <n v="1191"/>
    <n v="1"/>
    <n v="1"/>
  </r>
  <r>
    <m/>
    <m/>
    <x v="1"/>
    <s v="48278021001002"/>
    <n v="-23.76"/>
    <n v="606"/>
    <n v="1"/>
    <n v="1"/>
  </r>
  <r>
    <m/>
    <m/>
    <x v="1"/>
    <s v="48368531001006"/>
    <n v="-53.52"/>
    <n v="1365"/>
    <n v="1"/>
    <n v="1"/>
  </r>
  <r>
    <m/>
    <m/>
    <x v="1"/>
    <s v="48398584006001"/>
    <n v="-60.93"/>
    <n v="1554"/>
    <n v="1"/>
    <n v="1"/>
  </r>
  <r>
    <m/>
    <m/>
    <x v="1"/>
    <s v="48438811004001"/>
    <n v="-48.62"/>
    <n v="1240"/>
    <n v="1"/>
    <n v="1"/>
  </r>
  <r>
    <m/>
    <m/>
    <x v="1"/>
    <s v="48455961001001"/>
    <n v="-4.55"/>
    <n v="116"/>
    <n v="1"/>
    <n v="1"/>
  </r>
  <r>
    <m/>
    <m/>
    <x v="1"/>
    <s v="48551861002001"/>
    <n v="-11.57"/>
    <n v="295"/>
    <n v="1"/>
    <n v="1"/>
  </r>
  <r>
    <m/>
    <m/>
    <x v="1"/>
    <s v="48581489001001"/>
    <n v="-88.14"/>
    <n v="2248"/>
    <n v="1"/>
    <n v="1"/>
  </r>
  <r>
    <m/>
    <m/>
    <x v="1"/>
    <s v="48629818001001"/>
    <n v="-39.049999999999997"/>
    <n v="996"/>
    <n v="1"/>
    <n v="1"/>
  </r>
  <r>
    <m/>
    <m/>
    <x v="1"/>
    <s v="48660341001001"/>
    <n v="-23.45"/>
    <n v="598"/>
    <n v="1"/>
    <n v="1"/>
  </r>
  <r>
    <m/>
    <m/>
    <x v="1"/>
    <s v="48684021001001"/>
    <n v="-111.36"/>
    <n v="2840"/>
    <n v="1"/>
    <n v="1"/>
  </r>
  <r>
    <m/>
    <m/>
    <x v="1"/>
    <s v="48752136001002"/>
    <n v="-20.149999999999999"/>
    <n v="514"/>
    <n v="1"/>
    <n v="1"/>
  </r>
  <r>
    <m/>
    <m/>
    <x v="1"/>
    <s v="48762278001001"/>
    <n v="-50.19"/>
    <n v="1280"/>
    <n v="1"/>
    <n v="1"/>
  </r>
  <r>
    <m/>
    <m/>
    <x v="1"/>
    <s v="48804422001006"/>
    <n v="-22.58"/>
    <n v="576"/>
    <n v="1"/>
    <n v="1"/>
  </r>
  <r>
    <m/>
    <m/>
    <x v="1"/>
    <s v="48813381002001"/>
    <n v="-71.209999999999994"/>
    <n v="1816"/>
    <n v="1"/>
    <n v="1"/>
  </r>
  <r>
    <m/>
    <m/>
    <x v="1"/>
    <s v="48826277001001"/>
    <n v="-95.91"/>
    <n v="2446"/>
    <n v="1"/>
    <n v="1"/>
  </r>
  <r>
    <m/>
    <m/>
    <x v="1"/>
    <s v="48834171001003"/>
    <n v="-63.44"/>
    <n v="1618"/>
    <n v="1"/>
    <n v="1"/>
  </r>
  <r>
    <m/>
    <m/>
    <x v="1"/>
    <s v="48845721001001"/>
    <n v="-52.7"/>
    <n v="1344"/>
    <n v="1"/>
    <n v="1"/>
  </r>
  <r>
    <m/>
    <m/>
    <x v="1"/>
    <s v="49166301001001"/>
    <n v="-38.35"/>
    <n v="978"/>
    <n v="1"/>
    <n v="1"/>
  </r>
  <r>
    <m/>
    <m/>
    <x v="1"/>
    <s v="49180461001001"/>
    <n v="-18.23"/>
    <n v="465"/>
    <n v="1"/>
    <n v="1"/>
  </r>
  <r>
    <m/>
    <m/>
    <x v="1"/>
    <s v="49187126001001"/>
    <n v="-105.08"/>
    <n v="2680"/>
    <n v="1"/>
    <n v="1"/>
  </r>
  <r>
    <m/>
    <m/>
    <x v="1"/>
    <s v="49267961004003"/>
    <n v="-23.33"/>
    <n v="595"/>
    <n v="1"/>
    <n v="1"/>
  </r>
  <r>
    <m/>
    <m/>
    <x v="1"/>
    <s v="49276322001004"/>
    <n v="-130.69"/>
    <n v="3333"/>
    <n v="1"/>
    <n v="1"/>
  </r>
  <r>
    <m/>
    <m/>
    <x v="1"/>
    <s v="49298970001001"/>
    <n v="-64.540000000000006"/>
    <n v="1646"/>
    <n v="1"/>
    <n v="1"/>
  </r>
  <r>
    <m/>
    <m/>
    <x v="1"/>
    <s v="49315865001001"/>
    <n v="-36.78"/>
    <n v="938"/>
    <n v="1"/>
    <n v="1"/>
  </r>
  <r>
    <m/>
    <m/>
    <x v="1"/>
    <s v="49326370001005"/>
    <n v="-79.36"/>
    <n v="2024"/>
    <n v="1"/>
    <n v="1"/>
  </r>
  <r>
    <m/>
    <m/>
    <x v="1"/>
    <s v="49371491001002"/>
    <n v="-111.08"/>
    <n v="2833"/>
    <n v="1"/>
    <n v="1"/>
  </r>
  <r>
    <m/>
    <m/>
    <x v="1"/>
    <s v="49448561001001"/>
    <n v="-116.14"/>
    <n v="2962"/>
    <n v="1"/>
    <n v="1"/>
  </r>
  <r>
    <m/>
    <m/>
    <x v="1"/>
    <s v="49554261003001"/>
    <n v="-61.48"/>
    <n v="1568"/>
    <n v="1"/>
    <n v="1"/>
  </r>
  <r>
    <m/>
    <m/>
    <x v="1"/>
    <s v="49570081001002"/>
    <n v="-32.31"/>
    <n v="824"/>
    <n v="1"/>
    <n v="1"/>
  </r>
  <r>
    <m/>
    <m/>
    <x v="1"/>
    <s v="49580441001001"/>
    <n v="-43.76"/>
    <n v="1116"/>
    <n v="1"/>
    <n v="1"/>
  </r>
  <r>
    <m/>
    <m/>
    <x v="1"/>
    <s v="49581631001005"/>
    <n v="-49.64"/>
    <n v="1266"/>
    <n v="1"/>
    <n v="1"/>
  </r>
  <r>
    <m/>
    <m/>
    <x v="1"/>
    <s v="49591431001003"/>
    <n v="-11.68"/>
    <n v="298"/>
    <n v="1"/>
    <n v="1"/>
  </r>
  <r>
    <m/>
    <m/>
    <x v="1"/>
    <s v="49600181003002"/>
    <n v="-60.74"/>
    <n v="1549"/>
    <n v="1"/>
    <n v="1"/>
  </r>
  <r>
    <m/>
    <m/>
    <x v="1"/>
    <s v="49602561001001"/>
    <n v="-47.99"/>
    <n v="1224"/>
    <n v="1"/>
    <n v="1"/>
  </r>
  <r>
    <m/>
    <m/>
    <x v="1"/>
    <s v="49608231003009"/>
    <n v="-90.58"/>
    <n v="2310"/>
    <n v="1"/>
    <n v="1"/>
  </r>
  <r>
    <m/>
    <m/>
    <x v="1"/>
    <s v="49649391002003"/>
    <n v="-73.52"/>
    <n v="1875"/>
    <n v="1"/>
    <n v="1"/>
  </r>
  <r>
    <m/>
    <m/>
    <x v="1"/>
    <s v="49693491002008"/>
    <n v="-39.6"/>
    <n v="1010"/>
    <n v="1"/>
    <n v="1"/>
  </r>
  <r>
    <m/>
    <m/>
    <x v="1"/>
    <s v="49702654001002"/>
    <n v="-15.41"/>
    <n v="393"/>
    <n v="1"/>
    <n v="1"/>
  </r>
  <r>
    <m/>
    <m/>
    <x v="1"/>
    <s v="49716043001002"/>
    <n v="-25.96"/>
    <n v="662"/>
    <n v="1"/>
    <n v="1"/>
  </r>
  <r>
    <m/>
    <m/>
    <x v="1"/>
    <s v="49717151001001"/>
    <n v="-68.069999999999993"/>
    <n v="1736"/>
    <n v="1"/>
    <n v="1"/>
  </r>
  <r>
    <m/>
    <m/>
    <x v="1"/>
    <s v="49735399001001"/>
    <n v="-36.35"/>
    <n v="927"/>
    <n v="1"/>
    <n v="1"/>
  </r>
  <r>
    <m/>
    <m/>
    <x v="1"/>
    <s v="49761531001001"/>
    <n v="-60.03"/>
    <n v="1531"/>
    <n v="1"/>
    <n v="1"/>
  </r>
  <r>
    <m/>
    <m/>
    <x v="1"/>
    <s v="49809621001004"/>
    <n v="-20.190000000000001"/>
    <n v="515"/>
    <n v="1"/>
    <n v="1"/>
  </r>
  <r>
    <m/>
    <m/>
    <x v="1"/>
    <s v="49828031002004"/>
    <n v="-87.32"/>
    <n v="2227"/>
    <n v="1"/>
    <n v="1"/>
  </r>
  <r>
    <m/>
    <m/>
    <x v="1"/>
    <s v="49841331001004"/>
    <n v="-42.78"/>
    <n v="1091"/>
    <n v="1"/>
    <n v="1"/>
  </r>
  <r>
    <m/>
    <m/>
    <x v="1"/>
    <s v="49866391001002"/>
    <n v="-16.47"/>
    <n v="420"/>
    <n v="1"/>
    <n v="1"/>
  </r>
  <r>
    <m/>
    <m/>
    <x v="1"/>
    <s v="49896911001001"/>
    <n v="-2.5099999999999998"/>
    <n v="64"/>
    <n v="1"/>
    <n v="1"/>
  </r>
  <r>
    <m/>
    <m/>
    <x v="1"/>
    <s v="49916861001001"/>
    <n v="-43.17"/>
    <n v="1101"/>
    <n v="1"/>
    <n v="1"/>
  </r>
  <r>
    <m/>
    <m/>
    <x v="1"/>
    <s v="49949341001003"/>
    <n v="-12.98"/>
    <n v="331"/>
    <n v="1"/>
    <n v="1"/>
  </r>
  <r>
    <m/>
    <m/>
    <x v="1"/>
    <s v="49950321001002"/>
    <n v="-9.18"/>
    <n v="234"/>
    <n v="1"/>
    <n v="1"/>
  </r>
  <r>
    <m/>
    <m/>
    <x v="1"/>
    <s v="49950881001002"/>
    <n v="-9.84"/>
    <n v="251"/>
    <n v="1"/>
    <n v="1"/>
  </r>
  <r>
    <m/>
    <m/>
    <x v="1"/>
    <s v="49951931001004"/>
    <n v="-6.7"/>
    <n v="171"/>
    <n v="1"/>
    <n v="1"/>
  </r>
  <r>
    <m/>
    <m/>
    <x v="1"/>
    <s v="49965791001003"/>
    <n v="-31.37"/>
    <n v="800"/>
    <n v="1"/>
    <n v="1"/>
  </r>
  <r>
    <m/>
    <m/>
    <x v="1"/>
    <s v="50011086001001"/>
    <n v="-35.33"/>
    <n v="901"/>
    <n v="1"/>
    <n v="1"/>
  </r>
  <r>
    <m/>
    <m/>
    <x v="1"/>
    <s v="50032081001001"/>
    <n v="-57.87"/>
    <n v="1476"/>
    <n v="1"/>
    <n v="1"/>
  </r>
  <r>
    <m/>
    <m/>
    <x v="1"/>
    <s v="50043981001003"/>
    <n v="-60.27"/>
    <n v="1537"/>
    <n v="1"/>
    <n v="1"/>
  </r>
  <r>
    <m/>
    <m/>
    <x v="1"/>
    <s v="50069630001004"/>
    <n v="-45.99"/>
    <n v="1173"/>
    <n v="1"/>
    <n v="1"/>
  </r>
  <r>
    <m/>
    <m/>
    <x v="1"/>
    <s v="50071631001001"/>
    <n v="-59.91"/>
    <n v="1528"/>
    <n v="1"/>
    <n v="1"/>
  </r>
  <r>
    <m/>
    <m/>
    <x v="1"/>
    <s v="50095781001001"/>
    <n v="-37.21"/>
    <n v="949"/>
    <n v="1"/>
    <n v="1"/>
  </r>
  <r>
    <m/>
    <m/>
    <x v="1"/>
    <s v="50097303001004"/>
    <n v="-44.66"/>
    <n v="1139"/>
    <n v="1"/>
    <n v="1"/>
  </r>
  <r>
    <m/>
    <m/>
    <x v="1"/>
    <s v="50180049001004"/>
    <n v="-114.89"/>
    <n v="2930"/>
    <n v="1"/>
    <n v="1"/>
  </r>
  <r>
    <m/>
    <m/>
    <x v="1"/>
    <s v="50181601002005"/>
    <n v="-29.41"/>
    <n v="750"/>
    <n v="1"/>
    <n v="1"/>
  </r>
  <r>
    <m/>
    <m/>
    <x v="1"/>
    <s v="50198191001001"/>
    <n v="-104.57"/>
    <n v="2667"/>
    <n v="1"/>
    <n v="1"/>
  </r>
  <r>
    <m/>
    <m/>
    <x v="1"/>
    <s v="50249641001001"/>
    <n v="-98.57"/>
    <n v="2514"/>
    <n v="1"/>
    <n v="1"/>
  </r>
  <r>
    <m/>
    <m/>
    <x v="1"/>
    <s v="50254821001001"/>
    <n v="-111.79"/>
    <n v="2851"/>
    <n v="1"/>
    <n v="1"/>
  </r>
  <r>
    <m/>
    <m/>
    <x v="1"/>
    <s v="50305221001001"/>
    <n v="-81.010000000000005"/>
    <n v="2066"/>
    <n v="1"/>
    <n v="1"/>
  </r>
  <r>
    <m/>
    <m/>
    <x v="1"/>
    <s v="50306876001004"/>
    <n v="-58.97"/>
    <n v="1504"/>
    <n v="1"/>
    <n v="1"/>
  </r>
  <r>
    <m/>
    <m/>
    <x v="1"/>
    <s v="50314391002005"/>
    <n v="-78.66"/>
    <n v="2006"/>
    <n v="1"/>
    <n v="1"/>
  </r>
  <r>
    <m/>
    <m/>
    <x v="1"/>
    <s v="50425271002004"/>
    <n v="-32.229999999999997"/>
    <n v="822"/>
    <n v="1"/>
    <n v="1"/>
  </r>
  <r>
    <m/>
    <m/>
    <x v="1"/>
    <s v="50695261001002"/>
    <n v="-7.49"/>
    <n v="191"/>
    <n v="1"/>
    <n v="1"/>
  </r>
  <r>
    <m/>
    <m/>
    <x v="1"/>
    <s v="50718011001001"/>
    <n v="-146.72"/>
    <n v="3742"/>
    <n v="1"/>
    <n v="1"/>
  </r>
  <r>
    <m/>
    <m/>
    <x v="1"/>
    <s v="50725151001007"/>
    <n v="-35.450000000000003"/>
    <n v="904"/>
    <n v="1"/>
    <n v="1"/>
  </r>
  <r>
    <m/>
    <m/>
    <x v="1"/>
    <s v="50740761001001"/>
    <n v="-102.93"/>
    <n v="2625"/>
    <n v="1"/>
    <n v="1"/>
  </r>
  <r>
    <m/>
    <m/>
    <x v="1"/>
    <s v="50756231001002"/>
    <n v="-23.96"/>
    <n v="611"/>
    <n v="1"/>
    <n v="1"/>
  </r>
  <r>
    <m/>
    <m/>
    <x v="1"/>
    <s v="50757911001003"/>
    <n v="-71.87"/>
    <n v="1833"/>
    <n v="1"/>
    <n v="1"/>
  </r>
  <r>
    <m/>
    <m/>
    <x v="1"/>
    <s v="50768201001001"/>
    <n v="-8.16"/>
    <n v="208"/>
    <n v="1"/>
    <n v="1"/>
  </r>
  <r>
    <m/>
    <m/>
    <x v="1"/>
    <s v="50782131001001"/>
    <n v="-9.9600000000000009"/>
    <n v="254"/>
    <n v="1"/>
    <n v="1"/>
  </r>
  <r>
    <m/>
    <m/>
    <x v="1"/>
    <s v="50787241001001"/>
    <n v="-23.02"/>
    <n v="587"/>
    <n v="1"/>
    <n v="1"/>
  </r>
  <r>
    <m/>
    <m/>
    <x v="1"/>
    <s v="50808591001001"/>
    <n v="-86.93"/>
    <n v="2217"/>
    <n v="1"/>
    <n v="1"/>
  </r>
  <r>
    <m/>
    <m/>
    <x v="1"/>
    <s v="50809571001001"/>
    <n v="-52.03"/>
    <n v="1327"/>
    <n v="1"/>
    <n v="1"/>
  </r>
  <r>
    <m/>
    <m/>
    <x v="1"/>
    <s v="50823431001001"/>
    <n v="-58.7"/>
    <n v="1497"/>
    <n v="1"/>
    <n v="1"/>
  </r>
  <r>
    <m/>
    <m/>
    <x v="1"/>
    <s v="50830571001002"/>
    <n v="-29.33"/>
    <n v="748"/>
    <n v="1"/>
    <n v="1"/>
  </r>
  <r>
    <m/>
    <m/>
    <x v="1"/>
    <s v="50831971001002"/>
    <n v="-27.29"/>
    <n v="696"/>
    <n v="1"/>
    <n v="1"/>
  </r>
  <r>
    <m/>
    <m/>
    <x v="1"/>
    <s v="50849401001002"/>
    <n v="-83.05"/>
    <n v="2118"/>
    <n v="1"/>
    <n v="1"/>
  </r>
  <r>
    <m/>
    <m/>
    <x v="1"/>
    <s v="50858361001001"/>
    <n v="-75.400000000000006"/>
    <n v="1923"/>
    <n v="1"/>
    <n v="1"/>
  </r>
  <r>
    <m/>
    <m/>
    <x v="1"/>
    <s v="50870401001001"/>
    <n v="-7.18"/>
    <n v="183"/>
    <n v="1"/>
    <n v="1"/>
  </r>
  <r>
    <m/>
    <m/>
    <x v="1"/>
    <s v="50918728001001"/>
    <n v="-53.68"/>
    <n v="1369"/>
    <n v="1"/>
    <n v="1"/>
  </r>
  <r>
    <m/>
    <m/>
    <x v="1"/>
    <s v="50919121001001"/>
    <n v="-75.709999999999994"/>
    <n v="1931"/>
    <n v="1"/>
    <n v="1"/>
  </r>
  <r>
    <m/>
    <m/>
    <x v="1"/>
    <s v="50919821001002"/>
    <n v="-63.72"/>
    <n v="1625"/>
    <n v="1"/>
    <n v="1"/>
  </r>
  <r>
    <m/>
    <m/>
    <x v="1"/>
    <s v="50940891001005"/>
    <n v="-7.37"/>
    <n v="188"/>
    <n v="1"/>
    <n v="1"/>
  </r>
  <r>
    <m/>
    <m/>
    <x v="1"/>
    <s v="51005151001001"/>
    <n v="-12.16"/>
    <n v="310"/>
    <n v="1"/>
    <n v="1"/>
  </r>
  <r>
    <m/>
    <m/>
    <x v="1"/>
    <s v="51009071001001"/>
    <n v="-60.5"/>
    <n v="1543"/>
    <n v="1"/>
    <n v="1"/>
  </r>
  <r>
    <m/>
    <m/>
    <x v="1"/>
    <s v="51009701002001"/>
    <n v="-130.53"/>
    <n v="3329"/>
    <n v="1"/>
    <n v="1"/>
  </r>
  <r>
    <m/>
    <m/>
    <x v="1"/>
    <s v="51010891001001"/>
    <n v="-25.49"/>
    <n v="650"/>
    <n v="1"/>
    <n v="1"/>
  </r>
  <r>
    <m/>
    <m/>
    <x v="1"/>
    <s v="51011661001002"/>
    <n v="-25.8"/>
    <n v="658"/>
    <n v="1"/>
    <n v="1"/>
  </r>
  <r>
    <m/>
    <m/>
    <x v="1"/>
    <s v="51027411002001"/>
    <n v="-4.51"/>
    <n v="115"/>
    <n v="1"/>
    <n v="1"/>
  </r>
  <r>
    <m/>
    <m/>
    <x v="1"/>
    <s v="51036671001001"/>
    <n v="-27.13"/>
    <n v="692"/>
    <n v="1"/>
    <n v="1"/>
  </r>
  <r>
    <m/>
    <m/>
    <x v="1"/>
    <s v="51040151001001"/>
    <n v="-36.58"/>
    <n v="933"/>
    <n v="1"/>
    <n v="1"/>
  </r>
  <r>
    <m/>
    <m/>
    <x v="1"/>
    <s v="51057441001003"/>
    <n v="-71.239999999999995"/>
    <n v="1817"/>
    <n v="1"/>
    <n v="1"/>
  </r>
  <r>
    <m/>
    <m/>
    <x v="1"/>
    <s v="51073821001002"/>
    <n v="-4.74"/>
    <n v="121"/>
    <n v="1"/>
    <n v="1"/>
  </r>
  <r>
    <m/>
    <m/>
    <x v="1"/>
    <s v="51082221002003"/>
    <n v="-49.13"/>
    <n v="1253"/>
    <n v="1"/>
    <n v="1"/>
  </r>
  <r>
    <m/>
    <m/>
    <x v="1"/>
    <s v="51084811002002"/>
    <n v="-73.83"/>
    <n v="1883"/>
    <n v="1"/>
    <n v="1"/>
  </r>
  <r>
    <m/>
    <m/>
    <x v="1"/>
    <s v="51098181001001"/>
    <n v="-12.74"/>
    <n v="325"/>
    <n v="1"/>
    <n v="1"/>
  </r>
  <r>
    <m/>
    <m/>
    <x v="1"/>
    <s v="51108401001003"/>
    <n v="-67.010000000000005"/>
    <n v="1709"/>
    <n v="1"/>
    <n v="1"/>
  </r>
  <r>
    <m/>
    <m/>
    <x v="1"/>
    <s v="51138081002001"/>
    <n v="-77.64"/>
    <n v="1980"/>
    <n v="1"/>
    <n v="1"/>
  </r>
  <r>
    <m/>
    <m/>
    <x v="1"/>
    <s v="51138571001004"/>
    <n v="-47.01"/>
    <n v="1199"/>
    <n v="1"/>
    <n v="1"/>
  </r>
  <r>
    <m/>
    <m/>
    <x v="1"/>
    <s v="51140391002005"/>
    <n v="-12.9"/>
    <n v="329"/>
    <n v="1"/>
    <n v="1"/>
  </r>
  <r>
    <m/>
    <m/>
    <x v="1"/>
    <s v="51151311001002"/>
    <n v="-60.15"/>
    <n v="1534"/>
    <n v="1"/>
    <n v="1"/>
  </r>
  <r>
    <m/>
    <m/>
    <x v="1"/>
    <s v="51155161001001"/>
    <n v="-29.25"/>
    <n v="746"/>
    <n v="1"/>
    <n v="1"/>
  </r>
  <r>
    <m/>
    <m/>
    <x v="1"/>
    <s v="51155231001001"/>
    <n v="-57.83"/>
    <n v="1475"/>
    <n v="1"/>
    <n v="1"/>
  </r>
  <r>
    <m/>
    <m/>
    <x v="1"/>
    <s v="51158731001003"/>
    <n v="-3.06"/>
    <n v="78"/>
    <n v="1"/>
    <n v="1"/>
  </r>
  <r>
    <m/>
    <m/>
    <x v="1"/>
    <s v="51159641001002"/>
    <n v="-44.23"/>
    <n v="1128"/>
    <n v="1"/>
    <n v="1"/>
  </r>
  <r>
    <m/>
    <m/>
    <x v="1"/>
    <s v="51159921001001"/>
    <n v="-21.17"/>
    <n v="540"/>
    <n v="1"/>
    <n v="1"/>
  </r>
  <r>
    <m/>
    <m/>
    <x v="1"/>
    <s v="51163561001003"/>
    <n v="-46.23"/>
    <n v="1179"/>
    <n v="1"/>
    <n v="1"/>
  </r>
  <r>
    <m/>
    <m/>
    <x v="1"/>
    <s v="51163841001002"/>
    <n v="-68.540000000000006"/>
    <n v="1748"/>
    <n v="1"/>
    <n v="1"/>
  </r>
  <r>
    <m/>
    <m/>
    <x v="1"/>
    <s v="51166641001002"/>
    <n v="-92.07"/>
    <n v="2348"/>
    <n v="1"/>
    <n v="1"/>
  </r>
  <r>
    <m/>
    <m/>
    <x v="1"/>
    <s v="51175111003001"/>
    <n v="-35.29"/>
    <n v="900"/>
    <n v="1"/>
    <n v="1"/>
  </r>
  <r>
    <m/>
    <m/>
    <x v="1"/>
    <s v="51184281006001"/>
    <n v="-32.979999999999997"/>
    <n v="841"/>
    <n v="1"/>
    <n v="1"/>
  </r>
  <r>
    <m/>
    <m/>
    <x v="1"/>
    <s v="51193044001001"/>
    <n v="-30.66"/>
    <n v="782"/>
    <n v="1"/>
    <n v="1"/>
  </r>
  <r>
    <m/>
    <m/>
    <x v="1"/>
    <s v="51198211001002"/>
    <n v="-51.44"/>
    <n v="1312"/>
    <n v="1"/>
    <n v="1"/>
  </r>
  <r>
    <m/>
    <m/>
    <x v="1"/>
    <s v="51208991001001"/>
    <n v="-19.41"/>
    <n v="495"/>
    <n v="1"/>
    <n v="1"/>
  </r>
  <r>
    <m/>
    <m/>
    <x v="1"/>
    <s v="51213051001002"/>
    <n v="-16.66"/>
    <n v="425"/>
    <n v="1"/>
    <n v="1"/>
  </r>
  <r>
    <m/>
    <m/>
    <x v="1"/>
    <s v="51221801001005"/>
    <n v="-28.62"/>
    <n v="730"/>
    <n v="1"/>
    <n v="1"/>
  </r>
  <r>
    <m/>
    <m/>
    <x v="1"/>
    <s v="51225161002001"/>
    <n v="-54.38"/>
    <n v="1387"/>
    <n v="1"/>
    <n v="1"/>
  </r>
  <r>
    <m/>
    <m/>
    <x v="1"/>
    <s v="51230691001002"/>
    <n v="-83.36"/>
    <n v="2126"/>
    <n v="1"/>
    <n v="1"/>
  </r>
  <r>
    <m/>
    <m/>
    <x v="1"/>
    <s v="51237341002006"/>
    <n v="-66.739999999999995"/>
    <n v="1702"/>
    <n v="1"/>
    <n v="1"/>
  </r>
  <r>
    <m/>
    <m/>
    <x v="1"/>
    <s v="51286341001003"/>
    <n v="-86.69"/>
    <n v="2211"/>
    <n v="1"/>
    <n v="1"/>
  </r>
  <r>
    <m/>
    <m/>
    <x v="1"/>
    <s v="51286691001002"/>
    <n v="-45.33"/>
    <n v="1156"/>
    <n v="1"/>
    <n v="1"/>
  </r>
  <r>
    <m/>
    <m/>
    <x v="1"/>
    <s v="51293341001001"/>
    <n v="-93.28"/>
    <n v="2379"/>
    <n v="1"/>
    <n v="1"/>
  </r>
  <r>
    <m/>
    <m/>
    <x v="1"/>
    <s v="51309651001001"/>
    <n v="-100.97"/>
    <n v="2575"/>
    <n v="1"/>
    <n v="1"/>
  </r>
  <r>
    <m/>
    <m/>
    <x v="1"/>
    <s v="51309721001001"/>
    <n v="-174.17"/>
    <n v="4442"/>
    <n v="1"/>
    <n v="1"/>
  </r>
  <r>
    <m/>
    <m/>
    <x v="1"/>
    <s v="51316301003004"/>
    <n v="-17.29"/>
    <n v="441"/>
    <n v="1"/>
    <n v="1"/>
  </r>
  <r>
    <m/>
    <m/>
    <x v="1"/>
    <s v="51318751001001"/>
    <n v="-72.459999999999994"/>
    <n v="1848"/>
    <n v="1"/>
    <n v="1"/>
  </r>
  <r>
    <m/>
    <m/>
    <x v="1"/>
    <s v="51320291002008"/>
    <n v="-19.920000000000002"/>
    <n v="508"/>
    <n v="1"/>
    <n v="1"/>
  </r>
  <r>
    <m/>
    <m/>
    <x v="1"/>
    <s v="51323511001002"/>
    <n v="-51.52"/>
    <n v="1314"/>
    <n v="1"/>
    <n v="1"/>
  </r>
  <r>
    <m/>
    <m/>
    <x v="1"/>
    <s v="51324911001001"/>
    <n v="-30.94"/>
    <n v="789"/>
    <n v="1"/>
    <n v="1"/>
  </r>
  <r>
    <m/>
    <m/>
    <x v="1"/>
    <s v="51344791001003"/>
    <n v="-56.7"/>
    <n v="1446"/>
    <n v="1"/>
    <n v="1"/>
  </r>
  <r>
    <m/>
    <m/>
    <x v="1"/>
    <s v="51344861001001"/>
    <n v="-76.69"/>
    <n v="1956"/>
    <n v="1"/>
    <n v="1"/>
  </r>
  <r>
    <m/>
    <m/>
    <x v="1"/>
    <s v="51356061003003"/>
    <n v="-36.94"/>
    <n v="942"/>
    <n v="1"/>
    <n v="1"/>
  </r>
  <r>
    <m/>
    <m/>
    <x v="1"/>
    <s v="51370831001001"/>
    <n v="-130.22"/>
    <n v="3321"/>
    <n v="1"/>
    <n v="1"/>
  </r>
  <r>
    <m/>
    <m/>
    <x v="1"/>
    <s v="51377341001001"/>
    <n v="-3.53"/>
    <n v="90"/>
    <n v="1"/>
    <n v="1"/>
  </r>
  <r>
    <m/>
    <m/>
    <x v="1"/>
    <s v="51395961001001"/>
    <n v="-137.74"/>
    <n v="3513"/>
    <n v="1"/>
    <n v="1"/>
  </r>
  <r>
    <m/>
    <m/>
    <x v="1"/>
    <s v="51405271001001"/>
    <n v="-62.3"/>
    <n v="1589"/>
    <n v="1"/>
    <n v="1"/>
  </r>
  <r>
    <m/>
    <m/>
    <x v="1"/>
    <s v="51411291004004"/>
    <n v="-40.659999999999997"/>
    <n v="1037"/>
    <n v="1"/>
    <n v="1"/>
  </r>
  <r>
    <m/>
    <m/>
    <x v="1"/>
    <s v="51416681001001"/>
    <n v="-61.48"/>
    <n v="1568"/>
    <n v="1"/>
    <n v="1"/>
  </r>
  <r>
    <m/>
    <m/>
    <x v="1"/>
    <s v="51506701002001"/>
    <n v="-39.520000000000003"/>
    <n v="1008"/>
    <n v="1"/>
    <n v="1"/>
  </r>
  <r>
    <m/>
    <m/>
    <x v="1"/>
    <s v="51514051001001"/>
    <n v="-9.8800000000000008"/>
    <n v="252"/>
    <n v="1"/>
    <n v="1"/>
  </r>
  <r>
    <m/>
    <m/>
    <x v="1"/>
    <s v="51514331001001"/>
    <n v="-16.78"/>
    <n v="428"/>
    <n v="1"/>
    <n v="1"/>
  </r>
  <r>
    <m/>
    <m/>
    <x v="1"/>
    <s v="51519091001003"/>
    <n v="-1.33"/>
    <n v="34"/>
    <n v="1"/>
    <n v="1"/>
  </r>
  <r>
    <m/>
    <m/>
    <x v="1"/>
    <s v="51519832001003"/>
    <n v="-40.229999999999997"/>
    <n v="1026"/>
    <n v="1"/>
    <n v="1"/>
  </r>
  <r>
    <m/>
    <m/>
    <x v="1"/>
    <s v="51525601001002"/>
    <n v="-20.04"/>
    <n v="511"/>
    <n v="1"/>
    <n v="1"/>
  </r>
  <r>
    <m/>
    <m/>
    <x v="1"/>
    <s v="51531201001002"/>
    <n v="-101.44"/>
    <n v="2587"/>
    <n v="1"/>
    <n v="1"/>
  </r>
  <r>
    <m/>
    <m/>
    <x v="1"/>
    <s v="51555701001005"/>
    <n v="-78.38"/>
    <n v="1999"/>
    <n v="1"/>
    <n v="1"/>
  </r>
  <r>
    <m/>
    <m/>
    <x v="1"/>
    <s v="51578031001001"/>
    <n v="-57.29"/>
    <n v="1461"/>
    <n v="1"/>
    <n v="1"/>
  </r>
  <r>
    <m/>
    <m/>
    <x v="1"/>
    <s v="51593291002001"/>
    <n v="-59.56"/>
    <n v="1519"/>
    <n v="1"/>
    <n v="1"/>
  </r>
  <r>
    <m/>
    <m/>
    <x v="1"/>
    <s v="51593431001001"/>
    <n v="-121.55"/>
    <n v="3100"/>
    <n v="1"/>
    <n v="1"/>
  </r>
  <r>
    <m/>
    <m/>
    <x v="1"/>
    <s v="51595741001001"/>
    <n v="-2.4300000000000002"/>
    <n v="62"/>
    <n v="1"/>
    <n v="1"/>
  </r>
  <r>
    <m/>
    <m/>
    <x v="1"/>
    <s v="51597701001005"/>
    <n v="-16.23"/>
    <n v="414"/>
    <n v="1"/>
    <n v="1"/>
  </r>
  <r>
    <m/>
    <m/>
    <x v="1"/>
    <s v="51601341001003"/>
    <n v="-25.06"/>
    <n v="639"/>
    <n v="1"/>
    <n v="1"/>
  </r>
  <r>
    <m/>
    <m/>
    <x v="1"/>
    <s v="51604071001005"/>
    <n v="-3.18"/>
    <n v="81"/>
    <n v="1"/>
    <n v="1"/>
  </r>
  <r>
    <m/>
    <m/>
    <x v="1"/>
    <s v="51618981001001"/>
    <n v="-81.400000000000006"/>
    <n v="2076"/>
    <n v="1"/>
    <n v="1"/>
  </r>
  <r>
    <m/>
    <m/>
    <x v="1"/>
    <s v="51625911001001"/>
    <n v="-54.82"/>
    <n v="1398"/>
    <n v="1"/>
    <n v="1"/>
  </r>
  <r>
    <m/>
    <m/>
    <x v="1"/>
    <s v="51627031001001"/>
    <n v="-22.51"/>
    <n v="574"/>
    <n v="1"/>
    <n v="1"/>
  </r>
  <r>
    <m/>
    <m/>
    <x v="1"/>
    <s v="52072311002001"/>
    <n v="-67.91"/>
    <n v="1732"/>
    <n v="1"/>
    <n v="1"/>
  </r>
  <r>
    <m/>
    <m/>
    <x v="1"/>
    <s v="52219018001001"/>
    <n v="-13.68"/>
    <n v="349"/>
    <n v="1"/>
    <n v="1"/>
  </r>
  <r>
    <m/>
    <m/>
    <x v="1"/>
    <s v="52439752001001"/>
    <n v="-14.74"/>
    <n v="376"/>
    <n v="1"/>
    <n v="1"/>
  </r>
  <r>
    <m/>
    <m/>
    <x v="1"/>
    <s v="52553675001011"/>
    <n v="-50.74"/>
    <n v="1294"/>
    <n v="1"/>
    <n v="1"/>
  </r>
  <r>
    <m/>
    <m/>
    <x v="1"/>
    <s v="52724555001001"/>
    <n v="-112.57"/>
    <n v="2871"/>
    <n v="1"/>
    <n v="1"/>
  </r>
  <r>
    <m/>
    <m/>
    <x v="1"/>
    <s v="52815374001001"/>
    <n v="-42.19"/>
    <n v="1076"/>
    <n v="1"/>
    <n v="1"/>
  </r>
  <r>
    <m/>
    <m/>
    <x v="1"/>
    <s v="52896992001002"/>
    <n v="-55.95"/>
    <n v="1427"/>
    <n v="1"/>
    <n v="1"/>
  </r>
  <r>
    <m/>
    <m/>
    <x v="1"/>
    <s v="52981742001003"/>
    <n v="-21.25"/>
    <n v="542"/>
    <n v="1"/>
    <n v="1"/>
  </r>
  <r>
    <m/>
    <m/>
    <x v="1"/>
    <s v="53108976001002"/>
    <n v="-55.52"/>
    <n v="1416"/>
    <n v="1"/>
    <n v="1"/>
  </r>
  <r>
    <m/>
    <m/>
    <x v="1"/>
    <s v="53180045001003"/>
    <n v="-67.209999999999994"/>
    <n v="1714"/>
    <n v="1"/>
    <n v="1"/>
  </r>
  <r>
    <m/>
    <m/>
    <x v="1"/>
    <s v="53279419001001"/>
    <n v="-32.11"/>
    <n v="819"/>
    <n v="1"/>
    <n v="1"/>
  </r>
  <r>
    <m/>
    <m/>
    <x v="1"/>
    <s v="53425442001001"/>
    <n v="-51.84"/>
    <n v="1322"/>
    <n v="1"/>
    <n v="1"/>
  </r>
  <r>
    <m/>
    <m/>
    <x v="1"/>
    <s v="53681358001002"/>
    <n v="-35.25"/>
    <n v="899"/>
    <n v="1"/>
    <n v="1"/>
  </r>
  <r>
    <m/>
    <m/>
    <x v="1"/>
    <s v="53697250001001"/>
    <n v="-65.400000000000006"/>
    <n v="1668"/>
    <n v="1"/>
    <n v="1"/>
  </r>
  <r>
    <m/>
    <m/>
    <x v="1"/>
    <s v="53915118004001"/>
    <n v="-92.93"/>
    <n v="2370"/>
    <n v="1"/>
    <n v="1"/>
  </r>
  <r>
    <m/>
    <m/>
    <x v="1"/>
    <s v="54019982001004"/>
    <n v="-111.4"/>
    <n v="2841"/>
    <n v="1"/>
    <n v="1"/>
  </r>
  <r>
    <m/>
    <m/>
    <x v="1"/>
    <s v="54146036001001"/>
    <n v="-54.27"/>
    <n v="1384"/>
    <n v="1"/>
    <n v="1"/>
  </r>
  <r>
    <m/>
    <m/>
    <x v="1"/>
    <s v="54155574001001"/>
    <n v="-20.82"/>
    <n v="531"/>
    <n v="1"/>
    <n v="1"/>
  </r>
  <r>
    <m/>
    <m/>
    <x v="1"/>
    <s v="54362749001005"/>
    <n v="-37.409999999999997"/>
    <n v="954"/>
    <n v="1"/>
    <n v="1"/>
  </r>
  <r>
    <m/>
    <m/>
    <x v="1"/>
    <s v="54555658001004"/>
    <n v="-132.41"/>
    <n v="3377"/>
    <n v="1"/>
    <n v="1"/>
  </r>
  <r>
    <m/>
    <m/>
    <x v="1"/>
    <s v="54604589002003"/>
    <n v="-13.8"/>
    <n v="352"/>
    <n v="1"/>
    <n v="1"/>
  </r>
  <r>
    <m/>
    <m/>
    <x v="1"/>
    <s v="54768692001001"/>
    <n v="-71.36"/>
    <n v="1820"/>
    <n v="1"/>
    <n v="1"/>
  </r>
  <r>
    <m/>
    <m/>
    <x v="1"/>
    <s v="54781310001002"/>
    <n v="-119.79"/>
    <n v="3055"/>
    <n v="1"/>
    <n v="1"/>
  </r>
  <r>
    <m/>
    <m/>
    <x v="1"/>
    <s v="54807945001001"/>
    <n v="-28.94"/>
    <n v="738"/>
    <n v="1"/>
    <n v="1"/>
  </r>
  <r>
    <m/>
    <m/>
    <x v="1"/>
    <s v="54915640001001"/>
    <n v="-64.89"/>
    <n v="1655"/>
    <n v="1"/>
    <n v="1"/>
  </r>
  <r>
    <m/>
    <m/>
    <x v="1"/>
    <s v="54934096001001"/>
    <n v="-26.31"/>
    <n v="671"/>
    <n v="1"/>
    <n v="1"/>
  </r>
  <r>
    <m/>
    <m/>
    <x v="1"/>
    <s v="55036747001002"/>
    <n v="-59.21"/>
    <n v="1510"/>
    <n v="1"/>
    <n v="1"/>
  </r>
  <r>
    <m/>
    <m/>
    <x v="1"/>
    <s v="55116401001003"/>
    <n v="-35.130000000000003"/>
    <n v="896"/>
    <n v="1"/>
    <n v="1"/>
  </r>
  <r>
    <m/>
    <m/>
    <x v="1"/>
    <s v="55208319002001"/>
    <n v="-88.38"/>
    <n v="2254"/>
    <n v="1"/>
    <n v="1"/>
  </r>
  <r>
    <m/>
    <m/>
    <x v="1"/>
    <s v="55514801001013"/>
    <n v="-22.58"/>
    <n v="576"/>
    <n v="1"/>
    <n v="1"/>
  </r>
  <r>
    <m/>
    <m/>
    <x v="1"/>
    <s v="55598081001003"/>
    <n v="-35.17"/>
    <n v="897"/>
    <n v="1"/>
    <n v="1"/>
  </r>
  <r>
    <m/>
    <m/>
    <x v="1"/>
    <s v="55776761001013"/>
    <n v="-80.03"/>
    <n v="2041"/>
    <n v="1"/>
    <n v="1"/>
  </r>
  <r>
    <m/>
    <m/>
    <x v="1"/>
    <s v="55852549001005"/>
    <n v="-84.03"/>
    <n v="2143"/>
    <n v="1"/>
    <n v="1"/>
  </r>
  <r>
    <m/>
    <m/>
    <x v="1"/>
    <s v="56051310004001"/>
    <n v="-94.54"/>
    <n v="2411"/>
    <n v="1"/>
    <n v="1"/>
  </r>
  <r>
    <m/>
    <m/>
    <x v="1"/>
    <s v="56272890001001"/>
    <n v="-28"/>
    <n v="714"/>
    <n v="1"/>
    <n v="1"/>
  </r>
  <r>
    <m/>
    <m/>
    <x v="1"/>
    <s v="56308644001003"/>
    <n v="-91.24"/>
    <n v="2327"/>
    <n v="1"/>
    <n v="1"/>
  </r>
  <r>
    <m/>
    <m/>
    <x v="1"/>
    <s v="56463265001003"/>
    <n v="-49.72"/>
    <n v="1268"/>
    <n v="1"/>
    <n v="1"/>
  </r>
  <r>
    <m/>
    <m/>
    <x v="1"/>
    <s v="56726418001010"/>
    <n v="-36.31"/>
    <n v="926"/>
    <n v="1"/>
    <n v="1"/>
  </r>
  <r>
    <m/>
    <m/>
    <x v="1"/>
    <s v="56745375001001"/>
    <n v="-26.39"/>
    <n v="673"/>
    <n v="1"/>
    <n v="1"/>
  </r>
  <r>
    <m/>
    <m/>
    <x v="1"/>
    <s v="56940246001005"/>
    <n v="-41.6"/>
    <n v="1061"/>
    <n v="1"/>
    <n v="1"/>
  </r>
  <r>
    <m/>
    <m/>
    <x v="1"/>
    <s v="56979825001002"/>
    <n v="-31.96"/>
    <n v="815"/>
    <n v="1"/>
    <n v="1"/>
  </r>
  <r>
    <m/>
    <m/>
    <x v="1"/>
    <s v="57629831001001"/>
    <n v="-57.8"/>
    <n v="1474"/>
    <n v="1"/>
    <n v="1"/>
  </r>
  <r>
    <m/>
    <m/>
    <x v="1"/>
    <s v="58035525001001"/>
    <n v="-30.15"/>
    <n v="769"/>
    <n v="1"/>
    <n v="1"/>
  </r>
  <r>
    <m/>
    <m/>
    <x v="1"/>
    <s v="58161623001001"/>
    <n v="-48.31"/>
    <n v="1232"/>
    <n v="1"/>
    <n v="1"/>
  </r>
  <r>
    <m/>
    <m/>
    <x v="1"/>
    <s v="58195945001003"/>
    <n v="-125.04"/>
    <n v="3189"/>
    <n v="1"/>
    <n v="1"/>
  </r>
  <r>
    <m/>
    <m/>
    <x v="1"/>
    <s v="58413059001001"/>
    <n v="-41.09"/>
    <n v="1048"/>
    <n v="1"/>
    <n v="1"/>
  </r>
  <r>
    <m/>
    <m/>
    <x v="1"/>
    <s v="58584299001003"/>
    <n v="-15.21"/>
    <n v="388"/>
    <n v="1"/>
    <n v="1"/>
  </r>
  <r>
    <m/>
    <m/>
    <x v="1"/>
    <s v="58619499001001"/>
    <n v="-123.75"/>
    <n v="3156"/>
    <n v="1"/>
    <n v="1"/>
  </r>
  <r>
    <m/>
    <m/>
    <x v="1"/>
    <s v="58704052001001"/>
    <n v="-21.45"/>
    <n v="547"/>
    <n v="1"/>
    <n v="1"/>
  </r>
  <r>
    <m/>
    <m/>
    <x v="1"/>
    <s v="58708783001003"/>
    <n v="-106.61"/>
    <n v="2719"/>
    <n v="1"/>
    <n v="1"/>
  </r>
  <r>
    <m/>
    <m/>
    <x v="1"/>
    <s v="58743642001003"/>
    <n v="-82.77"/>
    <n v="2111"/>
    <n v="1"/>
    <n v="1"/>
  </r>
  <r>
    <m/>
    <m/>
    <x v="1"/>
    <s v="58876732001003"/>
    <n v="-85.48"/>
    <n v="2180"/>
    <n v="1"/>
    <n v="1"/>
  </r>
  <r>
    <m/>
    <m/>
    <x v="1"/>
    <s v="58961407001001"/>
    <n v="-12.59"/>
    <n v="321"/>
    <n v="1"/>
    <n v="1"/>
  </r>
  <r>
    <m/>
    <m/>
    <x v="1"/>
    <s v="59201289002001"/>
    <n v="-28.11"/>
    <n v="717"/>
    <n v="1"/>
    <n v="1"/>
  </r>
  <r>
    <m/>
    <m/>
    <x v="1"/>
    <s v="59304140001003"/>
    <n v="-75.239999999999995"/>
    <n v="1919"/>
    <n v="1"/>
    <n v="1"/>
  </r>
  <r>
    <m/>
    <m/>
    <x v="1"/>
    <s v="59498637001004"/>
    <n v="-72.849999999999994"/>
    <n v="1858"/>
    <n v="1"/>
    <n v="1"/>
  </r>
  <r>
    <m/>
    <m/>
    <x v="1"/>
    <s v="59553713001001"/>
    <n v="-75.28"/>
    <n v="1920"/>
    <n v="1"/>
    <n v="1"/>
  </r>
  <r>
    <m/>
    <m/>
    <x v="1"/>
    <s v="59657734001001"/>
    <n v="-73.56"/>
    <n v="1876"/>
    <n v="1"/>
    <n v="1"/>
  </r>
  <r>
    <m/>
    <m/>
    <x v="1"/>
    <s v="59739422001001"/>
    <n v="-45.72"/>
    <n v="1166"/>
    <n v="1"/>
    <n v="1"/>
  </r>
  <r>
    <m/>
    <m/>
    <x v="1"/>
    <s v="59766552006003"/>
    <n v="-18"/>
    <n v="459"/>
    <n v="1"/>
    <n v="1"/>
  </r>
  <r>
    <m/>
    <m/>
    <x v="1"/>
    <s v="60176479001001"/>
    <n v="-56.23"/>
    <n v="1434"/>
    <n v="1"/>
    <n v="1"/>
  </r>
  <r>
    <m/>
    <m/>
    <x v="1"/>
    <s v="60327049001006"/>
    <n v="-47.6"/>
    <n v="1214"/>
    <n v="1"/>
    <n v="1"/>
  </r>
  <r>
    <m/>
    <m/>
    <x v="1"/>
    <s v="60460345001001"/>
    <n v="-22.9"/>
    <n v="584"/>
    <n v="1"/>
    <n v="1"/>
  </r>
  <r>
    <m/>
    <m/>
    <x v="1"/>
    <s v="60469517001003"/>
    <n v="-73.319999999999993"/>
    <n v="1870"/>
    <n v="1"/>
    <n v="1"/>
  </r>
  <r>
    <m/>
    <m/>
    <x v="1"/>
    <s v="60623325001001"/>
    <n v="-43.01"/>
    <n v="1097"/>
    <n v="1"/>
    <n v="1"/>
  </r>
  <r>
    <m/>
    <m/>
    <x v="1"/>
    <s v="60708476001002"/>
    <n v="-86.58"/>
    <n v="2208"/>
    <n v="1"/>
    <n v="1"/>
  </r>
  <r>
    <m/>
    <m/>
    <x v="1"/>
    <s v="60721174001011"/>
    <n v="-60.46"/>
    <n v="1542"/>
    <n v="1"/>
    <n v="1"/>
  </r>
  <r>
    <m/>
    <m/>
    <x v="1"/>
    <s v="60784386002004"/>
    <n v="-74.22"/>
    <n v="1893"/>
    <n v="1"/>
    <n v="1"/>
  </r>
  <r>
    <m/>
    <m/>
    <x v="1"/>
    <s v="60790565001008"/>
    <n v="-98.77"/>
    <n v="2519"/>
    <n v="1"/>
    <n v="1"/>
  </r>
  <r>
    <m/>
    <m/>
    <x v="1"/>
    <s v="60952463002005"/>
    <n v="-22.66"/>
    <n v="578"/>
    <n v="1"/>
    <n v="1"/>
  </r>
  <r>
    <m/>
    <m/>
    <x v="1"/>
    <s v="61054450003001"/>
    <n v="-59.32"/>
    <n v="1513"/>
    <n v="1"/>
    <n v="1"/>
  </r>
  <r>
    <m/>
    <m/>
    <x v="1"/>
    <s v="61308081001001"/>
    <n v="-85.52"/>
    <n v="2181"/>
    <n v="1"/>
    <n v="1"/>
  </r>
  <r>
    <m/>
    <m/>
    <x v="1"/>
    <s v="61432189003001"/>
    <n v="-29.25"/>
    <n v="746"/>
    <n v="1"/>
    <n v="1"/>
  </r>
  <r>
    <m/>
    <m/>
    <x v="1"/>
    <s v="61690664001003"/>
    <n v="-16.7"/>
    <n v="426"/>
    <n v="1"/>
    <n v="1"/>
  </r>
  <r>
    <m/>
    <m/>
    <x v="1"/>
    <s v="61831600002001"/>
    <n v="-95.87"/>
    <n v="2445"/>
    <n v="1"/>
    <n v="1"/>
  </r>
  <r>
    <m/>
    <m/>
    <x v="1"/>
    <s v="61919998001001"/>
    <n v="-55.01"/>
    <n v="1403"/>
    <n v="1"/>
    <n v="1"/>
  </r>
  <r>
    <m/>
    <m/>
    <x v="1"/>
    <s v="61959666001001"/>
    <n v="-84.11"/>
    <n v="2145"/>
    <n v="1"/>
    <n v="1"/>
  </r>
  <r>
    <m/>
    <m/>
    <x v="1"/>
    <s v="62003086001001"/>
    <n v="-83.67"/>
    <n v="2134"/>
    <n v="1"/>
    <n v="1"/>
  </r>
  <r>
    <m/>
    <m/>
    <x v="1"/>
    <s v="62091193002001"/>
    <n v="-45.41"/>
    <n v="1158"/>
    <n v="1"/>
    <n v="1"/>
  </r>
  <r>
    <m/>
    <m/>
    <x v="1"/>
    <s v="62108607001005"/>
    <n v="-36.979999999999997"/>
    <n v="943"/>
    <n v="1"/>
    <n v="1"/>
  </r>
  <r>
    <m/>
    <m/>
    <x v="1"/>
    <s v="62182271001002"/>
    <n v="-74.260000000000005"/>
    <n v="1894"/>
    <n v="1"/>
    <n v="1"/>
  </r>
  <r>
    <m/>
    <m/>
    <x v="1"/>
    <s v="62268891001001"/>
    <n v="-35.21"/>
    <n v="898"/>
    <n v="1"/>
    <n v="1"/>
  </r>
  <r>
    <m/>
    <m/>
    <x v="1"/>
    <s v="62305746001001"/>
    <n v="-75.989999999999995"/>
    <n v="1938"/>
    <n v="1"/>
    <n v="1"/>
  </r>
  <r>
    <m/>
    <m/>
    <x v="1"/>
    <s v="62447696001001"/>
    <n v="-4.2300000000000004"/>
    <n v="108"/>
    <n v="1"/>
    <n v="1"/>
  </r>
  <r>
    <m/>
    <m/>
    <x v="1"/>
    <s v="62498679001005"/>
    <n v="-28.39"/>
    <n v="724"/>
    <n v="1"/>
    <n v="1"/>
  </r>
  <r>
    <m/>
    <m/>
    <x v="1"/>
    <s v="62531889001001"/>
    <n v="-30.78"/>
    <n v="785"/>
    <n v="1"/>
    <n v="1"/>
  </r>
  <r>
    <m/>
    <m/>
    <x v="1"/>
    <s v="62620561001002"/>
    <n v="-51.99"/>
    <n v="1326"/>
    <n v="1"/>
    <n v="1"/>
  </r>
  <r>
    <m/>
    <m/>
    <x v="1"/>
    <s v="62712929001001"/>
    <n v="-66.11"/>
    <n v="1686"/>
    <n v="1"/>
    <n v="1"/>
  </r>
  <r>
    <m/>
    <m/>
    <x v="1"/>
    <s v="62878804001007"/>
    <n v="-157.19"/>
    <n v="4009"/>
    <n v="1"/>
    <n v="1"/>
  </r>
  <r>
    <m/>
    <m/>
    <x v="1"/>
    <s v="63123242001001"/>
    <n v="-73.44"/>
    <n v="1873"/>
    <n v="1"/>
    <n v="1"/>
  </r>
  <r>
    <m/>
    <m/>
    <x v="1"/>
    <s v="63172903002001"/>
    <n v="-36.03"/>
    <n v="919"/>
    <n v="1"/>
    <n v="1"/>
  </r>
  <r>
    <m/>
    <m/>
    <x v="1"/>
    <s v="63196464001001"/>
    <n v="-82.73"/>
    <n v="2110"/>
    <n v="1"/>
    <n v="1"/>
  </r>
  <r>
    <m/>
    <m/>
    <x v="1"/>
    <s v="63263435001001"/>
    <n v="-51.87"/>
    <n v="1323"/>
    <n v="1"/>
    <n v="1"/>
  </r>
  <r>
    <m/>
    <m/>
    <x v="1"/>
    <s v="63421413002003"/>
    <n v="-4.74"/>
    <n v="121"/>
    <n v="1"/>
    <n v="1"/>
  </r>
  <r>
    <m/>
    <m/>
    <x v="1"/>
    <s v="63451251001005"/>
    <n v="-57.29"/>
    <n v="1461"/>
    <n v="1"/>
    <n v="1"/>
  </r>
  <r>
    <m/>
    <m/>
    <x v="1"/>
    <s v="63473427001003"/>
    <n v="-61.4"/>
    <n v="1566"/>
    <n v="1"/>
    <n v="1"/>
  </r>
  <r>
    <m/>
    <m/>
    <x v="1"/>
    <s v="63586086001002"/>
    <n v="-8.59"/>
    <n v="219"/>
    <n v="1"/>
    <n v="1"/>
  </r>
  <r>
    <m/>
    <m/>
    <x v="1"/>
    <s v="63875460001002"/>
    <n v="-24.7"/>
    <n v="630"/>
    <n v="1"/>
    <n v="1"/>
  </r>
  <r>
    <m/>
    <m/>
    <x v="1"/>
    <s v="63898256001003"/>
    <n v="-35.96"/>
    <n v="917"/>
    <n v="1"/>
    <n v="1"/>
  </r>
  <r>
    <m/>
    <m/>
    <x v="1"/>
    <s v="64287131001001"/>
    <n v="-64.150000000000006"/>
    <n v="1636"/>
    <n v="1"/>
    <n v="1"/>
  </r>
  <r>
    <m/>
    <m/>
    <x v="1"/>
    <s v="64490982003003"/>
    <n v="-26.55"/>
    <n v="677"/>
    <n v="1"/>
    <n v="1"/>
  </r>
  <r>
    <m/>
    <m/>
    <x v="1"/>
    <s v="64587795001002"/>
    <n v="-59.8"/>
    <n v="1525"/>
    <n v="1"/>
    <n v="1"/>
  </r>
  <r>
    <m/>
    <m/>
    <x v="1"/>
    <s v="64653489001002"/>
    <n v="-57.09"/>
    <n v="1456"/>
    <n v="1"/>
    <n v="1"/>
  </r>
  <r>
    <m/>
    <m/>
    <x v="1"/>
    <s v="64802495002001"/>
    <n v="-44.27"/>
    <n v="1129"/>
    <n v="1"/>
    <n v="1"/>
  </r>
  <r>
    <m/>
    <m/>
    <x v="1"/>
    <s v="64815090001001"/>
    <n v="-23.8"/>
    <n v="607"/>
    <n v="1"/>
    <n v="1"/>
  </r>
  <r>
    <m/>
    <m/>
    <x v="1"/>
    <s v="64826160001001"/>
    <n v="-45.05"/>
    <n v="1149"/>
    <n v="1"/>
    <n v="1"/>
  </r>
  <r>
    <m/>
    <m/>
    <x v="1"/>
    <s v="65098964002001"/>
    <n v="-82.89"/>
    <n v="2114"/>
    <n v="1"/>
    <n v="1"/>
  </r>
  <r>
    <m/>
    <m/>
    <x v="1"/>
    <s v="65242015001001"/>
    <n v="-16.23"/>
    <n v="414"/>
    <n v="1"/>
    <n v="1"/>
  </r>
  <r>
    <m/>
    <m/>
    <x v="1"/>
    <s v="65270935001002"/>
    <n v="-64.03"/>
    <n v="1633"/>
    <n v="1"/>
    <n v="1"/>
  </r>
  <r>
    <m/>
    <m/>
    <x v="1"/>
    <s v="65395282001003"/>
    <n v="-42.82"/>
    <n v="1092"/>
    <n v="2"/>
    <n v="1"/>
  </r>
  <r>
    <m/>
    <m/>
    <x v="1"/>
    <s v="65413433002003"/>
    <n v="-34.86"/>
    <n v="889"/>
    <n v="1"/>
    <n v="1"/>
  </r>
  <r>
    <m/>
    <m/>
    <x v="1"/>
    <s v="65447350001002"/>
    <n v="-32.74"/>
    <n v="835"/>
    <n v="1"/>
    <n v="1"/>
  </r>
  <r>
    <m/>
    <m/>
    <x v="1"/>
    <s v="65474469002008"/>
    <n v="-26.98"/>
    <n v="688"/>
    <n v="1"/>
    <n v="1"/>
  </r>
  <r>
    <m/>
    <m/>
    <x v="1"/>
    <s v="65633759005001"/>
    <n v="-71.790000000000006"/>
    <n v="1831"/>
    <n v="1"/>
    <n v="1"/>
  </r>
  <r>
    <m/>
    <m/>
    <x v="1"/>
    <s v="65715070001005"/>
    <n v="-75.319999999999993"/>
    <n v="1921"/>
    <n v="1"/>
    <n v="1"/>
  </r>
  <r>
    <m/>
    <m/>
    <x v="1"/>
    <s v="65734956001007"/>
    <n v="-79.989999999999995"/>
    <n v="2040"/>
    <n v="1"/>
    <n v="1"/>
  </r>
  <r>
    <m/>
    <m/>
    <x v="1"/>
    <s v="65798712001005"/>
    <n v="-65.010000000000005"/>
    <n v="1658"/>
    <n v="1"/>
    <n v="1"/>
  </r>
  <r>
    <m/>
    <m/>
    <x v="1"/>
    <s v="65818545001003"/>
    <n v="-66.62"/>
    <n v="1699"/>
    <n v="1"/>
    <n v="1"/>
  </r>
  <r>
    <m/>
    <m/>
    <x v="1"/>
    <s v="65819822001006"/>
    <n v="-92.26"/>
    <n v="2353"/>
    <n v="1"/>
    <n v="1"/>
  </r>
  <r>
    <m/>
    <m/>
    <x v="1"/>
    <s v="66122783001004"/>
    <n v="-17.64"/>
    <n v="450"/>
    <n v="1"/>
    <n v="1"/>
  </r>
  <r>
    <m/>
    <m/>
    <x v="1"/>
    <s v="66219418001001"/>
    <n v="-15.06"/>
    <n v="384"/>
    <n v="1"/>
    <n v="1"/>
  </r>
  <r>
    <m/>
    <m/>
    <x v="1"/>
    <s v="66399758001010"/>
    <n v="-4.3899999999999997"/>
    <n v="112"/>
    <n v="1"/>
    <n v="1"/>
  </r>
  <r>
    <m/>
    <m/>
    <x v="1"/>
    <s v="66421133001001"/>
    <n v="-47.44"/>
    <n v="1210"/>
    <n v="1"/>
    <n v="1"/>
  </r>
  <r>
    <m/>
    <m/>
    <x v="1"/>
    <s v="66526766001001"/>
    <n v="-5.92"/>
    <n v="151"/>
    <n v="1"/>
    <n v="1"/>
  </r>
  <r>
    <m/>
    <m/>
    <x v="1"/>
    <s v="66682187001003"/>
    <n v="-74.77"/>
    <n v="1907"/>
    <n v="1"/>
    <n v="1"/>
  </r>
  <r>
    <m/>
    <m/>
    <x v="1"/>
    <s v="66758040001002"/>
    <n v="-0.71"/>
    <n v="18"/>
    <n v="1"/>
    <n v="1"/>
  </r>
  <r>
    <m/>
    <m/>
    <x v="1"/>
    <s v="66809061002005"/>
    <n v="-28.78"/>
    <n v="734"/>
    <n v="1"/>
    <n v="1"/>
  </r>
  <r>
    <m/>
    <m/>
    <x v="1"/>
    <s v="66942119001003"/>
    <n v="-19.920000000000002"/>
    <n v="508"/>
    <n v="1"/>
    <n v="1"/>
  </r>
  <r>
    <m/>
    <m/>
    <x v="1"/>
    <s v="67084260003001"/>
    <n v="-6"/>
    <n v="153"/>
    <n v="1"/>
    <n v="1"/>
  </r>
  <r>
    <m/>
    <m/>
    <x v="1"/>
    <s v="67267992001001"/>
    <n v="-60.38"/>
    <n v="1540"/>
    <n v="1"/>
    <n v="1"/>
  </r>
  <r>
    <m/>
    <m/>
    <x v="1"/>
    <s v="67277026001001"/>
    <n v="-14.7"/>
    <n v="375"/>
    <n v="1"/>
    <n v="1"/>
  </r>
  <r>
    <m/>
    <m/>
    <x v="1"/>
    <s v="67361765001002"/>
    <n v="-72.22"/>
    <n v="1842"/>
    <n v="1"/>
    <n v="1"/>
  </r>
  <r>
    <m/>
    <m/>
    <x v="1"/>
    <s v="67563007001003"/>
    <n v="-126.3"/>
    <n v="3221"/>
    <n v="1"/>
    <n v="1"/>
  </r>
  <r>
    <m/>
    <m/>
    <x v="1"/>
    <s v="67683314001002"/>
    <n v="-8.82"/>
    <n v="225"/>
    <n v="1"/>
    <n v="1"/>
  </r>
  <r>
    <m/>
    <m/>
    <x v="1"/>
    <s v="68146157001004"/>
    <n v="-18.350000000000001"/>
    <n v="468"/>
    <n v="1"/>
    <n v="1"/>
  </r>
  <r>
    <m/>
    <m/>
    <x v="1"/>
    <s v="68156471001004"/>
    <n v="-39.29"/>
    <n v="1002"/>
    <n v="1"/>
    <n v="1"/>
  </r>
  <r>
    <m/>
    <m/>
    <x v="1"/>
    <s v="68261372001003"/>
    <n v="-62.07"/>
    <n v="1583"/>
    <n v="1"/>
    <n v="1"/>
  </r>
  <r>
    <m/>
    <m/>
    <x v="1"/>
    <s v="68338933001001"/>
    <n v="-121.28"/>
    <n v="3093"/>
    <n v="1"/>
    <n v="1"/>
  </r>
  <r>
    <m/>
    <m/>
    <x v="1"/>
    <s v="68419291001001"/>
    <n v="-179.58"/>
    <n v="4580"/>
    <n v="1"/>
    <n v="1"/>
  </r>
  <r>
    <m/>
    <m/>
    <x v="1"/>
    <s v="68453365001003"/>
    <n v="-44.82"/>
    <n v="1143"/>
    <n v="1"/>
    <n v="1"/>
  </r>
  <r>
    <m/>
    <m/>
    <x v="1"/>
    <s v="68461671002003"/>
    <n v="-4.63"/>
    <n v="118"/>
    <n v="1"/>
    <n v="1"/>
  </r>
  <r>
    <m/>
    <m/>
    <x v="1"/>
    <s v="68471539001001"/>
    <n v="-3.41"/>
    <n v="87"/>
    <n v="1"/>
    <n v="1"/>
  </r>
  <r>
    <m/>
    <m/>
    <x v="1"/>
    <s v="68562129001001"/>
    <n v="-84.93"/>
    <n v="2166"/>
    <n v="1"/>
    <n v="1"/>
  </r>
  <r>
    <m/>
    <m/>
    <x v="1"/>
    <s v="68711288001003"/>
    <n v="-92.26"/>
    <n v="2353"/>
    <n v="1"/>
    <n v="1"/>
  </r>
  <r>
    <m/>
    <m/>
    <x v="1"/>
    <s v="68836312001001"/>
    <n v="-11.96"/>
    <n v="305"/>
    <n v="1"/>
    <n v="1"/>
  </r>
  <r>
    <m/>
    <m/>
    <x v="1"/>
    <s v="68894705001001"/>
    <n v="-28.11"/>
    <n v="717"/>
    <n v="1"/>
    <n v="1"/>
  </r>
  <r>
    <m/>
    <m/>
    <x v="1"/>
    <s v="68970693005001"/>
    <n v="-76.89"/>
    <n v="1961"/>
    <n v="1"/>
    <n v="1"/>
  </r>
  <r>
    <m/>
    <m/>
    <x v="1"/>
    <s v="69170739001001"/>
    <n v="-27.09"/>
    <n v="691"/>
    <n v="1"/>
    <n v="1"/>
  </r>
  <r>
    <m/>
    <m/>
    <x v="1"/>
    <s v="69208025001001"/>
    <n v="-49.29"/>
    <n v="1257"/>
    <n v="1"/>
    <n v="1"/>
  </r>
  <r>
    <m/>
    <m/>
    <x v="1"/>
    <s v="69340720001002"/>
    <n v="-60.11"/>
    <n v="1533"/>
    <n v="1"/>
    <n v="1"/>
  </r>
  <r>
    <m/>
    <m/>
    <x v="1"/>
    <s v="69343800002003"/>
    <n v="-61.01"/>
    <n v="1556"/>
    <n v="1"/>
    <n v="1"/>
  </r>
  <r>
    <m/>
    <m/>
    <x v="1"/>
    <s v="69443775003001"/>
    <n v="-102.42"/>
    <n v="2612"/>
    <n v="1"/>
    <n v="1"/>
  </r>
  <r>
    <m/>
    <m/>
    <x v="1"/>
    <s v="69542400001002"/>
    <n v="-86.89"/>
    <n v="2216"/>
    <n v="1"/>
    <n v="1"/>
  </r>
  <r>
    <m/>
    <m/>
    <x v="1"/>
    <s v="69570598001001"/>
    <n v="-82.85"/>
    <n v="2113"/>
    <n v="1"/>
    <n v="1"/>
  </r>
  <r>
    <m/>
    <m/>
    <x v="1"/>
    <s v="69596317004001"/>
    <n v="-43.72"/>
    <n v="1115"/>
    <n v="1"/>
    <n v="1"/>
  </r>
  <r>
    <m/>
    <m/>
    <x v="1"/>
    <s v="69704870003001"/>
    <n v="-100.34"/>
    <n v="2559"/>
    <n v="1"/>
    <n v="1"/>
  </r>
  <r>
    <m/>
    <m/>
    <x v="1"/>
    <s v="69851222003003"/>
    <n v="-49.33"/>
    <n v="1258"/>
    <n v="1"/>
    <n v="1"/>
  </r>
  <r>
    <m/>
    <m/>
    <x v="1"/>
    <s v="69906946003001"/>
    <n v="-34.78"/>
    <n v="887"/>
    <n v="1"/>
    <n v="1"/>
  </r>
  <r>
    <m/>
    <m/>
    <x v="1"/>
    <s v="69952866001005"/>
    <n v="-30.98"/>
    <n v="790"/>
    <n v="1"/>
    <n v="1"/>
  </r>
  <r>
    <m/>
    <m/>
    <x v="1"/>
    <s v="70272425001001"/>
    <n v="-29.68"/>
    <n v="757"/>
    <n v="1"/>
    <n v="1"/>
  </r>
  <r>
    <m/>
    <m/>
    <x v="1"/>
    <s v="70273911001001"/>
    <n v="-66.77"/>
    <n v="1703"/>
    <n v="1"/>
    <n v="1"/>
  </r>
  <r>
    <m/>
    <m/>
    <x v="1"/>
    <s v="70350989002001"/>
    <n v="-10.74"/>
    <n v="274"/>
    <n v="1"/>
    <n v="1"/>
  </r>
  <r>
    <m/>
    <m/>
    <x v="1"/>
    <s v="70483477001001"/>
    <n v="-102.18"/>
    <n v="2606"/>
    <n v="1"/>
    <n v="1"/>
  </r>
  <r>
    <m/>
    <m/>
    <x v="1"/>
    <s v="70566844001001"/>
    <n v="-63.87"/>
    <n v="1629"/>
    <n v="1"/>
    <n v="1"/>
  </r>
  <r>
    <m/>
    <m/>
    <x v="1"/>
    <s v="70587997002003"/>
    <n v="-38.74"/>
    <n v="988"/>
    <n v="1"/>
    <n v="1"/>
  </r>
  <r>
    <m/>
    <m/>
    <x v="1"/>
    <s v="70863501002003"/>
    <n v="-104.89"/>
    <n v="2675"/>
    <n v="1"/>
    <n v="1"/>
  </r>
  <r>
    <m/>
    <m/>
    <x v="1"/>
    <s v="70915951001003"/>
    <n v="-33.090000000000003"/>
    <n v="844"/>
    <n v="1"/>
    <n v="1"/>
  </r>
  <r>
    <m/>
    <m/>
    <x v="1"/>
    <s v="70944177001002"/>
    <n v="-18.59"/>
    <n v="474"/>
    <n v="1"/>
    <n v="1"/>
  </r>
  <r>
    <m/>
    <m/>
    <x v="1"/>
    <s v="71222085003001"/>
    <n v="-57.91"/>
    <n v="1477"/>
    <n v="1"/>
    <n v="1"/>
  </r>
  <r>
    <m/>
    <m/>
    <x v="1"/>
    <s v="71274854001001"/>
    <n v="-54.27"/>
    <n v="1384"/>
    <n v="1"/>
    <n v="1"/>
  </r>
  <r>
    <m/>
    <m/>
    <x v="1"/>
    <s v="71339719006001"/>
    <n v="-24.7"/>
    <n v="630"/>
    <n v="1"/>
    <n v="1"/>
  </r>
  <r>
    <m/>
    <m/>
    <x v="1"/>
    <s v="71348793001001"/>
    <n v="-46.42"/>
    <n v="1184"/>
    <n v="1"/>
    <n v="1"/>
  </r>
  <r>
    <m/>
    <m/>
    <x v="1"/>
    <s v="71360086001001"/>
    <n v="-35.25"/>
    <n v="899"/>
    <n v="1"/>
    <n v="1"/>
  </r>
  <r>
    <m/>
    <m/>
    <x v="1"/>
    <s v="71428133001002"/>
    <n v="-17.72"/>
    <n v="452"/>
    <n v="1"/>
    <n v="1"/>
  </r>
  <r>
    <m/>
    <m/>
    <x v="1"/>
    <s v="71575625001001"/>
    <n v="-15.41"/>
    <n v="393"/>
    <n v="1"/>
    <n v="1"/>
  </r>
  <r>
    <m/>
    <m/>
    <x v="1"/>
    <s v="71625176001001"/>
    <n v="-43.17"/>
    <n v="1101"/>
    <n v="1"/>
    <n v="1"/>
  </r>
  <r>
    <m/>
    <m/>
    <x v="1"/>
    <s v="71771733001003"/>
    <n v="-73.95"/>
    <n v="1886"/>
    <n v="1"/>
    <n v="1"/>
  </r>
  <r>
    <m/>
    <m/>
    <x v="1"/>
    <s v="71822800001001"/>
    <n v="-76.89"/>
    <n v="1961"/>
    <n v="1"/>
    <n v="1"/>
  </r>
  <r>
    <m/>
    <m/>
    <x v="1"/>
    <s v="71835065001003"/>
    <n v="-32.58"/>
    <n v="831"/>
    <n v="1"/>
    <n v="1"/>
  </r>
  <r>
    <m/>
    <m/>
    <x v="1"/>
    <s v="71915406001004"/>
    <n v="-5.96"/>
    <n v="152"/>
    <n v="1"/>
    <n v="1"/>
  </r>
  <r>
    <m/>
    <m/>
    <x v="1"/>
    <s v="71968164001001"/>
    <n v="-110.18"/>
    <n v="2810"/>
    <n v="1"/>
    <n v="1"/>
  </r>
  <r>
    <m/>
    <m/>
    <x v="1"/>
    <s v="71983541001003"/>
    <n v="-43.29"/>
    <n v="1104"/>
    <n v="1"/>
    <n v="1"/>
  </r>
  <r>
    <m/>
    <m/>
    <x v="1"/>
    <s v="72021826001002"/>
    <n v="-190.91"/>
    <n v="4869"/>
    <n v="1"/>
    <n v="1"/>
  </r>
  <r>
    <m/>
    <m/>
    <x v="1"/>
    <s v="72116107007001"/>
    <n v="-8.5500000000000007"/>
    <n v="218"/>
    <n v="1"/>
    <n v="1"/>
  </r>
  <r>
    <m/>
    <m/>
    <x v="1"/>
    <s v="72255939001003"/>
    <n v="-29.72"/>
    <n v="758"/>
    <n v="1"/>
    <n v="1"/>
  </r>
  <r>
    <m/>
    <m/>
    <x v="1"/>
    <s v="72281719002001"/>
    <n v="-35.799999999999997"/>
    <n v="913"/>
    <n v="1"/>
    <n v="1"/>
  </r>
  <r>
    <m/>
    <m/>
    <x v="1"/>
    <s v="72349625001002"/>
    <n v="-13.02"/>
    <n v="332"/>
    <n v="1"/>
    <n v="1"/>
  </r>
  <r>
    <m/>
    <m/>
    <x v="1"/>
    <s v="72414106001007"/>
    <n v="-50.54"/>
    <n v="1289"/>
    <n v="1"/>
    <n v="1"/>
  </r>
  <r>
    <m/>
    <m/>
    <x v="1"/>
    <s v="72889636001003"/>
    <n v="-85.48"/>
    <n v="2180"/>
    <n v="1"/>
    <n v="1"/>
  </r>
  <r>
    <m/>
    <m/>
    <x v="1"/>
    <s v="73073162002001"/>
    <n v="-18.899999999999999"/>
    <n v="482"/>
    <n v="1"/>
    <n v="1"/>
  </r>
  <r>
    <m/>
    <m/>
    <x v="1"/>
    <s v="73183338001003"/>
    <n v="-43.13"/>
    <n v="1100"/>
    <n v="1"/>
    <n v="1"/>
  </r>
  <r>
    <m/>
    <m/>
    <x v="1"/>
    <s v="73183610001001"/>
    <n v="-39.01"/>
    <n v="995"/>
    <n v="1"/>
    <n v="1"/>
  </r>
  <r>
    <m/>
    <m/>
    <x v="1"/>
    <s v="73241290002003"/>
    <n v="-45.68"/>
    <n v="1165"/>
    <n v="1"/>
    <n v="1"/>
  </r>
  <r>
    <m/>
    <m/>
    <x v="1"/>
    <s v="73496965001001"/>
    <n v="-94.69"/>
    <n v="2415"/>
    <n v="1"/>
    <n v="1"/>
  </r>
  <r>
    <m/>
    <m/>
    <x v="1"/>
    <s v="73630920001004"/>
    <n v="-41.84"/>
    <n v="1067"/>
    <n v="1"/>
    <n v="1"/>
  </r>
  <r>
    <m/>
    <m/>
    <x v="1"/>
    <s v="73758151001001"/>
    <n v="-77.44"/>
    <n v="1975"/>
    <n v="1"/>
    <n v="1"/>
  </r>
  <r>
    <m/>
    <m/>
    <x v="1"/>
    <s v="73783764001001"/>
    <n v="-54.15"/>
    <n v="1381"/>
    <n v="1"/>
    <n v="1"/>
  </r>
  <r>
    <m/>
    <m/>
    <x v="1"/>
    <s v="74187446001006"/>
    <n v="-50.07"/>
    <n v="1277"/>
    <n v="1"/>
    <n v="1"/>
  </r>
  <r>
    <m/>
    <m/>
    <x v="1"/>
    <s v="74446426001001"/>
    <n v="-100.26"/>
    <n v="2557"/>
    <n v="1"/>
    <n v="1"/>
  </r>
  <r>
    <m/>
    <m/>
    <x v="1"/>
    <s v="75321301001004"/>
    <n v="-57.64"/>
    <n v="1470"/>
    <n v="1"/>
    <n v="1"/>
  </r>
  <r>
    <m/>
    <m/>
    <x v="1"/>
    <s v="75379491002001"/>
    <n v="-30.58"/>
    <n v="780"/>
    <n v="1"/>
    <n v="1"/>
  </r>
  <r>
    <m/>
    <m/>
    <x v="1"/>
    <s v="75404405001001"/>
    <n v="-13.41"/>
    <n v="342"/>
    <n v="1"/>
    <n v="1"/>
  </r>
  <r>
    <m/>
    <m/>
    <x v="1"/>
    <s v="75487883001003"/>
    <n v="-43.88"/>
    <n v="1119"/>
    <n v="1"/>
    <n v="1"/>
  </r>
  <r>
    <m/>
    <m/>
    <x v="1"/>
    <s v="75591553001001"/>
    <n v="-28.47"/>
    <n v="726"/>
    <n v="1"/>
    <n v="1"/>
  </r>
  <r>
    <m/>
    <m/>
    <x v="1"/>
    <s v="75990063001006"/>
    <n v="-13.68"/>
    <n v="349"/>
    <n v="1"/>
    <n v="1"/>
  </r>
  <r>
    <m/>
    <m/>
    <x v="1"/>
    <s v="76051640001005"/>
    <n v="-34.35"/>
    <n v="876"/>
    <n v="1"/>
    <n v="1"/>
  </r>
  <r>
    <m/>
    <m/>
    <x v="1"/>
    <s v="76207699002001"/>
    <n v="-65.13"/>
    <n v="1661"/>
    <n v="1"/>
    <n v="1"/>
  </r>
  <r>
    <m/>
    <m/>
    <x v="1"/>
    <s v="76419170001003"/>
    <n v="-57.8"/>
    <n v="1474"/>
    <n v="1"/>
    <n v="1"/>
  </r>
  <r>
    <m/>
    <m/>
    <x v="1"/>
    <s v="76824306001001"/>
    <n v="-27.92"/>
    <n v="712"/>
    <n v="1"/>
    <n v="1"/>
  </r>
  <r>
    <m/>
    <m/>
    <x v="1"/>
    <s v="76834821003003"/>
    <n v="-7.37"/>
    <n v="188"/>
    <n v="1"/>
    <n v="1"/>
  </r>
  <r>
    <m/>
    <m/>
    <x v="1"/>
    <s v="76882051001003"/>
    <n v="-38.03"/>
    <n v="970"/>
    <n v="1"/>
    <n v="1"/>
  </r>
  <r>
    <m/>
    <m/>
    <x v="1"/>
    <s v="77034079001001"/>
    <n v="-55.87"/>
    <n v="1425"/>
    <n v="1"/>
    <n v="1"/>
  </r>
  <r>
    <m/>
    <m/>
    <x v="1"/>
    <s v="77289428001004"/>
    <n v="-51.87"/>
    <n v="1323"/>
    <n v="1"/>
    <n v="1"/>
  </r>
  <r>
    <m/>
    <m/>
    <x v="1"/>
    <s v="77431809001004"/>
    <n v="-67.680000000000007"/>
    <n v="1726"/>
    <n v="1"/>
    <n v="1"/>
  </r>
  <r>
    <m/>
    <m/>
    <x v="1"/>
    <s v="77456701001001"/>
    <n v="-58.42"/>
    <n v="1490"/>
    <n v="1"/>
    <n v="1"/>
  </r>
  <r>
    <m/>
    <m/>
    <x v="1"/>
    <s v="77469310001005"/>
    <n v="-64.27"/>
    <n v="1639"/>
    <n v="1"/>
    <n v="1"/>
  </r>
  <r>
    <m/>
    <m/>
    <x v="1"/>
    <s v="77538150006001"/>
    <n v="-54.27"/>
    <n v="1384"/>
    <n v="1"/>
    <n v="1"/>
  </r>
  <r>
    <m/>
    <m/>
    <x v="1"/>
    <s v="77813221001001"/>
    <n v="-3.69"/>
    <n v="94"/>
    <n v="1"/>
    <n v="1"/>
  </r>
  <r>
    <m/>
    <m/>
    <x v="1"/>
    <s v="77860128001001"/>
    <n v="-78.89"/>
    <n v="2012"/>
    <n v="1"/>
    <n v="1"/>
  </r>
  <r>
    <m/>
    <m/>
    <x v="1"/>
    <s v="77965745001001"/>
    <n v="-71.95"/>
    <n v="1835"/>
    <n v="1"/>
    <n v="1"/>
  </r>
  <r>
    <m/>
    <m/>
    <x v="1"/>
    <s v="77976864001001"/>
    <n v="-30.27"/>
    <n v="772"/>
    <n v="1"/>
    <n v="1"/>
  </r>
  <r>
    <m/>
    <m/>
    <x v="1"/>
    <s v="78002899002002"/>
    <n v="-83.6"/>
    <n v="2132"/>
    <n v="1"/>
    <n v="1"/>
  </r>
  <r>
    <m/>
    <m/>
    <x v="1"/>
    <s v="78040116001002"/>
    <n v="-86.11"/>
    <n v="2196"/>
    <n v="1"/>
    <n v="1"/>
  </r>
  <r>
    <m/>
    <m/>
    <x v="1"/>
    <s v="78107039001001"/>
    <n v="-11.8"/>
    <n v="301"/>
    <n v="1"/>
    <n v="1"/>
  </r>
  <r>
    <m/>
    <m/>
    <x v="1"/>
    <s v="78272932003021"/>
    <n v="-65.010000000000005"/>
    <n v="1658"/>
    <n v="1"/>
    <n v="1"/>
  </r>
  <r>
    <m/>
    <m/>
    <x v="1"/>
    <s v="78305476001002"/>
    <n v="-46.31"/>
    <n v="1181"/>
    <n v="1"/>
    <n v="1"/>
  </r>
  <r>
    <m/>
    <m/>
    <x v="1"/>
    <s v="78319567001011"/>
    <n v="-77.95"/>
    <n v="1988"/>
    <n v="1"/>
    <n v="1"/>
  </r>
  <r>
    <m/>
    <m/>
    <x v="1"/>
    <s v="78360766001001"/>
    <n v="-144.37"/>
    <n v="3682"/>
    <n v="1"/>
    <n v="1"/>
  </r>
  <r>
    <m/>
    <m/>
    <x v="1"/>
    <s v="78365326001003"/>
    <n v="-33.130000000000003"/>
    <n v="845"/>
    <n v="1"/>
    <n v="1"/>
  </r>
  <r>
    <m/>
    <m/>
    <x v="1"/>
    <s v="78415920003009"/>
    <n v="-27.33"/>
    <n v="697"/>
    <n v="1"/>
    <n v="1"/>
  </r>
  <r>
    <m/>
    <m/>
    <x v="1"/>
    <s v="78981033002001"/>
    <n v="-129.51"/>
    <n v="3303"/>
    <n v="1"/>
    <n v="1"/>
  </r>
  <r>
    <m/>
    <m/>
    <x v="1"/>
    <s v="79262329001005"/>
    <n v="-46.11"/>
    <n v="1176"/>
    <n v="1"/>
    <n v="1"/>
  </r>
  <r>
    <m/>
    <m/>
    <x v="1"/>
    <s v="79691093001003"/>
    <n v="-65.83"/>
    <n v="1679"/>
    <n v="1"/>
    <n v="1"/>
  </r>
  <r>
    <m/>
    <m/>
    <x v="1"/>
    <s v="79692122001001"/>
    <n v="-73.680000000000007"/>
    <n v="1879"/>
    <n v="1"/>
    <n v="1"/>
  </r>
  <r>
    <m/>
    <m/>
    <x v="1"/>
    <s v="79728915002004"/>
    <n v="-57.29"/>
    <n v="1461"/>
    <n v="1"/>
    <n v="1"/>
  </r>
  <r>
    <m/>
    <m/>
    <x v="1"/>
    <s v="79876400001001"/>
    <n v="-52.35"/>
    <n v="1335"/>
    <n v="1"/>
    <n v="1"/>
  </r>
  <r>
    <m/>
    <m/>
    <x v="1"/>
    <s v="80040145002003"/>
    <n v="-84.26"/>
    <n v="2149"/>
    <n v="1"/>
    <n v="1"/>
  </r>
  <r>
    <m/>
    <m/>
    <x v="1"/>
    <s v="80230379001001"/>
    <n v="-5.88"/>
    <n v="150"/>
    <n v="1"/>
    <n v="1"/>
  </r>
  <r>
    <m/>
    <m/>
    <x v="1"/>
    <s v="80231406001003"/>
    <n v="-79.28"/>
    <n v="2022"/>
    <n v="1"/>
    <n v="1"/>
  </r>
  <r>
    <m/>
    <m/>
    <x v="1"/>
    <s v="80579052001003"/>
    <n v="-51.01"/>
    <n v="1301"/>
    <n v="1"/>
    <n v="1"/>
  </r>
  <r>
    <m/>
    <m/>
    <x v="1"/>
    <s v="80690359001001"/>
    <n v="-19.25"/>
    <n v="491"/>
    <n v="1"/>
    <n v="1"/>
  </r>
  <r>
    <m/>
    <m/>
    <x v="1"/>
    <s v="80691482001003"/>
    <n v="-54.35"/>
    <n v="1386"/>
    <n v="1"/>
    <n v="1"/>
  </r>
  <r>
    <m/>
    <m/>
    <x v="1"/>
    <s v="80927139001003"/>
    <n v="-19.88"/>
    <n v="507"/>
    <n v="1"/>
    <n v="1"/>
  </r>
  <r>
    <m/>
    <m/>
    <x v="1"/>
    <s v="81283750001001"/>
    <n v="-41.88"/>
    <n v="1068"/>
    <n v="1"/>
    <n v="1"/>
  </r>
  <r>
    <m/>
    <m/>
    <x v="1"/>
    <s v="81304932001001"/>
    <n v="-59.87"/>
    <n v="1527"/>
    <n v="1"/>
    <n v="1"/>
  </r>
  <r>
    <m/>
    <m/>
    <x v="1"/>
    <s v="81337996001001"/>
    <n v="-52.03"/>
    <n v="1327"/>
    <n v="1"/>
    <n v="1"/>
  </r>
  <r>
    <m/>
    <m/>
    <x v="1"/>
    <s v="81392055002006"/>
    <n v="-71.400000000000006"/>
    <n v="1821"/>
    <n v="1"/>
    <n v="1"/>
  </r>
  <r>
    <m/>
    <m/>
    <x v="1"/>
    <s v="81416667001004"/>
    <n v="-16.12"/>
    <n v="411"/>
    <n v="1"/>
    <n v="1"/>
  </r>
  <r>
    <m/>
    <m/>
    <x v="1"/>
    <s v="81515835001001"/>
    <n v="-11.29"/>
    <n v="288"/>
    <n v="1"/>
    <n v="1"/>
  </r>
  <r>
    <m/>
    <m/>
    <x v="1"/>
    <s v="81678039001001"/>
    <n v="-37.25"/>
    <n v="950"/>
    <n v="1"/>
    <n v="1"/>
  </r>
  <r>
    <m/>
    <m/>
    <x v="1"/>
    <s v="81890846004001"/>
    <n v="-65.87"/>
    <n v="1680"/>
    <n v="1"/>
    <n v="1"/>
  </r>
  <r>
    <m/>
    <m/>
    <x v="1"/>
    <s v="81905257001001"/>
    <n v="-79.010000000000005"/>
    <n v="2015"/>
    <n v="1"/>
    <n v="1"/>
  </r>
  <r>
    <m/>
    <m/>
    <x v="1"/>
    <s v="82041298001001"/>
    <n v="-86.81"/>
    <n v="2214"/>
    <n v="1"/>
    <n v="1"/>
  </r>
  <r>
    <m/>
    <m/>
    <x v="1"/>
    <s v="82061210002003"/>
    <n v="-91.28"/>
    <n v="2328"/>
    <n v="1"/>
    <n v="1"/>
  </r>
  <r>
    <m/>
    <m/>
    <x v="1"/>
    <s v="82090212005001"/>
    <n v="-54.23"/>
    <n v="1383"/>
    <n v="1"/>
    <n v="1"/>
  </r>
  <r>
    <m/>
    <m/>
    <x v="1"/>
    <s v="82301770001003"/>
    <n v="-68.23"/>
    <n v="1740"/>
    <n v="1"/>
    <n v="1"/>
  </r>
  <r>
    <m/>
    <m/>
    <x v="1"/>
    <s v="82412634002004"/>
    <n v="-51.21"/>
    <n v="1306"/>
    <n v="1"/>
    <n v="1"/>
  </r>
  <r>
    <m/>
    <m/>
    <x v="1"/>
    <s v="82440956001001"/>
    <n v="-59.09"/>
    <n v="1507"/>
    <n v="1"/>
    <n v="1"/>
  </r>
  <r>
    <m/>
    <m/>
    <x v="1"/>
    <s v="82467652003001"/>
    <n v="-56.97"/>
    <n v="1453"/>
    <n v="1"/>
    <n v="1"/>
  </r>
  <r>
    <m/>
    <m/>
    <x v="1"/>
    <s v="82488681001001"/>
    <n v="-28.27"/>
    <n v="721"/>
    <n v="1"/>
    <n v="1"/>
  </r>
  <r>
    <m/>
    <m/>
    <x v="1"/>
    <s v="82697231001002"/>
    <n v="-26.66"/>
    <n v="680"/>
    <n v="1"/>
    <n v="1"/>
  </r>
  <r>
    <m/>
    <m/>
    <x v="1"/>
    <s v="82800086001001"/>
    <n v="-30.58"/>
    <n v="780"/>
    <n v="1"/>
    <n v="1"/>
  </r>
  <r>
    <m/>
    <m/>
    <x v="1"/>
    <s v="82877362001001"/>
    <n v="-19.64"/>
    <n v="501"/>
    <n v="1"/>
    <n v="1"/>
  </r>
  <r>
    <m/>
    <m/>
    <x v="1"/>
    <s v="83010955001001"/>
    <n v="-12.63"/>
    <n v="322"/>
    <n v="1"/>
    <n v="1"/>
  </r>
  <r>
    <m/>
    <m/>
    <x v="1"/>
    <s v="83187563001001"/>
    <n v="-49.8"/>
    <n v="1270"/>
    <n v="1"/>
    <n v="1"/>
  </r>
  <r>
    <m/>
    <m/>
    <x v="1"/>
    <s v="83648881001001"/>
    <n v="-54.54"/>
    <n v="1391"/>
    <n v="1"/>
    <n v="1"/>
  </r>
  <r>
    <m/>
    <m/>
    <x v="1"/>
    <s v="83981932001002"/>
    <n v="-0.39"/>
    <n v="10"/>
    <n v="1"/>
    <n v="1"/>
  </r>
  <r>
    <m/>
    <m/>
    <x v="1"/>
    <s v="84291714001001"/>
    <n v="-55.01"/>
    <n v="1403"/>
    <n v="1"/>
    <n v="1"/>
  </r>
  <r>
    <m/>
    <m/>
    <x v="1"/>
    <s v="84497328001001"/>
    <n v="-56.7"/>
    <n v="1446"/>
    <n v="1"/>
    <n v="1"/>
  </r>
  <r>
    <m/>
    <m/>
    <x v="1"/>
    <s v="84539713001002"/>
    <n v="-3.06"/>
    <n v="78"/>
    <n v="1"/>
    <n v="1"/>
  </r>
  <r>
    <m/>
    <m/>
    <x v="1"/>
    <s v="84644192001003"/>
    <n v="-2.74"/>
    <n v="70"/>
    <n v="1"/>
    <n v="1"/>
  </r>
  <r>
    <m/>
    <m/>
    <x v="1"/>
    <s v="85023046001005"/>
    <n v="-57.29"/>
    <n v="1461"/>
    <n v="1"/>
    <n v="1"/>
  </r>
  <r>
    <m/>
    <m/>
    <x v="1"/>
    <s v="85052617001010"/>
    <n v="-7.41"/>
    <n v="189"/>
    <n v="1"/>
    <n v="1"/>
  </r>
  <r>
    <m/>
    <m/>
    <x v="1"/>
    <s v="85307300001016"/>
    <n v="-61.09"/>
    <n v="1558"/>
    <n v="1"/>
    <n v="1"/>
  </r>
  <r>
    <m/>
    <m/>
    <x v="1"/>
    <s v="85316731004002"/>
    <n v="-109.98"/>
    <n v="2805"/>
    <n v="1"/>
    <n v="1"/>
  </r>
  <r>
    <m/>
    <m/>
    <x v="1"/>
    <s v="85581255001001"/>
    <n v="-32.31"/>
    <n v="824"/>
    <n v="1"/>
    <n v="1"/>
  </r>
  <r>
    <m/>
    <m/>
    <x v="1"/>
    <s v="85590751001003"/>
    <n v="-46.54"/>
    <n v="1187"/>
    <n v="1"/>
    <n v="1"/>
  </r>
  <r>
    <m/>
    <m/>
    <x v="1"/>
    <s v="85648933001001"/>
    <n v="-55.29"/>
    <n v="1410"/>
    <n v="1"/>
    <n v="1"/>
  </r>
  <r>
    <m/>
    <m/>
    <x v="1"/>
    <s v="85663723001011"/>
    <n v="-74.260000000000005"/>
    <n v="1894"/>
    <n v="1"/>
    <n v="1"/>
  </r>
  <r>
    <m/>
    <m/>
    <x v="1"/>
    <s v="85877100003003"/>
    <n v="-25.8"/>
    <n v="658"/>
    <n v="1"/>
    <n v="1"/>
  </r>
  <r>
    <m/>
    <m/>
    <x v="1"/>
    <s v="86090490001001"/>
    <n v="-117"/>
    <n v="2984"/>
    <n v="1"/>
    <n v="1"/>
  </r>
  <r>
    <m/>
    <m/>
    <x v="1"/>
    <s v="86166400001001"/>
    <n v="-131.12"/>
    <n v="3344"/>
    <n v="1"/>
    <n v="1"/>
  </r>
  <r>
    <m/>
    <m/>
    <x v="1"/>
    <s v="86307010001002"/>
    <n v="-83.99"/>
    <n v="2142"/>
    <n v="1"/>
    <n v="1"/>
  </r>
  <r>
    <m/>
    <m/>
    <x v="1"/>
    <s v="86307411001003"/>
    <n v="-50.66"/>
    <n v="1292"/>
    <n v="1"/>
    <n v="1"/>
  </r>
  <r>
    <m/>
    <m/>
    <x v="1"/>
    <s v="86342190001003"/>
    <n v="-45.64"/>
    <n v="1164"/>
    <n v="1"/>
    <n v="1"/>
  </r>
  <r>
    <m/>
    <m/>
    <x v="1"/>
    <s v="86363752001001"/>
    <n v="-40.07"/>
    <n v="1022"/>
    <n v="1"/>
    <n v="1"/>
  </r>
  <r>
    <m/>
    <m/>
    <x v="1"/>
    <s v="86674199001002"/>
    <n v="-73.17"/>
    <n v="1866"/>
    <n v="1"/>
    <n v="1"/>
  </r>
  <r>
    <m/>
    <m/>
    <x v="1"/>
    <s v="86709161001013"/>
    <n v="-32.03"/>
    <n v="817"/>
    <n v="1"/>
    <n v="1"/>
  </r>
  <r>
    <m/>
    <m/>
    <x v="1"/>
    <s v="86799046001002"/>
    <n v="-59.91"/>
    <n v="1528"/>
    <n v="1"/>
    <n v="1"/>
  </r>
  <r>
    <m/>
    <m/>
    <x v="1"/>
    <s v="86965244003001"/>
    <n v="-59.68"/>
    <n v="1522"/>
    <n v="1"/>
    <n v="1"/>
  </r>
  <r>
    <m/>
    <m/>
    <x v="1"/>
    <s v="86993697001006"/>
    <n v="-42.93"/>
    <n v="1095"/>
    <n v="1"/>
    <n v="1"/>
  </r>
  <r>
    <m/>
    <m/>
    <x v="1"/>
    <s v="86997021001001"/>
    <n v="-54.85"/>
    <n v="1399"/>
    <n v="1"/>
    <n v="1"/>
  </r>
  <r>
    <m/>
    <m/>
    <x v="1"/>
    <s v="87027409001001"/>
    <n v="-188.76"/>
    <n v="4814"/>
    <n v="1"/>
    <n v="1"/>
  </r>
  <r>
    <m/>
    <m/>
    <x v="1"/>
    <s v="87070196001003"/>
    <n v="-37.799999999999997"/>
    <n v="964"/>
    <n v="1"/>
    <n v="1"/>
  </r>
  <r>
    <m/>
    <m/>
    <x v="1"/>
    <s v="87114513002001"/>
    <n v="-54.82"/>
    <n v="1398"/>
    <n v="1"/>
    <n v="1"/>
  </r>
  <r>
    <m/>
    <m/>
    <x v="1"/>
    <s v="87134959001001"/>
    <n v="-99.95"/>
    <n v="2549"/>
    <n v="1"/>
    <n v="1"/>
  </r>
  <r>
    <m/>
    <m/>
    <x v="1"/>
    <s v="87157714001003"/>
    <n v="-40.700000000000003"/>
    <n v="1038"/>
    <n v="1"/>
    <n v="1"/>
  </r>
  <r>
    <m/>
    <m/>
    <x v="1"/>
    <s v="87271363001002"/>
    <n v="-7.33"/>
    <n v="187"/>
    <n v="1"/>
    <n v="1"/>
  </r>
  <r>
    <m/>
    <m/>
    <x v="1"/>
    <s v="87486491001002"/>
    <n v="-15.92"/>
    <n v="406"/>
    <n v="1"/>
    <n v="1"/>
  </r>
  <r>
    <m/>
    <m/>
    <x v="1"/>
    <s v="87498972001001"/>
    <n v="-62.78"/>
    <n v="1601"/>
    <n v="1"/>
    <n v="1"/>
  </r>
  <r>
    <m/>
    <m/>
    <x v="1"/>
    <s v="88037259002004"/>
    <n v="-135.08000000000001"/>
    <n v="3445"/>
    <n v="1"/>
    <n v="1"/>
  </r>
  <r>
    <m/>
    <m/>
    <x v="1"/>
    <s v="88060410001002"/>
    <n v="-4.3499999999999996"/>
    <n v="111"/>
    <n v="1"/>
    <n v="1"/>
  </r>
  <r>
    <m/>
    <m/>
    <x v="1"/>
    <s v="88063060001002"/>
    <n v="-153.86000000000001"/>
    <n v="3924"/>
    <n v="1"/>
    <n v="1"/>
  </r>
  <r>
    <m/>
    <m/>
    <x v="1"/>
    <s v="88142714001001"/>
    <n v="-127.82"/>
    <n v="3260"/>
    <n v="1"/>
    <n v="1"/>
  </r>
  <r>
    <m/>
    <m/>
    <x v="1"/>
    <s v="88142806002001"/>
    <n v="-87.01"/>
    <n v="2219"/>
    <n v="1"/>
    <n v="1"/>
  </r>
  <r>
    <m/>
    <m/>
    <x v="1"/>
    <s v="88182721001002"/>
    <n v="-9.68"/>
    <n v="247"/>
    <n v="1"/>
    <n v="1"/>
  </r>
  <r>
    <m/>
    <m/>
    <x v="1"/>
    <s v="88450306001003"/>
    <n v="-34.31"/>
    <n v="875"/>
    <n v="1"/>
    <n v="1"/>
  </r>
  <r>
    <m/>
    <m/>
    <x v="1"/>
    <s v="88484707001005"/>
    <n v="-24.15"/>
    <n v="616"/>
    <n v="1"/>
    <n v="1"/>
  </r>
  <r>
    <m/>
    <m/>
    <x v="1"/>
    <s v="88915775001003"/>
    <n v="-16.59"/>
    <n v="423"/>
    <n v="1"/>
    <n v="1"/>
  </r>
  <r>
    <m/>
    <m/>
    <x v="1"/>
    <s v="88983549001001"/>
    <n v="-67.25"/>
    <n v="1715"/>
    <n v="1"/>
    <n v="1"/>
  </r>
  <r>
    <m/>
    <m/>
    <x v="1"/>
    <s v="89107006001001"/>
    <n v="-39.21"/>
    <n v="1000"/>
    <n v="1"/>
    <n v="1"/>
  </r>
  <r>
    <m/>
    <m/>
    <x v="1"/>
    <s v="89156906001001"/>
    <n v="-28.51"/>
    <n v="727"/>
    <n v="1"/>
    <n v="1"/>
  </r>
  <r>
    <m/>
    <m/>
    <x v="1"/>
    <s v="89366347001001"/>
    <n v="-94.81"/>
    <n v="2418"/>
    <n v="1"/>
    <n v="1"/>
  </r>
  <r>
    <m/>
    <m/>
    <x v="1"/>
    <s v="89416711001001"/>
    <n v="-28.35"/>
    <n v="723"/>
    <n v="1"/>
    <n v="1"/>
  </r>
  <r>
    <m/>
    <m/>
    <x v="1"/>
    <s v="89520809001009"/>
    <n v="-59.32"/>
    <n v="1513"/>
    <n v="1"/>
    <n v="1"/>
  </r>
  <r>
    <m/>
    <m/>
    <x v="1"/>
    <s v="89581153002001"/>
    <n v="-13.92"/>
    <n v="355"/>
    <n v="1"/>
    <n v="1"/>
  </r>
  <r>
    <m/>
    <m/>
    <x v="1"/>
    <s v="89768877001001"/>
    <n v="-63.68"/>
    <n v="1624"/>
    <n v="1"/>
    <n v="1"/>
  </r>
  <r>
    <m/>
    <m/>
    <x v="1"/>
    <s v="89864539001001"/>
    <n v="-64.34"/>
    <n v="1641"/>
    <n v="1"/>
    <n v="1"/>
  </r>
  <r>
    <m/>
    <m/>
    <x v="1"/>
    <s v="89887026001003"/>
    <n v="-71.91"/>
    <n v="1834"/>
    <n v="1"/>
    <n v="1"/>
  </r>
  <r>
    <m/>
    <m/>
    <x v="1"/>
    <s v="89949893001001"/>
    <n v="-25.96"/>
    <n v="662"/>
    <n v="1"/>
    <n v="1"/>
  </r>
  <r>
    <m/>
    <m/>
    <x v="1"/>
    <s v="89953012002004"/>
    <n v="-26.66"/>
    <n v="680"/>
    <n v="1"/>
    <n v="1"/>
  </r>
  <r>
    <m/>
    <m/>
    <x v="1"/>
    <s v="90452668002001"/>
    <n v="-48.93"/>
    <n v="1248"/>
    <n v="1"/>
    <n v="1"/>
  </r>
  <r>
    <m/>
    <m/>
    <x v="1"/>
    <s v="90516824001003"/>
    <n v="-72.7"/>
    <n v="1854"/>
    <n v="1"/>
    <n v="1"/>
  </r>
  <r>
    <m/>
    <m/>
    <x v="1"/>
    <s v="90673462003001"/>
    <n v="-64.27"/>
    <n v="1639"/>
    <n v="1"/>
    <n v="1"/>
  </r>
  <r>
    <m/>
    <m/>
    <x v="1"/>
    <s v="90805481002003"/>
    <n v="-94.1"/>
    <n v="2400"/>
    <n v="1"/>
    <n v="1"/>
  </r>
  <r>
    <m/>
    <m/>
    <x v="1"/>
    <s v="90822925001006"/>
    <n v="-99.59"/>
    <n v="2540"/>
    <n v="1"/>
    <n v="1"/>
  </r>
  <r>
    <m/>
    <m/>
    <x v="1"/>
    <s v="90876636001005"/>
    <n v="-32.19"/>
    <n v="821"/>
    <n v="1"/>
    <n v="1"/>
  </r>
  <r>
    <m/>
    <m/>
    <x v="1"/>
    <s v="91039711003001"/>
    <n v="-62.5"/>
    <n v="1594"/>
    <n v="1"/>
    <n v="1"/>
  </r>
  <r>
    <m/>
    <m/>
    <x v="1"/>
    <s v="91059700002001"/>
    <n v="-53.33"/>
    <n v="1360"/>
    <n v="1"/>
    <n v="1"/>
  </r>
  <r>
    <m/>
    <m/>
    <x v="1"/>
    <s v="91081109001003"/>
    <n v="-26.7"/>
    <n v="681"/>
    <n v="1"/>
    <n v="1"/>
  </r>
  <r>
    <m/>
    <m/>
    <x v="1"/>
    <s v="91086693001001"/>
    <n v="-19.45"/>
    <n v="496"/>
    <n v="1"/>
    <n v="1"/>
  </r>
  <r>
    <m/>
    <m/>
    <x v="1"/>
    <s v="91441748001001"/>
    <n v="-82.69"/>
    <n v="2109"/>
    <n v="1"/>
    <n v="1"/>
  </r>
  <r>
    <m/>
    <m/>
    <x v="1"/>
    <s v="91789984001002"/>
    <n v="-2.94"/>
    <n v="75"/>
    <n v="1"/>
    <n v="1"/>
  </r>
  <r>
    <m/>
    <m/>
    <x v="1"/>
    <s v="91911316001004"/>
    <n v="-46.74"/>
    <n v="1192"/>
    <n v="1"/>
    <n v="1"/>
  </r>
  <r>
    <m/>
    <m/>
    <x v="1"/>
    <s v="91947072001002"/>
    <n v="-51.64"/>
    <n v="1317"/>
    <n v="1"/>
    <n v="1"/>
  </r>
  <r>
    <m/>
    <m/>
    <x v="1"/>
    <s v="92061113001004"/>
    <n v="-11.68"/>
    <n v="298"/>
    <n v="1"/>
    <n v="1"/>
  </r>
  <r>
    <m/>
    <m/>
    <x v="1"/>
    <s v="92631033001005"/>
    <n v="-117.71"/>
    <n v="3002"/>
    <n v="1"/>
    <n v="1"/>
  </r>
  <r>
    <m/>
    <m/>
    <x v="1"/>
    <s v="92711390001001"/>
    <n v="-66.89"/>
    <n v="1706"/>
    <n v="1"/>
    <n v="1"/>
  </r>
  <r>
    <m/>
    <m/>
    <x v="1"/>
    <s v="92883803001003"/>
    <n v="-98.46"/>
    <n v="2511"/>
    <n v="1"/>
    <n v="1"/>
  </r>
  <r>
    <m/>
    <m/>
    <x v="1"/>
    <s v="93053068001003"/>
    <n v="-77.239999999999995"/>
    <n v="1970"/>
    <n v="1"/>
    <n v="1"/>
  </r>
  <r>
    <m/>
    <m/>
    <x v="1"/>
    <s v="93262077001007"/>
    <n v="-31.84"/>
    <n v="812"/>
    <n v="1"/>
    <n v="1"/>
  </r>
  <r>
    <m/>
    <m/>
    <x v="1"/>
    <s v="93280654001004"/>
    <n v="-54.31"/>
    <n v="1385"/>
    <n v="1"/>
    <n v="1"/>
  </r>
  <r>
    <m/>
    <m/>
    <x v="1"/>
    <s v="93295699001010"/>
    <n v="-60.07"/>
    <n v="1532"/>
    <n v="1"/>
    <n v="1"/>
  </r>
  <r>
    <m/>
    <m/>
    <x v="1"/>
    <s v="93332324001001"/>
    <n v="-24.23"/>
    <n v="618"/>
    <n v="1"/>
    <n v="1"/>
  </r>
  <r>
    <m/>
    <m/>
    <x v="1"/>
    <s v="93416826004001"/>
    <n v="-76.97"/>
    <n v="1963"/>
    <n v="1"/>
    <n v="1"/>
  </r>
  <r>
    <m/>
    <m/>
    <x v="1"/>
    <s v="93447974001001"/>
    <n v="-75.64"/>
    <n v="1929"/>
    <n v="1"/>
    <n v="1"/>
  </r>
  <r>
    <m/>
    <m/>
    <x v="1"/>
    <s v="93483899001002"/>
    <n v="-69.36"/>
    <n v="1769"/>
    <n v="1"/>
    <n v="1"/>
  </r>
  <r>
    <m/>
    <m/>
    <x v="1"/>
    <s v="93502736001008"/>
    <n v="-4.9800000000000004"/>
    <n v="127"/>
    <n v="1"/>
    <n v="1"/>
  </r>
  <r>
    <m/>
    <m/>
    <x v="1"/>
    <s v="93525219001001"/>
    <n v="-44.62"/>
    <n v="1138"/>
    <n v="1"/>
    <n v="1"/>
  </r>
  <r>
    <m/>
    <m/>
    <x v="1"/>
    <s v="93549993001001"/>
    <n v="-93.01"/>
    <n v="2372"/>
    <n v="1"/>
    <n v="1"/>
  </r>
  <r>
    <m/>
    <m/>
    <x v="1"/>
    <s v="93630806001004"/>
    <n v="-84.07"/>
    <n v="2144"/>
    <n v="1"/>
    <n v="1"/>
  </r>
  <r>
    <m/>
    <m/>
    <x v="1"/>
    <s v="93645499001014"/>
    <n v="-57.13"/>
    <n v="1457"/>
    <n v="1"/>
    <n v="1"/>
  </r>
  <r>
    <m/>
    <m/>
    <x v="1"/>
    <s v="93710321001003"/>
    <n v="-18.98"/>
    <n v="484"/>
    <n v="1"/>
    <n v="1"/>
  </r>
  <r>
    <m/>
    <m/>
    <x v="1"/>
    <s v="93853061001004"/>
    <n v="-46.19"/>
    <n v="1178"/>
    <n v="1"/>
    <n v="1"/>
  </r>
  <r>
    <m/>
    <m/>
    <x v="1"/>
    <s v="94027788001002"/>
    <n v="-70.66"/>
    <n v="1802"/>
    <n v="1"/>
    <n v="1"/>
  </r>
  <r>
    <m/>
    <m/>
    <x v="1"/>
    <s v="94167857001010"/>
    <n v="-25.13"/>
    <n v="641"/>
    <n v="1"/>
    <n v="1"/>
  </r>
  <r>
    <m/>
    <m/>
    <x v="1"/>
    <s v="94294869001001"/>
    <n v="-39.33"/>
    <n v="1003"/>
    <n v="1"/>
    <n v="1"/>
  </r>
  <r>
    <m/>
    <m/>
    <x v="1"/>
    <s v="94384624001001"/>
    <n v="-25.53"/>
    <n v="651"/>
    <n v="1"/>
    <n v="1"/>
  </r>
  <r>
    <m/>
    <m/>
    <x v="1"/>
    <s v="94490206001005"/>
    <n v="-14.04"/>
    <n v="358"/>
    <n v="1"/>
    <n v="1"/>
  </r>
  <r>
    <m/>
    <m/>
    <x v="1"/>
    <s v="94506465001003"/>
    <n v="-46.31"/>
    <n v="1181"/>
    <n v="1"/>
    <n v="1"/>
  </r>
  <r>
    <m/>
    <m/>
    <x v="1"/>
    <s v="94703589005001"/>
    <n v="-35.090000000000003"/>
    <n v="895"/>
    <n v="1"/>
    <n v="1"/>
  </r>
  <r>
    <m/>
    <m/>
    <x v="1"/>
    <s v="94860723001003"/>
    <n v="-38.270000000000003"/>
    <n v="976"/>
    <n v="1"/>
    <n v="1"/>
  </r>
  <r>
    <m/>
    <m/>
    <x v="1"/>
    <s v="94938062001001"/>
    <n v="-82.69"/>
    <n v="2109"/>
    <n v="1"/>
    <n v="1"/>
  </r>
  <r>
    <m/>
    <m/>
    <x v="1"/>
    <s v="95131113005001"/>
    <n v="-59.68"/>
    <n v="1522"/>
    <n v="1"/>
    <n v="1"/>
  </r>
  <r>
    <m/>
    <m/>
    <x v="1"/>
    <s v="95275266001003"/>
    <n v="-63.17"/>
    <n v="1611"/>
    <n v="1"/>
    <n v="1"/>
  </r>
  <r>
    <m/>
    <m/>
    <x v="1"/>
    <s v="95429454001002"/>
    <n v="-16.12"/>
    <n v="411"/>
    <n v="1"/>
    <n v="1"/>
  </r>
  <r>
    <m/>
    <m/>
    <x v="1"/>
    <s v="95833151003001"/>
    <n v="-39.76"/>
    <n v="1014"/>
    <n v="1"/>
    <n v="1"/>
  </r>
  <r>
    <m/>
    <m/>
    <x v="1"/>
    <s v="96127192001001"/>
    <n v="-47.64"/>
    <n v="1215"/>
    <n v="1"/>
    <n v="1"/>
  </r>
  <r>
    <m/>
    <m/>
    <x v="1"/>
    <s v="96171891001007"/>
    <n v="-41.95"/>
    <n v="1070"/>
    <n v="1"/>
    <n v="1"/>
  </r>
  <r>
    <m/>
    <m/>
    <x v="1"/>
    <s v="96186430001005"/>
    <n v="-55.01"/>
    <n v="1403"/>
    <n v="1"/>
    <n v="1"/>
  </r>
  <r>
    <m/>
    <m/>
    <x v="1"/>
    <s v="96305704001001"/>
    <n v="-52.5"/>
    <n v="1339"/>
    <n v="1"/>
    <n v="1"/>
  </r>
  <r>
    <m/>
    <m/>
    <x v="1"/>
    <s v="96336668001003"/>
    <n v="-69.989999999999995"/>
    <n v="1785"/>
    <n v="1"/>
    <n v="1"/>
  </r>
  <r>
    <m/>
    <m/>
    <x v="1"/>
    <s v="96386777001002"/>
    <n v="-70.89"/>
    <n v="1808"/>
    <n v="1"/>
    <n v="1"/>
  </r>
  <r>
    <m/>
    <m/>
    <x v="1"/>
    <s v="96656563001001"/>
    <n v="-29.92"/>
    <n v="763"/>
    <n v="1"/>
    <n v="1"/>
  </r>
  <r>
    <m/>
    <m/>
    <x v="1"/>
    <s v="96743423001001"/>
    <n v="-16.55"/>
    <n v="422"/>
    <n v="1"/>
    <n v="1"/>
  </r>
  <r>
    <m/>
    <m/>
    <x v="1"/>
    <s v="96816452001001"/>
    <n v="-14.43"/>
    <n v="368"/>
    <n v="1"/>
    <n v="1"/>
  </r>
  <r>
    <m/>
    <m/>
    <x v="1"/>
    <s v="96882822001001"/>
    <n v="-65.56"/>
    <n v="1672"/>
    <n v="1"/>
    <n v="1"/>
  </r>
  <r>
    <m/>
    <m/>
    <x v="1"/>
    <s v="97054411004003"/>
    <n v="-51.95"/>
    <n v="1325"/>
    <n v="1"/>
    <n v="1"/>
  </r>
  <r>
    <m/>
    <m/>
    <x v="1"/>
    <s v="97207122002003"/>
    <n v="-83.75"/>
    <n v="2136"/>
    <n v="1"/>
    <n v="1"/>
  </r>
  <r>
    <m/>
    <m/>
    <x v="1"/>
    <s v="97389502001003"/>
    <n v="-26.82"/>
    <n v="684"/>
    <n v="1"/>
    <n v="1"/>
  </r>
  <r>
    <m/>
    <m/>
    <x v="1"/>
    <s v="97517408001003"/>
    <n v="-25.49"/>
    <n v="650"/>
    <n v="1"/>
    <n v="1"/>
  </r>
  <r>
    <m/>
    <m/>
    <x v="1"/>
    <s v="97778274001003"/>
    <n v="-24.04"/>
    <n v="613"/>
    <n v="1"/>
    <n v="1"/>
  </r>
  <r>
    <m/>
    <m/>
    <x v="1"/>
    <s v="97919016001004"/>
    <n v="-54.97"/>
    <n v="1402"/>
    <n v="1"/>
    <n v="1"/>
  </r>
  <r>
    <m/>
    <m/>
    <x v="1"/>
    <s v="97943952002001"/>
    <n v="-94.89"/>
    <n v="2420"/>
    <n v="1"/>
    <n v="1"/>
  </r>
  <r>
    <m/>
    <m/>
    <x v="1"/>
    <s v="98004963001002"/>
    <n v="-72.19"/>
    <n v="1841"/>
    <n v="1"/>
    <n v="1"/>
  </r>
  <r>
    <m/>
    <m/>
    <x v="1"/>
    <s v="98091521001001"/>
    <n v="-11.8"/>
    <n v="301"/>
    <n v="1"/>
    <n v="1"/>
  </r>
  <r>
    <m/>
    <m/>
    <x v="1"/>
    <s v="98323580001002"/>
    <n v="-33.76"/>
    <n v="861"/>
    <n v="1"/>
    <n v="1"/>
  </r>
  <r>
    <m/>
    <m/>
    <x v="1"/>
    <s v="98330301001001"/>
    <n v="-72.19"/>
    <n v="1841"/>
    <n v="1"/>
    <n v="1"/>
  </r>
  <r>
    <m/>
    <m/>
    <x v="1"/>
    <s v="98396921001007"/>
    <n v="-30.98"/>
    <n v="790"/>
    <n v="1"/>
    <n v="1"/>
  </r>
  <r>
    <m/>
    <m/>
    <x v="1"/>
    <s v="98478092001001"/>
    <n v="-31.37"/>
    <n v="800"/>
    <n v="1"/>
    <n v="1"/>
  </r>
  <r>
    <m/>
    <m/>
    <x v="1"/>
    <s v="98525309002001"/>
    <n v="-68.930000000000007"/>
    <n v="1758"/>
    <n v="1"/>
    <n v="1"/>
  </r>
  <r>
    <m/>
    <m/>
    <x v="1"/>
    <s v="98568936001003"/>
    <n v="-57.91"/>
    <n v="1477"/>
    <n v="1"/>
    <n v="1"/>
  </r>
  <r>
    <m/>
    <m/>
    <x v="1"/>
    <s v="98573702001003"/>
    <n v="-19.41"/>
    <n v="495"/>
    <n v="1"/>
    <n v="1"/>
  </r>
  <r>
    <m/>
    <m/>
    <x v="1"/>
    <s v="98706279001001"/>
    <n v="-30.98"/>
    <n v="790"/>
    <n v="1"/>
    <n v="1"/>
  </r>
  <r>
    <m/>
    <m/>
    <x v="1"/>
    <s v="98841325001003"/>
    <n v="-80.3"/>
    <n v="2048"/>
    <n v="1"/>
    <n v="1"/>
  </r>
  <r>
    <m/>
    <m/>
    <x v="1"/>
    <s v="99162209001001"/>
    <n v="-119.51"/>
    <n v="3048"/>
    <n v="1"/>
    <n v="1"/>
  </r>
  <r>
    <m/>
    <m/>
    <x v="1"/>
    <s v="99181573002001"/>
    <n v="-20.11"/>
    <n v="513"/>
    <n v="1"/>
    <n v="1"/>
  </r>
  <r>
    <m/>
    <m/>
    <x v="1"/>
    <s v="99215914001001"/>
    <n v="-50.74"/>
    <n v="1294"/>
    <n v="1"/>
    <n v="1"/>
  </r>
  <r>
    <m/>
    <m/>
    <x v="1"/>
    <s v="99427689006001"/>
    <n v="-48.78"/>
    <n v="1244"/>
    <n v="1"/>
    <n v="1"/>
  </r>
  <r>
    <m/>
    <m/>
    <x v="1"/>
    <s v="99609771001001"/>
    <n v="-37.17"/>
    <n v="948"/>
    <n v="1"/>
    <n v="1"/>
  </r>
  <r>
    <m/>
    <m/>
    <x v="1"/>
    <s v="99676271001001"/>
    <n v="-11.1"/>
    <n v="283"/>
    <n v="1"/>
    <n v="1"/>
  </r>
  <r>
    <m/>
    <m/>
    <x v="1"/>
    <s v="99770512001001"/>
    <n v="-49.99"/>
    <n v="1275"/>
    <n v="1"/>
    <n v="1"/>
  </r>
  <r>
    <m/>
    <m/>
    <x v="4"/>
    <m/>
    <n v="-64601.530000000079"/>
    <n v="1647578"/>
    <n v="1244"/>
    <n v="1243"/>
  </r>
  <r>
    <m/>
    <m/>
    <x v="5"/>
    <s v="00148726001003"/>
    <n v="-67.66"/>
    <n v="1161"/>
    <n v="1"/>
    <n v="1"/>
  </r>
  <r>
    <m/>
    <m/>
    <x v="1"/>
    <s v="00259343010001"/>
    <n v="-40.56"/>
    <n v="696"/>
    <n v="1"/>
    <n v="1"/>
  </r>
  <r>
    <m/>
    <m/>
    <x v="1"/>
    <s v="00319594001001"/>
    <n v="-57.46"/>
    <n v="986"/>
    <n v="1"/>
    <n v="1"/>
  </r>
  <r>
    <m/>
    <m/>
    <x v="1"/>
    <s v="00365733004005"/>
    <n v="-45.05"/>
    <n v="773"/>
    <n v="1"/>
    <n v="1"/>
  </r>
  <r>
    <m/>
    <m/>
    <x v="1"/>
    <s v="00403507003001"/>
    <n v="-130.72"/>
    <n v="2243"/>
    <n v="1"/>
    <n v="1"/>
  </r>
  <r>
    <m/>
    <m/>
    <x v="1"/>
    <s v="00477416001005"/>
    <n v="-232.95"/>
    <n v="3997"/>
    <n v="1"/>
    <n v="1"/>
  </r>
  <r>
    <m/>
    <m/>
    <x v="1"/>
    <s v="00546153003003"/>
    <n v="-111.49"/>
    <n v="1913"/>
    <n v="1"/>
    <n v="1"/>
  </r>
  <r>
    <m/>
    <m/>
    <x v="1"/>
    <s v="00722915001001"/>
    <n v="-28.5"/>
    <n v="489"/>
    <n v="1"/>
    <n v="1"/>
  </r>
  <r>
    <m/>
    <m/>
    <x v="1"/>
    <s v="00730907001001"/>
    <n v="-23.95"/>
    <n v="411"/>
    <n v="1"/>
    <n v="1"/>
  </r>
  <r>
    <m/>
    <m/>
    <x v="1"/>
    <s v="00779681001001"/>
    <n v="-99.89"/>
    <n v="1714"/>
    <n v="1"/>
    <n v="1"/>
  </r>
  <r>
    <m/>
    <m/>
    <x v="1"/>
    <s v="00852442003001"/>
    <n v="-243.03"/>
    <n v="4170"/>
    <n v="1"/>
    <n v="1"/>
  </r>
  <r>
    <m/>
    <m/>
    <x v="1"/>
    <s v="01058313001005"/>
    <n v="-133.81"/>
    <n v="2296"/>
    <n v="1"/>
    <n v="1"/>
  </r>
  <r>
    <m/>
    <m/>
    <x v="1"/>
    <s v="01092252001001"/>
    <n v="-74.709999999999994"/>
    <n v="1282"/>
    <n v="1"/>
    <n v="1"/>
  </r>
  <r>
    <m/>
    <m/>
    <x v="1"/>
    <s v="01252370002003"/>
    <n v="-27.68"/>
    <n v="475"/>
    <n v="1"/>
    <n v="1"/>
  </r>
  <r>
    <m/>
    <m/>
    <x v="1"/>
    <s v="01346674001004"/>
    <n v="-24.42"/>
    <n v="419"/>
    <n v="1"/>
    <n v="1"/>
  </r>
  <r>
    <m/>
    <m/>
    <x v="1"/>
    <s v="01403700005001"/>
    <n v="-51.05"/>
    <n v="876"/>
    <n v="1"/>
    <n v="1"/>
  </r>
  <r>
    <m/>
    <m/>
    <x v="1"/>
    <s v="01701580001001"/>
    <n v="-132.41"/>
    <n v="2272"/>
    <n v="1"/>
    <n v="1"/>
  </r>
  <r>
    <m/>
    <m/>
    <x v="1"/>
    <s v="01775038001002"/>
    <n v="-130.13999999999999"/>
    <n v="2233"/>
    <n v="1"/>
    <n v="1"/>
  </r>
  <r>
    <m/>
    <m/>
    <x v="1"/>
    <s v="01948293001001"/>
    <n v="-4.5999999999999996"/>
    <n v="79"/>
    <n v="1"/>
    <n v="1"/>
  </r>
  <r>
    <m/>
    <m/>
    <x v="1"/>
    <s v="02094728002012"/>
    <n v="-11.13"/>
    <n v="191"/>
    <n v="1"/>
    <n v="1"/>
  </r>
  <r>
    <m/>
    <m/>
    <x v="1"/>
    <s v="02164047003001"/>
    <n v="-98.9"/>
    <n v="1697"/>
    <n v="1"/>
    <n v="1"/>
  </r>
  <r>
    <m/>
    <m/>
    <x v="1"/>
    <s v="02179705001007"/>
    <n v="-78.150000000000006"/>
    <n v="1341"/>
    <n v="1"/>
    <n v="1"/>
  </r>
  <r>
    <m/>
    <m/>
    <x v="1"/>
    <s v="02232792001001"/>
    <n v="-99.43"/>
    <n v="1706"/>
    <n v="1"/>
    <n v="1"/>
  </r>
  <r>
    <m/>
    <m/>
    <x v="1"/>
    <s v="02342104001006"/>
    <n v="-41.32"/>
    <n v="709"/>
    <n v="1"/>
    <n v="1"/>
  </r>
  <r>
    <m/>
    <m/>
    <x v="1"/>
    <s v="02380352002001"/>
    <n v="-36.25"/>
    <n v="622"/>
    <n v="1"/>
    <n v="1"/>
  </r>
  <r>
    <m/>
    <m/>
    <x v="1"/>
    <s v="02393997001015"/>
    <n v="-42.78"/>
    <n v="734"/>
    <n v="1"/>
    <n v="1"/>
  </r>
  <r>
    <m/>
    <m/>
    <x v="1"/>
    <s v="02412878001003"/>
    <n v="-69.59"/>
    <n v="1194"/>
    <n v="1"/>
    <n v="1"/>
  </r>
  <r>
    <m/>
    <m/>
    <x v="1"/>
    <s v="02425825002002"/>
    <n v="-57.7"/>
    <n v="990"/>
    <n v="1"/>
    <n v="1"/>
  </r>
  <r>
    <m/>
    <m/>
    <x v="1"/>
    <s v="02434713001004"/>
    <n v="-3.9"/>
    <n v="67"/>
    <n v="1"/>
    <n v="1"/>
  </r>
  <r>
    <m/>
    <m/>
    <x v="1"/>
    <s v="02447419003012"/>
    <n v="-70.69"/>
    <n v="1213"/>
    <n v="1"/>
    <n v="1"/>
  </r>
  <r>
    <m/>
    <m/>
    <x v="1"/>
    <s v="02464003001001"/>
    <n v="-78.790000000000006"/>
    <n v="1352"/>
    <n v="1"/>
    <n v="1"/>
  </r>
  <r>
    <m/>
    <m/>
    <x v="1"/>
    <s v="02485811001007"/>
    <n v="-71.45"/>
    <n v="1226"/>
    <n v="1"/>
    <n v="1"/>
  </r>
  <r>
    <m/>
    <m/>
    <x v="1"/>
    <s v="02486188001001"/>
    <n v="-106.59"/>
    <n v="1829"/>
    <n v="1"/>
    <n v="1"/>
  </r>
  <r>
    <m/>
    <m/>
    <x v="1"/>
    <s v="02489977001002"/>
    <n v="-76.41"/>
    <n v="1311"/>
    <n v="1"/>
    <n v="1"/>
  </r>
  <r>
    <m/>
    <m/>
    <x v="1"/>
    <s v="02683413001001"/>
    <n v="-75.650000000000006"/>
    <n v="1298"/>
    <n v="1"/>
    <n v="1"/>
  </r>
  <r>
    <m/>
    <m/>
    <x v="1"/>
    <s v="02704694001001"/>
    <n v="-59.97"/>
    <n v="1029"/>
    <n v="1"/>
    <n v="1"/>
  </r>
  <r>
    <m/>
    <m/>
    <x v="1"/>
    <s v="02792185008001"/>
    <n v="-61.72"/>
    <n v="1059"/>
    <n v="1"/>
    <n v="1"/>
  </r>
  <r>
    <m/>
    <m/>
    <x v="1"/>
    <s v="02884496001010"/>
    <n v="-129.44"/>
    <n v="2221"/>
    <n v="1"/>
    <n v="1"/>
  </r>
  <r>
    <m/>
    <m/>
    <x v="1"/>
    <s v="03013295002003"/>
    <n v="-64.52"/>
    <n v="1107"/>
    <n v="1"/>
    <n v="1"/>
  </r>
  <r>
    <m/>
    <m/>
    <x v="1"/>
    <s v="03018483004001"/>
    <n v="-74.83"/>
    <n v="1284"/>
    <n v="1"/>
    <n v="1"/>
  </r>
  <r>
    <m/>
    <m/>
    <x v="1"/>
    <s v="03019509001001"/>
    <n v="-84.56"/>
    <n v="1451"/>
    <n v="1"/>
    <n v="1"/>
  </r>
  <r>
    <m/>
    <m/>
    <x v="1"/>
    <s v="03040052001003"/>
    <n v="-172.57"/>
    <n v="2961"/>
    <n v="1"/>
    <n v="1"/>
  </r>
  <r>
    <m/>
    <m/>
    <x v="1"/>
    <s v="03051677001003"/>
    <n v="-110.09"/>
    <n v="1889"/>
    <n v="1"/>
    <n v="1"/>
  </r>
  <r>
    <m/>
    <m/>
    <x v="1"/>
    <s v="03074570001005"/>
    <n v="-112.07"/>
    <n v="1923"/>
    <n v="1"/>
    <n v="1"/>
  </r>
  <r>
    <m/>
    <m/>
    <x v="1"/>
    <s v="03088248001005"/>
    <n v="-76.58"/>
    <n v="1314"/>
    <n v="1"/>
    <n v="1"/>
  </r>
  <r>
    <m/>
    <m/>
    <x v="1"/>
    <s v="03107202002001"/>
    <n v="-54.03"/>
    <n v="927"/>
    <n v="1"/>
    <n v="1"/>
  </r>
  <r>
    <m/>
    <m/>
    <x v="1"/>
    <s v="03308022002001"/>
    <n v="-167.9"/>
    <n v="2881"/>
    <n v="1"/>
    <n v="1"/>
  </r>
  <r>
    <m/>
    <m/>
    <x v="1"/>
    <s v="03330463001002"/>
    <n v="-111.31"/>
    <n v="1910"/>
    <n v="1"/>
    <n v="1"/>
  </r>
  <r>
    <m/>
    <m/>
    <x v="1"/>
    <s v="03379746001001"/>
    <n v="-99.13"/>
    <n v="1701"/>
    <n v="1"/>
    <n v="1"/>
  </r>
  <r>
    <m/>
    <m/>
    <x v="1"/>
    <s v="03391201005001"/>
    <n v="-80.83"/>
    <n v="1387"/>
    <n v="1"/>
    <n v="1"/>
  </r>
  <r>
    <m/>
    <m/>
    <x v="1"/>
    <s v="03476916002003"/>
    <n v="-27.16"/>
    <n v="466"/>
    <n v="1"/>
    <n v="1"/>
  </r>
  <r>
    <m/>
    <m/>
    <x v="1"/>
    <s v="03498939002001"/>
    <n v="-64.11"/>
    <n v="1100"/>
    <n v="1"/>
    <n v="1"/>
  </r>
  <r>
    <m/>
    <m/>
    <x v="1"/>
    <s v="03554715002003"/>
    <n v="-75.650000000000006"/>
    <n v="1298"/>
    <n v="1"/>
    <n v="1"/>
  </r>
  <r>
    <m/>
    <m/>
    <x v="1"/>
    <s v="03650699001006"/>
    <n v="-62.88"/>
    <n v="1079"/>
    <n v="1"/>
    <n v="1"/>
  </r>
  <r>
    <m/>
    <m/>
    <x v="1"/>
    <s v="03739009003001"/>
    <n v="-108.4"/>
    <n v="1860"/>
    <n v="1"/>
    <n v="1"/>
  </r>
  <r>
    <m/>
    <m/>
    <x v="1"/>
    <s v="03918846001002"/>
    <n v="-114"/>
    <n v="1956"/>
    <n v="1"/>
    <n v="1"/>
  </r>
  <r>
    <m/>
    <m/>
    <x v="1"/>
    <s v="03946988002003"/>
    <n v="-18.53"/>
    <n v="318"/>
    <n v="1"/>
    <n v="1"/>
  </r>
  <r>
    <m/>
    <m/>
    <x v="1"/>
    <s v="03983250001004"/>
    <n v="-98.32"/>
    <n v="1687"/>
    <n v="1"/>
    <n v="1"/>
  </r>
  <r>
    <m/>
    <m/>
    <x v="1"/>
    <s v="04036291001005"/>
    <n v="-99.54"/>
    <n v="1708"/>
    <n v="1"/>
    <n v="1"/>
  </r>
  <r>
    <m/>
    <m/>
    <x v="1"/>
    <s v="04195526001007"/>
    <n v="-63.41"/>
    <n v="1088"/>
    <n v="1"/>
    <n v="1"/>
  </r>
  <r>
    <m/>
    <m/>
    <x v="1"/>
    <s v="04274208001003"/>
    <n v="-10.43"/>
    <n v="179"/>
    <n v="1"/>
    <n v="1"/>
  </r>
  <r>
    <m/>
    <m/>
    <x v="1"/>
    <s v="04366073001001"/>
    <n v="-56.01"/>
    <n v="961"/>
    <n v="1"/>
    <n v="1"/>
  </r>
  <r>
    <m/>
    <m/>
    <x v="1"/>
    <s v="04587647002001"/>
    <n v="-101.87"/>
    <n v="1748"/>
    <n v="1"/>
    <n v="1"/>
  </r>
  <r>
    <m/>
    <m/>
    <x v="1"/>
    <s v="04642237001003"/>
    <n v="-28.85"/>
    <n v="495"/>
    <n v="1"/>
    <n v="1"/>
  </r>
  <r>
    <m/>
    <m/>
    <x v="1"/>
    <s v="04914620002001"/>
    <n v="-46.39"/>
    <n v="796"/>
    <n v="1"/>
    <n v="1"/>
  </r>
  <r>
    <m/>
    <m/>
    <x v="1"/>
    <s v="05055558001001"/>
    <n v="-52.63"/>
    <n v="903"/>
    <n v="1"/>
    <n v="1"/>
  </r>
  <r>
    <m/>
    <m/>
    <x v="1"/>
    <s v="05077001002001"/>
    <n v="-37.770000000000003"/>
    <n v="648"/>
    <n v="1"/>
    <n v="1"/>
  </r>
  <r>
    <m/>
    <m/>
    <x v="1"/>
    <s v="05097325003001"/>
    <n v="-88.990000000000009"/>
    <n v="1527"/>
    <n v="2"/>
    <n v="1"/>
  </r>
  <r>
    <m/>
    <m/>
    <x v="1"/>
    <s v="05105357001003"/>
    <n v="-33.39"/>
    <n v="573"/>
    <n v="1"/>
    <n v="1"/>
  </r>
  <r>
    <m/>
    <m/>
    <x v="1"/>
    <s v="05178218001003"/>
    <n v="-105.31"/>
    <n v="1807"/>
    <n v="1"/>
    <n v="1"/>
  </r>
  <r>
    <m/>
    <m/>
    <x v="1"/>
    <s v="05214090001003"/>
    <n v="-25.82"/>
    <n v="443"/>
    <n v="1"/>
    <n v="1"/>
  </r>
  <r>
    <m/>
    <m/>
    <x v="1"/>
    <s v="05228793003001"/>
    <n v="-55.6"/>
    <n v="954"/>
    <n v="1"/>
    <n v="1"/>
  </r>
  <r>
    <m/>
    <m/>
    <x v="1"/>
    <s v="05234970001001"/>
    <n v="-63.76"/>
    <n v="1094"/>
    <n v="1"/>
    <n v="1"/>
  </r>
  <r>
    <m/>
    <m/>
    <x v="1"/>
    <s v="05412886001001"/>
    <n v="-120.17"/>
    <n v="2062"/>
    <n v="1"/>
    <n v="1"/>
  </r>
  <r>
    <m/>
    <m/>
    <x v="1"/>
    <s v="05860137001003"/>
    <n v="-14.63"/>
    <n v="251"/>
    <n v="1"/>
    <n v="1"/>
  </r>
  <r>
    <m/>
    <m/>
    <x v="1"/>
    <s v="05861722001003"/>
    <n v="-135.21"/>
    <n v="2320"/>
    <n v="1"/>
    <n v="1"/>
  </r>
  <r>
    <m/>
    <m/>
    <x v="1"/>
    <s v="05933255001001"/>
    <n v="-36.72"/>
    <n v="630"/>
    <n v="1"/>
    <n v="1"/>
  </r>
  <r>
    <m/>
    <m/>
    <x v="1"/>
    <s v="05953974001003"/>
    <n v="-25.24"/>
    <n v="433"/>
    <n v="1"/>
    <n v="1"/>
  </r>
  <r>
    <m/>
    <m/>
    <x v="1"/>
    <s v="06309819004001"/>
    <n v="-105.49"/>
    <n v="1810"/>
    <n v="1"/>
    <n v="1"/>
  </r>
  <r>
    <m/>
    <m/>
    <x v="1"/>
    <s v="06359444001001"/>
    <n v="-127.17"/>
    <n v="2182"/>
    <n v="1"/>
    <n v="1"/>
  </r>
  <r>
    <m/>
    <m/>
    <x v="1"/>
    <s v="06440891001007"/>
    <n v="-120.17"/>
    <n v="2062"/>
    <n v="1"/>
    <n v="1"/>
  </r>
  <r>
    <m/>
    <m/>
    <x v="1"/>
    <s v="06563369001001"/>
    <n v="-153.57"/>
    <n v="2635"/>
    <n v="1"/>
    <n v="1"/>
  </r>
  <r>
    <m/>
    <m/>
    <x v="1"/>
    <s v="06580144002011"/>
    <n v="-66.150000000000006"/>
    <n v="1135"/>
    <n v="1"/>
    <n v="1"/>
  </r>
  <r>
    <m/>
    <m/>
    <x v="1"/>
    <s v="06650635001001"/>
    <n v="-83.63"/>
    <n v="1435"/>
    <n v="1"/>
    <n v="1"/>
  </r>
  <r>
    <m/>
    <m/>
    <x v="1"/>
    <s v="06670399001005"/>
    <n v="-118.42"/>
    <n v="2032"/>
    <n v="1"/>
    <n v="1"/>
  </r>
  <r>
    <m/>
    <m/>
    <x v="1"/>
    <s v="06761853001001"/>
    <n v="-109.28"/>
    <n v="1875"/>
    <n v="1"/>
    <n v="1"/>
  </r>
  <r>
    <m/>
    <m/>
    <x v="1"/>
    <s v="06797083002002"/>
    <n v="-63.18"/>
    <n v="1084"/>
    <n v="1"/>
    <n v="1"/>
  </r>
  <r>
    <m/>
    <m/>
    <x v="1"/>
    <s v="06840429001005"/>
    <n v="-52.86"/>
    <n v="907"/>
    <n v="1"/>
    <n v="1"/>
  </r>
  <r>
    <m/>
    <m/>
    <x v="1"/>
    <s v="06850200002007"/>
    <n v="-13.35"/>
    <n v="229"/>
    <n v="1"/>
    <n v="1"/>
  </r>
  <r>
    <m/>
    <m/>
    <x v="1"/>
    <s v="06909023001010"/>
    <n v="-27.1"/>
    <n v="465"/>
    <n v="1"/>
    <n v="1"/>
  </r>
  <r>
    <m/>
    <m/>
    <x v="1"/>
    <s v="06956115001001"/>
    <n v="-159.69"/>
    <n v="2740"/>
    <n v="1"/>
    <n v="1"/>
  </r>
  <r>
    <m/>
    <m/>
    <x v="1"/>
    <s v="06957333004001"/>
    <n v="-90.98"/>
    <n v="1561"/>
    <n v="1"/>
    <n v="1"/>
  </r>
  <r>
    <m/>
    <m/>
    <x v="1"/>
    <s v="07122450001004"/>
    <n v="-56.82"/>
    <n v="975"/>
    <n v="1"/>
    <n v="1"/>
  </r>
  <r>
    <m/>
    <m/>
    <x v="1"/>
    <s v="07188065003001"/>
    <n v="-70.87"/>
    <n v="1216"/>
    <n v="1"/>
    <n v="1"/>
  </r>
  <r>
    <m/>
    <m/>
    <x v="1"/>
    <s v="07248551001001"/>
    <n v="-67.599999999999994"/>
    <n v="1160"/>
    <n v="1"/>
    <n v="1"/>
  </r>
  <r>
    <m/>
    <m/>
    <x v="1"/>
    <s v="07343513002001"/>
    <n v="-130.55000000000001"/>
    <n v="2240"/>
    <n v="1"/>
    <n v="1"/>
  </r>
  <r>
    <m/>
    <m/>
    <x v="1"/>
    <s v="07424854003003"/>
    <n v="-132"/>
    <n v="2265"/>
    <n v="1"/>
    <n v="1"/>
  </r>
  <r>
    <m/>
    <m/>
    <x v="1"/>
    <s v="07576140001005"/>
    <n v="-67.260000000000005"/>
    <n v="1154"/>
    <n v="1"/>
    <n v="1"/>
  </r>
  <r>
    <m/>
    <m/>
    <x v="1"/>
    <s v="07692401004003"/>
    <n v="-113.12"/>
    <n v="1941"/>
    <n v="1"/>
    <n v="1"/>
  </r>
  <r>
    <m/>
    <m/>
    <x v="1"/>
    <s v="07753575001007"/>
    <n v="-66.150000000000006"/>
    <n v="1135"/>
    <n v="1"/>
    <n v="1"/>
  </r>
  <r>
    <m/>
    <m/>
    <x v="1"/>
    <s v="07805842001001"/>
    <n v="-59.5"/>
    <n v="1021"/>
    <n v="1"/>
    <n v="1"/>
  </r>
  <r>
    <m/>
    <m/>
    <x v="1"/>
    <s v="07928044001004"/>
    <n v="-87.25"/>
    <n v="1497"/>
    <n v="1"/>
    <n v="1"/>
  </r>
  <r>
    <m/>
    <m/>
    <x v="1"/>
    <s v="08205707001003"/>
    <n v="-23.84"/>
    <n v="409"/>
    <n v="1"/>
    <n v="1"/>
  </r>
  <r>
    <m/>
    <m/>
    <x v="1"/>
    <s v="08291880001007"/>
    <n v="-111.26"/>
    <n v="1909"/>
    <n v="1"/>
    <n v="1"/>
  </r>
  <r>
    <m/>
    <m/>
    <x v="1"/>
    <s v="08293744002001"/>
    <n v="-97.85"/>
    <n v="1679"/>
    <n v="1"/>
    <n v="1"/>
  </r>
  <r>
    <m/>
    <m/>
    <x v="1"/>
    <s v="08341079003003"/>
    <n v="-81.59"/>
    <n v="1400"/>
    <n v="1"/>
    <n v="1"/>
  </r>
  <r>
    <m/>
    <m/>
    <x v="1"/>
    <s v="08395040001001"/>
    <n v="-131.83000000000001"/>
    <n v="2262"/>
    <n v="1"/>
    <n v="1"/>
  </r>
  <r>
    <m/>
    <m/>
    <x v="1"/>
    <s v="08422119001005"/>
    <n v="-69.239999999999995"/>
    <n v="1188"/>
    <n v="1"/>
    <n v="1"/>
  </r>
  <r>
    <m/>
    <m/>
    <x v="1"/>
    <s v="08551503001003"/>
    <n v="-131.71"/>
    <n v="2260"/>
    <n v="1"/>
    <n v="1"/>
  </r>
  <r>
    <m/>
    <m/>
    <x v="1"/>
    <s v="08657953002001"/>
    <n v="-85.9"/>
    <n v="1474"/>
    <n v="1"/>
    <n v="1"/>
  </r>
  <r>
    <m/>
    <m/>
    <x v="1"/>
    <s v="08662234001004"/>
    <n v="-29.31"/>
    <n v="503"/>
    <n v="1"/>
    <n v="1"/>
  </r>
  <r>
    <m/>
    <m/>
    <x v="1"/>
    <s v="08694261001001"/>
    <n v="-86.9"/>
    <n v="1491"/>
    <n v="1"/>
    <n v="1"/>
  </r>
  <r>
    <m/>
    <m/>
    <x v="1"/>
    <s v="08733004003005"/>
    <n v="-114.81"/>
    <n v="1970"/>
    <n v="1"/>
    <n v="1"/>
  </r>
  <r>
    <m/>
    <m/>
    <x v="1"/>
    <s v="08749105002001"/>
    <n v="-65.22"/>
    <n v="1119"/>
    <n v="1"/>
    <n v="1"/>
  </r>
  <r>
    <m/>
    <m/>
    <x v="1"/>
    <s v="08860390001003"/>
    <n v="-40.1"/>
    <n v="688"/>
    <n v="1"/>
    <n v="1"/>
  </r>
  <r>
    <m/>
    <m/>
    <x v="1"/>
    <s v="08885109001001"/>
    <n v="-0.12"/>
    <n v="2"/>
    <n v="1"/>
    <n v="1"/>
  </r>
  <r>
    <m/>
    <m/>
    <x v="1"/>
    <s v="08947024001001"/>
    <n v="-82.17"/>
    <n v="1410"/>
    <n v="1"/>
    <n v="1"/>
  </r>
  <r>
    <m/>
    <m/>
    <x v="1"/>
    <s v="08951802001002"/>
    <n v="-127.34"/>
    <n v="2185"/>
    <n v="1"/>
    <n v="1"/>
  </r>
  <r>
    <m/>
    <m/>
    <x v="1"/>
    <s v="08955164001001"/>
    <n v="-135.68"/>
    <n v="2328"/>
    <n v="1"/>
    <n v="1"/>
  </r>
  <r>
    <m/>
    <m/>
    <x v="1"/>
    <s v="09062578001001"/>
    <n v="-66.5"/>
    <n v="1141"/>
    <n v="1"/>
    <n v="1"/>
  </r>
  <r>
    <m/>
    <m/>
    <x v="1"/>
    <s v="09084610002003"/>
    <n v="-97.85"/>
    <n v="1679"/>
    <n v="1"/>
    <n v="1"/>
  </r>
  <r>
    <m/>
    <m/>
    <x v="1"/>
    <s v="09125101001001"/>
    <n v="-56.47"/>
    <n v="969"/>
    <n v="1"/>
    <n v="1"/>
  </r>
  <r>
    <m/>
    <m/>
    <x v="1"/>
    <s v="09315806002001"/>
    <n v="-53.79"/>
    <n v="923"/>
    <n v="1"/>
    <n v="1"/>
  </r>
  <r>
    <m/>
    <m/>
    <x v="1"/>
    <s v="09318796001003"/>
    <n v="-99.78"/>
    <n v="1712"/>
    <n v="1"/>
    <n v="1"/>
  </r>
  <r>
    <m/>
    <m/>
    <x v="1"/>
    <s v="09410352001003"/>
    <n v="-61.02"/>
    <n v="1047"/>
    <n v="1"/>
    <n v="1"/>
  </r>
  <r>
    <m/>
    <m/>
    <x v="1"/>
    <s v="09448617003001"/>
    <n v="-141.1"/>
    <n v="2421"/>
    <n v="1"/>
    <n v="1"/>
  </r>
  <r>
    <m/>
    <m/>
    <x v="1"/>
    <s v="09451288001001"/>
    <n v="-42.72"/>
    <n v="733"/>
    <n v="1"/>
    <n v="1"/>
  </r>
  <r>
    <m/>
    <m/>
    <x v="1"/>
    <s v="09717335001001"/>
    <n v="-126.35"/>
    <n v="2168"/>
    <n v="1"/>
    <n v="1"/>
  </r>
  <r>
    <m/>
    <m/>
    <x v="1"/>
    <s v="09742133005001"/>
    <n v="-80.430000000000007"/>
    <n v="1380"/>
    <n v="1"/>
    <n v="1"/>
  </r>
  <r>
    <m/>
    <m/>
    <x v="1"/>
    <s v="09771064001005"/>
    <n v="-172.33"/>
    <n v="2957"/>
    <n v="1"/>
    <n v="1"/>
  </r>
  <r>
    <m/>
    <m/>
    <x v="1"/>
    <s v="09790156001005"/>
    <n v="-89.58"/>
    <n v="1537"/>
    <n v="1"/>
    <n v="1"/>
  </r>
  <r>
    <m/>
    <m/>
    <x v="1"/>
    <s v="09830097001003"/>
    <n v="-108.11"/>
    <n v="1855"/>
    <n v="1"/>
    <n v="1"/>
  </r>
  <r>
    <m/>
    <m/>
    <x v="1"/>
    <s v="09956672001005"/>
    <n v="-106.07"/>
    <n v="1820"/>
    <n v="1"/>
    <n v="1"/>
  </r>
  <r>
    <m/>
    <m/>
    <x v="1"/>
    <s v="10032544001001"/>
    <n v="-77.45"/>
    <n v="1329"/>
    <n v="1"/>
    <n v="1"/>
  </r>
  <r>
    <m/>
    <m/>
    <x v="1"/>
    <s v="10059606001005"/>
    <n v="-23.95"/>
    <n v="411"/>
    <n v="1"/>
    <n v="1"/>
  </r>
  <r>
    <m/>
    <m/>
    <x v="1"/>
    <s v="10089238001001"/>
    <n v="-33.450000000000003"/>
    <n v="574"/>
    <n v="1"/>
    <n v="1"/>
  </r>
  <r>
    <m/>
    <m/>
    <x v="1"/>
    <s v="10119522001001"/>
    <n v="-16.78"/>
    <n v="288"/>
    <n v="1"/>
    <n v="1"/>
  </r>
  <r>
    <m/>
    <m/>
    <x v="1"/>
    <s v="10291136001005"/>
    <n v="-146.57"/>
    <n v="2515"/>
    <n v="1"/>
    <n v="1"/>
  </r>
  <r>
    <m/>
    <m/>
    <x v="1"/>
    <s v="10342020001001"/>
    <n v="-120.58"/>
    <n v="2069"/>
    <n v="1"/>
    <n v="1"/>
  </r>
  <r>
    <m/>
    <m/>
    <x v="1"/>
    <s v="10377894001016"/>
    <n v="-93.77"/>
    <n v="1609"/>
    <n v="1"/>
    <n v="1"/>
  </r>
  <r>
    <m/>
    <m/>
    <x v="1"/>
    <s v="10414127001001"/>
    <n v="-109.22"/>
    <n v="1874"/>
    <n v="1"/>
    <n v="1"/>
  </r>
  <r>
    <m/>
    <m/>
    <x v="1"/>
    <s v="10430136002001"/>
    <n v="-33.450000000000003"/>
    <n v="574"/>
    <n v="2"/>
    <n v="1"/>
  </r>
  <r>
    <m/>
    <m/>
    <x v="1"/>
    <s v="10532169002004"/>
    <n v="-89.87"/>
    <n v="1542"/>
    <n v="1"/>
    <n v="1"/>
  </r>
  <r>
    <m/>
    <m/>
    <x v="1"/>
    <s v="10584250001001"/>
    <n v="-50.76"/>
    <n v="871"/>
    <n v="1"/>
    <n v="1"/>
  </r>
  <r>
    <m/>
    <m/>
    <x v="1"/>
    <s v="10602704001001"/>
    <n v="-80.89"/>
    <n v="1388"/>
    <n v="1"/>
    <n v="1"/>
  </r>
  <r>
    <m/>
    <m/>
    <x v="1"/>
    <s v="10701194001007"/>
    <n v="-91.38"/>
    <n v="1568"/>
    <n v="1"/>
    <n v="1"/>
  </r>
  <r>
    <m/>
    <m/>
    <x v="1"/>
    <s v="10769950001001"/>
    <n v="-44.82"/>
    <n v="769"/>
    <n v="1"/>
    <n v="1"/>
  </r>
  <r>
    <m/>
    <m/>
    <x v="1"/>
    <s v="10792246001002"/>
    <n v="-102.16"/>
    <n v="1753"/>
    <n v="1"/>
    <n v="1"/>
  </r>
  <r>
    <m/>
    <m/>
    <x v="1"/>
    <s v="10827202001001"/>
    <n v="-84.33"/>
    <n v="1447"/>
    <n v="1"/>
    <n v="1"/>
  </r>
  <r>
    <m/>
    <m/>
    <x v="1"/>
    <s v="10852636002001"/>
    <n v="-33.92"/>
    <n v="582"/>
    <n v="1"/>
    <n v="1"/>
  </r>
  <r>
    <m/>
    <m/>
    <x v="1"/>
    <s v="10865475001001"/>
    <n v="-110.21"/>
    <n v="1891"/>
    <n v="1"/>
    <n v="1"/>
  </r>
  <r>
    <m/>
    <m/>
    <x v="1"/>
    <s v="10948443001012"/>
    <n v="-73.08"/>
    <n v="1254"/>
    <n v="1"/>
    <n v="1"/>
  </r>
  <r>
    <m/>
    <m/>
    <x v="1"/>
    <s v="11044266002005"/>
    <n v="-94.36"/>
    <n v="1619"/>
    <n v="1"/>
    <n v="1"/>
  </r>
  <r>
    <m/>
    <m/>
    <x v="1"/>
    <s v="11167929001001"/>
    <n v="-116.44"/>
    <n v="1998"/>
    <n v="1"/>
    <n v="1"/>
  </r>
  <r>
    <m/>
    <m/>
    <x v="1"/>
    <s v="11181273001011"/>
    <n v="-61.43"/>
    <n v="1054"/>
    <n v="1"/>
    <n v="1"/>
  </r>
  <r>
    <m/>
    <m/>
    <x v="1"/>
    <s v="11381042002003"/>
    <n v="-112.89"/>
    <n v="1937"/>
    <n v="1"/>
    <n v="1"/>
  </r>
  <r>
    <m/>
    <m/>
    <x v="1"/>
    <s v="11647392001003"/>
    <n v="-13.11"/>
    <n v="225"/>
    <n v="1"/>
    <n v="1"/>
  </r>
  <r>
    <m/>
    <m/>
    <x v="1"/>
    <s v="11718825001001"/>
    <n v="-75.709999999999994"/>
    <n v="1299"/>
    <n v="1"/>
    <n v="1"/>
  </r>
  <r>
    <m/>
    <m/>
    <x v="1"/>
    <s v="11724480001002"/>
    <n v="-64.28"/>
    <n v="1103"/>
    <n v="1"/>
    <n v="1"/>
  </r>
  <r>
    <m/>
    <m/>
    <x v="1"/>
    <s v="11764245001001"/>
    <n v="-22.96"/>
    <n v="394"/>
    <n v="1"/>
    <n v="1"/>
  </r>
  <r>
    <m/>
    <m/>
    <x v="1"/>
    <s v="11864835001004"/>
    <n v="-117.03"/>
    <n v="2008"/>
    <n v="1"/>
    <n v="1"/>
  </r>
  <r>
    <m/>
    <m/>
    <x v="1"/>
    <s v="11865542001003"/>
    <n v="-48.08"/>
    <n v="825"/>
    <n v="1"/>
    <n v="1"/>
  </r>
  <r>
    <m/>
    <m/>
    <x v="1"/>
    <s v="12161900001001"/>
    <n v="-82.12"/>
    <n v="1409"/>
    <n v="1"/>
    <n v="1"/>
  </r>
  <r>
    <m/>
    <m/>
    <x v="1"/>
    <s v="12178408001003"/>
    <n v="-19.41"/>
    <n v="333"/>
    <n v="1"/>
    <n v="1"/>
  </r>
  <r>
    <m/>
    <m/>
    <x v="1"/>
    <s v="12193027001001"/>
    <n v="-19.059999999999999"/>
    <n v="327"/>
    <n v="1"/>
    <n v="1"/>
  </r>
  <r>
    <m/>
    <m/>
    <x v="1"/>
    <s v="12199696001001"/>
    <n v="-137.25"/>
    <n v="2355"/>
    <n v="1"/>
    <n v="1"/>
  </r>
  <r>
    <m/>
    <m/>
    <x v="1"/>
    <s v="12431136001001"/>
    <n v="-85.96"/>
    <n v="1475"/>
    <n v="1"/>
    <n v="1"/>
  </r>
  <r>
    <m/>
    <m/>
    <x v="1"/>
    <s v="12640965001001"/>
    <n v="-123.2"/>
    <n v="2114"/>
    <n v="1"/>
    <n v="1"/>
  </r>
  <r>
    <m/>
    <m/>
    <x v="1"/>
    <s v="12750086001005"/>
    <n v="-111.55"/>
    <n v="1914"/>
    <n v="1"/>
    <n v="1"/>
  </r>
  <r>
    <m/>
    <m/>
    <x v="1"/>
    <s v="12797056001003"/>
    <n v="-95.17"/>
    <n v="1633"/>
    <n v="1"/>
    <n v="1"/>
  </r>
  <r>
    <m/>
    <m/>
    <x v="1"/>
    <s v="12887725001001"/>
    <n v="-68.069999999999993"/>
    <n v="1168"/>
    <n v="1"/>
    <n v="1"/>
  </r>
  <r>
    <m/>
    <m/>
    <x v="1"/>
    <s v="12890384003001"/>
    <n v="-117.78"/>
    <n v="2021"/>
    <n v="1"/>
    <n v="1"/>
  </r>
  <r>
    <m/>
    <m/>
    <x v="1"/>
    <s v="12902462003001"/>
    <n v="-75.88"/>
    <n v="1302"/>
    <n v="1"/>
    <n v="1"/>
  </r>
  <r>
    <m/>
    <m/>
    <x v="1"/>
    <s v="12923934001001"/>
    <n v="-24.65"/>
    <n v="423"/>
    <n v="1"/>
    <n v="1"/>
  </r>
  <r>
    <m/>
    <m/>
    <x v="1"/>
    <s v="12968693001002"/>
    <n v="-60.9"/>
    <n v="1045"/>
    <n v="1"/>
    <n v="1"/>
  </r>
  <r>
    <m/>
    <m/>
    <x v="1"/>
    <s v="13120231001014"/>
    <n v="-61.43"/>
    <n v="1054"/>
    <n v="1"/>
    <n v="1"/>
  </r>
  <r>
    <m/>
    <m/>
    <x v="1"/>
    <s v="13147069001001"/>
    <n v="-79.73"/>
    <n v="1368"/>
    <n v="1"/>
    <n v="1"/>
  </r>
  <r>
    <m/>
    <m/>
    <x v="1"/>
    <s v="13219544001001"/>
    <n v="-287.89999999999998"/>
    <n v="4940"/>
    <n v="1"/>
    <n v="1"/>
  </r>
  <r>
    <m/>
    <m/>
    <x v="1"/>
    <s v="13250149001002"/>
    <n v="-24.89"/>
    <n v="427"/>
    <n v="1"/>
    <n v="1"/>
  </r>
  <r>
    <m/>
    <m/>
    <x v="1"/>
    <s v="13319972001001"/>
    <n v="-6.06"/>
    <n v="104"/>
    <n v="1"/>
    <n v="1"/>
  </r>
  <r>
    <m/>
    <m/>
    <x v="1"/>
    <s v="13341729001002"/>
    <n v="-60.09"/>
    <n v="1031"/>
    <n v="1"/>
    <n v="1"/>
  </r>
  <r>
    <m/>
    <m/>
    <x v="1"/>
    <s v="13392614001001"/>
    <n v="-14.86"/>
    <n v="255"/>
    <n v="1"/>
    <n v="1"/>
  </r>
  <r>
    <m/>
    <m/>
    <x v="1"/>
    <s v="13434804001011"/>
    <n v="-126.88"/>
    <n v="2177"/>
    <n v="1"/>
    <n v="1"/>
  </r>
  <r>
    <m/>
    <m/>
    <x v="1"/>
    <s v="13584754001005"/>
    <n v="-57.52"/>
    <n v="987"/>
    <n v="1"/>
    <n v="1"/>
  </r>
  <r>
    <m/>
    <m/>
    <x v="1"/>
    <s v="13623153001006"/>
    <n v="-188.36"/>
    <n v="3232"/>
    <n v="1"/>
    <n v="1"/>
  </r>
  <r>
    <m/>
    <m/>
    <x v="1"/>
    <s v="13664271001001"/>
    <n v="-51.99"/>
    <n v="892"/>
    <n v="1"/>
    <n v="1"/>
  </r>
  <r>
    <m/>
    <m/>
    <x v="1"/>
    <s v="13666615002003"/>
    <n v="-66.959999999999994"/>
    <n v="1149"/>
    <n v="1"/>
    <n v="1"/>
  </r>
  <r>
    <m/>
    <m/>
    <x v="1"/>
    <s v="13731146001001"/>
    <n v="-45.69"/>
    <n v="784"/>
    <n v="1"/>
    <n v="1"/>
  </r>
  <r>
    <m/>
    <m/>
    <x v="1"/>
    <s v="13794916004003"/>
    <n v="-161.38"/>
    <n v="2769"/>
    <n v="1"/>
    <n v="1"/>
  </r>
  <r>
    <m/>
    <m/>
    <x v="1"/>
    <s v="13882655001005"/>
    <n v="-149.08000000000001"/>
    <n v="2558"/>
    <n v="1"/>
    <n v="1"/>
  </r>
  <r>
    <m/>
    <m/>
    <x v="1"/>
    <s v="13950661003001"/>
    <n v="-22.61"/>
    <n v="388"/>
    <n v="1"/>
    <n v="1"/>
  </r>
  <r>
    <m/>
    <m/>
    <x v="1"/>
    <s v="14105636001003"/>
    <n v="-203.75"/>
    <n v="3496"/>
    <n v="1"/>
    <n v="1"/>
  </r>
  <r>
    <m/>
    <m/>
    <x v="1"/>
    <s v="14112463001010"/>
    <n v="-111.49"/>
    <n v="1913"/>
    <n v="1"/>
    <n v="1"/>
  </r>
  <r>
    <m/>
    <m/>
    <x v="1"/>
    <s v="14123583001011"/>
    <n v="-45.11"/>
    <n v="774"/>
    <n v="1"/>
    <n v="1"/>
  </r>
  <r>
    <m/>
    <m/>
    <x v="1"/>
    <s v="14125814001005"/>
    <n v="-50.76"/>
    <n v="871"/>
    <n v="1"/>
    <n v="1"/>
  </r>
  <r>
    <m/>
    <m/>
    <x v="1"/>
    <s v="14158880001001"/>
    <n v="-97.27"/>
    <n v="1669"/>
    <n v="1"/>
    <n v="1"/>
  </r>
  <r>
    <m/>
    <m/>
    <x v="1"/>
    <s v="14171251001006"/>
    <n v="-44.29"/>
    <n v="760"/>
    <n v="1"/>
    <n v="1"/>
  </r>
  <r>
    <m/>
    <m/>
    <x v="1"/>
    <s v="14201594001002"/>
    <n v="-12.82"/>
    <n v="220"/>
    <n v="1"/>
    <n v="1"/>
  </r>
  <r>
    <m/>
    <m/>
    <x v="1"/>
    <s v="14417667001001"/>
    <n v="-66.38"/>
    <n v="1139"/>
    <n v="1"/>
    <n v="1"/>
  </r>
  <r>
    <m/>
    <m/>
    <x v="1"/>
    <s v="14528032001018"/>
    <n v="-156.6"/>
    <n v="2687"/>
    <n v="1"/>
    <n v="1"/>
  </r>
  <r>
    <m/>
    <m/>
    <x v="1"/>
    <s v="14544335001001"/>
    <n v="-40.1"/>
    <n v="688"/>
    <n v="1"/>
    <n v="1"/>
  </r>
  <r>
    <m/>
    <m/>
    <x v="1"/>
    <s v="14546711001003"/>
    <n v="-75.53"/>
    <n v="1296"/>
    <n v="1"/>
    <n v="1"/>
  </r>
  <r>
    <m/>
    <m/>
    <x v="1"/>
    <s v="14606942002003"/>
    <n v="-117.96"/>
    <n v="2024"/>
    <n v="1"/>
    <n v="1"/>
  </r>
  <r>
    <m/>
    <m/>
    <x v="1"/>
    <s v="14688187005003"/>
    <n v="-95.46"/>
    <n v="1638"/>
    <n v="1"/>
    <n v="1"/>
  </r>
  <r>
    <m/>
    <m/>
    <x v="1"/>
    <s v="14767126002001"/>
    <n v="-183.76"/>
    <n v="3153"/>
    <n v="1"/>
    <n v="1"/>
  </r>
  <r>
    <m/>
    <m/>
    <x v="1"/>
    <s v="14783592001004"/>
    <n v="-86.72"/>
    <n v="1488"/>
    <n v="1"/>
    <n v="1"/>
  </r>
  <r>
    <m/>
    <m/>
    <x v="1"/>
    <s v="14809005001008"/>
    <n v="-22.32"/>
    <n v="383"/>
    <n v="1"/>
    <n v="1"/>
  </r>
  <r>
    <m/>
    <m/>
    <x v="1"/>
    <s v="14916764001003"/>
    <n v="-23.49"/>
    <n v="403"/>
    <n v="1"/>
    <n v="1"/>
  </r>
  <r>
    <m/>
    <m/>
    <x v="1"/>
    <s v="14932788004002"/>
    <n v="-57.41"/>
    <n v="985"/>
    <n v="1"/>
    <n v="1"/>
  </r>
  <r>
    <m/>
    <m/>
    <x v="1"/>
    <s v="14988573003007"/>
    <n v="-40.97"/>
    <n v="703"/>
    <n v="1"/>
    <n v="1"/>
  </r>
  <r>
    <m/>
    <m/>
    <x v="1"/>
    <s v="15024480001003"/>
    <n v="-255.09"/>
    <n v="4377"/>
    <n v="1"/>
    <n v="1"/>
  </r>
  <r>
    <m/>
    <m/>
    <x v="1"/>
    <s v="15371962001008"/>
    <n v="-23.2"/>
    <n v="398"/>
    <n v="1"/>
    <n v="1"/>
  </r>
  <r>
    <m/>
    <m/>
    <x v="1"/>
    <s v="15399217001007"/>
    <n v="-102.05"/>
    <n v="1751"/>
    <n v="1"/>
    <n v="1"/>
  </r>
  <r>
    <m/>
    <m/>
    <x v="1"/>
    <s v="15433507001001"/>
    <n v="-23.89"/>
    <n v="410"/>
    <n v="1"/>
    <n v="1"/>
  </r>
  <r>
    <m/>
    <m/>
    <x v="1"/>
    <s v="15497150001007"/>
    <n v="-61.66"/>
    <n v="1058"/>
    <n v="1"/>
    <n v="1"/>
  </r>
  <r>
    <m/>
    <m/>
    <x v="1"/>
    <s v="15503574001005"/>
    <n v="-20.98"/>
    <n v="360"/>
    <n v="1"/>
    <n v="1"/>
  </r>
  <r>
    <m/>
    <m/>
    <x v="1"/>
    <s v="15511956001001"/>
    <n v="-81.650000000000006"/>
    <n v="1401"/>
    <n v="1"/>
    <n v="1"/>
  </r>
  <r>
    <m/>
    <m/>
    <x v="1"/>
    <s v="15605670001005"/>
    <n v="-56.59"/>
    <n v="971"/>
    <n v="1"/>
    <n v="1"/>
  </r>
  <r>
    <m/>
    <m/>
    <x v="1"/>
    <s v="15639686001001"/>
    <n v="-12.82"/>
    <n v="220"/>
    <n v="1"/>
    <n v="1"/>
  </r>
  <r>
    <m/>
    <m/>
    <x v="1"/>
    <s v="15663487001001"/>
    <n v="-54.61"/>
    <n v="937"/>
    <n v="1"/>
    <n v="1"/>
  </r>
  <r>
    <m/>
    <m/>
    <x v="1"/>
    <s v="15663563001002"/>
    <n v="-73.67"/>
    <n v="1264"/>
    <n v="1"/>
    <n v="1"/>
  </r>
  <r>
    <m/>
    <m/>
    <x v="1"/>
    <s v="15718240001002"/>
    <n v="-81.709999999999994"/>
    <n v="1402"/>
    <n v="1"/>
    <n v="1"/>
  </r>
  <r>
    <m/>
    <m/>
    <x v="1"/>
    <s v="15745592001001"/>
    <n v="-130.66"/>
    <n v="2242"/>
    <n v="1"/>
    <n v="1"/>
  </r>
  <r>
    <m/>
    <m/>
    <x v="1"/>
    <s v="15758411005005"/>
    <n v="-5.3"/>
    <n v="91"/>
    <n v="1"/>
    <n v="1"/>
  </r>
  <r>
    <m/>
    <m/>
    <x v="1"/>
    <s v="15925995001001"/>
    <n v="-70.69"/>
    <n v="1213"/>
    <n v="1"/>
    <n v="1"/>
  </r>
  <r>
    <m/>
    <m/>
    <x v="1"/>
    <s v="15994043001001"/>
    <n v="-15.09"/>
    <n v="259"/>
    <n v="1"/>
    <n v="1"/>
  </r>
  <r>
    <m/>
    <m/>
    <x v="1"/>
    <s v="16066827003001"/>
    <n v="-121.98"/>
    <n v="2093"/>
    <n v="1"/>
    <n v="1"/>
  </r>
  <r>
    <m/>
    <m/>
    <x v="1"/>
    <s v="16098772001001"/>
    <n v="-36.659999999999997"/>
    <n v="629"/>
    <n v="1"/>
    <n v="1"/>
  </r>
  <r>
    <m/>
    <m/>
    <x v="1"/>
    <s v="16099578001001"/>
    <n v="-90.98"/>
    <n v="1561"/>
    <n v="1"/>
    <n v="1"/>
  </r>
  <r>
    <m/>
    <m/>
    <x v="1"/>
    <s v="16141513003001"/>
    <n v="-73.72"/>
    <n v="1265"/>
    <n v="1"/>
    <n v="1"/>
  </r>
  <r>
    <m/>
    <m/>
    <x v="1"/>
    <s v="16174085001001"/>
    <n v="-76.58"/>
    <n v="1314"/>
    <n v="1"/>
    <n v="1"/>
  </r>
  <r>
    <m/>
    <m/>
    <x v="1"/>
    <s v="16175755001003"/>
    <n v="-24.07"/>
    <n v="413"/>
    <n v="1"/>
    <n v="1"/>
  </r>
  <r>
    <m/>
    <m/>
    <x v="1"/>
    <s v="16324942001001"/>
    <n v="-37.18"/>
    <n v="638"/>
    <n v="1"/>
    <n v="1"/>
  </r>
  <r>
    <m/>
    <m/>
    <x v="1"/>
    <s v="16428953002001"/>
    <n v="-31.47"/>
    <n v="540"/>
    <n v="1"/>
    <n v="1"/>
  </r>
  <r>
    <m/>
    <m/>
    <x v="1"/>
    <s v="16450177001001"/>
    <n v="-99.54"/>
    <n v="1708"/>
    <n v="1"/>
    <n v="1"/>
  </r>
  <r>
    <m/>
    <m/>
    <x v="1"/>
    <s v="16568578002001"/>
    <n v="-34.5"/>
    <n v="592"/>
    <n v="1"/>
    <n v="1"/>
  </r>
  <r>
    <m/>
    <m/>
    <x v="1"/>
    <s v="16616380001003"/>
    <n v="-88.12"/>
    <n v="1512"/>
    <n v="1"/>
    <n v="1"/>
  </r>
  <r>
    <m/>
    <m/>
    <x v="1"/>
    <s v="16766325001001"/>
    <n v="-57.29"/>
    <n v="983"/>
    <n v="1"/>
    <n v="1"/>
  </r>
  <r>
    <m/>
    <m/>
    <x v="1"/>
    <s v="16821471001003"/>
    <n v="-65.91"/>
    <n v="1131"/>
    <n v="1"/>
    <n v="1"/>
  </r>
  <r>
    <m/>
    <m/>
    <x v="1"/>
    <s v="16865540003001"/>
    <n v="-20.16"/>
    <n v="346"/>
    <n v="1"/>
    <n v="1"/>
  </r>
  <r>
    <m/>
    <m/>
    <x v="1"/>
    <s v="16940606001001"/>
    <n v="-114.05"/>
    <n v="1957"/>
    <n v="1"/>
    <n v="1"/>
  </r>
  <r>
    <m/>
    <m/>
    <x v="1"/>
    <s v="16946064001004"/>
    <n v="-19.52"/>
    <n v="335"/>
    <n v="1"/>
    <n v="1"/>
  </r>
  <r>
    <m/>
    <m/>
    <x v="1"/>
    <s v="17002950001001"/>
    <n v="-157.76"/>
    <n v="2707"/>
    <n v="1"/>
    <n v="1"/>
  </r>
  <r>
    <m/>
    <m/>
    <x v="1"/>
    <s v="17180472001001"/>
    <n v="-64.22"/>
    <n v="1102"/>
    <n v="1"/>
    <n v="1"/>
  </r>
  <r>
    <m/>
    <m/>
    <x v="1"/>
    <s v="17378301001002"/>
    <n v="-158.41"/>
    <n v="2718"/>
    <n v="1"/>
    <n v="1"/>
  </r>
  <r>
    <m/>
    <m/>
    <x v="1"/>
    <s v="17439100001001"/>
    <n v="-61.19"/>
    <n v="1050"/>
    <n v="1"/>
    <n v="1"/>
  </r>
  <r>
    <m/>
    <m/>
    <x v="1"/>
    <s v="17606006001001"/>
    <n v="-117.32"/>
    <n v="2013"/>
    <n v="1"/>
    <n v="1"/>
  </r>
  <r>
    <m/>
    <m/>
    <x v="1"/>
    <s v="17640682001003"/>
    <n v="-93.66"/>
    <n v="1607"/>
    <n v="1"/>
    <n v="1"/>
  </r>
  <r>
    <m/>
    <m/>
    <x v="1"/>
    <s v="17706944001001"/>
    <n v="-107.29"/>
    <n v="1841"/>
    <n v="1"/>
    <n v="1"/>
  </r>
  <r>
    <m/>
    <m/>
    <x v="1"/>
    <s v="17776485001001"/>
    <n v="-47.96"/>
    <n v="823"/>
    <n v="1"/>
    <n v="1"/>
  </r>
  <r>
    <m/>
    <m/>
    <x v="1"/>
    <s v="17782526001001"/>
    <n v="-188.83"/>
    <n v="3240"/>
    <n v="1"/>
    <n v="1"/>
  </r>
  <r>
    <m/>
    <m/>
    <x v="1"/>
    <s v="17847574002001"/>
    <n v="-144.36000000000001"/>
    <n v="2477"/>
    <n v="1"/>
    <n v="1"/>
  </r>
  <r>
    <m/>
    <m/>
    <x v="1"/>
    <s v="17860325001001"/>
    <n v="-22.15"/>
    <n v="380"/>
    <n v="1"/>
    <n v="1"/>
  </r>
  <r>
    <m/>
    <m/>
    <x v="1"/>
    <s v="18046704001003"/>
    <n v="-38"/>
    <n v="652"/>
    <n v="1"/>
    <n v="1"/>
  </r>
  <r>
    <m/>
    <m/>
    <x v="1"/>
    <s v="18064895001005"/>
    <n v="-105.31"/>
    <n v="1807"/>
    <n v="1"/>
    <n v="1"/>
  </r>
  <r>
    <m/>
    <m/>
    <x v="1"/>
    <s v="18093249001001"/>
    <n v="-116.68"/>
    <n v="2002"/>
    <n v="1"/>
    <n v="1"/>
  </r>
  <r>
    <m/>
    <m/>
    <x v="1"/>
    <s v="18203462003005"/>
    <n v="-8.39"/>
    <n v="144"/>
    <n v="1"/>
    <n v="1"/>
  </r>
  <r>
    <m/>
    <m/>
    <x v="1"/>
    <s v="18264564004001"/>
    <n v="-118.48"/>
    <n v="2033"/>
    <n v="1"/>
    <n v="1"/>
  </r>
  <r>
    <m/>
    <m/>
    <x v="1"/>
    <s v="18390546001001"/>
    <n v="-61.49"/>
    <n v="1055"/>
    <n v="1"/>
    <n v="1"/>
  </r>
  <r>
    <m/>
    <m/>
    <x v="1"/>
    <s v="18510970001001"/>
    <n v="-93.6"/>
    <n v="1606"/>
    <n v="1"/>
    <n v="1"/>
  </r>
  <r>
    <m/>
    <m/>
    <x v="1"/>
    <s v="18558909001002"/>
    <n v="-267.04000000000002"/>
    <n v="4582"/>
    <n v="1"/>
    <n v="1"/>
  </r>
  <r>
    <m/>
    <m/>
    <x v="1"/>
    <s v="18598550001006"/>
    <n v="-49.01"/>
    <n v="841"/>
    <n v="1"/>
    <n v="1"/>
  </r>
  <r>
    <m/>
    <m/>
    <x v="1"/>
    <s v="18699890007001"/>
    <n v="-39.51"/>
    <n v="678"/>
    <n v="1"/>
    <n v="1"/>
  </r>
  <r>
    <m/>
    <m/>
    <x v="1"/>
    <s v="18891872005001"/>
    <n v="-53.03"/>
    <n v="910"/>
    <n v="1"/>
    <n v="1"/>
  </r>
  <r>
    <m/>
    <m/>
    <x v="1"/>
    <s v="18896376002001"/>
    <n v="-278.11"/>
    <n v="4772"/>
    <n v="1"/>
    <n v="1"/>
  </r>
  <r>
    <m/>
    <m/>
    <x v="1"/>
    <s v="18898892001005"/>
    <n v="-2.4500000000000002"/>
    <n v="42"/>
    <n v="1"/>
    <n v="1"/>
  </r>
  <r>
    <m/>
    <m/>
    <x v="1"/>
    <s v="18964849002003"/>
    <n v="-49.71"/>
    <n v="853"/>
    <n v="1"/>
    <n v="1"/>
  </r>
  <r>
    <m/>
    <m/>
    <x v="1"/>
    <s v="19066582001001"/>
    <n v="-98.03"/>
    <n v="1682"/>
    <n v="1"/>
    <n v="1"/>
  </r>
  <r>
    <m/>
    <m/>
    <x v="1"/>
    <s v="19112010001001"/>
    <n v="-60.38"/>
    <n v="1036"/>
    <n v="1"/>
    <n v="1"/>
  </r>
  <r>
    <m/>
    <m/>
    <x v="1"/>
    <s v="19229155004001"/>
    <n v="-183.82"/>
    <n v="3154"/>
    <n v="1"/>
    <n v="1"/>
  </r>
  <r>
    <m/>
    <m/>
    <x v="1"/>
    <s v="19248493001003"/>
    <n v="-64.17"/>
    <n v="1101"/>
    <n v="1"/>
    <n v="1"/>
  </r>
  <r>
    <m/>
    <m/>
    <x v="1"/>
    <s v="19280275005001"/>
    <n v="-75.88"/>
    <n v="1302"/>
    <n v="1"/>
    <n v="1"/>
  </r>
  <r>
    <m/>
    <m/>
    <x v="1"/>
    <s v="19435050001006"/>
    <n v="-194.71"/>
    <n v="3341"/>
    <n v="1"/>
    <n v="1"/>
  </r>
  <r>
    <m/>
    <m/>
    <x v="1"/>
    <s v="19485422001001"/>
    <n v="-46.1"/>
    <n v="791"/>
    <n v="1"/>
    <n v="1"/>
  </r>
  <r>
    <m/>
    <m/>
    <x v="1"/>
    <s v="19532482001001"/>
    <n v="-11.31"/>
    <n v="194"/>
    <n v="1"/>
    <n v="1"/>
  </r>
  <r>
    <m/>
    <m/>
    <x v="1"/>
    <s v="19562566001001"/>
    <n v="-66.44"/>
    <n v="1140"/>
    <n v="1"/>
    <n v="1"/>
  </r>
  <r>
    <m/>
    <m/>
    <x v="1"/>
    <s v="19625257001005"/>
    <n v="-110.32"/>
    <n v="1893"/>
    <n v="1"/>
    <n v="1"/>
  </r>
  <r>
    <m/>
    <m/>
    <x v="1"/>
    <s v="19672934001001"/>
    <n v="-41.55"/>
    <n v="713"/>
    <n v="1"/>
    <n v="1"/>
  </r>
  <r>
    <m/>
    <m/>
    <x v="1"/>
    <s v="19760888001002"/>
    <n v="-11.6"/>
    <n v="199"/>
    <n v="1"/>
    <n v="1"/>
  </r>
  <r>
    <m/>
    <m/>
    <x v="1"/>
    <s v="19844787001003"/>
    <n v="-56.76"/>
    <n v="974"/>
    <n v="1"/>
    <n v="1"/>
  </r>
  <r>
    <m/>
    <m/>
    <x v="1"/>
    <s v="19858663001009"/>
    <n v="-69.94"/>
    <n v="1200"/>
    <n v="1"/>
    <n v="1"/>
  </r>
  <r>
    <m/>
    <m/>
    <x v="1"/>
    <s v="19984149003004"/>
    <n v="-89.4"/>
    <n v="1534"/>
    <n v="1"/>
    <n v="1"/>
  </r>
  <r>
    <m/>
    <m/>
    <x v="1"/>
    <s v="19984502001006"/>
    <n v="-103.62"/>
    <n v="1778"/>
    <n v="1"/>
    <n v="1"/>
  </r>
  <r>
    <m/>
    <m/>
    <x v="1"/>
    <s v="20017970001001"/>
    <n v="-42.08"/>
    <n v="722"/>
    <n v="1"/>
    <n v="1"/>
  </r>
  <r>
    <m/>
    <m/>
    <x v="1"/>
    <s v="20104962001001"/>
    <n v="-54.14"/>
    <n v="929"/>
    <n v="1"/>
    <n v="1"/>
  </r>
  <r>
    <m/>
    <m/>
    <x v="1"/>
    <s v="20150975001012"/>
    <n v="-56.12"/>
    <n v="963"/>
    <n v="1"/>
    <n v="1"/>
  </r>
  <r>
    <m/>
    <m/>
    <x v="1"/>
    <s v="20180113005001"/>
    <n v="-172.57"/>
    <n v="2961"/>
    <n v="1"/>
    <n v="1"/>
  </r>
  <r>
    <m/>
    <m/>
    <x v="1"/>
    <s v="20180489001004"/>
    <n v="-31.82"/>
    <n v="546"/>
    <n v="1"/>
    <n v="1"/>
  </r>
  <r>
    <m/>
    <m/>
    <x v="1"/>
    <s v="20271876001002"/>
    <n v="-65.510000000000005"/>
    <n v="1124"/>
    <n v="1"/>
    <n v="1"/>
  </r>
  <r>
    <m/>
    <m/>
    <x v="1"/>
    <s v="20353719002001"/>
    <n v="-62.3"/>
    <n v="1069"/>
    <n v="1"/>
    <n v="1"/>
  </r>
  <r>
    <m/>
    <m/>
    <x v="1"/>
    <s v="20394809001002"/>
    <n v="-109.04"/>
    <n v="1871"/>
    <n v="1"/>
    <n v="1"/>
  </r>
  <r>
    <m/>
    <m/>
    <x v="1"/>
    <s v="20495106003001"/>
    <n v="-64.569999999999993"/>
    <n v="1108"/>
    <n v="1"/>
    <n v="1"/>
  </r>
  <r>
    <m/>
    <m/>
    <x v="1"/>
    <s v="20531435001001"/>
    <n v="-95.23"/>
    <n v="1634"/>
    <n v="1"/>
    <n v="1"/>
  </r>
  <r>
    <m/>
    <m/>
    <x v="1"/>
    <s v="20563492001001"/>
    <n v="-101.52"/>
    <n v="1742"/>
    <n v="1"/>
    <n v="1"/>
  </r>
  <r>
    <m/>
    <m/>
    <x v="1"/>
    <s v="20622831001001"/>
    <n v="-48.37"/>
    <n v="830"/>
    <n v="1"/>
    <n v="1"/>
  </r>
  <r>
    <m/>
    <m/>
    <x v="1"/>
    <s v="20661619001004"/>
    <n v="-94.36"/>
    <n v="1619"/>
    <n v="1"/>
    <n v="1"/>
  </r>
  <r>
    <m/>
    <m/>
    <x v="1"/>
    <s v="20924266001001"/>
    <n v="-75.12"/>
    <n v="1289"/>
    <n v="1"/>
    <n v="1"/>
  </r>
  <r>
    <m/>
    <m/>
    <x v="1"/>
    <s v="20988421001001"/>
    <n v="-66.959999999999994"/>
    <n v="1149"/>
    <n v="1"/>
    <n v="1"/>
  </r>
  <r>
    <m/>
    <m/>
    <x v="1"/>
    <s v="21000703003001"/>
    <n v="-71.099999999999994"/>
    <n v="1220"/>
    <n v="1"/>
    <n v="1"/>
  </r>
  <r>
    <m/>
    <m/>
    <x v="1"/>
    <s v="21014172001007"/>
    <n v="-65.62"/>
    <n v="1126"/>
    <n v="1"/>
    <n v="1"/>
  </r>
  <r>
    <m/>
    <m/>
    <x v="1"/>
    <s v="21076316001002"/>
    <n v="-81.709999999999994"/>
    <n v="1402"/>
    <n v="1"/>
    <n v="1"/>
  </r>
  <r>
    <m/>
    <m/>
    <x v="1"/>
    <s v="21211434001004"/>
    <n v="-157.47"/>
    <n v="2702"/>
    <n v="1"/>
    <n v="1"/>
  </r>
  <r>
    <m/>
    <m/>
    <x v="1"/>
    <s v="21227003001003"/>
    <n v="-121.11"/>
    <n v="2078"/>
    <n v="1"/>
    <n v="1"/>
  </r>
  <r>
    <m/>
    <m/>
    <x v="1"/>
    <s v="21262148002004"/>
    <n v="-47.5"/>
    <n v="815"/>
    <n v="1"/>
    <n v="1"/>
  </r>
  <r>
    <m/>
    <m/>
    <x v="1"/>
    <s v="21469093001007"/>
    <n v="-43.07"/>
    <n v="739"/>
    <n v="1"/>
    <n v="1"/>
  </r>
  <r>
    <m/>
    <m/>
    <x v="1"/>
    <s v="21530313001003"/>
    <n v="-51.58"/>
    <n v="885"/>
    <n v="1"/>
    <n v="1"/>
  </r>
  <r>
    <m/>
    <m/>
    <x v="1"/>
    <s v="21546690001003"/>
    <n v="-123.03"/>
    <n v="2111"/>
    <n v="1"/>
    <n v="1"/>
  </r>
  <r>
    <m/>
    <m/>
    <x v="1"/>
    <s v="21594867001004"/>
    <n v="-147.86000000000001"/>
    <n v="2537"/>
    <n v="1"/>
    <n v="1"/>
  </r>
  <r>
    <m/>
    <m/>
    <x v="1"/>
    <s v="21633111003003"/>
    <n v="-1.28"/>
    <n v="22"/>
    <n v="1"/>
    <n v="1"/>
  </r>
  <r>
    <m/>
    <m/>
    <x v="1"/>
    <s v="21645618001001"/>
    <n v="-130.66"/>
    <n v="2242"/>
    <n v="1"/>
    <n v="1"/>
  </r>
  <r>
    <m/>
    <m/>
    <x v="1"/>
    <s v="21653812001006"/>
    <n v="-101.23"/>
    <n v="1737"/>
    <n v="1"/>
    <n v="1"/>
  </r>
  <r>
    <m/>
    <m/>
    <x v="1"/>
    <s v="21694077001003"/>
    <n v="-42.49"/>
    <n v="729"/>
    <n v="1"/>
    <n v="1"/>
  </r>
  <r>
    <m/>
    <m/>
    <x v="1"/>
    <s v="21859275001001"/>
    <n v="-16.489999999999998"/>
    <n v="283"/>
    <n v="1"/>
    <n v="1"/>
  </r>
  <r>
    <m/>
    <m/>
    <x v="1"/>
    <s v="21953308001001"/>
    <n v="-75.53"/>
    <n v="1296"/>
    <n v="1"/>
    <n v="1"/>
  </r>
  <r>
    <m/>
    <m/>
    <x v="1"/>
    <s v="22010468001003"/>
    <n v="-55.89"/>
    <n v="959"/>
    <n v="1"/>
    <n v="1"/>
  </r>
  <r>
    <m/>
    <m/>
    <x v="1"/>
    <s v="22062156001001"/>
    <n v="-36.89"/>
    <n v="633"/>
    <n v="1"/>
    <n v="1"/>
  </r>
  <r>
    <m/>
    <m/>
    <x v="1"/>
    <s v="22102529001008"/>
    <n v="-51"/>
    <n v="875"/>
    <n v="1"/>
    <n v="1"/>
  </r>
  <r>
    <m/>
    <m/>
    <x v="1"/>
    <s v="22203493001001"/>
    <n v="-33.1"/>
    <n v="568"/>
    <n v="1"/>
    <n v="1"/>
  </r>
  <r>
    <m/>
    <m/>
    <x v="1"/>
    <s v="22361013001001"/>
    <n v="-171.63"/>
    <n v="2945"/>
    <n v="1"/>
    <n v="1"/>
  </r>
  <r>
    <m/>
    <m/>
    <x v="1"/>
    <s v="22368801002001"/>
    <n v="-155.72"/>
    <n v="2672"/>
    <n v="1"/>
    <n v="1"/>
  </r>
  <r>
    <m/>
    <m/>
    <x v="1"/>
    <s v="22381989001002"/>
    <n v="-111.55"/>
    <n v="1914"/>
    <n v="1"/>
    <n v="1"/>
  </r>
  <r>
    <m/>
    <m/>
    <x v="1"/>
    <s v="22408901001001"/>
    <n v="-41.9"/>
    <n v="719"/>
    <n v="1"/>
    <n v="1"/>
  </r>
  <r>
    <m/>
    <m/>
    <x v="1"/>
    <s v="22424413001003"/>
    <n v="-67.31"/>
    <n v="1155"/>
    <n v="1"/>
    <n v="1"/>
  </r>
  <r>
    <m/>
    <m/>
    <x v="1"/>
    <s v="22461172001010"/>
    <n v="-30.95"/>
    <n v="531"/>
    <n v="1"/>
    <n v="1"/>
  </r>
  <r>
    <m/>
    <m/>
    <x v="1"/>
    <s v="22537776001001"/>
    <n v="-119.53"/>
    <n v="2051"/>
    <n v="1"/>
    <n v="1"/>
  </r>
  <r>
    <m/>
    <m/>
    <x v="1"/>
    <s v="22697285001003"/>
    <n v="-63.99"/>
    <n v="1098"/>
    <n v="1"/>
    <n v="1"/>
  </r>
  <r>
    <m/>
    <m/>
    <x v="1"/>
    <s v="22779889001001"/>
    <n v="-47.96"/>
    <n v="823"/>
    <n v="1"/>
    <n v="1"/>
  </r>
  <r>
    <m/>
    <m/>
    <x v="1"/>
    <s v="22849605002001"/>
    <n v="-51.69"/>
    <n v="887"/>
    <n v="1"/>
    <n v="1"/>
  </r>
  <r>
    <m/>
    <m/>
    <x v="1"/>
    <s v="22970260001002"/>
    <n v="-98.96"/>
    <n v="1698"/>
    <n v="1"/>
    <n v="1"/>
  </r>
  <r>
    <m/>
    <m/>
    <x v="1"/>
    <s v="23056711001001"/>
    <n v="-114.4"/>
    <n v="1963"/>
    <n v="1"/>
    <n v="1"/>
  </r>
  <r>
    <m/>
    <m/>
    <x v="1"/>
    <s v="23072089004002"/>
    <n v="-76.75"/>
    <n v="1317"/>
    <n v="1"/>
    <n v="1"/>
  </r>
  <r>
    <m/>
    <m/>
    <x v="1"/>
    <s v="23103586001001"/>
    <n v="-45.69"/>
    <n v="784"/>
    <n v="1"/>
    <n v="1"/>
  </r>
  <r>
    <m/>
    <m/>
    <x v="1"/>
    <s v="23143876001001"/>
    <n v="-82.64"/>
    <n v="1418"/>
    <n v="1"/>
    <n v="1"/>
  </r>
  <r>
    <m/>
    <m/>
    <x v="1"/>
    <s v="23227062001002"/>
    <n v="-59.8"/>
    <n v="1026"/>
    <n v="1"/>
    <n v="1"/>
  </r>
  <r>
    <m/>
    <m/>
    <x v="1"/>
    <s v="23396729002001"/>
    <n v="-108.52"/>
    <n v="1862"/>
    <n v="1"/>
    <n v="1"/>
  </r>
  <r>
    <m/>
    <m/>
    <x v="1"/>
    <s v="23453749007001"/>
    <n v="-76.290000000000006"/>
    <n v="1309"/>
    <n v="1"/>
    <n v="1"/>
  </r>
  <r>
    <m/>
    <m/>
    <x v="1"/>
    <s v="23468135001004"/>
    <n v="-2.62"/>
    <n v="45"/>
    <n v="1"/>
    <n v="1"/>
  </r>
  <r>
    <m/>
    <m/>
    <x v="1"/>
    <s v="23478229001001"/>
    <n v="-7.63"/>
    <n v="131"/>
    <n v="1"/>
    <n v="1"/>
  </r>
  <r>
    <m/>
    <m/>
    <x v="1"/>
    <s v="23600074001001"/>
    <n v="-66.150000000000006"/>
    <n v="1135"/>
    <n v="1"/>
    <n v="1"/>
  </r>
  <r>
    <m/>
    <m/>
    <x v="1"/>
    <s v="23634903001001"/>
    <n v="-30.19"/>
    <n v="518"/>
    <n v="1"/>
    <n v="1"/>
  </r>
  <r>
    <m/>
    <m/>
    <x v="1"/>
    <s v="23714586001003"/>
    <n v="-38.17"/>
    <n v="655"/>
    <n v="1"/>
    <n v="1"/>
  </r>
  <r>
    <m/>
    <m/>
    <x v="1"/>
    <s v="23784674001004"/>
    <n v="-85.26"/>
    <n v="1463"/>
    <n v="1"/>
    <n v="1"/>
  </r>
  <r>
    <m/>
    <m/>
    <x v="1"/>
    <s v="23879667001001"/>
    <n v="-55.54"/>
    <n v="953"/>
    <n v="1"/>
    <n v="1"/>
  </r>
  <r>
    <m/>
    <m/>
    <x v="1"/>
    <s v="23937121001001"/>
    <n v="-9.67"/>
    <n v="166"/>
    <n v="1"/>
    <n v="1"/>
  </r>
  <r>
    <m/>
    <m/>
    <x v="1"/>
    <s v="23975539001003"/>
    <n v="-151.63999999999999"/>
    <n v="2602"/>
    <n v="1"/>
    <n v="1"/>
  </r>
  <r>
    <m/>
    <m/>
    <x v="1"/>
    <s v="24219598004001"/>
    <n v="-52.22"/>
    <n v="896"/>
    <n v="1"/>
    <n v="1"/>
  </r>
  <r>
    <m/>
    <m/>
    <x v="1"/>
    <s v="24300134001001"/>
    <n v="-44.82"/>
    <n v="769"/>
    <n v="1"/>
    <n v="1"/>
  </r>
  <r>
    <m/>
    <m/>
    <x v="1"/>
    <s v="24336943003005"/>
    <n v="-240.75"/>
    <n v="4131"/>
    <n v="1"/>
    <n v="1"/>
  </r>
  <r>
    <m/>
    <m/>
    <x v="1"/>
    <s v="24338902001001"/>
    <n v="-22.32"/>
    <n v="383"/>
    <n v="1"/>
    <n v="1"/>
  </r>
  <r>
    <m/>
    <m/>
    <x v="1"/>
    <s v="24367805001001"/>
    <n v="-22.5"/>
    <n v="386"/>
    <n v="1"/>
    <n v="1"/>
  </r>
  <r>
    <m/>
    <m/>
    <x v="1"/>
    <s v="24434887002003"/>
    <n v="-44.35"/>
    <n v="761"/>
    <n v="1"/>
    <n v="1"/>
  </r>
  <r>
    <m/>
    <m/>
    <x v="1"/>
    <s v="24503591001001"/>
    <n v="-84.1"/>
    <n v="1443"/>
    <n v="1"/>
    <n v="1"/>
  </r>
  <r>
    <m/>
    <m/>
    <x v="1"/>
    <s v="24504553001005"/>
    <n v="-48.37"/>
    <n v="830"/>
    <n v="1"/>
    <n v="1"/>
  </r>
  <r>
    <m/>
    <m/>
    <x v="1"/>
    <s v="24505066002001"/>
    <n v="-107.41"/>
    <n v="1843"/>
    <n v="1"/>
    <n v="1"/>
  </r>
  <r>
    <m/>
    <m/>
    <x v="1"/>
    <s v="24605344004001"/>
    <n v="-26.05"/>
    <n v="447"/>
    <n v="1"/>
    <n v="1"/>
  </r>
  <r>
    <m/>
    <m/>
    <x v="1"/>
    <s v="24715679001001"/>
    <n v="-41.2"/>
    <n v="707"/>
    <n v="1"/>
    <n v="1"/>
  </r>
  <r>
    <m/>
    <m/>
    <x v="1"/>
    <s v="24751934001001"/>
    <n v="-57.29"/>
    <n v="983"/>
    <n v="1"/>
    <n v="1"/>
  </r>
  <r>
    <m/>
    <m/>
    <x v="1"/>
    <s v="24806438001006"/>
    <n v="-89.17"/>
    <n v="1530"/>
    <n v="1"/>
    <n v="1"/>
  </r>
  <r>
    <m/>
    <m/>
    <x v="1"/>
    <s v="24884421006012"/>
    <n v="-7.93"/>
    <n v="136"/>
    <n v="1"/>
    <n v="1"/>
  </r>
  <r>
    <m/>
    <m/>
    <x v="1"/>
    <s v="25096011001001"/>
    <n v="-52.57"/>
    <n v="902"/>
    <n v="1"/>
    <n v="1"/>
  </r>
  <r>
    <m/>
    <m/>
    <x v="1"/>
    <s v="25160457004003"/>
    <n v="-147.62"/>
    <n v="2533"/>
    <n v="1"/>
    <n v="1"/>
  </r>
  <r>
    <m/>
    <m/>
    <x v="1"/>
    <s v="25383308001001"/>
    <n v="-121.22"/>
    <n v="2080"/>
    <n v="1"/>
    <n v="1"/>
  </r>
  <r>
    <m/>
    <m/>
    <x v="1"/>
    <s v="25428167001001"/>
    <n v="-32.99"/>
    <n v="566"/>
    <n v="1"/>
    <n v="1"/>
  </r>
  <r>
    <m/>
    <m/>
    <x v="1"/>
    <s v="25580805001001"/>
    <n v="-37.299999999999997"/>
    <n v="640"/>
    <n v="1"/>
    <n v="1"/>
  </r>
  <r>
    <m/>
    <m/>
    <x v="1"/>
    <s v="25584708001005"/>
    <n v="-119.07"/>
    <n v="2043"/>
    <n v="1"/>
    <n v="1"/>
  </r>
  <r>
    <m/>
    <m/>
    <x v="1"/>
    <s v="25611864001004"/>
    <n v="-85.09"/>
    <n v="1460"/>
    <n v="1"/>
    <n v="1"/>
  </r>
  <r>
    <m/>
    <m/>
    <x v="1"/>
    <s v="25644209001001"/>
    <n v="-25"/>
    <n v="429"/>
    <n v="1"/>
    <n v="1"/>
  </r>
  <r>
    <m/>
    <m/>
    <x v="1"/>
    <s v="25741551007013"/>
    <n v="-141.80000000000001"/>
    <n v="2433"/>
    <n v="1"/>
    <n v="1"/>
  </r>
  <r>
    <m/>
    <m/>
    <x v="1"/>
    <s v="25769735001009"/>
    <n v="-116.56"/>
    <n v="2000"/>
    <n v="1"/>
    <n v="1"/>
  </r>
  <r>
    <m/>
    <m/>
    <x v="1"/>
    <s v="25783482001001"/>
    <n v="-155.49"/>
    <n v="2668"/>
    <n v="1"/>
    <n v="1"/>
  </r>
  <r>
    <m/>
    <m/>
    <x v="1"/>
    <s v="25784922001004"/>
    <n v="-91.09"/>
    <n v="1563"/>
    <n v="1"/>
    <n v="1"/>
  </r>
  <r>
    <m/>
    <m/>
    <x v="1"/>
    <s v="25810340001001"/>
    <n v="-165.98"/>
    <n v="2848"/>
    <n v="1"/>
    <n v="1"/>
  </r>
  <r>
    <m/>
    <m/>
    <x v="1"/>
    <s v="25816610001008"/>
    <n v="-127.98"/>
    <n v="2196"/>
    <n v="1"/>
    <n v="1"/>
  </r>
  <r>
    <m/>
    <m/>
    <x v="1"/>
    <s v="25824653001001"/>
    <n v="-69.06"/>
    <n v="1185"/>
    <n v="1"/>
    <n v="1"/>
  </r>
  <r>
    <m/>
    <m/>
    <x v="1"/>
    <s v="25977699002001"/>
    <n v="-139.58000000000001"/>
    <n v="2395"/>
    <n v="1"/>
    <n v="1"/>
  </r>
  <r>
    <m/>
    <m/>
    <x v="1"/>
    <s v="25980885005001"/>
    <n v="-122.85"/>
    <n v="2108"/>
    <n v="1"/>
    <n v="1"/>
  </r>
  <r>
    <m/>
    <m/>
    <x v="1"/>
    <s v="26054021001002"/>
    <n v="-63.12"/>
    <n v="1083"/>
    <n v="1"/>
    <n v="1"/>
  </r>
  <r>
    <m/>
    <m/>
    <x v="1"/>
    <s v="26264318008001"/>
    <n v="-249.26"/>
    <n v="4277"/>
    <n v="1"/>
    <n v="1"/>
  </r>
  <r>
    <m/>
    <m/>
    <x v="1"/>
    <s v="26360288004001"/>
    <n v="-46.97"/>
    <n v="806"/>
    <n v="1"/>
    <n v="1"/>
  </r>
  <r>
    <m/>
    <m/>
    <x v="1"/>
    <s v="26400210001001"/>
    <n v="-152.22999999999999"/>
    <n v="2612"/>
    <n v="1"/>
    <n v="1"/>
  </r>
  <r>
    <m/>
    <m/>
    <x v="1"/>
    <s v="26537288001001"/>
    <n v="-38.58"/>
    <n v="662"/>
    <n v="1"/>
    <n v="1"/>
  </r>
  <r>
    <m/>
    <m/>
    <x v="1"/>
    <s v="26545623004004"/>
    <n v="-57.41"/>
    <n v="985"/>
    <n v="1"/>
    <n v="1"/>
  </r>
  <r>
    <m/>
    <m/>
    <x v="1"/>
    <s v="26569299001003"/>
    <n v="-150.71"/>
    <n v="2586"/>
    <n v="1"/>
    <n v="1"/>
  </r>
  <r>
    <m/>
    <m/>
    <x v="1"/>
    <s v="26792781002001"/>
    <n v="-22.09"/>
    <n v="379"/>
    <n v="1"/>
    <n v="1"/>
  </r>
  <r>
    <m/>
    <m/>
    <x v="1"/>
    <s v="26902722002003"/>
    <n v="-169.54"/>
    <n v="2909"/>
    <n v="1"/>
    <n v="1"/>
  </r>
  <r>
    <m/>
    <m/>
    <x v="1"/>
    <s v="27057981001001"/>
    <n v="-70.69"/>
    <n v="1213"/>
    <n v="1"/>
    <n v="1"/>
  </r>
  <r>
    <m/>
    <m/>
    <x v="1"/>
    <s v="27069473001005"/>
    <n v="-103.45"/>
    <n v="1775"/>
    <n v="1"/>
    <n v="1"/>
  </r>
  <r>
    <m/>
    <m/>
    <x v="1"/>
    <s v="27104996002014"/>
    <n v="-85.21"/>
    <n v="1462"/>
    <n v="1"/>
    <n v="1"/>
  </r>
  <r>
    <m/>
    <m/>
    <x v="1"/>
    <s v="27207665001001"/>
    <n v="-25.18"/>
    <n v="432"/>
    <n v="1"/>
    <n v="1"/>
  </r>
  <r>
    <m/>
    <m/>
    <x v="1"/>
    <s v="27214758001001"/>
    <n v="-92.37"/>
    <n v="1585"/>
    <n v="1"/>
    <n v="1"/>
  </r>
  <r>
    <m/>
    <m/>
    <x v="1"/>
    <s v="27261268009001"/>
    <n v="-16.32"/>
    <n v="280"/>
    <n v="1"/>
    <n v="1"/>
  </r>
  <r>
    <m/>
    <m/>
    <x v="1"/>
    <s v="27323643001001"/>
    <n v="-58.63"/>
    <n v="1006"/>
    <n v="1"/>
    <n v="1"/>
  </r>
  <r>
    <m/>
    <m/>
    <x v="1"/>
    <s v="27353470003003"/>
    <n v="-128.22"/>
    <n v="2200"/>
    <n v="1"/>
    <n v="1"/>
  </r>
  <r>
    <m/>
    <m/>
    <x v="1"/>
    <s v="27457180001003"/>
    <n v="-120.17"/>
    <n v="2062"/>
    <n v="1"/>
    <n v="1"/>
  </r>
  <r>
    <m/>
    <m/>
    <x v="1"/>
    <s v="27614236002001"/>
    <n v="-51.05"/>
    <n v="876"/>
    <n v="1"/>
    <n v="1"/>
  </r>
  <r>
    <m/>
    <m/>
    <x v="1"/>
    <s v="27629352001002"/>
    <n v="-213.54"/>
    <n v="3664"/>
    <n v="1"/>
    <n v="1"/>
  </r>
  <r>
    <m/>
    <m/>
    <x v="1"/>
    <s v="27670002001006"/>
    <n v="-146.11000000000001"/>
    <n v="2507"/>
    <n v="1"/>
    <n v="1"/>
  </r>
  <r>
    <m/>
    <m/>
    <x v="1"/>
    <s v="27691065001006"/>
    <n v="-121.86"/>
    <n v="2091"/>
    <n v="1"/>
    <n v="1"/>
  </r>
  <r>
    <m/>
    <m/>
    <x v="1"/>
    <s v="27796579002001"/>
    <n v="-68.83"/>
    <n v="1181"/>
    <n v="1"/>
    <n v="1"/>
  </r>
  <r>
    <m/>
    <m/>
    <x v="1"/>
    <s v="27803535001001"/>
    <n v="-61.54"/>
    <n v="1056"/>
    <n v="1"/>
    <n v="1"/>
  </r>
  <r>
    <m/>
    <m/>
    <x v="1"/>
    <s v="27807380001004"/>
    <n v="-4.08"/>
    <n v="70"/>
    <n v="1"/>
    <n v="1"/>
  </r>
  <r>
    <m/>
    <m/>
    <x v="1"/>
    <s v="28059627001003"/>
    <n v="-44.99"/>
    <n v="772"/>
    <n v="1"/>
    <n v="1"/>
  </r>
  <r>
    <m/>
    <m/>
    <x v="1"/>
    <s v="28204362001001"/>
    <n v="-30.71"/>
    <n v="527"/>
    <n v="1"/>
    <n v="1"/>
  </r>
  <r>
    <m/>
    <m/>
    <x v="1"/>
    <s v="28227700001002"/>
    <n v="-99.08"/>
    <n v="1700"/>
    <n v="1"/>
    <n v="1"/>
  </r>
  <r>
    <m/>
    <m/>
    <x v="1"/>
    <s v="28349379001003"/>
    <n v="-214.82"/>
    <n v="3686"/>
    <n v="1"/>
    <n v="1"/>
  </r>
  <r>
    <m/>
    <m/>
    <x v="1"/>
    <s v="28416675003005"/>
    <n v="-11.83"/>
    <n v="203"/>
    <n v="1"/>
    <n v="1"/>
  </r>
  <r>
    <m/>
    <m/>
    <x v="1"/>
    <s v="28477040001004"/>
    <n v="-56.42"/>
    <n v="968"/>
    <n v="1"/>
    <n v="1"/>
  </r>
  <r>
    <m/>
    <m/>
    <x v="1"/>
    <s v="28584427001011"/>
    <n v="-24.36"/>
    <n v="418"/>
    <n v="1"/>
    <n v="1"/>
  </r>
  <r>
    <m/>
    <m/>
    <x v="1"/>
    <s v="28647586001001"/>
    <n v="-55.25"/>
    <n v="948"/>
    <n v="1"/>
    <n v="1"/>
  </r>
  <r>
    <m/>
    <m/>
    <x v="1"/>
    <s v="28704245001001"/>
    <n v="-130.02000000000001"/>
    <n v="2231"/>
    <n v="1"/>
    <n v="1"/>
  </r>
  <r>
    <m/>
    <m/>
    <x v="1"/>
    <s v="28722691001003"/>
    <n v="-100.53"/>
    <n v="1725"/>
    <n v="1"/>
    <n v="1"/>
  </r>
  <r>
    <m/>
    <m/>
    <x v="1"/>
    <s v="28804615002002"/>
    <n v="-63.53"/>
    <n v="1090"/>
    <n v="1"/>
    <n v="1"/>
  </r>
  <r>
    <m/>
    <m/>
    <x v="1"/>
    <s v="28868417001005"/>
    <n v="-39.630000000000003"/>
    <n v="680"/>
    <n v="1"/>
    <n v="1"/>
  </r>
  <r>
    <m/>
    <m/>
    <x v="1"/>
    <s v="28903097001004"/>
    <n v="-71.98"/>
    <n v="1235"/>
    <n v="1"/>
    <n v="1"/>
  </r>
  <r>
    <m/>
    <m/>
    <x v="1"/>
    <s v="29000608001001"/>
    <n v="-55.37"/>
    <n v="950"/>
    <n v="1"/>
    <n v="1"/>
  </r>
  <r>
    <m/>
    <m/>
    <x v="1"/>
    <s v="29018357001001"/>
    <n v="-5.71"/>
    <n v="98"/>
    <n v="1"/>
    <n v="1"/>
  </r>
  <r>
    <m/>
    <m/>
    <x v="1"/>
    <s v="29121023001001"/>
    <n v="-76.989999999999995"/>
    <n v="1321"/>
    <n v="1"/>
    <n v="1"/>
  </r>
  <r>
    <m/>
    <m/>
    <x v="1"/>
    <s v="29435988001007"/>
    <n v="-62.24"/>
    <n v="1068"/>
    <n v="1"/>
    <n v="1"/>
  </r>
  <r>
    <m/>
    <m/>
    <x v="1"/>
    <s v="29492327001001"/>
    <n v="-71.22"/>
    <n v="1222"/>
    <n v="1"/>
    <n v="1"/>
  </r>
  <r>
    <m/>
    <m/>
    <x v="1"/>
    <s v="29527274001001"/>
    <n v="-84.86"/>
    <n v="1456"/>
    <n v="1"/>
    <n v="1"/>
  </r>
  <r>
    <m/>
    <m/>
    <x v="1"/>
    <s v="29729927001003"/>
    <n v="-24.01"/>
    <n v="412"/>
    <n v="1"/>
    <n v="1"/>
  </r>
  <r>
    <m/>
    <m/>
    <x v="1"/>
    <s v="29879754001001"/>
    <n v="-77.75"/>
    <n v="1334"/>
    <n v="1"/>
    <n v="1"/>
  </r>
  <r>
    <m/>
    <m/>
    <x v="1"/>
    <s v="30002964001001"/>
    <n v="-47.5"/>
    <n v="815"/>
    <n v="1"/>
    <n v="1"/>
  </r>
  <r>
    <m/>
    <m/>
    <x v="1"/>
    <s v="30133433001001"/>
    <n v="-174.72"/>
    <n v="2998"/>
    <n v="1"/>
    <n v="1"/>
  </r>
  <r>
    <m/>
    <m/>
    <x v="1"/>
    <s v="30319002002003"/>
    <n v="-72.5"/>
    <n v="1244"/>
    <n v="1"/>
    <n v="1"/>
  </r>
  <r>
    <m/>
    <m/>
    <x v="1"/>
    <s v="30357439001001"/>
    <n v="-38.64"/>
    <n v="663"/>
    <n v="1"/>
    <n v="1"/>
  </r>
  <r>
    <m/>
    <m/>
    <x v="1"/>
    <s v="30360605008001"/>
    <n v="-79.61"/>
    <n v="1366"/>
    <n v="1"/>
    <n v="1"/>
  </r>
  <r>
    <m/>
    <m/>
    <x v="1"/>
    <s v="30456305003001"/>
    <n v="-86.2"/>
    <n v="1479"/>
    <n v="1"/>
    <n v="1"/>
  </r>
  <r>
    <m/>
    <m/>
    <x v="1"/>
    <s v="30498530001006"/>
    <n v="-74.599999999999994"/>
    <n v="1280"/>
    <n v="1"/>
    <n v="1"/>
  </r>
  <r>
    <m/>
    <m/>
    <x v="1"/>
    <s v="30521149001003"/>
    <n v="-124.84"/>
    <n v="2142"/>
    <n v="1"/>
    <n v="1"/>
  </r>
  <r>
    <m/>
    <m/>
    <x v="1"/>
    <s v="30536220001001"/>
    <n v="-131.07"/>
    <n v="2249"/>
    <n v="1"/>
    <n v="1"/>
  </r>
  <r>
    <m/>
    <m/>
    <x v="1"/>
    <s v="30897668001002"/>
    <n v="-80.540000000000006"/>
    <n v="1382"/>
    <n v="1"/>
    <n v="1"/>
  </r>
  <r>
    <m/>
    <m/>
    <x v="1"/>
    <s v="30915212001003"/>
    <n v="-61.19"/>
    <n v="1050"/>
    <n v="1"/>
    <n v="1"/>
  </r>
  <r>
    <m/>
    <m/>
    <x v="1"/>
    <s v="30965089001001"/>
    <n v="-48.9"/>
    <n v="839"/>
    <n v="1"/>
    <n v="1"/>
  </r>
  <r>
    <m/>
    <m/>
    <x v="1"/>
    <s v="31016219002001"/>
    <n v="-10.14"/>
    <n v="174"/>
    <n v="1"/>
    <n v="1"/>
  </r>
  <r>
    <m/>
    <m/>
    <x v="1"/>
    <s v="31043707001001"/>
    <n v="-55.72"/>
    <n v="956"/>
    <n v="1"/>
    <n v="1"/>
  </r>
  <r>
    <m/>
    <m/>
    <x v="1"/>
    <s v="31207589001006"/>
    <n v="-117.78"/>
    <n v="2021"/>
    <n v="1"/>
    <n v="1"/>
  </r>
  <r>
    <m/>
    <m/>
    <x v="1"/>
    <s v="31283347001004"/>
    <n v="-113.41"/>
    <n v="1946"/>
    <n v="1"/>
    <n v="1"/>
  </r>
  <r>
    <m/>
    <m/>
    <x v="1"/>
    <s v="31363659001003"/>
    <n v="-11.95"/>
    <n v="205"/>
    <n v="1"/>
    <n v="1"/>
  </r>
  <r>
    <m/>
    <m/>
    <x v="1"/>
    <s v="31396728001005"/>
    <n v="-33.57"/>
    <n v="576"/>
    <n v="1"/>
    <n v="1"/>
  </r>
  <r>
    <m/>
    <m/>
    <x v="1"/>
    <s v="31484435001001"/>
    <n v="-55.83"/>
    <n v="958"/>
    <n v="1"/>
    <n v="1"/>
  </r>
  <r>
    <m/>
    <m/>
    <x v="1"/>
    <s v="31533047001001"/>
    <n v="-119.71"/>
    <n v="2054"/>
    <n v="1"/>
    <n v="1"/>
  </r>
  <r>
    <m/>
    <m/>
    <x v="1"/>
    <s v="31770964001004"/>
    <n v="-186.15"/>
    <n v="3194"/>
    <n v="1"/>
    <n v="1"/>
  </r>
  <r>
    <m/>
    <m/>
    <x v="1"/>
    <s v="31813958002003"/>
    <n v="-84.33"/>
    <n v="1447"/>
    <n v="1"/>
    <n v="1"/>
  </r>
  <r>
    <m/>
    <m/>
    <x v="1"/>
    <s v="31817682001003"/>
    <n v="-15.39"/>
    <n v="264"/>
    <n v="1"/>
    <n v="1"/>
  </r>
  <r>
    <m/>
    <m/>
    <x v="1"/>
    <s v="32202621001001"/>
    <n v="-90.28"/>
    <n v="1549"/>
    <n v="1"/>
    <n v="1"/>
  </r>
  <r>
    <m/>
    <m/>
    <x v="1"/>
    <s v="32293901002001"/>
    <n v="-146.4"/>
    <n v="2512"/>
    <n v="1"/>
    <n v="1"/>
  </r>
  <r>
    <m/>
    <m/>
    <x v="1"/>
    <s v="32412801002002"/>
    <n v="-100.59"/>
    <n v="1726"/>
    <n v="1"/>
    <n v="1"/>
  </r>
  <r>
    <m/>
    <m/>
    <x v="1"/>
    <s v="32447778001001"/>
    <n v="-94.59"/>
    <n v="1623"/>
    <n v="1"/>
    <n v="1"/>
  </r>
  <r>
    <m/>
    <m/>
    <x v="1"/>
    <s v="32720886001003"/>
    <n v="-59.39"/>
    <n v="1019"/>
    <n v="1"/>
    <n v="1"/>
  </r>
  <r>
    <m/>
    <m/>
    <x v="1"/>
    <s v="32740450002001"/>
    <n v="-23.95"/>
    <n v="411"/>
    <n v="1"/>
    <n v="1"/>
  </r>
  <r>
    <m/>
    <m/>
    <x v="1"/>
    <s v="32767929001001"/>
    <n v="-73.430000000000007"/>
    <n v="1260"/>
    <n v="1"/>
    <n v="1"/>
  </r>
  <r>
    <m/>
    <m/>
    <x v="1"/>
    <s v="32853341001004"/>
    <n v="-122.56"/>
    <n v="2103"/>
    <n v="1"/>
    <n v="1"/>
  </r>
  <r>
    <m/>
    <m/>
    <x v="1"/>
    <s v="33218089001003"/>
    <n v="-116.09"/>
    <n v="1992"/>
    <n v="1"/>
    <n v="1"/>
  </r>
  <r>
    <m/>
    <m/>
    <x v="1"/>
    <s v="33292898001002"/>
    <n v="-64.69"/>
    <n v="1110"/>
    <n v="1"/>
    <n v="1"/>
  </r>
  <r>
    <m/>
    <m/>
    <x v="1"/>
    <s v="33325640001005"/>
    <n v="-158.46"/>
    <n v="2719"/>
    <n v="1"/>
    <n v="1"/>
  </r>
  <r>
    <m/>
    <m/>
    <x v="1"/>
    <s v="33449904002001"/>
    <n v="-53.79"/>
    <n v="923"/>
    <n v="1"/>
    <n v="1"/>
  </r>
  <r>
    <m/>
    <m/>
    <x v="1"/>
    <s v="33459488001004"/>
    <n v="-76.41"/>
    <n v="1311"/>
    <n v="1"/>
    <n v="1"/>
  </r>
  <r>
    <m/>
    <m/>
    <x v="1"/>
    <s v="33524631002001"/>
    <n v="-128.16"/>
    <n v="2199"/>
    <n v="1"/>
    <n v="1"/>
  </r>
  <r>
    <m/>
    <m/>
    <x v="1"/>
    <s v="33529526001001"/>
    <n v="-91.79"/>
    <n v="1575"/>
    <n v="1"/>
    <n v="1"/>
  </r>
  <r>
    <m/>
    <m/>
    <x v="1"/>
    <s v="33533745001003"/>
    <n v="-61.72"/>
    <n v="1059"/>
    <n v="1"/>
    <n v="1"/>
  </r>
  <r>
    <m/>
    <m/>
    <x v="1"/>
    <s v="33551931001003"/>
    <n v="-142.55000000000001"/>
    <n v="2446"/>
    <n v="1"/>
    <n v="1"/>
  </r>
  <r>
    <m/>
    <m/>
    <x v="1"/>
    <s v="33559246001001"/>
    <n v="-79.489999999999995"/>
    <n v="1364"/>
    <n v="1"/>
    <n v="1"/>
  </r>
  <r>
    <m/>
    <m/>
    <x v="1"/>
    <s v="33623502003001"/>
    <n v="-11.77"/>
    <n v="202"/>
    <n v="1"/>
    <n v="1"/>
  </r>
  <r>
    <m/>
    <m/>
    <x v="1"/>
    <s v="33652204001001"/>
    <n v="-40.909999999999997"/>
    <n v="702"/>
    <n v="1"/>
    <n v="1"/>
  </r>
  <r>
    <m/>
    <m/>
    <x v="1"/>
    <s v="33705370001001"/>
    <n v="-106.59"/>
    <n v="1829"/>
    <n v="1"/>
    <n v="1"/>
  </r>
  <r>
    <m/>
    <m/>
    <x v="1"/>
    <s v="33824960001005"/>
    <n v="-83.4"/>
    <n v="1431"/>
    <n v="1"/>
    <n v="1"/>
  </r>
  <r>
    <m/>
    <m/>
    <x v="1"/>
    <s v="33915238004001"/>
    <n v="-119.01"/>
    <n v="2042"/>
    <n v="1"/>
    <n v="1"/>
  </r>
  <r>
    <m/>
    <m/>
    <x v="1"/>
    <s v="33933922008001"/>
    <n v="-176.88"/>
    <n v="3035"/>
    <n v="1"/>
    <n v="1"/>
  </r>
  <r>
    <m/>
    <m/>
    <x v="1"/>
    <s v="33946666001001"/>
    <n v="-326.89"/>
    <n v="5609"/>
    <n v="1"/>
    <n v="1"/>
  </r>
  <r>
    <m/>
    <m/>
    <x v="1"/>
    <s v="33988440001001"/>
    <n v="-131.19"/>
    <n v="2251"/>
    <n v="1"/>
    <n v="1"/>
  </r>
  <r>
    <m/>
    <m/>
    <x v="1"/>
    <s v="34683105001001"/>
    <n v="-108.28"/>
    <n v="1858"/>
    <n v="1"/>
    <n v="1"/>
  </r>
  <r>
    <m/>
    <m/>
    <x v="1"/>
    <s v="34685741001001"/>
    <n v="-7.17"/>
    <n v="123"/>
    <n v="1"/>
    <n v="1"/>
  </r>
  <r>
    <m/>
    <m/>
    <x v="1"/>
    <s v="34717698001005"/>
    <n v="-45.63"/>
    <n v="783"/>
    <n v="1"/>
    <n v="1"/>
  </r>
  <r>
    <m/>
    <m/>
    <x v="1"/>
    <s v="35012953001002"/>
    <n v="-127.57"/>
    <n v="2189"/>
    <n v="1"/>
    <n v="1"/>
  </r>
  <r>
    <m/>
    <m/>
    <x v="1"/>
    <s v="35060732007005"/>
    <n v="-20.51"/>
    <n v="352"/>
    <n v="1"/>
    <n v="1"/>
  </r>
  <r>
    <m/>
    <m/>
    <x v="1"/>
    <s v="35150603002003"/>
    <n v="-48.72"/>
    <n v="836"/>
    <n v="1"/>
    <n v="1"/>
  </r>
  <r>
    <m/>
    <m/>
    <x v="1"/>
    <s v="35172600002001"/>
    <n v="-266.27999999999997"/>
    <n v="4569"/>
    <n v="1"/>
    <n v="1"/>
  </r>
  <r>
    <m/>
    <m/>
    <x v="1"/>
    <s v="35225739001001"/>
    <n v="-75.010000000000005"/>
    <n v="1287"/>
    <n v="1"/>
    <n v="1"/>
  </r>
  <r>
    <m/>
    <m/>
    <x v="1"/>
    <s v="35251550001001"/>
    <n v="-126.64"/>
    <n v="2173"/>
    <n v="1"/>
    <n v="1"/>
  </r>
  <r>
    <m/>
    <m/>
    <x v="1"/>
    <s v="35296076001001"/>
    <n v="-40.04"/>
    <n v="687"/>
    <n v="1"/>
    <n v="1"/>
  </r>
  <r>
    <m/>
    <m/>
    <x v="1"/>
    <s v="35340232002001"/>
    <n v="-202.23"/>
    <n v="3470"/>
    <n v="1"/>
    <n v="1"/>
  </r>
  <r>
    <m/>
    <m/>
    <x v="1"/>
    <s v="35523656002003"/>
    <n v="-44.93"/>
    <n v="771"/>
    <n v="1"/>
    <n v="1"/>
  </r>
  <r>
    <m/>
    <m/>
    <x v="1"/>
    <s v="35691353001006"/>
    <n v="-126.41"/>
    <n v="2169"/>
    <n v="1"/>
    <n v="1"/>
  </r>
  <r>
    <m/>
    <m/>
    <x v="1"/>
    <s v="35696004001002"/>
    <n v="-96.05"/>
    <n v="1648"/>
    <n v="1"/>
    <n v="1"/>
  </r>
  <r>
    <m/>
    <m/>
    <x v="1"/>
    <s v="35735102001001"/>
    <n v="-94.06"/>
    <n v="1614"/>
    <n v="1"/>
    <n v="1"/>
  </r>
  <r>
    <m/>
    <m/>
    <x v="1"/>
    <s v="35784461001001"/>
    <n v="-40.21"/>
    <n v="690"/>
    <n v="1"/>
    <n v="1"/>
  </r>
  <r>
    <m/>
    <m/>
    <x v="1"/>
    <s v="35882527001002"/>
    <n v="-88.53"/>
    <n v="1519"/>
    <n v="1"/>
    <n v="1"/>
  </r>
  <r>
    <m/>
    <m/>
    <x v="1"/>
    <s v="35900670002005"/>
    <n v="-16.84"/>
    <n v="289"/>
    <n v="1"/>
    <n v="1"/>
  </r>
  <r>
    <m/>
    <m/>
    <x v="1"/>
    <s v="36008083001001"/>
    <n v="-89.69"/>
    <n v="1539"/>
    <n v="1"/>
    <n v="1"/>
  </r>
  <r>
    <m/>
    <m/>
    <x v="1"/>
    <s v="36026930001001"/>
    <n v="-136.66999999999999"/>
    <n v="2345"/>
    <n v="1"/>
    <n v="1"/>
  </r>
  <r>
    <m/>
    <m/>
    <x v="1"/>
    <s v="36103245002011"/>
    <n v="-165.28"/>
    <n v="2836"/>
    <n v="1"/>
    <n v="1"/>
  </r>
  <r>
    <m/>
    <m/>
    <x v="1"/>
    <s v="36341076001001"/>
    <n v="-237.2"/>
    <n v="4070"/>
    <n v="1"/>
    <n v="1"/>
  </r>
  <r>
    <m/>
    <m/>
    <x v="1"/>
    <s v="36557126001001"/>
    <n v="-17.309999999999999"/>
    <n v="297"/>
    <n v="1"/>
    <n v="1"/>
  </r>
  <r>
    <m/>
    <m/>
    <x v="1"/>
    <s v="36599941001001"/>
    <n v="-26.17"/>
    <n v="449"/>
    <n v="1"/>
    <n v="1"/>
  </r>
  <r>
    <m/>
    <m/>
    <x v="1"/>
    <s v="36618779001001"/>
    <n v="-73.67"/>
    <n v="1264"/>
    <n v="1"/>
    <n v="1"/>
  </r>
  <r>
    <m/>
    <m/>
    <x v="1"/>
    <s v="36686919001003"/>
    <n v="-58.28"/>
    <n v="1000"/>
    <n v="1"/>
    <n v="1"/>
  </r>
  <r>
    <m/>
    <m/>
    <x v="1"/>
    <s v="36698749001001"/>
    <n v="-105.84"/>
    <n v="1816"/>
    <n v="1"/>
    <n v="1"/>
  </r>
  <r>
    <m/>
    <m/>
    <x v="1"/>
    <s v="36829904002003"/>
    <n v="-187.89"/>
    <n v="3224"/>
    <n v="1"/>
    <n v="1"/>
  </r>
  <r>
    <m/>
    <m/>
    <x v="1"/>
    <s v="37058752001009"/>
    <n v="-57.64"/>
    <n v="989"/>
    <n v="1"/>
    <n v="1"/>
  </r>
  <r>
    <m/>
    <m/>
    <x v="1"/>
    <s v="37060503001007"/>
    <n v="-108.87"/>
    <n v="1868"/>
    <n v="1"/>
    <n v="1"/>
  </r>
  <r>
    <m/>
    <m/>
    <x v="1"/>
    <s v="37232118001006"/>
    <n v="-45.05"/>
    <n v="773"/>
    <n v="1"/>
    <n v="1"/>
  </r>
  <r>
    <m/>
    <m/>
    <x v="1"/>
    <s v="37239471001005"/>
    <n v="-72.849999999999994"/>
    <n v="1250"/>
    <n v="1"/>
    <n v="1"/>
  </r>
  <r>
    <m/>
    <m/>
    <x v="1"/>
    <s v="37250462001001"/>
    <n v="-160.91"/>
    <n v="2761"/>
    <n v="1"/>
    <n v="1"/>
  </r>
  <r>
    <m/>
    <m/>
    <x v="1"/>
    <s v="37486921001001"/>
    <n v="-42.14"/>
    <n v="723"/>
    <n v="1"/>
    <n v="1"/>
  </r>
  <r>
    <m/>
    <m/>
    <x v="1"/>
    <s v="37624653001003"/>
    <n v="-33.04"/>
    <n v="567"/>
    <n v="1"/>
    <n v="1"/>
  </r>
  <r>
    <m/>
    <m/>
    <x v="1"/>
    <s v="37644296001002"/>
    <n v="-84.04"/>
    <n v="1442"/>
    <n v="1"/>
    <n v="1"/>
  </r>
  <r>
    <m/>
    <m/>
    <x v="1"/>
    <s v="37649110001001"/>
    <n v="-20.75"/>
    <n v="356"/>
    <n v="1"/>
    <n v="1"/>
  </r>
  <r>
    <m/>
    <m/>
    <x v="1"/>
    <s v="37682914001001"/>
    <n v="-29.31"/>
    <n v="503"/>
    <n v="1"/>
    <n v="1"/>
  </r>
  <r>
    <m/>
    <m/>
    <x v="1"/>
    <s v="37734979001001"/>
    <n v="-16.55"/>
    <n v="284"/>
    <n v="1"/>
    <n v="1"/>
  </r>
  <r>
    <m/>
    <m/>
    <x v="1"/>
    <s v="37819864001004"/>
    <n v="-72.44"/>
    <n v="1243"/>
    <n v="1"/>
    <n v="1"/>
  </r>
  <r>
    <m/>
    <m/>
    <x v="1"/>
    <s v="37910513001001"/>
    <n v="-19.93"/>
    <n v="342"/>
    <n v="1"/>
    <n v="1"/>
  </r>
  <r>
    <m/>
    <m/>
    <x v="1"/>
    <s v="38026902001003"/>
    <n v="-37.24"/>
    <n v="639"/>
    <n v="1"/>
    <n v="1"/>
  </r>
  <r>
    <m/>
    <m/>
    <x v="1"/>
    <s v="38054004001001"/>
    <n v="-101.41"/>
    <n v="1740"/>
    <n v="1"/>
    <n v="1"/>
  </r>
  <r>
    <m/>
    <m/>
    <x v="1"/>
    <s v="38159601001012"/>
    <n v="-95.46"/>
    <n v="1638"/>
    <n v="1"/>
    <n v="1"/>
  </r>
  <r>
    <m/>
    <m/>
    <x v="1"/>
    <s v="38272305001003"/>
    <n v="-52.57"/>
    <n v="902"/>
    <n v="1"/>
    <n v="1"/>
  </r>
  <r>
    <m/>
    <m/>
    <x v="1"/>
    <s v="38301351001001"/>
    <n v="-87.25"/>
    <n v="1497"/>
    <n v="1"/>
    <n v="1"/>
  </r>
  <r>
    <m/>
    <m/>
    <x v="1"/>
    <s v="38371698002001"/>
    <n v="-8.2799999999999994"/>
    <n v="142"/>
    <n v="1"/>
    <n v="1"/>
  </r>
  <r>
    <m/>
    <m/>
    <x v="1"/>
    <s v="38397225001002"/>
    <n v="-104.03"/>
    <n v="1785"/>
    <n v="1"/>
    <n v="1"/>
  </r>
  <r>
    <m/>
    <m/>
    <x v="1"/>
    <s v="38424727001004"/>
    <n v="-54.55"/>
    <n v="936"/>
    <n v="1"/>
    <n v="1"/>
  </r>
  <r>
    <m/>
    <m/>
    <x v="1"/>
    <s v="38499863001004"/>
    <n v="-135.15"/>
    <n v="2319"/>
    <n v="1"/>
    <n v="1"/>
  </r>
  <r>
    <m/>
    <m/>
    <x v="1"/>
    <s v="38540989001007"/>
    <n v="-25.64"/>
    <n v="440"/>
    <n v="1"/>
    <n v="1"/>
  </r>
  <r>
    <m/>
    <m/>
    <x v="1"/>
    <s v="38611961001001"/>
    <n v="-247.34"/>
    <n v="4244"/>
    <n v="1"/>
    <n v="1"/>
  </r>
  <r>
    <m/>
    <m/>
    <x v="1"/>
    <s v="38666511001005"/>
    <n v="-155.61000000000001"/>
    <n v="2670"/>
    <n v="1"/>
    <n v="1"/>
  </r>
  <r>
    <m/>
    <m/>
    <x v="1"/>
    <s v="38774008001001"/>
    <n v="-23.14"/>
    <n v="397"/>
    <n v="1"/>
    <n v="1"/>
  </r>
  <r>
    <m/>
    <m/>
    <x v="1"/>
    <s v="38838346002005"/>
    <n v="-132.18"/>
    <n v="2268"/>
    <n v="1"/>
    <n v="1"/>
  </r>
  <r>
    <m/>
    <m/>
    <x v="1"/>
    <s v="39075374001002"/>
    <n v="-90.04"/>
    <n v="1545"/>
    <n v="1"/>
    <n v="1"/>
  </r>
  <r>
    <m/>
    <m/>
    <x v="1"/>
    <s v="39105361003001"/>
    <n v="-32.58"/>
    <n v="559"/>
    <n v="1"/>
    <n v="1"/>
  </r>
  <r>
    <m/>
    <m/>
    <x v="1"/>
    <s v="39177585002001"/>
    <n v="-0.47"/>
    <n v="8"/>
    <n v="1"/>
    <n v="1"/>
  </r>
  <r>
    <m/>
    <m/>
    <x v="1"/>
    <s v="39197222001001"/>
    <n v="-39.630000000000003"/>
    <n v="680"/>
    <n v="1"/>
    <n v="1"/>
  </r>
  <r>
    <m/>
    <m/>
    <x v="1"/>
    <s v="39206681001007"/>
    <n v="-256.55"/>
    <n v="4402"/>
    <n v="1"/>
    <n v="1"/>
  </r>
  <r>
    <m/>
    <m/>
    <x v="1"/>
    <s v="39356056001006"/>
    <n v="-12.41"/>
    <n v="213"/>
    <n v="1"/>
    <n v="1"/>
  </r>
  <r>
    <m/>
    <m/>
    <x v="1"/>
    <s v="39421231001001"/>
    <n v="-9.2100000000000009"/>
    <n v="158"/>
    <n v="1"/>
    <n v="1"/>
  </r>
  <r>
    <m/>
    <m/>
    <x v="1"/>
    <s v="39500179007001"/>
    <n v="-60.73"/>
    <n v="1042"/>
    <n v="1"/>
    <n v="1"/>
  </r>
  <r>
    <m/>
    <m/>
    <x v="1"/>
    <s v="39509588001002"/>
    <n v="-88.47"/>
    <n v="1518"/>
    <n v="1"/>
    <n v="1"/>
  </r>
  <r>
    <m/>
    <m/>
    <x v="1"/>
    <s v="39523212004008"/>
    <n v="-36.83"/>
    <n v="632"/>
    <n v="1"/>
    <n v="1"/>
  </r>
  <r>
    <m/>
    <m/>
    <x v="1"/>
    <s v="39525577001001"/>
    <n v="-57.17"/>
    <n v="981"/>
    <n v="1"/>
    <n v="1"/>
  </r>
  <r>
    <m/>
    <m/>
    <x v="1"/>
    <s v="39758083001001"/>
    <n v="-60.2"/>
    <n v="1033"/>
    <n v="1"/>
    <n v="1"/>
  </r>
  <r>
    <m/>
    <m/>
    <x v="1"/>
    <s v="39773816002001"/>
    <n v="-122.33"/>
    <n v="2099"/>
    <n v="1"/>
    <n v="1"/>
  </r>
  <r>
    <m/>
    <m/>
    <x v="1"/>
    <s v="39857500001003"/>
    <n v="-41.79"/>
    <n v="717"/>
    <n v="1"/>
    <n v="1"/>
  </r>
  <r>
    <m/>
    <m/>
    <x v="1"/>
    <s v="39991003001001"/>
    <n v="-21.1"/>
    <n v="362"/>
    <n v="1"/>
    <n v="1"/>
  </r>
  <r>
    <m/>
    <m/>
    <x v="1"/>
    <s v="40065036001001"/>
    <n v="-39.46"/>
    <n v="677"/>
    <n v="1"/>
    <n v="1"/>
  </r>
  <r>
    <m/>
    <m/>
    <x v="1"/>
    <s v="40139129001002"/>
    <n v="-197.57"/>
    <n v="3390"/>
    <n v="1"/>
    <n v="1"/>
  </r>
  <r>
    <m/>
    <m/>
    <x v="1"/>
    <s v="40186507001001"/>
    <n v="-24.65"/>
    <n v="423"/>
    <n v="1"/>
    <n v="1"/>
  </r>
  <r>
    <m/>
    <m/>
    <x v="1"/>
    <s v="40187844001001"/>
    <n v="-19.059999999999999"/>
    <n v="327"/>
    <n v="1"/>
    <n v="1"/>
  </r>
  <r>
    <m/>
    <m/>
    <x v="1"/>
    <s v="40195770001001"/>
    <n v="-119.24"/>
    <n v="2046"/>
    <n v="1"/>
    <n v="1"/>
  </r>
  <r>
    <m/>
    <m/>
    <x v="1"/>
    <s v="40354936001001"/>
    <n v="-61.66"/>
    <n v="1058"/>
    <n v="1"/>
    <n v="1"/>
  </r>
  <r>
    <m/>
    <m/>
    <x v="1"/>
    <s v="40428864001001"/>
    <n v="-54.78"/>
    <n v="940"/>
    <n v="1"/>
    <n v="1"/>
  </r>
  <r>
    <m/>
    <m/>
    <x v="1"/>
    <s v="40680887001001"/>
    <n v="-194.36"/>
    <n v="3335"/>
    <n v="1"/>
    <n v="1"/>
  </r>
  <r>
    <m/>
    <m/>
    <x v="1"/>
    <s v="40811850001003"/>
    <n v="-69.94"/>
    <n v="1200"/>
    <n v="1"/>
    <n v="1"/>
  </r>
  <r>
    <m/>
    <m/>
    <x v="1"/>
    <s v="40849252002005"/>
    <n v="-51.75"/>
    <n v="888"/>
    <n v="1"/>
    <n v="1"/>
  </r>
  <r>
    <m/>
    <m/>
    <x v="1"/>
    <s v="40965656008001"/>
    <n v="-62.71"/>
    <n v="1076"/>
    <n v="1"/>
    <n v="1"/>
  </r>
  <r>
    <m/>
    <m/>
    <x v="1"/>
    <s v="41122253001001"/>
    <n v="-17.309999999999999"/>
    <n v="297"/>
    <n v="1"/>
    <n v="1"/>
  </r>
  <r>
    <m/>
    <m/>
    <x v="1"/>
    <s v="41212065001001"/>
    <n v="-89.69"/>
    <n v="1539"/>
    <n v="1"/>
    <n v="1"/>
  </r>
  <r>
    <m/>
    <m/>
    <x v="1"/>
    <s v="41218173004005"/>
    <n v="-135.62"/>
    <n v="2327"/>
    <n v="1"/>
    <n v="1"/>
  </r>
  <r>
    <m/>
    <m/>
    <x v="1"/>
    <s v="41221819001001"/>
    <n v="-15.74"/>
    <n v="270"/>
    <n v="1"/>
    <n v="1"/>
  </r>
  <r>
    <m/>
    <m/>
    <x v="1"/>
    <s v="41261705001002"/>
    <n v="-141.15"/>
    <n v="2422"/>
    <n v="1"/>
    <n v="1"/>
  </r>
  <r>
    <m/>
    <m/>
    <x v="1"/>
    <s v="41572109004001"/>
    <n v="-9.2100000000000009"/>
    <n v="158"/>
    <n v="1"/>
    <n v="1"/>
  </r>
  <r>
    <m/>
    <m/>
    <x v="1"/>
    <s v="41605082002003"/>
    <n v="-40.450000000000003"/>
    <n v="694"/>
    <n v="1"/>
    <n v="1"/>
  </r>
  <r>
    <m/>
    <m/>
    <x v="1"/>
    <s v="41650115001003"/>
    <n v="-19.52"/>
    <n v="335"/>
    <n v="1"/>
    <n v="1"/>
  </r>
  <r>
    <m/>
    <m/>
    <x v="1"/>
    <s v="41791652002003"/>
    <n v="-30.01"/>
    <n v="515"/>
    <n v="1"/>
    <n v="1"/>
  </r>
  <r>
    <m/>
    <m/>
    <x v="1"/>
    <s v="41850336001002"/>
    <n v="-61.49"/>
    <n v="1055"/>
    <n v="1"/>
    <n v="1"/>
  </r>
  <r>
    <m/>
    <m/>
    <x v="1"/>
    <s v="41878216001003"/>
    <n v="-81.53"/>
    <n v="1399"/>
    <n v="1"/>
    <n v="1"/>
  </r>
  <r>
    <m/>
    <m/>
    <x v="1"/>
    <s v="41980548001001"/>
    <n v="-131.19"/>
    <n v="2251"/>
    <n v="1"/>
    <n v="1"/>
  </r>
  <r>
    <m/>
    <m/>
    <x v="1"/>
    <s v="42029419001001"/>
    <n v="-105.6"/>
    <n v="1812"/>
    <n v="1"/>
    <n v="1"/>
  </r>
  <r>
    <m/>
    <m/>
    <x v="1"/>
    <s v="42073484003001"/>
    <n v="-156.54"/>
    <n v="2686"/>
    <n v="1"/>
    <n v="1"/>
  </r>
  <r>
    <m/>
    <m/>
    <x v="1"/>
    <s v="42131911001008"/>
    <n v="-197.39"/>
    <n v="3387"/>
    <n v="1"/>
    <n v="1"/>
  </r>
  <r>
    <m/>
    <m/>
    <x v="1"/>
    <s v="42185507001001"/>
    <n v="-110.44"/>
    <n v="1895"/>
    <n v="1"/>
    <n v="1"/>
  </r>
  <r>
    <m/>
    <m/>
    <x v="1"/>
    <s v="42244289002003"/>
    <n v="-120.64"/>
    <n v="2070"/>
    <n v="1"/>
    <n v="1"/>
  </r>
  <r>
    <m/>
    <m/>
    <x v="1"/>
    <s v="42270867001005"/>
    <n v="-97.21"/>
    <n v="1668"/>
    <n v="1"/>
    <n v="1"/>
  </r>
  <r>
    <m/>
    <m/>
    <x v="1"/>
    <s v="42281329001011"/>
    <n v="-103.51"/>
    <n v="1776"/>
    <n v="1"/>
    <n v="1"/>
  </r>
  <r>
    <m/>
    <m/>
    <x v="1"/>
    <s v="42343001003004"/>
    <n v="-133.46"/>
    <n v="2290"/>
    <n v="1"/>
    <n v="1"/>
  </r>
  <r>
    <m/>
    <m/>
    <x v="1"/>
    <s v="42367522001001"/>
    <n v="-125.48"/>
    <n v="2153"/>
    <n v="1"/>
    <n v="1"/>
  </r>
  <r>
    <m/>
    <m/>
    <x v="1"/>
    <s v="42433691001006"/>
    <n v="-63.87"/>
    <n v="1096"/>
    <n v="1"/>
    <n v="1"/>
  </r>
  <r>
    <m/>
    <m/>
    <x v="1"/>
    <s v="42468571002005"/>
    <n v="-124.84"/>
    <n v="2142"/>
    <n v="1"/>
    <n v="1"/>
  </r>
  <r>
    <m/>
    <m/>
    <x v="1"/>
    <s v="42472921002002"/>
    <n v="-188.13"/>
    <n v="3228"/>
    <n v="1"/>
    <n v="1"/>
  </r>
  <r>
    <m/>
    <m/>
    <x v="1"/>
    <s v="42488881004001"/>
    <n v="-24.42"/>
    <n v="419"/>
    <n v="1"/>
    <n v="1"/>
  </r>
  <r>
    <m/>
    <m/>
    <x v="1"/>
    <s v="42500151001003"/>
    <n v="-85.26"/>
    <n v="1463"/>
    <n v="1"/>
    <n v="1"/>
  </r>
  <r>
    <m/>
    <m/>
    <x v="1"/>
    <s v="42504631004001"/>
    <n v="-45.75"/>
    <n v="785"/>
    <n v="1"/>
    <n v="1"/>
  </r>
  <r>
    <m/>
    <m/>
    <x v="1"/>
    <s v="42531581001002"/>
    <n v="-86.95"/>
    <n v="1492"/>
    <n v="1"/>
    <n v="1"/>
  </r>
  <r>
    <m/>
    <m/>
    <x v="1"/>
    <s v="42535431005001"/>
    <n v="-111.84"/>
    <n v="1919"/>
    <n v="1"/>
    <n v="1"/>
  </r>
  <r>
    <m/>
    <m/>
    <x v="1"/>
    <s v="42559441005001"/>
    <n v="-125.19"/>
    <n v="2148"/>
    <n v="1"/>
    <n v="1"/>
  </r>
  <r>
    <m/>
    <m/>
    <x v="1"/>
    <s v="42571131004001"/>
    <n v="-133.99"/>
    <n v="2299"/>
    <n v="1"/>
    <n v="1"/>
  </r>
  <r>
    <m/>
    <m/>
    <x v="1"/>
    <s v="42577291003003"/>
    <n v="-61.49"/>
    <n v="1055"/>
    <n v="1"/>
    <n v="1"/>
  </r>
  <r>
    <m/>
    <m/>
    <x v="1"/>
    <s v="42577991002002"/>
    <n v="-179.5"/>
    <n v="3080"/>
    <n v="1"/>
    <n v="1"/>
  </r>
  <r>
    <m/>
    <m/>
    <x v="1"/>
    <s v="42593181002003"/>
    <n v="-103.04"/>
    <n v="1768"/>
    <n v="1"/>
    <n v="1"/>
  </r>
  <r>
    <m/>
    <m/>
    <x v="1"/>
    <s v="42595211001004"/>
    <n v="-112.71"/>
    <n v="1934"/>
    <n v="1"/>
    <n v="1"/>
  </r>
  <r>
    <m/>
    <m/>
    <x v="1"/>
    <s v="42633571002001"/>
    <n v="-45.52"/>
    <n v="781"/>
    <n v="1"/>
    <n v="1"/>
  </r>
  <r>
    <m/>
    <m/>
    <x v="1"/>
    <s v="42642951010001"/>
    <n v="-38.64"/>
    <n v="663"/>
    <n v="1"/>
    <n v="1"/>
  </r>
  <r>
    <m/>
    <m/>
    <x v="1"/>
    <s v="42673331002003"/>
    <n v="-112.77"/>
    <n v="1935"/>
    <n v="1"/>
    <n v="1"/>
  </r>
  <r>
    <m/>
    <m/>
    <x v="1"/>
    <s v="42686841002008"/>
    <n v="-22.5"/>
    <n v="386"/>
    <n v="1"/>
    <n v="1"/>
  </r>
  <r>
    <m/>
    <m/>
    <x v="1"/>
    <s v="42718551001001"/>
    <n v="-57.7"/>
    <n v="990"/>
    <n v="1"/>
    <n v="1"/>
  </r>
  <r>
    <m/>
    <m/>
    <x v="1"/>
    <s v="42737381006001"/>
    <n v="-132.88"/>
    <n v="2280"/>
    <n v="1"/>
    <n v="1"/>
  </r>
  <r>
    <m/>
    <m/>
    <x v="1"/>
    <s v="42783651002001"/>
    <n v="-121.75"/>
    <n v="2089"/>
    <n v="1"/>
    <n v="1"/>
  </r>
  <r>
    <m/>
    <m/>
    <x v="1"/>
    <s v="42875841001008"/>
    <n v="-7.46"/>
    <n v="128"/>
    <n v="1"/>
    <n v="1"/>
  </r>
  <r>
    <m/>
    <m/>
    <x v="1"/>
    <s v="42878921002001"/>
    <n v="-47.27"/>
    <n v="811"/>
    <n v="1"/>
    <n v="1"/>
  </r>
  <r>
    <m/>
    <m/>
    <x v="1"/>
    <s v="42972931001004"/>
    <n v="-79.319999999999993"/>
    <n v="1361"/>
    <n v="1"/>
    <n v="1"/>
  </r>
  <r>
    <m/>
    <m/>
    <x v="1"/>
    <s v="43023681011001"/>
    <n v="-43.01"/>
    <n v="738"/>
    <n v="1"/>
    <n v="1"/>
  </r>
  <r>
    <m/>
    <m/>
    <x v="1"/>
    <s v="43023751003001"/>
    <n v="-123.79"/>
    <n v="2124"/>
    <n v="1"/>
    <n v="1"/>
  </r>
  <r>
    <m/>
    <m/>
    <x v="1"/>
    <s v="43122241004005"/>
    <n v="-83.81"/>
    <n v="1438"/>
    <n v="1"/>
    <n v="1"/>
  </r>
  <r>
    <m/>
    <m/>
    <x v="1"/>
    <s v="43131201001002"/>
    <n v="-102.05"/>
    <n v="1751"/>
    <n v="1"/>
    <n v="1"/>
  </r>
  <r>
    <m/>
    <m/>
    <x v="1"/>
    <s v="43154466001003"/>
    <n v="-77.92"/>
    <n v="1337"/>
    <n v="1"/>
    <n v="1"/>
  </r>
  <r>
    <m/>
    <m/>
    <x v="1"/>
    <s v="43192521002006"/>
    <n v="-57.7"/>
    <n v="990"/>
    <n v="1"/>
    <n v="1"/>
  </r>
  <r>
    <m/>
    <m/>
    <x v="1"/>
    <s v="43195531002001"/>
    <n v="-68.95"/>
    <n v="1183"/>
    <n v="1"/>
    <n v="1"/>
  </r>
  <r>
    <m/>
    <m/>
    <x v="1"/>
    <s v="43209041003005"/>
    <n v="-85.21"/>
    <n v="1462"/>
    <n v="1"/>
    <n v="1"/>
  </r>
  <r>
    <m/>
    <m/>
    <x v="1"/>
    <s v="43213661002005"/>
    <n v="-119.59"/>
    <n v="2052"/>
    <n v="1"/>
    <n v="1"/>
  </r>
  <r>
    <m/>
    <m/>
    <x v="1"/>
    <s v="43218351001006"/>
    <n v="-15.15"/>
    <n v="260"/>
    <n v="1"/>
    <n v="1"/>
  </r>
  <r>
    <m/>
    <m/>
    <x v="1"/>
    <s v="43233471004001"/>
    <n v="-160.38999999999999"/>
    <n v="2752"/>
    <n v="1"/>
    <n v="1"/>
  </r>
  <r>
    <m/>
    <m/>
    <x v="1"/>
    <s v="43233574002001"/>
    <n v="-42.31"/>
    <n v="726"/>
    <n v="1"/>
    <n v="1"/>
  </r>
  <r>
    <m/>
    <m/>
    <x v="1"/>
    <s v="43240331001004"/>
    <n v="-107.41"/>
    <n v="1843"/>
    <n v="1"/>
    <n v="1"/>
  </r>
  <r>
    <m/>
    <m/>
    <x v="1"/>
    <s v="43240401001003"/>
    <n v="-166.04"/>
    <n v="2849"/>
    <n v="1"/>
    <n v="1"/>
  </r>
  <r>
    <m/>
    <m/>
    <x v="1"/>
    <s v="43248661001005"/>
    <n v="-78.040000000000006"/>
    <n v="1339"/>
    <n v="1"/>
    <n v="1"/>
  </r>
  <r>
    <m/>
    <m/>
    <x v="1"/>
    <s v="43251181001001"/>
    <n v="-42.78"/>
    <n v="734"/>
    <n v="1"/>
    <n v="1"/>
  </r>
  <r>
    <m/>
    <m/>
    <x v="1"/>
    <s v="43268821001001"/>
    <n v="-110.73"/>
    <n v="1900"/>
    <n v="1"/>
    <n v="1"/>
  </r>
  <r>
    <m/>
    <m/>
    <x v="1"/>
    <s v="43296891001001"/>
    <n v="-196.7"/>
    <n v="3375"/>
    <n v="1"/>
    <n v="1"/>
  </r>
  <r>
    <m/>
    <m/>
    <x v="1"/>
    <s v="43302281004001"/>
    <n v="-76.11"/>
    <n v="1306"/>
    <n v="1"/>
    <n v="1"/>
  </r>
  <r>
    <m/>
    <m/>
    <x v="1"/>
    <s v="43384741001002"/>
    <n v="-45.46"/>
    <n v="780"/>
    <n v="1"/>
    <n v="1"/>
  </r>
  <r>
    <m/>
    <m/>
    <x v="1"/>
    <s v="43445991001003"/>
    <n v="-49.6"/>
    <n v="851"/>
    <n v="1"/>
    <n v="1"/>
  </r>
  <r>
    <m/>
    <m/>
    <x v="1"/>
    <s v="43482671001001"/>
    <n v="-145.87"/>
    <n v="2503"/>
    <n v="1"/>
    <n v="1"/>
  </r>
  <r>
    <m/>
    <m/>
    <x v="1"/>
    <s v="43499657001001"/>
    <n v="-34.56"/>
    <n v="593"/>
    <n v="1"/>
    <n v="1"/>
  </r>
  <r>
    <m/>
    <m/>
    <x v="1"/>
    <s v="43538671001006"/>
    <n v="-3.21"/>
    <n v="55"/>
    <n v="1"/>
    <n v="1"/>
  </r>
  <r>
    <m/>
    <m/>
    <x v="1"/>
    <s v="43691761001001"/>
    <n v="-177.17"/>
    <n v="3040"/>
    <n v="1"/>
    <n v="1"/>
  </r>
  <r>
    <m/>
    <m/>
    <x v="1"/>
    <s v="43697462001003"/>
    <n v="-55.54"/>
    <n v="953"/>
    <n v="1"/>
    <n v="1"/>
  </r>
  <r>
    <m/>
    <m/>
    <x v="1"/>
    <s v="43743281001003"/>
    <n v="-40.270000000000003"/>
    <n v="691"/>
    <n v="1"/>
    <n v="1"/>
  </r>
  <r>
    <m/>
    <m/>
    <x v="1"/>
    <s v="43843941001002"/>
    <n v="-223.56"/>
    <n v="3836"/>
    <n v="1"/>
    <n v="1"/>
  </r>
  <r>
    <m/>
    <m/>
    <x v="1"/>
    <s v="43848981006003"/>
    <n v="-150.54"/>
    <n v="2583"/>
    <n v="1"/>
    <n v="1"/>
  </r>
  <r>
    <m/>
    <m/>
    <x v="1"/>
    <s v="43908201002002"/>
    <n v="-18.07"/>
    <n v="310"/>
    <n v="1"/>
    <n v="1"/>
  </r>
  <r>
    <m/>
    <m/>
    <x v="1"/>
    <s v="43930309005001"/>
    <n v="-95.4"/>
    <n v="1637"/>
    <n v="1"/>
    <n v="1"/>
  </r>
  <r>
    <m/>
    <m/>
    <x v="1"/>
    <s v="43931231001001"/>
    <n v="-47.73"/>
    <n v="819"/>
    <n v="1"/>
    <n v="1"/>
  </r>
  <r>
    <m/>
    <m/>
    <x v="1"/>
    <s v="44027831001002"/>
    <n v="-63.58"/>
    <n v="1091"/>
    <n v="1"/>
    <n v="1"/>
  </r>
  <r>
    <m/>
    <m/>
    <x v="1"/>
    <s v="44132341001001"/>
    <n v="-93.36"/>
    <n v="1602"/>
    <n v="1"/>
    <n v="1"/>
  </r>
  <r>
    <m/>
    <m/>
    <x v="1"/>
    <s v="44271151005001"/>
    <n v="-8.0399999999999991"/>
    <n v="138"/>
    <n v="1"/>
    <n v="1"/>
  </r>
  <r>
    <m/>
    <m/>
    <x v="1"/>
    <s v="44289141002001"/>
    <n v="-53.15"/>
    <n v="912"/>
    <n v="1"/>
    <n v="1"/>
  </r>
  <r>
    <m/>
    <m/>
    <x v="1"/>
    <s v="44295021002002"/>
    <n v="-52.28"/>
    <n v="897"/>
    <n v="1"/>
    <n v="1"/>
  </r>
  <r>
    <m/>
    <m/>
    <x v="1"/>
    <s v="44310351005002"/>
    <n v="-77.400000000000006"/>
    <n v="1328"/>
    <n v="1"/>
    <n v="1"/>
  </r>
  <r>
    <m/>
    <m/>
    <x v="1"/>
    <s v="44346821001002"/>
    <n v="-87.13"/>
    <n v="1495"/>
    <n v="1"/>
    <n v="1"/>
  </r>
  <r>
    <m/>
    <m/>
    <x v="1"/>
    <s v="44348081005001"/>
    <n v="-118.89"/>
    <n v="2040"/>
    <n v="1"/>
    <n v="1"/>
  </r>
  <r>
    <m/>
    <m/>
    <x v="1"/>
    <s v="44348711012001"/>
    <n v="-79.84"/>
    <n v="1370"/>
    <n v="1"/>
    <n v="1"/>
  </r>
  <r>
    <m/>
    <m/>
    <x v="1"/>
    <s v="44350671002005"/>
    <n v="-91.56"/>
    <n v="1571"/>
    <n v="1"/>
    <n v="1"/>
  </r>
  <r>
    <m/>
    <m/>
    <x v="1"/>
    <s v="44371461001006"/>
    <n v="-94.88"/>
    <n v="1628"/>
    <n v="1"/>
    <n v="1"/>
  </r>
  <r>
    <m/>
    <m/>
    <x v="1"/>
    <s v="44377901001003"/>
    <n v="-3.61"/>
    <n v="62"/>
    <n v="1"/>
    <n v="1"/>
  </r>
  <r>
    <m/>
    <m/>
    <x v="1"/>
    <s v="44380071003003"/>
    <n v="-75.3"/>
    <n v="1292"/>
    <n v="1"/>
    <n v="1"/>
  </r>
  <r>
    <m/>
    <m/>
    <x v="1"/>
    <s v="44389693001001"/>
    <n v="-26.58"/>
    <n v="456"/>
    <n v="1"/>
    <n v="1"/>
  </r>
  <r>
    <m/>
    <m/>
    <x v="1"/>
    <s v="44400231001002"/>
    <n v="-75.36"/>
    <n v="1293"/>
    <n v="1"/>
    <n v="1"/>
  </r>
  <r>
    <m/>
    <m/>
    <x v="1"/>
    <s v="44424535001002"/>
    <n v="-62.71"/>
    <n v="1076"/>
    <n v="1"/>
    <n v="1"/>
  </r>
  <r>
    <m/>
    <m/>
    <x v="1"/>
    <s v="44437541001001"/>
    <n v="-216.28"/>
    <n v="3711"/>
    <n v="1"/>
    <n v="1"/>
  </r>
  <r>
    <m/>
    <m/>
    <x v="1"/>
    <s v="44510481001001"/>
    <n v="-122.62"/>
    <n v="2104"/>
    <n v="1"/>
    <n v="1"/>
  </r>
  <r>
    <m/>
    <m/>
    <x v="1"/>
    <s v="44510901001001"/>
    <n v="-99.66"/>
    <n v="1710"/>
    <n v="1"/>
    <n v="1"/>
  </r>
  <r>
    <m/>
    <m/>
    <x v="1"/>
    <s v="44512971001001"/>
    <n v="-93.19"/>
    <n v="1599"/>
    <n v="1"/>
    <n v="1"/>
  </r>
  <r>
    <m/>
    <m/>
    <x v="1"/>
    <s v="44517723001001"/>
    <n v="-40.74"/>
    <n v="699"/>
    <n v="1"/>
    <n v="1"/>
  </r>
  <r>
    <m/>
    <m/>
    <x v="1"/>
    <s v="44521191004001"/>
    <n v="-182.01"/>
    <n v="3123"/>
    <n v="1"/>
    <n v="1"/>
  </r>
  <r>
    <m/>
    <m/>
    <x v="1"/>
    <s v="44524481001001"/>
    <n v="-71.63"/>
    <n v="1229"/>
    <n v="1"/>
    <n v="1"/>
  </r>
  <r>
    <m/>
    <m/>
    <x v="1"/>
    <s v="44581251003001"/>
    <n v="-69.59"/>
    <n v="1194"/>
    <n v="1"/>
    <n v="1"/>
  </r>
  <r>
    <m/>
    <m/>
    <x v="1"/>
    <s v="44596091002001"/>
    <n v="-50.06"/>
    <n v="859"/>
    <n v="1"/>
    <n v="1"/>
  </r>
  <r>
    <m/>
    <m/>
    <x v="1"/>
    <s v="44613171001010"/>
    <n v="-106.13"/>
    <n v="1821"/>
    <n v="1"/>
    <n v="1"/>
  </r>
  <r>
    <m/>
    <m/>
    <x v="1"/>
    <s v="44625701002001"/>
    <n v="-150.71"/>
    <n v="2586"/>
    <n v="1"/>
    <n v="1"/>
  </r>
  <r>
    <m/>
    <m/>
    <x v="1"/>
    <s v="44638931001005"/>
    <n v="-52.74"/>
    <n v="905"/>
    <n v="1"/>
    <n v="1"/>
  </r>
  <r>
    <m/>
    <m/>
    <x v="1"/>
    <s v="44639981001001"/>
    <n v="-75.53"/>
    <n v="1296"/>
    <n v="1"/>
    <n v="1"/>
  </r>
  <r>
    <m/>
    <m/>
    <x v="1"/>
    <s v="44663409001001"/>
    <n v="-168.02"/>
    <n v="2883"/>
    <n v="1"/>
    <n v="1"/>
  </r>
  <r>
    <m/>
    <m/>
    <x v="1"/>
    <s v="44694441001003"/>
    <n v="-126.29"/>
    <n v="2167"/>
    <n v="1"/>
    <n v="1"/>
  </r>
  <r>
    <m/>
    <m/>
    <x v="1"/>
    <s v="44698571001002"/>
    <n v="-16.14"/>
    <n v="277"/>
    <n v="1"/>
    <n v="1"/>
  </r>
  <r>
    <m/>
    <m/>
    <x v="1"/>
    <s v="44752516001001"/>
    <n v="-34.97"/>
    <n v="600"/>
    <n v="1"/>
    <n v="1"/>
  </r>
  <r>
    <m/>
    <m/>
    <x v="1"/>
    <s v="44753381001001"/>
    <n v="-79.73"/>
    <n v="1368"/>
    <n v="1"/>
    <n v="1"/>
  </r>
  <r>
    <m/>
    <m/>
    <x v="1"/>
    <s v="44761361002003"/>
    <n v="-91.67"/>
    <n v="1573"/>
    <n v="1"/>
    <n v="1"/>
  </r>
  <r>
    <m/>
    <m/>
    <x v="1"/>
    <s v="44792564005003"/>
    <n v="-17.95"/>
    <n v="308"/>
    <n v="1"/>
    <n v="1"/>
  </r>
  <r>
    <m/>
    <m/>
    <x v="1"/>
    <s v="44859011005001"/>
    <n v="-80.599999999999994"/>
    <n v="1383"/>
    <n v="1"/>
    <n v="1"/>
  </r>
  <r>
    <m/>
    <m/>
    <x v="1"/>
    <s v="44863491001001"/>
    <n v="-118.13"/>
    <n v="2027"/>
    <n v="1"/>
    <n v="1"/>
  </r>
  <r>
    <m/>
    <m/>
    <x v="1"/>
    <s v="44881621001001"/>
    <n v="-104.79"/>
    <n v="1798"/>
    <n v="1"/>
    <n v="1"/>
  </r>
  <r>
    <m/>
    <m/>
    <x v="1"/>
    <s v="44902061004004"/>
    <n v="-120.93"/>
    <n v="2075"/>
    <n v="1"/>
    <n v="1"/>
  </r>
  <r>
    <m/>
    <m/>
    <x v="1"/>
    <s v="44930551001003"/>
    <n v="-100.77"/>
    <n v="1729"/>
    <n v="1"/>
    <n v="1"/>
  </r>
  <r>
    <m/>
    <m/>
    <x v="1"/>
    <s v="44956311001001"/>
    <n v="-84.27"/>
    <n v="1446"/>
    <n v="1"/>
    <n v="1"/>
  </r>
  <r>
    <m/>
    <m/>
    <x v="1"/>
    <s v="44962961004001"/>
    <n v="-74.42"/>
    <n v="1277"/>
    <n v="1"/>
    <n v="1"/>
  </r>
  <r>
    <m/>
    <m/>
    <x v="1"/>
    <s v="44967161001001"/>
    <n v="-151.41"/>
    <n v="2598"/>
    <n v="1"/>
    <n v="1"/>
  </r>
  <r>
    <m/>
    <m/>
    <x v="1"/>
    <s v="44990541001001"/>
    <n v="-51.87"/>
    <n v="890"/>
    <n v="1"/>
    <n v="1"/>
  </r>
  <r>
    <m/>
    <m/>
    <x v="1"/>
    <s v="45008951004001"/>
    <n v="-112.95"/>
    <n v="1938"/>
    <n v="1"/>
    <n v="1"/>
  </r>
  <r>
    <m/>
    <m/>
    <x v="1"/>
    <s v="45047731002001"/>
    <n v="-114.99"/>
    <n v="1973"/>
    <n v="1"/>
    <n v="1"/>
  </r>
  <r>
    <m/>
    <m/>
    <x v="1"/>
    <s v="45048221001001"/>
    <n v="-40.619999999999997"/>
    <n v="697"/>
    <n v="1"/>
    <n v="1"/>
  </r>
  <r>
    <m/>
    <m/>
    <x v="1"/>
    <s v="45050391007001"/>
    <n v="-103.62"/>
    <n v="1778"/>
    <n v="1"/>
    <n v="1"/>
  </r>
  <r>
    <m/>
    <m/>
    <x v="1"/>
    <s v="45055431001001"/>
    <n v="-69.88"/>
    <n v="1199"/>
    <n v="1"/>
    <n v="1"/>
  </r>
  <r>
    <m/>
    <m/>
    <x v="1"/>
    <s v="45057461003001"/>
    <n v="-33.51"/>
    <n v="575"/>
    <n v="1"/>
    <n v="1"/>
  </r>
  <r>
    <m/>
    <m/>
    <x v="1"/>
    <s v="45061941003003"/>
    <n v="-79.09"/>
    <n v="1357"/>
    <n v="1"/>
    <n v="1"/>
  </r>
  <r>
    <m/>
    <m/>
    <x v="1"/>
    <s v="45072791003019"/>
    <n v="-126.06"/>
    <n v="2163"/>
    <n v="1"/>
    <n v="1"/>
  </r>
  <r>
    <m/>
    <m/>
    <x v="1"/>
    <s v="45074891004011"/>
    <n v="-50"/>
    <n v="858"/>
    <n v="1"/>
    <n v="1"/>
  </r>
  <r>
    <m/>
    <m/>
    <x v="1"/>
    <s v="45075591004001"/>
    <n v="-34.619999999999997"/>
    <n v="594"/>
    <n v="1"/>
    <n v="1"/>
  </r>
  <r>
    <m/>
    <m/>
    <x v="1"/>
    <s v="45076781001003"/>
    <n v="-77.45"/>
    <n v="1329"/>
    <n v="1"/>
    <n v="1"/>
  </r>
  <r>
    <m/>
    <m/>
    <x v="1"/>
    <s v="45132711001002"/>
    <n v="-138.76"/>
    <n v="2381"/>
    <n v="1"/>
    <n v="1"/>
  </r>
  <r>
    <m/>
    <m/>
    <x v="1"/>
    <s v="45137261001001"/>
    <n v="-190.28"/>
    <n v="3265"/>
    <n v="1"/>
    <n v="1"/>
  </r>
  <r>
    <m/>
    <m/>
    <x v="1"/>
    <s v="45153011001003"/>
    <n v="-142.79"/>
    <n v="2450"/>
    <n v="1"/>
    <n v="1"/>
  </r>
  <r>
    <m/>
    <m/>
    <x v="1"/>
    <s v="45156161001001"/>
    <n v="-80.95"/>
    <n v="1389"/>
    <n v="1"/>
    <n v="1"/>
  </r>
  <r>
    <m/>
    <m/>
    <x v="1"/>
    <s v="45162468001001"/>
    <n v="-113.88"/>
    <n v="1954"/>
    <n v="1"/>
    <n v="1"/>
  </r>
  <r>
    <m/>
    <m/>
    <x v="1"/>
    <s v="45170842001005"/>
    <n v="-23.72"/>
    <n v="407"/>
    <n v="1"/>
    <n v="1"/>
  </r>
  <r>
    <m/>
    <m/>
    <x v="1"/>
    <s v="45174431001001"/>
    <n v="-63.29"/>
    <n v="1086"/>
    <n v="1"/>
    <n v="1"/>
  </r>
  <r>
    <m/>
    <m/>
    <x v="1"/>
    <s v="45192841001001"/>
    <n v="-41.96"/>
    <n v="720"/>
    <n v="1"/>
    <n v="1"/>
  </r>
  <r>
    <m/>
    <m/>
    <x v="1"/>
    <s v="45208591002004"/>
    <n v="-28.97"/>
    <n v="497"/>
    <n v="1"/>
    <n v="1"/>
  </r>
  <r>
    <m/>
    <m/>
    <x v="1"/>
    <s v="45242051001003"/>
    <n v="-178.57"/>
    <n v="3064"/>
    <n v="1"/>
    <n v="1"/>
  </r>
  <r>
    <m/>
    <m/>
    <x v="1"/>
    <s v="45253671001001"/>
    <n v="-104.38"/>
    <n v="1791"/>
    <n v="1"/>
    <n v="1"/>
  </r>
  <r>
    <m/>
    <m/>
    <x v="1"/>
    <s v="45322971007001"/>
    <n v="-38.409999999999997"/>
    <n v="659"/>
    <n v="1"/>
    <n v="1"/>
  </r>
  <r>
    <m/>
    <m/>
    <x v="1"/>
    <s v="45356641001001"/>
    <n v="-137.54"/>
    <n v="2360"/>
    <n v="1"/>
    <n v="1"/>
  </r>
  <r>
    <m/>
    <m/>
    <x v="1"/>
    <s v="45362871001003"/>
    <n v="-116.79"/>
    <n v="2004"/>
    <n v="1"/>
    <n v="1"/>
  </r>
  <r>
    <m/>
    <m/>
    <x v="1"/>
    <s v="45379041001001"/>
    <n v="-161.66999999999999"/>
    <n v="2774"/>
    <n v="1"/>
    <n v="1"/>
  </r>
  <r>
    <m/>
    <m/>
    <x v="1"/>
    <s v="45407555001001"/>
    <n v="-55.42"/>
    <n v="951"/>
    <n v="1"/>
    <n v="1"/>
  </r>
  <r>
    <m/>
    <m/>
    <x v="1"/>
    <s v="45408608002003"/>
    <n v="-138.88"/>
    <n v="2383"/>
    <n v="1"/>
    <n v="1"/>
  </r>
  <r>
    <m/>
    <m/>
    <x v="1"/>
    <s v="45412781001004"/>
    <n v="-109.16"/>
    <n v="1873"/>
    <n v="1"/>
    <n v="1"/>
  </r>
  <r>
    <m/>
    <m/>
    <x v="1"/>
    <s v="45413901003003"/>
    <n v="-71.739999999999995"/>
    <n v="1231"/>
    <n v="1"/>
    <n v="1"/>
  </r>
  <r>
    <m/>
    <m/>
    <x v="1"/>
    <s v="45420831002002"/>
    <n v="-174.61"/>
    <n v="2996"/>
    <n v="1"/>
    <n v="1"/>
  </r>
  <r>
    <m/>
    <m/>
    <x v="1"/>
    <s v="45442391006001"/>
    <n v="-61.49"/>
    <n v="1055"/>
    <n v="1"/>
    <n v="1"/>
  </r>
  <r>
    <m/>
    <m/>
    <x v="1"/>
    <s v="45447641001001"/>
    <n v="-135.97"/>
    <n v="2333"/>
    <n v="1"/>
    <n v="1"/>
  </r>
  <r>
    <m/>
    <m/>
    <x v="1"/>
    <s v="45447711001002"/>
    <n v="-143.13999999999999"/>
    <n v="2456"/>
    <n v="1"/>
    <n v="1"/>
  </r>
  <r>
    <m/>
    <m/>
    <x v="1"/>
    <s v="45452652002011"/>
    <n v="-68.540000000000006"/>
    <n v="1176"/>
    <n v="1"/>
    <n v="1"/>
  </r>
  <r>
    <m/>
    <m/>
    <x v="1"/>
    <s v="45454501002002"/>
    <n v="-89.46"/>
    <n v="1535"/>
    <n v="1"/>
    <n v="1"/>
  </r>
  <r>
    <m/>
    <m/>
    <x v="1"/>
    <s v="45500981001001"/>
    <n v="-123.03"/>
    <n v="2111"/>
    <n v="1"/>
    <n v="1"/>
  </r>
  <r>
    <m/>
    <m/>
    <x v="1"/>
    <s v="45523171024001"/>
    <n v="-47.44"/>
    <n v="814"/>
    <n v="1"/>
    <n v="1"/>
  </r>
  <r>
    <m/>
    <m/>
    <x v="1"/>
    <s v="45528421001002"/>
    <n v="-141.38999999999999"/>
    <n v="2426"/>
    <n v="1"/>
    <n v="1"/>
  </r>
  <r>
    <m/>
    <m/>
    <x v="1"/>
    <s v="45554531001005"/>
    <n v="-80.25"/>
    <n v="1377"/>
    <n v="1"/>
    <n v="1"/>
  </r>
  <r>
    <m/>
    <m/>
    <x v="1"/>
    <s v="45575065001005"/>
    <n v="-64.459999999999994"/>
    <n v="1106"/>
    <n v="1"/>
    <n v="1"/>
  </r>
  <r>
    <m/>
    <m/>
    <x v="1"/>
    <s v="45615361005001"/>
    <n v="-183.7"/>
    <n v="3152"/>
    <n v="1"/>
    <n v="1"/>
  </r>
  <r>
    <m/>
    <m/>
    <x v="1"/>
    <s v="45622851001009"/>
    <n v="-49.89"/>
    <n v="856"/>
    <n v="1"/>
    <n v="1"/>
  </r>
  <r>
    <m/>
    <m/>
    <x v="1"/>
    <s v="45764531001001"/>
    <n v="-60.49"/>
    <n v="1038"/>
    <n v="1"/>
    <n v="1"/>
  </r>
  <r>
    <m/>
    <m/>
    <x v="1"/>
    <s v="45765441001002"/>
    <n v="-16.84"/>
    <n v="289"/>
    <n v="1"/>
    <n v="1"/>
  </r>
  <r>
    <m/>
    <m/>
    <x v="1"/>
    <s v="45824016001003"/>
    <n v="-87.94"/>
    <n v="1509"/>
    <n v="1"/>
    <n v="1"/>
  </r>
  <r>
    <m/>
    <m/>
    <x v="1"/>
    <s v="45845101001001"/>
    <n v="-91.09"/>
    <n v="1563"/>
    <n v="1"/>
    <n v="1"/>
  </r>
  <r>
    <m/>
    <m/>
    <x v="1"/>
    <s v="45861201001008"/>
    <n v="-59.04"/>
    <n v="1013"/>
    <n v="1"/>
    <n v="1"/>
  </r>
  <r>
    <m/>
    <m/>
    <x v="1"/>
    <s v="45878001001001"/>
    <n v="-81.239999999999995"/>
    <n v="1394"/>
    <n v="1"/>
    <n v="1"/>
  </r>
  <r>
    <m/>
    <m/>
    <x v="1"/>
    <s v="45930081004001"/>
    <n v="-22.61"/>
    <n v="388"/>
    <n v="1"/>
    <n v="1"/>
  </r>
  <r>
    <m/>
    <m/>
    <x v="1"/>
    <s v="45979501004001"/>
    <n v="-87.48"/>
    <n v="1501"/>
    <n v="1"/>
    <n v="1"/>
  </r>
  <r>
    <m/>
    <m/>
    <x v="1"/>
    <s v="45987934001001"/>
    <n v="-79.260000000000005"/>
    <n v="1360"/>
    <n v="1"/>
    <n v="1"/>
  </r>
  <r>
    <m/>
    <m/>
    <x v="1"/>
    <s v="45999031007001"/>
    <n v="-108.46"/>
    <n v="1861"/>
    <n v="1"/>
    <n v="1"/>
  </r>
  <r>
    <m/>
    <m/>
    <x v="1"/>
    <s v="46112501001001"/>
    <n v="-140.80000000000001"/>
    <n v="2416"/>
    <n v="1"/>
    <n v="1"/>
  </r>
  <r>
    <m/>
    <m/>
    <x v="1"/>
    <s v="46119641003005"/>
    <n v="-75.819999999999993"/>
    <n v="1301"/>
    <n v="1"/>
    <n v="1"/>
  </r>
  <r>
    <m/>
    <m/>
    <x v="1"/>
    <s v="46135601001001"/>
    <n v="-101.17"/>
    <n v="1736"/>
    <n v="1"/>
    <n v="1"/>
  </r>
  <r>
    <m/>
    <m/>
    <x v="1"/>
    <s v="46141131001003"/>
    <n v="-67.37"/>
    <n v="1156"/>
    <n v="1"/>
    <n v="1"/>
  </r>
  <r>
    <m/>
    <m/>
    <x v="1"/>
    <s v="46149601001005"/>
    <n v="-115.28"/>
    <n v="1978"/>
    <n v="1"/>
    <n v="1"/>
  </r>
  <r>
    <m/>
    <m/>
    <x v="1"/>
    <s v="46161221003014"/>
    <n v="-130.72"/>
    <n v="2243"/>
    <n v="1"/>
    <n v="1"/>
  </r>
  <r>
    <m/>
    <m/>
    <x v="1"/>
    <s v="46195241001002"/>
    <n v="-106.01"/>
    <n v="1819"/>
    <n v="1"/>
    <n v="1"/>
  </r>
  <r>
    <m/>
    <m/>
    <x v="1"/>
    <s v="46210291002003"/>
    <n v="-155.66999999999999"/>
    <n v="2671"/>
    <n v="1"/>
    <n v="1"/>
  </r>
  <r>
    <m/>
    <m/>
    <x v="1"/>
    <s v="46217641006001"/>
    <n v="-101.41"/>
    <n v="1740"/>
    <n v="1"/>
    <n v="1"/>
  </r>
  <r>
    <m/>
    <m/>
    <x v="1"/>
    <s v="46242001001004"/>
    <n v="-84.04"/>
    <n v="1442"/>
    <n v="1"/>
    <n v="1"/>
  </r>
  <r>
    <m/>
    <m/>
    <x v="1"/>
    <s v="46248581001001"/>
    <n v="-123.32"/>
    <n v="2116"/>
    <n v="1"/>
    <n v="1"/>
  </r>
  <r>
    <m/>
    <m/>
    <x v="1"/>
    <s v="46290511001002"/>
    <n v="-92.96"/>
    <n v="1595"/>
    <n v="1"/>
    <n v="1"/>
  </r>
  <r>
    <m/>
    <m/>
    <x v="1"/>
    <s v="46323621003008"/>
    <n v="-65.45"/>
    <n v="1123"/>
    <n v="1"/>
    <n v="1"/>
  </r>
  <r>
    <m/>
    <m/>
    <x v="1"/>
    <s v="46365411003001"/>
    <n v="-32.58"/>
    <n v="559"/>
    <n v="1"/>
    <n v="1"/>
  </r>
  <r>
    <m/>
    <m/>
    <x v="1"/>
    <s v="46383371002005"/>
    <n v="-6.47"/>
    <n v="111"/>
    <n v="1"/>
    <n v="1"/>
  </r>
  <r>
    <m/>
    <m/>
    <x v="1"/>
    <s v="46396071001002"/>
    <n v="-44.88"/>
    <n v="770"/>
    <n v="1"/>
    <n v="1"/>
  </r>
  <r>
    <m/>
    <m/>
    <x v="1"/>
    <s v="46398591003001"/>
    <n v="-97.33"/>
    <n v="1670"/>
    <n v="1"/>
    <n v="1"/>
  </r>
  <r>
    <m/>
    <m/>
    <x v="1"/>
    <s v="46399081006001"/>
    <n v="-128.22"/>
    <n v="2200"/>
    <n v="1"/>
    <n v="1"/>
  </r>
  <r>
    <m/>
    <m/>
    <x v="1"/>
    <s v="46402441001006"/>
    <n v="-22.61"/>
    <n v="388"/>
    <n v="1"/>
    <n v="1"/>
  </r>
  <r>
    <m/>
    <m/>
    <x v="1"/>
    <s v="46412521001006"/>
    <n v="-49.36"/>
    <n v="847"/>
    <n v="1"/>
    <n v="1"/>
  </r>
  <r>
    <m/>
    <m/>
    <x v="1"/>
    <s v="46429881006001"/>
    <n v="-169.71"/>
    <n v="2912"/>
    <n v="1"/>
    <n v="1"/>
  </r>
  <r>
    <m/>
    <m/>
    <x v="1"/>
    <s v="46438981001002"/>
    <n v="-146.87"/>
    <n v="2520"/>
    <n v="1"/>
    <n v="1"/>
  </r>
  <r>
    <m/>
    <m/>
    <x v="1"/>
    <s v="46440861001007"/>
    <n v="-84.56"/>
    <n v="1451"/>
    <n v="1"/>
    <n v="1"/>
  </r>
  <r>
    <m/>
    <m/>
    <x v="1"/>
    <s v="46467611002001"/>
    <n v="-35.200000000000003"/>
    <n v="604"/>
    <n v="1"/>
    <n v="1"/>
  </r>
  <r>
    <m/>
    <m/>
    <x v="1"/>
    <s v="46478573003001"/>
    <n v="-94.76"/>
    <n v="1626"/>
    <n v="1"/>
    <n v="1"/>
  </r>
  <r>
    <m/>
    <m/>
    <x v="1"/>
    <s v="46486763001003"/>
    <n v="-15.79"/>
    <n v="271"/>
    <n v="1"/>
    <n v="1"/>
  </r>
  <r>
    <m/>
    <m/>
    <x v="1"/>
    <s v="46684121001001"/>
    <n v="-82.64"/>
    <n v="1418"/>
    <n v="1"/>
    <n v="1"/>
  </r>
  <r>
    <m/>
    <m/>
    <x v="1"/>
    <s v="46713395001001"/>
    <n v="-52.8"/>
    <n v="906"/>
    <n v="1"/>
    <n v="1"/>
  </r>
  <r>
    <m/>
    <m/>
    <x v="1"/>
    <s v="46755031001004"/>
    <n v="-21.27"/>
    <n v="365"/>
    <n v="1"/>
    <n v="1"/>
  </r>
  <r>
    <m/>
    <m/>
    <x v="1"/>
    <s v="46767001003001"/>
    <n v="-96.74"/>
    <n v="1660"/>
    <n v="1"/>
    <n v="1"/>
  </r>
  <r>
    <m/>
    <m/>
    <x v="1"/>
    <s v="46767211003001"/>
    <n v="-70.17"/>
    <n v="1204"/>
    <n v="1"/>
    <n v="1"/>
  </r>
  <r>
    <m/>
    <m/>
    <x v="1"/>
    <s v="46772111002005"/>
    <n v="-111.26"/>
    <n v="1909"/>
    <n v="1"/>
    <n v="1"/>
  </r>
  <r>
    <m/>
    <m/>
    <x v="1"/>
    <s v="46773581002002"/>
    <n v="-132.24"/>
    <n v="2269"/>
    <n v="1"/>
    <n v="1"/>
  </r>
  <r>
    <m/>
    <m/>
    <x v="1"/>
    <s v="46778971002001"/>
    <n v="-67.489999999999995"/>
    <n v="1158"/>
    <n v="1"/>
    <n v="1"/>
  </r>
  <r>
    <m/>
    <m/>
    <x v="1"/>
    <s v="46779671001003"/>
    <n v="-16.84"/>
    <n v="289"/>
    <n v="1"/>
    <n v="1"/>
  </r>
  <r>
    <m/>
    <m/>
    <x v="1"/>
    <s v="46789961001001"/>
    <n v="-59.85"/>
    <n v="1027"/>
    <n v="1"/>
    <n v="1"/>
  </r>
  <r>
    <m/>
    <m/>
    <x v="1"/>
    <s v="46790122001005"/>
    <n v="-33.69"/>
    <n v="578"/>
    <n v="1"/>
    <n v="1"/>
  </r>
  <r>
    <m/>
    <m/>
    <x v="1"/>
    <s v="46825208001001"/>
    <n v="-106.83"/>
    <n v="1833"/>
    <n v="1"/>
    <n v="1"/>
  </r>
  <r>
    <m/>
    <m/>
    <x v="1"/>
    <s v="46831191008001"/>
    <n v="-144.83000000000001"/>
    <n v="2485"/>
    <n v="1"/>
    <n v="1"/>
  </r>
  <r>
    <m/>
    <m/>
    <x v="1"/>
    <s v="46834341003003"/>
    <n v="-159.4"/>
    <n v="2735"/>
    <n v="1"/>
    <n v="1"/>
  </r>
  <r>
    <m/>
    <m/>
    <x v="1"/>
    <s v="46844491002002"/>
    <n v="-109.86"/>
    <n v="1885"/>
    <n v="1"/>
    <n v="1"/>
  </r>
  <r>
    <m/>
    <m/>
    <x v="1"/>
    <s v="46848061001005"/>
    <n v="-69.819999999999993"/>
    <n v="1198"/>
    <n v="1"/>
    <n v="1"/>
  </r>
  <r>
    <m/>
    <m/>
    <x v="1"/>
    <s v="46855629001001"/>
    <n v="-17.190000000000001"/>
    <n v="295"/>
    <n v="1"/>
    <n v="1"/>
  </r>
  <r>
    <m/>
    <m/>
    <x v="1"/>
    <s v="46860101009003"/>
    <n v="-11.42"/>
    <n v="196"/>
    <n v="1"/>
    <n v="1"/>
  </r>
  <r>
    <m/>
    <m/>
    <x v="1"/>
    <s v="46866331001002"/>
    <n v="-98.03"/>
    <n v="1682"/>
    <n v="1"/>
    <n v="1"/>
  </r>
  <r>
    <m/>
    <m/>
    <x v="1"/>
    <s v="46962021001002"/>
    <n v="-38.35"/>
    <n v="658"/>
    <n v="1"/>
    <n v="1"/>
  </r>
  <r>
    <m/>
    <m/>
    <x v="1"/>
    <s v="46966753003003"/>
    <n v="-103.1"/>
    <n v="1769"/>
    <n v="1"/>
    <n v="1"/>
  </r>
  <r>
    <m/>
    <m/>
    <x v="1"/>
    <s v="46967818003001"/>
    <n v="-137.07"/>
    <n v="2352"/>
    <n v="1"/>
    <n v="1"/>
  </r>
  <r>
    <m/>
    <m/>
    <x v="1"/>
    <s v="47028499003001"/>
    <n v="-130.43"/>
    <n v="2238"/>
    <n v="1"/>
    <n v="1"/>
  </r>
  <r>
    <m/>
    <m/>
    <x v="1"/>
    <s v="47135971001002"/>
    <n v="-120.06"/>
    <n v="2060"/>
    <n v="1"/>
    <n v="1"/>
  </r>
  <r>
    <m/>
    <m/>
    <x v="1"/>
    <s v="47164321003004"/>
    <n v="-48.78"/>
    <n v="837"/>
    <n v="1"/>
    <n v="1"/>
  </r>
  <r>
    <m/>
    <m/>
    <x v="1"/>
    <s v="47176711002001"/>
    <n v="-48.96"/>
    <n v="840"/>
    <n v="1"/>
    <n v="1"/>
  </r>
  <r>
    <m/>
    <m/>
    <x v="1"/>
    <s v="47179931001007"/>
    <n v="-61.25"/>
    <n v="1051"/>
    <n v="1"/>
    <n v="1"/>
  </r>
  <r>
    <m/>
    <m/>
    <x v="1"/>
    <s v="47233131004002"/>
    <n v="-105.02"/>
    <n v="1802"/>
    <n v="1"/>
    <n v="1"/>
  </r>
  <r>
    <m/>
    <m/>
    <x v="1"/>
    <s v="47258973001001"/>
    <n v="-41.44"/>
    <n v="711"/>
    <n v="1"/>
    <n v="1"/>
  </r>
  <r>
    <m/>
    <m/>
    <x v="1"/>
    <s v="47275061002003"/>
    <n v="-54.67"/>
    <n v="938"/>
    <n v="1"/>
    <n v="1"/>
  </r>
  <r>
    <m/>
    <m/>
    <x v="1"/>
    <s v="47312021001002"/>
    <n v="-96.45"/>
    <n v="1655"/>
    <n v="1"/>
    <n v="1"/>
  </r>
  <r>
    <m/>
    <m/>
    <x v="1"/>
    <s v="47318111005003"/>
    <n v="-175.83"/>
    <n v="3017"/>
    <n v="1"/>
    <n v="1"/>
  </r>
  <r>
    <m/>
    <m/>
    <x v="1"/>
    <s v="47341211003001"/>
    <n v="-50.41"/>
    <n v="865"/>
    <n v="1"/>
    <n v="1"/>
  </r>
  <r>
    <m/>
    <m/>
    <x v="1"/>
    <s v="47356261001002"/>
    <n v="-181.83"/>
    <n v="3120"/>
    <n v="1"/>
    <n v="1"/>
  </r>
  <r>
    <m/>
    <m/>
    <x v="1"/>
    <s v="47375581005013"/>
    <n v="-99.02"/>
    <n v="1699"/>
    <n v="1"/>
    <n v="1"/>
  </r>
  <r>
    <m/>
    <m/>
    <x v="1"/>
    <s v="47382721001001"/>
    <n v="-97.33"/>
    <n v="1670"/>
    <n v="1"/>
    <n v="1"/>
  </r>
  <r>
    <m/>
    <m/>
    <x v="1"/>
    <s v="47385801001001"/>
    <n v="-49.6"/>
    <n v="851"/>
    <n v="1"/>
    <n v="1"/>
  </r>
  <r>
    <m/>
    <m/>
    <x v="1"/>
    <s v="47386711001003"/>
    <n v="-125.88"/>
    <n v="2160"/>
    <n v="1"/>
    <n v="1"/>
  </r>
  <r>
    <m/>
    <m/>
    <x v="1"/>
    <s v="47388041001006"/>
    <n v="-107.24"/>
    <n v="1840"/>
    <n v="1"/>
    <n v="1"/>
  </r>
  <r>
    <m/>
    <m/>
    <x v="1"/>
    <s v="47403091001002"/>
    <n v="-85.38"/>
    <n v="1465"/>
    <n v="1"/>
    <n v="1"/>
  </r>
  <r>
    <m/>
    <m/>
    <x v="1"/>
    <s v="47406521002002"/>
    <n v="-121.57"/>
    <n v="2086"/>
    <n v="1"/>
    <n v="1"/>
  </r>
  <r>
    <m/>
    <m/>
    <x v="1"/>
    <s v="47406740001003"/>
    <n v="-137.37"/>
    <n v="2357"/>
    <n v="1"/>
    <n v="1"/>
  </r>
  <r>
    <m/>
    <m/>
    <x v="1"/>
    <s v="47429201001003"/>
    <n v="-35.840000000000003"/>
    <n v="615"/>
    <n v="1"/>
    <n v="1"/>
  </r>
  <r>
    <m/>
    <m/>
    <x v="1"/>
    <s v="47431160001002"/>
    <n v="-151.69999999999999"/>
    <n v="2603"/>
    <n v="1"/>
    <n v="1"/>
  </r>
  <r>
    <m/>
    <m/>
    <x v="1"/>
    <s v="47463011003001"/>
    <n v="-103.85"/>
    <n v="1782"/>
    <n v="1"/>
    <n v="1"/>
  </r>
  <r>
    <m/>
    <m/>
    <x v="1"/>
    <s v="47480441007001"/>
    <n v="-171.63"/>
    <n v="2945"/>
    <n v="1"/>
    <n v="1"/>
  </r>
  <r>
    <m/>
    <m/>
    <x v="1"/>
    <s v="47562061007001"/>
    <n v="-52.69"/>
    <n v="904"/>
    <n v="1"/>
    <n v="1"/>
  </r>
  <r>
    <m/>
    <m/>
    <x v="1"/>
    <s v="47574941012001"/>
    <n v="-82.12"/>
    <n v="1409"/>
    <n v="1"/>
    <n v="1"/>
  </r>
  <r>
    <m/>
    <m/>
    <x v="1"/>
    <s v="47576624002003"/>
    <n v="-125.88"/>
    <n v="2160"/>
    <n v="1"/>
    <n v="1"/>
  </r>
  <r>
    <m/>
    <m/>
    <x v="1"/>
    <s v="47599651005003"/>
    <n v="-43.65"/>
    <n v="749"/>
    <n v="1"/>
    <n v="1"/>
  </r>
  <r>
    <m/>
    <m/>
    <x v="1"/>
    <s v="47600631003001"/>
    <n v="-108.28"/>
    <n v="1858"/>
    <n v="1"/>
    <n v="1"/>
  </r>
  <r>
    <m/>
    <m/>
    <x v="1"/>
    <s v="47672521001007"/>
    <n v="-53.33"/>
    <n v="915"/>
    <n v="1"/>
    <n v="1"/>
  </r>
  <r>
    <m/>
    <m/>
    <x v="1"/>
    <s v="47723831004003"/>
    <n v="-89.4"/>
    <n v="1534"/>
    <n v="1"/>
    <n v="1"/>
  </r>
  <r>
    <m/>
    <m/>
    <x v="1"/>
    <s v="47755961001002"/>
    <n v="-206.14"/>
    <n v="3537"/>
    <n v="1"/>
    <n v="1"/>
  </r>
  <r>
    <m/>
    <m/>
    <x v="1"/>
    <s v="47762681005001"/>
    <n v="-209.63"/>
    <n v="3597"/>
    <n v="1"/>
    <n v="1"/>
  </r>
  <r>
    <m/>
    <m/>
    <x v="1"/>
    <s v="47847299001001"/>
    <n v="-2.91"/>
    <n v="50"/>
    <n v="1"/>
    <n v="1"/>
  </r>
  <r>
    <m/>
    <m/>
    <x v="1"/>
    <s v="47866841003004"/>
    <n v="-29.26"/>
    <n v="502"/>
    <n v="1"/>
    <n v="1"/>
  </r>
  <r>
    <m/>
    <m/>
    <x v="1"/>
    <s v="47874541007001"/>
    <n v="-80.599999999999994"/>
    <n v="1383"/>
    <n v="1"/>
    <n v="1"/>
  </r>
  <r>
    <m/>
    <m/>
    <x v="1"/>
    <s v="47881813001003"/>
    <n v="-52.22"/>
    <n v="896"/>
    <n v="1"/>
    <n v="1"/>
  </r>
  <r>
    <m/>
    <m/>
    <x v="1"/>
    <s v="47909696001001"/>
    <n v="-46.45"/>
    <n v="797"/>
    <n v="1"/>
    <n v="1"/>
  </r>
  <r>
    <m/>
    <m/>
    <x v="1"/>
    <s v="47919224001001"/>
    <n v="-55.54"/>
    <n v="953"/>
    <n v="1"/>
    <n v="1"/>
  </r>
  <r>
    <m/>
    <m/>
    <x v="1"/>
    <s v="47927671001001"/>
    <n v="-34.619999999999997"/>
    <n v="594"/>
    <n v="1"/>
    <n v="1"/>
  </r>
  <r>
    <m/>
    <m/>
    <x v="1"/>
    <s v="47945381004001"/>
    <n v="-138.41999999999999"/>
    <n v="2375"/>
    <n v="1"/>
    <n v="1"/>
  </r>
  <r>
    <m/>
    <m/>
    <x v="1"/>
    <s v="47966661006001"/>
    <n v="-20.63"/>
    <n v="354"/>
    <n v="1"/>
    <n v="1"/>
  </r>
  <r>
    <m/>
    <m/>
    <x v="1"/>
    <s v="47983531004001"/>
    <n v="-52.98"/>
    <n v="909"/>
    <n v="1"/>
    <n v="1"/>
  </r>
  <r>
    <m/>
    <m/>
    <x v="1"/>
    <s v="48013109001003"/>
    <n v="-86.43"/>
    <n v="1483"/>
    <n v="1"/>
    <n v="1"/>
  </r>
  <r>
    <m/>
    <m/>
    <x v="1"/>
    <s v="48036574003001"/>
    <n v="-36.08"/>
    <n v="619"/>
    <n v="1"/>
    <n v="1"/>
  </r>
  <r>
    <m/>
    <m/>
    <x v="1"/>
    <s v="48040883001002"/>
    <n v="-38.99"/>
    <n v="669"/>
    <n v="1"/>
    <n v="1"/>
  </r>
  <r>
    <m/>
    <m/>
    <x v="1"/>
    <s v="48065577001006"/>
    <n v="-97.33"/>
    <n v="1670"/>
    <n v="1"/>
    <n v="1"/>
  </r>
  <r>
    <m/>
    <m/>
    <x v="1"/>
    <s v="48076533001001"/>
    <n v="-109.33"/>
    <n v="1876"/>
    <n v="1"/>
    <n v="1"/>
  </r>
  <r>
    <m/>
    <m/>
    <x v="1"/>
    <s v="48085381001001"/>
    <n v="-45.81"/>
    <n v="786"/>
    <n v="1"/>
    <n v="1"/>
  </r>
  <r>
    <m/>
    <m/>
    <x v="1"/>
    <s v="48091876002001"/>
    <n v="-19.12"/>
    <n v="328"/>
    <n v="1"/>
    <n v="1"/>
  </r>
  <r>
    <m/>
    <m/>
    <x v="1"/>
    <s v="48182191001001"/>
    <n v="-112.25"/>
    <n v="1926"/>
    <n v="1"/>
    <n v="1"/>
  </r>
  <r>
    <m/>
    <m/>
    <x v="1"/>
    <s v="48214181001001"/>
    <n v="-106.13"/>
    <n v="1821"/>
    <n v="1"/>
    <n v="1"/>
  </r>
  <r>
    <m/>
    <m/>
    <x v="1"/>
    <s v="48254983001001"/>
    <n v="-121.46"/>
    <n v="2084"/>
    <n v="1"/>
    <n v="1"/>
  </r>
  <r>
    <m/>
    <m/>
    <x v="1"/>
    <s v="48287655003001"/>
    <n v="-51.81"/>
    <n v="889"/>
    <n v="1"/>
    <n v="1"/>
  </r>
  <r>
    <m/>
    <m/>
    <x v="1"/>
    <s v="48366361004005"/>
    <n v="-14.16"/>
    <n v="243"/>
    <n v="1"/>
    <n v="1"/>
  </r>
  <r>
    <m/>
    <m/>
    <x v="1"/>
    <s v="48488730001001"/>
    <n v="-63.53"/>
    <n v="1090"/>
    <n v="1"/>
    <n v="1"/>
  </r>
  <r>
    <m/>
    <m/>
    <x v="1"/>
    <s v="48490261001001"/>
    <n v="-150.77000000000001"/>
    <n v="2587"/>
    <n v="1"/>
    <n v="1"/>
  </r>
  <r>
    <m/>
    <m/>
    <x v="1"/>
    <s v="48518541001001"/>
    <n v="-112.48"/>
    <n v="1930"/>
    <n v="1"/>
    <n v="1"/>
  </r>
  <r>
    <m/>
    <m/>
    <x v="1"/>
    <s v="48529741001003"/>
    <n v="-113.12"/>
    <n v="1941"/>
    <n v="1"/>
    <n v="1"/>
  </r>
  <r>
    <m/>
    <m/>
    <x v="1"/>
    <s v="48552561001006"/>
    <n v="-7.58"/>
    <n v="130"/>
    <n v="1"/>
    <n v="1"/>
  </r>
  <r>
    <m/>
    <m/>
    <x v="1"/>
    <s v="48671160001004"/>
    <n v="-118.95"/>
    <n v="2041"/>
    <n v="1"/>
    <n v="1"/>
  </r>
  <r>
    <m/>
    <m/>
    <x v="1"/>
    <s v="48704876001001"/>
    <n v="-117.49"/>
    <n v="2016"/>
    <n v="1"/>
    <n v="1"/>
  </r>
  <r>
    <m/>
    <m/>
    <x v="1"/>
    <s v="48789559005001"/>
    <n v="-79.2"/>
    <n v="1359"/>
    <n v="1"/>
    <n v="1"/>
  </r>
  <r>
    <m/>
    <m/>
    <x v="1"/>
    <s v="48798510001003"/>
    <n v="-104.61"/>
    <n v="1795"/>
    <n v="1"/>
    <n v="1"/>
  </r>
  <r>
    <m/>
    <m/>
    <x v="1"/>
    <s v="48843876001001"/>
    <n v="-91.91"/>
    <n v="1577"/>
    <n v="1"/>
    <n v="1"/>
  </r>
  <r>
    <m/>
    <m/>
    <x v="1"/>
    <s v="48867586002009"/>
    <n v="-48.26"/>
    <n v="828"/>
    <n v="1"/>
    <n v="1"/>
  </r>
  <r>
    <m/>
    <m/>
    <x v="1"/>
    <s v="48920787001001"/>
    <n v="-29.66"/>
    <n v="509"/>
    <n v="1"/>
    <n v="1"/>
  </r>
  <r>
    <m/>
    <m/>
    <x v="1"/>
    <s v="48930701001003"/>
    <n v="-40.21"/>
    <n v="690"/>
    <n v="1"/>
    <n v="1"/>
  </r>
  <r>
    <m/>
    <m/>
    <x v="1"/>
    <s v="49069822001001"/>
    <n v="-124.02"/>
    <n v="2128"/>
    <n v="1"/>
    <n v="1"/>
  </r>
  <r>
    <m/>
    <m/>
    <x v="1"/>
    <s v="49110279001004"/>
    <n v="-106.3"/>
    <n v="1824"/>
    <n v="1"/>
    <n v="1"/>
  </r>
  <r>
    <m/>
    <m/>
    <x v="1"/>
    <s v="49146371004001"/>
    <n v="-46.68"/>
    <n v="801"/>
    <n v="1"/>
    <n v="1"/>
  </r>
  <r>
    <m/>
    <m/>
    <x v="1"/>
    <s v="49200673001001"/>
    <n v="-51.05"/>
    <n v="876"/>
    <n v="1"/>
    <n v="1"/>
  </r>
  <r>
    <m/>
    <m/>
    <x v="1"/>
    <s v="49214775001001"/>
    <n v="-68.48"/>
    <n v="1175"/>
    <n v="1"/>
    <n v="1"/>
  </r>
  <r>
    <m/>
    <m/>
    <x v="1"/>
    <s v="49217701003005"/>
    <n v="-237.02"/>
    <n v="4067"/>
    <n v="1"/>
    <n v="1"/>
  </r>
  <r>
    <m/>
    <m/>
    <x v="1"/>
    <s v="49295866001005"/>
    <n v="-146.81"/>
    <n v="2519"/>
    <n v="1"/>
    <n v="1"/>
  </r>
  <r>
    <m/>
    <m/>
    <x v="1"/>
    <s v="49299299001005"/>
    <n v="-111.84"/>
    <n v="1919"/>
    <n v="1"/>
    <n v="1"/>
  </r>
  <r>
    <m/>
    <m/>
    <x v="1"/>
    <s v="49436870001001"/>
    <n v="-123.55"/>
    <n v="2120"/>
    <n v="1"/>
    <n v="1"/>
  </r>
  <r>
    <m/>
    <m/>
    <x v="1"/>
    <s v="49472851001001"/>
    <n v="-61.54"/>
    <n v="1056"/>
    <n v="1"/>
    <n v="1"/>
  </r>
  <r>
    <m/>
    <m/>
    <x v="1"/>
    <s v="49542151005001"/>
    <n v="-190.87"/>
    <n v="3275"/>
    <n v="1"/>
    <n v="1"/>
  </r>
  <r>
    <m/>
    <m/>
    <x v="1"/>
    <s v="49576941007001"/>
    <n v="-36.07"/>
    <n v="619"/>
    <n v="2"/>
    <n v="1"/>
  </r>
  <r>
    <m/>
    <m/>
    <x v="1"/>
    <s v="49586951001001"/>
    <n v="-53.15"/>
    <n v="912"/>
    <n v="1"/>
    <n v="1"/>
  </r>
  <r>
    <m/>
    <m/>
    <x v="1"/>
    <s v="49620391001001"/>
    <n v="-130.55000000000001"/>
    <n v="2240"/>
    <n v="1"/>
    <n v="1"/>
  </r>
  <r>
    <m/>
    <m/>
    <x v="1"/>
    <s v="49622441001001"/>
    <n v="-67.430000000000007"/>
    <n v="1157"/>
    <n v="1"/>
    <n v="1"/>
  </r>
  <r>
    <m/>
    <m/>
    <x v="1"/>
    <s v="49632381001008"/>
    <n v="-97.15"/>
    <n v="1667"/>
    <n v="1"/>
    <n v="1"/>
  </r>
  <r>
    <m/>
    <m/>
    <x v="1"/>
    <s v="49711801001001"/>
    <n v="-25.12"/>
    <n v="431"/>
    <n v="1"/>
    <n v="1"/>
  </r>
  <r>
    <m/>
    <m/>
    <x v="1"/>
    <s v="49820681003003"/>
    <n v="-74.66"/>
    <n v="1281"/>
    <n v="1"/>
    <n v="1"/>
  </r>
  <r>
    <m/>
    <m/>
    <x v="1"/>
    <s v="49897285001001"/>
    <n v="-113.12"/>
    <n v="1941"/>
    <n v="1"/>
    <n v="1"/>
  </r>
  <r>
    <m/>
    <m/>
    <x v="1"/>
    <s v="49903001001002"/>
    <n v="-160.62"/>
    <n v="2756"/>
    <n v="1"/>
    <n v="1"/>
  </r>
  <r>
    <m/>
    <m/>
    <x v="1"/>
    <s v="49904401001017"/>
    <n v="-136.26"/>
    <n v="2338"/>
    <n v="1"/>
    <n v="1"/>
  </r>
  <r>
    <m/>
    <m/>
    <x v="1"/>
    <s v="49915250002001"/>
    <n v="-61.43"/>
    <n v="1054"/>
    <n v="1"/>
    <n v="1"/>
  </r>
  <r>
    <m/>
    <m/>
    <x v="1"/>
    <s v="49926110001001"/>
    <n v="-85.21"/>
    <n v="1462"/>
    <n v="1"/>
    <n v="1"/>
  </r>
  <r>
    <m/>
    <m/>
    <x v="1"/>
    <s v="49944272001001"/>
    <n v="-94.59"/>
    <n v="1623"/>
    <n v="1"/>
    <n v="1"/>
  </r>
  <r>
    <m/>
    <m/>
    <x v="1"/>
    <s v="49960891003001"/>
    <n v="-49.3"/>
    <n v="846"/>
    <n v="1"/>
    <n v="1"/>
  </r>
  <r>
    <m/>
    <m/>
    <x v="1"/>
    <s v="50032221001002"/>
    <n v="-117.78"/>
    <n v="2021"/>
    <n v="1"/>
    <n v="1"/>
  </r>
  <r>
    <m/>
    <m/>
    <x v="1"/>
    <s v="50062741003005"/>
    <n v="-34.270000000000003"/>
    <n v="588"/>
    <n v="1"/>
    <n v="1"/>
  </r>
  <r>
    <m/>
    <m/>
    <x v="1"/>
    <s v="50119791001001"/>
    <n v="-12.76"/>
    <n v="219"/>
    <n v="1"/>
    <n v="1"/>
  </r>
  <r>
    <m/>
    <m/>
    <x v="1"/>
    <s v="50146181002001"/>
    <n v="-127.17"/>
    <n v="2182"/>
    <n v="1"/>
    <n v="1"/>
  </r>
  <r>
    <m/>
    <m/>
    <x v="1"/>
    <s v="50146531001002"/>
    <n v="-13.23"/>
    <n v="227"/>
    <n v="1"/>
    <n v="1"/>
  </r>
  <r>
    <m/>
    <m/>
    <x v="1"/>
    <s v="50159341001001"/>
    <n v="-43.24"/>
    <n v="742"/>
    <n v="1"/>
    <n v="1"/>
  </r>
  <r>
    <m/>
    <m/>
    <x v="1"/>
    <s v="50175157001008"/>
    <n v="-55.54"/>
    <n v="953"/>
    <n v="1"/>
    <n v="1"/>
  </r>
  <r>
    <m/>
    <m/>
    <x v="1"/>
    <s v="50186781001001"/>
    <n v="-162.08000000000001"/>
    <n v="2781"/>
    <n v="1"/>
    <n v="1"/>
  </r>
  <r>
    <m/>
    <m/>
    <x v="1"/>
    <s v="50218504001005"/>
    <n v="-25.12"/>
    <n v="431"/>
    <n v="1"/>
    <n v="1"/>
  </r>
  <r>
    <m/>
    <m/>
    <x v="1"/>
    <s v="50234784001005"/>
    <n v="-152.16999999999999"/>
    <n v="2611"/>
    <n v="1"/>
    <n v="1"/>
  </r>
  <r>
    <m/>
    <m/>
    <x v="1"/>
    <s v="50245081001005"/>
    <n v="-107.64"/>
    <n v="1847"/>
    <n v="1"/>
    <n v="1"/>
  </r>
  <r>
    <m/>
    <m/>
    <x v="1"/>
    <s v="50271551003001"/>
    <n v="-95.46"/>
    <n v="1638"/>
    <n v="1"/>
    <n v="1"/>
  </r>
  <r>
    <m/>
    <m/>
    <x v="1"/>
    <s v="50336736001011"/>
    <n v="-45.34"/>
    <n v="778"/>
    <n v="1"/>
    <n v="1"/>
  </r>
  <r>
    <m/>
    <m/>
    <x v="1"/>
    <s v="50363741006001"/>
    <n v="-97.62"/>
    <n v="1675"/>
    <n v="1"/>
    <n v="1"/>
  </r>
  <r>
    <m/>
    <m/>
    <x v="1"/>
    <s v="50383551002003"/>
    <n v="-75.41"/>
    <n v="1294"/>
    <n v="1"/>
    <n v="1"/>
  </r>
  <r>
    <m/>
    <m/>
    <x v="1"/>
    <s v="50403176001001"/>
    <n v="-30.31"/>
    <n v="520"/>
    <n v="1"/>
    <n v="1"/>
  </r>
  <r>
    <m/>
    <m/>
    <x v="1"/>
    <s v="50409381003001"/>
    <n v="-38.99"/>
    <n v="669"/>
    <n v="1"/>
    <n v="1"/>
  </r>
  <r>
    <m/>
    <m/>
    <x v="1"/>
    <s v="50448812001001"/>
    <n v="-28.91"/>
    <n v="496"/>
    <n v="1"/>
    <n v="1"/>
  </r>
  <r>
    <m/>
    <m/>
    <x v="1"/>
    <s v="50575121001001"/>
    <n v="-24.89"/>
    <n v="427"/>
    <n v="1"/>
    <n v="1"/>
  </r>
  <r>
    <m/>
    <m/>
    <x v="1"/>
    <s v="50578291001002"/>
    <n v="-78.099999999999994"/>
    <n v="1340"/>
    <n v="1"/>
    <n v="1"/>
  </r>
  <r>
    <m/>
    <m/>
    <x v="1"/>
    <s v="50583810001001"/>
    <n v="-194.25"/>
    <n v="3333"/>
    <n v="1"/>
    <n v="1"/>
  </r>
  <r>
    <m/>
    <m/>
    <x v="1"/>
    <s v="50632541001006"/>
    <n v="-112.01"/>
    <n v="1922"/>
    <n v="1"/>
    <n v="1"/>
  </r>
  <r>
    <m/>
    <m/>
    <x v="1"/>
    <s v="50720811001003"/>
    <n v="-7.87"/>
    <n v="135"/>
    <n v="1"/>
    <n v="1"/>
  </r>
  <r>
    <m/>
    <m/>
    <x v="1"/>
    <s v="50745624002003"/>
    <n v="-103.68"/>
    <n v="1779"/>
    <n v="1"/>
    <n v="1"/>
  </r>
  <r>
    <m/>
    <m/>
    <x v="1"/>
    <s v="50757351002006"/>
    <n v="-64.87"/>
    <n v="1113"/>
    <n v="1"/>
    <n v="1"/>
  </r>
  <r>
    <m/>
    <m/>
    <x v="1"/>
    <s v="50802890001001"/>
    <n v="-13.7"/>
    <n v="235"/>
    <n v="1"/>
    <n v="1"/>
  </r>
  <r>
    <m/>
    <m/>
    <x v="1"/>
    <s v="50873620001001"/>
    <n v="-244.95"/>
    <n v="4203"/>
    <n v="1"/>
    <n v="1"/>
  </r>
  <r>
    <m/>
    <m/>
    <x v="1"/>
    <s v="50891821006005"/>
    <n v="-172.1"/>
    <n v="2953"/>
    <n v="1"/>
    <n v="1"/>
  </r>
  <r>
    <m/>
    <m/>
    <x v="1"/>
    <s v="50892241001002"/>
    <n v="-35.67"/>
    <n v="612"/>
    <n v="1"/>
    <n v="1"/>
  </r>
  <r>
    <m/>
    <m/>
    <x v="1"/>
    <s v="50955251001001"/>
    <n v="-52.45"/>
    <n v="900"/>
    <n v="1"/>
    <n v="1"/>
  </r>
  <r>
    <m/>
    <m/>
    <x v="1"/>
    <s v="50972811001001"/>
    <n v="-51.23"/>
    <n v="879"/>
    <n v="1"/>
    <n v="1"/>
  </r>
  <r>
    <m/>
    <m/>
    <x v="1"/>
    <s v="50980185001006"/>
    <n v="-156.66"/>
    <n v="2688"/>
    <n v="1"/>
    <n v="1"/>
  </r>
  <r>
    <m/>
    <m/>
    <x v="1"/>
    <s v="50980301002006"/>
    <n v="-86.55"/>
    <n v="1485"/>
    <n v="1"/>
    <n v="1"/>
  </r>
  <r>
    <m/>
    <m/>
    <x v="1"/>
    <s v="50982891003001"/>
    <n v="-51.46"/>
    <n v="883"/>
    <n v="1"/>
    <n v="1"/>
  </r>
  <r>
    <m/>
    <m/>
    <x v="1"/>
    <s v="51002981005001"/>
    <n v="-70.17"/>
    <n v="1204"/>
    <n v="1"/>
    <n v="1"/>
  </r>
  <r>
    <m/>
    <m/>
    <x v="1"/>
    <s v="51011101001001"/>
    <n v="-85.61"/>
    <n v="1469"/>
    <n v="1"/>
    <n v="1"/>
  </r>
  <r>
    <m/>
    <m/>
    <x v="1"/>
    <s v="51018171004001"/>
    <n v="-38.409999999999997"/>
    <n v="659"/>
    <n v="1"/>
    <n v="1"/>
  </r>
  <r>
    <m/>
    <m/>
    <x v="1"/>
    <s v="51026361001001"/>
    <n v="-121.75"/>
    <n v="2089"/>
    <n v="1"/>
    <n v="1"/>
  </r>
  <r>
    <m/>
    <m/>
    <x v="1"/>
    <s v="51027691001003"/>
    <n v="-117.43"/>
    <n v="2015"/>
    <n v="1"/>
    <n v="1"/>
  </r>
  <r>
    <m/>
    <m/>
    <x v="1"/>
    <s v="51049671008001"/>
    <n v="-210.92"/>
    <n v="3619"/>
    <n v="1"/>
    <n v="1"/>
  </r>
  <r>
    <m/>
    <m/>
    <x v="1"/>
    <s v="51056944001001"/>
    <n v="-60.55"/>
    <n v="1039"/>
    <n v="1"/>
    <n v="1"/>
  </r>
  <r>
    <m/>
    <m/>
    <x v="1"/>
    <s v="51084041002005"/>
    <n v="-95"/>
    <n v="1630"/>
    <n v="1"/>
    <n v="1"/>
  </r>
  <r>
    <m/>
    <m/>
    <x v="1"/>
    <s v="51095876001003"/>
    <n v="-32.46"/>
    <n v="557"/>
    <n v="1"/>
    <n v="1"/>
  </r>
  <r>
    <m/>
    <m/>
    <x v="1"/>
    <s v="51104901004003"/>
    <n v="-54.03"/>
    <n v="927"/>
    <n v="1"/>
    <n v="1"/>
  </r>
  <r>
    <m/>
    <m/>
    <x v="1"/>
    <s v="51106511001005"/>
    <n v="-31.3"/>
    <n v="537"/>
    <n v="1"/>
    <n v="1"/>
  </r>
  <r>
    <m/>
    <m/>
    <x v="1"/>
    <s v="51127017001002"/>
    <n v="-39.69"/>
    <n v="681"/>
    <n v="1"/>
    <n v="1"/>
  </r>
  <r>
    <m/>
    <m/>
    <x v="1"/>
    <s v="51159431001001"/>
    <n v="-101.35"/>
    <n v="1739"/>
    <n v="1"/>
    <n v="1"/>
  </r>
  <r>
    <m/>
    <m/>
    <x v="1"/>
    <s v="51174201001004"/>
    <n v="-18.77"/>
    <n v="322"/>
    <n v="1"/>
    <n v="1"/>
  </r>
  <r>
    <m/>
    <m/>
    <x v="1"/>
    <s v="51180361001001"/>
    <n v="-4.3099999999999996"/>
    <n v="74"/>
    <n v="1"/>
    <n v="1"/>
  </r>
  <r>
    <m/>
    <m/>
    <x v="1"/>
    <s v="51182321003003"/>
    <n v="-191.45"/>
    <n v="3285"/>
    <n v="1"/>
    <n v="1"/>
  </r>
  <r>
    <m/>
    <m/>
    <x v="1"/>
    <s v="51206821003010"/>
    <n v="-74.77"/>
    <n v="1283"/>
    <n v="1"/>
    <n v="1"/>
  </r>
  <r>
    <m/>
    <m/>
    <x v="1"/>
    <s v="51222851001001"/>
    <n v="-46.27"/>
    <n v="794"/>
    <n v="1"/>
    <n v="1"/>
  </r>
  <r>
    <m/>
    <m/>
    <x v="1"/>
    <s v="51241523001003"/>
    <n v="-76.64"/>
    <n v="1315"/>
    <n v="1"/>
    <n v="1"/>
  </r>
  <r>
    <m/>
    <m/>
    <x v="1"/>
    <s v="51315811004001"/>
    <n v="-150.6"/>
    <n v="2584"/>
    <n v="1"/>
    <n v="1"/>
  </r>
  <r>
    <m/>
    <m/>
    <x v="1"/>
    <s v="51340941002001"/>
    <n v="-199.49"/>
    <n v="3423"/>
    <n v="1"/>
    <n v="1"/>
  </r>
  <r>
    <m/>
    <m/>
    <x v="1"/>
    <s v="51396381005001"/>
    <n v="-170"/>
    <n v="2917"/>
    <n v="1"/>
    <n v="1"/>
  </r>
  <r>
    <m/>
    <m/>
    <x v="1"/>
    <s v="51441601002001"/>
    <n v="-160.33000000000001"/>
    <n v="2751"/>
    <n v="1"/>
    <n v="1"/>
  </r>
  <r>
    <m/>
    <m/>
    <x v="1"/>
    <s v="51446011004001"/>
    <n v="-100.42"/>
    <n v="1723"/>
    <n v="1"/>
    <n v="1"/>
  </r>
  <r>
    <m/>
    <m/>
    <x v="1"/>
    <s v="51453851003001"/>
    <n v="-85.73"/>
    <n v="1471"/>
    <n v="1"/>
    <n v="1"/>
  </r>
  <r>
    <m/>
    <m/>
    <x v="1"/>
    <s v="51461761001001"/>
    <n v="-88"/>
    <n v="1510"/>
    <n v="1"/>
    <n v="1"/>
  </r>
  <r>
    <m/>
    <m/>
    <x v="1"/>
    <s v="51467250001001"/>
    <n v="-12.24"/>
    <n v="210"/>
    <n v="1"/>
    <n v="1"/>
  </r>
  <r>
    <m/>
    <m/>
    <x v="1"/>
    <s v="51469191001009"/>
    <n v="-8.0399999999999991"/>
    <n v="138"/>
    <n v="1"/>
    <n v="1"/>
  </r>
  <r>
    <m/>
    <m/>
    <x v="1"/>
    <s v="51483531009001"/>
    <n v="-111.37"/>
    <n v="1911"/>
    <n v="1"/>
    <n v="1"/>
  </r>
  <r>
    <m/>
    <m/>
    <x v="1"/>
    <s v="51516081001002"/>
    <n v="-26.81"/>
    <n v="460"/>
    <n v="1"/>
    <n v="1"/>
  </r>
  <r>
    <m/>
    <m/>
    <x v="1"/>
    <s v="51528681001002"/>
    <n v="-28.73"/>
    <n v="493"/>
    <n v="1"/>
    <n v="1"/>
  </r>
  <r>
    <m/>
    <m/>
    <x v="1"/>
    <s v="51542891001003"/>
    <n v="-83.17"/>
    <n v="1427"/>
    <n v="1"/>
    <n v="1"/>
  </r>
  <r>
    <m/>
    <m/>
    <x v="1"/>
    <s v="51544151002001"/>
    <n v="-100.01"/>
    <n v="1716"/>
    <n v="1"/>
    <n v="1"/>
  </r>
  <r>
    <m/>
    <m/>
    <x v="1"/>
    <s v="51556121001002"/>
    <n v="-75.59"/>
    <n v="1297"/>
    <n v="1"/>
    <n v="1"/>
  </r>
  <r>
    <m/>
    <m/>
    <x v="1"/>
    <s v="51557381001002"/>
    <n v="-39.979999999999997"/>
    <n v="686"/>
    <n v="1"/>
    <n v="1"/>
  </r>
  <r>
    <m/>
    <m/>
    <x v="1"/>
    <s v="51568021003009"/>
    <n v="-49.77"/>
    <n v="854"/>
    <n v="1"/>
    <n v="1"/>
  </r>
  <r>
    <m/>
    <m/>
    <x v="1"/>
    <s v="51572011001005"/>
    <n v="-102.75"/>
    <n v="1763"/>
    <n v="1"/>
    <n v="1"/>
  </r>
  <r>
    <m/>
    <m/>
    <x v="1"/>
    <s v="51584751002008"/>
    <n v="-143.08000000000001"/>
    <n v="2455"/>
    <n v="1"/>
    <n v="1"/>
  </r>
  <r>
    <m/>
    <m/>
    <x v="1"/>
    <s v="51589096001005"/>
    <n v="-95.64"/>
    <n v="1641"/>
    <n v="1"/>
    <n v="1"/>
  </r>
  <r>
    <m/>
    <m/>
    <x v="1"/>
    <s v="51591471001001"/>
    <n v="-79.84"/>
    <n v="1370"/>
    <n v="1"/>
    <n v="1"/>
  </r>
  <r>
    <m/>
    <m/>
    <x v="1"/>
    <s v="51601590001003"/>
    <n v="-40.799999999999997"/>
    <n v="700"/>
    <n v="1"/>
    <n v="1"/>
  </r>
  <r>
    <m/>
    <m/>
    <x v="1"/>
    <s v="51609181001001"/>
    <n v="-139.22999999999999"/>
    <n v="2389"/>
    <n v="1"/>
    <n v="1"/>
  </r>
  <r>
    <m/>
    <m/>
    <x v="1"/>
    <s v="51610791002001"/>
    <n v="-50.41"/>
    <n v="865"/>
    <n v="1"/>
    <n v="1"/>
  </r>
  <r>
    <m/>
    <m/>
    <x v="1"/>
    <s v="51615411001001"/>
    <n v="-82.64"/>
    <n v="1418"/>
    <n v="1"/>
    <n v="1"/>
  </r>
  <r>
    <m/>
    <m/>
    <x v="1"/>
    <s v="51615551001001"/>
    <n v="-126.58"/>
    <n v="2172"/>
    <n v="1"/>
    <n v="1"/>
  </r>
  <r>
    <m/>
    <m/>
    <x v="1"/>
    <s v="51618911002001"/>
    <n v="-97.33"/>
    <n v="1670"/>
    <n v="1"/>
    <n v="1"/>
  </r>
  <r>
    <m/>
    <m/>
    <x v="1"/>
    <s v="51627661001003"/>
    <n v="-100.24"/>
    <n v="1720"/>
    <n v="1"/>
    <n v="1"/>
  </r>
  <r>
    <m/>
    <m/>
    <x v="1"/>
    <s v="51628011003001"/>
    <n v="-70.34"/>
    <n v="1207"/>
    <n v="1"/>
    <n v="1"/>
  </r>
  <r>
    <m/>
    <m/>
    <x v="1"/>
    <s v="51719592001003"/>
    <n v="-102.86"/>
    <n v="1765"/>
    <n v="1"/>
    <n v="1"/>
  </r>
  <r>
    <m/>
    <m/>
    <x v="1"/>
    <s v="51733911001002"/>
    <n v="-48.37"/>
    <n v="830"/>
    <n v="1"/>
    <n v="1"/>
  </r>
  <r>
    <m/>
    <m/>
    <x v="1"/>
    <s v="51772856006001"/>
    <n v="-74.25"/>
    <n v="1274"/>
    <n v="1"/>
    <n v="1"/>
  </r>
  <r>
    <m/>
    <m/>
    <x v="1"/>
    <s v="51790155001003"/>
    <n v="-79.489999999999995"/>
    <n v="1364"/>
    <n v="1"/>
    <n v="1"/>
  </r>
  <r>
    <m/>
    <m/>
    <x v="1"/>
    <s v="51808006003005"/>
    <n v="-77.86"/>
    <n v="1336"/>
    <n v="1"/>
    <n v="1"/>
  </r>
  <r>
    <m/>
    <m/>
    <x v="1"/>
    <s v="51910701001010"/>
    <n v="-84.8"/>
    <n v="1455"/>
    <n v="1"/>
    <n v="1"/>
  </r>
  <r>
    <m/>
    <m/>
    <x v="1"/>
    <s v="51911437001003"/>
    <n v="-104.09"/>
    <n v="1786"/>
    <n v="1"/>
    <n v="1"/>
  </r>
  <r>
    <m/>
    <m/>
    <x v="1"/>
    <s v="51976041001003"/>
    <n v="-61.43"/>
    <n v="1054"/>
    <n v="1"/>
    <n v="1"/>
  </r>
  <r>
    <m/>
    <m/>
    <x v="1"/>
    <s v="51992068001001"/>
    <n v="-30.95"/>
    <n v="531"/>
    <n v="1"/>
    <n v="1"/>
  </r>
  <r>
    <m/>
    <m/>
    <x v="1"/>
    <s v="52042325001004"/>
    <n v="-134.22"/>
    <n v="2303"/>
    <n v="1"/>
    <n v="1"/>
  </r>
  <r>
    <m/>
    <m/>
    <x v="1"/>
    <s v="52075169001003"/>
    <n v="-8.39"/>
    <n v="144"/>
    <n v="1"/>
    <n v="1"/>
  </r>
  <r>
    <m/>
    <m/>
    <x v="1"/>
    <s v="52175886001002"/>
    <n v="-88"/>
    <n v="1510"/>
    <n v="1"/>
    <n v="1"/>
  </r>
  <r>
    <m/>
    <m/>
    <x v="1"/>
    <s v="52259109001002"/>
    <n v="-91.91"/>
    <n v="1577"/>
    <n v="1"/>
    <n v="1"/>
  </r>
  <r>
    <m/>
    <m/>
    <x v="1"/>
    <s v="52306367002003"/>
    <n v="-133.46"/>
    <n v="2290"/>
    <n v="1"/>
    <n v="1"/>
  </r>
  <r>
    <m/>
    <m/>
    <x v="1"/>
    <s v="52383903001008"/>
    <n v="-88.24"/>
    <n v="1514"/>
    <n v="1"/>
    <n v="1"/>
  </r>
  <r>
    <m/>
    <m/>
    <x v="1"/>
    <s v="52400577001001"/>
    <n v="-111.9"/>
    <n v="1920"/>
    <n v="1"/>
    <n v="1"/>
  </r>
  <r>
    <m/>
    <m/>
    <x v="1"/>
    <s v="52419352004001"/>
    <n v="-8.68"/>
    <n v="149"/>
    <n v="1"/>
    <n v="1"/>
  </r>
  <r>
    <m/>
    <m/>
    <x v="1"/>
    <s v="52499165001001"/>
    <n v="-29.96"/>
    <n v="514"/>
    <n v="1"/>
    <n v="1"/>
  </r>
  <r>
    <m/>
    <m/>
    <x v="1"/>
    <s v="52507041001001"/>
    <n v="-32.64"/>
    <n v="560"/>
    <n v="1"/>
    <n v="1"/>
  </r>
  <r>
    <m/>
    <m/>
    <x v="1"/>
    <s v="52742616001001"/>
    <n v="-179.74"/>
    <n v="3084"/>
    <n v="1"/>
    <n v="1"/>
  </r>
  <r>
    <m/>
    <m/>
    <x v="1"/>
    <s v="52767326001001"/>
    <n v="-26.34"/>
    <n v="452"/>
    <n v="1"/>
    <n v="1"/>
  </r>
  <r>
    <m/>
    <m/>
    <x v="1"/>
    <s v="52942632001005"/>
    <n v="-49.83"/>
    <n v="855"/>
    <n v="1"/>
    <n v="1"/>
  </r>
  <r>
    <m/>
    <m/>
    <x v="1"/>
    <s v="53040645001004"/>
    <n v="-134.34"/>
    <n v="2305"/>
    <n v="1"/>
    <n v="1"/>
  </r>
  <r>
    <m/>
    <m/>
    <x v="1"/>
    <s v="53059671003001"/>
    <n v="-38.520000000000003"/>
    <n v="661"/>
    <n v="1"/>
    <n v="1"/>
  </r>
  <r>
    <m/>
    <m/>
    <x v="1"/>
    <s v="53062226003001"/>
    <n v="-19.52"/>
    <n v="335"/>
    <n v="1"/>
    <n v="1"/>
  </r>
  <r>
    <m/>
    <m/>
    <x v="1"/>
    <s v="53093346001006"/>
    <n v="-76.7"/>
    <n v="1316"/>
    <n v="1"/>
    <n v="1"/>
  </r>
  <r>
    <m/>
    <m/>
    <x v="1"/>
    <s v="53096079004003"/>
    <n v="-62.24"/>
    <n v="1068"/>
    <n v="1"/>
    <n v="1"/>
  </r>
  <r>
    <m/>
    <m/>
    <x v="1"/>
    <s v="53276260002001"/>
    <n v="-96.74"/>
    <n v="1660"/>
    <n v="1"/>
    <n v="1"/>
  </r>
  <r>
    <m/>
    <m/>
    <x v="1"/>
    <s v="53296048001001"/>
    <n v="-57.81"/>
    <n v="992"/>
    <n v="1"/>
    <n v="1"/>
  </r>
  <r>
    <m/>
    <m/>
    <x v="1"/>
    <s v="53333677003005"/>
    <n v="-57.52"/>
    <n v="987"/>
    <n v="1"/>
    <n v="1"/>
  </r>
  <r>
    <m/>
    <m/>
    <x v="1"/>
    <s v="53350345002007"/>
    <n v="-15.04"/>
    <n v="258"/>
    <n v="1"/>
    <n v="1"/>
  </r>
  <r>
    <m/>
    <m/>
    <x v="1"/>
    <s v="53355064001008"/>
    <n v="-72.91"/>
    <n v="1251"/>
    <n v="1"/>
    <n v="1"/>
  </r>
  <r>
    <m/>
    <m/>
    <x v="1"/>
    <s v="53390379003003"/>
    <n v="-71.040000000000006"/>
    <n v="1219"/>
    <n v="1"/>
    <n v="1"/>
  </r>
  <r>
    <m/>
    <m/>
    <x v="1"/>
    <s v="53403598003001"/>
    <n v="-84.68"/>
    <n v="1453"/>
    <n v="1"/>
    <n v="1"/>
  </r>
  <r>
    <m/>
    <m/>
    <x v="1"/>
    <s v="53512067001011"/>
    <n v="-193.78"/>
    <n v="3325"/>
    <n v="1"/>
    <n v="1"/>
  </r>
  <r>
    <m/>
    <m/>
    <x v="1"/>
    <s v="53586339001001"/>
    <n v="-56.12"/>
    <n v="963"/>
    <n v="1"/>
    <n v="1"/>
  </r>
  <r>
    <m/>
    <m/>
    <x v="1"/>
    <s v="53629812002001"/>
    <n v="-0.64"/>
    <n v="11"/>
    <n v="1"/>
    <n v="1"/>
  </r>
  <r>
    <m/>
    <m/>
    <x v="1"/>
    <s v="53707529001003"/>
    <n v="-50.65"/>
    <n v="869"/>
    <n v="1"/>
    <n v="1"/>
  </r>
  <r>
    <m/>
    <m/>
    <x v="1"/>
    <s v="53784070001007"/>
    <n v="-39.51"/>
    <n v="678"/>
    <n v="1"/>
    <n v="1"/>
  </r>
  <r>
    <m/>
    <m/>
    <x v="1"/>
    <s v="53812406001002"/>
    <n v="-50.59"/>
    <n v="868"/>
    <n v="1"/>
    <n v="1"/>
  </r>
  <r>
    <m/>
    <m/>
    <x v="1"/>
    <s v="53911595001002"/>
    <n v="-64.63"/>
    <n v="1109"/>
    <n v="1"/>
    <n v="1"/>
  </r>
  <r>
    <m/>
    <m/>
    <x v="1"/>
    <s v="53923154001002"/>
    <n v="-51.99"/>
    <n v="892"/>
    <n v="1"/>
    <n v="1"/>
  </r>
  <r>
    <m/>
    <m/>
    <x v="1"/>
    <s v="54086288002005"/>
    <n v="-88.29"/>
    <n v="1515"/>
    <n v="1"/>
    <n v="1"/>
  </r>
  <r>
    <m/>
    <m/>
    <x v="1"/>
    <s v="54306064004001"/>
    <n v="-46.27"/>
    <n v="794"/>
    <n v="1"/>
    <n v="1"/>
  </r>
  <r>
    <m/>
    <m/>
    <x v="1"/>
    <s v="54329736005001"/>
    <n v="-29.96"/>
    <n v="514"/>
    <n v="1"/>
    <n v="1"/>
  </r>
  <r>
    <m/>
    <m/>
    <x v="1"/>
    <s v="54408477001001"/>
    <n v="-94.71"/>
    <n v="1625"/>
    <n v="1"/>
    <n v="1"/>
  </r>
  <r>
    <m/>
    <m/>
    <x v="1"/>
    <s v="54417155001003"/>
    <n v="-34.85"/>
    <n v="598"/>
    <n v="1"/>
    <n v="1"/>
  </r>
  <r>
    <m/>
    <m/>
    <x v="1"/>
    <s v="54419366001001"/>
    <n v="-51.23"/>
    <n v="879"/>
    <n v="1"/>
    <n v="1"/>
  </r>
  <r>
    <m/>
    <m/>
    <x v="1"/>
    <s v="54477932001004"/>
    <n v="-88"/>
    <n v="1510"/>
    <n v="1"/>
    <n v="1"/>
  </r>
  <r>
    <m/>
    <m/>
    <x v="1"/>
    <s v="54503017001001"/>
    <n v="-16.260000000000002"/>
    <n v="279"/>
    <n v="1"/>
    <n v="1"/>
  </r>
  <r>
    <m/>
    <m/>
    <x v="1"/>
    <s v="54754288002005"/>
    <n v="-53.21"/>
    <n v="913"/>
    <n v="1"/>
    <n v="1"/>
  </r>
  <r>
    <m/>
    <m/>
    <x v="1"/>
    <s v="54951169001003"/>
    <n v="-78.209999999999994"/>
    <n v="1342"/>
    <n v="1"/>
    <n v="1"/>
  </r>
  <r>
    <m/>
    <m/>
    <x v="1"/>
    <s v="54978920001003"/>
    <n v="-71.680000000000007"/>
    <n v="1230"/>
    <n v="1"/>
    <n v="1"/>
  </r>
  <r>
    <m/>
    <m/>
    <x v="1"/>
    <s v="55194605001001"/>
    <n v="-81.77"/>
    <n v="1403"/>
    <n v="1"/>
    <n v="1"/>
  </r>
  <r>
    <m/>
    <m/>
    <x v="1"/>
    <s v="55356091006001"/>
    <n v="-94.59"/>
    <n v="1623"/>
    <n v="1"/>
    <n v="1"/>
  </r>
  <r>
    <m/>
    <m/>
    <x v="1"/>
    <s v="55394040001001"/>
    <n v="-88.29"/>
    <n v="1515"/>
    <n v="1"/>
    <n v="1"/>
  </r>
  <r>
    <m/>
    <m/>
    <x v="1"/>
    <s v="55476730001005"/>
    <n v="-121.46"/>
    <n v="2084"/>
    <n v="1"/>
    <n v="1"/>
  </r>
  <r>
    <m/>
    <m/>
    <x v="1"/>
    <s v="55524078001001"/>
    <n v="-49.19"/>
    <n v="844"/>
    <n v="1"/>
    <n v="1"/>
  </r>
  <r>
    <m/>
    <m/>
    <x v="1"/>
    <s v="55536729004001"/>
    <n v="-64.05"/>
    <n v="1099"/>
    <n v="1"/>
    <n v="1"/>
  </r>
  <r>
    <m/>
    <m/>
    <x v="1"/>
    <s v="55537391001001"/>
    <n v="-30.77"/>
    <n v="528"/>
    <n v="1"/>
    <n v="1"/>
  </r>
  <r>
    <m/>
    <m/>
    <x v="1"/>
    <s v="55703490001004"/>
    <n v="-47.96"/>
    <n v="823"/>
    <n v="1"/>
    <n v="1"/>
  </r>
  <r>
    <m/>
    <m/>
    <x v="1"/>
    <s v="55781832001008"/>
    <n v="-118.42"/>
    <n v="2032"/>
    <n v="1"/>
    <n v="1"/>
  </r>
  <r>
    <m/>
    <m/>
    <x v="1"/>
    <s v="55940653002003"/>
    <n v="-190.05"/>
    <n v="3261"/>
    <n v="1"/>
    <n v="1"/>
  </r>
  <r>
    <m/>
    <m/>
    <x v="1"/>
    <s v="56027623001001"/>
    <n v="-145.53"/>
    <n v="2497"/>
    <n v="1"/>
    <n v="1"/>
  </r>
  <r>
    <m/>
    <m/>
    <x v="1"/>
    <s v="56079112001004"/>
    <n v="-114.23"/>
    <n v="1960"/>
    <n v="1"/>
    <n v="1"/>
  </r>
  <r>
    <m/>
    <m/>
    <x v="1"/>
    <s v="56095941001001"/>
    <n v="-108.58"/>
    <n v="1863"/>
    <n v="1"/>
    <n v="1"/>
  </r>
  <r>
    <m/>
    <m/>
    <x v="1"/>
    <s v="56154051001001"/>
    <n v="-43.88"/>
    <n v="753"/>
    <n v="1"/>
    <n v="1"/>
  </r>
  <r>
    <m/>
    <m/>
    <x v="1"/>
    <s v="56180731001001"/>
    <n v="-15.33"/>
    <n v="263"/>
    <n v="1"/>
    <n v="1"/>
  </r>
  <r>
    <m/>
    <m/>
    <x v="1"/>
    <s v="56213971001003"/>
    <n v="-112.54"/>
    <n v="1931"/>
    <n v="1"/>
    <n v="1"/>
  </r>
  <r>
    <m/>
    <m/>
    <x v="1"/>
    <s v="56215841001001"/>
    <n v="-93.19"/>
    <n v="1599"/>
    <n v="1"/>
    <n v="1"/>
  </r>
  <r>
    <m/>
    <m/>
    <x v="1"/>
    <s v="56312823002001"/>
    <n v="-108.75"/>
    <n v="1866"/>
    <n v="1"/>
    <n v="1"/>
  </r>
  <r>
    <m/>
    <m/>
    <x v="1"/>
    <s v="56348148001001"/>
    <n v="-66.260000000000005"/>
    <n v="1137"/>
    <n v="1"/>
    <n v="1"/>
  </r>
  <r>
    <m/>
    <m/>
    <x v="1"/>
    <s v="56354960001003"/>
    <n v="-97.09"/>
    <n v="1666"/>
    <n v="1"/>
    <n v="1"/>
  </r>
  <r>
    <m/>
    <m/>
    <x v="1"/>
    <s v="56378536001001"/>
    <n v="-99.43"/>
    <n v="1706"/>
    <n v="1"/>
    <n v="1"/>
  </r>
  <r>
    <m/>
    <m/>
    <x v="1"/>
    <s v="56386327001003"/>
    <n v="-72.38"/>
    <n v="1242"/>
    <n v="1"/>
    <n v="1"/>
  </r>
  <r>
    <m/>
    <m/>
    <x v="1"/>
    <s v="56404144001004"/>
    <n v="-25"/>
    <n v="429"/>
    <n v="1"/>
    <n v="1"/>
  </r>
  <r>
    <m/>
    <m/>
    <x v="1"/>
    <s v="56634209003002"/>
    <n v="-30.89"/>
    <n v="530"/>
    <n v="1"/>
    <n v="1"/>
  </r>
  <r>
    <m/>
    <m/>
    <x v="1"/>
    <s v="56725042001004"/>
    <n v="-56.65"/>
    <n v="972"/>
    <n v="1"/>
    <n v="1"/>
  </r>
  <r>
    <m/>
    <m/>
    <x v="1"/>
    <s v="56805763001004"/>
    <n v="-32.93"/>
    <n v="565"/>
    <n v="1"/>
    <n v="1"/>
  </r>
  <r>
    <m/>
    <m/>
    <x v="1"/>
    <s v="56947002001001"/>
    <n v="-78.150000000000006"/>
    <n v="1341"/>
    <n v="1"/>
    <n v="1"/>
  </r>
  <r>
    <m/>
    <m/>
    <x v="1"/>
    <s v="57000650001002"/>
    <n v="-75.41"/>
    <n v="1294"/>
    <n v="1"/>
    <n v="1"/>
  </r>
  <r>
    <m/>
    <m/>
    <x v="1"/>
    <s v="57011783002003"/>
    <n v="-53.68"/>
    <n v="921"/>
    <n v="1"/>
    <n v="1"/>
  </r>
  <r>
    <m/>
    <m/>
    <x v="1"/>
    <s v="57050305002003"/>
    <n v="-39.630000000000003"/>
    <n v="680"/>
    <n v="1"/>
    <n v="1"/>
  </r>
  <r>
    <m/>
    <m/>
    <x v="1"/>
    <s v="57053280001002"/>
    <n v="-126.82"/>
    <n v="2176"/>
    <n v="1"/>
    <n v="1"/>
  </r>
  <r>
    <m/>
    <m/>
    <x v="1"/>
    <s v="57092073001001"/>
    <n v="-21.8"/>
    <n v="374"/>
    <n v="1"/>
    <n v="1"/>
  </r>
  <r>
    <m/>
    <m/>
    <x v="1"/>
    <s v="57113275001001"/>
    <n v="-61.08"/>
    <n v="1048"/>
    <n v="1"/>
    <n v="1"/>
  </r>
  <r>
    <m/>
    <m/>
    <x v="1"/>
    <s v="57157582001007"/>
    <n v="-114.23"/>
    <n v="1960"/>
    <n v="1"/>
    <n v="1"/>
  </r>
  <r>
    <m/>
    <m/>
    <x v="1"/>
    <s v="57409186002001"/>
    <n v="-28.15"/>
    <n v="483"/>
    <n v="1"/>
    <n v="1"/>
  </r>
  <r>
    <m/>
    <m/>
    <x v="1"/>
    <s v="57422963001002"/>
    <n v="-80.89"/>
    <n v="1388"/>
    <n v="1"/>
    <n v="1"/>
  </r>
  <r>
    <m/>
    <m/>
    <x v="1"/>
    <s v="57504758001005"/>
    <n v="-61.66"/>
    <n v="1058"/>
    <n v="1"/>
    <n v="1"/>
  </r>
  <r>
    <m/>
    <m/>
    <x v="1"/>
    <s v="57631181001002"/>
    <n v="-46.16"/>
    <n v="792"/>
    <n v="1"/>
    <n v="1"/>
  </r>
  <r>
    <m/>
    <m/>
    <x v="1"/>
    <s v="57674970002001"/>
    <n v="-114.17"/>
    <n v="1959"/>
    <n v="1"/>
    <n v="1"/>
  </r>
  <r>
    <m/>
    <m/>
    <x v="1"/>
    <s v="57703524001001"/>
    <n v="-28.56"/>
    <n v="490"/>
    <n v="1"/>
    <n v="1"/>
  </r>
  <r>
    <m/>
    <m/>
    <x v="1"/>
    <s v="57785781001002"/>
    <n v="-109.86"/>
    <n v="1885"/>
    <n v="1"/>
    <n v="1"/>
  </r>
  <r>
    <m/>
    <m/>
    <x v="1"/>
    <s v="57869500001003"/>
    <n v="-31.24"/>
    <n v="536"/>
    <n v="1"/>
    <n v="1"/>
  </r>
  <r>
    <m/>
    <m/>
    <x v="1"/>
    <s v="58021308001009"/>
    <n v="-45.75"/>
    <n v="785"/>
    <n v="1"/>
    <n v="1"/>
  </r>
  <r>
    <m/>
    <m/>
    <x v="1"/>
    <s v="58070087003005"/>
    <n v="-314.77"/>
    <n v="5401"/>
    <n v="2"/>
    <n v="1"/>
  </r>
  <r>
    <m/>
    <m/>
    <x v="1"/>
    <s v="58214480001001"/>
    <n v="-152.16999999999999"/>
    <n v="2611"/>
    <n v="1"/>
    <n v="1"/>
  </r>
  <r>
    <m/>
    <m/>
    <x v="1"/>
    <s v="58280210001001"/>
    <n v="-100.13"/>
    <n v="1718"/>
    <n v="1"/>
    <n v="1"/>
  </r>
  <r>
    <m/>
    <m/>
    <x v="1"/>
    <s v="58426355002001"/>
    <n v="-20.34"/>
    <n v="349"/>
    <n v="1"/>
    <n v="1"/>
  </r>
  <r>
    <m/>
    <m/>
    <x v="1"/>
    <s v="58436858001004"/>
    <n v="-120"/>
    <n v="2059"/>
    <n v="1"/>
    <n v="1"/>
  </r>
  <r>
    <m/>
    <m/>
    <x v="1"/>
    <s v="58469818001001"/>
    <n v="-7.69"/>
    <n v="132"/>
    <n v="1"/>
    <n v="1"/>
  </r>
  <r>
    <m/>
    <m/>
    <x v="1"/>
    <s v="58476662001005"/>
    <n v="-89.52"/>
    <n v="1536"/>
    <n v="1"/>
    <n v="1"/>
  </r>
  <r>
    <m/>
    <m/>
    <x v="1"/>
    <s v="58496743001008"/>
    <n v="-2.04"/>
    <n v="35"/>
    <n v="1"/>
    <n v="1"/>
  </r>
  <r>
    <m/>
    <m/>
    <x v="1"/>
    <s v="58549564001001"/>
    <n v="-61.14"/>
    <n v="1049"/>
    <n v="1"/>
    <n v="1"/>
  </r>
  <r>
    <m/>
    <m/>
    <x v="1"/>
    <s v="58573146001001"/>
    <n v="-22.55"/>
    <n v="387"/>
    <n v="1"/>
    <n v="1"/>
  </r>
  <r>
    <m/>
    <m/>
    <x v="1"/>
    <s v="58719680001003"/>
    <n v="-69.59"/>
    <n v="1194"/>
    <n v="1"/>
    <n v="1"/>
  </r>
  <r>
    <m/>
    <m/>
    <x v="1"/>
    <s v="58828870011001"/>
    <n v="-44.7"/>
    <n v="767"/>
    <n v="1"/>
    <n v="1"/>
  </r>
  <r>
    <m/>
    <m/>
    <x v="1"/>
    <s v="58833936002005"/>
    <n v="-9.44"/>
    <n v="162"/>
    <n v="1"/>
    <n v="1"/>
  </r>
  <r>
    <m/>
    <m/>
    <x v="1"/>
    <s v="59006289004001"/>
    <n v="-83.63"/>
    <n v="1435"/>
    <n v="1"/>
    <n v="1"/>
  </r>
  <r>
    <m/>
    <m/>
    <x v="1"/>
    <s v="59136213001001"/>
    <n v="-88.12"/>
    <n v="1512"/>
    <n v="1"/>
    <n v="1"/>
  </r>
  <r>
    <m/>
    <m/>
    <x v="1"/>
    <s v="59145811001005"/>
    <n v="-14.63"/>
    <n v="251"/>
    <n v="1"/>
    <n v="1"/>
  </r>
  <r>
    <m/>
    <m/>
    <x v="1"/>
    <s v="59243405001001"/>
    <n v="-177.46"/>
    <n v="3045"/>
    <n v="1"/>
    <n v="1"/>
  </r>
  <r>
    <m/>
    <m/>
    <x v="1"/>
    <s v="59547463005003"/>
    <n v="-135.03"/>
    <n v="2317"/>
    <n v="1"/>
    <n v="1"/>
  </r>
  <r>
    <m/>
    <m/>
    <x v="1"/>
    <s v="59582257003001"/>
    <n v="-43.24"/>
    <n v="742"/>
    <n v="1"/>
    <n v="1"/>
  </r>
  <r>
    <m/>
    <m/>
    <x v="1"/>
    <s v="59767700001001"/>
    <n v="-11.36"/>
    <n v="195"/>
    <n v="1"/>
    <n v="1"/>
  </r>
  <r>
    <m/>
    <m/>
    <x v="1"/>
    <s v="59835939001001"/>
    <n v="-58.4"/>
    <n v="1002"/>
    <n v="1"/>
    <n v="1"/>
  </r>
  <r>
    <m/>
    <m/>
    <x v="1"/>
    <s v="59904249001001"/>
    <n v="-120.99"/>
    <n v="2076"/>
    <n v="1"/>
    <n v="1"/>
  </r>
  <r>
    <m/>
    <m/>
    <x v="1"/>
    <s v="60063354001001"/>
    <n v="-199.73"/>
    <n v="3427"/>
    <n v="1"/>
    <n v="1"/>
  </r>
  <r>
    <m/>
    <m/>
    <x v="1"/>
    <s v="60103851002003"/>
    <n v="-42.78"/>
    <n v="734"/>
    <n v="1"/>
    <n v="1"/>
  </r>
  <r>
    <m/>
    <m/>
    <x v="1"/>
    <s v="60148123001001"/>
    <n v="-130.66"/>
    <n v="2242"/>
    <n v="1"/>
    <n v="1"/>
  </r>
  <r>
    <m/>
    <m/>
    <x v="1"/>
    <s v="60226051001005"/>
    <n v="-34.15"/>
    <n v="586"/>
    <n v="1"/>
    <n v="1"/>
  </r>
  <r>
    <m/>
    <m/>
    <x v="1"/>
    <s v="60262385001001"/>
    <n v="-240.64"/>
    <n v="4129"/>
    <n v="1"/>
    <n v="1"/>
  </r>
  <r>
    <m/>
    <m/>
    <x v="1"/>
    <s v="60311235002003"/>
    <n v="-1.46"/>
    <n v="25"/>
    <n v="1"/>
    <n v="1"/>
  </r>
  <r>
    <m/>
    <m/>
    <x v="1"/>
    <s v="60311880001002"/>
    <n v="-210.1"/>
    <n v="3605"/>
    <n v="1"/>
    <n v="1"/>
  </r>
  <r>
    <m/>
    <m/>
    <x v="1"/>
    <s v="60323445002004"/>
    <n v="-13.11"/>
    <n v="225"/>
    <n v="1"/>
    <n v="1"/>
  </r>
  <r>
    <m/>
    <m/>
    <x v="1"/>
    <s v="60469369001004"/>
    <n v="-22.61"/>
    <n v="388"/>
    <n v="1"/>
    <n v="1"/>
  </r>
  <r>
    <m/>
    <m/>
    <x v="1"/>
    <s v="60473262001001"/>
    <n v="-58.22"/>
    <n v="999"/>
    <n v="1"/>
    <n v="1"/>
  </r>
  <r>
    <m/>
    <m/>
    <x v="1"/>
    <s v="60603915001011"/>
    <n v="-146.81"/>
    <n v="2519"/>
    <n v="1"/>
    <n v="1"/>
  </r>
  <r>
    <m/>
    <m/>
    <x v="1"/>
    <s v="60626334001001"/>
    <n v="-14.69"/>
    <n v="252"/>
    <n v="1"/>
    <n v="1"/>
  </r>
  <r>
    <m/>
    <m/>
    <x v="1"/>
    <s v="60661525001001"/>
    <n v="-109.28"/>
    <n v="1875"/>
    <n v="1"/>
    <n v="1"/>
  </r>
  <r>
    <m/>
    <m/>
    <x v="1"/>
    <s v="60925111001003"/>
    <n v="-135.56"/>
    <n v="2326"/>
    <n v="1"/>
    <n v="1"/>
  </r>
  <r>
    <m/>
    <m/>
    <x v="1"/>
    <s v="60942818001007"/>
    <n v="-67.2"/>
    <n v="1153"/>
    <n v="1"/>
    <n v="1"/>
  </r>
  <r>
    <m/>
    <m/>
    <x v="1"/>
    <s v="60950439001011"/>
    <n v="-131.94999999999999"/>
    <n v="2264"/>
    <n v="1"/>
    <n v="1"/>
  </r>
  <r>
    <m/>
    <m/>
    <x v="1"/>
    <s v="61063646001001"/>
    <n v="-40.799999999999997"/>
    <n v="700"/>
    <n v="1"/>
    <n v="1"/>
  </r>
  <r>
    <m/>
    <m/>
    <x v="1"/>
    <s v="61201741003001"/>
    <n v="-63.41"/>
    <n v="1088"/>
    <n v="1"/>
    <n v="1"/>
  </r>
  <r>
    <m/>
    <m/>
    <x v="1"/>
    <s v="61237473001001"/>
    <n v="-96.57"/>
    <n v="1657"/>
    <n v="1"/>
    <n v="1"/>
  </r>
  <r>
    <m/>
    <m/>
    <x v="1"/>
    <s v="61241854001001"/>
    <n v="-80.72"/>
    <n v="1385"/>
    <n v="1"/>
    <n v="1"/>
  </r>
  <r>
    <m/>
    <m/>
    <x v="1"/>
    <s v="61254120001004"/>
    <n v="-60.67"/>
    <n v="1041"/>
    <n v="1"/>
    <n v="1"/>
  </r>
  <r>
    <m/>
    <m/>
    <x v="1"/>
    <s v="61309008001005"/>
    <n v="-46.27"/>
    <n v="794"/>
    <n v="1"/>
    <n v="1"/>
  </r>
  <r>
    <m/>
    <m/>
    <x v="1"/>
    <s v="61446494004008"/>
    <n v="-45.34"/>
    <n v="778"/>
    <n v="1"/>
    <n v="1"/>
  </r>
  <r>
    <m/>
    <m/>
    <x v="1"/>
    <s v="61647293001003"/>
    <n v="-66.56"/>
    <n v="1142"/>
    <n v="1"/>
    <n v="1"/>
  </r>
  <r>
    <m/>
    <m/>
    <x v="1"/>
    <s v="61935568001001"/>
    <n v="-7.87"/>
    <n v="135"/>
    <n v="1"/>
    <n v="1"/>
  </r>
  <r>
    <m/>
    <m/>
    <x v="1"/>
    <s v="62062811001010"/>
    <n v="-3.09"/>
    <n v="53"/>
    <n v="1"/>
    <n v="1"/>
  </r>
  <r>
    <m/>
    <m/>
    <x v="1"/>
    <s v="62065609001001"/>
    <n v="-120.17"/>
    <n v="2062"/>
    <n v="1"/>
    <n v="1"/>
  </r>
  <r>
    <m/>
    <m/>
    <x v="1"/>
    <s v="62148084003001"/>
    <n v="-16.84"/>
    <n v="289"/>
    <n v="1"/>
    <n v="1"/>
  </r>
  <r>
    <m/>
    <m/>
    <x v="1"/>
    <s v="62235479001001"/>
    <n v="-37.24"/>
    <n v="639"/>
    <n v="1"/>
    <n v="1"/>
  </r>
  <r>
    <m/>
    <m/>
    <x v="1"/>
    <s v="62296705003003"/>
    <n v="-169.83"/>
    <n v="2914"/>
    <n v="1"/>
    <n v="1"/>
  </r>
  <r>
    <m/>
    <m/>
    <x v="1"/>
    <s v="62360104001003"/>
    <n v="-144.71"/>
    <n v="2483"/>
    <n v="1"/>
    <n v="1"/>
  </r>
  <r>
    <m/>
    <m/>
    <x v="1"/>
    <s v="62483712001004"/>
    <n v="-76.7"/>
    <n v="1316"/>
    <n v="1"/>
    <n v="1"/>
  </r>
  <r>
    <m/>
    <m/>
    <x v="1"/>
    <s v="62495514001001"/>
    <n v="-80.31"/>
    <n v="1378"/>
    <n v="1"/>
    <n v="1"/>
  </r>
  <r>
    <m/>
    <m/>
    <x v="1"/>
    <s v="62610781001004"/>
    <n v="-103.27"/>
    <n v="1772"/>
    <n v="1"/>
    <n v="1"/>
  </r>
  <r>
    <m/>
    <m/>
    <x v="1"/>
    <s v="62615155002001"/>
    <n v="-48.78"/>
    <n v="837"/>
    <n v="1"/>
    <n v="1"/>
  </r>
  <r>
    <m/>
    <m/>
    <x v="1"/>
    <s v="62682462001001"/>
    <n v="-278.17"/>
    <n v="4773"/>
    <n v="1"/>
    <n v="1"/>
  </r>
  <r>
    <m/>
    <m/>
    <x v="1"/>
    <s v="62746326001001"/>
    <n v="-44.12"/>
    <n v="757"/>
    <n v="1"/>
    <n v="1"/>
  </r>
  <r>
    <m/>
    <m/>
    <x v="1"/>
    <s v="62780064001001"/>
    <n v="-84.33"/>
    <n v="1447"/>
    <n v="1"/>
    <n v="1"/>
  </r>
  <r>
    <m/>
    <m/>
    <x v="1"/>
    <s v="62820845001004"/>
    <n v="-102.46"/>
    <n v="1758"/>
    <n v="1"/>
    <n v="1"/>
  </r>
  <r>
    <m/>
    <m/>
    <x v="1"/>
    <s v="62842326002001"/>
    <n v="-13.52"/>
    <n v="232"/>
    <n v="1"/>
    <n v="1"/>
  </r>
  <r>
    <m/>
    <m/>
    <x v="1"/>
    <s v="62843836001005"/>
    <n v="-3.5"/>
    <n v="60"/>
    <n v="1"/>
    <n v="1"/>
  </r>
  <r>
    <m/>
    <m/>
    <x v="1"/>
    <s v="62852130001002"/>
    <n v="-11.95"/>
    <n v="205"/>
    <n v="1"/>
    <n v="1"/>
  </r>
  <r>
    <m/>
    <m/>
    <x v="1"/>
    <s v="62855144002003"/>
    <n v="-109.86"/>
    <n v="1885"/>
    <n v="1"/>
    <n v="1"/>
  </r>
  <r>
    <m/>
    <m/>
    <x v="1"/>
    <s v="62965041001001"/>
    <n v="-4.49"/>
    <n v="77"/>
    <n v="1"/>
    <n v="1"/>
  </r>
  <r>
    <m/>
    <m/>
    <x v="1"/>
    <s v="63178902001002"/>
    <n v="-32.35"/>
    <n v="555"/>
    <n v="1"/>
    <n v="1"/>
  </r>
  <r>
    <m/>
    <m/>
    <x v="1"/>
    <s v="63202392001004"/>
    <n v="-16.73"/>
    <n v="287"/>
    <n v="1"/>
    <n v="1"/>
  </r>
  <r>
    <m/>
    <m/>
    <x v="1"/>
    <s v="63257498001003"/>
    <n v="-104.79"/>
    <n v="1798"/>
    <n v="1"/>
    <n v="1"/>
  </r>
  <r>
    <m/>
    <m/>
    <x v="1"/>
    <s v="63278864002003"/>
    <n v="-117.96"/>
    <n v="2024"/>
    <n v="1"/>
    <n v="1"/>
  </r>
  <r>
    <m/>
    <m/>
    <x v="1"/>
    <s v="63473902002001"/>
    <n v="-108.63"/>
    <n v="1864"/>
    <n v="1"/>
    <n v="1"/>
  </r>
  <r>
    <m/>
    <m/>
    <x v="1"/>
    <s v="63716547001001"/>
    <n v="-31.7"/>
    <n v="544"/>
    <n v="1"/>
    <n v="1"/>
  </r>
  <r>
    <m/>
    <m/>
    <x v="1"/>
    <s v="63843169001005"/>
    <n v="-129.66999999999999"/>
    <n v="2225"/>
    <n v="1"/>
    <n v="1"/>
  </r>
  <r>
    <m/>
    <m/>
    <x v="1"/>
    <s v="63847291001002"/>
    <n v="-104.09"/>
    <n v="1786"/>
    <n v="1"/>
    <n v="1"/>
  </r>
  <r>
    <m/>
    <m/>
    <x v="1"/>
    <s v="64277366004001"/>
    <n v="-100.36"/>
    <n v="1722"/>
    <n v="1"/>
    <n v="1"/>
  </r>
  <r>
    <m/>
    <m/>
    <x v="1"/>
    <s v="64306926001001"/>
    <n v="-199.67"/>
    <n v="3426"/>
    <n v="1"/>
    <n v="1"/>
  </r>
  <r>
    <m/>
    <m/>
    <x v="1"/>
    <s v="64787221002001"/>
    <n v="-58.28"/>
    <n v="1000"/>
    <n v="1"/>
    <n v="1"/>
  </r>
  <r>
    <m/>
    <m/>
    <x v="1"/>
    <s v="64947999002003"/>
    <n v="-191.51"/>
    <n v="3286"/>
    <n v="1"/>
    <n v="1"/>
  </r>
  <r>
    <m/>
    <m/>
    <x v="1"/>
    <s v="64960542001013"/>
    <n v="-66.959999999999994"/>
    <n v="1149"/>
    <n v="1"/>
    <n v="1"/>
  </r>
  <r>
    <m/>
    <m/>
    <x v="1"/>
    <s v="65047530001001"/>
    <n v="-146.81"/>
    <n v="2519"/>
    <n v="1"/>
    <n v="1"/>
  </r>
  <r>
    <m/>
    <m/>
    <x v="1"/>
    <s v="65303114002001"/>
    <n v="-87.83"/>
    <n v="1507"/>
    <n v="1"/>
    <n v="1"/>
  </r>
  <r>
    <m/>
    <m/>
    <x v="1"/>
    <s v="65349971001003"/>
    <n v="-57.46"/>
    <n v="986"/>
    <n v="1"/>
    <n v="1"/>
  </r>
  <r>
    <m/>
    <m/>
    <x v="1"/>
    <s v="65500085001007"/>
    <n v="-78.39"/>
    <n v="1345"/>
    <n v="1"/>
    <n v="1"/>
  </r>
  <r>
    <m/>
    <m/>
    <x v="1"/>
    <s v="65501585001005"/>
    <n v="-81.239999999999995"/>
    <n v="1394"/>
    <n v="1"/>
    <n v="1"/>
  </r>
  <r>
    <m/>
    <m/>
    <x v="1"/>
    <s v="65509711001003"/>
    <n v="-105.14"/>
    <n v="1804"/>
    <n v="1"/>
    <n v="1"/>
  </r>
  <r>
    <m/>
    <m/>
    <x v="1"/>
    <s v="66083905003006"/>
    <n v="-26.46"/>
    <n v="454"/>
    <n v="1"/>
    <n v="1"/>
  </r>
  <r>
    <m/>
    <m/>
    <x v="1"/>
    <s v="66094656001008"/>
    <n v="-139.16999999999999"/>
    <n v="2388"/>
    <n v="1"/>
    <n v="1"/>
  </r>
  <r>
    <m/>
    <m/>
    <x v="1"/>
    <s v="66113464003004"/>
    <n v="-35.9"/>
    <n v="616"/>
    <n v="1"/>
    <n v="1"/>
  </r>
  <r>
    <m/>
    <m/>
    <x v="1"/>
    <s v="66166298003001"/>
    <n v="-130.08000000000001"/>
    <n v="2232"/>
    <n v="1"/>
    <n v="1"/>
  </r>
  <r>
    <m/>
    <m/>
    <x v="1"/>
    <s v="66310272001003"/>
    <n v="-154.97"/>
    <n v="2659"/>
    <n v="1"/>
    <n v="1"/>
  </r>
  <r>
    <m/>
    <m/>
    <x v="1"/>
    <s v="66322585001001"/>
    <n v="-65.099999999999994"/>
    <n v="1117"/>
    <n v="1"/>
    <n v="1"/>
  </r>
  <r>
    <m/>
    <m/>
    <x v="1"/>
    <s v="66358624001009"/>
    <n v="-58.45"/>
    <n v="1003"/>
    <n v="1"/>
    <n v="1"/>
  </r>
  <r>
    <m/>
    <m/>
    <x v="1"/>
    <s v="66401415007001"/>
    <n v="-143.02000000000001"/>
    <n v="2454"/>
    <n v="1"/>
    <n v="1"/>
  </r>
  <r>
    <m/>
    <m/>
    <x v="1"/>
    <s v="66438713001009"/>
    <n v="-52.69"/>
    <n v="904"/>
    <n v="1"/>
    <n v="1"/>
  </r>
  <r>
    <m/>
    <m/>
    <x v="1"/>
    <s v="66455859001001"/>
    <n v="-88.24"/>
    <n v="1514"/>
    <n v="1"/>
    <n v="1"/>
  </r>
  <r>
    <m/>
    <m/>
    <x v="1"/>
    <s v="66753430001001"/>
    <n v="-141.68"/>
    <n v="2431"/>
    <n v="1"/>
    <n v="1"/>
  </r>
  <r>
    <m/>
    <m/>
    <x v="1"/>
    <s v="66777400001001"/>
    <n v="-67.2"/>
    <n v="1153"/>
    <n v="1"/>
    <n v="1"/>
  </r>
  <r>
    <m/>
    <m/>
    <x v="1"/>
    <s v="66793225001004"/>
    <n v="-9.5"/>
    <n v="163"/>
    <n v="1"/>
    <n v="1"/>
  </r>
  <r>
    <m/>
    <m/>
    <x v="1"/>
    <s v="66795559006001"/>
    <n v="-88.53"/>
    <n v="1519"/>
    <n v="1"/>
    <n v="1"/>
  </r>
  <r>
    <m/>
    <m/>
    <x v="1"/>
    <s v="66842259001003"/>
    <n v="-112.42"/>
    <n v="1929"/>
    <n v="1"/>
    <n v="1"/>
  </r>
  <r>
    <m/>
    <m/>
    <x v="1"/>
    <s v="67052660001005"/>
    <n v="-113.3"/>
    <n v="1944"/>
    <n v="1"/>
    <n v="1"/>
  </r>
  <r>
    <m/>
    <m/>
    <x v="1"/>
    <s v="67083125001001"/>
    <n v="-99.6"/>
    <n v="1709"/>
    <n v="1"/>
    <n v="1"/>
  </r>
  <r>
    <m/>
    <m/>
    <x v="1"/>
    <s v="67271689001005"/>
    <n v="-92.32"/>
    <n v="1584"/>
    <n v="1"/>
    <n v="1"/>
  </r>
  <r>
    <m/>
    <m/>
    <x v="1"/>
    <s v="67318625001003"/>
    <n v="-0.28999999999999998"/>
    <n v="5"/>
    <n v="1"/>
    <n v="1"/>
  </r>
  <r>
    <m/>
    <m/>
    <x v="1"/>
    <s v="67504661003001"/>
    <n v="-11.25"/>
    <n v="193"/>
    <n v="1"/>
    <n v="1"/>
  </r>
  <r>
    <m/>
    <m/>
    <x v="1"/>
    <s v="67552852001001"/>
    <n v="-54.43"/>
    <n v="934"/>
    <n v="1"/>
    <n v="1"/>
  </r>
  <r>
    <m/>
    <m/>
    <x v="1"/>
    <s v="67722017001004"/>
    <n v="-67.260000000000005"/>
    <n v="1154"/>
    <n v="1"/>
    <n v="1"/>
  </r>
  <r>
    <m/>
    <m/>
    <x v="1"/>
    <s v="67774002001001"/>
    <n v="-31"/>
    <n v="532"/>
    <n v="1"/>
    <n v="1"/>
  </r>
  <r>
    <m/>
    <m/>
    <x v="1"/>
    <s v="67844298001011"/>
    <n v="-46.86"/>
    <n v="804"/>
    <n v="1"/>
    <n v="1"/>
  </r>
  <r>
    <m/>
    <m/>
    <x v="1"/>
    <s v="67994603001007"/>
    <n v="-161.13999999999999"/>
    <n v="2765"/>
    <n v="1"/>
    <n v="1"/>
  </r>
  <r>
    <m/>
    <m/>
    <x v="1"/>
    <s v="68039419001001"/>
    <n v="-65.510000000000005"/>
    <n v="1124"/>
    <n v="1"/>
    <n v="1"/>
  </r>
  <r>
    <m/>
    <m/>
    <x v="1"/>
    <s v="68468118001001"/>
    <n v="-92.14"/>
    <n v="1581"/>
    <n v="1"/>
    <n v="1"/>
  </r>
  <r>
    <m/>
    <m/>
    <x v="1"/>
    <s v="68497807001010"/>
    <n v="-46.97"/>
    <n v="806"/>
    <n v="1"/>
    <n v="1"/>
  </r>
  <r>
    <m/>
    <m/>
    <x v="1"/>
    <s v="68520131001002"/>
    <n v="-38.64"/>
    <n v="663"/>
    <n v="1"/>
    <n v="1"/>
  </r>
  <r>
    <m/>
    <m/>
    <x v="1"/>
    <s v="68540315001002"/>
    <n v="-114.75"/>
    <n v="1969"/>
    <n v="1"/>
    <n v="1"/>
  </r>
  <r>
    <m/>
    <m/>
    <x v="1"/>
    <s v="68561006001001"/>
    <n v="-125.13"/>
    <n v="2147"/>
    <n v="1"/>
    <n v="1"/>
  </r>
  <r>
    <m/>
    <m/>
    <x v="1"/>
    <s v="68616474001006"/>
    <n v="-73.08"/>
    <n v="1254"/>
    <n v="1"/>
    <n v="1"/>
  </r>
  <r>
    <m/>
    <m/>
    <x v="1"/>
    <s v="68732877001001"/>
    <n v="-56.01"/>
    <n v="961"/>
    <n v="1"/>
    <n v="1"/>
  </r>
  <r>
    <m/>
    <m/>
    <x v="1"/>
    <s v="68747880001001"/>
    <n v="-113.65"/>
    <n v="1950"/>
    <n v="1"/>
    <n v="1"/>
  </r>
  <r>
    <m/>
    <m/>
    <x v="1"/>
    <s v="68769952001001"/>
    <n v="-44.88"/>
    <n v="770"/>
    <n v="1"/>
    <n v="1"/>
  </r>
  <r>
    <m/>
    <m/>
    <x v="1"/>
    <s v="68803965001003"/>
    <n v="-21.21"/>
    <n v="364"/>
    <n v="1"/>
    <n v="1"/>
  </r>
  <r>
    <m/>
    <m/>
    <x v="1"/>
    <s v="68928083001002"/>
    <n v="-188.54"/>
    <n v="3235"/>
    <n v="1"/>
    <n v="1"/>
  </r>
  <r>
    <m/>
    <m/>
    <x v="1"/>
    <s v="69106756001007"/>
    <n v="-136.19999999999999"/>
    <n v="2337"/>
    <n v="1"/>
    <n v="1"/>
  </r>
  <r>
    <m/>
    <m/>
    <x v="1"/>
    <s v="69182870001007"/>
    <n v="-129.38"/>
    <n v="2220"/>
    <n v="1"/>
    <n v="1"/>
  </r>
  <r>
    <m/>
    <m/>
    <x v="1"/>
    <s v="69358446001002"/>
    <n v="-75.010000000000005"/>
    <n v="1287"/>
    <n v="1"/>
    <n v="1"/>
  </r>
  <r>
    <m/>
    <m/>
    <x v="1"/>
    <s v="69499962002001"/>
    <n v="-92.96"/>
    <n v="1595"/>
    <n v="1"/>
    <n v="1"/>
  </r>
  <r>
    <m/>
    <m/>
    <x v="1"/>
    <s v="69512047001001"/>
    <n v="-43.59"/>
    <n v="748"/>
    <n v="1"/>
    <n v="1"/>
  </r>
  <r>
    <m/>
    <m/>
    <x v="1"/>
    <s v="69552058001004"/>
    <n v="-4.66"/>
    <n v="80"/>
    <n v="1"/>
    <n v="1"/>
  </r>
  <r>
    <m/>
    <m/>
    <x v="1"/>
    <s v="69552955001005"/>
    <n v="-76.989999999999995"/>
    <n v="1321"/>
    <n v="1"/>
    <n v="1"/>
  </r>
  <r>
    <m/>
    <m/>
    <x v="1"/>
    <s v="69726976003004"/>
    <n v="-61.19"/>
    <n v="1050"/>
    <n v="1"/>
    <n v="1"/>
  </r>
  <r>
    <m/>
    <m/>
    <x v="1"/>
    <s v="69795270001001"/>
    <n v="-60.67"/>
    <n v="1041"/>
    <n v="1"/>
    <n v="1"/>
  </r>
  <r>
    <m/>
    <m/>
    <x v="1"/>
    <s v="69860520001002"/>
    <n v="-22.55"/>
    <n v="387"/>
    <n v="1"/>
    <n v="1"/>
  </r>
  <r>
    <m/>
    <m/>
    <x v="1"/>
    <s v="69970331001001"/>
    <n v="-18.010000000000002"/>
    <n v="309"/>
    <n v="1"/>
    <n v="1"/>
  </r>
  <r>
    <m/>
    <m/>
    <x v="1"/>
    <s v="69991566001003"/>
    <n v="-129.32"/>
    <n v="2219"/>
    <n v="1"/>
    <n v="1"/>
  </r>
  <r>
    <m/>
    <m/>
    <x v="1"/>
    <s v="70196025004001"/>
    <n v="-69.7"/>
    <n v="1196"/>
    <n v="1"/>
    <n v="1"/>
  </r>
  <r>
    <m/>
    <m/>
    <x v="1"/>
    <s v="70376367001003"/>
    <n v="-78.099999999999994"/>
    <n v="1340"/>
    <n v="1"/>
    <n v="1"/>
  </r>
  <r>
    <m/>
    <m/>
    <x v="1"/>
    <s v="70581364003001"/>
    <n v="-89.58"/>
    <n v="1537"/>
    <n v="1"/>
    <n v="1"/>
  </r>
  <r>
    <m/>
    <m/>
    <x v="1"/>
    <s v="70723544001001"/>
    <n v="-84.21"/>
    <n v="1445"/>
    <n v="1"/>
    <n v="1"/>
  </r>
  <r>
    <m/>
    <m/>
    <x v="1"/>
    <s v="70804751001005"/>
    <n v="-15.44"/>
    <n v="265"/>
    <n v="1"/>
    <n v="1"/>
  </r>
  <r>
    <m/>
    <m/>
    <x v="1"/>
    <s v="71042572002007"/>
    <n v="-0.52"/>
    <n v="9"/>
    <n v="1"/>
    <n v="1"/>
  </r>
  <r>
    <m/>
    <m/>
    <x v="1"/>
    <s v="71196011001009"/>
    <n v="-5.25"/>
    <n v="90"/>
    <n v="1"/>
    <n v="1"/>
  </r>
  <r>
    <m/>
    <m/>
    <x v="1"/>
    <s v="71274320003001"/>
    <n v="-248.56"/>
    <n v="4265"/>
    <n v="1"/>
    <n v="1"/>
  </r>
  <r>
    <m/>
    <m/>
    <x v="1"/>
    <s v="71278625001004"/>
    <n v="-164.58"/>
    <n v="2824"/>
    <n v="1"/>
    <n v="1"/>
  </r>
  <r>
    <m/>
    <m/>
    <x v="1"/>
    <s v="71350439001001"/>
    <n v="-27.16"/>
    <n v="466"/>
    <n v="1"/>
    <n v="1"/>
  </r>
  <r>
    <m/>
    <m/>
    <x v="1"/>
    <s v="71391581006001"/>
    <n v="-103.62"/>
    <n v="1778"/>
    <n v="1"/>
    <n v="1"/>
  </r>
  <r>
    <m/>
    <m/>
    <x v="1"/>
    <s v="71499386001002"/>
    <n v="-89.52"/>
    <n v="1536"/>
    <n v="1"/>
    <n v="1"/>
  </r>
  <r>
    <m/>
    <m/>
    <x v="1"/>
    <s v="71502529002001"/>
    <n v="-18.36"/>
    <n v="315"/>
    <n v="1"/>
    <n v="1"/>
  </r>
  <r>
    <m/>
    <m/>
    <x v="1"/>
    <s v="71634438001003"/>
    <n v="-111.31"/>
    <n v="1910"/>
    <n v="2"/>
    <n v="1"/>
  </r>
  <r>
    <m/>
    <m/>
    <x v="1"/>
    <s v="71769014004002"/>
    <n v="-127.28"/>
    <n v="2184"/>
    <n v="1"/>
    <n v="1"/>
  </r>
  <r>
    <m/>
    <m/>
    <x v="1"/>
    <s v="71997040001001"/>
    <n v="-93.54"/>
    <n v="1605"/>
    <n v="1"/>
    <n v="1"/>
  </r>
  <r>
    <m/>
    <m/>
    <x v="1"/>
    <s v="72146811001001"/>
    <n v="-35.840000000000003"/>
    <n v="615"/>
    <n v="1"/>
    <n v="1"/>
  </r>
  <r>
    <m/>
    <m/>
    <x v="1"/>
    <s v="72209762001002"/>
    <n v="-23.84"/>
    <n v="409"/>
    <n v="1"/>
    <n v="1"/>
  </r>
  <r>
    <m/>
    <m/>
    <x v="1"/>
    <s v="72261639001001"/>
    <n v="-193.37"/>
    <n v="3318"/>
    <n v="1"/>
    <n v="1"/>
  </r>
  <r>
    <m/>
    <m/>
    <x v="1"/>
    <s v="72331837001003"/>
    <n v="-18.13"/>
    <n v="311"/>
    <n v="1"/>
    <n v="1"/>
  </r>
  <r>
    <m/>
    <m/>
    <x v="1"/>
    <s v="72395550003001"/>
    <n v="-69.88"/>
    <n v="1199"/>
    <n v="1"/>
    <n v="1"/>
  </r>
  <r>
    <m/>
    <m/>
    <x v="1"/>
    <s v="72521223001005"/>
    <n v="-17.43"/>
    <n v="299"/>
    <n v="1"/>
    <n v="1"/>
  </r>
  <r>
    <m/>
    <m/>
    <x v="1"/>
    <s v="72621276001001"/>
    <n v="-34.21"/>
    <n v="587"/>
    <n v="1"/>
    <n v="1"/>
  </r>
  <r>
    <m/>
    <m/>
    <x v="1"/>
    <s v="72648295001001"/>
    <n v="-55.66"/>
    <n v="955"/>
    <n v="1"/>
    <n v="1"/>
  </r>
  <r>
    <m/>
    <m/>
    <x v="1"/>
    <s v="72706959001001"/>
    <n v="-61.02"/>
    <n v="1047"/>
    <n v="1"/>
    <n v="1"/>
  </r>
  <r>
    <m/>
    <m/>
    <x v="1"/>
    <s v="72814767001001"/>
    <n v="-137.66"/>
    <n v="2362"/>
    <n v="1"/>
    <n v="1"/>
  </r>
  <r>
    <m/>
    <m/>
    <x v="1"/>
    <s v="72998390003001"/>
    <n v="-124.02"/>
    <n v="2128"/>
    <n v="1"/>
    <n v="1"/>
  </r>
  <r>
    <m/>
    <m/>
    <x v="1"/>
    <s v="73073983020001"/>
    <n v="-10.32"/>
    <n v="177"/>
    <n v="1"/>
    <n v="1"/>
  </r>
  <r>
    <m/>
    <m/>
    <x v="1"/>
    <s v="73088070001002"/>
    <n v="-34.21"/>
    <n v="587"/>
    <n v="1"/>
    <n v="1"/>
  </r>
  <r>
    <m/>
    <m/>
    <x v="1"/>
    <s v="73099039001001"/>
    <n v="-41.85"/>
    <n v="718"/>
    <n v="1"/>
    <n v="1"/>
  </r>
  <r>
    <m/>
    <m/>
    <x v="1"/>
    <s v="73114048001002"/>
    <n v="-109.62"/>
    <n v="1881"/>
    <n v="1"/>
    <n v="1"/>
  </r>
  <r>
    <m/>
    <m/>
    <x v="1"/>
    <s v="73173555001001"/>
    <n v="-126.35"/>
    <n v="2168"/>
    <n v="1"/>
    <n v="1"/>
  </r>
  <r>
    <m/>
    <m/>
    <x v="1"/>
    <s v="73206885003006"/>
    <n v="-20.399999999999999"/>
    <n v="350"/>
    <n v="1"/>
    <n v="1"/>
  </r>
  <r>
    <m/>
    <m/>
    <x v="1"/>
    <s v="73258916001001"/>
    <n v="-121.98"/>
    <n v="2093"/>
    <n v="1"/>
    <n v="1"/>
  </r>
  <r>
    <m/>
    <m/>
    <x v="1"/>
    <s v="73287265003003"/>
    <n v="-1.05"/>
    <n v="18"/>
    <n v="1"/>
    <n v="1"/>
  </r>
  <r>
    <m/>
    <m/>
    <x v="1"/>
    <s v="73355098003007"/>
    <n v="-64.17"/>
    <n v="1101"/>
    <n v="1"/>
    <n v="1"/>
  </r>
  <r>
    <m/>
    <m/>
    <x v="1"/>
    <s v="73416515001001"/>
    <n v="-48.43"/>
    <n v="831"/>
    <n v="1"/>
    <n v="1"/>
  </r>
  <r>
    <m/>
    <m/>
    <x v="1"/>
    <s v="73558422001001"/>
    <n v="-39.11"/>
    <n v="671"/>
    <n v="1"/>
    <n v="1"/>
  </r>
  <r>
    <m/>
    <m/>
    <x v="1"/>
    <s v="73571632001001"/>
    <n v="-84.86"/>
    <n v="1456"/>
    <n v="1"/>
    <n v="1"/>
  </r>
  <r>
    <m/>
    <m/>
    <x v="1"/>
    <s v="73774640001002"/>
    <n v="-91.73"/>
    <n v="1574"/>
    <n v="1"/>
    <n v="1"/>
  </r>
  <r>
    <m/>
    <m/>
    <x v="1"/>
    <s v="73788624001001"/>
    <n v="-5.59"/>
    <n v="96"/>
    <n v="1"/>
    <n v="1"/>
  </r>
  <r>
    <m/>
    <m/>
    <x v="1"/>
    <s v="73873764003003"/>
    <n v="-21.8"/>
    <n v="374"/>
    <n v="1"/>
    <n v="1"/>
  </r>
  <r>
    <m/>
    <m/>
    <x v="1"/>
    <s v="73935992001002"/>
    <n v="-175.42"/>
    <n v="3010"/>
    <n v="1"/>
    <n v="1"/>
  </r>
  <r>
    <m/>
    <m/>
    <x v="1"/>
    <s v="74022126002001"/>
    <n v="-60.26"/>
    <n v="1034"/>
    <n v="1"/>
    <n v="1"/>
  </r>
  <r>
    <m/>
    <m/>
    <x v="1"/>
    <s v="74044690001001"/>
    <n v="-25.82"/>
    <n v="443"/>
    <n v="1"/>
    <n v="1"/>
  </r>
  <r>
    <m/>
    <m/>
    <x v="1"/>
    <s v="74055933001001"/>
    <n v="-212.72"/>
    <n v="3650"/>
    <n v="1"/>
    <n v="1"/>
  </r>
  <r>
    <m/>
    <m/>
    <x v="1"/>
    <s v="74076340001005"/>
    <n v="-92.49"/>
    <n v="1587"/>
    <n v="1"/>
    <n v="1"/>
  </r>
  <r>
    <m/>
    <m/>
    <x v="1"/>
    <s v="74101362001001"/>
    <n v="-80.25"/>
    <n v="1377"/>
    <n v="1"/>
    <n v="1"/>
  </r>
  <r>
    <m/>
    <m/>
    <x v="1"/>
    <s v="74228888001001"/>
    <n v="-35.380000000000003"/>
    <n v="607"/>
    <n v="1"/>
    <n v="1"/>
  </r>
  <r>
    <m/>
    <m/>
    <x v="1"/>
    <s v="74369035001007"/>
    <n v="-65.16"/>
    <n v="1118"/>
    <n v="1"/>
    <n v="1"/>
  </r>
  <r>
    <m/>
    <m/>
    <x v="1"/>
    <s v="74380477001003"/>
    <n v="-50.47"/>
    <n v="866"/>
    <n v="1"/>
    <n v="1"/>
  </r>
  <r>
    <m/>
    <m/>
    <x v="1"/>
    <s v="74440719001001"/>
    <n v="-28.85"/>
    <n v="495"/>
    <n v="1"/>
    <n v="1"/>
  </r>
  <r>
    <m/>
    <m/>
    <x v="1"/>
    <s v="74467874001005"/>
    <n v="-43.07"/>
    <n v="739"/>
    <n v="1"/>
    <n v="1"/>
  </r>
  <r>
    <m/>
    <m/>
    <x v="1"/>
    <s v="74475975001005"/>
    <n v="-48.96"/>
    <n v="840"/>
    <n v="1"/>
    <n v="1"/>
  </r>
  <r>
    <m/>
    <m/>
    <x v="1"/>
    <s v="74529868001012"/>
    <n v="-101.41"/>
    <n v="1740"/>
    <n v="1"/>
    <n v="1"/>
  </r>
  <r>
    <m/>
    <m/>
    <x v="1"/>
    <s v="74765201001002"/>
    <n v="-5.77"/>
    <n v="99"/>
    <n v="1"/>
    <n v="1"/>
  </r>
  <r>
    <m/>
    <m/>
    <x v="1"/>
    <s v="74773751003001"/>
    <n v="-98.32"/>
    <n v="1687"/>
    <n v="1"/>
    <n v="1"/>
  </r>
  <r>
    <m/>
    <m/>
    <x v="1"/>
    <s v="74802804001001"/>
    <n v="-96.86"/>
    <n v="1662"/>
    <n v="1"/>
    <n v="1"/>
  </r>
  <r>
    <m/>
    <m/>
    <x v="1"/>
    <s v="74881596001006"/>
    <n v="-26.17"/>
    <n v="449"/>
    <n v="1"/>
    <n v="1"/>
  </r>
  <r>
    <m/>
    <m/>
    <x v="1"/>
    <s v="74897585001003"/>
    <n v="-57.58"/>
    <n v="988"/>
    <n v="1"/>
    <n v="1"/>
  </r>
  <r>
    <m/>
    <m/>
    <x v="1"/>
    <s v="74921730001003"/>
    <n v="-51.46"/>
    <n v="883"/>
    <n v="1"/>
    <n v="1"/>
  </r>
  <r>
    <m/>
    <m/>
    <x v="1"/>
    <s v="74925966001001"/>
    <n v="-83.05"/>
    <n v="1425"/>
    <n v="1"/>
    <n v="1"/>
  </r>
  <r>
    <m/>
    <m/>
    <x v="1"/>
    <s v="74965108005005"/>
    <n v="-152.75"/>
    <n v="2621"/>
    <n v="1"/>
    <n v="1"/>
  </r>
  <r>
    <m/>
    <m/>
    <x v="1"/>
    <s v="75053878001002"/>
    <n v="-49.48"/>
    <n v="849"/>
    <n v="1"/>
    <n v="1"/>
  </r>
  <r>
    <m/>
    <m/>
    <x v="1"/>
    <s v="75076089001006"/>
    <n v="-39.11"/>
    <n v="671"/>
    <n v="1"/>
    <n v="1"/>
  </r>
  <r>
    <m/>
    <m/>
    <x v="1"/>
    <s v="75083574001001"/>
    <n v="-63.7"/>
    <n v="1093"/>
    <n v="1"/>
    <n v="1"/>
  </r>
  <r>
    <m/>
    <m/>
    <x v="1"/>
    <s v="75200298001001"/>
    <n v="-102.69"/>
    <n v="1762"/>
    <n v="1"/>
    <n v="1"/>
  </r>
  <r>
    <m/>
    <m/>
    <x v="1"/>
    <s v="75470988001001"/>
    <n v="-65.16"/>
    <n v="1118"/>
    <n v="1"/>
    <n v="1"/>
  </r>
  <r>
    <m/>
    <m/>
    <x v="1"/>
    <s v="75518241003003"/>
    <n v="-9.15"/>
    <n v="157"/>
    <n v="1"/>
    <n v="1"/>
  </r>
  <r>
    <m/>
    <m/>
    <x v="1"/>
    <s v="75599421001001"/>
    <n v="-78.33"/>
    <n v="1344"/>
    <n v="1"/>
    <n v="1"/>
  </r>
  <r>
    <m/>
    <m/>
    <x v="1"/>
    <s v="75764971002001"/>
    <n v="-15.56"/>
    <n v="267"/>
    <n v="1"/>
    <n v="1"/>
  </r>
  <r>
    <m/>
    <m/>
    <x v="1"/>
    <s v="75854409001001"/>
    <n v="-45.4"/>
    <n v="779"/>
    <n v="1"/>
    <n v="1"/>
  </r>
  <r>
    <m/>
    <m/>
    <x v="1"/>
    <s v="75878216001003"/>
    <n v="-80.31"/>
    <n v="1378"/>
    <n v="1"/>
    <n v="1"/>
  </r>
  <r>
    <m/>
    <m/>
    <x v="1"/>
    <s v="76033198001011"/>
    <n v="-78.44"/>
    <n v="1346"/>
    <n v="1"/>
    <n v="1"/>
  </r>
  <r>
    <m/>
    <m/>
    <x v="1"/>
    <s v="76068750001001"/>
    <n v="-55.6"/>
    <n v="954"/>
    <n v="1"/>
    <n v="1"/>
  </r>
  <r>
    <m/>
    <m/>
    <x v="1"/>
    <s v="76090392001001"/>
    <n v="-46.51"/>
    <n v="798"/>
    <n v="1"/>
    <n v="1"/>
  </r>
  <r>
    <m/>
    <m/>
    <x v="1"/>
    <s v="76140288001007"/>
    <n v="-43.77"/>
    <n v="751"/>
    <n v="1"/>
    <n v="1"/>
  </r>
  <r>
    <m/>
    <m/>
    <x v="1"/>
    <s v="76156300001003"/>
    <n v="-178.34"/>
    <n v="3060"/>
    <n v="1"/>
    <n v="1"/>
  </r>
  <r>
    <m/>
    <m/>
    <x v="1"/>
    <s v="76165932001003"/>
    <n v="-7.17"/>
    <n v="123"/>
    <n v="1"/>
    <n v="1"/>
  </r>
  <r>
    <m/>
    <m/>
    <x v="1"/>
    <s v="76214834004001"/>
    <n v="-94.41"/>
    <n v="1620"/>
    <n v="1"/>
    <n v="1"/>
  </r>
  <r>
    <m/>
    <m/>
    <x v="1"/>
    <s v="76557416001001"/>
    <n v="-137.02000000000001"/>
    <n v="2351"/>
    <n v="1"/>
    <n v="1"/>
  </r>
  <r>
    <m/>
    <m/>
    <x v="1"/>
    <s v="76563942002004"/>
    <n v="-112.31"/>
    <n v="1927"/>
    <n v="1"/>
    <n v="1"/>
  </r>
  <r>
    <m/>
    <m/>
    <x v="1"/>
    <s v="76629522001015"/>
    <n v="-94.01"/>
    <n v="1613"/>
    <n v="1"/>
    <n v="1"/>
  </r>
  <r>
    <m/>
    <m/>
    <x v="1"/>
    <s v="76645220002001"/>
    <n v="-114.35"/>
    <n v="1962"/>
    <n v="1"/>
    <n v="1"/>
  </r>
  <r>
    <m/>
    <m/>
    <x v="1"/>
    <s v="76681576002009"/>
    <n v="-36.659999999999997"/>
    <n v="629"/>
    <n v="1"/>
    <n v="1"/>
  </r>
  <r>
    <m/>
    <m/>
    <x v="1"/>
    <s v="76686982001003"/>
    <n v="-52.34"/>
    <n v="898"/>
    <n v="1"/>
    <n v="1"/>
  </r>
  <r>
    <m/>
    <m/>
    <x v="1"/>
    <s v="76757615001002"/>
    <n v="-20.16"/>
    <n v="346"/>
    <n v="1"/>
    <n v="1"/>
  </r>
  <r>
    <m/>
    <m/>
    <x v="1"/>
    <s v="76821093007001"/>
    <n v="-131.65"/>
    <n v="2259"/>
    <n v="1"/>
    <n v="1"/>
  </r>
  <r>
    <m/>
    <m/>
    <x v="1"/>
    <s v="76842746002015"/>
    <n v="-141.15"/>
    <n v="2422"/>
    <n v="1"/>
    <n v="1"/>
  </r>
  <r>
    <m/>
    <m/>
    <x v="1"/>
    <s v="76903196001004"/>
    <n v="-114"/>
    <n v="1956"/>
    <n v="1"/>
    <n v="1"/>
  </r>
  <r>
    <m/>
    <m/>
    <x v="1"/>
    <s v="77028105003004"/>
    <n v="-65.86"/>
    <n v="1130"/>
    <n v="1"/>
    <n v="1"/>
  </r>
  <r>
    <m/>
    <m/>
    <x v="1"/>
    <s v="77168759001001"/>
    <n v="-107"/>
    <n v="1836"/>
    <n v="1"/>
    <n v="1"/>
  </r>
  <r>
    <m/>
    <m/>
    <x v="1"/>
    <s v="77330718001007"/>
    <n v="-100.3"/>
    <n v="1721"/>
    <n v="1"/>
    <n v="1"/>
  </r>
  <r>
    <m/>
    <m/>
    <x v="1"/>
    <s v="77524629001001"/>
    <n v="-40.619999999999997"/>
    <n v="697"/>
    <n v="1"/>
    <n v="1"/>
  </r>
  <r>
    <m/>
    <m/>
    <x v="1"/>
    <s v="77539706002006"/>
    <n v="-11.13"/>
    <n v="191"/>
    <n v="1"/>
    <n v="1"/>
  </r>
  <r>
    <m/>
    <m/>
    <x v="1"/>
    <s v="77650352001001"/>
    <n v="-40.39"/>
    <n v="693"/>
    <n v="1"/>
    <n v="1"/>
  </r>
  <r>
    <m/>
    <m/>
    <x v="1"/>
    <s v="77681333001007"/>
    <n v="-84.62"/>
    <n v="1452"/>
    <n v="1"/>
    <n v="1"/>
  </r>
  <r>
    <m/>
    <m/>
    <x v="1"/>
    <s v="77810743001005"/>
    <n v="-99.72"/>
    <n v="1711"/>
    <n v="1"/>
    <n v="1"/>
  </r>
  <r>
    <m/>
    <m/>
    <x v="1"/>
    <s v="77834930001003"/>
    <n v="-64.22"/>
    <n v="1102"/>
    <n v="1"/>
    <n v="1"/>
  </r>
  <r>
    <m/>
    <m/>
    <x v="1"/>
    <s v="78058251001001"/>
    <n v="-365.19"/>
    <n v="6266"/>
    <n v="2"/>
    <n v="1"/>
  </r>
  <r>
    <m/>
    <m/>
    <x v="1"/>
    <s v="78231851001001"/>
    <n v="-47.03"/>
    <n v="807"/>
    <n v="1"/>
    <n v="1"/>
  </r>
  <r>
    <m/>
    <m/>
    <x v="1"/>
    <s v="78378527001001"/>
    <n v="-59.68"/>
    <n v="1024"/>
    <n v="1"/>
    <n v="1"/>
  </r>
  <r>
    <m/>
    <m/>
    <x v="1"/>
    <s v="78465175004001"/>
    <n v="-94.94"/>
    <n v="1629"/>
    <n v="1"/>
    <n v="1"/>
  </r>
  <r>
    <m/>
    <m/>
    <x v="1"/>
    <s v="78487633001001"/>
    <n v="-98.49"/>
    <n v="1690"/>
    <n v="1"/>
    <n v="1"/>
  </r>
  <r>
    <m/>
    <m/>
    <x v="1"/>
    <s v="78695215001003"/>
    <n v="-64.05"/>
    <n v="1099"/>
    <n v="1"/>
    <n v="1"/>
  </r>
  <r>
    <m/>
    <m/>
    <x v="1"/>
    <s v="79030418001001"/>
    <n v="-99.78"/>
    <n v="1712"/>
    <n v="1"/>
    <n v="1"/>
  </r>
  <r>
    <m/>
    <m/>
    <x v="1"/>
    <s v="79032616001001"/>
    <n v="-7.98"/>
    <n v="137"/>
    <n v="1"/>
    <n v="1"/>
  </r>
  <r>
    <m/>
    <m/>
    <x v="1"/>
    <s v="79041940001001"/>
    <n v="-22.85"/>
    <n v="392"/>
    <n v="1"/>
    <n v="1"/>
  </r>
  <r>
    <m/>
    <m/>
    <x v="1"/>
    <s v="79143940001001"/>
    <n v="-28.62"/>
    <n v="491"/>
    <n v="1"/>
    <n v="1"/>
  </r>
  <r>
    <m/>
    <m/>
    <x v="1"/>
    <s v="79205630002009"/>
    <n v="-96.28"/>
    <n v="1652"/>
    <n v="1"/>
    <n v="1"/>
  </r>
  <r>
    <m/>
    <m/>
    <x v="1"/>
    <s v="79229022001003"/>
    <n v="-91.21"/>
    <n v="1565"/>
    <n v="1"/>
    <n v="1"/>
  </r>
  <r>
    <m/>
    <m/>
    <x v="1"/>
    <s v="79304132001001"/>
    <n v="-0.57999999999999996"/>
    <n v="10"/>
    <n v="1"/>
    <n v="1"/>
  </r>
  <r>
    <m/>
    <m/>
    <x v="1"/>
    <s v="79474986003003"/>
    <n v="-95.05"/>
    <n v="1631"/>
    <n v="1"/>
    <n v="1"/>
  </r>
  <r>
    <m/>
    <m/>
    <x v="1"/>
    <s v="79790907001005"/>
    <n v="-73.55"/>
    <n v="1262"/>
    <n v="1"/>
    <n v="1"/>
  </r>
  <r>
    <m/>
    <m/>
    <x v="1"/>
    <s v="79804496001003"/>
    <n v="-20.11"/>
    <n v="345"/>
    <n v="1"/>
    <n v="1"/>
  </r>
  <r>
    <m/>
    <m/>
    <x v="1"/>
    <s v="79955342001001"/>
    <n v="-111.2"/>
    <n v="1908"/>
    <n v="1"/>
    <n v="1"/>
  </r>
  <r>
    <m/>
    <m/>
    <x v="1"/>
    <s v="79985097001001"/>
    <n v="-58.16"/>
    <n v="998"/>
    <n v="1"/>
    <n v="1"/>
  </r>
  <r>
    <m/>
    <m/>
    <x v="1"/>
    <s v="80157270001001"/>
    <n v="-57.87"/>
    <n v="993"/>
    <n v="1"/>
    <n v="1"/>
  </r>
  <r>
    <m/>
    <m/>
    <x v="1"/>
    <s v="80214838001001"/>
    <n v="-128.62"/>
    <n v="2207"/>
    <n v="1"/>
    <n v="1"/>
  </r>
  <r>
    <m/>
    <m/>
    <x v="1"/>
    <s v="80220416001005"/>
    <n v="-133.87"/>
    <n v="2297"/>
    <n v="1"/>
    <n v="1"/>
  </r>
  <r>
    <m/>
    <m/>
    <x v="1"/>
    <s v="80461014001001"/>
    <n v="-24.94"/>
    <n v="428"/>
    <n v="1"/>
    <n v="1"/>
  </r>
  <r>
    <m/>
    <m/>
    <x v="1"/>
    <s v="80534796005001"/>
    <n v="-138.01"/>
    <n v="2368"/>
    <n v="1"/>
    <n v="1"/>
  </r>
  <r>
    <m/>
    <m/>
    <x v="1"/>
    <s v="80538341001002"/>
    <n v="-144.30000000000001"/>
    <n v="2476"/>
    <n v="1"/>
    <n v="1"/>
  </r>
  <r>
    <m/>
    <m/>
    <x v="1"/>
    <s v="80564935001001"/>
    <n v="-14.1"/>
    <n v="242"/>
    <n v="1"/>
    <n v="1"/>
  </r>
  <r>
    <m/>
    <m/>
    <x v="1"/>
    <s v="80635643001001"/>
    <n v="-67.2"/>
    <n v="1153"/>
    <n v="1"/>
    <n v="1"/>
  </r>
  <r>
    <m/>
    <m/>
    <x v="1"/>
    <s v="80668896002003"/>
    <n v="-32.700000000000003"/>
    <n v="561"/>
    <n v="1"/>
    <n v="1"/>
  </r>
  <r>
    <m/>
    <m/>
    <x v="1"/>
    <s v="80921920002005"/>
    <n v="-147.56"/>
    <n v="2532"/>
    <n v="1"/>
    <n v="1"/>
  </r>
  <r>
    <m/>
    <m/>
    <x v="1"/>
    <s v="80926951003001"/>
    <n v="-75.760000000000005"/>
    <n v="1300"/>
    <n v="1"/>
    <n v="1"/>
  </r>
  <r>
    <m/>
    <m/>
    <x v="1"/>
    <s v="81005861001001"/>
    <n v="-40.270000000000003"/>
    <n v="691"/>
    <n v="1"/>
    <n v="1"/>
  </r>
  <r>
    <m/>
    <m/>
    <x v="1"/>
    <s v="81092601001005"/>
    <n v="-139.41"/>
    <n v="2392"/>
    <n v="1"/>
    <n v="1"/>
  </r>
  <r>
    <m/>
    <m/>
    <x v="1"/>
    <s v="81099232001001"/>
    <n v="-12.24"/>
    <n v="210"/>
    <n v="1"/>
    <n v="1"/>
  </r>
  <r>
    <m/>
    <m/>
    <x v="1"/>
    <s v="81113647002001"/>
    <n v="-76.17"/>
    <n v="1307"/>
    <n v="1"/>
    <n v="1"/>
  </r>
  <r>
    <m/>
    <m/>
    <x v="1"/>
    <s v="81276857002001"/>
    <n v="-109.92"/>
    <n v="1886"/>
    <n v="1"/>
    <n v="1"/>
  </r>
  <r>
    <m/>
    <m/>
    <x v="1"/>
    <s v="81390168001001"/>
    <n v="-49.07"/>
    <n v="842"/>
    <n v="1"/>
    <n v="1"/>
  </r>
  <r>
    <m/>
    <m/>
    <x v="1"/>
    <s v="81445174003001"/>
    <n v="-88.12"/>
    <n v="1512"/>
    <n v="1"/>
    <n v="1"/>
  </r>
  <r>
    <m/>
    <m/>
    <x v="1"/>
    <s v="81498585001005"/>
    <n v="-28.38"/>
    <n v="487"/>
    <n v="1"/>
    <n v="1"/>
  </r>
  <r>
    <m/>
    <m/>
    <x v="1"/>
    <s v="81645123001001"/>
    <n v="-208.18"/>
    <n v="3572"/>
    <n v="1"/>
    <n v="1"/>
  </r>
  <r>
    <m/>
    <m/>
    <x v="1"/>
    <s v="81725915001001"/>
    <n v="-264.18"/>
    <n v="4533"/>
    <n v="1"/>
    <n v="1"/>
  </r>
  <r>
    <m/>
    <m/>
    <x v="1"/>
    <s v="81762889001004"/>
    <n v="-49.25"/>
    <n v="845"/>
    <n v="1"/>
    <n v="1"/>
  </r>
  <r>
    <m/>
    <m/>
    <x v="1"/>
    <s v="81796976001002"/>
    <n v="-23.2"/>
    <n v="398"/>
    <n v="1"/>
    <n v="1"/>
  </r>
  <r>
    <m/>
    <m/>
    <x v="1"/>
    <s v="81908653002007"/>
    <n v="-98.73"/>
    <n v="1694"/>
    <n v="1"/>
    <n v="1"/>
  </r>
  <r>
    <m/>
    <m/>
    <x v="1"/>
    <s v="81917999001003"/>
    <n v="-85.5"/>
    <n v="1467"/>
    <n v="1"/>
    <n v="1"/>
  </r>
  <r>
    <m/>
    <m/>
    <x v="1"/>
    <s v="81956135001004"/>
    <n v="-87.94"/>
    <n v="1509"/>
    <n v="1"/>
    <n v="1"/>
  </r>
  <r>
    <m/>
    <m/>
    <x v="1"/>
    <s v="82153211002003"/>
    <n v="-81.94"/>
    <n v="1406"/>
    <n v="1"/>
    <n v="1"/>
  </r>
  <r>
    <m/>
    <m/>
    <x v="1"/>
    <s v="82216737013001"/>
    <n v="-128.57"/>
    <n v="2206"/>
    <n v="1"/>
    <n v="1"/>
  </r>
  <r>
    <m/>
    <m/>
    <x v="1"/>
    <s v="82225464001008"/>
    <n v="-122.33"/>
    <n v="2099"/>
    <n v="1"/>
    <n v="1"/>
  </r>
  <r>
    <m/>
    <m/>
    <x v="1"/>
    <s v="82233435001002"/>
    <n v="-59.33"/>
    <n v="1018"/>
    <n v="1"/>
    <n v="1"/>
  </r>
  <r>
    <m/>
    <m/>
    <x v="1"/>
    <s v="82239948003003"/>
    <n v="-89.28"/>
    <n v="1532"/>
    <n v="1"/>
    <n v="1"/>
  </r>
  <r>
    <m/>
    <m/>
    <x v="1"/>
    <s v="82307326003001"/>
    <n v="-94.06"/>
    <n v="1614"/>
    <n v="1"/>
    <n v="1"/>
  </r>
  <r>
    <m/>
    <m/>
    <x v="1"/>
    <s v="82551362001003"/>
    <n v="-25.53"/>
    <n v="438"/>
    <n v="1"/>
    <n v="1"/>
  </r>
  <r>
    <m/>
    <m/>
    <x v="1"/>
    <s v="82713739001005"/>
    <n v="-35.14"/>
    <n v="603"/>
    <n v="1"/>
    <n v="1"/>
  </r>
  <r>
    <m/>
    <m/>
    <x v="1"/>
    <s v="82980447003001"/>
    <n v="-50.88"/>
    <n v="873"/>
    <n v="1"/>
    <n v="1"/>
  </r>
  <r>
    <m/>
    <m/>
    <x v="1"/>
    <s v="83053405001004"/>
    <n v="-4.2"/>
    <n v="72"/>
    <n v="1"/>
    <n v="1"/>
  </r>
  <r>
    <m/>
    <m/>
    <x v="1"/>
    <s v="83061885001003"/>
    <n v="-79.73"/>
    <n v="1368"/>
    <n v="1"/>
    <n v="1"/>
  </r>
  <r>
    <m/>
    <m/>
    <x v="1"/>
    <s v="83216854001001"/>
    <n v="-96.74"/>
    <n v="1660"/>
    <n v="1"/>
    <n v="1"/>
  </r>
  <r>
    <m/>
    <m/>
    <x v="1"/>
    <s v="83341239005003"/>
    <n v="-21.04"/>
    <n v="361"/>
    <n v="1"/>
    <n v="1"/>
  </r>
  <r>
    <m/>
    <m/>
    <x v="1"/>
    <s v="83345985001001"/>
    <n v="-20.51"/>
    <n v="352"/>
    <n v="1"/>
    <n v="1"/>
  </r>
  <r>
    <m/>
    <m/>
    <x v="1"/>
    <s v="83389146001010"/>
    <n v="-138.71"/>
    <n v="2380"/>
    <n v="1"/>
    <n v="1"/>
  </r>
  <r>
    <m/>
    <m/>
    <x v="1"/>
    <s v="83416228001001"/>
    <n v="-243.32"/>
    <n v="4175"/>
    <n v="1"/>
    <n v="1"/>
  </r>
  <r>
    <m/>
    <m/>
    <x v="1"/>
    <s v="83464000001003"/>
    <n v="-90.63"/>
    <n v="1555"/>
    <n v="1"/>
    <n v="1"/>
  </r>
  <r>
    <m/>
    <m/>
    <x v="1"/>
    <s v="83489581005001"/>
    <n v="-69.7"/>
    <n v="1196"/>
    <n v="1"/>
    <n v="1"/>
  </r>
  <r>
    <m/>
    <m/>
    <x v="1"/>
    <s v="83512091001003"/>
    <n v="-7.29"/>
    <n v="125"/>
    <n v="1"/>
    <n v="1"/>
  </r>
  <r>
    <m/>
    <m/>
    <x v="1"/>
    <s v="83743311001001"/>
    <n v="-215.29"/>
    <n v="3694"/>
    <n v="1"/>
    <n v="1"/>
  </r>
  <r>
    <m/>
    <m/>
    <x v="1"/>
    <s v="83801335001005"/>
    <n v="-169.42"/>
    <n v="2907"/>
    <n v="1"/>
    <n v="1"/>
  </r>
  <r>
    <m/>
    <m/>
    <x v="1"/>
    <s v="83855211001006"/>
    <n v="-41.09"/>
    <n v="705"/>
    <n v="1"/>
    <n v="1"/>
  </r>
  <r>
    <m/>
    <m/>
    <x v="1"/>
    <s v="83940883001001"/>
    <n v="-95.93"/>
    <n v="1646"/>
    <n v="1"/>
    <n v="1"/>
  </r>
  <r>
    <m/>
    <m/>
    <x v="1"/>
    <s v="84033106001003"/>
    <n v="-14.57"/>
    <n v="250"/>
    <n v="1"/>
    <n v="1"/>
  </r>
  <r>
    <m/>
    <m/>
    <x v="1"/>
    <s v="84108570003004"/>
    <n v="-35.43"/>
    <n v="608"/>
    <n v="1"/>
    <n v="1"/>
  </r>
  <r>
    <m/>
    <m/>
    <x v="1"/>
    <s v="84749539001001"/>
    <n v="-65.739999999999995"/>
    <n v="1128"/>
    <n v="1"/>
    <n v="1"/>
  </r>
  <r>
    <m/>
    <m/>
    <x v="1"/>
    <s v="84877125001007"/>
    <n v="-2.62"/>
    <n v="45"/>
    <n v="1"/>
    <n v="1"/>
  </r>
  <r>
    <m/>
    <m/>
    <x v="1"/>
    <s v="84968906001001"/>
    <n v="-9.09"/>
    <n v="156"/>
    <n v="1"/>
    <n v="1"/>
  </r>
  <r>
    <m/>
    <m/>
    <x v="1"/>
    <s v="85004567002010"/>
    <n v="-82.52"/>
    <n v="1416"/>
    <n v="1"/>
    <n v="1"/>
  </r>
  <r>
    <m/>
    <m/>
    <x v="1"/>
    <s v="85036880003001"/>
    <n v="-19.52"/>
    <n v="335"/>
    <n v="1"/>
    <n v="1"/>
  </r>
  <r>
    <m/>
    <m/>
    <x v="1"/>
    <s v="85194732001005"/>
    <n v="-50.18"/>
    <n v="861"/>
    <n v="1"/>
    <n v="1"/>
  </r>
  <r>
    <m/>
    <m/>
    <x v="1"/>
    <s v="85242909001001"/>
    <n v="-55.07"/>
    <n v="945"/>
    <n v="1"/>
    <n v="1"/>
  </r>
  <r>
    <m/>
    <m/>
    <x v="1"/>
    <s v="85292110001006"/>
    <n v="-72.849999999999994"/>
    <n v="1250"/>
    <n v="1"/>
    <n v="1"/>
  </r>
  <r>
    <m/>
    <m/>
    <x v="1"/>
    <s v="85307977001005"/>
    <n v="-119.18"/>
    <n v="2045"/>
    <n v="1"/>
    <n v="1"/>
  </r>
  <r>
    <m/>
    <m/>
    <x v="1"/>
    <s v="85360992003005"/>
    <n v="-146.91999999999999"/>
    <n v="2521"/>
    <n v="1"/>
    <n v="1"/>
  </r>
  <r>
    <m/>
    <m/>
    <x v="1"/>
    <s v="85767727002001"/>
    <n v="-132.65"/>
    <n v="2276"/>
    <n v="1"/>
    <n v="1"/>
  </r>
  <r>
    <m/>
    <m/>
    <x v="1"/>
    <s v="85980006001001"/>
    <n v="-82.76"/>
    <n v="1420"/>
    <n v="1"/>
    <n v="1"/>
  </r>
  <r>
    <m/>
    <m/>
    <x v="1"/>
    <s v="86028893001003"/>
    <n v="-49.07"/>
    <n v="842"/>
    <n v="1"/>
    <n v="1"/>
  </r>
  <r>
    <m/>
    <m/>
    <x v="1"/>
    <s v="86039754003001"/>
    <n v="-15.44"/>
    <n v="265"/>
    <n v="1"/>
    <n v="1"/>
  </r>
  <r>
    <m/>
    <m/>
    <x v="1"/>
    <s v="86090695001001"/>
    <n v="-58.69"/>
    <n v="1007"/>
    <n v="1"/>
    <n v="1"/>
  </r>
  <r>
    <m/>
    <m/>
    <x v="1"/>
    <s v="86390002001003"/>
    <n v="-68.3"/>
    <n v="1172"/>
    <n v="1"/>
    <n v="1"/>
  </r>
  <r>
    <m/>
    <m/>
    <x v="1"/>
    <s v="86397266002003"/>
    <n v="-41.15"/>
    <n v="706"/>
    <n v="1"/>
    <n v="1"/>
  </r>
  <r>
    <m/>
    <m/>
    <x v="1"/>
    <s v="86415123001005"/>
    <n v="-138.71"/>
    <n v="2380"/>
    <n v="1"/>
    <n v="1"/>
  </r>
  <r>
    <m/>
    <m/>
    <x v="1"/>
    <s v="86437804001005"/>
    <n v="-35.03"/>
    <n v="601"/>
    <n v="1"/>
    <n v="1"/>
  </r>
  <r>
    <m/>
    <m/>
    <x v="1"/>
    <s v="86557042001001"/>
    <n v="-176.06"/>
    <n v="3021"/>
    <n v="1"/>
    <n v="1"/>
  </r>
  <r>
    <m/>
    <m/>
    <x v="1"/>
    <s v="86725672001005"/>
    <n v="-57.58"/>
    <n v="988"/>
    <n v="1"/>
    <n v="1"/>
  </r>
  <r>
    <m/>
    <m/>
    <x v="1"/>
    <s v="86736871001001"/>
    <n v="-103.04"/>
    <n v="1768"/>
    <n v="1"/>
    <n v="1"/>
  </r>
  <r>
    <m/>
    <m/>
    <x v="1"/>
    <s v="86773366001001"/>
    <n v="-102.51"/>
    <n v="1759"/>
    <n v="1"/>
    <n v="1"/>
  </r>
  <r>
    <m/>
    <m/>
    <x v="1"/>
    <s v="86786094001006"/>
    <n v="-72.73"/>
    <n v="1248"/>
    <n v="1"/>
    <n v="1"/>
  </r>
  <r>
    <m/>
    <m/>
    <x v="1"/>
    <s v="86865469001001"/>
    <n v="-33.04"/>
    <n v="567"/>
    <n v="1"/>
    <n v="1"/>
  </r>
  <r>
    <m/>
    <m/>
    <x v="1"/>
    <s v="86983732001001"/>
    <n v="-122.85"/>
    <n v="2108"/>
    <n v="1"/>
    <n v="1"/>
  </r>
  <r>
    <m/>
    <m/>
    <x v="1"/>
    <s v="87014077001006"/>
    <n v="-56.47"/>
    <n v="969"/>
    <n v="1"/>
    <n v="1"/>
  </r>
  <r>
    <m/>
    <m/>
    <x v="1"/>
    <s v="87032981001001"/>
    <n v="-44.35"/>
    <n v="761"/>
    <n v="1"/>
    <n v="1"/>
  </r>
  <r>
    <m/>
    <m/>
    <x v="1"/>
    <s v="87048037006007"/>
    <n v="-22.55"/>
    <n v="387"/>
    <n v="1"/>
    <n v="1"/>
  </r>
  <r>
    <m/>
    <m/>
    <x v="1"/>
    <s v="87070925001002"/>
    <n v="-73.2"/>
    <n v="1256"/>
    <n v="1"/>
    <n v="1"/>
  </r>
  <r>
    <m/>
    <m/>
    <x v="1"/>
    <s v="87361385001003"/>
    <n v="-118.54"/>
    <n v="2034"/>
    <n v="1"/>
    <n v="1"/>
  </r>
  <r>
    <m/>
    <m/>
    <x v="1"/>
    <s v="87380869001001"/>
    <n v="-84.27"/>
    <n v="1446"/>
    <n v="1"/>
    <n v="1"/>
  </r>
  <r>
    <m/>
    <m/>
    <x v="1"/>
    <s v="87418750001001"/>
    <n v="-149.02000000000001"/>
    <n v="2557"/>
    <n v="1"/>
    <n v="1"/>
  </r>
  <r>
    <m/>
    <m/>
    <x v="1"/>
    <s v="87544588001002"/>
    <n v="-28.85"/>
    <n v="495"/>
    <n v="1"/>
    <n v="1"/>
  </r>
  <r>
    <m/>
    <m/>
    <x v="1"/>
    <s v="87551644002001"/>
    <n v="-59.33"/>
    <n v="1018"/>
    <n v="1"/>
    <n v="1"/>
  </r>
  <r>
    <m/>
    <m/>
    <x v="1"/>
    <s v="87687840001001"/>
    <n v="-15.56"/>
    <n v="267"/>
    <n v="1"/>
    <n v="1"/>
  </r>
  <r>
    <m/>
    <m/>
    <x v="1"/>
    <s v="87707939001001"/>
    <n v="-3.61"/>
    <n v="62"/>
    <n v="1"/>
    <n v="1"/>
  </r>
  <r>
    <m/>
    <m/>
    <x v="1"/>
    <s v="87791029001001"/>
    <n v="-69.59"/>
    <n v="1194"/>
    <n v="1"/>
    <n v="1"/>
  </r>
  <r>
    <m/>
    <m/>
    <x v="1"/>
    <s v="87810851004003"/>
    <n v="-124.02"/>
    <n v="2128"/>
    <n v="1"/>
    <n v="1"/>
  </r>
  <r>
    <m/>
    <m/>
    <x v="1"/>
    <s v="87815744002003"/>
    <n v="-92.72"/>
    <n v="1591"/>
    <n v="1"/>
    <n v="1"/>
  </r>
  <r>
    <m/>
    <m/>
    <x v="1"/>
    <s v="87834379001011"/>
    <n v="-5.65"/>
    <n v="97"/>
    <n v="1"/>
    <n v="1"/>
  </r>
  <r>
    <m/>
    <m/>
    <x v="1"/>
    <s v="88179789001004"/>
    <n v="-102.92"/>
    <n v="1766"/>
    <n v="1"/>
    <n v="1"/>
  </r>
  <r>
    <m/>
    <m/>
    <x v="1"/>
    <s v="88269625001005"/>
    <n v="-12.01"/>
    <n v="206"/>
    <n v="1"/>
    <n v="1"/>
  </r>
  <r>
    <m/>
    <m/>
    <x v="1"/>
    <s v="88298279001006"/>
    <n v="-44.88"/>
    <n v="770"/>
    <n v="1"/>
    <n v="1"/>
  </r>
  <r>
    <m/>
    <m/>
    <x v="1"/>
    <s v="88386366001006"/>
    <n v="-41.32"/>
    <n v="709"/>
    <n v="1"/>
    <n v="1"/>
  </r>
  <r>
    <m/>
    <m/>
    <x v="1"/>
    <s v="88585974001001"/>
    <n v="-143.31"/>
    <n v="2459"/>
    <n v="1"/>
    <n v="1"/>
  </r>
  <r>
    <m/>
    <m/>
    <x v="1"/>
    <s v="88600032002001"/>
    <n v="-45.63"/>
    <n v="783"/>
    <n v="1"/>
    <n v="1"/>
  </r>
  <r>
    <m/>
    <m/>
    <x v="1"/>
    <s v="88695058001001"/>
    <n v="-130.31"/>
    <n v="2236"/>
    <n v="1"/>
    <n v="1"/>
  </r>
  <r>
    <m/>
    <m/>
    <x v="1"/>
    <s v="88706120001001"/>
    <n v="-101.06"/>
    <n v="1734"/>
    <n v="1"/>
    <n v="1"/>
  </r>
  <r>
    <m/>
    <m/>
    <x v="1"/>
    <s v="88772979001005"/>
    <n v="-26.87"/>
    <n v="461"/>
    <n v="1"/>
    <n v="1"/>
  </r>
  <r>
    <m/>
    <m/>
    <x v="1"/>
    <s v="88797325001004"/>
    <n v="-42.89"/>
    <n v="736"/>
    <n v="1"/>
    <n v="1"/>
  </r>
  <r>
    <m/>
    <m/>
    <x v="1"/>
    <s v="88822809001005"/>
    <n v="-106.13"/>
    <n v="1821"/>
    <n v="1"/>
    <n v="1"/>
  </r>
  <r>
    <m/>
    <m/>
    <x v="1"/>
    <s v="88854433001001"/>
    <n v="-50.12"/>
    <n v="860"/>
    <n v="1"/>
    <n v="1"/>
  </r>
  <r>
    <m/>
    <m/>
    <x v="1"/>
    <s v="88891691002011"/>
    <n v="-417.4"/>
    <n v="7162"/>
    <n v="1"/>
    <n v="1"/>
  </r>
  <r>
    <m/>
    <m/>
    <x v="1"/>
    <s v="89037466001001"/>
    <n v="-27.39"/>
    <n v="470"/>
    <n v="1"/>
    <n v="1"/>
  </r>
  <r>
    <m/>
    <m/>
    <x v="1"/>
    <s v="89128925001003"/>
    <n v="-52.51"/>
    <n v="901"/>
    <n v="1"/>
    <n v="1"/>
  </r>
  <r>
    <m/>
    <m/>
    <x v="1"/>
    <s v="89224302002001"/>
    <n v="-97.04"/>
    <n v="1665"/>
    <n v="1"/>
    <n v="1"/>
  </r>
  <r>
    <m/>
    <m/>
    <x v="1"/>
    <s v="89432491001006"/>
    <n v="-108.98"/>
    <n v="1870"/>
    <n v="1"/>
    <n v="1"/>
  </r>
  <r>
    <m/>
    <m/>
    <x v="1"/>
    <s v="89456905001002"/>
    <n v="-43.54"/>
    <n v="747"/>
    <n v="1"/>
    <n v="1"/>
  </r>
  <r>
    <m/>
    <m/>
    <x v="1"/>
    <s v="89597176008001"/>
    <n v="-135.44"/>
    <n v="2324"/>
    <n v="1"/>
    <n v="1"/>
  </r>
  <r>
    <m/>
    <m/>
    <x v="1"/>
    <s v="89636629004001"/>
    <n v="-79.61"/>
    <n v="1366"/>
    <n v="1"/>
    <n v="1"/>
  </r>
  <r>
    <m/>
    <m/>
    <x v="1"/>
    <s v="89703662001007"/>
    <n v="-0.64"/>
    <n v="11"/>
    <n v="1"/>
    <n v="1"/>
  </r>
  <r>
    <m/>
    <m/>
    <x v="1"/>
    <s v="89718018001006"/>
    <n v="-9.7899999999999991"/>
    <n v="168"/>
    <n v="1"/>
    <n v="1"/>
  </r>
  <r>
    <m/>
    <m/>
    <x v="1"/>
    <s v="89747832004001"/>
    <n v="-106.3"/>
    <n v="1824"/>
    <n v="1"/>
    <n v="1"/>
  </r>
  <r>
    <m/>
    <m/>
    <x v="1"/>
    <s v="89805136001001"/>
    <n v="-220.3"/>
    <n v="3780"/>
    <n v="1"/>
    <n v="1"/>
  </r>
  <r>
    <m/>
    <m/>
    <x v="1"/>
    <s v="89843398001002"/>
    <n v="-93.95"/>
    <n v="1612"/>
    <n v="1"/>
    <n v="1"/>
  </r>
  <r>
    <m/>
    <m/>
    <x v="1"/>
    <s v="89870121001001"/>
    <n v="-104.61"/>
    <n v="1795"/>
    <n v="1"/>
    <n v="1"/>
  </r>
  <r>
    <m/>
    <m/>
    <x v="1"/>
    <s v="89900422001003"/>
    <n v="-33.92"/>
    <n v="582"/>
    <n v="1"/>
    <n v="1"/>
  </r>
  <r>
    <m/>
    <m/>
    <x v="1"/>
    <s v="89916310001001"/>
    <n v="-25.47"/>
    <n v="437"/>
    <n v="1"/>
    <n v="1"/>
  </r>
  <r>
    <m/>
    <m/>
    <x v="1"/>
    <s v="89962058001001"/>
    <n v="-104.9"/>
    <n v="1800"/>
    <n v="1"/>
    <n v="1"/>
  </r>
  <r>
    <m/>
    <m/>
    <x v="1"/>
    <s v="89999378009001"/>
    <n v="-48.72"/>
    <n v="836"/>
    <n v="1"/>
    <n v="1"/>
  </r>
  <r>
    <m/>
    <m/>
    <x v="1"/>
    <s v="90115475001003"/>
    <n v="-56.59"/>
    <n v="971"/>
    <n v="1"/>
    <n v="1"/>
  </r>
  <r>
    <m/>
    <m/>
    <x v="1"/>
    <s v="90223411001018"/>
    <n v="-52.45"/>
    <n v="900"/>
    <n v="1"/>
    <n v="1"/>
  </r>
  <r>
    <m/>
    <m/>
    <x v="1"/>
    <s v="90244033001001"/>
    <n v="-12.3"/>
    <n v="211"/>
    <n v="1"/>
    <n v="1"/>
  </r>
  <r>
    <m/>
    <m/>
    <x v="1"/>
    <s v="90376961001005"/>
    <n v="-69.59"/>
    <n v="1194"/>
    <n v="1"/>
    <n v="1"/>
  </r>
  <r>
    <m/>
    <m/>
    <x v="1"/>
    <s v="90381406001001"/>
    <n v="-43.94"/>
    <n v="754"/>
    <n v="1"/>
    <n v="1"/>
  </r>
  <r>
    <m/>
    <m/>
    <x v="1"/>
    <s v="90421000005001"/>
    <n v="-227"/>
    <n v="3895"/>
    <n v="1"/>
    <n v="1"/>
  </r>
  <r>
    <m/>
    <m/>
    <x v="1"/>
    <s v="90593570008003"/>
    <n v="-122.5"/>
    <n v="2102"/>
    <n v="1"/>
    <n v="1"/>
  </r>
  <r>
    <m/>
    <m/>
    <x v="1"/>
    <s v="90718040001001"/>
    <n v="-76.17"/>
    <n v="1307"/>
    <n v="1"/>
    <n v="1"/>
  </r>
  <r>
    <m/>
    <m/>
    <x v="1"/>
    <s v="90725573001001"/>
    <n v="-45.34"/>
    <n v="778"/>
    <n v="1"/>
    <n v="1"/>
  </r>
  <r>
    <m/>
    <m/>
    <x v="1"/>
    <s v="90729873001001"/>
    <n v="-23.2"/>
    <n v="398"/>
    <n v="1"/>
    <n v="1"/>
  </r>
  <r>
    <m/>
    <m/>
    <x v="1"/>
    <s v="90740546001001"/>
    <n v="-109.1"/>
    <n v="1872"/>
    <n v="1"/>
    <n v="1"/>
  </r>
  <r>
    <m/>
    <m/>
    <x v="1"/>
    <s v="90803817001003"/>
    <n v="-222.22"/>
    <n v="3813"/>
    <n v="1"/>
    <n v="1"/>
  </r>
  <r>
    <m/>
    <m/>
    <x v="1"/>
    <s v="91085873002001"/>
    <n v="-15.74"/>
    <n v="270"/>
    <n v="1"/>
    <n v="1"/>
  </r>
  <r>
    <m/>
    <m/>
    <x v="1"/>
    <s v="91168263001001"/>
    <n v="-128.38999999999999"/>
    <n v="2203"/>
    <n v="1"/>
    <n v="1"/>
  </r>
  <r>
    <m/>
    <m/>
    <x v="1"/>
    <s v="91237440001003"/>
    <n v="-76.17"/>
    <n v="1307"/>
    <n v="1"/>
    <n v="1"/>
  </r>
  <r>
    <m/>
    <m/>
    <x v="1"/>
    <s v="91441345001005"/>
    <n v="-181.83"/>
    <n v="3120"/>
    <n v="1"/>
    <n v="1"/>
  </r>
  <r>
    <m/>
    <m/>
    <x v="1"/>
    <s v="91634459001003"/>
    <n v="-78.5"/>
    <n v="1347"/>
    <n v="1"/>
    <n v="1"/>
  </r>
  <r>
    <m/>
    <m/>
    <x v="1"/>
    <s v="91659027002001"/>
    <n v="-106.07"/>
    <n v="1820"/>
    <n v="1"/>
    <n v="1"/>
  </r>
  <r>
    <m/>
    <m/>
    <x v="1"/>
    <s v="91686493001001"/>
    <n v="-75.3"/>
    <n v="1292"/>
    <n v="1"/>
    <n v="1"/>
  </r>
  <r>
    <m/>
    <m/>
    <x v="1"/>
    <s v="91694661001009"/>
    <n v="-46.8"/>
    <n v="803"/>
    <n v="1"/>
    <n v="1"/>
  </r>
  <r>
    <m/>
    <m/>
    <x v="1"/>
    <s v="91708621001001"/>
    <n v="-81.77"/>
    <n v="1403"/>
    <n v="1"/>
    <n v="1"/>
  </r>
  <r>
    <m/>
    <m/>
    <x v="1"/>
    <s v="91774675002002"/>
    <n v="-101.12"/>
    <n v="1735"/>
    <n v="1"/>
    <n v="1"/>
  </r>
  <r>
    <m/>
    <m/>
    <x v="1"/>
    <s v="91808671001002"/>
    <n v="-120.06"/>
    <n v="2060"/>
    <n v="1"/>
    <n v="1"/>
  </r>
  <r>
    <m/>
    <m/>
    <x v="1"/>
    <s v="91847159001001"/>
    <n v="-20.92"/>
    <n v="359"/>
    <n v="1"/>
    <n v="1"/>
  </r>
  <r>
    <m/>
    <m/>
    <x v="1"/>
    <s v="91895802001005"/>
    <n v="-35.840000000000003"/>
    <n v="615"/>
    <n v="1"/>
    <n v="1"/>
  </r>
  <r>
    <m/>
    <m/>
    <x v="1"/>
    <s v="92041740001001"/>
    <n v="-67.84"/>
    <n v="1164"/>
    <n v="1"/>
    <n v="1"/>
  </r>
  <r>
    <m/>
    <m/>
    <x v="1"/>
    <s v="92103491001001"/>
    <n v="-100.18"/>
    <n v="1719"/>
    <n v="1"/>
    <n v="1"/>
  </r>
  <r>
    <m/>
    <m/>
    <x v="1"/>
    <s v="92139692001003"/>
    <n v="-226.59"/>
    <n v="3888"/>
    <n v="1"/>
    <n v="1"/>
  </r>
  <r>
    <m/>
    <m/>
    <x v="1"/>
    <s v="92227325006001"/>
    <n v="-196.64"/>
    <n v="3374"/>
    <n v="1"/>
    <n v="1"/>
  </r>
  <r>
    <m/>
    <m/>
    <x v="1"/>
    <s v="92297397002002"/>
    <n v="-100.07"/>
    <n v="1717"/>
    <n v="1"/>
    <n v="1"/>
  </r>
  <r>
    <m/>
    <m/>
    <x v="1"/>
    <s v="92360208002001"/>
    <n v="-36.130000000000003"/>
    <n v="620"/>
    <n v="1"/>
    <n v="1"/>
  </r>
  <r>
    <m/>
    <m/>
    <x v="1"/>
    <s v="92399017001001"/>
    <n v="-64.05"/>
    <n v="1099"/>
    <n v="1"/>
    <n v="1"/>
  </r>
  <r>
    <m/>
    <m/>
    <x v="1"/>
    <s v="92487973001001"/>
    <n v="-52.1"/>
    <n v="894"/>
    <n v="1"/>
    <n v="1"/>
  </r>
  <r>
    <m/>
    <m/>
    <x v="1"/>
    <s v="92612665001005"/>
    <n v="-41.38"/>
    <n v="710"/>
    <n v="1"/>
    <n v="1"/>
  </r>
  <r>
    <m/>
    <m/>
    <x v="1"/>
    <s v="92643112001001"/>
    <n v="-11.19"/>
    <n v="192"/>
    <n v="1"/>
    <n v="1"/>
  </r>
  <r>
    <m/>
    <m/>
    <x v="1"/>
    <s v="92665096001001"/>
    <n v="-111.2"/>
    <n v="1908"/>
    <n v="1"/>
    <n v="1"/>
  </r>
  <r>
    <m/>
    <m/>
    <x v="1"/>
    <s v="92873766001005"/>
    <n v="-81.3"/>
    <n v="1395"/>
    <n v="1"/>
    <n v="1"/>
  </r>
  <r>
    <m/>
    <m/>
    <x v="1"/>
    <s v="92962587001001"/>
    <n v="-197.16"/>
    <n v="3383"/>
    <n v="1"/>
    <n v="1"/>
  </r>
  <r>
    <m/>
    <m/>
    <x v="1"/>
    <s v="92973520001003"/>
    <n v="-40.68"/>
    <n v="698"/>
    <n v="1"/>
    <n v="1"/>
  </r>
  <r>
    <m/>
    <m/>
    <x v="1"/>
    <s v="93109578002001"/>
    <n v="-39.57"/>
    <n v="679"/>
    <n v="1"/>
    <n v="1"/>
  </r>
  <r>
    <m/>
    <m/>
    <x v="1"/>
    <s v="93164650004007"/>
    <n v="-85.67"/>
    <n v="1470"/>
    <n v="1"/>
    <n v="1"/>
  </r>
  <r>
    <m/>
    <m/>
    <x v="1"/>
    <s v="93304243002003"/>
    <n v="-254.63"/>
    <n v="4369"/>
    <n v="1"/>
    <n v="1"/>
  </r>
  <r>
    <m/>
    <m/>
    <x v="1"/>
    <s v="93368775001001"/>
    <n v="-39.28"/>
    <n v="674"/>
    <n v="1"/>
    <n v="1"/>
  </r>
  <r>
    <m/>
    <m/>
    <x v="1"/>
    <s v="93387211001009"/>
    <n v="-62.94"/>
    <n v="1080"/>
    <n v="1"/>
    <n v="1"/>
  </r>
  <r>
    <m/>
    <m/>
    <x v="1"/>
    <s v="93477594002001"/>
    <n v="-36.770000000000003"/>
    <n v="631"/>
    <n v="1"/>
    <n v="1"/>
  </r>
  <r>
    <m/>
    <m/>
    <x v="1"/>
    <s v="93626551001002"/>
    <n v="-27.68"/>
    <n v="475"/>
    <n v="1"/>
    <n v="1"/>
  </r>
  <r>
    <m/>
    <m/>
    <x v="1"/>
    <s v="93813014002001"/>
    <n v="-234.87"/>
    <n v="4030"/>
    <n v="1"/>
    <n v="1"/>
  </r>
  <r>
    <m/>
    <m/>
    <x v="1"/>
    <s v="93981586001007"/>
    <n v="-144.41999999999999"/>
    <n v="2478"/>
    <n v="1"/>
    <n v="1"/>
  </r>
  <r>
    <m/>
    <m/>
    <x v="1"/>
    <s v="94072499001003"/>
    <n v="-242.04"/>
    <n v="4153"/>
    <n v="1"/>
    <n v="1"/>
  </r>
  <r>
    <m/>
    <m/>
    <x v="1"/>
    <s v="94236722001001"/>
    <n v="-113.12"/>
    <n v="1941"/>
    <n v="1"/>
    <n v="1"/>
  </r>
  <r>
    <m/>
    <m/>
    <x v="1"/>
    <s v="94287883002008"/>
    <n v="-66.97"/>
    <n v="1149"/>
    <n v="2"/>
    <n v="1"/>
  </r>
  <r>
    <m/>
    <m/>
    <x v="1"/>
    <s v="94290285002001"/>
    <n v="-92.43"/>
    <n v="1586"/>
    <n v="1"/>
    <n v="1"/>
  </r>
  <r>
    <m/>
    <m/>
    <x v="1"/>
    <s v="94305261001003"/>
    <n v="-126.06"/>
    <n v="2163"/>
    <n v="1"/>
    <n v="1"/>
  </r>
  <r>
    <m/>
    <m/>
    <x v="1"/>
    <s v="94338453002003"/>
    <n v="-137.13"/>
    <n v="2353"/>
    <n v="1"/>
    <n v="1"/>
  </r>
  <r>
    <m/>
    <m/>
    <x v="1"/>
    <s v="94383332001012"/>
    <n v="-70.17"/>
    <n v="1204"/>
    <n v="1"/>
    <n v="1"/>
  </r>
  <r>
    <m/>
    <m/>
    <x v="1"/>
    <s v="94464191001001"/>
    <n v="-67.900000000000006"/>
    <n v="1165"/>
    <n v="1"/>
    <n v="1"/>
  </r>
  <r>
    <m/>
    <m/>
    <x v="1"/>
    <s v="94495822001011"/>
    <n v="-51.34"/>
    <n v="881"/>
    <n v="1"/>
    <n v="1"/>
  </r>
  <r>
    <m/>
    <m/>
    <x v="1"/>
    <s v="94535473001005"/>
    <n v="-33.979999999999997"/>
    <n v="583"/>
    <n v="1"/>
    <n v="1"/>
  </r>
  <r>
    <m/>
    <m/>
    <x v="1"/>
    <s v="94600455002001"/>
    <n v="-179.85"/>
    <n v="3086"/>
    <n v="1"/>
    <n v="1"/>
  </r>
  <r>
    <m/>
    <m/>
    <x v="1"/>
    <s v="94648149001003"/>
    <n v="-58.75"/>
    <n v="1008"/>
    <n v="1"/>
    <n v="1"/>
  </r>
  <r>
    <m/>
    <m/>
    <x v="1"/>
    <s v="94670446001001"/>
    <n v="-75.36"/>
    <n v="1293"/>
    <n v="1"/>
    <n v="1"/>
  </r>
  <r>
    <m/>
    <m/>
    <x v="1"/>
    <s v="94794096001013"/>
    <n v="-96.74"/>
    <n v="1660"/>
    <n v="1"/>
    <n v="1"/>
  </r>
  <r>
    <m/>
    <m/>
    <x v="1"/>
    <s v="94900294001001"/>
    <n v="-225.43"/>
    <n v="3868"/>
    <n v="1"/>
    <n v="1"/>
  </r>
  <r>
    <m/>
    <m/>
    <x v="1"/>
    <s v="94903881001003"/>
    <n v="-97.44"/>
    <n v="1672"/>
    <n v="1"/>
    <n v="1"/>
  </r>
  <r>
    <m/>
    <m/>
    <x v="1"/>
    <s v="95248906001001"/>
    <n v="-75.94"/>
    <n v="1303"/>
    <n v="1"/>
    <n v="1"/>
  </r>
  <r>
    <m/>
    <m/>
    <x v="1"/>
    <s v="95273141001001"/>
    <n v="-119.77"/>
    <n v="2055"/>
    <n v="1"/>
    <n v="1"/>
  </r>
  <r>
    <m/>
    <m/>
    <x v="1"/>
    <s v="95315181001001"/>
    <n v="-34.729999999999997"/>
    <n v="596"/>
    <n v="1"/>
    <n v="1"/>
  </r>
  <r>
    <m/>
    <m/>
    <x v="1"/>
    <s v="95382413001005"/>
    <n v="-60.61"/>
    <n v="1040"/>
    <n v="1"/>
    <n v="1"/>
  </r>
  <r>
    <m/>
    <m/>
    <x v="1"/>
    <s v="95629019002003"/>
    <n v="-149.66"/>
    <n v="2568"/>
    <n v="1"/>
    <n v="1"/>
  </r>
  <r>
    <m/>
    <m/>
    <x v="1"/>
    <s v="95833037001003"/>
    <n v="-38.700000000000003"/>
    <n v="664"/>
    <n v="1"/>
    <n v="1"/>
  </r>
  <r>
    <m/>
    <m/>
    <x v="1"/>
    <s v="95983524001002"/>
    <n v="-112.71"/>
    <n v="1934"/>
    <n v="1"/>
    <n v="1"/>
  </r>
  <r>
    <m/>
    <m/>
    <x v="1"/>
    <s v="96031734001001"/>
    <n v="-117.73"/>
    <n v="2020"/>
    <n v="1"/>
    <n v="1"/>
  </r>
  <r>
    <m/>
    <m/>
    <x v="1"/>
    <s v="96145942001001"/>
    <n v="-9.44"/>
    <n v="162"/>
    <n v="1"/>
    <n v="1"/>
  </r>
  <r>
    <m/>
    <m/>
    <x v="1"/>
    <s v="96326521001007"/>
    <n v="-38.700000000000003"/>
    <n v="664"/>
    <n v="1"/>
    <n v="1"/>
  </r>
  <r>
    <m/>
    <m/>
    <x v="1"/>
    <s v="96426781002003"/>
    <n v="-54.9"/>
    <n v="942"/>
    <n v="1"/>
    <n v="1"/>
  </r>
  <r>
    <m/>
    <m/>
    <x v="1"/>
    <s v="96489324001005"/>
    <n v="-32.46"/>
    <n v="557"/>
    <n v="1"/>
    <n v="1"/>
  </r>
  <r>
    <m/>
    <m/>
    <x v="1"/>
    <s v="96526669001001"/>
    <n v="-10.9"/>
    <n v="187"/>
    <n v="1"/>
    <n v="1"/>
  </r>
  <r>
    <m/>
    <m/>
    <x v="1"/>
    <s v="96583136006003"/>
    <n v="-16.96"/>
    <n v="291"/>
    <n v="1"/>
    <n v="1"/>
  </r>
  <r>
    <m/>
    <m/>
    <x v="1"/>
    <s v="96609922001004"/>
    <n v="-32.99"/>
    <n v="566"/>
    <n v="1"/>
    <n v="1"/>
  </r>
  <r>
    <m/>
    <m/>
    <x v="1"/>
    <s v="96626642003001"/>
    <n v="-5.48"/>
    <n v="94"/>
    <n v="1"/>
    <n v="1"/>
  </r>
  <r>
    <m/>
    <m/>
    <x v="1"/>
    <s v="96660241001001"/>
    <n v="-100.01"/>
    <n v="1716"/>
    <n v="1"/>
    <n v="1"/>
  </r>
  <r>
    <m/>
    <m/>
    <x v="1"/>
    <s v="96664201001004"/>
    <n v="-75.06"/>
    <n v="1288"/>
    <n v="1"/>
    <n v="1"/>
  </r>
  <r>
    <m/>
    <m/>
    <x v="1"/>
    <s v="96678659001003"/>
    <n v="-92.78"/>
    <n v="1592"/>
    <n v="1"/>
    <n v="1"/>
  </r>
  <r>
    <m/>
    <m/>
    <x v="1"/>
    <s v="96696838001001"/>
    <n v="-112.19"/>
    <n v="1925"/>
    <n v="1"/>
    <n v="1"/>
  </r>
  <r>
    <m/>
    <m/>
    <x v="1"/>
    <s v="96759256001001"/>
    <n v="-65.39"/>
    <n v="1122"/>
    <n v="1"/>
    <n v="1"/>
  </r>
  <r>
    <m/>
    <m/>
    <x v="1"/>
    <s v="96913407001002"/>
    <n v="-21.97"/>
    <n v="377"/>
    <n v="1"/>
    <n v="1"/>
  </r>
  <r>
    <m/>
    <m/>
    <x v="1"/>
    <s v="96956354001001"/>
    <n v="-183.87"/>
    <n v="3155"/>
    <n v="1"/>
    <n v="1"/>
  </r>
  <r>
    <m/>
    <m/>
    <x v="1"/>
    <s v="96958659001002"/>
    <n v="-67.14"/>
    <n v="1152"/>
    <n v="1"/>
    <n v="1"/>
  </r>
  <r>
    <m/>
    <m/>
    <x v="1"/>
    <s v="97014070001001"/>
    <n v="-15.33"/>
    <n v="263"/>
    <n v="1"/>
    <n v="1"/>
  </r>
  <r>
    <m/>
    <m/>
    <x v="1"/>
    <s v="97019963001004"/>
    <n v="-105.84"/>
    <n v="1816"/>
    <n v="1"/>
    <n v="1"/>
  </r>
  <r>
    <m/>
    <m/>
    <x v="1"/>
    <s v="97071150001005"/>
    <n v="-9.56"/>
    <n v="164"/>
    <n v="1"/>
    <n v="1"/>
  </r>
  <r>
    <m/>
    <m/>
    <x v="1"/>
    <s v="97203407001003"/>
    <n v="-108.28"/>
    <n v="1858"/>
    <n v="1"/>
    <n v="1"/>
  </r>
  <r>
    <m/>
    <m/>
    <x v="1"/>
    <s v="97231261001003"/>
    <n v="-116.33"/>
    <n v="1996"/>
    <n v="1"/>
    <n v="1"/>
  </r>
  <r>
    <m/>
    <m/>
    <x v="1"/>
    <s v="97234945001001"/>
    <n v="-70.459999999999994"/>
    <n v="1209"/>
    <n v="1"/>
    <n v="1"/>
  </r>
  <r>
    <m/>
    <m/>
    <x v="1"/>
    <s v="97385680002001"/>
    <n v="-133.34"/>
    <n v="2288"/>
    <n v="1"/>
    <n v="1"/>
  </r>
  <r>
    <m/>
    <m/>
    <x v="1"/>
    <s v="97512804001001"/>
    <n v="-6.53"/>
    <n v="112"/>
    <n v="1"/>
    <n v="1"/>
  </r>
  <r>
    <m/>
    <m/>
    <x v="1"/>
    <s v="97514722001003"/>
    <n v="-138.88"/>
    <n v="2383"/>
    <n v="1"/>
    <n v="1"/>
  </r>
  <r>
    <m/>
    <m/>
    <x v="1"/>
    <s v="97610141001001"/>
    <n v="-67.84"/>
    <n v="1164"/>
    <n v="1"/>
    <n v="1"/>
  </r>
  <r>
    <m/>
    <m/>
    <x v="1"/>
    <s v="97640373002001"/>
    <n v="-42.66"/>
    <n v="732"/>
    <n v="1"/>
    <n v="1"/>
  </r>
  <r>
    <m/>
    <m/>
    <x v="1"/>
    <s v="97655232002004"/>
    <n v="-91.44"/>
    <n v="1569"/>
    <n v="1"/>
    <n v="1"/>
  </r>
  <r>
    <m/>
    <m/>
    <x v="1"/>
    <s v="97678050001005"/>
    <n v="-136.38"/>
    <n v="2340"/>
    <n v="1"/>
    <n v="1"/>
  </r>
  <r>
    <m/>
    <m/>
    <x v="1"/>
    <s v="97876560004001"/>
    <n v="-148.5"/>
    <n v="2548"/>
    <n v="1"/>
    <n v="1"/>
  </r>
  <r>
    <m/>
    <m/>
    <x v="1"/>
    <s v="97905025001001"/>
    <n v="-14.8"/>
    <n v="254"/>
    <n v="1"/>
    <n v="1"/>
  </r>
  <r>
    <m/>
    <m/>
    <x v="1"/>
    <s v="97968796004005"/>
    <n v="-84.21"/>
    <n v="1445"/>
    <n v="1"/>
    <n v="1"/>
  </r>
  <r>
    <m/>
    <m/>
    <x v="1"/>
    <s v="98163492001001"/>
    <n v="-106.01"/>
    <n v="1819"/>
    <n v="1"/>
    <n v="1"/>
  </r>
  <r>
    <m/>
    <m/>
    <x v="1"/>
    <s v="98228086004003"/>
    <n v="-47.09"/>
    <n v="808"/>
    <n v="1"/>
    <n v="1"/>
  </r>
  <r>
    <m/>
    <m/>
    <x v="1"/>
    <s v="98317810002005"/>
    <n v="-67.2"/>
    <n v="1153"/>
    <n v="1"/>
    <n v="1"/>
  </r>
  <r>
    <m/>
    <m/>
    <x v="1"/>
    <s v="98374511001001"/>
    <n v="-79.319999999999993"/>
    <n v="1361"/>
    <n v="1"/>
    <n v="1"/>
  </r>
  <r>
    <m/>
    <m/>
    <x v="1"/>
    <s v="98499617005001"/>
    <n v="-70.400000000000006"/>
    <n v="1208"/>
    <n v="1"/>
    <n v="1"/>
  </r>
  <r>
    <m/>
    <m/>
    <x v="1"/>
    <s v="98567491001001"/>
    <n v="-63.93"/>
    <n v="1097"/>
    <n v="1"/>
    <n v="1"/>
  </r>
  <r>
    <m/>
    <m/>
    <x v="1"/>
    <s v="98657291002001"/>
    <n v="-110.67"/>
    <n v="1899"/>
    <n v="1"/>
    <n v="1"/>
  </r>
  <r>
    <m/>
    <m/>
    <x v="1"/>
    <s v="98734416001003"/>
    <n v="-176.94"/>
    <n v="3036"/>
    <n v="1"/>
    <n v="1"/>
  </r>
  <r>
    <m/>
    <m/>
    <x v="1"/>
    <s v="98925007001003"/>
    <n v="-79.55"/>
    <n v="1365"/>
    <n v="1"/>
    <n v="1"/>
  </r>
  <r>
    <m/>
    <m/>
    <x v="1"/>
    <s v="99086775001001"/>
    <n v="-89.34"/>
    <n v="1533"/>
    <n v="1"/>
    <n v="1"/>
  </r>
  <r>
    <m/>
    <m/>
    <x v="1"/>
    <s v="99107518001001"/>
    <n v="-19.989999999999998"/>
    <n v="343"/>
    <n v="1"/>
    <n v="1"/>
  </r>
  <r>
    <m/>
    <m/>
    <x v="1"/>
    <s v="99207126001001"/>
    <n v="-191.1"/>
    <n v="3279"/>
    <n v="1"/>
    <n v="1"/>
  </r>
  <r>
    <m/>
    <m/>
    <x v="1"/>
    <s v="99342816001009"/>
    <n v="-23.55"/>
    <n v="404"/>
    <n v="1"/>
    <n v="1"/>
  </r>
  <r>
    <m/>
    <m/>
    <x v="1"/>
    <s v="99398410001007"/>
    <n v="-43.77"/>
    <n v="751"/>
    <n v="1"/>
    <n v="1"/>
  </r>
  <r>
    <m/>
    <m/>
    <x v="1"/>
    <s v="99409195002001"/>
    <n v="-75.760000000000005"/>
    <n v="1300"/>
    <n v="1"/>
    <n v="1"/>
  </r>
  <r>
    <m/>
    <m/>
    <x v="1"/>
    <s v="99409206001002"/>
    <n v="-86.31"/>
    <n v="1481"/>
    <n v="1"/>
    <n v="1"/>
  </r>
  <r>
    <m/>
    <m/>
    <x v="1"/>
    <s v="99442912002003"/>
    <n v="-122.5"/>
    <n v="2102"/>
    <n v="1"/>
    <n v="1"/>
  </r>
  <r>
    <m/>
    <m/>
    <x v="1"/>
    <s v="99456731002005"/>
    <n v="-44.18"/>
    <n v="758"/>
    <n v="1"/>
    <n v="1"/>
  </r>
  <r>
    <m/>
    <m/>
    <x v="1"/>
    <s v="99521426001005"/>
    <n v="-19.23"/>
    <n v="330"/>
    <n v="1"/>
    <n v="1"/>
  </r>
  <r>
    <m/>
    <m/>
    <x v="1"/>
    <s v="99576705001002"/>
    <n v="-37.880000000000003"/>
    <n v="650"/>
    <n v="1"/>
    <n v="1"/>
  </r>
  <r>
    <m/>
    <m/>
    <x v="1"/>
    <s v="99777701001004"/>
    <n v="-94.41"/>
    <n v="1620"/>
    <n v="1"/>
    <n v="1"/>
  </r>
  <r>
    <m/>
    <m/>
    <x v="6"/>
    <m/>
    <n v="-125991.76999999993"/>
    <n v="2161835"/>
    <n v="1551"/>
    <n v="1544"/>
  </r>
  <r>
    <m/>
    <s v="201303"/>
    <x v="0"/>
    <s v="00006596001003"/>
    <n v="-16.37"/>
    <n v="668"/>
    <n v="1"/>
    <n v="1"/>
  </r>
  <r>
    <m/>
    <m/>
    <x v="1"/>
    <s v="00237051001001"/>
    <n v="-9.02"/>
    <n v="368"/>
    <n v="1"/>
    <n v="1"/>
  </r>
  <r>
    <m/>
    <m/>
    <x v="1"/>
    <s v="00388467001002"/>
    <n v="-10.73"/>
    <n v="438"/>
    <n v="1"/>
    <n v="1"/>
  </r>
  <r>
    <m/>
    <m/>
    <x v="1"/>
    <s v="00416718001001"/>
    <n v="-47.92"/>
    <n v="1956"/>
    <n v="1"/>
    <n v="1"/>
  </r>
  <r>
    <m/>
    <m/>
    <x v="1"/>
    <s v="00447035006001"/>
    <n v="-37.29"/>
    <n v="1522"/>
    <n v="1"/>
    <n v="1"/>
  </r>
  <r>
    <m/>
    <m/>
    <x v="1"/>
    <s v="00785166001003"/>
    <n v="-3.99"/>
    <n v="163"/>
    <n v="1"/>
    <n v="1"/>
  </r>
  <r>
    <m/>
    <m/>
    <x v="1"/>
    <s v="00969996001001"/>
    <n v="-11.39"/>
    <n v="465"/>
    <n v="1"/>
    <n v="1"/>
  </r>
  <r>
    <m/>
    <m/>
    <x v="1"/>
    <s v="01063383001003"/>
    <n v="-38.22"/>
    <n v="1560"/>
    <n v="1"/>
    <n v="1"/>
  </r>
  <r>
    <m/>
    <m/>
    <x v="1"/>
    <s v="01128497001005"/>
    <n v="-27.88"/>
    <n v="1138"/>
    <n v="1"/>
    <n v="1"/>
  </r>
  <r>
    <m/>
    <m/>
    <x v="1"/>
    <s v="01164114001001"/>
    <n v="-35.5"/>
    <n v="1449"/>
    <n v="1"/>
    <n v="1"/>
  </r>
  <r>
    <m/>
    <m/>
    <x v="1"/>
    <s v="01423270002001"/>
    <n v="-24.72"/>
    <n v="1009"/>
    <n v="1"/>
    <n v="1"/>
  </r>
  <r>
    <m/>
    <m/>
    <x v="1"/>
    <s v="01883451001001"/>
    <n v="-44.59"/>
    <n v="1820"/>
    <n v="1"/>
    <n v="1"/>
  </r>
  <r>
    <m/>
    <m/>
    <x v="1"/>
    <s v="01930076001001"/>
    <n v="-16.61"/>
    <n v="678"/>
    <n v="1"/>
    <n v="1"/>
  </r>
  <r>
    <m/>
    <m/>
    <x v="1"/>
    <s v="01947250001001"/>
    <n v="-13.08"/>
    <n v="534"/>
    <n v="1"/>
    <n v="1"/>
  </r>
  <r>
    <m/>
    <m/>
    <x v="1"/>
    <s v="02018025004001"/>
    <n v="-52.41"/>
    <n v="2139"/>
    <n v="1"/>
    <n v="1"/>
  </r>
  <r>
    <m/>
    <m/>
    <x v="1"/>
    <s v="02367690001003"/>
    <n v="-38.96"/>
    <n v="1590"/>
    <n v="1"/>
    <n v="1"/>
  </r>
  <r>
    <m/>
    <m/>
    <x v="1"/>
    <s v="02947249002001"/>
    <n v="-10.85"/>
    <n v="443"/>
    <n v="1"/>
    <n v="1"/>
  </r>
  <r>
    <m/>
    <m/>
    <x v="1"/>
    <s v="03268055001001"/>
    <n v="-46.89"/>
    <n v="1914"/>
    <n v="1"/>
    <n v="1"/>
  </r>
  <r>
    <m/>
    <m/>
    <x v="1"/>
    <s v="03344382001001"/>
    <n v="-32.979999999999997"/>
    <n v="1346"/>
    <n v="1"/>
    <n v="1"/>
  </r>
  <r>
    <m/>
    <m/>
    <x v="1"/>
    <s v="03556592002007"/>
    <n v="-11.22"/>
    <n v="458"/>
    <n v="1"/>
    <n v="1"/>
  </r>
  <r>
    <m/>
    <m/>
    <x v="1"/>
    <s v="03566581001003"/>
    <n v="-60.83"/>
    <n v="2483"/>
    <n v="1"/>
    <n v="1"/>
  </r>
  <r>
    <m/>
    <m/>
    <x v="1"/>
    <s v="03650699001006"/>
    <n v="-20.85"/>
    <n v="851"/>
    <n v="1"/>
    <n v="1"/>
  </r>
  <r>
    <m/>
    <m/>
    <x v="1"/>
    <s v="03799095002001"/>
    <n v="-25.16"/>
    <n v="1027"/>
    <n v="1"/>
    <n v="1"/>
  </r>
  <r>
    <m/>
    <m/>
    <x v="1"/>
    <s v="03819092002003"/>
    <n v="-13.38"/>
    <n v="546"/>
    <n v="1"/>
    <n v="1"/>
  </r>
  <r>
    <m/>
    <m/>
    <x v="1"/>
    <s v="03931679001001"/>
    <n v="-25.5"/>
    <n v="1041"/>
    <n v="1"/>
    <n v="1"/>
  </r>
  <r>
    <m/>
    <m/>
    <x v="1"/>
    <s v="03991437001001"/>
    <n v="-13.18"/>
    <n v="538"/>
    <n v="1"/>
    <n v="1"/>
  </r>
  <r>
    <m/>
    <m/>
    <x v="1"/>
    <s v="04193072001001"/>
    <n v="-23.91"/>
    <n v="976"/>
    <n v="1"/>
    <n v="1"/>
  </r>
  <r>
    <m/>
    <m/>
    <x v="1"/>
    <s v="04205533001001"/>
    <n v="-33.54"/>
    <n v="1369"/>
    <n v="1"/>
    <n v="1"/>
  </r>
  <r>
    <m/>
    <m/>
    <x v="1"/>
    <s v="04316925001003"/>
    <n v="-35.67"/>
    <n v="1456"/>
    <n v="1"/>
    <n v="1"/>
  </r>
  <r>
    <m/>
    <m/>
    <x v="1"/>
    <s v="04347740001005"/>
    <n v="-41.28"/>
    <n v="1685"/>
    <n v="1"/>
    <n v="1"/>
  </r>
  <r>
    <m/>
    <m/>
    <x v="1"/>
    <s v="04759970003001"/>
    <n v="-28.03"/>
    <n v="1144"/>
    <n v="1"/>
    <n v="1"/>
  </r>
  <r>
    <m/>
    <m/>
    <x v="1"/>
    <s v="04886136001001"/>
    <n v="-18.059999999999999"/>
    <n v="737"/>
    <n v="1"/>
    <n v="1"/>
  </r>
  <r>
    <m/>
    <m/>
    <x v="1"/>
    <s v="04891223001003"/>
    <n v="-27.27"/>
    <n v="1113"/>
    <n v="1"/>
    <n v="1"/>
  </r>
  <r>
    <m/>
    <m/>
    <x v="1"/>
    <s v="05135552001001"/>
    <n v="-28.79"/>
    <n v="1175"/>
    <n v="1"/>
    <n v="1"/>
  </r>
  <r>
    <m/>
    <m/>
    <x v="1"/>
    <s v="05169515001001"/>
    <n v="-13.16"/>
    <n v="537"/>
    <n v="1"/>
    <n v="1"/>
  </r>
  <r>
    <m/>
    <m/>
    <x v="1"/>
    <s v="05495875001001"/>
    <n v="-55.54"/>
    <n v="2267"/>
    <n v="1"/>
    <n v="1"/>
  </r>
  <r>
    <m/>
    <m/>
    <x v="1"/>
    <s v="05631665002001"/>
    <n v="-19.579999999999998"/>
    <n v="799"/>
    <n v="1"/>
    <n v="1"/>
  </r>
  <r>
    <m/>
    <m/>
    <x v="1"/>
    <s v="05776636001001"/>
    <n v="-28.27"/>
    <n v="1154"/>
    <n v="1"/>
    <n v="1"/>
  </r>
  <r>
    <m/>
    <m/>
    <x v="1"/>
    <s v="05867332001001"/>
    <n v="-24.62"/>
    <n v="1005"/>
    <n v="1"/>
    <n v="1"/>
  </r>
  <r>
    <m/>
    <m/>
    <x v="1"/>
    <s v="05918137001001"/>
    <n v="-1.91"/>
    <n v="78"/>
    <n v="1"/>
    <n v="1"/>
  </r>
  <r>
    <m/>
    <m/>
    <x v="1"/>
    <s v="05950340001002"/>
    <n v="-21.93"/>
    <n v="895"/>
    <n v="1"/>
    <n v="1"/>
  </r>
  <r>
    <m/>
    <m/>
    <x v="1"/>
    <s v="06087532001006"/>
    <n v="-22.39"/>
    <n v="914"/>
    <n v="1"/>
    <n v="1"/>
  </r>
  <r>
    <m/>
    <m/>
    <x v="1"/>
    <s v="06155229001001"/>
    <n v="-5.17"/>
    <n v="211"/>
    <n v="1"/>
    <n v="1"/>
  </r>
  <r>
    <m/>
    <m/>
    <x v="1"/>
    <s v="06414889001004"/>
    <n v="-30.09"/>
    <n v="1228"/>
    <n v="1"/>
    <n v="1"/>
  </r>
  <r>
    <m/>
    <m/>
    <x v="1"/>
    <s v="06525325001005"/>
    <n v="-37.24"/>
    <n v="1520"/>
    <n v="1"/>
    <n v="1"/>
  </r>
  <r>
    <m/>
    <m/>
    <x v="1"/>
    <s v="06546723004003"/>
    <n v="-52.85"/>
    <n v="2157"/>
    <n v="1"/>
    <n v="1"/>
  </r>
  <r>
    <m/>
    <m/>
    <x v="1"/>
    <s v="06547490001007"/>
    <n v="-16.05"/>
    <n v="655"/>
    <n v="1"/>
    <n v="1"/>
  </r>
  <r>
    <m/>
    <m/>
    <x v="1"/>
    <s v="06618747003005"/>
    <n v="-27.76"/>
    <n v="1133"/>
    <n v="1"/>
    <n v="1"/>
  </r>
  <r>
    <m/>
    <m/>
    <x v="1"/>
    <s v="06802240001003"/>
    <n v="-13.52"/>
    <n v="552"/>
    <n v="1"/>
    <n v="1"/>
  </r>
  <r>
    <m/>
    <m/>
    <x v="1"/>
    <s v="06910038001001"/>
    <n v="-2.38"/>
    <n v="97"/>
    <n v="1"/>
    <n v="1"/>
  </r>
  <r>
    <m/>
    <m/>
    <x v="1"/>
    <s v="06998048001001"/>
    <n v="-17.809999999999999"/>
    <n v="727"/>
    <n v="1"/>
    <n v="1"/>
  </r>
  <r>
    <m/>
    <m/>
    <x v="1"/>
    <s v="07187712009001"/>
    <n v="-16.91"/>
    <n v="690"/>
    <n v="1"/>
    <n v="1"/>
  </r>
  <r>
    <m/>
    <m/>
    <x v="1"/>
    <s v="07444293001002"/>
    <n v="-33.76"/>
    <n v="1378"/>
    <n v="1"/>
    <n v="1"/>
  </r>
  <r>
    <m/>
    <m/>
    <x v="1"/>
    <s v="07453783001003"/>
    <n v="-14.77"/>
    <n v="603"/>
    <n v="1"/>
    <n v="1"/>
  </r>
  <r>
    <m/>
    <m/>
    <x v="1"/>
    <s v="07561969008001"/>
    <n v="-43.76"/>
    <n v="1786"/>
    <n v="1"/>
    <n v="1"/>
  </r>
  <r>
    <m/>
    <m/>
    <x v="1"/>
    <s v="07623916001007"/>
    <n v="-44.81"/>
    <n v="1829"/>
    <n v="1"/>
    <n v="1"/>
  </r>
  <r>
    <m/>
    <m/>
    <x v="1"/>
    <s v="07782109001001"/>
    <n v="-25.55"/>
    <n v="1043"/>
    <n v="1"/>
    <n v="1"/>
  </r>
  <r>
    <m/>
    <m/>
    <x v="1"/>
    <s v="07866347005003"/>
    <n v="-16.34"/>
    <n v="667"/>
    <n v="1"/>
    <n v="1"/>
  </r>
  <r>
    <m/>
    <m/>
    <x v="1"/>
    <s v="07894781001001"/>
    <n v="-18.52"/>
    <n v="756"/>
    <n v="1"/>
    <n v="1"/>
  </r>
  <r>
    <m/>
    <m/>
    <x v="1"/>
    <s v="07961096001001"/>
    <n v="-45.03"/>
    <n v="1838"/>
    <n v="1"/>
    <n v="1"/>
  </r>
  <r>
    <m/>
    <m/>
    <x v="1"/>
    <s v="07992532001002"/>
    <n v="-7.25"/>
    <n v="296"/>
    <n v="1"/>
    <n v="1"/>
  </r>
  <r>
    <m/>
    <m/>
    <x v="1"/>
    <s v="08005911001002"/>
    <n v="-31.19"/>
    <n v="1273"/>
    <n v="1"/>
    <n v="1"/>
  </r>
  <r>
    <m/>
    <m/>
    <x v="1"/>
    <s v="08016256001003"/>
    <n v="-37.39"/>
    <n v="1526"/>
    <n v="1"/>
    <n v="1"/>
  </r>
  <r>
    <m/>
    <m/>
    <x v="1"/>
    <s v="08070610002001"/>
    <n v="-33.119999999999997"/>
    <n v="1352"/>
    <n v="1"/>
    <n v="1"/>
  </r>
  <r>
    <m/>
    <m/>
    <x v="1"/>
    <s v="08074271001001"/>
    <n v="-22.34"/>
    <n v="912"/>
    <n v="1"/>
    <n v="1"/>
  </r>
  <r>
    <m/>
    <m/>
    <x v="1"/>
    <s v="08355466001007"/>
    <n v="-33.42"/>
    <n v="1364"/>
    <n v="1"/>
    <n v="1"/>
  </r>
  <r>
    <m/>
    <m/>
    <x v="1"/>
    <s v="08688999005001"/>
    <n v="-5.46"/>
    <n v="223"/>
    <n v="1"/>
    <n v="1"/>
  </r>
  <r>
    <m/>
    <m/>
    <x v="1"/>
    <s v="08740262001001"/>
    <n v="-25.28"/>
    <n v="1032"/>
    <n v="1"/>
    <n v="1"/>
  </r>
  <r>
    <m/>
    <m/>
    <x v="1"/>
    <s v="08747776001001"/>
    <n v="-19.309999999999999"/>
    <n v="788"/>
    <n v="1"/>
    <n v="1"/>
  </r>
  <r>
    <m/>
    <m/>
    <x v="1"/>
    <s v="08808764002008"/>
    <n v="-36.700000000000003"/>
    <n v="1498"/>
    <n v="1"/>
    <n v="1"/>
  </r>
  <r>
    <m/>
    <m/>
    <x v="1"/>
    <s v="09136354002001"/>
    <n v="-7.08"/>
    <n v="289"/>
    <n v="1"/>
    <n v="1"/>
  </r>
  <r>
    <m/>
    <m/>
    <x v="1"/>
    <s v="09301778001001"/>
    <n v="-20.85"/>
    <n v="851"/>
    <n v="1"/>
    <n v="1"/>
  </r>
  <r>
    <m/>
    <m/>
    <x v="1"/>
    <s v="09482609001001"/>
    <n v="-38.81"/>
    <n v="1584"/>
    <n v="1"/>
    <n v="1"/>
  </r>
  <r>
    <m/>
    <m/>
    <x v="1"/>
    <s v="09557772001003"/>
    <n v="-38.17"/>
    <n v="1558"/>
    <n v="1"/>
    <n v="1"/>
  </r>
  <r>
    <m/>
    <m/>
    <x v="1"/>
    <s v="10045212001003"/>
    <n v="-10.73"/>
    <n v="438"/>
    <n v="1"/>
    <n v="1"/>
  </r>
  <r>
    <m/>
    <m/>
    <x v="1"/>
    <s v="10059373002001"/>
    <n v="-5.51"/>
    <n v="225"/>
    <n v="1"/>
    <n v="1"/>
  </r>
  <r>
    <m/>
    <m/>
    <x v="1"/>
    <s v="10153548001001"/>
    <n v="-17.62"/>
    <n v="719"/>
    <n v="1"/>
    <n v="1"/>
  </r>
  <r>
    <m/>
    <m/>
    <x v="1"/>
    <s v="10196138001001"/>
    <n v="-38.729999999999997"/>
    <n v="1581"/>
    <n v="1"/>
    <n v="1"/>
  </r>
  <r>
    <m/>
    <m/>
    <x v="1"/>
    <s v="10214211001007"/>
    <n v="-5.0999999999999996"/>
    <n v="208"/>
    <n v="1"/>
    <n v="1"/>
  </r>
  <r>
    <m/>
    <m/>
    <x v="1"/>
    <s v="10356260001001"/>
    <n v="-50.3"/>
    <n v="2053"/>
    <n v="1"/>
    <n v="1"/>
  </r>
  <r>
    <m/>
    <m/>
    <x v="1"/>
    <s v="10489329001002"/>
    <n v="-26.04"/>
    <n v="1063"/>
    <n v="1"/>
    <n v="1"/>
  </r>
  <r>
    <m/>
    <m/>
    <x v="1"/>
    <s v="10634230001004"/>
    <n v="-5.9"/>
    <n v="241"/>
    <n v="1"/>
    <n v="1"/>
  </r>
  <r>
    <m/>
    <m/>
    <x v="1"/>
    <s v="10650049001003"/>
    <n v="-0.39"/>
    <n v="16"/>
    <n v="1"/>
    <n v="1"/>
  </r>
  <r>
    <m/>
    <m/>
    <x v="1"/>
    <s v="10863812009001"/>
    <n v="-40.840000000000003"/>
    <n v="1667"/>
    <n v="1"/>
    <n v="1"/>
  </r>
  <r>
    <m/>
    <m/>
    <x v="1"/>
    <s v="11078715001003"/>
    <n v="-33.86"/>
    <n v="1382"/>
    <n v="1"/>
    <n v="1"/>
  </r>
  <r>
    <m/>
    <m/>
    <x v="1"/>
    <s v="11144829001001"/>
    <n v="-28.44"/>
    <n v="1161"/>
    <n v="1"/>
    <n v="1"/>
  </r>
  <r>
    <m/>
    <m/>
    <x v="1"/>
    <s v="11263199001003"/>
    <n v="-26.58"/>
    <n v="1085"/>
    <n v="1"/>
    <n v="1"/>
  </r>
  <r>
    <m/>
    <m/>
    <x v="1"/>
    <s v="11296202003001"/>
    <n v="-10.14"/>
    <n v="414"/>
    <n v="1"/>
    <n v="1"/>
  </r>
  <r>
    <m/>
    <m/>
    <x v="1"/>
    <s v="11373197001002"/>
    <n v="-6.3"/>
    <n v="257"/>
    <n v="1"/>
    <n v="1"/>
  </r>
  <r>
    <m/>
    <m/>
    <x v="1"/>
    <s v="11397922002001"/>
    <n v="-22.64"/>
    <n v="924"/>
    <n v="1"/>
    <n v="1"/>
  </r>
  <r>
    <m/>
    <m/>
    <x v="1"/>
    <s v="11646801001004"/>
    <n v="-12.81"/>
    <n v="523"/>
    <n v="1"/>
    <n v="1"/>
  </r>
  <r>
    <m/>
    <m/>
    <x v="1"/>
    <s v="11964851001002"/>
    <n v="-9.73"/>
    <n v="397"/>
    <n v="1"/>
    <n v="1"/>
  </r>
  <r>
    <m/>
    <m/>
    <x v="1"/>
    <s v="12393193001003"/>
    <n v="-21.46"/>
    <n v="876"/>
    <n v="1"/>
    <n v="1"/>
  </r>
  <r>
    <m/>
    <m/>
    <x v="1"/>
    <s v="12738579001003"/>
    <n v="-25.09"/>
    <n v="1024"/>
    <n v="1"/>
    <n v="1"/>
  </r>
  <r>
    <m/>
    <m/>
    <x v="1"/>
    <s v="13114260001002"/>
    <n v="-15.41"/>
    <n v="629"/>
    <n v="1"/>
    <n v="1"/>
  </r>
  <r>
    <m/>
    <m/>
    <x v="1"/>
    <s v="13116014001003"/>
    <n v="-11.98"/>
    <n v="489"/>
    <n v="1"/>
    <n v="1"/>
  </r>
  <r>
    <m/>
    <m/>
    <x v="1"/>
    <s v="13844306002004"/>
    <n v="-5.68"/>
    <n v="232"/>
    <n v="1"/>
    <n v="1"/>
  </r>
  <r>
    <m/>
    <m/>
    <x v="1"/>
    <s v="13854832004003"/>
    <n v="-2.11"/>
    <n v="86"/>
    <n v="1"/>
    <n v="1"/>
  </r>
  <r>
    <m/>
    <m/>
    <x v="1"/>
    <s v="13899655001008"/>
    <n v="-20.07"/>
    <n v="819"/>
    <n v="1"/>
    <n v="1"/>
  </r>
  <r>
    <m/>
    <m/>
    <x v="1"/>
    <s v="13972735001001"/>
    <n v="-13.48"/>
    <n v="550"/>
    <n v="1"/>
    <n v="1"/>
  </r>
  <r>
    <m/>
    <m/>
    <x v="1"/>
    <s v="14057368001006"/>
    <n v="-41.04"/>
    <n v="1675"/>
    <n v="1"/>
    <n v="1"/>
  </r>
  <r>
    <m/>
    <m/>
    <x v="1"/>
    <s v="14276797001005"/>
    <n v="-13.06"/>
    <n v="533"/>
    <n v="1"/>
    <n v="1"/>
  </r>
  <r>
    <m/>
    <m/>
    <x v="1"/>
    <s v="14364355001001"/>
    <n v="-49.74"/>
    <n v="2030"/>
    <n v="1"/>
    <n v="1"/>
  </r>
  <r>
    <m/>
    <m/>
    <x v="1"/>
    <s v="14663014001002"/>
    <n v="-18.91"/>
    <n v="772"/>
    <n v="1"/>
    <n v="1"/>
  </r>
  <r>
    <m/>
    <m/>
    <x v="1"/>
    <s v="14994182001007"/>
    <n v="-38.93"/>
    <n v="1589"/>
    <n v="1"/>
    <n v="1"/>
  </r>
  <r>
    <m/>
    <m/>
    <x v="1"/>
    <s v="15161620001001"/>
    <n v="-21.19"/>
    <n v="865"/>
    <n v="1"/>
    <n v="1"/>
  </r>
  <r>
    <m/>
    <m/>
    <x v="1"/>
    <s v="15391958001009"/>
    <n v="-7.79"/>
    <n v="318"/>
    <n v="1"/>
    <n v="1"/>
  </r>
  <r>
    <m/>
    <m/>
    <x v="1"/>
    <s v="15707865001001"/>
    <n v="-2.38"/>
    <n v="97"/>
    <n v="1"/>
    <n v="1"/>
  </r>
  <r>
    <m/>
    <m/>
    <x v="1"/>
    <s v="15752716002001"/>
    <n v="-50.54"/>
    <n v="2063"/>
    <n v="1"/>
    <n v="1"/>
  </r>
  <r>
    <m/>
    <m/>
    <x v="1"/>
    <s v="15868625001001"/>
    <n v="-12.01"/>
    <n v="490"/>
    <n v="1"/>
    <n v="1"/>
  </r>
  <r>
    <m/>
    <m/>
    <x v="1"/>
    <s v="15889369001001"/>
    <n v="-25.87"/>
    <n v="1056"/>
    <n v="1"/>
    <n v="1"/>
  </r>
  <r>
    <m/>
    <m/>
    <x v="1"/>
    <s v="15896167001005"/>
    <n v="-41.65"/>
    <n v="1700"/>
    <n v="1"/>
    <n v="1"/>
  </r>
  <r>
    <m/>
    <m/>
    <x v="1"/>
    <s v="15945184001001"/>
    <n v="-2.2999999999999998"/>
    <n v="94"/>
    <n v="1"/>
    <n v="1"/>
  </r>
  <r>
    <m/>
    <m/>
    <x v="1"/>
    <s v="15945413001003"/>
    <n v="-18.399999999999999"/>
    <n v="751"/>
    <n v="1"/>
    <n v="1"/>
  </r>
  <r>
    <m/>
    <m/>
    <x v="1"/>
    <s v="15972551001005"/>
    <n v="-3.55"/>
    <n v="145"/>
    <n v="1"/>
    <n v="1"/>
  </r>
  <r>
    <m/>
    <m/>
    <x v="1"/>
    <s v="16192571001003"/>
    <n v="-17.37"/>
    <n v="709"/>
    <n v="1"/>
    <n v="1"/>
  </r>
  <r>
    <m/>
    <m/>
    <x v="1"/>
    <s v="16309419001005"/>
    <n v="-6.59"/>
    <n v="269"/>
    <n v="1"/>
    <n v="1"/>
  </r>
  <r>
    <m/>
    <m/>
    <x v="1"/>
    <s v="16354772002003"/>
    <n v="-11.2"/>
    <n v="457"/>
    <n v="1"/>
    <n v="1"/>
  </r>
  <r>
    <m/>
    <m/>
    <x v="1"/>
    <s v="16572947001005"/>
    <n v="-39.4"/>
    <n v="1608"/>
    <n v="1"/>
    <n v="1"/>
  </r>
  <r>
    <m/>
    <m/>
    <x v="1"/>
    <s v="16709268001002"/>
    <n v="-18.149999999999999"/>
    <n v="741"/>
    <n v="1"/>
    <n v="1"/>
  </r>
  <r>
    <m/>
    <m/>
    <x v="1"/>
    <s v="16801512002002"/>
    <n v="-35.770000000000003"/>
    <n v="1460"/>
    <n v="1"/>
    <n v="1"/>
  </r>
  <r>
    <m/>
    <m/>
    <x v="1"/>
    <s v="16884109001002"/>
    <n v="-18.87"/>
    <n v="770"/>
    <n v="1"/>
    <n v="1"/>
  </r>
  <r>
    <m/>
    <m/>
    <x v="1"/>
    <s v="17175636001003"/>
    <n v="-3.43"/>
    <n v="140"/>
    <n v="1"/>
    <n v="1"/>
  </r>
  <r>
    <m/>
    <m/>
    <x v="1"/>
    <s v="17226786001001"/>
    <n v="-6.74"/>
    <n v="275"/>
    <n v="1"/>
    <n v="1"/>
  </r>
  <r>
    <m/>
    <m/>
    <x v="1"/>
    <s v="17329177001003"/>
    <n v="-21.17"/>
    <n v="864"/>
    <n v="1"/>
    <n v="1"/>
  </r>
  <r>
    <m/>
    <m/>
    <x v="1"/>
    <s v="17511025003001"/>
    <n v="-12.27"/>
    <n v="501"/>
    <n v="1"/>
    <n v="1"/>
  </r>
  <r>
    <m/>
    <m/>
    <x v="1"/>
    <s v="17581646001002"/>
    <n v="-29.33"/>
    <n v="1197"/>
    <n v="1"/>
    <n v="1"/>
  </r>
  <r>
    <m/>
    <m/>
    <x v="1"/>
    <s v="17700255001003"/>
    <n v="-30.28"/>
    <n v="1236"/>
    <n v="1"/>
    <n v="1"/>
  </r>
  <r>
    <m/>
    <m/>
    <x v="1"/>
    <s v="17818148001004"/>
    <n v="-12.96"/>
    <n v="529"/>
    <n v="1"/>
    <n v="1"/>
  </r>
  <r>
    <m/>
    <m/>
    <x v="1"/>
    <s v="17834267001002"/>
    <n v="-14.19"/>
    <n v="579"/>
    <n v="1"/>
    <n v="1"/>
  </r>
  <r>
    <m/>
    <m/>
    <x v="1"/>
    <s v="17836081001001"/>
    <n v="-15.19"/>
    <n v="620"/>
    <n v="1"/>
    <n v="1"/>
  </r>
  <r>
    <m/>
    <m/>
    <x v="1"/>
    <s v="17993993001003"/>
    <n v="-3.8"/>
    <n v="155"/>
    <n v="1"/>
    <n v="1"/>
  </r>
  <r>
    <m/>
    <m/>
    <x v="1"/>
    <s v="18699658001004"/>
    <n v="-25.58"/>
    <n v="1044"/>
    <n v="1"/>
    <n v="1"/>
  </r>
  <r>
    <m/>
    <m/>
    <x v="1"/>
    <s v="19396001001001"/>
    <n v="-10.34"/>
    <n v="422"/>
    <n v="1"/>
    <n v="1"/>
  </r>
  <r>
    <m/>
    <m/>
    <x v="1"/>
    <s v="19497588001001"/>
    <n v="-8.4499999999999993"/>
    <n v="345"/>
    <n v="1"/>
    <n v="1"/>
  </r>
  <r>
    <m/>
    <m/>
    <x v="1"/>
    <s v="19508093004001"/>
    <n v="-24.52"/>
    <n v="1001"/>
    <n v="1"/>
    <n v="1"/>
  </r>
  <r>
    <m/>
    <m/>
    <x v="1"/>
    <s v="19669200001002"/>
    <n v="-18.28"/>
    <n v="746"/>
    <n v="1"/>
    <n v="1"/>
  </r>
  <r>
    <m/>
    <m/>
    <x v="1"/>
    <s v="20011333001001"/>
    <n v="-9.2899999999999991"/>
    <n v="379"/>
    <n v="1"/>
    <n v="1"/>
  </r>
  <r>
    <m/>
    <m/>
    <x v="1"/>
    <s v="20283219003003"/>
    <n v="-41.04"/>
    <n v="1675"/>
    <n v="1"/>
    <n v="1"/>
  </r>
  <r>
    <m/>
    <m/>
    <x v="1"/>
    <s v="20367566001001"/>
    <n v="-34.32"/>
    <n v="1401"/>
    <n v="1"/>
    <n v="1"/>
  </r>
  <r>
    <m/>
    <m/>
    <x v="1"/>
    <s v="20375453005001"/>
    <n v="-39.89"/>
    <n v="1628"/>
    <n v="1"/>
    <n v="1"/>
  </r>
  <r>
    <m/>
    <m/>
    <x v="1"/>
    <s v="20444426001001"/>
    <n v="-6.93"/>
    <n v="283"/>
    <n v="1"/>
    <n v="1"/>
  </r>
  <r>
    <m/>
    <m/>
    <x v="1"/>
    <s v="20482636001005"/>
    <n v="-7.96"/>
    <n v="325"/>
    <n v="1"/>
    <n v="1"/>
  </r>
  <r>
    <m/>
    <m/>
    <x v="1"/>
    <s v="21046404001005"/>
    <n v="-33.590000000000003"/>
    <n v="1371"/>
    <n v="1"/>
    <n v="1"/>
  </r>
  <r>
    <m/>
    <m/>
    <x v="1"/>
    <s v="21300261001003"/>
    <n v="-10.14"/>
    <n v="414"/>
    <n v="1"/>
    <n v="1"/>
  </r>
  <r>
    <m/>
    <m/>
    <x v="1"/>
    <s v="21528376001001"/>
    <n v="-7.74"/>
    <n v="316"/>
    <n v="1"/>
    <n v="1"/>
  </r>
  <r>
    <m/>
    <m/>
    <x v="1"/>
    <s v="21546259001005"/>
    <n v="-54.1"/>
    <n v="2208"/>
    <n v="1"/>
    <n v="1"/>
  </r>
  <r>
    <m/>
    <m/>
    <x v="1"/>
    <s v="21610680001001"/>
    <n v="-41.09"/>
    <n v="1677"/>
    <n v="1"/>
    <n v="1"/>
  </r>
  <r>
    <m/>
    <m/>
    <x v="1"/>
    <s v="21883954001003"/>
    <n v="-16.95"/>
    <n v="692"/>
    <n v="1"/>
    <n v="1"/>
  </r>
  <r>
    <m/>
    <m/>
    <x v="1"/>
    <s v="22107625001001"/>
    <n v="-43.83"/>
    <n v="1789"/>
    <n v="1"/>
    <n v="1"/>
  </r>
  <r>
    <m/>
    <m/>
    <x v="1"/>
    <s v="22178371001001"/>
    <n v="-16.88"/>
    <n v="689"/>
    <n v="1"/>
    <n v="1"/>
  </r>
  <r>
    <m/>
    <m/>
    <x v="1"/>
    <s v="22234236001007"/>
    <n v="-57.26"/>
    <n v="2337"/>
    <n v="1"/>
    <n v="1"/>
  </r>
  <r>
    <m/>
    <m/>
    <x v="1"/>
    <s v="22280876001009"/>
    <n v="-59.27"/>
    <n v="2419"/>
    <n v="1"/>
    <n v="1"/>
  </r>
  <r>
    <m/>
    <m/>
    <x v="1"/>
    <s v="22318296001001"/>
    <n v="-13.4"/>
    <n v="547"/>
    <n v="1"/>
    <n v="1"/>
  </r>
  <r>
    <m/>
    <m/>
    <x v="1"/>
    <s v="22384711002002"/>
    <n v="-6.66"/>
    <n v="272"/>
    <n v="1"/>
    <n v="1"/>
  </r>
  <r>
    <m/>
    <m/>
    <x v="1"/>
    <s v="22556911001001"/>
    <n v="-15.07"/>
    <n v="615"/>
    <n v="1"/>
    <n v="1"/>
  </r>
  <r>
    <m/>
    <m/>
    <x v="1"/>
    <s v="22860010001001"/>
    <n v="-16.29"/>
    <n v="665"/>
    <n v="1"/>
    <n v="1"/>
  </r>
  <r>
    <m/>
    <m/>
    <x v="1"/>
    <s v="23207615004001"/>
    <n v="-103.95"/>
    <n v="4243"/>
    <n v="1"/>
    <n v="1"/>
  </r>
  <r>
    <m/>
    <m/>
    <x v="1"/>
    <s v="23465139001008"/>
    <n v="-94.3"/>
    <n v="3849"/>
    <n v="2"/>
    <n v="1"/>
  </r>
  <r>
    <m/>
    <m/>
    <x v="1"/>
    <s v="23478212002003"/>
    <n v="-12.62"/>
    <n v="515"/>
    <n v="1"/>
    <n v="1"/>
  </r>
  <r>
    <m/>
    <m/>
    <x v="1"/>
    <s v="23492030001001"/>
    <n v="-31.58"/>
    <n v="1289"/>
    <n v="1"/>
    <n v="1"/>
  </r>
  <r>
    <m/>
    <m/>
    <x v="1"/>
    <s v="23628172002001"/>
    <n v="-41.38"/>
    <n v="1689"/>
    <n v="1"/>
    <n v="1"/>
  </r>
  <r>
    <m/>
    <m/>
    <x v="1"/>
    <s v="24324136002006"/>
    <n v="-10.88"/>
    <n v="444"/>
    <n v="1"/>
    <n v="1"/>
  </r>
  <r>
    <m/>
    <m/>
    <x v="1"/>
    <s v="24367594001003"/>
    <n v="-48.56"/>
    <n v="1982"/>
    <n v="1"/>
    <n v="1"/>
  </r>
  <r>
    <m/>
    <m/>
    <x v="1"/>
    <s v="25269969001001"/>
    <n v="-4.5599999999999996"/>
    <n v="186"/>
    <n v="1"/>
    <n v="1"/>
  </r>
  <r>
    <m/>
    <m/>
    <x v="1"/>
    <s v="25549425001001"/>
    <n v="-46.23"/>
    <n v="1887"/>
    <n v="1"/>
    <n v="1"/>
  </r>
  <r>
    <m/>
    <m/>
    <x v="1"/>
    <s v="25616940003001"/>
    <n v="-11.12"/>
    <n v="454"/>
    <n v="1"/>
    <n v="1"/>
  </r>
  <r>
    <m/>
    <m/>
    <x v="1"/>
    <s v="25664446001001"/>
    <n v="-29.84"/>
    <n v="1218"/>
    <n v="1"/>
    <n v="1"/>
  </r>
  <r>
    <m/>
    <m/>
    <x v="1"/>
    <s v="25818682001001"/>
    <n v="-6.91"/>
    <n v="282"/>
    <n v="1"/>
    <n v="1"/>
  </r>
  <r>
    <m/>
    <m/>
    <x v="1"/>
    <s v="25829665002003"/>
    <n v="-104.86"/>
    <n v="4280"/>
    <n v="1"/>
    <n v="1"/>
  </r>
  <r>
    <m/>
    <m/>
    <x v="1"/>
    <s v="25839879001001"/>
    <n v="-17.2"/>
    <n v="702"/>
    <n v="1"/>
    <n v="1"/>
  </r>
  <r>
    <m/>
    <m/>
    <x v="1"/>
    <s v="26254990001003"/>
    <n v="-0.42"/>
    <n v="17"/>
    <n v="1"/>
    <n v="1"/>
  </r>
  <r>
    <m/>
    <m/>
    <x v="1"/>
    <s v="26278650001003"/>
    <n v="-11.03"/>
    <n v="450"/>
    <n v="1"/>
    <n v="1"/>
  </r>
  <r>
    <m/>
    <m/>
    <x v="1"/>
    <s v="26476096002001"/>
    <n v="-6.27"/>
    <n v="256"/>
    <n v="1"/>
    <n v="1"/>
  </r>
  <r>
    <m/>
    <m/>
    <x v="1"/>
    <s v="26811317001002"/>
    <n v="-35.380000000000003"/>
    <n v="1444"/>
    <n v="1"/>
    <n v="1"/>
  </r>
  <r>
    <m/>
    <m/>
    <x v="1"/>
    <s v="26835966001001"/>
    <n v="-21.41"/>
    <n v="874"/>
    <n v="1"/>
    <n v="1"/>
  </r>
  <r>
    <m/>
    <m/>
    <x v="1"/>
    <s v="26841750001003"/>
    <n v="-33.15"/>
    <n v="1353"/>
    <n v="1"/>
    <n v="1"/>
  </r>
  <r>
    <m/>
    <m/>
    <x v="1"/>
    <s v="27126363001003"/>
    <n v="-45.96"/>
    <n v="1876"/>
    <n v="1"/>
    <n v="1"/>
  </r>
  <r>
    <m/>
    <m/>
    <x v="1"/>
    <s v="27141666001001"/>
    <n v="-27.29"/>
    <n v="1114"/>
    <n v="1"/>
    <n v="1"/>
  </r>
  <r>
    <m/>
    <m/>
    <x v="1"/>
    <s v="27250246001005"/>
    <n v="-19.399999999999999"/>
    <n v="792"/>
    <n v="1"/>
    <n v="1"/>
  </r>
  <r>
    <m/>
    <m/>
    <x v="1"/>
    <s v="27553023001001"/>
    <n v="-29.77"/>
    <n v="1215"/>
    <n v="1"/>
    <n v="1"/>
  </r>
  <r>
    <m/>
    <m/>
    <x v="1"/>
    <s v="27668170001005"/>
    <n v="-72.59"/>
    <n v="2963"/>
    <n v="1"/>
    <n v="1"/>
  </r>
  <r>
    <m/>
    <m/>
    <x v="1"/>
    <s v="27696108001012"/>
    <n v="-27.64"/>
    <n v="1128"/>
    <n v="1"/>
    <n v="1"/>
  </r>
  <r>
    <m/>
    <m/>
    <x v="1"/>
    <s v="27733480001001"/>
    <n v="-16.54"/>
    <n v="675"/>
    <n v="1"/>
    <n v="1"/>
  </r>
  <r>
    <m/>
    <m/>
    <x v="1"/>
    <s v="27759845001003"/>
    <n v="-47.97"/>
    <n v="1958"/>
    <n v="1"/>
    <n v="1"/>
  </r>
  <r>
    <m/>
    <m/>
    <x v="1"/>
    <s v="27883736001001"/>
    <n v="-56.28"/>
    <n v="2297"/>
    <n v="1"/>
    <n v="1"/>
  </r>
  <r>
    <m/>
    <m/>
    <x v="1"/>
    <s v="27977791001003"/>
    <n v="-4.41"/>
    <n v="180"/>
    <n v="1"/>
    <n v="1"/>
  </r>
  <r>
    <m/>
    <m/>
    <x v="1"/>
    <s v="27991196001001"/>
    <n v="-22.52"/>
    <n v="919"/>
    <n v="1"/>
    <n v="1"/>
  </r>
  <r>
    <m/>
    <m/>
    <x v="1"/>
    <s v="28006021003005"/>
    <n v="-40.94"/>
    <n v="1671"/>
    <n v="1"/>
    <n v="1"/>
  </r>
  <r>
    <m/>
    <m/>
    <x v="1"/>
    <s v="28065736001006"/>
    <n v="-42.53"/>
    <n v="1736"/>
    <n v="1"/>
    <n v="1"/>
  </r>
  <r>
    <m/>
    <m/>
    <x v="1"/>
    <s v="28227700001002"/>
    <n v="-32.14"/>
    <n v="1312"/>
    <n v="1"/>
    <n v="1"/>
  </r>
  <r>
    <m/>
    <m/>
    <x v="1"/>
    <s v="28252202004001"/>
    <n v="-74.260000000000005"/>
    <n v="3031"/>
    <n v="1"/>
    <n v="1"/>
  </r>
  <r>
    <m/>
    <m/>
    <x v="1"/>
    <s v="28434100001001"/>
    <n v="-18.670000000000002"/>
    <n v="762"/>
    <n v="1"/>
    <n v="1"/>
  </r>
  <r>
    <m/>
    <m/>
    <x v="1"/>
    <s v="28535255003001"/>
    <n v="-19.8"/>
    <n v="808"/>
    <n v="1"/>
    <n v="1"/>
  </r>
  <r>
    <m/>
    <m/>
    <x v="1"/>
    <s v="28626166001001"/>
    <n v="-4.8499999999999996"/>
    <n v="198"/>
    <n v="1"/>
    <n v="1"/>
  </r>
  <r>
    <m/>
    <m/>
    <x v="1"/>
    <s v="28827702001004"/>
    <n v="-49.34"/>
    <n v="2014"/>
    <n v="1"/>
    <n v="1"/>
  </r>
  <r>
    <m/>
    <m/>
    <x v="1"/>
    <s v="29018645001003"/>
    <n v="-45.62"/>
    <n v="1862"/>
    <n v="1"/>
    <n v="1"/>
  </r>
  <r>
    <m/>
    <m/>
    <x v="1"/>
    <s v="29250419001001"/>
    <n v="-59.98"/>
    <n v="2448"/>
    <n v="1"/>
    <n v="1"/>
  </r>
  <r>
    <m/>
    <m/>
    <x v="1"/>
    <s v="29333477001001"/>
    <n v="-15.04"/>
    <n v="614"/>
    <n v="1"/>
    <n v="1"/>
  </r>
  <r>
    <m/>
    <m/>
    <x v="1"/>
    <s v="29647367001002"/>
    <n v="-27.49"/>
    <n v="1122"/>
    <n v="1"/>
    <n v="1"/>
  </r>
  <r>
    <m/>
    <m/>
    <x v="1"/>
    <s v="29786462001001"/>
    <n v="-14.87"/>
    <n v="607"/>
    <n v="1"/>
    <n v="1"/>
  </r>
  <r>
    <m/>
    <m/>
    <x v="1"/>
    <s v="30043368001001"/>
    <n v="-36.53"/>
    <n v="1491"/>
    <n v="1"/>
    <n v="1"/>
  </r>
  <r>
    <m/>
    <m/>
    <x v="1"/>
    <s v="30231904001002"/>
    <n v="-1.23"/>
    <n v="50"/>
    <n v="1"/>
    <n v="1"/>
  </r>
  <r>
    <m/>
    <m/>
    <x v="1"/>
    <s v="30315366001001"/>
    <n v="-87.34"/>
    <n v="3565"/>
    <n v="1"/>
    <n v="1"/>
  </r>
  <r>
    <m/>
    <m/>
    <x v="1"/>
    <s v="30656073001007"/>
    <n v="-13.18"/>
    <n v="538"/>
    <n v="1"/>
    <n v="1"/>
  </r>
  <r>
    <m/>
    <m/>
    <x v="1"/>
    <s v="30786064001001"/>
    <n v="-3.38"/>
    <n v="138"/>
    <n v="1"/>
    <n v="1"/>
  </r>
  <r>
    <m/>
    <m/>
    <x v="1"/>
    <s v="30975210001001"/>
    <n v="-29.2"/>
    <n v="1192"/>
    <n v="1"/>
    <n v="1"/>
  </r>
  <r>
    <m/>
    <m/>
    <x v="1"/>
    <s v="31104124001001"/>
    <n v="-23.52"/>
    <n v="960"/>
    <n v="1"/>
    <n v="1"/>
  </r>
  <r>
    <m/>
    <m/>
    <x v="1"/>
    <s v="31266211001004"/>
    <n v="-25.58"/>
    <n v="1044"/>
    <n v="1"/>
    <n v="1"/>
  </r>
  <r>
    <m/>
    <m/>
    <x v="1"/>
    <s v="31308854001001"/>
    <n v="-14.55"/>
    <n v="594"/>
    <n v="1"/>
    <n v="1"/>
  </r>
  <r>
    <m/>
    <m/>
    <x v="1"/>
    <s v="31309940001001"/>
    <n v="-1.45"/>
    <n v="59"/>
    <n v="1"/>
    <n v="1"/>
  </r>
  <r>
    <m/>
    <m/>
    <x v="1"/>
    <s v="31345337001002"/>
    <n v="-5.46"/>
    <n v="223"/>
    <n v="1"/>
    <n v="1"/>
  </r>
  <r>
    <m/>
    <m/>
    <x v="1"/>
    <s v="31589368001001"/>
    <n v="-27.22"/>
    <n v="1111"/>
    <n v="1"/>
    <n v="1"/>
  </r>
  <r>
    <m/>
    <m/>
    <x v="1"/>
    <s v="32105928002003"/>
    <n v="-21.56"/>
    <n v="880"/>
    <n v="1"/>
    <n v="1"/>
  </r>
  <r>
    <m/>
    <m/>
    <x v="1"/>
    <s v="32321580001004"/>
    <n v="-24.08"/>
    <n v="983"/>
    <n v="1"/>
    <n v="1"/>
  </r>
  <r>
    <m/>
    <m/>
    <x v="1"/>
    <s v="32701639002001"/>
    <n v="-14.23"/>
    <n v="581"/>
    <n v="1"/>
    <n v="1"/>
  </r>
  <r>
    <m/>
    <m/>
    <x v="1"/>
    <s v="32885919001001"/>
    <n v="-15.68"/>
    <n v="640"/>
    <n v="1"/>
    <n v="1"/>
  </r>
  <r>
    <m/>
    <m/>
    <x v="1"/>
    <s v="32971914002001"/>
    <n v="-2.4700000000000002"/>
    <n v="101"/>
    <n v="1"/>
    <n v="1"/>
  </r>
  <r>
    <m/>
    <m/>
    <x v="1"/>
    <s v="33062190002001"/>
    <n v="-26.02"/>
    <n v="1062"/>
    <n v="1"/>
    <n v="1"/>
  </r>
  <r>
    <m/>
    <m/>
    <x v="1"/>
    <s v="33397794002001"/>
    <n v="-55.86"/>
    <n v="2280"/>
    <n v="1"/>
    <n v="1"/>
  </r>
  <r>
    <m/>
    <m/>
    <x v="1"/>
    <s v="33529078009001"/>
    <n v="-39.25"/>
    <n v="1602"/>
    <n v="1"/>
    <n v="1"/>
  </r>
  <r>
    <m/>
    <m/>
    <x v="1"/>
    <s v="33633028001001"/>
    <n v="-16.07"/>
    <n v="656"/>
    <n v="1"/>
    <n v="1"/>
  </r>
  <r>
    <m/>
    <m/>
    <x v="1"/>
    <s v="33887728001004"/>
    <n v="-23.2"/>
    <n v="947"/>
    <n v="1"/>
    <n v="1"/>
  </r>
  <r>
    <m/>
    <m/>
    <x v="1"/>
    <s v="34181343001001"/>
    <n v="-46.28"/>
    <n v="1889"/>
    <n v="1"/>
    <n v="1"/>
  </r>
  <r>
    <m/>
    <m/>
    <x v="1"/>
    <s v="34197993001005"/>
    <n v="-7.64"/>
    <n v="312"/>
    <n v="1"/>
    <n v="1"/>
  </r>
  <r>
    <m/>
    <m/>
    <x v="1"/>
    <s v="34256010001004"/>
    <n v="-28.54"/>
    <n v="1165"/>
    <n v="1"/>
    <n v="1"/>
  </r>
  <r>
    <m/>
    <m/>
    <x v="1"/>
    <s v="34348453001007"/>
    <n v="-39.18"/>
    <n v="1599"/>
    <n v="1"/>
    <n v="1"/>
  </r>
  <r>
    <m/>
    <m/>
    <x v="1"/>
    <s v="34394848001001"/>
    <n v="-21.22"/>
    <n v="866"/>
    <n v="1"/>
    <n v="1"/>
  </r>
  <r>
    <m/>
    <m/>
    <x v="1"/>
    <s v="34861184002001"/>
    <n v="-58.21"/>
    <n v="2376"/>
    <n v="1"/>
    <n v="1"/>
  </r>
  <r>
    <m/>
    <m/>
    <x v="1"/>
    <s v="34902092001003"/>
    <n v="-1.91"/>
    <n v="78"/>
    <n v="1"/>
    <n v="1"/>
  </r>
  <r>
    <m/>
    <m/>
    <x v="1"/>
    <s v="35202172002003"/>
    <n v="-11.93"/>
    <n v="487"/>
    <n v="1"/>
    <n v="1"/>
  </r>
  <r>
    <m/>
    <m/>
    <x v="1"/>
    <s v="35366207001001"/>
    <n v="-39.25"/>
    <n v="1602"/>
    <n v="1"/>
    <n v="1"/>
  </r>
  <r>
    <m/>
    <m/>
    <x v="1"/>
    <s v="35482082002001"/>
    <n v="-41.45"/>
    <n v="1692"/>
    <n v="1"/>
    <n v="1"/>
  </r>
  <r>
    <m/>
    <m/>
    <x v="1"/>
    <s v="36023502001013"/>
    <n v="-47.31"/>
    <n v="1931"/>
    <n v="1"/>
    <n v="1"/>
  </r>
  <r>
    <m/>
    <m/>
    <x v="1"/>
    <s v="36052702001001"/>
    <n v="-18.25"/>
    <n v="745"/>
    <n v="1"/>
    <n v="1"/>
  </r>
  <r>
    <m/>
    <m/>
    <x v="1"/>
    <s v="36065414001010"/>
    <n v="-32.07"/>
    <n v="1309"/>
    <n v="1"/>
    <n v="1"/>
  </r>
  <r>
    <m/>
    <m/>
    <x v="1"/>
    <s v="36079563001001"/>
    <n v="-30.45"/>
    <n v="1243"/>
    <n v="1"/>
    <n v="1"/>
  </r>
  <r>
    <m/>
    <m/>
    <x v="1"/>
    <s v="36292176001002"/>
    <n v="-48.61"/>
    <n v="1984"/>
    <n v="1"/>
    <n v="1"/>
  </r>
  <r>
    <m/>
    <m/>
    <x v="1"/>
    <s v="36390708002001"/>
    <n v="-52.43"/>
    <n v="2140"/>
    <n v="1"/>
    <n v="1"/>
  </r>
  <r>
    <m/>
    <m/>
    <x v="1"/>
    <s v="36529463001001"/>
    <n v="-26.95"/>
    <n v="1100"/>
    <n v="1"/>
    <n v="1"/>
  </r>
  <r>
    <m/>
    <m/>
    <x v="1"/>
    <s v="36555550001003"/>
    <n v="-36.409999999999997"/>
    <n v="1486"/>
    <n v="1"/>
    <n v="1"/>
  </r>
  <r>
    <m/>
    <m/>
    <x v="1"/>
    <s v="36995940001003"/>
    <n v="-40.08"/>
    <n v="1636"/>
    <n v="1"/>
    <n v="1"/>
  </r>
  <r>
    <m/>
    <m/>
    <x v="1"/>
    <s v="37047706001003"/>
    <n v="-46.33"/>
    <n v="1891"/>
    <n v="1"/>
    <n v="1"/>
  </r>
  <r>
    <m/>
    <m/>
    <x v="1"/>
    <s v="37196788001012"/>
    <n v="-0.32"/>
    <n v="13"/>
    <n v="1"/>
    <n v="1"/>
  </r>
  <r>
    <m/>
    <m/>
    <x v="1"/>
    <s v="37271824001007"/>
    <n v="-29.84"/>
    <n v="1218"/>
    <n v="1"/>
    <n v="1"/>
  </r>
  <r>
    <m/>
    <m/>
    <x v="1"/>
    <s v="37380947001001"/>
    <n v="-26.34"/>
    <n v="1075"/>
    <n v="1"/>
    <n v="1"/>
  </r>
  <r>
    <m/>
    <m/>
    <x v="1"/>
    <s v="37578682001001"/>
    <n v="-26.34"/>
    <n v="1075"/>
    <n v="1"/>
    <n v="1"/>
  </r>
  <r>
    <m/>
    <m/>
    <x v="1"/>
    <s v="38031459001001"/>
    <n v="-17.54"/>
    <n v="716"/>
    <n v="1"/>
    <n v="1"/>
  </r>
  <r>
    <m/>
    <m/>
    <x v="1"/>
    <s v="38067720003001"/>
    <n v="-15.07"/>
    <n v="615"/>
    <n v="1"/>
    <n v="1"/>
  </r>
  <r>
    <m/>
    <m/>
    <x v="1"/>
    <s v="38319008002003"/>
    <n v="-44.03"/>
    <n v="1797"/>
    <n v="1"/>
    <n v="1"/>
  </r>
  <r>
    <m/>
    <m/>
    <x v="1"/>
    <s v="38613622001005"/>
    <n v="-11.29"/>
    <n v="461"/>
    <n v="1"/>
    <n v="1"/>
  </r>
  <r>
    <m/>
    <m/>
    <x v="1"/>
    <s v="38860694001003"/>
    <n v="-38.17"/>
    <n v="1558"/>
    <n v="1"/>
    <n v="1"/>
  </r>
  <r>
    <m/>
    <m/>
    <x v="1"/>
    <s v="39272181001001"/>
    <n v="-11.86"/>
    <n v="484"/>
    <n v="1"/>
    <n v="1"/>
  </r>
  <r>
    <m/>
    <m/>
    <x v="1"/>
    <s v="39281076001004"/>
    <n v="-51.28"/>
    <n v="2093"/>
    <n v="1"/>
    <n v="1"/>
  </r>
  <r>
    <m/>
    <m/>
    <x v="1"/>
    <s v="39314816001003"/>
    <n v="-35.01"/>
    <n v="1429"/>
    <n v="1"/>
    <n v="1"/>
  </r>
  <r>
    <m/>
    <m/>
    <x v="1"/>
    <s v="39597196001001"/>
    <n v="-27.15"/>
    <n v="1108"/>
    <n v="1"/>
    <n v="1"/>
  </r>
  <r>
    <m/>
    <m/>
    <x v="1"/>
    <s v="39658784002001"/>
    <n v="-19.010000000000002"/>
    <n v="776"/>
    <n v="1"/>
    <n v="1"/>
  </r>
  <r>
    <m/>
    <m/>
    <x v="1"/>
    <s v="39662471001003"/>
    <n v="-30.55"/>
    <n v="1247"/>
    <n v="1"/>
    <n v="1"/>
  </r>
  <r>
    <m/>
    <m/>
    <x v="1"/>
    <s v="39810811001003"/>
    <n v="-19.7"/>
    <n v="804"/>
    <n v="1"/>
    <n v="1"/>
  </r>
  <r>
    <m/>
    <m/>
    <x v="1"/>
    <s v="39822134003009"/>
    <n v="-25.36"/>
    <n v="1035"/>
    <n v="1"/>
    <n v="1"/>
  </r>
  <r>
    <m/>
    <m/>
    <x v="1"/>
    <s v="39860007001003"/>
    <n v="-33.79"/>
    <n v="1379"/>
    <n v="1"/>
    <n v="1"/>
  </r>
  <r>
    <m/>
    <m/>
    <x v="1"/>
    <s v="40288069002001"/>
    <n v="-88.27"/>
    <n v="3603"/>
    <n v="1"/>
    <n v="1"/>
  </r>
  <r>
    <m/>
    <m/>
    <x v="1"/>
    <s v="40458113001001"/>
    <n v="-20.43"/>
    <n v="834"/>
    <n v="1"/>
    <n v="1"/>
  </r>
  <r>
    <m/>
    <m/>
    <x v="1"/>
    <s v="41019151002001"/>
    <n v="-15.41"/>
    <n v="629"/>
    <n v="1"/>
    <n v="1"/>
  </r>
  <r>
    <m/>
    <m/>
    <x v="1"/>
    <s v="41231167001001"/>
    <n v="-3.43"/>
    <n v="140"/>
    <n v="1"/>
    <n v="1"/>
  </r>
  <r>
    <m/>
    <m/>
    <x v="1"/>
    <s v="41383064001001"/>
    <n v="-37.979999999999997"/>
    <n v="1550"/>
    <n v="1"/>
    <n v="1"/>
  </r>
  <r>
    <m/>
    <m/>
    <x v="1"/>
    <s v="41426603001001"/>
    <n v="-16.559999999999999"/>
    <n v="676"/>
    <n v="1"/>
    <n v="1"/>
  </r>
  <r>
    <m/>
    <m/>
    <x v="1"/>
    <s v="41439561001003"/>
    <n v="-17.79"/>
    <n v="726"/>
    <n v="1"/>
    <n v="1"/>
  </r>
  <r>
    <m/>
    <m/>
    <x v="1"/>
    <s v="41823518001001"/>
    <n v="-18.3"/>
    <n v="747"/>
    <n v="1"/>
    <n v="1"/>
  </r>
  <r>
    <m/>
    <m/>
    <x v="1"/>
    <s v="42039072001008"/>
    <n v="-9.48"/>
    <n v="387"/>
    <n v="1"/>
    <n v="1"/>
  </r>
  <r>
    <m/>
    <m/>
    <x v="1"/>
    <s v="42203478001003"/>
    <n v="-4.1399999999999997"/>
    <n v="169"/>
    <n v="1"/>
    <n v="1"/>
  </r>
  <r>
    <m/>
    <m/>
    <x v="1"/>
    <s v="42491401001003"/>
    <n v="-50.91"/>
    <n v="2078"/>
    <n v="1"/>
    <n v="1"/>
  </r>
  <r>
    <m/>
    <m/>
    <x v="1"/>
    <s v="42514151001004"/>
    <n v="-2.67"/>
    <n v="109"/>
    <n v="1"/>
    <n v="1"/>
  </r>
  <r>
    <m/>
    <m/>
    <x v="1"/>
    <s v="42514501001001"/>
    <n v="-20.260000000000002"/>
    <n v="827"/>
    <n v="1"/>
    <n v="1"/>
  </r>
  <r>
    <m/>
    <m/>
    <x v="1"/>
    <s v="42524441001002"/>
    <n v="-53.83"/>
    <n v="2197"/>
    <n v="1"/>
    <n v="1"/>
  </r>
  <r>
    <m/>
    <m/>
    <x v="1"/>
    <s v="42528501001002"/>
    <n v="-28.44"/>
    <n v="1161"/>
    <n v="1"/>
    <n v="1"/>
  </r>
  <r>
    <m/>
    <m/>
    <x v="1"/>
    <s v="42536481001002"/>
    <n v="-50.18"/>
    <n v="2048"/>
    <n v="1"/>
    <n v="1"/>
  </r>
  <r>
    <m/>
    <m/>
    <x v="1"/>
    <s v="42586041004001"/>
    <n v="-37.46"/>
    <n v="1529"/>
    <n v="1"/>
    <n v="1"/>
  </r>
  <r>
    <m/>
    <m/>
    <x v="1"/>
    <s v="42613341001001"/>
    <n v="-3.48"/>
    <n v="142"/>
    <n v="1"/>
    <n v="1"/>
  </r>
  <r>
    <m/>
    <m/>
    <x v="1"/>
    <s v="42620271001001"/>
    <n v="-13.45"/>
    <n v="549"/>
    <n v="1"/>
    <n v="1"/>
  </r>
  <r>
    <m/>
    <m/>
    <x v="1"/>
    <s v="42628881001001"/>
    <n v="-1.4"/>
    <n v="57"/>
    <n v="1"/>
    <n v="1"/>
  </r>
  <r>
    <m/>
    <m/>
    <x v="1"/>
    <s v="42649321001001"/>
    <n v="-6.32"/>
    <n v="258"/>
    <n v="1"/>
    <n v="1"/>
  </r>
  <r>
    <m/>
    <m/>
    <x v="1"/>
    <s v="42659261001004"/>
    <n v="-10.29"/>
    <n v="420"/>
    <n v="1"/>
    <n v="1"/>
  </r>
  <r>
    <m/>
    <m/>
    <x v="1"/>
    <s v="42677111001001"/>
    <n v="-7.52"/>
    <n v="307"/>
    <n v="1"/>
    <n v="1"/>
  </r>
  <r>
    <m/>
    <m/>
    <x v="1"/>
    <s v="42812561001002"/>
    <n v="-43.46"/>
    <n v="1774"/>
    <n v="1"/>
    <n v="1"/>
  </r>
  <r>
    <m/>
    <m/>
    <x v="1"/>
    <s v="42890570001001"/>
    <n v="-71.39"/>
    <n v="2914"/>
    <n v="1"/>
    <n v="1"/>
  </r>
  <r>
    <m/>
    <m/>
    <x v="1"/>
    <s v="42898451001001"/>
    <n v="-8.58"/>
    <n v="350"/>
    <n v="1"/>
    <n v="1"/>
  </r>
  <r>
    <m/>
    <m/>
    <x v="1"/>
    <s v="42933730001003"/>
    <n v="-8.23"/>
    <n v="336"/>
    <n v="1"/>
    <n v="1"/>
  </r>
  <r>
    <m/>
    <m/>
    <x v="1"/>
    <s v="42954661002001"/>
    <n v="-13.16"/>
    <n v="537"/>
    <n v="1"/>
    <n v="1"/>
  </r>
  <r>
    <m/>
    <m/>
    <x v="1"/>
    <s v="43033085001001"/>
    <n v="-7.08"/>
    <n v="289"/>
    <n v="1"/>
    <n v="1"/>
  </r>
  <r>
    <m/>
    <m/>
    <x v="1"/>
    <s v="43124621001001"/>
    <n v="-17.79"/>
    <n v="726"/>
    <n v="1"/>
    <n v="1"/>
  </r>
  <r>
    <m/>
    <m/>
    <x v="1"/>
    <s v="43137151001001"/>
    <n v="-31.92"/>
    <n v="1303"/>
    <n v="1"/>
    <n v="1"/>
  </r>
  <r>
    <m/>
    <m/>
    <x v="1"/>
    <s v="43234101001001"/>
    <n v="-21.63"/>
    <n v="883"/>
    <n v="1"/>
    <n v="1"/>
  </r>
  <r>
    <m/>
    <m/>
    <x v="1"/>
    <s v="43243411001002"/>
    <n v="-20.68"/>
    <n v="844"/>
    <n v="1"/>
    <n v="1"/>
  </r>
  <r>
    <m/>
    <m/>
    <x v="1"/>
    <s v="43288421001001"/>
    <n v="-9.31"/>
    <n v="380"/>
    <n v="1"/>
    <n v="1"/>
  </r>
  <r>
    <m/>
    <m/>
    <x v="1"/>
    <s v="43291781001001"/>
    <n v="-13.84"/>
    <n v="565"/>
    <n v="1"/>
    <n v="1"/>
  </r>
  <r>
    <m/>
    <m/>
    <x v="1"/>
    <s v="43297591001002"/>
    <n v="-36.46"/>
    <n v="1488"/>
    <n v="1"/>
    <n v="1"/>
  </r>
  <r>
    <m/>
    <m/>
    <x v="1"/>
    <s v="43325521001002"/>
    <n v="-14.33"/>
    <n v="585"/>
    <n v="1"/>
    <n v="1"/>
  </r>
  <r>
    <m/>
    <m/>
    <x v="1"/>
    <s v="43333711001002"/>
    <n v="-13.43"/>
    <n v="548"/>
    <n v="1"/>
    <n v="1"/>
  </r>
  <r>
    <m/>
    <m/>
    <x v="1"/>
    <s v="43341691001009"/>
    <n v="-32.71"/>
    <n v="1335"/>
    <n v="1"/>
    <n v="1"/>
  </r>
  <r>
    <m/>
    <m/>
    <x v="1"/>
    <s v="43363111001003"/>
    <n v="-57.35"/>
    <n v="2341"/>
    <n v="1"/>
    <n v="1"/>
  </r>
  <r>
    <m/>
    <m/>
    <x v="1"/>
    <s v="43399301001004"/>
    <n v="-33.880000000000003"/>
    <n v="1383"/>
    <n v="1"/>
    <n v="1"/>
  </r>
  <r>
    <m/>
    <m/>
    <x v="1"/>
    <s v="43492640001001"/>
    <n v="-5.22"/>
    <n v="213"/>
    <n v="1"/>
    <n v="1"/>
  </r>
  <r>
    <m/>
    <m/>
    <x v="1"/>
    <s v="43499059001005"/>
    <n v="-1.74"/>
    <n v="71"/>
    <n v="1"/>
    <n v="1"/>
  </r>
  <r>
    <m/>
    <m/>
    <x v="1"/>
    <s v="43629601001002"/>
    <n v="-19.55"/>
    <n v="798"/>
    <n v="1"/>
    <n v="1"/>
  </r>
  <r>
    <m/>
    <m/>
    <x v="1"/>
    <s v="43659561001002"/>
    <n v="-6.59"/>
    <n v="269"/>
    <n v="1"/>
    <n v="1"/>
  </r>
  <r>
    <m/>
    <m/>
    <x v="1"/>
    <s v="43675801001005"/>
    <n v="-5"/>
    <n v="204"/>
    <n v="1"/>
    <n v="1"/>
  </r>
  <r>
    <m/>
    <m/>
    <x v="1"/>
    <s v="43676781001004"/>
    <n v="-2.74"/>
    <n v="112"/>
    <n v="1"/>
    <n v="1"/>
  </r>
  <r>
    <m/>
    <m/>
    <x v="1"/>
    <s v="43677061001004"/>
    <n v="-15.83"/>
    <n v="646"/>
    <n v="1"/>
    <n v="1"/>
  </r>
  <r>
    <m/>
    <m/>
    <x v="1"/>
    <s v="43684761001003"/>
    <n v="-5.98"/>
    <n v="244"/>
    <n v="1"/>
    <n v="1"/>
  </r>
  <r>
    <m/>
    <m/>
    <x v="1"/>
    <s v="43686651002002"/>
    <n v="-32.659999999999997"/>
    <n v="1333"/>
    <n v="1"/>
    <n v="1"/>
  </r>
  <r>
    <m/>
    <m/>
    <x v="1"/>
    <s v="43687491001003"/>
    <n v="-11.88"/>
    <n v="485"/>
    <n v="1"/>
    <n v="1"/>
  </r>
  <r>
    <m/>
    <m/>
    <x v="1"/>
    <s v="43692811001002"/>
    <n v="-35.08"/>
    <n v="1432"/>
    <n v="1"/>
    <n v="1"/>
  </r>
  <r>
    <m/>
    <m/>
    <x v="1"/>
    <s v="43717941001003"/>
    <n v="-20.41"/>
    <n v="833"/>
    <n v="1"/>
    <n v="1"/>
  </r>
  <r>
    <m/>
    <m/>
    <x v="1"/>
    <s v="43720585001001"/>
    <n v="-11.25"/>
    <n v="459"/>
    <n v="1"/>
    <n v="1"/>
  </r>
  <r>
    <m/>
    <m/>
    <x v="1"/>
    <s v="43726551002001"/>
    <n v="-33.200000000000003"/>
    <n v="1355"/>
    <n v="1"/>
    <n v="1"/>
  </r>
  <r>
    <m/>
    <m/>
    <x v="1"/>
    <s v="43764561001002"/>
    <n v="-35.65"/>
    <n v="1455"/>
    <n v="1"/>
    <n v="1"/>
  </r>
  <r>
    <m/>
    <m/>
    <x v="1"/>
    <s v="43822311002001"/>
    <n v="-4.12"/>
    <n v="168"/>
    <n v="1"/>
    <n v="1"/>
  </r>
  <r>
    <m/>
    <m/>
    <x v="1"/>
    <s v="43829871002001"/>
    <n v="-23.96"/>
    <n v="978"/>
    <n v="1"/>
    <n v="1"/>
  </r>
  <r>
    <m/>
    <m/>
    <x v="1"/>
    <s v="43863401001002"/>
    <n v="-18.72"/>
    <n v="764"/>
    <n v="1"/>
    <n v="1"/>
  </r>
  <r>
    <m/>
    <m/>
    <x v="1"/>
    <s v="43881111001003"/>
    <n v="-15.36"/>
    <n v="627"/>
    <n v="1"/>
    <n v="1"/>
  </r>
  <r>
    <m/>
    <m/>
    <x v="1"/>
    <s v="43883841001001"/>
    <n v="-13.84"/>
    <n v="565"/>
    <n v="1"/>
    <n v="1"/>
  </r>
  <r>
    <m/>
    <m/>
    <x v="1"/>
    <s v="43901831002001"/>
    <n v="-22.74"/>
    <n v="928"/>
    <n v="1"/>
    <n v="1"/>
  </r>
  <r>
    <m/>
    <m/>
    <x v="1"/>
    <s v="43918351001003"/>
    <n v="-21.17"/>
    <n v="864"/>
    <n v="1"/>
    <n v="1"/>
  </r>
  <r>
    <m/>
    <m/>
    <x v="1"/>
    <s v="43920871001009"/>
    <n v="-6.3"/>
    <n v="257"/>
    <n v="1"/>
    <n v="1"/>
  </r>
  <r>
    <m/>
    <m/>
    <x v="1"/>
    <s v="43953794001001"/>
    <n v="-40.450000000000003"/>
    <n v="1651"/>
    <n v="1"/>
    <n v="1"/>
  </r>
  <r>
    <m/>
    <m/>
    <x v="1"/>
    <s v="43956630001003"/>
    <n v="-3.94"/>
    <n v="161"/>
    <n v="1"/>
    <n v="1"/>
  </r>
  <r>
    <m/>
    <m/>
    <x v="1"/>
    <s v="43991683002001"/>
    <n v="-27.05"/>
    <n v="1104"/>
    <n v="1"/>
    <n v="1"/>
  </r>
  <r>
    <m/>
    <m/>
    <x v="1"/>
    <s v="43992272001007"/>
    <n v="-21.17"/>
    <n v="864"/>
    <n v="1"/>
    <n v="1"/>
  </r>
  <r>
    <m/>
    <m/>
    <x v="1"/>
    <s v="44017138001001"/>
    <n v="-18.28"/>
    <n v="746"/>
    <n v="1"/>
    <n v="1"/>
  </r>
  <r>
    <m/>
    <m/>
    <x v="1"/>
    <s v="44032311001001"/>
    <n v="-0.32"/>
    <n v="13"/>
    <n v="1"/>
    <n v="1"/>
  </r>
  <r>
    <m/>
    <m/>
    <x v="1"/>
    <s v="44032521001001"/>
    <n v="-9.9499999999999993"/>
    <n v="406"/>
    <n v="1"/>
    <n v="1"/>
  </r>
  <r>
    <m/>
    <m/>
    <x v="1"/>
    <s v="44089561001003"/>
    <n v="-17.71"/>
    <n v="723"/>
    <n v="1"/>
    <n v="1"/>
  </r>
  <r>
    <m/>
    <m/>
    <x v="1"/>
    <s v="44141337001005"/>
    <n v="-27.86"/>
    <n v="1137"/>
    <n v="1"/>
    <n v="1"/>
  </r>
  <r>
    <m/>
    <m/>
    <x v="1"/>
    <s v="44169062001003"/>
    <n v="-25.87"/>
    <n v="1056"/>
    <n v="1"/>
    <n v="1"/>
  </r>
  <r>
    <m/>
    <m/>
    <x v="1"/>
    <s v="44225511001001"/>
    <n v="-48.95"/>
    <n v="1998"/>
    <n v="1"/>
    <n v="1"/>
  </r>
  <r>
    <m/>
    <m/>
    <x v="1"/>
    <s v="44254071001001"/>
    <n v="-23.79"/>
    <n v="971"/>
    <n v="1"/>
    <n v="1"/>
  </r>
  <r>
    <m/>
    <m/>
    <x v="1"/>
    <s v="44271711001001"/>
    <n v="-6.88"/>
    <n v="281"/>
    <n v="1"/>
    <n v="1"/>
  </r>
  <r>
    <m/>
    <m/>
    <x v="1"/>
    <s v="44279131001001"/>
    <n v="-1.4"/>
    <n v="57"/>
    <n v="1"/>
    <n v="1"/>
  </r>
  <r>
    <m/>
    <m/>
    <x v="1"/>
    <s v="44301741001003"/>
    <n v="-47.78"/>
    <n v="1950"/>
    <n v="1"/>
    <n v="1"/>
  </r>
  <r>
    <m/>
    <m/>
    <x v="1"/>
    <s v="44319801001012"/>
    <n v="-12.96"/>
    <n v="529"/>
    <n v="1"/>
    <n v="1"/>
  </r>
  <r>
    <m/>
    <m/>
    <x v="1"/>
    <s v="44339401001001"/>
    <n v="-51.72"/>
    <n v="2111"/>
    <n v="1"/>
    <n v="1"/>
  </r>
  <r>
    <m/>
    <m/>
    <x v="1"/>
    <s v="44353961001003"/>
    <n v="-32.76"/>
    <n v="1337"/>
    <n v="1"/>
    <n v="1"/>
  </r>
  <r>
    <m/>
    <m/>
    <x v="1"/>
    <s v="44355501001004"/>
    <n v="-14.04"/>
    <n v="573"/>
    <n v="1"/>
    <n v="1"/>
  </r>
  <r>
    <m/>
    <m/>
    <x v="1"/>
    <s v="44378391001002"/>
    <n v="-10.9"/>
    <n v="445"/>
    <n v="1"/>
    <n v="1"/>
  </r>
  <r>
    <m/>
    <m/>
    <x v="1"/>
    <s v="44413951001005"/>
    <n v="-6.2"/>
    <n v="253"/>
    <n v="1"/>
    <n v="1"/>
  </r>
  <r>
    <m/>
    <m/>
    <x v="1"/>
    <s v="44431101001001"/>
    <n v="-18.18"/>
    <n v="742"/>
    <n v="1"/>
    <n v="1"/>
  </r>
  <r>
    <m/>
    <m/>
    <x v="1"/>
    <s v="44437261002001"/>
    <n v="-52.43"/>
    <n v="2140"/>
    <n v="1"/>
    <n v="1"/>
  </r>
  <r>
    <m/>
    <m/>
    <x v="1"/>
    <s v="44449861003001"/>
    <n v="-62.25"/>
    <n v="2541"/>
    <n v="1"/>
    <n v="1"/>
  </r>
  <r>
    <m/>
    <m/>
    <x v="1"/>
    <s v="44468901001002"/>
    <n v="-22.91"/>
    <n v="935"/>
    <n v="1"/>
    <n v="1"/>
  </r>
  <r>
    <m/>
    <m/>
    <x v="1"/>
    <s v="44487731001001"/>
    <n v="-12.62"/>
    <n v="515"/>
    <n v="1"/>
    <n v="1"/>
  </r>
  <r>
    <m/>
    <m/>
    <x v="1"/>
    <s v="44496438001001"/>
    <n v="-29.52"/>
    <n v="1205"/>
    <n v="1"/>
    <n v="1"/>
  </r>
  <r>
    <m/>
    <m/>
    <x v="1"/>
    <s v="44500471002001"/>
    <n v="-68.040000000000006"/>
    <n v="2777"/>
    <n v="1"/>
    <n v="1"/>
  </r>
  <r>
    <m/>
    <m/>
    <x v="1"/>
    <s v="44524271001003"/>
    <n v="-13.45"/>
    <n v="549"/>
    <n v="1"/>
    <n v="1"/>
  </r>
  <r>
    <m/>
    <m/>
    <x v="1"/>
    <s v="44588111004001"/>
    <n v="-55.74"/>
    <n v="2275"/>
    <n v="1"/>
    <n v="1"/>
  </r>
  <r>
    <m/>
    <m/>
    <x v="1"/>
    <s v="44636061001001"/>
    <n v="-40.6"/>
    <n v="1657"/>
    <n v="1"/>
    <n v="1"/>
  </r>
  <r>
    <m/>
    <m/>
    <x v="1"/>
    <s v="44697801002002"/>
    <n v="-28.81"/>
    <n v="1176"/>
    <n v="1"/>
    <n v="1"/>
  </r>
  <r>
    <m/>
    <m/>
    <x v="1"/>
    <s v="44716981001002"/>
    <n v="-62.65"/>
    <n v="2557"/>
    <n v="1"/>
    <n v="1"/>
  </r>
  <r>
    <m/>
    <m/>
    <x v="1"/>
    <s v="44717961001001"/>
    <n v="-5.49"/>
    <n v="224"/>
    <n v="1"/>
    <n v="1"/>
  </r>
  <r>
    <m/>
    <m/>
    <x v="1"/>
    <s v="44719431001001"/>
    <n v="-6.52"/>
    <n v="266"/>
    <n v="1"/>
    <n v="1"/>
  </r>
  <r>
    <m/>
    <m/>
    <x v="1"/>
    <s v="44726851001001"/>
    <n v="-75.12"/>
    <n v="3066"/>
    <n v="1"/>
    <n v="1"/>
  </r>
  <r>
    <m/>
    <m/>
    <x v="1"/>
    <s v="44760031004001"/>
    <n v="-36.020000000000003"/>
    <n v="1470"/>
    <n v="1"/>
    <n v="1"/>
  </r>
  <r>
    <m/>
    <m/>
    <x v="1"/>
    <s v="44765141002005"/>
    <n v="-6.2"/>
    <n v="253"/>
    <n v="1"/>
    <n v="1"/>
  </r>
  <r>
    <m/>
    <m/>
    <x v="1"/>
    <s v="44797411005020"/>
    <n v="-18.079999999999998"/>
    <n v="738"/>
    <n v="1"/>
    <n v="1"/>
  </r>
  <r>
    <m/>
    <m/>
    <x v="1"/>
    <s v="44805881002002"/>
    <n v="-37.340000000000003"/>
    <n v="1524"/>
    <n v="1"/>
    <n v="1"/>
  </r>
  <r>
    <m/>
    <m/>
    <x v="1"/>
    <s v="44811481003005"/>
    <n v="-22.15"/>
    <n v="904"/>
    <n v="1"/>
    <n v="1"/>
  </r>
  <r>
    <m/>
    <m/>
    <x v="1"/>
    <s v="44813091001002"/>
    <n v="-19.77"/>
    <n v="807"/>
    <n v="1"/>
    <n v="1"/>
  </r>
  <r>
    <m/>
    <m/>
    <x v="1"/>
    <s v="44827301001001"/>
    <n v="-32.51"/>
    <n v="1327"/>
    <n v="1"/>
    <n v="1"/>
  </r>
  <r>
    <m/>
    <m/>
    <x v="1"/>
    <s v="44847951001001"/>
    <n v="-39.94"/>
    <n v="1630"/>
    <n v="1"/>
    <n v="1"/>
  </r>
  <r>
    <m/>
    <m/>
    <x v="1"/>
    <s v="44848161001001"/>
    <n v="-36.950000000000003"/>
    <n v="1508"/>
    <n v="1"/>
    <n v="1"/>
  </r>
  <r>
    <m/>
    <m/>
    <x v="1"/>
    <s v="44876721001002"/>
    <n v="-10.61"/>
    <n v="433"/>
    <n v="1"/>
    <n v="1"/>
  </r>
  <r>
    <m/>
    <m/>
    <x v="1"/>
    <s v="44882082003001"/>
    <n v="-14.28"/>
    <n v="583"/>
    <n v="1"/>
    <n v="1"/>
  </r>
  <r>
    <m/>
    <m/>
    <x v="1"/>
    <s v="44883581001001"/>
    <n v="-26.85"/>
    <n v="1096"/>
    <n v="1"/>
    <n v="1"/>
  </r>
  <r>
    <m/>
    <m/>
    <x v="1"/>
    <s v="44905351001002"/>
    <n v="-24.84"/>
    <n v="1014"/>
    <n v="1"/>
    <n v="1"/>
  </r>
  <r>
    <m/>
    <m/>
    <x v="1"/>
    <s v="44908641001004"/>
    <n v="-22.15"/>
    <n v="904"/>
    <n v="1"/>
    <n v="1"/>
  </r>
  <r>
    <m/>
    <m/>
    <x v="1"/>
    <s v="44908781005003"/>
    <n v="-6.08"/>
    <n v="248"/>
    <n v="1"/>
    <n v="1"/>
  </r>
  <r>
    <m/>
    <m/>
    <x v="1"/>
    <s v="44943221001001"/>
    <n v="-39.35"/>
    <n v="1606"/>
    <n v="1"/>
    <n v="1"/>
  </r>
  <r>
    <m/>
    <m/>
    <x v="1"/>
    <s v="44983121001001"/>
    <n v="-22.56"/>
    <n v="921"/>
    <n v="1"/>
    <n v="1"/>
  </r>
  <r>
    <m/>
    <m/>
    <x v="1"/>
    <s v="44983611001002"/>
    <n v="-5.32"/>
    <n v="217"/>
    <n v="1"/>
    <n v="1"/>
  </r>
  <r>
    <m/>
    <m/>
    <x v="1"/>
    <s v="44995231002001"/>
    <n v="-19.260000000000002"/>
    <n v="786"/>
    <n v="1"/>
    <n v="1"/>
  </r>
  <r>
    <m/>
    <m/>
    <x v="1"/>
    <s v="45037931001001"/>
    <n v="-31.61"/>
    <n v="1290"/>
    <n v="1"/>
    <n v="1"/>
  </r>
  <r>
    <m/>
    <m/>
    <x v="1"/>
    <s v="45045911001001"/>
    <n v="-20.239999999999998"/>
    <n v="826"/>
    <n v="1"/>
    <n v="1"/>
  </r>
  <r>
    <m/>
    <m/>
    <x v="1"/>
    <s v="45045981001003"/>
    <n v="-21.29"/>
    <n v="869"/>
    <n v="1"/>
    <n v="1"/>
  </r>
  <r>
    <m/>
    <m/>
    <x v="1"/>
    <s v="45049061001001"/>
    <n v="-3.75"/>
    <n v="153"/>
    <n v="1"/>
    <n v="1"/>
  </r>
  <r>
    <m/>
    <m/>
    <x v="1"/>
    <s v="45051231004001"/>
    <n v="-24.45"/>
    <n v="998"/>
    <n v="1"/>
    <n v="1"/>
  </r>
  <r>
    <m/>
    <m/>
    <x v="1"/>
    <s v="45060821001003"/>
    <n v="-42.9"/>
    <n v="1751"/>
    <n v="1"/>
    <n v="1"/>
  </r>
  <r>
    <m/>
    <m/>
    <x v="1"/>
    <s v="45087071001001"/>
    <n v="-51.23"/>
    <n v="2091"/>
    <n v="1"/>
    <n v="1"/>
  </r>
  <r>
    <m/>
    <m/>
    <x v="1"/>
    <s v="45128721001001"/>
    <n v="-17.489999999999998"/>
    <n v="714"/>
    <n v="1"/>
    <n v="1"/>
  </r>
  <r>
    <m/>
    <m/>
    <x v="1"/>
    <s v="45155461001001"/>
    <n v="-47.68"/>
    <n v="1946"/>
    <n v="1"/>
    <n v="1"/>
  </r>
  <r>
    <m/>
    <m/>
    <x v="1"/>
    <s v="45161551001001"/>
    <n v="-28.2"/>
    <n v="1151"/>
    <n v="1"/>
    <n v="1"/>
  </r>
  <r>
    <m/>
    <m/>
    <x v="1"/>
    <s v="45185561001003"/>
    <n v="-52.23"/>
    <n v="2132"/>
    <n v="1"/>
    <n v="1"/>
  </r>
  <r>
    <m/>
    <m/>
    <x v="1"/>
    <s v="45188011001001"/>
    <n v="-16.170000000000002"/>
    <n v="660"/>
    <n v="1"/>
    <n v="1"/>
  </r>
  <r>
    <m/>
    <m/>
    <x v="1"/>
    <s v="45200191001001"/>
    <n v="-18.23"/>
    <n v="744"/>
    <n v="1"/>
    <n v="1"/>
  </r>
  <r>
    <m/>
    <m/>
    <x v="1"/>
    <s v="45200681004001"/>
    <n v="-19.28"/>
    <n v="787"/>
    <n v="1"/>
    <n v="1"/>
  </r>
  <r>
    <m/>
    <m/>
    <x v="1"/>
    <s v="45206841001001"/>
    <n v="-51.5"/>
    <n v="2102"/>
    <n v="1"/>
    <n v="1"/>
  </r>
  <r>
    <m/>
    <m/>
    <x v="1"/>
    <s v="45253371002003"/>
    <n v="-25.8"/>
    <n v="1053"/>
    <n v="1"/>
    <n v="1"/>
  </r>
  <r>
    <m/>
    <m/>
    <x v="1"/>
    <s v="45272991001001"/>
    <n v="-6.39"/>
    <n v="261"/>
    <n v="1"/>
    <n v="1"/>
  </r>
  <r>
    <m/>
    <m/>
    <x v="1"/>
    <s v="45329621001002"/>
    <n v="-81.63"/>
    <n v="3332"/>
    <n v="1"/>
    <n v="1"/>
  </r>
  <r>
    <m/>
    <m/>
    <x v="1"/>
    <s v="45381281001001"/>
    <n v="-1.91"/>
    <n v="78"/>
    <n v="1"/>
    <n v="1"/>
  </r>
  <r>
    <m/>
    <m/>
    <x v="1"/>
    <s v="45384011001002"/>
    <n v="-50.64"/>
    <n v="2067"/>
    <n v="1"/>
    <n v="1"/>
  </r>
  <r>
    <m/>
    <m/>
    <x v="1"/>
    <s v="45435111001002"/>
    <n v="-20.56"/>
    <n v="839"/>
    <n v="1"/>
    <n v="1"/>
  </r>
  <r>
    <m/>
    <m/>
    <x v="1"/>
    <s v="45443161001003"/>
    <n v="-22.61"/>
    <n v="923"/>
    <n v="1"/>
    <n v="1"/>
  </r>
  <r>
    <m/>
    <m/>
    <x v="1"/>
    <s v="45455716004001"/>
    <n v="-49.39"/>
    <n v="2016"/>
    <n v="1"/>
    <n v="1"/>
  </r>
  <r>
    <m/>
    <m/>
    <x v="1"/>
    <s v="45487611001002"/>
    <n v="-25.16"/>
    <n v="1027"/>
    <n v="1"/>
    <n v="1"/>
  </r>
  <r>
    <m/>
    <m/>
    <x v="1"/>
    <s v="45508261001001"/>
    <n v="-27.39"/>
    <n v="1118"/>
    <n v="1"/>
    <n v="1"/>
  </r>
  <r>
    <m/>
    <m/>
    <x v="1"/>
    <s v="45595131003001"/>
    <n v="-7.84"/>
    <n v="320"/>
    <n v="1"/>
    <n v="1"/>
  </r>
  <r>
    <m/>
    <m/>
    <x v="1"/>
    <s v="45599751001003"/>
    <n v="-14.99"/>
    <n v="612"/>
    <n v="1"/>
    <n v="1"/>
  </r>
  <r>
    <m/>
    <m/>
    <x v="1"/>
    <s v="45599961001001"/>
    <n v="-0.22"/>
    <n v="9"/>
    <n v="1"/>
    <n v="1"/>
  </r>
  <r>
    <m/>
    <m/>
    <x v="1"/>
    <s v="45613471002002"/>
    <n v="-2.96"/>
    <n v="121"/>
    <n v="1"/>
    <n v="1"/>
  </r>
  <r>
    <m/>
    <m/>
    <x v="1"/>
    <s v="45628101001001"/>
    <n v="-44.79"/>
    <n v="1828"/>
    <n v="1"/>
    <n v="1"/>
  </r>
  <r>
    <m/>
    <m/>
    <x v="1"/>
    <s v="45634593001005"/>
    <n v="-4.75"/>
    <n v="194"/>
    <n v="1"/>
    <n v="1"/>
  </r>
  <r>
    <m/>
    <m/>
    <x v="1"/>
    <s v="45692851001002"/>
    <n v="-20.85"/>
    <n v="851"/>
    <n v="1"/>
    <n v="1"/>
  </r>
  <r>
    <m/>
    <m/>
    <x v="1"/>
    <s v="45755151003001"/>
    <n v="-20.87"/>
    <n v="852"/>
    <n v="1"/>
    <n v="1"/>
  </r>
  <r>
    <m/>
    <m/>
    <x v="1"/>
    <s v="45765931005001"/>
    <n v="-37.46"/>
    <n v="1529"/>
    <n v="1"/>
    <n v="1"/>
  </r>
  <r>
    <m/>
    <m/>
    <x v="1"/>
    <s v="45788681002001"/>
    <n v="-10.95"/>
    <n v="447"/>
    <n v="1"/>
    <n v="1"/>
  </r>
  <r>
    <m/>
    <m/>
    <x v="1"/>
    <s v="45796661003006"/>
    <n v="-48.73"/>
    <n v="1989"/>
    <n v="1"/>
    <n v="1"/>
  </r>
  <r>
    <m/>
    <m/>
    <x v="1"/>
    <s v="45796731002001"/>
    <n v="-16.22"/>
    <n v="662"/>
    <n v="1"/>
    <n v="1"/>
  </r>
  <r>
    <m/>
    <m/>
    <x v="1"/>
    <s v="45818361008003"/>
    <n v="-12.15"/>
    <n v="496"/>
    <n v="1"/>
    <n v="1"/>
  </r>
  <r>
    <m/>
    <m/>
    <x v="1"/>
    <s v="45846991001001"/>
    <n v="-51.96"/>
    <n v="2121"/>
    <n v="1"/>
    <n v="1"/>
  </r>
  <r>
    <m/>
    <m/>
    <x v="1"/>
    <s v="45848321002005"/>
    <n v="-5.81"/>
    <n v="237"/>
    <n v="1"/>
    <n v="1"/>
  </r>
  <r>
    <m/>
    <m/>
    <x v="1"/>
    <s v="45851261001001"/>
    <n v="-34.4"/>
    <n v="1404"/>
    <n v="1"/>
    <n v="1"/>
  </r>
  <r>
    <m/>
    <m/>
    <x v="1"/>
    <s v="45855951001001"/>
    <n v="-27.44"/>
    <n v="1120"/>
    <n v="1"/>
    <n v="1"/>
  </r>
  <r>
    <m/>
    <m/>
    <x v="1"/>
    <s v="45929941001001"/>
    <n v="-8.18"/>
    <n v="334"/>
    <n v="1"/>
    <n v="1"/>
  </r>
  <r>
    <m/>
    <m/>
    <x v="1"/>
    <s v="45955491001002"/>
    <n v="-24.35"/>
    <n v="994"/>
    <n v="1"/>
    <n v="1"/>
  </r>
  <r>
    <m/>
    <m/>
    <x v="1"/>
    <s v="46002181001004"/>
    <n v="-23.32"/>
    <n v="952"/>
    <n v="1"/>
    <n v="1"/>
  </r>
  <r>
    <m/>
    <m/>
    <x v="1"/>
    <s v="46067776002003"/>
    <n v="-21.88"/>
    <n v="893"/>
    <n v="1"/>
    <n v="1"/>
  </r>
  <r>
    <m/>
    <m/>
    <x v="1"/>
    <s v="46087791001001"/>
    <n v="-47.14"/>
    <n v="1924"/>
    <n v="1"/>
    <n v="1"/>
  </r>
  <r>
    <m/>
    <m/>
    <x v="1"/>
    <s v="46096471001002"/>
    <n v="-10"/>
    <n v="408"/>
    <n v="1"/>
    <n v="1"/>
  </r>
  <r>
    <m/>
    <m/>
    <x v="1"/>
    <s v="46108706001003"/>
    <n v="-38.24"/>
    <n v="1561"/>
    <n v="1"/>
    <n v="1"/>
  </r>
  <r>
    <m/>
    <m/>
    <x v="1"/>
    <s v="46109911001006"/>
    <n v="-21.54"/>
    <n v="879"/>
    <n v="1"/>
    <n v="1"/>
  </r>
  <r>
    <m/>
    <m/>
    <x v="1"/>
    <s v="46115161001001"/>
    <n v="-14.65"/>
    <n v="598"/>
    <n v="1"/>
    <n v="1"/>
  </r>
  <r>
    <m/>
    <m/>
    <x v="1"/>
    <s v="46127621002001"/>
    <n v="-61.3"/>
    <n v="2502"/>
    <n v="1"/>
    <n v="1"/>
  </r>
  <r>
    <m/>
    <m/>
    <x v="1"/>
    <s v="46140781001002"/>
    <n v="-18.399999999999999"/>
    <n v="751"/>
    <n v="1"/>
    <n v="1"/>
  </r>
  <r>
    <m/>
    <m/>
    <x v="1"/>
    <s v="46181801006035"/>
    <n v="-30.99"/>
    <n v="1265"/>
    <n v="1"/>
    <n v="1"/>
  </r>
  <r>
    <m/>
    <m/>
    <x v="1"/>
    <s v="46208961001005"/>
    <n v="-24.35"/>
    <n v="994"/>
    <n v="1"/>
    <n v="1"/>
  </r>
  <r>
    <m/>
    <m/>
    <x v="1"/>
    <s v="46212041001001"/>
    <n v="-0.1"/>
    <n v="4"/>
    <n v="1"/>
    <n v="1"/>
  </r>
  <r>
    <m/>
    <m/>
    <x v="1"/>
    <s v="46227600003001"/>
    <n v="-12.99"/>
    <n v="530"/>
    <n v="1"/>
    <n v="1"/>
  </r>
  <r>
    <m/>
    <m/>
    <x v="1"/>
    <s v="46228281001002"/>
    <n v="-14.8"/>
    <n v="604"/>
    <n v="1"/>
    <n v="1"/>
  </r>
  <r>
    <m/>
    <m/>
    <x v="1"/>
    <s v="46288761001001"/>
    <n v="-16.190000000000001"/>
    <n v="661"/>
    <n v="1"/>
    <n v="1"/>
  </r>
  <r>
    <m/>
    <m/>
    <x v="1"/>
    <s v="46332861005002"/>
    <n v="-59.54"/>
    <n v="2430"/>
    <n v="1"/>
    <n v="1"/>
  </r>
  <r>
    <m/>
    <m/>
    <x v="1"/>
    <s v="46341751001001"/>
    <n v="-47.55"/>
    <n v="1941"/>
    <n v="1"/>
    <n v="1"/>
  </r>
  <r>
    <m/>
    <m/>
    <x v="1"/>
    <s v="46350571001003"/>
    <n v="-5.78"/>
    <n v="236"/>
    <n v="1"/>
    <n v="1"/>
  </r>
  <r>
    <m/>
    <m/>
    <x v="1"/>
    <s v="46392431004003"/>
    <n v="-29.33"/>
    <n v="1197"/>
    <n v="1"/>
    <n v="1"/>
  </r>
  <r>
    <m/>
    <m/>
    <x v="1"/>
    <s v="46403001005001"/>
    <n v="-39.71"/>
    <n v="1621"/>
    <n v="1"/>
    <n v="1"/>
  </r>
  <r>
    <m/>
    <m/>
    <x v="1"/>
    <s v="46447731001002"/>
    <n v="-32.979999999999997"/>
    <n v="1346"/>
    <n v="1"/>
    <n v="1"/>
  </r>
  <r>
    <m/>
    <m/>
    <x v="1"/>
    <s v="46459421003005"/>
    <n v="-26.78"/>
    <n v="1093"/>
    <n v="1"/>
    <n v="1"/>
  </r>
  <r>
    <m/>
    <m/>
    <x v="1"/>
    <s v="46461591002001"/>
    <n v="-13.18"/>
    <n v="538"/>
    <n v="1"/>
    <n v="1"/>
  </r>
  <r>
    <m/>
    <m/>
    <x v="1"/>
    <s v="46484481001004"/>
    <n v="-51.45"/>
    <n v="2100"/>
    <n v="1"/>
    <n v="1"/>
  </r>
  <r>
    <m/>
    <m/>
    <x v="1"/>
    <s v="46562181001001"/>
    <n v="-40.520000000000003"/>
    <n v="1654"/>
    <n v="1"/>
    <n v="1"/>
  </r>
  <r>
    <m/>
    <m/>
    <x v="1"/>
    <s v="46613701001001"/>
    <n v="-29.42"/>
    <n v="1201"/>
    <n v="1"/>
    <n v="1"/>
  </r>
  <r>
    <m/>
    <m/>
    <x v="1"/>
    <s v="46689301001005"/>
    <n v="-22.32"/>
    <n v="911"/>
    <n v="1"/>
    <n v="1"/>
  </r>
  <r>
    <m/>
    <m/>
    <x v="1"/>
    <s v="46747261004013"/>
    <n v="-15.95"/>
    <n v="651"/>
    <n v="1"/>
    <n v="1"/>
  </r>
  <r>
    <m/>
    <m/>
    <x v="1"/>
    <s v="46749431002001"/>
    <n v="-9.11"/>
    <n v="372"/>
    <n v="1"/>
    <n v="1"/>
  </r>
  <r>
    <m/>
    <m/>
    <x v="1"/>
    <s v="46774841003005"/>
    <n v="-26.26"/>
    <n v="1072"/>
    <n v="1"/>
    <n v="1"/>
  </r>
  <r>
    <m/>
    <m/>
    <x v="1"/>
    <s v="46806971002001"/>
    <n v="-39.03"/>
    <n v="1593"/>
    <n v="1"/>
    <n v="1"/>
  </r>
  <r>
    <m/>
    <m/>
    <x v="1"/>
    <s v="46853523001007"/>
    <n v="-11.74"/>
    <n v="479"/>
    <n v="1"/>
    <n v="1"/>
  </r>
  <r>
    <m/>
    <m/>
    <x v="1"/>
    <s v="46868991001001"/>
    <n v="-21.58"/>
    <n v="881"/>
    <n v="1"/>
    <n v="1"/>
  </r>
  <r>
    <m/>
    <m/>
    <x v="1"/>
    <s v="46933740002003"/>
    <n v="-8.33"/>
    <n v="340"/>
    <n v="1"/>
    <n v="1"/>
  </r>
  <r>
    <m/>
    <m/>
    <x v="1"/>
    <s v="46955931001002"/>
    <n v="-4.7"/>
    <n v="192"/>
    <n v="1"/>
    <n v="1"/>
  </r>
  <r>
    <m/>
    <m/>
    <x v="1"/>
    <s v="47056381002002"/>
    <n v="-30.38"/>
    <n v="1240"/>
    <n v="1"/>
    <n v="1"/>
  </r>
  <r>
    <m/>
    <m/>
    <x v="1"/>
    <s v="47162081002004"/>
    <n v="-20.07"/>
    <n v="819"/>
    <n v="1"/>
    <n v="1"/>
  </r>
  <r>
    <m/>
    <m/>
    <x v="1"/>
    <s v="47164607001003"/>
    <n v="-7.33"/>
    <n v="299"/>
    <n v="1"/>
    <n v="1"/>
  </r>
  <r>
    <m/>
    <m/>
    <x v="1"/>
    <s v="47166561001004"/>
    <n v="-48.83"/>
    <n v="1993"/>
    <n v="1"/>
    <n v="1"/>
  </r>
  <r>
    <m/>
    <m/>
    <x v="1"/>
    <s v="47167121008001"/>
    <n v="-56.01"/>
    <n v="2286"/>
    <n v="1"/>
    <n v="1"/>
  </r>
  <r>
    <m/>
    <m/>
    <x v="1"/>
    <s v="47189634001001"/>
    <n v="-21.02"/>
    <n v="858"/>
    <n v="1"/>
    <n v="1"/>
  </r>
  <r>
    <m/>
    <m/>
    <x v="1"/>
    <s v="47203101003001"/>
    <n v="-67.38"/>
    <n v="2750"/>
    <n v="1"/>
    <n v="1"/>
  </r>
  <r>
    <m/>
    <m/>
    <x v="1"/>
    <s v="47210031006001"/>
    <n v="-28.1"/>
    <n v="1147"/>
    <n v="1"/>
    <n v="1"/>
  </r>
  <r>
    <m/>
    <m/>
    <x v="1"/>
    <s v="47227107001005"/>
    <n v="-5.37"/>
    <n v="219"/>
    <n v="1"/>
    <n v="1"/>
  </r>
  <r>
    <m/>
    <m/>
    <x v="1"/>
    <s v="47234572001003"/>
    <n v="-10.8"/>
    <n v="441"/>
    <n v="1"/>
    <n v="1"/>
  </r>
  <r>
    <m/>
    <m/>
    <x v="1"/>
    <s v="47299108003003"/>
    <n v="-17.05"/>
    <n v="696"/>
    <n v="1"/>
    <n v="1"/>
  </r>
  <r>
    <m/>
    <m/>
    <x v="1"/>
    <s v="47309291001002"/>
    <n v="-8.2799999999999994"/>
    <n v="338"/>
    <n v="1"/>
    <n v="1"/>
  </r>
  <r>
    <m/>
    <m/>
    <x v="1"/>
    <s v="47315031001007"/>
    <n v="-5.32"/>
    <n v="217"/>
    <n v="1"/>
    <n v="1"/>
  </r>
  <r>
    <m/>
    <m/>
    <x v="1"/>
    <s v="47328121002001"/>
    <n v="-30.06"/>
    <n v="1227"/>
    <n v="1"/>
    <n v="1"/>
  </r>
  <r>
    <m/>
    <m/>
    <x v="1"/>
    <s v="47335261001008"/>
    <n v="-25.63"/>
    <n v="1046"/>
    <n v="1"/>
    <n v="1"/>
  </r>
  <r>
    <m/>
    <m/>
    <x v="1"/>
    <s v="47404141001001"/>
    <n v="-19.75"/>
    <n v="806"/>
    <n v="1"/>
    <n v="1"/>
  </r>
  <r>
    <m/>
    <m/>
    <x v="1"/>
    <s v="47418141001001"/>
    <n v="-23.05"/>
    <n v="941"/>
    <n v="1"/>
    <n v="1"/>
  </r>
  <r>
    <m/>
    <m/>
    <x v="1"/>
    <s v="47484221001003"/>
    <n v="-9.75"/>
    <n v="398"/>
    <n v="1"/>
    <n v="1"/>
  </r>
  <r>
    <m/>
    <m/>
    <x v="1"/>
    <s v="47496751010001"/>
    <n v="-19.940000000000001"/>
    <n v="814"/>
    <n v="1"/>
    <n v="1"/>
  </r>
  <r>
    <m/>
    <m/>
    <x v="1"/>
    <s v="47505992001004"/>
    <n v="-52.14"/>
    <n v="2128"/>
    <n v="1"/>
    <n v="1"/>
  </r>
  <r>
    <m/>
    <m/>
    <x v="1"/>
    <s v="47558607001001"/>
    <n v="-45.08"/>
    <n v="1840"/>
    <n v="1"/>
    <n v="1"/>
  </r>
  <r>
    <m/>
    <m/>
    <x v="1"/>
    <s v="47567311002006"/>
    <n v="-31.83"/>
    <n v="1299"/>
    <n v="1"/>
    <n v="1"/>
  </r>
  <r>
    <m/>
    <m/>
    <x v="1"/>
    <s v="47593271001001"/>
    <n v="-20.75"/>
    <n v="847"/>
    <n v="1"/>
    <n v="1"/>
  </r>
  <r>
    <m/>
    <m/>
    <x v="1"/>
    <s v="47598881005001"/>
    <n v="-24.21"/>
    <n v="988"/>
    <n v="1"/>
    <n v="1"/>
  </r>
  <r>
    <m/>
    <m/>
    <x v="1"/>
    <s v="47603221004001"/>
    <n v="-2.2799999999999998"/>
    <n v="93"/>
    <n v="1"/>
    <n v="1"/>
  </r>
  <r>
    <m/>
    <m/>
    <x v="1"/>
    <s v="47671401001005"/>
    <n v="-43.17"/>
    <n v="1762"/>
    <n v="1"/>
    <n v="1"/>
  </r>
  <r>
    <m/>
    <m/>
    <x v="1"/>
    <s v="47673221001005"/>
    <n v="-19.649999999999999"/>
    <n v="802"/>
    <n v="1"/>
    <n v="1"/>
  </r>
  <r>
    <m/>
    <m/>
    <x v="1"/>
    <s v="47696251001001"/>
    <n v="-29.96"/>
    <n v="1223"/>
    <n v="1"/>
    <n v="1"/>
  </r>
  <r>
    <m/>
    <m/>
    <x v="1"/>
    <s v="47707871002001"/>
    <n v="-43.51"/>
    <n v="1776"/>
    <n v="1"/>
    <n v="1"/>
  </r>
  <r>
    <m/>
    <m/>
    <x v="1"/>
    <s v="47758971002003"/>
    <n v="-1.52"/>
    <n v="62"/>
    <n v="1"/>
    <n v="1"/>
  </r>
  <r>
    <m/>
    <m/>
    <x v="1"/>
    <s v="47759881007003"/>
    <n v="-8.2799999999999994"/>
    <n v="338"/>
    <n v="1"/>
    <n v="1"/>
  </r>
  <r>
    <m/>
    <m/>
    <x v="1"/>
    <s v="47762878002003"/>
    <n v="-15.95"/>
    <n v="651"/>
    <n v="1"/>
    <n v="1"/>
  </r>
  <r>
    <m/>
    <m/>
    <x v="1"/>
    <s v="47778151001004"/>
    <n v="-73.209999999999994"/>
    <n v="2988"/>
    <n v="1"/>
    <n v="1"/>
  </r>
  <r>
    <m/>
    <m/>
    <x v="1"/>
    <s v="47795791001001"/>
    <n v="-29.3"/>
    <n v="1196"/>
    <n v="1"/>
    <n v="1"/>
  </r>
  <r>
    <m/>
    <m/>
    <x v="1"/>
    <s v="47848571001001"/>
    <n v="-18.03"/>
    <n v="736"/>
    <n v="1"/>
    <n v="1"/>
  </r>
  <r>
    <m/>
    <m/>
    <x v="1"/>
    <s v="47849621001003"/>
    <n v="-36.159999999999997"/>
    <n v="1476"/>
    <n v="1"/>
    <n v="1"/>
  </r>
  <r>
    <m/>
    <m/>
    <x v="1"/>
    <s v="47863481003003"/>
    <n v="-44.32"/>
    <n v="1809"/>
    <n v="1"/>
    <n v="1"/>
  </r>
  <r>
    <m/>
    <m/>
    <x v="1"/>
    <s v="47865371001001"/>
    <n v="-25.24"/>
    <n v="1030"/>
    <n v="1"/>
    <n v="1"/>
  </r>
  <r>
    <m/>
    <m/>
    <x v="1"/>
    <s v="47871671002003"/>
    <n v="-19.87"/>
    <n v="811"/>
    <n v="1"/>
    <n v="1"/>
  </r>
  <r>
    <m/>
    <m/>
    <x v="1"/>
    <s v="47874432001002"/>
    <n v="-35.840000000000003"/>
    <n v="1463"/>
    <n v="1"/>
    <n v="1"/>
  </r>
  <r>
    <m/>
    <m/>
    <x v="1"/>
    <s v="47902401001001"/>
    <n v="-38.56"/>
    <n v="1574"/>
    <n v="1"/>
    <n v="1"/>
  </r>
  <r>
    <m/>
    <m/>
    <x v="1"/>
    <s v="47907721006007"/>
    <n v="-27.22"/>
    <n v="1111"/>
    <n v="1"/>
    <n v="1"/>
  </r>
  <r>
    <m/>
    <m/>
    <x v="1"/>
    <s v="47951681001003"/>
    <n v="-24.7"/>
    <n v="1008"/>
    <n v="1"/>
    <n v="1"/>
  </r>
  <r>
    <m/>
    <m/>
    <x v="1"/>
    <s v="48019581004001"/>
    <n v="-24.72"/>
    <n v="1009"/>
    <n v="1"/>
    <n v="1"/>
  </r>
  <r>
    <m/>
    <m/>
    <x v="1"/>
    <s v="48037431004001"/>
    <n v="-52.72"/>
    <n v="2152"/>
    <n v="1"/>
    <n v="1"/>
  </r>
  <r>
    <m/>
    <m/>
    <x v="1"/>
    <s v="48051781001007"/>
    <n v="-24.82"/>
    <n v="1013"/>
    <n v="1"/>
    <n v="1"/>
  </r>
  <r>
    <m/>
    <m/>
    <x v="1"/>
    <s v="48090281007001"/>
    <n v="-52.31"/>
    <n v="2135"/>
    <n v="1"/>
    <n v="1"/>
  </r>
  <r>
    <m/>
    <m/>
    <x v="1"/>
    <s v="48098261002004"/>
    <n v="-24.03"/>
    <n v="981"/>
    <n v="1"/>
    <n v="1"/>
  </r>
  <r>
    <m/>
    <m/>
    <x v="1"/>
    <s v="48098490001001"/>
    <n v="-32.409999999999997"/>
    <n v="1323"/>
    <n v="1"/>
    <n v="1"/>
  </r>
  <r>
    <m/>
    <m/>
    <x v="1"/>
    <s v="48109251001002"/>
    <n v="-17"/>
    <n v="694"/>
    <n v="1"/>
    <n v="1"/>
  </r>
  <r>
    <m/>
    <m/>
    <x v="1"/>
    <s v="48227142001001"/>
    <n v="-19.13"/>
    <n v="781"/>
    <n v="1"/>
    <n v="1"/>
  </r>
  <r>
    <m/>
    <m/>
    <x v="1"/>
    <s v="48244561001001"/>
    <n v="-37.36"/>
    <n v="1525"/>
    <n v="1"/>
    <n v="1"/>
  </r>
  <r>
    <m/>
    <m/>
    <x v="1"/>
    <s v="48270598001001"/>
    <n v="-30.36"/>
    <n v="1239"/>
    <n v="1"/>
    <n v="1"/>
  </r>
  <r>
    <m/>
    <m/>
    <x v="1"/>
    <s v="48320511001002"/>
    <n v="-11.86"/>
    <n v="484"/>
    <n v="1"/>
    <n v="1"/>
  </r>
  <r>
    <m/>
    <m/>
    <x v="1"/>
    <s v="48498657001001"/>
    <n v="-14.04"/>
    <n v="573"/>
    <n v="1"/>
    <n v="1"/>
  </r>
  <r>
    <m/>
    <m/>
    <x v="1"/>
    <s v="48520235002004"/>
    <n v="-4.8499999999999996"/>
    <n v="198"/>
    <n v="1"/>
    <n v="1"/>
  </r>
  <r>
    <m/>
    <m/>
    <x v="1"/>
    <s v="48617101001002"/>
    <n v="-6.91"/>
    <n v="282"/>
    <n v="1"/>
    <n v="1"/>
  </r>
  <r>
    <m/>
    <m/>
    <x v="1"/>
    <s v="48622948001002"/>
    <n v="-15.58"/>
    <n v="636"/>
    <n v="1"/>
    <n v="1"/>
  </r>
  <r>
    <m/>
    <m/>
    <x v="1"/>
    <s v="48676391001001"/>
    <n v="-25.7"/>
    <n v="1049"/>
    <n v="1"/>
    <n v="1"/>
  </r>
  <r>
    <m/>
    <m/>
    <x v="1"/>
    <s v="48681659001003"/>
    <n v="-1.25"/>
    <n v="51"/>
    <n v="1"/>
    <n v="1"/>
  </r>
  <r>
    <m/>
    <m/>
    <x v="1"/>
    <s v="48754161004001"/>
    <n v="-64.209999999999994"/>
    <n v="2621"/>
    <n v="1"/>
    <n v="1"/>
  </r>
  <r>
    <m/>
    <m/>
    <x v="1"/>
    <s v="48919522001001"/>
    <n v="-39.450000000000003"/>
    <n v="1610"/>
    <n v="1"/>
    <n v="1"/>
  </r>
  <r>
    <m/>
    <m/>
    <x v="1"/>
    <s v="48925311003003"/>
    <n v="-26.48"/>
    <n v="1081"/>
    <n v="1"/>
    <n v="1"/>
  </r>
  <r>
    <m/>
    <m/>
    <x v="1"/>
    <s v="48926217001001"/>
    <n v="-39.69"/>
    <n v="1620"/>
    <n v="1"/>
    <n v="1"/>
  </r>
  <r>
    <m/>
    <m/>
    <x v="1"/>
    <s v="48944491003004"/>
    <n v="-29.25"/>
    <n v="1194"/>
    <n v="1"/>
    <n v="1"/>
  </r>
  <r>
    <m/>
    <m/>
    <x v="1"/>
    <s v="48985511001001"/>
    <n v="-37.85"/>
    <n v="1545"/>
    <n v="1"/>
    <n v="1"/>
  </r>
  <r>
    <m/>
    <m/>
    <x v="1"/>
    <s v="48996360001005"/>
    <n v="-19.670000000000002"/>
    <n v="803"/>
    <n v="1"/>
    <n v="1"/>
  </r>
  <r>
    <m/>
    <m/>
    <x v="1"/>
    <s v="49040181002004"/>
    <n v="-5.32"/>
    <n v="217"/>
    <n v="1"/>
    <n v="1"/>
  </r>
  <r>
    <m/>
    <m/>
    <x v="1"/>
    <s v="49078891001002"/>
    <n v="-5.51"/>
    <n v="225"/>
    <n v="1"/>
    <n v="1"/>
  </r>
  <r>
    <m/>
    <m/>
    <x v="1"/>
    <s v="49240871005001"/>
    <n v="-9.6999999999999993"/>
    <n v="396"/>
    <n v="1"/>
    <n v="1"/>
  </r>
  <r>
    <m/>
    <m/>
    <x v="1"/>
    <s v="49283851001002"/>
    <n v="-56.72"/>
    <n v="2315"/>
    <n v="1"/>
    <n v="1"/>
  </r>
  <r>
    <m/>
    <m/>
    <x v="1"/>
    <s v="49301721001001"/>
    <n v="-26.83"/>
    <n v="1095"/>
    <n v="1"/>
    <n v="1"/>
  </r>
  <r>
    <m/>
    <m/>
    <x v="1"/>
    <s v="49320041001002"/>
    <n v="-8.84"/>
    <n v="361"/>
    <n v="1"/>
    <n v="1"/>
  </r>
  <r>
    <m/>
    <m/>
    <x v="1"/>
    <s v="49399211004004"/>
    <n v="-22.34"/>
    <n v="912"/>
    <n v="1"/>
    <n v="1"/>
  </r>
  <r>
    <m/>
    <m/>
    <x v="1"/>
    <s v="49419650001003"/>
    <n v="-32.9"/>
    <n v="1343"/>
    <n v="1"/>
    <n v="1"/>
  </r>
  <r>
    <m/>
    <m/>
    <x v="1"/>
    <s v="49422279001002"/>
    <n v="-31.92"/>
    <n v="1303"/>
    <n v="1"/>
    <n v="1"/>
  </r>
  <r>
    <m/>
    <m/>
    <x v="1"/>
    <s v="49494020001001"/>
    <n v="-53.34"/>
    <n v="2177"/>
    <n v="1"/>
    <n v="1"/>
  </r>
  <r>
    <m/>
    <m/>
    <x v="1"/>
    <s v="49495461002007"/>
    <n v="-19.920000000000002"/>
    <n v="813"/>
    <n v="1"/>
    <n v="1"/>
  </r>
  <r>
    <m/>
    <m/>
    <x v="1"/>
    <s v="49495741001001"/>
    <n v="-33.659999999999997"/>
    <n v="1374"/>
    <n v="1"/>
    <n v="1"/>
  </r>
  <r>
    <m/>
    <m/>
    <x v="1"/>
    <s v="49508621001001"/>
    <n v="-22.49"/>
    <n v="918"/>
    <n v="1"/>
    <n v="1"/>
  </r>
  <r>
    <m/>
    <m/>
    <x v="1"/>
    <s v="49522201001002"/>
    <n v="-31.73"/>
    <n v="1295"/>
    <n v="1"/>
    <n v="1"/>
  </r>
  <r>
    <m/>
    <m/>
    <x v="1"/>
    <s v="49528221002003"/>
    <n v="-35.11"/>
    <n v="1433"/>
    <n v="1"/>
    <n v="1"/>
  </r>
  <r>
    <m/>
    <m/>
    <x v="1"/>
    <s v="49543901002001"/>
    <n v="-28.57"/>
    <n v="1166"/>
    <n v="1"/>
    <n v="1"/>
  </r>
  <r>
    <m/>
    <m/>
    <x v="1"/>
    <s v="49555941001005"/>
    <n v="-64.680000000000007"/>
    <n v="2640"/>
    <n v="1"/>
    <n v="1"/>
  </r>
  <r>
    <m/>
    <m/>
    <x v="1"/>
    <s v="49577991001002"/>
    <n v="-16.05"/>
    <n v="655"/>
    <n v="1"/>
    <n v="1"/>
  </r>
  <r>
    <m/>
    <m/>
    <x v="1"/>
    <s v="49585614001003"/>
    <n v="-18.059999999999999"/>
    <n v="737"/>
    <n v="1"/>
    <n v="1"/>
  </r>
  <r>
    <m/>
    <m/>
    <x v="1"/>
    <s v="49597101001003"/>
    <n v="-2.62"/>
    <n v="107"/>
    <n v="1"/>
    <n v="1"/>
  </r>
  <r>
    <m/>
    <m/>
    <x v="1"/>
    <s v="49656951001001"/>
    <n v="-28.03"/>
    <n v="1144"/>
    <n v="1"/>
    <n v="1"/>
  </r>
  <r>
    <m/>
    <m/>
    <x v="1"/>
    <s v="49663504001001"/>
    <n v="-9.5299999999999994"/>
    <n v="389"/>
    <n v="1"/>
    <n v="1"/>
  </r>
  <r>
    <m/>
    <m/>
    <x v="1"/>
    <s v="49672030001003"/>
    <n v="-25.5"/>
    <n v="1041"/>
    <n v="1"/>
    <n v="1"/>
  </r>
  <r>
    <m/>
    <m/>
    <x v="1"/>
    <s v="49686351001004"/>
    <n v="-22.69"/>
    <n v="926"/>
    <n v="1"/>
    <n v="1"/>
  </r>
  <r>
    <m/>
    <m/>
    <x v="1"/>
    <s v="49762441001002"/>
    <n v="-5.17"/>
    <n v="211"/>
    <n v="1"/>
    <n v="1"/>
  </r>
  <r>
    <m/>
    <m/>
    <x v="1"/>
    <s v="49824467001003"/>
    <n v="-21.34"/>
    <n v="871"/>
    <n v="1"/>
    <n v="1"/>
  </r>
  <r>
    <m/>
    <m/>
    <x v="1"/>
    <s v="49885151001001"/>
    <n v="-22"/>
    <n v="898"/>
    <n v="1"/>
    <n v="1"/>
  </r>
  <r>
    <m/>
    <m/>
    <x v="1"/>
    <s v="49930301001001"/>
    <n v="-32.29"/>
    <n v="1318"/>
    <n v="1"/>
    <n v="1"/>
  </r>
  <r>
    <m/>
    <m/>
    <x v="1"/>
    <s v="50008447001011"/>
    <n v="-24.97"/>
    <n v="1019"/>
    <n v="1"/>
    <n v="1"/>
  </r>
  <r>
    <m/>
    <m/>
    <x v="1"/>
    <s v="50047300001003"/>
    <n v="-35.299999999999997"/>
    <n v="1441"/>
    <n v="1"/>
    <n v="1"/>
  </r>
  <r>
    <m/>
    <m/>
    <x v="1"/>
    <s v="50087731002008"/>
    <n v="-17.100000000000001"/>
    <n v="698"/>
    <n v="1"/>
    <n v="1"/>
  </r>
  <r>
    <m/>
    <m/>
    <x v="1"/>
    <s v="50112547001005"/>
    <n v="-38.659999999999997"/>
    <n v="1578"/>
    <n v="1"/>
    <n v="1"/>
  </r>
  <r>
    <m/>
    <m/>
    <x v="1"/>
    <s v="50185311001007"/>
    <n v="-28.22"/>
    <n v="1152"/>
    <n v="1"/>
    <n v="1"/>
  </r>
  <r>
    <m/>
    <m/>
    <x v="1"/>
    <s v="50193571001001"/>
    <n v="-24.67"/>
    <n v="1007"/>
    <n v="1"/>
    <n v="1"/>
  </r>
  <r>
    <m/>
    <m/>
    <x v="1"/>
    <s v="50237638001001"/>
    <n v="-21.66"/>
    <n v="884"/>
    <n v="1"/>
    <n v="1"/>
  </r>
  <r>
    <m/>
    <m/>
    <x v="1"/>
    <s v="50368711001001"/>
    <n v="-36.950000000000003"/>
    <n v="1508"/>
    <n v="1"/>
    <n v="1"/>
  </r>
  <r>
    <m/>
    <m/>
    <x v="1"/>
    <s v="50379561001003"/>
    <n v="-0.91"/>
    <n v="37"/>
    <n v="1"/>
    <n v="1"/>
  </r>
  <r>
    <m/>
    <m/>
    <x v="1"/>
    <s v="50381816001001"/>
    <n v="-6.22"/>
    <n v="254"/>
    <n v="1"/>
    <n v="1"/>
  </r>
  <r>
    <m/>
    <m/>
    <x v="1"/>
    <s v="50402241001002"/>
    <n v="-14.36"/>
    <n v="586"/>
    <n v="1"/>
    <n v="1"/>
  </r>
  <r>
    <m/>
    <m/>
    <x v="1"/>
    <s v="50442211002001"/>
    <n v="-23.13"/>
    <n v="944"/>
    <n v="1"/>
    <n v="1"/>
  </r>
  <r>
    <m/>
    <m/>
    <x v="1"/>
    <s v="50446617005005"/>
    <n v="-9.43"/>
    <n v="385"/>
    <n v="1"/>
    <n v="1"/>
  </r>
  <r>
    <m/>
    <m/>
    <x v="1"/>
    <s v="50448651006001"/>
    <n v="-21.24"/>
    <n v="867"/>
    <n v="1"/>
    <n v="1"/>
  </r>
  <r>
    <m/>
    <m/>
    <x v="1"/>
    <s v="50475466003001"/>
    <n v="-34.619999999999997"/>
    <n v="1413"/>
    <n v="1"/>
    <n v="1"/>
  </r>
  <r>
    <m/>
    <m/>
    <x v="1"/>
    <s v="50499961001001"/>
    <n v="-27.27"/>
    <n v="1113"/>
    <n v="1"/>
    <n v="1"/>
  </r>
  <r>
    <m/>
    <m/>
    <x v="1"/>
    <s v="50535031003001"/>
    <n v="-38.22"/>
    <n v="1560"/>
    <n v="1"/>
    <n v="1"/>
  </r>
  <r>
    <m/>
    <m/>
    <x v="1"/>
    <s v="50570311001001"/>
    <n v="-29.82"/>
    <n v="1217"/>
    <n v="1"/>
    <n v="1"/>
  </r>
  <r>
    <m/>
    <m/>
    <x v="1"/>
    <s v="50573811005005"/>
    <n v="-53.26"/>
    <n v="2174"/>
    <n v="1"/>
    <n v="1"/>
  </r>
  <r>
    <m/>
    <m/>
    <x v="1"/>
    <s v="50587853001001"/>
    <n v="-4.46"/>
    <n v="182"/>
    <n v="1"/>
    <n v="1"/>
  </r>
  <r>
    <m/>
    <m/>
    <x v="1"/>
    <s v="50603564001001"/>
    <n v="-31.31"/>
    <n v="1278"/>
    <n v="1"/>
    <n v="1"/>
  </r>
  <r>
    <m/>
    <m/>
    <x v="1"/>
    <s v="50633661001004"/>
    <n v="-16.02"/>
    <n v="654"/>
    <n v="1"/>
    <n v="1"/>
  </r>
  <r>
    <m/>
    <m/>
    <x v="1"/>
    <s v="50634081002001"/>
    <n v="-0.49"/>
    <n v="20"/>
    <n v="1"/>
    <n v="1"/>
  </r>
  <r>
    <m/>
    <m/>
    <x v="1"/>
    <s v="50645281001001"/>
    <n v="-28.27"/>
    <n v="1154"/>
    <n v="1"/>
    <n v="1"/>
  </r>
  <r>
    <m/>
    <m/>
    <x v="1"/>
    <s v="50670003002005"/>
    <n v="-29.52"/>
    <n v="1205"/>
    <n v="1"/>
    <n v="1"/>
  </r>
  <r>
    <m/>
    <m/>
    <x v="1"/>
    <s v="50692811001009"/>
    <n v="-0.42"/>
    <n v="17"/>
    <n v="1"/>
    <n v="1"/>
  </r>
  <r>
    <m/>
    <m/>
    <x v="1"/>
    <s v="50704851001003"/>
    <n v="-22.96"/>
    <n v="937"/>
    <n v="1"/>
    <n v="1"/>
  </r>
  <r>
    <m/>
    <m/>
    <x v="1"/>
    <s v="50707021001003"/>
    <n v="-39.94"/>
    <n v="1630"/>
    <n v="1"/>
    <n v="1"/>
  </r>
  <r>
    <m/>
    <m/>
    <x v="1"/>
    <s v="50737681001001"/>
    <n v="-25.48"/>
    <n v="1040"/>
    <n v="1"/>
    <n v="1"/>
  </r>
  <r>
    <m/>
    <m/>
    <x v="1"/>
    <s v="50750548001001"/>
    <n v="-24.67"/>
    <n v="1007"/>
    <n v="1"/>
    <n v="1"/>
  </r>
  <r>
    <m/>
    <m/>
    <x v="1"/>
    <s v="50774501001001"/>
    <n v="-26.83"/>
    <n v="1095"/>
    <n v="1"/>
    <n v="1"/>
  </r>
  <r>
    <m/>
    <m/>
    <x v="1"/>
    <s v="50791371001002"/>
    <n v="-17.86"/>
    <n v="729"/>
    <n v="1"/>
    <n v="1"/>
  </r>
  <r>
    <m/>
    <m/>
    <x v="1"/>
    <s v="50806272001001"/>
    <n v="-29.03"/>
    <n v="1185"/>
    <n v="1"/>
    <n v="1"/>
  </r>
  <r>
    <m/>
    <m/>
    <x v="1"/>
    <s v="50839041006001"/>
    <n v="-29.94"/>
    <n v="1222"/>
    <n v="1"/>
    <n v="1"/>
  </r>
  <r>
    <m/>
    <m/>
    <x v="1"/>
    <s v="50841001001001"/>
    <n v="-0.37"/>
    <n v="15"/>
    <n v="1"/>
    <n v="1"/>
  </r>
  <r>
    <m/>
    <m/>
    <x v="1"/>
    <s v="50841762002002"/>
    <n v="-27.54"/>
    <n v="1124"/>
    <n v="1"/>
    <n v="1"/>
  </r>
  <r>
    <m/>
    <m/>
    <x v="1"/>
    <s v="50841911003002"/>
    <n v="-21.44"/>
    <n v="875"/>
    <n v="1"/>
    <n v="1"/>
  </r>
  <r>
    <m/>
    <m/>
    <x v="1"/>
    <s v="50852621001002"/>
    <n v="-8.9700000000000006"/>
    <n v="366"/>
    <n v="1"/>
    <n v="1"/>
  </r>
  <r>
    <m/>
    <m/>
    <x v="1"/>
    <s v="50860461001005"/>
    <n v="-12.54"/>
    <n v="512"/>
    <n v="1"/>
    <n v="1"/>
  </r>
  <r>
    <m/>
    <m/>
    <x v="1"/>
    <s v="50901131002003"/>
    <n v="-21.41"/>
    <n v="874"/>
    <n v="1"/>
    <n v="1"/>
  </r>
  <r>
    <m/>
    <m/>
    <x v="1"/>
    <s v="50903441001001"/>
    <n v="-59.95"/>
    <n v="2447"/>
    <n v="1"/>
    <n v="1"/>
  </r>
  <r>
    <m/>
    <m/>
    <x v="1"/>
    <s v="50924581001001"/>
    <n v="-38.86"/>
    <n v="1586"/>
    <n v="1"/>
    <n v="1"/>
  </r>
  <r>
    <m/>
    <m/>
    <x v="1"/>
    <s v="50950411001003"/>
    <n v="-17.100000000000001"/>
    <n v="698"/>
    <n v="1"/>
    <n v="1"/>
  </r>
  <r>
    <m/>
    <m/>
    <x v="1"/>
    <s v="50978201001001"/>
    <n v="-30.94"/>
    <n v="1263"/>
    <n v="1"/>
    <n v="1"/>
  </r>
  <r>
    <m/>
    <m/>
    <x v="1"/>
    <s v="50996471001001"/>
    <n v="-26.56"/>
    <n v="1084"/>
    <n v="1"/>
    <n v="1"/>
  </r>
  <r>
    <m/>
    <m/>
    <x v="1"/>
    <s v="50996751002001"/>
    <n v="-44.54"/>
    <n v="1818"/>
    <n v="1"/>
    <n v="1"/>
  </r>
  <r>
    <m/>
    <m/>
    <x v="1"/>
    <s v="50998792001004"/>
    <n v="-22.3"/>
    <n v="910"/>
    <n v="1"/>
    <n v="1"/>
  </r>
  <r>
    <m/>
    <m/>
    <x v="1"/>
    <s v="51004521001001"/>
    <n v="-26.63"/>
    <n v="1087"/>
    <n v="1"/>
    <n v="1"/>
  </r>
  <r>
    <m/>
    <m/>
    <x v="1"/>
    <s v="51018171004001"/>
    <n v="-6.44"/>
    <n v="263"/>
    <n v="1"/>
    <n v="1"/>
  </r>
  <r>
    <m/>
    <m/>
    <x v="1"/>
    <s v="51040081001001"/>
    <n v="-19.75"/>
    <n v="806"/>
    <n v="1"/>
    <n v="1"/>
  </r>
  <r>
    <m/>
    <m/>
    <x v="1"/>
    <s v="51068641001003"/>
    <n v="-31.95"/>
    <n v="1304"/>
    <n v="1"/>
    <n v="1"/>
  </r>
  <r>
    <m/>
    <m/>
    <x v="1"/>
    <s v="51088381003003"/>
    <n v="-8.65"/>
    <n v="353"/>
    <n v="1"/>
    <n v="1"/>
  </r>
  <r>
    <m/>
    <m/>
    <x v="1"/>
    <s v="51094611001002"/>
    <n v="-6.49"/>
    <n v="265"/>
    <n v="1"/>
    <n v="1"/>
  </r>
  <r>
    <m/>
    <m/>
    <x v="1"/>
    <s v="51123890001005"/>
    <n v="-18.03"/>
    <n v="736"/>
    <n v="1"/>
    <n v="1"/>
  </r>
  <r>
    <m/>
    <m/>
    <x v="1"/>
    <s v="51130381001001"/>
    <n v="-18.11"/>
    <n v="739"/>
    <n v="1"/>
    <n v="1"/>
  </r>
  <r>
    <m/>
    <m/>
    <x v="1"/>
    <s v="51130521001001"/>
    <n v="-31.24"/>
    <n v="1275"/>
    <n v="1"/>
    <n v="1"/>
  </r>
  <r>
    <m/>
    <m/>
    <x v="1"/>
    <s v="51132481001002"/>
    <n v="-39.54"/>
    <n v="1614"/>
    <n v="1"/>
    <n v="1"/>
  </r>
  <r>
    <m/>
    <m/>
    <x v="1"/>
    <s v="51134651003001"/>
    <n v="-17.489999999999998"/>
    <n v="714"/>
    <n v="1"/>
    <n v="1"/>
  </r>
  <r>
    <m/>
    <m/>
    <x v="1"/>
    <s v="51136541001001"/>
    <n v="-25.5"/>
    <n v="1041"/>
    <n v="1"/>
    <n v="1"/>
  </r>
  <r>
    <m/>
    <m/>
    <x v="1"/>
    <s v="51148861001002"/>
    <n v="-19.72"/>
    <n v="805"/>
    <n v="1"/>
    <n v="1"/>
  </r>
  <r>
    <m/>
    <m/>
    <x v="1"/>
    <s v="51157051002006"/>
    <n v="-37.979999999999997"/>
    <n v="1550"/>
    <n v="1"/>
    <n v="1"/>
  </r>
  <r>
    <m/>
    <m/>
    <x v="1"/>
    <s v="51163211002005"/>
    <n v="-40.450000000000003"/>
    <n v="1651"/>
    <n v="1"/>
    <n v="1"/>
  </r>
  <r>
    <m/>
    <m/>
    <x v="1"/>
    <s v="51165241001003"/>
    <n v="-8.6999999999999993"/>
    <n v="355"/>
    <n v="1"/>
    <n v="1"/>
  </r>
  <r>
    <m/>
    <m/>
    <x v="1"/>
    <s v="51172101004001"/>
    <n v="-35.65"/>
    <n v="1455"/>
    <n v="1"/>
    <n v="1"/>
  </r>
  <r>
    <m/>
    <m/>
    <x v="1"/>
    <s v="51185331001003"/>
    <n v="-46.04"/>
    <n v="1879"/>
    <n v="1"/>
    <n v="1"/>
  </r>
  <r>
    <m/>
    <m/>
    <x v="1"/>
    <s v="51193241002001"/>
    <n v="-32.590000000000003"/>
    <n v="1330"/>
    <n v="1"/>
    <n v="1"/>
  </r>
  <r>
    <m/>
    <m/>
    <x v="1"/>
    <s v="51206961001001"/>
    <n v="-16"/>
    <n v="653"/>
    <n v="1"/>
    <n v="1"/>
  </r>
  <r>
    <m/>
    <m/>
    <x v="1"/>
    <s v="51297541001005"/>
    <n v="-75.83"/>
    <n v="3095"/>
    <n v="1"/>
    <n v="1"/>
  </r>
  <r>
    <m/>
    <m/>
    <x v="1"/>
    <s v="51312171001001"/>
    <n v="-0.91"/>
    <n v="37"/>
    <n v="1"/>
    <n v="1"/>
  </r>
  <r>
    <m/>
    <m/>
    <x v="1"/>
    <s v="51333171001001"/>
    <n v="-53.26"/>
    <n v="2174"/>
    <n v="1"/>
    <n v="1"/>
  </r>
  <r>
    <m/>
    <m/>
    <x v="1"/>
    <s v="51335971001001"/>
    <n v="-42.48"/>
    <n v="1734"/>
    <n v="1"/>
    <n v="1"/>
  </r>
  <r>
    <m/>
    <m/>
    <x v="1"/>
    <s v="51337301001006"/>
    <n v="-34.47"/>
    <n v="1407"/>
    <n v="1"/>
    <n v="1"/>
  </r>
  <r>
    <m/>
    <m/>
    <x v="1"/>
    <s v="51351441001005"/>
    <n v="-12.25"/>
    <n v="500"/>
    <n v="1"/>
    <n v="1"/>
  </r>
  <r>
    <m/>
    <m/>
    <x v="1"/>
    <s v="51366841003001"/>
    <n v="-6.3"/>
    <n v="257"/>
    <n v="1"/>
    <n v="1"/>
  </r>
  <r>
    <m/>
    <m/>
    <x v="1"/>
    <s v="51386861002001"/>
    <n v="-24.52"/>
    <n v="1001"/>
    <n v="1"/>
    <n v="1"/>
  </r>
  <r>
    <m/>
    <m/>
    <x v="1"/>
    <s v="51450281001002"/>
    <n v="-56.96"/>
    <n v="2325"/>
    <n v="1"/>
    <n v="1"/>
  </r>
  <r>
    <m/>
    <m/>
    <x v="1"/>
    <s v="51462741002002"/>
    <n v="-40.72"/>
    <n v="1662"/>
    <n v="1"/>
    <n v="1"/>
  </r>
  <r>
    <m/>
    <m/>
    <x v="1"/>
    <s v="51493121002001"/>
    <n v="-56.77"/>
    <n v="2317"/>
    <n v="1"/>
    <n v="1"/>
  </r>
  <r>
    <m/>
    <m/>
    <x v="1"/>
    <s v="51513351001001"/>
    <n v="-18.350000000000001"/>
    <n v="749"/>
    <n v="1"/>
    <n v="1"/>
  </r>
  <r>
    <m/>
    <m/>
    <x v="1"/>
    <s v="51518531001001"/>
    <n v="-5.51"/>
    <n v="225"/>
    <n v="1"/>
    <n v="1"/>
  </r>
  <r>
    <m/>
    <m/>
    <x v="1"/>
    <s v="51518881001001"/>
    <n v="-22.74"/>
    <n v="928"/>
    <n v="1"/>
    <n v="1"/>
  </r>
  <r>
    <m/>
    <m/>
    <x v="1"/>
    <s v="51529534001001"/>
    <n v="-26.12"/>
    <n v="1066"/>
    <n v="1"/>
    <n v="1"/>
  </r>
  <r>
    <m/>
    <m/>
    <x v="1"/>
    <s v="51532811002001"/>
    <n v="-41.55"/>
    <n v="1696"/>
    <n v="1"/>
    <n v="1"/>
  </r>
  <r>
    <m/>
    <m/>
    <x v="1"/>
    <s v="51539946002026"/>
    <n v="-9.82"/>
    <n v="401"/>
    <n v="1"/>
    <n v="1"/>
  </r>
  <r>
    <m/>
    <m/>
    <x v="1"/>
    <s v="51549471001001"/>
    <n v="-11.56"/>
    <n v="472"/>
    <n v="1"/>
    <n v="1"/>
  </r>
  <r>
    <m/>
    <m/>
    <x v="1"/>
    <s v="51583981001001"/>
    <n v="-21.39"/>
    <n v="873"/>
    <n v="1"/>
    <n v="1"/>
  </r>
  <r>
    <m/>
    <m/>
    <x v="1"/>
    <s v="51593501001001"/>
    <n v="-29.03"/>
    <n v="1185"/>
    <n v="1"/>
    <n v="1"/>
  </r>
  <r>
    <m/>
    <m/>
    <x v="1"/>
    <s v="51593991001001"/>
    <n v="-9.3800000000000008"/>
    <n v="383"/>
    <n v="1"/>
    <n v="1"/>
  </r>
  <r>
    <m/>
    <m/>
    <x v="1"/>
    <s v="51596441002007"/>
    <n v="-4.78"/>
    <n v="195"/>
    <n v="1"/>
    <n v="1"/>
  </r>
  <r>
    <m/>
    <m/>
    <x v="1"/>
    <s v="51607711002002"/>
    <n v="-49.66"/>
    <n v="2027"/>
    <n v="2"/>
    <n v="1"/>
  </r>
  <r>
    <m/>
    <m/>
    <x v="1"/>
    <s v="51609951002002"/>
    <n v="-38.49"/>
    <n v="1571"/>
    <n v="1"/>
    <n v="1"/>
  </r>
  <r>
    <m/>
    <m/>
    <x v="1"/>
    <s v="51610931001001"/>
    <n v="-33.47"/>
    <n v="1366"/>
    <n v="1"/>
    <n v="1"/>
  </r>
  <r>
    <m/>
    <m/>
    <x v="1"/>
    <s v="51613941001002"/>
    <n v="-35.97"/>
    <n v="1468"/>
    <n v="1"/>
    <n v="1"/>
  </r>
  <r>
    <m/>
    <m/>
    <x v="1"/>
    <s v="51635711001002"/>
    <n v="-24.6"/>
    <n v="1004"/>
    <n v="1"/>
    <n v="1"/>
  </r>
  <r>
    <m/>
    <m/>
    <x v="1"/>
    <s v="51773839001001"/>
    <n v="-32.46"/>
    <n v="1325"/>
    <n v="1"/>
    <n v="1"/>
  </r>
  <r>
    <m/>
    <m/>
    <x v="1"/>
    <s v="52411414001001"/>
    <n v="-33.79"/>
    <n v="1379"/>
    <n v="1"/>
    <n v="1"/>
  </r>
  <r>
    <m/>
    <m/>
    <x v="1"/>
    <s v="52604309001004"/>
    <n v="-96.7"/>
    <n v="3947"/>
    <n v="1"/>
    <n v="1"/>
  </r>
  <r>
    <m/>
    <m/>
    <x v="1"/>
    <s v="52682385001007"/>
    <n v="-23.18"/>
    <n v="946"/>
    <n v="1"/>
    <n v="1"/>
  </r>
  <r>
    <m/>
    <m/>
    <x v="1"/>
    <s v="52743980001001"/>
    <n v="-17.54"/>
    <n v="716"/>
    <n v="1"/>
    <n v="1"/>
  </r>
  <r>
    <m/>
    <m/>
    <x v="1"/>
    <s v="52969548001004"/>
    <n v="-9.6300000000000008"/>
    <n v="393"/>
    <n v="1"/>
    <n v="1"/>
  </r>
  <r>
    <m/>
    <m/>
    <x v="1"/>
    <s v="52987911001001"/>
    <n v="-19.989999999999998"/>
    <n v="816"/>
    <n v="1"/>
    <n v="1"/>
  </r>
  <r>
    <m/>
    <m/>
    <x v="1"/>
    <s v="53001899001007"/>
    <n v="-50"/>
    <n v="2041"/>
    <n v="1"/>
    <n v="1"/>
  </r>
  <r>
    <m/>
    <m/>
    <x v="1"/>
    <s v="53060982001003"/>
    <n v="-10.54"/>
    <n v="430"/>
    <n v="1"/>
    <n v="1"/>
  </r>
  <r>
    <m/>
    <m/>
    <x v="1"/>
    <s v="53145339001003"/>
    <n v="-20.43"/>
    <n v="834"/>
    <n v="1"/>
    <n v="1"/>
  </r>
  <r>
    <m/>
    <m/>
    <x v="1"/>
    <s v="53199928001001"/>
    <n v="-14.19"/>
    <n v="579"/>
    <n v="1"/>
    <n v="1"/>
  </r>
  <r>
    <m/>
    <m/>
    <x v="1"/>
    <s v="53233663001001"/>
    <n v="-24.16"/>
    <n v="986"/>
    <n v="1"/>
    <n v="1"/>
  </r>
  <r>
    <m/>
    <m/>
    <x v="1"/>
    <s v="53241086001003"/>
    <n v="-7.6"/>
    <n v="310"/>
    <n v="1"/>
    <n v="1"/>
  </r>
  <r>
    <m/>
    <m/>
    <x v="1"/>
    <s v="53483833001003"/>
    <n v="-7.08"/>
    <n v="289"/>
    <n v="1"/>
    <n v="1"/>
  </r>
  <r>
    <m/>
    <m/>
    <x v="1"/>
    <s v="53541590001001"/>
    <n v="-9.92"/>
    <n v="405"/>
    <n v="1"/>
    <n v="1"/>
  </r>
  <r>
    <m/>
    <m/>
    <x v="1"/>
    <s v="53913484003002"/>
    <n v="-45.99"/>
    <n v="1877"/>
    <n v="1"/>
    <n v="1"/>
  </r>
  <r>
    <m/>
    <m/>
    <x v="1"/>
    <s v="53923746001001"/>
    <n v="-24.28"/>
    <n v="991"/>
    <n v="1"/>
    <n v="1"/>
  </r>
  <r>
    <m/>
    <m/>
    <x v="1"/>
    <s v="53931640001001"/>
    <n v="-29.74"/>
    <n v="1214"/>
    <n v="1"/>
    <n v="1"/>
  </r>
  <r>
    <m/>
    <m/>
    <x v="1"/>
    <s v="54011290001001"/>
    <n v="-28.81"/>
    <n v="1176"/>
    <n v="1"/>
    <n v="1"/>
  </r>
  <r>
    <m/>
    <m/>
    <x v="1"/>
    <s v="54099172001001"/>
    <n v="-12.62"/>
    <n v="515"/>
    <n v="1"/>
    <n v="1"/>
  </r>
  <r>
    <m/>
    <m/>
    <x v="1"/>
    <s v="54213868001001"/>
    <n v="-85.82"/>
    <n v="3503"/>
    <n v="1"/>
    <n v="1"/>
  </r>
  <r>
    <m/>
    <m/>
    <x v="1"/>
    <s v="54273862001002"/>
    <n v="-40.450000000000003"/>
    <n v="1651"/>
    <n v="1"/>
    <n v="1"/>
  </r>
  <r>
    <m/>
    <m/>
    <x v="1"/>
    <s v="54291381001009"/>
    <n v="-29.03"/>
    <n v="1185"/>
    <n v="1"/>
    <n v="1"/>
  </r>
  <r>
    <m/>
    <m/>
    <x v="1"/>
    <s v="54626005001001"/>
    <n v="-18.64"/>
    <n v="761"/>
    <n v="1"/>
    <n v="1"/>
  </r>
  <r>
    <m/>
    <m/>
    <x v="1"/>
    <s v="55096000001001"/>
    <n v="-13.74"/>
    <n v="561"/>
    <n v="1"/>
    <n v="1"/>
  </r>
  <r>
    <m/>
    <m/>
    <x v="1"/>
    <s v="55151623003001"/>
    <n v="-26.68"/>
    <n v="1089"/>
    <n v="1"/>
    <n v="1"/>
  </r>
  <r>
    <m/>
    <m/>
    <x v="1"/>
    <s v="55185996001003"/>
    <n v="-16.66"/>
    <n v="680"/>
    <n v="1"/>
    <n v="1"/>
  </r>
  <r>
    <m/>
    <m/>
    <x v="1"/>
    <s v="55250557001001"/>
    <n v="-10.14"/>
    <n v="414"/>
    <n v="1"/>
    <n v="1"/>
  </r>
  <r>
    <m/>
    <m/>
    <x v="1"/>
    <s v="55495324001002"/>
    <n v="-26.73"/>
    <n v="1091"/>
    <n v="1"/>
    <n v="1"/>
  </r>
  <r>
    <m/>
    <m/>
    <x v="1"/>
    <s v="55663297001003"/>
    <n v="-17.489999999999998"/>
    <n v="714"/>
    <n v="1"/>
    <n v="1"/>
  </r>
  <r>
    <m/>
    <m/>
    <x v="1"/>
    <s v="56055745002003"/>
    <n v="-19.89"/>
    <n v="812"/>
    <n v="1"/>
    <n v="1"/>
  </r>
  <r>
    <m/>
    <m/>
    <x v="1"/>
    <s v="56091920005001"/>
    <n v="-16.12"/>
    <n v="658"/>
    <n v="1"/>
    <n v="1"/>
  </r>
  <r>
    <m/>
    <m/>
    <x v="1"/>
    <s v="56105605001004"/>
    <n v="-26.56"/>
    <n v="1084"/>
    <n v="1"/>
    <n v="1"/>
  </r>
  <r>
    <m/>
    <m/>
    <x v="1"/>
    <s v="56408599001001"/>
    <n v="-23.23"/>
    <n v="948"/>
    <n v="1"/>
    <n v="1"/>
  </r>
  <r>
    <m/>
    <m/>
    <x v="1"/>
    <s v="57165863001001"/>
    <n v="-28.37"/>
    <n v="1158"/>
    <n v="1"/>
    <n v="1"/>
  </r>
  <r>
    <m/>
    <m/>
    <x v="1"/>
    <s v="57364558001001"/>
    <n v="-33.340000000000003"/>
    <n v="1361"/>
    <n v="1"/>
    <n v="1"/>
  </r>
  <r>
    <m/>
    <m/>
    <x v="1"/>
    <s v="57497445001001"/>
    <n v="-28.57"/>
    <n v="1166"/>
    <n v="1"/>
    <n v="1"/>
  </r>
  <r>
    <m/>
    <m/>
    <x v="1"/>
    <s v="57560991001007"/>
    <n v="-25.65"/>
    <n v="1047"/>
    <n v="1"/>
    <n v="1"/>
  </r>
  <r>
    <m/>
    <m/>
    <x v="1"/>
    <s v="57834181001001"/>
    <n v="-24.65"/>
    <n v="1006"/>
    <n v="1"/>
    <n v="1"/>
  </r>
  <r>
    <m/>
    <m/>
    <x v="1"/>
    <s v="58010908001002"/>
    <n v="-30.87"/>
    <n v="1260"/>
    <n v="1"/>
    <n v="1"/>
  </r>
  <r>
    <m/>
    <m/>
    <x v="1"/>
    <s v="58027310005001"/>
    <n v="-12.5"/>
    <n v="510"/>
    <n v="1"/>
    <n v="1"/>
  </r>
  <r>
    <m/>
    <m/>
    <x v="1"/>
    <s v="58157660001002"/>
    <n v="-38.24"/>
    <n v="1561"/>
    <n v="1"/>
    <n v="1"/>
  </r>
  <r>
    <m/>
    <m/>
    <x v="1"/>
    <s v="58340472001005"/>
    <n v="-10.220000000000001"/>
    <n v="417"/>
    <n v="1"/>
    <n v="1"/>
  </r>
  <r>
    <m/>
    <m/>
    <x v="1"/>
    <s v="58433748001002"/>
    <n v="-22.91"/>
    <n v="935"/>
    <n v="1"/>
    <n v="1"/>
  </r>
  <r>
    <m/>
    <m/>
    <x v="1"/>
    <s v="58524123001003"/>
    <n v="-37.31"/>
    <n v="1523"/>
    <n v="1"/>
    <n v="1"/>
  </r>
  <r>
    <m/>
    <m/>
    <x v="1"/>
    <s v="59371575001001"/>
    <n v="-13.82"/>
    <n v="564"/>
    <n v="1"/>
    <n v="1"/>
  </r>
  <r>
    <m/>
    <m/>
    <x v="1"/>
    <s v="59431046001003"/>
    <n v="-12.13"/>
    <n v="495"/>
    <n v="1"/>
    <n v="1"/>
  </r>
  <r>
    <m/>
    <m/>
    <x v="1"/>
    <s v="59567010001005"/>
    <n v="-9.19"/>
    <n v="375"/>
    <n v="1"/>
    <n v="1"/>
  </r>
  <r>
    <m/>
    <m/>
    <x v="1"/>
    <s v="59766724001001"/>
    <n v="-30.72"/>
    <n v="1254"/>
    <n v="1"/>
    <n v="1"/>
  </r>
  <r>
    <m/>
    <m/>
    <x v="1"/>
    <s v="59801546001007"/>
    <n v="-13.33"/>
    <n v="544"/>
    <n v="1"/>
    <n v="1"/>
  </r>
  <r>
    <m/>
    <m/>
    <x v="1"/>
    <s v="59807684001002"/>
    <n v="-1.25"/>
    <n v="51"/>
    <n v="1"/>
    <n v="1"/>
  </r>
  <r>
    <m/>
    <m/>
    <x v="1"/>
    <s v="59857982001002"/>
    <n v="-1.67"/>
    <n v="68"/>
    <n v="1"/>
    <n v="1"/>
  </r>
  <r>
    <m/>
    <m/>
    <x v="1"/>
    <s v="59901721001001"/>
    <n v="-21.32"/>
    <n v="870"/>
    <n v="1"/>
    <n v="1"/>
  </r>
  <r>
    <m/>
    <m/>
    <x v="1"/>
    <s v="59997483001001"/>
    <n v="-21.98"/>
    <n v="897"/>
    <n v="1"/>
    <n v="1"/>
  </r>
  <r>
    <m/>
    <m/>
    <x v="1"/>
    <s v="59999162001001"/>
    <n v="-19.600000000000001"/>
    <n v="800"/>
    <n v="1"/>
    <n v="1"/>
  </r>
  <r>
    <m/>
    <m/>
    <x v="1"/>
    <s v="60053306001001"/>
    <n v="-21.27"/>
    <n v="868"/>
    <n v="1"/>
    <n v="1"/>
  </r>
  <r>
    <m/>
    <m/>
    <x v="1"/>
    <s v="60216914001002"/>
    <n v="-4.95"/>
    <n v="202"/>
    <n v="1"/>
    <n v="1"/>
  </r>
  <r>
    <m/>
    <m/>
    <x v="1"/>
    <s v="60362120001002"/>
    <n v="-10.83"/>
    <n v="442"/>
    <n v="1"/>
    <n v="1"/>
  </r>
  <r>
    <m/>
    <m/>
    <x v="1"/>
    <s v="60461927001006"/>
    <n v="-11.56"/>
    <n v="472"/>
    <n v="1"/>
    <n v="1"/>
  </r>
  <r>
    <m/>
    <m/>
    <x v="1"/>
    <s v="60536331001001"/>
    <n v="-30.92"/>
    <n v="1262"/>
    <n v="1"/>
    <n v="1"/>
  </r>
  <r>
    <m/>
    <m/>
    <x v="1"/>
    <s v="60599585001001"/>
    <n v="-21.81"/>
    <n v="890"/>
    <n v="1"/>
    <n v="1"/>
  </r>
  <r>
    <m/>
    <m/>
    <x v="1"/>
    <s v="60756030001002"/>
    <n v="-18.18"/>
    <n v="742"/>
    <n v="1"/>
    <n v="1"/>
  </r>
  <r>
    <m/>
    <m/>
    <x v="1"/>
    <s v="60814201001003"/>
    <n v="-21.78"/>
    <n v="889"/>
    <n v="1"/>
    <n v="1"/>
  </r>
  <r>
    <m/>
    <m/>
    <x v="1"/>
    <s v="60842999001005"/>
    <n v="-15.85"/>
    <n v="647"/>
    <n v="1"/>
    <n v="1"/>
  </r>
  <r>
    <m/>
    <m/>
    <x v="1"/>
    <s v="60850163002001"/>
    <n v="-15.78"/>
    <n v="644"/>
    <n v="1"/>
    <n v="1"/>
  </r>
  <r>
    <m/>
    <m/>
    <x v="1"/>
    <s v="60997302001006"/>
    <n v="-11.98"/>
    <n v="489"/>
    <n v="1"/>
    <n v="1"/>
  </r>
  <r>
    <m/>
    <m/>
    <x v="1"/>
    <s v="61176690001001"/>
    <n v="-15.04"/>
    <n v="614"/>
    <n v="1"/>
    <n v="1"/>
  </r>
  <r>
    <m/>
    <m/>
    <x v="1"/>
    <s v="61759982001001"/>
    <n v="-25.11"/>
    <n v="1025"/>
    <n v="1"/>
    <n v="1"/>
  </r>
  <r>
    <m/>
    <m/>
    <x v="1"/>
    <s v="61779550001001"/>
    <n v="-41.72"/>
    <n v="1703"/>
    <n v="1"/>
    <n v="1"/>
  </r>
  <r>
    <m/>
    <m/>
    <x v="1"/>
    <s v="62038452002001"/>
    <n v="-39.69"/>
    <n v="1620"/>
    <n v="1"/>
    <n v="1"/>
  </r>
  <r>
    <m/>
    <m/>
    <x v="1"/>
    <s v="62111926001007"/>
    <n v="-28.08"/>
    <n v="1146"/>
    <n v="1"/>
    <n v="1"/>
  </r>
  <r>
    <m/>
    <m/>
    <x v="1"/>
    <s v="62125470001002"/>
    <n v="-21.61"/>
    <n v="882"/>
    <n v="1"/>
    <n v="1"/>
  </r>
  <r>
    <m/>
    <m/>
    <x v="1"/>
    <s v="62139312001006"/>
    <n v="-14.26"/>
    <n v="582"/>
    <n v="1"/>
    <n v="1"/>
  </r>
  <r>
    <m/>
    <m/>
    <x v="1"/>
    <s v="62166846001001"/>
    <n v="-8.48"/>
    <n v="346"/>
    <n v="1"/>
    <n v="1"/>
  </r>
  <r>
    <m/>
    <m/>
    <x v="1"/>
    <s v="62244159001003"/>
    <n v="-40.450000000000003"/>
    <n v="1651"/>
    <n v="1"/>
    <n v="1"/>
  </r>
  <r>
    <m/>
    <m/>
    <x v="1"/>
    <s v="62353953001003"/>
    <n v="-15.21"/>
    <n v="621"/>
    <n v="1"/>
    <n v="1"/>
  </r>
  <r>
    <m/>
    <m/>
    <x v="1"/>
    <s v="63054171001001"/>
    <n v="-60.12"/>
    <n v="2454"/>
    <n v="1"/>
    <n v="1"/>
  </r>
  <r>
    <m/>
    <m/>
    <x v="1"/>
    <s v="63150661001001"/>
    <n v="-5.56"/>
    <n v="227"/>
    <n v="1"/>
    <n v="1"/>
  </r>
  <r>
    <m/>
    <m/>
    <x v="1"/>
    <s v="63184485001003"/>
    <n v="-2.23"/>
    <n v="91"/>
    <n v="1"/>
    <n v="1"/>
  </r>
  <r>
    <m/>
    <m/>
    <x v="1"/>
    <s v="63189646005005"/>
    <n v="-16.71"/>
    <n v="682"/>
    <n v="1"/>
    <n v="1"/>
  </r>
  <r>
    <m/>
    <m/>
    <x v="1"/>
    <s v="63415000003005"/>
    <n v="-11.07"/>
    <n v="452"/>
    <n v="1"/>
    <n v="1"/>
  </r>
  <r>
    <m/>
    <m/>
    <x v="1"/>
    <s v="63578652001001"/>
    <n v="-45.33"/>
    <n v="1850"/>
    <n v="1"/>
    <n v="1"/>
  </r>
  <r>
    <m/>
    <m/>
    <x v="1"/>
    <s v="63707556001001"/>
    <n v="-38.64"/>
    <n v="1577"/>
    <n v="1"/>
    <n v="1"/>
  </r>
  <r>
    <m/>
    <m/>
    <x v="1"/>
    <s v="63792896001001"/>
    <n v="-21.32"/>
    <n v="870"/>
    <n v="1"/>
    <n v="1"/>
  </r>
  <r>
    <m/>
    <m/>
    <x v="1"/>
    <s v="63952309001001"/>
    <n v="-32.729999999999997"/>
    <n v="1336"/>
    <n v="1"/>
    <n v="1"/>
  </r>
  <r>
    <m/>
    <m/>
    <x v="1"/>
    <s v="64061605002004"/>
    <n v="-7.52"/>
    <n v="307"/>
    <n v="1"/>
    <n v="1"/>
  </r>
  <r>
    <m/>
    <m/>
    <x v="1"/>
    <s v="64113638001003"/>
    <n v="-11.17"/>
    <n v="456"/>
    <n v="1"/>
    <n v="1"/>
  </r>
  <r>
    <m/>
    <m/>
    <x v="1"/>
    <s v="64168501001010"/>
    <n v="-39.270000000000003"/>
    <n v="1603"/>
    <n v="1"/>
    <n v="1"/>
  </r>
  <r>
    <m/>
    <m/>
    <x v="1"/>
    <s v="64295366002001"/>
    <n v="-11.2"/>
    <n v="457"/>
    <n v="1"/>
    <n v="1"/>
  </r>
  <r>
    <m/>
    <m/>
    <x v="1"/>
    <s v="64412831001001"/>
    <n v="-31.43"/>
    <n v="1283"/>
    <n v="1"/>
    <n v="1"/>
  </r>
  <r>
    <m/>
    <m/>
    <x v="1"/>
    <s v="64578518001001"/>
    <n v="-9.75"/>
    <n v="398"/>
    <n v="1"/>
    <n v="1"/>
  </r>
  <r>
    <m/>
    <m/>
    <x v="1"/>
    <s v="64597306001001"/>
    <n v="-66.17"/>
    <n v="2701"/>
    <n v="1"/>
    <n v="1"/>
  </r>
  <r>
    <m/>
    <m/>
    <x v="1"/>
    <s v="64700335001001"/>
    <n v="-21.85"/>
    <n v="892"/>
    <n v="1"/>
    <n v="1"/>
  </r>
  <r>
    <m/>
    <m/>
    <x v="1"/>
    <s v="65001066001001"/>
    <n v="-7.89"/>
    <n v="322"/>
    <n v="1"/>
    <n v="1"/>
  </r>
  <r>
    <m/>
    <m/>
    <x v="1"/>
    <s v="65368514001004"/>
    <n v="-29.25"/>
    <n v="1194"/>
    <n v="1"/>
    <n v="1"/>
  </r>
  <r>
    <m/>
    <m/>
    <x v="1"/>
    <s v="65369611001005"/>
    <n v="-10.41"/>
    <n v="425"/>
    <n v="1"/>
    <n v="1"/>
  </r>
  <r>
    <m/>
    <m/>
    <x v="1"/>
    <s v="65509206001003"/>
    <n v="-30.48"/>
    <n v="1244"/>
    <n v="1"/>
    <n v="1"/>
  </r>
  <r>
    <m/>
    <m/>
    <x v="1"/>
    <s v="65641724008001"/>
    <n v="-1.25"/>
    <n v="51"/>
    <n v="1"/>
    <n v="1"/>
  </r>
  <r>
    <m/>
    <m/>
    <x v="1"/>
    <s v="66009948006003"/>
    <n v="-15.21"/>
    <n v="621"/>
    <n v="1"/>
    <n v="1"/>
  </r>
  <r>
    <m/>
    <m/>
    <x v="1"/>
    <s v="66154595001001"/>
    <n v="-8.82"/>
    <n v="360"/>
    <n v="1"/>
    <n v="1"/>
  </r>
  <r>
    <m/>
    <m/>
    <x v="1"/>
    <s v="66308224001001"/>
    <n v="-18.77"/>
    <n v="766"/>
    <n v="1"/>
    <n v="1"/>
  </r>
  <r>
    <m/>
    <m/>
    <x v="1"/>
    <s v="66622465002001"/>
    <n v="-34.5"/>
    <n v="1408"/>
    <n v="1"/>
    <n v="1"/>
  </r>
  <r>
    <m/>
    <m/>
    <x v="1"/>
    <s v="66851187001007"/>
    <n v="-24.16"/>
    <n v="986"/>
    <n v="1"/>
    <n v="1"/>
  </r>
  <r>
    <m/>
    <m/>
    <x v="1"/>
    <s v="66923121001005"/>
    <n v="-38.29"/>
    <n v="1563"/>
    <n v="1"/>
    <n v="1"/>
  </r>
  <r>
    <m/>
    <m/>
    <x v="1"/>
    <s v="66953942002008"/>
    <n v="-49.32"/>
    <n v="2013"/>
    <n v="1"/>
    <n v="1"/>
  </r>
  <r>
    <m/>
    <m/>
    <x v="1"/>
    <s v="66997780001001"/>
    <n v="-43.54"/>
    <n v="1777"/>
    <n v="1"/>
    <n v="1"/>
  </r>
  <r>
    <m/>
    <m/>
    <x v="1"/>
    <s v="67053287002001"/>
    <n v="-15.14"/>
    <n v="618"/>
    <n v="1"/>
    <n v="1"/>
  </r>
  <r>
    <m/>
    <m/>
    <x v="1"/>
    <s v="67059049001004"/>
    <n v="-27.69"/>
    <n v="1130"/>
    <n v="1"/>
    <n v="1"/>
  </r>
  <r>
    <m/>
    <m/>
    <x v="1"/>
    <s v="67116312001003"/>
    <n v="-14.43"/>
    <n v="589"/>
    <n v="1"/>
    <n v="1"/>
  </r>
  <r>
    <m/>
    <m/>
    <x v="1"/>
    <s v="67479940002009"/>
    <n v="-35.65"/>
    <n v="1455"/>
    <n v="1"/>
    <n v="1"/>
  </r>
  <r>
    <m/>
    <m/>
    <x v="1"/>
    <s v="67565406001001"/>
    <n v="-36.82"/>
    <n v="1503"/>
    <n v="1"/>
    <n v="1"/>
  </r>
  <r>
    <m/>
    <m/>
    <x v="1"/>
    <s v="67575902001005"/>
    <n v="-5.29"/>
    <n v="216"/>
    <n v="1"/>
    <n v="1"/>
  </r>
  <r>
    <m/>
    <m/>
    <x v="1"/>
    <s v="67587226001001"/>
    <n v="-20.87"/>
    <n v="852"/>
    <n v="1"/>
    <n v="1"/>
  </r>
  <r>
    <m/>
    <m/>
    <x v="1"/>
    <s v="68028456001001"/>
    <n v="-21"/>
    <n v="857"/>
    <n v="1"/>
    <n v="1"/>
  </r>
  <r>
    <m/>
    <m/>
    <x v="1"/>
    <s v="68322478003001"/>
    <n v="-29.5"/>
    <n v="1204"/>
    <n v="1"/>
    <n v="1"/>
  </r>
  <r>
    <m/>
    <m/>
    <x v="1"/>
    <s v="68400908001007"/>
    <n v="-43.14"/>
    <n v="1761"/>
    <n v="1"/>
    <n v="1"/>
  </r>
  <r>
    <m/>
    <m/>
    <x v="1"/>
    <s v="68439076001001"/>
    <n v="-12.1"/>
    <n v="494"/>
    <n v="1"/>
    <n v="1"/>
  </r>
  <r>
    <m/>
    <m/>
    <x v="1"/>
    <s v="68472022001003"/>
    <n v="-2.16"/>
    <n v="88"/>
    <n v="1"/>
    <n v="1"/>
  </r>
  <r>
    <m/>
    <m/>
    <x v="1"/>
    <s v="68512232001001"/>
    <n v="-60.69"/>
    <n v="2477"/>
    <n v="1"/>
    <n v="1"/>
  </r>
  <r>
    <m/>
    <m/>
    <x v="1"/>
    <s v="68623369001004"/>
    <n v="-17"/>
    <n v="694"/>
    <n v="1"/>
    <n v="1"/>
  </r>
  <r>
    <m/>
    <m/>
    <x v="1"/>
    <s v="68624650001002"/>
    <n v="-13.99"/>
    <n v="571"/>
    <n v="1"/>
    <n v="1"/>
  </r>
  <r>
    <m/>
    <m/>
    <x v="1"/>
    <s v="68639459001005"/>
    <n v="-75.83"/>
    <n v="3095"/>
    <n v="1"/>
    <n v="1"/>
  </r>
  <r>
    <m/>
    <m/>
    <x v="1"/>
    <s v="69000077001002"/>
    <n v="-45.99"/>
    <n v="1877"/>
    <n v="1"/>
    <n v="1"/>
  </r>
  <r>
    <m/>
    <m/>
    <x v="1"/>
    <s v="69060183003015"/>
    <n v="-16.61"/>
    <n v="678"/>
    <n v="1"/>
    <n v="1"/>
  </r>
  <r>
    <m/>
    <m/>
    <x v="1"/>
    <s v="69172909001002"/>
    <n v="-33.79"/>
    <n v="1379"/>
    <n v="1"/>
    <n v="1"/>
  </r>
  <r>
    <m/>
    <m/>
    <x v="1"/>
    <s v="69212535001003"/>
    <n v="-29.42"/>
    <n v="1201"/>
    <n v="1"/>
    <n v="1"/>
  </r>
  <r>
    <m/>
    <m/>
    <x v="1"/>
    <s v="69243847003001"/>
    <n v="-22.12"/>
    <n v="903"/>
    <n v="1"/>
    <n v="1"/>
  </r>
  <r>
    <m/>
    <m/>
    <x v="1"/>
    <s v="69278841002001"/>
    <n v="-9.5299999999999994"/>
    <n v="389"/>
    <n v="1"/>
    <n v="1"/>
  </r>
  <r>
    <m/>
    <m/>
    <x v="1"/>
    <s v="69363729001001"/>
    <n v="-39.35"/>
    <n v="1606"/>
    <n v="1"/>
    <n v="1"/>
  </r>
  <r>
    <m/>
    <m/>
    <x v="1"/>
    <s v="69589294001001"/>
    <n v="-9.14"/>
    <n v="373"/>
    <n v="1"/>
    <n v="1"/>
  </r>
  <r>
    <m/>
    <m/>
    <x v="1"/>
    <s v="69593297001008"/>
    <n v="-8.5299999999999994"/>
    <n v="348"/>
    <n v="1"/>
    <n v="1"/>
  </r>
  <r>
    <m/>
    <m/>
    <x v="1"/>
    <s v="69697436003002"/>
    <n v="-4.3899999999999997"/>
    <n v="179"/>
    <n v="1"/>
    <n v="1"/>
  </r>
  <r>
    <m/>
    <m/>
    <x v="1"/>
    <s v="69938123001005"/>
    <n v="-17.27"/>
    <n v="705"/>
    <n v="1"/>
    <n v="1"/>
  </r>
  <r>
    <m/>
    <m/>
    <x v="1"/>
    <s v="69998675005001"/>
    <n v="-30.6"/>
    <n v="1249"/>
    <n v="1"/>
    <n v="1"/>
  </r>
  <r>
    <m/>
    <m/>
    <x v="1"/>
    <s v="70221164001005"/>
    <n v="-21.46"/>
    <n v="876"/>
    <n v="1"/>
    <n v="1"/>
  </r>
  <r>
    <m/>
    <m/>
    <x v="1"/>
    <s v="70498831001001"/>
    <n v="-24.5"/>
    <n v="1000"/>
    <n v="1"/>
    <n v="1"/>
  </r>
  <r>
    <m/>
    <m/>
    <x v="1"/>
    <s v="70508523001001"/>
    <n v="-11.29"/>
    <n v="461"/>
    <n v="1"/>
    <n v="1"/>
  </r>
  <r>
    <m/>
    <m/>
    <x v="1"/>
    <s v="70517135001001"/>
    <n v="-15.83"/>
    <n v="646"/>
    <n v="1"/>
    <n v="1"/>
  </r>
  <r>
    <m/>
    <m/>
    <x v="1"/>
    <s v="70518336001001"/>
    <n v="-34.35"/>
    <n v="1402"/>
    <n v="1"/>
    <n v="1"/>
  </r>
  <r>
    <m/>
    <m/>
    <x v="1"/>
    <s v="70572154001001"/>
    <n v="-41.01"/>
    <n v="1674"/>
    <n v="1"/>
    <n v="1"/>
  </r>
  <r>
    <m/>
    <m/>
    <x v="1"/>
    <s v="70805952001004"/>
    <n v="-40.43"/>
    <n v="1650"/>
    <n v="1"/>
    <n v="1"/>
  </r>
  <r>
    <m/>
    <m/>
    <x v="1"/>
    <s v="70925378002003"/>
    <n v="-19.8"/>
    <n v="808"/>
    <n v="1"/>
    <n v="1"/>
  </r>
  <r>
    <m/>
    <m/>
    <x v="1"/>
    <s v="70934025001005"/>
    <n v="-20.51"/>
    <n v="837"/>
    <n v="1"/>
    <n v="1"/>
  </r>
  <r>
    <m/>
    <m/>
    <x v="1"/>
    <s v="70953596001001"/>
    <n v="-27.37"/>
    <n v="1117"/>
    <n v="1"/>
    <n v="1"/>
  </r>
  <r>
    <m/>
    <m/>
    <x v="1"/>
    <s v="71361970001009"/>
    <n v="-0.28999999999999998"/>
    <n v="12"/>
    <n v="1"/>
    <n v="1"/>
  </r>
  <r>
    <m/>
    <m/>
    <x v="1"/>
    <s v="71508543001001"/>
    <n v="-4.63"/>
    <n v="189"/>
    <n v="1"/>
    <n v="1"/>
  </r>
  <r>
    <m/>
    <m/>
    <x v="1"/>
    <s v="72106643001003"/>
    <n v="-17.59"/>
    <n v="718"/>
    <n v="1"/>
    <n v="1"/>
  </r>
  <r>
    <m/>
    <m/>
    <x v="1"/>
    <s v="72680010001001"/>
    <n v="-26.63"/>
    <n v="1087"/>
    <n v="1"/>
    <n v="1"/>
  </r>
  <r>
    <m/>
    <m/>
    <x v="1"/>
    <s v="72769540001001"/>
    <n v="-6.49"/>
    <n v="265"/>
    <n v="1"/>
    <n v="1"/>
  </r>
  <r>
    <m/>
    <m/>
    <x v="1"/>
    <s v="72796289004001"/>
    <n v="-3.68"/>
    <n v="150"/>
    <n v="1"/>
    <n v="1"/>
  </r>
  <r>
    <m/>
    <m/>
    <x v="1"/>
    <s v="72889636001003"/>
    <n v="-39.18"/>
    <n v="1599"/>
    <n v="1"/>
    <n v="1"/>
  </r>
  <r>
    <m/>
    <m/>
    <x v="1"/>
    <s v="73413066001003"/>
    <n v="-6.96"/>
    <n v="284"/>
    <n v="1"/>
    <n v="1"/>
  </r>
  <r>
    <m/>
    <m/>
    <x v="1"/>
    <s v="73439615001001"/>
    <n v="-22.76"/>
    <n v="929"/>
    <n v="1"/>
    <n v="1"/>
  </r>
  <r>
    <m/>
    <m/>
    <x v="1"/>
    <s v="73718834002001"/>
    <n v="-33.57"/>
    <n v="1370"/>
    <n v="1"/>
    <n v="1"/>
  </r>
  <r>
    <m/>
    <m/>
    <x v="1"/>
    <s v="73822565001003"/>
    <n v="-23.79"/>
    <n v="971"/>
    <n v="1"/>
    <n v="1"/>
  </r>
  <r>
    <m/>
    <m/>
    <x v="1"/>
    <s v="74280289001001"/>
    <n v="-3.09"/>
    <n v="126"/>
    <n v="1"/>
    <n v="1"/>
  </r>
  <r>
    <m/>
    <m/>
    <x v="1"/>
    <s v="74374771001005"/>
    <n v="-14.85"/>
    <n v="606"/>
    <n v="1"/>
    <n v="1"/>
  </r>
  <r>
    <m/>
    <m/>
    <x v="1"/>
    <s v="74556668001006"/>
    <n v="-18.38"/>
    <n v="750"/>
    <n v="1"/>
    <n v="1"/>
  </r>
  <r>
    <m/>
    <m/>
    <x v="1"/>
    <s v="74657239001002"/>
    <n v="-4.68"/>
    <n v="191"/>
    <n v="1"/>
    <n v="1"/>
  </r>
  <r>
    <m/>
    <m/>
    <x v="1"/>
    <s v="74849102001003"/>
    <n v="-40.92"/>
    <n v="1670"/>
    <n v="1"/>
    <n v="1"/>
  </r>
  <r>
    <m/>
    <m/>
    <x v="1"/>
    <s v="74916061001001"/>
    <n v="-27.81"/>
    <n v="1135"/>
    <n v="1"/>
    <n v="1"/>
  </r>
  <r>
    <m/>
    <m/>
    <x v="1"/>
    <s v="75013681001001"/>
    <n v="-14.31"/>
    <n v="584"/>
    <n v="1"/>
    <n v="1"/>
  </r>
  <r>
    <m/>
    <m/>
    <x v="1"/>
    <s v="75149375001006"/>
    <n v="-19.11"/>
    <n v="780"/>
    <n v="1"/>
    <n v="1"/>
  </r>
  <r>
    <m/>
    <m/>
    <x v="1"/>
    <s v="75178826001001"/>
    <n v="-2.35"/>
    <n v="96"/>
    <n v="1"/>
    <n v="1"/>
  </r>
  <r>
    <m/>
    <m/>
    <x v="1"/>
    <s v="75544198001002"/>
    <n v="-25.53"/>
    <n v="1042"/>
    <n v="1"/>
    <n v="1"/>
  </r>
  <r>
    <m/>
    <m/>
    <x v="1"/>
    <s v="75558866002001"/>
    <n v="-36.36"/>
    <n v="1484"/>
    <n v="1"/>
    <n v="1"/>
  </r>
  <r>
    <m/>
    <m/>
    <x v="1"/>
    <s v="75743118001001"/>
    <n v="-20.7"/>
    <n v="845"/>
    <n v="1"/>
    <n v="1"/>
  </r>
  <r>
    <m/>
    <m/>
    <x v="1"/>
    <s v="75814877002001"/>
    <n v="-53.36"/>
    <n v="2178"/>
    <n v="1"/>
    <n v="1"/>
  </r>
  <r>
    <m/>
    <m/>
    <x v="1"/>
    <s v="76017664001001"/>
    <n v="-11.61"/>
    <n v="474"/>
    <n v="1"/>
    <n v="1"/>
  </r>
  <r>
    <m/>
    <m/>
    <x v="1"/>
    <s v="76035247001002"/>
    <n v="-23.69"/>
    <n v="967"/>
    <n v="1"/>
    <n v="1"/>
  </r>
  <r>
    <m/>
    <m/>
    <x v="1"/>
    <s v="76559936001004"/>
    <n v="-8.2100000000000009"/>
    <n v="335"/>
    <n v="1"/>
    <n v="1"/>
  </r>
  <r>
    <m/>
    <m/>
    <x v="1"/>
    <s v="76588944001003"/>
    <n v="-7.69"/>
    <n v="314"/>
    <n v="1"/>
    <n v="1"/>
  </r>
  <r>
    <m/>
    <m/>
    <x v="1"/>
    <s v="76614777003003"/>
    <n v="-75.239999999999995"/>
    <n v="3071"/>
    <n v="1"/>
    <n v="1"/>
  </r>
  <r>
    <m/>
    <m/>
    <x v="1"/>
    <s v="76615869001006"/>
    <n v="-44.93"/>
    <n v="1834"/>
    <n v="1"/>
    <n v="1"/>
  </r>
  <r>
    <m/>
    <m/>
    <x v="1"/>
    <s v="76670454001001"/>
    <n v="-49.49"/>
    <n v="2020"/>
    <n v="1"/>
    <n v="1"/>
  </r>
  <r>
    <m/>
    <m/>
    <x v="1"/>
    <s v="76795463001003"/>
    <n v="-29.18"/>
    <n v="1191"/>
    <n v="1"/>
    <n v="1"/>
  </r>
  <r>
    <m/>
    <m/>
    <x v="1"/>
    <s v="76854949001003"/>
    <n v="-36.14"/>
    <n v="1475"/>
    <n v="1"/>
    <n v="1"/>
  </r>
  <r>
    <m/>
    <m/>
    <x v="1"/>
    <s v="77297374001003"/>
    <n v="-7.23"/>
    <n v="295"/>
    <n v="1"/>
    <n v="1"/>
  </r>
  <r>
    <m/>
    <m/>
    <x v="1"/>
    <s v="77319670001005"/>
    <n v="-7.96"/>
    <n v="325"/>
    <n v="1"/>
    <n v="1"/>
  </r>
  <r>
    <m/>
    <m/>
    <x v="1"/>
    <s v="77414176001005"/>
    <n v="-32.19"/>
    <n v="1314"/>
    <n v="1"/>
    <n v="1"/>
  </r>
  <r>
    <m/>
    <m/>
    <x v="1"/>
    <s v="77482495003001"/>
    <n v="-16.760000000000002"/>
    <n v="684"/>
    <n v="1"/>
    <n v="1"/>
  </r>
  <r>
    <m/>
    <m/>
    <x v="1"/>
    <s v="77745389002003"/>
    <n v="-8.3800000000000008"/>
    <n v="342"/>
    <n v="1"/>
    <n v="1"/>
  </r>
  <r>
    <m/>
    <m/>
    <x v="1"/>
    <s v="77931356002006"/>
    <n v="-28.44"/>
    <n v="1161"/>
    <n v="1"/>
    <n v="1"/>
  </r>
  <r>
    <m/>
    <m/>
    <x v="1"/>
    <s v="78067360001002"/>
    <n v="-26.73"/>
    <n v="1091"/>
    <n v="1"/>
    <n v="1"/>
  </r>
  <r>
    <m/>
    <m/>
    <x v="1"/>
    <s v="78102550001004"/>
    <n v="-33.880000000000003"/>
    <n v="1383"/>
    <n v="1"/>
    <n v="1"/>
  </r>
  <r>
    <m/>
    <m/>
    <x v="1"/>
    <s v="78160402001001"/>
    <n v="-8.33"/>
    <n v="340"/>
    <n v="1"/>
    <n v="1"/>
  </r>
  <r>
    <m/>
    <m/>
    <x v="1"/>
    <s v="78241325001001"/>
    <n v="-45.5"/>
    <n v="1857"/>
    <n v="1"/>
    <n v="1"/>
  </r>
  <r>
    <m/>
    <m/>
    <x v="1"/>
    <s v="79283500001002"/>
    <n v="-40.74"/>
    <n v="1663"/>
    <n v="1"/>
    <n v="1"/>
  </r>
  <r>
    <m/>
    <m/>
    <x v="1"/>
    <s v="79495965001001"/>
    <n v="-5.0999999999999996"/>
    <n v="208"/>
    <n v="1"/>
    <n v="1"/>
  </r>
  <r>
    <m/>
    <m/>
    <x v="1"/>
    <s v="79543609001001"/>
    <n v="-22.74"/>
    <n v="928"/>
    <n v="1"/>
    <n v="1"/>
  </r>
  <r>
    <m/>
    <m/>
    <x v="1"/>
    <s v="79559262001003"/>
    <n v="-14.48"/>
    <n v="591"/>
    <n v="1"/>
    <n v="1"/>
  </r>
  <r>
    <m/>
    <m/>
    <x v="1"/>
    <s v="79713989002001"/>
    <n v="-65.17"/>
    <n v="2660"/>
    <n v="1"/>
    <n v="1"/>
  </r>
  <r>
    <m/>
    <m/>
    <x v="1"/>
    <s v="79889636001005"/>
    <n v="-25.41"/>
    <n v="1037"/>
    <n v="1"/>
    <n v="1"/>
  </r>
  <r>
    <m/>
    <m/>
    <x v="1"/>
    <s v="79989931001001"/>
    <n v="-8.7200000000000006"/>
    <n v="356"/>
    <n v="1"/>
    <n v="1"/>
  </r>
  <r>
    <m/>
    <m/>
    <x v="1"/>
    <s v="80164416001009"/>
    <n v="-38.15"/>
    <n v="1557"/>
    <n v="1"/>
    <n v="1"/>
  </r>
  <r>
    <m/>
    <m/>
    <x v="1"/>
    <s v="80546282001001"/>
    <n v="-15.73"/>
    <n v="642"/>
    <n v="1"/>
    <n v="1"/>
  </r>
  <r>
    <m/>
    <m/>
    <x v="1"/>
    <s v="80618652002003"/>
    <n v="-0.54"/>
    <n v="22"/>
    <n v="1"/>
    <n v="1"/>
  </r>
  <r>
    <m/>
    <m/>
    <x v="1"/>
    <s v="80624981001003"/>
    <n v="-16.54"/>
    <n v="675"/>
    <n v="1"/>
    <n v="1"/>
  </r>
  <r>
    <m/>
    <m/>
    <x v="1"/>
    <s v="80725718001001"/>
    <n v="-2.65"/>
    <n v="108"/>
    <n v="1"/>
    <n v="1"/>
  </r>
  <r>
    <m/>
    <m/>
    <x v="1"/>
    <s v="80867382002003"/>
    <n v="-19.21"/>
    <n v="784"/>
    <n v="1"/>
    <n v="1"/>
  </r>
  <r>
    <m/>
    <m/>
    <x v="1"/>
    <s v="80918426001002"/>
    <n v="-30.87"/>
    <n v="1260"/>
    <n v="1"/>
    <n v="1"/>
  </r>
  <r>
    <m/>
    <m/>
    <x v="1"/>
    <s v="81097028001001"/>
    <n v="-8.33"/>
    <n v="340"/>
    <n v="1"/>
    <n v="1"/>
  </r>
  <r>
    <m/>
    <m/>
    <x v="1"/>
    <s v="81182109001003"/>
    <n v="-8.6"/>
    <n v="351"/>
    <n v="1"/>
    <n v="1"/>
  </r>
  <r>
    <m/>
    <m/>
    <x v="1"/>
    <s v="81376958001002"/>
    <n v="-48.68"/>
    <n v="1987"/>
    <n v="1"/>
    <n v="1"/>
  </r>
  <r>
    <m/>
    <m/>
    <x v="1"/>
    <s v="81454274001001"/>
    <n v="-7.01"/>
    <n v="286"/>
    <n v="1"/>
    <n v="1"/>
  </r>
  <r>
    <m/>
    <m/>
    <x v="1"/>
    <s v="81489053002003"/>
    <n v="-42.85"/>
    <n v="1749"/>
    <n v="1"/>
    <n v="1"/>
  </r>
  <r>
    <m/>
    <m/>
    <x v="1"/>
    <s v="81507693001002"/>
    <n v="-4.17"/>
    <n v="170"/>
    <n v="1"/>
    <n v="1"/>
  </r>
  <r>
    <m/>
    <m/>
    <x v="1"/>
    <s v="81870119001003"/>
    <n v="-2.72"/>
    <n v="111"/>
    <n v="1"/>
    <n v="1"/>
  </r>
  <r>
    <m/>
    <m/>
    <x v="1"/>
    <s v="82043401001001"/>
    <n v="-18.55"/>
    <n v="757"/>
    <n v="1"/>
    <n v="1"/>
  </r>
  <r>
    <m/>
    <m/>
    <x v="1"/>
    <s v="82082422001001"/>
    <n v="-11.83"/>
    <n v="483"/>
    <n v="1"/>
    <n v="1"/>
  </r>
  <r>
    <m/>
    <m/>
    <x v="1"/>
    <s v="82322990001001"/>
    <n v="-35.18"/>
    <n v="1436"/>
    <n v="1"/>
    <n v="1"/>
  </r>
  <r>
    <m/>
    <m/>
    <x v="1"/>
    <s v="82389671001001"/>
    <n v="-32.950000000000003"/>
    <n v="1345"/>
    <n v="1"/>
    <n v="1"/>
  </r>
  <r>
    <m/>
    <m/>
    <x v="1"/>
    <s v="82705141002003"/>
    <n v="-36.380000000000003"/>
    <n v="1485"/>
    <n v="1"/>
    <n v="1"/>
  </r>
  <r>
    <m/>
    <m/>
    <x v="1"/>
    <s v="82876457001003"/>
    <n v="-8.48"/>
    <n v="346"/>
    <n v="1"/>
    <n v="1"/>
  </r>
  <r>
    <m/>
    <m/>
    <x v="1"/>
    <s v="83012772001001"/>
    <n v="-22.54"/>
    <n v="920"/>
    <n v="1"/>
    <n v="1"/>
  </r>
  <r>
    <m/>
    <m/>
    <x v="1"/>
    <s v="83058315001004"/>
    <n v="-37.729999999999997"/>
    <n v="1540"/>
    <n v="1"/>
    <n v="1"/>
  </r>
  <r>
    <m/>
    <m/>
    <x v="1"/>
    <s v="83144829001001"/>
    <n v="-12.89"/>
    <n v="526"/>
    <n v="1"/>
    <n v="1"/>
  </r>
  <r>
    <m/>
    <m/>
    <x v="1"/>
    <s v="83365022001002"/>
    <n v="-21.51"/>
    <n v="878"/>
    <n v="1"/>
    <n v="1"/>
  </r>
  <r>
    <m/>
    <m/>
    <x v="1"/>
    <s v="83430858001001"/>
    <n v="-36.97"/>
    <n v="1509"/>
    <n v="1"/>
    <n v="1"/>
  </r>
  <r>
    <m/>
    <m/>
    <x v="1"/>
    <s v="83567560001001"/>
    <n v="-2.2999999999999998"/>
    <n v="94"/>
    <n v="1"/>
    <n v="1"/>
  </r>
  <r>
    <m/>
    <m/>
    <x v="1"/>
    <s v="83589580001001"/>
    <n v="-28.91"/>
    <n v="1180"/>
    <n v="1"/>
    <n v="1"/>
  </r>
  <r>
    <m/>
    <m/>
    <x v="1"/>
    <s v="83951109003001"/>
    <n v="-52.04"/>
    <n v="2124"/>
    <n v="1"/>
    <n v="1"/>
  </r>
  <r>
    <m/>
    <m/>
    <x v="1"/>
    <s v="83981500001003"/>
    <n v="-27.27"/>
    <n v="1113"/>
    <n v="1"/>
    <n v="1"/>
  </r>
  <r>
    <m/>
    <m/>
    <x v="1"/>
    <s v="84160982001001"/>
    <n v="-5.34"/>
    <n v="218"/>
    <n v="1"/>
    <n v="1"/>
  </r>
  <r>
    <m/>
    <m/>
    <x v="1"/>
    <s v="84270072001001"/>
    <n v="-18.5"/>
    <n v="755"/>
    <n v="1"/>
    <n v="1"/>
  </r>
  <r>
    <m/>
    <m/>
    <x v="1"/>
    <s v="84545227002004"/>
    <n v="-22.27"/>
    <n v="909"/>
    <n v="1"/>
    <n v="1"/>
  </r>
  <r>
    <m/>
    <m/>
    <x v="1"/>
    <s v="84649205001001"/>
    <n v="-28.44"/>
    <n v="1161"/>
    <n v="1"/>
    <n v="1"/>
  </r>
  <r>
    <m/>
    <m/>
    <x v="1"/>
    <s v="84767508001007"/>
    <n v="-1.1000000000000001"/>
    <n v="45"/>
    <n v="1"/>
    <n v="1"/>
  </r>
  <r>
    <m/>
    <m/>
    <x v="1"/>
    <s v="84854567001007"/>
    <n v="-26.22"/>
    <n v="1070"/>
    <n v="1"/>
    <n v="1"/>
  </r>
  <r>
    <m/>
    <m/>
    <x v="1"/>
    <s v="84929826001001"/>
    <n v="-10.14"/>
    <n v="414"/>
    <n v="1"/>
    <n v="1"/>
  </r>
  <r>
    <m/>
    <m/>
    <x v="1"/>
    <s v="84938068001001"/>
    <n v="-13.38"/>
    <n v="546"/>
    <n v="1"/>
    <n v="1"/>
  </r>
  <r>
    <m/>
    <m/>
    <x v="1"/>
    <s v="85218753001001"/>
    <n v="-38.29"/>
    <n v="1563"/>
    <n v="1"/>
    <n v="1"/>
  </r>
  <r>
    <m/>
    <m/>
    <x v="1"/>
    <s v="85220903001004"/>
    <n v="-3.94"/>
    <n v="161"/>
    <n v="1"/>
    <n v="1"/>
  </r>
  <r>
    <m/>
    <m/>
    <x v="1"/>
    <s v="85373492001005"/>
    <n v="-14.97"/>
    <n v="611"/>
    <n v="1"/>
    <n v="1"/>
  </r>
  <r>
    <m/>
    <m/>
    <x v="1"/>
    <s v="85607457001003"/>
    <n v="-20.09"/>
    <n v="820"/>
    <n v="1"/>
    <n v="1"/>
  </r>
  <r>
    <m/>
    <m/>
    <x v="1"/>
    <s v="85809881001003"/>
    <n v="-8.11"/>
    <n v="331"/>
    <n v="1"/>
    <n v="1"/>
  </r>
  <r>
    <m/>
    <m/>
    <x v="1"/>
    <s v="85949429001002"/>
    <n v="-23.01"/>
    <n v="939"/>
    <n v="1"/>
    <n v="1"/>
  </r>
  <r>
    <m/>
    <m/>
    <x v="1"/>
    <s v="85972728001001"/>
    <n v="-10.66"/>
    <n v="435"/>
    <n v="1"/>
    <n v="1"/>
  </r>
  <r>
    <m/>
    <m/>
    <x v="1"/>
    <s v="86314126001001"/>
    <n v="-29.52"/>
    <n v="1205"/>
    <n v="1"/>
    <n v="1"/>
  </r>
  <r>
    <m/>
    <m/>
    <x v="1"/>
    <s v="86521508002003"/>
    <n v="-19.75"/>
    <n v="806"/>
    <n v="1"/>
    <n v="1"/>
  </r>
  <r>
    <m/>
    <m/>
    <x v="1"/>
    <s v="86574879001008"/>
    <n v="-42.85"/>
    <n v="1749"/>
    <n v="1"/>
    <n v="1"/>
  </r>
  <r>
    <m/>
    <m/>
    <x v="1"/>
    <s v="86826206004005"/>
    <n v="-17.739999999999998"/>
    <n v="724"/>
    <n v="1"/>
    <n v="1"/>
  </r>
  <r>
    <m/>
    <m/>
    <x v="1"/>
    <s v="86974765001001"/>
    <n v="-22.47"/>
    <n v="917"/>
    <n v="1"/>
    <n v="1"/>
  </r>
  <r>
    <m/>
    <m/>
    <x v="1"/>
    <s v="87298950001009"/>
    <n v="-4.41"/>
    <n v="180"/>
    <n v="1"/>
    <n v="1"/>
  </r>
  <r>
    <m/>
    <m/>
    <x v="1"/>
    <s v="87402995001003"/>
    <n v="-23.89"/>
    <n v="975"/>
    <n v="1"/>
    <n v="1"/>
  </r>
  <r>
    <m/>
    <m/>
    <x v="1"/>
    <s v="87409773002001"/>
    <n v="-35.4"/>
    <n v="1445"/>
    <n v="1"/>
    <n v="1"/>
  </r>
  <r>
    <m/>
    <m/>
    <x v="1"/>
    <s v="87496184001004"/>
    <n v="-9.09"/>
    <n v="371"/>
    <n v="1"/>
    <n v="1"/>
  </r>
  <r>
    <m/>
    <m/>
    <x v="1"/>
    <s v="87567739001004"/>
    <n v="-43.76"/>
    <n v="1786"/>
    <n v="1"/>
    <n v="1"/>
  </r>
  <r>
    <m/>
    <m/>
    <x v="1"/>
    <s v="88302097001001"/>
    <n v="-43.49"/>
    <n v="1775"/>
    <n v="1"/>
    <n v="1"/>
  </r>
  <r>
    <m/>
    <m/>
    <x v="1"/>
    <s v="88416298001001"/>
    <n v="-12.5"/>
    <n v="510"/>
    <n v="1"/>
    <n v="1"/>
  </r>
  <r>
    <m/>
    <m/>
    <x v="1"/>
    <s v="88600796001001"/>
    <n v="-15.61"/>
    <n v="637"/>
    <n v="1"/>
    <n v="1"/>
  </r>
  <r>
    <m/>
    <m/>
    <x v="1"/>
    <s v="88674501001001"/>
    <n v="-5.15"/>
    <n v="210"/>
    <n v="1"/>
    <n v="1"/>
  </r>
  <r>
    <m/>
    <m/>
    <x v="1"/>
    <s v="88716719002003"/>
    <n v="-17.05"/>
    <n v="696"/>
    <n v="1"/>
    <n v="1"/>
  </r>
  <r>
    <m/>
    <m/>
    <x v="1"/>
    <s v="88795471002001"/>
    <n v="-16.510000000000002"/>
    <n v="674"/>
    <n v="1"/>
    <n v="1"/>
  </r>
  <r>
    <m/>
    <m/>
    <x v="1"/>
    <s v="88908327001003"/>
    <n v="-22"/>
    <n v="898"/>
    <n v="1"/>
    <n v="1"/>
  </r>
  <r>
    <m/>
    <m/>
    <x v="1"/>
    <s v="89067112002001"/>
    <n v="-31.38"/>
    <n v="1281"/>
    <n v="1"/>
    <n v="1"/>
  </r>
  <r>
    <m/>
    <m/>
    <x v="1"/>
    <s v="89105915001001"/>
    <n v="-123.5"/>
    <n v="5041"/>
    <n v="1"/>
    <n v="1"/>
  </r>
  <r>
    <m/>
    <m/>
    <x v="1"/>
    <s v="89115051002001"/>
    <n v="-43.61"/>
    <n v="1780"/>
    <n v="1"/>
    <n v="1"/>
  </r>
  <r>
    <m/>
    <m/>
    <x v="1"/>
    <s v="89128471001009"/>
    <n v="-46.48"/>
    <n v="1897"/>
    <n v="1"/>
    <n v="1"/>
  </r>
  <r>
    <m/>
    <m/>
    <x v="1"/>
    <s v="89435607001002"/>
    <n v="-32.68"/>
    <n v="1334"/>
    <n v="1"/>
    <n v="1"/>
  </r>
  <r>
    <m/>
    <m/>
    <x v="1"/>
    <s v="89599726001001"/>
    <n v="-25.55"/>
    <n v="1043"/>
    <n v="1"/>
    <n v="1"/>
  </r>
  <r>
    <m/>
    <m/>
    <x v="1"/>
    <s v="89987541001001"/>
    <n v="-5.98"/>
    <n v="244"/>
    <n v="1"/>
    <n v="1"/>
  </r>
  <r>
    <m/>
    <m/>
    <x v="1"/>
    <s v="90070067001013"/>
    <n v="-14.77"/>
    <n v="603"/>
    <n v="1"/>
    <n v="1"/>
  </r>
  <r>
    <m/>
    <m/>
    <x v="1"/>
    <s v="90423930002005"/>
    <n v="-22.59"/>
    <n v="922"/>
    <n v="1"/>
    <n v="1"/>
  </r>
  <r>
    <m/>
    <m/>
    <x v="1"/>
    <s v="90466455001004"/>
    <n v="-30.87"/>
    <n v="1260"/>
    <n v="1"/>
    <n v="1"/>
  </r>
  <r>
    <m/>
    <m/>
    <x v="1"/>
    <s v="90515852001001"/>
    <n v="-33.54"/>
    <n v="1369"/>
    <n v="1"/>
    <n v="1"/>
  </r>
  <r>
    <m/>
    <m/>
    <x v="1"/>
    <s v="90593570008003"/>
    <n v="-29.01"/>
    <n v="1184"/>
    <n v="1"/>
    <n v="1"/>
  </r>
  <r>
    <m/>
    <m/>
    <x v="1"/>
    <s v="90642244003005"/>
    <n v="-37.24"/>
    <n v="1520"/>
    <n v="1"/>
    <n v="1"/>
  </r>
  <r>
    <m/>
    <m/>
    <x v="1"/>
    <s v="90666654001001"/>
    <n v="-28.67"/>
    <n v="1170"/>
    <n v="1"/>
    <n v="1"/>
  </r>
  <r>
    <m/>
    <m/>
    <x v="1"/>
    <s v="91179685001003"/>
    <n v="-7.03"/>
    <n v="287"/>
    <n v="1"/>
    <n v="1"/>
  </r>
  <r>
    <m/>
    <m/>
    <x v="1"/>
    <s v="91251961001001"/>
    <n v="-4.41"/>
    <n v="180"/>
    <n v="1"/>
    <n v="1"/>
  </r>
  <r>
    <m/>
    <m/>
    <x v="1"/>
    <s v="91266513001005"/>
    <n v="-17.22"/>
    <n v="703"/>
    <n v="1"/>
    <n v="1"/>
  </r>
  <r>
    <m/>
    <m/>
    <x v="1"/>
    <s v="91666691002003"/>
    <n v="-59.95"/>
    <n v="2447"/>
    <n v="1"/>
    <n v="1"/>
  </r>
  <r>
    <m/>
    <m/>
    <x v="1"/>
    <s v="91700255001001"/>
    <n v="-38.51"/>
    <n v="1572"/>
    <n v="1"/>
    <n v="1"/>
  </r>
  <r>
    <m/>
    <m/>
    <x v="1"/>
    <s v="91722865001003"/>
    <n v="-13.45"/>
    <n v="549"/>
    <n v="1"/>
    <n v="1"/>
  </r>
  <r>
    <m/>
    <m/>
    <x v="1"/>
    <s v="91727388001001"/>
    <n v="-25.38"/>
    <n v="1036"/>
    <n v="1"/>
    <n v="1"/>
  </r>
  <r>
    <m/>
    <m/>
    <x v="1"/>
    <s v="92277523001006"/>
    <n v="-13.5"/>
    <n v="551"/>
    <n v="1"/>
    <n v="1"/>
  </r>
  <r>
    <m/>
    <m/>
    <x v="1"/>
    <s v="92602233001001"/>
    <n v="-17.05"/>
    <n v="696"/>
    <n v="1"/>
    <n v="1"/>
  </r>
  <r>
    <m/>
    <m/>
    <x v="1"/>
    <s v="93107160001010"/>
    <n v="-34.72"/>
    <n v="1417"/>
    <n v="1"/>
    <n v="1"/>
  </r>
  <r>
    <m/>
    <m/>
    <x v="1"/>
    <s v="93387211001009"/>
    <n v="-29.84"/>
    <n v="1218"/>
    <n v="1"/>
    <n v="1"/>
  </r>
  <r>
    <m/>
    <m/>
    <x v="1"/>
    <s v="93499178002003"/>
    <n v="-6.1"/>
    <n v="249"/>
    <n v="1"/>
    <n v="1"/>
  </r>
  <r>
    <m/>
    <m/>
    <x v="1"/>
    <s v="93541991001003"/>
    <n v="-11.12"/>
    <n v="454"/>
    <n v="1"/>
    <n v="1"/>
  </r>
  <r>
    <m/>
    <m/>
    <x v="1"/>
    <s v="94290441002001"/>
    <n v="-4.3600000000000003"/>
    <n v="178"/>
    <n v="1"/>
    <n v="1"/>
  </r>
  <r>
    <m/>
    <m/>
    <x v="1"/>
    <s v="94684058001001"/>
    <n v="-19.48"/>
    <n v="795"/>
    <n v="1"/>
    <n v="1"/>
  </r>
  <r>
    <m/>
    <m/>
    <x v="1"/>
    <s v="94908251002001"/>
    <n v="-51.55"/>
    <n v="2104"/>
    <n v="1"/>
    <n v="1"/>
  </r>
  <r>
    <m/>
    <m/>
    <x v="1"/>
    <s v="94963671001001"/>
    <n v="-29.35"/>
    <n v="1198"/>
    <n v="1"/>
    <n v="1"/>
  </r>
  <r>
    <m/>
    <m/>
    <x v="1"/>
    <s v="95016897001001"/>
    <n v="-16.829999999999998"/>
    <n v="687"/>
    <n v="1"/>
    <n v="1"/>
  </r>
  <r>
    <m/>
    <m/>
    <x v="1"/>
    <s v="95227952004001"/>
    <n v="-75.66"/>
    <n v="3088"/>
    <n v="1"/>
    <n v="1"/>
  </r>
  <r>
    <m/>
    <m/>
    <x v="1"/>
    <s v="95229231001002"/>
    <n v="-22.88"/>
    <n v="934"/>
    <n v="1"/>
    <n v="1"/>
  </r>
  <r>
    <m/>
    <m/>
    <x v="1"/>
    <s v="95311280001001"/>
    <n v="-20.97"/>
    <n v="856"/>
    <n v="1"/>
    <n v="1"/>
  </r>
  <r>
    <m/>
    <m/>
    <x v="1"/>
    <s v="95373261001005"/>
    <n v="-33.22"/>
    <n v="1356"/>
    <n v="1"/>
    <n v="1"/>
  </r>
  <r>
    <m/>
    <m/>
    <x v="1"/>
    <s v="95438353001014"/>
    <n v="-26.29"/>
    <n v="1073"/>
    <n v="1"/>
    <n v="1"/>
  </r>
  <r>
    <m/>
    <m/>
    <x v="1"/>
    <s v="95496596001001"/>
    <n v="-1.42"/>
    <n v="58"/>
    <n v="1"/>
    <n v="1"/>
  </r>
  <r>
    <m/>
    <m/>
    <x v="1"/>
    <s v="95527245001004"/>
    <n v="-7.11"/>
    <n v="290"/>
    <n v="1"/>
    <n v="1"/>
  </r>
  <r>
    <m/>
    <m/>
    <x v="1"/>
    <s v="95699360003004"/>
    <n v="-22.93"/>
    <n v="936"/>
    <n v="1"/>
    <n v="1"/>
  </r>
  <r>
    <m/>
    <m/>
    <x v="1"/>
    <s v="95972381001002"/>
    <n v="-32.049999999999997"/>
    <n v="1308"/>
    <n v="1"/>
    <n v="1"/>
  </r>
  <r>
    <m/>
    <m/>
    <x v="1"/>
    <s v="95974841004001"/>
    <n v="-16.54"/>
    <n v="675"/>
    <n v="1"/>
    <n v="1"/>
  </r>
  <r>
    <m/>
    <m/>
    <x v="1"/>
    <s v="96052911001001"/>
    <n v="-14.97"/>
    <n v="611"/>
    <n v="1"/>
    <n v="1"/>
  </r>
  <r>
    <m/>
    <m/>
    <x v="1"/>
    <s v="96226382001001"/>
    <n v="-9.6"/>
    <n v="392"/>
    <n v="1"/>
    <n v="1"/>
  </r>
  <r>
    <m/>
    <m/>
    <x v="1"/>
    <s v="96244044003001"/>
    <n v="-0.17"/>
    <n v="7"/>
    <n v="1"/>
    <n v="1"/>
  </r>
  <r>
    <m/>
    <m/>
    <x v="1"/>
    <s v="96258552001004"/>
    <n v="-11.56"/>
    <n v="472"/>
    <n v="1"/>
    <n v="1"/>
  </r>
  <r>
    <m/>
    <m/>
    <x v="1"/>
    <s v="96369039001001"/>
    <n v="-46.43"/>
    <n v="1895"/>
    <n v="1"/>
    <n v="1"/>
  </r>
  <r>
    <m/>
    <m/>
    <x v="1"/>
    <s v="96989595001001"/>
    <n v="-18.03"/>
    <n v="736"/>
    <n v="1"/>
    <n v="1"/>
  </r>
  <r>
    <m/>
    <m/>
    <x v="1"/>
    <s v="97033053001001"/>
    <n v="-39.42"/>
    <n v="1609"/>
    <n v="1"/>
    <n v="1"/>
  </r>
  <r>
    <m/>
    <m/>
    <x v="1"/>
    <s v="97058089002005"/>
    <n v="-16"/>
    <n v="653"/>
    <n v="1"/>
    <n v="1"/>
  </r>
  <r>
    <m/>
    <m/>
    <x v="1"/>
    <s v="97521847001001"/>
    <n v="-18.350000000000001"/>
    <n v="749"/>
    <n v="1"/>
    <n v="1"/>
  </r>
  <r>
    <m/>
    <m/>
    <x v="1"/>
    <s v="97956025003003"/>
    <n v="-19.55"/>
    <n v="798"/>
    <n v="1"/>
    <n v="1"/>
  </r>
  <r>
    <m/>
    <m/>
    <x v="1"/>
    <s v="98361540001003"/>
    <n v="-8.82"/>
    <n v="360"/>
    <n v="1"/>
    <n v="1"/>
  </r>
  <r>
    <m/>
    <m/>
    <x v="1"/>
    <s v="98550222001001"/>
    <n v="-40.130000000000003"/>
    <n v="1638"/>
    <n v="1"/>
    <n v="1"/>
  </r>
  <r>
    <m/>
    <m/>
    <x v="1"/>
    <s v="98859974001007"/>
    <n v="-17.170000000000002"/>
    <n v="701"/>
    <n v="1"/>
    <n v="1"/>
  </r>
  <r>
    <m/>
    <m/>
    <x v="1"/>
    <s v="98982821001003"/>
    <n v="-20.46"/>
    <n v="835"/>
    <n v="1"/>
    <n v="1"/>
  </r>
  <r>
    <m/>
    <m/>
    <x v="1"/>
    <s v="99547055001003"/>
    <n v="-47.87"/>
    <n v="1954"/>
    <n v="1"/>
    <n v="1"/>
  </r>
  <r>
    <m/>
    <m/>
    <x v="1"/>
    <s v="99605913001001"/>
    <n v="-7.55"/>
    <n v="308"/>
    <n v="1"/>
    <n v="1"/>
  </r>
  <r>
    <m/>
    <m/>
    <x v="1"/>
    <s v="99678131001001"/>
    <n v="-19.77"/>
    <n v="807"/>
    <n v="1"/>
    <n v="1"/>
  </r>
  <r>
    <m/>
    <m/>
    <x v="1"/>
    <s v="99752520001007"/>
    <n v="-26.95"/>
    <n v="1100"/>
    <n v="1"/>
    <n v="1"/>
  </r>
  <r>
    <m/>
    <m/>
    <x v="1"/>
    <s v="99831171002001"/>
    <n v="-79.8"/>
    <n v="3257"/>
    <n v="1"/>
    <n v="1"/>
  </r>
  <r>
    <m/>
    <m/>
    <x v="1"/>
    <s v="99840626001004"/>
    <n v="-22.74"/>
    <n v="928"/>
    <n v="1"/>
    <n v="1"/>
  </r>
  <r>
    <m/>
    <m/>
    <x v="2"/>
    <m/>
    <n v="-24072.270000000004"/>
    <n v="982537"/>
    <n v="967"/>
    <n v="965"/>
  </r>
  <r>
    <m/>
    <m/>
    <x v="3"/>
    <s v="00046637001001"/>
    <n v="-19.059999999999999"/>
    <n v="486"/>
    <n v="1"/>
    <n v="1"/>
  </r>
  <r>
    <m/>
    <m/>
    <x v="1"/>
    <s v="00505142002001"/>
    <n v="-27.37"/>
    <n v="698"/>
    <n v="1"/>
    <n v="1"/>
  </r>
  <r>
    <m/>
    <m/>
    <x v="1"/>
    <s v="00615047002001"/>
    <n v="-39.56"/>
    <n v="1009"/>
    <n v="1"/>
    <n v="1"/>
  </r>
  <r>
    <m/>
    <m/>
    <x v="1"/>
    <s v="00620929001002"/>
    <n v="-37.25"/>
    <n v="950"/>
    <n v="1"/>
    <n v="1"/>
  </r>
  <r>
    <m/>
    <m/>
    <x v="1"/>
    <s v="00809273002003"/>
    <n v="-65.599999999999994"/>
    <n v="1673"/>
    <n v="1"/>
    <n v="1"/>
  </r>
  <r>
    <m/>
    <m/>
    <x v="1"/>
    <s v="00829036001001"/>
    <n v="-47.95"/>
    <n v="1223"/>
    <n v="1"/>
    <n v="1"/>
  </r>
  <r>
    <m/>
    <m/>
    <x v="1"/>
    <s v="00838430001003"/>
    <n v="-57.44"/>
    <n v="1465"/>
    <n v="1"/>
    <n v="1"/>
  </r>
  <r>
    <m/>
    <m/>
    <x v="1"/>
    <s v="00876650001003"/>
    <n v="-57.44"/>
    <n v="1465"/>
    <n v="1"/>
    <n v="1"/>
  </r>
  <r>
    <m/>
    <m/>
    <x v="1"/>
    <s v="00927680001011"/>
    <n v="-14.74"/>
    <n v="376"/>
    <n v="1"/>
    <n v="1"/>
  </r>
  <r>
    <m/>
    <m/>
    <x v="1"/>
    <s v="01028343001005"/>
    <n v="-37.68"/>
    <n v="961"/>
    <n v="1"/>
    <n v="1"/>
  </r>
  <r>
    <m/>
    <m/>
    <x v="1"/>
    <s v="01147160001001"/>
    <n v="-72.19"/>
    <n v="1841"/>
    <n v="1"/>
    <n v="1"/>
  </r>
  <r>
    <m/>
    <m/>
    <x v="1"/>
    <s v="01335294001005"/>
    <n v="-11.68"/>
    <n v="298"/>
    <n v="1"/>
    <n v="1"/>
  </r>
  <r>
    <m/>
    <m/>
    <x v="1"/>
    <s v="01519525001005"/>
    <n v="-20.27"/>
    <n v="517"/>
    <n v="1"/>
    <n v="1"/>
  </r>
  <r>
    <m/>
    <m/>
    <x v="1"/>
    <s v="01520368001007"/>
    <n v="-23.8"/>
    <n v="607"/>
    <n v="1"/>
    <n v="1"/>
  </r>
  <r>
    <m/>
    <m/>
    <x v="1"/>
    <s v="01858972001001"/>
    <n v="-57.25"/>
    <n v="1460"/>
    <n v="1"/>
    <n v="1"/>
  </r>
  <r>
    <m/>
    <m/>
    <x v="1"/>
    <s v="02383685001001"/>
    <n v="-36.31"/>
    <n v="926"/>
    <n v="1"/>
    <n v="1"/>
  </r>
  <r>
    <m/>
    <m/>
    <x v="1"/>
    <s v="02495470002001"/>
    <n v="-19.72"/>
    <n v="503"/>
    <n v="1"/>
    <n v="1"/>
  </r>
  <r>
    <m/>
    <m/>
    <x v="1"/>
    <s v="02761318001001"/>
    <n v="-51.37"/>
    <n v="1310"/>
    <n v="1"/>
    <n v="1"/>
  </r>
  <r>
    <m/>
    <m/>
    <x v="1"/>
    <s v="02861062001008"/>
    <n v="-10.039999999999999"/>
    <n v="256"/>
    <n v="1"/>
    <n v="1"/>
  </r>
  <r>
    <m/>
    <m/>
    <x v="1"/>
    <s v="02975140001002"/>
    <n v="-11.92"/>
    <n v="304"/>
    <n v="1"/>
    <n v="1"/>
  </r>
  <r>
    <m/>
    <m/>
    <x v="1"/>
    <s v="03276788001006"/>
    <n v="-57.6"/>
    <n v="1469"/>
    <n v="1"/>
    <n v="1"/>
  </r>
  <r>
    <m/>
    <m/>
    <x v="1"/>
    <s v="03303681001001"/>
    <n v="-41.09"/>
    <n v="1048"/>
    <n v="1"/>
    <n v="1"/>
  </r>
  <r>
    <m/>
    <m/>
    <x v="1"/>
    <s v="03425988001004"/>
    <n v="-18.510000000000002"/>
    <n v="472"/>
    <n v="1"/>
    <n v="1"/>
  </r>
  <r>
    <m/>
    <m/>
    <x v="1"/>
    <s v="03428866001003"/>
    <n v="-39.369999999999997"/>
    <n v="1004"/>
    <n v="1"/>
    <n v="1"/>
  </r>
  <r>
    <m/>
    <m/>
    <x v="1"/>
    <s v="03527986001008"/>
    <n v="-23.53"/>
    <n v="600"/>
    <n v="1"/>
    <n v="1"/>
  </r>
  <r>
    <m/>
    <m/>
    <x v="1"/>
    <s v="04226765001003"/>
    <n v="-59.91"/>
    <n v="1528"/>
    <n v="1"/>
    <n v="1"/>
  </r>
  <r>
    <m/>
    <m/>
    <x v="1"/>
    <s v="04330395001006"/>
    <n v="-44.62"/>
    <n v="1138"/>
    <n v="1"/>
    <n v="1"/>
  </r>
  <r>
    <m/>
    <m/>
    <x v="1"/>
    <s v="04615660011001"/>
    <n v="-15.06"/>
    <n v="384"/>
    <n v="1"/>
    <n v="1"/>
  </r>
  <r>
    <m/>
    <m/>
    <x v="1"/>
    <s v="04707114001003"/>
    <n v="-125.94"/>
    <n v="3212"/>
    <n v="2"/>
    <n v="1"/>
  </r>
  <r>
    <m/>
    <m/>
    <x v="1"/>
    <s v="04758207001001"/>
    <n v="-20.59"/>
    <n v="525"/>
    <n v="1"/>
    <n v="1"/>
  </r>
  <r>
    <m/>
    <m/>
    <x v="1"/>
    <s v="04813613001001"/>
    <n v="-84.97"/>
    <n v="2167"/>
    <n v="1"/>
    <n v="1"/>
  </r>
  <r>
    <m/>
    <m/>
    <x v="1"/>
    <s v="05077769001001"/>
    <n v="-24.04"/>
    <n v="613"/>
    <n v="1"/>
    <n v="1"/>
  </r>
  <r>
    <m/>
    <m/>
    <x v="1"/>
    <s v="05266292001004"/>
    <n v="-19.72"/>
    <n v="503"/>
    <n v="1"/>
    <n v="1"/>
  </r>
  <r>
    <m/>
    <m/>
    <x v="1"/>
    <s v="05424431002001"/>
    <n v="-38.82"/>
    <n v="990"/>
    <n v="1"/>
    <n v="1"/>
  </r>
  <r>
    <m/>
    <m/>
    <x v="1"/>
    <s v="05467882001001"/>
    <n v="-100.69"/>
    <n v="2568"/>
    <n v="1"/>
    <n v="1"/>
  </r>
  <r>
    <m/>
    <m/>
    <x v="1"/>
    <s v="05489508003005"/>
    <n v="-32.39"/>
    <n v="826"/>
    <n v="1"/>
    <n v="1"/>
  </r>
  <r>
    <m/>
    <m/>
    <x v="1"/>
    <s v="05608094001001"/>
    <n v="-4.43"/>
    <n v="113"/>
    <n v="1"/>
    <n v="1"/>
  </r>
  <r>
    <m/>
    <m/>
    <x v="1"/>
    <s v="05767750001001"/>
    <n v="-84.11"/>
    <n v="2145"/>
    <n v="1"/>
    <n v="1"/>
  </r>
  <r>
    <m/>
    <m/>
    <x v="1"/>
    <s v="05803986001003"/>
    <n v="-46.03"/>
    <n v="1174"/>
    <n v="1"/>
    <n v="1"/>
  </r>
  <r>
    <m/>
    <m/>
    <x v="1"/>
    <s v="05939875001001"/>
    <n v="-39.799999999999997"/>
    <n v="1015"/>
    <n v="1"/>
    <n v="1"/>
  </r>
  <r>
    <m/>
    <m/>
    <x v="1"/>
    <s v="06381309001002"/>
    <n v="-75.87"/>
    <n v="1935"/>
    <n v="1"/>
    <n v="1"/>
  </r>
  <r>
    <m/>
    <m/>
    <x v="1"/>
    <s v="06483393001005"/>
    <n v="-23.57"/>
    <n v="601"/>
    <n v="1"/>
    <n v="1"/>
  </r>
  <r>
    <m/>
    <m/>
    <x v="1"/>
    <s v="06815394001001"/>
    <n v="-17.84"/>
    <n v="455"/>
    <n v="1"/>
    <n v="1"/>
  </r>
  <r>
    <m/>
    <m/>
    <x v="1"/>
    <s v="06870862001003"/>
    <n v="-10.98"/>
    <n v="280"/>
    <n v="1"/>
    <n v="1"/>
  </r>
  <r>
    <m/>
    <m/>
    <x v="1"/>
    <s v="07214889002013"/>
    <n v="-65.17"/>
    <n v="1662"/>
    <n v="1"/>
    <n v="1"/>
  </r>
  <r>
    <m/>
    <m/>
    <x v="1"/>
    <s v="07573474001004"/>
    <n v="-7.41"/>
    <n v="189"/>
    <n v="1"/>
    <n v="1"/>
  </r>
  <r>
    <m/>
    <m/>
    <x v="1"/>
    <s v="07775926001003"/>
    <n v="-52.07"/>
    <n v="1328"/>
    <n v="1"/>
    <n v="1"/>
  </r>
  <r>
    <m/>
    <m/>
    <x v="1"/>
    <s v="07923176001001"/>
    <n v="-40.39"/>
    <n v="1030"/>
    <n v="1"/>
    <n v="1"/>
  </r>
  <r>
    <m/>
    <m/>
    <x v="1"/>
    <s v="08007689001001"/>
    <n v="-132.96"/>
    <n v="3391"/>
    <n v="1"/>
    <n v="1"/>
  </r>
  <r>
    <m/>
    <m/>
    <x v="1"/>
    <s v="08067240001001"/>
    <n v="-10.16"/>
    <n v="259"/>
    <n v="1"/>
    <n v="1"/>
  </r>
  <r>
    <m/>
    <m/>
    <x v="1"/>
    <s v="08189439001003"/>
    <n v="-11.53"/>
    <n v="294"/>
    <n v="1"/>
    <n v="1"/>
  </r>
  <r>
    <m/>
    <m/>
    <x v="1"/>
    <s v="08233163001005"/>
    <n v="-40.5"/>
    <n v="1033"/>
    <n v="1"/>
    <n v="1"/>
  </r>
  <r>
    <m/>
    <m/>
    <x v="1"/>
    <s v="08314540001003"/>
    <n v="-24.27"/>
    <n v="619"/>
    <n v="1"/>
    <n v="1"/>
  </r>
  <r>
    <m/>
    <m/>
    <x v="1"/>
    <s v="08360608001002"/>
    <n v="-50.97"/>
    <n v="1300"/>
    <n v="1"/>
    <n v="1"/>
  </r>
  <r>
    <m/>
    <m/>
    <x v="1"/>
    <s v="08435512001003"/>
    <n v="-43.72"/>
    <n v="1115"/>
    <n v="1"/>
    <n v="1"/>
  </r>
  <r>
    <m/>
    <m/>
    <x v="1"/>
    <s v="08685884001001"/>
    <n v="-7.8"/>
    <n v="199"/>
    <n v="1"/>
    <n v="1"/>
  </r>
  <r>
    <m/>
    <m/>
    <x v="1"/>
    <s v="08851339001001"/>
    <n v="-6.82"/>
    <n v="174"/>
    <n v="1"/>
    <n v="1"/>
  </r>
  <r>
    <m/>
    <m/>
    <x v="1"/>
    <s v="08897151001004"/>
    <n v="-85.4"/>
    <n v="2178"/>
    <n v="1"/>
    <n v="1"/>
  </r>
  <r>
    <m/>
    <m/>
    <x v="1"/>
    <s v="08985850001001"/>
    <n v="-37.6"/>
    <n v="959"/>
    <n v="1"/>
    <n v="1"/>
  </r>
  <r>
    <m/>
    <m/>
    <x v="1"/>
    <s v="08994743001001"/>
    <n v="-60.62"/>
    <n v="1546"/>
    <n v="1"/>
    <n v="1"/>
  </r>
  <r>
    <m/>
    <m/>
    <x v="1"/>
    <s v="09089643001002"/>
    <n v="-25.76"/>
    <n v="657"/>
    <n v="1"/>
    <n v="1"/>
  </r>
  <r>
    <m/>
    <m/>
    <x v="1"/>
    <s v="09159151001002"/>
    <n v="-82.11"/>
    <n v="2094"/>
    <n v="1"/>
    <n v="1"/>
  </r>
  <r>
    <m/>
    <m/>
    <x v="1"/>
    <s v="09353338001001"/>
    <n v="-37.72"/>
    <n v="962"/>
    <n v="1"/>
    <n v="1"/>
  </r>
  <r>
    <m/>
    <m/>
    <x v="1"/>
    <s v="09381479001007"/>
    <n v="-13.65"/>
    <n v="348"/>
    <n v="1"/>
    <n v="1"/>
  </r>
  <r>
    <m/>
    <m/>
    <x v="1"/>
    <s v="09510965001001"/>
    <n v="-40.97"/>
    <n v="1045"/>
    <n v="1"/>
    <n v="1"/>
  </r>
  <r>
    <m/>
    <m/>
    <x v="1"/>
    <s v="09528611001001"/>
    <n v="-12.12"/>
    <n v="309"/>
    <n v="1"/>
    <n v="1"/>
  </r>
  <r>
    <m/>
    <m/>
    <x v="1"/>
    <s v="09912352001004"/>
    <n v="-28.04"/>
    <n v="715"/>
    <n v="1"/>
    <n v="1"/>
  </r>
  <r>
    <m/>
    <m/>
    <x v="1"/>
    <s v="10427012001001"/>
    <n v="-44.54"/>
    <n v="1136"/>
    <n v="1"/>
    <n v="1"/>
  </r>
  <r>
    <m/>
    <m/>
    <x v="1"/>
    <s v="10567153001001"/>
    <n v="-9.8000000000000007"/>
    <n v="250"/>
    <n v="1"/>
    <n v="1"/>
  </r>
  <r>
    <m/>
    <m/>
    <x v="1"/>
    <s v="10597439001003"/>
    <n v="-37.96"/>
    <n v="968"/>
    <n v="1"/>
    <n v="1"/>
  </r>
  <r>
    <m/>
    <m/>
    <x v="1"/>
    <s v="10898812001001"/>
    <n v="-6.63"/>
    <n v="169"/>
    <n v="1"/>
    <n v="1"/>
  </r>
  <r>
    <m/>
    <m/>
    <x v="1"/>
    <s v="11073517001005"/>
    <n v="-57.44"/>
    <n v="1465"/>
    <n v="1"/>
    <n v="1"/>
  </r>
  <r>
    <m/>
    <m/>
    <x v="1"/>
    <s v="11266870001001"/>
    <n v="-8.1199999999999992"/>
    <n v="207"/>
    <n v="1"/>
    <n v="1"/>
  </r>
  <r>
    <m/>
    <m/>
    <x v="1"/>
    <s v="11284469001003"/>
    <n v="-42.82"/>
    <n v="1092"/>
    <n v="1"/>
    <n v="1"/>
  </r>
  <r>
    <m/>
    <m/>
    <x v="1"/>
    <s v="11380184001001"/>
    <n v="-0.82"/>
    <n v="21"/>
    <n v="1"/>
    <n v="1"/>
  </r>
  <r>
    <m/>
    <m/>
    <x v="1"/>
    <s v="11498623002001"/>
    <n v="-79.010000000000005"/>
    <n v="2015"/>
    <n v="1"/>
    <n v="1"/>
  </r>
  <r>
    <m/>
    <m/>
    <x v="1"/>
    <s v="11558237001001"/>
    <n v="-45.56"/>
    <n v="1162"/>
    <n v="1"/>
    <n v="1"/>
  </r>
  <r>
    <m/>
    <m/>
    <x v="1"/>
    <s v="11649874003001"/>
    <n v="-23.6"/>
    <n v="602"/>
    <n v="1"/>
    <n v="1"/>
  </r>
  <r>
    <m/>
    <m/>
    <x v="1"/>
    <s v="11762846001001"/>
    <n v="-30.66"/>
    <n v="782"/>
    <n v="1"/>
    <n v="1"/>
  </r>
  <r>
    <m/>
    <m/>
    <x v="1"/>
    <s v="11787709001001"/>
    <n v="-56.66"/>
    <n v="1445"/>
    <n v="1"/>
    <n v="1"/>
  </r>
  <r>
    <m/>
    <m/>
    <x v="1"/>
    <s v="11913025001002"/>
    <n v="-54.62"/>
    <n v="1393"/>
    <n v="1"/>
    <n v="1"/>
  </r>
  <r>
    <m/>
    <m/>
    <x v="1"/>
    <s v="11918881001001"/>
    <n v="-17.72"/>
    <n v="452"/>
    <n v="1"/>
    <n v="1"/>
  </r>
  <r>
    <m/>
    <m/>
    <x v="1"/>
    <s v="11968828001003"/>
    <n v="-32.9"/>
    <n v="839"/>
    <n v="1"/>
    <n v="1"/>
  </r>
  <r>
    <m/>
    <m/>
    <x v="1"/>
    <s v="12157971001001"/>
    <n v="-21.64"/>
    <n v="552"/>
    <n v="1"/>
    <n v="1"/>
  </r>
  <r>
    <m/>
    <m/>
    <x v="1"/>
    <s v="12325069001003"/>
    <n v="-29.68"/>
    <n v="757"/>
    <n v="1"/>
    <n v="1"/>
  </r>
  <r>
    <m/>
    <m/>
    <x v="1"/>
    <s v="12421088001004"/>
    <n v="-25.64"/>
    <n v="654"/>
    <n v="1"/>
    <n v="1"/>
  </r>
  <r>
    <m/>
    <m/>
    <x v="1"/>
    <s v="12591289001004"/>
    <n v="-32.58"/>
    <n v="831"/>
    <n v="1"/>
    <n v="1"/>
  </r>
  <r>
    <m/>
    <m/>
    <x v="1"/>
    <s v="12818134001004"/>
    <n v="-42.93"/>
    <n v="1095"/>
    <n v="1"/>
    <n v="1"/>
  </r>
  <r>
    <m/>
    <m/>
    <x v="1"/>
    <s v="12990985004003"/>
    <n v="-22.19"/>
    <n v="566"/>
    <n v="1"/>
    <n v="1"/>
  </r>
  <r>
    <m/>
    <m/>
    <x v="1"/>
    <s v="13033808001005"/>
    <n v="-12.19"/>
    <n v="311"/>
    <n v="1"/>
    <n v="1"/>
  </r>
  <r>
    <m/>
    <m/>
    <x v="1"/>
    <s v="13074980001004"/>
    <n v="-4.3899999999999997"/>
    <n v="112"/>
    <n v="1"/>
    <n v="1"/>
  </r>
  <r>
    <m/>
    <m/>
    <x v="1"/>
    <s v="13150161001001"/>
    <n v="-28"/>
    <n v="714"/>
    <n v="1"/>
    <n v="1"/>
  </r>
  <r>
    <m/>
    <m/>
    <x v="1"/>
    <s v="13203269001001"/>
    <n v="-47.6"/>
    <n v="1214"/>
    <n v="1"/>
    <n v="1"/>
  </r>
  <r>
    <m/>
    <m/>
    <x v="1"/>
    <s v="13653453001001"/>
    <n v="-48.46"/>
    <n v="1236"/>
    <n v="1"/>
    <n v="1"/>
  </r>
  <r>
    <m/>
    <m/>
    <x v="1"/>
    <s v="13661749001003"/>
    <n v="-46.23"/>
    <n v="1179"/>
    <n v="1"/>
    <n v="1"/>
  </r>
  <r>
    <m/>
    <m/>
    <x v="1"/>
    <s v="13673984005001"/>
    <n v="-15.41"/>
    <n v="393"/>
    <n v="1"/>
    <n v="1"/>
  </r>
  <r>
    <m/>
    <m/>
    <x v="1"/>
    <s v="14523509002001"/>
    <n v="-66.42"/>
    <n v="1694"/>
    <n v="1"/>
    <n v="1"/>
  </r>
  <r>
    <m/>
    <m/>
    <x v="1"/>
    <s v="14550816001001"/>
    <n v="-37.479999999999997"/>
    <n v="956"/>
    <n v="1"/>
    <n v="1"/>
  </r>
  <r>
    <m/>
    <m/>
    <x v="1"/>
    <s v="14612915001001"/>
    <n v="-51.09"/>
    <n v="1303"/>
    <n v="1"/>
    <n v="1"/>
  </r>
  <r>
    <m/>
    <m/>
    <x v="1"/>
    <s v="14864623004003"/>
    <n v="-9.3699999999999992"/>
    <n v="239"/>
    <n v="1"/>
    <n v="1"/>
  </r>
  <r>
    <m/>
    <m/>
    <x v="1"/>
    <s v="14880751002003"/>
    <n v="-37.99"/>
    <n v="969"/>
    <n v="1"/>
    <n v="1"/>
  </r>
  <r>
    <m/>
    <m/>
    <x v="1"/>
    <s v="14884998001013"/>
    <n v="-22.15"/>
    <n v="565"/>
    <n v="1"/>
    <n v="1"/>
  </r>
  <r>
    <m/>
    <m/>
    <x v="1"/>
    <s v="14986800001003"/>
    <n v="-75.239999999999995"/>
    <n v="1919"/>
    <n v="1"/>
    <n v="1"/>
  </r>
  <r>
    <m/>
    <m/>
    <x v="1"/>
    <s v="15120810001001"/>
    <n v="-12.43"/>
    <n v="317"/>
    <n v="1"/>
    <n v="1"/>
  </r>
  <r>
    <m/>
    <m/>
    <x v="1"/>
    <s v="15125902001003"/>
    <n v="-36.229999999999997"/>
    <n v="924"/>
    <n v="1"/>
    <n v="1"/>
  </r>
  <r>
    <m/>
    <m/>
    <x v="1"/>
    <s v="15197163001001"/>
    <n v="-23.6"/>
    <n v="602"/>
    <n v="1"/>
    <n v="1"/>
  </r>
  <r>
    <m/>
    <m/>
    <x v="1"/>
    <s v="15210168001005"/>
    <n v="-84.93"/>
    <n v="2166"/>
    <n v="1"/>
    <n v="1"/>
  </r>
  <r>
    <m/>
    <m/>
    <x v="1"/>
    <s v="15429562002003"/>
    <n v="-49.48"/>
    <n v="1262"/>
    <n v="1"/>
    <n v="1"/>
  </r>
  <r>
    <m/>
    <m/>
    <x v="1"/>
    <s v="15475885001003"/>
    <n v="-31.52"/>
    <n v="804"/>
    <n v="1"/>
    <n v="1"/>
  </r>
  <r>
    <m/>
    <m/>
    <x v="1"/>
    <s v="15522534001001"/>
    <n v="-6.67"/>
    <n v="170"/>
    <n v="1"/>
    <n v="1"/>
  </r>
  <r>
    <m/>
    <m/>
    <x v="1"/>
    <s v="15572981001001"/>
    <n v="-32.619999999999997"/>
    <n v="832"/>
    <n v="1"/>
    <n v="1"/>
  </r>
  <r>
    <m/>
    <m/>
    <x v="1"/>
    <s v="16000002001005"/>
    <n v="-29.25"/>
    <n v="746"/>
    <n v="1"/>
    <n v="1"/>
  </r>
  <r>
    <m/>
    <m/>
    <x v="1"/>
    <s v="16146889001001"/>
    <n v="-40.54"/>
    <n v="1034"/>
    <n v="1"/>
    <n v="1"/>
  </r>
  <r>
    <m/>
    <m/>
    <x v="1"/>
    <s v="16208723002001"/>
    <n v="-40.86"/>
    <n v="1042"/>
    <n v="1"/>
    <n v="1"/>
  </r>
  <r>
    <m/>
    <m/>
    <x v="1"/>
    <s v="16268790001003"/>
    <n v="-38.19"/>
    <n v="974"/>
    <n v="1"/>
    <n v="1"/>
  </r>
  <r>
    <m/>
    <m/>
    <x v="1"/>
    <s v="16343113001003"/>
    <n v="-32.35"/>
    <n v="825"/>
    <n v="1"/>
    <n v="1"/>
  </r>
  <r>
    <m/>
    <m/>
    <x v="1"/>
    <s v="16349724001001"/>
    <n v="-2.5099999999999998"/>
    <n v="64"/>
    <n v="1"/>
    <n v="1"/>
  </r>
  <r>
    <m/>
    <m/>
    <x v="1"/>
    <s v="16414586003001"/>
    <n v="-29.25"/>
    <n v="746"/>
    <n v="1"/>
    <n v="1"/>
  </r>
  <r>
    <m/>
    <m/>
    <x v="1"/>
    <s v="16474562001006"/>
    <n v="-16.149999999999999"/>
    <n v="412"/>
    <n v="1"/>
    <n v="1"/>
  </r>
  <r>
    <m/>
    <m/>
    <x v="1"/>
    <s v="16483184001001"/>
    <n v="-12.74"/>
    <n v="325"/>
    <n v="1"/>
    <n v="1"/>
  </r>
  <r>
    <m/>
    <m/>
    <x v="1"/>
    <s v="16578645001005"/>
    <n v="-21.57"/>
    <n v="550"/>
    <n v="1"/>
    <n v="1"/>
  </r>
  <r>
    <m/>
    <m/>
    <x v="1"/>
    <s v="16614801002003"/>
    <n v="-68.3"/>
    <n v="1742"/>
    <n v="1"/>
    <n v="1"/>
  </r>
  <r>
    <m/>
    <m/>
    <x v="1"/>
    <s v="16878925001003"/>
    <n v="-121.91"/>
    <n v="3109"/>
    <n v="2"/>
    <n v="1"/>
  </r>
  <r>
    <m/>
    <m/>
    <x v="1"/>
    <s v="16947410001002"/>
    <n v="-41.25"/>
    <n v="1052"/>
    <n v="1"/>
    <n v="1"/>
  </r>
  <r>
    <m/>
    <m/>
    <x v="1"/>
    <s v="17143195002001"/>
    <n v="-78.260000000000005"/>
    <n v="1996"/>
    <n v="1"/>
    <n v="1"/>
  </r>
  <r>
    <m/>
    <m/>
    <x v="1"/>
    <s v="17146839001001"/>
    <n v="-30.11"/>
    <n v="768"/>
    <n v="1"/>
    <n v="1"/>
  </r>
  <r>
    <m/>
    <m/>
    <x v="1"/>
    <s v="17479759004002"/>
    <n v="-79.75"/>
    <n v="2034"/>
    <n v="1"/>
    <n v="1"/>
  </r>
  <r>
    <m/>
    <m/>
    <x v="1"/>
    <s v="17540542001001"/>
    <n v="-84.89"/>
    <n v="2165"/>
    <n v="1"/>
    <n v="1"/>
  </r>
  <r>
    <m/>
    <m/>
    <x v="1"/>
    <s v="17724609001006"/>
    <n v="-38.86"/>
    <n v="991"/>
    <n v="1"/>
    <n v="1"/>
  </r>
  <r>
    <m/>
    <m/>
    <x v="1"/>
    <s v="17773522002001"/>
    <n v="-53.68"/>
    <n v="1369"/>
    <n v="1"/>
    <n v="1"/>
  </r>
  <r>
    <m/>
    <m/>
    <x v="1"/>
    <s v="17785645002001"/>
    <n v="-33.799999999999997"/>
    <n v="862"/>
    <n v="1"/>
    <n v="1"/>
  </r>
  <r>
    <m/>
    <m/>
    <x v="1"/>
    <s v="17953292001001"/>
    <n v="-27.64"/>
    <n v="705"/>
    <n v="1"/>
    <n v="1"/>
  </r>
  <r>
    <m/>
    <m/>
    <x v="1"/>
    <s v="18165838001002"/>
    <n v="-37.450000000000003"/>
    <n v="955"/>
    <n v="1"/>
    <n v="1"/>
  </r>
  <r>
    <m/>
    <m/>
    <x v="1"/>
    <s v="18557213001004"/>
    <n v="-25.92"/>
    <n v="661"/>
    <n v="1"/>
    <n v="1"/>
  </r>
  <r>
    <m/>
    <m/>
    <x v="1"/>
    <s v="18634519001001"/>
    <n v="-27.68"/>
    <n v="706"/>
    <n v="1"/>
    <n v="1"/>
  </r>
  <r>
    <m/>
    <m/>
    <x v="1"/>
    <s v="18802755001007"/>
    <n v="-32.979999999999997"/>
    <n v="841"/>
    <n v="1"/>
    <n v="1"/>
  </r>
  <r>
    <m/>
    <m/>
    <x v="1"/>
    <s v="18996093002001"/>
    <n v="-91.32"/>
    <n v="2329"/>
    <n v="1"/>
    <n v="1"/>
  </r>
  <r>
    <m/>
    <m/>
    <x v="1"/>
    <s v="19009803001003"/>
    <n v="-16.899999999999999"/>
    <n v="431"/>
    <n v="1"/>
    <n v="1"/>
  </r>
  <r>
    <m/>
    <m/>
    <x v="1"/>
    <s v="19345185001001"/>
    <n v="-45.21"/>
    <n v="1153"/>
    <n v="1"/>
    <n v="1"/>
  </r>
  <r>
    <m/>
    <m/>
    <x v="1"/>
    <s v="19672904001001"/>
    <n v="-84.69"/>
    <n v="2160"/>
    <n v="1"/>
    <n v="1"/>
  </r>
  <r>
    <m/>
    <m/>
    <x v="1"/>
    <s v="19857581001001"/>
    <n v="-18.62"/>
    <n v="475"/>
    <n v="1"/>
    <n v="1"/>
  </r>
  <r>
    <m/>
    <m/>
    <x v="1"/>
    <s v="19922627001001"/>
    <n v="-75.83"/>
    <n v="1934"/>
    <n v="1"/>
    <n v="1"/>
  </r>
  <r>
    <m/>
    <m/>
    <x v="1"/>
    <s v="20021948002001"/>
    <n v="-66.930000000000007"/>
    <n v="1707"/>
    <n v="1"/>
    <n v="1"/>
  </r>
  <r>
    <m/>
    <m/>
    <x v="1"/>
    <s v="20135004001001"/>
    <n v="-3.41"/>
    <n v="87"/>
    <n v="1"/>
    <n v="1"/>
  </r>
  <r>
    <m/>
    <m/>
    <x v="1"/>
    <s v="20242520001001"/>
    <n v="-11.68"/>
    <n v="298"/>
    <n v="1"/>
    <n v="1"/>
  </r>
  <r>
    <m/>
    <m/>
    <x v="1"/>
    <s v="20373554001003"/>
    <n v="-53.21"/>
    <n v="1357"/>
    <n v="1"/>
    <n v="1"/>
  </r>
  <r>
    <m/>
    <m/>
    <x v="1"/>
    <s v="20449624001007"/>
    <n v="-7.1"/>
    <n v="181"/>
    <n v="1"/>
    <n v="1"/>
  </r>
  <r>
    <m/>
    <m/>
    <x v="1"/>
    <s v="20683934001002"/>
    <n v="-52.89"/>
    <n v="1349"/>
    <n v="1"/>
    <n v="1"/>
  </r>
  <r>
    <m/>
    <m/>
    <x v="1"/>
    <s v="20806802001001"/>
    <n v="-49.25"/>
    <n v="1256"/>
    <n v="1"/>
    <n v="1"/>
  </r>
  <r>
    <m/>
    <m/>
    <x v="1"/>
    <s v="21033205001006"/>
    <n v="-45.68"/>
    <n v="1165"/>
    <n v="1"/>
    <n v="1"/>
  </r>
  <r>
    <m/>
    <m/>
    <x v="1"/>
    <s v="21046205001001"/>
    <n v="-6"/>
    <n v="153"/>
    <n v="1"/>
    <n v="1"/>
  </r>
  <r>
    <m/>
    <m/>
    <x v="1"/>
    <s v="21219326001001"/>
    <n v="-59.6"/>
    <n v="1520"/>
    <n v="1"/>
    <n v="1"/>
  </r>
  <r>
    <m/>
    <m/>
    <x v="1"/>
    <s v="21330324001003"/>
    <n v="-11.45"/>
    <n v="292"/>
    <n v="1"/>
    <n v="1"/>
  </r>
  <r>
    <m/>
    <m/>
    <x v="1"/>
    <s v="21429755001006"/>
    <n v="-17.920000000000002"/>
    <n v="457"/>
    <n v="1"/>
    <n v="1"/>
  </r>
  <r>
    <m/>
    <m/>
    <x v="1"/>
    <s v="21809926001003"/>
    <n v="-16.55"/>
    <n v="422"/>
    <n v="1"/>
    <n v="1"/>
  </r>
  <r>
    <m/>
    <m/>
    <x v="1"/>
    <s v="21820617001003"/>
    <n v="-16.510000000000002"/>
    <n v="421"/>
    <n v="1"/>
    <n v="1"/>
  </r>
  <r>
    <m/>
    <m/>
    <x v="1"/>
    <s v="21943625001001"/>
    <n v="-23.06"/>
    <n v="588"/>
    <n v="1"/>
    <n v="1"/>
  </r>
  <r>
    <m/>
    <m/>
    <x v="1"/>
    <s v="21995120001004"/>
    <n v="-14.08"/>
    <n v="359"/>
    <n v="1"/>
    <n v="1"/>
  </r>
  <r>
    <m/>
    <m/>
    <x v="1"/>
    <s v="22050356001004"/>
    <n v="-6.47"/>
    <n v="165"/>
    <n v="1"/>
    <n v="1"/>
  </r>
  <r>
    <m/>
    <m/>
    <x v="1"/>
    <s v="22154055001001"/>
    <n v="-33.56"/>
    <n v="856"/>
    <n v="1"/>
    <n v="1"/>
  </r>
  <r>
    <m/>
    <m/>
    <x v="1"/>
    <s v="22305793001002"/>
    <n v="-45.91"/>
    <n v="1171"/>
    <n v="1"/>
    <n v="1"/>
  </r>
  <r>
    <m/>
    <m/>
    <x v="1"/>
    <s v="22359131001001"/>
    <n v="-42.86"/>
    <n v="1093"/>
    <n v="1"/>
    <n v="1"/>
  </r>
  <r>
    <m/>
    <m/>
    <x v="1"/>
    <s v="22380133001001"/>
    <n v="-49.84"/>
    <n v="1271"/>
    <n v="1"/>
    <n v="1"/>
  </r>
  <r>
    <m/>
    <m/>
    <x v="1"/>
    <s v="22426919001001"/>
    <n v="-15.49"/>
    <n v="395"/>
    <n v="1"/>
    <n v="1"/>
  </r>
  <r>
    <m/>
    <m/>
    <x v="1"/>
    <s v="22617306001001"/>
    <n v="-27.56"/>
    <n v="703"/>
    <n v="1"/>
    <n v="1"/>
  </r>
  <r>
    <m/>
    <m/>
    <x v="1"/>
    <s v="22675655001001"/>
    <n v="-33.090000000000003"/>
    <n v="844"/>
    <n v="1"/>
    <n v="1"/>
  </r>
  <r>
    <m/>
    <m/>
    <x v="1"/>
    <s v="22784555001001"/>
    <n v="-30.54"/>
    <n v="779"/>
    <n v="1"/>
    <n v="1"/>
  </r>
  <r>
    <m/>
    <m/>
    <x v="1"/>
    <s v="22793293001002"/>
    <n v="-8.74"/>
    <n v="223"/>
    <n v="1"/>
    <n v="1"/>
  </r>
  <r>
    <m/>
    <m/>
    <x v="1"/>
    <s v="23045379001003"/>
    <n v="-21.06"/>
    <n v="537"/>
    <n v="1"/>
    <n v="1"/>
  </r>
  <r>
    <m/>
    <m/>
    <x v="1"/>
    <s v="23201827004001"/>
    <n v="-13.02"/>
    <n v="332"/>
    <n v="1"/>
    <n v="1"/>
  </r>
  <r>
    <m/>
    <m/>
    <x v="1"/>
    <s v="23227062001002"/>
    <n v="-23.92"/>
    <n v="610"/>
    <n v="1"/>
    <n v="1"/>
  </r>
  <r>
    <m/>
    <m/>
    <x v="1"/>
    <s v="23403071001003"/>
    <n v="-4.43"/>
    <n v="113"/>
    <n v="1"/>
    <n v="1"/>
  </r>
  <r>
    <m/>
    <m/>
    <x v="1"/>
    <s v="23407345001003"/>
    <n v="-24.07"/>
    <n v="614"/>
    <n v="1"/>
    <n v="1"/>
  </r>
  <r>
    <m/>
    <m/>
    <x v="1"/>
    <s v="23427190001001"/>
    <n v="-28.9"/>
    <n v="737"/>
    <n v="1"/>
    <n v="1"/>
  </r>
  <r>
    <m/>
    <m/>
    <x v="1"/>
    <s v="23460849001003"/>
    <n v="-27.92"/>
    <n v="712"/>
    <n v="1"/>
    <n v="1"/>
  </r>
  <r>
    <m/>
    <m/>
    <x v="1"/>
    <s v="23535049001001"/>
    <n v="-20.51"/>
    <n v="523"/>
    <n v="1"/>
    <n v="1"/>
  </r>
  <r>
    <m/>
    <m/>
    <x v="1"/>
    <s v="23582904002001"/>
    <n v="-25.64"/>
    <n v="654"/>
    <n v="1"/>
    <n v="1"/>
  </r>
  <r>
    <m/>
    <m/>
    <x v="1"/>
    <s v="23857343001001"/>
    <n v="-9.14"/>
    <n v="233"/>
    <n v="1"/>
    <n v="1"/>
  </r>
  <r>
    <m/>
    <m/>
    <x v="1"/>
    <s v="23863133001011"/>
    <n v="-22.86"/>
    <n v="583"/>
    <n v="1"/>
    <n v="1"/>
  </r>
  <r>
    <m/>
    <m/>
    <x v="1"/>
    <s v="23890949001001"/>
    <n v="-11.06"/>
    <n v="282"/>
    <n v="1"/>
    <n v="1"/>
  </r>
  <r>
    <m/>
    <m/>
    <x v="1"/>
    <s v="23938269001003"/>
    <n v="-20.55"/>
    <n v="524"/>
    <n v="1"/>
    <n v="1"/>
  </r>
  <r>
    <m/>
    <m/>
    <x v="1"/>
    <s v="24116787001007"/>
    <n v="-36.86"/>
    <n v="940"/>
    <n v="1"/>
    <n v="1"/>
  </r>
  <r>
    <m/>
    <m/>
    <x v="1"/>
    <s v="24288214001005"/>
    <n v="-41.44"/>
    <n v="1057"/>
    <n v="1"/>
    <n v="1"/>
  </r>
  <r>
    <m/>
    <m/>
    <x v="1"/>
    <s v="24291697001001"/>
    <n v="-57.8"/>
    <n v="1474"/>
    <n v="1"/>
    <n v="1"/>
  </r>
  <r>
    <m/>
    <m/>
    <x v="1"/>
    <s v="24369303001001"/>
    <n v="-45.48"/>
    <n v="1160"/>
    <n v="1"/>
    <n v="1"/>
  </r>
  <r>
    <m/>
    <m/>
    <x v="1"/>
    <s v="24471043001004"/>
    <n v="-36.78"/>
    <n v="938"/>
    <n v="1"/>
    <n v="1"/>
  </r>
  <r>
    <m/>
    <m/>
    <x v="1"/>
    <s v="24516542001001"/>
    <n v="-16.7"/>
    <n v="426"/>
    <n v="1"/>
    <n v="1"/>
  </r>
  <r>
    <m/>
    <m/>
    <x v="1"/>
    <s v="24516542001006"/>
    <n v="-8"/>
    <n v="204"/>
    <n v="1"/>
    <n v="1"/>
  </r>
  <r>
    <m/>
    <m/>
    <x v="1"/>
    <s v="24533539006003"/>
    <n v="-25.21"/>
    <n v="643"/>
    <n v="1"/>
    <n v="1"/>
  </r>
  <r>
    <m/>
    <m/>
    <x v="1"/>
    <s v="24743896001001"/>
    <n v="-33.090000000000003"/>
    <n v="844"/>
    <n v="1"/>
    <n v="1"/>
  </r>
  <r>
    <m/>
    <m/>
    <x v="1"/>
    <s v="24785101001002"/>
    <n v="-59.44"/>
    <n v="1516"/>
    <n v="1"/>
    <n v="1"/>
  </r>
  <r>
    <m/>
    <m/>
    <x v="1"/>
    <s v="24901880001001"/>
    <n v="-38.5"/>
    <n v="982"/>
    <n v="1"/>
    <n v="1"/>
  </r>
  <r>
    <m/>
    <m/>
    <x v="1"/>
    <s v="24992881001001"/>
    <n v="-63.83"/>
    <n v="1628"/>
    <n v="1"/>
    <n v="1"/>
  </r>
  <r>
    <m/>
    <m/>
    <x v="1"/>
    <s v="25133485004003"/>
    <n v="-69.010000000000005"/>
    <n v="1760"/>
    <n v="1"/>
    <n v="1"/>
  </r>
  <r>
    <m/>
    <m/>
    <x v="1"/>
    <s v="25266054001002"/>
    <n v="-58.11"/>
    <n v="1482"/>
    <n v="1"/>
    <n v="1"/>
  </r>
  <r>
    <m/>
    <m/>
    <x v="1"/>
    <s v="25302590001001"/>
    <n v="-37.92"/>
    <n v="967"/>
    <n v="1"/>
    <n v="1"/>
  </r>
  <r>
    <m/>
    <m/>
    <x v="1"/>
    <s v="25577769001001"/>
    <n v="-4.51"/>
    <n v="115"/>
    <n v="1"/>
    <n v="1"/>
  </r>
  <r>
    <m/>
    <m/>
    <x v="1"/>
    <s v="25780799001001"/>
    <n v="-62.15"/>
    <n v="1585"/>
    <n v="1"/>
    <n v="1"/>
  </r>
  <r>
    <m/>
    <m/>
    <x v="1"/>
    <s v="25919981001003"/>
    <n v="-20.27"/>
    <n v="517"/>
    <n v="1"/>
    <n v="1"/>
  </r>
  <r>
    <m/>
    <m/>
    <x v="1"/>
    <s v="26133946001003"/>
    <n v="-62.19"/>
    <n v="1586"/>
    <n v="1"/>
    <n v="1"/>
  </r>
  <r>
    <m/>
    <m/>
    <x v="1"/>
    <s v="26300310001002"/>
    <n v="-5.92"/>
    <n v="151"/>
    <n v="1"/>
    <n v="1"/>
  </r>
  <r>
    <m/>
    <m/>
    <x v="1"/>
    <s v="26406770002001"/>
    <n v="-60.66"/>
    <n v="1547"/>
    <n v="1"/>
    <n v="1"/>
  </r>
  <r>
    <m/>
    <m/>
    <x v="1"/>
    <s v="26449890001003"/>
    <n v="-13.33"/>
    <n v="340"/>
    <n v="1"/>
    <n v="1"/>
  </r>
  <r>
    <m/>
    <m/>
    <x v="1"/>
    <s v="26574451002003"/>
    <n v="-133"/>
    <n v="3392"/>
    <n v="1"/>
    <n v="1"/>
  </r>
  <r>
    <m/>
    <m/>
    <x v="1"/>
    <s v="26826704001001"/>
    <n v="-56.89"/>
    <n v="1451"/>
    <n v="1"/>
    <n v="1"/>
  </r>
  <r>
    <m/>
    <m/>
    <x v="1"/>
    <s v="26832624001007"/>
    <n v="-31.72"/>
    <n v="809"/>
    <n v="1"/>
    <n v="1"/>
  </r>
  <r>
    <m/>
    <m/>
    <x v="1"/>
    <s v="26917575001001"/>
    <n v="-86.77"/>
    <n v="2213"/>
    <n v="1"/>
    <n v="1"/>
  </r>
  <r>
    <m/>
    <m/>
    <x v="1"/>
    <s v="27004406002001"/>
    <n v="-22.55"/>
    <n v="575"/>
    <n v="1"/>
    <n v="1"/>
  </r>
  <r>
    <m/>
    <m/>
    <x v="1"/>
    <s v="27035079002007"/>
    <n v="-20.39"/>
    <n v="520"/>
    <n v="1"/>
    <n v="1"/>
  </r>
  <r>
    <m/>
    <m/>
    <x v="1"/>
    <s v="27356342001008"/>
    <n v="-24.62"/>
    <n v="628"/>
    <n v="1"/>
    <n v="1"/>
  </r>
  <r>
    <m/>
    <m/>
    <x v="1"/>
    <s v="27612583002003"/>
    <n v="-121.04"/>
    <n v="3087"/>
    <n v="1"/>
    <n v="1"/>
  </r>
  <r>
    <m/>
    <m/>
    <x v="1"/>
    <s v="27708255007001"/>
    <n v="-23.21"/>
    <n v="592"/>
    <n v="1"/>
    <n v="1"/>
  </r>
  <r>
    <m/>
    <m/>
    <x v="1"/>
    <s v="27943716001001"/>
    <n v="-16.190000000000001"/>
    <n v="413"/>
    <n v="1"/>
    <n v="1"/>
  </r>
  <r>
    <m/>
    <m/>
    <x v="1"/>
    <s v="28014351004010"/>
    <n v="-21.96"/>
    <n v="560"/>
    <n v="1"/>
    <n v="1"/>
  </r>
  <r>
    <m/>
    <m/>
    <x v="1"/>
    <s v="28085146002003"/>
    <n v="-95.63"/>
    <n v="2439"/>
    <n v="1"/>
    <n v="1"/>
  </r>
  <r>
    <m/>
    <m/>
    <x v="1"/>
    <s v="28099314001001"/>
    <n v="-2.4700000000000002"/>
    <n v="63"/>
    <n v="1"/>
    <n v="1"/>
  </r>
  <r>
    <m/>
    <m/>
    <x v="1"/>
    <s v="28330708001001"/>
    <n v="-45.99"/>
    <n v="1173"/>
    <n v="1"/>
    <n v="1"/>
  </r>
  <r>
    <m/>
    <m/>
    <x v="1"/>
    <s v="28430533001001"/>
    <n v="-14.51"/>
    <n v="370"/>
    <n v="1"/>
    <n v="1"/>
  </r>
  <r>
    <m/>
    <m/>
    <x v="1"/>
    <s v="28452386002001"/>
    <n v="-47.76"/>
    <n v="1218"/>
    <n v="1"/>
    <n v="1"/>
  </r>
  <r>
    <m/>
    <m/>
    <x v="1"/>
    <s v="28645126001006"/>
    <n v="-22.9"/>
    <n v="584"/>
    <n v="1"/>
    <n v="1"/>
  </r>
  <r>
    <m/>
    <m/>
    <x v="1"/>
    <s v="28758621002008"/>
    <n v="-88.61"/>
    <n v="2260"/>
    <n v="1"/>
    <n v="1"/>
  </r>
  <r>
    <m/>
    <m/>
    <x v="1"/>
    <s v="28950576001002"/>
    <n v="-14.12"/>
    <n v="360"/>
    <n v="1"/>
    <n v="1"/>
  </r>
  <r>
    <m/>
    <m/>
    <x v="1"/>
    <s v="28959951001001"/>
    <n v="-79.48"/>
    <n v="2027"/>
    <n v="1"/>
    <n v="1"/>
  </r>
  <r>
    <m/>
    <m/>
    <x v="1"/>
    <s v="29196761001004"/>
    <n v="-64.66"/>
    <n v="1649"/>
    <n v="1"/>
    <n v="1"/>
  </r>
  <r>
    <m/>
    <m/>
    <x v="1"/>
    <s v="29219744003001"/>
    <n v="-29.29"/>
    <n v="747"/>
    <n v="1"/>
    <n v="1"/>
  </r>
  <r>
    <m/>
    <m/>
    <x v="1"/>
    <s v="29225864001003"/>
    <n v="-39.17"/>
    <n v="999"/>
    <n v="1"/>
    <n v="1"/>
  </r>
  <r>
    <m/>
    <m/>
    <x v="1"/>
    <s v="29365356001002"/>
    <n v="-42.93"/>
    <n v="1095"/>
    <n v="1"/>
    <n v="1"/>
  </r>
  <r>
    <m/>
    <m/>
    <x v="1"/>
    <s v="29374050001001"/>
    <n v="-21.09"/>
    <n v="538"/>
    <n v="1"/>
    <n v="1"/>
  </r>
  <r>
    <m/>
    <m/>
    <x v="1"/>
    <s v="29403974001002"/>
    <n v="-35.99"/>
    <n v="918"/>
    <n v="1"/>
    <n v="1"/>
  </r>
  <r>
    <m/>
    <m/>
    <x v="1"/>
    <s v="29448259001002"/>
    <n v="-21.37"/>
    <n v="545"/>
    <n v="1"/>
    <n v="1"/>
  </r>
  <r>
    <m/>
    <m/>
    <x v="1"/>
    <s v="29519438001001"/>
    <n v="-83.2"/>
    <n v="2122"/>
    <n v="1"/>
    <n v="1"/>
  </r>
  <r>
    <m/>
    <m/>
    <x v="1"/>
    <s v="29577821001001"/>
    <n v="-10.63"/>
    <n v="271"/>
    <n v="1"/>
    <n v="1"/>
  </r>
  <r>
    <m/>
    <m/>
    <x v="1"/>
    <s v="29629435002003"/>
    <n v="-36.78"/>
    <n v="938"/>
    <n v="1"/>
    <n v="1"/>
  </r>
  <r>
    <m/>
    <m/>
    <x v="1"/>
    <s v="29971660001004"/>
    <n v="-33.25"/>
    <n v="848"/>
    <n v="1"/>
    <n v="1"/>
  </r>
  <r>
    <m/>
    <m/>
    <x v="1"/>
    <s v="30240552001001"/>
    <n v="-23.21"/>
    <n v="592"/>
    <n v="1"/>
    <n v="1"/>
  </r>
  <r>
    <m/>
    <m/>
    <x v="1"/>
    <s v="30325264001001"/>
    <n v="-76.260000000000005"/>
    <n v="1945"/>
    <n v="1"/>
    <n v="1"/>
  </r>
  <r>
    <m/>
    <m/>
    <x v="1"/>
    <s v="30370464002001"/>
    <n v="-118.85"/>
    <n v="3031"/>
    <n v="1"/>
    <n v="1"/>
  </r>
  <r>
    <m/>
    <m/>
    <x v="1"/>
    <s v="30405921001003"/>
    <n v="-51.95"/>
    <n v="1325"/>
    <n v="1"/>
    <n v="1"/>
  </r>
  <r>
    <m/>
    <m/>
    <x v="1"/>
    <s v="30757590002002"/>
    <n v="-77.44"/>
    <n v="1975"/>
    <n v="1"/>
    <n v="1"/>
  </r>
  <r>
    <m/>
    <m/>
    <x v="1"/>
    <s v="30816545001001"/>
    <n v="-59.83"/>
    <n v="1526"/>
    <n v="1"/>
    <n v="1"/>
  </r>
  <r>
    <m/>
    <m/>
    <x v="1"/>
    <s v="30947723001004"/>
    <n v="-48.39"/>
    <n v="1234"/>
    <n v="1"/>
    <n v="1"/>
  </r>
  <r>
    <m/>
    <m/>
    <x v="1"/>
    <s v="31180821001001"/>
    <n v="-42.03"/>
    <n v="1072"/>
    <n v="1"/>
    <n v="1"/>
  </r>
  <r>
    <m/>
    <m/>
    <x v="1"/>
    <s v="31347134001001"/>
    <n v="-34.03"/>
    <n v="868"/>
    <n v="1"/>
    <n v="1"/>
  </r>
  <r>
    <m/>
    <m/>
    <x v="1"/>
    <s v="31555689001001"/>
    <n v="-5.45"/>
    <n v="139"/>
    <n v="1"/>
    <n v="1"/>
  </r>
  <r>
    <m/>
    <m/>
    <x v="1"/>
    <s v="31608000001004"/>
    <n v="-21.6"/>
    <n v="551"/>
    <n v="1"/>
    <n v="1"/>
  </r>
  <r>
    <m/>
    <m/>
    <x v="1"/>
    <s v="31611013002002"/>
    <n v="-3.65"/>
    <n v="93"/>
    <n v="1"/>
    <n v="1"/>
  </r>
  <r>
    <m/>
    <m/>
    <x v="1"/>
    <s v="31685952001001"/>
    <n v="-95.16"/>
    <n v="2427"/>
    <n v="1"/>
    <n v="1"/>
  </r>
  <r>
    <m/>
    <m/>
    <x v="1"/>
    <s v="31781301001003"/>
    <n v="-119.36"/>
    <n v="3044"/>
    <n v="1"/>
    <n v="1"/>
  </r>
  <r>
    <m/>
    <m/>
    <x v="1"/>
    <s v="31833646004004"/>
    <n v="-93.59"/>
    <n v="2387"/>
    <n v="1"/>
    <n v="1"/>
  </r>
  <r>
    <m/>
    <m/>
    <x v="1"/>
    <s v="31854579001001"/>
    <n v="-5.57"/>
    <n v="142"/>
    <n v="1"/>
    <n v="1"/>
  </r>
  <r>
    <m/>
    <m/>
    <x v="1"/>
    <s v="31987952001001"/>
    <n v="-13.25"/>
    <n v="338"/>
    <n v="1"/>
    <n v="1"/>
  </r>
  <r>
    <m/>
    <m/>
    <x v="1"/>
    <s v="32003969001001"/>
    <n v="-29.25"/>
    <n v="746"/>
    <n v="1"/>
    <n v="1"/>
  </r>
  <r>
    <m/>
    <m/>
    <x v="1"/>
    <s v="32202242001001"/>
    <n v="-8.59"/>
    <n v="219"/>
    <n v="1"/>
    <n v="1"/>
  </r>
  <r>
    <m/>
    <m/>
    <x v="1"/>
    <s v="32750874002001"/>
    <n v="-60.38"/>
    <n v="1540"/>
    <n v="1"/>
    <n v="1"/>
  </r>
  <r>
    <m/>
    <m/>
    <x v="1"/>
    <s v="33066711002006"/>
    <n v="-36.58"/>
    <n v="933"/>
    <n v="1"/>
    <n v="1"/>
  </r>
  <r>
    <m/>
    <m/>
    <x v="1"/>
    <s v="33642246001005"/>
    <n v="-24.9"/>
    <n v="635"/>
    <n v="1"/>
    <n v="1"/>
  </r>
  <r>
    <m/>
    <m/>
    <x v="1"/>
    <s v="33687453001001"/>
    <n v="-61.99"/>
    <n v="1581"/>
    <n v="1"/>
    <n v="1"/>
  </r>
  <r>
    <m/>
    <m/>
    <x v="1"/>
    <s v="33829956002003"/>
    <n v="-33.880000000000003"/>
    <n v="864"/>
    <n v="1"/>
    <n v="1"/>
  </r>
  <r>
    <m/>
    <m/>
    <x v="1"/>
    <s v="33910067001003"/>
    <n v="-56.5"/>
    <n v="1441"/>
    <n v="1"/>
    <n v="1"/>
  </r>
  <r>
    <m/>
    <m/>
    <x v="1"/>
    <s v="34080235001002"/>
    <n v="-22.66"/>
    <n v="578"/>
    <n v="1"/>
    <n v="1"/>
  </r>
  <r>
    <m/>
    <m/>
    <x v="1"/>
    <s v="34160604001001"/>
    <n v="-29.72"/>
    <n v="758"/>
    <n v="1"/>
    <n v="1"/>
  </r>
  <r>
    <m/>
    <m/>
    <x v="1"/>
    <s v="34571678001001"/>
    <n v="-25.49"/>
    <n v="650"/>
    <n v="1"/>
    <n v="1"/>
  </r>
  <r>
    <m/>
    <m/>
    <x v="1"/>
    <s v="34683105001001"/>
    <n v="-39.369999999999997"/>
    <n v="1004"/>
    <n v="1"/>
    <n v="1"/>
  </r>
  <r>
    <m/>
    <m/>
    <x v="1"/>
    <s v="34758238001001"/>
    <n v="-20.66"/>
    <n v="527"/>
    <n v="1"/>
    <n v="1"/>
  </r>
  <r>
    <m/>
    <m/>
    <x v="1"/>
    <s v="34822690001003"/>
    <n v="-44.35"/>
    <n v="1131"/>
    <n v="1"/>
    <n v="1"/>
  </r>
  <r>
    <m/>
    <m/>
    <x v="1"/>
    <s v="34827216001001"/>
    <n v="-46.78"/>
    <n v="1193"/>
    <n v="1"/>
    <n v="1"/>
  </r>
  <r>
    <m/>
    <m/>
    <x v="1"/>
    <s v="34859648001001"/>
    <n v="-12.19"/>
    <n v="311"/>
    <n v="1"/>
    <n v="1"/>
  </r>
  <r>
    <m/>
    <m/>
    <x v="1"/>
    <s v="34874155001002"/>
    <n v="-14.9"/>
    <n v="380"/>
    <n v="1"/>
    <n v="1"/>
  </r>
  <r>
    <m/>
    <m/>
    <x v="1"/>
    <s v="35256283001003"/>
    <n v="-42.93"/>
    <n v="1095"/>
    <n v="1"/>
    <n v="1"/>
  </r>
  <r>
    <m/>
    <m/>
    <x v="1"/>
    <s v="35260727001006"/>
    <n v="-11.49"/>
    <n v="293"/>
    <n v="1"/>
    <n v="1"/>
  </r>
  <r>
    <m/>
    <m/>
    <x v="1"/>
    <s v="35268541002002"/>
    <n v="-26.74"/>
    <n v="682"/>
    <n v="1"/>
    <n v="1"/>
  </r>
  <r>
    <m/>
    <m/>
    <x v="1"/>
    <s v="35387208001001"/>
    <n v="-90.46"/>
    <n v="2307"/>
    <n v="1"/>
    <n v="1"/>
  </r>
  <r>
    <m/>
    <m/>
    <x v="1"/>
    <s v="35402111001001"/>
    <n v="-1.84"/>
    <n v="47"/>
    <n v="1"/>
    <n v="1"/>
  </r>
  <r>
    <m/>
    <m/>
    <x v="1"/>
    <s v="35453275001007"/>
    <n v="-75.56"/>
    <n v="1927"/>
    <n v="1"/>
    <n v="1"/>
  </r>
  <r>
    <m/>
    <m/>
    <x v="1"/>
    <s v="35571209001001"/>
    <n v="-13.61"/>
    <n v="347"/>
    <n v="1"/>
    <n v="1"/>
  </r>
  <r>
    <m/>
    <m/>
    <x v="1"/>
    <s v="35830208001001"/>
    <n v="-43.29"/>
    <n v="1104"/>
    <n v="1"/>
    <n v="1"/>
  </r>
  <r>
    <m/>
    <m/>
    <x v="1"/>
    <s v="35880618001005"/>
    <n v="-26.15"/>
    <n v="667"/>
    <n v="1"/>
    <n v="1"/>
  </r>
  <r>
    <m/>
    <m/>
    <x v="1"/>
    <s v="35958850001005"/>
    <n v="-16.43"/>
    <n v="419"/>
    <n v="1"/>
    <n v="1"/>
  </r>
  <r>
    <m/>
    <m/>
    <x v="1"/>
    <s v="36046479001001"/>
    <n v="-73.010000000000005"/>
    <n v="1862"/>
    <n v="1"/>
    <n v="1"/>
  </r>
  <r>
    <m/>
    <m/>
    <x v="1"/>
    <s v="36078864001001"/>
    <n v="-38.15"/>
    <n v="973"/>
    <n v="1"/>
    <n v="1"/>
  </r>
  <r>
    <m/>
    <m/>
    <x v="1"/>
    <s v="36264381001001"/>
    <n v="-62.81"/>
    <n v="1602"/>
    <n v="1"/>
    <n v="1"/>
  </r>
  <r>
    <m/>
    <m/>
    <x v="1"/>
    <s v="36265466001001"/>
    <n v="-47.05"/>
    <n v="1200"/>
    <n v="1"/>
    <n v="1"/>
  </r>
  <r>
    <m/>
    <m/>
    <x v="1"/>
    <s v="36294296001004"/>
    <n v="-30.66"/>
    <n v="782"/>
    <n v="1"/>
    <n v="1"/>
  </r>
  <r>
    <m/>
    <m/>
    <x v="1"/>
    <s v="36340954001005"/>
    <n v="-2.74"/>
    <n v="70"/>
    <n v="1"/>
    <n v="1"/>
  </r>
  <r>
    <m/>
    <m/>
    <x v="1"/>
    <s v="36404328001001"/>
    <n v="-88.89"/>
    <n v="2267"/>
    <n v="1"/>
    <n v="1"/>
  </r>
  <r>
    <m/>
    <m/>
    <x v="1"/>
    <s v="36405485001001"/>
    <n v="-33.21"/>
    <n v="847"/>
    <n v="1"/>
    <n v="1"/>
  </r>
  <r>
    <m/>
    <m/>
    <x v="1"/>
    <s v="36445725001001"/>
    <n v="-74.540000000000006"/>
    <n v="1901"/>
    <n v="1"/>
    <n v="1"/>
  </r>
  <r>
    <m/>
    <m/>
    <x v="1"/>
    <s v="36603976001005"/>
    <n v="-36.03"/>
    <n v="919"/>
    <n v="1"/>
    <n v="1"/>
  </r>
  <r>
    <m/>
    <m/>
    <x v="1"/>
    <s v="36617800001001"/>
    <n v="-1.02"/>
    <n v="26"/>
    <n v="1"/>
    <n v="1"/>
  </r>
  <r>
    <m/>
    <m/>
    <x v="1"/>
    <s v="36872264001001"/>
    <n v="-82.18"/>
    <n v="2096"/>
    <n v="1"/>
    <n v="1"/>
  </r>
  <r>
    <m/>
    <m/>
    <x v="1"/>
    <s v="36931062001008"/>
    <n v="-34.270000000000003"/>
    <n v="874"/>
    <n v="1"/>
    <n v="1"/>
  </r>
  <r>
    <m/>
    <m/>
    <x v="1"/>
    <s v="37014491001001"/>
    <n v="-83.83"/>
    <n v="2138"/>
    <n v="1"/>
    <n v="1"/>
  </r>
  <r>
    <m/>
    <m/>
    <x v="1"/>
    <s v="37387403001001"/>
    <n v="-62.93"/>
    <n v="1605"/>
    <n v="1"/>
    <n v="1"/>
  </r>
  <r>
    <m/>
    <m/>
    <x v="1"/>
    <s v="37477159001001"/>
    <n v="-27.64"/>
    <n v="705"/>
    <n v="1"/>
    <n v="1"/>
  </r>
  <r>
    <m/>
    <m/>
    <x v="1"/>
    <s v="37518547001003"/>
    <n v="-50.23"/>
    <n v="1281"/>
    <n v="1"/>
    <n v="1"/>
  </r>
  <r>
    <m/>
    <m/>
    <x v="1"/>
    <s v="37546855001001"/>
    <n v="-42.58"/>
    <n v="1086"/>
    <n v="1"/>
    <n v="1"/>
  </r>
  <r>
    <m/>
    <m/>
    <x v="1"/>
    <s v="37694672001008"/>
    <n v="-2.23"/>
    <n v="57"/>
    <n v="1"/>
    <n v="1"/>
  </r>
  <r>
    <m/>
    <m/>
    <x v="1"/>
    <s v="37962417001003"/>
    <n v="-71.83"/>
    <n v="1832"/>
    <n v="1"/>
    <n v="1"/>
  </r>
  <r>
    <m/>
    <m/>
    <x v="1"/>
    <s v="38003358004003"/>
    <n v="-37.25"/>
    <n v="950"/>
    <n v="1"/>
    <n v="1"/>
  </r>
  <r>
    <m/>
    <m/>
    <x v="1"/>
    <s v="38058429001003"/>
    <n v="-23.8"/>
    <n v="607"/>
    <n v="1"/>
    <n v="1"/>
  </r>
  <r>
    <m/>
    <m/>
    <x v="1"/>
    <s v="38059806002007"/>
    <n v="-33.29"/>
    <n v="849"/>
    <n v="1"/>
    <n v="1"/>
  </r>
  <r>
    <m/>
    <m/>
    <x v="1"/>
    <s v="38245625004008"/>
    <n v="-54.62"/>
    <n v="1393"/>
    <n v="1"/>
    <n v="1"/>
  </r>
  <r>
    <m/>
    <m/>
    <x v="1"/>
    <s v="38371635001001"/>
    <n v="-51.95"/>
    <n v="1325"/>
    <n v="1"/>
    <n v="1"/>
  </r>
  <r>
    <m/>
    <m/>
    <x v="1"/>
    <s v="38447668001004"/>
    <n v="-8"/>
    <n v="204"/>
    <n v="1"/>
    <n v="1"/>
  </r>
  <r>
    <m/>
    <m/>
    <x v="1"/>
    <s v="38606746001003"/>
    <n v="-57.8"/>
    <n v="1474"/>
    <n v="1"/>
    <n v="1"/>
  </r>
  <r>
    <m/>
    <m/>
    <x v="1"/>
    <s v="38907178001004"/>
    <n v="-11.8"/>
    <n v="301"/>
    <n v="1"/>
    <n v="1"/>
  </r>
  <r>
    <m/>
    <m/>
    <x v="1"/>
    <s v="38911036001003"/>
    <n v="-7.21"/>
    <n v="184"/>
    <n v="1"/>
    <n v="1"/>
  </r>
  <r>
    <m/>
    <m/>
    <x v="1"/>
    <s v="39337225001001"/>
    <n v="-52.97"/>
    <n v="1351"/>
    <n v="1"/>
    <n v="1"/>
  </r>
  <r>
    <m/>
    <m/>
    <x v="1"/>
    <s v="39388823001005"/>
    <n v="-8.51"/>
    <n v="217"/>
    <n v="1"/>
    <n v="1"/>
  </r>
  <r>
    <m/>
    <m/>
    <x v="1"/>
    <s v="39398603002003"/>
    <n v="-30.98"/>
    <n v="790"/>
    <n v="1"/>
    <n v="1"/>
  </r>
  <r>
    <m/>
    <m/>
    <x v="1"/>
    <s v="39832575001004"/>
    <n v="-22.04"/>
    <n v="562"/>
    <n v="1"/>
    <n v="1"/>
  </r>
  <r>
    <m/>
    <m/>
    <x v="1"/>
    <s v="39862438001001"/>
    <n v="-51.44"/>
    <n v="1312"/>
    <n v="1"/>
    <n v="1"/>
  </r>
  <r>
    <m/>
    <m/>
    <x v="1"/>
    <s v="39896845001006"/>
    <n v="-63.56"/>
    <n v="1621"/>
    <n v="1"/>
    <n v="1"/>
  </r>
  <r>
    <m/>
    <m/>
    <x v="1"/>
    <s v="40009788001009"/>
    <n v="-32.51"/>
    <n v="829"/>
    <n v="1"/>
    <n v="1"/>
  </r>
  <r>
    <m/>
    <m/>
    <x v="1"/>
    <s v="40054017001004"/>
    <n v="-34.11"/>
    <n v="870"/>
    <n v="1"/>
    <n v="1"/>
  </r>
  <r>
    <m/>
    <m/>
    <x v="1"/>
    <s v="40302520001002"/>
    <n v="-14.98"/>
    <n v="382"/>
    <n v="1"/>
    <n v="1"/>
  </r>
  <r>
    <m/>
    <m/>
    <x v="1"/>
    <s v="40396125001001"/>
    <n v="-45.99"/>
    <n v="1173"/>
    <n v="1"/>
    <n v="1"/>
  </r>
  <r>
    <m/>
    <m/>
    <x v="1"/>
    <s v="40575106001004"/>
    <n v="-34.11"/>
    <n v="870"/>
    <n v="1"/>
    <n v="1"/>
  </r>
  <r>
    <m/>
    <m/>
    <x v="1"/>
    <s v="40602210001001"/>
    <n v="-9.1"/>
    <n v="232"/>
    <n v="1"/>
    <n v="1"/>
  </r>
  <r>
    <m/>
    <m/>
    <x v="1"/>
    <s v="40647134001006"/>
    <n v="-49.64"/>
    <n v="1266"/>
    <n v="1"/>
    <n v="1"/>
  </r>
  <r>
    <m/>
    <m/>
    <x v="1"/>
    <s v="40755745001007"/>
    <n v="-22.58"/>
    <n v="576"/>
    <n v="1"/>
    <n v="1"/>
  </r>
  <r>
    <m/>
    <m/>
    <x v="1"/>
    <s v="40777686001001"/>
    <n v="-2"/>
    <n v="51"/>
    <n v="1"/>
    <n v="1"/>
  </r>
  <r>
    <m/>
    <m/>
    <x v="1"/>
    <s v="40799378002001"/>
    <n v="-74.069999999999993"/>
    <n v="1889"/>
    <n v="1"/>
    <n v="1"/>
  </r>
  <r>
    <m/>
    <m/>
    <x v="1"/>
    <s v="40819353001002"/>
    <n v="-16.43"/>
    <n v="419"/>
    <n v="1"/>
    <n v="1"/>
  </r>
  <r>
    <m/>
    <m/>
    <x v="1"/>
    <s v="40913214001003"/>
    <n v="-0.39"/>
    <n v="10"/>
    <n v="1"/>
    <n v="1"/>
  </r>
  <r>
    <m/>
    <m/>
    <x v="1"/>
    <s v="40940003001003"/>
    <n v="-65.95"/>
    <n v="1682"/>
    <n v="1"/>
    <n v="1"/>
  </r>
  <r>
    <m/>
    <m/>
    <x v="1"/>
    <s v="41102044001001"/>
    <n v="-26.31"/>
    <n v="671"/>
    <n v="1"/>
    <n v="1"/>
  </r>
  <r>
    <m/>
    <m/>
    <x v="1"/>
    <s v="41343811001004"/>
    <n v="-26.23"/>
    <n v="669"/>
    <n v="1"/>
    <n v="1"/>
  </r>
  <r>
    <m/>
    <m/>
    <x v="1"/>
    <s v="41344855001009"/>
    <n v="-11.68"/>
    <n v="298"/>
    <n v="1"/>
    <n v="1"/>
  </r>
  <r>
    <m/>
    <m/>
    <x v="1"/>
    <s v="41547810001001"/>
    <n v="-58.19"/>
    <n v="1484"/>
    <n v="1"/>
    <n v="1"/>
  </r>
  <r>
    <m/>
    <m/>
    <x v="1"/>
    <s v="41568295001001"/>
    <n v="-74.42"/>
    <n v="1898"/>
    <n v="1"/>
    <n v="1"/>
  </r>
  <r>
    <m/>
    <m/>
    <x v="1"/>
    <s v="41731451001005"/>
    <n v="-5.41"/>
    <n v="138"/>
    <n v="1"/>
    <n v="1"/>
  </r>
  <r>
    <m/>
    <m/>
    <x v="1"/>
    <s v="41809389001005"/>
    <n v="-41.29"/>
    <n v="1053"/>
    <n v="1"/>
    <n v="1"/>
  </r>
  <r>
    <m/>
    <m/>
    <x v="1"/>
    <s v="41836630001003"/>
    <n v="-31.88"/>
    <n v="813"/>
    <n v="1"/>
    <n v="1"/>
  </r>
  <r>
    <m/>
    <m/>
    <x v="1"/>
    <s v="41921625002001"/>
    <n v="-110.96"/>
    <n v="2830"/>
    <n v="1"/>
    <n v="1"/>
  </r>
  <r>
    <m/>
    <m/>
    <x v="1"/>
    <s v="41938265001001"/>
    <n v="-61.32"/>
    <n v="1564"/>
    <n v="1"/>
    <n v="1"/>
  </r>
  <r>
    <m/>
    <m/>
    <x v="1"/>
    <s v="42046814001001"/>
    <n v="-33.799999999999997"/>
    <n v="862"/>
    <n v="1"/>
    <n v="1"/>
  </r>
  <r>
    <m/>
    <m/>
    <x v="1"/>
    <s v="42066880001001"/>
    <n v="-17.170000000000002"/>
    <n v="438"/>
    <n v="1"/>
    <n v="1"/>
  </r>
  <r>
    <m/>
    <m/>
    <x v="1"/>
    <s v="42453517001001"/>
    <n v="-39.450000000000003"/>
    <n v="1006"/>
    <n v="1"/>
    <n v="1"/>
  </r>
  <r>
    <m/>
    <m/>
    <x v="1"/>
    <s v="42490701001001"/>
    <n v="-6.78"/>
    <n v="173"/>
    <n v="1"/>
    <n v="1"/>
  </r>
  <r>
    <m/>
    <m/>
    <x v="1"/>
    <s v="42502321001005"/>
    <n v="-26.07"/>
    <n v="665"/>
    <n v="1"/>
    <n v="1"/>
  </r>
  <r>
    <m/>
    <m/>
    <x v="1"/>
    <s v="42503511001002"/>
    <n v="-22.47"/>
    <n v="573"/>
    <n v="1"/>
    <n v="1"/>
  </r>
  <r>
    <m/>
    <m/>
    <x v="1"/>
    <s v="42503651001002"/>
    <n v="-39.049999999999997"/>
    <n v="996"/>
    <n v="1"/>
    <n v="1"/>
  </r>
  <r>
    <m/>
    <m/>
    <x v="1"/>
    <s v="42507081005002"/>
    <n v="-50.15"/>
    <n v="1279"/>
    <n v="1"/>
    <n v="1"/>
  </r>
  <r>
    <m/>
    <m/>
    <x v="1"/>
    <s v="42515551001011"/>
    <n v="-19.72"/>
    <n v="503"/>
    <n v="1"/>
    <n v="1"/>
  </r>
  <r>
    <m/>
    <m/>
    <x v="1"/>
    <s v="42518981005010"/>
    <n v="-25.13"/>
    <n v="641"/>
    <n v="1"/>
    <n v="1"/>
  </r>
  <r>
    <m/>
    <m/>
    <x v="1"/>
    <s v="42523746002001"/>
    <n v="-59.6"/>
    <n v="1520"/>
    <n v="1"/>
    <n v="1"/>
  </r>
  <r>
    <m/>
    <m/>
    <x v="1"/>
    <s v="42533821001001"/>
    <n v="-40.19"/>
    <n v="1025"/>
    <n v="1"/>
    <n v="1"/>
  </r>
  <r>
    <m/>
    <m/>
    <x v="1"/>
    <s v="42535011001002"/>
    <n v="-6.67"/>
    <n v="170"/>
    <n v="1"/>
    <n v="1"/>
  </r>
  <r>
    <m/>
    <m/>
    <x v="1"/>
    <s v="42543901001001"/>
    <n v="-45.05"/>
    <n v="1149"/>
    <n v="1"/>
    <n v="1"/>
  </r>
  <r>
    <m/>
    <m/>
    <x v="1"/>
    <s v="42569591004003"/>
    <n v="-13.53"/>
    <n v="345"/>
    <n v="1"/>
    <n v="1"/>
  </r>
  <r>
    <m/>
    <m/>
    <x v="1"/>
    <s v="42591011001001"/>
    <n v="-55.17"/>
    <n v="1407"/>
    <n v="1"/>
    <n v="1"/>
  </r>
  <r>
    <m/>
    <m/>
    <x v="1"/>
    <s v="42599481001004"/>
    <n v="-18.66"/>
    <n v="476"/>
    <n v="1"/>
    <n v="1"/>
  </r>
  <r>
    <m/>
    <m/>
    <x v="1"/>
    <s v="42637141001007"/>
    <n v="-43.8"/>
    <n v="1117"/>
    <n v="1"/>
    <n v="1"/>
  </r>
  <r>
    <m/>
    <m/>
    <x v="1"/>
    <s v="42640641001001"/>
    <n v="-90.97"/>
    <n v="2320"/>
    <n v="1"/>
    <n v="1"/>
  </r>
  <r>
    <m/>
    <m/>
    <x v="1"/>
    <s v="42640711003001"/>
    <n v="-15.61"/>
    <n v="398"/>
    <n v="1"/>
    <n v="1"/>
  </r>
  <r>
    <m/>
    <m/>
    <x v="1"/>
    <s v="42646171001006"/>
    <n v="-14.59"/>
    <n v="372"/>
    <n v="1"/>
    <n v="1"/>
  </r>
  <r>
    <m/>
    <m/>
    <x v="1"/>
    <s v="42653661001001"/>
    <n v="-14.39"/>
    <n v="367"/>
    <n v="1"/>
    <n v="1"/>
  </r>
  <r>
    <m/>
    <m/>
    <x v="1"/>
    <s v="42653801001002"/>
    <n v="-9.02"/>
    <n v="230"/>
    <n v="1"/>
    <n v="1"/>
  </r>
  <r>
    <m/>
    <m/>
    <x v="1"/>
    <s v="42662971001011"/>
    <n v="-70.38"/>
    <n v="1795"/>
    <n v="1"/>
    <n v="1"/>
  </r>
  <r>
    <m/>
    <m/>
    <x v="1"/>
    <s v="42671651001004"/>
    <n v="-8.51"/>
    <n v="217"/>
    <n v="1"/>
    <n v="1"/>
  </r>
  <r>
    <m/>
    <m/>
    <x v="1"/>
    <s v="42689921004001"/>
    <n v="-53.44"/>
    <n v="1363"/>
    <n v="1"/>
    <n v="1"/>
  </r>
  <r>
    <m/>
    <m/>
    <x v="1"/>
    <s v="42717921001003"/>
    <n v="-93.79"/>
    <n v="2392"/>
    <n v="1"/>
    <n v="1"/>
  </r>
  <r>
    <m/>
    <m/>
    <x v="1"/>
    <s v="42734931001007"/>
    <n v="-33.72"/>
    <n v="860"/>
    <n v="1"/>
    <n v="1"/>
  </r>
  <r>
    <m/>
    <m/>
    <x v="1"/>
    <s v="42740811001004"/>
    <n v="-22"/>
    <n v="561"/>
    <n v="1"/>
    <n v="1"/>
  </r>
  <r>
    <m/>
    <m/>
    <x v="1"/>
    <s v="42753761003001"/>
    <n v="-21.6"/>
    <n v="551"/>
    <n v="1"/>
    <n v="1"/>
  </r>
  <r>
    <m/>
    <m/>
    <x v="1"/>
    <s v="42811861001001"/>
    <n v="-69.48"/>
    <n v="1772"/>
    <n v="1"/>
    <n v="1"/>
  </r>
  <r>
    <m/>
    <m/>
    <x v="1"/>
    <s v="42837831001001"/>
    <n v="-2.98"/>
    <n v="76"/>
    <n v="1"/>
    <n v="1"/>
  </r>
  <r>
    <m/>
    <m/>
    <x v="1"/>
    <s v="42846828002005"/>
    <n v="-7.02"/>
    <n v="179"/>
    <n v="1"/>
    <n v="1"/>
  </r>
  <r>
    <m/>
    <m/>
    <x v="1"/>
    <s v="42858901001003"/>
    <n v="-12.7"/>
    <n v="324"/>
    <n v="1"/>
    <n v="1"/>
  </r>
  <r>
    <m/>
    <m/>
    <x v="1"/>
    <s v="42862751002001"/>
    <n v="-26.07"/>
    <n v="665"/>
    <n v="1"/>
    <n v="1"/>
  </r>
  <r>
    <m/>
    <m/>
    <x v="1"/>
    <s v="42945601001003"/>
    <n v="-21.13"/>
    <n v="539"/>
    <n v="1"/>
    <n v="1"/>
  </r>
  <r>
    <m/>
    <m/>
    <x v="1"/>
    <s v="43016751001009"/>
    <n v="-20.94"/>
    <n v="534"/>
    <n v="1"/>
    <n v="1"/>
  </r>
  <r>
    <m/>
    <m/>
    <x v="1"/>
    <s v="43024731003001"/>
    <n v="-21.09"/>
    <n v="538"/>
    <n v="1"/>
    <n v="1"/>
  </r>
  <r>
    <m/>
    <m/>
    <x v="1"/>
    <s v="43029771001001"/>
    <n v="-27.17"/>
    <n v="693"/>
    <n v="1"/>
    <n v="1"/>
  </r>
  <r>
    <m/>
    <m/>
    <x v="1"/>
    <s v="43037331002001"/>
    <n v="-53.36"/>
    <n v="1361"/>
    <n v="1"/>
    <n v="1"/>
  </r>
  <r>
    <m/>
    <m/>
    <x v="1"/>
    <s v="43037471001001"/>
    <n v="-18.27"/>
    <n v="466"/>
    <n v="1"/>
    <n v="1"/>
  </r>
  <r>
    <m/>
    <m/>
    <x v="1"/>
    <s v="43067921001001"/>
    <n v="-50.35"/>
    <n v="1284"/>
    <n v="1"/>
    <n v="1"/>
  </r>
  <r>
    <m/>
    <m/>
    <x v="1"/>
    <s v="43079401001005"/>
    <n v="-11.45"/>
    <n v="292"/>
    <n v="1"/>
    <n v="1"/>
  </r>
  <r>
    <m/>
    <m/>
    <x v="1"/>
    <s v="43084721006001"/>
    <n v="-5.8"/>
    <n v="148"/>
    <n v="1"/>
    <n v="1"/>
  </r>
  <r>
    <m/>
    <m/>
    <x v="1"/>
    <s v="43103551001002"/>
    <n v="-13.49"/>
    <n v="344"/>
    <n v="1"/>
    <n v="1"/>
  </r>
  <r>
    <m/>
    <m/>
    <x v="1"/>
    <s v="43210791001004"/>
    <n v="-1.1000000000000001"/>
    <n v="28"/>
    <n v="1"/>
    <n v="1"/>
  </r>
  <r>
    <m/>
    <m/>
    <x v="1"/>
    <s v="43219471001003"/>
    <n v="-25.64"/>
    <n v="654"/>
    <n v="1"/>
    <n v="1"/>
  </r>
  <r>
    <m/>
    <m/>
    <x v="1"/>
    <s v="43225001001001"/>
    <n v="-52.19"/>
    <n v="1331"/>
    <n v="1"/>
    <n v="1"/>
  </r>
  <r>
    <m/>
    <m/>
    <x v="1"/>
    <s v="43239421002001"/>
    <n v="-26.7"/>
    <n v="681"/>
    <n v="1"/>
    <n v="1"/>
  </r>
  <r>
    <m/>
    <m/>
    <x v="1"/>
    <s v="43245091005003"/>
    <n v="-52.86"/>
    <n v="1348"/>
    <n v="1"/>
    <n v="1"/>
  </r>
  <r>
    <m/>
    <m/>
    <x v="1"/>
    <s v="43262451002003"/>
    <n v="-25.13"/>
    <n v="641"/>
    <n v="1"/>
    <n v="1"/>
  </r>
  <r>
    <m/>
    <m/>
    <x v="1"/>
    <s v="43282051003001"/>
    <n v="-12.04"/>
    <n v="307"/>
    <n v="1"/>
    <n v="1"/>
  </r>
  <r>
    <m/>
    <m/>
    <x v="1"/>
    <s v="43301371002001"/>
    <n v="-21.76"/>
    <n v="555"/>
    <n v="1"/>
    <n v="1"/>
  </r>
  <r>
    <m/>
    <m/>
    <x v="1"/>
    <s v="43330105002001"/>
    <n v="-121.32"/>
    <n v="3094"/>
    <n v="1"/>
    <n v="1"/>
  </r>
  <r>
    <m/>
    <m/>
    <x v="1"/>
    <s v="43334201001001"/>
    <n v="-46.11"/>
    <n v="1176"/>
    <n v="1"/>
    <n v="1"/>
  </r>
  <r>
    <m/>
    <m/>
    <x v="1"/>
    <s v="43347711001001"/>
    <n v="-59.8"/>
    <n v="1525"/>
    <n v="1"/>
    <n v="1"/>
  </r>
  <r>
    <m/>
    <m/>
    <x v="1"/>
    <s v="43386911002002"/>
    <n v="-56.19"/>
    <n v="1433"/>
    <n v="1"/>
    <n v="1"/>
  </r>
  <r>
    <m/>
    <m/>
    <x v="1"/>
    <s v="43415471005001"/>
    <n v="-79.16"/>
    <n v="2019"/>
    <n v="1"/>
    <n v="1"/>
  </r>
  <r>
    <m/>
    <m/>
    <x v="1"/>
    <s v="43530621001001"/>
    <n v="-139.55000000000001"/>
    <n v="3559"/>
    <n v="1"/>
    <n v="1"/>
  </r>
  <r>
    <m/>
    <m/>
    <x v="1"/>
    <s v="43661996001002"/>
    <n v="-64.42"/>
    <n v="1643"/>
    <n v="1"/>
    <n v="1"/>
  </r>
  <r>
    <m/>
    <m/>
    <x v="1"/>
    <s v="43665824001005"/>
    <n v="-34.700000000000003"/>
    <n v="885"/>
    <n v="1"/>
    <n v="1"/>
  </r>
  <r>
    <m/>
    <m/>
    <x v="1"/>
    <s v="43678461001003"/>
    <n v="-11.17"/>
    <n v="285"/>
    <n v="1"/>
    <n v="1"/>
  </r>
  <r>
    <m/>
    <m/>
    <x v="1"/>
    <s v="43688479001001"/>
    <n v="-29.68"/>
    <n v="757"/>
    <n v="1"/>
    <n v="1"/>
  </r>
  <r>
    <m/>
    <m/>
    <x v="1"/>
    <s v="43721161001001"/>
    <n v="-47.68"/>
    <n v="1216"/>
    <n v="1"/>
    <n v="1"/>
  </r>
  <r>
    <m/>
    <m/>
    <x v="1"/>
    <s v="43736211001004"/>
    <n v="-28.82"/>
    <n v="735"/>
    <n v="1"/>
    <n v="1"/>
  </r>
  <r>
    <m/>
    <m/>
    <x v="1"/>
    <s v="43784132001001"/>
    <n v="-72.150000000000006"/>
    <n v="1840"/>
    <n v="1"/>
    <n v="1"/>
  </r>
  <r>
    <m/>
    <m/>
    <x v="1"/>
    <s v="43784151001001"/>
    <n v="-13.68"/>
    <n v="349"/>
    <n v="1"/>
    <n v="1"/>
  </r>
  <r>
    <m/>
    <m/>
    <x v="1"/>
    <s v="43801381001001"/>
    <n v="-63.44"/>
    <n v="1618"/>
    <n v="1"/>
    <n v="1"/>
  </r>
  <r>
    <m/>
    <m/>
    <x v="1"/>
    <s v="43823991001001"/>
    <n v="-25.8"/>
    <n v="658"/>
    <n v="1"/>
    <n v="1"/>
  </r>
  <r>
    <m/>
    <m/>
    <x v="1"/>
    <s v="43865752001004"/>
    <n v="-23.02"/>
    <n v="587"/>
    <n v="1"/>
    <n v="1"/>
  </r>
  <r>
    <m/>
    <m/>
    <x v="1"/>
    <s v="43924371003001"/>
    <n v="-22.86"/>
    <n v="583"/>
    <n v="1"/>
    <n v="1"/>
  </r>
  <r>
    <m/>
    <m/>
    <x v="1"/>
    <s v="43928151001002"/>
    <n v="-46.27"/>
    <n v="1180"/>
    <n v="1"/>
    <n v="1"/>
  </r>
  <r>
    <m/>
    <m/>
    <x v="1"/>
    <s v="43981430001003"/>
    <n v="-42.62"/>
    <n v="1087"/>
    <n v="1"/>
    <n v="1"/>
  </r>
  <r>
    <m/>
    <m/>
    <x v="1"/>
    <s v="43997887009001"/>
    <n v="-56.78"/>
    <n v="1448"/>
    <n v="1"/>
    <n v="1"/>
  </r>
  <r>
    <m/>
    <m/>
    <x v="1"/>
    <s v="44017401001003"/>
    <n v="-55.68"/>
    <n v="1420"/>
    <n v="1"/>
    <n v="1"/>
  </r>
  <r>
    <m/>
    <m/>
    <x v="1"/>
    <s v="44035671002001"/>
    <n v="-43.44"/>
    <n v="1108"/>
    <n v="1"/>
    <n v="1"/>
  </r>
  <r>
    <m/>
    <m/>
    <x v="1"/>
    <s v="44070041001001"/>
    <n v="-64.62"/>
    <n v="1648"/>
    <n v="1"/>
    <n v="1"/>
  </r>
  <r>
    <m/>
    <m/>
    <x v="1"/>
    <s v="44095871001001"/>
    <n v="-73.44"/>
    <n v="1873"/>
    <n v="1"/>
    <n v="1"/>
  </r>
  <r>
    <m/>
    <m/>
    <x v="1"/>
    <s v="44133601001001"/>
    <n v="-73.709999999999994"/>
    <n v="1880"/>
    <n v="1"/>
    <n v="1"/>
  </r>
  <r>
    <m/>
    <m/>
    <x v="1"/>
    <s v="44172520001001"/>
    <n v="-58.38"/>
    <n v="1489"/>
    <n v="1"/>
    <n v="1"/>
  </r>
  <r>
    <m/>
    <m/>
    <x v="1"/>
    <s v="44198701001002"/>
    <n v="-89.75"/>
    <n v="2289"/>
    <n v="1"/>
    <n v="1"/>
  </r>
  <r>
    <m/>
    <m/>
    <x v="1"/>
    <s v="44200871001010"/>
    <n v="-18.59"/>
    <n v="474"/>
    <n v="1"/>
    <n v="1"/>
  </r>
  <r>
    <m/>
    <m/>
    <x v="1"/>
    <s v="44235381001002"/>
    <n v="-27.49"/>
    <n v="701"/>
    <n v="1"/>
    <n v="1"/>
  </r>
  <r>
    <m/>
    <m/>
    <x v="1"/>
    <s v="44237551001002"/>
    <n v="-21.8"/>
    <n v="556"/>
    <n v="1"/>
    <n v="1"/>
  </r>
  <r>
    <m/>
    <m/>
    <x v="1"/>
    <s v="44271641001001"/>
    <n v="-9.68"/>
    <n v="247"/>
    <n v="1"/>
    <n v="1"/>
  </r>
  <r>
    <m/>
    <m/>
    <x v="1"/>
    <s v="44286551002002"/>
    <n v="-22.58"/>
    <n v="576"/>
    <n v="1"/>
    <n v="1"/>
  </r>
  <r>
    <m/>
    <m/>
    <x v="1"/>
    <s v="44293551003001"/>
    <n v="-33.64"/>
    <n v="858"/>
    <n v="1"/>
    <n v="1"/>
  </r>
  <r>
    <m/>
    <m/>
    <x v="1"/>
    <s v="44327781001003"/>
    <n v="-12.78"/>
    <n v="326"/>
    <n v="1"/>
    <n v="1"/>
  </r>
  <r>
    <m/>
    <m/>
    <x v="1"/>
    <s v="44340381001001"/>
    <n v="-53.25"/>
    <n v="1358"/>
    <n v="1"/>
    <n v="1"/>
  </r>
  <r>
    <m/>
    <m/>
    <x v="1"/>
    <s v="44365721001001"/>
    <n v="-51.99"/>
    <n v="1326"/>
    <n v="1"/>
    <n v="1"/>
  </r>
  <r>
    <m/>
    <m/>
    <x v="1"/>
    <s v="44389521001001"/>
    <n v="-37.29"/>
    <n v="951"/>
    <n v="1"/>
    <n v="1"/>
  </r>
  <r>
    <m/>
    <m/>
    <x v="1"/>
    <s v="44423891001003"/>
    <n v="-11.57"/>
    <n v="295"/>
    <n v="1"/>
    <n v="1"/>
  </r>
  <r>
    <m/>
    <m/>
    <x v="1"/>
    <s v="44442320001003"/>
    <n v="-56.7"/>
    <n v="1446"/>
    <n v="1"/>
    <n v="1"/>
  </r>
  <r>
    <m/>
    <m/>
    <x v="1"/>
    <s v="44445801002001"/>
    <n v="-87.75"/>
    <n v="2238"/>
    <n v="1"/>
    <n v="1"/>
  </r>
  <r>
    <m/>
    <m/>
    <x v="1"/>
    <s v="44484511001002"/>
    <n v="-17.41"/>
    <n v="444"/>
    <n v="1"/>
    <n v="1"/>
  </r>
  <r>
    <m/>
    <m/>
    <x v="1"/>
    <s v="44490601001001"/>
    <n v="-25.76"/>
    <n v="657"/>
    <n v="1"/>
    <n v="1"/>
  </r>
  <r>
    <m/>
    <m/>
    <x v="1"/>
    <s v="44502641001003"/>
    <n v="-87.71"/>
    <n v="2237"/>
    <n v="1"/>
    <n v="1"/>
  </r>
  <r>
    <m/>
    <m/>
    <x v="1"/>
    <s v="44525601001001"/>
    <n v="-38.19"/>
    <n v="974"/>
    <n v="1"/>
    <n v="1"/>
  </r>
  <r>
    <m/>
    <m/>
    <x v="1"/>
    <s v="44528121001001"/>
    <n v="-31.21"/>
    <n v="796"/>
    <n v="1"/>
    <n v="1"/>
  </r>
  <r>
    <m/>
    <m/>
    <x v="1"/>
    <s v="44545061002001"/>
    <n v="-5.45"/>
    <n v="139"/>
    <n v="1"/>
    <n v="1"/>
  </r>
  <r>
    <m/>
    <m/>
    <x v="1"/>
    <s v="44560811001004"/>
    <n v="-21.53"/>
    <n v="549"/>
    <n v="1"/>
    <n v="1"/>
  </r>
  <r>
    <m/>
    <m/>
    <x v="1"/>
    <s v="44574881001005"/>
    <n v="-51.72"/>
    <n v="1319"/>
    <n v="1"/>
    <n v="1"/>
  </r>
  <r>
    <m/>
    <m/>
    <x v="1"/>
    <s v="44617161001001"/>
    <n v="-53.52"/>
    <n v="1365"/>
    <n v="1"/>
    <n v="1"/>
  </r>
  <r>
    <m/>
    <m/>
    <x v="1"/>
    <s v="44617721001003"/>
    <n v="-28.31"/>
    <n v="722"/>
    <n v="1"/>
    <n v="1"/>
  </r>
  <r>
    <m/>
    <m/>
    <x v="1"/>
    <s v="44628151002001"/>
    <n v="-23.64"/>
    <n v="603"/>
    <n v="1"/>
    <n v="1"/>
  </r>
  <r>
    <m/>
    <m/>
    <x v="1"/>
    <s v="44686531002001"/>
    <n v="-9.57"/>
    <n v="244"/>
    <n v="1"/>
    <n v="1"/>
  </r>
  <r>
    <m/>
    <m/>
    <x v="1"/>
    <s v="44688351001001"/>
    <n v="-8.4700000000000006"/>
    <n v="216"/>
    <n v="1"/>
    <n v="1"/>
  </r>
  <r>
    <m/>
    <m/>
    <x v="1"/>
    <s v="44688771001005"/>
    <n v="-69.91"/>
    <n v="1783"/>
    <n v="1"/>
    <n v="1"/>
  </r>
  <r>
    <m/>
    <m/>
    <x v="1"/>
    <s v="44706621001001"/>
    <n v="-38.54"/>
    <n v="983"/>
    <n v="1"/>
    <n v="1"/>
  </r>
  <r>
    <m/>
    <m/>
    <x v="1"/>
    <s v="44717821001014"/>
    <n v="-8.6300000000000008"/>
    <n v="220"/>
    <n v="1"/>
    <n v="1"/>
  </r>
  <r>
    <m/>
    <m/>
    <x v="1"/>
    <s v="44736744001004"/>
    <n v="-6.47"/>
    <n v="165"/>
    <n v="1"/>
    <n v="1"/>
  </r>
  <r>
    <m/>
    <m/>
    <x v="1"/>
    <s v="44773681001001"/>
    <n v="-28.7"/>
    <n v="732"/>
    <n v="1"/>
    <n v="1"/>
  </r>
  <r>
    <m/>
    <m/>
    <x v="1"/>
    <s v="44774521001002"/>
    <n v="-48.86"/>
    <n v="1246"/>
    <n v="1"/>
    <n v="1"/>
  </r>
  <r>
    <m/>
    <m/>
    <x v="1"/>
    <s v="44781521001003"/>
    <n v="-54.54"/>
    <n v="1391"/>
    <n v="1"/>
    <n v="1"/>
  </r>
  <r>
    <m/>
    <m/>
    <x v="1"/>
    <s v="44789781001001"/>
    <n v="-72.66"/>
    <n v="1853"/>
    <n v="1"/>
    <n v="1"/>
  </r>
  <r>
    <m/>
    <m/>
    <x v="1"/>
    <s v="44804971001001"/>
    <n v="-5.76"/>
    <n v="147"/>
    <n v="1"/>
    <n v="1"/>
  </r>
  <r>
    <m/>
    <m/>
    <x v="1"/>
    <s v="44808191002002"/>
    <n v="-85.79"/>
    <n v="2188"/>
    <n v="1"/>
    <n v="1"/>
  </r>
  <r>
    <m/>
    <m/>
    <x v="1"/>
    <s v="44819842001003"/>
    <n v="-58.34"/>
    <n v="1488"/>
    <n v="1"/>
    <n v="1"/>
  </r>
  <r>
    <m/>
    <m/>
    <x v="1"/>
    <s v="44839691002002"/>
    <n v="-0.86"/>
    <n v="22"/>
    <n v="1"/>
    <n v="1"/>
  </r>
  <r>
    <m/>
    <m/>
    <x v="1"/>
    <s v="44843401002001"/>
    <n v="-28.27"/>
    <n v="721"/>
    <n v="1"/>
    <n v="1"/>
  </r>
  <r>
    <m/>
    <m/>
    <x v="1"/>
    <s v="44861671002001"/>
    <n v="-12.86"/>
    <n v="328"/>
    <n v="1"/>
    <n v="1"/>
  </r>
  <r>
    <m/>
    <m/>
    <x v="1"/>
    <s v="44875461001001"/>
    <n v="-17.760000000000002"/>
    <n v="453"/>
    <n v="1"/>
    <n v="1"/>
  </r>
  <r>
    <m/>
    <m/>
    <x v="1"/>
    <s v="44881201001001"/>
    <n v="-32.229999999999997"/>
    <n v="822"/>
    <n v="1"/>
    <n v="1"/>
  </r>
  <r>
    <m/>
    <m/>
    <x v="1"/>
    <s v="44896251001001"/>
    <n v="-31.17"/>
    <n v="795"/>
    <n v="1"/>
    <n v="1"/>
  </r>
  <r>
    <m/>
    <m/>
    <x v="1"/>
    <s v="44898175001005"/>
    <n v="-49.64"/>
    <n v="1266"/>
    <n v="1"/>
    <n v="1"/>
  </r>
  <r>
    <m/>
    <m/>
    <x v="1"/>
    <s v="44898351001001"/>
    <n v="-71.17"/>
    <n v="1815"/>
    <n v="1"/>
    <n v="1"/>
  </r>
  <r>
    <m/>
    <m/>
    <x v="1"/>
    <s v="44906681002005"/>
    <n v="-29.88"/>
    <n v="762"/>
    <n v="1"/>
    <n v="1"/>
  </r>
  <r>
    <m/>
    <m/>
    <x v="1"/>
    <s v="44955261001002"/>
    <n v="-97.87"/>
    <n v="2496"/>
    <n v="1"/>
    <n v="1"/>
  </r>
  <r>
    <m/>
    <m/>
    <x v="1"/>
    <s v="44959251002002"/>
    <n v="-58.82"/>
    <n v="1500"/>
    <n v="1"/>
    <n v="1"/>
  </r>
  <r>
    <m/>
    <m/>
    <x v="1"/>
    <s v="44976331003006"/>
    <n v="-6.7"/>
    <n v="171"/>
    <n v="1"/>
    <n v="1"/>
  </r>
  <r>
    <m/>
    <m/>
    <x v="1"/>
    <s v="44983051001001"/>
    <n v="-36.270000000000003"/>
    <n v="925"/>
    <n v="1"/>
    <n v="1"/>
  </r>
  <r>
    <m/>
    <m/>
    <x v="1"/>
    <s v="45016581002001"/>
    <n v="-38.619999999999997"/>
    <n v="985"/>
    <n v="1"/>
    <n v="1"/>
  </r>
  <r>
    <m/>
    <m/>
    <x v="1"/>
    <s v="45023091001001"/>
    <n v="-7.33"/>
    <n v="187"/>
    <n v="1"/>
    <n v="1"/>
  </r>
  <r>
    <m/>
    <m/>
    <x v="1"/>
    <s v="45028411001001"/>
    <n v="-22.51"/>
    <n v="574"/>
    <n v="1"/>
    <n v="1"/>
  </r>
  <r>
    <m/>
    <m/>
    <x v="1"/>
    <s v="45032471001003"/>
    <n v="-51.64"/>
    <n v="1317"/>
    <n v="1"/>
    <n v="1"/>
  </r>
  <r>
    <m/>
    <m/>
    <x v="1"/>
    <s v="45035075001001"/>
    <n v="-54.38"/>
    <n v="1387"/>
    <n v="1"/>
    <n v="1"/>
  </r>
  <r>
    <m/>
    <m/>
    <x v="1"/>
    <s v="45058426001008"/>
    <n v="-41.6"/>
    <n v="1061"/>
    <n v="1"/>
    <n v="1"/>
  </r>
  <r>
    <m/>
    <m/>
    <x v="1"/>
    <s v="45064181002001"/>
    <n v="-2.5099999999999998"/>
    <n v="64"/>
    <n v="1"/>
    <n v="1"/>
  </r>
  <r>
    <m/>
    <m/>
    <x v="1"/>
    <s v="45064461001001"/>
    <n v="-30.9"/>
    <n v="788"/>
    <n v="1"/>
    <n v="1"/>
  </r>
  <r>
    <m/>
    <m/>
    <x v="1"/>
    <s v="45064531001001"/>
    <n v="-11.76"/>
    <n v="300"/>
    <n v="1"/>
    <n v="1"/>
  </r>
  <r>
    <m/>
    <m/>
    <x v="1"/>
    <s v="45064881001001"/>
    <n v="-95.05"/>
    <n v="2424"/>
    <n v="1"/>
    <n v="1"/>
  </r>
  <r>
    <m/>
    <m/>
    <x v="1"/>
    <s v="45068661003001"/>
    <n v="-29.76"/>
    <n v="759"/>
    <n v="1"/>
    <n v="1"/>
  </r>
  <r>
    <m/>
    <m/>
    <x v="1"/>
    <s v="45073281001004"/>
    <n v="-45.48"/>
    <n v="1160"/>
    <n v="1"/>
    <n v="1"/>
  </r>
  <r>
    <m/>
    <m/>
    <x v="1"/>
    <s v="45074541002003"/>
    <n v="-27.56"/>
    <n v="703"/>
    <n v="1"/>
    <n v="1"/>
  </r>
  <r>
    <m/>
    <m/>
    <x v="1"/>
    <s v="45077271001001"/>
    <n v="-6.04"/>
    <n v="154"/>
    <n v="1"/>
    <n v="1"/>
  </r>
  <r>
    <m/>
    <m/>
    <x v="1"/>
    <s v="45081471001002"/>
    <n v="-30.66"/>
    <n v="782"/>
    <n v="1"/>
    <n v="1"/>
  </r>
  <r>
    <m/>
    <m/>
    <x v="1"/>
    <s v="45091654002003"/>
    <n v="-46.19"/>
    <n v="1178"/>
    <n v="1"/>
    <n v="1"/>
  </r>
  <r>
    <m/>
    <m/>
    <x v="1"/>
    <s v="45101911002002"/>
    <n v="-34.39"/>
    <n v="877"/>
    <n v="1"/>
    <n v="1"/>
  </r>
  <r>
    <m/>
    <m/>
    <x v="1"/>
    <s v="45119621001001"/>
    <n v="-38.39"/>
    <n v="979"/>
    <n v="1"/>
    <n v="1"/>
  </r>
  <r>
    <m/>
    <m/>
    <x v="1"/>
    <s v="45120321002003"/>
    <n v="-33.64"/>
    <n v="858"/>
    <n v="1"/>
    <n v="1"/>
  </r>
  <r>
    <m/>
    <m/>
    <x v="1"/>
    <s v="45124731002005"/>
    <n v="-25.56"/>
    <n v="652"/>
    <n v="1"/>
    <n v="1"/>
  </r>
  <r>
    <m/>
    <m/>
    <x v="1"/>
    <s v="45126411001001"/>
    <n v="-22.43"/>
    <n v="572"/>
    <n v="1"/>
    <n v="1"/>
  </r>
  <r>
    <m/>
    <m/>
    <x v="1"/>
    <s v="45128931001001"/>
    <n v="-15.37"/>
    <n v="392"/>
    <n v="1"/>
    <n v="1"/>
  </r>
  <r>
    <m/>
    <m/>
    <x v="1"/>
    <s v="45136421001001"/>
    <n v="-77.13"/>
    <n v="1967"/>
    <n v="1"/>
    <n v="1"/>
  </r>
  <r>
    <m/>
    <m/>
    <x v="1"/>
    <s v="45143631001001"/>
    <n v="-3.61"/>
    <n v="92"/>
    <n v="1"/>
    <n v="1"/>
  </r>
  <r>
    <m/>
    <m/>
    <x v="1"/>
    <s v="45160921001001"/>
    <n v="-40.74"/>
    <n v="1039"/>
    <n v="1"/>
    <n v="1"/>
  </r>
  <r>
    <m/>
    <m/>
    <x v="1"/>
    <s v="45161201003001"/>
    <n v="-43.17"/>
    <n v="1101"/>
    <n v="1"/>
    <n v="1"/>
  </r>
  <r>
    <m/>
    <m/>
    <x v="1"/>
    <s v="45162468001001"/>
    <n v="-46.11"/>
    <n v="1176"/>
    <n v="1"/>
    <n v="1"/>
  </r>
  <r>
    <m/>
    <m/>
    <x v="1"/>
    <s v="45170721001001"/>
    <n v="-60.07"/>
    <n v="1532"/>
    <n v="1"/>
    <n v="1"/>
  </r>
  <r>
    <m/>
    <m/>
    <x v="1"/>
    <s v="45174711001002"/>
    <n v="-0.39"/>
    <n v="10"/>
    <n v="1"/>
    <n v="1"/>
  </r>
  <r>
    <m/>
    <m/>
    <x v="1"/>
    <s v="45188221002002"/>
    <n v="-56.34"/>
    <n v="1437"/>
    <n v="1"/>
    <n v="1"/>
  </r>
  <r>
    <m/>
    <m/>
    <x v="1"/>
    <s v="45190531001001"/>
    <n v="-14.86"/>
    <n v="379"/>
    <n v="1"/>
    <n v="1"/>
  </r>
  <r>
    <m/>
    <m/>
    <x v="1"/>
    <s v="45191721001004"/>
    <n v="-24.07"/>
    <n v="614"/>
    <n v="1"/>
    <n v="1"/>
  </r>
  <r>
    <m/>
    <m/>
    <x v="1"/>
    <s v="45192001001001"/>
    <n v="-47.95"/>
    <n v="1223"/>
    <n v="1"/>
    <n v="1"/>
  </r>
  <r>
    <m/>
    <m/>
    <x v="1"/>
    <s v="45194661001001"/>
    <n v="-31.25"/>
    <n v="797"/>
    <n v="1"/>
    <n v="1"/>
  </r>
  <r>
    <m/>
    <m/>
    <x v="1"/>
    <s v="45195641001001"/>
    <n v="-59.8"/>
    <n v="1525"/>
    <n v="1"/>
    <n v="1"/>
  </r>
  <r>
    <m/>
    <m/>
    <x v="1"/>
    <s v="45204881002001"/>
    <n v="-2.9"/>
    <n v="74"/>
    <n v="1"/>
    <n v="1"/>
  </r>
  <r>
    <m/>
    <m/>
    <x v="1"/>
    <s v="45221093002001"/>
    <n v="-45.88"/>
    <n v="1170"/>
    <n v="1"/>
    <n v="1"/>
  </r>
  <r>
    <m/>
    <m/>
    <x v="1"/>
    <s v="45222165001003"/>
    <n v="-51.4"/>
    <n v="1311"/>
    <n v="1"/>
    <n v="1"/>
  </r>
  <r>
    <m/>
    <m/>
    <x v="1"/>
    <s v="45233441001001"/>
    <n v="-52.31"/>
    <n v="1334"/>
    <n v="1"/>
    <n v="1"/>
  </r>
  <r>
    <m/>
    <m/>
    <x v="1"/>
    <s v="45259201001001"/>
    <n v="-35.56"/>
    <n v="907"/>
    <n v="1"/>
    <n v="1"/>
  </r>
  <r>
    <m/>
    <m/>
    <x v="1"/>
    <s v="45286361001001"/>
    <n v="-9.02"/>
    <n v="230"/>
    <n v="1"/>
    <n v="1"/>
  </r>
  <r>
    <m/>
    <m/>
    <x v="1"/>
    <s v="45324791001001"/>
    <n v="-113.94"/>
    <n v="2906"/>
    <n v="1"/>
    <n v="1"/>
  </r>
  <r>
    <m/>
    <m/>
    <x v="1"/>
    <s v="45329411001001"/>
    <n v="-3.37"/>
    <n v="86"/>
    <n v="1"/>
    <n v="1"/>
  </r>
  <r>
    <m/>
    <m/>
    <x v="1"/>
    <s v="45350901001001"/>
    <n v="-8.16"/>
    <n v="208"/>
    <n v="1"/>
    <n v="1"/>
  </r>
  <r>
    <m/>
    <m/>
    <x v="1"/>
    <s v="45353841001001"/>
    <n v="-30.35"/>
    <n v="774"/>
    <n v="1"/>
    <n v="1"/>
  </r>
  <r>
    <m/>
    <m/>
    <x v="1"/>
    <s v="45356011003001"/>
    <n v="-71.13"/>
    <n v="1814"/>
    <n v="1"/>
    <n v="1"/>
  </r>
  <r>
    <m/>
    <m/>
    <x v="1"/>
    <s v="45382121001001"/>
    <n v="-30.66"/>
    <n v="782"/>
    <n v="1"/>
    <n v="1"/>
  </r>
  <r>
    <m/>
    <m/>
    <x v="1"/>
    <s v="45382261001001"/>
    <n v="-66.459999999999994"/>
    <n v="1695"/>
    <n v="1"/>
    <n v="1"/>
  </r>
  <r>
    <m/>
    <m/>
    <x v="1"/>
    <s v="45384361001001"/>
    <n v="-60.58"/>
    <n v="1545"/>
    <n v="1"/>
    <n v="1"/>
  </r>
  <r>
    <m/>
    <m/>
    <x v="1"/>
    <s v="45390801001001"/>
    <n v="-57.64"/>
    <n v="1470"/>
    <n v="1"/>
    <n v="1"/>
  </r>
  <r>
    <m/>
    <m/>
    <x v="1"/>
    <s v="45395421001001"/>
    <n v="-17.13"/>
    <n v="437"/>
    <n v="1"/>
    <n v="1"/>
  </r>
  <r>
    <m/>
    <m/>
    <x v="1"/>
    <s v="45446941001001"/>
    <n v="-51.21"/>
    <n v="1306"/>
    <n v="1"/>
    <n v="1"/>
  </r>
  <r>
    <m/>
    <m/>
    <x v="1"/>
    <s v="45451701001002"/>
    <n v="-98.5"/>
    <n v="2512"/>
    <n v="1"/>
    <n v="1"/>
  </r>
  <r>
    <m/>
    <m/>
    <x v="1"/>
    <s v="45454501002002"/>
    <n v="-33.049999999999997"/>
    <n v="843"/>
    <n v="1"/>
    <n v="1"/>
  </r>
  <r>
    <m/>
    <m/>
    <x v="1"/>
    <s v="45466051001001"/>
    <n v="-34.78"/>
    <n v="887"/>
    <n v="1"/>
    <n v="1"/>
  </r>
  <r>
    <m/>
    <m/>
    <x v="1"/>
    <s v="45469341007001"/>
    <n v="-157.86000000000001"/>
    <n v="4026"/>
    <n v="1"/>
    <n v="1"/>
  </r>
  <r>
    <m/>
    <m/>
    <x v="1"/>
    <s v="45472001001001"/>
    <n v="-23.68"/>
    <n v="604"/>
    <n v="1"/>
    <n v="1"/>
  </r>
  <r>
    <m/>
    <m/>
    <x v="1"/>
    <s v="45473261001002"/>
    <n v="-72.34"/>
    <n v="1845"/>
    <n v="1"/>
    <n v="1"/>
  </r>
  <r>
    <m/>
    <m/>
    <x v="1"/>
    <s v="45491181001001"/>
    <n v="-2.23"/>
    <n v="57"/>
    <n v="1"/>
    <n v="1"/>
  </r>
  <r>
    <m/>
    <m/>
    <x v="1"/>
    <s v="45496921001002"/>
    <n v="-35.64"/>
    <n v="909"/>
    <n v="1"/>
    <n v="1"/>
  </r>
  <r>
    <m/>
    <m/>
    <x v="1"/>
    <s v="45503921006001"/>
    <n v="-43.88"/>
    <n v="1119"/>
    <n v="1"/>
    <n v="1"/>
  </r>
  <r>
    <m/>
    <m/>
    <x v="1"/>
    <s v="45512671001001"/>
    <n v="-87.63"/>
    <n v="2235"/>
    <n v="1"/>
    <n v="1"/>
  </r>
  <r>
    <m/>
    <m/>
    <x v="1"/>
    <s v="45513791001001"/>
    <n v="-31.72"/>
    <n v="809"/>
    <n v="1"/>
    <n v="1"/>
  </r>
  <r>
    <m/>
    <m/>
    <x v="1"/>
    <s v="45525746001005"/>
    <n v="-58.7"/>
    <n v="1497"/>
    <n v="1"/>
    <n v="1"/>
  </r>
  <r>
    <m/>
    <m/>
    <x v="1"/>
    <s v="45526041001005"/>
    <n v="-20.149999999999999"/>
    <n v="514"/>
    <n v="1"/>
    <n v="1"/>
  </r>
  <r>
    <m/>
    <m/>
    <x v="1"/>
    <s v="45529821001003"/>
    <n v="-2.23"/>
    <n v="57"/>
    <n v="1"/>
    <n v="1"/>
  </r>
  <r>
    <m/>
    <m/>
    <x v="1"/>
    <s v="45532411001003"/>
    <n v="-15.76"/>
    <n v="402"/>
    <n v="1"/>
    <n v="1"/>
  </r>
  <r>
    <m/>
    <m/>
    <x v="1"/>
    <s v="45559221007005"/>
    <n v="-36.74"/>
    <n v="937"/>
    <n v="1"/>
    <n v="1"/>
  </r>
  <r>
    <m/>
    <m/>
    <x v="1"/>
    <s v="45626771003001"/>
    <n v="-112.3"/>
    <n v="2864"/>
    <n v="1"/>
    <n v="1"/>
  </r>
  <r>
    <m/>
    <m/>
    <x v="1"/>
    <s v="45644831001001"/>
    <n v="-15.37"/>
    <n v="392"/>
    <n v="1"/>
    <n v="1"/>
  </r>
  <r>
    <m/>
    <m/>
    <x v="1"/>
    <s v="45645881001002"/>
    <n v="-121.04"/>
    <n v="3087"/>
    <n v="1"/>
    <n v="1"/>
  </r>
  <r>
    <m/>
    <m/>
    <x v="1"/>
    <s v="45725261001001"/>
    <n v="-90.81"/>
    <n v="2316"/>
    <n v="1"/>
    <n v="1"/>
  </r>
  <r>
    <m/>
    <m/>
    <x v="1"/>
    <s v="45742621001001"/>
    <n v="-47.33"/>
    <n v="1207"/>
    <n v="1"/>
    <n v="1"/>
  </r>
  <r>
    <m/>
    <m/>
    <x v="1"/>
    <s v="45751371001001"/>
    <n v="-3.84"/>
    <n v="98"/>
    <n v="1"/>
    <n v="1"/>
  </r>
  <r>
    <m/>
    <m/>
    <x v="1"/>
    <s v="45751441001001"/>
    <n v="-20.74"/>
    <n v="529"/>
    <n v="1"/>
    <n v="1"/>
  </r>
  <r>
    <m/>
    <m/>
    <x v="1"/>
    <s v="45755851001001"/>
    <n v="-35.64"/>
    <n v="909"/>
    <n v="1"/>
    <n v="1"/>
  </r>
  <r>
    <m/>
    <m/>
    <x v="1"/>
    <s v="45768031001001"/>
    <n v="-28.23"/>
    <n v="720"/>
    <n v="1"/>
    <n v="1"/>
  </r>
  <r>
    <m/>
    <m/>
    <x v="1"/>
    <s v="45771181001001"/>
    <n v="-49.76"/>
    <n v="1269"/>
    <n v="1"/>
    <n v="1"/>
  </r>
  <r>
    <m/>
    <m/>
    <x v="1"/>
    <s v="45785601001001"/>
    <n v="-25.88"/>
    <n v="660"/>
    <n v="1"/>
    <n v="1"/>
  </r>
  <r>
    <m/>
    <m/>
    <x v="1"/>
    <s v="45786091001001"/>
    <n v="-102.81"/>
    <n v="2622"/>
    <n v="1"/>
    <n v="1"/>
  </r>
  <r>
    <m/>
    <m/>
    <x v="1"/>
    <s v="45799741001002"/>
    <n v="-102.49"/>
    <n v="2614"/>
    <n v="1"/>
    <n v="1"/>
  </r>
  <r>
    <m/>
    <m/>
    <x v="1"/>
    <s v="45848041001001"/>
    <n v="-93.71"/>
    <n v="2390"/>
    <n v="1"/>
    <n v="1"/>
  </r>
  <r>
    <m/>
    <m/>
    <x v="1"/>
    <s v="45884231001001"/>
    <n v="-83.4"/>
    <n v="2127"/>
    <n v="1"/>
    <n v="1"/>
  </r>
  <r>
    <m/>
    <m/>
    <x v="1"/>
    <s v="45896761002001"/>
    <n v="-18.899999999999999"/>
    <n v="482"/>
    <n v="1"/>
    <n v="1"/>
  </r>
  <r>
    <m/>
    <m/>
    <x v="1"/>
    <s v="45898663001009"/>
    <n v="-44.35"/>
    <n v="1131"/>
    <n v="1"/>
    <n v="1"/>
  </r>
  <r>
    <m/>
    <m/>
    <x v="1"/>
    <s v="45918951003002"/>
    <n v="-38.5"/>
    <n v="982"/>
    <n v="1"/>
    <n v="1"/>
  </r>
  <r>
    <m/>
    <m/>
    <x v="1"/>
    <s v="45919931008001"/>
    <n v="-26.55"/>
    <n v="677"/>
    <n v="1"/>
    <n v="1"/>
  </r>
  <r>
    <m/>
    <m/>
    <x v="1"/>
    <s v="45931061001003"/>
    <n v="-58.11"/>
    <n v="1482"/>
    <n v="1"/>
    <n v="1"/>
  </r>
  <r>
    <m/>
    <m/>
    <x v="1"/>
    <s v="45934211002001"/>
    <n v="-59.56"/>
    <n v="1519"/>
    <n v="1"/>
    <n v="1"/>
  </r>
  <r>
    <m/>
    <m/>
    <x v="1"/>
    <s v="45943591002001"/>
    <n v="-19.25"/>
    <n v="491"/>
    <n v="1"/>
    <n v="1"/>
  </r>
  <r>
    <m/>
    <m/>
    <x v="1"/>
    <s v="45996931001002"/>
    <n v="-8.08"/>
    <n v="206"/>
    <n v="1"/>
    <n v="1"/>
  </r>
  <r>
    <m/>
    <m/>
    <x v="1"/>
    <s v="46014571002003"/>
    <n v="-29.21"/>
    <n v="745"/>
    <n v="1"/>
    <n v="1"/>
  </r>
  <r>
    <m/>
    <m/>
    <x v="1"/>
    <s v="46026754003007"/>
    <n v="-35.64"/>
    <n v="909"/>
    <n v="1"/>
    <n v="1"/>
  </r>
  <r>
    <m/>
    <m/>
    <x v="1"/>
    <s v="46042851003005"/>
    <n v="-44.11"/>
    <n v="1125"/>
    <n v="1"/>
    <n v="1"/>
  </r>
  <r>
    <m/>
    <m/>
    <x v="1"/>
    <s v="46074210001001"/>
    <n v="-51.13"/>
    <n v="1304"/>
    <n v="1"/>
    <n v="1"/>
  </r>
  <r>
    <m/>
    <m/>
    <x v="1"/>
    <s v="46120971001001"/>
    <n v="-3.72"/>
    <n v="95"/>
    <n v="1"/>
    <n v="1"/>
  </r>
  <r>
    <m/>
    <m/>
    <x v="1"/>
    <s v="46135041001002"/>
    <n v="-94.1"/>
    <n v="2400"/>
    <n v="1"/>
    <n v="1"/>
  </r>
  <r>
    <m/>
    <m/>
    <x v="1"/>
    <s v="46146381001003"/>
    <n v="-72.62"/>
    <n v="1852"/>
    <n v="1"/>
    <n v="1"/>
  </r>
  <r>
    <m/>
    <m/>
    <x v="1"/>
    <s v="46153451002002"/>
    <n v="-32.31"/>
    <n v="824"/>
    <n v="1"/>
    <n v="1"/>
  </r>
  <r>
    <m/>
    <m/>
    <x v="1"/>
    <s v="46176053001002"/>
    <n v="-62.27"/>
    <n v="1588"/>
    <n v="1"/>
    <n v="1"/>
  </r>
  <r>
    <m/>
    <m/>
    <x v="1"/>
    <s v="46178853001001"/>
    <n v="-0.35"/>
    <n v="9"/>
    <n v="1"/>
    <n v="1"/>
  </r>
  <r>
    <m/>
    <m/>
    <x v="1"/>
    <s v="46246869001009"/>
    <n v="-25.21"/>
    <n v="643"/>
    <n v="1"/>
    <n v="1"/>
  </r>
  <r>
    <m/>
    <m/>
    <x v="1"/>
    <s v="46246971001001"/>
    <n v="-177.5"/>
    <n v="4527"/>
    <n v="1"/>
    <n v="1"/>
  </r>
  <r>
    <m/>
    <m/>
    <x v="1"/>
    <s v="46253481001006"/>
    <n v="-6.55"/>
    <n v="167"/>
    <n v="1"/>
    <n v="1"/>
  </r>
  <r>
    <m/>
    <m/>
    <x v="1"/>
    <s v="46255143001001"/>
    <n v="-8.16"/>
    <n v="208"/>
    <n v="1"/>
    <n v="1"/>
  </r>
  <r>
    <m/>
    <m/>
    <x v="1"/>
    <s v="46279591001002"/>
    <n v="-46.23"/>
    <n v="1179"/>
    <n v="1"/>
    <n v="1"/>
  </r>
  <r>
    <m/>
    <m/>
    <x v="1"/>
    <s v="46289951001001"/>
    <n v="-35.92"/>
    <n v="916"/>
    <n v="1"/>
    <n v="1"/>
  </r>
  <r>
    <m/>
    <m/>
    <x v="1"/>
    <s v="46322361003003"/>
    <n v="-78.34"/>
    <n v="1998"/>
    <n v="1"/>
    <n v="1"/>
  </r>
  <r>
    <m/>
    <m/>
    <x v="1"/>
    <s v="46327821002001"/>
    <n v="-62.23"/>
    <n v="1587"/>
    <n v="1"/>
    <n v="1"/>
  </r>
  <r>
    <m/>
    <m/>
    <x v="1"/>
    <s v="46336781001001"/>
    <n v="-42.93"/>
    <n v="1095"/>
    <n v="1"/>
    <n v="1"/>
  </r>
  <r>
    <m/>
    <m/>
    <x v="1"/>
    <s v="46341891001007"/>
    <n v="-41.6"/>
    <n v="1061"/>
    <n v="1"/>
    <n v="1"/>
  </r>
  <r>
    <m/>
    <m/>
    <x v="1"/>
    <s v="46350221006001"/>
    <n v="-0.24"/>
    <n v="6"/>
    <n v="1"/>
    <n v="1"/>
  </r>
  <r>
    <m/>
    <m/>
    <x v="1"/>
    <s v="46370031001001"/>
    <n v="-96.97"/>
    <n v="2473"/>
    <n v="1"/>
    <n v="1"/>
  </r>
  <r>
    <m/>
    <m/>
    <x v="1"/>
    <s v="46400411001001"/>
    <n v="-8.08"/>
    <n v="206"/>
    <n v="1"/>
    <n v="1"/>
  </r>
  <r>
    <m/>
    <m/>
    <x v="1"/>
    <s v="46421145001001"/>
    <n v="-37.56"/>
    <n v="958"/>
    <n v="1"/>
    <n v="1"/>
  </r>
  <r>
    <m/>
    <m/>
    <x v="1"/>
    <s v="46458791001003"/>
    <n v="-56.15"/>
    <n v="1432"/>
    <n v="1"/>
    <n v="1"/>
  </r>
  <r>
    <m/>
    <m/>
    <x v="1"/>
    <s v="46475241001003"/>
    <n v="-63.6"/>
    <n v="1622"/>
    <n v="1"/>
    <n v="1"/>
  </r>
  <r>
    <m/>
    <m/>
    <x v="1"/>
    <s v="46482661001005"/>
    <n v="-65.760000000000005"/>
    <n v="1677"/>
    <n v="1"/>
    <n v="1"/>
  </r>
  <r>
    <m/>
    <m/>
    <x v="1"/>
    <s v="46488681001003"/>
    <n v="-40.74"/>
    <n v="1039"/>
    <n v="1"/>
    <n v="1"/>
  </r>
  <r>
    <m/>
    <m/>
    <x v="1"/>
    <s v="46504501001001"/>
    <n v="-18.04"/>
    <n v="460"/>
    <n v="1"/>
    <n v="1"/>
  </r>
  <r>
    <m/>
    <m/>
    <x v="1"/>
    <s v="46541956001001"/>
    <n v="-0.39"/>
    <n v="10"/>
    <n v="1"/>
    <n v="1"/>
  </r>
  <r>
    <m/>
    <m/>
    <x v="1"/>
    <s v="46578701001001"/>
    <n v="-6.35"/>
    <n v="162"/>
    <n v="1"/>
    <n v="1"/>
  </r>
  <r>
    <m/>
    <m/>
    <x v="1"/>
    <s v="46581641003003"/>
    <n v="-11.33"/>
    <n v="289"/>
    <n v="1"/>
    <n v="1"/>
  </r>
  <r>
    <m/>
    <m/>
    <x v="1"/>
    <s v="46605651001001"/>
    <n v="-23.02"/>
    <n v="587"/>
    <n v="1"/>
    <n v="1"/>
  </r>
  <r>
    <m/>
    <m/>
    <x v="1"/>
    <s v="46649901001004"/>
    <n v="-17.84"/>
    <n v="455"/>
    <n v="1"/>
    <n v="1"/>
  </r>
  <r>
    <m/>
    <m/>
    <x v="1"/>
    <s v="46748171001002"/>
    <n v="-72.66"/>
    <n v="1853"/>
    <n v="1"/>
    <n v="1"/>
  </r>
  <r>
    <m/>
    <m/>
    <x v="1"/>
    <s v="46752049002013"/>
    <n v="-80.34"/>
    <n v="2049"/>
    <n v="1"/>
    <n v="1"/>
  </r>
  <r>
    <m/>
    <m/>
    <x v="1"/>
    <s v="46763571002001"/>
    <n v="-4.78"/>
    <n v="122"/>
    <n v="1"/>
    <n v="1"/>
  </r>
  <r>
    <m/>
    <m/>
    <x v="1"/>
    <s v="46769241002001"/>
    <n v="-54.31"/>
    <n v="1385"/>
    <n v="1"/>
    <n v="1"/>
  </r>
  <r>
    <m/>
    <m/>
    <x v="1"/>
    <s v="46784991001003"/>
    <n v="-81.28"/>
    <n v="2073"/>
    <n v="1"/>
    <n v="1"/>
  </r>
  <r>
    <m/>
    <m/>
    <x v="1"/>
    <s v="46791361001012"/>
    <n v="-8.51"/>
    <n v="217"/>
    <n v="1"/>
    <n v="1"/>
  </r>
  <r>
    <m/>
    <m/>
    <x v="1"/>
    <s v="46805851001001"/>
    <n v="-30.66"/>
    <n v="782"/>
    <n v="1"/>
    <n v="1"/>
  </r>
  <r>
    <m/>
    <m/>
    <x v="1"/>
    <s v="46824191001001"/>
    <n v="-77.400000000000006"/>
    <n v="1974"/>
    <n v="1"/>
    <n v="1"/>
  </r>
  <r>
    <m/>
    <m/>
    <x v="1"/>
    <s v="46829091001001"/>
    <n v="-28.94"/>
    <n v="738"/>
    <n v="1"/>
    <n v="1"/>
  </r>
  <r>
    <m/>
    <m/>
    <x v="1"/>
    <s v="46831051002001"/>
    <n v="-51.05"/>
    <n v="1302"/>
    <n v="1"/>
    <n v="1"/>
  </r>
  <r>
    <m/>
    <m/>
    <x v="1"/>
    <s v="46858841001004"/>
    <n v="-106.81"/>
    <n v="2724"/>
    <n v="1"/>
    <n v="1"/>
  </r>
  <r>
    <m/>
    <m/>
    <x v="1"/>
    <s v="46867241001005"/>
    <n v="-33.29"/>
    <n v="849"/>
    <n v="1"/>
    <n v="1"/>
  </r>
  <r>
    <m/>
    <m/>
    <x v="1"/>
    <s v="46883740001002"/>
    <n v="-41.48"/>
    <n v="1058"/>
    <n v="1"/>
    <n v="1"/>
  </r>
  <r>
    <m/>
    <m/>
    <x v="1"/>
    <s v="46905092001001"/>
    <n v="-41.8"/>
    <n v="1066"/>
    <n v="1"/>
    <n v="1"/>
  </r>
  <r>
    <m/>
    <m/>
    <x v="1"/>
    <s v="46948371001001"/>
    <n v="-21.88"/>
    <n v="558"/>
    <n v="1"/>
    <n v="1"/>
  </r>
  <r>
    <m/>
    <m/>
    <x v="1"/>
    <s v="46950121002001"/>
    <n v="-14.74"/>
    <n v="376"/>
    <n v="1"/>
    <n v="1"/>
  </r>
  <r>
    <m/>
    <m/>
    <x v="1"/>
    <s v="46962301001002"/>
    <n v="-12.31"/>
    <n v="314"/>
    <n v="1"/>
    <n v="1"/>
  </r>
  <r>
    <m/>
    <m/>
    <x v="1"/>
    <s v="46966151001003"/>
    <n v="-15.64"/>
    <n v="399"/>
    <n v="1"/>
    <n v="1"/>
  </r>
  <r>
    <m/>
    <m/>
    <x v="1"/>
    <s v="47001382001001"/>
    <n v="-111.75"/>
    <n v="2850"/>
    <n v="1"/>
    <n v="1"/>
  </r>
  <r>
    <m/>
    <m/>
    <x v="1"/>
    <s v="47057417001008"/>
    <n v="-28.04"/>
    <n v="715"/>
    <n v="1"/>
    <n v="1"/>
  </r>
  <r>
    <m/>
    <m/>
    <x v="1"/>
    <s v="47139891001002"/>
    <n v="-24.27"/>
    <n v="619"/>
    <n v="1"/>
    <n v="1"/>
  </r>
  <r>
    <m/>
    <m/>
    <x v="1"/>
    <s v="47140101001006"/>
    <n v="-35.49"/>
    <n v="905"/>
    <n v="1"/>
    <n v="1"/>
  </r>
  <r>
    <m/>
    <m/>
    <x v="1"/>
    <s v="47142481001004"/>
    <n v="-15.41"/>
    <n v="393"/>
    <n v="1"/>
    <n v="1"/>
  </r>
  <r>
    <m/>
    <m/>
    <x v="1"/>
    <s v="47161241001003"/>
    <n v="-37.880000000000003"/>
    <n v="966"/>
    <n v="1"/>
    <n v="1"/>
  </r>
  <r>
    <m/>
    <m/>
    <x v="1"/>
    <s v="47180631003001"/>
    <n v="-32.19"/>
    <n v="821"/>
    <n v="1"/>
    <n v="1"/>
  </r>
  <r>
    <m/>
    <m/>
    <x v="1"/>
    <s v="47194351001001"/>
    <n v="-34.19"/>
    <n v="872"/>
    <n v="1"/>
    <n v="1"/>
  </r>
  <r>
    <m/>
    <m/>
    <x v="1"/>
    <s v="47198691002001"/>
    <n v="-72.849999999999994"/>
    <n v="1858"/>
    <n v="1"/>
    <n v="1"/>
  </r>
  <r>
    <m/>
    <m/>
    <x v="1"/>
    <s v="47205271001007"/>
    <n v="-26"/>
    <n v="663"/>
    <n v="1"/>
    <n v="1"/>
  </r>
  <r>
    <m/>
    <m/>
    <x v="1"/>
    <s v="47228301003001"/>
    <n v="-37.130000000000003"/>
    <n v="947"/>
    <n v="1"/>
    <n v="1"/>
  </r>
  <r>
    <m/>
    <m/>
    <x v="1"/>
    <s v="47231801001002"/>
    <n v="-27.96"/>
    <n v="713"/>
    <n v="1"/>
    <n v="1"/>
  </r>
  <r>
    <m/>
    <m/>
    <x v="1"/>
    <s v="47237681002003"/>
    <n v="-112.18"/>
    <n v="2861"/>
    <n v="1"/>
    <n v="1"/>
  </r>
  <r>
    <m/>
    <m/>
    <x v="1"/>
    <s v="47327071005001"/>
    <n v="-36.07"/>
    <n v="920"/>
    <n v="1"/>
    <n v="1"/>
  </r>
  <r>
    <m/>
    <m/>
    <x v="1"/>
    <s v="47328821001007"/>
    <n v="-58.5"/>
    <n v="1492"/>
    <n v="1"/>
    <n v="1"/>
  </r>
  <r>
    <m/>
    <m/>
    <x v="1"/>
    <s v="47345831001004"/>
    <n v="-28.7"/>
    <n v="732"/>
    <n v="1"/>
    <n v="1"/>
  </r>
  <r>
    <m/>
    <m/>
    <x v="1"/>
    <s v="47354441001003"/>
    <n v="-83.63"/>
    <n v="2133"/>
    <n v="1"/>
    <n v="1"/>
  </r>
  <r>
    <m/>
    <m/>
    <x v="1"/>
    <s v="47354861004001"/>
    <n v="-14.43"/>
    <n v="368"/>
    <n v="1"/>
    <n v="1"/>
  </r>
  <r>
    <m/>
    <m/>
    <x v="1"/>
    <s v="47356829001002"/>
    <n v="-7.88"/>
    <n v="201"/>
    <n v="1"/>
    <n v="1"/>
  </r>
  <r>
    <m/>
    <m/>
    <x v="1"/>
    <s v="47363051001001"/>
    <n v="-39.450000000000003"/>
    <n v="1006"/>
    <n v="1"/>
    <n v="1"/>
  </r>
  <r>
    <m/>
    <m/>
    <x v="1"/>
    <s v="47376841002006"/>
    <n v="-22.86"/>
    <n v="583"/>
    <n v="1"/>
    <n v="1"/>
  </r>
  <r>
    <m/>
    <m/>
    <x v="1"/>
    <s v="47382371002004"/>
    <n v="-2.39"/>
    <n v="61"/>
    <n v="1"/>
    <n v="1"/>
  </r>
  <r>
    <m/>
    <m/>
    <x v="1"/>
    <s v="47414851004001"/>
    <n v="-51.87"/>
    <n v="1323"/>
    <n v="1"/>
    <n v="1"/>
  </r>
  <r>
    <m/>
    <m/>
    <x v="1"/>
    <s v="47445167002001"/>
    <n v="-28"/>
    <n v="714"/>
    <n v="1"/>
    <n v="1"/>
  </r>
  <r>
    <m/>
    <m/>
    <x v="1"/>
    <s v="47456402001001"/>
    <n v="-19.25"/>
    <n v="491"/>
    <n v="1"/>
    <n v="1"/>
  </r>
  <r>
    <m/>
    <m/>
    <x v="1"/>
    <s v="47467911001002"/>
    <n v="-15.14"/>
    <n v="386"/>
    <n v="1"/>
    <n v="1"/>
  </r>
  <r>
    <m/>
    <m/>
    <x v="1"/>
    <s v="47541901001001"/>
    <n v="-47.72"/>
    <n v="1217"/>
    <n v="1"/>
    <n v="1"/>
  </r>
  <r>
    <m/>
    <m/>
    <x v="1"/>
    <s v="47552611001001"/>
    <n v="-92.46"/>
    <n v="2358"/>
    <n v="1"/>
    <n v="1"/>
  </r>
  <r>
    <m/>
    <m/>
    <x v="1"/>
    <s v="47555411002001"/>
    <n v="-54.11"/>
    <n v="1380"/>
    <n v="1"/>
    <n v="1"/>
  </r>
  <r>
    <m/>
    <m/>
    <x v="1"/>
    <s v="47585534001003"/>
    <n v="-23.49"/>
    <n v="599"/>
    <n v="1"/>
    <n v="1"/>
  </r>
  <r>
    <m/>
    <m/>
    <x v="1"/>
    <s v="47596151001005"/>
    <n v="-22.58"/>
    <n v="576"/>
    <n v="1"/>
    <n v="1"/>
  </r>
  <r>
    <m/>
    <m/>
    <x v="1"/>
    <s v="47605461003004"/>
    <n v="-73.239999999999995"/>
    <n v="1868"/>
    <n v="1"/>
    <n v="1"/>
  </r>
  <r>
    <m/>
    <m/>
    <x v="1"/>
    <s v="47670141001007"/>
    <n v="-12.19"/>
    <n v="311"/>
    <n v="1"/>
    <n v="1"/>
  </r>
  <r>
    <m/>
    <m/>
    <x v="1"/>
    <s v="47674271002001"/>
    <n v="-33.880000000000003"/>
    <n v="864"/>
    <n v="1"/>
    <n v="1"/>
  </r>
  <r>
    <m/>
    <m/>
    <x v="1"/>
    <s v="47741191001001"/>
    <n v="-0.16"/>
    <n v="4"/>
    <n v="1"/>
    <n v="1"/>
  </r>
  <r>
    <m/>
    <m/>
    <x v="1"/>
    <s v="47760721004001"/>
    <n v="-27.8"/>
    <n v="709"/>
    <n v="1"/>
    <n v="1"/>
  </r>
  <r>
    <m/>
    <m/>
    <x v="1"/>
    <s v="47767651001002"/>
    <n v="-18.86"/>
    <n v="481"/>
    <n v="1"/>
    <n v="1"/>
  </r>
  <r>
    <m/>
    <m/>
    <x v="1"/>
    <s v="47770451001002"/>
    <n v="-29.13"/>
    <n v="743"/>
    <n v="1"/>
    <n v="1"/>
  </r>
  <r>
    <m/>
    <m/>
    <x v="1"/>
    <s v="47821341001001"/>
    <n v="-28.23"/>
    <n v="720"/>
    <n v="1"/>
    <n v="1"/>
  </r>
  <r>
    <m/>
    <m/>
    <x v="1"/>
    <s v="47822951004003"/>
    <n v="-8.43"/>
    <n v="215"/>
    <n v="1"/>
    <n v="1"/>
  </r>
  <r>
    <m/>
    <m/>
    <x v="1"/>
    <s v="47837581001001"/>
    <n v="-24.74"/>
    <n v="631"/>
    <n v="1"/>
    <n v="1"/>
  </r>
  <r>
    <m/>
    <m/>
    <x v="1"/>
    <s v="47852771008001"/>
    <n v="-29.33"/>
    <n v="748"/>
    <n v="1"/>
    <n v="1"/>
  </r>
  <r>
    <m/>
    <m/>
    <x v="1"/>
    <s v="47854171001002"/>
    <n v="-69.13"/>
    <n v="1763"/>
    <n v="1"/>
    <n v="1"/>
  </r>
  <r>
    <m/>
    <m/>
    <x v="1"/>
    <s v="47876291003003"/>
    <n v="-36.5"/>
    <n v="931"/>
    <n v="1"/>
    <n v="1"/>
  </r>
  <r>
    <m/>
    <m/>
    <x v="1"/>
    <s v="47907161002002"/>
    <n v="-43.25"/>
    <n v="1103"/>
    <n v="1"/>
    <n v="1"/>
  </r>
  <r>
    <m/>
    <m/>
    <x v="1"/>
    <s v="47909401001001"/>
    <n v="-8.98"/>
    <n v="229"/>
    <n v="1"/>
    <n v="1"/>
  </r>
  <r>
    <m/>
    <m/>
    <x v="1"/>
    <s v="47912897001001"/>
    <n v="-15.72"/>
    <n v="401"/>
    <n v="1"/>
    <n v="1"/>
  </r>
  <r>
    <m/>
    <m/>
    <x v="1"/>
    <s v="47943771006001"/>
    <n v="-72.069999999999993"/>
    <n v="1838"/>
    <n v="1"/>
    <n v="1"/>
  </r>
  <r>
    <m/>
    <m/>
    <x v="1"/>
    <s v="47943981001003"/>
    <n v="-40.03"/>
    <n v="1021"/>
    <n v="1"/>
    <n v="1"/>
  </r>
  <r>
    <m/>
    <m/>
    <x v="1"/>
    <s v="47971841001005"/>
    <n v="-35.33"/>
    <n v="901"/>
    <n v="1"/>
    <n v="1"/>
  </r>
  <r>
    <m/>
    <m/>
    <x v="1"/>
    <s v="48036521001001"/>
    <n v="-45.25"/>
    <n v="1154"/>
    <n v="1"/>
    <n v="1"/>
  </r>
  <r>
    <m/>
    <m/>
    <x v="1"/>
    <s v="48037781003001"/>
    <n v="-48.82"/>
    <n v="1245"/>
    <n v="1"/>
    <n v="1"/>
  </r>
  <r>
    <m/>
    <m/>
    <x v="1"/>
    <s v="48048211001001"/>
    <n v="-41.37"/>
    <n v="1055"/>
    <n v="1"/>
    <n v="1"/>
  </r>
  <r>
    <m/>
    <m/>
    <x v="1"/>
    <s v="48058431001001"/>
    <n v="-64.849999999999994"/>
    <n v="1654"/>
    <n v="1"/>
    <n v="1"/>
  </r>
  <r>
    <m/>
    <m/>
    <x v="1"/>
    <s v="48078640001004"/>
    <n v="-38.74"/>
    <n v="988"/>
    <n v="1"/>
    <n v="1"/>
  </r>
  <r>
    <m/>
    <m/>
    <x v="1"/>
    <s v="48115691001003"/>
    <n v="-16.55"/>
    <n v="422"/>
    <n v="1"/>
    <n v="1"/>
  </r>
  <r>
    <m/>
    <m/>
    <x v="1"/>
    <s v="48121641002006"/>
    <n v="-51.91"/>
    <n v="1324"/>
    <n v="1"/>
    <n v="1"/>
  </r>
  <r>
    <m/>
    <m/>
    <x v="1"/>
    <s v="48124752001001"/>
    <n v="-44.31"/>
    <n v="1130"/>
    <n v="1"/>
    <n v="1"/>
  </r>
  <r>
    <m/>
    <m/>
    <x v="1"/>
    <s v="48168055001001"/>
    <n v="-62.62"/>
    <n v="1597"/>
    <n v="1"/>
    <n v="1"/>
  </r>
  <r>
    <m/>
    <m/>
    <x v="1"/>
    <s v="48182681001001"/>
    <n v="-23.53"/>
    <n v="600"/>
    <n v="1"/>
    <n v="1"/>
  </r>
  <r>
    <m/>
    <m/>
    <x v="1"/>
    <s v="48194791003001"/>
    <n v="-54.62"/>
    <n v="1393"/>
    <n v="1"/>
    <n v="1"/>
  </r>
  <r>
    <m/>
    <m/>
    <x v="1"/>
    <s v="48219833001001"/>
    <n v="-74.38"/>
    <n v="1897"/>
    <n v="1"/>
    <n v="1"/>
  </r>
  <r>
    <m/>
    <m/>
    <x v="1"/>
    <s v="48221391002003"/>
    <n v="-37.049999999999997"/>
    <n v="945"/>
    <n v="1"/>
    <n v="1"/>
  </r>
  <r>
    <m/>
    <m/>
    <x v="1"/>
    <s v="48278021001002"/>
    <n v="-11.76"/>
    <n v="300"/>
    <n v="1"/>
    <n v="1"/>
  </r>
  <r>
    <m/>
    <m/>
    <x v="1"/>
    <s v="48368531001006"/>
    <n v="-45.17"/>
    <n v="1152"/>
    <n v="1"/>
    <n v="1"/>
  </r>
  <r>
    <m/>
    <m/>
    <x v="1"/>
    <s v="48398584006001"/>
    <n v="-42.62"/>
    <n v="1087"/>
    <n v="1"/>
    <n v="1"/>
  </r>
  <r>
    <m/>
    <m/>
    <x v="1"/>
    <s v="48401751001001"/>
    <n v="-30.31"/>
    <n v="773"/>
    <n v="1"/>
    <n v="1"/>
  </r>
  <r>
    <m/>
    <m/>
    <x v="1"/>
    <s v="48438811004001"/>
    <n v="-41.88"/>
    <n v="1068"/>
    <n v="1"/>
    <n v="1"/>
  </r>
  <r>
    <m/>
    <m/>
    <x v="1"/>
    <s v="48455961001001"/>
    <n v="-4.08"/>
    <n v="104"/>
    <n v="1"/>
    <n v="1"/>
  </r>
  <r>
    <m/>
    <m/>
    <x v="1"/>
    <s v="48551861002001"/>
    <n v="-5.49"/>
    <n v="140"/>
    <n v="1"/>
    <n v="1"/>
  </r>
  <r>
    <m/>
    <m/>
    <x v="1"/>
    <s v="48581489001001"/>
    <n v="-68.19"/>
    <n v="1739"/>
    <n v="1"/>
    <n v="1"/>
  </r>
  <r>
    <m/>
    <m/>
    <x v="1"/>
    <s v="48629818001001"/>
    <n v="-39.01"/>
    <n v="995"/>
    <n v="1"/>
    <n v="1"/>
  </r>
  <r>
    <m/>
    <m/>
    <x v="1"/>
    <s v="48660341001001"/>
    <n v="-8.0399999999999991"/>
    <n v="205"/>
    <n v="1"/>
    <n v="1"/>
  </r>
  <r>
    <m/>
    <m/>
    <x v="1"/>
    <s v="48684021001001"/>
    <n v="-84.69"/>
    <n v="2160"/>
    <n v="1"/>
    <n v="1"/>
  </r>
  <r>
    <m/>
    <m/>
    <x v="1"/>
    <s v="48752136001002"/>
    <n v="-10.7"/>
    <n v="273"/>
    <n v="1"/>
    <n v="1"/>
  </r>
  <r>
    <m/>
    <m/>
    <x v="1"/>
    <s v="48762278001001"/>
    <n v="-38.15"/>
    <n v="973"/>
    <n v="1"/>
    <n v="1"/>
  </r>
  <r>
    <m/>
    <m/>
    <x v="1"/>
    <s v="48798498001001"/>
    <n v="-35.799999999999997"/>
    <n v="913"/>
    <n v="1"/>
    <n v="1"/>
  </r>
  <r>
    <m/>
    <m/>
    <x v="1"/>
    <s v="48804422001006"/>
    <n v="-17.84"/>
    <n v="455"/>
    <n v="1"/>
    <n v="1"/>
  </r>
  <r>
    <m/>
    <m/>
    <x v="1"/>
    <s v="48813381002001"/>
    <n v="-47.52"/>
    <n v="1212"/>
    <n v="1"/>
    <n v="1"/>
  </r>
  <r>
    <m/>
    <m/>
    <x v="1"/>
    <s v="48826277001001"/>
    <n v="-65.36"/>
    <n v="1667"/>
    <n v="1"/>
    <n v="1"/>
  </r>
  <r>
    <m/>
    <m/>
    <x v="1"/>
    <s v="48834171001003"/>
    <n v="-39.01"/>
    <n v="995"/>
    <n v="1"/>
    <n v="1"/>
  </r>
  <r>
    <m/>
    <m/>
    <x v="1"/>
    <s v="48845721001001"/>
    <n v="-35.99"/>
    <n v="918"/>
    <n v="1"/>
    <n v="1"/>
  </r>
  <r>
    <m/>
    <m/>
    <x v="1"/>
    <s v="49166301001001"/>
    <n v="-27.49"/>
    <n v="701"/>
    <n v="1"/>
    <n v="1"/>
  </r>
  <r>
    <m/>
    <m/>
    <x v="1"/>
    <s v="49177241002001"/>
    <n v="-75.09"/>
    <n v="1915"/>
    <n v="1"/>
    <n v="1"/>
  </r>
  <r>
    <m/>
    <m/>
    <x v="1"/>
    <s v="49180461001001"/>
    <n v="-21.64"/>
    <n v="552"/>
    <n v="1"/>
    <n v="1"/>
  </r>
  <r>
    <m/>
    <m/>
    <x v="1"/>
    <s v="49187126001001"/>
    <n v="-75.28"/>
    <n v="1920"/>
    <n v="1"/>
    <n v="1"/>
  </r>
  <r>
    <m/>
    <m/>
    <x v="1"/>
    <s v="49267961004003"/>
    <n v="-16.899999999999999"/>
    <n v="431"/>
    <n v="1"/>
    <n v="1"/>
  </r>
  <r>
    <m/>
    <m/>
    <x v="1"/>
    <s v="49276322001004"/>
    <n v="-102.65"/>
    <n v="2618"/>
    <n v="1"/>
    <n v="1"/>
  </r>
  <r>
    <m/>
    <m/>
    <x v="1"/>
    <s v="49298970001001"/>
    <n v="-26.19"/>
    <n v="668"/>
    <n v="1"/>
    <n v="1"/>
  </r>
  <r>
    <m/>
    <m/>
    <x v="1"/>
    <s v="49315865001001"/>
    <n v="-23.41"/>
    <n v="597"/>
    <n v="1"/>
    <n v="1"/>
  </r>
  <r>
    <m/>
    <m/>
    <x v="1"/>
    <s v="49326370001005"/>
    <n v="-74.89"/>
    <n v="1910"/>
    <n v="1"/>
    <n v="1"/>
  </r>
  <r>
    <m/>
    <m/>
    <x v="1"/>
    <s v="49371491001002"/>
    <n v="-80.180000000000007"/>
    <n v="2045"/>
    <n v="1"/>
    <n v="1"/>
  </r>
  <r>
    <m/>
    <m/>
    <x v="1"/>
    <s v="49448561001001"/>
    <n v="-91.08"/>
    <n v="2323"/>
    <n v="1"/>
    <n v="1"/>
  </r>
  <r>
    <m/>
    <m/>
    <x v="1"/>
    <s v="49554261003001"/>
    <n v="-43.88"/>
    <n v="1119"/>
    <n v="1"/>
    <n v="1"/>
  </r>
  <r>
    <m/>
    <m/>
    <x v="1"/>
    <s v="49570081001002"/>
    <n v="-17.37"/>
    <n v="443"/>
    <n v="1"/>
    <n v="1"/>
  </r>
  <r>
    <m/>
    <m/>
    <x v="1"/>
    <s v="49580441001001"/>
    <n v="-26"/>
    <n v="663"/>
    <n v="1"/>
    <n v="1"/>
  </r>
  <r>
    <m/>
    <m/>
    <x v="1"/>
    <s v="49581631001005"/>
    <n v="-38.97"/>
    <n v="994"/>
    <n v="1"/>
    <n v="1"/>
  </r>
  <r>
    <m/>
    <m/>
    <x v="1"/>
    <s v="49591431001003"/>
    <n v="-15.72"/>
    <n v="401"/>
    <n v="1"/>
    <n v="1"/>
  </r>
  <r>
    <m/>
    <m/>
    <x v="1"/>
    <s v="49600181003002"/>
    <n v="-45.88"/>
    <n v="1170"/>
    <n v="1"/>
    <n v="1"/>
  </r>
  <r>
    <m/>
    <m/>
    <x v="1"/>
    <s v="49602561001001"/>
    <n v="-28.82"/>
    <n v="735"/>
    <n v="1"/>
    <n v="1"/>
  </r>
  <r>
    <m/>
    <m/>
    <x v="1"/>
    <s v="49608231003009"/>
    <n v="-76.42"/>
    <n v="1949"/>
    <n v="1"/>
    <n v="1"/>
  </r>
  <r>
    <m/>
    <m/>
    <x v="1"/>
    <s v="49649391002003"/>
    <n v="-51.44"/>
    <n v="1312"/>
    <n v="1"/>
    <n v="1"/>
  </r>
  <r>
    <m/>
    <m/>
    <x v="1"/>
    <s v="49693491002008"/>
    <n v="-28.04"/>
    <n v="715"/>
    <n v="1"/>
    <n v="1"/>
  </r>
  <r>
    <m/>
    <m/>
    <x v="1"/>
    <s v="49702654001002"/>
    <n v="-7.29"/>
    <n v="186"/>
    <n v="1"/>
    <n v="1"/>
  </r>
  <r>
    <m/>
    <m/>
    <x v="1"/>
    <s v="49716043001002"/>
    <n v="-16.04"/>
    <n v="409"/>
    <n v="1"/>
    <n v="1"/>
  </r>
  <r>
    <m/>
    <m/>
    <x v="1"/>
    <s v="49717151001001"/>
    <n v="-42.97"/>
    <n v="1096"/>
    <n v="1"/>
    <n v="1"/>
  </r>
  <r>
    <m/>
    <m/>
    <x v="1"/>
    <s v="49735399001001"/>
    <n v="-32.9"/>
    <n v="839"/>
    <n v="1"/>
    <n v="1"/>
  </r>
  <r>
    <m/>
    <m/>
    <x v="1"/>
    <s v="49761531001001"/>
    <n v="-51.33"/>
    <n v="1309"/>
    <n v="1"/>
    <n v="1"/>
  </r>
  <r>
    <m/>
    <m/>
    <x v="1"/>
    <s v="49774436001006"/>
    <n v="-17.760000000000002"/>
    <n v="453"/>
    <n v="1"/>
    <n v="1"/>
  </r>
  <r>
    <m/>
    <m/>
    <x v="1"/>
    <s v="49809621001004"/>
    <n v="-10.51"/>
    <n v="268"/>
    <n v="1"/>
    <n v="1"/>
  </r>
  <r>
    <m/>
    <m/>
    <x v="1"/>
    <s v="49828031002004"/>
    <n v="-68.930000000000007"/>
    <n v="1758"/>
    <n v="1"/>
    <n v="1"/>
  </r>
  <r>
    <m/>
    <m/>
    <x v="1"/>
    <s v="49841331001004"/>
    <n v="-29.45"/>
    <n v="751"/>
    <n v="1"/>
    <n v="1"/>
  </r>
  <r>
    <m/>
    <m/>
    <x v="1"/>
    <s v="49866391001002"/>
    <n v="-8.74"/>
    <n v="223"/>
    <n v="1"/>
    <n v="1"/>
  </r>
  <r>
    <m/>
    <m/>
    <x v="1"/>
    <s v="49896911001001"/>
    <n v="-2.39"/>
    <n v="61"/>
    <n v="1"/>
    <n v="1"/>
  </r>
  <r>
    <m/>
    <m/>
    <x v="1"/>
    <s v="49916861001001"/>
    <n v="-30.82"/>
    <n v="786"/>
    <n v="1"/>
    <n v="1"/>
  </r>
  <r>
    <m/>
    <m/>
    <x v="1"/>
    <s v="49929881001003"/>
    <n v="-59.68"/>
    <n v="1522"/>
    <n v="1"/>
    <n v="1"/>
  </r>
  <r>
    <m/>
    <m/>
    <x v="1"/>
    <s v="49949341001003"/>
    <n v="-2.78"/>
    <n v="71"/>
    <n v="1"/>
    <n v="1"/>
  </r>
  <r>
    <m/>
    <m/>
    <x v="1"/>
    <s v="49950321001002"/>
    <n v="-8.1199999999999992"/>
    <n v="207"/>
    <n v="1"/>
    <n v="1"/>
  </r>
  <r>
    <m/>
    <m/>
    <x v="1"/>
    <s v="49950881001002"/>
    <n v="-5.0199999999999996"/>
    <n v="128"/>
    <n v="1"/>
    <n v="1"/>
  </r>
  <r>
    <m/>
    <m/>
    <x v="1"/>
    <s v="49951931001004"/>
    <n v="-15.41"/>
    <n v="393"/>
    <n v="1"/>
    <n v="1"/>
  </r>
  <r>
    <m/>
    <m/>
    <x v="1"/>
    <s v="49965791001003"/>
    <n v="-13.92"/>
    <n v="355"/>
    <n v="1"/>
    <n v="1"/>
  </r>
  <r>
    <m/>
    <m/>
    <x v="1"/>
    <s v="50011086001001"/>
    <n v="-15.53"/>
    <n v="396"/>
    <n v="1"/>
    <n v="1"/>
  </r>
  <r>
    <m/>
    <m/>
    <x v="1"/>
    <s v="50032081001001"/>
    <n v="-26.15"/>
    <n v="667"/>
    <n v="1"/>
    <n v="1"/>
  </r>
  <r>
    <m/>
    <m/>
    <x v="1"/>
    <s v="50043981001003"/>
    <n v="-45.56"/>
    <n v="1162"/>
    <n v="1"/>
    <n v="1"/>
  </r>
  <r>
    <m/>
    <m/>
    <x v="1"/>
    <s v="50069630001004"/>
    <n v="-24.9"/>
    <n v="635"/>
    <n v="1"/>
    <n v="1"/>
  </r>
  <r>
    <m/>
    <m/>
    <x v="1"/>
    <s v="50071631001001"/>
    <n v="-38.659999999999997"/>
    <n v="986"/>
    <n v="1"/>
    <n v="1"/>
  </r>
  <r>
    <m/>
    <m/>
    <x v="1"/>
    <s v="50095781001001"/>
    <n v="-36.39"/>
    <n v="928"/>
    <n v="1"/>
    <n v="1"/>
  </r>
  <r>
    <m/>
    <m/>
    <x v="1"/>
    <s v="50097303001004"/>
    <n v="-23.84"/>
    <n v="608"/>
    <n v="1"/>
    <n v="1"/>
  </r>
  <r>
    <m/>
    <m/>
    <x v="1"/>
    <s v="50180049001004"/>
    <n v="-87.28"/>
    <n v="2226"/>
    <n v="1"/>
    <n v="1"/>
  </r>
  <r>
    <m/>
    <m/>
    <x v="1"/>
    <s v="50181601002005"/>
    <n v="-18.149999999999999"/>
    <n v="463"/>
    <n v="1"/>
    <n v="1"/>
  </r>
  <r>
    <m/>
    <m/>
    <x v="1"/>
    <s v="50198191001001"/>
    <n v="-77.83"/>
    <n v="1985"/>
    <n v="1"/>
    <n v="1"/>
  </r>
  <r>
    <m/>
    <m/>
    <x v="1"/>
    <s v="50249641001001"/>
    <n v="-77.239999999999995"/>
    <n v="1970"/>
    <n v="1"/>
    <n v="1"/>
  </r>
  <r>
    <m/>
    <m/>
    <x v="1"/>
    <s v="50254821001001"/>
    <n v="-80.42"/>
    <n v="2051"/>
    <n v="1"/>
    <n v="1"/>
  </r>
  <r>
    <m/>
    <m/>
    <x v="1"/>
    <s v="50305221001001"/>
    <n v="-58.82"/>
    <n v="1500"/>
    <n v="1"/>
    <n v="1"/>
  </r>
  <r>
    <m/>
    <m/>
    <x v="1"/>
    <s v="50306876001004"/>
    <n v="-36.619999999999997"/>
    <n v="934"/>
    <n v="1"/>
    <n v="1"/>
  </r>
  <r>
    <m/>
    <m/>
    <x v="1"/>
    <s v="50314391002005"/>
    <n v="-64.97"/>
    <n v="1657"/>
    <n v="1"/>
    <n v="1"/>
  </r>
  <r>
    <m/>
    <m/>
    <x v="1"/>
    <s v="50412391001001"/>
    <n v="-6.9"/>
    <n v="176"/>
    <n v="1"/>
    <n v="1"/>
  </r>
  <r>
    <m/>
    <m/>
    <x v="1"/>
    <s v="50425271002004"/>
    <n v="-16.86"/>
    <n v="430"/>
    <n v="1"/>
    <n v="1"/>
  </r>
  <r>
    <m/>
    <m/>
    <x v="1"/>
    <s v="50695261001002"/>
    <n v="-4.2"/>
    <n v="107"/>
    <n v="1"/>
    <n v="1"/>
  </r>
  <r>
    <m/>
    <m/>
    <x v="1"/>
    <s v="50715495001001"/>
    <n v="-7.41"/>
    <n v="189"/>
    <n v="1"/>
    <n v="1"/>
  </r>
  <r>
    <m/>
    <m/>
    <x v="1"/>
    <s v="50718011001001"/>
    <n v="-106.77"/>
    <n v="2723"/>
    <n v="1"/>
    <n v="1"/>
  </r>
  <r>
    <m/>
    <m/>
    <x v="1"/>
    <s v="50725151001007"/>
    <n v="-30.9"/>
    <n v="788"/>
    <n v="1"/>
    <n v="1"/>
  </r>
  <r>
    <m/>
    <m/>
    <x v="1"/>
    <s v="50740761001001"/>
    <n v="-59.52"/>
    <n v="1518"/>
    <n v="1"/>
    <n v="1"/>
  </r>
  <r>
    <m/>
    <m/>
    <x v="1"/>
    <s v="50756231001002"/>
    <n v="-14.7"/>
    <n v="375"/>
    <n v="1"/>
    <n v="1"/>
  </r>
  <r>
    <m/>
    <m/>
    <x v="1"/>
    <s v="50757911001003"/>
    <n v="-69.95"/>
    <n v="1784"/>
    <n v="1"/>
    <n v="1"/>
  </r>
  <r>
    <m/>
    <m/>
    <x v="1"/>
    <s v="50768201001001"/>
    <n v="-10.31"/>
    <n v="263"/>
    <n v="1"/>
    <n v="1"/>
  </r>
  <r>
    <m/>
    <m/>
    <x v="1"/>
    <s v="50782131001001"/>
    <n v="-7.53"/>
    <n v="192"/>
    <n v="1"/>
    <n v="1"/>
  </r>
  <r>
    <m/>
    <m/>
    <x v="1"/>
    <s v="50787241001001"/>
    <n v="-21.21"/>
    <n v="541"/>
    <n v="1"/>
    <n v="1"/>
  </r>
  <r>
    <m/>
    <m/>
    <x v="1"/>
    <s v="50808591001001"/>
    <n v="-63.68"/>
    <n v="1624"/>
    <n v="1"/>
    <n v="1"/>
  </r>
  <r>
    <m/>
    <m/>
    <x v="1"/>
    <s v="50809571001001"/>
    <n v="-40.9"/>
    <n v="1043"/>
    <n v="1"/>
    <n v="1"/>
  </r>
  <r>
    <m/>
    <m/>
    <x v="1"/>
    <s v="50823431001001"/>
    <n v="-28.19"/>
    <n v="719"/>
    <n v="1"/>
    <n v="1"/>
  </r>
  <r>
    <m/>
    <m/>
    <x v="1"/>
    <s v="50830571001002"/>
    <n v="-23.88"/>
    <n v="609"/>
    <n v="1"/>
    <n v="1"/>
  </r>
  <r>
    <m/>
    <m/>
    <x v="1"/>
    <s v="50831971001002"/>
    <n v="-16.43"/>
    <n v="419"/>
    <n v="1"/>
    <n v="1"/>
  </r>
  <r>
    <m/>
    <m/>
    <x v="1"/>
    <s v="50849401001002"/>
    <n v="-55.99"/>
    <n v="1428"/>
    <n v="1"/>
    <n v="1"/>
  </r>
  <r>
    <m/>
    <m/>
    <x v="1"/>
    <s v="50858361001001"/>
    <n v="-52.78"/>
    <n v="1346"/>
    <n v="1"/>
    <n v="1"/>
  </r>
  <r>
    <m/>
    <m/>
    <x v="1"/>
    <s v="50863261005003"/>
    <n v="-3.8"/>
    <n v="97"/>
    <n v="1"/>
    <n v="1"/>
  </r>
  <r>
    <m/>
    <m/>
    <x v="1"/>
    <s v="50870401001001"/>
    <n v="-8.74"/>
    <n v="223"/>
    <n v="1"/>
    <n v="1"/>
  </r>
  <r>
    <m/>
    <m/>
    <x v="1"/>
    <s v="50898883001003"/>
    <n v="-25.68"/>
    <n v="655"/>
    <n v="1"/>
    <n v="1"/>
  </r>
  <r>
    <m/>
    <m/>
    <x v="1"/>
    <s v="50918728001001"/>
    <n v="-17.21"/>
    <n v="439"/>
    <n v="1"/>
    <n v="1"/>
  </r>
  <r>
    <m/>
    <m/>
    <x v="1"/>
    <s v="50919121001001"/>
    <n v="-57.83"/>
    <n v="1475"/>
    <n v="1"/>
    <n v="1"/>
  </r>
  <r>
    <m/>
    <m/>
    <x v="1"/>
    <s v="50919821001002"/>
    <n v="-52.54"/>
    <n v="1340"/>
    <n v="1"/>
    <n v="1"/>
  </r>
  <r>
    <m/>
    <m/>
    <x v="1"/>
    <s v="50988281001004"/>
    <n v="-1.45"/>
    <n v="37"/>
    <n v="1"/>
    <n v="1"/>
  </r>
  <r>
    <m/>
    <m/>
    <x v="1"/>
    <s v="50997031001001"/>
    <n v="-0.82"/>
    <n v="21"/>
    <n v="1"/>
    <n v="1"/>
  </r>
  <r>
    <m/>
    <m/>
    <x v="1"/>
    <s v="51005151001001"/>
    <n v="-8.5500000000000007"/>
    <n v="218"/>
    <n v="1"/>
    <n v="1"/>
  </r>
  <r>
    <m/>
    <m/>
    <x v="1"/>
    <s v="51006481001002"/>
    <n v="-2.5499999999999998"/>
    <n v="65"/>
    <n v="1"/>
    <n v="1"/>
  </r>
  <r>
    <m/>
    <m/>
    <x v="1"/>
    <s v="51009071001001"/>
    <n v="-41.76"/>
    <n v="1065"/>
    <n v="1"/>
    <n v="1"/>
  </r>
  <r>
    <m/>
    <m/>
    <x v="1"/>
    <s v="51009701002001"/>
    <n v="-86.58"/>
    <n v="2208"/>
    <n v="1"/>
    <n v="1"/>
  </r>
  <r>
    <m/>
    <m/>
    <x v="1"/>
    <s v="51010891001001"/>
    <n v="-22.15"/>
    <n v="565"/>
    <n v="1"/>
    <n v="1"/>
  </r>
  <r>
    <m/>
    <m/>
    <x v="1"/>
    <s v="51011661001002"/>
    <n v="-18.62"/>
    <n v="475"/>
    <n v="1"/>
    <n v="1"/>
  </r>
  <r>
    <m/>
    <m/>
    <x v="1"/>
    <s v="51027411002001"/>
    <n v="-1.84"/>
    <n v="47"/>
    <n v="1"/>
    <n v="1"/>
  </r>
  <r>
    <m/>
    <m/>
    <x v="1"/>
    <s v="51036671001001"/>
    <n v="-18.66"/>
    <n v="476"/>
    <n v="1"/>
    <n v="1"/>
  </r>
  <r>
    <m/>
    <m/>
    <x v="1"/>
    <s v="51040151001001"/>
    <n v="-24.19"/>
    <n v="617"/>
    <n v="1"/>
    <n v="1"/>
  </r>
  <r>
    <m/>
    <m/>
    <x v="1"/>
    <s v="51048061001001"/>
    <n v="-0.35"/>
    <n v="9"/>
    <n v="1"/>
    <n v="1"/>
  </r>
  <r>
    <m/>
    <m/>
    <x v="1"/>
    <s v="51057441001003"/>
    <n v="-70.7"/>
    <n v="1803"/>
    <n v="1"/>
    <n v="1"/>
  </r>
  <r>
    <m/>
    <m/>
    <x v="1"/>
    <s v="51060731009001"/>
    <n v="-43.48"/>
    <n v="1109"/>
    <n v="1"/>
    <n v="1"/>
  </r>
  <r>
    <m/>
    <m/>
    <x v="1"/>
    <s v="51073821001002"/>
    <n v="-4.2"/>
    <n v="107"/>
    <n v="1"/>
    <n v="1"/>
  </r>
  <r>
    <m/>
    <m/>
    <x v="1"/>
    <s v="51082221002003"/>
    <n v="-37.479999999999997"/>
    <n v="956"/>
    <n v="1"/>
    <n v="1"/>
  </r>
  <r>
    <m/>
    <m/>
    <x v="1"/>
    <s v="51084811002002"/>
    <n v="-51.8"/>
    <n v="1321"/>
    <n v="1"/>
    <n v="1"/>
  </r>
  <r>
    <m/>
    <m/>
    <x v="1"/>
    <s v="51098181001001"/>
    <n v="-9.9600000000000009"/>
    <n v="254"/>
    <n v="1"/>
    <n v="1"/>
  </r>
  <r>
    <m/>
    <m/>
    <x v="1"/>
    <s v="51108401001003"/>
    <n v="-58.03"/>
    <n v="1480"/>
    <n v="1"/>
    <n v="1"/>
  </r>
  <r>
    <m/>
    <m/>
    <x v="1"/>
    <s v="51138081002001"/>
    <n v="-44.62"/>
    <n v="1138"/>
    <n v="1"/>
    <n v="1"/>
  </r>
  <r>
    <m/>
    <m/>
    <x v="1"/>
    <s v="51138571001004"/>
    <n v="-30.35"/>
    <n v="774"/>
    <n v="1"/>
    <n v="1"/>
  </r>
  <r>
    <m/>
    <m/>
    <x v="1"/>
    <s v="51140391002005"/>
    <n v="-13.17"/>
    <n v="336"/>
    <n v="1"/>
    <n v="1"/>
  </r>
  <r>
    <m/>
    <m/>
    <x v="1"/>
    <s v="51151311001002"/>
    <n v="-43.6"/>
    <n v="1112"/>
    <n v="1"/>
    <n v="1"/>
  </r>
  <r>
    <m/>
    <m/>
    <x v="1"/>
    <s v="51155161001001"/>
    <n v="-16.78"/>
    <n v="428"/>
    <n v="1"/>
    <n v="1"/>
  </r>
  <r>
    <m/>
    <m/>
    <x v="1"/>
    <s v="51155231001001"/>
    <n v="-41.88"/>
    <n v="1068"/>
    <n v="1"/>
    <n v="1"/>
  </r>
  <r>
    <m/>
    <m/>
    <x v="1"/>
    <s v="51155949001002"/>
    <n v="-68.930000000000007"/>
    <n v="1758"/>
    <n v="1"/>
    <n v="1"/>
  </r>
  <r>
    <m/>
    <m/>
    <x v="1"/>
    <s v="51159641001002"/>
    <n v="-19.96"/>
    <n v="509"/>
    <n v="1"/>
    <n v="1"/>
  </r>
  <r>
    <m/>
    <m/>
    <x v="1"/>
    <s v="51159921001001"/>
    <n v="-14.27"/>
    <n v="364"/>
    <n v="1"/>
    <n v="1"/>
  </r>
  <r>
    <m/>
    <m/>
    <x v="1"/>
    <s v="51163561001003"/>
    <n v="-32.31"/>
    <n v="824"/>
    <n v="1"/>
    <n v="1"/>
  </r>
  <r>
    <m/>
    <m/>
    <x v="1"/>
    <s v="51163841001002"/>
    <n v="-63.44"/>
    <n v="1618"/>
    <n v="1"/>
    <n v="1"/>
  </r>
  <r>
    <m/>
    <m/>
    <x v="1"/>
    <s v="51166641001002"/>
    <n v="-83.48"/>
    <n v="2129"/>
    <n v="1"/>
    <n v="1"/>
  </r>
  <r>
    <m/>
    <m/>
    <x v="1"/>
    <s v="51175111003001"/>
    <n v="-23.49"/>
    <n v="599"/>
    <n v="1"/>
    <n v="1"/>
  </r>
  <r>
    <m/>
    <m/>
    <x v="1"/>
    <s v="51183651001001"/>
    <n v="-4.2"/>
    <n v="107"/>
    <n v="1"/>
    <n v="1"/>
  </r>
  <r>
    <m/>
    <m/>
    <x v="1"/>
    <s v="51184281006001"/>
    <n v="-32.78"/>
    <n v="836"/>
    <n v="1"/>
    <n v="1"/>
  </r>
  <r>
    <m/>
    <m/>
    <x v="1"/>
    <s v="51193044001001"/>
    <n v="-15.41"/>
    <n v="393"/>
    <n v="1"/>
    <n v="1"/>
  </r>
  <r>
    <m/>
    <m/>
    <x v="1"/>
    <s v="51198211001002"/>
    <n v="-35.92"/>
    <n v="916"/>
    <n v="1"/>
    <n v="1"/>
  </r>
  <r>
    <m/>
    <m/>
    <x v="1"/>
    <s v="51208991001001"/>
    <n v="-8"/>
    <n v="204"/>
    <n v="1"/>
    <n v="1"/>
  </r>
  <r>
    <m/>
    <m/>
    <x v="1"/>
    <s v="51213051001002"/>
    <n v="-10.55"/>
    <n v="269"/>
    <n v="1"/>
    <n v="1"/>
  </r>
  <r>
    <m/>
    <m/>
    <x v="1"/>
    <s v="51221801001005"/>
    <n v="-30.9"/>
    <n v="788"/>
    <n v="1"/>
    <n v="1"/>
  </r>
  <r>
    <m/>
    <m/>
    <x v="1"/>
    <s v="51225161002001"/>
    <n v="-20.43"/>
    <n v="521"/>
    <n v="1"/>
    <n v="1"/>
  </r>
  <r>
    <m/>
    <m/>
    <x v="1"/>
    <s v="51230691001002"/>
    <n v="-47.01"/>
    <n v="1199"/>
    <n v="1"/>
    <n v="1"/>
  </r>
  <r>
    <m/>
    <m/>
    <x v="1"/>
    <s v="51231111001004"/>
    <n v="-44.42"/>
    <n v="1133"/>
    <n v="1"/>
    <n v="1"/>
  </r>
  <r>
    <m/>
    <m/>
    <x v="1"/>
    <s v="51237341002006"/>
    <n v="-52.31"/>
    <n v="1334"/>
    <n v="1"/>
    <n v="1"/>
  </r>
  <r>
    <m/>
    <m/>
    <x v="1"/>
    <s v="51286341001003"/>
    <n v="-53.33"/>
    <n v="1360"/>
    <n v="1"/>
    <n v="1"/>
  </r>
  <r>
    <m/>
    <m/>
    <x v="1"/>
    <s v="51286568001001"/>
    <n v="-30.78"/>
    <n v="785"/>
    <n v="1"/>
    <n v="1"/>
  </r>
  <r>
    <m/>
    <m/>
    <x v="1"/>
    <s v="51286691001002"/>
    <n v="-44.86"/>
    <n v="1144"/>
    <n v="1"/>
    <n v="1"/>
  </r>
  <r>
    <m/>
    <m/>
    <x v="1"/>
    <s v="51293341001001"/>
    <n v="-66.23"/>
    <n v="1689"/>
    <n v="1"/>
    <n v="1"/>
  </r>
  <r>
    <m/>
    <m/>
    <x v="1"/>
    <s v="51309651001001"/>
    <n v="-59.32"/>
    <n v="1513"/>
    <n v="1"/>
    <n v="1"/>
  </r>
  <r>
    <m/>
    <m/>
    <x v="1"/>
    <s v="51309721001001"/>
    <n v="-132.77000000000001"/>
    <n v="3386"/>
    <n v="1"/>
    <n v="1"/>
  </r>
  <r>
    <m/>
    <m/>
    <x v="1"/>
    <s v="51316301003004"/>
    <n v="-5.84"/>
    <n v="149"/>
    <n v="1"/>
    <n v="1"/>
  </r>
  <r>
    <m/>
    <m/>
    <x v="1"/>
    <s v="51320291002008"/>
    <n v="-8.82"/>
    <n v="225"/>
    <n v="1"/>
    <n v="1"/>
  </r>
  <r>
    <m/>
    <m/>
    <x v="1"/>
    <s v="51323511001002"/>
    <n v="-32.07"/>
    <n v="818"/>
    <n v="1"/>
    <n v="1"/>
  </r>
  <r>
    <m/>
    <m/>
    <x v="1"/>
    <s v="51324911001001"/>
    <n v="-34.39"/>
    <n v="877"/>
    <n v="1"/>
    <n v="1"/>
  </r>
  <r>
    <m/>
    <m/>
    <x v="1"/>
    <s v="51344791001003"/>
    <n v="-28.11"/>
    <n v="717"/>
    <n v="1"/>
    <n v="1"/>
  </r>
  <r>
    <m/>
    <m/>
    <x v="1"/>
    <s v="51344861001001"/>
    <n v="-49.6"/>
    <n v="1265"/>
    <n v="1"/>
    <n v="1"/>
  </r>
  <r>
    <m/>
    <m/>
    <x v="1"/>
    <s v="51356061003003"/>
    <n v="-29.88"/>
    <n v="762"/>
    <n v="1"/>
    <n v="1"/>
  </r>
  <r>
    <m/>
    <m/>
    <x v="1"/>
    <s v="51370831001001"/>
    <n v="-90.26"/>
    <n v="2302"/>
    <n v="1"/>
    <n v="1"/>
  </r>
  <r>
    <m/>
    <m/>
    <x v="1"/>
    <s v="51395961001001"/>
    <n v="-92.93"/>
    <n v="2370"/>
    <n v="1"/>
    <n v="1"/>
  </r>
  <r>
    <m/>
    <m/>
    <x v="1"/>
    <s v="51405271001001"/>
    <n v="-39.68"/>
    <n v="1012"/>
    <n v="1"/>
    <n v="1"/>
  </r>
  <r>
    <m/>
    <m/>
    <x v="1"/>
    <s v="51411291004004"/>
    <n v="-23.17"/>
    <n v="591"/>
    <n v="1"/>
    <n v="1"/>
  </r>
  <r>
    <m/>
    <m/>
    <x v="1"/>
    <s v="51416681001001"/>
    <n v="-51.6"/>
    <n v="1316"/>
    <n v="1"/>
    <n v="1"/>
  </r>
  <r>
    <m/>
    <m/>
    <x v="1"/>
    <s v="51506701002001"/>
    <n v="-27.49"/>
    <n v="701"/>
    <n v="1"/>
    <n v="1"/>
  </r>
  <r>
    <m/>
    <m/>
    <x v="1"/>
    <s v="51514051001001"/>
    <n v="-5.0599999999999996"/>
    <n v="129"/>
    <n v="1"/>
    <n v="1"/>
  </r>
  <r>
    <m/>
    <m/>
    <x v="1"/>
    <s v="51514331001001"/>
    <n v="-10.98"/>
    <n v="280"/>
    <n v="1"/>
    <n v="1"/>
  </r>
  <r>
    <m/>
    <m/>
    <x v="1"/>
    <s v="51519091001003"/>
    <n v="-2.16"/>
    <n v="55"/>
    <n v="1"/>
    <n v="1"/>
  </r>
  <r>
    <m/>
    <m/>
    <x v="1"/>
    <s v="51519832001003"/>
    <n v="-29.56"/>
    <n v="754"/>
    <n v="1"/>
    <n v="1"/>
  </r>
  <r>
    <m/>
    <m/>
    <x v="1"/>
    <s v="51525601001002"/>
    <n v="-9.76"/>
    <n v="249"/>
    <n v="1"/>
    <n v="1"/>
  </r>
  <r>
    <m/>
    <m/>
    <x v="1"/>
    <s v="51531201001002"/>
    <n v="-68.459999999999994"/>
    <n v="1746"/>
    <n v="1"/>
    <n v="1"/>
  </r>
  <r>
    <m/>
    <m/>
    <x v="1"/>
    <s v="51555701001005"/>
    <n v="-60.38"/>
    <n v="1540"/>
    <n v="1"/>
    <n v="1"/>
  </r>
  <r>
    <m/>
    <m/>
    <x v="1"/>
    <s v="51578031001001"/>
    <n v="-48.31"/>
    <n v="1232"/>
    <n v="1"/>
    <n v="1"/>
  </r>
  <r>
    <m/>
    <m/>
    <x v="1"/>
    <s v="51593291002001"/>
    <n v="-46.97"/>
    <n v="1198"/>
    <n v="1"/>
    <n v="1"/>
  </r>
  <r>
    <m/>
    <m/>
    <x v="1"/>
    <s v="51593431001001"/>
    <n v="-105.47"/>
    <n v="2690"/>
    <n v="1"/>
    <n v="1"/>
  </r>
  <r>
    <m/>
    <m/>
    <x v="1"/>
    <s v="51597701001005"/>
    <n v="-10.59"/>
    <n v="270"/>
    <n v="1"/>
    <n v="1"/>
  </r>
  <r>
    <m/>
    <m/>
    <x v="1"/>
    <s v="51601341001003"/>
    <n v="-11.88"/>
    <n v="303"/>
    <n v="1"/>
    <n v="1"/>
  </r>
  <r>
    <m/>
    <m/>
    <x v="1"/>
    <s v="51618981001001"/>
    <n v="-64.34"/>
    <n v="1641"/>
    <n v="1"/>
    <n v="1"/>
  </r>
  <r>
    <m/>
    <m/>
    <x v="1"/>
    <s v="51625911001001"/>
    <n v="-42.66"/>
    <n v="1088"/>
    <n v="1"/>
    <n v="1"/>
  </r>
  <r>
    <m/>
    <m/>
    <x v="1"/>
    <s v="51627031001001"/>
    <n v="-17.72"/>
    <n v="452"/>
    <n v="1"/>
    <n v="1"/>
  </r>
  <r>
    <m/>
    <m/>
    <x v="1"/>
    <s v="51957591005001"/>
    <n v="-28.74"/>
    <n v="733"/>
    <n v="1"/>
    <n v="1"/>
  </r>
  <r>
    <m/>
    <m/>
    <x v="1"/>
    <s v="52072311002001"/>
    <n v="-43.72"/>
    <n v="1115"/>
    <n v="1"/>
    <n v="1"/>
  </r>
  <r>
    <m/>
    <m/>
    <x v="1"/>
    <s v="52219018001001"/>
    <n v="-20.66"/>
    <n v="527"/>
    <n v="1"/>
    <n v="1"/>
  </r>
  <r>
    <m/>
    <m/>
    <x v="1"/>
    <s v="52439752001001"/>
    <n v="-11.88"/>
    <n v="303"/>
    <n v="1"/>
    <n v="1"/>
  </r>
  <r>
    <m/>
    <m/>
    <x v="1"/>
    <s v="52553675001011"/>
    <n v="-42.23"/>
    <n v="1077"/>
    <n v="1"/>
    <n v="1"/>
  </r>
  <r>
    <m/>
    <m/>
    <x v="1"/>
    <s v="52724555001001"/>
    <n v="-86.18"/>
    <n v="2198"/>
    <n v="1"/>
    <n v="1"/>
  </r>
  <r>
    <m/>
    <m/>
    <x v="1"/>
    <s v="52815374001001"/>
    <n v="-35.049999999999997"/>
    <n v="894"/>
    <n v="1"/>
    <n v="1"/>
  </r>
  <r>
    <m/>
    <m/>
    <x v="1"/>
    <s v="52896992001002"/>
    <n v="-41.8"/>
    <n v="1066"/>
    <n v="1"/>
    <n v="1"/>
  </r>
  <r>
    <m/>
    <m/>
    <x v="1"/>
    <s v="52978478001001"/>
    <n v="-15.84"/>
    <n v="404"/>
    <n v="1"/>
    <n v="1"/>
  </r>
  <r>
    <m/>
    <m/>
    <x v="1"/>
    <s v="52981742001003"/>
    <n v="-6.16"/>
    <n v="157"/>
    <n v="1"/>
    <n v="1"/>
  </r>
  <r>
    <m/>
    <m/>
    <x v="1"/>
    <s v="53077277001001"/>
    <n v="-27.49"/>
    <n v="701"/>
    <n v="1"/>
    <n v="1"/>
  </r>
  <r>
    <m/>
    <m/>
    <x v="1"/>
    <s v="53108976001002"/>
    <n v="-42.07"/>
    <n v="1073"/>
    <n v="1"/>
    <n v="1"/>
  </r>
  <r>
    <m/>
    <m/>
    <x v="1"/>
    <s v="53180045001003"/>
    <n v="-44.54"/>
    <n v="1136"/>
    <n v="1"/>
    <n v="1"/>
  </r>
  <r>
    <m/>
    <m/>
    <x v="1"/>
    <s v="53425442001001"/>
    <n v="-34.78"/>
    <n v="887"/>
    <n v="1"/>
    <n v="1"/>
  </r>
  <r>
    <m/>
    <m/>
    <x v="1"/>
    <s v="53681358001002"/>
    <n v="-20.98"/>
    <n v="535"/>
    <n v="1"/>
    <n v="1"/>
  </r>
  <r>
    <m/>
    <m/>
    <x v="1"/>
    <s v="53697250001001"/>
    <n v="-44.54"/>
    <n v="1136"/>
    <n v="1"/>
    <n v="1"/>
  </r>
  <r>
    <m/>
    <m/>
    <x v="1"/>
    <s v="53915118004001"/>
    <n v="-39.450000000000003"/>
    <n v="1006"/>
    <n v="1"/>
    <n v="1"/>
  </r>
  <r>
    <m/>
    <m/>
    <x v="1"/>
    <s v="54019982001004"/>
    <n v="-77.87"/>
    <n v="1986"/>
    <n v="1"/>
    <n v="1"/>
  </r>
  <r>
    <m/>
    <m/>
    <x v="1"/>
    <s v="54146036001001"/>
    <n v="-40.78"/>
    <n v="1040"/>
    <n v="1"/>
    <n v="1"/>
  </r>
  <r>
    <m/>
    <m/>
    <x v="1"/>
    <s v="54155574001001"/>
    <n v="-12.47"/>
    <n v="318"/>
    <n v="1"/>
    <n v="1"/>
  </r>
  <r>
    <m/>
    <m/>
    <x v="1"/>
    <s v="54555658001004"/>
    <n v="-104.61"/>
    <n v="2668"/>
    <n v="1"/>
    <n v="1"/>
  </r>
  <r>
    <m/>
    <m/>
    <x v="1"/>
    <s v="54604589002003"/>
    <n v="-4.8600000000000003"/>
    <n v="124"/>
    <n v="1"/>
    <n v="1"/>
  </r>
  <r>
    <m/>
    <m/>
    <x v="1"/>
    <s v="54781310001002"/>
    <n v="-86.03"/>
    <n v="2194"/>
    <n v="1"/>
    <n v="1"/>
  </r>
  <r>
    <m/>
    <m/>
    <x v="1"/>
    <s v="54807945001001"/>
    <n v="-13.29"/>
    <n v="339"/>
    <n v="1"/>
    <n v="1"/>
  </r>
  <r>
    <m/>
    <m/>
    <x v="1"/>
    <s v="54915640001001"/>
    <n v="-47.84"/>
    <n v="1220"/>
    <n v="1"/>
    <n v="1"/>
  </r>
  <r>
    <m/>
    <m/>
    <x v="1"/>
    <s v="55036747001002"/>
    <n v="-42.43"/>
    <n v="1082"/>
    <n v="1"/>
    <n v="1"/>
  </r>
  <r>
    <m/>
    <m/>
    <x v="1"/>
    <s v="55116401001003"/>
    <n v="-28.07"/>
    <n v="716"/>
    <n v="1"/>
    <n v="1"/>
  </r>
  <r>
    <m/>
    <m/>
    <x v="1"/>
    <s v="55208319002001"/>
    <n v="-68.260000000000005"/>
    <n v="1741"/>
    <n v="1"/>
    <n v="1"/>
  </r>
  <r>
    <m/>
    <m/>
    <x v="1"/>
    <s v="55514801001013"/>
    <n v="-19.059999999999999"/>
    <n v="486"/>
    <n v="1"/>
    <n v="1"/>
  </r>
  <r>
    <m/>
    <m/>
    <x v="1"/>
    <s v="55598081001003"/>
    <n v="-27.68"/>
    <n v="706"/>
    <n v="1"/>
    <n v="1"/>
  </r>
  <r>
    <m/>
    <m/>
    <x v="1"/>
    <s v="55776761001013"/>
    <n v="-42.11"/>
    <n v="1074"/>
    <n v="1"/>
    <n v="1"/>
  </r>
  <r>
    <m/>
    <m/>
    <x v="1"/>
    <s v="55791936001001"/>
    <n v="-26"/>
    <n v="663"/>
    <n v="1"/>
    <n v="1"/>
  </r>
  <r>
    <m/>
    <m/>
    <x v="1"/>
    <s v="55852549001005"/>
    <n v="-69.790000000000006"/>
    <n v="1780"/>
    <n v="1"/>
    <n v="1"/>
  </r>
  <r>
    <m/>
    <m/>
    <x v="1"/>
    <s v="56051310004001"/>
    <n v="-69.680000000000007"/>
    <n v="1777"/>
    <n v="1"/>
    <n v="1"/>
  </r>
  <r>
    <m/>
    <m/>
    <x v="1"/>
    <s v="56272890001001"/>
    <n v="-22.51"/>
    <n v="574"/>
    <n v="1"/>
    <n v="1"/>
  </r>
  <r>
    <m/>
    <m/>
    <x v="1"/>
    <s v="56308644001003"/>
    <n v="-60.54"/>
    <n v="1544"/>
    <n v="1"/>
    <n v="1"/>
  </r>
  <r>
    <m/>
    <m/>
    <x v="1"/>
    <s v="56367091002003"/>
    <n v="-29.09"/>
    <n v="742"/>
    <n v="1"/>
    <n v="1"/>
  </r>
  <r>
    <m/>
    <m/>
    <x v="1"/>
    <s v="56463265001003"/>
    <n v="-35.17"/>
    <n v="897"/>
    <n v="1"/>
    <n v="1"/>
  </r>
  <r>
    <m/>
    <m/>
    <x v="1"/>
    <s v="56604939001001"/>
    <n v="-91.99"/>
    <n v="2346"/>
    <n v="1"/>
    <n v="1"/>
  </r>
  <r>
    <m/>
    <m/>
    <x v="1"/>
    <s v="56726418001010"/>
    <n v="-22.82"/>
    <n v="582"/>
    <n v="1"/>
    <n v="1"/>
  </r>
  <r>
    <m/>
    <m/>
    <x v="1"/>
    <s v="56745375001001"/>
    <n v="-11.49"/>
    <n v="293"/>
    <n v="1"/>
    <n v="1"/>
  </r>
  <r>
    <m/>
    <m/>
    <x v="1"/>
    <s v="56940246001005"/>
    <n v="-26"/>
    <n v="663"/>
    <n v="1"/>
    <n v="1"/>
  </r>
  <r>
    <m/>
    <m/>
    <x v="1"/>
    <s v="56979825001002"/>
    <n v="-8.67"/>
    <n v="221"/>
    <n v="1"/>
    <n v="1"/>
  </r>
  <r>
    <m/>
    <m/>
    <x v="1"/>
    <s v="57455935001001"/>
    <n v="-60.97"/>
    <n v="1555"/>
    <n v="1"/>
    <n v="1"/>
  </r>
  <r>
    <m/>
    <m/>
    <x v="1"/>
    <s v="57629831001001"/>
    <n v="-42.78"/>
    <n v="1091"/>
    <n v="1"/>
    <n v="1"/>
  </r>
  <r>
    <m/>
    <m/>
    <x v="1"/>
    <s v="57810254001002"/>
    <n v="-44.03"/>
    <n v="1123"/>
    <n v="1"/>
    <n v="1"/>
  </r>
  <r>
    <m/>
    <m/>
    <x v="1"/>
    <s v="58035525001001"/>
    <n v="-15.37"/>
    <n v="392"/>
    <n v="1"/>
    <n v="1"/>
  </r>
  <r>
    <m/>
    <m/>
    <x v="1"/>
    <s v="58161623001001"/>
    <n v="-29.37"/>
    <n v="749"/>
    <n v="1"/>
    <n v="1"/>
  </r>
  <r>
    <m/>
    <m/>
    <x v="1"/>
    <s v="58195945001003"/>
    <n v="-112.96"/>
    <n v="2881"/>
    <n v="1"/>
    <n v="1"/>
  </r>
  <r>
    <m/>
    <m/>
    <x v="1"/>
    <s v="58413059001001"/>
    <n v="-32.619999999999997"/>
    <n v="832"/>
    <n v="1"/>
    <n v="1"/>
  </r>
  <r>
    <m/>
    <m/>
    <x v="1"/>
    <s v="58584299001003"/>
    <n v="-11.41"/>
    <n v="291"/>
    <n v="1"/>
    <n v="1"/>
  </r>
  <r>
    <m/>
    <m/>
    <x v="1"/>
    <s v="58619499001001"/>
    <n v="-93.71"/>
    <n v="2390"/>
    <n v="1"/>
    <n v="1"/>
  </r>
  <r>
    <m/>
    <m/>
    <x v="1"/>
    <s v="58704052001001"/>
    <n v="-10.35"/>
    <n v="264"/>
    <n v="1"/>
    <n v="1"/>
  </r>
  <r>
    <m/>
    <m/>
    <x v="1"/>
    <s v="58708783001003"/>
    <n v="-81.87"/>
    <n v="2088"/>
    <n v="1"/>
    <n v="1"/>
  </r>
  <r>
    <m/>
    <m/>
    <x v="1"/>
    <s v="58743642001003"/>
    <n v="-67.83"/>
    <n v="1730"/>
    <n v="1"/>
    <n v="1"/>
  </r>
  <r>
    <m/>
    <m/>
    <x v="1"/>
    <s v="58876732001003"/>
    <n v="-65.25"/>
    <n v="1664"/>
    <n v="1"/>
    <n v="1"/>
  </r>
  <r>
    <m/>
    <m/>
    <x v="1"/>
    <s v="58961407001001"/>
    <n v="-4.9000000000000004"/>
    <n v="125"/>
    <n v="1"/>
    <n v="1"/>
  </r>
  <r>
    <m/>
    <m/>
    <x v="1"/>
    <s v="59201289002001"/>
    <n v="-11.06"/>
    <n v="282"/>
    <n v="1"/>
    <n v="1"/>
  </r>
  <r>
    <m/>
    <m/>
    <x v="1"/>
    <s v="59304140001003"/>
    <n v="-48.5"/>
    <n v="1237"/>
    <n v="1"/>
    <n v="1"/>
  </r>
  <r>
    <m/>
    <m/>
    <x v="1"/>
    <s v="59498637001004"/>
    <n v="-53.56"/>
    <n v="1366"/>
    <n v="1"/>
    <n v="1"/>
  </r>
  <r>
    <m/>
    <m/>
    <x v="1"/>
    <s v="59553713001001"/>
    <n v="-54.89"/>
    <n v="1400"/>
    <n v="1"/>
    <n v="1"/>
  </r>
  <r>
    <m/>
    <m/>
    <x v="1"/>
    <s v="59657734001001"/>
    <n v="-47.88"/>
    <n v="1221"/>
    <n v="1"/>
    <n v="1"/>
  </r>
  <r>
    <m/>
    <m/>
    <x v="1"/>
    <s v="59739422001001"/>
    <n v="-42.43"/>
    <n v="1082"/>
    <n v="1"/>
    <n v="1"/>
  </r>
  <r>
    <m/>
    <m/>
    <x v="1"/>
    <s v="60176479001001"/>
    <n v="-44.31"/>
    <n v="1130"/>
    <n v="1"/>
    <n v="1"/>
  </r>
  <r>
    <m/>
    <m/>
    <x v="1"/>
    <s v="60324948001003"/>
    <n v="-8.82"/>
    <n v="225"/>
    <n v="1"/>
    <n v="1"/>
  </r>
  <r>
    <m/>
    <m/>
    <x v="1"/>
    <s v="60327049001006"/>
    <n v="-34.619999999999997"/>
    <n v="883"/>
    <n v="1"/>
    <n v="1"/>
  </r>
  <r>
    <m/>
    <m/>
    <x v="1"/>
    <s v="60460345001001"/>
    <n v="-17.25"/>
    <n v="440"/>
    <n v="1"/>
    <n v="1"/>
  </r>
  <r>
    <m/>
    <m/>
    <x v="1"/>
    <s v="60469517001003"/>
    <n v="-53.25"/>
    <n v="1358"/>
    <n v="1"/>
    <n v="1"/>
  </r>
  <r>
    <m/>
    <m/>
    <x v="1"/>
    <s v="60623325001001"/>
    <n v="-26.58"/>
    <n v="678"/>
    <n v="1"/>
    <n v="1"/>
  </r>
  <r>
    <m/>
    <m/>
    <x v="1"/>
    <s v="60708476001002"/>
    <n v="-63.64"/>
    <n v="1623"/>
    <n v="1"/>
    <n v="1"/>
  </r>
  <r>
    <m/>
    <m/>
    <x v="1"/>
    <s v="60721174001011"/>
    <n v="-31.49"/>
    <n v="803"/>
    <n v="1"/>
    <n v="1"/>
  </r>
  <r>
    <m/>
    <m/>
    <x v="1"/>
    <s v="60784386002004"/>
    <n v="-45.64"/>
    <n v="1164"/>
    <n v="1"/>
    <n v="1"/>
  </r>
  <r>
    <m/>
    <m/>
    <x v="1"/>
    <s v="60790565001008"/>
    <n v="-61.64"/>
    <n v="1572"/>
    <n v="1"/>
    <n v="1"/>
  </r>
  <r>
    <m/>
    <m/>
    <x v="1"/>
    <s v="60952463002005"/>
    <n v="-6.47"/>
    <n v="165"/>
    <n v="1"/>
    <n v="1"/>
  </r>
  <r>
    <m/>
    <m/>
    <x v="1"/>
    <s v="61054450003001"/>
    <n v="-43.8"/>
    <n v="1117"/>
    <n v="1"/>
    <n v="1"/>
  </r>
  <r>
    <m/>
    <m/>
    <x v="1"/>
    <s v="61239947002001"/>
    <n v="-22.86"/>
    <n v="583"/>
    <n v="1"/>
    <n v="1"/>
  </r>
  <r>
    <m/>
    <m/>
    <x v="1"/>
    <s v="61308081001001"/>
    <n v="-59.13"/>
    <n v="1508"/>
    <n v="1"/>
    <n v="1"/>
  </r>
  <r>
    <m/>
    <m/>
    <x v="1"/>
    <s v="61432189003001"/>
    <n v="-26.04"/>
    <n v="664"/>
    <n v="1"/>
    <n v="1"/>
  </r>
  <r>
    <m/>
    <m/>
    <x v="1"/>
    <s v="61690664001003"/>
    <n v="-6.55"/>
    <n v="167"/>
    <n v="1"/>
    <n v="1"/>
  </r>
  <r>
    <m/>
    <m/>
    <x v="1"/>
    <s v="61831600002001"/>
    <n v="-63.91"/>
    <n v="1630"/>
    <n v="1"/>
    <n v="1"/>
  </r>
  <r>
    <m/>
    <m/>
    <x v="1"/>
    <s v="61919998001001"/>
    <n v="-36.86"/>
    <n v="940"/>
    <n v="1"/>
    <n v="1"/>
  </r>
  <r>
    <m/>
    <m/>
    <x v="1"/>
    <s v="61959666001001"/>
    <n v="-59.72"/>
    <n v="1523"/>
    <n v="1"/>
    <n v="1"/>
  </r>
  <r>
    <m/>
    <m/>
    <x v="1"/>
    <s v="62003086001001"/>
    <n v="-64.069999999999993"/>
    <n v="1634"/>
    <n v="1"/>
    <n v="1"/>
  </r>
  <r>
    <m/>
    <m/>
    <x v="1"/>
    <s v="62091193002001"/>
    <n v="-31.25"/>
    <n v="797"/>
    <n v="1"/>
    <n v="1"/>
  </r>
  <r>
    <m/>
    <m/>
    <x v="1"/>
    <s v="62108607001005"/>
    <n v="-35.25"/>
    <n v="899"/>
    <n v="1"/>
    <n v="1"/>
  </r>
  <r>
    <m/>
    <m/>
    <x v="1"/>
    <s v="62182271001002"/>
    <n v="-48.78"/>
    <n v="1244"/>
    <n v="1"/>
    <n v="1"/>
  </r>
  <r>
    <m/>
    <m/>
    <x v="1"/>
    <s v="62268891001001"/>
    <n v="-21.33"/>
    <n v="544"/>
    <n v="1"/>
    <n v="1"/>
  </r>
  <r>
    <m/>
    <m/>
    <x v="1"/>
    <s v="62305746001001"/>
    <n v="-49.21"/>
    <n v="1255"/>
    <n v="1"/>
    <n v="1"/>
  </r>
  <r>
    <m/>
    <m/>
    <x v="1"/>
    <s v="62498679001005"/>
    <n v="-26.39"/>
    <n v="673"/>
    <n v="1"/>
    <n v="1"/>
  </r>
  <r>
    <m/>
    <m/>
    <x v="1"/>
    <s v="62531889001001"/>
    <n v="-18.27"/>
    <n v="466"/>
    <n v="1"/>
    <n v="1"/>
  </r>
  <r>
    <m/>
    <m/>
    <x v="1"/>
    <s v="62878804001007"/>
    <n v="-112.73"/>
    <n v="2875"/>
    <n v="1"/>
    <n v="1"/>
  </r>
  <r>
    <m/>
    <m/>
    <x v="1"/>
    <s v="63123242001001"/>
    <n v="-34.270000000000003"/>
    <n v="874"/>
    <n v="1"/>
    <n v="1"/>
  </r>
  <r>
    <m/>
    <m/>
    <x v="1"/>
    <s v="63172903002001"/>
    <n v="-24.11"/>
    <n v="615"/>
    <n v="1"/>
    <n v="1"/>
  </r>
  <r>
    <m/>
    <m/>
    <x v="1"/>
    <s v="63196464001001"/>
    <n v="-69.17"/>
    <n v="1764"/>
    <n v="1"/>
    <n v="1"/>
  </r>
  <r>
    <m/>
    <m/>
    <x v="1"/>
    <s v="63263435001001"/>
    <n v="-41.64"/>
    <n v="1062"/>
    <n v="1"/>
    <n v="1"/>
  </r>
  <r>
    <m/>
    <m/>
    <x v="1"/>
    <s v="63421413002003"/>
    <n v="-0.39"/>
    <n v="10"/>
    <n v="1"/>
    <n v="1"/>
  </r>
  <r>
    <m/>
    <m/>
    <x v="1"/>
    <s v="63451251001005"/>
    <n v="-28.66"/>
    <n v="731"/>
    <n v="1"/>
    <n v="1"/>
  </r>
  <r>
    <m/>
    <m/>
    <x v="1"/>
    <s v="63473427001003"/>
    <n v="-58.38"/>
    <n v="1489"/>
    <n v="1"/>
    <n v="1"/>
  </r>
  <r>
    <m/>
    <m/>
    <x v="1"/>
    <s v="63875460001002"/>
    <n v="-12.59"/>
    <n v="321"/>
    <n v="1"/>
    <n v="1"/>
  </r>
  <r>
    <m/>
    <m/>
    <x v="1"/>
    <s v="63898256001003"/>
    <n v="-25.13"/>
    <n v="641"/>
    <n v="1"/>
    <n v="1"/>
  </r>
  <r>
    <m/>
    <m/>
    <x v="1"/>
    <s v="64287131001001"/>
    <n v="-47.95"/>
    <n v="1223"/>
    <n v="1"/>
    <n v="1"/>
  </r>
  <r>
    <m/>
    <m/>
    <x v="1"/>
    <s v="64490982003003"/>
    <n v="-7.65"/>
    <n v="195"/>
    <n v="1"/>
    <n v="1"/>
  </r>
  <r>
    <m/>
    <m/>
    <x v="1"/>
    <s v="64587795001002"/>
    <n v="-42.27"/>
    <n v="1078"/>
    <n v="1"/>
    <n v="1"/>
  </r>
  <r>
    <m/>
    <m/>
    <x v="1"/>
    <s v="64653489001002"/>
    <n v="-32.619999999999997"/>
    <n v="832"/>
    <n v="1"/>
    <n v="1"/>
  </r>
  <r>
    <m/>
    <m/>
    <x v="1"/>
    <s v="64802495002001"/>
    <n v="-25.88"/>
    <n v="660"/>
    <n v="1"/>
    <n v="1"/>
  </r>
  <r>
    <m/>
    <m/>
    <x v="1"/>
    <s v="64815090001001"/>
    <n v="-16.7"/>
    <n v="426"/>
    <n v="1"/>
    <n v="1"/>
  </r>
  <r>
    <m/>
    <m/>
    <x v="1"/>
    <s v="64826160001001"/>
    <n v="-31.29"/>
    <n v="798"/>
    <n v="1"/>
    <n v="1"/>
  </r>
  <r>
    <m/>
    <m/>
    <x v="1"/>
    <s v="65098964002001"/>
    <n v="-55.6"/>
    <n v="1418"/>
    <n v="1"/>
    <n v="1"/>
  </r>
  <r>
    <m/>
    <m/>
    <x v="1"/>
    <s v="65242015001001"/>
    <n v="-17.96"/>
    <n v="458"/>
    <n v="1"/>
    <n v="1"/>
  </r>
  <r>
    <m/>
    <m/>
    <x v="1"/>
    <s v="65270935001002"/>
    <n v="-48.35"/>
    <n v="1233"/>
    <n v="1"/>
    <n v="1"/>
  </r>
  <r>
    <m/>
    <m/>
    <x v="1"/>
    <s v="65413433002003"/>
    <n v="-34.19"/>
    <n v="872"/>
    <n v="1"/>
    <n v="1"/>
  </r>
  <r>
    <m/>
    <m/>
    <x v="1"/>
    <s v="65447350001002"/>
    <n v="-20.27"/>
    <n v="517"/>
    <n v="1"/>
    <n v="1"/>
  </r>
  <r>
    <m/>
    <m/>
    <x v="1"/>
    <s v="65474469002008"/>
    <n v="-25.64"/>
    <n v="654"/>
    <n v="1"/>
    <n v="1"/>
  </r>
  <r>
    <m/>
    <m/>
    <x v="1"/>
    <s v="65633759005001"/>
    <n v="-43.95"/>
    <n v="1121"/>
    <n v="1"/>
    <n v="1"/>
  </r>
  <r>
    <m/>
    <m/>
    <x v="1"/>
    <s v="65715070001005"/>
    <n v="-73.709999999999994"/>
    <n v="1880"/>
    <n v="1"/>
    <n v="1"/>
  </r>
  <r>
    <m/>
    <m/>
    <x v="1"/>
    <s v="65734956001007"/>
    <n v="-50.42"/>
    <n v="1286"/>
    <n v="1"/>
    <n v="1"/>
  </r>
  <r>
    <m/>
    <m/>
    <x v="1"/>
    <s v="65798712001005"/>
    <n v="-43.13"/>
    <n v="1100"/>
    <n v="1"/>
    <n v="1"/>
  </r>
  <r>
    <m/>
    <m/>
    <x v="1"/>
    <s v="65818545001003"/>
    <n v="-41.48"/>
    <n v="1058"/>
    <n v="1"/>
    <n v="1"/>
  </r>
  <r>
    <m/>
    <m/>
    <x v="1"/>
    <s v="65819822001006"/>
    <n v="-67.599999999999994"/>
    <n v="1724"/>
    <n v="1"/>
    <n v="1"/>
  </r>
  <r>
    <m/>
    <m/>
    <x v="1"/>
    <s v="66122783001004"/>
    <n v="-12.9"/>
    <n v="329"/>
    <n v="1"/>
    <n v="1"/>
  </r>
  <r>
    <m/>
    <m/>
    <x v="1"/>
    <s v="66219418001001"/>
    <n v="-15.76"/>
    <n v="402"/>
    <n v="1"/>
    <n v="1"/>
  </r>
  <r>
    <m/>
    <m/>
    <x v="1"/>
    <s v="66682187001003"/>
    <n v="-53.17"/>
    <n v="1356"/>
    <n v="1"/>
    <n v="1"/>
  </r>
  <r>
    <m/>
    <m/>
    <x v="1"/>
    <s v="66809061002005"/>
    <n v="-15.06"/>
    <n v="384"/>
    <n v="1"/>
    <n v="1"/>
  </r>
  <r>
    <m/>
    <m/>
    <x v="1"/>
    <s v="66942119001003"/>
    <n v="-20"/>
    <n v="510"/>
    <n v="1"/>
    <n v="1"/>
  </r>
  <r>
    <m/>
    <m/>
    <x v="1"/>
    <s v="67267992001001"/>
    <n v="-40.659999999999997"/>
    <n v="1037"/>
    <n v="1"/>
    <n v="1"/>
  </r>
  <r>
    <m/>
    <m/>
    <x v="1"/>
    <s v="67361765001002"/>
    <n v="-60.85"/>
    <n v="1552"/>
    <n v="1"/>
    <n v="1"/>
  </r>
  <r>
    <m/>
    <m/>
    <x v="1"/>
    <s v="67563007001003"/>
    <n v="-93.52"/>
    <n v="2385"/>
    <n v="1"/>
    <n v="1"/>
  </r>
  <r>
    <m/>
    <m/>
    <x v="1"/>
    <s v="68146157001004"/>
    <n v="-13.33"/>
    <n v="340"/>
    <n v="1"/>
    <n v="1"/>
  </r>
  <r>
    <m/>
    <m/>
    <x v="1"/>
    <s v="68156471001004"/>
    <n v="-24.82"/>
    <n v="633"/>
    <n v="1"/>
    <n v="1"/>
  </r>
  <r>
    <m/>
    <m/>
    <x v="1"/>
    <s v="68261372001003"/>
    <n v="-33.25"/>
    <n v="848"/>
    <n v="1"/>
    <n v="1"/>
  </r>
  <r>
    <m/>
    <m/>
    <x v="1"/>
    <s v="68338933001001"/>
    <n v="-82.42"/>
    <n v="2102"/>
    <n v="1"/>
    <n v="1"/>
  </r>
  <r>
    <m/>
    <m/>
    <x v="1"/>
    <s v="68419291001001"/>
    <n v="-81.52"/>
    <n v="2079"/>
    <n v="1"/>
    <n v="1"/>
  </r>
  <r>
    <m/>
    <m/>
    <x v="1"/>
    <s v="68453365001003"/>
    <n v="-36.39"/>
    <n v="928"/>
    <n v="1"/>
    <n v="1"/>
  </r>
  <r>
    <m/>
    <m/>
    <x v="1"/>
    <s v="68461671002003"/>
    <n v="-1.25"/>
    <n v="32"/>
    <n v="1"/>
    <n v="1"/>
  </r>
  <r>
    <m/>
    <m/>
    <x v="1"/>
    <s v="68471539001001"/>
    <n v="-1.45"/>
    <n v="37"/>
    <n v="1"/>
    <n v="1"/>
  </r>
  <r>
    <m/>
    <m/>
    <x v="1"/>
    <s v="68562129001001"/>
    <n v="-52.82"/>
    <n v="1347"/>
    <n v="1"/>
    <n v="1"/>
  </r>
  <r>
    <m/>
    <m/>
    <x v="1"/>
    <s v="68711288001003"/>
    <n v="-61.48"/>
    <n v="1568"/>
    <n v="1"/>
    <n v="1"/>
  </r>
  <r>
    <m/>
    <m/>
    <x v="1"/>
    <s v="68836312001001"/>
    <n v="-7.02"/>
    <n v="179"/>
    <n v="1"/>
    <n v="1"/>
  </r>
  <r>
    <m/>
    <m/>
    <x v="1"/>
    <s v="68894705001001"/>
    <n v="-15.49"/>
    <n v="395"/>
    <n v="1"/>
    <n v="1"/>
  </r>
  <r>
    <m/>
    <m/>
    <x v="1"/>
    <s v="68970693005001"/>
    <n v="-61.44"/>
    <n v="1567"/>
    <n v="1"/>
    <n v="1"/>
  </r>
  <r>
    <m/>
    <m/>
    <x v="1"/>
    <s v="69170739001001"/>
    <n v="-19.329999999999998"/>
    <n v="493"/>
    <n v="1"/>
    <n v="1"/>
  </r>
  <r>
    <m/>
    <m/>
    <x v="1"/>
    <s v="69208025001001"/>
    <n v="-35.01"/>
    <n v="893"/>
    <n v="1"/>
    <n v="1"/>
  </r>
  <r>
    <m/>
    <m/>
    <x v="1"/>
    <s v="69340720001002"/>
    <n v="-42.46"/>
    <n v="1083"/>
    <n v="1"/>
    <n v="1"/>
  </r>
  <r>
    <m/>
    <m/>
    <x v="1"/>
    <s v="69343800002003"/>
    <n v="-40.229999999999997"/>
    <n v="1026"/>
    <n v="1"/>
    <n v="1"/>
  </r>
  <r>
    <m/>
    <m/>
    <x v="1"/>
    <s v="69443775003001"/>
    <n v="-57.25"/>
    <n v="1460"/>
    <n v="1"/>
    <n v="1"/>
  </r>
  <r>
    <m/>
    <m/>
    <x v="1"/>
    <s v="69542400001002"/>
    <n v="-61.76"/>
    <n v="1575"/>
    <n v="1"/>
    <n v="1"/>
  </r>
  <r>
    <m/>
    <m/>
    <x v="1"/>
    <s v="69570598001001"/>
    <n v="-60.78"/>
    <n v="1550"/>
    <n v="1"/>
    <n v="1"/>
  </r>
  <r>
    <m/>
    <m/>
    <x v="1"/>
    <s v="69596317004001"/>
    <n v="-37.369999999999997"/>
    <n v="953"/>
    <n v="1"/>
    <n v="1"/>
  </r>
  <r>
    <m/>
    <m/>
    <x v="1"/>
    <s v="69704870003001"/>
    <n v="-72.42"/>
    <n v="1847"/>
    <n v="1"/>
    <n v="1"/>
  </r>
  <r>
    <m/>
    <m/>
    <x v="1"/>
    <s v="69738947001007"/>
    <n v="-51.64"/>
    <n v="1317"/>
    <n v="1"/>
    <n v="1"/>
  </r>
  <r>
    <m/>
    <m/>
    <x v="1"/>
    <s v="69851222003003"/>
    <n v="-34.47"/>
    <n v="879"/>
    <n v="1"/>
    <n v="1"/>
  </r>
  <r>
    <m/>
    <m/>
    <x v="1"/>
    <s v="69906946003001"/>
    <n v="-25.72"/>
    <n v="656"/>
    <n v="1"/>
    <n v="1"/>
  </r>
  <r>
    <m/>
    <m/>
    <x v="1"/>
    <s v="69952866001005"/>
    <n v="-14.47"/>
    <n v="369"/>
    <n v="1"/>
    <n v="1"/>
  </r>
  <r>
    <m/>
    <m/>
    <x v="1"/>
    <s v="70272425001001"/>
    <n v="-45.88"/>
    <n v="1170"/>
    <n v="1"/>
    <n v="1"/>
  </r>
  <r>
    <m/>
    <m/>
    <x v="1"/>
    <s v="70273911001001"/>
    <n v="-36.58"/>
    <n v="933"/>
    <n v="1"/>
    <n v="1"/>
  </r>
  <r>
    <m/>
    <m/>
    <x v="1"/>
    <s v="70350989002001"/>
    <n v="-1.96"/>
    <n v="50"/>
    <n v="1"/>
    <n v="1"/>
  </r>
  <r>
    <m/>
    <m/>
    <x v="1"/>
    <s v="70449132003001"/>
    <n v="-15.17"/>
    <n v="387"/>
    <n v="1"/>
    <n v="1"/>
  </r>
  <r>
    <m/>
    <m/>
    <x v="1"/>
    <s v="70483477001001"/>
    <n v="-59.68"/>
    <n v="1522"/>
    <n v="1"/>
    <n v="1"/>
  </r>
  <r>
    <m/>
    <m/>
    <x v="1"/>
    <s v="70566844001001"/>
    <n v="-40.94"/>
    <n v="1044"/>
    <n v="1"/>
    <n v="1"/>
  </r>
  <r>
    <m/>
    <m/>
    <x v="1"/>
    <s v="70587997002003"/>
    <n v="-25.84"/>
    <n v="659"/>
    <n v="1"/>
    <n v="1"/>
  </r>
  <r>
    <m/>
    <m/>
    <x v="1"/>
    <s v="70863501002003"/>
    <n v="-66.5"/>
    <n v="1696"/>
    <n v="1"/>
    <n v="1"/>
  </r>
  <r>
    <m/>
    <m/>
    <x v="1"/>
    <s v="70915951001003"/>
    <n v="-23.76"/>
    <n v="606"/>
    <n v="1"/>
    <n v="1"/>
  </r>
  <r>
    <m/>
    <m/>
    <x v="1"/>
    <s v="70944177001002"/>
    <n v="-11.1"/>
    <n v="283"/>
    <n v="1"/>
    <n v="1"/>
  </r>
  <r>
    <m/>
    <m/>
    <x v="1"/>
    <s v="71222085003001"/>
    <n v="-42.11"/>
    <n v="1074"/>
    <n v="1"/>
    <n v="1"/>
  </r>
  <r>
    <m/>
    <m/>
    <x v="1"/>
    <s v="71274854001001"/>
    <n v="-31.45"/>
    <n v="802"/>
    <n v="1"/>
    <n v="1"/>
  </r>
  <r>
    <m/>
    <m/>
    <x v="1"/>
    <s v="71339719006001"/>
    <n v="-17.64"/>
    <n v="450"/>
    <n v="1"/>
    <n v="1"/>
  </r>
  <r>
    <m/>
    <m/>
    <x v="1"/>
    <s v="71348793001001"/>
    <n v="-33.130000000000003"/>
    <n v="845"/>
    <n v="1"/>
    <n v="1"/>
  </r>
  <r>
    <m/>
    <m/>
    <x v="1"/>
    <s v="71350439001001"/>
    <n v="-4"/>
    <n v="102"/>
    <n v="1"/>
    <n v="1"/>
  </r>
  <r>
    <m/>
    <m/>
    <x v="1"/>
    <s v="71360086001001"/>
    <n v="-17.53"/>
    <n v="447"/>
    <n v="1"/>
    <n v="1"/>
  </r>
  <r>
    <m/>
    <m/>
    <x v="1"/>
    <s v="71575625001001"/>
    <n v="-5.96"/>
    <n v="152"/>
    <n v="1"/>
    <n v="1"/>
  </r>
  <r>
    <m/>
    <m/>
    <x v="1"/>
    <s v="71625176001001"/>
    <n v="-34.700000000000003"/>
    <n v="885"/>
    <n v="1"/>
    <n v="1"/>
  </r>
  <r>
    <m/>
    <m/>
    <x v="1"/>
    <s v="71771733001003"/>
    <n v="-53.17"/>
    <n v="1356"/>
    <n v="1"/>
    <n v="1"/>
  </r>
  <r>
    <m/>
    <m/>
    <x v="1"/>
    <s v="71822800001001"/>
    <n v="-62.7"/>
    <n v="1599"/>
    <n v="1"/>
    <n v="1"/>
  </r>
  <r>
    <m/>
    <m/>
    <x v="1"/>
    <s v="71835065001003"/>
    <n v="-16.7"/>
    <n v="426"/>
    <n v="1"/>
    <n v="1"/>
  </r>
  <r>
    <m/>
    <m/>
    <x v="1"/>
    <s v="71915406001004"/>
    <n v="-4.04"/>
    <n v="103"/>
    <n v="1"/>
    <n v="1"/>
  </r>
  <r>
    <m/>
    <m/>
    <x v="1"/>
    <s v="71968164001001"/>
    <n v="-128.57"/>
    <n v="3279"/>
    <n v="1"/>
    <n v="1"/>
  </r>
  <r>
    <m/>
    <m/>
    <x v="1"/>
    <s v="71983541001003"/>
    <n v="-27.84"/>
    <n v="710"/>
    <n v="1"/>
    <n v="1"/>
  </r>
  <r>
    <m/>
    <m/>
    <x v="1"/>
    <s v="72116107007001"/>
    <n v="-7.76"/>
    <n v="198"/>
    <n v="1"/>
    <n v="1"/>
  </r>
  <r>
    <m/>
    <m/>
    <x v="1"/>
    <s v="72255939001003"/>
    <n v="-19.41"/>
    <n v="495"/>
    <n v="1"/>
    <n v="1"/>
  </r>
  <r>
    <m/>
    <m/>
    <x v="1"/>
    <s v="72281719002001"/>
    <n v="-17.059999999999999"/>
    <n v="435"/>
    <n v="1"/>
    <n v="1"/>
  </r>
  <r>
    <m/>
    <m/>
    <x v="1"/>
    <s v="72349625001002"/>
    <n v="-1.49"/>
    <n v="38"/>
    <n v="1"/>
    <n v="1"/>
  </r>
  <r>
    <m/>
    <m/>
    <x v="1"/>
    <s v="72414106001007"/>
    <n v="-38.19"/>
    <n v="974"/>
    <n v="1"/>
    <n v="1"/>
  </r>
  <r>
    <m/>
    <m/>
    <x v="1"/>
    <s v="73073162002001"/>
    <n v="-13.06"/>
    <n v="333"/>
    <n v="1"/>
    <n v="1"/>
  </r>
  <r>
    <m/>
    <m/>
    <x v="1"/>
    <s v="73183338001003"/>
    <n v="-30.98"/>
    <n v="790"/>
    <n v="1"/>
    <n v="1"/>
  </r>
  <r>
    <m/>
    <m/>
    <x v="1"/>
    <s v="73183610001001"/>
    <n v="-44.46"/>
    <n v="1134"/>
    <n v="1"/>
    <n v="1"/>
  </r>
  <r>
    <m/>
    <m/>
    <x v="1"/>
    <s v="73241290002003"/>
    <n v="-35.17"/>
    <n v="897"/>
    <n v="1"/>
    <n v="1"/>
  </r>
  <r>
    <m/>
    <m/>
    <x v="1"/>
    <s v="73496965001001"/>
    <n v="-71.010000000000005"/>
    <n v="1811"/>
    <n v="1"/>
    <n v="1"/>
  </r>
  <r>
    <m/>
    <m/>
    <x v="1"/>
    <s v="73587213002004"/>
    <n v="-68.97"/>
    <n v="1759"/>
    <n v="1"/>
    <n v="1"/>
  </r>
  <r>
    <m/>
    <m/>
    <x v="1"/>
    <s v="73630920001004"/>
    <n v="-25.41"/>
    <n v="648"/>
    <n v="1"/>
    <n v="1"/>
  </r>
  <r>
    <m/>
    <m/>
    <x v="1"/>
    <s v="73758151001001"/>
    <n v="-57.29"/>
    <n v="1461"/>
    <n v="1"/>
    <n v="1"/>
  </r>
  <r>
    <m/>
    <m/>
    <x v="1"/>
    <s v="73783764001001"/>
    <n v="-32.15"/>
    <n v="820"/>
    <n v="1"/>
    <n v="1"/>
  </r>
  <r>
    <m/>
    <m/>
    <x v="1"/>
    <s v="73949590004003"/>
    <n v="-39.6"/>
    <n v="1010"/>
    <n v="1"/>
    <n v="1"/>
  </r>
  <r>
    <m/>
    <m/>
    <x v="1"/>
    <s v="74187446001006"/>
    <n v="-32.15"/>
    <n v="820"/>
    <n v="1"/>
    <n v="1"/>
  </r>
  <r>
    <m/>
    <m/>
    <x v="1"/>
    <s v="74446426001001"/>
    <n v="-66.540000000000006"/>
    <n v="1697"/>
    <n v="1"/>
    <n v="1"/>
  </r>
  <r>
    <m/>
    <m/>
    <x v="1"/>
    <s v="74962988001001"/>
    <n v="-48.35"/>
    <n v="1233"/>
    <n v="1"/>
    <n v="1"/>
  </r>
  <r>
    <m/>
    <m/>
    <x v="1"/>
    <s v="75379491002001"/>
    <n v="-28.58"/>
    <n v="729"/>
    <n v="1"/>
    <n v="1"/>
  </r>
  <r>
    <m/>
    <m/>
    <x v="1"/>
    <s v="75404405001001"/>
    <n v="-16.190000000000001"/>
    <n v="413"/>
    <n v="1"/>
    <n v="1"/>
  </r>
  <r>
    <m/>
    <m/>
    <x v="1"/>
    <s v="75487883001003"/>
    <n v="-33.92"/>
    <n v="865"/>
    <n v="1"/>
    <n v="1"/>
  </r>
  <r>
    <m/>
    <m/>
    <x v="1"/>
    <s v="75591553001001"/>
    <n v="-20.51"/>
    <n v="523"/>
    <n v="1"/>
    <n v="1"/>
  </r>
  <r>
    <m/>
    <m/>
    <x v="1"/>
    <s v="75990063001006"/>
    <n v="-4.16"/>
    <n v="106"/>
    <n v="1"/>
    <n v="1"/>
  </r>
  <r>
    <m/>
    <m/>
    <x v="1"/>
    <s v="76051640001005"/>
    <n v="-21.17"/>
    <n v="540"/>
    <n v="1"/>
    <n v="1"/>
  </r>
  <r>
    <m/>
    <m/>
    <x v="1"/>
    <s v="76207699002001"/>
    <n v="-37.29"/>
    <n v="951"/>
    <n v="1"/>
    <n v="1"/>
  </r>
  <r>
    <m/>
    <m/>
    <x v="1"/>
    <s v="76419170001003"/>
    <n v="-36.86"/>
    <n v="940"/>
    <n v="1"/>
    <n v="1"/>
  </r>
  <r>
    <m/>
    <m/>
    <x v="1"/>
    <s v="76824306001001"/>
    <n v="-13.76"/>
    <n v="351"/>
    <n v="1"/>
    <n v="1"/>
  </r>
  <r>
    <m/>
    <m/>
    <x v="1"/>
    <s v="76834821003003"/>
    <n v="-4.2"/>
    <n v="107"/>
    <n v="1"/>
    <n v="1"/>
  </r>
  <r>
    <m/>
    <m/>
    <x v="1"/>
    <s v="76882051001003"/>
    <n v="-17.41"/>
    <n v="444"/>
    <n v="1"/>
    <n v="1"/>
  </r>
  <r>
    <m/>
    <m/>
    <x v="1"/>
    <s v="77034079001001"/>
    <n v="-39.21"/>
    <n v="1000"/>
    <n v="1"/>
    <n v="1"/>
  </r>
  <r>
    <m/>
    <m/>
    <x v="1"/>
    <s v="77431809001004"/>
    <n v="-47.25"/>
    <n v="1205"/>
    <n v="1"/>
    <n v="1"/>
  </r>
  <r>
    <m/>
    <m/>
    <x v="1"/>
    <s v="77456701001001"/>
    <n v="-60.3"/>
    <n v="1538"/>
    <n v="1"/>
    <n v="1"/>
  </r>
  <r>
    <m/>
    <m/>
    <x v="1"/>
    <s v="77469310001005"/>
    <n v="-51.4"/>
    <n v="1311"/>
    <n v="1"/>
    <n v="1"/>
  </r>
  <r>
    <m/>
    <m/>
    <x v="1"/>
    <s v="77538150006001"/>
    <n v="-34.07"/>
    <n v="869"/>
    <n v="1"/>
    <n v="1"/>
  </r>
  <r>
    <m/>
    <m/>
    <x v="1"/>
    <s v="77813221001001"/>
    <n v="-0.39"/>
    <n v="10"/>
    <n v="1"/>
    <n v="1"/>
  </r>
  <r>
    <m/>
    <m/>
    <x v="1"/>
    <s v="77860128001001"/>
    <n v="-50.54"/>
    <n v="1289"/>
    <n v="1"/>
    <n v="1"/>
  </r>
  <r>
    <m/>
    <m/>
    <x v="1"/>
    <s v="77965745001001"/>
    <n v="-44.66"/>
    <n v="1139"/>
    <n v="1"/>
    <n v="1"/>
  </r>
  <r>
    <m/>
    <m/>
    <x v="1"/>
    <s v="77976864001001"/>
    <n v="-18.510000000000002"/>
    <n v="472"/>
    <n v="1"/>
    <n v="1"/>
  </r>
  <r>
    <m/>
    <m/>
    <x v="1"/>
    <s v="78002899002002"/>
    <n v="-62.74"/>
    <n v="1600"/>
    <n v="1"/>
    <n v="1"/>
  </r>
  <r>
    <m/>
    <m/>
    <x v="1"/>
    <s v="78040116001002"/>
    <n v="-67.83"/>
    <n v="1730"/>
    <n v="1"/>
    <n v="1"/>
  </r>
  <r>
    <m/>
    <m/>
    <x v="1"/>
    <s v="78107039001001"/>
    <n v="-3.76"/>
    <n v="96"/>
    <n v="1"/>
    <n v="1"/>
  </r>
  <r>
    <m/>
    <m/>
    <x v="1"/>
    <s v="78257483004003"/>
    <n v="-27.25"/>
    <n v="695"/>
    <n v="1"/>
    <n v="1"/>
  </r>
  <r>
    <m/>
    <m/>
    <x v="1"/>
    <s v="78272932003021"/>
    <n v="-28.35"/>
    <n v="723"/>
    <n v="1"/>
    <n v="1"/>
  </r>
  <r>
    <m/>
    <m/>
    <x v="1"/>
    <s v="78305476001002"/>
    <n v="-36.979999999999997"/>
    <n v="943"/>
    <n v="1"/>
    <n v="1"/>
  </r>
  <r>
    <m/>
    <m/>
    <x v="1"/>
    <s v="78319567001011"/>
    <n v="-66.97"/>
    <n v="1708"/>
    <n v="1"/>
    <n v="1"/>
  </r>
  <r>
    <m/>
    <m/>
    <x v="1"/>
    <s v="78360766001001"/>
    <n v="-114.14"/>
    <n v="2911"/>
    <n v="1"/>
    <n v="1"/>
  </r>
  <r>
    <m/>
    <m/>
    <x v="1"/>
    <s v="78365326001003"/>
    <n v="-24.9"/>
    <n v="635"/>
    <n v="1"/>
    <n v="1"/>
  </r>
  <r>
    <m/>
    <m/>
    <x v="1"/>
    <s v="78415920003009"/>
    <n v="-30.35"/>
    <n v="774"/>
    <n v="1"/>
    <n v="1"/>
  </r>
  <r>
    <m/>
    <m/>
    <x v="1"/>
    <s v="78610741003005"/>
    <n v="-64.459999999999994"/>
    <n v="1644"/>
    <n v="1"/>
    <n v="1"/>
  </r>
  <r>
    <m/>
    <m/>
    <x v="1"/>
    <s v="78981033002001"/>
    <n v="-98.85"/>
    <n v="2521"/>
    <n v="1"/>
    <n v="1"/>
  </r>
  <r>
    <m/>
    <m/>
    <x v="1"/>
    <s v="79262329001005"/>
    <n v="-28.11"/>
    <n v="717"/>
    <n v="1"/>
    <n v="1"/>
  </r>
  <r>
    <m/>
    <m/>
    <x v="1"/>
    <s v="79728915002004"/>
    <n v="-46.39"/>
    <n v="1183"/>
    <n v="1"/>
    <n v="1"/>
  </r>
  <r>
    <m/>
    <m/>
    <x v="1"/>
    <s v="79876400001001"/>
    <n v="-40.94"/>
    <n v="1044"/>
    <n v="1"/>
    <n v="1"/>
  </r>
  <r>
    <m/>
    <m/>
    <x v="1"/>
    <s v="80040145002003"/>
    <n v="-57.17"/>
    <n v="1458"/>
    <n v="1"/>
    <n v="1"/>
  </r>
  <r>
    <m/>
    <m/>
    <x v="1"/>
    <s v="80231406001003"/>
    <n v="-67.83"/>
    <n v="1730"/>
    <n v="1"/>
    <n v="1"/>
  </r>
  <r>
    <m/>
    <m/>
    <x v="1"/>
    <s v="80579052001003"/>
    <n v="-33.520000000000003"/>
    <n v="855"/>
    <n v="1"/>
    <n v="1"/>
  </r>
  <r>
    <m/>
    <m/>
    <x v="1"/>
    <s v="80690359001001"/>
    <n v="-16"/>
    <n v="408"/>
    <n v="1"/>
    <n v="1"/>
  </r>
  <r>
    <m/>
    <m/>
    <x v="1"/>
    <s v="80691482001003"/>
    <n v="-45.91"/>
    <n v="1171"/>
    <n v="1"/>
    <n v="1"/>
  </r>
  <r>
    <m/>
    <m/>
    <x v="1"/>
    <s v="80927139001003"/>
    <n v="-9.9600000000000009"/>
    <n v="254"/>
    <n v="1"/>
    <n v="1"/>
  </r>
  <r>
    <m/>
    <m/>
    <x v="1"/>
    <s v="81283750001001"/>
    <n v="-27.13"/>
    <n v="692"/>
    <n v="1"/>
    <n v="1"/>
  </r>
  <r>
    <m/>
    <m/>
    <x v="1"/>
    <s v="81304932001001"/>
    <n v="-38.229999999999997"/>
    <n v="975"/>
    <n v="1"/>
    <n v="1"/>
  </r>
  <r>
    <m/>
    <m/>
    <x v="1"/>
    <s v="81337996001001"/>
    <n v="-39.130000000000003"/>
    <n v="998"/>
    <n v="1"/>
    <n v="1"/>
  </r>
  <r>
    <m/>
    <m/>
    <x v="1"/>
    <s v="81392055002006"/>
    <n v="-59.95"/>
    <n v="1529"/>
    <n v="1"/>
    <n v="1"/>
  </r>
  <r>
    <m/>
    <m/>
    <x v="1"/>
    <s v="81678039001001"/>
    <n v="-15.41"/>
    <n v="393"/>
    <n v="1"/>
    <n v="1"/>
  </r>
  <r>
    <m/>
    <m/>
    <x v="1"/>
    <s v="81890846004001"/>
    <n v="-51.76"/>
    <n v="1320"/>
    <n v="1"/>
    <n v="1"/>
  </r>
  <r>
    <m/>
    <m/>
    <x v="1"/>
    <s v="81905257001001"/>
    <n v="-60.42"/>
    <n v="1541"/>
    <n v="1"/>
    <n v="1"/>
  </r>
  <r>
    <m/>
    <m/>
    <x v="1"/>
    <s v="82041298001001"/>
    <n v="-67.25"/>
    <n v="1715"/>
    <n v="1"/>
    <n v="1"/>
  </r>
  <r>
    <m/>
    <m/>
    <x v="1"/>
    <s v="82061210002003"/>
    <n v="-71.209999999999994"/>
    <n v="1816"/>
    <n v="1"/>
    <n v="1"/>
  </r>
  <r>
    <m/>
    <m/>
    <x v="1"/>
    <s v="82090212005001"/>
    <n v="-56.74"/>
    <n v="1447"/>
    <n v="1"/>
    <n v="1"/>
  </r>
  <r>
    <m/>
    <m/>
    <x v="1"/>
    <s v="82301770001003"/>
    <n v="-47.88"/>
    <n v="1221"/>
    <n v="1"/>
    <n v="1"/>
  </r>
  <r>
    <m/>
    <m/>
    <x v="1"/>
    <s v="82411065001003"/>
    <n v="-3.65"/>
    <n v="93"/>
    <n v="1"/>
    <n v="1"/>
  </r>
  <r>
    <m/>
    <m/>
    <x v="1"/>
    <s v="82412634002004"/>
    <n v="-37.21"/>
    <n v="949"/>
    <n v="1"/>
    <n v="1"/>
  </r>
  <r>
    <m/>
    <m/>
    <x v="1"/>
    <s v="82440956001001"/>
    <n v="-47.13"/>
    <n v="1202"/>
    <n v="1"/>
    <n v="1"/>
  </r>
  <r>
    <m/>
    <m/>
    <x v="1"/>
    <s v="82467652003001"/>
    <n v="-40.43"/>
    <n v="1031"/>
    <n v="1"/>
    <n v="1"/>
  </r>
  <r>
    <m/>
    <m/>
    <x v="1"/>
    <s v="82488681001001"/>
    <n v="-16.66"/>
    <n v="425"/>
    <n v="1"/>
    <n v="1"/>
  </r>
  <r>
    <m/>
    <m/>
    <x v="1"/>
    <s v="82658174001006"/>
    <n v="-46.31"/>
    <n v="1181"/>
    <n v="1"/>
    <n v="1"/>
  </r>
  <r>
    <m/>
    <m/>
    <x v="1"/>
    <s v="82697231001002"/>
    <n v="-17.53"/>
    <n v="447"/>
    <n v="1"/>
    <n v="1"/>
  </r>
  <r>
    <m/>
    <m/>
    <x v="1"/>
    <s v="82800086001001"/>
    <n v="-21.57"/>
    <n v="550"/>
    <n v="1"/>
    <n v="1"/>
  </r>
  <r>
    <m/>
    <m/>
    <x v="1"/>
    <s v="82877362001001"/>
    <n v="-26.62"/>
    <n v="679"/>
    <n v="1"/>
    <n v="1"/>
  </r>
  <r>
    <m/>
    <m/>
    <x v="1"/>
    <s v="83010955001001"/>
    <n v="-10.9"/>
    <n v="278"/>
    <n v="1"/>
    <n v="1"/>
  </r>
  <r>
    <m/>
    <m/>
    <x v="1"/>
    <s v="83187563001001"/>
    <n v="-36.07"/>
    <n v="920"/>
    <n v="1"/>
    <n v="1"/>
  </r>
  <r>
    <m/>
    <m/>
    <x v="1"/>
    <s v="83641533002004"/>
    <n v="-35.68"/>
    <n v="910"/>
    <n v="1"/>
    <n v="1"/>
  </r>
  <r>
    <m/>
    <m/>
    <x v="1"/>
    <s v="83648881001001"/>
    <n v="-39.17"/>
    <n v="999"/>
    <n v="1"/>
    <n v="1"/>
  </r>
  <r>
    <m/>
    <m/>
    <x v="1"/>
    <s v="83981932001002"/>
    <n v="-1.76"/>
    <n v="45"/>
    <n v="1"/>
    <n v="1"/>
  </r>
  <r>
    <m/>
    <m/>
    <x v="1"/>
    <s v="84291714001001"/>
    <n v="-42.58"/>
    <n v="1086"/>
    <n v="1"/>
    <n v="1"/>
  </r>
  <r>
    <m/>
    <m/>
    <x v="1"/>
    <s v="84497328001001"/>
    <n v="-46.66"/>
    <n v="1190"/>
    <n v="1"/>
    <n v="1"/>
  </r>
  <r>
    <m/>
    <m/>
    <x v="1"/>
    <s v="84539713001002"/>
    <n v="-2.74"/>
    <n v="70"/>
    <n v="1"/>
    <n v="1"/>
  </r>
  <r>
    <m/>
    <m/>
    <x v="1"/>
    <s v="85023046001005"/>
    <n v="-40.619999999999997"/>
    <n v="1036"/>
    <n v="1"/>
    <n v="1"/>
  </r>
  <r>
    <m/>
    <m/>
    <x v="1"/>
    <s v="85052617001010"/>
    <n v="-9.8000000000000007"/>
    <n v="250"/>
    <n v="1"/>
    <n v="1"/>
  </r>
  <r>
    <m/>
    <m/>
    <x v="1"/>
    <s v="85108950001001"/>
    <n v="-28.62"/>
    <n v="730"/>
    <n v="1"/>
    <n v="1"/>
  </r>
  <r>
    <m/>
    <m/>
    <x v="1"/>
    <s v="85307300001016"/>
    <n v="-44.82"/>
    <n v="1143"/>
    <n v="1"/>
    <n v="1"/>
  </r>
  <r>
    <m/>
    <m/>
    <x v="1"/>
    <s v="85316731004002"/>
    <n v="-69.83"/>
    <n v="1781"/>
    <n v="1"/>
    <n v="1"/>
  </r>
  <r>
    <m/>
    <m/>
    <x v="1"/>
    <s v="85581255001001"/>
    <n v="-18"/>
    <n v="459"/>
    <n v="1"/>
    <n v="1"/>
  </r>
  <r>
    <m/>
    <m/>
    <x v="1"/>
    <s v="85590751001003"/>
    <n v="-28.27"/>
    <n v="721"/>
    <n v="1"/>
    <n v="1"/>
  </r>
  <r>
    <m/>
    <m/>
    <x v="1"/>
    <s v="85648933001001"/>
    <n v="-41.92"/>
    <n v="1069"/>
    <n v="1"/>
    <n v="1"/>
  </r>
  <r>
    <m/>
    <m/>
    <x v="1"/>
    <s v="85663723001011"/>
    <n v="-68.849999999999994"/>
    <n v="1756"/>
    <n v="1"/>
    <n v="1"/>
  </r>
  <r>
    <m/>
    <m/>
    <x v="1"/>
    <s v="85865787001003"/>
    <n v="-8.94"/>
    <n v="228"/>
    <n v="1"/>
    <n v="1"/>
  </r>
  <r>
    <m/>
    <m/>
    <x v="1"/>
    <s v="85877100003003"/>
    <n v="-17.61"/>
    <n v="449"/>
    <n v="1"/>
    <n v="1"/>
  </r>
  <r>
    <m/>
    <m/>
    <x v="1"/>
    <s v="85995109001001"/>
    <n v="-51.64"/>
    <n v="1317"/>
    <n v="1"/>
    <n v="1"/>
  </r>
  <r>
    <m/>
    <m/>
    <x v="1"/>
    <s v="86090490001001"/>
    <n v="-80.34"/>
    <n v="2049"/>
    <n v="1"/>
    <n v="1"/>
  </r>
  <r>
    <m/>
    <m/>
    <x v="1"/>
    <s v="86166400001001"/>
    <n v="-97.12"/>
    <n v="2477"/>
    <n v="1"/>
    <n v="1"/>
  </r>
  <r>
    <m/>
    <m/>
    <x v="1"/>
    <s v="86307010001002"/>
    <n v="-54.62"/>
    <n v="1393"/>
    <n v="1"/>
    <n v="1"/>
  </r>
  <r>
    <m/>
    <m/>
    <x v="1"/>
    <s v="86307411001003"/>
    <n v="-39.479999999999997"/>
    <n v="1007"/>
    <n v="1"/>
    <n v="1"/>
  </r>
  <r>
    <m/>
    <m/>
    <x v="1"/>
    <s v="86342190001003"/>
    <n v="-35.49"/>
    <n v="905"/>
    <n v="1"/>
    <n v="1"/>
  </r>
  <r>
    <m/>
    <m/>
    <x v="1"/>
    <s v="86363752001001"/>
    <n v="-27.96"/>
    <n v="713"/>
    <n v="1"/>
    <n v="1"/>
  </r>
  <r>
    <m/>
    <m/>
    <x v="1"/>
    <s v="86674199001002"/>
    <n v="-54.5"/>
    <n v="1390"/>
    <n v="1"/>
    <n v="1"/>
  </r>
  <r>
    <m/>
    <m/>
    <x v="1"/>
    <s v="86709161001013"/>
    <n v="-11.33"/>
    <n v="289"/>
    <n v="1"/>
    <n v="1"/>
  </r>
  <r>
    <m/>
    <m/>
    <x v="1"/>
    <s v="86799046001002"/>
    <n v="-41.48"/>
    <n v="1058"/>
    <n v="1"/>
    <n v="1"/>
  </r>
  <r>
    <m/>
    <m/>
    <x v="1"/>
    <s v="86965244003001"/>
    <n v="-35.56"/>
    <n v="907"/>
    <n v="1"/>
    <n v="1"/>
  </r>
  <r>
    <m/>
    <m/>
    <x v="1"/>
    <s v="86993697001006"/>
    <n v="-32.11"/>
    <n v="819"/>
    <n v="1"/>
    <n v="1"/>
  </r>
  <r>
    <m/>
    <m/>
    <x v="1"/>
    <s v="86997021001001"/>
    <n v="-42.31"/>
    <n v="1079"/>
    <n v="1"/>
    <n v="1"/>
  </r>
  <r>
    <m/>
    <m/>
    <x v="1"/>
    <s v="87027409001001"/>
    <n v="-132.18"/>
    <n v="3371"/>
    <n v="1"/>
    <n v="1"/>
  </r>
  <r>
    <m/>
    <m/>
    <x v="1"/>
    <s v="87070196001003"/>
    <n v="-22.82"/>
    <n v="582"/>
    <n v="1"/>
    <n v="1"/>
  </r>
  <r>
    <m/>
    <m/>
    <x v="1"/>
    <s v="87114513002001"/>
    <n v="-44.07"/>
    <n v="1124"/>
    <n v="1"/>
    <n v="1"/>
  </r>
  <r>
    <m/>
    <m/>
    <x v="1"/>
    <s v="87134959001001"/>
    <n v="-88.26"/>
    <n v="2251"/>
    <n v="1"/>
    <n v="1"/>
  </r>
  <r>
    <m/>
    <m/>
    <x v="1"/>
    <s v="87157714001003"/>
    <n v="-34.35"/>
    <n v="876"/>
    <n v="1"/>
    <n v="1"/>
  </r>
  <r>
    <m/>
    <m/>
    <x v="1"/>
    <s v="87271363001002"/>
    <n v="-6.82"/>
    <n v="174"/>
    <n v="1"/>
    <n v="1"/>
  </r>
  <r>
    <m/>
    <m/>
    <x v="1"/>
    <s v="87486491001002"/>
    <n v="-18.350000000000001"/>
    <n v="468"/>
    <n v="1"/>
    <n v="1"/>
  </r>
  <r>
    <m/>
    <m/>
    <x v="1"/>
    <s v="87498972001001"/>
    <n v="-48.03"/>
    <n v="1225"/>
    <n v="1"/>
    <n v="1"/>
  </r>
  <r>
    <m/>
    <m/>
    <x v="1"/>
    <s v="87984399001003"/>
    <n v="-60.62"/>
    <n v="1546"/>
    <n v="1"/>
    <n v="1"/>
  </r>
  <r>
    <m/>
    <m/>
    <x v="1"/>
    <s v="88037259002004"/>
    <n v="-100.18"/>
    <n v="2555"/>
    <n v="1"/>
    <n v="1"/>
  </r>
  <r>
    <m/>
    <m/>
    <x v="1"/>
    <s v="88063060001002"/>
    <n v="-117.04"/>
    <n v="2985"/>
    <n v="1"/>
    <n v="1"/>
  </r>
  <r>
    <m/>
    <m/>
    <x v="1"/>
    <s v="88142714001001"/>
    <n v="-105.44"/>
    <n v="2689"/>
    <n v="1"/>
    <n v="1"/>
  </r>
  <r>
    <m/>
    <m/>
    <x v="1"/>
    <s v="88142806002001"/>
    <n v="-71.790000000000006"/>
    <n v="1831"/>
    <n v="1"/>
    <n v="1"/>
  </r>
  <r>
    <m/>
    <m/>
    <x v="1"/>
    <s v="88182721001002"/>
    <n v="-11.25"/>
    <n v="287"/>
    <n v="1"/>
    <n v="1"/>
  </r>
  <r>
    <m/>
    <m/>
    <x v="1"/>
    <s v="88450306001003"/>
    <n v="-26.23"/>
    <n v="669"/>
    <n v="1"/>
    <n v="1"/>
  </r>
  <r>
    <m/>
    <m/>
    <x v="1"/>
    <s v="88484707001005"/>
    <n v="-21.33"/>
    <n v="544"/>
    <n v="1"/>
    <n v="1"/>
  </r>
  <r>
    <m/>
    <m/>
    <x v="1"/>
    <s v="88915775001003"/>
    <n v="-8.1199999999999992"/>
    <n v="207"/>
    <n v="1"/>
    <n v="1"/>
  </r>
  <r>
    <m/>
    <m/>
    <x v="1"/>
    <s v="88983549001001"/>
    <n v="-53.48"/>
    <n v="1364"/>
    <n v="1"/>
    <n v="1"/>
  </r>
  <r>
    <m/>
    <m/>
    <x v="1"/>
    <s v="89107006001001"/>
    <n v="-15.14"/>
    <n v="386"/>
    <n v="1"/>
    <n v="1"/>
  </r>
  <r>
    <m/>
    <m/>
    <x v="1"/>
    <s v="89156906001001"/>
    <n v="-17.29"/>
    <n v="441"/>
    <n v="1"/>
    <n v="1"/>
  </r>
  <r>
    <m/>
    <m/>
    <x v="1"/>
    <s v="89366347001001"/>
    <n v="-74.260000000000005"/>
    <n v="1894"/>
    <n v="1"/>
    <n v="1"/>
  </r>
  <r>
    <m/>
    <m/>
    <x v="1"/>
    <s v="89416711001001"/>
    <n v="-23.96"/>
    <n v="611"/>
    <n v="1"/>
    <n v="1"/>
  </r>
  <r>
    <m/>
    <m/>
    <x v="1"/>
    <s v="89520809001009"/>
    <n v="-43.52"/>
    <n v="1110"/>
    <n v="1"/>
    <n v="1"/>
  </r>
  <r>
    <m/>
    <m/>
    <x v="1"/>
    <s v="89581153002001"/>
    <n v="-3.1"/>
    <n v="79"/>
    <n v="1"/>
    <n v="1"/>
  </r>
  <r>
    <m/>
    <m/>
    <x v="1"/>
    <s v="89768877001001"/>
    <n v="-33.880000000000003"/>
    <n v="864"/>
    <n v="1"/>
    <n v="1"/>
  </r>
  <r>
    <m/>
    <m/>
    <x v="1"/>
    <s v="89864539001001"/>
    <n v="-60.11"/>
    <n v="1533"/>
    <n v="1"/>
    <n v="1"/>
  </r>
  <r>
    <m/>
    <m/>
    <x v="1"/>
    <s v="89887026001003"/>
    <n v="-44.07"/>
    <n v="1124"/>
    <n v="1"/>
    <n v="1"/>
  </r>
  <r>
    <m/>
    <m/>
    <x v="1"/>
    <s v="89949893001001"/>
    <n v="-11.8"/>
    <n v="301"/>
    <n v="1"/>
    <n v="1"/>
  </r>
  <r>
    <m/>
    <m/>
    <x v="1"/>
    <s v="89953012002004"/>
    <n v="-12.19"/>
    <n v="311"/>
    <n v="1"/>
    <n v="1"/>
  </r>
  <r>
    <m/>
    <m/>
    <x v="1"/>
    <s v="90452668002001"/>
    <n v="-39.450000000000003"/>
    <n v="1006"/>
    <n v="1"/>
    <n v="1"/>
  </r>
  <r>
    <m/>
    <m/>
    <x v="1"/>
    <s v="90516824001003"/>
    <n v="-45.48"/>
    <n v="1160"/>
    <n v="1"/>
    <n v="1"/>
  </r>
  <r>
    <m/>
    <m/>
    <x v="1"/>
    <s v="90673462003001"/>
    <n v="-60.81"/>
    <n v="1551"/>
    <n v="1"/>
    <n v="1"/>
  </r>
  <r>
    <m/>
    <m/>
    <x v="1"/>
    <s v="90805481002003"/>
    <n v="-79.989999999999995"/>
    <n v="2040"/>
    <n v="1"/>
    <n v="1"/>
  </r>
  <r>
    <m/>
    <m/>
    <x v="1"/>
    <s v="90822925001006"/>
    <n v="-64.77"/>
    <n v="1652"/>
    <n v="1"/>
    <n v="1"/>
  </r>
  <r>
    <m/>
    <m/>
    <x v="1"/>
    <s v="90876636001005"/>
    <n v="-17.45"/>
    <n v="445"/>
    <n v="1"/>
    <n v="1"/>
  </r>
  <r>
    <m/>
    <m/>
    <x v="1"/>
    <s v="91039711003001"/>
    <n v="-45.41"/>
    <n v="1158"/>
    <n v="1"/>
    <n v="1"/>
  </r>
  <r>
    <m/>
    <m/>
    <x v="1"/>
    <s v="91059700002001"/>
    <n v="-33.64"/>
    <n v="858"/>
    <n v="1"/>
    <n v="1"/>
  </r>
  <r>
    <m/>
    <m/>
    <x v="1"/>
    <s v="91081109001003"/>
    <n v="-24.47"/>
    <n v="624"/>
    <n v="1"/>
    <n v="1"/>
  </r>
  <r>
    <m/>
    <m/>
    <x v="1"/>
    <s v="91086693001001"/>
    <n v="-15.57"/>
    <n v="397"/>
    <n v="1"/>
    <n v="1"/>
  </r>
  <r>
    <m/>
    <m/>
    <x v="1"/>
    <s v="91233206001001"/>
    <n v="-20.55"/>
    <n v="524"/>
    <n v="1"/>
    <n v="1"/>
  </r>
  <r>
    <m/>
    <m/>
    <x v="1"/>
    <s v="91441748001001"/>
    <n v="-60.38"/>
    <n v="1540"/>
    <n v="1"/>
    <n v="1"/>
  </r>
  <r>
    <m/>
    <m/>
    <x v="1"/>
    <s v="91911316001004"/>
    <n v="-24"/>
    <n v="612"/>
    <n v="1"/>
    <n v="1"/>
  </r>
  <r>
    <m/>
    <m/>
    <x v="1"/>
    <s v="91947072001002"/>
    <n v="-35.76"/>
    <n v="912"/>
    <n v="1"/>
    <n v="1"/>
  </r>
  <r>
    <m/>
    <m/>
    <x v="1"/>
    <s v="92061113001004"/>
    <n v="-8.51"/>
    <n v="217"/>
    <n v="1"/>
    <n v="1"/>
  </r>
  <r>
    <m/>
    <m/>
    <x v="1"/>
    <s v="92631033001005"/>
    <n v="-91.2"/>
    <n v="2326"/>
    <n v="1"/>
    <n v="1"/>
  </r>
  <r>
    <m/>
    <m/>
    <x v="1"/>
    <s v="92711390001001"/>
    <n v="-43.68"/>
    <n v="1114"/>
    <n v="1"/>
    <n v="1"/>
  </r>
  <r>
    <m/>
    <m/>
    <x v="1"/>
    <s v="92883803001003"/>
    <n v="-67.319999999999993"/>
    <n v="1717"/>
    <n v="1"/>
    <n v="1"/>
  </r>
  <r>
    <m/>
    <m/>
    <x v="1"/>
    <s v="92960404001001"/>
    <n v="-73.05"/>
    <n v="1863"/>
    <n v="1"/>
    <n v="1"/>
  </r>
  <r>
    <m/>
    <m/>
    <x v="1"/>
    <s v="93053068001003"/>
    <n v="-55.33"/>
    <n v="1411"/>
    <n v="1"/>
    <n v="1"/>
  </r>
  <r>
    <m/>
    <m/>
    <x v="1"/>
    <s v="93262077001007"/>
    <n v="-13.92"/>
    <n v="355"/>
    <n v="1"/>
    <n v="1"/>
  </r>
  <r>
    <m/>
    <m/>
    <x v="1"/>
    <s v="93280654001004"/>
    <n v="-42.54"/>
    <n v="1085"/>
    <n v="1"/>
    <n v="1"/>
  </r>
  <r>
    <m/>
    <m/>
    <x v="1"/>
    <s v="93295699001010"/>
    <n v="-40.5"/>
    <n v="1033"/>
    <n v="1"/>
    <n v="1"/>
  </r>
  <r>
    <m/>
    <m/>
    <x v="1"/>
    <s v="93332324001001"/>
    <n v="-18.04"/>
    <n v="460"/>
    <n v="1"/>
    <n v="1"/>
  </r>
  <r>
    <m/>
    <m/>
    <x v="1"/>
    <s v="93416826004001"/>
    <n v="-36.39"/>
    <n v="928"/>
    <n v="1"/>
    <n v="1"/>
  </r>
  <r>
    <m/>
    <m/>
    <x v="1"/>
    <s v="93447974001001"/>
    <n v="-63.99"/>
    <n v="1632"/>
    <n v="1"/>
    <n v="1"/>
  </r>
  <r>
    <m/>
    <m/>
    <x v="1"/>
    <s v="93483899001002"/>
    <n v="-38.86"/>
    <n v="991"/>
    <n v="1"/>
    <n v="1"/>
  </r>
  <r>
    <m/>
    <m/>
    <x v="1"/>
    <s v="93502736001008"/>
    <n v="-6.86"/>
    <n v="175"/>
    <n v="1"/>
    <n v="1"/>
  </r>
  <r>
    <m/>
    <m/>
    <x v="1"/>
    <s v="93525219001001"/>
    <n v="-27.64"/>
    <n v="705"/>
    <n v="1"/>
    <n v="1"/>
  </r>
  <r>
    <m/>
    <m/>
    <x v="1"/>
    <s v="93549993001001"/>
    <n v="-65.25"/>
    <n v="1664"/>
    <n v="1"/>
    <n v="1"/>
  </r>
  <r>
    <m/>
    <m/>
    <x v="1"/>
    <s v="93630806001004"/>
    <n v="-59.91"/>
    <n v="1528"/>
    <n v="1"/>
    <n v="1"/>
  </r>
  <r>
    <m/>
    <m/>
    <x v="1"/>
    <s v="93645499001014"/>
    <n v="-39.01"/>
    <n v="995"/>
    <n v="1"/>
    <n v="1"/>
  </r>
  <r>
    <m/>
    <m/>
    <x v="1"/>
    <s v="93710321001003"/>
    <n v="-3.22"/>
    <n v="82"/>
    <n v="1"/>
    <n v="1"/>
  </r>
  <r>
    <m/>
    <m/>
    <x v="1"/>
    <s v="93853061001004"/>
    <n v="-30.74"/>
    <n v="784"/>
    <n v="1"/>
    <n v="1"/>
  </r>
  <r>
    <m/>
    <m/>
    <x v="1"/>
    <s v="94027788001002"/>
    <n v="-40.82"/>
    <n v="1041"/>
    <n v="1"/>
    <n v="1"/>
  </r>
  <r>
    <m/>
    <m/>
    <x v="1"/>
    <s v="94167857001010"/>
    <n v="-10.47"/>
    <n v="267"/>
    <n v="1"/>
    <n v="1"/>
  </r>
  <r>
    <m/>
    <m/>
    <x v="1"/>
    <s v="94294869001001"/>
    <n v="-36.15"/>
    <n v="922"/>
    <n v="1"/>
    <n v="1"/>
  </r>
  <r>
    <m/>
    <m/>
    <x v="1"/>
    <s v="94384624001001"/>
    <n v="-38.39"/>
    <n v="979"/>
    <n v="1"/>
    <n v="1"/>
  </r>
  <r>
    <m/>
    <m/>
    <x v="1"/>
    <s v="94490206001005"/>
    <n v="-10.08"/>
    <n v="257"/>
    <n v="1"/>
    <n v="1"/>
  </r>
  <r>
    <m/>
    <m/>
    <x v="1"/>
    <s v="94506465001003"/>
    <n v="-45.99"/>
    <n v="1173"/>
    <n v="1"/>
    <n v="1"/>
  </r>
  <r>
    <m/>
    <m/>
    <x v="1"/>
    <s v="94703589005001"/>
    <n v="-12.27"/>
    <n v="313"/>
    <n v="1"/>
    <n v="1"/>
  </r>
  <r>
    <m/>
    <m/>
    <x v="1"/>
    <s v="94860723001003"/>
    <n v="-30.19"/>
    <n v="770"/>
    <n v="1"/>
    <n v="1"/>
  </r>
  <r>
    <m/>
    <m/>
    <x v="1"/>
    <s v="94938062001001"/>
    <n v="-41.95"/>
    <n v="1070"/>
    <n v="1"/>
    <n v="1"/>
  </r>
  <r>
    <m/>
    <m/>
    <x v="1"/>
    <s v="95066278001003"/>
    <n v="-68.38"/>
    <n v="1744"/>
    <n v="1"/>
    <n v="1"/>
  </r>
  <r>
    <m/>
    <m/>
    <x v="1"/>
    <s v="95131113005001"/>
    <n v="-43.21"/>
    <n v="1102"/>
    <n v="1"/>
    <n v="1"/>
  </r>
  <r>
    <m/>
    <m/>
    <x v="1"/>
    <s v="95275266001003"/>
    <n v="-39.21"/>
    <n v="1000"/>
    <n v="1"/>
    <n v="1"/>
  </r>
  <r>
    <m/>
    <m/>
    <x v="1"/>
    <s v="95429454001002"/>
    <n v="-9.8800000000000008"/>
    <n v="252"/>
    <n v="1"/>
    <n v="1"/>
  </r>
  <r>
    <m/>
    <m/>
    <x v="1"/>
    <s v="95833151003001"/>
    <n v="-23.13"/>
    <n v="590"/>
    <n v="1"/>
    <n v="1"/>
  </r>
  <r>
    <m/>
    <m/>
    <x v="1"/>
    <s v="96127192001001"/>
    <n v="-38.43"/>
    <n v="980"/>
    <n v="1"/>
    <n v="1"/>
  </r>
  <r>
    <m/>
    <m/>
    <x v="1"/>
    <s v="96171891001007"/>
    <n v="-32.979999999999997"/>
    <n v="841"/>
    <n v="1"/>
    <n v="1"/>
  </r>
  <r>
    <m/>
    <m/>
    <x v="1"/>
    <s v="96186430001005"/>
    <n v="-21.13"/>
    <n v="539"/>
    <n v="1"/>
    <n v="1"/>
  </r>
  <r>
    <m/>
    <m/>
    <x v="1"/>
    <s v="96305704001001"/>
    <n v="-51.68"/>
    <n v="1318"/>
    <n v="1"/>
    <n v="1"/>
  </r>
  <r>
    <m/>
    <m/>
    <x v="1"/>
    <s v="96336668001003"/>
    <n v="-41.72"/>
    <n v="1064"/>
    <n v="1"/>
    <n v="1"/>
  </r>
  <r>
    <m/>
    <m/>
    <x v="1"/>
    <s v="96386777001002"/>
    <n v="-56.31"/>
    <n v="1436"/>
    <n v="1"/>
    <n v="1"/>
  </r>
  <r>
    <m/>
    <m/>
    <x v="1"/>
    <s v="96656563001001"/>
    <n v="-19.25"/>
    <n v="491"/>
    <n v="1"/>
    <n v="1"/>
  </r>
  <r>
    <m/>
    <m/>
    <x v="1"/>
    <s v="96743423001001"/>
    <n v="-19.8"/>
    <n v="505"/>
    <n v="1"/>
    <n v="1"/>
  </r>
  <r>
    <m/>
    <m/>
    <x v="1"/>
    <s v="96816452001001"/>
    <n v="-10.63"/>
    <n v="271"/>
    <n v="1"/>
    <n v="1"/>
  </r>
  <r>
    <m/>
    <m/>
    <x v="1"/>
    <s v="96882822001001"/>
    <n v="-39.25"/>
    <n v="1001"/>
    <n v="1"/>
    <n v="1"/>
  </r>
  <r>
    <m/>
    <m/>
    <x v="1"/>
    <s v="97054411004003"/>
    <n v="-33.17"/>
    <n v="846"/>
    <n v="1"/>
    <n v="1"/>
  </r>
  <r>
    <m/>
    <m/>
    <x v="1"/>
    <s v="97148101001003"/>
    <n v="-16.78"/>
    <n v="428"/>
    <n v="1"/>
    <n v="1"/>
  </r>
  <r>
    <m/>
    <m/>
    <x v="1"/>
    <s v="97157952001008"/>
    <n v="-20.23"/>
    <n v="516"/>
    <n v="1"/>
    <n v="1"/>
  </r>
  <r>
    <m/>
    <m/>
    <x v="1"/>
    <s v="97323566001003"/>
    <n v="-34"/>
    <n v="867"/>
    <n v="1"/>
    <n v="1"/>
  </r>
  <r>
    <m/>
    <m/>
    <x v="1"/>
    <s v="97389502001003"/>
    <n v="-12.39"/>
    <n v="316"/>
    <n v="1"/>
    <n v="1"/>
  </r>
  <r>
    <m/>
    <m/>
    <x v="1"/>
    <s v="97473613001004"/>
    <n v="-22.04"/>
    <n v="562"/>
    <n v="1"/>
    <n v="1"/>
  </r>
  <r>
    <m/>
    <m/>
    <x v="1"/>
    <s v="97517408001003"/>
    <n v="-18.510000000000002"/>
    <n v="472"/>
    <n v="1"/>
    <n v="1"/>
  </r>
  <r>
    <m/>
    <m/>
    <x v="1"/>
    <s v="97778274001003"/>
    <n v="-12.98"/>
    <n v="331"/>
    <n v="1"/>
    <n v="1"/>
  </r>
  <r>
    <m/>
    <m/>
    <x v="1"/>
    <s v="97919016001004"/>
    <n v="-39.25"/>
    <n v="1001"/>
    <n v="1"/>
    <n v="1"/>
  </r>
  <r>
    <m/>
    <m/>
    <x v="1"/>
    <s v="97943952002001"/>
    <n v="-69.319999999999993"/>
    <n v="1768"/>
    <n v="1"/>
    <n v="1"/>
  </r>
  <r>
    <m/>
    <m/>
    <x v="1"/>
    <s v="98004963001002"/>
    <n v="-55.05"/>
    <n v="1404"/>
    <n v="1"/>
    <n v="1"/>
  </r>
  <r>
    <m/>
    <m/>
    <x v="1"/>
    <s v="98323580001002"/>
    <n v="-23.96"/>
    <n v="611"/>
    <n v="1"/>
    <n v="1"/>
  </r>
  <r>
    <m/>
    <m/>
    <x v="1"/>
    <s v="98330301001001"/>
    <n v="-36.86"/>
    <n v="940"/>
    <n v="1"/>
    <n v="1"/>
  </r>
  <r>
    <m/>
    <m/>
    <x v="1"/>
    <s v="98396921001007"/>
    <n v="-19.41"/>
    <n v="495"/>
    <n v="1"/>
    <n v="1"/>
  </r>
  <r>
    <m/>
    <m/>
    <x v="1"/>
    <s v="98478092001001"/>
    <n v="-24.51"/>
    <n v="625"/>
    <n v="1"/>
    <n v="1"/>
  </r>
  <r>
    <m/>
    <m/>
    <x v="1"/>
    <s v="98525309002001"/>
    <n v="-56.46"/>
    <n v="1440"/>
    <n v="1"/>
    <n v="1"/>
  </r>
  <r>
    <m/>
    <m/>
    <x v="1"/>
    <s v="98568936001003"/>
    <n v="-46.62"/>
    <n v="1189"/>
    <n v="1"/>
    <n v="1"/>
  </r>
  <r>
    <m/>
    <m/>
    <x v="1"/>
    <s v="98573702001003"/>
    <n v="-9.61"/>
    <n v="245"/>
    <n v="1"/>
    <n v="1"/>
  </r>
  <r>
    <m/>
    <m/>
    <x v="1"/>
    <s v="98578986001002"/>
    <n v="-53.52"/>
    <n v="1365"/>
    <n v="1"/>
    <n v="1"/>
  </r>
  <r>
    <m/>
    <m/>
    <x v="1"/>
    <s v="98706279001001"/>
    <n v="-26.11"/>
    <n v="666"/>
    <n v="1"/>
    <n v="1"/>
  </r>
  <r>
    <m/>
    <m/>
    <x v="1"/>
    <s v="98841325001003"/>
    <n v="-61.91"/>
    <n v="1579"/>
    <n v="1"/>
    <n v="1"/>
  </r>
  <r>
    <m/>
    <m/>
    <x v="1"/>
    <s v="98868264001001"/>
    <n v="-45.72"/>
    <n v="1166"/>
    <n v="1"/>
    <n v="1"/>
  </r>
  <r>
    <m/>
    <m/>
    <x v="1"/>
    <s v="99162209001001"/>
    <n v="-84.42"/>
    <n v="2153"/>
    <n v="1"/>
    <n v="1"/>
  </r>
  <r>
    <m/>
    <m/>
    <x v="1"/>
    <s v="99181573002001"/>
    <n v="-8.6300000000000008"/>
    <n v="220"/>
    <n v="1"/>
    <n v="1"/>
  </r>
  <r>
    <m/>
    <m/>
    <x v="1"/>
    <s v="99215914001001"/>
    <n v="-46.46"/>
    <n v="1185"/>
    <n v="1"/>
    <n v="1"/>
  </r>
  <r>
    <m/>
    <m/>
    <x v="1"/>
    <s v="99427689006001"/>
    <n v="-36.15"/>
    <n v="922"/>
    <n v="1"/>
    <n v="1"/>
  </r>
  <r>
    <m/>
    <m/>
    <x v="1"/>
    <s v="99435304001001"/>
    <n v="-33.25"/>
    <n v="848"/>
    <n v="1"/>
    <n v="1"/>
  </r>
  <r>
    <m/>
    <m/>
    <x v="1"/>
    <s v="99609771001001"/>
    <n v="-21.25"/>
    <n v="542"/>
    <n v="1"/>
    <n v="1"/>
  </r>
  <r>
    <m/>
    <m/>
    <x v="1"/>
    <s v="99676271001001"/>
    <n v="-1.8"/>
    <n v="46"/>
    <n v="1"/>
    <n v="1"/>
  </r>
  <r>
    <m/>
    <m/>
    <x v="1"/>
    <s v="99770512001001"/>
    <n v="-9.2899999999999991"/>
    <n v="237"/>
    <n v="1"/>
    <n v="1"/>
  </r>
  <r>
    <m/>
    <m/>
    <x v="4"/>
    <m/>
    <n v="-48263.830000000067"/>
    <n v="1230911"/>
    <n v="1255"/>
    <n v="1253"/>
  </r>
  <r>
    <m/>
    <m/>
    <x v="5"/>
    <s v="00148726001003"/>
    <n v="-51.11"/>
    <n v="877"/>
    <n v="1"/>
    <n v="1"/>
  </r>
  <r>
    <m/>
    <m/>
    <x v="1"/>
    <s v="00259343010001"/>
    <n v="-28.38"/>
    <n v="487"/>
    <n v="1"/>
    <n v="1"/>
  </r>
  <r>
    <m/>
    <m/>
    <x v="1"/>
    <s v="00319594001001"/>
    <n v="-21.33"/>
    <n v="366"/>
    <n v="1"/>
    <n v="1"/>
  </r>
  <r>
    <m/>
    <m/>
    <x v="1"/>
    <s v="00365733004005"/>
    <n v="-23.89"/>
    <n v="410"/>
    <n v="1"/>
    <n v="1"/>
  </r>
  <r>
    <m/>
    <m/>
    <x v="1"/>
    <s v="00382666001003"/>
    <n v="-89.63"/>
    <n v="1538"/>
    <n v="1"/>
    <n v="1"/>
  </r>
  <r>
    <m/>
    <m/>
    <x v="1"/>
    <s v="00403507003001"/>
    <n v="-101.47"/>
    <n v="1741"/>
    <n v="1"/>
    <n v="1"/>
  </r>
  <r>
    <m/>
    <m/>
    <x v="1"/>
    <s v="00477416001005"/>
    <n v="-203.51"/>
    <n v="3492"/>
    <n v="1"/>
    <n v="1"/>
  </r>
  <r>
    <m/>
    <m/>
    <x v="1"/>
    <s v="00546153003003"/>
    <n v="-72.5"/>
    <n v="1244"/>
    <n v="1"/>
    <n v="1"/>
  </r>
  <r>
    <m/>
    <m/>
    <x v="1"/>
    <s v="00689227001008"/>
    <n v="-16.43"/>
    <n v="282"/>
    <n v="1"/>
    <n v="1"/>
  </r>
  <r>
    <m/>
    <m/>
    <x v="1"/>
    <s v="00722915001001"/>
    <n v="-31.06"/>
    <n v="533"/>
    <n v="1"/>
    <n v="1"/>
  </r>
  <r>
    <m/>
    <m/>
    <x v="1"/>
    <s v="00730907001001"/>
    <n v="-23.49"/>
    <n v="403"/>
    <n v="1"/>
    <n v="1"/>
  </r>
  <r>
    <m/>
    <m/>
    <x v="1"/>
    <s v="00779681001001"/>
    <n v="-75.47"/>
    <n v="1295"/>
    <n v="1"/>
    <n v="1"/>
  </r>
  <r>
    <m/>
    <m/>
    <x v="1"/>
    <s v="00781014001001"/>
    <n v="-31.41"/>
    <n v="539"/>
    <n v="1"/>
    <n v="1"/>
  </r>
  <r>
    <m/>
    <m/>
    <x v="1"/>
    <s v="00852442003001"/>
    <n v="-169.59"/>
    <n v="2910"/>
    <n v="1"/>
    <n v="1"/>
  </r>
  <r>
    <m/>
    <m/>
    <x v="1"/>
    <s v="01058313001005"/>
    <n v="-94.82"/>
    <n v="1627"/>
    <n v="1"/>
    <n v="1"/>
  </r>
  <r>
    <m/>
    <m/>
    <x v="1"/>
    <s v="01092252001001"/>
    <n v="-45.28"/>
    <n v="777"/>
    <n v="1"/>
    <n v="1"/>
  </r>
  <r>
    <m/>
    <m/>
    <x v="1"/>
    <s v="01252370002003"/>
    <n v="-14.8"/>
    <n v="254"/>
    <n v="1"/>
    <n v="1"/>
  </r>
  <r>
    <m/>
    <m/>
    <x v="1"/>
    <s v="01346674001004"/>
    <n v="-10.08"/>
    <n v="173"/>
    <n v="1"/>
    <n v="1"/>
  </r>
  <r>
    <m/>
    <m/>
    <x v="1"/>
    <s v="01403700005001"/>
    <n v="-42.66"/>
    <n v="732"/>
    <n v="1"/>
    <n v="1"/>
  </r>
  <r>
    <m/>
    <m/>
    <x v="1"/>
    <s v="01701580001001"/>
    <n v="-95.81"/>
    <n v="1644"/>
    <n v="1"/>
    <n v="1"/>
  </r>
  <r>
    <m/>
    <m/>
    <x v="1"/>
    <s v="01775038001002"/>
    <n v="-84.56"/>
    <n v="1451"/>
    <n v="1"/>
    <n v="1"/>
  </r>
  <r>
    <m/>
    <m/>
    <x v="1"/>
    <s v="02094728002012"/>
    <n v="-20.69"/>
    <n v="355"/>
    <n v="1"/>
    <n v="1"/>
  </r>
  <r>
    <m/>
    <m/>
    <x v="1"/>
    <s v="02164047003001"/>
    <n v="-75.239999999999995"/>
    <n v="1291"/>
    <n v="1"/>
    <n v="1"/>
  </r>
  <r>
    <m/>
    <m/>
    <x v="1"/>
    <s v="02179705001007"/>
    <n v="-69.59"/>
    <n v="1194"/>
    <n v="1"/>
    <n v="1"/>
  </r>
  <r>
    <m/>
    <m/>
    <x v="1"/>
    <s v="02232792001001"/>
    <n v="-74.13"/>
    <n v="1272"/>
    <n v="1"/>
    <n v="1"/>
  </r>
  <r>
    <m/>
    <m/>
    <x v="1"/>
    <s v="02342104001006"/>
    <n v="-33.979999999999997"/>
    <n v="583"/>
    <n v="1"/>
    <n v="1"/>
  </r>
  <r>
    <m/>
    <m/>
    <x v="1"/>
    <s v="02380352002001"/>
    <n v="-20.92"/>
    <n v="359"/>
    <n v="1"/>
    <n v="1"/>
  </r>
  <r>
    <m/>
    <m/>
    <x v="1"/>
    <s v="02393997001015"/>
    <n v="-32.4"/>
    <n v="556"/>
    <n v="1"/>
    <n v="1"/>
  </r>
  <r>
    <m/>
    <m/>
    <x v="1"/>
    <s v="02412878001003"/>
    <n v="-35.49"/>
    <n v="609"/>
    <n v="1"/>
    <n v="1"/>
  </r>
  <r>
    <m/>
    <m/>
    <x v="1"/>
    <s v="02425825002002"/>
    <n v="-42.14"/>
    <n v="723"/>
    <n v="1"/>
    <n v="1"/>
  </r>
  <r>
    <m/>
    <m/>
    <x v="1"/>
    <s v="02434713001004"/>
    <n v="-1.63"/>
    <n v="28"/>
    <n v="1"/>
    <n v="1"/>
  </r>
  <r>
    <m/>
    <m/>
    <x v="1"/>
    <s v="02447419003012"/>
    <n v="-50.24"/>
    <n v="862"/>
    <n v="1"/>
    <n v="1"/>
  </r>
  <r>
    <m/>
    <m/>
    <x v="1"/>
    <s v="02464003001001"/>
    <n v="-52.86"/>
    <n v="907"/>
    <n v="1"/>
    <n v="1"/>
  </r>
  <r>
    <m/>
    <m/>
    <x v="1"/>
    <s v="02485811001007"/>
    <n v="-46.92"/>
    <n v="805"/>
    <n v="1"/>
    <n v="1"/>
  </r>
  <r>
    <m/>
    <m/>
    <x v="1"/>
    <s v="02486188001001"/>
    <n v="-83.75"/>
    <n v="1437"/>
    <n v="1"/>
    <n v="1"/>
  </r>
  <r>
    <m/>
    <m/>
    <x v="1"/>
    <s v="02514781001007"/>
    <n v="-19.47"/>
    <n v="334"/>
    <n v="1"/>
    <n v="1"/>
  </r>
  <r>
    <m/>
    <m/>
    <x v="1"/>
    <s v="02683413001001"/>
    <n v="-58.28"/>
    <n v="1000"/>
    <n v="1"/>
    <n v="1"/>
  </r>
  <r>
    <m/>
    <m/>
    <x v="1"/>
    <s v="02704694001001"/>
    <n v="-60.32"/>
    <n v="1035"/>
    <n v="1"/>
    <n v="1"/>
  </r>
  <r>
    <m/>
    <m/>
    <x v="1"/>
    <s v="02792185008001"/>
    <n v="-24.94"/>
    <n v="428"/>
    <n v="1"/>
    <n v="1"/>
  </r>
  <r>
    <m/>
    <m/>
    <x v="1"/>
    <s v="02819465001001"/>
    <n v="-49.13"/>
    <n v="843"/>
    <n v="1"/>
    <n v="1"/>
  </r>
  <r>
    <m/>
    <m/>
    <x v="1"/>
    <s v="02884496001010"/>
    <n v="-99.78"/>
    <n v="1712"/>
    <n v="1"/>
    <n v="1"/>
  </r>
  <r>
    <m/>
    <m/>
    <x v="1"/>
    <s v="03013295002003"/>
    <n v="-42.37"/>
    <n v="727"/>
    <n v="1"/>
    <n v="1"/>
  </r>
  <r>
    <m/>
    <m/>
    <x v="1"/>
    <s v="03018483004001"/>
    <n v="-55.83"/>
    <n v="958"/>
    <n v="1"/>
    <n v="1"/>
  </r>
  <r>
    <m/>
    <m/>
    <x v="1"/>
    <s v="03019509001001"/>
    <n v="-72.33"/>
    <n v="1241"/>
    <n v="1"/>
    <n v="1"/>
  </r>
  <r>
    <m/>
    <m/>
    <x v="1"/>
    <s v="03040052001003"/>
    <n v="-150.71"/>
    <n v="2586"/>
    <n v="1"/>
    <n v="1"/>
  </r>
  <r>
    <m/>
    <m/>
    <x v="1"/>
    <s v="03051677001003"/>
    <n v="-85.44"/>
    <n v="1466"/>
    <n v="1"/>
    <n v="1"/>
  </r>
  <r>
    <m/>
    <m/>
    <x v="1"/>
    <s v="03074570001005"/>
    <n v="-103.56"/>
    <n v="1777"/>
    <n v="1"/>
    <n v="1"/>
  </r>
  <r>
    <m/>
    <m/>
    <x v="1"/>
    <s v="03088248001005"/>
    <n v="-58.28"/>
    <n v="1000"/>
    <n v="1"/>
    <n v="1"/>
  </r>
  <r>
    <m/>
    <m/>
    <x v="1"/>
    <s v="03107202002001"/>
    <n v="-40.270000000000003"/>
    <n v="691"/>
    <n v="1"/>
    <n v="1"/>
  </r>
  <r>
    <m/>
    <m/>
    <x v="1"/>
    <s v="03308022002001"/>
    <n v="-108.81"/>
    <n v="1867"/>
    <n v="1"/>
    <n v="1"/>
  </r>
  <r>
    <m/>
    <m/>
    <x v="1"/>
    <s v="03330463001002"/>
    <n v="-78.27"/>
    <n v="1343"/>
    <n v="1"/>
    <n v="1"/>
  </r>
  <r>
    <m/>
    <m/>
    <x v="1"/>
    <s v="03366536001005"/>
    <n v="-21.62"/>
    <n v="371"/>
    <n v="1"/>
    <n v="1"/>
  </r>
  <r>
    <m/>
    <m/>
    <x v="1"/>
    <s v="03379746001001"/>
    <n v="-89.34"/>
    <n v="1533"/>
    <n v="1"/>
    <n v="1"/>
  </r>
  <r>
    <m/>
    <m/>
    <x v="1"/>
    <s v="03391201005001"/>
    <n v="-46.39"/>
    <n v="796"/>
    <n v="1"/>
    <n v="1"/>
  </r>
  <r>
    <m/>
    <m/>
    <x v="1"/>
    <s v="03476916002003"/>
    <n v="-11.66"/>
    <n v="200"/>
    <n v="1"/>
    <n v="1"/>
  </r>
  <r>
    <m/>
    <m/>
    <x v="1"/>
    <s v="03498939002001"/>
    <n v="-83.22"/>
    <n v="1428"/>
    <n v="1"/>
    <n v="1"/>
  </r>
  <r>
    <m/>
    <m/>
    <x v="1"/>
    <s v="03554715002003"/>
    <n v="-58.69"/>
    <n v="1007"/>
    <n v="1"/>
    <n v="1"/>
  </r>
  <r>
    <m/>
    <m/>
    <x v="1"/>
    <s v="03739009003001"/>
    <n v="-65.27"/>
    <n v="1120"/>
    <n v="1"/>
    <n v="1"/>
  </r>
  <r>
    <m/>
    <m/>
    <x v="1"/>
    <s v="03918846001002"/>
    <n v="-87.01"/>
    <n v="1493"/>
    <n v="1"/>
    <n v="1"/>
  </r>
  <r>
    <m/>
    <m/>
    <x v="1"/>
    <s v="03983250001004"/>
    <n v="-79.03"/>
    <n v="1356"/>
    <n v="1"/>
    <n v="1"/>
  </r>
  <r>
    <m/>
    <m/>
    <x v="1"/>
    <s v="04036291001005"/>
    <n v="-97.68"/>
    <n v="1676"/>
    <n v="1"/>
    <n v="1"/>
  </r>
  <r>
    <m/>
    <m/>
    <x v="1"/>
    <s v="04195526001007"/>
    <n v="-47.27"/>
    <n v="811"/>
    <n v="1"/>
    <n v="1"/>
  </r>
  <r>
    <m/>
    <m/>
    <x v="1"/>
    <s v="04366073001001"/>
    <n v="-33.979999999999997"/>
    <n v="583"/>
    <n v="1"/>
    <n v="1"/>
  </r>
  <r>
    <m/>
    <m/>
    <x v="1"/>
    <s v="04587647002001"/>
    <n v="-72.33"/>
    <n v="1241"/>
    <n v="1"/>
    <n v="1"/>
  </r>
  <r>
    <m/>
    <m/>
    <x v="1"/>
    <s v="04642237001003"/>
    <n v="-12.06"/>
    <n v="207"/>
    <n v="1"/>
    <n v="1"/>
  </r>
  <r>
    <m/>
    <m/>
    <x v="1"/>
    <s v="04914620002001"/>
    <n v="-51.29"/>
    <n v="880"/>
    <n v="1"/>
    <n v="1"/>
  </r>
  <r>
    <m/>
    <m/>
    <x v="1"/>
    <s v="05055558001001"/>
    <n v="-41.44"/>
    <n v="711"/>
    <n v="1"/>
    <n v="1"/>
  </r>
  <r>
    <m/>
    <m/>
    <x v="1"/>
    <s v="05077001002001"/>
    <n v="-29.31"/>
    <n v="503"/>
    <n v="1"/>
    <n v="1"/>
  </r>
  <r>
    <m/>
    <m/>
    <x v="1"/>
    <s v="05105357001003"/>
    <n v="-29.02"/>
    <n v="498"/>
    <n v="1"/>
    <n v="1"/>
  </r>
  <r>
    <m/>
    <m/>
    <x v="1"/>
    <s v="05112776001003"/>
    <n v="-42.31"/>
    <n v="726"/>
    <n v="1"/>
    <n v="1"/>
  </r>
  <r>
    <m/>
    <m/>
    <x v="1"/>
    <s v="05178218001003"/>
    <n v="-74.89"/>
    <n v="1285"/>
    <n v="1"/>
    <n v="1"/>
  </r>
  <r>
    <m/>
    <m/>
    <x v="1"/>
    <s v="05214090001003"/>
    <n v="-23.2"/>
    <n v="398"/>
    <n v="1"/>
    <n v="1"/>
  </r>
  <r>
    <m/>
    <m/>
    <x v="1"/>
    <s v="05234970001001"/>
    <n v="-49.48"/>
    <n v="849"/>
    <n v="1"/>
    <n v="1"/>
  </r>
  <r>
    <m/>
    <m/>
    <x v="1"/>
    <s v="05499075001003"/>
    <n v="-38.58"/>
    <n v="662"/>
    <n v="1"/>
    <n v="1"/>
  </r>
  <r>
    <m/>
    <m/>
    <x v="1"/>
    <s v="05860137001003"/>
    <n v="-8.74"/>
    <n v="150"/>
    <n v="1"/>
    <n v="1"/>
  </r>
  <r>
    <m/>
    <m/>
    <x v="1"/>
    <s v="05861722001003"/>
    <n v="-89.58"/>
    <n v="1537"/>
    <n v="1"/>
    <n v="1"/>
  </r>
  <r>
    <m/>
    <m/>
    <x v="1"/>
    <s v="05933255001001"/>
    <n v="-12.12"/>
    <n v="208"/>
    <n v="1"/>
    <n v="1"/>
  </r>
  <r>
    <m/>
    <m/>
    <x v="1"/>
    <s v="05953974001003"/>
    <n v="-13.93"/>
    <n v="239"/>
    <n v="1"/>
    <n v="1"/>
  </r>
  <r>
    <m/>
    <m/>
    <x v="1"/>
    <s v="06309819004001"/>
    <n v="-63.99"/>
    <n v="1098"/>
    <n v="1"/>
    <n v="1"/>
  </r>
  <r>
    <m/>
    <m/>
    <x v="1"/>
    <s v="06359444001001"/>
    <n v="-99.37"/>
    <n v="1705"/>
    <n v="1"/>
    <n v="1"/>
  </r>
  <r>
    <m/>
    <m/>
    <x v="1"/>
    <s v="06440891001007"/>
    <n v="-79.900000000000006"/>
    <n v="1371"/>
    <n v="1"/>
    <n v="1"/>
  </r>
  <r>
    <m/>
    <m/>
    <x v="1"/>
    <s v="06563369001001"/>
    <n v="-107.47"/>
    <n v="1844"/>
    <n v="1"/>
    <n v="1"/>
  </r>
  <r>
    <m/>
    <m/>
    <x v="1"/>
    <s v="06580144002011"/>
    <n v="-45.05"/>
    <n v="773"/>
    <n v="1"/>
    <n v="1"/>
  </r>
  <r>
    <m/>
    <m/>
    <x v="1"/>
    <s v="06650635001001"/>
    <n v="-31.3"/>
    <n v="537"/>
    <n v="1"/>
    <n v="1"/>
  </r>
  <r>
    <m/>
    <m/>
    <x v="1"/>
    <s v="06651048001002"/>
    <n v="-118.72"/>
    <n v="2037"/>
    <n v="1"/>
    <n v="1"/>
  </r>
  <r>
    <m/>
    <m/>
    <x v="1"/>
    <s v="06670399001005"/>
    <n v="-90.57"/>
    <n v="1554"/>
    <n v="1"/>
    <n v="1"/>
  </r>
  <r>
    <m/>
    <m/>
    <x v="1"/>
    <s v="06761853001001"/>
    <n v="-83.11"/>
    <n v="1426"/>
    <n v="1"/>
    <n v="1"/>
  </r>
  <r>
    <m/>
    <m/>
    <x v="1"/>
    <s v="06797083002002"/>
    <n v="-39.22"/>
    <n v="673"/>
    <n v="1"/>
    <n v="1"/>
  </r>
  <r>
    <m/>
    <m/>
    <x v="1"/>
    <s v="06840429001005"/>
    <n v="-30.13"/>
    <n v="517"/>
    <n v="1"/>
    <n v="1"/>
  </r>
  <r>
    <m/>
    <m/>
    <x v="1"/>
    <s v="06850200002007"/>
    <n v="-18.649999999999999"/>
    <n v="320"/>
    <n v="1"/>
    <n v="1"/>
  </r>
  <r>
    <m/>
    <m/>
    <x v="1"/>
    <s v="06909023001010"/>
    <n v="-10.37"/>
    <n v="178"/>
    <n v="1"/>
    <n v="1"/>
  </r>
  <r>
    <m/>
    <m/>
    <x v="1"/>
    <s v="06956115001001"/>
    <n v="-133.4"/>
    <n v="2289"/>
    <n v="1"/>
    <n v="1"/>
  </r>
  <r>
    <m/>
    <m/>
    <x v="1"/>
    <s v="06957333004001"/>
    <n v="-78.150000000000006"/>
    <n v="1341"/>
    <n v="1"/>
    <n v="1"/>
  </r>
  <r>
    <m/>
    <m/>
    <x v="1"/>
    <s v="07026566001003"/>
    <n v="-6.47"/>
    <n v="111"/>
    <n v="1"/>
    <n v="1"/>
  </r>
  <r>
    <m/>
    <m/>
    <x v="1"/>
    <s v="07122450001004"/>
    <n v="-21.86"/>
    <n v="375"/>
    <n v="1"/>
    <n v="1"/>
  </r>
  <r>
    <m/>
    <m/>
    <x v="1"/>
    <s v="07188065003001"/>
    <n v="-54.43"/>
    <n v="934"/>
    <n v="1"/>
    <n v="1"/>
  </r>
  <r>
    <m/>
    <m/>
    <x v="1"/>
    <s v="07219889001001"/>
    <n v="-57.17"/>
    <n v="981"/>
    <n v="1"/>
    <n v="1"/>
  </r>
  <r>
    <m/>
    <m/>
    <x v="1"/>
    <s v="07248551001001"/>
    <n v="-54.2"/>
    <n v="930"/>
    <n v="1"/>
    <n v="1"/>
  </r>
  <r>
    <m/>
    <m/>
    <x v="1"/>
    <s v="07343513002001"/>
    <n v="-130.19999999999999"/>
    <n v="2234"/>
    <n v="1"/>
    <n v="1"/>
  </r>
  <r>
    <m/>
    <m/>
    <x v="1"/>
    <s v="07424854003003"/>
    <n v="-101.82"/>
    <n v="1747"/>
    <n v="1"/>
    <n v="1"/>
  </r>
  <r>
    <m/>
    <m/>
    <x v="1"/>
    <s v="07576140001005"/>
    <n v="-33.74"/>
    <n v="579"/>
    <n v="1"/>
    <n v="1"/>
  </r>
  <r>
    <m/>
    <m/>
    <x v="1"/>
    <s v="07692401004003"/>
    <n v="-72.5"/>
    <n v="1244"/>
    <n v="1"/>
    <n v="1"/>
  </r>
  <r>
    <m/>
    <m/>
    <x v="1"/>
    <s v="07753575001007"/>
    <n v="-45.98"/>
    <n v="789"/>
    <n v="1"/>
    <n v="1"/>
  </r>
  <r>
    <m/>
    <m/>
    <x v="1"/>
    <s v="07805842001001"/>
    <n v="-39.979999999999997"/>
    <n v="686"/>
    <n v="1"/>
    <n v="1"/>
  </r>
  <r>
    <m/>
    <m/>
    <x v="1"/>
    <s v="07928044001004"/>
    <n v="-68.48"/>
    <n v="1175"/>
    <n v="1"/>
    <n v="1"/>
  </r>
  <r>
    <m/>
    <m/>
    <x v="1"/>
    <s v="08047179002001"/>
    <n v="-61.49"/>
    <n v="1055"/>
    <n v="1"/>
    <n v="1"/>
  </r>
  <r>
    <m/>
    <m/>
    <x v="1"/>
    <s v="08056389001001"/>
    <n v="-6.41"/>
    <n v="110"/>
    <n v="1"/>
    <n v="1"/>
  </r>
  <r>
    <m/>
    <m/>
    <x v="1"/>
    <s v="08205707001003"/>
    <n v="-16.14"/>
    <n v="277"/>
    <n v="1"/>
    <n v="1"/>
  </r>
  <r>
    <m/>
    <m/>
    <x v="1"/>
    <s v="08228077001003"/>
    <n v="-23.43"/>
    <n v="402"/>
    <n v="1"/>
    <n v="1"/>
  </r>
  <r>
    <m/>
    <m/>
    <x v="1"/>
    <s v="08291880001007"/>
    <n v="-48.9"/>
    <n v="839"/>
    <n v="1"/>
    <n v="1"/>
  </r>
  <r>
    <m/>
    <m/>
    <x v="1"/>
    <s v="08293744002001"/>
    <n v="-86.55"/>
    <n v="1485"/>
    <n v="1"/>
    <n v="1"/>
  </r>
  <r>
    <m/>
    <m/>
    <x v="1"/>
    <s v="08341079003003"/>
    <n v="-51.75"/>
    <n v="888"/>
    <n v="1"/>
    <n v="1"/>
  </r>
  <r>
    <m/>
    <m/>
    <x v="1"/>
    <s v="08395040001001"/>
    <n v="-88.24"/>
    <n v="1514"/>
    <n v="1"/>
    <n v="1"/>
  </r>
  <r>
    <m/>
    <m/>
    <x v="1"/>
    <s v="08422119001005"/>
    <n v="-70.17"/>
    <n v="1204"/>
    <n v="1"/>
    <n v="1"/>
  </r>
  <r>
    <m/>
    <m/>
    <x v="1"/>
    <s v="08551503001003"/>
    <n v="-122.56"/>
    <n v="2103"/>
    <n v="1"/>
    <n v="1"/>
  </r>
  <r>
    <m/>
    <m/>
    <x v="1"/>
    <s v="08612150001001"/>
    <n v="-58.63"/>
    <n v="1006"/>
    <n v="1"/>
    <n v="1"/>
  </r>
  <r>
    <m/>
    <m/>
    <x v="1"/>
    <s v="08657953002001"/>
    <n v="-37.24"/>
    <n v="639"/>
    <n v="1"/>
    <n v="1"/>
  </r>
  <r>
    <m/>
    <m/>
    <x v="1"/>
    <s v="08662234001004"/>
    <n v="-20.63"/>
    <n v="354"/>
    <n v="1"/>
    <n v="1"/>
  </r>
  <r>
    <m/>
    <m/>
    <x v="1"/>
    <s v="08694261001001"/>
    <n v="-60.55"/>
    <n v="1039"/>
    <n v="1"/>
    <n v="1"/>
  </r>
  <r>
    <m/>
    <m/>
    <x v="1"/>
    <s v="08733004003005"/>
    <n v="-69"/>
    <n v="1184"/>
    <n v="1"/>
    <n v="1"/>
  </r>
  <r>
    <m/>
    <m/>
    <x v="1"/>
    <s v="08749105002001"/>
    <n v="-51.52"/>
    <n v="884"/>
    <n v="1"/>
    <n v="1"/>
  </r>
  <r>
    <m/>
    <m/>
    <x v="1"/>
    <s v="08860390001003"/>
    <n v="-28.44"/>
    <n v="488"/>
    <n v="1"/>
    <n v="1"/>
  </r>
  <r>
    <m/>
    <m/>
    <x v="1"/>
    <s v="08947024001001"/>
    <n v="-48.31"/>
    <n v="829"/>
    <n v="1"/>
    <n v="1"/>
  </r>
  <r>
    <m/>
    <m/>
    <x v="1"/>
    <s v="08951802001002"/>
    <n v="-82.87"/>
    <n v="1422"/>
    <n v="1"/>
    <n v="1"/>
  </r>
  <r>
    <m/>
    <m/>
    <x v="1"/>
    <s v="08955164001001"/>
    <n v="-116.56"/>
    <n v="2000"/>
    <n v="1"/>
    <n v="1"/>
  </r>
  <r>
    <m/>
    <m/>
    <x v="1"/>
    <s v="09062578001001"/>
    <n v="-43.94"/>
    <n v="754"/>
    <n v="1"/>
    <n v="1"/>
  </r>
  <r>
    <m/>
    <m/>
    <x v="1"/>
    <s v="09084610002003"/>
    <n v="-74.13"/>
    <n v="1272"/>
    <n v="1"/>
    <n v="1"/>
  </r>
  <r>
    <m/>
    <m/>
    <x v="1"/>
    <s v="09125101001001"/>
    <n v="-38.76"/>
    <n v="665"/>
    <n v="1"/>
    <n v="1"/>
  </r>
  <r>
    <m/>
    <m/>
    <x v="1"/>
    <s v="09315806002001"/>
    <n v="-37.07"/>
    <n v="636"/>
    <n v="1"/>
    <n v="1"/>
  </r>
  <r>
    <m/>
    <m/>
    <x v="1"/>
    <s v="09318796001003"/>
    <n v="-62.53"/>
    <n v="1073"/>
    <n v="1"/>
    <n v="1"/>
  </r>
  <r>
    <m/>
    <m/>
    <x v="1"/>
    <s v="09410352001003"/>
    <n v="-64.459999999999994"/>
    <n v="1106"/>
    <n v="1"/>
    <n v="1"/>
  </r>
  <r>
    <m/>
    <m/>
    <x v="1"/>
    <s v="09448617003001"/>
    <n v="-83.86"/>
    <n v="1439"/>
    <n v="1"/>
    <n v="1"/>
  </r>
  <r>
    <m/>
    <m/>
    <x v="1"/>
    <s v="09451288001001"/>
    <n v="-30.6"/>
    <n v="525"/>
    <n v="1"/>
    <n v="1"/>
  </r>
  <r>
    <m/>
    <m/>
    <x v="1"/>
    <s v="09717335001001"/>
    <n v="-69"/>
    <n v="1184"/>
    <n v="1"/>
    <n v="1"/>
  </r>
  <r>
    <m/>
    <m/>
    <x v="1"/>
    <s v="09742133005001"/>
    <n v="-47.03"/>
    <n v="807"/>
    <n v="1"/>
    <n v="1"/>
  </r>
  <r>
    <m/>
    <m/>
    <x v="1"/>
    <s v="09759208001008"/>
    <n v="-3.61"/>
    <n v="62"/>
    <n v="1"/>
    <n v="1"/>
  </r>
  <r>
    <m/>
    <m/>
    <x v="1"/>
    <s v="09771064001005"/>
    <n v="-106.59"/>
    <n v="1829"/>
    <n v="1"/>
    <n v="1"/>
  </r>
  <r>
    <m/>
    <m/>
    <x v="1"/>
    <s v="09790156001005"/>
    <n v="-69.180000000000007"/>
    <n v="1187"/>
    <n v="1"/>
    <n v="1"/>
  </r>
  <r>
    <m/>
    <m/>
    <x v="1"/>
    <s v="09830097001003"/>
    <n v="-81.77"/>
    <n v="1403"/>
    <n v="1"/>
    <n v="1"/>
  </r>
  <r>
    <m/>
    <m/>
    <x v="1"/>
    <s v="09956672001005"/>
    <n v="-82.29"/>
    <n v="1412"/>
    <n v="1"/>
    <n v="1"/>
  </r>
  <r>
    <m/>
    <m/>
    <x v="1"/>
    <s v="10032544001001"/>
    <n v="-57.52"/>
    <n v="987"/>
    <n v="1"/>
    <n v="1"/>
  </r>
  <r>
    <m/>
    <m/>
    <x v="1"/>
    <s v="10059606001005"/>
    <n v="-25.93"/>
    <n v="445"/>
    <n v="1"/>
    <n v="1"/>
  </r>
  <r>
    <m/>
    <m/>
    <x v="1"/>
    <s v="10089238001001"/>
    <n v="-27.8"/>
    <n v="477"/>
    <n v="1"/>
    <n v="1"/>
  </r>
  <r>
    <m/>
    <m/>
    <x v="1"/>
    <s v="10195402001001"/>
    <n v="-1.75"/>
    <n v="30"/>
    <n v="1"/>
    <n v="1"/>
  </r>
  <r>
    <m/>
    <m/>
    <x v="1"/>
    <s v="10291136001005"/>
    <n v="-98.2"/>
    <n v="1685"/>
    <n v="1"/>
    <n v="1"/>
  </r>
  <r>
    <m/>
    <m/>
    <x v="1"/>
    <s v="10342020001001"/>
    <n v="-68.25"/>
    <n v="1171"/>
    <n v="1"/>
    <n v="1"/>
  </r>
  <r>
    <m/>
    <m/>
    <x v="1"/>
    <s v="10377894001016"/>
    <n v="-75.819999999999993"/>
    <n v="1301"/>
    <n v="1"/>
    <n v="1"/>
  </r>
  <r>
    <m/>
    <m/>
    <x v="1"/>
    <s v="10414127001001"/>
    <n v="-82.82"/>
    <n v="1421"/>
    <n v="1"/>
    <n v="1"/>
  </r>
  <r>
    <m/>
    <m/>
    <x v="1"/>
    <s v="10506768001003"/>
    <n v="-50.59"/>
    <n v="868"/>
    <n v="1"/>
    <n v="1"/>
  </r>
  <r>
    <m/>
    <m/>
    <x v="1"/>
    <s v="10532169002004"/>
    <n v="-69.989999999999995"/>
    <n v="1201"/>
    <n v="1"/>
    <n v="1"/>
  </r>
  <r>
    <m/>
    <m/>
    <x v="1"/>
    <s v="10584250001001"/>
    <n v="-46.68"/>
    <n v="801"/>
    <n v="1"/>
    <n v="1"/>
  </r>
  <r>
    <m/>
    <m/>
    <x v="1"/>
    <s v="10701194001007"/>
    <n v="-73.08"/>
    <n v="1254"/>
    <n v="1"/>
    <n v="1"/>
  </r>
  <r>
    <m/>
    <m/>
    <x v="1"/>
    <s v="10769950001001"/>
    <n v="-24.94"/>
    <n v="428"/>
    <n v="1"/>
    <n v="1"/>
  </r>
  <r>
    <m/>
    <m/>
    <x v="1"/>
    <s v="10792246001002"/>
    <n v="-72.150000000000006"/>
    <n v="1238"/>
    <n v="1"/>
    <n v="1"/>
  </r>
  <r>
    <m/>
    <m/>
    <x v="1"/>
    <s v="10827202001001"/>
    <n v="-75.88"/>
    <n v="1302"/>
    <n v="1"/>
    <n v="1"/>
  </r>
  <r>
    <m/>
    <m/>
    <x v="1"/>
    <s v="10852636002001"/>
    <n v="-28.91"/>
    <n v="496"/>
    <n v="1"/>
    <n v="1"/>
  </r>
  <r>
    <m/>
    <m/>
    <x v="1"/>
    <s v="10865475001001"/>
    <n v="-81.94"/>
    <n v="1406"/>
    <n v="1"/>
    <n v="1"/>
  </r>
  <r>
    <m/>
    <m/>
    <x v="1"/>
    <s v="10948443001012"/>
    <n v="-49.54"/>
    <n v="850"/>
    <n v="1"/>
    <n v="1"/>
  </r>
  <r>
    <m/>
    <m/>
    <x v="1"/>
    <s v="11044266002005"/>
    <n v="-61.54"/>
    <n v="1056"/>
    <n v="1"/>
    <n v="1"/>
  </r>
  <r>
    <m/>
    <m/>
    <x v="1"/>
    <s v="11181273001011"/>
    <n v="-41.61"/>
    <n v="714"/>
    <n v="1"/>
    <n v="1"/>
  </r>
  <r>
    <m/>
    <m/>
    <x v="1"/>
    <s v="11381042002003"/>
    <n v="-96.69"/>
    <n v="1659"/>
    <n v="1"/>
    <n v="1"/>
  </r>
  <r>
    <m/>
    <m/>
    <x v="1"/>
    <s v="11647392001003"/>
    <n v="-4.49"/>
    <n v="77"/>
    <n v="1"/>
    <n v="1"/>
  </r>
  <r>
    <m/>
    <m/>
    <x v="1"/>
    <s v="11675325001001"/>
    <n v="-100.13"/>
    <n v="1718"/>
    <n v="1"/>
    <n v="1"/>
  </r>
  <r>
    <m/>
    <m/>
    <x v="1"/>
    <s v="11718825001001"/>
    <n v="-66.03"/>
    <n v="1133"/>
    <n v="1"/>
    <n v="1"/>
  </r>
  <r>
    <m/>
    <m/>
    <x v="1"/>
    <s v="11724480001002"/>
    <n v="-30.89"/>
    <n v="530"/>
    <n v="1"/>
    <n v="1"/>
  </r>
  <r>
    <m/>
    <m/>
    <x v="1"/>
    <s v="11764245001001"/>
    <n v="-10.37"/>
    <n v="178"/>
    <n v="1"/>
    <n v="1"/>
  </r>
  <r>
    <m/>
    <m/>
    <x v="1"/>
    <s v="11864835001004"/>
    <n v="-139.93"/>
    <n v="2401"/>
    <n v="1"/>
    <n v="1"/>
  </r>
  <r>
    <m/>
    <m/>
    <x v="1"/>
    <s v="11865542001003"/>
    <n v="-33.450000000000003"/>
    <n v="574"/>
    <n v="1"/>
    <n v="1"/>
  </r>
  <r>
    <m/>
    <m/>
    <x v="1"/>
    <s v="12161900001001"/>
    <n v="-46.92"/>
    <n v="805"/>
    <n v="1"/>
    <n v="1"/>
  </r>
  <r>
    <m/>
    <m/>
    <x v="1"/>
    <s v="12178408001003"/>
    <n v="-18.36"/>
    <n v="315"/>
    <n v="1"/>
    <n v="1"/>
  </r>
  <r>
    <m/>
    <m/>
    <x v="1"/>
    <s v="12193027001001"/>
    <n v="-12.41"/>
    <n v="213"/>
    <n v="1"/>
    <n v="1"/>
  </r>
  <r>
    <m/>
    <m/>
    <x v="1"/>
    <s v="12199696001001"/>
    <n v="-104.61"/>
    <n v="1795"/>
    <n v="1"/>
    <n v="1"/>
  </r>
  <r>
    <m/>
    <m/>
    <x v="1"/>
    <s v="12431136001001"/>
    <n v="-54.32"/>
    <n v="932"/>
    <n v="1"/>
    <n v="1"/>
  </r>
  <r>
    <m/>
    <m/>
    <x v="1"/>
    <s v="12538348002001"/>
    <n v="-80.37"/>
    <n v="1379"/>
    <n v="1"/>
    <n v="1"/>
  </r>
  <r>
    <m/>
    <m/>
    <x v="1"/>
    <s v="12640965001001"/>
    <n v="-87.42"/>
    <n v="1500"/>
    <n v="1"/>
    <n v="1"/>
  </r>
  <r>
    <m/>
    <m/>
    <x v="1"/>
    <s v="12750086001005"/>
    <n v="-86.31"/>
    <n v="1481"/>
    <n v="1"/>
    <n v="1"/>
  </r>
  <r>
    <m/>
    <m/>
    <x v="1"/>
    <s v="12797056001003"/>
    <n v="-49.419999999999995"/>
    <n v="848"/>
    <n v="2"/>
    <n v="1"/>
  </r>
  <r>
    <m/>
    <m/>
    <x v="1"/>
    <s v="12887725001001"/>
    <n v="-50.94"/>
    <n v="874"/>
    <n v="1"/>
    <n v="1"/>
  </r>
  <r>
    <m/>
    <m/>
    <x v="1"/>
    <s v="12890384003001"/>
    <n v="-92.61"/>
    <n v="1589"/>
    <n v="1"/>
    <n v="1"/>
  </r>
  <r>
    <m/>
    <m/>
    <x v="1"/>
    <s v="12902462003001"/>
    <n v="-52.74"/>
    <n v="905"/>
    <n v="1"/>
    <n v="1"/>
  </r>
  <r>
    <m/>
    <m/>
    <x v="1"/>
    <s v="12923934001001"/>
    <n v="-6.06"/>
    <n v="104"/>
    <n v="1"/>
    <n v="1"/>
  </r>
  <r>
    <m/>
    <m/>
    <x v="1"/>
    <s v="12968693001002"/>
    <n v="-41.67"/>
    <n v="715"/>
    <n v="1"/>
    <n v="1"/>
  </r>
  <r>
    <m/>
    <m/>
    <x v="1"/>
    <s v="13120231001014"/>
    <n v="-35.9"/>
    <n v="616"/>
    <n v="1"/>
    <n v="1"/>
  </r>
  <r>
    <m/>
    <m/>
    <x v="1"/>
    <s v="13147069001001"/>
    <n v="-51.99"/>
    <n v="892"/>
    <n v="1"/>
    <n v="1"/>
  </r>
  <r>
    <m/>
    <m/>
    <x v="1"/>
    <s v="13219544001001"/>
    <n v="-194.6"/>
    <n v="3339"/>
    <n v="1"/>
    <n v="1"/>
  </r>
  <r>
    <m/>
    <m/>
    <x v="1"/>
    <s v="13319972001001"/>
    <n v="-2.27"/>
    <n v="39"/>
    <n v="1"/>
    <n v="1"/>
  </r>
  <r>
    <m/>
    <m/>
    <x v="1"/>
    <s v="13341729001002"/>
    <n v="-38.17"/>
    <n v="655"/>
    <n v="1"/>
    <n v="1"/>
  </r>
  <r>
    <m/>
    <m/>
    <x v="1"/>
    <s v="13392614001001"/>
    <n v="-4.72"/>
    <n v="81"/>
    <n v="1"/>
    <n v="1"/>
  </r>
  <r>
    <m/>
    <m/>
    <x v="1"/>
    <s v="13434804001011"/>
    <n v="-96.8"/>
    <n v="1661"/>
    <n v="1"/>
    <n v="1"/>
  </r>
  <r>
    <m/>
    <m/>
    <x v="1"/>
    <s v="13584754001005"/>
    <n v="-32.64"/>
    <n v="560"/>
    <n v="1"/>
    <n v="1"/>
  </r>
  <r>
    <m/>
    <m/>
    <x v="1"/>
    <s v="13623153001006"/>
    <n v="-110.85"/>
    <n v="1902"/>
    <n v="1"/>
    <n v="1"/>
  </r>
  <r>
    <m/>
    <m/>
    <x v="1"/>
    <s v="13664271001001"/>
    <n v="-32.700000000000003"/>
    <n v="561"/>
    <n v="1"/>
    <n v="1"/>
  </r>
  <r>
    <m/>
    <m/>
    <x v="1"/>
    <s v="13666615002003"/>
    <n v="-42.89"/>
    <n v="736"/>
    <n v="1"/>
    <n v="1"/>
  </r>
  <r>
    <m/>
    <m/>
    <x v="1"/>
    <s v="13731146001001"/>
    <n v="-30.89"/>
    <n v="530"/>
    <n v="1"/>
    <n v="1"/>
  </r>
  <r>
    <m/>
    <m/>
    <x v="1"/>
    <s v="13794916004003"/>
    <n v="-108.4"/>
    <n v="1860"/>
    <n v="1"/>
    <n v="1"/>
  </r>
  <r>
    <m/>
    <m/>
    <x v="1"/>
    <s v="13882655001005"/>
    <n v="-116.27"/>
    <n v="1995"/>
    <n v="1"/>
    <n v="1"/>
  </r>
  <r>
    <m/>
    <m/>
    <x v="1"/>
    <s v="13950661003001"/>
    <n v="-12.71"/>
    <n v="218"/>
    <n v="1"/>
    <n v="1"/>
  </r>
  <r>
    <m/>
    <m/>
    <x v="1"/>
    <s v="14105636001003"/>
    <n v="-140.91999999999999"/>
    <n v="2418"/>
    <n v="1"/>
    <n v="1"/>
  </r>
  <r>
    <m/>
    <m/>
    <x v="1"/>
    <s v="14112463001010"/>
    <n v="-94.12"/>
    <n v="1615"/>
    <n v="1"/>
    <n v="1"/>
  </r>
  <r>
    <m/>
    <m/>
    <x v="1"/>
    <s v="14123583001011"/>
    <n v="-27.62"/>
    <n v="474"/>
    <n v="1"/>
    <n v="1"/>
  </r>
  <r>
    <m/>
    <m/>
    <x v="1"/>
    <s v="14125814001005"/>
    <n v="-34.33"/>
    <n v="589"/>
    <n v="1"/>
    <n v="1"/>
  </r>
  <r>
    <m/>
    <m/>
    <x v="1"/>
    <s v="14158880001001"/>
    <n v="-56.12"/>
    <n v="963"/>
    <n v="1"/>
    <n v="1"/>
  </r>
  <r>
    <m/>
    <m/>
    <x v="1"/>
    <s v="14171251001006"/>
    <n v="-23.78"/>
    <n v="408"/>
    <n v="1"/>
    <n v="1"/>
  </r>
  <r>
    <m/>
    <m/>
    <x v="1"/>
    <s v="14201594001002"/>
    <n v="-19.41"/>
    <n v="333"/>
    <n v="1"/>
    <n v="1"/>
  </r>
  <r>
    <m/>
    <m/>
    <x v="1"/>
    <s v="14414244001001"/>
    <n v="-101.12"/>
    <n v="1735"/>
    <n v="1"/>
    <n v="1"/>
  </r>
  <r>
    <m/>
    <m/>
    <x v="1"/>
    <s v="14417667001001"/>
    <n v="-48.84"/>
    <n v="838"/>
    <n v="1"/>
    <n v="1"/>
  </r>
  <r>
    <m/>
    <m/>
    <x v="1"/>
    <s v="14528032001018"/>
    <n v="-78.150000000000006"/>
    <n v="1341"/>
    <n v="1"/>
    <n v="1"/>
  </r>
  <r>
    <m/>
    <m/>
    <x v="1"/>
    <s v="14544335001001"/>
    <n v="-26.23"/>
    <n v="450"/>
    <n v="1"/>
    <n v="1"/>
  </r>
  <r>
    <m/>
    <m/>
    <x v="1"/>
    <s v="14546711001003"/>
    <n v="-45.57"/>
    <n v="782"/>
    <n v="1"/>
    <n v="1"/>
  </r>
  <r>
    <m/>
    <m/>
    <x v="1"/>
    <s v="14606942002003"/>
    <n v="-76.06"/>
    <n v="1305"/>
    <n v="1"/>
    <n v="1"/>
  </r>
  <r>
    <m/>
    <m/>
    <x v="1"/>
    <s v="14688187005003"/>
    <n v="-50.88"/>
    <n v="873"/>
    <n v="1"/>
    <n v="1"/>
  </r>
  <r>
    <m/>
    <m/>
    <x v="1"/>
    <s v="14767126002001"/>
    <n v="-130.31"/>
    <n v="2236"/>
    <n v="1"/>
    <n v="1"/>
  </r>
  <r>
    <m/>
    <m/>
    <x v="1"/>
    <s v="14783592001004"/>
    <n v="-67.95"/>
    <n v="1166"/>
    <n v="1"/>
    <n v="1"/>
  </r>
  <r>
    <m/>
    <m/>
    <x v="1"/>
    <s v="14809005001008"/>
    <n v="-16.96"/>
    <n v="291"/>
    <n v="1"/>
    <n v="1"/>
  </r>
  <r>
    <m/>
    <m/>
    <x v="1"/>
    <s v="14916764001003"/>
    <n v="-14.05"/>
    <n v="241"/>
    <n v="1"/>
    <n v="1"/>
  </r>
  <r>
    <m/>
    <m/>
    <x v="1"/>
    <s v="14932788004002"/>
    <n v="-42.72"/>
    <n v="733"/>
    <n v="1"/>
    <n v="1"/>
  </r>
  <r>
    <m/>
    <m/>
    <x v="1"/>
    <s v="14988573003007"/>
    <n v="-17.309999999999999"/>
    <n v="297"/>
    <n v="1"/>
    <n v="1"/>
  </r>
  <r>
    <m/>
    <m/>
    <x v="1"/>
    <s v="15024480001003"/>
    <n v="-159.05000000000001"/>
    <n v="2729"/>
    <n v="1"/>
    <n v="1"/>
  </r>
  <r>
    <m/>
    <m/>
    <x v="1"/>
    <s v="15264531001003"/>
    <n v="-41.38"/>
    <n v="710"/>
    <n v="1"/>
    <n v="1"/>
  </r>
  <r>
    <m/>
    <m/>
    <x v="1"/>
    <s v="15327433006001"/>
    <n v="-108.93"/>
    <n v="1869"/>
    <n v="1"/>
    <n v="1"/>
  </r>
  <r>
    <m/>
    <m/>
    <x v="1"/>
    <s v="15371962001008"/>
    <n v="-9.5"/>
    <n v="163"/>
    <n v="1"/>
    <n v="1"/>
  </r>
  <r>
    <m/>
    <m/>
    <x v="1"/>
    <s v="15399217001007"/>
    <n v="-81.650000000000006"/>
    <n v="1401"/>
    <n v="1"/>
    <n v="1"/>
  </r>
  <r>
    <m/>
    <m/>
    <x v="1"/>
    <s v="15433507001001"/>
    <n v="-8.74"/>
    <n v="150"/>
    <n v="1"/>
    <n v="1"/>
  </r>
  <r>
    <m/>
    <m/>
    <x v="1"/>
    <s v="15497150001007"/>
    <n v="-38.409999999999997"/>
    <n v="659"/>
    <n v="1"/>
    <n v="1"/>
  </r>
  <r>
    <m/>
    <m/>
    <x v="1"/>
    <s v="15503574001005"/>
    <n v="-9.73"/>
    <n v="167"/>
    <n v="1"/>
    <n v="1"/>
  </r>
  <r>
    <m/>
    <m/>
    <x v="1"/>
    <s v="15511956001001"/>
    <n v="-50.88"/>
    <n v="873"/>
    <n v="1"/>
    <n v="1"/>
  </r>
  <r>
    <m/>
    <m/>
    <x v="1"/>
    <s v="15605670001005"/>
    <n v="-37.01"/>
    <n v="635"/>
    <n v="1"/>
    <n v="1"/>
  </r>
  <r>
    <m/>
    <m/>
    <x v="1"/>
    <s v="15663487001001"/>
    <n v="-28.85"/>
    <n v="495"/>
    <n v="1"/>
    <n v="1"/>
  </r>
  <r>
    <m/>
    <m/>
    <x v="1"/>
    <s v="15663563001002"/>
    <n v="-40.39"/>
    <n v="693"/>
    <n v="1"/>
    <n v="1"/>
  </r>
  <r>
    <m/>
    <m/>
    <x v="1"/>
    <s v="15718240001002"/>
    <n v="-60.14"/>
    <n v="1032"/>
    <n v="1"/>
    <n v="1"/>
  </r>
  <r>
    <m/>
    <m/>
    <x v="1"/>
    <s v="15745592001001"/>
    <n v="-126.76"/>
    <n v="2175"/>
    <n v="1"/>
    <n v="1"/>
  </r>
  <r>
    <m/>
    <m/>
    <x v="1"/>
    <s v="15908468001001"/>
    <n v="-83.92"/>
    <n v="1440"/>
    <n v="1"/>
    <n v="1"/>
  </r>
  <r>
    <m/>
    <m/>
    <x v="1"/>
    <s v="15925995001001"/>
    <n v="-41.73"/>
    <n v="716"/>
    <n v="1"/>
    <n v="1"/>
  </r>
  <r>
    <m/>
    <m/>
    <x v="1"/>
    <s v="16066827003001"/>
    <n v="-73.430000000000007"/>
    <n v="1260"/>
    <n v="1"/>
    <n v="1"/>
  </r>
  <r>
    <m/>
    <m/>
    <x v="1"/>
    <s v="16098772001001"/>
    <n v="-15.62"/>
    <n v="268"/>
    <n v="1"/>
    <n v="1"/>
  </r>
  <r>
    <m/>
    <m/>
    <x v="1"/>
    <s v="16099578001001"/>
    <n v="-70.81"/>
    <n v="1215"/>
    <n v="1"/>
    <n v="1"/>
  </r>
  <r>
    <m/>
    <m/>
    <x v="1"/>
    <s v="16141513003001"/>
    <n v="-60.14"/>
    <n v="1032"/>
    <n v="1"/>
    <n v="1"/>
  </r>
  <r>
    <m/>
    <m/>
    <x v="1"/>
    <s v="16174085001001"/>
    <n v="-59.15"/>
    <n v="1015"/>
    <n v="1"/>
    <n v="1"/>
  </r>
  <r>
    <m/>
    <m/>
    <x v="1"/>
    <s v="16175755001003"/>
    <n v="-22.67"/>
    <n v="389"/>
    <n v="1"/>
    <n v="1"/>
  </r>
  <r>
    <m/>
    <m/>
    <x v="1"/>
    <s v="16222691001005"/>
    <n v="-83.34"/>
    <n v="1430"/>
    <n v="1"/>
    <n v="1"/>
  </r>
  <r>
    <m/>
    <m/>
    <x v="1"/>
    <s v="16324942001001"/>
    <n v="-17.829999999999998"/>
    <n v="306"/>
    <n v="1"/>
    <n v="1"/>
  </r>
  <r>
    <m/>
    <m/>
    <x v="1"/>
    <s v="16428953002001"/>
    <n v="-22.61"/>
    <n v="388"/>
    <n v="1"/>
    <n v="1"/>
  </r>
  <r>
    <m/>
    <m/>
    <x v="1"/>
    <s v="16450177001001"/>
    <n v="-83.17"/>
    <n v="1427"/>
    <n v="1"/>
    <n v="1"/>
  </r>
  <r>
    <m/>
    <m/>
    <x v="1"/>
    <s v="16568578002001"/>
    <n v="-39.57"/>
    <n v="679"/>
    <n v="1"/>
    <n v="1"/>
  </r>
  <r>
    <m/>
    <m/>
    <x v="1"/>
    <s v="16580528001001"/>
    <n v="-60.84"/>
    <n v="1044"/>
    <n v="1"/>
    <n v="1"/>
  </r>
  <r>
    <m/>
    <m/>
    <x v="1"/>
    <s v="16616380001003"/>
    <n v="-72.5"/>
    <n v="1244"/>
    <n v="1"/>
    <n v="1"/>
  </r>
  <r>
    <m/>
    <m/>
    <x v="1"/>
    <s v="16766325001001"/>
    <n v="-29.55"/>
    <n v="507"/>
    <n v="1"/>
    <n v="1"/>
  </r>
  <r>
    <m/>
    <m/>
    <x v="1"/>
    <s v="16821471001003"/>
    <n v="-41.5"/>
    <n v="712"/>
    <n v="1"/>
    <n v="1"/>
  </r>
  <r>
    <m/>
    <m/>
    <x v="1"/>
    <s v="16865540003001"/>
    <n v="-15.74"/>
    <n v="270"/>
    <n v="1"/>
    <n v="1"/>
  </r>
  <r>
    <m/>
    <m/>
    <x v="1"/>
    <s v="16940606001001"/>
    <n v="-100.82"/>
    <n v="1730"/>
    <n v="1"/>
    <n v="1"/>
  </r>
  <r>
    <m/>
    <m/>
    <x v="1"/>
    <s v="16946064001004"/>
    <n v="-6.53"/>
    <n v="112"/>
    <n v="1"/>
    <n v="1"/>
  </r>
  <r>
    <m/>
    <m/>
    <x v="1"/>
    <s v="17002950001001"/>
    <n v="-103.21"/>
    <n v="1771"/>
    <n v="1"/>
    <n v="1"/>
  </r>
  <r>
    <m/>
    <m/>
    <x v="1"/>
    <s v="17196615001005"/>
    <n v="-7.63"/>
    <n v="131"/>
    <n v="1"/>
    <n v="1"/>
  </r>
  <r>
    <m/>
    <m/>
    <x v="1"/>
    <s v="17378301001002"/>
    <n v="-145.99"/>
    <n v="2505"/>
    <n v="1"/>
    <n v="1"/>
  </r>
  <r>
    <m/>
    <m/>
    <x v="1"/>
    <s v="17439100001001"/>
    <n v="-34.619999999999997"/>
    <n v="594"/>
    <n v="1"/>
    <n v="1"/>
  </r>
  <r>
    <m/>
    <m/>
    <x v="1"/>
    <s v="17606006001001"/>
    <n v="-88.47"/>
    <n v="1518"/>
    <n v="1"/>
    <n v="1"/>
  </r>
  <r>
    <m/>
    <m/>
    <x v="1"/>
    <s v="17640682001003"/>
    <n v="-66.91"/>
    <n v="1148"/>
    <n v="1"/>
    <n v="1"/>
  </r>
  <r>
    <m/>
    <m/>
    <x v="1"/>
    <s v="17706944001001"/>
    <n v="-81.48"/>
    <n v="1398"/>
    <n v="1"/>
    <n v="1"/>
  </r>
  <r>
    <m/>
    <m/>
    <x v="1"/>
    <s v="17776485001001"/>
    <n v="-33.51"/>
    <n v="575"/>
    <n v="1"/>
    <n v="1"/>
  </r>
  <r>
    <m/>
    <m/>
    <x v="1"/>
    <s v="17782526001001"/>
    <n v="-131.01"/>
    <n v="2248"/>
    <n v="1"/>
    <n v="1"/>
  </r>
  <r>
    <m/>
    <m/>
    <x v="1"/>
    <s v="17847574002001"/>
    <n v="-127.46"/>
    <n v="2187"/>
    <n v="1"/>
    <n v="1"/>
  </r>
  <r>
    <m/>
    <m/>
    <x v="1"/>
    <s v="17860325001001"/>
    <n v="-13.4"/>
    <n v="230"/>
    <n v="1"/>
    <n v="1"/>
  </r>
  <r>
    <m/>
    <m/>
    <x v="1"/>
    <s v="18046704001003"/>
    <n v="-15.44"/>
    <n v="265"/>
    <n v="1"/>
    <n v="1"/>
  </r>
  <r>
    <m/>
    <m/>
    <x v="1"/>
    <s v="18064895001005"/>
    <n v="-88"/>
    <n v="1510"/>
    <n v="1"/>
    <n v="1"/>
  </r>
  <r>
    <m/>
    <m/>
    <x v="1"/>
    <s v="18093249001001"/>
    <n v="-83.63"/>
    <n v="1435"/>
    <n v="1"/>
    <n v="1"/>
  </r>
  <r>
    <m/>
    <m/>
    <x v="1"/>
    <s v="18203462003005"/>
    <n v="-3.61"/>
    <n v="62"/>
    <n v="1"/>
    <n v="1"/>
  </r>
  <r>
    <m/>
    <m/>
    <x v="1"/>
    <s v="18264564004001"/>
    <n v="-138.30000000000001"/>
    <n v="2373"/>
    <n v="1"/>
    <n v="1"/>
  </r>
  <r>
    <m/>
    <m/>
    <x v="1"/>
    <s v="18510970001001"/>
    <n v="-57.58"/>
    <n v="988"/>
    <n v="1"/>
    <n v="1"/>
  </r>
  <r>
    <m/>
    <m/>
    <x v="1"/>
    <s v="18558909001002"/>
    <n v="-290.47000000000003"/>
    <n v="4984"/>
    <n v="1"/>
    <n v="1"/>
  </r>
  <r>
    <m/>
    <m/>
    <x v="1"/>
    <s v="18598550001006"/>
    <n v="-28.5"/>
    <n v="489"/>
    <n v="1"/>
    <n v="1"/>
  </r>
  <r>
    <m/>
    <m/>
    <x v="1"/>
    <s v="18699890007001"/>
    <n v="-20.75"/>
    <n v="356"/>
    <n v="1"/>
    <n v="1"/>
  </r>
  <r>
    <m/>
    <m/>
    <x v="1"/>
    <s v="18882101006001"/>
    <n v="-111.55"/>
    <n v="1914"/>
    <n v="1"/>
    <n v="1"/>
  </r>
  <r>
    <m/>
    <m/>
    <x v="1"/>
    <s v="18891872005001"/>
    <n v="-39.51"/>
    <n v="678"/>
    <n v="1"/>
    <n v="1"/>
  </r>
  <r>
    <m/>
    <m/>
    <x v="1"/>
    <s v="18896376002001"/>
    <n v="-210.27"/>
    <n v="3608"/>
    <n v="1"/>
    <n v="1"/>
  </r>
  <r>
    <m/>
    <m/>
    <x v="1"/>
    <s v="18964849002003"/>
    <n v="-27.68"/>
    <n v="475"/>
    <n v="1"/>
    <n v="1"/>
  </r>
  <r>
    <m/>
    <m/>
    <x v="1"/>
    <s v="19027224008001"/>
    <n v="-27.33"/>
    <n v="469"/>
    <n v="1"/>
    <n v="1"/>
  </r>
  <r>
    <m/>
    <m/>
    <x v="1"/>
    <s v="19066582001001"/>
    <n v="-57"/>
    <n v="978"/>
    <n v="1"/>
    <n v="1"/>
  </r>
  <r>
    <m/>
    <m/>
    <x v="1"/>
    <s v="19112010001001"/>
    <n v="-46.68"/>
    <n v="801"/>
    <n v="1"/>
    <n v="1"/>
  </r>
  <r>
    <m/>
    <m/>
    <x v="1"/>
    <s v="19229155004001"/>
    <n v="-133.4"/>
    <n v="2289"/>
    <n v="1"/>
    <n v="1"/>
  </r>
  <r>
    <m/>
    <m/>
    <x v="1"/>
    <s v="19248493001003"/>
    <n v="-53.44"/>
    <n v="917"/>
    <n v="1"/>
    <n v="1"/>
  </r>
  <r>
    <m/>
    <m/>
    <x v="1"/>
    <s v="19280275005001"/>
    <n v="-67.2"/>
    <n v="1153"/>
    <n v="1"/>
    <n v="1"/>
  </r>
  <r>
    <m/>
    <m/>
    <x v="1"/>
    <s v="19435050001006"/>
    <n v="-157.82"/>
    <n v="2708"/>
    <n v="1"/>
    <n v="1"/>
  </r>
  <r>
    <m/>
    <m/>
    <x v="1"/>
    <s v="19485422001001"/>
    <n v="-30.83"/>
    <n v="529"/>
    <n v="1"/>
    <n v="1"/>
  </r>
  <r>
    <m/>
    <m/>
    <x v="1"/>
    <s v="19532482001001"/>
    <n v="-10.9"/>
    <n v="187"/>
    <n v="1"/>
    <n v="1"/>
  </r>
  <r>
    <m/>
    <m/>
    <x v="1"/>
    <s v="19562566001001"/>
    <n v="-67.55"/>
    <n v="1159"/>
    <n v="1"/>
    <n v="1"/>
  </r>
  <r>
    <m/>
    <m/>
    <x v="1"/>
    <s v="19625257001005"/>
    <n v="-76.17"/>
    <n v="1307"/>
    <n v="1"/>
    <n v="1"/>
  </r>
  <r>
    <m/>
    <m/>
    <x v="1"/>
    <s v="19655093001001"/>
    <n v="-39.46"/>
    <n v="677"/>
    <n v="1"/>
    <n v="1"/>
  </r>
  <r>
    <m/>
    <m/>
    <x v="1"/>
    <s v="19672934001001"/>
    <n v="-25.24"/>
    <n v="433"/>
    <n v="1"/>
    <n v="1"/>
  </r>
  <r>
    <m/>
    <m/>
    <x v="1"/>
    <s v="19760888001002"/>
    <n v="-2.5099999999999998"/>
    <n v="43"/>
    <n v="1"/>
    <n v="1"/>
  </r>
  <r>
    <m/>
    <m/>
    <x v="1"/>
    <s v="19844787001003"/>
    <n v="-32.93"/>
    <n v="565"/>
    <n v="1"/>
    <n v="1"/>
  </r>
  <r>
    <m/>
    <m/>
    <x v="1"/>
    <s v="19858663001009"/>
    <n v="-47.03"/>
    <n v="807"/>
    <n v="1"/>
    <n v="1"/>
  </r>
  <r>
    <m/>
    <m/>
    <x v="1"/>
    <s v="19974784001003"/>
    <n v="-29.78"/>
    <n v="511"/>
    <n v="1"/>
    <n v="1"/>
  </r>
  <r>
    <m/>
    <m/>
    <x v="1"/>
    <s v="19984149003004"/>
    <n v="-68.19"/>
    <n v="1170"/>
    <n v="1"/>
    <n v="1"/>
  </r>
  <r>
    <m/>
    <m/>
    <x v="1"/>
    <s v="19984502001006"/>
    <n v="-78.56"/>
    <n v="1348"/>
    <n v="1"/>
    <n v="1"/>
  </r>
  <r>
    <m/>
    <m/>
    <x v="1"/>
    <s v="20017970001001"/>
    <n v="-28.27"/>
    <n v="485"/>
    <n v="1"/>
    <n v="1"/>
  </r>
  <r>
    <m/>
    <m/>
    <x v="1"/>
    <s v="20104962001001"/>
    <n v="-40.97"/>
    <n v="703"/>
    <n v="1"/>
    <n v="1"/>
  </r>
  <r>
    <m/>
    <m/>
    <x v="1"/>
    <s v="20111439001001"/>
    <n v="-28.91"/>
    <n v="496"/>
    <n v="1"/>
    <n v="1"/>
  </r>
  <r>
    <m/>
    <m/>
    <x v="1"/>
    <s v="20150975001012"/>
    <n v="-29.66"/>
    <n v="509"/>
    <n v="1"/>
    <n v="1"/>
  </r>
  <r>
    <m/>
    <m/>
    <x v="1"/>
    <s v="20180113005001"/>
    <n v="-129.15"/>
    <n v="2216"/>
    <n v="1"/>
    <n v="1"/>
  </r>
  <r>
    <m/>
    <m/>
    <x v="1"/>
    <s v="20180489001004"/>
    <n v="-23.02"/>
    <n v="395"/>
    <n v="1"/>
    <n v="1"/>
  </r>
  <r>
    <m/>
    <m/>
    <x v="1"/>
    <s v="20271876001002"/>
    <n v="-49.42"/>
    <n v="848"/>
    <n v="1"/>
    <n v="1"/>
  </r>
  <r>
    <m/>
    <m/>
    <x v="1"/>
    <s v="20346784001001"/>
    <n v="-30.31"/>
    <n v="520"/>
    <n v="1"/>
    <n v="1"/>
  </r>
  <r>
    <m/>
    <m/>
    <x v="1"/>
    <s v="20353719002001"/>
    <n v="-44.06"/>
    <n v="756"/>
    <n v="1"/>
    <n v="1"/>
  </r>
  <r>
    <m/>
    <m/>
    <x v="1"/>
    <s v="20394809001002"/>
    <n v="-74.19"/>
    <n v="1273"/>
    <n v="1"/>
    <n v="1"/>
  </r>
  <r>
    <m/>
    <m/>
    <x v="1"/>
    <s v="20495106003001"/>
    <n v="-58.98"/>
    <n v="1012"/>
    <n v="1"/>
    <n v="1"/>
  </r>
  <r>
    <m/>
    <m/>
    <x v="1"/>
    <s v="20531435001001"/>
    <n v="-61.49"/>
    <n v="1055"/>
    <n v="1"/>
    <n v="1"/>
  </r>
  <r>
    <m/>
    <m/>
    <x v="1"/>
    <s v="20622831001001"/>
    <n v="-36.369999999999997"/>
    <n v="624"/>
    <n v="1"/>
    <n v="1"/>
  </r>
  <r>
    <m/>
    <m/>
    <x v="1"/>
    <s v="20661619001004"/>
    <n v="-83.81"/>
    <n v="1438"/>
    <n v="1"/>
    <n v="1"/>
  </r>
  <r>
    <m/>
    <m/>
    <x v="1"/>
    <s v="20667329001003"/>
    <n v="-68.83"/>
    <n v="1181"/>
    <n v="1"/>
    <n v="1"/>
  </r>
  <r>
    <m/>
    <m/>
    <x v="1"/>
    <s v="20924266001001"/>
    <n v="-44.06"/>
    <n v="756"/>
    <n v="1"/>
    <n v="1"/>
  </r>
  <r>
    <m/>
    <m/>
    <x v="1"/>
    <s v="20988421001001"/>
    <n v="-57.58"/>
    <n v="988"/>
    <n v="1"/>
    <n v="1"/>
  </r>
  <r>
    <m/>
    <m/>
    <x v="1"/>
    <s v="21000703003001"/>
    <n v="-62.48"/>
    <n v="1072"/>
    <n v="1"/>
    <n v="1"/>
  </r>
  <r>
    <m/>
    <m/>
    <x v="1"/>
    <s v="21014172001007"/>
    <n v="-47.5"/>
    <n v="815"/>
    <n v="1"/>
    <n v="1"/>
  </r>
  <r>
    <m/>
    <m/>
    <x v="1"/>
    <s v="21076316001002"/>
    <n v="-74.13"/>
    <n v="1272"/>
    <n v="1"/>
    <n v="1"/>
  </r>
  <r>
    <m/>
    <m/>
    <x v="1"/>
    <s v="21211434001004"/>
    <n v="-112.66"/>
    <n v="1933"/>
    <n v="1"/>
    <n v="1"/>
  </r>
  <r>
    <m/>
    <m/>
    <x v="1"/>
    <s v="21227003001003"/>
    <n v="-87.36"/>
    <n v="1499"/>
    <n v="1"/>
    <n v="1"/>
  </r>
  <r>
    <m/>
    <m/>
    <x v="1"/>
    <s v="21262148002004"/>
    <n v="-36.54"/>
    <n v="627"/>
    <n v="1"/>
    <n v="1"/>
  </r>
  <r>
    <m/>
    <m/>
    <x v="1"/>
    <s v="21428566001001"/>
    <n v="-60.84"/>
    <n v="1044"/>
    <n v="1"/>
    <n v="1"/>
  </r>
  <r>
    <m/>
    <m/>
    <x v="1"/>
    <s v="21440417004001"/>
    <n v="-7.63"/>
    <n v="131"/>
    <n v="1"/>
    <n v="1"/>
  </r>
  <r>
    <m/>
    <m/>
    <x v="1"/>
    <s v="21469093001007"/>
    <n v="-30.95"/>
    <n v="531"/>
    <n v="1"/>
    <n v="1"/>
  </r>
  <r>
    <m/>
    <m/>
    <x v="1"/>
    <s v="21525125003001"/>
    <n v="-9.0299999999999994"/>
    <n v="155"/>
    <n v="1"/>
    <n v="1"/>
  </r>
  <r>
    <m/>
    <m/>
    <x v="1"/>
    <s v="21530313001003"/>
    <n v="-36.43"/>
    <n v="625"/>
    <n v="1"/>
    <n v="1"/>
  </r>
  <r>
    <m/>
    <m/>
    <x v="1"/>
    <s v="21546690001003"/>
    <n v="-97.91"/>
    <n v="1680"/>
    <n v="1"/>
    <n v="1"/>
  </r>
  <r>
    <m/>
    <m/>
    <x v="1"/>
    <s v="21594867001004"/>
    <n v="-123.15"/>
    <n v="2113"/>
    <n v="1"/>
    <n v="1"/>
  </r>
  <r>
    <m/>
    <m/>
    <x v="1"/>
    <s v="21633111003003"/>
    <n v="-2.56"/>
    <n v="44"/>
    <n v="1"/>
    <n v="1"/>
  </r>
  <r>
    <m/>
    <m/>
    <x v="1"/>
    <s v="21645618001001"/>
    <n v="-88.76"/>
    <n v="1523"/>
    <n v="1"/>
    <n v="1"/>
  </r>
  <r>
    <m/>
    <m/>
    <x v="1"/>
    <s v="21653812001006"/>
    <n v="-72.790000000000006"/>
    <n v="1249"/>
    <n v="1"/>
    <n v="1"/>
  </r>
  <r>
    <m/>
    <m/>
    <x v="1"/>
    <s v="21694077001003"/>
    <n v="-52.34"/>
    <n v="898"/>
    <n v="1"/>
    <n v="1"/>
  </r>
  <r>
    <m/>
    <m/>
    <x v="1"/>
    <s v="21953308001001"/>
    <n v="-52.34"/>
    <n v="898"/>
    <n v="1"/>
    <n v="1"/>
  </r>
  <r>
    <m/>
    <m/>
    <x v="1"/>
    <s v="22010468001003"/>
    <n v="-39.979999999999997"/>
    <n v="686"/>
    <n v="1"/>
    <n v="1"/>
  </r>
  <r>
    <m/>
    <m/>
    <x v="1"/>
    <s v="22062156001001"/>
    <n v="-31.35"/>
    <n v="538"/>
    <n v="1"/>
    <n v="1"/>
  </r>
  <r>
    <m/>
    <m/>
    <x v="1"/>
    <s v="22102529001008"/>
    <n v="-45.11"/>
    <n v="774"/>
    <n v="1"/>
    <n v="1"/>
  </r>
  <r>
    <m/>
    <m/>
    <x v="1"/>
    <s v="22203493001001"/>
    <n v="-37.94"/>
    <n v="651"/>
    <n v="1"/>
    <n v="1"/>
  </r>
  <r>
    <m/>
    <m/>
    <x v="1"/>
    <s v="22361013001001"/>
    <n v="-129.96"/>
    <n v="2230"/>
    <n v="1"/>
    <n v="1"/>
  </r>
  <r>
    <m/>
    <m/>
    <x v="1"/>
    <s v="22368801002001"/>
    <n v="-134.16"/>
    <n v="2302"/>
    <n v="1"/>
    <n v="1"/>
  </r>
  <r>
    <m/>
    <m/>
    <x v="1"/>
    <s v="22381989001002"/>
    <n v="-37.53"/>
    <n v="644"/>
    <n v="1"/>
    <n v="1"/>
  </r>
  <r>
    <m/>
    <m/>
    <x v="1"/>
    <s v="22408901001001"/>
    <n v="-25.58"/>
    <n v="439"/>
    <n v="1"/>
    <n v="1"/>
  </r>
  <r>
    <m/>
    <m/>
    <x v="1"/>
    <s v="22424413001003"/>
    <n v="-58.75"/>
    <n v="1008"/>
    <n v="1"/>
    <n v="1"/>
  </r>
  <r>
    <m/>
    <m/>
    <x v="1"/>
    <s v="22461172001010"/>
    <n v="-10.37"/>
    <n v="178"/>
    <n v="1"/>
    <n v="1"/>
  </r>
  <r>
    <m/>
    <m/>
    <x v="1"/>
    <s v="22537776001001"/>
    <n v="-79.900000000000006"/>
    <n v="1371"/>
    <n v="1"/>
    <n v="1"/>
  </r>
  <r>
    <m/>
    <m/>
    <x v="1"/>
    <s v="22697285001003"/>
    <n v="-53.09"/>
    <n v="911"/>
    <n v="1"/>
    <n v="1"/>
  </r>
  <r>
    <m/>
    <m/>
    <x v="1"/>
    <s v="22779889001001"/>
    <n v="-18.3"/>
    <n v="314"/>
    <n v="1"/>
    <n v="1"/>
  </r>
  <r>
    <m/>
    <m/>
    <x v="1"/>
    <s v="22849605002001"/>
    <n v="-51.23"/>
    <n v="879"/>
    <n v="1"/>
    <n v="1"/>
  </r>
  <r>
    <m/>
    <m/>
    <x v="1"/>
    <s v="22970260001002"/>
    <n v="-77.34"/>
    <n v="1327"/>
    <n v="1"/>
    <n v="1"/>
  </r>
  <r>
    <m/>
    <m/>
    <x v="1"/>
    <s v="23056711001001"/>
    <n v="-76.930000000000007"/>
    <n v="1320"/>
    <n v="1"/>
    <n v="1"/>
  </r>
  <r>
    <m/>
    <m/>
    <x v="1"/>
    <s v="23072089004002"/>
    <n v="-56.18"/>
    <n v="964"/>
    <n v="1"/>
    <n v="1"/>
  </r>
  <r>
    <m/>
    <m/>
    <x v="1"/>
    <s v="23103586001001"/>
    <n v="-30.95"/>
    <n v="531"/>
    <n v="1"/>
    <n v="1"/>
  </r>
  <r>
    <m/>
    <m/>
    <x v="1"/>
    <s v="23143876001001"/>
    <n v="-58.51"/>
    <n v="1004"/>
    <n v="1"/>
    <n v="1"/>
  </r>
  <r>
    <m/>
    <m/>
    <x v="1"/>
    <s v="23396729002001"/>
    <n v="-61.19"/>
    <n v="1050"/>
    <n v="1"/>
    <n v="1"/>
  </r>
  <r>
    <m/>
    <m/>
    <x v="1"/>
    <s v="23453749007001"/>
    <n v="-61.84"/>
    <n v="1061"/>
    <n v="1"/>
    <n v="1"/>
  </r>
  <r>
    <m/>
    <m/>
    <x v="1"/>
    <s v="23468135001004"/>
    <n v="-2.1"/>
    <n v="36"/>
    <n v="1"/>
    <n v="1"/>
  </r>
  <r>
    <m/>
    <m/>
    <x v="1"/>
    <s v="23600074001001"/>
    <n v="-51.99"/>
    <n v="892"/>
    <n v="1"/>
    <n v="1"/>
  </r>
  <r>
    <m/>
    <m/>
    <x v="1"/>
    <s v="23634903001001"/>
    <n v="-31.3"/>
    <n v="537"/>
    <n v="1"/>
    <n v="1"/>
  </r>
  <r>
    <m/>
    <m/>
    <x v="1"/>
    <s v="23714586001003"/>
    <n v="-21.8"/>
    <n v="374"/>
    <n v="1"/>
    <n v="1"/>
  </r>
  <r>
    <m/>
    <m/>
    <x v="1"/>
    <s v="23784674001004"/>
    <n v="-34.909999999999997"/>
    <n v="599"/>
    <n v="1"/>
    <n v="1"/>
  </r>
  <r>
    <m/>
    <m/>
    <x v="1"/>
    <s v="23879667001001"/>
    <n v="-36.659999999999997"/>
    <n v="629"/>
    <n v="1"/>
    <n v="1"/>
  </r>
  <r>
    <m/>
    <m/>
    <x v="1"/>
    <s v="23937121001001"/>
    <n v="-3.32"/>
    <n v="57"/>
    <n v="1"/>
    <n v="1"/>
  </r>
  <r>
    <m/>
    <m/>
    <x v="1"/>
    <s v="23975539001003"/>
    <n v="-112.89"/>
    <n v="1937"/>
    <n v="1"/>
    <n v="1"/>
  </r>
  <r>
    <m/>
    <m/>
    <x v="1"/>
    <s v="24300134001001"/>
    <n v="-35.14"/>
    <n v="603"/>
    <n v="1"/>
    <n v="1"/>
  </r>
  <r>
    <m/>
    <m/>
    <x v="1"/>
    <s v="24336943003005"/>
    <n v="-193.61"/>
    <n v="3322"/>
    <n v="1"/>
    <n v="1"/>
  </r>
  <r>
    <m/>
    <m/>
    <x v="1"/>
    <s v="24338902001001"/>
    <n v="-10.49"/>
    <n v="180"/>
    <n v="1"/>
    <n v="1"/>
  </r>
  <r>
    <m/>
    <m/>
    <x v="1"/>
    <s v="24367805001001"/>
    <n v="-11.77"/>
    <n v="202"/>
    <n v="1"/>
    <n v="1"/>
  </r>
  <r>
    <m/>
    <m/>
    <x v="1"/>
    <s v="24434887002003"/>
    <n v="-30.25"/>
    <n v="519"/>
    <n v="1"/>
    <n v="1"/>
  </r>
  <r>
    <m/>
    <m/>
    <x v="1"/>
    <s v="24503591001001"/>
    <n v="-59.5"/>
    <n v="1021"/>
    <n v="1"/>
    <n v="1"/>
  </r>
  <r>
    <m/>
    <m/>
    <x v="1"/>
    <s v="24504553001005"/>
    <n v="-30.48"/>
    <n v="523"/>
    <n v="1"/>
    <n v="1"/>
  </r>
  <r>
    <m/>
    <m/>
    <x v="1"/>
    <s v="24505066002001"/>
    <n v="-90.92"/>
    <n v="1560"/>
    <n v="1"/>
    <n v="1"/>
  </r>
  <r>
    <m/>
    <m/>
    <x v="1"/>
    <s v="24605344004001"/>
    <n v="-12.18"/>
    <n v="209"/>
    <n v="1"/>
    <n v="1"/>
  </r>
  <r>
    <m/>
    <m/>
    <x v="1"/>
    <s v="24715679001001"/>
    <n v="-28.5"/>
    <n v="489"/>
    <n v="1"/>
    <n v="1"/>
  </r>
  <r>
    <m/>
    <m/>
    <x v="1"/>
    <s v="24751934001001"/>
    <n v="-35.32"/>
    <n v="606"/>
    <n v="1"/>
    <n v="1"/>
  </r>
  <r>
    <m/>
    <m/>
    <x v="1"/>
    <s v="24806438001006"/>
    <n v="-52.16"/>
    <n v="895"/>
    <n v="1"/>
    <n v="1"/>
  </r>
  <r>
    <m/>
    <m/>
    <x v="1"/>
    <s v="25096011001001"/>
    <n v="-42.6"/>
    <n v="731"/>
    <n v="1"/>
    <n v="1"/>
  </r>
  <r>
    <m/>
    <m/>
    <x v="1"/>
    <s v="25160457004003"/>
    <n v="-100.77"/>
    <n v="1729"/>
    <n v="1"/>
    <n v="1"/>
  </r>
  <r>
    <m/>
    <m/>
    <x v="1"/>
    <s v="25383308001001"/>
    <n v="-69.989999999999995"/>
    <n v="1201"/>
    <n v="1"/>
    <n v="1"/>
  </r>
  <r>
    <m/>
    <m/>
    <x v="1"/>
    <s v="25428167001001"/>
    <n v="-14.57"/>
    <n v="250"/>
    <n v="1"/>
    <n v="1"/>
  </r>
  <r>
    <m/>
    <m/>
    <x v="1"/>
    <s v="25580805001001"/>
    <n v="-27.39"/>
    <n v="470"/>
    <n v="1"/>
    <n v="1"/>
  </r>
  <r>
    <m/>
    <m/>
    <x v="1"/>
    <s v="25584708001005"/>
    <n v="-80.540000000000006"/>
    <n v="1382"/>
    <n v="1"/>
    <n v="1"/>
  </r>
  <r>
    <m/>
    <m/>
    <x v="1"/>
    <s v="25611864001004"/>
    <n v="-64.459999999999994"/>
    <n v="1106"/>
    <n v="1"/>
    <n v="1"/>
  </r>
  <r>
    <m/>
    <m/>
    <x v="1"/>
    <s v="25644209001001"/>
    <n v="-13.52"/>
    <n v="232"/>
    <n v="1"/>
    <n v="1"/>
  </r>
  <r>
    <m/>
    <m/>
    <x v="1"/>
    <s v="25741551007013"/>
    <n v="-142.44"/>
    <n v="2444"/>
    <n v="1"/>
    <n v="1"/>
  </r>
  <r>
    <m/>
    <m/>
    <x v="1"/>
    <s v="25769735001009"/>
    <n v="-98.2"/>
    <n v="1685"/>
    <n v="1"/>
    <n v="1"/>
  </r>
  <r>
    <m/>
    <m/>
    <x v="1"/>
    <s v="25783482001001"/>
    <n v="-136.84"/>
    <n v="2348"/>
    <n v="1"/>
    <n v="1"/>
  </r>
  <r>
    <m/>
    <m/>
    <x v="1"/>
    <s v="25784922001004"/>
    <n v="-65.099999999999994"/>
    <n v="1117"/>
    <n v="1"/>
    <n v="1"/>
  </r>
  <r>
    <m/>
    <m/>
    <x v="1"/>
    <s v="25810340001001"/>
    <n v="-106.54"/>
    <n v="1828"/>
    <n v="1"/>
    <n v="1"/>
  </r>
  <r>
    <m/>
    <m/>
    <x v="1"/>
    <s v="25816610001008"/>
    <n v="-83.22"/>
    <n v="1428"/>
    <n v="1"/>
    <n v="1"/>
  </r>
  <r>
    <m/>
    <m/>
    <x v="1"/>
    <s v="25824653001001"/>
    <n v="-50.47"/>
    <n v="866"/>
    <n v="1"/>
    <n v="1"/>
  </r>
  <r>
    <m/>
    <m/>
    <x v="1"/>
    <s v="25851963001001"/>
    <n v="-68.540000000000006"/>
    <n v="1176"/>
    <n v="1"/>
    <n v="1"/>
  </r>
  <r>
    <m/>
    <m/>
    <x v="1"/>
    <s v="25915661001001"/>
    <n v="-89.69"/>
    <n v="1539"/>
    <n v="1"/>
    <n v="1"/>
  </r>
  <r>
    <m/>
    <m/>
    <x v="1"/>
    <s v="25980885005001"/>
    <n v="-81.13"/>
    <n v="1392"/>
    <n v="1"/>
    <n v="1"/>
  </r>
  <r>
    <m/>
    <m/>
    <x v="1"/>
    <s v="26054021001002"/>
    <n v="-44.88"/>
    <n v="770"/>
    <n v="1"/>
    <n v="1"/>
  </r>
  <r>
    <m/>
    <m/>
    <x v="1"/>
    <s v="26264318008001"/>
    <n v="-183"/>
    <n v="3140"/>
    <n v="1"/>
    <n v="1"/>
  </r>
  <r>
    <m/>
    <m/>
    <x v="1"/>
    <s v="26360288004001"/>
    <n v="-34.44"/>
    <n v="591"/>
    <n v="1"/>
    <n v="1"/>
  </r>
  <r>
    <m/>
    <m/>
    <x v="1"/>
    <s v="26366881003001"/>
    <n v="-81.069999999999993"/>
    <n v="1391"/>
    <n v="1"/>
    <n v="1"/>
  </r>
  <r>
    <m/>
    <m/>
    <x v="1"/>
    <s v="26400210001001"/>
    <n v="-88.35"/>
    <n v="1516"/>
    <n v="1"/>
    <n v="1"/>
  </r>
  <r>
    <m/>
    <m/>
    <x v="1"/>
    <s v="26537288001001"/>
    <n v="-31.7"/>
    <n v="544"/>
    <n v="1"/>
    <n v="1"/>
  </r>
  <r>
    <m/>
    <m/>
    <x v="1"/>
    <s v="26545623004004"/>
    <n v="-52.1"/>
    <n v="894"/>
    <n v="1"/>
    <n v="1"/>
  </r>
  <r>
    <m/>
    <m/>
    <x v="1"/>
    <s v="26569299001003"/>
    <n v="-115.74"/>
    <n v="1986"/>
    <n v="1"/>
    <n v="1"/>
  </r>
  <r>
    <m/>
    <m/>
    <x v="1"/>
    <s v="26792781002001"/>
    <n v="-9.3800000000000008"/>
    <n v="161"/>
    <n v="1"/>
    <n v="1"/>
  </r>
  <r>
    <m/>
    <m/>
    <x v="1"/>
    <s v="26902722002003"/>
    <n v="-121.16"/>
    <n v="2079"/>
    <n v="1"/>
    <n v="1"/>
  </r>
  <r>
    <m/>
    <m/>
    <x v="1"/>
    <s v="27057981001001"/>
    <n v="-47.5"/>
    <n v="815"/>
    <n v="1"/>
    <n v="1"/>
  </r>
  <r>
    <m/>
    <m/>
    <x v="1"/>
    <s v="27069473001005"/>
    <n v="-79.73"/>
    <n v="1368"/>
    <n v="1"/>
    <n v="1"/>
  </r>
  <r>
    <m/>
    <m/>
    <x v="1"/>
    <s v="27104996002014"/>
    <n v="-56.42"/>
    <n v="968"/>
    <n v="1"/>
    <n v="1"/>
  </r>
  <r>
    <m/>
    <m/>
    <x v="1"/>
    <s v="27207665001001"/>
    <n v="-19.93"/>
    <n v="342"/>
    <n v="1"/>
    <n v="1"/>
  </r>
  <r>
    <m/>
    <m/>
    <x v="1"/>
    <s v="27214758001001"/>
    <n v="-75.709999999999994"/>
    <n v="1299"/>
    <n v="1"/>
    <n v="1"/>
  </r>
  <r>
    <m/>
    <m/>
    <x v="1"/>
    <s v="27261268009001"/>
    <n v="-18.36"/>
    <n v="315"/>
    <n v="1"/>
    <n v="1"/>
  </r>
  <r>
    <m/>
    <m/>
    <x v="1"/>
    <s v="27323643001001"/>
    <n v="-46.97"/>
    <n v="806"/>
    <n v="1"/>
    <n v="1"/>
  </r>
  <r>
    <m/>
    <m/>
    <x v="1"/>
    <s v="27353470003003"/>
    <n v="-78.62"/>
    <n v="1349"/>
    <n v="1"/>
    <n v="1"/>
  </r>
  <r>
    <m/>
    <m/>
    <x v="1"/>
    <s v="27362591001003"/>
    <n v="-82.64"/>
    <n v="1418"/>
    <n v="1"/>
    <n v="1"/>
  </r>
  <r>
    <m/>
    <m/>
    <x v="1"/>
    <s v="27457180001003"/>
    <n v="-88.82"/>
    <n v="1524"/>
    <n v="1"/>
    <n v="1"/>
  </r>
  <r>
    <m/>
    <m/>
    <x v="1"/>
    <s v="27614236002001"/>
    <n v="-38.700000000000003"/>
    <n v="664"/>
    <n v="1"/>
    <n v="1"/>
  </r>
  <r>
    <m/>
    <m/>
    <x v="1"/>
    <s v="27629352001002"/>
    <n v="-148.09"/>
    <n v="2541"/>
    <n v="1"/>
    <n v="1"/>
  </r>
  <r>
    <m/>
    <m/>
    <x v="1"/>
    <s v="27670002001006"/>
    <n v="-130.61000000000001"/>
    <n v="2241"/>
    <n v="1"/>
    <n v="1"/>
  </r>
  <r>
    <m/>
    <m/>
    <x v="1"/>
    <s v="27691065001006"/>
    <n v="-92.84"/>
    <n v="1593"/>
    <n v="1"/>
    <n v="1"/>
  </r>
  <r>
    <m/>
    <m/>
    <x v="1"/>
    <s v="27796579002001"/>
    <n v="-49.13"/>
    <n v="843"/>
    <n v="1"/>
    <n v="1"/>
  </r>
  <r>
    <m/>
    <m/>
    <x v="1"/>
    <s v="27803535001001"/>
    <n v="-54.61"/>
    <n v="937"/>
    <n v="1"/>
    <n v="1"/>
  </r>
  <r>
    <m/>
    <m/>
    <x v="1"/>
    <s v="27807380001004"/>
    <n v="-5.48"/>
    <n v="94"/>
    <n v="1"/>
    <n v="1"/>
  </r>
  <r>
    <m/>
    <m/>
    <x v="1"/>
    <s v="28059627001003"/>
    <n v="-27.39"/>
    <n v="470"/>
    <n v="1"/>
    <n v="1"/>
  </r>
  <r>
    <m/>
    <m/>
    <x v="1"/>
    <s v="28099179001007"/>
    <n v="-11.07"/>
    <n v="190"/>
    <n v="1"/>
    <n v="1"/>
  </r>
  <r>
    <m/>
    <m/>
    <x v="1"/>
    <s v="28164675001001"/>
    <n v="-53.56"/>
    <n v="919"/>
    <n v="1"/>
    <n v="1"/>
  </r>
  <r>
    <m/>
    <m/>
    <x v="1"/>
    <s v="28184432001001"/>
    <n v="-34.85"/>
    <n v="598"/>
    <n v="1"/>
    <n v="1"/>
  </r>
  <r>
    <m/>
    <m/>
    <x v="1"/>
    <s v="28204362001001"/>
    <n v="-18.3"/>
    <n v="314"/>
    <n v="1"/>
    <n v="1"/>
  </r>
  <r>
    <m/>
    <m/>
    <x v="1"/>
    <s v="28416675003005"/>
    <n v="-0.47"/>
    <n v="8"/>
    <n v="1"/>
    <n v="1"/>
  </r>
  <r>
    <m/>
    <m/>
    <x v="1"/>
    <s v="28477040001004"/>
    <n v="-32"/>
    <n v="549"/>
    <n v="1"/>
    <n v="1"/>
  </r>
  <r>
    <m/>
    <m/>
    <x v="1"/>
    <s v="28584427001011"/>
    <n v="-17.95"/>
    <n v="308"/>
    <n v="1"/>
    <n v="1"/>
  </r>
  <r>
    <m/>
    <m/>
    <x v="1"/>
    <s v="28623332001001"/>
    <n v="-21.1"/>
    <n v="362"/>
    <n v="2"/>
    <n v="1"/>
  </r>
  <r>
    <m/>
    <m/>
    <x v="1"/>
    <s v="28647586001001"/>
    <n v="-33.39"/>
    <n v="573"/>
    <n v="1"/>
    <n v="1"/>
  </r>
  <r>
    <m/>
    <m/>
    <x v="1"/>
    <s v="28704245001001"/>
    <n v="-137.19"/>
    <n v="2354"/>
    <n v="1"/>
    <n v="1"/>
  </r>
  <r>
    <m/>
    <m/>
    <x v="1"/>
    <s v="28722691001003"/>
    <n v="-71.39"/>
    <n v="1225"/>
    <n v="1"/>
    <n v="1"/>
  </r>
  <r>
    <m/>
    <m/>
    <x v="1"/>
    <s v="28804615002002"/>
    <n v="-89.34"/>
    <n v="1533"/>
    <n v="1"/>
    <n v="1"/>
  </r>
  <r>
    <m/>
    <m/>
    <x v="1"/>
    <s v="28868417001005"/>
    <n v="-20.86"/>
    <n v="358"/>
    <n v="1"/>
    <n v="1"/>
  </r>
  <r>
    <m/>
    <m/>
    <x v="1"/>
    <s v="28903097001004"/>
    <n v="-52.63"/>
    <n v="903"/>
    <n v="1"/>
    <n v="1"/>
  </r>
  <r>
    <m/>
    <m/>
    <x v="1"/>
    <s v="29000608001001"/>
    <n v="-57"/>
    <n v="978"/>
    <n v="1"/>
    <n v="1"/>
  </r>
  <r>
    <m/>
    <m/>
    <x v="1"/>
    <s v="29018357001001"/>
    <n v="-10.37"/>
    <n v="178"/>
    <n v="1"/>
    <n v="1"/>
  </r>
  <r>
    <m/>
    <m/>
    <x v="1"/>
    <s v="29121023001001"/>
    <n v="-51.99"/>
    <n v="892"/>
    <n v="1"/>
    <n v="1"/>
  </r>
  <r>
    <m/>
    <m/>
    <x v="1"/>
    <s v="29435988001007"/>
    <n v="-53.09"/>
    <n v="911"/>
    <n v="1"/>
    <n v="1"/>
  </r>
  <r>
    <m/>
    <m/>
    <x v="1"/>
    <s v="29492327001001"/>
    <n v="-44.06"/>
    <n v="756"/>
    <n v="1"/>
    <n v="1"/>
  </r>
  <r>
    <m/>
    <m/>
    <x v="1"/>
    <s v="29527274001001"/>
    <n v="-59.85"/>
    <n v="1027"/>
    <n v="1"/>
    <n v="1"/>
  </r>
  <r>
    <m/>
    <m/>
    <x v="1"/>
    <s v="29729927001003"/>
    <n v="-2.27"/>
    <n v="39"/>
    <n v="1"/>
    <n v="1"/>
  </r>
  <r>
    <m/>
    <m/>
    <x v="1"/>
    <s v="29879754001001"/>
    <n v="-51"/>
    <n v="875"/>
    <n v="1"/>
    <n v="1"/>
  </r>
  <r>
    <m/>
    <m/>
    <x v="1"/>
    <s v="30002964001001"/>
    <n v="-32.58"/>
    <n v="559"/>
    <n v="1"/>
    <n v="1"/>
  </r>
  <r>
    <m/>
    <m/>
    <x v="1"/>
    <s v="30102676002001"/>
    <n v="-105.25"/>
    <n v="1806"/>
    <n v="1"/>
    <n v="1"/>
  </r>
  <r>
    <m/>
    <m/>
    <x v="1"/>
    <s v="30133433001001"/>
    <n v="-117.08"/>
    <n v="2009"/>
    <n v="1"/>
    <n v="1"/>
  </r>
  <r>
    <m/>
    <m/>
    <x v="1"/>
    <s v="30267414002001"/>
    <n v="-89.17"/>
    <n v="1530"/>
    <n v="1"/>
    <n v="1"/>
  </r>
  <r>
    <m/>
    <m/>
    <x v="1"/>
    <s v="30319002002003"/>
    <n v="-93.07"/>
    <n v="1597"/>
    <n v="1"/>
    <n v="1"/>
  </r>
  <r>
    <m/>
    <m/>
    <x v="1"/>
    <s v="30360605008001"/>
    <n v="-64.569999999999993"/>
    <n v="1108"/>
    <n v="1"/>
    <n v="1"/>
  </r>
  <r>
    <m/>
    <m/>
    <x v="1"/>
    <s v="30456305003001"/>
    <n v="-49.01"/>
    <n v="841"/>
    <n v="1"/>
    <n v="1"/>
  </r>
  <r>
    <m/>
    <m/>
    <x v="1"/>
    <s v="30498530001006"/>
    <n v="-50.41"/>
    <n v="865"/>
    <n v="1"/>
    <n v="1"/>
  </r>
  <r>
    <m/>
    <m/>
    <x v="1"/>
    <s v="30521149001003"/>
    <n v="-108.75"/>
    <n v="1866"/>
    <n v="1"/>
    <n v="1"/>
  </r>
  <r>
    <m/>
    <m/>
    <x v="1"/>
    <s v="30897668001002"/>
    <n v="-38.229999999999997"/>
    <n v="656"/>
    <n v="1"/>
    <n v="1"/>
  </r>
  <r>
    <m/>
    <m/>
    <x v="1"/>
    <s v="30915212001003"/>
    <n v="-44.76"/>
    <n v="768"/>
    <n v="1"/>
    <n v="1"/>
  </r>
  <r>
    <m/>
    <m/>
    <x v="1"/>
    <s v="30923567001005"/>
    <n v="-109.97"/>
    <n v="1887"/>
    <n v="1"/>
    <n v="1"/>
  </r>
  <r>
    <m/>
    <m/>
    <x v="1"/>
    <s v="30965089001001"/>
    <n v="-30.07"/>
    <n v="516"/>
    <n v="1"/>
    <n v="1"/>
  </r>
  <r>
    <m/>
    <m/>
    <x v="1"/>
    <s v="31016219002001"/>
    <n v="-14.69"/>
    <n v="252"/>
    <n v="1"/>
    <n v="1"/>
  </r>
  <r>
    <m/>
    <m/>
    <x v="1"/>
    <s v="31043707001001"/>
    <n v="-38.93"/>
    <n v="668"/>
    <n v="1"/>
    <n v="1"/>
  </r>
  <r>
    <m/>
    <m/>
    <x v="1"/>
    <s v="31207589001006"/>
    <n v="-92.67"/>
    <n v="1590"/>
    <n v="1"/>
    <n v="1"/>
  </r>
  <r>
    <m/>
    <m/>
    <x v="1"/>
    <s v="31283347001004"/>
    <n v="-73.260000000000005"/>
    <n v="1257"/>
    <n v="1"/>
    <n v="1"/>
  </r>
  <r>
    <m/>
    <m/>
    <x v="1"/>
    <s v="31363659001003"/>
    <n v="-10.61"/>
    <n v="182"/>
    <n v="1"/>
    <n v="1"/>
  </r>
  <r>
    <m/>
    <m/>
    <x v="1"/>
    <s v="31396728001005"/>
    <n v="-18.3"/>
    <n v="314"/>
    <n v="1"/>
    <n v="1"/>
  </r>
  <r>
    <m/>
    <m/>
    <x v="1"/>
    <s v="31484435001001"/>
    <n v="-50"/>
    <n v="858"/>
    <n v="1"/>
    <n v="1"/>
  </r>
  <r>
    <m/>
    <m/>
    <x v="1"/>
    <s v="31533047001001"/>
    <n v="-64.11"/>
    <n v="1100"/>
    <n v="1"/>
    <n v="1"/>
  </r>
  <r>
    <m/>
    <m/>
    <x v="1"/>
    <s v="31539259001001"/>
    <n v="-69.7"/>
    <n v="1196"/>
    <n v="1"/>
    <n v="1"/>
  </r>
  <r>
    <m/>
    <m/>
    <x v="1"/>
    <s v="31770964001004"/>
    <n v="-132.76"/>
    <n v="2278"/>
    <n v="1"/>
    <n v="1"/>
  </r>
  <r>
    <m/>
    <m/>
    <x v="1"/>
    <s v="31813958002003"/>
    <n v="-67.2"/>
    <n v="1153"/>
    <n v="1"/>
    <n v="1"/>
  </r>
  <r>
    <m/>
    <m/>
    <x v="1"/>
    <s v="31817682001003"/>
    <n v="-0.41"/>
    <n v="7"/>
    <n v="1"/>
    <n v="1"/>
  </r>
  <r>
    <m/>
    <m/>
    <x v="1"/>
    <s v="31991405001001"/>
    <n v="-21.16"/>
    <n v="363"/>
    <n v="1"/>
    <n v="1"/>
  </r>
  <r>
    <m/>
    <m/>
    <x v="1"/>
    <s v="32202621001001"/>
    <n v="-69.59"/>
    <n v="1194"/>
    <n v="1"/>
    <n v="1"/>
  </r>
  <r>
    <m/>
    <m/>
    <x v="1"/>
    <s v="32293901002001"/>
    <n v="-105.95"/>
    <n v="1818"/>
    <n v="1"/>
    <n v="1"/>
  </r>
  <r>
    <m/>
    <m/>
    <x v="1"/>
    <s v="32412801002002"/>
    <n v="-77.099999999999994"/>
    <n v="1323"/>
    <n v="1"/>
    <n v="1"/>
  </r>
  <r>
    <m/>
    <m/>
    <x v="1"/>
    <s v="32447778001001"/>
    <n v="-55.54"/>
    <n v="953"/>
    <n v="1"/>
    <n v="1"/>
  </r>
  <r>
    <m/>
    <m/>
    <x v="1"/>
    <s v="32517568005001"/>
    <n v="-27.51"/>
    <n v="472"/>
    <n v="1"/>
    <n v="1"/>
  </r>
  <r>
    <m/>
    <m/>
    <x v="1"/>
    <s v="32519917001004"/>
    <n v="-28.67"/>
    <n v="492"/>
    <n v="1"/>
    <n v="1"/>
  </r>
  <r>
    <m/>
    <m/>
    <x v="1"/>
    <s v="32720886001003"/>
    <n v="-47.79"/>
    <n v="820"/>
    <n v="1"/>
    <n v="1"/>
  </r>
  <r>
    <m/>
    <m/>
    <x v="1"/>
    <s v="32740450002001"/>
    <n v="-30.66"/>
    <n v="526"/>
    <n v="1"/>
    <n v="1"/>
  </r>
  <r>
    <m/>
    <m/>
    <x v="1"/>
    <s v="32762616001002"/>
    <n v="-45.92"/>
    <n v="788"/>
    <n v="1"/>
    <n v="1"/>
  </r>
  <r>
    <m/>
    <m/>
    <x v="1"/>
    <s v="32767929001001"/>
    <n v="-19.41"/>
    <n v="333"/>
    <n v="1"/>
    <n v="1"/>
  </r>
  <r>
    <m/>
    <m/>
    <x v="1"/>
    <s v="32853341001004"/>
    <n v="-88.82"/>
    <n v="1524"/>
    <n v="1"/>
    <n v="1"/>
  </r>
  <r>
    <m/>
    <m/>
    <x v="1"/>
    <s v="33003317001001"/>
    <n v="-60.61"/>
    <n v="1040"/>
    <n v="1"/>
    <n v="1"/>
  </r>
  <r>
    <m/>
    <m/>
    <x v="1"/>
    <s v="33218089001003"/>
    <n v="-84.56"/>
    <n v="1451"/>
    <n v="1"/>
    <n v="1"/>
  </r>
  <r>
    <m/>
    <m/>
    <x v="1"/>
    <s v="33292898001002"/>
    <n v="-41.9"/>
    <n v="719"/>
    <n v="1"/>
    <n v="1"/>
  </r>
  <r>
    <m/>
    <m/>
    <x v="1"/>
    <s v="33293530001001"/>
    <n v="-42.95"/>
    <n v="737"/>
    <n v="1"/>
    <n v="1"/>
  </r>
  <r>
    <m/>
    <m/>
    <x v="1"/>
    <s v="33325640001005"/>
    <n v="-126.7"/>
    <n v="2174"/>
    <n v="1"/>
    <n v="1"/>
  </r>
  <r>
    <m/>
    <m/>
    <x v="1"/>
    <s v="33449904002001"/>
    <n v="-23.43"/>
    <n v="402"/>
    <n v="1"/>
    <n v="1"/>
  </r>
  <r>
    <m/>
    <m/>
    <x v="1"/>
    <s v="33459488001004"/>
    <n v="-50.3"/>
    <n v="863"/>
    <n v="1"/>
    <n v="1"/>
  </r>
  <r>
    <m/>
    <m/>
    <x v="1"/>
    <s v="33524631002001"/>
    <n v="-108.4"/>
    <n v="1860"/>
    <n v="1"/>
    <n v="1"/>
  </r>
  <r>
    <m/>
    <m/>
    <x v="1"/>
    <s v="33529526001001"/>
    <n v="-78.209999999999994"/>
    <n v="1342"/>
    <n v="1"/>
    <n v="1"/>
  </r>
  <r>
    <m/>
    <m/>
    <x v="1"/>
    <s v="33533745001003"/>
    <n v="-48.2"/>
    <n v="827"/>
    <n v="1"/>
    <n v="1"/>
  </r>
  <r>
    <m/>
    <m/>
    <x v="1"/>
    <s v="33551931001003"/>
    <n v="-110.85"/>
    <n v="1902"/>
    <n v="1"/>
    <n v="1"/>
  </r>
  <r>
    <m/>
    <m/>
    <x v="1"/>
    <s v="33559246001001"/>
    <n v="-51.75"/>
    <n v="888"/>
    <n v="1"/>
    <n v="1"/>
  </r>
  <r>
    <m/>
    <m/>
    <x v="1"/>
    <s v="33652204001001"/>
    <n v="-33.1"/>
    <n v="568"/>
    <n v="1"/>
    <n v="1"/>
  </r>
  <r>
    <m/>
    <m/>
    <x v="1"/>
    <s v="33705370001001"/>
    <n v="-81.42"/>
    <n v="1397"/>
    <n v="1"/>
    <n v="1"/>
  </r>
  <r>
    <m/>
    <m/>
    <x v="1"/>
    <s v="33808192001001"/>
    <n v="-51.87"/>
    <n v="890"/>
    <n v="1"/>
    <n v="1"/>
  </r>
  <r>
    <m/>
    <m/>
    <x v="1"/>
    <s v="33824960001005"/>
    <n v="-44.99"/>
    <n v="772"/>
    <n v="1"/>
    <n v="1"/>
  </r>
  <r>
    <m/>
    <m/>
    <x v="1"/>
    <s v="33915238004001"/>
    <n v="-66.209999999999994"/>
    <n v="1136"/>
    <n v="1"/>
    <n v="1"/>
  </r>
  <r>
    <m/>
    <m/>
    <x v="1"/>
    <s v="33933922008001"/>
    <n v="-49.36"/>
    <n v="847"/>
    <n v="1"/>
    <n v="1"/>
  </r>
  <r>
    <m/>
    <m/>
    <x v="1"/>
    <s v="33946666001001"/>
    <n v="-289.42"/>
    <n v="4966"/>
    <n v="1"/>
    <n v="1"/>
  </r>
  <r>
    <m/>
    <m/>
    <x v="1"/>
    <s v="33988440001001"/>
    <n v="-100.82"/>
    <n v="1730"/>
    <n v="1"/>
    <n v="1"/>
  </r>
  <r>
    <m/>
    <m/>
    <x v="1"/>
    <s v="34473759002001"/>
    <n v="-63.41"/>
    <n v="1088"/>
    <n v="1"/>
    <n v="1"/>
  </r>
  <r>
    <m/>
    <m/>
    <x v="1"/>
    <s v="34685741001001"/>
    <n v="-1.05"/>
    <n v="18"/>
    <n v="1"/>
    <n v="1"/>
  </r>
  <r>
    <m/>
    <m/>
    <x v="1"/>
    <s v="34717698001005"/>
    <n v="-39.92"/>
    <n v="685"/>
    <n v="1"/>
    <n v="1"/>
  </r>
  <r>
    <m/>
    <m/>
    <x v="1"/>
    <s v="35012953001002"/>
    <n v="-78.150000000000006"/>
    <n v="1341"/>
    <n v="1"/>
    <n v="1"/>
  </r>
  <r>
    <m/>
    <m/>
    <x v="1"/>
    <s v="35060732007005"/>
    <n v="-18.3"/>
    <n v="314"/>
    <n v="1"/>
    <n v="1"/>
  </r>
  <r>
    <m/>
    <m/>
    <x v="1"/>
    <s v="35150603002003"/>
    <n v="-35.03"/>
    <n v="601"/>
    <n v="1"/>
    <n v="1"/>
  </r>
  <r>
    <m/>
    <m/>
    <x v="1"/>
    <s v="35172600002001"/>
    <n v="-194.01"/>
    <n v="3329"/>
    <n v="1"/>
    <n v="1"/>
  </r>
  <r>
    <m/>
    <m/>
    <x v="1"/>
    <s v="35225739001001"/>
    <n v="-74.19"/>
    <n v="1273"/>
    <n v="1"/>
    <n v="1"/>
  </r>
  <r>
    <m/>
    <m/>
    <x v="1"/>
    <s v="35251550001001"/>
    <n v="-111.84"/>
    <n v="1919"/>
    <n v="1"/>
    <n v="1"/>
  </r>
  <r>
    <m/>
    <m/>
    <x v="1"/>
    <s v="35296076001001"/>
    <n v="-25.93"/>
    <n v="445"/>
    <n v="1"/>
    <n v="1"/>
  </r>
  <r>
    <m/>
    <m/>
    <x v="1"/>
    <s v="35325747002003"/>
    <n v="-124.08"/>
    <n v="2129"/>
    <n v="1"/>
    <n v="1"/>
  </r>
  <r>
    <m/>
    <m/>
    <x v="1"/>
    <s v="35340232002001"/>
    <n v="-139.52000000000001"/>
    <n v="2394"/>
    <n v="1"/>
    <n v="1"/>
  </r>
  <r>
    <m/>
    <m/>
    <x v="1"/>
    <s v="35523656002003"/>
    <n v="-12.06"/>
    <n v="207"/>
    <n v="1"/>
    <n v="1"/>
  </r>
  <r>
    <m/>
    <m/>
    <x v="1"/>
    <s v="35691353001006"/>
    <n v="-69.290000000000006"/>
    <n v="1189"/>
    <n v="1"/>
    <n v="1"/>
  </r>
  <r>
    <m/>
    <m/>
    <x v="1"/>
    <s v="35696004001002"/>
    <n v="-86.37"/>
    <n v="1482"/>
    <n v="1"/>
    <n v="1"/>
  </r>
  <r>
    <m/>
    <m/>
    <x v="1"/>
    <s v="35735102001001"/>
    <n v="-80.83"/>
    <n v="1387"/>
    <n v="1"/>
    <n v="1"/>
  </r>
  <r>
    <m/>
    <m/>
    <x v="1"/>
    <s v="35784461001001"/>
    <n v="-1.57"/>
    <n v="27"/>
    <n v="1"/>
    <n v="1"/>
  </r>
  <r>
    <m/>
    <m/>
    <x v="1"/>
    <s v="35861191001002"/>
    <n v="-16.670000000000002"/>
    <n v="286"/>
    <n v="1"/>
    <n v="1"/>
  </r>
  <r>
    <m/>
    <m/>
    <x v="1"/>
    <s v="35882527001002"/>
    <n v="-64.98"/>
    <n v="1115"/>
    <n v="1"/>
    <n v="1"/>
  </r>
  <r>
    <m/>
    <m/>
    <x v="1"/>
    <s v="35900670002005"/>
    <n v="-3.5"/>
    <n v="60"/>
    <n v="1"/>
    <n v="1"/>
  </r>
  <r>
    <m/>
    <m/>
    <x v="1"/>
    <s v="36008083001001"/>
    <n v="-70.930000000000007"/>
    <n v="1217"/>
    <n v="1"/>
    <n v="1"/>
  </r>
  <r>
    <m/>
    <m/>
    <x v="1"/>
    <s v="36026930001001"/>
    <n v="-94.24"/>
    <n v="1617"/>
    <n v="1"/>
    <n v="1"/>
  </r>
  <r>
    <m/>
    <m/>
    <x v="1"/>
    <s v="36099025002001"/>
    <n v="-52.92"/>
    <n v="908"/>
    <n v="1"/>
    <n v="1"/>
  </r>
  <r>
    <m/>
    <m/>
    <x v="1"/>
    <s v="36103245002011"/>
    <n v="-140.11000000000001"/>
    <n v="2404"/>
    <n v="1"/>
    <n v="1"/>
  </r>
  <r>
    <m/>
    <m/>
    <x v="1"/>
    <s v="36193790001003"/>
    <n v="-26.87"/>
    <n v="461"/>
    <n v="1"/>
    <n v="1"/>
  </r>
  <r>
    <m/>
    <m/>
    <x v="1"/>
    <s v="36341076001001"/>
    <n v="-206.49"/>
    <n v="3543"/>
    <n v="1"/>
    <n v="1"/>
  </r>
  <r>
    <m/>
    <m/>
    <x v="1"/>
    <s v="36557126001001"/>
    <n v="-9.09"/>
    <n v="156"/>
    <n v="1"/>
    <n v="1"/>
  </r>
  <r>
    <m/>
    <m/>
    <x v="1"/>
    <s v="36599941001001"/>
    <n v="-19.170000000000002"/>
    <n v="329"/>
    <n v="1"/>
    <n v="1"/>
  </r>
  <r>
    <m/>
    <m/>
    <x v="1"/>
    <s v="36618779001001"/>
    <n v="-54.03"/>
    <n v="927"/>
    <n v="1"/>
    <n v="1"/>
  </r>
  <r>
    <m/>
    <m/>
    <x v="1"/>
    <s v="36686919001003"/>
    <n v="-38.29"/>
    <n v="657"/>
    <n v="1"/>
    <n v="1"/>
  </r>
  <r>
    <m/>
    <m/>
    <x v="1"/>
    <s v="36698749001001"/>
    <n v="-81.709999999999994"/>
    <n v="1402"/>
    <n v="1"/>
    <n v="1"/>
  </r>
  <r>
    <m/>
    <m/>
    <x v="1"/>
    <s v="36829904002003"/>
    <n v="-131.19"/>
    <n v="2251"/>
    <n v="1"/>
    <n v="1"/>
  </r>
  <r>
    <m/>
    <m/>
    <x v="1"/>
    <s v="37058752001009"/>
    <n v="-45.28"/>
    <n v="777"/>
    <n v="1"/>
    <n v="1"/>
  </r>
  <r>
    <m/>
    <m/>
    <x v="1"/>
    <s v="37060503001007"/>
    <n v="-74.95"/>
    <n v="1286"/>
    <n v="1"/>
    <n v="1"/>
  </r>
  <r>
    <m/>
    <m/>
    <x v="1"/>
    <s v="37232118001006"/>
    <n v="-37.36"/>
    <n v="641"/>
    <n v="1"/>
    <n v="1"/>
  </r>
  <r>
    <m/>
    <m/>
    <x v="1"/>
    <s v="37239471001005"/>
    <n v="-53.27"/>
    <n v="914"/>
    <n v="1"/>
    <n v="1"/>
  </r>
  <r>
    <m/>
    <m/>
    <x v="1"/>
    <s v="37250462001001"/>
    <n v="-132.82"/>
    <n v="2279"/>
    <n v="1"/>
    <n v="1"/>
  </r>
  <r>
    <m/>
    <m/>
    <x v="1"/>
    <s v="37486921001001"/>
    <n v="-20.98"/>
    <n v="360"/>
    <n v="1"/>
    <n v="1"/>
  </r>
  <r>
    <m/>
    <m/>
    <x v="1"/>
    <s v="37494438002001"/>
    <n v="-92.78"/>
    <n v="1592"/>
    <n v="1"/>
    <n v="1"/>
  </r>
  <r>
    <m/>
    <m/>
    <x v="1"/>
    <s v="37502144001001"/>
    <n v="-158.06"/>
    <n v="2712"/>
    <n v="1"/>
    <n v="1"/>
  </r>
  <r>
    <m/>
    <m/>
    <x v="1"/>
    <s v="37624653001003"/>
    <n v="-33.22"/>
    <n v="570"/>
    <n v="1"/>
    <n v="1"/>
  </r>
  <r>
    <m/>
    <m/>
    <x v="1"/>
    <s v="37644296001002"/>
    <n v="-66.319999999999993"/>
    <n v="1138"/>
    <n v="1"/>
    <n v="1"/>
  </r>
  <r>
    <m/>
    <m/>
    <x v="1"/>
    <s v="37649110001001"/>
    <n v="-12.65"/>
    <n v="217"/>
    <n v="1"/>
    <n v="1"/>
  </r>
  <r>
    <m/>
    <m/>
    <x v="1"/>
    <s v="37682914001001"/>
    <n v="-10.78"/>
    <n v="185"/>
    <n v="1"/>
    <n v="1"/>
  </r>
  <r>
    <m/>
    <m/>
    <x v="1"/>
    <s v="37689743001001"/>
    <n v="-19.760000000000002"/>
    <n v="339"/>
    <n v="1"/>
    <n v="1"/>
  </r>
  <r>
    <m/>
    <m/>
    <x v="1"/>
    <s v="37734979001001"/>
    <n v="-3.85"/>
    <n v="66"/>
    <n v="1"/>
    <n v="1"/>
  </r>
  <r>
    <m/>
    <m/>
    <x v="1"/>
    <s v="37819864001004"/>
    <n v="-58.57"/>
    <n v="1005"/>
    <n v="1"/>
    <n v="1"/>
  </r>
  <r>
    <m/>
    <m/>
    <x v="1"/>
    <s v="37910513001001"/>
    <n v="-11.71"/>
    <n v="201"/>
    <n v="1"/>
    <n v="1"/>
  </r>
  <r>
    <m/>
    <m/>
    <x v="1"/>
    <s v="38026902001003"/>
    <n v="-27.92"/>
    <n v="479"/>
    <n v="1"/>
    <n v="1"/>
  </r>
  <r>
    <m/>
    <m/>
    <x v="1"/>
    <s v="38054004001001"/>
    <n v="-59.21"/>
    <n v="1016"/>
    <n v="1"/>
    <n v="1"/>
  </r>
  <r>
    <m/>
    <m/>
    <x v="1"/>
    <s v="38159601001012"/>
    <n v="-68.77"/>
    <n v="1180"/>
    <n v="1"/>
    <n v="1"/>
  </r>
  <r>
    <m/>
    <m/>
    <x v="1"/>
    <s v="38272305001003"/>
    <n v="-35.43"/>
    <n v="608"/>
    <n v="1"/>
    <n v="1"/>
  </r>
  <r>
    <m/>
    <m/>
    <x v="1"/>
    <s v="38301351001001"/>
    <n v="-64.81"/>
    <n v="1112"/>
    <n v="1"/>
    <n v="1"/>
  </r>
  <r>
    <m/>
    <m/>
    <x v="1"/>
    <s v="38371698002001"/>
    <n v="-7.69"/>
    <n v="132"/>
    <n v="1"/>
    <n v="1"/>
  </r>
  <r>
    <m/>
    <m/>
    <x v="1"/>
    <s v="38397225001002"/>
    <n v="-69.94"/>
    <n v="1200"/>
    <n v="1"/>
    <n v="1"/>
  </r>
  <r>
    <m/>
    <m/>
    <x v="1"/>
    <s v="38424727001004"/>
    <n v="-20.86"/>
    <n v="358"/>
    <n v="1"/>
    <n v="1"/>
  </r>
  <r>
    <m/>
    <m/>
    <x v="1"/>
    <s v="38499863001004"/>
    <n v="-95.58"/>
    <n v="1640"/>
    <n v="1"/>
    <n v="1"/>
  </r>
  <r>
    <m/>
    <m/>
    <x v="1"/>
    <s v="38540989001007"/>
    <n v="-21.62"/>
    <n v="371"/>
    <n v="1"/>
    <n v="1"/>
  </r>
  <r>
    <m/>
    <m/>
    <x v="1"/>
    <s v="38611961001001"/>
    <n v="-169.19"/>
    <n v="2903"/>
    <n v="1"/>
    <n v="1"/>
  </r>
  <r>
    <m/>
    <m/>
    <x v="1"/>
    <s v="38666511001005"/>
    <n v="-113.41"/>
    <n v="1946"/>
    <n v="1"/>
    <n v="1"/>
  </r>
  <r>
    <m/>
    <m/>
    <x v="1"/>
    <s v="38774008001001"/>
    <n v="-18.59"/>
    <n v="319"/>
    <n v="1"/>
    <n v="1"/>
  </r>
  <r>
    <m/>
    <m/>
    <x v="1"/>
    <s v="38778095001001"/>
    <n v="-21.62"/>
    <n v="371"/>
    <n v="1"/>
    <n v="1"/>
  </r>
  <r>
    <m/>
    <m/>
    <x v="1"/>
    <s v="38838346002005"/>
    <n v="-112.36"/>
    <n v="1928"/>
    <n v="1"/>
    <n v="1"/>
  </r>
  <r>
    <m/>
    <m/>
    <x v="1"/>
    <s v="39075374001002"/>
    <n v="-78.209999999999994"/>
    <n v="1342"/>
    <n v="1"/>
    <n v="1"/>
  </r>
  <r>
    <m/>
    <m/>
    <x v="1"/>
    <s v="39105361003001"/>
    <n v="-28.15"/>
    <n v="483"/>
    <n v="1"/>
    <n v="1"/>
  </r>
  <r>
    <m/>
    <m/>
    <x v="1"/>
    <s v="39177585002001"/>
    <n v="-3.44"/>
    <n v="59"/>
    <n v="1"/>
    <n v="1"/>
  </r>
  <r>
    <m/>
    <m/>
    <x v="1"/>
    <s v="39197222001001"/>
    <n v="-15.91"/>
    <n v="273"/>
    <n v="1"/>
    <n v="1"/>
  </r>
  <r>
    <m/>
    <m/>
    <x v="1"/>
    <s v="39206681001007"/>
    <n v="-169.77"/>
    <n v="2913"/>
    <n v="1"/>
    <n v="1"/>
  </r>
  <r>
    <m/>
    <m/>
    <x v="1"/>
    <s v="39356056001006"/>
    <n v="-3.85"/>
    <n v="66"/>
    <n v="1"/>
    <n v="1"/>
  </r>
  <r>
    <m/>
    <m/>
    <x v="1"/>
    <s v="39421231001001"/>
    <n v="-1.52"/>
    <n v="26"/>
    <n v="1"/>
    <n v="1"/>
  </r>
  <r>
    <m/>
    <m/>
    <x v="1"/>
    <s v="39500179007001"/>
    <n v="-44.06"/>
    <n v="756"/>
    <n v="1"/>
    <n v="1"/>
  </r>
  <r>
    <m/>
    <m/>
    <x v="1"/>
    <s v="39509588001002"/>
    <n v="-102.69"/>
    <n v="1762"/>
    <n v="1"/>
    <n v="1"/>
  </r>
  <r>
    <m/>
    <m/>
    <x v="1"/>
    <s v="39523212004008"/>
    <n v="-15.68"/>
    <n v="269"/>
    <n v="1"/>
    <n v="1"/>
  </r>
  <r>
    <m/>
    <m/>
    <x v="1"/>
    <s v="39525577001001"/>
    <n v="-45.34"/>
    <n v="778"/>
    <n v="1"/>
    <n v="1"/>
  </r>
  <r>
    <m/>
    <m/>
    <x v="1"/>
    <s v="39758083001001"/>
    <n v="-39.22"/>
    <n v="673"/>
    <n v="1"/>
    <n v="1"/>
  </r>
  <r>
    <m/>
    <m/>
    <x v="1"/>
    <s v="39773816002001"/>
    <n v="-90.68"/>
    <n v="1556"/>
    <n v="1"/>
    <n v="1"/>
  </r>
  <r>
    <m/>
    <m/>
    <x v="1"/>
    <s v="39857500001003"/>
    <n v="-25.06"/>
    <n v="430"/>
    <n v="1"/>
    <n v="1"/>
  </r>
  <r>
    <m/>
    <m/>
    <x v="1"/>
    <s v="39904885001002"/>
    <n v="-50.7"/>
    <n v="870"/>
    <n v="1"/>
    <n v="1"/>
  </r>
  <r>
    <m/>
    <m/>
    <x v="1"/>
    <s v="39991003001001"/>
    <n v="-28.5"/>
    <n v="489"/>
    <n v="1"/>
    <n v="1"/>
  </r>
  <r>
    <m/>
    <m/>
    <x v="1"/>
    <s v="40139129001002"/>
    <n v="-145.53"/>
    <n v="2497"/>
    <n v="1"/>
    <n v="1"/>
  </r>
  <r>
    <m/>
    <m/>
    <x v="1"/>
    <s v="40186507001001"/>
    <n v="-13.7"/>
    <n v="235"/>
    <n v="1"/>
    <n v="1"/>
  </r>
  <r>
    <m/>
    <m/>
    <x v="1"/>
    <s v="40187844001001"/>
    <n v="-21.1"/>
    <n v="362"/>
    <n v="1"/>
    <n v="1"/>
  </r>
  <r>
    <m/>
    <m/>
    <x v="1"/>
    <s v="40195770001001"/>
    <n v="-95.52"/>
    <n v="1639"/>
    <n v="1"/>
    <n v="1"/>
  </r>
  <r>
    <m/>
    <m/>
    <x v="1"/>
    <s v="40254052001001"/>
    <n v="-25.93"/>
    <n v="445"/>
    <n v="1"/>
    <n v="1"/>
  </r>
  <r>
    <m/>
    <m/>
    <x v="1"/>
    <s v="40354936001001"/>
    <n v="-36.89"/>
    <n v="633"/>
    <n v="1"/>
    <n v="1"/>
  </r>
  <r>
    <m/>
    <m/>
    <x v="1"/>
    <s v="40428864001001"/>
    <n v="-44.35"/>
    <n v="761"/>
    <n v="1"/>
    <n v="1"/>
  </r>
  <r>
    <m/>
    <m/>
    <x v="1"/>
    <s v="40680887001001"/>
    <n v="-150.54"/>
    <n v="2583"/>
    <n v="1"/>
    <n v="1"/>
  </r>
  <r>
    <m/>
    <m/>
    <x v="1"/>
    <s v="40811850001003"/>
    <n v="-41.73"/>
    <n v="716"/>
    <n v="1"/>
    <n v="1"/>
  </r>
  <r>
    <m/>
    <m/>
    <x v="1"/>
    <s v="40849252002005"/>
    <n v="-42.78"/>
    <n v="734"/>
    <n v="1"/>
    <n v="1"/>
  </r>
  <r>
    <m/>
    <m/>
    <x v="1"/>
    <s v="40965656008001"/>
    <n v="-63"/>
    <n v="1081"/>
    <n v="1"/>
    <n v="1"/>
  </r>
  <r>
    <m/>
    <m/>
    <x v="1"/>
    <s v="41212065001001"/>
    <n v="-46.86"/>
    <n v="804"/>
    <n v="1"/>
    <n v="1"/>
  </r>
  <r>
    <m/>
    <m/>
    <x v="1"/>
    <s v="41218173004005"/>
    <n v="-103.56"/>
    <n v="1777"/>
    <n v="1"/>
    <n v="1"/>
  </r>
  <r>
    <m/>
    <m/>
    <x v="1"/>
    <s v="41221819001001"/>
    <n v="-16.84"/>
    <n v="289"/>
    <n v="1"/>
    <n v="1"/>
  </r>
  <r>
    <m/>
    <m/>
    <x v="1"/>
    <s v="41254471001004"/>
    <n v="-66.849999999999994"/>
    <n v="1147"/>
    <n v="1"/>
    <n v="1"/>
  </r>
  <r>
    <m/>
    <m/>
    <x v="1"/>
    <s v="41261705001002"/>
    <n v="-97.27"/>
    <n v="1669"/>
    <n v="1"/>
    <n v="1"/>
  </r>
  <r>
    <m/>
    <m/>
    <x v="1"/>
    <s v="41572109004001"/>
    <n v="-3.21"/>
    <n v="55"/>
    <n v="1"/>
    <n v="1"/>
  </r>
  <r>
    <m/>
    <m/>
    <x v="1"/>
    <s v="41605082002003"/>
    <n v="-32.229999999999997"/>
    <n v="553"/>
    <n v="1"/>
    <n v="1"/>
  </r>
  <r>
    <m/>
    <m/>
    <x v="1"/>
    <s v="41650115001003"/>
    <n v="-13.11"/>
    <n v="225"/>
    <n v="1"/>
    <n v="1"/>
  </r>
  <r>
    <m/>
    <m/>
    <x v="1"/>
    <s v="41791652002003"/>
    <n v="-36.25"/>
    <n v="622"/>
    <n v="1"/>
    <n v="1"/>
  </r>
  <r>
    <m/>
    <m/>
    <x v="1"/>
    <s v="41850336001002"/>
    <n v="-39.51"/>
    <n v="678"/>
    <n v="1"/>
    <n v="1"/>
  </r>
  <r>
    <m/>
    <m/>
    <x v="1"/>
    <s v="41878216001003"/>
    <n v="-67.430000000000007"/>
    <n v="1157"/>
    <n v="1"/>
    <n v="1"/>
  </r>
  <r>
    <m/>
    <m/>
    <x v="1"/>
    <s v="41978051001003"/>
    <n v="-68.540000000000006"/>
    <n v="1176"/>
    <n v="1"/>
    <n v="1"/>
  </r>
  <r>
    <m/>
    <m/>
    <x v="1"/>
    <s v="41980548001001"/>
    <n v="-105.49"/>
    <n v="1810"/>
    <n v="1"/>
    <n v="1"/>
  </r>
  <r>
    <m/>
    <m/>
    <x v="1"/>
    <s v="42029419001001"/>
    <n v="-35.200000000000003"/>
    <n v="604"/>
    <n v="1"/>
    <n v="1"/>
  </r>
  <r>
    <m/>
    <m/>
    <x v="1"/>
    <s v="42073484003001"/>
    <n v="-141.1"/>
    <n v="2421"/>
    <n v="1"/>
    <n v="1"/>
  </r>
  <r>
    <m/>
    <m/>
    <x v="1"/>
    <s v="42131911001008"/>
    <n v="-150.71"/>
    <n v="2586"/>
    <n v="1"/>
    <n v="1"/>
  </r>
  <r>
    <m/>
    <m/>
    <x v="1"/>
    <s v="42185507001001"/>
    <n v="-72.09"/>
    <n v="1237"/>
    <n v="1"/>
    <n v="1"/>
  </r>
  <r>
    <m/>
    <m/>
    <x v="1"/>
    <s v="42244289002003"/>
    <n v="-91.97"/>
    <n v="1578"/>
    <n v="1"/>
    <n v="1"/>
  </r>
  <r>
    <m/>
    <m/>
    <x v="1"/>
    <s v="42270867001005"/>
    <n v="-79.09"/>
    <n v="1357"/>
    <n v="1"/>
    <n v="1"/>
  </r>
  <r>
    <m/>
    <m/>
    <x v="1"/>
    <s v="42281329001011"/>
    <n v="-61.37"/>
    <n v="1053"/>
    <n v="1"/>
    <n v="1"/>
  </r>
  <r>
    <m/>
    <m/>
    <x v="1"/>
    <s v="42343001003004"/>
    <n v="-105.31"/>
    <n v="1807"/>
    <n v="1"/>
    <n v="1"/>
  </r>
  <r>
    <m/>
    <m/>
    <x v="1"/>
    <s v="42367522001001"/>
    <n v="-89.28"/>
    <n v="1532"/>
    <n v="1"/>
    <n v="1"/>
  </r>
  <r>
    <m/>
    <m/>
    <x v="1"/>
    <s v="42433691001006"/>
    <n v="-46.57"/>
    <n v="799"/>
    <n v="1"/>
    <n v="1"/>
  </r>
  <r>
    <m/>
    <m/>
    <x v="1"/>
    <s v="42468571002005"/>
    <n v="-77.98"/>
    <n v="1338"/>
    <n v="1"/>
    <n v="1"/>
  </r>
  <r>
    <m/>
    <m/>
    <x v="1"/>
    <s v="42472921002002"/>
    <n v="-114.58"/>
    <n v="1966"/>
    <n v="1"/>
    <n v="1"/>
  </r>
  <r>
    <m/>
    <m/>
    <x v="1"/>
    <s v="42475114001001"/>
    <n v="-30.54"/>
    <n v="524"/>
    <n v="1"/>
    <n v="1"/>
  </r>
  <r>
    <m/>
    <m/>
    <x v="1"/>
    <s v="42488881004001"/>
    <n v="-24.19"/>
    <n v="415"/>
    <n v="1"/>
    <n v="1"/>
  </r>
  <r>
    <m/>
    <m/>
    <x v="1"/>
    <s v="42500151001003"/>
    <n v="-72.5"/>
    <n v="1244"/>
    <n v="1"/>
    <n v="1"/>
  </r>
  <r>
    <m/>
    <m/>
    <x v="1"/>
    <s v="42504631004001"/>
    <n v="-32.35"/>
    <n v="555"/>
    <n v="1"/>
    <n v="1"/>
  </r>
  <r>
    <m/>
    <m/>
    <x v="1"/>
    <s v="42531581001002"/>
    <n v="-56.07"/>
    <n v="962"/>
    <n v="1"/>
    <n v="1"/>
  </r>
  <r>
    <m/>
    <m/>
    <x v="1"/>
    <s v="42535431005001"/>
    <n v="-79.09"/>
    <n v="1357"/>
    <n v="1"/>
    <n v="1"/>
  </r>
  <r>
    <m/>
    <m/>
    <x v="1"/>
    <s v="42559441005001"/>
    <n v="-82.87"/>
    <n v="1422"/>
    <n v="1"/>
    <n v="1"/>
  </r>
  <r>
    <m/>
    <m/>
    <x v="1"/>
    <s v="42577291003003"/>
    <n v="-41.38"/>
    <n v="710"/>
    <n v="1"/>
    <n v="1"/>
  </r>
  <r>
    <m/>
    <m/>
    <x v="1"/>
    <s v="42577991002002"/>
    <n v="-135.62"/>
    <n v="2327"/>
    <n v="1"/>
    <n v="1"/>
  </r>
  <r>
    <m/>
    <m/>
    <x v="1"/>
    <s v="42593181002003"/>
    <n v="-98.84"/>
    <n v="1696"/>
    <n v="1"/>
    <n v="1"/>
  </r>
  <r>
    <m/>
    <m/>
    <x v="1"/>
    <s v="42595211001004"/>
    <n v="-76.930000000000007"/>
    <n v="1320"/>
    <n v="1"/>
    <n v="1"/>
  </r>
  <r>
    <m/>
    <m/>
    <x v="1"/>
    <s v="42633571002001"/>
    <n v="-34.270000000000003"/>
    <n v="588"/>
    <n v="1"/>
    <n v="1"/>
  </r>
  <r>
    <m/>
    <m/>
    <x v="1"/>
    <s v="42642951010001"/>
    <n v="-14.92"/>
    <n v="256"/>
    <n v="1"/>
    <n v="1"/>
  </r>
  <r>
    <m/>
    <m/>
    <x v="1"/>
    <s v="42673331002003"/>
    <n v="-92.55"/>
    <n v="1588"/>
    <n v="1"/>
    <n v="1"/>
  </r>
  <r>
    <m/>
    <m/>
    <x v="1"/>
    <s v="42686841002008"/>
    <n v="-26.75"/>
    <n v="459"/>
    <n v="1"/>
    <n v="1"/>
  </r>
  <r>
    <m/>
    <m/>
    <x v="1"/>
    <s v="42718551001001"/>
    <n v="-63.99"/>
    <n v="1098"/>
    <n v="1"/>
    <n v="1"/>
  </r>
  <r>
    <m/>
    <m/>
    <x v="1"/>
    <s v="42766435002003"/>
    <n v="-105.37"/>
    <n v="1808"/>
    <n v="1"/>
    <n v="1"/>
  </r>
  <r>
    <m/>
    <m/>
    <x v="1"/>
    <s v="42783651002001"/>
    <n v="-79.44"/>
    <n v="1363"/>
    <n v="1"/>
    <n v="1"/>
  </r>
  <r>
    <m/>
    <m/>
    <x v="1"/>
    <s v="42878921002001"/>
    <n v="-36.6"/>
    <n v="628"/>
    <n v="1"/>
    <n v="1"/>
  </r>
  <r>
    <m/>
    <m/>
    <x v="1"/>
    <s v="42972931001004"/>
    <n v="-47.67"/>
    <n v="818"/>
    <n v="1"/>
    <n v="1"/>
  </r>
  <r>
    <m/>
    <m/>
    <x v="1"/>
    <s v="43023681011001"/>
    <n v="-44.53"/>
    <n v="764"/>
    <n v="1"/>
    <n v="1"/>
  </r>
  <r>
    <m/>
    <m/>
    <x v="1"/>
    <s v="43023751003001"/>
    <n v="-93.83"/>
    <n v="1610"/>
    <n v="1"/>
    <n v="1"/>
  </r>
  <r>
    <m/>
    <m/>
    <x v="1"/>
    <s v="43122241004005"/>
    <n v="-55.95"/>
    <n v="960"/>
    <n v="1"/>
    <n v="1"/>
  </r>
  <r>
    <m/>
    <m/>
    <x v="1"/>
    <s v="43131201001002"/>
    <n v="-90.51"/>
    <n v="1553"/>
    <n v="1"/>
    <n v="1"/>
  </r>
  <r>
    <m/>
    <m/>
    <x v="1"/>
    <s v="43154466001003"/>
    <n v="-48.96"/>
    <n v="840"/>
    <n v="1"/>
    <n v="1"/>
  </r>
  <r>
    <m/>
    <m/>
    <x v="1"/>
    <s v="43192521002006"/>
    <n v="-57.29"/>
    <n v="983"/>
    <n v="1"/>
    <n v="1"/>
  </r>
  <r>
    <m/>
    <m/>
    <x v="1"/>
    <s v="43195531002001"/>
    <n v="-52.98"/>
    <n v="909"/>
    <n v="1"/>
    <n v="1"/>
  </r>
  <r>
    <m/>
    <m/>
    <x v="1"/>
    <s v="43209041003005"/>
    <n v="-54.9"/>
    <n v="942"/>
    <n v="1"/>
    <n v="1"/>
  </r>
  <r>
    <m/>
    <m/>
    <x v="1"/>
    <s v="43213661002005"/>
    <n v="-102.46"/>
    <n v="1758"/>
    <n v="1"/>
    <n v="1"/>
  </r>
  <r>
    <m/>
    <m/>
    <x v="1"/>
    <s v="43218351001006"/>
    <n v="-79.44"/>
    <n v="1363"/>
    <n v="1"/>
    <n v="1"/>
  </r>
  <r>
    <m/>
    <m/>
    <x v="1"/>
    <s v="43233471004001"/>
    <n v="-133.75"/>
    <n v="2295"/>
    <n v="1"/>
    <n v="1"/>
  </r>
  <r>
    <m/>
    <m/>
    <x v="1"/>
    <s v="43233574002001"/>
    <n v="-46.1"/>
    <n v="791"/>
    <n v="1"/>
    <n v="1"/>
  </r>
  <r>
    <m/>
    <m/>
    <x v="1"/>
    <s v="43240331001004"/>
    <n v="-62.71"/>
    <n v="1076"/>
    <n v="1"/>
    <n v="1"/>
  </r>
  <r>
    <m/>
    <m/>
    <x v="1"/>
    <s v="43240401001003"/>
    <n v="-73.260000000000005"/>
    <n v="1257"/>
    <n v="1"/>
    <n v="1"/>
  </r>
  <r>
    <m/>
    <m/>
    <x v="1"/>
    <s v="43248661001005"/>
    <n v="-59.91"/>
    <n v="1028"/>
    <n v="1"/>
    <n v="1"/>
  </r>
  <r>
    <m/>
    <m/>
    <x v="1"/>
    <s v="43251181001001"/>
    <n v="-12.65"/>
    <n v="217"/>
    <n v="1"/>
    <n v="1"/>
  </r>
  <r>
    <m/>
    <m/>
    <x v="1"/>
    <s v="43268821001001"/>
    <n v="-81.77"/>
    <n v="1403"/>
    <n v="1"/>
    <n v="1"/>
  </r>
  <r>
    <m/>
    <m/>
    <x v="1"/>
    <s v="43296891001001"/>
    <n v="-122.15"/>
    <n v="2096"/>
    <n v="1"/>
    <n v="1"/>
  </r>
  <r>
    <m/>
    <m/>
    <x v="1"/>
    <s v="43302281004001"/>
    <n v="-66.09"/>
    <n v="1134"/>
    <n v="1"/>
    <n v="1"/>
  </r>
  <r>
    <m/>
    <m/>
    <x v="1"/>
    <s v="43384741001002"/>
    <n v="-42.72"/>
    <n v="733"/>
    <n v="1"/>
    <n v="1"/>
  </r>
  <r>
    <m/>
    <m/>
    <x v="1"/>
    <s v="43445991001003"/>
    <n v="-55.77"/>
    <n v="957"/>
    <n v="1"/>
    <n v="1"/>
  </r>
  <r>
    <m/>
    <m/>
    <x v="1"/>
    <s v="43482671001001"/>
    <n v="-101.41"/>
    <n v="1740"/>
    <n v="1"/>
    <n v="1"/>
  </r>
  <r>
    <m/>
    <m/>
    <x v="1"/>
    <s v="43499657001001"/>
    <n v="-12.76"/>
    <n v="219"/>
    <n v="1"/>
    <n v="1"/>
  </r>
  <r>
    <m/>
    <m/>
    <x v="1"/>
    <s v="43691761001001"/>
    <n v="-132.88"/>
    <n v="2280"/>
    <n v="1"/>
    <n v="1"/>
  </r>
  <r>
    <m/>
    <m/>
    <x v="1"/>
    <s v="43697462001003"/>
    <n v="-33.51"/>
    <n v="575"/>
    <n v="1"/>
    <n v="1"/>
  </r>
  <r>
    <m/>
    <m/>
    <x v="1"/>
    <s v="43743281001003"/>
    <n v="-51.87"/>
    <n v="890"/>
    <n v="1"/>
    <n v="1"/>
  </r>
  <r>
    <m/>
    <m/>
    <x v="1"/>
    <s v="43761831009001"/>
    <n v="-234.34"/>
    <n v="4021"/>
    <n v="1"/>
    <n v="1"/>
  </r>
  <r>
    <m/>
    <m/>
    <x v="1"/>
    <s v="43843941001002"/>
    <n v="-183.82"/>
    <n v="3154"/>
    <n v="1"/>
    <n v="1"/>
  </r>
  <r>
    <m/>
    <m/>
    <x v="1"/>
    <s v="43848981006003"/>
    <n v="-144.36000000000001"/>
    <n v="2477"/>
    <n v="1"/>
    <n v="1"/>
  </r>
  <r>
    <m/>
    <m/>
    <x v="1"/>
    <s v="43908201002002"/>
    <n v="-6.7"/>
    <n v="115"/>
    <n v="1"/>
    <n v="1"/>
  </r>
  <r>
    <m/>
    <m/>
    <x v="1"/>
    <s v="43930309005001"/>
    <n v="-54.38"/>
    <n v="933"/>
    <n v="1"/>
    <n v="1"/>
  </r>
  <r>
    <m/>
    <m/>
    <x v="1"/>
    <s v="43931231001001"/>
    <n v="-26.75"/>
    <n v="459"/>
    <n v="1"/>
    <n v="1"/>
  </r>
  <r>
    <m/>
    <m/>
    <x v="1"/>
    <s v="44027831001002"/>
    <n v="-48.55"/>
    <n v="833"/>
    <n v="1"/>
    <n v="1"/>
  </r>
  <r>
    <m/>
    <m/>
    <x v="1"/>
    <s v="44132341001001"/>
    <n v="-81.650000000000006"/>
    <n v="1401"/>
    <n v="1"/>
    <n v="1"/>
  </r>
  <r>
    <m/>
    <m/>
    <x v="1"/>
    <s v="44271151005001"/>
    <n v="-5.25"/>
    <n v="90"/>
    <n v="1"/>
    <n v="1"/>
  </r>
  <r>
    <m/>
    <m/>
    <x v="1"/>
    <s v="44289141002001"/>
    <n v="-46.57"/>
    <n v="799"/>
    <n v="1"/>
    <n v="1"/>
  </r>
  <r>
    <m/>
    <m/>
    <x v="1"/>
    <s v="44295021002002"/>
    <n v="-53.56"/>
    <n v="919"/>
    <n v="1"/>
    <n v="1"/>
  </r>
  <r>
    <m/>
    <m/>
    <x v="1"/>
    <s v="44310351005002"/>
    <n v="-33.340000000000003"/>
    <n v="572"/>
    <n v="1"/>
    <n v="1"/>
  </r>
  <r>
    <m/>
    <m/>
    <x v="1"/>
    <s v="44346821001002"/>
    <n v="-85.15"/>
    <n v="1461"/>
    <n v="1"/>
    <n v="1"/>
  </r>
  <r>
    <m/>
    <m/>
    <x v="1"/>
    <s v="44348081005001"/>
    <n v="-107.24"/>
    <n v="1840"/>
    <n v="1"/>
    <n v="1"/>
  </r>
  <r>
    <m/>
    <m/>
    <x v="1"/>
    <s v="44348711012001"/>
    <n v="-86.2"/>
    <n v="1479"/>
    <n v="1"/>
    <n v="1"/>
  </r>
  <r>
    <m/>
    <m/>
    <x v="1"/>
    <s v="44350671002005"/>
    <n v="-79.319999999999993"/>
    <n v="1361"/>
    <n v="1"/>
    <n v="1"/>
  </r>
  <r>
    <m/>
    <m/>
    <x v="1"/>
    <s v="44371461001006"/>
    <n v="-84.39"/>
    <n v="1448"/>
    <n v="1"/>
    <n v="1"/>
  </r>
  <r>
    <m/>
    <m/>
    <x v="1"/>
    <s v="44377901001003"/>
    <n v="-9.2100000000000009"/>
    <n v="158"/>
    <n v="1"/>
    <n v="1"/>
  </r>
  <r>
    <m/>
    <m/>
    <x v="1"/>
    <s v="44380071003003"/>
    <n v="-58.57"/>
    <n v="1005"/>
    <n v="1"/>
    <n v="1"/>
  </r>
  <r>
    <m/>
    <m/>
    <x v="1"/>
    <s v="44389693001001"/>
    <n v="-11.19"/>
    <n v="192"/>
    <n v="1"/>
    <n v="1"/>
  </r>
  <r>
    <m/>
    <m/>
    <x v="1"/>
    <s v="44400231001002"/>
    <n v="-61.19"/>
    <n v="1050"/>
    <n v="1"/>
    <n v="1"/>
  </r>
  <r>
    <m/>
    <m/>
    <x v="1"/>
    <s v="44424535001002"/>
    <n v="-51.87"/>
    <n v="890"/>
    <n v="1"/>
    <n v="1"/>
  </r>
  <r>
    <m/>
    <m/>
    <x v="1"/>
    <s v="44437541001001"/>
    <n v="-175.83"/>
    <n v="3017"/>
    <n v="1"/>
    <n v="1"/>
  </r>
  <r>
    <m/>
    <m/>
    <x v="1"/>
    <s v="44470529001003"/>
    <n v="-42.19"/>
    <n v="724"/>
    <n v="1"/>
    <n v="1"/>
  </r>
  <r>
    <m/>
    <m/>
    <x v="1"/>
    <s v="44510481001001"/>
    <n v="-94.53"/>
    <n v="1622"/>
    <n v="1"/>
    <n v="1"/>
  </r>
  <r>
    <m/>
    <m/>
    <x v="1"/>
    <s v="44510901001001"/>
    <n v="-66.03"/>
    <n v="1133"/>
    <n v="1"/>
    <n v="1"/>
  </r>
  <r>
    <m/>
    <m/>
    <x v="1"/>
    <s v="44512971001001"/>
    <n v="-75.819999999999993"/>
    <n v="1301"/>
    <n v="1"/>
    <n v="1"/>
  </r>
  <r>
    <m/>
    <m/>
    <x v="1"/>
    <s v="44517723001001"/>
    <n v="-28.09"/>
    <n v="482"/>
    <n v="1"/>
    <n v="1"/>
  </r>
  <r>
    <m/>
    <m/>
    <x v="1"/>
    <s v="44521191004001"/>
    <n v="-126.47"/>
    <n v="2170"/>
    <n v="1"/>
    <n v="1"/>
  </r>
  <r>
    <m/>
    <m/>
    <x v="1"/>
    <s v="44522381001001"/>
    <n v="-87.94"/>
    <n v="1509"/>
    <n v="1"/>
    <n v="1"/>
  </r>
  <r>
    <m/>
    <m/>
    <x v="1"/>
    <s v="44524481001001"/>
    <n v="-48.43"/>
    <n v="831"/>
    <n v="1"/>
    <n v="1"/>
  </r>
  <r>
    <m/>
    <m/>
    <x v="1"/>
    <s v="44533511002002"/>
    <n v="-54.84"/>
    <n v="941"/>
    <n v="1"/>
    <n v="1"/>
  </r>
  <r>
    <m/>
    <m/>
    <x v="1"/>
    <s v="44536031001002"/>
    <n v="-67.08"/>
    <n v="1151"/>
    <n v="1"/>
    <n v="1"/>
  </r>
  <r>
    <m/>
    <m/>
    <x v="1"/>
    <s v="44577611002002"/>
    <n v="-18.88"/>
    <n v="324"/>
    <n v="1"/>
    <n v="1"/>
  </r>
  <r>
    <m/>
    <m/>
    <x v="1"/>
    <s v="44581251003001"/>
    <n v="-45.57"/>
    <n v="782"/>
    <n v="1"/>
    <n v="1"/>
  </r>
  <r>
    <m/>
    <m/>
    <x v="1"/>
    <s v="44596091002001"/>
    <n v="-16.55"/>
    <n v="284"/>
    <n v="1"/>
    <n v="1"/>
  </r>
  <r>
    <m/>
    <m/>
    <x v="1"/>
    <s v="44613171001010"/>
    <n v="-71.45"/>
    <n v="1226"/>
    <n v="1"/>
    <n v="1"/>
  </r>
  <r>
    <m/>
    <m/>
    <x v="1"/>
    <s v="44625701002001"/>
    <n v="-109.8"/>
    <n v="1884"/>
    <n v="1"/>
    <n v="1"/>
  </r>
  <r>
    <m/>
    <m/>
    <x v="1"/>
    <s v="44638931001005"/>
    <n v="-29.78"/>
    <n v="511"/>
    <n v="1"/>
    <n v="1"/>
  </r>
  <r>
    <m/>
    <m/>
    <x v="1"/>
    <s v="44639981001001"/>
    <n v="-52.57"/>
    <n v="902"/>
    <n v="1"/>
    <n v="1"/>
  </r>
  <r>
    <m/>
    <m/>
    <x v="1"/>
    <s v="44663409001001"/>
    <n v="-114"/>
    <n v="1956"/>
    <n v="1"/>
    <n v="1"/>
  </r>
  <r>
    <m/>
    <m/>
    <x v="1"/>
    <s v="44694441001003"/>
    <n v="-88.24"/>
    <n v="1514"/>
    <n v="1"/>
    <n v="1"/>
  </r>
  <r>
    <m/>
    <m/>
    <x v="1"/>
    <s v="44698571001002"/>
    <n v="-4.95"/>
    <n v="85"/>
    <n v="1"/>
    <n v="1"/>
  </r>
  <r>
    <m/>
    <m/>
    <x v="1"/>
    <s v="44752516001001"/>
    <n v="-18.13"/>
    <n v="311"/>
    <n v="1"/>
    <n v="1"/>
  </r>
  <r>
    <m/>
    <m/>
    <x v="1"/>
    <s v="44753381001001"/>
    <n v="-51.93"/>
    <n v="891"/>
    <n v="1"/>
    <n v="1"/>
  </r>
  <r>
    <m/>
    <m/>
    <x v="1"/>
    <s v="44761361002003"/>
    <n v="-108.28"/>
    <n v="1858"/>
    <n v="1"/>
    <n v="1"/>
  </r>
  <r>
    <m/>
    <m/>
    <x v="1"/>
    <s v="44792564005003"/>
    <n v="-5.59"/>
    <n v="96"/>
    <n v="1"/>
    <n v="1"/>
  </r>
  <r>
    <m/>
    <m/>
    <x v="1"/>
    <s v="44859011005001"/>
    <n v="-59.97"/>
    <n v="1029"/>
    <n v="1"/>
    <n v="1"/>
  </r>
  <r>
    <m/>
    <m/>
    <x v="1"/>
    <s v="44863491001001"/>
    <n v="-98.67"/>
    <n v="1693"/>
    <n v="1"/>
    <n v="1"/>
  </r>
  <r>
    <m/>
    <m/>
    <x v="1"/>
    <s v="44881621001001"/>
    <n v="-59.1"/>
    <n v="1014"/>
    <n v="1"/>
    <n v="1"/>
  </r>
  <r>
    <m/>
    <m/>
    <x v="1"/>
    <s v="44902061004004"/>
    <n v="-81.53"/>
    <n v="1399"/>
    <n v="1"/>
    <n v="1"/>
  </r>
  <r>
    <m/>
    <m/>
    <x v="1"/>
    <s v="44930551001003"/>
    <n v="-59.5"/>
    <n v="1021"/>
    <n v="1"/>
    <n v="1"/>
  </r>
  <r>
    <m/>
    <m/>
    <x v="1"/>
    <s v="44956311001001"/>
    <n v="-54.61"/>
    <n v="937"/>
    <n v="1"/>
    <n v="1"/>
  </r>
  <r>
    <m/>
    <m/>
    <x v="1"/>
    <s v="44962961004001"/>
    <n v="-39.51"/>
    <n v="678"/>
    <n v="1"/>
    <n v="1"/>
  </r>
  <r>
    <m/>
    <m/>
    <x v="1"/>
    <s v="44967161001001"/>
    <n v="-106.19"/>
    <n v="1822"/>
    <n v="1"/>
    <n v="1"/>
  </r>
  <r>
    <m/>
    <m/>
    <x v="1"/>
    <s v="44990541001001"/>
    <n v="-43.65"/>
    <n v="749"/>
    <n v="1"/>
    <n v="1"/>
  </r>
  <r>
    <m/>
    <m/>
    <x v="1"/>
    <s v="45008951004001"/>
    <n v="-147.1"/>
    <n v="2524"/>
    <n v="1"/>
    <n v="1"/>
  </r>
  <r>
    <m/>
    <m/>
    <x v="1"/>
    <s v="45031958001001"/>
    <n v="-71.16"/>
    <n v="1221"/>
    <n v="1"/>
    <n v="1"/>
  </r>
  <r>
    <m/>
    <m/>
    <x v="1"/>
    <s v="45041431001002"/>
    <n v="-65.040000000000006"/>
    <n v="1116"/>
    <n v="1"/>
    <n v="1"/>
  </r>
  <r>
    <m/>
    <m/>
    <x v="1"/>
    <s v="45047731002001"/>
    <n v="-89.63"/>
    <n v="1538"/>
    <n v="1"/>
    <n v="1"/>
  </r>
  <r>
    <m/>
    <m/>
    <x v="1"/>
    <s v="45048221001001"/>
    <n v="-37.47"/>
    <n v="643"/>
    <n v="1"/>
    <n v="1"/>
  </r>
  <r>
    <m/>
    <m/>
    <x v="1"/>
    <s v="45050391007001"/>
    <n v="-76.58"/>
    <n v="1314"/>
    <n v="1"/>
    <n v="1"/>
  </r>
  <r>
    <m/>
    <m/>
    <x v="1"/>
    <s v="45052631001002"/>
    <n v="-32.35"/>
    <n v="555"/>
    <n v="1"/>
    <n v="1"/>
  </r>
  <r>
    <m/>
    <m/>
    <x v="1"/>
    <s v="45055431001001"/>
    <n v="-44.88"/>
    <n v="770"/>
    <n v="1"/>
    <n v="1"/>
  </r>
  <r>
    <m/>
    <m/>
    <x v="1"/>
    <s v="45057461003001"/>
    <n v="-30.66"/>
    <n v="526"/>
    <n v="1"/>
    <n v="1"/>
  </r>
  <r>
    <m/>
    <m/>
    <x v="1"/>
    <s v="45061941003003"/>
    <n v="-59.97"/>
    <n v="1029"/>
    <n v="1"/>
    <n v="1"/>
  </r>
  <r>
    <m/>
    <m/>
    <x v="1"/>
    <s v="45072791003019"/>
    <n v="-92.08"/>
    <n v="1580"/>
    <n v="1"/>
    <n v="1"/>
  </r>
  <r>
    <m/>
    <m/>
    <x v="1"/>
    <s v="45074891004011"/>
    <n v="-45.4"/>
    <n v="779"/>
    <n v="1"/>
    <n v="1"/>
  </r>
  <r>
    <m/>
    <m/>
    <x v="1"/>
    <s v="45075591004001"/>
    <n v="-54.49"/>
    <n v="935"/>
    <n v="1"/>
    <n v="1"/>
  </r>
  <r>
    <m/>
    <m/>
    <x v="1"/>
    <s v="45076781001003"/>
    <n v="-57.87"/>
    <n v="993"/>
    <n v="1"/>
    <n v="1"/>
  </r>
  <r>
    <m/>
    <m/>
    <x v="1"/>
    <s v="45079791002001"/>
    <n v="-29.9"/>
    <n v="513"/>
    <n v="1"/>
    <n v="1"/>
  </r>
  <r>
    <m/>
    <m/>
    <x v="1"/>
    <s v="45081401001004"/>
    <n v="-25.64"/>
    <n v="440"/>
    <n v="1"/>
    <n v="1"/>
  </r>
  <r>
    <m/>
    <m/>
    <x v="1"/>
    <s v="45126691002004"/>
    <n v="-122.45"/>
    <n v="2101"/>
    <n v="1"/>
    <n v="1"/>
  </r>
  <r>
    <m/>
    <m/>
    <x v="1"/>
    <s v="45131871004001"/>
    <n v="-99.72"/>
    <n v="1711"/>
    <n v="1"/>
    <n v="1"/>
  </r>
  <r>
    <m/>
    <m/>
    <x v="1"/>
    <s v="45132711001002"/>
    <n v="-124.02"/>
    <n v="2128"/>
    <n v="1"/>
    <n v="1"/>
  </r>
  <r>
    <m/>
    <m/>
    <x v="1"/>
    <s v="45137261001001"/>
    <n v="-169.13"/>
    <n v="2902"/>
    <n v="1"/>
    <n v="1"/>
  </r>
  <r>
    <m/>
    <m/>
    <x v="1"/>
    <s v="45153011001003"/>
    <n v="-66.91"/>
    <n v="1148"/>
    <n v="1"/>
    <n v="1"/>
  </r>
  <r>
    <m/>
    <m/>
    <x v="1"/>
    <s v="45156161001001"/>
    <n v="-50.06"/>
    <n v="859"/>
    <n v="1"/>
    <n v="1"/>
  </r>
  <r>
    <m/>
    <m/>
    <x v="1"/>
    <s v="45170842001005"/>
    <n v="-23.43"/>
    <n v="402"/>
    <n v="1"/>
    <n v="1"/>
  </r>
  <r>
    <m/>
    <m/>
    <x v="1"/>
    <s v="45192841001001"/>
    <n v="-18.36"/>
    <n v="315"/>
    <n v="1"/>
    <n v="1"/>
  </r>
  <r>
    <m/>
    <m/>
    <x v="1"/>
    <s v="45208591002004"/>
    <n v="-21.16"/>
    <n v="363"/>
    <n v="1"/>
    <n v="1"/>
  </r>
  <r>
    <m/>
    <m/>
    <x v="1"/>
    <s v="45242051001003"/>
    <n v="-134.44999999999999"/>
    <n v="2307"/>
    <n v="1"/>
    <n v="1"/>
  </r>
  <r>
    <m/>
    <m/>
    <x v="1"/>
    <s v="45253671001001"/>
    <n v="-78.27"/>
    <n v="1343"/>
    <n v="1"/>
    <n v="1"/>
  </r>
  <r>
    <m/>
    <m/>
    <x v="1"/>
    <s v="45322971007001"/>
    <n v="-39.46"/>
    <n v="677"/>
    <n v="1"/>
    <n v="1"/>
  </r>
  <r>
    <m/>
    <m/>
    <x v="1"/>
    <s v="45338080004001"/>
    <n v="-94.53"/>
    <n v="1622"/>
    <n v="1"/>
    <n v="1"/>
  </r>
  <r>
    <m/>
    <m/>
    <x v="1"/>
    <s v="45356641001001"/>
    <n v="-116.56"/>
    <n v="2000"/>
    <n v="1"/>
    <n v="1"/>
  </r>
  <r>
    <m/>
    <m/>
    <x v="1"/>
    <s v="45362871001003"/>
    <n v="-100.18"/>
    <n v="1719"/>
    <n v="1"/>
    <n v="1"/>
  </r>
  <r>
    <m/>
    <m/>
    <x v="1"/>
    <s v="45379041001001"/>
    <n v="-82.82"/>
    <n v="1421"/>
    <n v="1"/>
    <n v="1"/>
  </r>
  <r>
    <m/>
    <m/>
    <x v="1"/>
    <s v="45407555001001"/>
    <n v="-44.88"/>
    <n v="770"/>
    <n v="1"/>
    <n v="1"/>
  </r>
  <r>
    <m/>
    <m/>
    <x v="1"/>
    <s v="45408608002003"/>
    <n v="-103.56"/>
    <n v="1777"/>
    <n v="1"/>
    <n v="1"/>
  </r>
  <r>
    <m/>
    <m/>
    <x v="1"/>
    <s v="45412781001004"/>
    <n v="-76.58"/>
    <n v="1314"/>
    <n v="1"/>
    <n v="1"/>
  </r>
  <r>
    <m/>
    <m/>
    <x v="1"/>
    <s v="45413901003003"/>
    <n v="-46.92"/>
    <n v="805"/>
    <n v="1"/>
    <n v="1"/>
  </r>
  <r>
    <m/>
    <m/>
    <x v="1"/>
    <s v="45420831002002"/>
    <n v="-127.34"/>
    <n v="2185"/>
    <n v="1"/>
    <n v="1"/>
  </r>
  <r>
    <m/>
    <m/>
    <x v="1"/>
    <s v="45442391006001"/>
    <n v="-28.32"/>
    <n v="486"/>
    <n v="1"/>
    <n v="1"/>
  </r>
  <r>
    <m/>
    <m/>
    <x v="1"/>
    <s v="45447641001001"/>
    <n v="-78.150000000000006"/>
    <n v="1341"/>
    <n v="1"/>
    <n v="1"/>
  </r>
  <r>
    <m/>
    <m/>
    <x v="1"/>
    <s v="45447711001002"/>
    <n v="-101.58"/>
    <n v="1743"/>
    <n v="1"/>
    <n v="1"/>
  </r>
  <r>
    <m/>
    <m/>
    <x v="1"/>
    <s v="45452652002011"/>
    <n v="-43.36"/>
    <n v="744"/>
    <n v="1"/>
    <n v="1"/>
  </r>
  <r>
    <m/>
    <m/>
    <x v="1"/>
    <s v="45481311001001"/>
    <n v="-6.64"/>
    <n v="114"/>
    <n v="1"/>
    <n v="1"/>
  </r>
  <r>
    <m/>
    <m/>
    <x v="1"/>
    <s v="45500981001001"/>
    <n v="-96.22"/>
    <n v="1651"/>
    <n v="1"/>
    <n v="1"/>
  </r>
  <r>
    <m/>
    <m/>
    <x v="1"/>
    <s v="45504201001002"/>
    <n v="-72.56"/>
    <n v="1245"/>
    <n v="1"/>
    <n v="1"/>
  </r>
  <r>
    <m/>
    <m/>
    <x v="1"/>
    <s v="45519246001001"/>
    <n v="-127.28"/>
    <n v="2184"/>
    <n v="1"/>
    <n v="1"/>
  </r>
  <r>
    <m/>
    <m/>
    <x v="1"/>
    <s v="45523171024001"/>
    <n v="-19.82"/>
    <n v="340"/>
    <n v="1"/>
    <n v="1"/>
  </r>
  <r>
    <m/>
    <m/>
    <x v="1"/>
    <s v="45528421001002"/>
    <n v="-127.11"/>
    <n v="2181"/>
    <n v="1"/>
    <n v="1"/>
  </r>
  <r>
    <m/>
    <m/>
    <x v="1"/>
    <s v="45554531001005"/>
    <n v="-58.28"/>
    <n v="1000"/>
    <n v="1"/>
    <n v="1"/>
  </r>
  <r>
    <m/>
    <m/>
    <x v="1"/>
    <s v="45575065001005"/>
    <n v="-35.32"/>
    <n v="606"/>
    <n v="1"/>
    <n v="1"/>
  </r>
  <r>
    <m/>
    <m/>
    <x v="1"/>
    <s v="45615361005001"/>
    <n v="-132.88"/>
    <n v="2280"/>
    <n v="1"/>
    <n v="1"/>
  </r>
  <r>
    <m/>
    <m/>
    <x v="1"/>
    <s v="45622851001009"/>
    <n v="-30.66"/>
    <n v="526"/>
    <n v="1"/>
    <n v="1"/>
  </r>
  <r>
    <m/>
    <m/>
    <x v="1"/>
    <s v="45764531001001"/>
    <n v="-65.16"/>
    <n v="1118"/>
    <n v="1"/>
    <n v="1"/>
  </r>
  <r>
    <m/>
    <m/>
    <x v="1"/>
    <s v="45765441001002"/>
    <n v="-23.72"/>
    <n v="407"/>
    <n v="1"/>
    <n v="1"/>
  </r>
  <r>
    <m/>
    <m/>
    <x v="1"/>
    <s v="45824016001003"/>
    <n v="-66.56"/>
    <n v="1142"/>
    <n v="1"/>
    <n v="1"/>
  </r>
  <r>
    <m/>
    <m/>
    <x v="1"/>
    <s v="45845101001001"/>
    <n v="-66.61"/>
    <n v="1143"/>
    <n v="1"/>
    <n v="1"/>
  </r>
  <r>
    <m/>
    <m/>
    <x v="1"/>
    <s v="45861201001008"/>
    <n v="-46.33"/>
    <n v="795"/>
    <n v="1"/>
    <n v="1"/>
  </r>
  <r>
    <m/>
    <m/>
    <x v="1"/>
    <s v="45878001001001"/>
    <n v="-57.7"/>
    <n v="990"/>
    <n v="1"/>
    <n v="1"/>
  </r>
  <r>
    <m/>
    <m/>
    <x v="1"/>
    <s v="45906912002001"/>
    <n v="-58.63"/>
    <n v="1006"/>
    <n v="1"/>
    <n v="1"/>
  </r>
  <r>
    <m/>
    <m/>
    <x v="1"/>
    <s v="45930081004001"/>
    <n v="-17.190000000000001"/>
    <n v="295"/>
    <n v="1"/>
    <n v="1"/>
  </r>
  <r>
    <m/>
    <m/>
    <x v="1"/>
    <s v="45979501004001"/>
    <n v="-68.010000000000005"/>
    <n v="1167"/>
    <n v="1"/>
    <n v="1"/>
  </r>
  <r>
    <m/>
    <m/>
    <x v="1"/>
    <s v="45981872001001"/>
    <n v="-12.53"/>
    <n v="215"/>
    <n v="1"/>
    <n v="1"/>
  </r>
  <r>
    <m/>
    <m/>
    <x v="1"/>
    <s v="45987934001001"/>
    <n v="-63.12"/>
    <n v="1083"/>
    <n v="1"/>
    <n v="1"/>
  </r>
  <r>
    <m/>
    <m/>
    <x v="1"/>
    <s v="45999031007001"/>
    <n v="-60.73"/>
    <n v="1042"/>
    <n v="1"/>
    <n v="1"/>
  </r>
  <r>
    <m/>
    <m/>
    <x v="1"/>
    <s v="46112501001001"/>
    <n v="-100.82"/>
    <n v="1730"/>
    <n v="1"/>
    <n v="1"/>
  </r>
  <r>
    <m/>
    <m/>
    <x v="1"/>
    <s v="46119641003005"/>
    <n v="-55.31"/>
    <n v="949"/>
    <n v="1"/>
    <n v="1"/>
  </r>
  <r>
    <m/>
    <m/>
    <x v="1"/>
    <s v="46135601001001"/>
    <n v="-66.03"/>
    <n v="1133"/>
    <n v="1"/>
    <n v="1"/>
  </r>
  <r>
    <m/>
    <m/>
    <x v="1"/>
    <s v="46141131001003"/>
    <n v="-45.92"/>
    <n v="788"/>
    <n v="1"/>
    <n v="1"/>
  </r>
  <r>
    <m/>
    <m/>
    <x v="1"/>
    <s v="46149601001005"/>
    <n v="-78.739999999999995"/>
    <n v="1351"/>
    <n v="1"/>
    <n v="1"/>
  </r>
  <r>
    <m/>
    <m/>
    <x v="1"/>
    <s v="46161221003014"/>
    <n v="-90.04"/>
    <n v="1545"/>
    <n v="1"/>
    <n v="1"/>
  </r>
  <r>
    <m/>
    <m/>
    <x v="1"/>
    <s v="46195241001002"/>
    <n v="-76.58"/>
    <n v="1314"/>
    <n v="1"/>
    <n v="1"/>
  </r>
  <r>
    <m/>
    <m/>
    <x v="1"/>
    <s v="46210291002003"/>
    <n v="-108.69"/>
    <n v="1865"/>
    <n v="1"/>
    <n v="1"/>
  </r>
  <r>
    <m/>
    <m/>
    <x v="1"/>
    <s v="46217641006001"/>
    <n v="-74.25"/>
    <n v="1274"/>
    <n v="1"/>
    <n v="1"/>
  </r>
  <r>
    <m/>
    <m/>
    <x v="1"/>
    <s v="46242001001004"/>
    <n v="-71.98"/>
    <n v="1235"/>
    <n v="1"/>
    <n v="1"/>
  </r>
  <r>
    <m/>
    <m/>
    <x v="1"/>
    <s v="46248581001001"/>
    <n v="-112.48"/>
    <n v="1930"/>
    <n v="1"/>
    <n v="1"/>
  </r>
  <r>
    <m/>
    <m/>
    <x v="1"/>
    <s v="46290511001002"/>
    <n v="-70.17"/>
    <n v="1204"/>
    <n v="1"/>
    <n v="1"/>
  </r>
  <r>
    <m/>
    <m/>
    <x v="1"/>
    <s v="46323621003008"/>
    <n v="-54.49"/>
    <n v="935"/>
    <n v="1"/>
    <n v="1"/>
  </r>
  <r>
    <m/>
    <m/>
    <x v="1"/>
    <s v="46365411003001"/>
    <n v="-35.67"/>
    <n v="612"/>
    <n v="2"/>
    <n v="1"/>
  </r>
  <r>
    <m/>
    <m/>
    <x v="1"/>
    <s v="46396071001002"/>
    <n v="-25.76"/>
    <n v="442"/>
    <n v="1"/>
    <n v="1"/>
  </r>
  <r>
    <m/>
    <m/>
    <x v="1"/>
    <s v="46398591003001"/>
    <n v="-87.42"/>
    <n v="1500"/>
    <n v="1"/>
    <n v="1"/>
  </r>
  <r>
    <m/>
    <m/>
    <x v="1"/>
    <s v="46399081006001"/>
    <n v="-90.28"/>
    <n v="1549"/>
    <n v="1"/>
    <n v="1"/>
  </r>
  <r>
    <m/>
    <m/>
    <x v="1"/>
    <s v="46402441001006"/>
    <n v="-21.8"/>
    <n v="374"/>
    <n v="1"/>
    <n v="1"/>
  </r>
  <r>
    <m/>
    <m/>
    <x v="1"/>
    <s v="46412521001006"/>
    <n v="-39.4"/>
    <n v="676"/>
    <n v="1"/>
    <n v="1"/>
  </r>
  <r>
    <m/>
    <m/>
    <x v="1"/>
    <s v="46429881006001"/>
    <n v="-138.88"/>
    <n v="2383"/>
    <n v="1"/>
    <n v="1"/>
  </r>
  <r>
    <m/>
    <m/>
    <x v="1"/>
    <s v="46438981001002"/>
    <n v="-114.81"/>
    <n v="1970"/>
    <n v="1"/>
    <n v="1"/>
  </r>
  <r>
    <m/>
    <m/>
    <x v="1"/>
    <s v="46440861001007"/>
    <n v="-60.2"/>
    <n v="1033"/>
    <n v="1"/>
    <n v="1"/>
  </r>
  <r>
    <m/>
    <m/>
    <x v="1"/>
    <s v="46467611002001"/>
    <n v="-24.48"/>
    <n v="420"/>
    <n v="1"/>
    <n v="1"/>
  </r>
  <r>
    <m/>
    <m/>
    <x v="1"/>
    <s v="46477551003001"/>
    <n v="-43.07"/>
    <n v="739"/>
    <n v="1"/>
    <n v="1"/>
  </r>
  <r>
    <m/>
    <m/>
    <x v="1"/>
    <s v="46478573003001"/>
    <n v="-69.290000000000006"/>
    <n v="1189"/>
    <n v="1"/>
    <n v="1"/>
  </r>
  <r>
    <m/>
    <m/>
    <x v="1"/>
    <s v="46684121001001"/>
    <n v="-83.22"/>
    <n v="1428"/>
    <n v="1"/>
    <n v="1"/>
  </r>
  <r>
    <m/>
    <m/>
    <x v="1"/>
    <s v="46713395001001"/>
    <n v="-34.21"/>
    <n v="587"/>
    <n v="1"/>
    <n v="1"/>
  </r>
  <r>
    <m/>
    <m/>
    <x v="1"/>
    <s v="46755031001004"/>
    <n v="-6.53"/>
    <n v="112"/>
    <n v="1"/>
    <n v="1"/>
  </r>
  <r>
    <m/>
    <m/>
    <x v="1"/>
    <s v="46767001003001"/>
    <n v="-75.59"/>
    <n v="1297"/>
    <n v="1"/>
    <n v="1"/>
  </r>
  <r>
    <m/>
    <m/>
    <x v="1"/>
    <s v="46767211003001"/>
    <n v="-43.54"/>
    <n v="747"/>
    <n v="1"/>
    <n v="1"/>
  </r>
  <r>
    <m/>
    <m/>
    <x v="1"/>
    <s v="46772111002005"/>
    <n v="-90.28"/>
    <n v="1549"/>
    <n v="1"/>
    <n v="1"/>
  </r>
  <r>
    <m/>
    <m/>
    <x v="1"/>
    <s v="46773581002002"/>
    <n v="-134.28"/>
    <n v="2304"/>
    <n v="1"/>
    <n v="1"/>
  </r>
  <r>
    <m/>
    <m/>
    <x v="1"/>
    <s v="46778971002001"/>
    <n v="-44.93"/>
    <n v="771"/>
    <n v="1"/>
    <n v="1"/>
  </r>
  <r>
    <m/>
    <m/>
    <x v="1"/>
    <s v="46779671001003"/>
    <n v="-36.31"/>
    <n v="623"/>
    <n v="1"/>
    <n v="1"/>
  </r>
  <r>
    <m/>
    <m/>
    <x v="1"/>
    <s v="46789961001001"/>
    <n v="-53.27"/>
    <n v="914"/>
    <n v="1"/>
    <n v="1"/>
  </r>
  <r>
    <m/>
    <m/>
    <x v="1"/>
    <s v="46790122001005"/>
    <n v="-32.64"/>
    <n v="560"/>
    <n v="1"/>
    <n v="1"/>
  </r>
  <r>
    <m/>
    <m/>
    <x v="1"/>
    <s v="46825208001001"/>
    <n v="-83.69"/>
    <n v="1436"/>
    <n v="1"/>
    <n v="1"/>
  </r>
  <r>
    <m/>
    <m/>
    <x v="1"/>
    <s v="46831191008001"/>
    <n v="-103.85"/>
    <n v="1782"/>
    <n v="1"/>
    <n v="1"/>
  </r>
  <r>
    <m/>
    <m/>
    <x v="1"/>
    <s v="46834341003003"/>
    <n v="-121.34"/>
    <n v="2082"/>
    <n v="1"/>
    <n v="1"/>
  </r>
  <r>
    <m/>
    <m/>
    <x v="1"/>
    <s v="46844491002002"/>
    <n v="-86.43"/>
    <n v="1483"/>
    <n v="1"/>
    <n v="1"/>
  </r>
  <r>
    <m/>
    <m/>
    <x v="1"/>
    <s v="46848061001005"/>
    <n v="-66.959999999999994"/>
    <n v="1149"/>
    <n v="1"/>
    <n v="1"/>
  </r>
  <r>
    <m/>
    <m/>
    <x v="1"/>
    <s v="46855629001001"/>
    <n v="-7.63"/>
    <n v="131"/>
    <n v="1"/>
    <n v="1"/>
  </r>
  <r>
    <m/>
    <m/>
    <x v="1"/>
    <s v="46866331001002"/>
    <n v="-98.2"/>
    <n v="1685"/>
    <n v="1"/>
    <n v="1"/>
  </r>
  <r>
    <m/>
    <m/>
    <x v="1"/>
    <s v="46962021001002"/>
    <n v="-15.56"/>
    <n v="267"/>
    <n v="1"/>
    <n v="1"/>
  </r>
  <r>
    <m/>
    <m/>
    <x v="1"/>
    <s v="46966753003003"/>
    <n v="-76.11"/>
    <n v="1306"/>
    <n v="1"/>
    <n v="1"/>
  </r>
  <r>
    <m/>
    <m/>
    <x v="1"/>
    <s v="46967818003001"/>
    <n v="-83.75"/>
    <n v="1437"/>
    <n v="1"/>
    <n v="1"/>
  </r>
  <r>
    <m/>
    <m/>
    <x v="1"/>
    <s v="47028499003001"/>
    <n v="-93.36"/>
    <n v="1602"/>
    <n v="1"/>
    <n v="1"/>
  </r>
  <r>
    <m/>
    <m/>
    <x v="1"/>
    <s v="47124400001003"/>
    <n v="-55.95"/>
    <n v="960"/>
    <n v="1"/>
    <n v="1"/>
  </r>
  <r>
    <m/>
    <m/>
    <x v="1"/>
    <s v="47135971001002"/>
    <n v="-97.15"/>
    <n v="1667"/>
    <n v="1"/>
    <n v="1"/>
  </r>
  <r>
    <m/>
    <m/>
    <x v="1"/>
    <s v="47164321003004"/>
    <n v="-36.43"/>
    <n v="625"/>
    <n v="1"/>
    <n v="1"/>
  </r>
  <r>
    <m/>
    <m/>
    <x v="1"/>
    <s v="47176711002001"/>
    <n v="-32.93"/>
    <n v="565"/>
    <n v="1"/>
    <n v="1"/>
  </r>
  <r>
    <m/>
    <m/>
    <x v="1"/>
    <s v="47179931001007"/>
    <n v="-40.450000000000003"/>
    <n v="694"/>
    <n v="1"/>
    <n v="1"/>
  </r>
  <r>
    <m/>
    <m/>
    <x v="1"/>
    <s v="47233131004002"/>
    <n v="-84.97"/>
    <n v="1458"/>
    <n v="1"/>
    <n v="1"/>
  </r>
  <r>
    <m/>
    <m/>
    <x v="1"/>
    <s v="47258973001001"/>
    <n v="-25.76"/>
    <n v="442"/>
    <n v="1"/>
    <n v="1"/>
  </r>
  <r>
    <m/>
    <m/>
    <x v="1"/>
    <s v="47275061002003"/>
    <n v="-32.869999999999997"/>
    <n v="564"/>
    <n v="1"/>
    <n v="1"/>
  </r>
  <r>
    <m/>
    <m/>
    <x v="1"/>
    <s v="47312021001002"/>
    <n v="-72.97"/>
    <n v="1252"/>
    <n v="1"/>
    <n v="1"/>
  </r>
  <r>
    <m/>
    <m/>
    <x v="1"/>
    <s v="47318111005003"/>
    <n v="-147.38999999999999"/>
    <n v="2529"/>
    <n v="1"/>
    <n v="1"/>
  </r>
  <r>
    <m/>
    <m/>
    <x v="1"/>
    <s v="47341211003001"/>
    <n v="-5.42"/>
    <n v="93"/>
    <n v="1"/>
    <n v="1"/>
  </r>
  <r>
    <m/>
    <m/>
    <x v="1"/>
    <s v="47356261001002"/>
    <n v="-137.88999999999999"/>
    <n v="2366"/>
    <n v="1"/>
    <n v="1"/>
  </r>
  <r>
    <m/>
    <m/>
    <x v="1"/>
    <s v="47375581005013"/>
    <n v="-75.06"/>
    <n v="1288"/>
    <n v="1"/>
    <n v="1"/>
  </r>
  <r>
    <m/>
    <m/>
    <x v="1"/>
    <s v="47377611003002"/>
    <n v="-33.979999999999997"/>
    <n v="583"/>
    <n v="1"/>
    <n v="1"/>
  </r>
  <r>
    <m/>
    <m/>
    <x v="1"/>
    <s v="47382721001001"/>
    <n v="-64.87"/>
    <n v="1113"/>
    <n v="1"/>
    <n v="1"/>
  </r>
  <r>
    <m/>
    <m/>
    <x v="1"/>
    <s v="47385801001001"/>
    <n v="-36.54"/>
    <n v="627"/>
    <n v="1"/>
    <n v="1"/>
  </r>
  <r>
    <m/>
    <m/>
    <x v="1"/>
    <s v="47386711001003"/>
    <n v="-79.55"/>
    <n v="1365"/>
    <n v="1"/>
    <n v="1"/>
  </r>
  <r>
    <m/>
    <m/>
    <x v="1"/>
    <s v="47388041001006"/>
    <n v="-76.17"/>
    <n v="1307"/>
    <n v="1"/>
    <n v="1"/>
  </r>
  <r>
    <m/>
    <m/>
    <x v="1"/>
    <s v="47403091001002"/>
    <n v="-68.19"/>
    <n v="1170"/>
    <n v="1"/>
    <n v="1"/>
  </r>
  <r>
    <m/>
    <m/>
    <x v="1"/>
    <s v="47406521002002"/>
    <n v="-87.65"/>
    <n v="1504"/>
    <n v="1"/>
    <n v="1"/>
  </r>
  <r>
    <m/>
    <m/>
    <x v="1"/>
    <s v="47406740001003"/>
    <n v="-107.76"/>
    <n v="1849"/>
    <n v="1"/>
    <n v="1"/>
  </r>
  <r>
    <m/>
    <m/>
    <x v="1"/>
    <s v="47429201001003"/>
    <n v="-32.17"/>
    <n v="552"/>
    <n v="1"/>
    <n v="1"/>
  </r>
  <r>
    <m/>
    <m/>
    <x v="1"/>
    <s v="47431160001002"/>
    <n v="-128.57"/>
    <n v="2206"/>
    <n v="1"/>
    <n v="1"/>
  </r>
  <r>
    <m/>
    <m/>
    <x v="1"/>
    <s v="47480441007001"/>
    <n v="-114"/>
    <n v="1956"/>
    <n v="1"/>
    <n v="1"/>
  </r>
  <r>
    <m/>
    <m/>
    <x v="1"/>
    <s v="47562061007001"/>
    <n v="-31.65"/>
    <n v="543"/>
    <n v="1"/>
    <n v="1"/>
  </r>
  <r>
    <m/>
    <m/>
    <x v="1"/>
    <s v="47574941012001"/>
    <n v="-57.46"/>
    <n v="986"/>
    <n v="1"/>
    <n v="1"/>
  </r>
  <r>
    <m/>
    <m/>
    <x v="1"/>
    <s v="47576624002003"/>
    <n v="-101.47"/>
    <n v="1741"/>
    <n v="1"/>
    <n v="1"/>
  </r>
  <r>
    <m/>
    <m/>
    <x v="1"/>
    <s v="47599651005003"/>
    <n v="-55.89"/>
    <n v="959"/>
    <n v="1"/>
    <n v="1"/>
  </r>
  <r>
    <m/>
    <m/>
    <x v="1"/>
    <s v="47600631003001"/>
    <n v="-94.59"/>
    <n v="1623"/>
    <n v="1"/>
    <n v="1"/>
  </r>
  <r>
    <m/>
    <m/>
    <x v="1"/>
    <s v="47606721001009"/>
    <n v="-15.15"/>
    <n v="260"/>
    <n v="1"/>
    <n v="1"/>
  </r>
  <r>
    <m/>
    <m/>
    <x v="1"/>
    <s v="47672521001007"/>
    <n v="-38"/>
    <n v="652"/>
    <n v="1"/>
    <n v="1"/>
  </r>
  <r>
    <m/>
    <m/>
    <x v="1"/>
    <s v="47723831004003"/>
    <n v="-72.09"/>
    <n v="1237"/>
    <n v="1"/>
    <n v="1"/>
  </r>
  <r>
    <m/>
    <m/>
    <x v="1"/>
    <s v="47755961001002"/>
    <n v="-147.04"/>
    <n v="2523"/>
    <n v="1"/>
    <n v="1"/>
  </r>
  <r>
    <m/>
    <m/>
    <x v="1"/>
    <s v="47762681005001"/>
    <n v="-178.16"/>
    <n v="3057"/>
    <n v="1"/>
    <n v="1"/>
  </r>
  <r>
    <m/>
    <m/>
    <x v="1"/>
    <s v="47866841003004"/>
    <n v="-46.62"/>
    <n v="800"/>
    <n v="1"/>
    <n v="1"/>
  </r>
  <r>
    <m/>
    <m/>
    <x v="1"/>
    <s v="47872982001001"/>
    <n v="-124.54"/>
    <n v="2137"/>
    <n v="1"/>
    <n v="1"/>
  </r>
  <r>
    <m/>
    <m/>
    <x v="1"/>
    <s v="47874541007001"/>
    <n v="-84.27"/>
    <n v="1446"/>
    <n v="1"/>
    <n v="1"/>
  </r>
  <r>
    <m/>
    <m/>
    <x v="1"/>
    <s v="47881813001003"/>
    <n v="-36.43"/>
    <n v="625"/>
    <n v="1"/>
    <n v="1"/>
  </r>
  <r>
    <m/>
    <m/>
    <x v="1"/>
    <s v="47909696001001"/>
    <n v="-14.57"/>
    <n v="250"/>
    <n v="1"/>
    <n v="1"/>
  </r>
  <r>
    <m/>
    <m/>
    <x v="1"/>
    <s v="47919224001001"/>
    <n v="-19.87"/>
    <n v="341"/>
    <n v="1"/>
    <n v="1"/>
  </r>
  <r>
    <m/>
    <m/>
    <x v="1"/>
    <s v="47927671001001"/>
    <n v="-35.9"/>
    <n v="616"/>
    <n v="1"/>
    <n v="1"/>
  </r>
  <r>
    <m/>
    <m/>
    <x v="1"/>
    <s v="47932305003001"/>
    <n v="-79.84"/>
    <n v="1370"/>
    <n v="1"/>
    <n v="1"/>
  </r>
  <r>
    <m/>
    <m/>
    <x v="1"/>
    <s v="47945381004001"/>
    <n v="-131.25"/>
    <n v="2252"/>
    <n v="1"/>
    <n v="1"/>
  </r>
  <r>
    <m/>
    <m/>
    <x v="1"/>
    <s v="47966661006001"/>
    <n v="-21.21"/>
    <n v="364"/>
    <n v="1"/>
    <n v="1"/>
  </r>
  <r>
    <m/>
    <m/>
    <x v="1"/>
    <s v="47981781001001"/>
    <n v="-145.47"/>
    <n v="2496"/>
    <n v="1"/>
    <n v="1"/>
  </r>
  <r>
    <m/>
    <m/>
    <x v="1"/>
    <s v="47983531004001"/>
    <n v="-52.86"/>
    <n v="907"/>
    <n v="1"/>
    <n v="1"/>
  </r>
  <r>
    <m/>
    <m/>
    <x v="1"/>
    <s v="48013109001003"/>
    <n v="-61.95"/>
    <n v="1063"/>
    <n v="1"/>
    <n v="1"/>
  </r>
  <r>
    <m/>
    <m/>
    <x v="1"/>
    <s v="48036574003001"/>
    <n v="-17.48"/>
    <n v="300"/>
    <n v="1"/>
    <n v="1"/>
  </r>
  <r>
    <m/>
    <m/>
    <x v="1"/>
    <s v="48040883001002"/>
    <n v="-36.31"/>
    <n v="623"/>
    <n v="1"/>
    <n v="1"/>
  </r>
  <r>
    <m/>
    <m/>
    <x v="1"/>
    <s v="48065577001006"/>
    <n v="-68.77"/>
    <n v="1180"/>
    <n v="1"/>
    <n v="1"/>
  </r>
  <r>
    <m/>
    <m/>
    <x v="1"/>
    <s v="48076533001001"/>
    <n v="-96.16"/>
    <n v="1650"/>
    <n v="1"/>
    <n v="1"/>
  </r>
  <r>
    <m/>
    <m/>
    <x v="1"/>
    <s v="48085381001001"/>
    <n v="-24.94"/>
    <n v="428"/>
    <n v="1"/>
    <n v="1"/>
  </r>
  <r>
    <m/>
    <m/>
    <x v="1"/>
    <s v="48091876002001"/>
    <n v="-0.17"/>
    <n v="3"/>
    <n v="1"/>
    <n v="1"/>
  </r>
  <r>
    <m/>
    <m/>
    <x v="1"/>
    <s v="48182191001001"/>
    <n v="-95.4"/>
    <n v="1637"/>
    <n v="1"/>
    <n v="1"/>
  </r>
  <r>
    <m/>
    <m/>
    <x v="1"/>
    <s v="48214181001001"/>
    <n v="-82.7"/>
    <n v="1419"/>
    <n v="1"/>
    <n v="1"/>
  </r>
  <r>
    <m/>
    <m/>
    <x v="1"/>
    <s v="48254983001001"/>
    <n v="-78.97"/>
    <n v="1355"/>
    <n v="1"/>
    <n v="1"/>
  </r>
  <r>
    <m/>
    <m/>
    <x v="1"/>
    <s v="48287655003001"/>
    <n v="-26.23"/>
    <n v="450"/>
    <n v="1"/>
    <n v="1"/>
  </r>
  <r>
    <m/>
    <m/>
    <x v="1"/>
    <s v="48474794001001"/>
    <n v="-71.680000000000007"/>
    <n v="1230"/>
    <n v="1"/>
    <n v="1"/>
  </r>
  <r>
    <m/>
    <m/>
    <x v="1"/>
    <s v="48488730001001"/>
    <n v="-39.81"/>
    <n v="683"/>
    <n v="1"/>
    <n v="1"/>
  </r>
  <r>
    <m/>
    <m/>
    <x v="1"/>
    <s v="48490261001001"/>
    <n v="-99.83"/>
    <n v="1713"/>
    <n v="1"/>
    <n v="1"/>
  </r>
  <r>
    <m/>
    <m/>
    <x v="1"/>
    <s v="48518541001001"/>
    <n v="-77.86"/>
    <n v="1336"/>
    <n v="1"/>
    <n v="1"/>
  </r>
  <r>
    <m/>
    <m/>
    <x v="1"/>
    <s v="48671160001004"/>
    <n v="-89.87"/>
    <n v="1542"/>
    <n v="1"/>
    <n v="1"/>
  </r>
  <r>
    <m/>
    <m/>
    <x v="1"/>
    <s v="48704876001001"/>
    <n v="-79.790000000000006"/>
    <n v="1369"/>
    <n v="1"/>
    <n v="1"/>
  </r>
  <r>
    <m/>
    <m/>
    <x v="1"/>
    <s v="48771464001005"/>
    <n v="-64.87"/>
    <n v="1113"/>
    <n v="1"/>
    <n v="1"/>
  </r>
  <r>
    <m/>
    <m/>
    <x v="1"/>
    <s v="48789559005001"/>
    <n v="-38.81"/>
    <n v="666"/>
    <n v="1"/>
    <n v="1"/>
  </r>
  <r>
    <m/>
    <m/>
    <x v="1"/>
    <s v="48798510001003"/>
    <n v="-71.33"/>
    <n v="1224"/>
    <n v="1"/>
    <n v="1"/>
  </r>
  <r>
    <m/>
    <m/>
    <x v="1"/>
    <s v="48843876001001"/>
    <n v="-85.09"/>
    <n v="1460"/>
    <n v="1"/>
    <n v="1"/>
  </r>
  <r>
    <m/>
    <m/>
    <x v="1"/>
    <s v="48867586002009"/>
    <n v="-38.64"/>
    <n v="663"/>
    <n v="1"/>
    <n v="1"/>
  </r>
  <r>
    <m/>
    <m/>
    <x v="1"/>
    <s v="48920787001001"/>
    <n v="-6.59"/>
    <n v="113"/>
    <n v="1"/>
    <n v="1"/>
  </r>
  <r>
    <m/>
    <m/>
    <x v="1"/>
    <s v="48930701001003"/>
    <n v="-34.44"/>
    <n v="591"/>
    <n v="1"/>
    <n v="1"/>
  </r>
  <r>
    <m/>
    <m/>
    <x v="1"/>
    <s v="49059747001011"/>
    <n v="-5.36"/>
    <n v="92"/>
    <n v="1"/>
    <n v="1"/>
  </r>
  <r>
    <m/>
    <m/>
    <x v="1"/>
    <s v="49069822001001"/>
    <n v="-81.13"/>
    <n v="1392"/>
    <n v="1"/>
    <n v="1"/>
  </r>
  <r>
    <m/>
    <m/>
    <x v="1"/>
    <s v="49110279001004"/>
    <n v="-70.23"/>
    <n v="1205"/>
    <n v="1"/>
    <n v="1"/>
  </r>
  <r>
    <m/>
    <m/>
    <x v="1"/>
    <s v="49114661001002"/>
    <n v="-26.93"/>
    <n v="462"/>
    <n v="1"/>
    <n v="1"/>
  </r>
  <r>
    <m/>
    <m/>
    <x v="1"/>
    <s v="49146371004001"/>
    <n v="-47.67"/>
    <n v="818"/>
    <n v="1"/>
    <n v="1"/>
  </r>
  <r>
    <m/>
    <m/>
    <x v="1"/>
    <s v="49200673001001"/>
    <n v="-32.29"/>
    <n v="554"/>
    <n v="1"/>
    <n v="1"/>
  </r>
  <r>
    <m/>
    <m/>
    <x v="1"/>
    <s v="49214775001001"/>
    <n v="-45.34"/>
    <n v="778"/>
    <n v="1"/>
    <n v="1"/>
  </r>
  <r>
    <m/>
    <m/>
    <x v="1"/>
    <s v="49217701003005"/>
    <n v="-217.62"/>
    <n v="3734"/>
    <n v="1"/>
    <n v="1"/>
  </r>
  <r>
    <m/>
    <m/>
    <x v="1"/>
    <s v="49295866001005"/>
    <n v="-115.1"/>
    <n v="1975"/>
    <n v="1"/>
    <n v="1"/>
  </r>
  <r>
    <m/>
    <m/>
    <x v="1"/>
    <s v="49299299001005"/>
    <n v="-66.91"/>
    <n v="1148"/>
    <n v="1"/>
    <n v="1"/>
  </r>
  <r>
    <m/>
    <m/>
    <x v="1"/>
    <s v="49436870001001"/>
    <n v="-100.65"/>
    <n v="1727"/>
    <n v="1"/>
    <n v="1"/>
  </r>
  <r>
    <m/>
    <m/>
    <x v="1"/>
    <s v="49472851001001"/>
    <n v="-41.2"/>
    <n v="707"/>
    <n v="1"/>
    <n v="1"/>
  </r>
  <r>
    <m/>
    <m/>
    <x v="1"/>
    <s v="49542151005001"/>
    <n v="-158.22999999999999"/>
    <n v="2715"/>
    <n v="1"/>
    <n v="1"/>
  </r>
  <r>
    <m/>
    <m/>
    <x v="1"/>
    <s v="49542291001001"/>
    <n v="-81.180000000000007"/>
    <n v="1393"/>
    <n v="1"/>
    <n v="1"/>
  </r>
  <r>
    <m/>
    <m/>
    <x v="1"/>
    <s v="49557855001003"/>
    <n v="-57.99"/>
    <n v="995"/>
    <n v="1"/>
    <n v="1"/>
  </r>
  <r>
    <m/>
    <m/>
    <x v="1"/>
    <s v="49586951001001"/>
    <n v="-29.78"/>
    <n v="511"/>
    <n v="1"/>
    <n v="1"/>
  </r>
  <r>
    <m/>
    <m/>
    <x v="1"/>
    <s v="49620391001001"/>
    <n v="-89.17"/>
    <n v="1530"/>
    <n v="1"/>
    <n v="1"/>
  </r>
  <r>
    <m/>
    <m/>
    <x v="1"/>
    <s v="49622441001001"/>
    <n v="-42.89"/>
    <n v="736"/>
    <n v="1"/>
    <n v="1"/>
  </r>
  <r>
    <m/>
    <m/>
    <x v="1"/>
    <s v="49632381001008"/>
    <n v="-63.7"/>
    <n v="1093"/>
    <n v="1"/>
    <n v="1"/>
  </r>
  <r>
    <m/>
    <m/>
    <x v="1"/>
    <s v="49711801001001"/>
    <n v="-21.68"/>
    <n v="372"/>
    <n v="1"/>
    <n v="1"/>
  </r>
  <r>
    <m/>
    <m/>
    <x v="1"/>
    <s v="49743471001001"/>
    <n v="-45.28"/>
    <n v="777"/>
    <n v="1"/>
    <n v="1"/>
  </r>
  <r>
    <m/>
    <m/>
    <x v="1"/>
    <s v="49897285001001"/>
    <n v="-84.68"/>
    <n v="1453"/>
    <n v="1"/>
    <n v="1"/>
  </r>
  <r>
    <m/>
    <m/>
    <x v="1"/>
    <s v="49903001001002"/>
    <n v="-127.05"/>
    <n v="2180"/>
    <n v="1"/>
    <n v="1"/>
  </r>
  <r>
    <m/>
    <m/>
    <x v="1"/>
    <s v="49904401001017"/>
    <n v="-87.54"/>
    <n v="1502"/>
    <n v="1"/>
    <n v="1"/>
  </r>
  <r>
    <m/>
    <m/>
    <x v="1"/>
    <s v="49926110001001"/>
    <n v="-56.65"/>
    <n v="972"/>
    <n v="1"/>
    <n v="1"/>
  </r>
  <r>
    <m/>
    <m/>
    <x v="1"/>
    <s v="49944272001001"/>
    <n v="-66.260000000000005"/>
    <n v="1137"/>
    <n v="1"/>
    <n v="1"/>
  </r>
  <r>
    <m/>
    <m/>
    <x v="1"/>
    <s v="49960891003001"/>
    <n v="-61.84"/>
    <n v="1061"/>
    <n v="1"/>
    <n v="1"/>
  </r>
  <r>
    <m/>
    <m/>
    <x v="1"/>
    <s v="50032221001002"/>
    <n v="-92.67"/>
    <n v="1590"/>
    <n v="1"/>
    <n v="1"/>
  </r>
  <r>
    <m/>
    <m/>
    <x v="1"/>
    <s v="50062741003005"/>
    <n v="-22.79"/>
    <n v="391"/>
    <n v="1"/>
    <n v="1"/>
  </r>
  <r>
    <m/>
    <m/>
    <x v="1"/>
    <s v="50119791001001"/>
    <n v="-10.78"/>
    <n v="185"/>
    <n v="1"/>
    <n v="1"/>
  </r>
  <r>
    <m/>
    <m/>
    <x v="1"/>
    <s v="50146181002001"/>
    <n v="-88.12"/>
    <n v="1512"/>
    <n v="1"/>
    <n v="1"/>
  </r>
  <r>
    <m/>
    <m/>
    <x v="1"/>
    <s v="50146531001002"/>
    <n v="-14.16"/>
    <n v="243"/>
    <n v="1"/>
    <n v="1"/>
  </r>
  <r>
    <m/>
    <m/>
    <x v="1"/>
    <s v="50159341001001"/>
    <n v="-29.66"/>
    <n v="509"/>
    <n v="1"/>
    <n v="1"/>
  </r>
  <r>
    <m/>
    <m/>
    <x v="1"/>
    <s v="50175157001008"/>
    <n v="-28.79"/>
    <n v="494"/>
    <n v="1"/>
    <n v="1"/>
  </r>
  <r>
    <m/>
    <m/>
    <x v="1"/>
    <s v="50186781001001"/>
    <n v="-117.84"/>
    <n v="2022"/>
    <n v="1"/>
    <n v="1"/>
  </r>
  <r>
    <m/>
    <m/>
    <x v="1"/>
    <s v="50218504001005"/>
    <n v="-21.51"/>
    <n v="369"/>
    <n v="1"/>
    <n v="1"/>
  </r>
  <r>
    <m/>
    <m/>
    <x v="1"/>
    <s v="50234784001005"/>
    <n v="-127.28"/>
    <n v="2184"/>
    <n v="1"/>
    <n v="1"/>
  </r>
  <r>
    <m/>
    <m/>
    <x v="1"/>
    <s v="50245081001005"/>
    <n v="-82.41"/>
    <n v="1414"/>
    <n v="1"/>
    <n v="1"/>
  </r>
  <r>
    <m/>
    <m/>
    <x v="1"/>
    <s v="50271551003001"/>
    <n v="-63.41"/>
    <n v="1088"/>
    <n v="1"/>
    <n v="1"/>
  </r>
  <r>
    <m/>
    <m/>
    <x v="1"/>
    <s v="50336736001011"/>
    <n v="-36.83"/>
    <n v="632"/>
    <n v="1"/>
    <n v="1"/>
  </r>
  <r>
    <m/>
    <m/>
    <x v="1"/>
    <s v="50363741006001"/>
    <n v="-35.26"/>
    <n v="605"/>
    <n v="1"/>
    <n v="1"/>
  </r>
  <r>
    <m/>
    <m/>
    <x v="1"/>
    <s v="50403176001001"/>
    <n v="-4.25"/>
    <n v="73"/>
    <n v="1"/>
    <n v="1"/>
  </r>
  <r>
    <m/>
    <m/>
    <x v="1"/>
    <s v="50448812001001"/>
    <n v="-15.97"/>
    <n v="274"/>
    <n v="1"/>
    <n v="1"/>
  </r>
  <r>
    <m/>
    <m/>
    <x v="1"/>
    <s v="50575121001001"/>
    <n v="-25.88"/>
    <n v="444"/>
    <n v="1"/>
    <n v="1"/>
  </r>
  <r>
    <m/>
    <m/>
    <x v="1"/>
    <s v="50577986002006"/>
    <n v="-73.14"/>
    <n v="1255"/>
    <n v="1"/>
    <n v="1"/>
  </r>
  <r>
    <m/>
    <m/>
    <x v="1"/>
    <s v="50578291001002"/>
    <n v="-50.53"/>
    <n v="867"/>
    <n v="1"/>
    <n v="1"/>
  </r>
  <r>
    <m/>
    <m/>
    <x v="1"/>
    <s v="50583810001001"/>
    <n v="-146.22"/>
    <n v="2509"/>
    <n v="1"/>
    <n v="1"/>
  </r>
  <r>
    <m/>
    <m/>
    <x v="1"/>
    <s v="50632541001006"/>
    <n v="-16.32"/>
    <n v="280"/>
    <n v="1"/>
    <n v="1"/>
  </r>
  <r>
    <m/>
    <m/>
    <x v="1"/>
    <s v="50677761001001"/>
    <n v="-11.71"/>
    <n v="201"/>
    <n v="1"/>
    <n v="1"/>
  </r>
  <r>
    <m/>
    <m/>
    <x v="1"/>
    <s v="50720811001003"/>
    <n v="-2.1"/>
    <n v="36"/>
    <n v="1"/>
    <n v="1"/>
  </r>
  <r>
    <m/>
    <m/>
    <x v="1"/>
    <s v="50744541002001"/>
    <n v="-38"/>
    <n v="652"/>
    <n v="1"/>
    <n v="1"/>
  </r>
  <r>
    <m/>
    <m/>
    <x v="1"/>
    <s v="50745624002003"/>
    <n v="-81.77"/>
    <n v="1403"/>
    <n v="1"/>
    <n v="1"/>
  </r>
  <r>
    <m/>
    <m/>
    <x v="1"/>
    <s v="50757351002006"/>
    <n v="-40.74"/>
    <n v="699"/>
    <n v="1"/>
    <n v="1"/>
  </r>
  <r>
    <m/>
    <m/>
    <x v="1"/>
    <s v="50802890001001"/>
    <n v="-4.37"/>
    <n v="75"/>
    <n v="1"/>
    <n v="1"/>
  </r>
  <r>
    <m/>
    <m/>
    <x v="1"/>
    <s v="50873620001001"/>
    <n v="-176.36"/>
    <n v="3026"/>
    <n v="1"/>
    <n v="1"/>
  </r>
  <r>
    <m/>
    <m/>
    <x v="1"/>
    <s v="50891821006005"/>
    <n v="-113.53"/>
    <n v="1948"/>
    <n v="1"/>
    <n v="1"/>
  </r>
  <r>
    <m/>
    <m/>
    <x v="1"/>
    <s v="50892241001002"/>
    <n v="-30.19"/>
    <n v="518"/>
    <n v="1"/>
    <n v="1"/>
  </r>
  <r>
    <m/>
    <m/>
    <x v="1"/>
    <s v="50955251001001"/>
    <n v="-41.79"/>
    <n v="717"/>
    <n v="1"/>
    <n v="1"/>
  </r>
  <r>
    <m/>
    <m/>
    <x v="1"/>
    <s v="50972811001001"/>
    <n v="-41.15"/>
    <n v="706"/>
    <n v="1"/>
    <n v="1"/>
  </r>
  <r>
    <m/>
    <m/>
    <x v="1"/>
    <s v="50980185001006"/>
    <n v="-129.21"/>
    <n v="2217"/>
    <n v="1"/>
    <n v="1"/>
  </r>
  <r>
    <m/>
    <m/>
    <x v="1"/>
    <s v="50980301002006"/>
    <n v="-79.260000000000005"/>
    <n v="1360"/>
    <n v="1"/>
    <n v="1"/>
  </r>
  <r>
    <m/>
    <m/>
    <x v="1"/>
    <s v="50982891003001"/>
    <n v="-37.880000000000003"/>
    <n v="650"/>
    <n v="1"/>
    <n v="1"/>
  </r>
  <r>
    <m/>
    <m/>
    <x v="1"/>
    <s v="51001301006001"/>
    <n v="-76.87"/>
    <n v="1319"/>
    <n v="1"/>
    <n v="1"/>
  </r>
  <r>
    <m/>
    <m/>
    <x v="1"/>
    <s v="51002981005001"/>
    <n v="-75.239999999999995"/>
    <n v="1291"/>
    <n v="1"/>
    <n v="1"/>
  </r>
  <r>
    <m/>
    <m/>
    <x v="1"/>
    <s v="51011101001001"/>
    <n v="-74.19"/>
    <n v="1273"/>
    <n v="1"/>
    <n v="1"/>
  </r>
  <r>
    <m/>
    <m/>
    <x v="1"/>
    <s v="51026361001001"/>
    <n v="-77.16"/>
    <n v="1324"/>
    <n v="1"/>
    <n v="1"/>
  </r>
  <r>
    <m/>
    <m/>
    <x v="1"/>
    <s v="51027691001003"/>
    <n v="-90.68"/>
    <n v="1556"/>
    <n v="1"/>
    <n v="1"/>
  </r>
  <r>
    <m/>
    <m/>
    <x v="1"/>
    <s v="51049671008001"/>
    <n v="-141.80000000000001"/>
    <n v="2433"/>
    <n v="1"/>
    <n v="1"/>
  </r>
  <r>
    <m/>
    <m/>
    <x v="1"/>
    <s v="51053871001001"/>
    <n v="-24.83"/>
    <n v="426"/>
    <n v="1"/>
    <n v="1"/>
  </r>
  <r>
    <m/>
    <m/>
    <x v="1"/>
    <s v="51056944001001"/>
    <n v="-42.08"/>
    <n v="722"/>
    <n v="1"/>
    <n v="1"/>
  </r>
  <r>
    <m/>
    <m/>
    <x v="1"/>
    <s v="51084041002005"/>
    <n v="-38.35"/>
    <n v="658"/>
    <n v="1"/>
    <n v="1"/>
  </r>
  <r>
    <m/>
    <m/>
    <x v="1"/>
    <s v="51095876001003"/>
    <n v="-15.68"/>
    <n v="269"/>
    <n v="1"/>
    <n v="1"/>
  </r>
  <r>
    <m/>
    <m/>
    <x v="1"/>
    <s v="51104901004003"/>
    <n v="-54.32"/>
    <n v="932"/>
    <n v="1"/>
    <n v="1"/>
  </r>
  <r>
    <m/>
    <m/>
    <x v="1"/>
    <s v="51106511001005"/>
    <n v="-20.86"/>
    <n v="358"/>
    <n v="1"/>
    <n v="1"/>
  </r>
  <r>
    <m/>
    <m/>
    <x v="1"/>
    <s v="51127017001002"/>
    <n v="-42.43"/>
    <n v="728"/>
    <n v="1"/>
    <n v="1"/>
  </r>
  <r>
    <m/>
    <m/>
    <x v="1"/>
    <s v="51159431001001"/>
    <n v="-57.11"/>
    <n v="980"/>
    <n v="1"/>
    <n v="1"/>
  </r>
  <r>
    <m/>
    <m/>
    <x v="1"/>
    <s v="51174201001004"/>
    <n v="-8.6300000000000008"/>
    <n v="148"/>
    <n v="1"/>
    <n v="1"/>
  </r>
  <r>
    <m/>
    <m/>
    <x v="1"/>
    <s v="51182321003003"/>
    <n v="-144.94"/>
    <n v="2487"/>
    <n v="1"/>
    <n v="1"/>
  </r>
  <r>
    <m/>
    <m/>
    <x v="1"/>
    <s v="51206821003010"/>
    <n v="-55.42"/>
    <n v="951"/>
    <n v="1"/>
    <n v="1"/>
  </r>
  <r>
    <m/>
    <m/>
    <x v="1"/>
    <s v="51222851001001"/>
    <n v="-20.399999999999999"/>
    <n v="350"/>
    <n v="1"/>
    <n v="1"/>
  </r>
  <r>
    <m/>
    <m/>
    <x v="1"/>
    <s v="51241523001003"/>
    <n v="-70.52"/>
    <n v="1210"/>
    <n v="1"/>
    <n v="1"/>
  </r>
  <r>
    <m/>
    <m/>
    <x v="1"/>
    <s v="51315811004001"/>
    <n v="-128.68"/>
    <n v="2208"/>
    <n v="1"/>
    <n v="1"/>
  </r>
  <r>
    <m/>
    <m/>
    <x v="1"/>
    <s v="51340941002001"/>
    <n v="-117.61"/>
    <n v="2018"/>
    <n v="1"/>
    <n v="1"/>
  </r>
  <r>
    <m/>
    <m/>
    <x v="1"/>
    <s v="51396381005001"/>
    <n v="-117.67"/>
    <n v="2019"/>
    <n v="1"/>
    <n v="1"/>
  </r>
  <r>
    <m/>
    <m/>
    <x v="1"/>
    <s v="51441601002001"/>
    <n v="-122.62"/>
    <n v="2104"/>
    <n v="1"/>
    <n v="1"/>
  </r>
  <r>
    <m/>
    <m/>
    <x v="1"/>
    <s v="51446011004001"/>
    <n v="-63"/>
    <n v="1081"/>
    <n v="1"/>
    <n v="1"/>
  </r>
  <r>
    <m/>
    <m/>
    <x v="1"/>
    <s v="51453851003001"/>
    <n v="-70.64"/>
    <n v="1212"/>
    <n v="1"/>
    <n v="1"/>
  </r>
  <r>
    <m/>
    <m/>
    <x v="1"/>
    <s v="51461761001001"/>
    <n v="-59.04"/>
    <n v="1013"/>
    <n v="1"/>
    <n v="1"/>
  </r>
  <r>
    <m/>
    <m/>
    <x v="1"/>
    <s v="51467250001001"/>
    <n v="-10.67"/>
    <n v="183"/>
    <n v="1"/>
    <n v="1"/>
  </r>
  <r>
    <m/>
    <m/>
    <x v="1"/>
    <s v="51469191001009"/>
    <n v="-6.41"/>
    <n v="110"/>
    <n v="1"/>
    <n v="1"/>
  </r>
  <r>
    <m/>
    <m/>
    <x v="1"/>
    <s v="51483531009001"/>
    <n v="-55.66"/>
    <n v="955"/>
    <n v="1"/>
    <n v="1"/>
  </r>
  <r>
    <m/>
    <m/>
    <x v="1"/>
    <s v="51516081001002"/>
    <n v="-18.239999999999998"/>
    <n v="313"/>
    <n v="1"/>
    <n v="1"/>
  </r>
  <r>
    <m/>
    <m/>
    <x v="1"/>
    <s v="51528681001002"/>
    <n v="-16.03"/>
    <n v="275"/>
    <n v="1"/>
    <n v="1"/>
  </r>
  <r>
    <m/>
    <m/>
    <x v="1"/>
    <s v="51542891001003"/>
    <n v="-51.11"/>
    <n v="877"/>
    <n v="1"/>
    <n v="1"/>
  </r>
  <r>
    <m/>
    <m/>
    <x v="1"/>
    <s v="51543731002001"/>
    <n v="-102.57"/>
    <n v="1760"/>
    <n v="1"/>
    <n v="1"/>
  </r>
  <r>
    <m/>
    <m/>
    <x v="1"/>
    <s v="51544151002001"/>
    <n v="-71.33"/>
    <n v="1224"/>
    <n v="1"/>
    <n v="1"/>
  </r>
  <r>
    <m/>
    <m/>
    <x v="1"/>
    <s v="51556121001002"/>
    <n v="-53.91"/>
    <n v="925"/>
    <n v="1"/>
    <n v="1"/>
  </r>
  <r>
    <m/>
    <m/>
    <x v="1"/>
    <s v="51557381001002"/>
    <n v="-21.16"/>
    <n v="363"/>
    <n v="1"/>
    <n v="1"/>
  </r>
  <r>
    <m/>
    <m/>
    <x v="1"/>
    <s v="51568021003009"/>
    <n v="-42.08"/>
    <n v="722"/>
    <n v="1"/>
    <n v="1"/>
  </r>
  <r>
    <m/>
    <m/>
    <x v="1"/>
    <s v="51568721001004"/>
    <n v="-49.95"/>
    <n v="857"/>
    <n v="1"/>
    <n v="1"/>
  </r>
  <r>
    <m/>
    <m/>
    <x v="1"/>
    <s v="51572011001005"/>
    <n v="-74.89"/>
    <n v="1285"/>
    <n v="1"/>
    <n v="1"/>
  </r>
  <r>
    <m/>
    <m/>
    <x v="1"/>
    <s v="51581151001001"/>
    <n v="-25.88"/>
    <n v="444"/>
    <n v="1"/>
    <n v="1"/>
  </r>
  <r>
    <m/>
    <m/>
    <x v="1"/>
    <s v="51584751002008"/>
    <n v="-84.39"/>
    <n v="1448"/>
    <n v="1"/>
    <n v="1"/>
  </r>
  <r>
    <m/>
    <m/>
    <x v="1"/>
    <s v="51588111004001"/>
    <n v="-127.69"/>
    <n v="2191"/>
    <n v="1"/>
    <n v="1"/>
  </r>
  <r>
    <m/>
    <m/>
    <x v="1"/>
    <s v="51589096001005"/>
    <n v="-66.67"/>
    <n v="1144"/>
    <n v="1"/>
    <n v="1"/>
  </r>
  <r>
    <m/>
    <m/>
    <x v="1"/>
    <s v="51591471001001"/>
    <n v="-73.67"/>
    <n v="1264"/>
    <n v="1"/>
    <n v="1"/>
  </r>
  <r>
    <m/>
    <m/>
    <x v="1"/>
    <s v="51595951001005"/>
    <n v="-31.35"/>
    <n v="538"/>
    <n v="1"/>
    <n v="1"/>
  </r>
  <r>
    <m/>
    <m/>
    <x v="1"/>
    <s v="51601590001003"/>
    <n v="-22.85"/>
    <n v="392"/>
    <n v="1"/>
    <n v="1"/>
  </r>
  <r>
    <m/>
    <m/>
    <x v="1"/>
    <s v="51609181001001"/>
    <n v="-112.36"/>
    <n v="1928"/>
    <n v="1"/>
    <n v="1"/>
  </r>
  <r>
    <m/>
    <m/>
    <x v="1"/>
    <s v="51610791002001"/>
    <n v="-39.51"/>
    <n v="678"/>
    <n v="1"/>
    <n v="1"/>
  </r>
  <r>
    <m/>
    <m/>
    <x v="1"/>
    <s v="51615411001001"/>
    <n v="-62.3"/>
    <n v="1069"/>
    <n v="1"/>
    <n v="1"/>
  </r>
  <r>
    <m/>
    <m/>
    <x v="1"/>
    <s v="51615551001001"/>
    <n v="-100.13"/>
    <n v="1718"/>
    <n v="1"/>
    <n v="1"/>
  </r>
  <r>
    <m/>
    <m/>
    <x v="1"/>
    <s v="51618911002001"/>
    <n v="-63.12"/>
    <n v="1083"/>
    <n v="1"/>
    <n v="1"/>
  </r>
  <r>
    <m/>
    <m/>
    <x v="1"/>
    <s v="51619110002001"/>
    <n v="-96.28"/>
    <n v="1652"/>
    <n v="1"/>
    <n v="1"/>
  </r>
  <r>
    <m/>
    <m/>
    <x v="1"/>
    <s v="51627661001003"/>
    <n v="-67.900000000000006"/>
    <n v="1165"/>
    <n v="1"/>
    <n v="1"/>
  </r>
  <r>
    <m/>
    <m/>
    <x v="1"/>
    <s v="51628011003001"/>
    <n v="-56.07"/>
    <n v="962"/>
    <n v="1"/>
    <n v="1"/>
  </r>
  <r>
    <m/>
    <m/>
    <x v="1"/>
    <s v="51682390003003"/>
    <n v="-87.89"/>
    <n v="1508"/>
    <n v="1"/>
    <n v="1"/>
  </r>
  <r>
    <m/>
    <m/>
    <x v="1"/>
    <s v="51719592001003"/>
    <n v="-70.400000000000006"/>
    <n v="1208"/>
    <n v="1"/>
    <n v="1"/>
  </r>
  <r>
    <m/>
    <m/>
    <x v="1"/>
    <s v="51733911001002"/>
    <n v="-36.72"/>
    <n v="630"/>
    <n v="1"/>
    <n v="1"/>
  </r>
  <r>
    <m/>
    <m/>
    <x v="1"/>
    <s v="51772856006001"/>
    <n v="-44.88"/>
    <n v="770"/>
    <n v="1"/>
    <n v="1"/>
  </r>
  <r>
    <m/>
    <m/>
    <x v="1"/>
    <s v="51790155001003"/>
    <n v="-48.61"/>
    <n v="834"/>
    <n v="1"/>
    <n v="1"/>
  </r>
  <r>
    <m/>
    <m/>
    <x v="1"/>
    <s v="51808006003005"/>
    <n v="-2.4500000000000002"/>
    <n v="42"/>
    <n v="1"/>
    <n v="1"/>
  </r>
  <r>
    <m/>
    <m/>
    <x v="1"/>
    <s v="51910701001010"/>
    <n v="-76.81"/>
    <n v="1318"/>
    <n v="1"/>
    <n v="1"/>
  </r>
  <r>
    <m/>
    <m/>
    <x v="1"/>
    <s v="51911437001003"/>
    <n v="-70.05"/>
    <n v="1202"/>
    <n v="1"/>
    <n v="1"/>
  </r>
  <r>
    <m/>
    <m/>
    <x v="1"/>
    <s v="51976041001003"/>
    <n v="-56.47"/>
    <n v="969"/>
    <n v="1"/>
    <n v="1"/>
  </r>
  <r>
    <m/>
    <m/>
    <x v="1"/>
    <s v="51992068001001"/>
    <n v="-9.91"/>
    <n v="170"/>
    <n v="1"/>
    <n v="1"/>
  </r>
  <r>
    <m/>
    <m/>
    <x v="1"/>
    <s v="52042325001004"/>
    <n v="-100.77"/>
    <n v="1729"/>
    <n v="1"/>
    <n v="1"/>
  </r>
  <r>
    <m/>
    <m/>
    <x v="1"/>
    <s v="52175886001002"/>
    <n v="-66.38"/>
    <n v="1139"/>
    <n v="1"/>
    <n v="1"/>
  </r>
  <r>
    <m/>
    <m/>
    <x v="1"/>
    <s v="52236917004003"/>
    <n v="-88.94"/>
    <n v="1526"/>
    <n v="1"/>
    <n v="1"/>
  </r>
  <r>
    <m/>
    <m/>
    <x v="1"/>
    <s v="52259109001002"/>
    <n v="-74.13"/>
    <n v="1272"/>
    <n v="1"/>
    <n v="1"/>
  </r>
  <r>
    <m/>
    <m/>
    <x v="1"/>
    <s v="52306367002003"/>
    <n v="-106.77"/>
    <n v="1832"/>
    <n v="1"/>
    <n v="1"/>
  </r>
  <r>
    <m/>
    <m/>
    <x v="1"/>
    <s v="52383903001008"/>
    <n v="-77.8"/>
    <n v="1335"/>
    <n v="1"/>
    <n v="1"/>
  </r>
  <r>
    <m/>
    <m/>
    <x v="1"/>
    <s v="52419352004001"/>
    <n v="-24.77"/>
    <n v="425"/>
    <n v="1"/>
    <n v="1"/>
  </r>
  <r>
    <m/>
    <m/>
    <x v="1"/>
    <s v="52499165001001"/>
    <n v="-23.84"/>
    <n v="409"/>
    <n v="1"/>
    <n v="1"/>
  </r>
  <r>
    <m/>
    <m/>
    <x v="1"/>
    <s v="52507041001001"/>
    <n v="-35.840000000000003"/>
    <n v="615"/>
    <n v="1"/>
    <n v="1"/>
  </r>
  <r>
    <m/>
    <m/>
    <x v="1"/>
    <s v="52557185001003"/>
    <n v="-29.14"/>
    <n v="500"/>
    <n v="1"/>
    <n v="1"/>
  </r>
  <r>
    <m/>
    <m/>
    <x v="1"/>
    <s v="52742616001001"/>
    <n v="-148.79"/>
    <n v="2553"/>
    <n v="1"/>
    <n v="1"/>
  </r>
  <r>
    <m/>
    <m/>
    <x v="1"/>
    <s v="52767326001001"/>
    <n v="-13.58"/>
    <n v="233"/>
    <n v="1"/>
    <n v="1"/>
  </r>
  <r>
    <m/>
    <m/>
    <x v="1"/>
    <s v="52942632001005"/>
    <n v="-33.92"/>
    <n v="582"/>
    <n v="1"/>
    <n v="1"/>
  </r>
  <r>
    <m/>
    <m/>
    <x v="1"/>
    <s v="53040645001004"/>
    <n v="-86.84"/>
    <n v="1490"/>
    <n v="1"/>
    <n v="1"/>
  </r>
  <r>
    <m/>
    <m/>
    <x v="1"/>
    <s v="53059671003001"/>
    <n v="-43.19"/>
    <n v="741"/>
    <n v="1"/>
    <n v="1"/>
  </r>
  <r>
    <m/>
    <m/>
    <x v="1"/>
    <s v="53062226003001"/>
    <n v="-3.96"/>
    <n v="68"/>
    <n v="1"/>
    <n v="1"/>
  </r>
  <r>
    <m/>
    <m/>
    <x v="1"/>
    <s v="53093346001006"/>
    <n v="-52.8"/>
    <n v="906"/>
    <n v="1"/>
    <n v="1"/>
  </r>
  <r>
    <m/>
    <m/>
    <x v="1"/>
    <s v="53096079004003"/>
    <n v="-45.87"/>
    <n v="787"/>
    <n v="1"/>
    <n v="1"/>
  </r>
  <r>
    <m/>
    <m/>
    <x v="1"/>
    <s v="53276260002001"/>
    <n v="-81.59"/>
    <n v="1400"/>
    <n v="1"/>
    <n v="1"/>
  </r>
  <r>
    <m/>
    <m/>
    <x v="1"/>
    <s v="53296048001001"/>
    <n v="-41.09"/>
    <n v="705"/>
    <n v="1"/>
    <n v="1"/>
  </r>
  <r>
    <m/>
    <m/>
    <x v="1"/>
    <s v="53333677003005"/>
    <n v="-51"/>
    <n v="875"/>
    <n v="1"/>
    <n v="1"/>
  </r>
  <r>
    <m/>
    <m/>
    <x v="1"/>
    <s v="53350345002007"/>
    <n v="-23.89"/>
    <n v="410"/>
    <n v="1"/>
    <n v="1"/>
  </r>
  <r>
    <m/>
    <m/>
    <x v="1"/>
    <s v="53355064001008"/>
    <n v="-46.51"/>
    <n v="798"/>
    <n v="1"/>
    <n v="1"/>
  </r>
  <r>
    <m/>
    <m/>
    <x v="1"/>
    <s v="53390379003003"/>
    <n v="-53.27"/>
    <n v="914"/>
    <n v="1"/>
    <n v="1"/>
  </r>
  <r>
    <m/>
    <m/>
    <x v="1"/>
    <s v="53403598003001"/>
    <n v="-47.91"/>
    <n v="822"/>
    <n v="1"/>
    <n v="1"/>
  </r>
  <r>
    <m/>
    <m/>
    <x v="1"/>
    <s v="53512067001011"/>
    <n v="-165.28"/>
    <n v="2836"/>
    <n v="1"/>
    <n v="1"/>
  </r>
  <r>
    <m/>
    <m/>
    <x v="1"/>
    <s v="53586339001001"/>
    <n v="-32.58"/>
    <n v="559"/>
    <n v="1"/>
    <n v="1"/>
  </r>
  <r>
    <m/>
    <m/>
    <x v="1"/>
    <s v="53629812002001"/>
    <n v="-2.74"/>
    <n v="47"/>
    <n v="1"/>
    <n v="1"/>
  </r>
  <r>
    <m/>
    <m/>
    <x v="1"/>
    <s v="53707529001003"/>
    <n v="-36.369999999999997"/>
    <n v="624"/>
    <n v="1"/>
    <n v="1"/>
  </r>
  <r>
    <m/>
    <m/>
    <x v="1"/>
    <s v="53784070001007"/>
    <n v="-16.43"/>
    <n v="282"/>
    <n v="1"/>
    <n v="1"/>
  </r>
  <r>
    <m/>
    <m/>
    <x v="1"/>
    <s v="53812406001002"/>
    <n v="-23.72"/>
    <n v="407"/>
    <n v="1"/>
    <n v="1"/>
  </r>
  <r>
    <m/>
    <m/>
    <x v="1"/>
    <s v="53911595001002"/>
    <n v="-44.18"/>
    <n v="758"/>
    <n v="1"/>
    <n v="1"/>
  </r>
  <r>
    <m/>
    <m/>
    <x v="1"/>
    <s v="53923154001002"/>
    <n v="-25.99"/>
    <n v="446"/>
    <n v="1"/>
    <n v="1"/>
  </r>
  <r>
    <m/>
    <m/>
    <x v="1"/>
    <s v="54086288002005"/>
    <n v="-66.5"/>
    <n v="1141"/>
    <n v="1"/>
    <n v="1"/>
  </r>
  <r>
    <m/>
    <m/>
    <x v="1"/>
    <s v="54306064004001"/>
    <n v="-68.48"/>
    <n v="1175"/>
    <n v="1"/>
    <n v="1"/>
  </r>
  <r>
    <m/>
    <m/>
    <x v="1"/>
    <s v="54329736005001"/>
    <n v="-23.72"/>
    <n v="407"/>
    <n v="1"/>
    <n v="1"/>
  </r>
  <r>
    <m/>
    <m/>
    <x v="1"/>
    <s v="54362749001005"/>
    <n v="-36.6"/>
    <n v="628"/>
    <n v="1"/>
    <n v="1"/>
  </r>
  <r>
    <m/>
    <m/>
    <x v="1"/>
    <s v="54408477001001"/>
    <n v="-84.04"/>
    <n v="1442"/>
    <n v="1"/>
    <n v="1"/>
  </r>
  <r>
    <m/>
    <m/>
    <x v="1"/>
    <s v="54419366001001"/>
    <n v="-30.54"/>
    <n v="524"/>
    <n v="1"/>
    <n v="1"/>
  </r>
  <r>
    <m/>
    <m/>
    <x v="1"/>
    <s v="54477932001004"/>
    <n v="-57.52"/>
    <n v="987"/>
    <n v="1"/>
    <n v="1"/>
  </r>
  <r>
    <m/>
    <m/>
    <x v="1"/>
    <s v="54503017001001"/>
    <n v="-8.6300000000000008"/>
    <n v="148"/>
    <n v="1"/>
    <n v="1"/>
  </r>
  <r>
    <m/>
    <m/>
    <x v="1"/>
    <s v="54740330004001"/>
    <n v="-266.27999999999997"/>
    <n v="4569"/>
    <n v="1"/>
    <n v="1"/>
  </r>
  <r>
    <m/>
    <m/>
    <x v="1"/>
    <s v="54754288002005"/>
    <n v="-37.07"/>
    <n v="636"/>
    <n v="1"/>
    <n v="1"/>
  </r>
  <r>
    <m/>
    <m/>
    <x v="1"/>
    <s v="54951169001003"/>
    <n v="-57.58"/>
    <n v="988"/>
    <n v="1"/>
    <n v="1"/>
  </r>
  <r>
    <m/>
    <m/>
    <x v="1"/>
    <s v="54978920001003"/>
    <n v="-55.02"/>
    <n v="944"/>
    <n v="1"/>
    <n v="1"/>
  </r>
  <r>
    <m/>
    <m/>
    <x v="1"/>
    <s v="55059572001001"/>
    <n v="-22.67"/>
    <n v="389"/>
    <n v="1"/>
    <n v="1"/>
  </r>
  <r>
    <m/>
    <m/>
    <x v="1"/>
    <s v="55126085001004"/>
    <n v="-36.43"/>
    <n v="625"/>
    <n v="1"/>
    <n v="1"/>
  </r>
  <r>
    <m/>
    <m/>
    <x v="1"/>
    <s v="55194605001001"/>
    <n v="-52.34"/>
    <n v="898"/>
    <n v="1"/>
    <n v="1"/>
  </r>
  <r>
    <m/>
    <m/>
    <x v="1"/>
    <s v="55356091006001"/>
    <n v="-88.59"/>
    <n v="1520"/>
    <n v="1"/>
    <n v="1"/>
  </r>
  <r>
    <m/>
    <m/>
    <x v="1"/>
    <s v="55394040001001"/>
    <n v="-67.95"/>
    <n v="1166"/>
    <n v="1"/>
    <n v="1"/>
  </r>
  <r>
    <m/>
    <m/>
    <x v="1"/>
    <s v="55476730001005"/>
    <n v="-78.790000000000006"/>
    <n v="1352"/>
    <n v="1"/>
    <n v="1"/>
  </r>
  <r>
    <m/>
    <m/>
    <x v="1"/>
    <s v="55524078001001"/>
    <n v="-41.09"/>
    <n v="705"/>
    <n v="1"/>
    <n v="1"/>
  </r>
  <r>
    <m/>
    <m/>
    <x v="1"/>
    <s v="55536729004001"/>
    <n v="-57.99"/>
    <n v="995"/>
    <n v="1"/>
    <n v="1"/>
  </r>
  <r>
    <m/>
    <m/>
    <x v="1"/>
    <s v="55537391001001"/>
    <n v="-15.15"/>
    <n v="260"/>
    <n v="1"/>
    <n v="1"/>
  </r>
  <r>
    <m/>
    <m/>
    <x v="1"/>
    <s v="55693754001001"/>
    <n v="-103.21"/>
    <n v="1771"/>
    <n v="1"/>
    <n v="1"/>
  </r>
  <r>
    <m/>
    <m/>
    <x v="1"/>
    <s v="55703490001004"/>
    <n v="-35.380000000000003"/>
    <n v="607"/>
    <n v="1"/>
    <n v="1"/>
  </r>
  <r>
    <m/>
    <m/>
    <x v="1"/>
    <s v="55781832001008"/>
    <n v="-75.760000000000005"/>
    <n v="1300"/>
    <n v="1"/>
    <n v="1"/>
  </r>
  <r>
    <m/>
    <m/>
    <x v="1"/>
    <s v="55798886001003"/>
    <n v="-10.37"/>
    <n v="178"/>
    <n v="1"/>
    <n v="1"/>
  </r>
  <r>
    <m/>
    <m/>
    <x v="1"/>
    <s v="55940653002003"/>
    <n v="-139.99"/>
    <n v="2402"/>
    <n v="1"/>
    <n v="1"/>
  </r>
  <r>
    <m/>
    <m/>
    <x v="1"/>
    <s v="56027623001001"/>
    <n v="-99.37"/>
    <n v="1705"/>
    <n v="1"/>
    <n v="1"/>
  </r>
  <r>
    <m/>
    <m/>
    <x v="1"/>
    <s v="56079112001004"/>
    <n v="-113.94"/>
    <n v="1955"/>
    <n v="1"/>
    <n v="1"/>
  </r>
  <r>
    <m/>
    <m/>
    <x v="1"/>
    <s v="56087752002005"/>
    <n v="-37.770000000000003"/>
    <n v="648"/>
    <n v="1"/>
    <n v="1"/>
  </r>
  <r>
    <m/>
    <m/>
    <x v="1"/>
    <s v="56095941001001"/>
    <n v="-115.22"/>
    <n v="1977"/>
    <n v="1"/>
    <n v="1"/>
  </r>
  <r>
    <m/>
    <m/>
    <x v="1"/>
    <s v="56154051001001"/>
    <n v="-28.38"/>
    <n v="487"/>
    <n v="1"/>
    <n v="1"/>
  </r>
  <r>
    <m/>
    <m/>
    <x v="1"/>
    <s v="56180731001001"/>
    <n v="-2.86"/>
    <n v="49"/>
    <n v="1"/>
    <n v="1"/>
  </r>
  <r>
    <m/>
    <m/>
    <x v="1"/>
    <s v="56213971001003"/>
    <n v="-94.76"/>
    <n v="1626"/>
    <n v="1"/>
    <n v="1"/>
  </r>
  <r>
    <m/>
    <m/>
    <x v="1"/>
    <s v="56215841001001"/>
    <n v="-63.53"/>
    <n v="1090"/>
    <n v="1"/>
    <n v="1"/>
  </r>
  <r>
    <m/>
    <m/>
    <x v="1"/>
    <s v="56312823002001"/>
    <n v="-112.77"/>
    <n v="1935"/>
    <n v="1"/>
    <n v="1"/>
  </r>
  <r>
    <m/>
    <m/>
    <x v="1"/>
    <s v="56354960001003"/>
    <n v="-84.68"/>
    <n v="1453"/>
    <n v="1"/>
    <n v="1"/>
  </r>
  <r>
    <m/>
    <m/>
    <x v="1"/>
    <s v="56378536001001"/>
    <n v="-62.83"/>
    <n v="1078"/>
    <n v="1"/>
    <n v="1"/>
  </r>
  <r>
    <m/>
    <m/>
    <x v="1"/>
    <s v="56386327001003"/>
    <n v="-30.25"/>
    <n v="519"/>
    <n v="1"/>
    <n v="1"/>
  </r>
  <r>
    <m/>
    <m/>
    <x v="1"/>
    <s v="56404144001004"/>
    <n v="-20.46"/>
    <n v="351"/>
    <n v="1"/>
    <n v="1"/>
  </r>
  <r>
    <m/>
    <m/>
    <x v="1"/>
    <s v="56511566004001"/>
    <n v="-33.1"/>
    <n v="568"/>
    <n v="1"/>
    <n v="1"/>
  </r>
  <r>
    <m/>
    <m/>
    <x v="1"/>
    <s v="56634209003002"/>
    <n v="-21.21"/>
    <n v="364"/>
    <n v="1"/>
    <n v="1"/>
  </r>
  <r>
    <m/>
    <m/>
    <x v="1"/>
    <s v="56725042001004"/>
    <n v="-39.57"/>
    <n v="679"/>
    <n v="1"/>
    <n v="1"/>
  </r>
  <r>
    <m/>
    <m/>
    <x v="1"/>
    <s v="56805763001004"/>
    <n v="-24.94"/>
    <n v="428"/>
    <n v="1"/>
    <n v="1"/>
  </r>
  <r>
    <m/>
    <m/>
    <x v="1"/>
    <s v="56947002001001"/>
    <n v="-46.45"/>
    <n v="797"/>
    <n v="1"/>
    <n v="1"/>
  </r>
  <r>
    <m/>
    <m/>
    <x v="1"/>
    <s v="57000650001002"/>
    <n v="-50.3"/>
    <n v="863"/>
    <n v="1"/>
    <n v="1"/>
  </r>
  <r>
    <m/>
    <m/>
    <x v="1"/>
    <s v="57011783002003"/>
    <n v="-36.89"/>
    <n v="633"/>
    <n v="1"/>
    <n v="1"/>
  </r>
  <r>
    <m/>
    <m/>
    <x v="1"/>
    <s v="57050305002003"/>
    <n v="-32.93"/>
    <n v="565"/>
    <n v="1"/>
    <n v="1"/>
  </r>
  <r>
    <m/>
    <m/>
    <x v="1"/>
    <s v="57053280001002"/>
    <n v="-109.68"/>
    <n v="1882"/>
    <n v="1"/>
    <n v="1"/>
  </r>
  <r>
    <m/>
    <m/>
    <x v="1"/>
    <s v="57113275001001"/>
    <n v="-6.64"/>
    <n v="114"/>
    <n v="1"/>
    <n v="1"/>
  </r>
  <r>
    <m/>
    <m/>
    <x v="1"/>
    <s v="57157582001007"/>
    <n v="-95.05"/>
    <n v="1631"/>
    <n v="1"/>
    <n v="1"/>
  </r>
  <r>
    <m/>
    <m/>
    <x v="1"/>
    <s v="57409186002001"/>
    <n v="-25.99"/>
    <n v="446"/>
    <n v="1"/>
    <n v="1"/>
  </r>
  <r>
    <m/>
    <m/>
    <x v="1"/>
    <s v="57422963001002"/>
    <n v="-62.42"/>
    <n v="1071"/>
    <n v="1"/>
    <n v="1"/>
  </r>
  <r>
    <m/>
    <m/>
    <x v="1"/>
    <s v="57504758001005"/>
    <n v="-43.65"/>
    <n v="749"/>
    <n v="1"/>
    <n v="1"/>
  </r>
  <r>
    <m/>
    <m/>
    <x v="1"/>
    <s v="57631181001002"/>
    <n v="-38.35"/>
    <n v="658"/>
    <n v="1"/>
    <n v="1"/>
  </r>
  <r>
    <m/>
    <m/>
    <x v="1"/>
    <s v="57674970002001"/>
    <n v="-56.42"/>
    <n v="968"/>
    <n v="1"/>
    <n v="1"/>
  </r>
  <r>
    <m/>
    <m/>
    <x v="1"/>
    <s v="57703524001001"/>
    <n v="-25.64"/>
    <n v="440"/>
    <n v="1"/>
    <n v="1"/>
  </r>
  <r>
    <m/>
    <m/>
    <x v="1"/>
    <s v="57785781001002"/>
    <n v="-73.78"/>
    <n v="1266"/>
    <n v="1"/>
    <n v="1"/>
  </r>
  <r>
    <m/>
    <m/>
    <x v="1"/>
    <s v="57869500001003"/>
    <n v="-16.260000000000002"/>
    <n v="279"/>
    <n v="1"/>
    <n v="1"/>
  </r>
  <r>
    <m/>
    <m/>
    <x v="1"/>
    <s v="58021308001009"/>
    <n v="-38.29"/>
    <n v="657"/>
    <n v="1"/>
    <n v="1"/>
  </r>
  <r>
    <m/>
    <m/>
    <x v="1"/>
    <s v="58070087003005"/>
    <n v="-96.92"/>
    <n v="1663"/>
    <n v="1"/>
    <n v="1"/>
  </r>
  <r>
    <m/>
    <m/>
    <x v="1"/>
    <s v="58214480001001"/>
    <n v="-109.51"/>
    <n v="1879"/>
    <n v="1"/>
    <n v="1"/>
  </r>
  <r>
    <m/>
    <m/>
    <x v="1"/>
    <s v="58280210001001"/>
    <n v="-76.23"/>
    <n v="1308"/>
    <n v="1"/>
    <n v="1"/>
  </r>
  <r>
    <m/>
    <m/>
    <x v="1"/>
    <s v="58426355002001"/>
    <n v="-28.62"/>
    <n v="491"/>
    <n v="1"/>
    <n v="1"/>
  </r>
  <r>
    <m/>
    <m/>
    <x v="1"/>
    <s v="58436858001004"/>
    <n v="-96.1"/>
    <n v="1649"/>
    <n v="1"/>
    <n v="1"/>
  </r>
  <r>
    <m/>
    <m/>
    <x v="1"/>
    <s v="58469818001001"/>
    <n v="-2.91"/>
    <n v="50"/>
    <n v="1"/>
    <n v="1"/>
  </r>
  <r>
    <m/>
    <m/>
    <x v="1"/>
    <s v="58476662001005"/>
    <n v="-59.33"/>
    <n v="1018"/>
    <n v="1"/>
    <n v="1"/>
  </r>
  <r>
    <m/>
    <m/>
    <x v="1"/>
    <s v="58549564001001"/>
    <n v="-41.44"/>
    <n v="711"/>
    <n v="1"/>
    <n v="1"/>
  </r>
  <r>
    <m/>
    <m/>
    <x v="1"/>
    <s v="58573146001001"/>
    <n v="-14.22"/>
    <n v="244"/>
    <n v="1"/>
    <n v="1"/>
  </r>
  <r>
    <m/>
    <m/>
    <x v="1"/>
    <s v="58719680001003"/>
    <n v="-47.03"/>
    <n v="807"/>
    <n v="1"/>
    <n v="1"/>
  </r>
  <r>
    <m/>
    <m/>
    <x v="1"/>
    <s v="58833936002005"/>
    <n v="-2.4500000000000002"/>
    <n v="42"/>
    <n v="1"/>
    <n v="1"/>
  </r>
  <r>
    <m/>
    <m/>
    <x v="1"/>
    <s v="59006289004001"/>
    <n v="-56.12"/>
    <n v="963"/>
    <n v="1"/>
    <n v="1"/>
  </r>
  <r>
    <m/>
    <m/>
    <x v="1"/>
    <s v="59136213001001"/>
    <n v="-65.39"/>
    <n v="1122"/>
    <n v="1"/>
    <n v="1"/>
  </r>
  <r>
    <m/>
    <m/>
    <x v="1"/>
    <s v="59145811001005"/>
    <n v="-2.33"/>
    <n v="40"/>
    <n v="1"/>
    <n v="1"/>
  </r>
  <r>
    <m/>
    <m/>
    <x v="1"/>
    <s v="59243405001001"/>
    <n v="-149.19999999999999"/>
    <n v="2560"/>
    <n v="1"/>
    <n v="1"/>
  </r>
  <r>
    <m/>
    <m/>
    <x v="1"/>
    <s v="59547463005003"/>
    <n v="-105.43"/>
    <n v="1809"/>
    <n v="1"/>
    <n v="1"/>
  </r>
  <r>
    <m/>
    <m/>
    <x v="1"/>
    <s v="59582257003001"/>
    <n v="-34.44"/>
    <n v="591"/>
    <n v="1"/>
    <n v="1"/>
  </r>
  <r>
    <m/>
    <m/>
    <x v="1"/>
    <s v="59767700001001"/>
    <n v="-4.49"/>
    <n v="77"/>
    <n v="1"/>
    <n v="1"/>
  </r>
  <r>
    <m/>
    <m/>
    <x v="1"/>
    <s v="59835939001001"/>
    <n v="-46.68"/>
    <n v="801"/>
    <n v="1"/>
    <n v="1"/>
  </r>
  <r>
    <m/>
    <m/>
    <x v="1"/>
    <s v="59904249001001"/>
    <n v="-93.83"/>
    <n v="1610"/>
    <n v="1"/>
    <n v="1"/>
  </r>
  <r>
    <m/>
    <m/>
    <x v="1"/>
    <s v="60063354001001"/>
    <n v="-119.94"/>
    <n v="2058"/>
    <n v="1"/>
    <n v="1"/>
  </r>
  <r>
    <m/>
    <m/>
    <x v="1"/>
    <s v="60103851002003"/>
    <n v="-33.450000000000003"/>
    <n v="574"/>
    <n v="1"/>
    <n v="1"/>
  </r>
  <r>
    <m/>
    <m/>
    <x v="1"/>
    <s v="60148123001001"/>
    <n v="-85.5"/>
    <n v="1467"/>
    <n v="1"/>
    <n v="1"/>
  </r>
  <r>
    <m/>
    <m/>
    <x v="1"/>
    <s v="60226051001005"/>
    <n v="-15.68"/>
    <n v="269"/>
    <n v="1"/>
    <n v="1"/>
  </r>
  <r>
    <m/>
    <m/>
    <x v="1"/>
    <s v="60262385001001"/>
    <n v="-212.9"/>
    <n v="3653"/>
    <n v="1"/>
    <n v="1"/>
  </r>
  <r>
    <m/>
    <m/>
    <x v="1"/>
    <s v="60270707001007"/>
    <n v="-52.39"/>
    <n v="899"/>
    <n v="1"/>
    <n v="1"/>
  </r>
  <r>
    <m/>
    <m/>
    <x v="1"/>
    <s v="60311235002003"/>
    <n v="-5.89"/>
    <n v="101"/>
    <n v="1"/>
    <n v="1"/>
  </r>
  <r>
    <m/>
    <m/>
    <x v="1"/>
    <s v="60311880001002"/>
    <n v="-136.84"/>
    <n v="2348"/>
    <n v="1"/>
    <n v="1"/>
  </r>
  <r>
    <m/>
    <m/>
    <x v="1"/>
    <s v="60323445002004"/>
    <n v="-3.61"/>
    <n v="62"/>
    <n v="1"/>
    <n v="1"/>
  </r>
  <r>
    <m/>
    <m/>
    <x v="1"/>
    <s v="60378444004001"/>
    <n v="-173.85000000000002"/>
    <n v="2983"/>
    <n v="2"/>
    <n v="1"/>
  </r>
  <r>
    <m/>
    <m/>
    <x v="1"/>
    <s v="60469369001004"/>
    <n v="-1.28"/>
    <n v="22"/>
    <n v="1"/>
    <n v="1"/>
  </r>
  <r>
    <m/>
    <m/>
    <x v="1"/>
    <s v="60473262001001"/>
    <n v="-43.07"/>
    <n v="739"/>
    <n v="1"/>
    <n v="1"/>
  </r>
  <r>
    <m/>
    <m/>
    <x v="1"/>
    <s v="60503071001008"/>
    <n v="-59.33"/>
    <n v="1018"/>
    <n v="1"/>
    <n v="1"/>
  </r>
  <r>
    <m/>
    <m/>
    <x v="1"/>
    <s v="60603915001011"/>
    <n v="-89.05"/>
    <n v="1528"/>
    <n v="1"/>
    <n v="1"/>
  </r>
  <r>
    <m/>
    <m/>
    <x v="1"/>
    <s v="60626334001001"/>
    <n v="-17.95"/>
    <n v="308"/>
    <n v="1"/>
    <n v="1"/>
  </r>
  <r>
    <m/>
    <m/>
    <x v="1"/>
    <s v="60661525001001"/>
    <n v="-77.34"/>
    <n v="1327"/>
    <n v="1"/>
    <n v="1"/>
  </r>
  <r>
    <m/>
    <m/>
    <x v="1"/>
    <s v="60925111001003"/>
    <n v="-75.36"/>
    <n v="1293"/>
    <n v="1"/>
    <n v="1"/>
  </r>
  <r>
    <m/>
    <m/>
    <x v="1"/>
    <s v="60933719008001"/>
    <n v="-141.33000000000001"/>
    <n v="2425"/>
    <n v="1"/>
    <n v="1"/>
  </r>
  <r>
    <m/>
    <m/>
    <x v="1"/>
    <s v="60942818001007"/>
    <n v="-73.02"/>
    <n v="1253"/>
    <n v="1"/>
    <n v="1"/>
  </r>
  <r>
    <m/>
    <m/>
    <x v="1"/>
    <s v="60950439001011"/>
    <n v="-138.59"/>
    <n v="2378"/>
    <n v="1"/>
    <n v="1"/>
  </r>
  <r>
    <m/>
    <m/>
    <x v="1"/>
    <s v="61063646001001"/>
    <n v="-14.22"/>
    <n v="244"/>
    <n v="1"/>
    <n v="1"/>
  </r>
  <r>
    <m/>
    <m/>
    <x v="1"/>
    <s v="61096024001009"/>
    <n v="-67.08"/>
    <n v="1151"/>
    <n v="1"/>
    <n v="1"/>
  </r>
  <r>
    <m/>
    <m/>
    <x v="1"/>
    <s v="61201741003001"/>
    <n v="-46.92"/>
    <n v="805"/>
    <n v="1"/>
    <n v="1"/>
  </r>
  <r>
    <m/>
    <m/>
    <x v="1"/>
    <s v="61237473001001"/>
    <n v="-74.48"/>
    <n v="1278"/>
    <n v="1"/>
    <n v="1"/>
  </r>
  <r>
    <m/>
    <m/>
    <x v="1"/>
    <s v="61241854001001"/>
    <n v="-64.87"/>
    <n v="1113"/>
    <n v="1"/>
    <n v="1"/>
  </r>
  <r>
    <m/>
    <m/>
    <x v="1"/>
    <s v="61254120001004"/>
    <n v="-46.62"/>
    <n v="800"/>
    <n v="1"/>
    <n v="1"/>
  </r>
  <r>
    <m/>
    <m/>
    <x v="1"/>
    <s v="61309008001005"/>
    <n v="-33.39"/>
    <n v="573"/>
    <n v="1"/>
    <n v="1"/>
  </r>
  <r>
    <m/>
    <m/>
    <x v="1"/>
    <s v="61446494004008"/>
    <n v="-30.77"/>
    <n v="528"/>
    <n v="1"/>
    <n v="1"/>
  </r>
  <r>
    <m/>
    <m/>
    <x v="1"/>
    <s v="61647293001003"/>
    <n v="-56.12"/>
    <n v="963"/>
    <n v="1"/>
    <n v="1"/>
  </r>
  <r>
    <m/>
    <m/>
    <x v="1"/>
    <s v="61935568001001"/>
    <n v="-5.13"/>
    <n v="88"/>
    <n v="1"/>
    <n v="1"/>
  </r>
  <r>
    <m/>
    <m/>
    <x v="1"/>
    <s v="62062811001010"/>
    <n v="-1.34"/>
    <n v="23"/>
    <n v="1"/>
    <n v="1"/>
  </r>
  <r>
    <m/>
    <m/>
    <x v="1"/>
    <s v="62065609001001"/>
    <n v="-94.88"/>
    <n v="1628"/>
    <n v="1"/>
    <n v="1"/>
  </r>
  <r>
    <m/>
    <m/>
    <x v="1"/>
    <s v="62148084003001"/>
    <n v="-29.26"/>
    <n v="502"/>
    <n v="1"/>
    <n v="1"/>
  </r>
  <r>
    <m/>
    <m/>
    <x v="1"/>
    <s v="62235479001001"/>
    <n v="-30.01"/>
    <n v="515"/>
    <n v="1"/>
    <n v="1"/>
  </r>
  <r>
    <m/>
    <m/>
    <x v="1"/>
    <s v="62296705003003"/>
    <n v="-112.13"/>
    <n v="1924"/>
    <n v="1"/>
    <n v="1"/>
  </r>
  <r>
    <m/>
    <m/>
    <x v="1"/>
    <s v="62360104001003"/>
    <n v="-91.85"/>
    <n v="1576"/>
    <n v="1"/>
    <n v="1"/>
  </r>
  <r>
    <m/>
    <m/>
    <x v="1"/>
    <s v="62483712001004"/>
    <n v="-51.23"/>
    <n v="879"/>
    <n v="1"/>
    <n v="1"/>
  </r>
  <r>
    <m/>
    <m/>
    <x v="1"/>
    <s v="62495514001001"/>
    <n v="-58.98"/>
    <n v="1012"/>
    <n v="1"/>
    <n v="1"/>
  </r>
  <r>
    <m/>
    <m/>
    <x v="1"/>
    <s v="62610781001004"/>
    <n v="-68.25"/>
    <n v="1171"/>
    <n v="1"/>
    <n v="1"/>
  </r>
  <r>
    <m/>
    <m/>
    <x v="1"/>
    <s v="62615155002001"/>
    <n v="-29.9"/>
    <n v="513"/>
    <n v="1"/>
    <n v="1"/>
  </r>
  <r>
    <m/>
    <m/>
    <x v="1"/>
    <s v="62620561001002"/>
    <n v="-60.38"/>
    <n v="1036"/>
    <n v="1"/>
    <n v="1"/>
  </r>
  <r>
    <m/>
    <m/>
    <x v="1"/>
    <s v="62682462001001"/>
    <n v="-193.26"/>
    <n v="3316"/>
    <n v="1"/>
    <n v="1"/>
  </r>
  <r>
    <m/>
    <m/>
    <x v="1"/>
    <s v="62712929001001"/>
    <n v="-20.34"/>
    <n v="349"/>
    <n v="1"/>
    <n v="1"/>
  </r>
  <r>
    <m/>
    <m/>
    <x v="1"/>
    <s v="62746326001001"/>
    <n v="-33.51"/>
    <n v="575"/>
    <n v="1"/>
    <n v="1"/>
  </r>
  <r>
    <m/>
    <m/>
    <x v="1"/>
    <s v="62780064001001"/>
    <n v="-71.040000000000006"/>
    <n v="1219"/>
    <n v="1"/>
    <n v="1"/>
  </r>
  <r>
    <m/>
    <m/>
    <x v="1"/>
    <s v="62820845001004"/>
    <n v="-72.44"/>
    <n v="1243"/>
    <n v="1"/>
    <n v="1"/>
  </r>
  <r>
    <m/>
    <m/>
    <x v="1"/>
    <s v="62842326002001"/>
    <n v="-12.41"/>
    <n v="213"/>
    <n v="1"/>
    <n v="1"/>
  </r>
  <r>
    <m/>
    <m/>
    <x v="1"/>
    <s v="62852130001002"/>
    <n v="-2.97"/>
    <n v="51"/>
    <n v="1"/>
    <n v="1"/>
  </r>
  <r>
    <m/>
    <m/>
    <x v="1"/>
    <s v="62855144002003"/>
    <n v="-81.13"/>
    <n v="1392"/>
    <n v="1"/>
    <n v="1"/>
  </r>
  <r>
    <m/>
    <m/>
    <x v="1"/>
    <s v="63178902001002"/>
    <n v="-34.97"/>
    <n v="600"/>
    <n v="1"/>
    <n v="1"/>
  </r>
  <r>
    <m/>
    <m/>
    <x v="1"/>
    <s v="63202392001004"/>
    <n v="-11.36"/>
    <n v="195"/>
    <n v="1"/>
    <n v="1"/>
  </r>
  <r>
    <m/>
    <m/>
    <x v="1"/>
    <s v="63254923002001"/>
    <n v="-9.73"/>
    <n v="167"/>
    <n v="1"/>
    <n v="1"/>
  </r>
  <r>
    <m/>
    <m/>
    <x v="1"/>
    <s v="63257498001003"/>
    <n v="-97.91"/>
    <n v="1680"/>
    <n v="1"/>
    <n v="1"/>
  </r>
  <r>
    <m/>
    <m/>
    <x v="1"/>
    <s v="63278864002003"/>
    <n v="-80.48"/>
    <n v="1381"/>
    <n v="1"/>
    <n v="1"/>
  </r>
  <r>
    <m/>
    <m/>
    <x v="1"/>
    <s v="63369349002003"/>
    <n v="-27.8"/>
    <n v="477"/>
    <n v="1"/>
    <n v="1"/>
  </r>
  <r>
    <m/>
    <m/>
    <x v="1"/>
    <s v="63473902002001"/>
    <n v="-83.69"/>
    <n v="1436"/>
    <n v="1"/>
    <n v="1"/>
  </r>
  <r>
    <m/>
    <m/>
    <x v="1"/>
    <s v="63843169001005"/>
    <n v="-102.75"/>
    <n v="1763"/>
    <n v="1"/>
    <n v="1"/>
  </r>
  <r>
    <m/>
    <m/>
    <x v="1"/>
    <s v="63847291001002"/>
    <n v="-78.5"/>
    <n v="1347"/>
    <n v="1"/>
    <n v="1"/>
  </r>
  <r>
    <m/>
    <m/>
    <x v="1"/>
    <s v="64092233001001"/>
    <n v="-93.25"/>
    <n v="1600"/>
    <n v="1"/>
    <n v="1"/>
  </r>
  <r>
    <m/>
    <m/>
    <x v="1"/>
    <s v="64277366004001"/>
    <n v="-80.08"/>
    <n v="1374"/>
    <n v="1"/>
    <n v="1"/>
  </r>
  <r>
    <m/>
    <m/>
    <x v="1"/>
    <s v="64306926001001"/>
    <n v="-171.23"/>
    <n v="2938"/>
    <n v="1"/>
    <n v="1"/>
  </r>
  <r>
    <m/>
    <m/>
    <x v="1"/>
    <s v="64727466001007"/>
    <n v="-106.24"/>
    <n v="1823"/>
    <n v="1"/>
    <n v="1"/>
  </r>
  <r>
    <m/>
    <m/>
    <x v="1"/>
    <s v="64787221002001"/>
    <n v="-55.19"/>
    <n v="947"/>
    <n v="1"/>
    <n v="1"/>
  </r>
  <r>
    <m/>
    <m/>
    <x v="1"/>
    <s v="64947999002003"/>
    <n v="-163.94"/>
    <n v="2813"/>
    <n v="1"/>
    <n v="1"/>
  </r>
  <r>
    <m/>
    <m/>
    <x v="1"/>
    <s v="64960542001013"/>
    <n v="-57.06"/>
    <n v="979"/>
    <n v="1"/>
    <n v="1"/>
  </r>
  <r>
    <m/>
    <m/>
    <x v="1"/>
    <s v="65047530001001"/>
    <n v="-120.12"/>
    <n v="2061"/>
    <n v="1"/>
    <n v="1"/>
  </r>
  <r>
    <m/>
    <m/>
    <x v="1"/>
    <s v="65303114002001"/>
    <n v="-73.14"/>
    <n v="1255"/>
    <n v="1"/>
    <n v="1"/>
  </r>
  <r>
    <m/>
    <m/>
    <x v="1"/>
    <s v="65316144001001"/>
    <n v="-87.89"/>
    <n v="1508"/>
    <n v="1"/>
    <n v="1"/>
  </r>
  <r>
    <m/>
    <m/>
    <x v="1"/>
    <s v="65349971001003"/>
    <n v="-40.909999999999997"/>
    <n v="702"/>
    <n v="1"/>
    <n v="1"/>
  </r>
  <r>
    <m/>
    <m/>
    <x v="1"/>
    <s v="65500085001007"/>
    <n v="-68.010000000000005"/>
    <n v="1167"/>
    <n v="1"/>
    <n v="1"/>
  </r>
  <r>
    <m/>
    <m/>
    <x v="1"/>
    <s v="65501585001005"/>
    <n v="-40.1"/>
    <n v="688"/>
    <n v="1"/>
    <n v="1"/>
  </r>
  <r>
    <m/>
    <m/>
    <x v="1"/>
    <s v="65509711001003"/>
    <n v="-74.42"/>
    <n v="1277"/>
    <n v="1"/>
    <n v="1"/>
  </r>
  <r>
    <m/>
    <m/>
    <x v="1"/>
    <s v="65773806002003"/>
    <n v="-31.06"/>
    <n v="533"/>
    <n v="1"/>
    <n v="1"/>
  </r>
  <r>
    <m/>
    <m/>
    <x v="1"/>
    <s v="66052105002003"/>
    <n v="-145.58000000000001"/>
    <n v="2498"/>
    <n v="1"/>
    <n v="1"/>
  </r>
  <r>
    <m/>
    <m/>
    <x v="1"/>
    <s v="66083905003006"/>
    <n v="-19.059999999999999"/>
    <n v="327"/>
    <n v="1"/>
    <n v="1"/>
  </r>
  <r>
    <m/>
    <m/>
    <x v="1"/>
    <s v="66094656001008"/>
    <n v="-103.97"/>
    <n v="1784"/>
    <n v="1"/>
    <n v="1"/>
  </r>
  <r>
    <m/>
    <m/>
    <x v="1"/>
    <s v="66113464003004"/>
    <n v="-13.7"/>
    <n v="235"/>
    <n v="1"/>
    <n v="1"/>
  </r>
  <r>
    <m/>
    <m/>
    <x v="1"/>
    <s v="66166298003001"/>
    <n v="-124.54"/>
    <n v="2137"/>
    <n v="1"/>
    <n v="1"/>
  </r>
  <r>
    <m/>
    <m/>
    <x v="1"/>
    <s v="66310272001003"/>
    <n v="-107.18"/>
    <n v="1839"/>
    <n v="1"/>
    <n v="1"/>
  </r>
  <r>
    <m/>
    <m/>
    <x v="1"/>
    <s v="66322585001001"/>
    <n v="-42.31"/>
    <n v="726"/>
    <n v="1"/>
    <n v="1"/>
  </r>
  <r>
    <m/>
    <m/>
    <x v="1"/>
    <s v="66358624001009"/>
    <n v="-8.86"/>
    <n v="152"/>
    <n v="1"/>
    <n v="1"/>
  </r>
  <r>
    <m/>
    <m/>
    <x v="1"/>
    <s v="66382381001001"/>
    <n v="-64.52"/>
    <n v="1107"/>
    <n v="1"/>
    <n v="1"/>
  </r>
  <r>
    <m/>
    <m/>
    <x v="1"/>
    <s v="66421133001001"/>
    <n v="-52.98"/>
    <n v="909"/>
    <n v="1"/>
    <n v="1"/>
  </r>
  <r>
    <m/>
    <m/>
    <x v="1"/>
    <s v="66438713001009"/>
    <n v="-54.26"/>
    <n v="931"/>
    <n v="1"/>
    <n v="1"/>
  </r>
  <r>
    <m/>
    <m/>
    <x v="1"/>
    <s v="66455859001001"/>
    <n v="-58.45"/>
    <n v="1003"/>
    <n v="1"/>
    <n v="1"/>
  </r>
  <r>
    <m/>
    <m/>
    <x v="1"/>
    <s v="66753430001001"/>
    <n v="-99.95"/>
    <n v="1715"/>
    <n v="1"/>
    <n v="1"/>
  </r>
  <r>
    <m/>
    <m/>
    <x v="1"/>
    <s v="66777400001001"/>
    <n v="-33.979999999999997"/>
    <n v="583"/>
    <n v="1"/>
    <n v="1"/>
  </r>
  <r>
    <m/>
    <m/>
    <x v="1"/>
    <s v="66793225001004"/>
    <n v="-1.28"/>
    <n v="22"/>
    <n v="1"/>
    <n v="1"/>
  </r>
  <r>
    <m/>
    <m/>
    <x v="1"/>
    <s v="66795559006001"/>
    <n v="-51.99"/>
    <n v="892"/>
    <n v="1"/>
    <n v="1"/>
  </r>
  <r>
    <m/>
    <m/>
    <x v="1"/>
    <s v="66842259001003"/>
    <n v="-98.84"/>
    <n v="1696"/>
    <n v="1"/>
    <n v="1"/>
  </r>
  <r>
    <m/>
    <m/>
    <x v="1"/>
    <s v="67052660001005"/>
    <n v="-89.58"/>
    <n v="1537"/>
    <n v="1"/>
    <n v="1"/>
  </r>
  <r>
    <m/>
    <m/>
    <x v="1"/>
    <s v="67083125001001"/>
    <n v="-71.680000000000007"/>
    <n v="1230"/>
    <n v="1"/>
    <n v="1"/>
  </r>
  <r>
    <m/>
    <m/>
    <x v="1"/>
    <s v="67318625001003"/>
    <n v="-6.88"/>
    <n v="118"/>
    <n v="1"/>
    <n v="1"/>
  </r>
  <r>
    <m/>
    <m/>
    <x v="1"/>
    <s v="67456537001003"/>
    <n v="-17.02"/>
    <n v="292"/>
    <n v="1"/>
    <n v="1"/>
  </r>
  <r>
    <m/>
    <m/>
    <x v="1"/>
    <s v="67504661003001"/>
    <n v="-5.3"/>
    <n v="91"/>
    <n v="1"/>
    <n v="1"/>
  </r>
  <r>
    <m/>
    <m/>
    <x v="1"/>
    <s v="67552852001001"/>
    <n v="-59.68"/>
    <n v="1024"/>
    <n v="1"/>
    <n v="1"/>
  </r>
  <r>
    <m/>
    <m/>
    <x v="1"/>
    <s v="67722017001004"/>
    <n v="-55.54"/>
    <n v="953"/>
    <n v="1"/>
    <n v="1"/>
  </r>
  <r>
    <m/>
    <m/>
    <x v="1"/>
    <s v="67774002001001"/>
    <n v="-18.420000000000002"/>
    <n v="316"/>
    <n v="1"/>
    <n v="1"/>
  </r>
  <r>
    <m/>
    <m/>
    <x v="1"/>
    <s v="67844298001011"/>
    <n v="-23.89"/>
    <n v="410"/>
    <n v="1"/>
    <n v="1"/>
  </r>
  <r>
    <m/>
    <m/>
    <x v="1"/>
    <s v="67994603001007"/>
    <n v="-118.08"/>
    <n v="2026"/>
    <n v="1"/>
    <n v="1"/>
  </r>
  <r>
    <m/>
    <m/>
    <x v="1"/>
    <s v="68039419001001"/>
    <n v="-66.09"/>
    <n v="1134"/>
    <n v="1"/>
    <n v="1"/>
  </r>
  <r>
    <m/>
    <m/>
    <x v="1"/>
    <s v="68441476001005"/>
    <n v="-65.62"/>
    <n v="1126"/>
    <n v="1"/>
    <n v="1"/>
  </r>
  <r>
    <m/>
    <m/>
    <x v="1"/>
    <s v="68468118001001"/>
    <n v="-53.27"/>
    <n v="914"/>
    <n v="1"/>
    <n v="1"/>
  </r>
  <r>
    <m/>
    <m/>
    <x v="1"/>
    <s v="68497807001010"/>
    <n v="-32.520000000000003"/>
    <n v="558"/>
    <n v="1"/>
    <n v="1"/>
  </r>
  <r>
    <m/>
    <m/>
    <x v="1"/>
    <s v="68520131001002"/>
    <n v="-29.72"/>
    <n v="510"/>
    <n v="1"/>
    <n v="1"/>
  </r>
  <r>
    <m/>
    <m/>
    <x v="1"/>
    <s v="68540315001002"/>
    <n v="-84.21"/>
    <n v="1445"/>
    <n v="1"/>
    <n v="1"/>
  </r>
  <r>
    <m/>
    <m/>
    <x v="1"/>
    <s v="68561006001001"/>
    <n v="-90.98"/>
    <n v="1561"/>
    <n v="1"/>
    <n v="1"/>
  </r>
  <r>
    <m/>
    <m/>
    <x v="1"/>
    <s v="68616474001006"/>
    <n v="-64.17"/>
    <n v="1101"/>
    <n v="1"/>
    <n v="1"/>
  </r>
  <r>
    <m/>
    <m/>
    <x v="1"/>
    <s v="68732877001001"/>
    <n v="-37.18"/>
    <n v="638"/>
    <n v="1"/>
    <n v="1"/>
  </r>
  <r>
    <m/>
    <m/>
    <x v="1"/>
    <s v="68747880001001"/>
    <n v="-86.2"/>
    <n v="1479"/>
    <n v="1"/>
    <n v="1"/>
  </r>
  <r>
    <m/>
    <m/>
    <x v="1"/>
    <s v="68769952001001"/>
    <n v="-27.28"/>
    <n v="468"/>
    <n v="1"/>
    <n v="1"/>
  </r>
  <r>
    <m/>
    <m/>
    <x v="1"/>
    <s v="68803965001003"/>
    <n v="-69.290000000000006"/>
    <n v="1189"/>
    <n v="1"/>
    <n v="1"/>
  </r>
  <r>
    <m/>
    <m/>
    <x v="1"/>
    <s v="68928083001002"/>
    <n v="-141.74"/>
    <n v="2432"/>
    <n v="1"/>
    <n v="1"/>
  </r>
  <r>
    <m/>
    <m/>
    <x v="1"/>
    <s v="68940427001001"/>
    <n v="-51.75"/>
    <n v="888"/>
    <n v="1"/>
    <n v="1"/>
  </r>
  <r>
    <m/>
    <m/>
    <x v="1"/>
    <s v="69106756001007"/>
    <n v="-106.48"/>
    <n v="1827"/>
    <n v="1"/>
    <n v="1"/>
  </r>
  <r>
    <m/>
    <m/>
    <x v="1"/>
    <s v="69182870001007"/>
    <n v="-97.44"/>
    <n v="1672"/>
    <n v="1"/>
    <n v="1"/>
  </r>
  <r>
    <m/>
    <m/>
    <x v="1"/>
    <s v="69227176002002"/>
    <n v="-38.409999999999997"/>
    <n v="659"/>
    <n v="1"/>
    <n v="1"/>
  </r>
  <r>
    <m/>
    <m/>
    <x v="1"/>
    <s v="69358446001002"/>
    <n v="-54.03"/>
    <n v="927"/>
    <n v="1"/>
    <n v="1"/>
  </r>
  <r>
    <m/>
    <m/>
    <x v="1"/>
    <s v="69359447001001"/>
    <n v="-33.340000000000003"/>
    <n v="572"/>
    <n v="1"/>
    <n v="1"/>
  </r>
  <r>
    <m/>
    <m/>
    <x v="1"/>
    <s v="69425844001001"/>
    <n v="-1.63"/>
    <n v="28"/>
    <n v="1"/>
    <n v="1"/>
  </r>
  <r>
    <m/>
    <m/>
    <x v="1"/>
    <s v="69499962002001"/>
    <n v="-71.86"/>
    <n v="1233"/>
    <n v="1"/>
    <n v="1"/>
  </r>
  <r>
    <m/>
    <m/>
    <x v="1"/>
    <s v="69512047001001"/>
    <n v="-63.12"/>
    <n v="1083"/>
    <n v="1"/>
    <n v="1"/>
  </r>
  <r>
    <m/>
    <m/>
    <x v="1"/>
    <s v="69552058001004"/>
    <n v="-0.47"/>
    <n v="8"/>
    <n v="1"/>
    <n v="1"/>
  </r>
  <r>
    <m/>
    <m/>
    <x v="1"/>
    <s v="69552955001005"/>
    <n v="-59.62"/>
    <n v="1023"/>
    <n v="1"/>
    <n v="1"/>
  </r>
  <r>
    <m/>
    <m/>
    <x v="1"/>
    <s v="69726976003004"/>
    <n v="-39.28"/>
    <n v="674"/>
    <n v="1"/>
    <n v="1"/>
  </r>
  <r>
    <m/>
    <m/>
    <x v="1"/>
    <s v="69795270001001"/>
    <n v="-50.35"/>
    <n v="864"/>
    <n v="1"/>
    <n v="1"/>
  </r>
  <r>
    <m/>
    <m/>
    <x v="1"/>
    <s v="69860520001002"/>
    <n v="-1.86"/>
    <n v="32"/>
    <n v="1"/>
    <n v="1"/>
  </r>
  <r>
    <m/>
    <m/>
    <x v="1"/>
    <s v="69970331001001"/>
    <n v="-13.93"/>
    <n v="239"/>
    <n v="1"/>
    <n v="1"/>
  </r>
  <r>
    <m/>
    <m/>
    <x v="1"/>
    <s v="69991566001003"/>
    <n v="-94.82"/>
    <n v="1627"/>
    <n v="1"/>
    <n v="1"/>
  </r>
  <r>
    <m/>
    <m/>
    <x v="1"/>
    <s v="70196025004001"/>
    <n v="-54.9"/>
    <n v="942"/>
    <n v="1"/>
    <n v="1"/>
  </r>
  <r>
    <m/>
    <m/>
    <x v="1"/>
    <s v="70376367001003"/>
    <n v="-43.19"/>
    <n v="741"/>
    <n v="1"/>
    <n v="1"/>
  </r>
  <r>
    <m/>
    <m/>
    <x v="1"/>
    <s v="70581364003001"/>
    <n v="-74.77"/>
    <n v="1283"/>
    <n v="1"/>
    <n v="1"/>
  </r>
  <r>
    <m/>
    <m/>
    <x v="1"/>
    <s v="70723544001001"/>
    <n v="-66.209999999999994"/>
    <n v="1136"/>
    <n v="1"/>
    <n v="1"/>
  </r>
  <r>
    <m/>
    <m/>
    <x v="1"/>
    <s v="70804751001005"/>
    <n v="-11.13"/>
    <n v="191"/>
    <n v="1"/>
    <n v="1"/>
  </r>
  <r>
    <m/>
    <m/>
    <x v="1"/>
    <s v="71274320003001"/>
    <n v="-151.35"/>
    <n v="2597"/>
    <n v="1"/>
    <n v="1"/>
  </r>
  <r>
    <m/>
    <m/>
    <x v="1"/>
    <s v="71278625001004"/>
    <n v="-101.52"/>
    <n v="1742"/>
    <n v="1"/>
    <n v="1"/>
  </r>
  <r>
    <m/>
    <m/>
    <x v="1"/>
    <s v="71391581006001"/>
    <n v="-89.52"/>
    <n v="1536"/>
    <n v="1"/>
    <n v="1"/>
  </r>
  <r>
    <m/>
    <m/>
    <x v="1"/>
    <s v="71499386001002"/>
    <n v="-65.040000000000006"/>
    <n v="1116"/>
    <n v="1"/>
    <n v="1"/>
  </r>
  <r>
    <m/>
    <m/>
    <x v="1"/>
    <s v="71502529002001"/>
    <n v="-9.0299999999999994"/>
    <n v="155"/>
    <n v="1"/>
    <n v="1"/>
  </r>
  <r>
    <m/>
    <m/>
    <x v="1"/>
    <s v="71669535001005"/>
    <n v="-46.22"/>
    <n v="793"/>
    <n v="1"/>
    <n v="1"/>
  </r>
  <r>
    <m/>
    <m/>
    <x v="1"/>
    <s v="71769014004002"/>
    <n v="-91.91"/>
    <n v="1577"/>
    <n v="1"/>
    <n v="1"/>
  </r>
  <r>
    <m/>
    <m/>
    <x v="1"/>
    <s v="71796224001001"/>
    <n v="-49.25"/>
    <n v="845"/>
    <n v="1"/>
    <n v="1"/>
  </r>
  <r>
    <m/>
    <m/>
    <x v="1"/>
    <s v="71997040001001"/>
    <n v="-72.97"/>
    <n v="1252"/>
    <n v="1"/>
    <n v="1"/>
  </r>
  <r>
    <m/>
    <m/>
    <x v="1"/>
    <s v="72146811001001"/>
    <n v="-19.82"/>
    <n v="340"/>
    <n v="1"/>
    <n v="1"/>
  </r>
  <r>
    <m/>
    <m/>
    <x v="1"/>
    <s v="72209762001002"/>
    <n v="-6.29"/>
    <n v="108"/>
    <n v="1"/>
    <n v="1"/>
  </r>
  <r>
    <m/>
    <m/>
    <x v="1"/>
    <s v="72261639001001"/>
    <n v="-150.83000000000001"/>
    <n v="2588"/>
    <n v="1"/>
    <n v="1"/>
  </r>
  <r>
    <m/>
    <m/>
    <x v="1"/>
    <s v="72331837001003"/>
    <n v="-34.04"/>
    <n v="584"/>
    <n v="1"/>
    <n v="1"/>
  </r>
  <r>
    <m/>
    <m/>
    <x v="1"/>
    <s v="72395550003001"/>
    <n v="-121.75"/>
    <n v="2089"/>
    <n v="1"/>
    <n v="1"/>
  </r>
  <r>
    <m/>
    <m/>
    <x v="1"/>
    <s v="72489193001001"/>
    <n v="-72.680000000000007"/>
    <n v="1247"/>
    <n v="1"/>
    <n v="1"/>
  </r>
  <r>
    <m/>
    <m/>
    <x v="1"/>
    <s v="72521223001005"/>
    <n v="-21.91"/>
    <n v="376"/>
    <n v="1"/>
    <n v="1"/>
  </r>
  <r>
    <m/>
    <m/>
    <x v="1"/>
    <s v="72621276001001"/>
    <n v="-33.1"/>
    <n v="568"/>
    <n v="1"/>
    <n v="1"/>
  </r>
  <r>
    <m/>
    <m/>
    <x v="1"/>
    <s v="72648295001001"/>
    <n v="-45.11"/>
    <n v="774"/>
    <n v="1"/>
    <n v="1"/>
  </r>
  <r>
    <m/>
    <m/>
    <x v="1"/>
    <s v="72649617001013"/>
    <n v="-52.92"/>
    <n v="908"/>
    <n v="1"/>
    <n v="1"/>
  </r>
  <r>
    <m/>
    <m/>
    <x v="1"/>
    <s v="72706959001001"/>
    <n v="-37.71"/>
    <n v="647"/>
    <n v="1"/>
    <n v="1"/>
  </r>
  <r>
    <m/>
    <m/>
    <x v="1"/>
    <s v="72814767001001"/>
    <n v="-93.89"/>
    <n v="1611"/>
    <n v="1"/>
    <n v="1"/>
  </r>
  <r>
    <m/>
    <m/>
    <x v="1"/>
    <s v="72998390003001"/>
    <n v="-59.5"/>
    <n v="1021"/>
    <n v="1"/>
    <n v="1"/>
  </r>
  <r>
    <m/>
    <m/>
    <x v="1"/>
    <s v="73047819001006"/>
    <n v="-52.86"/>
    <n v="907"/>
    <n v="1"/>
    <n v="1"/>
  </r>
  <r>
    <m/>
    <m/>
    <x v="1"/>
    <s v="73073983020001"/>
    <n v="-52.28"/>
    <n v="897"/>
    <n v="1"/>
    <n v="1"/>
  </r>
  <r>
    <m/>
    <m/>
    <x v="1"/>
    <s v="73088070001002"/>
    <n v="-26.69"/>
    <n v="458"/>
    <n v="1"/>
    <n v="1"/>
  </r>
  <r>
    <m/>
    <m/>
    <x v="1"/>
    <s v="73099039001001"/>
    <n v="-13.46"/>
    <n v="231"/>
    <n v="1"/>
    <n v="1"/>
  </r>
  <r>
    <m/>
    <m/>
    <x v="1"/>
    <s v="73114048001002"/>
    <n v="-72.44"/>
    <n v="1243"/>
    <n v="1"/>
    <n v="1"/>
  </r>
  <r>
    <m/>
    <m/>
    <x v="1"/>
    <s v="73173555001001"/>
    <n v="-91.67"/>
    <n v="1573"/>
    <n v="1"/>
    <n v="1"/>
  </r>
  <r>
    <m/>
    <m/>
    <x v="1"/>
    <s v="73206885003006"/>
    <n v="-10.61"/>
    <n v="182"/>
    <n v="1"/>
    <n v="1"/>
  </r>
  <r>
    <m/>
    <m/>
    <x v="1"/>
    <s v="73258916001001"/>
    <n v="-91.44"/>
    <n v="1569"/>
    <n v="1"/>
    <n v="1"/>
  </r>
  <r>
    <m/>
    <m/>
    <x v="1"/>
    <s v="73355098003007"/>
    <n v="-80.25"/>
    <n v="1377"/>
    <n v="1"/>
    <n v="1"/>
  </r>
  <r>
    <m/>
    <m/>
    <x v="1"/>
    <s v="73416515001001"/>
    <n v="-37.42"/>
    <n v="642"/>
    <n v="1"/>
    <n v="1"/>
  </r>
  <r>
    <m/>
    <m/>
    <x v="1"/>
    <s v="73558422001001"/>
    <n v="-29.9"/>
    <n v="513"/>
    <n v="1"/>
    <n v="1"/>
  </r>
  <r>
    <m/>
    <m/>
    <x v="1"/>
    <s v="73571632001001"/>
    <n v="-54.03"/>
    <n v="927"/>
    <n v="1"/>
    <n v="1"/>
  </r>
  <r>
    <m/>
    <m/>
    <x v="1"/>
    <s v="73774640001002"/>
    <n v="-68.540000000000006"/>
    <n v="1176"/>
    <n v="1"/>
    <n v="1"/>
  </r>
  <r>
    <m/>
    <m/>
    <x v="1"/>
    <s v="73788624001001"/>
    <n v="-5.07"/>
    <n v="87"/>
    <n v="1"/>
    <n v="1"/>
  </r>
  <r>
    <m/>
    <m/>
    <x v="1"/>
    <s v="73873764003003"/>
    <n v="-6.88"/>
    <n v="118"/>
    <n v="1"/>
    <n v="1"/>
  </r>
  <r>
    <m/>
    <m/>
    <x v="1"/>
    <s v="73935992001002"/>
    <n v="-132.53"/>
    <n v="2274"/>
    <n v="1"/>
    <n v="1"/>
  </r>
  <r>
    <m/>
    <m/>
    <x v="1"/>
    <s v="74022126002001"/>
    <n v="-36.020000000000003"/>
    <n v="618"/>
    <n v="1"/>
    <n v="1"/>
  </r>
  <r>
    <m/>
    <m/>
    <x v="1"/>
    <s v="74055933001001"/>
    <n v="-167.03"/>
    <n v="2866"/>
    <n v="1"/>
    <n v="1"/>
  </r>
  <r>
    <m/>
    <m/>
    <x v="1"/>
    <s v="74076340001005"/>
    <n v="-72.38"/>
    <n v="1242"/>
    <n v="1"/>
    <n v="1"/>
  </r>
  <r>
    <m/>
    <m/>
    <x v="1"/>
    <s v="74101362001001"/>
    <n v="-71.45"/>
    <n v="1226"/>
    <n v="1"/>
    <n v="1"/>
  </r>
  <r>
    <m/>
    <m/>
    <x v="1"/>
    <s v="74168786004008"/>
    <n v="-38.93"/>
    <n v="668"/>
    <n v="1"/>
    <n v="1"/>
  </r>
  <r>
    <m/>
    <m/>
    <x v="1"/>
    <s v="74228888001001"/>
    <n v="-24.48"/>
    <n v="420"/>
    <n v="1"/>
    <n v="1"/>
  </r>
  <r>
    <m/>
    <m/>
    <x v="1"/>
    <s v="74229049001001"/>
    <n v="-44.18"/>
    <n v="758"/>
    <n v="1"/>
    <n v="1"/>
  </r>
  <r>
    <m/>
    <m/>
    <x v="1"/>
    <s v="74351356002001"/>
    <n v="-116.73"/>
    <n v="2003"/>
    <n v="1"/>
    <n v="1"/>
  </r>
  <r>
    <m/>
    <m/>
    <x v="1"/>
    <s v="74369035001007"/>
    <n v="-56.07"/>
    <n v="962"/>
    <n v="1"/>
    <n v="1"/>
  </r>
  <r>
    <m/>
    <m/>
    <x v="1"/>
    <s v="74380477001003"/>
    <n v="-39.75"/>
    <n v="682"/>
    <n v="1"/>
    <n v="1"/>
  </r>
  <r>
    <m/>
    <m/>
    <x v="1"/>
    <s v="74386329001002"/>
    <n v="-28.15"/>
    <n v="483"/>
    <n v="1"/>
    <n v="1"/>
  </r>
  <r>
    <m/>
    <m/>
    <x v="1"/>
    <s v="74440719001001"/>
    <n v="-33.450000000000003"/>
    <n v="574"/>
    <n v="1"/>
    <n v="1"/>
  </r>
  <r>
    <m/>
    <m/>
    <x v="1"/>
    <s v="74467874001005"/>
    <n v="-24.94"/>
    <n v="428"/>
    <n v="1"/>
    <n v="1"/>
  </r>
  <r>
    <m/>
    <m/>
    <x v="1"/>
    <s v="74475975001005"/>
    <n v="-22.32"/>
    <n v="383"/>
    <n v="1"/>
    <n v="1"/>
  </r>
  <r>
    <m/>
    <m/>
    <x v="1"/>
    <s v="74529868001012"/>
    <n v="-91.38"/>
    <n v="1568"/>
    <n v="1"/>
    <n v="1"/>
  </r>
  <r>
    <m/>
    <m/>
    <x v="1"/>
    <s v="74613378001005"/>
    <n v="-35.729999999999997"/>
    <n v="613"/>
    <n v="1"/>
    <n v="1"/>
  </r>
  <r>
    <m/>
    <m/>
    <x v="1"/>
    <s v="74773751003001"/>
    <n v="-69.989999999999995"/>
    <n v="1201"/>
    <n v="1"/>
    <n v="1"/>
  </r>
  <r>
    <m/>
    <m/>
    <x v="1"/>
    <s v="74802804001001"/>
    <n v="-75.650000000000006"/>
    <n v="1298"/>
    <n v="1"/>
    <n v="1"/>
  </r>
  <r>
    <m/>
    <m/>
    <x v="1"/>
    <s v="74881596001006"/>
    <n v="-10.96"/>
    <n v="188"/>
    <n v="1"/>
    <n v="1"/>
  </r>
  <r>
    <m/>
    <m/>
    <x v="1"/>
    <s v="74897585001003"/>
    <n v="-31.53"/>
    <n v="541"/>
    <n v="1"/>
    <n v="1"/>
  </r>
  <r>
    <m/>
    <m/>
    <x v="1"/>
    <s v="74921730001003"/>
    <n v="-30.83"/>
    <n v="529"/>
    <n v="1"/>
    <n v="1"/>
  </r>
  <r>
    <m/>
    <m/>
    <x v="1"/>
    <s v="74925966001001"/>
    <n v="-66.319999999999993"/>
    <n v="1138"/>
    <n v="1"/>
    <n v="1"/>
  </r>
  <r>
    <m/>
    <m/>
    <x v="1"/>
    <s v="74965108005005"/>
    <n v="-12.12"/>
    <n v="208"/>
    <n v="1"/>
    <n v="1"/>
  </r>
  <r>
    <m/>
    <m/>
    <x v="1"/>
    <s v="74967292001001"/>
    <n v="-21.16"/>
    <n v="363"/>
    <n v="1"/>
    <n v="1"/>
  </r>
  <r>
    <m/>
    <m/>
    <x v="1"/>
    <s v="75053878001002"/>
    <n v="-28.27"/>
    <n v="485"/>
    <n v="1"/>
    <n v="1"/>
  </r>
  <r>
    <m/>
    <m/>
    <x v="1"/>
    <s v="75076089001006"/>
    <n v="-40.909999999999997"/>
    <n v="702"/>
    <n v="1"/>
    <n v="1"/>
  </r>
  <r>
    <m/>
    <m/>
    <x v="1"/>
    <s v="75083574001001"/>
    <n v="-39.159999999999997"/>
    <n v="672"/>
    <n v="1"/>
    <n v="1"/>
  </r>
  <r>
    <m/>
    <m/>
    <x v="1"/>
    <s v="75200298001001"/>
    <n v="-77.569999999999993"/>
    <n v="1331"/>
    <n v="1"/>
    <n v="1"/>
  </r>
  <r>
    <m/>
    <m/>
    <x v="1"/>
    <s v="75321301001004"/>
    <n v="-60.49"/>
    <n v="1038"/>
    <n v="1"/>
    <n v="1"/>
  </r>
  <r>
    <m/>
    <m/>
    <x v="1"/>
    <s v="75470988001001"/>
    <n v="-28.79"/>
    <n v="494"/>
    <n v="1"/>
    <n v="1"/>
  </r>
  <r>
    <m/>
    <m/>
    <x v="1"/>
    <s v="75518241003003"/>
    <n v="-6.64"/>
    <n v="114"/>
    <n v="1"/>
    <n v="1"/>
  </r>
  <r>
    <m/>
    <m/>
    <x v="1"/>
    <s v="75599421001001"/>
    <n v="-54.9"/>
    <n v="942"/>
    <n v="1"/>
    <n v="1"/>
  </r>
  <r>
    <m/>
    <m/>
    <x v="1"/>
    <s v="75764971002001"/>
    <n v="-17.079999999999998"/>
    <n v="293"/>
    <n v="1"/>
    <n v="1"/>
  </r>
  <r>
    <m/>
    <m/>
    <x v="1"/>
    <s v="75854409001001"/>
    <n v="-37.880000000000003"/>
    <n v="650"/>
    <n v="1"/>
    <n v="1"/>
  </r>
  <r>
    <m/>
    <m/>
    <x v="1"/>
    <s v="75878216001003"/>
    <n v="-53.56"/>
    <n v="919"/>
    <n v="1"/>
    <n v="1"/>
  </r>
  <r>
    <m/>
    <m/>
    <x v="1"/>
    <s v="76033198001011"/>
    <n v="-50.7"/>
    <n v="870"/>
    <n v="1"/>
    <n v="1"/>
  </r>
  <r>
    <m/>
    <m/>
    <x v="1"/>
    <s v="76068750001001"/>
    <n v="-29.2"/>
    <n v="501"/>
    <n v="1"/>
    <n v="1"/>
  </r>
  <r>
    <m/>
    <m/>
    <x v="1"/>
    <s v="76090392001001"/>
    <n v="-36.369999999999997"/>
    <n v="624"/>
    <n v="1"/>
    <n v="1"/>
  </r>
  <r>
    <m/>
    <m/>
    <x v="1"/>
    <s v="76140288001007"/>
    <n v="-32.520000000000003"/>
    <n v="558"/>
    <n v="1"/>
    <n v="1"/>
  </r>
  <r>
    <m/>
    <m/>
    <x v="1"/>
    <s v="76156300001003"/>
    <n v="-168.66"/>
    <n v="2894"/>
    <n v="1"/>
    <n v="1"/>
  </r>
  <r>
    <m/>
    <m/>
    <x v="1"/>
    <s v="76165932001003"/>
    <n v="-5.01"/>
    <n v="86"/>
    <n v="1"/>
    <n v="1"/>
  </r>
  <r>
    <m/>
    <m/>
    <x v="1"/>
    <s v="76204778001006"/>
    <n v="-28.79"/>
    <n v="494"/>
    <n v="1"/>
    <n v="1"/>
  </r>
  <r>
    <m/>
    <m/>
    <x v="1"/>
    <s v="76214834004001"/>
    <n v="-80.599999999999994"/>
    <n v="1383"/>
    <n v="1"/>
    <n v="1"/>
  </r>
  <r>
    <m/>
    <m/>
    <x v="1"/>
    <s v="76556293001009"/>
    <n v="-11.71"/>
    <n v="201"/>
    <n v="1"/>
    <n v="1"/>
  </r>
  <r>
    <m/>
    <m/>
    <x v="1"/>
    <s v="76557416001001"/>
    <n v="-90.8"/>
    <n v="1558"/>
    <n v="1"/>
    <n v="1"/>
  </r>
  <r>
    <m/>
    <m/>
    <x v="1"/>
    <s v="76563942002004"/>
    <n v="-116.33"/>
    <n v="1996"/>
    <n v="1"/>
    <n v="1"/>
  </r>
  <r>
    <m/>
    <m/>
    <x v="1"/>
    <s v="76629522001015"/>
    <n v="-89.63"/>
    <n v="1538"/>
    <n v="1"/>
    <n v="1"/>
  </r>
  <r>
    <m/>
    <m/>
    <x v="1"/>
    <s v="76645220002001"/>
    <n v="-83.75"/>
    <n v="1437"/>
    <n v="1"/>
    <n v="1"/>
  </r>
  <r>
    <m/>
    <m/>
    <x v="1"/>
    <s v="76662020001001"/>
    <n v="-55.25"/>
    <n v="948"/>
    <n v="1"/>
    <n v="1"/>
  </r>
  <r>
    <m/>
    <m/>
    <x v="1"/>
    <s v="76681576002009"/>
    <n v="-28.03"/>
    <n v="481"/>
    <n v="1"/>
    <n v="1"/>
  </r>
  <r>
    <m/>
    <m/>
    <x v="1"/>
    <s v="76686982001003"/>
    <n v="-39.69"/>
    <n v="681"/>
    <n v="1"/>
    <n v="1"/>
  </r>
  <r>
    <m/>
    <m/>
    <x v="1"/>
    <s v="76757615001002"/>
    <n v="-13.23"/>
    <n v="227"/>
    <n v="1"/>
    <n v="1"/>
  </r>
  <r>
    <m/>
    <m/>
    <x v="1"/>
    <s v="76812372003003"/>
    <n v="-88.99"/>
    <n v="1527"/>
    <n v="1"/>
    <n v="1"/>
  </r>
  <r>
    <m/>
    <m/>
    <x v="1"/>
    <s v="76821093007001"/>
    <n v="-111.37"/>
    <n v="1911"/>
    <n v="1"/>
    <n v="1"/>
  </r>
  <r>
    <m/>
    <m/>
    <x v="1"/>
    <s v="76842746002015"/>
    <n v="-92.2"/>
    <n v="1582"/>
    <n v="1"/>
    <n v="1"/>
  </r>
  <r>
    <m/>
    <m/>
    <x v="1"/>
    <s v="76903196001004"/>
    <n v="-87.71"/>
    <n v="1505"/>
    <n v="1"/>
    <n v="1"/>
  </r>
  <r>
    <m/>
    <m/>
    <x v="1"/>
    <s v="77028105003004"/>
    <n v="-54.08"/>
    <n v="928"/>
    <n v="1"/>
    <n v="1"/>
  </r>
  <r>
    <m/>
    <m/>
    <x v="1"/>
    <s v="77168759001001"/>
    <n v="-75.010000000000005"/>
    <n v="1287"/>
    <n v="1"/>
    <n v="1"/>
  </r>
  <r>
    <m/>
    <m/>
    <x v="1"/>
    <s v="77330718001007"/>
    <n v="-79.73"/>
    <n v="1368"/>
    <n v="1"/>
    <n v="1"/>
  </r>
  <r>
    <m/>
    <m/>
    <x v="1"/>
    <s v="77524629001001"/>
    <n v="-49.42"/>
    <n v="848"/>
    <n v="1"/>
    <n v="1"/>
  </r>
  <r>
    <m/>
    <m/>
    <x v="1"/>
    <s v="77539706002006"/>
    <n v="-4.9000000000000004"/>
    <n v="84"/>
    <n v="1"/>
    <n v="1"/>
  </r>
  <r>
    <m/>
    <m/>
    <x v="1"/>
    <s v="77650352001001"/>
    <n v="-38.17"/>
    <n v="655"/>
    <n v="1"/>
    <n v="1"/>
  </r>
  <r>
    <m/>
    <m/>
    <x v="1"/>
    <s v="77681333001007"/>
    <n v="-59.97"/>
    <n v="1029"/>
    <n v="1"/>
    <n v="1"/>
  </r>
  <r>
    <m/>
    <m/>
    <x v="1"/>
    <s v="77810743001005"/>
    <n v="-62.18"/>
    <n v="1067"/>
    <n v="1"/>
    <n v="1"/>
  </r>
  <r>
    <m/>
    <m/>
    <x v="1"/>
    <s v="77834930001003"/>
    <n v="-47.61"/>
    <n v="817"/>
    <n v="1"/>
    <n v="1"/>
  </r>
  <r>
    <m/>
    <m/>
    <x v="1"/>
    <s v="78092750001001"/>
    <n v="-67.55"/>
    <n v="1159"/>
    <n v="1"/>
    <n v="1"/>
  </r>
  <r>
    <m/>
    <m/>
    <x v="1"/>
    <s v="78231851001001"/>
    <n v="-35.729999999999997"/>
    <n v="613"/>
    <n v="1"/>
    <n v="1"/>
  </r>
  <r>
    <m/>
    <m/>
    <x v="1"/>
    <s v="78378527001001"/>
    <n v="-42.19"/>
    <n v="724"/>
    <n v="1"/>
    <n v="1"/>
  </r>
  <r>
    <m/>
    <m/>
    <x v="1"/>
    <s v="78465175004001"/>
    <n v="-68.540000000000006"/>
    <n v="1176"/>
    <n v="1"/>
    <n v="1"/>
  </r>
  <r>
    <m/>
    <m/>
    <x v="1"/>
    <s v="78487633001001"/>
    <n v="-66.790000000000006"/>
    <n v="1146"/>
    <n v="1"/>
    <n v="1"/>
  </r>
  <r>
    <m/>
    <m/>
    <x v="1"/>
    <s v="78621225002001"/>
    <n v="-99.78"/>
    <n v="1712"/>
    <n v="1"/>
    <n v="1"/>
  </r>
  <r>
    <m/>
    <m/>
    <x v="1"/>
    <s v="78663656001001"/>
    <n v="-19.41"/>
    <n v="333"/>
    <n v="1"/>
    <n v="1"/>
  </r>
  <r>
    <m/>
    <m/>
    <x v="1"/>
    <s v="78695215001003"/>
    <n v="-46.51"/>
    <n v="798"/>
    <n v="1"/>
    <n v="1"/>
  </r>
  <r>
    <m/>
    <m/>
    <x v="1"/>
    <s v="78695278001005"/>
    <n v="-8.0399999999999991"/>
    <n v="138"/>
    <n v="1"/>
    <n v="1"/>
  </r>
  <r>
    <m/>
    <m/>
    <x v="1"/>
    <s v="78941352001001"/>
    <n v="-6.64"/>
    <n v="114"/>
    <n v="1"/>
    <n v="1"/>
  </r>
  <r>
    <m/>
    <m/>
    <x v="1"/>
    <s v="79030418001001"/>
    <n v="-74.540000000000006"/>
    <n v="1279"/>
    <n v="1"/>
    <n v="1"/>
  </r>
  <r>
    <m/>
    <m/>
    <x v="1"/>
    <s v="79032616001001"/>
    <n v="-2.27"/>
    <n v="39"/>
    <n v="1"/>
    <n v="1"/>
  </r>
  <r>
    <m/>
    <m/>
    <x v="1"/>
    <s v="79041940001001"/>
    <n v="-19.7"/>
    <n v="338"/>
    <n v="1"/>
    <n v="1"/>
  </r>
  <r>
    <m/>
    <m/>
    <x v="1"/>
    <s v="79143940001001"/>
    <n v="-18.13"/>
    <n v="311"/>
    <n v="1"/>
    <n v="1"/>
  </r>
  <r>
    <m/>
    <m/>
    <x v="1"/>
    <s v="79205630002009"/>
    <n v="-78.849999999999994"/>
    <n v="1353"/>
    <n v="1"/>
    <n v="1"/>
  </r>
  <r>
    <m/>
    <m/>
    <x v="1"/>
    <s v="79219123001001"/>
    <n v="-45.98"/>
    <n v="789"/>
    <n v="1"/>
    <n v="1"/>
  </r>
  <r>
    <m/>
    <m/>
    <x v="1"/>
    <s v="79229022001003"/>
    <n v="-59.04"/>
    <n v="1013"/>
    <n v="1"/>
    <n v="1"/>
  </r>
  <r>
    <m/>
    <m/>
    <x v="1"/>
    <s v="79474986003003"/>
    <n v="-78.040000000000006"/>
    <n v="1339"/>
    <n v="1"/>
    <n v="1"/>
  </r>
  <r>
    <m/>
    <m/>
    <x v="1"/>
    <s v="79691093001003"/>
    <n v="-88.35"/>
    <n v="1516"/>
    <n v="1"/>
    <n v="1"/>
  </r>
  <r>
    <m/>
    <m/>
    <x v="1"/>
    <s v="79790907001005"/>
    <n v="-57.11"/>
    <n v="980"/>
    <n v="1"/>
    <n v="1"/>
  </r>
  <r>
    <m/>
    <m/>
    <x v="1"/>
    <s v="79804496001003"/>
    <n v="-6.24"/>
    <n v="107"/>
    <n v="1"/>
    <n v="1"/>
  </r>
  <r>
    <m/>
    <m/>
    <x v="1"/>
    <s v="79985097001001"/>
    <n v="-31.12"/>
    <n v="534"/>
    <n v="1"/>
    <n v="1"/>
  </r>
  <r>
    <m/>
    <m/>
    <x v="1"/>
    <s v="80157270001001"/>
    <n v="-44.06"/>
    <n v="756"/>
    <n v="1"/>
    <n v="1"/>
  </r>
  <r>
    <m/>
    <m/>
    <x v="1"/>
    <s v="80214838001001"/>
    <n v="-73.67"/>
    <n v="1264"/>
    <n v="1"/>
    <n v="1"/>
  </r>
  <r>
    <m/>
    <m/>
    <x v="1"/>
    <s v="80220416001005"/>
    <n v="-95.7"/>
    <n v="1642"/>
    <n v="1"/>
    <n v="1"/>
  </r>
  <r>
    <m/>
    <m/>
    <x v="1"/>
    <s v="80461014001001"/>
    <n v="-13"/>
    <n v="223"/>
    <n v="1"/>
    <n v="1"/>
  </r>
  <r>
    <m/>
    <m/>
    <x v="1"/>
    <s v="80534796005001"/>
    <n v="-111.02"/>
    <n v="1905"/>
    <n v="1"/>
    <n v="1"/>
  </r>
  <r>
    <m/>
    <m/>
    <x v="1"/>
    <s v="80635643001001"/>
    <n v="-49.13"/>
    <n v="843"/>
    <n v="1"/>
    <n v="1"/>
  </r>
  <r>
    <m/>
    <m/>
    <x v="1"/>
    <s v="80668896002003"/>
    <n v="-21.16"/>
    <n v="363"/>
    <n v="1"/>
    <n v="1"/>
  </r>
  <r>
    <m/>
    <m/>
    <x v="1"/>
    <s v="80921920002005"/>
    <n v="-98.67"/>
    <n v="1693"/>
    <n v="1"/>
    <n v="1"/>
  </r>
  <r>
    <m/>
    <m/>
    <x v="1"/>
    <s v="80926951003001"/>
    <n v="-27.33"/>
    <n v="469"/>
    <n v="1"/>
    <n v="1"/>
  </r>
  <r>
    <m/>
    <m/>
    <x v="1"/>
    <s v="81005861001001"/>
    <n v="-27.16"/>
    <n v="466"/>
    <n v="1"/>
    <n v="1"/>
  </r>
  <r>
    <m/>
    <m/>
    <x v="1"/>
    <s v="81092601001005"/>
    <n v="-102.92"/>
    <n v="1766"/>
    <n v="1"/>
    <n v="1"/>
  </r>
  <r>
    <m/>
    <m/>
    <x v="1"/>
    <s v="81099232001001"/>
    <n v="-7.34"/>
    <n v="126"/>
    <n v="1"/>
    <n v="1"/>
  </r>
  <r>
    <m/>
    <m/>
    <x v="1"/>
    <s v="81113647002001"/>
    <n v="-55.89"/>
    <n v="959"/>
    <n v="1"/>
    <n v="1"/>
  </r>
  <r>
    <m/>
    <m/>
    <x v="1"/>
    <s v="81118246001009"/>
    <n v="-67.37"/>
    <n v="1156"/>
    <n v="1"/>
    <n v="1"/>
  </r>
  <r>
    <m/>
    <m/>
    <x v="1"/>
    <s v="81197766002001"/>
    <n v="-20.51"/>
    <n v="352"/>
    <n v="1"/>
    <n v="1"/>
  </r>
  <r>
    <m/>
    <m/>
    <x v="1"/>
    <s v="81276857002001"/>
    <n v="-68.19"/>
    <n v="1170"/>
    <n v="1"/>
    <n v="1"/>
  </r>
  <r>
    <m/>
    <m/>
    <x v="1"/>
    <s v="81390168001001"/>
    <n v="-32.229999999999997"/>
    <n v="553"/>
    <n v="1"/>
    <n v="1"/>
  </r>
  <r>
    <m/>
    <m/>
    <x v="1"/>
    <s v="81445174003001"/>
    <n v="-55.77"/>
    <n v="957"/>
    <n v="1"/>
    <n v="1"/>
  </r>
  <r>
    <m/>
    <m/>
    <x v="1"/>
    <s v="81498585001005"/>
    <n v="-20.81"/>
    <n v="357"/>
    <n v="1"/>
    <n v="1"/>
  </r>
  <r>
    <m/>
    <m/>
    <x v="1"/>
    <s v="81645123001001"/>
    <n v="-167.15"/>
    <n v="2868"/>
    <n v="1"/>
    <n v="1"/>
  </r>
  <r>
    <m/>
    <m/>
    <x v="1"/>
    <s v="81725915001001"/>
    <n v="-235.22"/>
    <n v="4036"/>
    <n v="1"/>
    <n v="1"/>
  </r>
  <r>
    <m/>
    <m/>
    <x v="1"/>
    <s v="81762889001004"/>
    <n v="-42.54"/>
    <n v="730"/>
    <n v="1"/>
    <n v="1"/>
  </r>
  <r>
    <m/>
    <m/>
    <x v="1"/>
    <s v="81908653002007"/>
    <n v="-60.73"/>
    <n v="1042"/>
    <n v="1"/>
    <n v="1"/>
  </r>
  <r>
    <m/>
    <m/>
    <x v="1"/>
    <s v="81910607001001"/>
    <n v="-62.71"/>
    <n v="1076"/>
    <n v="1"/>
    <n v="1"/>
  </r>
  <r>
    <m/>
    <m/>
    <x v="1"/>
    <s v="81917999001003"/>
    <n v="-55.42"/>
    <n v="951"/>
    <n v="1"/>
    <n v="1"/>
  </r>
  <r>
    <m/>
    <m/>
    <x v="1"/>
    <s v="81944374001004"/>
    <n v="-64.75"/>
    <n v="1111"/>
    <n v="1"/>
    <n v="1"/>
  </r>
  <r>
    <m/>
    <m/>
    <x v="1"/>
    <s v="81956135001004"/>
    <n v="-64.63"/>
    <n v="1109"/>
    <n v="1"/>
    <n v="1"/>
  </r>
  <r>
    <m/>
    <m/>
    <x v="1"/>
    <s v="82153211002003"/>
    <n v="-66.260000000000005"/>
    <n v="1137"/>
    <n v="1"/>
    <n v="1"/>
  </r>
  <r>
    <m/>
    <m/>
    <x v="1"/>
    <s v="82216737013001"/>
    <n v="-101.47"/>
    <n v="1741"/>
    <n v="1"/>
    <n v="1"/>
  </r>
  <r>
    <m/>
    <m/>
    <x v="1"/>
    <s v="82225464001008"/>
    <n v="-98.26"/>
    <n v="1686"/>
    <n v="1"/>
    <n v="1"/>
  </r>
  <r>
    <m/>
    <m/>
    <x v="1"/>
    <s v="82233435001002"/>
    <n v="-34.39"/>
    <n v="590"/>
    <n v="1"/>
    <n v="1"/>
  </r>
  <r>
    <m/>
    <m/>
    <x v="1"/>
    <s v="82239948003003"/>
    <n v="-70.459999999999994"/>
    <n v="1209"/>
    <n v="1"/>
    <n v="1"/>
  </r>
  <r>
    <m/>
    <m/>
    <x v="1"/>
    <s v="82307326003001"/>
    <n v="-77.8"/>
    <n v="1335"/>
    <n v="1"/>
    <n v="1"/>
  </r>
  <r>
    <m/>
    <m/>
    <x v="1"/>
    <s v="82551362001003"/>
    <n v="-26.63"/>
    <n v="457"/>
    <n v="1"/>
    <n v="1"/>
  </r>
  <r>
    <m/>
    <m/>
    <x v="1"/>
    <s v="82713739001005"/>
    <n v="-8.33"/>
    <n v="143"/>
    <n v="1"/>
    <n v="1"/>
  </r>
  <r>
    <m/>
    <m/>
    <x v="1"/>
    <s v="82804369003001"/>
    <n v="-2.91"/>
    <n v="50"/>
    <n v="1"/>
    <n v="1"/>
  </r>
  <r>
    <m/>
    <m/>
    <x v="1"/>
    <s v="82980447003001"/>
    <n v="-28.62"/>
    <n v="491"/>
    <n v="1"/>
    <n v="1"/>
  </r>
  <r>
    <m/>
    <m/>
    <x v="1"/>
    <s v="83053405001004"/>
    <n v="-3.38"/>
    <n v="58"/>
    <n v="1"/>
    <n v="1"/>
  </r>
  <r>
    <m/>
    <m/>
    <x v="1"/>
    <s v="83061885001003"/>
    <n v="-122.62"/>
    <n v="2104"/>
    <n v="1"/>
    <n v="1"/>
  </r>
  <r>
    <m/>
    <m/>
    <x v="1"/>
    <s v="83216854001001"/>
    <n v="-60.2"/>
    <n v="1033"/>
    <n v="1"/>
    <n v="1"/>
  </r>
  <r>
    <m/>
    <m/>
    <x v="1"/>
    <s v="83341239005003"/>
    <n v="-23.37"/>
    <n v="401"/>
    <n v="1"/>
    <n v="1"/>
  </r>
  <r>
    <m/>
    <m/>
    <x v="1"/>
    <s v="83345985001001"/>
    <n v="-13.81"/>
    <n v="237"/>
    <n v="1"/>
    <n v="1"/>
  </r>
  <r>
    <m/>
    <m/>
    <x v="1"/>
    <s v="83389146001010"/>
    <n v="-132.82"/>
    <n v="2279"/>
    <n v="1"/>
    <n v="1"/>
  </r>
  <r>
    <m/>
    <m/>
    <x v="1"/>
    <s v="83390138001003"/>
    <n v="-16.489999999999998"/>
    <n v="283"/>
    <n v="1"/>
    <n v="1"/>
  </r>
  <r>
    <m/>
    <m/>
    <x v="1"/>
    <s v="83416228001001"/>
    <n v="-280.97000000000003"/>
    <n v="4821"/>
    <n v="1"/>
    <n v="1"/>
  </r>
  <r>
    <m/>
    <m/>
    <x v="1"/>
    <s v="83464000001003"/>
    <n v="-72.680000000000007"/>
    <n v="1247"/>
    <n v="1"/>
    <n v="1"/>
  </r>
  <r>
    <m/>
    <m/>
    <x v="1"/>
    <s v="83489581005001"/>
    <n v="-49.6"/>
    <n v="851"/>
    <n v="1"/>
    <n v="1"/>
  </r>
  <r>
    <m/>
    <m/>
    <x v="1"/>
    <s v="83512091001003"/>
    <n v="-3.03"/>
    <n v="52"/>
    <n v="1"/>
    <n v="1"/>
  </r>
  <r>
    <m/>
    <m/>
    <x v="1"/>
    <s v="83588017002001"/>
    <n v="-54.67"/>
    <n v="938"/>
    <n v="1"/>
    <n v="1"/>
  </r>
  <r>
    <m/>
    <m/>
    <x v="1"/>
    <s v="83743311001001"/>
    <n v="-194.31"/>
    <n v="3334"/>
    <n v="1"/>
    <n v="1"/>
  </r>
  <r>
    <m/>
    <m/>
    <x v="1"/>
    <s v="83801335001005"/>
    <n v="-125.59"/>
    <n v="2155"/>
    <n v="1"/>
    <n v="1"/>
  </r>
  <r>
    <m/>
    <m/>
    <x v="1"/>
    <s v="83824088001011"/>
    <n v="-100.24"/>
    <n v="1720"/>
    <n v="1"/>
    <n v="1"/>
  </r>
  <r>
    <m/>
    <m/>
    <x v="1"/>
    <s v="83855211001006"/>
    <n v="-32.17"/>
    <n v="552"/>
    <n v="1"/>
    <n v="1"/>
  </r>
  <r>
    <m/>
    <m/>
    <x v="1"/>
    <s v="83940883001001"/>
    <n v="-51.99"/>
    <n v="892"/>
    <n v="1"/>
    <n v="1"/>
  </r>
  <r>
    <m/>
    <m/>
    <x v="1"/>
    <s v="84033106001003"/>
    <n v="-1.17"/>
    <n v="20"/>
    <n v="1"/>
    <n v="1"/>
  </r>
  <r>
    <m/>
    <m/>
    <x v="1"/>
    <s v="84108570003004"/>
    <n v="-26.58"/>
    <n v="456"/>
    <n v="1"/>
    <n v="1"/>
  </r>
  <r>
    <m/>
    <m/>
    <x v="1"/>
    <s v="84749539001001"/>
    <n v="-48.08"/>
    <n v="825"/>
    <n v="1"/>
    <n v="1"/>
  </r>
  <r>
    <m/>
    <m/>
    <x v="1"/>
    <s v="84877125001007"/>
    <n v="-0.28999999999999998"/>
    <n v="5"/>
    <n v="1"/>
    <n v="1"/>
  </r>
  <r>
    <m/>
    <m/>
    <x v="1"/>
    <s v="84968906001001"/>
    <n v="-0.35"/>
    <n v="6"/>
    <n v="1"/>
    <n v="1"/>
  </r>
  <r>
    <m/>
    <m/>
    <x v="1"/>
    <s v="85004567002010"/>
    <n v="-51.64"/>
    <n v="886"/>
    <n v="1"/>
    <n v="1"/>
  </r>
  <r>
    <m/>
    <m/>
    <x v="1"/>
    <s v="85036880003001"/>
    <n v="-5.07"/>
    <n v="87"/>
    <n v="1"/>
    <n v="1"/>
  </r>
  <r>
    <m/>
    <m/>
    <x v="1"/>
    <s v="85194732001005"/>
    <n v="-41.5"/>
    <n v="712"/>
    <n v="1"/>
    <n v="1"/>
  </r>
  <r>
    <m/>
    <m/>
    <x v="1"/>
    <s v="85242909001001"/>
    <n v="-36.130000000000003"/>
    <n v="620"/>
    <n v="1"/>
    <n v="1"/>
  </r>
  <r>
    <m/>
    <m/>
    <x v="1"/>
    <s v="85292110001006"/>
    <n v="-63.29"/>
    <n v="1086"/>
    <n v="1"/>
    <n v="1"/>
  </r>
  <r>
    <m/>
    <m/>
    <x v="1"/>
    <s v="85307977001005"/>
    <n v="-90.86"/>
    <n v="1559"/>
    <n v="1"/>
    <n v="1"/>
  </r>
  <r>
    <m/>
    <m/>
    <x v="1"/>
    <s v="85360992003005"/>
    <n v="-99.78"/>
    <n v="1712"/>
    <n v="1"/>
    <n v="1"/>
  </r>
  <r>
    <m/>
    <m/>
    <x v="1"/>
    <s v="85465302001001"/>
    <n v="-20.11"/>
    <n v="345"/>
    <n v="1"/>
    <n v="1"/>
  </r>
  <r>
    <m/>
    <m/>
    <x v="1"/>
    <s v="85553648001002"/>
    <n v="-65.22"/>
    <n v="1119"/>
    <n v="1"/>
    <n v="1"/>
  </r>
  <r>
    <m/>
    <m/>
    <x v="1"/>
    <s v="85645329001001"/>
    <n v="-8.16"/>
    <n v="140"/>
    <n v="1"/>
    <n v="1"/>
  </r>
  <r>
    <m/>
    <m/>
    <x v="1"/>
    <s v="85767727002001"/>
    <n v="-86.55"/>
    <n v="1485"/>
    <n v="1"/>
    <n v="1"/>
  </r>
  <r>
    <m/>
    <m/>
    <x v="1"/>
    <s v="85854485001003"/>
    <n v="-18.53"/>
    <n v="318"/>
    <n v="1"/>
    <n v="1"/>
  </r>
  <r>
    <m/>
    <m/>
    <x v="1"/>
    <s v="85980006001001"/>
    <n v="-52.51"/>
    <n v="901"/>
    <n v="1"/>
    <n v="1"/>
  </r>
  <r>
    <m/>
    <m/>
    <x v="1"/>
    <s v="86028893001003"/>
    <n v="-45.92"/>
    <n v="788"/>
    <n v="1"/>
    <n v="1"/>
  </r>
  <r>
    <m/>
    <m/>
    <x v="1"/>
    <s v="86039754003001"/>
    <n v="-9.2100000000000009"/>
    <n v="158"/>
    <n v="1"/>
    <n v="1"/>
  </r>
  <r>
    <m/>
    <m/>
    <x v="1"/>
    <s v="86131823008001"/>
    <n v="-97.44"/>
    <n v="1672"/>
    <n v="1"/>
    <n v="1"/>
  </r>
  <r>
    <m/>
    <m/>
    <x v="1"/>
    <s v="86390002001003"/>
    <n v="-72.790000000000006"/>
    <n v="1249"/>
    <n v="1"/>
    <n v="1"/>
  </r>
  <r>
    <m/>
    <m/>
    <x v="1"/>
    <s v="86397266002003"/>
    <n v="-37.53"/>
    <n v="644"/>
    <n v="1"/>
    <n v="1"/>
  </r>
  <r>
    <m/>
    <m/>
    <x v="1"/>
    <s v="86415123001005"/>
    <n v="-154.5"/>
    <n v="2651"/>
    <n v="1"/>
    <n v="1"/>
  </r>
  <r>
    <m/>
    <m/>
    <x v="1"/>
    <s v="86437804001005"/>
    <n v="-18.88"/>
    <n v="324"/>
    <n v="1"/>
    <n v="1"/>
  </r>
  <r>
    <m/>
    <m/>
    <x v="1"/>
    <s v="86557042001001"/>
    <n v="-136.26"/>
    <n v="2338"/>
    <n v="1"/>
    <n v="1"/>
  </r>
  <r>
    <m/>
    <m/>
    <x v="1"/>
    <s v="86725672001005"/>
    <n v="-23.95"/>
    <n v="411"/>
    <n v="1"/>
    <n v="1"/>
  </r>
  <r>
    <m/>
    <m/>
    <x v="1"/>
    <s v="86736871001001"/>
    <n v="-68.599999999999994"/>
    <n v="1177"/>
    <n v="1"/>
    <n v="1"/>
  </r>
  <r>
    <m/>
    <m/>
    <x v="1"/>
    <s v="86773366001001"/>
    <n v="-80.78"/>
    <n v="1386"/>
    <n v="1"/>
    <n v="1"/>
  </r>
  <r>
    <m/>
    <m/>
    <x v="1"/>
    <s v="86786094001006"/>
    <n v="-64.98"/>
    <n v="1115"/>
    <n v="1"/>
    <n v="1"/>
  </r>
  <r>
    <m/>
    <m/>
    <x v="1"/>
    <s v="86983732001001"/>
    <n v="-89.46"/>
    <n v="1535"/>
    <n v="1"/>
    <n v="1"/>
  </r>
  <r>
    <m/>
    <m/>
    <x v="1"/>
    <s v="87014077001006"/>
    <n v="-62.07"/>
    <n v="1065"/>
    <n v="1"/>
    <n v="1"/>
  </r>
  <r>
    <m/>
    <m/>
    <x v="1"/>
    <s v="87032981001001"/>
    <n v="-20.11"/>
    <n v="345"/>
    <n v="1"/>
    <n v="1"/>
  </r>
  <r>
    <m/>
    <m/>
    <x v="1"/>
    <s v="87070925001002"/>
    <n v="-57.06"/>
    <n v="979"/>
    <n v="1"/>
    <n v="1"/>
  </r>
  <r>
    <m/>
    <m/>
    <x v="1"/>
    <s v="87361385001003"/>
    <n v="-85.44"/>
    <n v="1466"/>
    <n v="1"/>
    <n v="1"/>
  </r>
  <r>
    <m/>
    <m/>
    <x v="1"/>
    <s v="87380869001001"/>
    <n v="-64.63"/>
    <n v="1109"/>
    <n v="1"/>
    <n v="1"/>
  </r>
  <r>
    <m/>
    <m/>
    <x v="1"/>
    <s v="87418750001001"/>
    <n v="-109.16"/>
    <n v="1873"/>
    <n v="1"/>
    <n v="1"/>
  </r>
  <r>
    <m/>
    <m/>
    <x v="1"/>
    <s v="87544588001002"/>
    <n v="-13.35"/>
    <n v="229"/>
    <n v="1"/>
    <n v="1"/>
  </r>
  <r>
    <m/>
    <m/>
    <x v="1"/>
    <s v="87551644002001"/>
    <n v="-44.99"/>
    <n v="772"/>
    <n v="1"/>
    <n v="1"/>
  </r>
  <r>
    <m/>
    <m/>
    <x v="1"/>
    <s v="87582546001007"/>
    <n v="-59.27"/>
    <n v="1017"/>
    <n v="1"/>
    <n v="1"/>
  </r>
  <r>
    <m/>
    <m/>
    <x v="1"/>
    <s v="87604227002002"/>
    <n v="-62.59"/>
    <n v="1074"/>
    <n v="1"/>
    <n v="1"/>
  </r>
  <r>
    <m/>
    <m/>
    <x v="1"/>
    <s v="87687840001001"/>
    <n v="-0.47"/>
    <n v="8"/>
    <n v="1"/>
    <n v="1"/>
  </r>
  <r>
    <m/>
    <m/>
    <x v="1"/>
    <s v="87791029001001"/>
    <n v="-58.92"/>
    <n v="1011"/>
    <n v="1"/>
    <n v="1"/>
  </r>
  <r>
    <m/>
    <m/>
    <x v="1"/>
    <s v="87810851004003"/>
    <n v="-115.16"/>
    <n v="1976"/>
    <n v="1"/>
    <n v="1"/>
  </r>
  <r>
    <m/>
    <m/>
    <x v="1"/>
    <s v="87815744002003"/>
    <n v="-79.09"/>
    <n v="1357"/>
    <n v="1"/>
    <n v="1"/>
  </r>
  <r>
    <m/>
    <m/>
    <x v="1"/>
    <s v="87834379001011"/>
    <n v="-4.43"/>
    <n v="76"/>
    <n v="1"/>
    <n v="1"/>
  </r>
  <r>
    <m/>
    <m/>
    <x v="1"/>
    <s v="87958644001001"/>
    <n v="-79.09"/>
    <n v="1357"/>
    <n v="1"/>
    <n v="1"/>
  </r>
  <r>
    <m/>
    <m/>
    <x v="1"/>
    <s v="88129242004001"/>
    <n v="-92.02"/>
    <n v="1579"/>
    <n v="1"/>
    <n v="1"/>
  </r>
  <r>
    <m/>
    <m/>
    <x v="1"/>
    <s v="88179789001004"/>
    <n v="-88.82"/>
    <n v="1524"/>
    <n v="1"/>
    <n v="1"/>
  </r>
  <r>
    <m/>
    <m/>
    <x v="1"/>
    <s v="88298279001006"/>
    <n v="-2.5099999999999998"/>
    <n v="43"/>
    <n v="1"/>
    <n v="1"/>
  </r>
  <r>
    <m/>
    <m/>
    <x v="1"/>
    <s v="88386366001006"/>
    <n v="-37.24"/>
    <n v="639"/>
    <n v="1"/>
    <n v="1"/>
  </r>
  <r>
    <m/>
    <m/>
    <x v="1"/>
    <s v="88585974001001"/>
    <n v="-101.7"/>
    <n v="1745"/>
    <n v="1"/>
    <n v="1"/>
  </r>
  <r>
    <m/>
    <m/>
    <x v="1"/>
    <s v="88600032002001"/>
    <n v="-30.25"/>
    <n v="519"/>
    <n v="1"/>
    <n v="1"/>
  </r>
  <r>
    <m/>
    <m/>
    <x v="1"/>
    <s v="88695058001001"/>
    <n v="-78.849999999999994"/>
    <n v="1353"/>
    <n v="1"/>
    <n v="1"/>
  </r>
  <r>
    <m/>
    <m/>
    <x v="1"/>
    <s v="88706120001001"/>
    <n v="-63.06"/>
    <n v="1082"/>
    <n v="1"/>
    <n v="1"/>
  </r>
  <r>
    <m/>
    <m/>
    <x v="1"/>
    <s v="88772979001005"/>
    <n v="-15.68"/>
    <n v="269"/>
    <n v="1"/>
    <n v="1"/>
  </r>
  <r>
    <m/>
    <m/>
    <x v="1"/>
    <s v="88797325001004"/>
    <n v="-32.64"/>
    <n v="560"/>
    <n v="1"/>
    <n v="1"/>
  </r>
  <r>
    <m/>
    <m/>
    <x v="1"/>
    <s v="88822809001005"/>
    <n v="-82.47"/>
    <n v="1415"/>
    <n v="1"/>
    <n v="1"/>
  </r>
  <r>
    <m/>
    <m/>
    <x v="1"/>
    <s v="88854433001001"/>
    <n v="-45.05"/>
    <n v="773"/>
    <n v="1"/>
    <n v="1"/>
  </r>
  <r>
    <m/>
    <m/>
    <x v="1"/>
    <s v="88891691002011"/>
    <n v="-191.16"/>
    <n v="3280"/>
    <n v="1"/>
    <n v="1"/>
  </r>
  <r>
    <m/>
    <m/>
    <x v="1"/>
    <s v="89037466001001"/>
    <n v="-19"/>
    <n v="326"/>
    <n v="1"/>
    <n v="1"/>
  </r>
  <r>
    <m/>
    <m/>
    <x v="1"/>
    <s v="89128925001003"/>
    <n v="-19.93"/>
    <n v="342"/>
    <n v="1"/>
    <n v="1"/>
  </r>
  <r>
    <m/>
    <m/>
    <x v="1"/>
    <s v="89224302002001"/>
    <n v="-84.68"/>
    <n v="1453"/>
    <n v="1"/>
    <n v="1"/>
  </r>
  <r>
    <m/>
    <m/>
    <x v="1"/>
    <s v="89432491001006"/>
    <n v="-87.07"/>
    <n v="1494"/>
    <n v="1"/>
    <n v="1"/>
  </r>
  <r>
    <m/>
    <m/>
    <x v="1"/>
    <s v="89456905001003"/>
    <n v="-2.62"/>
    <n v="45"/>
    <n v="1"/>
    <n v="1"/>
  </r>
  <r>
    <m/>
    <m/>
    <x v="1"/>
    <s v="89597176008001"/>
    <n v="-100.07"/>
    <n v="1717"/>
    <n v="1"/>
    <n v="1"/>
  </r>
  <r>
    <m/>
    <m/>
    <x v="1"/>
    <s v="89636629004001"/>
    <n v="-45.46"/>
    <n v="780"/>
    <n v="1"/>
    <n v="1"/>
  </r>
  <r>
    <m/>
    <m/>
    <x v="1"/>
    <s v="89718018001006"/>
    <n v="-15.44"/>
    <n v="265"/>
    <n v="1"/>
    <n v="1"/>
  </r>
  <r>
    <m/>
    <m/>
    <x v="1"/>
    <s v="89747832004001"/>
    <n v="-73.959999999999994"/>
    <n v="1269"/>
    <n v="1"/>
    <n v="1"/>
  </r>
  <r>
    <m/>
    <m/>
    <x v="1"/>
    <s v="89769832001004"/>
    <n v="-34.68"/>
    <n v="595"/>
    <n v="1"/>
    <n v="1"/>
  </r>
  <r>
    <m/>
    <m/>
    <x v="1"/>
    <s v="89805136001001"/>
    <n v="-172.51"/>
    <n v="2960"/>
    <n v="1"/>
    <n v="1"/>
  </r>
  <r>
    <m/>
    <m/>
    <x v="1"/>
    <s v="89843398001002"/>
    <n v="-65.099999999999994"/>
    <n v="1117"/>
    <n v="1"/>
    <n v="1"/>
  </r>
  <r>
    <m/>
    <m/>
    <x v="1"/>
    <s v="89870121001001"/>
    <n v="-82.87"/>
    <n v="1422"/>
    <n v="1"/>
    <n v="1"/>
  </r>
  <r>
    <m/>
    <m/>
    <x v="1"/>
    <s v="89900422001003"/>
    <n v="-20.28"/>
    <n v="348"/>
    <n v="1"/>
    <n v="1"/>
  </r>
  <r>
    <m/>
    <m/>
    <x v="1"/>
    <s v="89962058001001"/>
    <n v="-85.73"/>
    <n v="1471"/>
    <n v="1"/>
    <n v="1"/>
  </r>
  <r>
    <m/>
    <m/>
    <x v="1"/>
    <s v="89999378009001"/>
    <n v="-33.04"/>
    <n v="567"/>
    <n v="1"/>
    <n v="1"/>
  </r>
  <r>
    <m/>
    <m/>
    <x v="1"/>
    <s v="90115475001003"/>
    <n v="-33.340000000000003"/>
    <n v="572"/>
    <n v="1"/>
    <n v="1"/>
  </r>
  <r>
    <m/>
    <m/>
    <x v="1"/>
    <s v="90223411001018"/>
    <n v="-31.12"/>
    <n v="534"/>
    <n v="1"/>
    <n v="1"/>
  </r>
  <r>
    <m/>
    <m/>
    <x v="1"/>
    <s v="90244033001001"/>
    <n v="-6.47"/>
    <n v="111"/>
    <n v="1"/>
    <n v="1"/>
  </r>
  <r>
    <m/>
    <m/>
    <x v="1"/>
    <s v="90376961001005"/>
    <n v="-44.64"/>
    <n v="766"/>
    <n v="1"/>
    <n v="1"/>
  </r>
  <r>
    <m/>
    <m/>
    <x v="1"/>
    <s v="90381406001001"/>
    <n v="-41.55"/>
    <n v="713"/>
    <n v="1"/>
    <n v="1"/>
  </r>
  <r>
    <m/>
    <m/>
    <x v="1"/>
    <s v="90421000005001"/>
    <n v="-155.49"/>
    <n v="2668"/>
    <n v="1"/>
    <n v="1"/>
  </r>
  <r>
    <m/>
    <m/>
    <x v="1"/>
    <s v="90718040001001"/>
    <n v="-54.08"/>
    <n v="928"/>
    <n v="1"/>
    <n v="1"/>
  </r>
  <r>
    <m/>
    <m/>
    <x v="1"/>
    <s v="90725573001001"/>
    <n v="-48.37"/>
    <n v="830"/>
    <n v="1"/>
    <n v="1"/>
  </r>
  <r>
    <m/>
    <m/>
    <x v="1"/>
    <s v="90729873001001"/>
    <n v="-18.649999999999999"/>
    <n v="320"/>
    <n v="1"/>
    <n v="1"/>
  </r>
  <r>
    <m/>
    <m/>
    <x v="1"/>
    <s v="90740546001001"/>
    <n v="-52.98"/>
    <n v="909"/>
    <n v="1"/>
    <n v="1"/>
  </r>
  <r>
    <m/>
    <m/>
    <x v="1"/>
    <s v="90803817001003"/>
    <n v="-200.83"/>
    <n v="3446"/>
    <n v="1"/>
    <n v="1"/>
  </r>
  <r>
    <m/>
    <m/>
    <x v="1"/>
    <s v="90822240011001"/>
    <n v="-134.04"/>
    <n v="2300"/>
    <n v="1"/>
    <n v="1"/>
  </r>
  <r>
    <m/>
    <m/>
    <x v="1"/>
    <s v="90875802001001"/>
    <n v="-25.35"/>
    <n v="435"/>
    <n v="1"/>
    <n v="1"/>
  </r>
  <r>
    <m/>
    <m/>
    <x v="1"/>
    <s v="91085873002001"/>
    <n v="-5.83"/>
    <n v="100"/>
    <n v="1"/>
    <n v="1"/>
  </r>
  <r>
    <m/>
    <m/>
    <x v="1"/>
    <s v="91168263001001"/>
    <n v="-106.59"/>
    <n v="1829"/>
    <n v="1"/>
    <n v="1"/>
  </r>
  <r>
    <m/>
    <m/>
    <x v="1"/>
    <s v="91237440001003"/>
    <n v="-57.46"/>
    <n v="986"/>
    <n v="1"/>
    <n v="1"/>
  </r>
  <r>
    <m/>
    <m/>
    <x v="1"/>
    <s v="91344047001008"/>
    <n v="-41.09"/>
    <n v="705"/>
    <n v="1"/>
    <n v="1"/>
  </r>
  <r>
    <m/>
    <m/>
    <x v="1"/>
    <s v="91441345001005"/>
    <n v="-142.19999999999999"/>
    <n v="2440"/>
    <n v="1"/>
    <n v="1"/>
  </r>
  <r>
    <m/>
    <m/>
    <x v="1"/>
    <s v="91634459001003"/>
    <n v="-67.78"/>
    <n v="1163"/>
    <n v="1"/>
    <n v="1"/>
  </r>
  <r>
    <m/>
    <m/>
    <x v="1"/>
    <s v="91659027002001"/>
    <n v="-95.05"/>
    <n v="1631"/>
    <n v="1"/>
    <n v="1"/>
  </r>
  <r>
    <m/>
    <m/>
    <x v="1"/>
    <s v="91686493001001"/>
    <n v="-40.270000000000003"/>
    <n v="691"/>
    <n v="1"/>
    <n v="1"/>
  </r>
  <r>
    <m/>
    <m/>
    <x v="1"/>
    <s v="91694661001009"/>
    <n v="-33.22"/>
    <n v="570"/>
    <n v="1"/>
    <n v="1"/>
  </r>
  <r>
    <m/>
    <m/>
    <x v="1"/>
    <s v="91750195001001"/>
    <n v="-52.22"/>
    <n v="896"/>
    <n v="1"/>
    <n v="1"/>
  </r>
  <r>
    <m/>
    <m/>
    <x v="1"/>
    <s v="91774675002002"/>
    <n v="-71.39"/>
    <n v="1225"/>
    <n v="1"/>
    <n v="1"/>
  </r>
  <r>
    <m/>
    <m/>
    <x v="1"/>
    <s v="91808671001002"/>
    <n v="-105.55"/>
    <n v="1811"/>
    <n v="1"/>
    <n v="1"/>
  </r>
  <r>
    <m/>
    <m/>
    <x v="1"/>
    <s v="91847159001001"/>
    <n v="-25.58"/>
    <n v="439"/>
    <n v="1"/>
    <n v="1"/>
  </r>
  <r>
    <m/>
    <m/>
    <x v="1"/>
    <s v="91895802001005"/>
    <n v="-24.83"/>
    <n v="426"/>
    <n v="1"/>
    <n v="1"/>
  </r>
  <r>
    <m/>
    <m/>
    <x v="1"/>
    <s v="92041740001001"/>
    <n v="-35.61"/>
    <n v="611"/>
    <n v="1"/>
    <n v="1"/>
  </r>
  <r>
    <m/>
    <m/>
    <x v="1"/>
    <s v="92103491001001"/>
    <n v="-80.83"/>
    <n v="1387"/>
    <n v="1"/>
    <n v="1"/>
  </r>
  <r>
    <m/>
    <m/>
    <x v="1"/>
    <s v="92139692001003"/>
    <n v="-185.97"/>
    <n v="3191"/>
    <n v="1"/>
    <n v="1"/>
  </r>
  <r>
    <m/>
    <m/>
    <x v="1"/>
    <s v="92227325006001"/>
    <n v="-204.33"/>
    <n v="3506"/>
    <n v="1"/>
    <n v="1"/>
  </r>
  <r>
    <m/>
    <m/>
    <x v="1"/>
    <s v="92297397002002"/>
    <n v="-63.12"/>
    <n v="1083"/>
    <n v="1"/>
    <n v="1"/>
  </r>
  <r>
    <m/>
    <m/>
    <x v="1"/>
    <s v="92360208002001"/>
    <n v="-51.75"/>
    <n v="888"/>
    <n v="1"/>
    <n v="1"/>
  </r>
  <r>
    <m/>
    <m/>
    <x v="1"/>
    <s v="92399017001001"/>
    <n v="-41.15"/>
    <n v="706"/>
    <n v="1"/>
    <n v="1"/>
  </r>
  <r>
    <m/>
    <m/>
    <x v="1"/>
    <s v="92474314001001"/>
    <n v="-16.38"/>
    <n v="281"/>
    <n v="1"/>
    <n v="1"/>
  </r>
  <r>
    <m/>
    <m/>
    <x v="1"/>
    <s v="92479423001001"/>
    <n v="-7.69"/>
    <n v="132"/>
    <n v="1"/>
    <n v="1"/>
  </r>
  <r>
    <m/>
    <m/>
    <x v="1"/>
    <s v="92487973001001"/>
    <n v="-39.92"/>
    <n v="685"/>
    <n v="1"/>
    <n v="1"/>
  </r>
  <r>
    <m/>
    <m/>
    <x v="1"/>
    <s v="92612665001005"/>
    <n v="-23.14"/>
    <n v="397"/>
    <n v="1"/>
    <n v="1"/>
  </r>
  <r>
    <m/>
    <m/>
    <x v="1"/>
    <s v="92643112001001"/>
    <n v="-9.09"/>
    <n v="156"/>
    <n v="1"/>
    <n v="1"/>
  </r>
  <r>
    <m/>
    <m/>
    <x v="1"/>
    <s v="92665096001001"/>
    <n v="-91.91"/>
    <n v="1577"/>
    <n v="1"/>
    <n v="1"/>
  </r>
  <r>
    <m/>
    <m/>
    <x v="1"/>
    <s v="92873766001005"/>
    <n v="-56.42"/>
    <n v="968"/>
    <n v="1"/>
    <n v="1"/>
  </r>
  <r>
    <m/>
    <m/>
    <x v="1"/>
    <s v="92962587001001"/>
    <n v="-122.8"/>
    <n v="2107"/>
    <n v="1"/>
    <n v="1"/>
  </r>
  <r>
    <m/>
    <m/>
    <x v="1"/>
    <s v="92973520001003"/>
    <n v="-25.47"/>
    <n v="437"/>
    <n v="1"/>
    <n v="1"/>
  </r>
  <r>
    <m/>
    <m/>
    <x v="1"/>
    <s v="93109578002001"/>
    <n v="-27.74"/>
    <n v="476"/>
    <n v="1"/>
    <n v="1"/>
  </r>
  <r>
    <m/>
    <m/>
    <x v="1"/>
    <s v="93164650004007"/>
    <n v="-51.29"/>
    <n v="880"/>
    <n v="1"/>
    <n v="1"/>
  </r>
  <r>
    <m/>
    <m/>
    <x v="1"/>
    <s v="93304243002003"/>
    <n v="-247.69"/>
    <n v="4250"/>
    <n v="1"/>
    <n v="1"/>
  </r>
  <r>
    <m/>
    <m/>
    <x v="1"/>
    <s v="93368775001001"/>
    <n v="-27.51"/>
    <n v="472"/>
    <n v="1"/>
    <n v="1"/>
  </r>
  <r>
    <m/>
    <m/>
    <x v="1"/>
    <s v="93477594002001"/>
    <n v="-25.88"/>
    <n v="444"/>
    <n v="1"/>
    <n v="1"/>
  </r>
  <r>
    <m/>
    <m/>
    <x v="1"/>
    <s v="93594305001003"/>
    <n v="-5.13"/>
    <n v="88"/>
    <n v="1"/>
    <n v="1"/>
  </r>
  <r>
    <m/>
    <m/>
    <x v="1"/>
    <s v="93626551001002"/>
    <n v="-15.62"/>
    <n v="268"/>
    <n v="1"/>
    <n v="1"/>
  </r>
  <r>
    <m/>
    <m/>
    <x v="1"/>
    <s v="93737043001001"/>
    <n v="-39.51"/>
    <n v="678"/>
    <n v="1"/>
    <n v="1"/>
  </r>
  <r>
    <m/>
    <m/>
    <x v="1"/>
    <s v="93813014002001"/>
    <n v="-180.2"/>
    <n v="3092"/>
    <n v="1"/>
    <n v="1"/>
  </r>
  <r>
    <m/>
    <m/>
    <x v="1"/>
    <s v="93981586001007"/>
    <n v="-100.13"/>
    <n v="1718"/>
    <n v="1"/>
    <n v="1"/>
  </r>
  <r>
    <m/>
    <m/>
    <x v="1"/>
    <s v="94072499001003"/>
    <n v="-143.31"/>
    <n v="2459"/>
    <n v="1"/>
    <n v="1"/>
  </r>
  <r>
    <m/>
    <m/>
    <x v="1"/>
    <s v="94236722001001"/>
    <n v="-73.2"/>
    <n v="1256"/>
    <n v="1"/>
    <n v="1"/>
  </r>
  <r>
    <m/>
    <m/>
    <x v="1"/>
    <s v="94290285002001"/>
    <n v="-76.87"/>
    <n v="1319"/>
    <n v="1"/>
    <n v="1"/>
  </r>
  <r>
    <m/>
    <m/>
    <x v="1"/>
    <s v="94305261001003"/>
    <n v="-117.9"/>
    <n v="2023"/>
    <n v="1"/>
    <n v="1"/>
  </r>
  <r>
    <m/>
    <m/>
    <x v="1"/>
    <s v="94338453002003"/>
    <n v="-113.59"/>
    <n v="1949"/>
    <n v="1"/>
    <n v="1"/>
  </r>
  <r>
    <m/>
    <m/>
    <x v="1"/>
    <s v="94383332001012"/>
    <n v="-55.02"/>
    <n v="944"/>
    <n v="1"/>
    <n v="1"/>
  </r>
  <r>
    <m/>
    <m/>
    <x v="1"/>
    <s v="94464191001001"/>
    <n v="-52.74"/>
    <n v="905"/>
    <n v="1"/>
    <n v="1"/>
  </r>
  <r>
    <m/>
    <m/>
    <x v="1"/>
    <s v="94495822001011"/>
    <n v="-46.04"/>
    <n v="790"/>
    <n v="1"/>
    <n v="1"/>
  </r>
  <r>
    <m/>
    <m/>
    <x v="1"/>
    <s v="94535473001005"/>
    <n v="-15.62"/>
    <n v="268"/>
    <n v="1"/>
    <n v="1"/>
  </r>
  <r>
    <m/>
    <m/>
    <x v="1"/>
    <s v="94600455002001"/>
    <n v="-153.68"/>
    <n v="2637"/>
    <n v="1"/>
    <n v="1"/>
  </r>
  <r>
    <m/>
    <m/>
    <x v="1"/>
    <s v="94648149001003"/>
    <n v="-25.35"/>
    <n v="435"/>
    <n v="1"/>
    <n v="1"/>
  </r>
  <r>
    <m/>
    <m/>
    <x v="1"/>
    <s v="94670446001001"/>
    <n v="-41.79"/>
    <n v="717"/>
    <n v="1"/>
    <n v="1"/>
  </r>
  <r>
    <m/>
    <m/>
    <x v="1"/>
    <s v="94794096001013"/>
    <n v="-59.39"/>
    <n v="1019"/>
    <n v="1"/>
    <n v="1"/>
  </r>
  <r>
    <m/>
    <m/>
    <x v="1"/>
    <s v="94900294001001"/>
    <n v="-141.68"/>
    <n v="2431"/>
    <n v="1"/>
    <n v="1"/>
  </r>
  <r>
    <m/>
    <m/>
    <x v="1"/>
    <s v="94903881001003"/>
    <n v="-74.13"/>
    <n v="1272"/>
    <n v="1"/>
    <n v="1"/>
  </r>
  <r>
    <m/>
    <m/>
    <x v="1"/>
    <s v="95248906001001"/>
    <n v="-57.35"/>
    <n v="984"/>
    <n v="1"/>
    <n v="1"/>
  </r>
  <r>
    <m/>
    <m/>
    <x v="1"/>
    <s v="95273141001001"/>
    <n v="-89.75"/>
    <n v="1540"/>
    <n v="1"/>
    <n v="1"/>
  </r>
  <r>
    <m/>
    <m/>
    <x v="1"/>
    <s v="95315181001001"/>
    <n v="-15.62"/>
    <n v="268"/>
    <n v="1"/>
    <n v="1"/>
  </r>
  <r>
    <m/>
    <m/>
    <x v="1"/>
    <s v="95382413001005"/>
    <n v="-34.33"/>
    <n v="589"/>
    <n v="1"/>
    <n v="1"/>
  </r>
  <r>
    <m/>
    <m/>
    <x v="1"/>
    <s v="95442300001013"/>
    <n v="-70.87"/>
    <n v="1216"/>
    <n v="1"/>
    <n v="1"/>
  </r>
  <r>
    <m/>
    <m/>
    <x v="1"/>
    <s v="95629019002003"/>
    <n v="-119.94"/>
    <n v="2058"/>
    <n v="1"/>
    <n v="1"/>
  </r>
  <r>
    <m/>
    <m/>
    <x v="1"/>
    <s v="95833037001003"/>
    <n v="-26.28"/>
    <n v="451"/>
    <n v="1"/>
    <n v="1"/>
  </r>
  <r>
    <m/>
    <m/>
    <x v="1"/>
    <s v="95983524001002"/>
    <n v="-76.64"/>
    <n v="1315"/>
    <n v="1"/>
    <n v="1"/>
  </r>
  <r>
    <m/>
    <m/>
    <x v="1"/>
    <s v="95991168001001"/>
    <n v="-66.03"/>
    <n v="1133"/>
    <n v="1"/>
    <n v="1"/>
  </r>
  <r>
    <m/>
    <m/>
    <x v="1"/>
    <s v="95992899001001"/>
    <n v="-44.53"/>
    <n v="764"/>
    <n v="1"/>
    <n v="1"/>
  </r>
  <r>
    <m/>
    <m/>
    <x v="1"/>
    <s v="96029566001003"/>
    <n v="-2.5099999999999998"/>
    <n v="43"/>
    <n v="1"/>
    <n v="1"/>
  </r>
  <r>
    <m/>
    <m/>
    <x v="1"/>
    <s v="96031734001001"/>
    <n v="-71.92"/>
    <n v="1234"/>
    <n v="1"/>
    <n v="1"/>
  </r>
  <r>
    <m/>
    <m/>
    <x v="1"/>
    <s v="96145942001001"/>
    <n v="-9.5"/>
    <n v="163"/>
    <n v="1"/>
    <n v="1"/>
  </r>
  <r>
    <m/>
    <m/>
    <x v="1"/>
    <s v="96326521001007"/>
    <n v="-37.94"/>
    <n v="651"/>
    <n v="1"/>
    <n v="1"/>
  </r>
  <r>
    <m/>
    <m/>
    <x v="1"/>
    <s v="96360767002001"/>
    <n v="-43.83"/>
    <n v="752"/>
    <n v="1"/>
    <n v="1"/>
  </r>
  <r>
    <m/>
    <m/>
    <x v="1"/>
    <s v="96426781002003"/>
    <n v="-38.229999999999997"/>
    <n v="656"/>
    <n v="1"/>
    <n v="1"/>
  </r>
  <r>
    <m/>
    <m/>
    <x v="1"/>
    <s v="96489324001005"/>
    <n v="-1.75"/>
    <n v="30"/>
    <n v="1"/>
    <n v="1"/>
  </r>
  <r>
    <m/>
    <m/>
    <x v="1"/>
    <s v="96526669001001"/>
    <n v="-4.95"/>
    <n v="85"/>
    <n v="1"/>
    <n v="1"/>
  </r>
  <r>
    <m/>
    <m/>
    <x v="1"/>
    <s v="96583136006003"/>
    <n v="-19.47"/>
    <n v="334"/>
    <n v="1"/>
    <n v="1"/>
  </r>
  <r>
    <m/>
    <m/>
    <x v="1"/>
    <s v="96609922001004"/>
    <n v="-18.36"/>
    <n v="315"/>
    <n v="1"/>
    <n v="1"/>
  </r>
  <r>
    <m/>
    <m/>
    <x v="1"/>
    <s v="96660241001001"/>
    <n v="-67.31"/>
    <n v="1155"/>
    <n v="1"/>
    <n v="1"/>
  </r>
  <r>
    <m/>
    <m/>
    <x v="1"/>
    <s v="96664201001004"/>
    <n v="-35.840000000000003"/>
    <n v="615"/>
    <n v="1"/>
    <n v="1"/>
  </r>
  <r>
    <m/>
    <m/>
    <x v="1"/>
    <s v="96678659001003"/>
    <n v="-63.18"/>
    <n v="1084"/>
    <n v="1"/>
    <n v="1"/>
  </r>
  <r>
    <m/>
    <m/>
    <x v="1"/>
    <s v="96696838001001"/>
    <n v="-112.6"/>
    <n v="1932"/>
    <n v="1"/>
    <n v="1"/>
  </r>
  <r>
    <m/>
    <m/>
    <x v="1"/>
    <s v="96746681001003"/>
    <n v="-38.409999999999997"/>
    <n v="659"/>
    <n v="1"/>
    <n v="1"/>
  </r>
  <r>
    <m/>
    <m/>
    <x v="1"/>
    <s v="96759256001001"/>
    <n v="-36.08"/>
    <n v="619"/>
    <n v="1"/>
    <n v="1"/>
  </r>
  <r>
    <m/>
    <m/>
    <x v="1"/>
    <s v="96913407001002"/>
    <n v="-27.39"/>
    <n v="470"/>
    <n v="1"/>
    <n v="1"/>
  </r>
  <r>
    <m/>
    <m/>
    <x v="1"/>
    <s v="96956354001001"/>
    <n v="-146.57"/>
    <n v="2515"/>
    <n v="1"/>
    <n v="1"/>
  </r>
  <r>
    <m/>
    <m/>
    <x v="1"/>
    <s v="96958659001002"/>
    <n v="-35.67"/>
    <n v="612"/>
    <n v="1"/>
    <n v="1"/>
  </r>
  <r>
    <m/>
    <m/>
    <x v="1"/>
    <s v="97014070001001"/>
    <n v="-7.17"/>
    <n v="123"/>
    <n v="1"/>
    <n v="1"/>
  </r>
  <r>
    <m/>
    <m/>
    <x v="1"/>
    <s v="97019963001004"/>
    <n v="-77.569999999999993"/>
    <n v="1331"/>
    <n v="1"/>
    <n v="1"/>
  </r>
  <r>
    <m/>
    <m/>
    <x v="1"/>
    <s v="97071150001005"/>
    <n v="-0.47"/>
    <n v="8"/>
    <n v="1"/>
    <n v="1"/>
  </r>
  <r>
    <m/>
    <m/>
    <x v="1"/>
    <s v="97203407001003"/>
    <n v="-97.27"/>
    <n v="1669"/>
    <n v="1"/>
    <n v="1"/>
  </r>
  <r>
    <m/>
    <m/>
    <x v="1"/>
    <s v="97231261001003"/>
    <n v="-90.39"/>
    <n v="1551"/>
    <n v="1"/>
    <n v="1"/>
  </r>
  <r>
    <m/>
    <m/>
    <x v="1"/>
    <s v="97234945001001"/>
    <n v="-44.29"/>
    <n v="760"/>
    <n v="1"/>
    <n v="1"/>
  </r>
  <r>
    <m/>
    <m/>
    <x v="1"/>
    <s v="97385680002001"/>
    <n v="-111.37"/>
    <n v="1911"/>
    <n v="1"/>
    <n v="1"/>
  </r>
  <r>
    <m/>
    <m/>
    <x v="1"/>
    <s v="97419061001003"/>
    <n v="-87.59"/>
    <n v="1503"/>
    <n v="1"/>
    <n v="1"/>
  </r>
  <r>
    <m/>
    <m/>
    <x v="1"/>
    <s v="97512804001001"/>
    <n v="-24.19"/>
    <n v="415"/>
    <n v="1"/>
    <n v="1"/>
  </r>
  <r>
    <m/>
    <m/>
    <x v="1"/>
    <s v="97514722001003"/>
    <n v="-99.6"/>
    <n v="1709"/>
    <n v="1"/>
    <n v="1"/>
  </r>
  <r>
    <m/>
    <m/>
    <x v="1"/>
    <s v="97610141001001"/>
    <n v="-43.01"/>
    <n v="738"/>
    <n v="1"/>
    <n v="1"/>
  </r>
  <r>
    <m/>
    <m/>
    <x v="1"/>
    <s v="97640373002001"/>
    <n v="-25.88"/>
    <n v="444"/>
    <n v="1"/>
    <n v="1"/>
  </r>
  <r>
    <m/>
    <m/>
    <x v="1"/>
    <s v="97655232002004"/>
    <n v="-51.93"/>
    <n v="891"/>
    <n v="1"/>
    <n v="1"/>
  </r>
  <r>
    <m/>
    <m/>
    <x v="1"/>
    <s v="97678050001005"/>
    <n v="-98.43"/>
    <n v="1689"/>
    <n v="1"/>
    <n v="1"/>
  </r>
  <r>
    <m/>
    <m/>
    <x v="1"/>
    <s v="97876560004001"/>
    <n v="-99.95"/>
    <n v="1715"/>
    <n v="1"/>
    <n v="1"/>
  </r>
  <r>
    <m/>
    <m/>
    <x v="1"/>
    <s v="97968796004005"/>
    <n v="-30.01"/>
    <n v="515"/>
    <n v="1"/>
    <n v="1"/>
  </r>
  <r>
    <m/>
    <m/>
    <x v="1"/>
    <s v="98163492001001"/>
    <n v="-96.98"/>
    <n v="1664"/>
    <n v="1"/>
    <n v="1"/>
  </r>
  <r>
    <m/>
    <m/>
    <x v="1"/>
    <s v="98228086004003"/>
    <n v="-39.75"/>
    <n v="682"/>
    <n v="1"/>
    <n v="1"/>
  </r>
  <r>
    <m/>
    <m/>
    <x v="1"/>
    <s v="98317810002005"/>
    <n v="-45.34"/>
    <n v="778"/>
    <n v="1"/>
    <n v="1"/>
  </r>
  <r>
    <m/>
    <m/>
    <x v="1"/>
    <s v="98374511001001"/>
    <n v="-52.63"/>
    <n v="903"/>
    <n v="1"/>
    <n v="1"/>
  </r>
  <r>
    <m/>
    <m/>
    <x v="1"/>
    <s v="98499617005001"/>
    <n v="-44.18"/>
    <n v="758"/>
    <n v="1"/>
    <n v="1"/>
  </r>
  <r>
    <m/>
    <m/>
    <x v="1"/>
    <s v="98567491001001"/>
    <n v="-45.46"/>
    <n v="780"/>
    <n v="1"/>
    <n v="1"/>
  </r>
  <r>
    <m/>
    <m/>
    <x v="1"/>
    <s v="98657291002001"/>
    <n v="-80.95"/>
    <n v="1389"/>
    <n v="1"/>
    <n v="1"/>
  </r>
  <r>
    <m/>
    <m/>
    <x v="1"/>
    <s v="98734416001003"/>
    <n v="-145.93"/>
    <n v="2504"/>
    <n v="1"/>
    <n v="1"/>
  </r>
  <r>
    <m/>
    <m/>
    <x v="1"/>
    <s v="98925007001003"/>
    <n v="-57.06"/>
    <n v="979"/>
    <n v="1"/>
    <n v="1"/>
  </r>
  <r>
    <m/>
    <m/>
    <x v="1"/>
    <s v="98962968001003"/>
    <n v="-142.84"/>
    <n v="2451"/>
    <n v="1"/>
    <n v="1"/>
  </r>
  <r>
    <m/>
    <m/>
    <x v="1"/>
    <s v="99086775001001"/>
    <n v="-68.13"/>
    <n v="1169"/>
    <n v="1"/>
    <n v="1"/>
  </r>
  <r>
    <m/>
    <m/>
    <x v="1"/>
    <s v="99107518001001"/>
    <n v="-16.73"/>
    <n v="287"/>
    <n v="1"/>
    <n v="1"/>
  </r>
  <r>
    <m/>
    <m/>
    <x v="1"/>
    <s v="99207126001001"/>
    <n v="-147.74"/>
    <n v="2535"/>
    <n v="1"/>
    <n v="1"/>
  </r>
  <r>
    <m/>
    <m/>
    <x v="1"/>
    <s v="99342816001009"/>
    <n v="-11.48"/>
    <n v="197"/>
    <n v="1"/>
    <n v="1"/>
  </r>
  <r>
    <m/>
    <m/>
    <x v="1"/>
    <s v="99409195002001"/>
    <n v="-47.73"/>
    <n v="819"/>
    <n v="1"/>
    <n v="1"/>
  </r>
  <r>
    <m/>
    <m/>
    <x v="1"/>
    <s v="99409206001002"/>
    <n v="-67.599999999999994"/>
    <n v="1160"/>
    <n v="1"/>
    <n v="1"/>
  </r>
  <r>
    <m/>
    <m/>
    <x v="1"/>
    <s v="99442912002003"/>
    <n v="-91.97"/>
    <n v="1578"/>
    <n v="1"/>
    <n v="1"/>
  </r>
  <r>
    <m/>
    <m/>
    <x v="1"/>
    <s v="99456731002005"/>
    <n v="-44.64"/>
    <n v="766"/>
    <n v="1"/>
    <n v="1"/>
  </r>
  <r>
    <m/>
    <m/>
    <x v="1"/>
    <s v="99521426001005"/>
    <n v="-32.229999999999997"/>
    <n v="553"/>
    <n v="1"/>
    <n v="1"/>
  </r>
  <r>
    <m/>
    <m/>
    <x v="1"/>
    <s v="99576705001002"/>
    <n v="-27.97"/>
    <n v="480"/>
    <n v="1"/>
    <n v="1"/>
  </r>
  <r>
    <m/>
    <m/>
    <x v="1"/>
    <s v="99777701001004"/>
    <n v="-60.73"/>
    <n v="1042"/>
    <n v="1"/>
    <n v="1"/>
  </r>
  <r>
    <m/>
    <m/>
    <x v="6"/>
    <m/>
    <n v="-100728.58999999976"/>
    <n v="1728353"/>
    <n v="1657"/>
    <n v="1653"/>
  </r>
  <r>
    <m/>
    <s v="201304"/>
    <x v="0"/>
    <s v="00006596001003"/>
    <n v="-2.4500000000000002"/>
    <n v="100"/>
    <n v="1"/>
    <n v="1"/>
  </r>
  <r>
    <m/>
    <m/>
    <x v="1"/>
    <s v="00237051001001"/>
    <n v="-7.99"/>
    <n v="326"/>
    <n v="1"/>
    <n v="1"/>
  </r>
  <r>
    <m/>
    <m/>
    <x v="1"/>
    <s v="00388467001002"/>
    <n v="-9.85"/>
    <n v="402"/>
    <n v="1"/>
    <n v="1"/>
  </r>
  <r>
    <m/>
    <m/>
    <x v="1"/>
    <s v="00416718001001"/>
    <n v="-26.02"/>
    <n v="1062"/>
    <n v="1"/>
    <n v="1"/>
  </r>
  <r>
    <m/>
    <m/>
    <x v="1"/>
    <s v="00969996001001"/>
    <n v="-6.57"/>
    <n v="268"/>
    <n v="1"/>
    <n v="1"/>
  </r>
  <r>
    <m/>
    <m/>
    <x v="1"/>
    <s v="01063383001003"/>
    <n v="-20.7"/>
    <n v="845"/>
    <n v="1"/>
    <n v="1"/>
  </r>
  <r>
    <m/>
    <m/>
    <x v="1"/>
    <s v="01128497001005"/>
    <n v="-13.82"/>
    <n v="564"/>
    <n v="1"/>
    <n v="1"/>
  </r>
  <r>
    <m/>
    <m/>
    <x v="1"/>
    <s v="01423270002001"/>
    <n v="-15.7"/>
    <n v="641"/>
    <n v="1"/>
    <n v="1"/>
  </r>
  <r>
    <m/>
    <m/>
    <x v="1"/>
    <s v="01883451001001"/>
    <n v="-21.81"/>
    <n v="890"/>
    <n v="1"/>
    <n v="1"/>
  </r>
  <r>
    <m/>
    <m/>
    <x v="1"/>
    <s v="01930076001001"/>
    <n v="-5.15"/>
    <n v="210"/>
    <n v="1"/>
    <n v="1"/>
  </r>
  <r>
    <m/>
    <m/>
    <x v="1"/>
    <s v="01982876002001"/>
    <n v="-29.06"/>
    <n v="1186"/>
    <n v="1"/>
    <n v="1"/>
  </r>
  <r>
    <m/>
    <m/>
    <x v="1"/>
    <s v="02018025004001"/>
    <n v="-36.6"/>
    <n v="1494"/>
    <n v="1"/>
    <n v="1"/>
  </r>
  <r>
    <m/>
    <m/>
    <x v="1"/>
    <s v="02367690001003"/>
    <n v="-18.2"/>
    <n v="743"/>
    <n v="1"/>
    <n v="1"/>
  </r>
  <r>
    <m/>
    <m/>
    <x v="1"/>
    <s v="02947249002001"/>
    <n v="-4.7300000000000004"/>
    <n v="193"/>
    <n v="1"/>
    <n v="1"/>
  </r>
  <r>
    <m/>
    <m/>
    <x v="1"/>
    <s v="03033781001001"/>
    <n v="-0.39"/>
    <n v="16"/>
    <n v="1"/>
    <n v="1"/>
  </r>
  <r>
    <m/>
    <m/>
    <x v="1"/>
    <s v="03268055001001"/>
    <n v="-37.53"/>
    <n v="1532"/>
    <n v="1"/>
    <n v="1"/>
  </r>
  <r>
    <m/>
    <m/>
    <x v="1"/>
    <s v="03556592002007"/>
    <n v="-8.89"/>
    <n v="363"/>
    <n v="1"/>
    <n v="1"/>
  </r>
  <r>
    <m/>
    <m/>
    <x v="1"/>
    <s v="03566581001003"/>
    <n v="-44.35"/>
    <n v="1810"/>
    <n v="1"/>
    <n v="1"/>
  </r>
  <r>
    <m/>
    <m/>
    <x v="1"/>
    <s v="03650699001006"/>
    <n v="-19.87"/>
    <n v="811"/>
    <n v="1"/>
    <n v="1"/>
  </r>
  <r>
    <m/>
    <m/>
    <x v="1"/>
    <s v="03799095002001"/>
    <n v="-17.86"/>
    <n v="729"/>
    <n v="1"/>
    <n v="1"/>
  </r>
  <r>
    <m/>
    <m/>
    <x v="1"/>
    <s v="03819092002003"/>
    <n v="-10.44"/>
    <n v="426"/>
    <n v="1"/>
    <n v="1"/>
  </r>
  <r>
    <m/>
    <m/>
    <x v="1"/>
    <s v="03931679001001"/>
    <n v="-15.93"/>
    <n v="650"/>
    <n v="1"/>
    <n v="1"/>
  </r>
  <r>
    <m/>
    <m/>
    <x v="1"/>
    <s v="03991437001001"/>
    <n v="-4.88"/>
    <n v="199"/>
    <n v="1"/>
    <n v="1"/>
  </r>
  <r>
    <m/>
    <m/>
    <x v="1"/>
    <s v="04073719001003"/>
    <n v="-11.17"/>
    <n v="456"/>
    <n v="1"/>
    <n v="1"/>
  </r>
  <r>
    <m/>
    <m/>
    <x v="1"/>
    <s v="04193072001001"/>
    <n v="-13.3"/>
    <n v="543"/>
    <n v="1"/>
    <n v="1"/>
  </r>
  <r>
    <m/>
    <m/>
    <x v="1"/>
    <s v="04205533001001"/>
    <n v="-23.01"/>
    <n v="939"/>
    <n v="1"/>
    <n v="1"/>
  </r>
  <r>
    <m/>
    <m/>
    <x v="1"/>
    <s v="04316925001003"/>
    <n v="-24.79"/>
    <n v="1012"/>
    <n v="1"/>
    <n v="1"/>
  </r>
  <r>
    <m/>
    <m/>
    <x v="1"/>
    <s v="04347740001005"/>
    <n v="-27.93"/>
    <n v="1140"/>
    <n v="1"/>
    <n v="1"/>
  </r>
  <r>
    <m/>
    <m/>
    <x v="1"/>
    <s v="04759970003001"/>
    <n v="-21.22"/>
    <n v="866"/>
    <n v="1"/>
    <n v="1"/>
  </r>
  <r>
    <m/>
    <m/>
    <x v="1"/>
    <s v="04886136001001"/>
    <n v="-13.4"/>
    <n v="547"/>
    <n v="1"/>
    <n v="1"/>
  </r>
  <r>
    <m/>
    <m/>
    <x v="1"/>
    <s v="04891223001003"/>
    <n v="-16.12"/>
    <n v="658"/>
    <n v="1"/>
    <n v="1"/>
  </r>
  <r>
    <m/>
    <m/>
    <x v="1"/>
    <s v="05135552001001"/>
    <n v="-13.18"/>
    <n v="538"/>
    <n v="1"/>
    <n v="1"/>
  </r>
  <r>
    <m/>
    <m/>
    <x v="1"/>
    <s v="05169515001001"/>
    <n v="-7.5"/>
    <n v="306"/>
    <n v="1"/>
    <n v="1"/>
  </r>
  <r>
    <m/>
    <m/>
    <x v="1"/>
    <s v="05495875001001"/>
    <n v="-35.97"/>
    <n v="1468"/>
    <n v="1"/>
    <n v="1"/>
  </r>
  <r>
    <m/>
    <m/>
    <x v="1"/>
    <s v="05631665002001"/>
    <n v="-4.8"/>
    <n v="196"/>
    <n v="1"/>
    <n v="1"/>
  </r>
  <r>
    <m/>
    <m/>
    <x v="1"/>
    <s v="05776636001001"/>
    <n v="-20.95"/>
    <n v="855"/>
    <n v="1"/>
    <n v="1"/>
  </r>
  <r>
    <m/>
    <m/>
    <x v="1"/>
    <s v="05867332001001"/>
    <n v="-16.86"/>
    <n v="688"/>
    <n v="1"/>
    <n v="1"/>
  </r>
  <r>
    <m/>
    <m/>
    <x v="1"/>
    <s v="05950340001002"/>
    <n v="-10.29"/>
    <n v="420"/>
    <n v="1"/>
    <n v="1"/>
  </r>
  <r>
    <m/>
    <m/>
    <x v="1"/>
    <s v="06087532001006"/>
    <n v="-15.41"/>
    <n v="629"/>
    <n v="1"/>
    <n v="1"/>
  </r>
  <r>
    <m/>
    <m/>
    <x v="1"/>
    <s v="06155229001001"/>
    <n v="-1.25"/>
    <n v="51"/>
    <n v="1"/>
    <n v="1"/>
  </r>
  <r>
    <m/>
    <m/>
    <x v="1"/>
    <s v="06414889001004"/>
    <n v="-18.149999999999999"/>
    <n v="741"/>
    <n v="1"/>
    <n v="1"/>
  </r>
  <r>
    <m/>
    <m/>
    <x v="1"/>
    <s v="06525325001005"/>
    <n v="-23.57"/>
    <n v="962"/>
    <n v="1"/>
    <n v="1"/>
  </r>
  <r>
    <m/>
    <m/>
    <x v="1"/>
    <s v="06546723004003"/>
    <n v="-37.020000000000003"/>
    <n v="1511"/>
    <n v="1"/>
    <n v="1"/>
  </r>
  <r>
    <m/>
    <m/>
    <x v="1"/>
    <s v="06547490001007"/>
    <n v="-12.54"/>
    <n v="512"/>
    <n v="1"/>
    <n v="1"/>
  </r>
  <r>
    <m/>
    <m/>
    <x v="1"/>
    <s v="06618747003005"/>
    <n v="-5.22"/>
    <n v="213"/>
    <n v="1"/>
    <n v="1"/>
  </r>
  <r>
    <m/>
    <m/>
    <x v="1"/>
    <s v="06802240001003"/>
    <n v="-12.67"/>
    <n v="517"/>
    <n v="1"/>
    <n v="1"/>
  </r>
  <r>
    <m/>
    <m/>
    <x v="1"/>
    <s v="06910038001001"/>
    <n v="-2.6"/>
    <n v="106"/>
    <n v="1"/>
    <n v="1"/>
  </r>
  <r>
    <m/>
    <m/>
    <x v="1"/>
    <s v="06998048001001"/>
    <n v="-13.33"/>
    <n v="544"/>
    <n v="1"/>
    <n v="1"/>
  </r>
  <r>
    <m/>
    <m/>
    <x v="1"/>
    <s v="07187712009001"/>
    <n v="-13.79"/>
    <n v="563"/>
    <n v="1"/>
    <n v="1"/>
  </r>
  <r>
    <m/>
    <m/>
    <x v="1"/>
    <s v="07371395001001"/>
    <n v="-18.18"/>
    <n v="742"/>
    <n v="1"/>
    <n v="1"/>
  </r>
  <r>
    <m/>
    <m/>
    <x v="1"/>
    <s v="07444293001002"/>
    <n v="-20.21"/>
    <n v="825"/>
    <n v="1"/>
    <n v="1"/>
  </r>
  <r>
    <m/>
    <m/>
    <x v="1"/>
    <s v="07453783001003"/>
    <n v="-4.24"/>
    <n v="173"/>
    <n v="1"/>
    <n v="1"/>
  </r>
  <r>
    <m/>
    <m/>
    <x v="1"/>
    <s v="07561969008001"/>
    <n v="-23.74"/>
    <n v="969"/>
    <n v="1"/>
    <n v="1"/>
  </r>
  <r>
    <m/>
    <m/>
    <x v="1"/>
    <s v="07623916001007"/>
    <n v="-28.2"/>
    <n v="1151"/>
    <n v="1"/>
    <n v="1"/>
  </r>
  <r>
    <m/>
    <m/>
    <x v="1"/>
    <s v="07782109001001"/>
    <n v="-18.13"/>
    <n v="740"/>
    <n v="1"/>
    <n v="1"/>
  </r>
  <r>
    <m/>
    <m/>
    <x v="1"/>
    <s v="07866347005003"/>
    <n v="-17.489999999999998"/>
    <n v="714"/>
    <n v="1"/>
    <n v="1"/>
  </r>
  <r>
    <m/>
    <m/>
    <x v="1"/>
    <s v="07894781001001"/>
    <n v="-13.23"/>
    <n v="540"/>
    <n v="1"/>
    <n v="1"/>
  </r>
  <r>
    <m/>
    <m/>
    <x v="1"/>
    <s v="07961096001001"/>
    <n v="-37.58"/>
    <n v="1534"/>
    <n v="1"/>
    <n v="1"/>
  </r>
  <r>
    <m/>
    <m/>
    <x v="1"/>
    <s v="07992532001002"/>
    <n v="-3.77"/>
    <n v="154"/>
    <n v="1"/>
    <n v="1"/>
  </r>
  <r>
    <m/>
    <m/>
    <x v="1"/>
    <s v="08005911001002"/>
    <n v="-15.73"/>
    <n v="642"/>
    <n v="1"/>
    <n v="1"/>
  </r>
  <r>
    <m/>
    <m/>
    <x v="1"/>
    <s v="08016256001003"/>
    <n v="-26.39"/>
    <n v="1077"/>
    <n v="1"/>
    <n v="1"/>
  </r>
  <r>
    <m/>
    <m/>
    <x v="1"/>
    <s v="08070610002001"/>
    <n v="-26.9"/>
    <n v="1098"/>
    <n v="1"/>
    <n v="1"/>
  </r>
  <r>
    <m/>
    <m/>
    <x v="1"/>
    <s v="08074271001001"/>
    <n v="-5.88"/>
    <n v="240"/>
    <n v="1"/>
    <n v="1"/>
  </r>
  <r>
    <m/>
    <m/>
    <x v="1"/>
    <s v="08355466001007"/>
    <n v="-1.37"/>
    <n v="56"/>
    <n v="1"/>
    <n v="1"/>
  </r>
  <r>
    <m/>
    <m/>
    <x v="1"/>
    <s v="08688999005001"/>
    <n v="-2.33"/>
    <n v="95"/>
    <n v="1"/>
    <n v="1"/>
  </r>
  <r>
    <m/>
    <m/>
    <x v="1"/>
    <s v="08740262001001"/>
    <n v="-19.48"/>
    <n v="795"/>
    <n v="1"/>
    <n v="1"/>
  </r>
  <r>
    <m/>
    <m/>
    <x v="1"/>
    <s v="08747776001001"/>
    <n v="-16.73"/>
    <n v="683"/>
    <n v="1"/>
    <n v="1"/>
  </r>
  <r>
    <m/>
    <m/>
    <x v="1"/>
    <s v="08808764002008"/>
    <n v="-22.52"/>
    <n v="919"/>
    <n v="1"/>
    <n v="1"/>
  </r>
  <r>
    <m/>
    <m/>
    <x v="1"/>
    <s v="09301778001001"/>
    <n v="-14.68"/>
    <n v="599"/>
    <n v="1"/>
    <n v="1"/>
  </r>
  <r>
    <m/>
    <m/>
    <x v="1"/>
    <s v="09482609001001"/>
    <n v="-29.62"/>
    <n v="1209"/>
    <n v="1"/>
    <n v="1"/>
  </r>
  <r>
    <m/>
    <m/>
    <x v="1"/>
    <s v="09557772001003"/>
    <n v="-27.91"/>
    <n v="1139"/>
    <n v="1"/>
    <n v="1"/>
  </r>
  <r>
    <m/>
    <m/>
    <x v="1"/>
    <s v="09777774001001"/>
    <n v="-17.91"/>
    <n v="731"/>
    <n v="1"/>
    <n v="1"/>
  </r>
  <r>
    <m/>
    <m/>
    <x v="1"/>
    <s v="10045212001003"/>
    <n v="-4.92"/>
    <n v="201"/>
    <n v="1"/>
    <n v="1"/>
  </r>
  <r>
    <m/>
    <m/>
    <x v="1"/>
    <s v="10153548001001"/>
    <n v="-11.81"/>
    <n v="482"/>
    <n v="1"/>
    <n v="1"/>
  </r>
  <r>
    <m/>
    <m/>
    <x v="1"/>
    <s v="10196138001001"/>
    <n v="-17.489999999999998"/>
    <n v="714"/>
    <n v="1"/>
    <n v="1"/>
  </r>
  <r>
    <m/>
    <m/>
    <x v="1"/>
    <s v="10356260001001"/>
    <n v="-35.28"/>
    <n v="1440"/>
    <n v="1"/>
    <n v="1"/>
  </r>
  <r>
    <m/>
    <m/>
    <x v="1"/>
    <s v="10489329001002"/>
    <n v="-17.100000000000001"/>
    <n v="698"/>
    <n v="1"/>
    <n v="1"/>
  </r>
  <r>
    <m/>
    <m/>
    <x v="1"/>
    <s v="10634230001004"/>
    <n v="-4.12"/>
    <n v="168"/>
    <n v="1"/>
    <n v="1"/>
  </r>
  <r>
    <m/>
    <m/>
    <x v="1"/>
    <s v="10650049001003"/>
    <n v="-0.49"/>
    <n v="20"/>
    <n v="1"/>
    <n v="1"/>
  </r>
  <r>
    <m/>
    <m/>
    <x v="1"/>
    <s v="10863812009001"/>
    <n v="-34.57"/>
    <n v="1411"/>
    <n v="1"/>
    <n v="1"/>
  </r>
  <r>
    <m/>
    <m/>
    <x v="1"/>
    <s v="11078715001003"/>
    <n v="-16.420000000000002"/>
    <n v="670"/>
    <n v="1"/>
    <n v="1"/>
  </r>
  <r>
    <m/>
    <m/>
    <x v="1"/>
    <s v="11144829001001"/>
    <n v="-26.02"/>
    <n v="1062"/>
    <n v="1"/>
    <n v="1"/>
  </r>
  <r>
    <m/>
    <m/>
    <x v="1"/>
    <s v="11263199001003"/>
    <n v="-17.690000000000001"/>
    <n v="722"/>
    <n v="1"/>
    <n v="1"/>
  </r>
  <r>
    <m/>
    <m/>
    <x v="1"/>
    <s v="11296202003001"/>
    <n v="-3.06"/>
    <n v="125"/>
    <n v="1"/>
    <n v="1"/>
  </r>
  <r>
    <m/>
    <m/>
    <x v="1"/>
    <s v="11373197001002"/>
    <n v="-6.05"/>
    <n v="247"/>
    <n v="1"/>
    <n v="1"/>
  </r>
  <r>
    <m/>
    <m/>
    <x v="1"/>
    <s v="11397922002001"/>
    <n v="-24.23"/>
    <n v="989"/>
    <n v="1"/>
    <n v="1"/>
  </r>
  <r>
    <m/>
    <m/>
    <x v="1"/>
    <s v="11646801001004"/>
    <n v="-9.02"/>
    <n v="368"/>
    <n v="1"/>
    <n v="1"/>
  </r>
  <r>
    <m/>
    <m/>
    <x v="1"/>
    <s v="11957483001007"/>
    <n v="-20.85"/>
    <n v="851"/>
    <n v="1"/>
    <n v="1"/>
  </r>
  <r>
    <m/>
    <m/>
    <x v="1"/>
    <s v="11964851001002"/>
    <n v="-5.93"/>
    <n v="242"/>
    <n v="1"/>
    <n v="1"/>
  </r>
  <r>
    <m/>
    <m/>
    <x v="1"/>
    <s v="12013270001001"/>
    <n v="-2.33"/>
    <n v="95"/>
    <n v="1"/>
    <n v="1"/>
  </r>
  <r>
    <m/>
    <m/>
    <x v="1"/>
    <s v="12393193001003"/>
    <n v="-11.98"/>
    <n v="489"/>
    <n v="1"/>
    <n v="1"/>
  </r>
  <r>
    <m/>
    <m/>
    <x v="1"/>
    <s v="12738579001003"/>
    <n v="-16.239999999999998"/>
    <n v="663"/>
    <n v="1"/>
    <n v="1"/>
  </r>
  <r>
    <m/>
    <m/>
    <x v="1"/>
    <s v="13116014001003"/>
    <n v="-10.19"/>
    <n v="416"/>
    <n v="1"/>
    <n v="1"/>
  </r>
  <r>
    <m/>
    <m/>
    <x v="1"/>
    <s v="13302962002001"/>
    <n v="-17.54"/>
    <n v="716"/>
    <n v="1"/>
    <n v="1"/>
  </r>
  <r>
    <m/>
    <m/>
    <x v="1"/>
    <s v="13844306002004"/>
    <n v="-3.97"/>
    <n v="162"/>
    <n v="1"/>
    <n v="1"/>
  </r>
  <r>
    <m/>
    <m/>
    <x v="1"/>
    <s v="13898780002006"/>
    <n v="-15.78"/>
    <n v="644"/>
    <n v="1"/>
    <n v="1"/>
  </r>
  <r>
    <m/>
    <m/>
    <x v="1"/>
    <s v="13899655001008"/>
    <n v="-5.49"/>
    <n v="224"/>
    <n v="1"/>
    <n v="1"/>
  </r>
  <r>
    <m/>
    <m/>
    <x v="1"/>
    <s v="13972735001001"/>
    <n v="-9.6999999999999993"/>
    <n v="396"/>
    <n v="1"/>
    <n v="1"/>
  </r>
  <r>
    <m/>
    <m/>
    <x v="1"/>
    <s v="14057368001006"/>
    <n v="-26.12"/>
    <n v="1066"/>
    <n v="1"/>
    <n v="1"/>
  </r>
  <r>
    <m/>
    <m/>
    <x v="1"/>
    <s v="14276797001005"/>
    <n v="-7.84"/>
    <n v="320"/>
    <n v="1"/>
    <n v="1"/>
  </r>
  <r>
    <m/>
    <m/>
    <x v="1"/>
    <s v="14364355001001"/>
    <n v="-28.27"/>
    <n v="1154"/>
    <n v="1"/>
    <n v="1"/>
  </r>
  <r>
    <m/>
    <m/>
    <x v="1"/>
    <s v="14663014001002"/>
    <n v="-10.27"/>
    <n v="419"/>
    <n v="1"/>
    <n v="1"/>
  </r>
  <r>
    <m/>
    <m/>
    <x v="1"/>
    <s v="14783592001004"/>
    <n v="-14.16"/>
    <n v="578"/>
    <n v="1"/>
    <n v="1"/>
  </r>
  <r>
    <m/>
    <m/>
    <x v="1"/>
    <s v="14994182001007"/>
    <n v="-23.4"/>
    <n v="955"/>
    <n v="1"/>
    <n v="1"/>
  </r>
  <r>
    <m/>
    <m/>
    <x v="1"/>
    <s v="15161620001001"/>
    <n v="-21.02"/>
    <n v="858"/>
    <n v="1"/>
    <n v="1"/>
  </r>
  <r>
    <m/>
    <m/>
    <x v="1"/>
    <s v="15391958001009"/>
    <n v="-7.06"/>
    <n v="288"/>
    <n v="1"/>
    <n v="1"/>
  </r>
  <r>
    <m/>
    <m/>
    <x v="1"/>
    <s v="15707865001001"/>
    <n v="-3.45"/>
    <n v="141"/>
    <n v="1"/>
    <n v="1"/>
  </r>
  <r>
    <m/>
    <m/>
    <x v="1"/>
    <s v="15752716002001"/>
    <n v="-23.59"/>
    <n v="963"/>
    <n v="1"/>
    <n v="1"/>
  </r>
  <r>
    <m/>
    <m/>
    <x v="1"/>
    <s v="15889369001001"/>
    <n v="-12.2"/>
    <n v="498"/>
    <n v="1"/>
    <n v="1"/>
  </r>
  <r>
    <m/>
    <m/>
    <x v="1"/>
    <s v="15896167001005"/>
    <n v="-24.62"/>
    <n v="1005"/>
    <n v="1"/>
    <n v="1"/>
  </r>
  <r>
    <m/>
    <m/>
    <x v="1"/>
    <s v="15945413001003"/>
    <n v="-10.050000000000001"/>
    <n v="410"/>
    <n v="1"/>
    <n v="1"/>
  </r>
  <r>
    <m/>
    <m/>
    <x v="1"/>
    <s v="16192571001003"/>
    <n v="-11.54"/>
    <n v="471"/>
    <n v="1"/>
    <n v="1"/>
  </r>
  <r>
    <m/>
    <m/>
    <x v="1"/>
    <s v="16309419001005"/>
    <n v="-7.11"/>
    <n v="290"/>
    <n v="1"/>
    <n v="1"/>
  </r>
  <r>
    <m/>
    <m/>
    <x v="1"/>
    <s v="16354772002003"/>
    <n v="-5.07"/>
    <n v="207"/>
    <n v="1"/>
    <n v="1"/>
  </r>
  <r>
    <m/>
    <m/>
    <x v="1"/>
    <s v="16572947001005"/>
    <n v="-27.66"/>
    <n v="1129"/>
    <n v="1"/>
    <n v="1"/>
  </r>
  <r>
    <m/>
    <m/>
    <x v="1"/>
    <s v="16709268001002"/>
    <n v="-10.24"/>
    <n v="418"/>
    <n v="1"/>
    <n v="1"/>
  </r>
  <r>
    <m/>
    <m/>
    <x v="1"/>
    <s v="16801512002002"/>
    <n v="-20.41"/>
    <n v="833"/>
    <n v="1"/>
    <n v="1"/>
  </r>
  <r>
    <m/>
    <m/>
    <x v="1"/>
    <s v="16884109001002"/>
    <n v="-10.39"/>
    <n v="424"/>
    <n v="1"/>
    <n v="1"/>
  </r>
  <r>
    <m/>
    <m/>
    <x v="1"/>
    <s v="17175636001003"/>
    <n v="-0.76"/>
    <n v="31"/>
    <n v="1"/>
    <n v="1"/>
  </r>
  <r>
    <m/>
    <m/>
    <x v="1"/>
    <s v="17226786001001"/>
    <n v="-9.33"/>
    <n v="381"/>
    <n v="1"/>
    <n v="1"/>
  </r>
  <r>
    <m/>
    <m/>
    <x v="1"/>
    <s v="17329177001003"/>
    <n v="-7.4"/>
    <n v="302"/>
    <n v="1"/>
    <n v="1"/>
  </r>
  <r>
    <m/>
    <m/>
    <x v="1"/>
    <s v="17342016003004"/>
    <n v="-2.99"/>
    <n v="122"/>
    <n v="1"/>
    <n v="1"/>
  </r>
  <r>
    <m/>
    <m/>
    <x v="1"/>
    <s v="17511025003001"/>
    <n v="-5.46"/>
    <n v="223"/>
    <n v="1"/>
    <n v="1"/>
  </r>
  <r>
    <m/>
    <m/>
    <x v="1"/>
    <s v="17581646001002"/>
    <n v="-22.56"/>
    <n v="921"/>
    <n v="1"/>
    <n v="1"/>
  </r>
  <r>
    <m/>
    <m/>
    <x v="1"/>
    <s v="17700255001003"/>
    <n v="-13.45"/>
    <n v="549"/>
    <n v="1"/>
    <n v="1"/>
  </r>
  <r>
    <m/>
    <m/>
    <x v="1"/>
    <s v="17818148001004"/>
    <n v="-9.68"/>
    <n v="395"/>
    <n v="1"/>
    <n v="1"/>
  </r>
  <r>
    <m/>
    <m/>
    <x v="1"/>
    <s v="17834267001002"/>
    <n v="-10.050000000000001"/>
    <n v="410"/>
    <n v="1"/>
    <n v="1"/>
  </r>
  <r>
    <m/>
    <m/>
    <x v="1"/>
    <s v="17836081001001"/>
    <n v="-8.9700000000000006"/>
    <n v="366"/>
    <n v="1"/>
    <n v="1"/>
  </r>
  <r>
    <m/>
    <m/>
    <x v="1"/>
    <s v="18060662001003"/>
    <n v="-20.309999999999999"/>
    <n v="829"/>
    <n v="1"/>
    <n v="1"/>
  </r>
  <r>
    <m/>
    <m/>
    <x v="1"/>
    <s v="18699658001004"/>
    <n v="-10.73"/>
    <n v="438"/>
    <n v="1"/>
    <n v="1"/>
  </r>
  <r>
    <m/>
    <m/>
    <x v="1"/>
    <s v="18991884001001"/>
    <n v="-27.1"/>
    <n v="1106"/>
    <n v="1"/>
    <n v="1"/>
  </r>
  <r>
    <m/>
    <m/>
    <x v="1"/>
    <s v="19396001001001"/>
    <n v="-5.51"/>
    <n v="225"/>
    <n v="1"/>
    <n v="1"/>
  </r>
  <r>
    <m/>
    <m/>
    <x v="1"/>
    <s v="19497588001001"/>
    <n v="-10.93"/>
    <n v="446"/>
    <n v="1"/>
    <n v="1"/>
  </r>
  <r>
    <m/>
    <m/>
    <x v="1"/>
    <s v="19508093004001"/>
    <n v="-13.57"/>
    <n v="554"/>
    <n v="1"/>
    <n v="1"/>
  </r>
  <r>
    <m/>
    <m/>
    <x v="1"/>
    <s v="19669200001002"/>
    <n v="-10.119999999999999"/>
    <n v="413"/>
    <n v="1"/>
    <n v="1"/>
  </r>
  <r>
    <m/>
    <m/>
    <x v="1"/>
    <s v="19830150001004"/>
    <n v="-8.77"/>
    <n v="358"/>
    <n v="1"/>
    <n v="1"/>
  </r>
  <r>
    <m/>
    <m/>
    <x v="1"/>
    <s v="20011333001001"/>
    <n v="-3.7"/>
    <n v="151"/>
    <n v="1"/>
    <n v="1"/>
  </r>
  <r>
    <m/>
    <m/>
    <x v="1"/>
    <s v="20283219003003"/>
    <n v="-19.04"/>
    <n v="777"/>
    <n v="1"/>
    <n v="1"/>
  </r>
  <r>
    <m/>
    <m/>
    <x v="1"/>
    <s v="20367566001001"/>
    <n v="-15.21"/>
    <n v="621"/>
    <n v="1"/>
    <n v="1"/>
  </r>
  <r>
    <m/>
    <m/>
    <x v="1"/>
    <s v="20375453005001"/>
    <n v="-31.07"/>
    <n v="1268"/>
    <n v="1"/>
    <n v="1"/>
  </r>
  <r>
    <m/>
    <m/>
    <x v="1"/>
    <s v="20444426001001"/>
    <n v="-4.17"/>
    <n v="170"/>
    <n v="1"/>
    <n v="1"/>
  </r>
  <r>
    <m/>
    <m/>
    <x v="1"/>
    <s v="20482636001005"/>
    <n v="-3.36"/>
    <n v="137"/>
    <n v="1"/>
    <n v="1"/>
  </r>
  <r>
    <m/>
    <m/>
    <x v="1"/>
    <s v="21045838003008"/>
    <n v="-19.21"/>
    <n v="784"/>
    <n v="1"/>
    <n v="1"/>
  </r>
  <r>
    <m/>
    <m/>
    <x v="1"/>
    <s v="21046404001005"/>
    <n v="-24.55"/>
    <n v="1002"/>
    <n v="1"/>
    <n v="1"/>
  </r>
  <r>
    <m/>
    <m/>
    <x v="1"/>
    <s v="21300261001003"/>
    <n v="-7.5"/>
    <n v="306"/>
    <n v="1"/>
    <n v="1"/>
  </r>
  <r>
    <m/>
    <m/>
    <x v="1"/>
    <s v="21528376001001"/>
    <n v="-6.64"/>
    <n v="271"/>
    <n v="1"/>
    <n v="1"/>
  </r>
  <r>
    <m/>
    <m/>
    <x v="1"/>
    <s v="21546259001005"/>
    <n v="-36.04"/>
    <n v="1471"/>
    <n v="1"/>
    <n v="1"/>
  </r>
  <r>
    <m/>
    <m/>
    <x v="1"/>
    <s v="21610680001001"/>
    <n v="-12.01"/>
    <n v="490"/>
    <n v="1"/>
    <n v="1"/>
  </r>
  <r>
    <m/>
    <m/>
    <x v="1"/>
    <s v="21883954001003"/>
    <n v="-11.81"/>
    <n v="482"/>
    <n v="1"/>
    <n v="1"/>
  </r>
  <r>
    <m/>
    <m/>
    <x v="1"/>
    <s v="22107625001001"/>
    <n v="-23.5"/>
    <n v="959"/>
    <n v="1"/>
    <n v="1"/>
  </r>
  <r>
    <m/>
    <m/>
    <x v="1"/>
    <s v="22178371001001"/>
    <n v="-5.24"/>
    <n v="214"/>
    <n v="1"/>
    <n v="1"/>
  </r>
  <r>
    <m/>
    <m/>
    <x v="1"/>
    <s v="22234236001007"/>
    <n v="-24.77"/>
    <n v="1011"/>
    <n v="1"/>
    <n v="1"/>
  </r>
  <r>
    <m/>
    <m/>
    <x v="1"/>
    <s v="22280876001009"/>
    <n v="-44.17"/>
    <n v="1803"/>
    <n v="1"/>
    <n v="1"/>
  </r>
  <r>
    <m/>
    <m/>
    <x v="1"/>
    <s v="22318296001001"/>
    <n v="-4.1900000000000004"/>
    <n v="171"/>
    <n v="1"/>
    <n v="1"/>
  </r>
  <r>
    <m/>
    <m/>
    <x v="1"/>
    <s v="22384711002002"/>
    <n v="-6.03"/>
    <n v="246"/>
    <n v="1"/>
    <n v="1"/>
  </r>
  <r>
    <m/>
    <m/>
    <x v="1"/>
    <s v="22556911001001"/>
    <n v="-19.38"/>
    <n v="791"/>
    <n v="1"/>
    <n v="1"/>
  </r>
  <r>
    <m/>
    <m/>
    <x v="1"/>
    <s v="23207615004001"/>
    <n v="-58.9"/>
    <n v="2404"/>
    <n v="1"/>
    <n v="1"/>
  </r>
  <r>
    <m/>
    <m/>
    <x v="1"/>
    <s v="23478212002003"/>
    <n v="-1.94"/>
    <n v="79"/>
    <n v="1"/>
    <n v="1"/>
  </r>
  <r>
    <m/>
    <m/>
    <x v="1"/>
    <s v="23492030001001"/>
    <n v="-23.52"/>
    <n v="960"/>
    <n v="1"/>
    <n v="1"/>
  </r>
  <r>
    <m/>
    <m/>
    <x v="1"/>
    <s v="23628172002001"/>
    <n v="-28.25"/>
    <n v="1153"/>
    <n v="1"/>
    <n v="1"/>
  </r>
  <r>
    <m/>
    <m/>
    <x v="1"/>
    <s v="24324136002006"/>
    <n v="-5.76"/>
    <n v="235"/>
    <n v="1"/>
    <n v="1"/>
  </r>
  <r>
    <m/>
    <m/>
    <x v="1"/>
    <s v="24367594001003"/>
    <n v="-31.63"/>
    <n v="1291"/>
    <n v="1"/>
    <n v="1"/>
  </r>
  <r>
    <m/>
    <m/>
    <x v="1"/>
    <s v="25389985004001"/>
    <n v="-2.65"/>
    <n v="108"/>
    <n v="1"/>
    <n v="1"/>
  </r>
  <r>
    <m/>
    <m/>
    <x v="1"/>
    <s v="25549425001001"/>
    <n v="-24.03"/>
    <n v="981"/>
    <n v="1"/>
    <n v="1"/>
  </r>
  <r>
    <m/>
    <m/>
    <x v="1"/>
    <s v="25616940003001"/>
    <n v="-11.56"/>
    <n v="472"/>
    <n v="1"/>
    <n v="1"/>
  </r>
  <r>
    <m/>
    <m/>
    <x v="1"/>
    <s v="25664446001001"/>
    <n v="-14.99"/>
    <n v="612"/>
    <n v="1"/>
    <n v="1"/>
  </r>
  <r>
    <m/>
    <m/>
    <x v="1"/>
    <s v="25829665002003"/>
    <n v="-79.38"/>
    <n v="3240"/>
    <n v="1"/>
    <n v="1"/>
  </r>
  <r>
    <m/>
    <m/>
    <x v="1"/>
    <s v="25839879001001"/>
    <n v="-13.65"/>
    <n v="557"/>
    <n v="1"/>
    <n v="1"/>
  </r>
  <r>
    <m/>
    <m/>
    <x v="1"/>
    <s v="26278650001003"/>
    <n v="-10.19"/>
    <n v="416"/>
    <n v="1"/>
    <n v="1"/>
  </r>
  <r>
    <m/>
    <m/>
    <x v="1"/>
    <s v="26811317001002"/>
    <n v="-33.32"/>
    <n v="1360"/>
    <n v="1"/>
    <n v="1"/>
  </r>
  <r>
    <m/>
    <m/>
    <x v="1"/>
    <s v="26835966001001"/>
    <n v="-17.59"/>
    <n v="718"/>
    <n v="1"/>
    <n v="1"/>
  </r>
  <r>
    <m/>
    <m/>
    <x v="1"/>
    <s v="26841750001003"/>
    <n v="-12.18"/>
    <n v="497"/>
    <n v="1"/>
    <n v="1"/>
  </r>
  <r>
    <m/>
    <m/>
    <x v="1"/>
    <s v="26874335001001"/>
    <n v="-4.29"/>
    <n v="175"/>
    <n v="1"/>
    <n v="1"/>
  </r>
  <r>
    <m/>
    <m/>
    <x v="1"/>
    <s v="27126363001003"/>
    <n v="-33.909999999999997"/>
    <n v="1384"/>
    <n v="1"/>
    <n v="1"/>
  </r>
  <r>
    <m/>
    <m/>
    <x v="1"/>
    <s v="27141666001001"/>
    <n v="-12.67"/>
    <n v="517"/>
    <n v="1"/>
    <n v="1"/>
  </r>
  <r>
    <m/>
    <m/>
    <x v="1"/>
    <s v="27250246001005"/>
    <n v="-15.44"/>
    <n v="630"/>
    <n v="1"/>
    <n v="1"/>
  </r>
  <r>
    <m/>
    <m/>
    <x v="1"/>
    <s v="27553023001001"/>
    <n v="-16.37"/>
    <n v="668"/>
    <n v="1"/>
    <n v="1"/>
  </r>
  <r>
    <m/>
    <m/>
    <x v="1"/>
    <s v="27668170001005"/>
    <n v="-45.4"/>
    <n v="1853"/>
    <n v="1"/>
    <n v="1"/>
  </r>
  <r>
    <m/>
    <m/>
    <x v="1"/>
    <s v="27696108001012"/>
    <n v="-12.62"/>
    <n v="515"/>
    <n v="1"/>
    <n v="1"/>
  </r>
  <r>
    <m/>
    <m/>
    <x v="1"/>
    <s v="27733480001001"/>
    <n v="-12.25"/>
    <n v="500"/>
    <n v="1"/>
    <n v="1"/>
  </r>
  <r>
    <m/>
    <m/>
    <x v="1"/>
    <s v="27759845001003"/>
    <n v="-32.24"/>
    <n v="1316"/>
    <n v="1"/>
    <n v="1"/>
  </r>
  <r>
    <m/>
    <m/>
    <x v="1"/>
    <s v="27883736001001"/>
    <n v="-33.39"/>
    <n v="1363"/>
    <n v="1"/>
    <n v="1"/>
  </r>
  <r>
    <m/>
    <m/>
    <x v="1"/>
    <s v="27991196001001"/>
    <n v="-10.51"/>
    <n v="429"/>
    <n v="1"/>
    <n v="1"/>
  </r>
  <r>
    <m/>
    <m/>
    <x v="1"/>
    <s v="28006021003005"/>
    <n v="-23.32"/>
    <n v="952"/>
    <n v="1"/>
    <n v="1"/>
  </r>
  <r>
    <m/>
    <m/>
    <x v="1"/>
    <s v="28065736001006"/>
    <n v="-29.65"/>
    <n v="1210"/>
    <n v="1"/>
    <n v="1"/>
  </r>
  <r>
    <m/>
    <m/>
    <x v="1"/>
    <s v="28227700001002"/>
    <n v="-13.87"/>
    <n v="566"/>
    <n v="1"/>
    <n v="1"/>
  </r>
  <r>
    <m/>
    <m/>
    <x v="1"/>
    <s v="28252202004001"/>
    <n v="-57.94"/>
    <n v="2365"/>
    <n v="1"/>
    <n v="1"/>
  </r>
  <r>
    <m/>
    <m/>
    <x v="1"/>
    <s v="28434100001001"/>
    <n v="-17.91"/>
    <n v="731"/>
    <n v="1"/>
    <n v="1"/>
  </r>
  <r>
    <m/>
    <m/>
    <x v="1"/>
    <s v="28535255003001"/>
    <n v="-4.88"/>
    <n v="199"/>
    <n v="1"/>
    <n v="1"/>
  </r>
  <r>
    <m/>
    <m/>
    <x v="1"/>
    <s v="28827702001004"/>
    <n v="-42.26"/>
    <n v="1725"/>
    <n v="1"/>
    <n v="1"/>
  </r>
  <r>
    <m/>
    <m/>
    <x v="1"/>
    <s v="29018645001003"/>
    <n v="-27.42"/>
    <n v="1119"/>
    <n v="1"/>
    <n v="1"/>
  </r>
  <r>
    <m/>
    <m/>
    <x v="1"/>
    <s v="29333477001001"/>
    <n v="-1.18"/>
    <n v="48"/>
    <n v="1"/>
    <n v="1"/>
  </r>
  <r>
    <m/>
    <m/>
    <x v="1"/>
    <s v="29647367001002"/>
    <n v="-20.8"/>
    <n v="849"/>
    <n v="1"/>
    <n v="1"/>
  </r>
  <r>
    <m/>
    <m/>
    <x v="1"/>
    <s v="29786462001001"/>
    <n v="-11.78"/>
    <n v="481"/>
    <n v="1"/>
    <n v="1"/>
  </r>
  <r>
    <m/>
    <m/>
    <x v="1"/>
    <s v="30043368001001"/>
    <n v="-28.62"/>
    <n v="1168"/>
    <n v="1"/>
    <n v="1"/>
  </r>
  <r>
    <m/>
    <m/>
    <x v="1"/>
    <s v="30315366001001"/>
    <n v="-54.9"/>
    <n v="2241"/>
    <n v="1"/>
    <n v="1"/>
  </r>
  <r>
    <m/>
    <m/>
    <x v="1"/>
    <s v="30656073001007"/>
    <n v="-9.9"/>
    <n v="404"/>
    <n v="1"/>
    <n v="1"/>
  </r>
  <r>
    <m/>
    <m/>
    <x v="1"/>
    <s v="30975210001001"/>
    <n v="-17.66"/>
    <n v="721"/>
    <n v="1"/>
    <n v="1"/>
  </r>
  <r>
    <m/>
    <m/>
    <x v="1"/>
    <s v="31104124001001"/>
    <n v="-11.61"/>
    <n v="474"/>
    <n v="1"/>
    <n v="1"/>
  </r>
  <r>
    <m/>
    <m/>
    <x v="1"/>
    <s v="31266211001004"/>
    <n v="-18.149999999999999"/>
    <n v="741"/>
    <n v="1"/>
    <n v="1"/>
  </r>
  <r>
    <m/>
    <m/>
    <x v="1"/>
    <s v="31308854001001"/>
    <n v="-2.87"/>
    <n v="117"/>
    <n v="1"/>
    <n v="1"/>
  </r>
  <r>
    <m/>
    <m/>
    <x v="1"/>
    <s v="31345337001002"/>
    <n v="-0.02"/>
    <n v="1"/>
    <n v="1"/>
    <n v="1"/>
  </r>
  <r>
    <m/>
    <m/>
    <x v="1"/>
    <s v="31589368001001"/>
    <n v="-14.82"/>
    <n v="605"/>
    <n v="1"/>
    <n v="1"/>
  </r>
  <r>
    <m/>
    <m/>
    <x v="1"/>
    <s v="32105928002003"/>
    <n v="-12.59"/>
    <n v="514"/>
    <n v="1"/>
    <n v="1"/>
  </r>
  <r>
    <m/>
    <m/>
    <x v="1"/>
    <s v="32321580001004"/>
    <n v="-15.88"/>
    <n v="648"/>
    <n v="1"/>
    <n v="1"/>
  </r>
  <r>
    <m/>
    <m/>
    <x v="1"/>
    <s v="32374532003003"/>
    <n v="-14.9"/>
    <n v="608"/>
    <n v="1"/>
    <n v="1"/>
  </r>
  <r>
    <m/>
    <m/>
    <x v="1"/>
    <s v="32701639002001"/>
    <n v="-14.48"/>
    <n v="591"/>
    <n v="1"/>
    <n v="1"/>
  </r>
  <r>
    <m/>
    <m/>
    <x v="1"/>
    <s v="32754907004001"/>
    <n v="-29.67"/>
    <n v="1211"/>
    <n v="1"/>
    <n v="1"/>
  </r>
  <r>
    <m/>
    <m/>
    <x v="1"/>
    <s v="32885919001001"/>
    <n v="-12.74"/>
    <n v="520"/>
    <n v="1"/>
    <n v="1"/>
  </r>
  <r>
    <m/>
    <m/>
    <x v="1"/>
    <s v="33062190002001"/>
    <n v="-13.3"/>
    <n v="543"/>
    <n v="1"/>
    <n v="1"/>
  </r>
  <r>
    <m/>
    <m/>
    <x v="1"/>
    <s v="33397794002001"/>
    <n v="-45.06"/>
    <n v="1839"/>
    <n v="1"/>
    <n v="1"/>
  </r>
  <r>
    <m/>
    <m/>
    <x v="1"/>
    <s v="33529078009001"/>
    <n v="-27.05"/>
    <n v="1104"/>
    <n v="1"/>
    <n v="1"/>
  </r>
  <r>
    <m/>
    <m/>
    <x v="1"/>
    <s v="33633028001001"/>
    <n v="-5.56"/>
    <n v="227"/>
    <n v="1"/>
    <n v="1"/>
  </r>
  <r>
    <m/>
    <m/>
    <x v="1"/>
    <s v="33887728001004"/>
    <n v="-13.13"/>
    <n v="536"/>
    <n v="1"/>
    <n v="1"/>
  </r>
  <r>
    <m/>
    <m/>
    <x v="1"/>
    <s v="34099616001006"/>
    <n v="-8.4499999999999993"/>
    <n v="345"/>
    <n v="1"/>
    <n v="1"/>
  </r>
  <r>
    <m/>
    <m/>
    <x v="1"/>
    <s v="34181343001001"/>
    <n v="-35.479999999999997"/>
    <n v="1448"/>
    <n v="1"/>
    <n v="1"/>
  </r>
  <r>
    <m/>
    <m/>
    <x v="1"/>
    <s v="34256010001004"/>
    <n v="-14.7"/>
    <n v="600"/>
    <n v="1"/>
    <n v="1"/>
  </r>
  <r>
    <m/>
    <m/>
    <x v="1"/>
    <s v="34348453001007"/>
    <n v="-13.79"/>
    <n v="563"/>
    <n v="1"/>
    <n v="1"/>
  </r>
  <r>
    <m/>
    <m/>
    <x v="1"/>
    <s v="34394848001001"/>
    <n v="-6.91"/>
    <n v="282"/>
    <n v="1"/>
    <n v="1"/>
  </r>
  <r>
    <m/>
    <m/>
    <x v="1"/>
    <s v="34861184002001"/>
    <n v="-34.28"/>
    <n v="1399"/>
    <n v="1"/>
    <n v="1"/>
  </r>
  <r>
    <m/>
    <m/>
    <x v="1"/>
    <s v="34902092001003"/>
    <n v="-30.58"/>
    <n v="1248"/>
    <n v="1"/>
    <n v="1"/>
  </r>
  <r>
    <m/>
    <m/>
    <x v="1"/>
    <s v="35202172002003"/>
    <n v="-8.43"/>
    <n v="344"/>
    <n v="1"/>
    <n v="1"/>
  </r>
  <r>
    <m/>
    <m/>
    <x v="1"/>
    <s v="35366207001001"/>
    <n v="-27.81"/>
    <n v="1135"/>
    <n v="1"/>
    <n v="1"/>
  </r>
  <r>
    <m/>
    <m/>
    <x v="1"/>
    <s v="35482082002001"/>
    <n v="-28.13"/>
    <n v="1148"/>
    <n v="1"/>
    <n v="1"/>
  </r>
  <r>
    <m/>
    <m/>
    <x v="1"/>
    <s v="35872394002002"/>
    <n v="-7.11"/>
    <n v="290"/>
    <n v="1"/>
    <n v="1"/>
  </r>
  <r>
    <m/>
    <m/>
    <x v="1"/>
    <s v="35880618001005"/>
    <n v="-4.7"/>
    <n v="192"/>
    <n v="1"/>
    <n v="1"/>
  </r>
  <r>
    <m/>
    <m/>
    <x v="1"/>
    <s v="36023502001013"/>
    <n v="-32.36"/>
    <n v="1321"/>
    <n v="1"/>
    <n v="1"/>
  </r>
  <r>
    <m/>
    <m/>
    <x v="1"/>
    <s v="36052702001001"/>
    <n v="-7.89"/>
    <n v="322"/>
    <n v="1"/>
    <n v="1"/>
  </r>
  <r>
    <m/>
    <m/>
    <x v="1"/>
    <s v="36065414001010"/>
    <n v="-11.91"/>
    <n v="486"/>
    <n v="1"/>
    <n v="1"/>
  </r>
  <r>
    <m/>
    <m/>
    <x v="1"/>
    <s v="36079563001001"/>
    <n v="-13.38"/>
    <n v="546"/>
    <n v="1"/>
    <n v="1"/>
  </r>
  <r>
    <m/>
    <m/>
    <x v="1"/>
    <s v="36292176001002"/>
    <n v="-27.2"/>
    <n v="1110"/>
    <n v="1"/>
    <n v="1"/>
  </r>
  <r>
    <m/>
    <m/>
    <x v="1"/>
    <s v="36390708002001"/>
    <n v="-23.91"/>
    <n v="976"/>
    <n v="1"/>
    <n v="1"/>
  </r>
  <r>
    <m/>
    <m/>
    <x v="1"/>
    <s v="36529463001001"/>
    <n v="-20.51"/>
    <n v="837"/>
    <n v="1"/>
    <n v="1"/>
  </r>
  <r>
    <m/>
    <m/>
    <x v="1"/>
    <s v="36555550001003"/>
    <n v="-33.74"/>
    <n v="1377"/>
    <n v="1"/>
    <n v="1"/>
  </r>
  <r>
    <m/>
    <m/>
    <x v="1"/>
    <s v="36995940001003"/>
    <n v="-29.38"/>
    <n v="1199"/>
    <n v="1"/>
    <n v="1"/>
  </r>
  <r>
    <m/>
    <m/>
    <x v="1"/>
    <s v="37047706001003"/>
    <n v="-30.8"/>
    <n v="1257"/>
    <n v="1"/>
    <n v="1"/>
  </r>
  <r>
    <m/>
    <m/>
    <x v="1"/>
    <s v="37271824001007"/>
    <n v="-8.5"/>
    <n v="347"/>
    <n v="1"/>
    <n v="1"/>
  </r>
  <r>
    <m/>
    <m/>
    <x v="1"/>
    <s v="37301319001001"/>
    <n v="-20.63"/>
    <n v="842"/>
    <n v="1"/>
    <n v="1"/>
  </r>
  <r>
    <m/>
    <m/>
    <x v="1"/>
    <s v="37380947001001"/>
    <n v="-18.96"/>
    <n v="774"/>
    <n v="1"/>
    <n v="1"/>
  </r>
  <r>
    <m/>
    <m/>
    <x v="1"/>
    <s v="37578682001001"/>
    <n v="-14.72"/>
    <n v="601"/>
    <n v="1"/>
    <n v="1"/>
  </r>
  <r>
    <m/>
    <m/>
    <x v="1"/>
    <s v="38031459001001"/>
    <n v="-10.56"/>
    <n v="431"/>
    <n v="1"/>
    <n v="1"/>
  </r>
  <r>
    <m/>
    <m/>
    <x v="1"/>
    <s v="38067720003001"/>
    <n v="-17.149999999999999"/>
    <n v="700"/>
    <n v="1"/>
    <n v="1"/>
  </r>
  <r>
    <m/>
    <m/>
    <x v="1"/>
    <s v="38319008002003"/>
    <n v="-24.6"/>
    <n v="1004"/>
    <n v="1"/>
    <n v="1"/>
  </r>
  <r>
    <m/>
    <m/>
    <x v="1"/>
    <s v="38613622001005"/>
    <n v="-0.76"/>
    <n v="31"/>
    <n v="1"/>
    <n v="1"/>
  </r>
  <r>
    <m/>
    <m/>
    <x v="1"/>
    <s v="38860694001003"/>
    <n v="-24.3"/>
    <n v="992"/>
    <n v="1"/>
    <n v="1"/>
  </r>
  <r>
    <m/>
    <m/>
    <x v="1"/>
    <s v="39272181001001"/>
    <n v="-6.81"/>
    <n v="278"/>
    <n v="1"/>
    <n v="1"/>
  </r>
  <r>
    <m/>
    <m/>
    <x v="1"/>
    <s v="39281076001004"/>
    <n v="-31.73"/>
    <n v="1295"/>
    <n v="1"/>
    <n v="1"/>
  </r>
  <r>
    <m/>
    <m/>
    <x v="1"/>
    <s v="39314816001003"/>
    <n v="-23.42"/>
    <n v="956"/>
    <n v="1"/>
    <n v="1"/>
  </r>
  <r>
    <m/>
    <m/>
    <x v="1"/>
    <s v="39597196001001"/>
    <n v="-20.78"/>
    <n v="848"/>
    <n v="1"/>
    <n v="1"/>
  </r>
  <r>
    <m/>
    <m/>
    <x v="1"/>
    <s v="39658784002001"/>
    <n v="-10.85"/>
    <n v="443"/>
    <n v="1"/>
    <n v="1"/>
  </r>
  <r>
    <m/>
    <m/>
    <x v="1"/>
    <s v="39662471001003"/>
    <n v="-8.9700000000000006"/>
    <n v="366"/>
    <n v="1"/>
    <n v="1"/>
  </r>
  <r>
    <m/>
    <m/>
    <x v="1"/>
    <s v="39810811001003"/>
    <n v="-12.2"/>
    <n v="498"/>
    <n v="1"/>
    <n v="1"/>
  </r>
  <r>
    <m/>
    <m/>
    <x v="1"/>
    <s v="39822134003009"/>
    <n v="-4.04"/>
    <n v="165"/>
    <n v="1"/>
    <n v="1"/>
  </r>
  <r>
    <m/>
    <m/>
    <x v="1"/>
    <s v="39860007001003"/>
    <n v="-13.35"/>
    <n v="545"/>
    <n v="1"/>
    <n v="1"/>
  </r>
  <r>
    <m/>
    <m/>
    <x v="1"/>
    <s v="40288069002001"/>
    <n v="-57.26"/>
    <n v="2337"/>
    <n v="1"/>
    <n v="1"/>
  </r>
  <r>
    <m/>
    <m/>
    <x v="1"/>
    <s v="40458113001001"/>
    <n v="-11.22"/>
    <n v="458"/>
    <n v="1"/>
    <n v="1"/>
  </r>
  <r>
    <m/>
    <m/>
    <x v="1"/>
    <s v="41019151002001"/>
    <n v="-4.97"/>
    <n v="203"/>
    <n v="1"/>
    <n v="1"/>
  </r>
  <r>
    <m/>
    <m/>
    <x v="1"/>
    <s v="41231167001001"/>
    <n v="-0.12"/>
    <n v="5"/>
    <n v="1"/>
    <n v="1"/>
  </r>
  <r>
    <m/>
    <m/>
    <x v="1"/>
    <s v="41383064001001"/>
    <n v="-23.15"/>
    <n v="945"/>
    <n v="1"/>
    <n v="1"/>
  </r>
  <r>
    <m/>
    <m/>
    <x v="1"/>
    <s v="41426603001001"/>
    <n v="-13.65"/>
    <n v="557"/>
    <n v="1"/>
    <n v="1"/>
  </r>
  <r>
    <m/>
    <m/>
    <x v="1"/>
    <s v="41439561001003"/>
    <n v="-12.4"/>
    <n v="506"/>
    <n v="1"/>
    <n v="1"/>
  </r>
  <r>
    <m/>
    <m/>
    <x v="1"/>
    <s v="41823518001001"/>
    <n v="-7.33"/>
    <n v="299"/>
    <n v="1"/>
    <n v="1"/>
  </r>
  <r>
    <m/>
    <m/>
    <x v="1"/>
    <s v="42039072001008"/>
    <n v="-5.37"/>
    <n v="219"/>
    <n v="1"/>
    <n v="1"/>
  </r>
  <r>
    <m/>
    <m/>
    <x v="1"/>
    <s v="42075427001001"/>
    <n v="-16.39"/>
    <n v="669"/>
    <n v="1"/>
    <n v="1"/>
  </r>
  <r>
    <m/>
    <m/>
    <x v="1"/>
    <s v="42491401001003"/>
    <n v="-35.04"/>
    <n v="1430"/>
    <n v="1"/>
    <n v="1"/>
  </r>
  <r>
    <m/>
    <m/>
    <x v="1"/>
    <s v="42514501001001"/>
    <n v="-10.44"/>
    <n v="426"/>
    <n v="1"/>
    <n v="1"/>
  </r>
  <r>
    <m/>
    <m/>
    <x v="1"/>
    <s v="42524441001002"/>
    <n v="-37.39"/>
    <n v="1526"/>
    <n v="1"/>
    <n v="1"/>
  </r>
  <r>
    <m/>
    <m/>
    <x v="1"/>
    <s v="42528501001002"/>
    <n v="-19.11"/>
    <n v="780"/>
    <n v="1"/>
    <n v="1"/>
  </r>
  <r>
    <m/>
    <m/>
    <x v="1"/>
    <s v="42536481001002"/>
    <n v="-35.5"/>
    <n v="1449"/>
    <n v="1"/>
    <n v="1"/>
  </r>
  <r>
    <m/>
    <m/>
    <x v="1"/>
    <s v="42586041004001"/>
    <n v="-10.19"/>
    <n v="416"/>
    <n v="1"/>
    <n v="1"/>
  </r>
  <r>
    <m/>
    <m/>
    <x v="1"/>
    <s v="42620271001001"/>
    <n v="-4.0199999999999996"/>
    <n v="164"/>
    <n v="1"/>
    <n v="1"/>
  </r>
  <r>
    <m/>
    <m/>
    <x v="1"/>
    <s v="42649321001001"/>
    <n v="-4.04"/>
    <n v="165"/>
    <n v="1"/>
    <n v="1"/>
  </r>
  <r>
    <m/>
    <m/>
    <x v="1"/>
    <s v="42659261001004"/>
    <n v="-6.52"/>
    <n v="266"/>
    <n v="1"/>
    <n v="1"/>
  </r>
  <r>
    <m/>
    <m/>
    <x v="1"/>
    <s v="42677111001001"/>
    <n v="-5.76"/>
    <n v="235"/>
    <n v="1"/>
    <n v="1"/>
  </r>
  <r>
    <m/>
    <m/>
    <x v="1"/>
    <s v="42812561001002"/>
    <n v="-47.6"/>
    <n v="1943"/>
    <n v="1"/>
    <n v="1"/>
  </r>
  <r>
    <m/>
    <m/>
    <x v="1"/>
    <s v="42890570001001"/>
    <n v="-55.03"/>
    <n v="2246"/>
    <n v="1"/>
    <n v="1"/>
  </r>
  <r>
    <m/>
    <m/>
    <x v="1"/>
    <s v="42898451001001"/>
    <n v="-4.53"/>
    <n v="185"/>
    <n v="1"/>
    <n v="1"/>
  </r>
  <r>
    <m/>
    <m/>
    <x v="1"/>
    <s v="42933730001003"/>
    <n v="-1.81"/>
    <n v="74"/>
    <n v="1"/>
    <n v="1"/>
  </r>
  <r>
    <m/>
    <m/>
    <x v="1"/>
    <s v="42954661002001"/>
    <n v="-9.07"/>
    <n v="370"/>
    <n v="1"/>
    <n v="1"/>
  </r>
  <r>
    <m/>
    <m/>
    <x v="1"/>
    <s v="43033085001001"/>
    <n v="-0.96"/>
    <n v="39"/>
    <n v="1"/>
    <n v="1"/>
  </r>
  <r>
    <m/>
    <m/>
    <x v="1"/>
    <s v="43124621001001"/>
    <n v="-9.33"/>
    <n v="381"/>
    <n v="1"/>
    <n v="1"/>
  </r>
  <r>
    <m/>
    <m/>
    <x v="1"/>
    <s v="43137151001001"/>
    <n v="-17.66"/>
    <n v="721"/>
    <n v="1"/>
    <n v="1"/>
  </r>
  <r>
    <m/>
    <m/>
    <x v="1"/>
    <s v="43234101001001"/>
    <n v="-9.26"/>
    <n v="378"/>
    <n v="1"/>
    <n v="1"/>
  </r>
  <r>
    <m/>
    <m/>
    <x v="1"/>
    <s v="43243411001002"/>
    <n v="-16.510000000000002"/>
    <n v="674"/>
    <n v="1"/>
    <n v="1"/>
  </r>
  <r>
    <m/>
    <m/>
    <x v="1"/>
    <s v="43288421001001"/>
    <n v="-10.39"/>
    <n v="424"/>
    <n v="1"/>
    <n v="1"/>
  </r>
  <r>
    <m/>
    <m/>
    <x v="1"/>
    <s v="43291781001001"/>
    <n v="-2.74"/>
    <n v="112"/>
    <n v="1"/>
    <n v="1"/>
  </r>
  <r>
    <m/>
    <m/>
    <x v="1"/>
    <s v="43297591001002"/>
    <n v="-19.11"/>
    <n v="780"/>
    <n v="1"/>
    <n v="1"/>
  </r>
  <r>
    <m/>
    <m/>
    <x v="1"/>
    <s v="43325521001002"/>
    <n v="-5.22"/>
    <n v="213"/>
    <n v="1"/>
    <n v="1"/>
  </r>
  <r>
    <m/>
    <m/>
    <x v="1"/>
    <s v="43333711001002"/>
    <n v="-6.74"/>
    <n v="275"/>
    <n v="1"/>
    <n v="1"/>
  </r>
  <r>
    <m/>
    <m/>
    <x v="1"/>
    <s v="43341691001009"/>
    <n v="-18.91"/>
    <n v="772"/>
    <n v="1"/>
    <n v="1"/>
  </r>
  <r>
    <m/>
    <m/>
    <x v="1"/>
    <s v="43363111001003"/>
    <n v="-40.35"/>
    <n v="1647"/>
    <n v="1"/>
    <n v="1"/>
  </r>
  <r>
    <m/>
    <m/>
    <x v="1"/>
    <s v="43399301001004"/>
    <n v="-14.85"/>
    <n v="606"/>
    <n v="1"/>
    <n v="1"/>
  </r>
  <r>
    <m/>
    <m/>
    <x v="1"/>
    <s v="43499059001005"/>
    <n v="-0.64"/>
    <n v="26"/>
    <n v="1"/>
    <n v="1"/>
  </r>
  <r>
    <m/>
    <m/>
    <x v="1"/>
    <s v="43629601001002"/>
    <n v="-18.329999999999998"/>
    <n v="748"/>
    <n v="2"/>
    <n v="1"/>
  </r>
  <r>
    <m/>
    <m/>
    <x v="1"/>
    <s v="43659561001002"/>
    <n v="-9.33"/>
    <n v="381"/>
    <n v="1"/>
    <n v="1"/>
  </r>
  <r>
    <m/>
    <m/>
    <x v="1"/>
    <s v="43675801001005"/>
    <n v="-1.96"/>
    <n v="80"/>
    <n v="1"/>
    <n v="1"/>
  </r>
  <r>
    <m/>
    <m/>
    <x v="1"/>
    <s v="43677061001004"/>
    <n v="-9.85"/>
    <n v="402"/>
    <n v="1"/>
    <n v="1"/>
  </r>
  <r>
    <m/>
    <m/>
    <x v="1"/>
    <s v="43686651002002"/>
    <n v="-17.57"/>
    <n v="717"/>
    <n v="1"/>
    <n v="1"/>
  </r>
  <r>
    <m/>
    <m/>
    <x v="1"/>
    <s v="43687491001003"/>
    <n v="-11.91"/>
    <n v="486"/>
    <n v="1"/>
    <n v="1"/>
  </r>
  <r>
    <m/>
    <m/>
    <x v="1"/>
    <s v="43692811001002"/>
    <n v="-14.85"/>
    <n v="606"/>
    <n v="1"/>
    <n v="1"/>
  </r>
  <r>
    <m/>
    <m/>
    <x v="1"/>
    <s v="43717941001003"/>
    <n v="-8.6999999999999993"/>
    <n v="355"/>
    <n v="1"/>
    <n v="1"/>
  </r>
  <r>
    <m/>
    <m/>
    <x v="1"/>
    <s v="43726551002001"/>
    <n v="-17.37"/>
    <n v="709"/>
    <n v="1"/>
    <n v="1"/>
  </r>
  <r>
    <m/>
    <m/>
    <x v="1"/>
    <s v="43764561001002"/>
    <n v="-17.93"/>
    <n v="732"/>
    <n v="1"/>
    <n v="1"/>
  </r>
  <r>
    <m/>
    <m/>
    <x v="1"/>
    <s v="43829871002001"/>
    <n v="-8.58"/>
    <n v="350"/>
    <n v="1"/>
    <n v="1"/>
  </r>
  <r>
    <m/>
    <m/>
    <x v="1"/>
    <s v="43863401001002"/>
    <n v="-8.9700000000000006"/>
    <n v="366"/>
    <n v="1"/>
    <n v="1"/>
  </r>
  <r>
    <m/>
    <m/>
    <x v="1"/>
    <s v="43881111001003"/>
    <n v="-8.33"/>
    <n v="340"/>
    <n v="1"/>
    <n v="1"/>
  </r>
  <r>
    <m/>
    <m/>
    <x v="1"/>
    <s v="43901831002001"/>
    <n v="-12.81"/>
    <n v="523"/>
    <n v="1"/>
    <n v="1"/>
  </r>
  <r>
    <m/>
    <m/>
    <x v="1"/>
    <s v="43918351001003"/>
    <n v="-13.77"/>
    <n v="562"/>
    <n v="1"/>
    <n v="1"/>
  </r>
  <r>
    <m/>
    <m/>
    <x v="1"/>
    <s v="43920871001009"/>
    <n v="-1.47"/>
    <n v="60"/>
    <n v="1"/>
    <n v="1"/>
  </r>
  <r>
    <m/>
    <m/>
    <x v="1"/>
    <s v="43953794001001"/>
    <n v="-33.71"/>
    <n v="1376"/>
    <n v="1"/>
    <n v="1"/>
  </r>
  <r>
    <m/>
    <m/>
    <x v="1"/>
    <s v="43992272001007"/>
    <n v="-19.940000000000001"/>
    <n v="814"/>
    <n v="1"/>
    <n v="1"/>
  </r>
  <r>
    <m/>
    <m/>
    <x v="1"/>
    <s v="44017138001001"/>
    <n v="-14.55"/>
    <n v="594"/>
    <n v="1"/>
    <n v="1"/>
  </r>
  <r>
    <m/>
    <m/>
    <x v="1"/>
    <s v="44032521001001"/>
    <n v="-8.43"/>
    <n v="344"/>
    <n v="1"/>
    <n v="1"/>
  </r>
  <r>
    <m/>
    <m/>
    <x v="1"/>
    <s v="44089561001003"/>
    <n v="-8.2799999999999994"/>
    <n v="338"/>
    <n v="1"/>
    <n v="1"/>
  </r>
  <r>
    <m/>
    <m/>
    <x v="1"/>
    <s v="44141337001005"/>
    <n v="-21.44"/>
    <n v="875"/>
    <n v="1"/>
    <n v="1"/>
  </r>
  <r>
    <m/>
    <m/>
    <x v="1"/>
    <s v="44169062001003"/>
    <n v="-21.34"/>
    <n v="871"/>
    <n v="1"/>
    <n v="1"/>
  </r>
  <r>
    <m/>
    <m/>
    <x v="1"/>
    <s v="44225511001001"/>
    <n v="-30.92"/>
    <n v="1262"/>
    <n v="1"/>
    <n v="1"/>
  </r>
  <r>
    <m/>
    <m/>
    <x v="1"/>
    <s v="44254071001001"/>
    <n v="-14.23"/>
    <n v="581"/>
    <n v="1"/>
    <n v="1"/>
  </r>
  <r>
    <m/>
    <m/>
    <x v="1"/>
    <s v="44271711001001"/>
    <n v="-4.6100000000000003"/>
    <n v="188"/>
    <n v="1"/>
    <n v="1"/>
  </r>
  <r>
    <m/>
    <m/>
    <x v="1"/>
    <s v="44301741001003"/>
    <n v="-25.73"/>
    <n v="1050"/>
    <n v="1"/>
    <n v="1"/>
  </r>
  <r>
    <m/>
    <m/>
    <x v="1"/>
    <s v="44319801001012"/>
    <n v="-6.81"/>
    <n v="278"/>
    <n v="1"/>
    <n v="1"/>
  </r>
  <r>
    <m/>
    <m/>
    <x v="1"/>
    <s v="44339401001001"/>
    <n v="-33.880000000000003"/>
    <n v="1383"/>
    <n v="1"/>
    <n v="1"/>
  </r>
  <r>
    <m/>
    <m/>
    <x v="1"/>
    <s v="44353961001003"/>
    <n v="-20.68"/>
    <n v="844"/>
    <n v="1"/>
    <n v="1"/>
  </r>
  <r>
    <m/>
    <m/>
    <x v="1"/>
    <s v="44355501001004"/>
    <n v="-0.59"/>
    <n v="24"/>
    <n v="1"/>
    <n v="1"/>
  </r>
  <r>
    <m/>
    <m/>
    <x v="1"/>
    <s v="44378391001002"/>
    <n v="-4.7"/>
    <n v="192"/>
    <n v="1"/>
    <n v="1"/>
  </r>
  <r>
    <m/>
    <m/>
    <x v="1"/>
    <s v="44431101001001"/>
    <n v="-13.01"/>
    <n v="531"/>
    <n v="1"/>
    <n v="1"/>
  </r>
  <r>
    <m/>
    <m/>
    <x v="1"/>
    <s v="44437261002001"/>
    <n v="-43.02"/>
    <n v="1756"/>
    <n v="1"/>
    <n v="1"/>
  </r>
  <r>
    <m/>
    <m/>
    <x v="1"/>
    <s v="44449861003001"/>
    <n v="-45.99"/>
    <n v="1877"/>
    <n v="1"/>
    <n v="1"/>
  </r>
  <r>
    <m/>
    <m/>
    <x v="1"/>
    <s v="44468901001002"/>
    <n v="-13.74"/>
    <n v="561"/>
    <n v="1"/>
    <n v="1"/>
  </r>
  <r>
    <m/>
    <m/>
    <x v="1"/>
    <s v="44485551001001"/>
    <n v="-19.45"/>
    <n v="794"/>
    <n v="1"/>
    <n v="1"/>
  </r>
  <r>
    <m/>
    <m/>
    <x v="1"/>
    <s v="44487731001001"/>
    <n v="-3.6"/>
    <n v="147"/>
    <n v="1"/>
    <n v="1"/>
  </r>
  <r>
    <m/>
    <m/>
    <x v="1"/>
    <s v="44496438001001"/>
    <n v="-19.399999999999999"/>
    <n v="792"/>
    <n v="1"/>
    <n v="1"/>
  </r>
  <r>
    <m/>
    <m/>
    <x v="1"/>
    <s v="44500471002001"/>
    <n v="-42.95"/>
    <n v="1753"/>
    <n v="1"/>
    <n v="1"/>
  </r>
  <r>
    <m/>
    <m/>
    <x v="1"/>
    <s v="44524271001003"/>
    <n v="-10.09"/>
    <n v="412"/>
    <n v="1"/>
    <n v="1"/>
  </r>
  <r>
    <m/>
    <m/>
    <x v="1"/>
    <s v="44530221003001"/>
    <n v="-29.11"/>
    <n v="1188"/>
    <n v="1"/>
    <n v="1"/>
  </r>
  <r>
    <m/>
    <m/>
    <x v="1"/>
    <s v="44588111004001"/>
    <n v="-36.53"/>
    <n v="1491"/>
    <n v="1"/>
    <n v="1"/>
  </r>
  <r>
    <m/>
    <m/>
    <x v="1"/>
    <s v="44636061001001"/>
    <n v="-20.97"/>
    <n v="856"/>
    <n v="1"/>
    <n v="1"/>
  </r>
  <r>
    <m/>
    <m/>
    <x v="1"/>
    <s v="44697801002002"/>
    <n v="-12.52"/>
    <n v="511"/>
    <n v="1"/>
    <n v="1"/>
  </r>
  <r>
    <m/>
    <m/>
    <x v="1"/>
    <s v="44711031001001"/>
    <n v="-4.41"/>
    <n v="180"/>
    <n v="1"/>
    <n v="1"/>
  </r>
  <r>
    <m/>
    <m/>
    <x v="1"/>
    <s v="44711731001005"/>
    <n v="-13.18"/>
    <n v="538"/>
    <n v="1"/>
    <n v="1"/>
  </r>
  <r>
    <m/>
    <m/>
    <x v="1"/>
    <s v="44716981001002"/>
    <n v="-32.22"/>
    <n v="1315"/>
    <n v="1"/>
    <n v="1"/>
  </r>
  <r>
    <m/>
    <m/>
    <x v="1"/>
    <s v="44717961001001"/>
    <n v="-5.0999999999999996"/>
    <n v="208"/>
    <n v="1"/>
    <n v="1"/>
  </r>
  <r>
    <m/>
    <m/>
    <x v="1"/>
    <s v="44726851001001"/>
    <n v="-52.31"/>
    <n v="2135"/>
    <n v="1"/>
    <n v="1"/>
  </r>
  <r>
    <m/>
    <m/>
    <x v="1"/>
    <s v="44760031004001"/>
    <n v="-21.02"/>
    <n v="858"/>
    <n v="1"/>
    <n v="1"/>
  </r>
  <r>
    <m/>
    <m/>
    <x v="1"/>
    <s v="44765141002005"/>
    <n v="-0.83"/>
    <n v="34"/>
    <n v="1"/>
    <n v="1"/>
  </r>
  <r>
    <m/>
    <m/>
    <x v="1"/>
    <s v="44797411005020"/>
    <n v="-10.93"/>
    <n v="446"/>
    <n v="1"/>
    <n v="1"/>
  </r>
  <r>
    <m/>
    <m/>
    <x v="1"/>
    <s v="44805881002002"/>
    <n v="-25.19"/>
    <n v="1028"/>
    <n v="1"/>
    <n v="1"/>
  </r>
  <r>
    <m/>
    <m/>
    <x v="1"/>
    <s v="44811481003005"/>
    <n v="-7.82"/>
    <n v="319"/>
    <n v="1"/>
    <n v="1"/>
  </r>
  <r>
    <m/>
    <m/>
    <x v="1"/>
    <s v="44813091001002"/>
    <n v="-14.48"/>
    <n v="591"/>
    <n v="1"/>
    <n v="1"/>
  </r>
  <r>
    <m/>
    <m/>
    <x v="1"/>
    <s v="44827301001001"/>
    <n v="-19.600000000000001"/>
    <n v="800"/>
    <n v="1"/>
    <n v="1"/>
  </r>
  <r>
    <m/>
    <m/>
    <x v="1"/>
    <s v="44847951001001"/>
    <n v="-26.19"/>
    <n v="1069"/>
    <n v="1"/>
    <n v="1"/>
  </r>
  <r>
    <m/>
    <m/>
    <x v="1"/>
    <s v="44848161001001"/>
    <n v="-27"/>
    <n v="1102"/>
    <n v="1"/>
    <n v="1"/>
  </r>
  <r>
    <m/>
    <m/>
    <x v="1"/>
    <s v="44876721001002"/>
    <n v="-20.29"/>
    <n v="828"/>
    <n v="1"/>
    <n v="1"/>
  </r>
  <r>
    <m/>
    <m/>
    <x v="1"/>
    <s v="44882082003001"/>
    <n v="-8.4"/>
    <n v="343"/>
    <n v="1"/>
    <n v="1"/>
  </r>
  <r>
    <m/>
    <m/>
    <x v="1"/>
    <s v="44883581001001"/>
    <n v="-17.54"/>
    <n v="716"/>
    <n v="1"/>
    <n v="1"/>
  </r>
  <r>
    <m/>
    <m/>
    <x v="1"/>
    <s v="44905351001002"/>
    <n v="-17"/>
    <n v="694"/>
    <n v="1"/>
    <n v="1"/>
  </r>
  <r>
    <m/>
    <m/>
    <x v="1"/>
    <s v="44908641001004"/>
    <n v="-12.47"/>
    <n v="509"/>
    <n v="1"/>
    <n v="1"/>
  </r>
  <r>
    <m/>
    <m/>
    <x v="1"/>
    <s v="44908781005003"/>
    <n v="-1.86"/>
    <n v="76"/>
    <n v="1"/>
    <n v="1"/>
  </r>
  <r>
    <m/>
    <m/>
    <x v="1"/>
    <s v="44943221001001"/>
    <n v="-28.35"/>
    <n v="1157"/>
    <n v="1"/>
    <n v="1"/>
  </r>
  <r>
    <m/>
    <m/>
    <x v="1"/>
    <s v="44983121001001"/>
    <n v="-14.82"/>
    <n v="605"/>
    <n v="1"/>
    <n v="1"/>
  </r>
  <r>
    <m/>
    <m/>
    <x v="1"/>
    <s v="44995231002001"/>
    <n v="-11.49"/>
    <n v="469"/>
    <n v="1"/>
    <n v="1"/>
  </r>
  <r>
    <m/>
    <m/>
    <x v="1"/>
    <s v="45037931001001"/>
    <n v="-22.05"/>
    <n v="900"/>
    <n v="1"/>
    <n v="1"/>
  </r>
  <r>
    <m/>
    <m/>
    <x v="1"/>
    <s v="45042901001001"/>
    <n v="-24.28"/>
    <n v="991"/>
    <n v="1"/>
    <n v="1"/>
  </r>
  <r>
    <m/>
    <m/>
    <x v="1"/>
    <s v="45045911001001"/>
    <n v="-20.190000000000001"/>
    <n v="824"/>
    <n v="1"/>
    <n v="1"/>
  </r>
  <r>
    <m/>
    <m/>
    <x v="1"/>
    <s v="45045981001003"/>
    <n v="-10.31"/>
    <n v="421"/>
    <n v="1"/>
    <n v="1"/>
  </r>
  <r>
    <m/>
    <m/>
    <x v="1"/>
    <s v="45049061001001"/>
    <n v="-2.25"/>
    <n v="92"/>
    <n v="1"/>
    <n v="1"/>
  </r>
  <r>
    <m/>
    <m/>
    <x v="1"/>
    <s v="45051231004001"/>
    <n v="-14.97"/>
    <n v="611"/>
    <n v="1"/>
    <n v="1"/>
  </r>
  <r>
    <m/>
    <m/>
    <x v="1"/>
    <s v="45060821001003"/>
    <n v="-13.7"/>
    <n v="559"/>
    <n v="1"/>
    <n v="1"/>
  </r>
  <r>
    <m/>
    <m/>
    <x v="1"/>
    <s v="45087071001001"/>
    <n v="-38.42"/>
    <n v="1568"/>
    <n v="1"/>
    <n v="1"/>
  </r>
  <r>
    <m/>
    <m/>
    <x v="1"/>
    <s v="45128721001001"/>
    <n v="-11.34"/>
    <n v="463"/>
    <n v="1"/>
    <n v="1"/>
  </r>
  <r>
    <m/>
    <m/>
    <x v="1"/>
    <s v="45155461001001"/>
    <n v="-31.34"/>
    <n v="1279"/>
    <n v="1"/>
    <n v="1"/>
  </r>
  <r>
    <m/>
    <m/>
    <x v="1"/>
    <s v="45161551001001"/>
    <n v="-21.32"/>
    <n v="870"/>
    <n v="1"/>
    <n v="1"/>
  </r>
  <r>
    <m/>
    <m/>
    <x v="1"/>
    <s v="45185561001003"/>
    <n v="-33.03"/>
    <n v="1348"/>
    <n v="1"/>
    <n v="1"/>
  </r>
  <r>
    <m/>
    <m/>
    <x v="1"/>
    <s v="45188011001001"/>
    <n v="-11.49"/>
    <n v="469"/>
    <n v="1"/>
    <n v="1"/>
  </r>
  <r>
    <m/>
    <m/>
    <x v="1"/>
    <s v="45200191001001"/>
    <n v="-15.51"/>
    <n v="633"/>
    <n v="1"/>
    <n v="1"/>
  </r>
  <r>
    <m/>
    <m/>
    <x v="1"/>
    <s v="45200681004001"/>
    <n v="-12.94"/>
    <n v="528"/>
    <n v="1"/>
    <n v="1"/>
  </r>
  <r>
    <m/>
    <m/>
    <x v="1"/>
    <s v="45206841001001"/>
    <n v="-29.67"/>
    <n v="1211"/>
    <n v="1"/>
    <n v="1"/>
  </r>
  <r>
    <m/>
    <m/>
    <x v="1"/>
    <s v="45253371002003"/>
    <n v="-16.22"/>
    <n v="662"/>
    <n v="1"/>
    <n v="1"/>
  </r>
  <r>
    <m/>
    <m/>
    <x v="1"/>
    <s v="45272991001001"/>
    <n v="-3.82"/>
    <n v="156"/>
    <n v="1"/>
    <n v="1"/>
  </r>
  <r>
    <m/>
    <m/>
    <x v="1"/>
    <s v="45329621001002"/>
    <n v="-48.36"/>
    <n v="1974"/>
    <n v="1"/>
    <n v="1"/>
  </r>
  <r>
    <m/>
    <m/>
    <x v="1"/>
    <s v="45381281001001"/>
    <n v="-1.84"/>
    <n v="75"/>
    <n v="1"/>
    <n v="1"/>
  </r>
  <r>
    <m/>
    <m/>
    <x v="1"/>
    <s v="45384011001002"/>
    <n v="-28.59"/>
    <n v="1167"/>
    <n v="1"/>
    <n v="1"/>
  </r>
  <r>
    <m/>
    <m/>
    <x v="1"/>
    <s v="45435111001002"/>
    <n v="-17.64"/>
    <n v="720"/>
    <n v="1"/>
    <n v="1"/>
  </r>
  <r>
    <m/>
    <m/>
    <x v="1"/>
    <s v="45443161001003"/>
    <n v="-16.170000000000002"/>
    <n v="660"/>
    <n v="1"/>
    <n v="1"/>
  </r>
  <r>
    <m/>
    <m/>
    <x v="1"/>
    <s v="45455716004001"/>
    <n v="-48.56"/>
    <n v="1982"/>
    <n v="1"/>
    <n v="1"/>
  </r>
  <r>
    <m/>
    <m/>
    <x v="1"/>
    <s v="45487611001002"/>
    <n v="-15.09"/>
    <n v="616"/>
    <n v="1"/>
    <n v="1"/>
  </r>
  <r>
    <m/>
    <m/>
    <x v="1"/>
    <s v="45508261001001"/>
    <n v="-11.32"/>
    <n v="462"/>
    <n v="1"/>
    <n v="1"/>
  </r>
  <r>
    <m/>
    <m/>
    <x v="1"/>
    <s v="45595131003001"/>
    <n v="-1.18"/>
    <n v="48"/>
    <n v="1"/>
    <n v="1"/>
  </r>
  <r>
    <m/>
    <m/>
    <x v="1"/>
    <s v="45599751001003"/>
    <n v="-8.82"/>
    <n v="360"/>
    <n v="1"/>
    <n v="1"/>
  </r>
  <r>
    <m/>
    <m/>
    <x v="1"/>
    <s v="45628101001001"/>
    <n v="-29.45"/>
    <n v="1202"/>
    <n v="1"/>
    <n v="1"/>
  </r>
  <r>
    <m/>
    <m/>
    <x v="1"/>
    <s v="45634593001005"/>
    <n v="-3.92"/>
    <n v="160"/>
    <n v="1"/>
    <n v="1"/>
  </r>
  <r>
    <m/>
    <m/>
    <x v="1"/>
    <s v="45692851001002"/>
    <n v="-7.4"/>
    <n v="302"/>
    <n v="1"/>
    <n v="1"/>
  </r>
  <r>
    <m/>
    <m/>
    <x v="1"/>
    <s v="45755151003001"/>
    <n v="-28.03"/>
    <n v="1144"/>
    <n v="1"/>
    <n v="1"/>
  </r>
  <r>
    <m/>
    <m/>
    <x v="1"/>
    <s v="45765931005001"/>
    <n v="-26.29"/>
    <n v="1073"/>
    <n v="1"/>
    <n v="1"/>
  </r>
  <r>
    <m/>
    <m/>
    <x v="1"/>
    <s v="45788681002001"/>
    <n v="-7.3"/>
    <n v="298"/>
    <n v="1"/>
    <n v="1"/>
  </r>
  <r>
    <m/>
    <m/>
    <x v="1"/>
    <s v="45796661003006"/>
    <n v="-16.91"/>
    <n v="690"/>
    <n v="1"/>
    <n v="1"/>
  </r>
  <r>
    <m/>
    <m/>
    <x v="1"/>
    <s v="45796731002001"/>
    <n v="-3.92"/>
    <n v="160"/>
    <n v="1"/>
    <n v="1"/>
  </r>
  <r>
    <m/>
    <m/>
    <x v="1"/>
    <s v="45818361008003"/>
    <n v="-5.61"/>
    <n v="229"/>
    <n v="1"/>
    <n v="1"/>
  </r>
  <r>
    <m/>
    <m/>
    <x v="1"/>
    <s v="45846991001001"/>
    <n v="-42.46"/>
    <n v="1733"/>
    <n v="1"/>
    <n v="1"/>
  </r>
  <r>
    <m/>
    <m/>
    <x v="1"/>
    <s v="45848321002005"/>
    <n v="-3.36"/>
    <n v="137"/>
    <n v="1"/>
    <n v="1"/>
  </r>
  <r>
    <m/>
    <m/>
    <x v="1"/>
    <s v="45851261001001"/>
    <n v="-27.71"/>
    <n v="1131"/>
    <n v="1"/>
    <n v="1"/>
  </r>
  <r>
    <m/>
    <m/>
    <x v="1"/>
    <s v="45855951001001"/>
    <n v="-20.75"/>
    <n v="847"/>
    <n v="1"/>
    <n v="1"/>
  </r>
  <r>
    <m/>
    <m/>
    <x v="1"/>
    <s v="45861481003001"/>
    <n v="-10.29"/>
    <n v="420"/>
    <n v="1"/>
    <n v="1"/>
  </r>
  <r>
    <m/>
    <m/>
    <x v="1"/>
    <s v="45923431004001"/>
    <n v="-34.42"/>
    <n v="1405"/>
    <n v="1"/>
    <n v="1"/>
  </r>
  <r>
    <m/>
    <m/>
    <x v="1"/>
    <s v="45929941001001"/>
    <n v="-8.0399999999999991"/>
    <n v="328"/>
    <n v="1"/>
    <n v="1"/>
  </r>
  <r>
    <m/>
    <m/>
    <x v="1"/>
    <s v="45955491001002"/>
    <n v="-19.579999999999998"/>
    <n v="799"/>
    <n v="1"/>
    <n v="1"/>
  </r>
  <r>
    <m/>
    <m/>
    <x v="1"/>
    <s v="46002181001004"/>
    <n v="-21.27"/>
    <n v="868"/>
    <n v="1"/>
    <n v="1"/>
  </r>
  <r>
    <m/>
    <m/>
    <x v="1"/>
    <s v="46067776002003"/>
    <n v="-10.44"/>
    <n v="426"/>
    <n v="1"/>
    <n v="1"/>
  </r>
  <r>
    <m/>
    <m/>
    <x v="1"/>
    <s v="46087791001001"/>
    <n v="-24.11"/>
    <n v="984"/>
    <n v="1"/>
    <n v="1"/>
  </r>
  <r>
    <m/>
    <m/>
    <x v="1"/>
    <s v="46096471001002"/>
    <n v="-6.39"/>
    <n v="261"/>
    <n v="1"/>
    <n v="1"/>
  </r>
  <r>
    <m/>
    <m/>
    <x v="1"/>
    <s v="46108706001003"/>
    <n v="-30.92"/>
    <n v="1262"/>
    <n v="1"/>
    <n v="1"/>
  </r>
  <r>
    <m/>
    <m/>
    <x v="1"/>
    <s v="46109911001006"/>
    <n v="-10.8"/>
    <n v="441"/>
    <n v="1"/>
    <n v="1"/>
  </r>
  <r>
    <m/>
    <m/>
    <x v="1"/>
    <s v="46115161001001"/>
    <n v="-16.190000000000001"/>
    <n v="661"/>
    <n v="1"/>
    <n v="1"/>
  </r>
  <r>
    <m/>
    <m/>
    <x v="1"/>
    <s v="46127621002001"/>
    <n v="-49.07"/>
    <n v="2003"/>
    <n v="1"/>
    <n v="1"/>
  </r>
  <r>
    <m/>
    <m/>
    <x v="1"/>
    <s v="46140781001002"/>
    <n v="-5.9"/>
    <n v="241"/>
    <n v="1"/>
    <n v="1"/>
  </r>
  <r>
    <m/>
    <m/>
    <x v="1"/>
    <s v="46181801006035"/>
    <n v="-25.06"/>
    <n v="1023"/>
    <n v="1"/>
    <n v="1"/>
  </r>
  <r>
    <m/>
    <m/>
    <x v="1"/>
    <s v="46208961001005"/>
    <n v="-4.0199999999999996"/>
    <n v="164"/>
    <n v="1"/>
    <n v="1"/>
  </r>
  <r>
    <m/>
    <m/>
    <x v="1"/>
    <s v="46227600003001"/>
    <n v="-4.29"/>
    <n v="175"/>
    <n v="1"/>
    <n v="1"/>
  </r>
  <r>
    <m/>
    <m/>
    <x v="1"/>
    <s v="46228281001002"/>
    <n v="-6.86"/>
    <n v="280"/>
    <n v="1"/>
    <n v="1"/>
  </r>
  <r>
    <m/>
    <m/>
    <x v="1"/>
    <s v="46332861005002"/>
    <n v="-43.14"/>
    <n v="1761"/>
    <n v="1"/>
    <n v="1"/>
  </r>
  <r>
    <m/>
    <m/>
    <x v="1"/>
    <s v="46341751001001"/>
    <n v="-39.49"/>
    <n v="1612"/>
    <n v="1"/>
    <n v="1"/>
  </r>
  <r>
    <m/>
    <m/>
    <x v="1"/>
    <s v="46350571001003"/>
    <n v="-0.78"/>
    <n v="32"/>
    <n v="1"/>
    <n v="1"/>
  </r>
  <r>
    <m/>
    <m/>
    <x v="1"/>
    <s v="46392431004003"/>
    <n v="-18.3"/>
    <n v="747"/>
    <n v="1"/>
    <n v="1"/>
  </r>
  <r>
    <m/>
    <m/>
    <x v="1"/>
    <s v="46403001005001"/>
    <n v="-26.41"/>
    <n v="1078"/>
    <n v="1"/>
    <n v="1"/>
  </r>
  <r>
    <m/>
    <m/>
    <x v="1"/>
    <s v="46447731001002"/>
    <n v="-20.14"/>
    <n v="822"/>
    <n v="1"/>
    <n v="1"/>
  </r>
  <r>
    <m/>
    <m/>
    <x v="1"/>
    <s v="46459421003005"/>
    <n v="-13.18"/>
    <n v="538"/>
    <n v="1"/>
    <n v="1"/>
  </r>
  <r>
    <m/>
    <m/>
    <x v="1"/>
    <s v="46461591002001"/>
    <n v="-12.4"/>
    <n v="506"/>
    <n v="1"/>
    <n v="1"/>
  </r>
  <r>
    <m/>
    <m/>
    <x v="1"/>
    <s v="46484481001004"/>
    <n v="-40.47"/>
    <n v="1652"/>
    <n v="1"/>
    <n v="1"/>
  </r>
  <r>
    <m/>
    <m/>
    <x v="1"/>
    <s v="46562181001001"/>
    <n v="-23.62"/>
    <n v="964"/>
    <n v="1"/>
    <n v="1"/>
  </r>
  <r>
    <m/>
    <m/>
    <x v="1"/>
    <s v="46613701001001"/>
    <n v="-19.329999999999998"/>
    <n v="789"/>
    <n v="1"/>
    <n v="1"/>
  </r>
  <r>
    <m/>
    <m/>
    <x v="1"/>
    <s v="46689301001005"/>
    <n v="-5.86"/>
    <n v="239"/>
    <n v="1"/>
    <n v="1"/>
  </r>
  <r>
    <m/>
    <m/>
    <x v="1"/>
    <s v="46747261004013"/>
    <n v="-8.2100000000000009"/>
    <n v="335"/>
    <n v="1"/>
    <n v="1"/>
  </r>
  <r>
    <m/>
    <m/>
    <x v="1"/>
    <s v="46749431002001"/>
    <n v="-1.89"/>
    <n v="77"/>
    <n v="1"/>
    <n v="1"/>
  </r>
  <r>
    <m/>
    <m/>
    <x v="1"/>
    <s v="46774841003005"/>
    <n v="-18.96"/>
    <n v="774"/>
    <n v="1"/>
    <n v="1"/>
  </r>
  <r>
    <m/>
    <m/>
    <x v="1"/>
    <s v="46806971002001"/>
    <n v="-26.63"/>
    <n v="1087"/>
    <n v="1"/>
    <n v="1"/>
  </r>
  <r>
    <m/>
    <m/>
    <x v="1"/>
    <s v="46868991001001"/>
    <n v="-9.82"/>
    <n v="401"/>
    <n v="1"/>
    <n v="1"/>
  </r>
  <r>
    <m/>
    <m/>
    <x v="1"/>
    <s v="46933740002003"/>
    <n v="-2.08"/>
    <n v="85"/>
    <n v="1"/>
    <n v="1"/>
  </r>
  <r>
    <m/>
    <m/>
    <x v="1"/>
    <s v="46955931001002"/>
    <n v="-1.03"/>
    <n v="42"/>
    <n v="1"/>
    <n v="1"/>
  </r>
  <r>
    <m/>
    <m/>
    <x v="1"/>
    <s v="47056381002002"/>
    <n v="-22.59"/>
    <n v="922"/>
    <n v="1"/>
    <n v="1"/>
  </r>
  <r>
    <m/>
    <m/>
    <x v="1"/>
    <s v="47142060001003"/>
    <n v="-5.15"/>
    <n v="210"/>
    <n v="1"/>
    <n v="1"/>
  </r>
  <r>
    <m/>
    <m/>
    <x v="1"/>
    <s v="47162081002004"/>
    <n v="-15.85"/>
    <n v="647"/>
    <n v="1"/>
    <n v="1"/>
  </r>
  <r>
    <m/>
    <m/>
    <x v="1"/>
    <s v="47164607001003"/>
    <n v="-4.8499999999999996"/>
    <n v="198"/>
    <n v="1"/>
    <n v="1"/>
  </r>
  <r>
    <m/>
    <m/>
    <x v="1"/>
    <s v="47166561001004"/>
    <n v="-27.39"/>
    <n v="1118"/>
    <n v="1"/>
    <n v="1"/>
  </r>
  <r>
    <m/>
    <m/>
    <x v="1"/>
    <s v="47167121008001"/>
    <n v="-37.14"/>
    <n v="1516"/>
    <n v="1"/>
    <n v="1"/>
  </r>
  <r>
    <m/>
    <m/>
    <x v="1"/>
    <s v="47184061008001"/>
    <n v="-0.56000000000000005"/>
    <n v="23"/>
    <n v="1"/>
    <n v="1"/>
  </r>
  <r>
    <m/>
    <m/>
    <x v="1"/>
    <s v="47203101003001"/>
    <n v="-31.43"/>
    <n v="1283"/>
    <n v="1"/>
    <n v="1"/>
  </r>
  <r>
    <m/>
    <m/>
    <x v="1"/>
    <s v="47210031006001"/>
    <n v="-29.67"/>
    <n v="1211"/>
    <n v="1"/>
    <n v="1"/>
  </r>
  <r>
    <m/>
    <m/>
    <x v="1"/>
    <s v="47227107001005"/>
    <n v="-4.68"/>
    <n v="191"/>
    <n v="1"/>
    <n v="1"/>
  </r>
  <r>
    <m/>
    <m/>
    <x v="1"/>
    <s v="47234572001003"/>
    <n v="-5.41"/>
    <n v="221"/>
    <n v="1"/>
    <n v="1"/>
  </r>
  <r>
    <m/>
    <m/>
    <x v="1"/>
    <s v="47282621001001"/>
    <n v="-2.6"/>
    <n v="106"/>
    <n v="1"/>
    <n v="1"/>
  </r>
  <r>
    <m/>
    <m/>
    <x v="1"/>
    <s v="47299108003003"/>
    <n v="-8.99"/>
    <n v="367"/>
    <n v="1"/>
    <n v="1"/>
  </r>
  <r>
    <m/>
    <m/>
    <x v="1"/>
    <s v="47309151001003"/>
    <n v="-9.02"/>
    <n v="368"/>
    <n v="1"/>
    <n v="1"/>
  </r>
  <r>
    <m/>
    <m/>
    <x v="1"/>
    <s v="47309291001002"/>
    <n v="-1.94"/>
    <n v="79"/>
    <n v="1"/>
    <n v="1"/>
  </r>
  <r>
    <m/>
    <m/>
    <x v="1"/>
    <s v="47315031001007"/>
    <n v="-5.12"/>
    <n v="209"/>
    <n v="1"/>
    <n v="1"/>
  </r>
  <r>
    <m/>
    <m/>
    <x v="1"/>
    <s v="47328121002001"/>
    <n v="-21.17"/>
    <n v="864"/>
    <n v="1"/>
    <n v="1"/>
  </r>
  <r>
    <m/>
    <m/>
    <x v="1"/>
    <s v="47335261001008"/>
    <n v="-14.9"/>
    <n v="608"/>
    <n v="1"/>
    <n v="1"/>
  </r>
  <r>
    <m/>
    <m/>
    <x v="1"/>
    <s v="47404141001001"/>
    <n v="-15.19"/>
    <n v="620"/>
    <n v="1"/>
    <n v="1"/>
  </r>
  <r>
    <m/>
    <m/>
    <x v="1"/>
    <s v="47418141001001"/>
    <n v="-19.329999999999998"/>
    <n v="789"/>
    <n v="1"/>
    <n v="1"/>
  </r>
  <r>
    <m/>
    <m/>
    <x v="1"/>
    <s v="47484221001003"/>
    <n v="-3.7"/>
    <n v="151"/>
    <n v="1"/>
    <n v="1"/>
  </r>
  <r>
    <m/>
    <m/>
    <x v="1"/>
    <s v="47496751010001"/>
    <n v="-12.32"/>
    <n v="503"/>
    <n v="1"/>
    <n v="1"/>
  </r>
  <r>
    <m/>
    <m/>
    <x v="1"/>
    <s v="47505992001004"/>
    <n v="-39.979999999999997"/>
    <n v="1632"/>
    <n v="1"/>
    <n v="1"/>
  </r>
  <r>
    <m/>
    <m/>
    <x v="1"/>
    <s v="47543441001004"/>
    <n v="-19.36"/>
    <n v="790"/>
    <n v="1"/>
    <n v="1"/>
  </r>
  <r>
    <m/>
    <m/>
    <x v="1"/>
    <s v="47558607001001"/>
    <n v="-13.55"/>
    <n v="553"/>
    <n v="1"/>
    <n v="1"/>
  </r>
  <r>
    <m/>
    <m/>
    <x v="1"/>
    <s v="47567311002006"/>
    <n v="-20.14"/>
    <n v="822"/>
    <n v="1"/>
    <n v="1"/>
  </r>
  <r>
    <m/>
    <m/>
    <x v="1"/>
    <s v="47593271001001"/>
    <n v="-9.4600000000000009"/>
    <n v="386"/>
    <n v="1"/>
    <n v="1"/>
  </r>
  <r>
    <m/>
    <m/>
    <x v="1"/>
    <s v="47598881005001"/>
    <n v="-9.7799999999999994"/>
    <n v="399"/>
    <n v="1"/>
    <n v="1"/>
  </r>
  <r>
    <m/>
    <m/>
    <x v="1"/>
    <s v="47603221004001"/>
    <n v="-0.56000000000000005"/>
    <n v="23"/>
    <n v="1"/>
    <n v="1"/>
  </r>
  <r>
    <m/>
    <m/>
    <x v="1"/>
    <s v="47614561003007"/>
    <n v="-7.72"/>
    <n v="315"/>
    <n v="1"/>
    <n v="1"/>
  </r>
  <r>
    <m/>
    <m/>
    <x v="1"/>
    <s v="47671401001005"/>
    <n v="-31.97"/>
    <n v="1305"/>
    <n v="1"/>
    <n v="1"/>
  </r>
  <r>
    <m/>
    <m/>
    <x v="1"/>
    <s v="47673221001005"/>
    <n v="-8.48"/>
    <n v="346"/>
    <n v="1"/>
    <n v="1"/>
  </r>
  <r>
    <m/>
    <m/>
    <x v="1"/>
    <s v="47696251001001"/>
    <n v="-14.16"/>
    <n v="578"/>
    <n v="1"/>
    <n v="1"/>
  </r>
  <r>
    <m/>
    <m/>
    <x v="1"/>
    <s v="47707871002001"/>
    <n v="-25.68"/>
    <n v="1048"/>
    <n v="1"/>
    <n v="1"/>
  </r>
  <r>
    <m/>
    <m/>
    <x v="1"/>
    <s v="47759881007003"/>
    <n v="-5.37"/>
    <n v="219"/>
    <n v="1"/>
    <n v="1"/>
  </r>
  <r>
    <m/>
    <m/>
    <x v="1"/>
    <s v="47778151001004"/>
    <n v="-53.68"/>
    <n v="2191"/>
    <n v="1"/>
    <n v="1"/>
  </r>
  <r>
    <m/>
    <m/>
    <x v="1"/>
    <s v="47795791001001"/>
    <n v="-17.27"/>
    <n v="705"/>
    <n v="1"/>
    <n v="1"/>
  </r>
  <r>
    <m/>
    <m/>
    <x v="1"/>
    <s v="47848571001001"/>
    <n v="-8.01"/>
    <n v="327"/>
    <n v="1"/>
    <n v="1"/>
  </r>
  <r>
    <m/>
    <m/>
    <x v="1"/>
    <s v="47849621001003"/>
    <n v="-17.64"/>
    <n v="720"/>
    <n v="1"/>
    <n v="1"/>
  </r>
  <r>
    <m/>
    <m/>
    <x v="1"/>
    <s v="47863481003003"/>
    <n v="-22.52"/>
    <n v="919"/>
    <n v="1"/>
    <n v="1"/>
  </r>
  <r>
    <m/>
    <m/>
    <x v="1"/>
    <s v="47865371001001"/>
    <n v="-12.47"/>
    <n v="509"/>
    <n v="1"/>
    <n v="1"/>
  </r>
  <r>
    <m/>
    <m/>
    <x v="1"/>
    <s v="47871671002003"/>
    <n v="-1.67"/>
    <n v="68"/>
    <n v="1"/>
    <n v="1"/>
  </r>
  <r>
    <m/>
    <m/>
    <x v="1"/>
    <s v="47874432001002"/>
    <n v="-25.5"/>
    <n v="1041"/>
    <n v="1"/>
    <n v="1"/>
  </r>
  <r>
    <m/>
    <m/>
    <x v="1"/>
    <s v="47902401001001"/>
    <n v="-30.01"/>
    <n v="1225"/>
    <n v="1"/>
    <n v="1"/>
  </r>
  <r>
    <m/>
    <m/>
    <x v="1"/>
    <s v="47907721006007"/>
    <n v="-21.12"/>
    <n v="862"/>
    <n v="1"/>
    <n v="1"/>
  </r>
  <r>
    <m/>
    <m/>
    <x v="1"/>
    <s v="47951681001003"/>
    <n v="-11.47"/>
    <n v="468"/>
    <n v="1"/>
    <n v="1"/>
  </r>
  <r>
    <m/>
    <m/>
    <x v="1"/>
    <s v="48019581004001"/>
    <n v="-14.31"/>
    <n v="584"/>
    <n v="1"/>
    <n v="1"/>
  </r>
  <r>
    <m/>
    <m/>
    <x v="1"/>
    <s v="48037431004001"/>
    <n v="-22.27"/>
    <n v="909"/>
    <n v="1"/>
    <n v="1"/>
  </r>
  <r>
    <m/>
    <m/>
    <x v="1"/>
    <s v="48051781001007"/>
    <n v="-35.67"/>
    <n v="1456"/>
    <n v="1"/>
    <n v="1"/>
  </r>
  <r>
    <m/>
    <m/>
    <x v="1"/>
    <s v="48090281007001"/>
    <n v="-35.619999999999997"/>
    <n v="1454"/>
    <n v="1"/>
    <n v="1"/>
  </r>
  <r>
    <m/>
    <m/>
    <x v="1"/>
    <s v="48098261002004"/>
    <n v="-10.66"/>
    <n v="435"/>
    <n v="1"/>
    <n v="1"/>
  </r>
  <r>
    <m/>
    <m/>
    <x v="1"/>
    <s v="48098490001001"/>
    <n v="-24.48"/>
    <n v="999"/>
    <n v="1"/>
    <n v="1"/>
  </r>
  <r>
    <m/>
    <m/>
    <x v="1"/>
    <s v="48109251001002"/>
    <n v="-9.3800000000000008"/>
    <n v="383"/>
    <n v="1"/>
    <n v="1"/>
  </r>
  <r>
    <m/>
    <m/>
    <x v="1"/>
    <s v="48121991001001"/>
    <n v="-10.07"/>
    <n v="411"/>
    <n v="1"/>
    <n v="1"/>
  </r>
  <r>
    <m/>
    <m/>
    <x v="1"/>
    <s v="48201931003002"/>
    <n v="-23.45"/>
    <n v="957"/>
    <n v="1"/>
    <n v="1"/>
  </r>
  <r>
    <m/>
    <m/>
    <x v="1"/>
    <s v="48227142001001"/>
    <n v="-14.6"/>
    <n v="596"/>
    <n v="1"/>
    <n v="1"/>
  </r>
  <r>
    <m/>
    <m/>
    <x v="1"/>
    <s v="48244561001001"/>
    <n v="-22.49"/>
    <n v="918"/>
    <n v="1"/>
    <n v="1"/>
  </r>
  <r>
    <m/>
    <m/>
    <x v="1"/>
    <s v="48270598001001"/>
    <n v="-30.77"/>
    <n v="1256"/>
    <n v="1"/>
    <n v="1"/>
  </r>
  <r>
    <m/>
    <m/>
    <x v="1"/>
    <s v="48320511001002"/>
    <n v="-14.23"/>
    <n v="581"/>
    <n v="1"/>
    <n v="1"/>
  </r>
  <r>
    <m/>
    <m/>
    <x v="1"/>
    <s v="48498657001001"/>
    <n v="-8.4"/>
    <n v="343"/>
    <n v="1"/>
    <n v="1"/>
  </r>
  <r>
    <m/>
    <m/>
    <x v="1"/>
    <s v="48520235002004"/>
    <n v="-2.06"/>
    <n v="84"/>
    <n v="1"/>
    <n v="1"/>
  </r>
  <r>
    <m/>
    <m/>
    <x v="1"/>
    <s v="48622948001002"/>
    <n v="-14.72"/>
    <n v="601"/>
    <n v="1"/>
    <n v="1"/>
  </r>
  <r>
    <m/>
    <m/>
    <x v="1"/>
    <s v="48676391001001"/>
    <n v="-18.18"/>
    <n v="742"/>
    <n v="1"/>
    <n v="1"/>
  </r>
  <r>
    <m/>
    <m/>
    <x v="1"/>
    <s v="48754161004001"/>
    <n v="-46.92"/>
    <n v="1915"/>
    <n v="1"/>
    <n v="1"/>
  </r>
  <r>
    <m/>
    <m/>
    <x v="1"/>
    <s v="48919522001001"/>
    <n v="-22.79"/>
    <n v="930"/>
    <n v="1"/>
    <n v="1"/>
  </r>
  <r>
    <m/>
    <m/>
    <x v="1"/>
    <s v="48925311003003"/>
    <n v="-12.84"/>
    <n v="524"/>
    <n v="1"/>
    <n v="1"/>
  </r>
  <r>
    <m/>
    <m/>
    <x v="1"/>
    <s v="48926217001001"/>
    <n v="-31.53"/>
    <n v="1287"/>
    <n v="1"/>
    <n v="1"/>
  </r>
  <r>
    <m/>
    <m/>
    <x v="1"/>
    <s v="48944491003004"/>
    <n v="-18.87"/>
    <n v="770"/>
    <n v="1"/>
    <n v="1"/>
  </r>
  <r>
    <m/>
    <m/>
    <x v="1"/>
    <s v="48985511001001"/>
    <n v="-20.56"/>
    <n v="839"/>
    <n v="1"/>
    <n v="1"/>
  </r>
  <r>
    <m/>
    <m/>
    <x v="1"/>
    <s v="48996360001005"/>
    <n v="-8.82"/>
    <n v="360"/>
    <n v="1"/>
    <n v="1"/>
  </r>
  <r>
    <m/>
    <m/>
    <x v="1"/>
    <s v="49078891001002"/>
    <n v="-0.05"/>
    <n v="2"/>
    <n v="1"/>
    <n v="1"/>
  </r>
  <r>
    <m/>
    <m/>
    <x v="1"/>
    <s v="49240871005001"/>
    <n v="-4.0199999999999996"/>
    <n v="164"/>
    <n v="1"/>
    <n v="1"/>
  </r>
  <r>
    <m/>
    <m/>
    <x v="1"/>
    <s v="49283851001002"/>
    <n v="-47.16"/>
    <n v="1925"/>
    <n v="1"/>
    <n v="1"/>
  </r>
  <r>
    <m/>
    <m/>
    <x v="1"/>
    <s v="49301721001001"/>
    <n v="-17.100000000000001"/>
    <n v="698"/>
    <n v="1"/>
    <n v="1"/>
  </r>
  <r>
    <m/>
    <m/>
    <x v="1"/>
    <s v="49320041001002"/>
    <n v="-4.8499999999999996"/>
    <n v="198"/>
    <n v="1"/>
    <n v="1"/>
  </r>
  <r>
    <m/>
    <m/>
    <x v="1"/>
    <s v="49365331001001"/>
    <n v="-8.94"/>
    <n v="365"/>
    <n v="1"/>
    <n v="1"/>
  </r>
  <r>
    <m/>
    <m/>
    <x v="1"/>
    <s v="49393121003003"/>
    <n v="-24.03"/>
    <n v="981"/>
    <n v="1"/>
    <n v="1"/>
  </r>
  <r>
    <m/>
    <m/>
    <x v="1"/>
    <s v="49399211004004"/>
    <n v="-15.31"/>
    <n v="625"/>
    <n v="1"/>
    <n v="1"/>
  </r>
  <r>
    <m/>
    <m/>
    <x v="1"/>
    <s v="49419650001003"/>
    <n v="-25.48"/>
    <n v="1040"/>
    <n v="1"/>
    <n v="1"/>
  </r>
  <r>
    <m/>
    <m/>
    <x v="1"/>
    <s v="49422279001002"/>
    <n v="-26.51"/>
    <n v="1082"/>
    <n v="1"/>
    <n v="1"/>
  </r>
  <r>
    <m/>
    <m/>
    <x v="1"/>
    <s v="49473341001001"/>
    <n v="-6.57"/>
    <n v="268"/>
    <n v="1"/>
    <n v="1"/>
  </r>
  <r>
    <m/>
    <m/>
    <x v="1"/>
    <s v="49494020001001"/>
    <n v="-38"/>
    <n v="1551"/>
    <n v="1"/>
    <n v="1"/>
  </r>
  <r>
    <m/>
    <m/>
    <x v="1"/>
    <s v="49495461002007"/>
    <n v="-8.8699999999999992"/>
    <n v="362"/>
    <n v="1"/>
    <n v="1"/>
  </r>
  <r>
    <m/>
    <m/>
    <x v="1"/>
    <s v="49495741001001"/>
    <n v="-16.34"/>
    <n v="667"/>
    <n v="1"/>
    <n v="1"/>
  </r>
  <r>
    <m/>
    <m/>
    <x v="1"/>
    <s v="49508621001001"/>
    <n v="-9.07"/>
    <n v="370"/>
    <n v="1"/>
    <n v="1"/>
  </r>
  <r>
    <m/>
    <m/>
    <x v="1"/>
    <s v="49522201001002"/>
    <n v="-25.5"/>
    <n v="1041"/>
    <n v="1"/>
    <n v="1"/>
  </r>
  <r>
    <m/>
    <m/>
    <x v="1"/>
    <s v="49538441007001"/>
    <n v="-7.67"/>
    <n v="313"/>
    <n v="1"/>
    <n v="1"/>
  </r>
  <r>
    <m/>
    <m/>
    <x v="1"/>
    <s v="49541451001001"/>
    <n v="-2.23"/>
    <n v="91"/>
    <n v="1"/>
    <n v="1"/>
  </r>
  <r>
    <m/>
    <m/>
    <x v="1"/>
    <s v="49543901002001"/>
    <n v="-9.85"/>
    <n v="402"/>
    <n v="1"/>
    <n v="1"/>
  </r>
  <r>
    <m/>
    <m/>
    <x v="1"/>
    <s v="49555941001005"/>
    <n v="-36.6"/>
    <n v="1494"/>
    <n v="1"/>
    <n v="1"/>
  </r>
  <r>
    <m/>
    <m/>
    <x v="1"/>
    <s v="49570221001004"/>
    <n v="-12.64"/>
    <n v="516"/>
    <n v="1"/>
    <n v="1"/>
  </r>
  <r>
    <m/>
    <m/>
    <x v="1"/>
    <s v="49577991001002"/>
    <n v="-7.82"/>
    <n v="319"/>
    <n v="1"/>
    <n v="1"/>
  </r>
  <r>
    <m/>
    <m/>
    <x v="1"/>
    <s v="49585614001003"/>
    <n v="-7.2"/>
    <n v="294"/>
    <n v="1"/>
    <n v="1"/>
  </r>
  <r>
    <m/>
    <m/>
    <x v="1"/>
    <s v="49656951001001"/>
    <n v="-17.37"/>
    <n v="709"/>
    <n v="1"/>
    <n v="1"/>
  </r>
  <r>
    <m/>
    <m/>
    <x v="1"/>
    <s v="49663504001001"/>
    <n v="-4.34"/>
    <n v="177"/>
    <n v="1"/>
    <n v="1"/>
  </r>
  <r>
    <m/>
    <m/>
    <x v="1"/>
    <s v="49672030001003"/>
    <n v="-13.6"/>
    <n v="555"/>
    <n v="1"/>
    <n v="1"/>
  </r>
  <r>
    <m/>
    <m/>
    <x v="1"/>
    <s v="49686351001004"/>
    <n v="-15.07"/>
    <n v="615"/>
    <n v="1"/>
    <n v="1"/>
  </r>
  <r>
    <m/>
    <m/>
    <x v="1"/>
    <s v="49824467001003"/>
    <n v="-35.92"/>
    <n v="1466"/>
    <n v="1"/>
    <n v="1"/>
  </r>
  <r>
    <m/>
    <m/>
    <x v="1"/>
    <s v="49885151001001"/>
    <n v="-10.8"/>
    <n v="441"/>
    <n v="1"/>
    <n v="1"/>
  </r>
  <r>
    <m/>
    <m/>
    <x v="1"/>
    <s v="49930301001001"/>
    <n v="-19.579999999999998"/>
    <n v="799"/>
    <n v="1"/>
    <n v="1"/>
  </r>
  <r>
    <m/>
    <m/>
    <x v="1"/>
    <s v="50008447001011"/>
    <n v="-10.98"/>
    <n v="448"/>
    <n v="1"/>
    <n v="1"/>
  </r>
  <r>
    <m/>
    <m/>
    <x v="1"/>
    <s v="50047300001003"/>
    <n v="-22.2"/>
    <n v="906"/>
    <n v="1"/>
    <n v="1"/>
  </r>
  <r>
    <m/>
    <m/>
    <x v="1"/>
    <s v="50087731002008"/>
    <n v="-8.5299999999999994"/>
    <n v="348"/>
    <n v="1"/>
    <n v="1"/>
  </r>
  <r>
    <m/>
    <m/>
    <x v="1"/>
    <s v="50112547001005"/>
    <n v="-21.58"/>
    <n v="881"/>
    <n v="1"/>
    <n v="1"/>
  </r>
  <r>
    <m/>
    <m/>
    <x v="1"/>
    <s v="50185311001007"/>
    <n v="-13.99"/>
    <n v="571"/>
    <n v="1"/>
    <n v="1"/>
  </r>
  <r>
    <m/>
    <m/>
    <x v="1"/>
    <s v="50193571001001"/>
    <n v="-14.68"/>
    <n v="599"/>
    <n v="1"/>
    <n v="1"/>
  </r>
  <r>
    <m/>
    <m/>
    <x v="1"/>
    <s v="50237638001001"/>
    <n v="-10.27"/>
    <n v="419"/>
    <n v="1"/>
    <n v="1"/>
  </r>
  <r>
    <m/>
    <m/>
    <x v="1"/>
    <s v="50368711001001"/>
    <n v="-21.46"/>
    <n v="876"/>
    <n v="1"/>
    <n v="1"/>
  </r>
  <r>
    <m/>
    <m/>
    <x v="1"/>
    <s v="50381816001001"/>
    <n v="-1.3"/>
    <n v="53"/>
    <n v="1"/>
    <n v="1"/>
  </r>
  <r>
    <m/>
    <m/>
    <x v="1"/>
    <s v="50402241001002"/>
    <n v="-6.17"/>
    <n v="252"/>
    <n v="1"/>
    <n v="1"/>
  </r>
  <r>
    <m/>
    <m/>
    <x v="1"/>
    <s v="50442211002001"/>
    <n v="-16.05"/>
    <n v="655"/>
    <n v="1"/>
    <n v="1"/>
  </r>
  <r>
    <m/>
    <m/>
    <x v="1"/>
    <s v="50446617005005"/>
    <n v="-3.33"/>
    <n v="136"/>
    <n v="1"/>
    <n v="1"/>
  </r>
  <r>
    <m/>
    <m/>
    <x v="1"/>
    <s v="50448651006001"/>
    <n v="-13.52"/>
    <n v="552"/>
    <n v="1"/>
    <n v="1"/>
  </r>
  <r>
    <m/>
    <m/>
    <x v="1"/>
    <s v="50475466003001"/>
    <n v="-22.1"/>
    <n v="902"/>
    <n v="1"/>
    <n v="1"/>
  </r>
  <r>
    <m/>
    <m/>
    <x v="1"/>
    <s v="50499961001001"/>
    <n v="-14.53"/>
    <n v="593"/>
    <n v="1"/>
    <n v="1"/>
  </r>
  <r>
    <m/>
    <m/>
    <x v="1"/>
    <s v="50535031003001"/>
    <n v="-23.64"/>
    <n v="965"/>
    <n v="1"/>
    <n v="1"/>
  </r>
  <r>
    <m/>
    <m/>
    <x v="1"/>
    <s v="50570311001001"/>
    <n v="-16.559999999999999"/>
    <n v="676"/>
    <n v="1"/>
    <n v="1"/>
  </r>
  <r>
    <m/>
    <m/>
    <x v="1"/>
    <s v="50573811005005"/>
    <n v="-30.67"/>
    <n v="1252"/>
    <n v="1"/>
    <n v="1"/>
  </r>
  <r>
    <m/>
    <m/>
    <x v="1"/>
    <s v="50603564001001"/>
    <n v="-17.89"/>
    <n v="730"/>
    <n v="1"/>
    <n v="1"/>
  </r>
  <r>
    <m/>
    <m/>
    <x v="1"/>
    <s v="50633661001004"/>
    <n v="-16.29"/>
    <n v="665"/>
    <n v="1"/>
    <n v="1"/>
  </r>
  <r>
    <m/>
    <m/>
    <x v="1"/>
    <s v="50645281001001"/>
    <n v="-17.57"/>
    <n v="717"/>
    <n v="1"/>
    <n v="1"/>
  </r>
  <r>
    <m/>
    <m/>
    <x v="1"/>
    <s v="50670003002005"/>
    <n v="-23.45"/>
    <n v="957"/>
    <n v="1"/>
    <n v="1"/>
  </r>
  <r>
    <m/>
    <m/>
    <x v="1"/>
    <s v="50704851001003"/>
    <n v="-13.25"/>
    <n v="541"/>
    <n v="1"/>
    <n v="1"/>
  </r>
  <r>
    <m/>
    <m/>
    <x v="1"/>
    <s v="50707021001003"/>
    <n v="-23.84"/>
    <n v="973"/>
    <n v="1"/>
    <n v="1"/>
  </r>
  <r>
    <m/>
    <m/>
    <x v="1"/>
    <s v="50737681001001"/>
    <n v="-6.86"/>
    <n v="280"/>
    <n v="1"/>
    <n v="1"/>
  </r>
  <r>
    <m/>
    <m/>
    <x v="1"/>
    <s v="50750548001001"/>
    <n v="-13.4"/>
    <n v="547"/>
    <n v="1"/>
    <n v="1"/>
  </r>
  <r>
    <m/>
    <m/>
    <x v="1"/>
    <s v="50774501001001"/>
    <n v="-16.34"/>
    <n v="667"/>
    <n v="1"/>
    <n v="1"/>
  </r>
  <r>
    <m/>
    <m/>
    <x v="1"/>
    <s v="50791371001002"/>
    <n v="-16.46"/>
    <n v="672"/>
    <n v="1"/>
    <n v="1"/>
  </r>
  <r>
    <m/>
    <m/>
    <x v="1"/>
    <s v="50806272001001"/>
    <n v="-15.97"/>
    <n v="652"/>
    <n v="1"/>
    <n v="1"/>
  </r>
  <r>
    <m/>
    <m/>
    <x v="1"/>
    <s v="50839041006001"/>
    <n v="-21.32"/>
    <n v="870"/>
    <n v="1"/>
    <n v="1"/>
  </r>
  <r>
    <m/>
    <m/>
    <x v="1"/>
    <s v="50841001001001"/>
    <n v="-1.1499999999999999"/>
    <n v="47"/>
    <n v="1"/>
    <n v="1"/>
  </r>
  <r>
    <m/>
    <m/>
    <x v="1"/>
    <s v="50841762002002"/>
    <n v="-15.34"/>
    <n v="626"/>
    <n v="1"/>
    <n v="1"/>
  </r>
  <r>
    <m/>
    <m/>
    <x v="1"/>
    <s v="50841911003002"/>
    <n v="-14.85"/>
    <n v="606"/>
    <n v="1"/>
    <n v="1"/>
  </r>
  <r>
    <m/>
    <m/>
    <x v="1"/>
    <s v="50852621001002"/>
    <n v="-6.88"/>
    <n v="281"/>
    <n v="1"/>
    <n v="1"/>
  </r>
  <r>
    <m/>
    <m/>
    <x v="1"/>
    <s v="50858501001001"/>
    <n v="-0.32"/>
    <n v="13"/>
    <n v="1"/>
    <n v="1"/>
  </r>
  <r>
    <m/>
    <m/>
    <x v="1"/>
    <s v="50860461001005"/>
    <n v="-7.57"/>
    <n v="309"/>
    <n v="1"/>
    <n v="1"/>
  </r>
  <r>
    <m/>
    <m/>
    <x v="1"/>
    <s v="50866831006001"/>
    <n v="-22.66"/>
    <n v="925"/>
    <n v="1"/>
    <n v="1"/>
  </r>
  <r>
    <m/>
    <m/>
    <x v="1"/>
    <s v="50901131002003"/>
    <n v="-13.52"/>
    <n v="552"/>
    <n v="1"/>
    <n v="1"/>
  </r>
  <r>
    <m/>
    <m/>
    <x v="1"/>
    <s v="50903441001001"/>
    <n v="-44.2"/>
    <n v="1804"/>
    <n v="1"/>
    <n v="1"/>
  </r>
  <r>
    <m/>
    <m/>
    <x v="1"/>
    <s v="50924581001001"/>
    <n v="-38.86"/>
    <n v="1586"/>
    <n v="1"/>
    <n v="1"/>
  </r>
  <r>
    <m/>
    <m/>
    <x v="1"/>
    <s v="50950411001003"/>
    <n v="-17"/>
    <n v="694"/>
    <n v="1"/>
    <n v="1"/>
  </r>
  <r>
    <m/>
    <m/>
    <x v="1"/>
    <s v="50978201001001"/>
    <n v="-15.48"/>
    <n v="632"/>
    <n v="1"/>
    <n v="1"/>
  </r>
  <r>
    <m/>
    <m/>
    <x v="1"/>
    <s v="50996471001001"/>
    <n v="-19.43"/>
    <n v="793"/>
    <n v="1"/>
    <n v="1"/>
  </r>
  <r>
    <m/>
    <m/>
    <x v="1"/>
    <s v="50996751002001"/>
    <n v="-28.49"/>
    <n v="1163"/>
    <n v="1"/>
    <n v="1"/>
  </r>
  <r>
    <m/>
    <m/>
    <x v="1"/>
    <s v="50998792001004"/>
    <n v="-11.88"/>
    <n v="485"/>
    <n v="1"/>
    <n v="1"/>
  </r>
  <r>
    <m/>
    <m/>
    <x v="1"/>
    <s v="51004521001001"/>
    <n v="-15.44"/>
    <n v="630"/>
    <n v="1"/>
    <n v="1"/>
  </r>
  <r>
    <m/>
    <m/>
    <x v="1"/>
    <s v="51040081001001"/>
    <n v="-8.58"/>
    <n v="350"/>
    <n v="1"/>
    <n v="1"/>
  </r>
  <r>
    <m/>
    <m/>
    <x v="1"/>
    <s v="51068641001003"/>
    <n v="-14.92"/>
    <n v="609"/>
    <n v="1"/>
    <n v="1"/>
  </r>
  <r>
    <m/>
    <m/>
    <x v="1"/>
    <s v="51088381003003"/>
    <n v="-5.37"/>
    <n v="219"/>
    <n v="1"/>
    <n v="1"/>
  </r>
  <r>
    <m/>
    <m/>
    <x v="1"/>
    <s v="51118901001001"/>
    <n v="-10.71"/>
    <n v="437"/>
    <n v="1"/>
    <n v="1"/>
  </r>
  <r>
    <m/>
    <m/>
    <x v="1"/>
    <s v="51123890001005"/>
    <n v="-11.81"/>
    <n v="482"/>
    <n v="1"/>
    <n v="1"/>
  </r>
  <r>
    <m/>
    <m/>
    <x v="1"/>
    <s v="51130381001001"/>
    <n v="-17.690000000000001"/>
    <n v="722"/>
    <n v="1"/>
    <n v="1"/>
  </r>
  <r>
    <m/>
    <m/>
    <x v="1"/>
    <s v="51130521001001"/>
    <n v="-12.05"/>
    <n v="492"/>
    <n v="1"/>
    <n v="1"/>
  </r>
  <r>
    <m/>
    <m/>
    <x v="1"/>
    <s v="51132481001002"/>
    <n v="-29.55"/>
    <n v="1206"/>
    <n v="1"/>
    <n v="1"/>
  </r>
  <r>
    <m/>
    <m/>
    <x v="1"/>
    <s v="51134651003001"/>
    <n v="-13.92"/>
    <n v="568"/>
    <n v="1"/>
    <n v="1"/>
  </r>
  <r>
    <m/>
    <m/>
    <x v="1"/>
    <s v="51136541001001"/>
    <n v="-15.21"/>
    <n v="621"/>
    <n v="1"/>
    <n v="1"/>
  </r>
  <r>
    <m/>
    <m/>
    <x v="1"/>
    <s v="51148861001002"/>
    <n v="-6.64"/>
    <n v="271"/>
    <n v="1"/>
    <n v="1"/>
  </r>
  <r>
    <m/>
    <m/>
    <x v="1"/>
    <s v="51157051002006"/>
    <n v="-23.79"/>
    <n v="971"/>
    <n v="1"/>
    <n v="1"/>
  </r>
  <r>
    <m/>
    <m/>
    <x v="1"/>
    <s v="51163211002005"/>
    <n v="-17.3"/>
    <n v="706"/>
    <n v="1"/>
    <n v="1"/>
  </r>
  <r>
    <m/>
    <m/>
    <x v="1"/>
    <s v="51165241001003"/>
    <n v="-3.11"/>
    <n v="127"/>
    <n v="1"/>
    <n v="1"/>
  </r>
  <r>
    <m/>
    <m/>
    <x v="1"/>
    <s v="51172101004001"/>
    <n v="-29.06"/>
    <n v="1186"/>
    <n v="1"/>
    <n v="1"/>
  </r>
  <r>
    <m/>
    <m/>
    <x v="1"/>
    <s v="51185331001003"/>
    <n v="-21.71"/>
    <n v="886"/>
    <n v="1"/>
    <n v="1"/>
  </r>
  <r>
    <m/>
    <m/>
    <x v="1"/>
    <s v="51193241002001"/>
    <n v="-26.02"/>
    <n v="1062"/>
    <n v="1"/>
    <n v="1"/>
  </r>
  <r>
    <m/>
    <m/>
    <x v="1"/>
    <s v="51206961001001"/>
    <n v="-5.93"/>
    <n v="242"/>
    <n v="1"/>
    <n v="1"/>
  </r>
  <r>
    <m/>
    <m/>
    <x v="1"/>
    <s v="51297541001005"/>
    <n v="-46.84"/>
    <n v="1912"/>
    <n v="1"/>
    <n v="1"/>
  </r>
  <r>
    <m/>
    <m/>
    <x v="1"/>
    <s v="51312171001001"/>
    <n v="-0.71"/>
    <n v="29"/>
    <n v="1"/>
    <n v="1"/>
  </r>
  <r>
    <m/>
    <m/>
    <x v="1"/>
    <s v="51333171001001"/>
    <n v="-39.18"/>
    <n v="1599"/>
    <n v="1"/>
    <n v="1"/>
  </r>
  <r>
    <m/>
    <m/>
    <x v="1"/>
    <s v="51335971001001"/>
    <n v="-29.3"/>
    <n v="1196"/>
    <n v="1"/>
    <n v="1"/>
  </r>
  <r>
    <m/>
    <m/>
    <x v="1"/>
    <s v="51337301001006"/>
    <n v="-26.12"/>
    <n v="1066"/>
    <n v="1"/>
    <n v="1"/>
  </r>
  <r>
    <m/>
    <m/>
    <x v="1"/>
    <s v="51351441001005"/>
    <n v="-4.24"/>
    <n v="173"/>
    <n v="1"/>
    <n v="1"/>
  </r>
  <r>
    <m/>
    <m/>
    <x v="1"/>
    <s v="51366841003001"/>
    <n v="-1.03"/>
    <n v="42"/>
    <n v="1"/>
    <n v="1"/>
  </r>
  <r>
    <m/>
    <m/>
    <x v="1"/>
    <s v="51386861002001"/>
    <n v="-28.08"/>
    <n v="1146"/>
    <n v="1"/>
    <n v="1"/>
  </r>
  <r>
    <m/>
    <m/>
    <x v="1"/>
    <s v="51450281001002"/>
    <n v="-42.16"/>
    <n v="1721"/>
    <n v="1"/>
    <n v="1"/>
  </r>
  <r>
    <m/>
    <m/>
    <x v="1"/>
    <s v="51462741002002"/>
    <n v="-27.76"/>
    <n v="1133"/>
    <n v="1"/>
    <n v="1"/>
  </r>
  <r>
    <m/>
    <m/>
    <x v="1"/>
    <s v="51493121002001"/>
    <n v="-53.83"/>
    <n v="2197"/>
    <n v="1"/>
    <n v="1"/>
  </r>
  <r>
    <m/>
    <m/>
    <x v="1"/>
    <s v="51513351001001"/>
    <n v="-16.39"/>
    <n v="669"/>
    <n v="1"/>
    <n v="1"/>
  </r>
  <r>
    <m/>
    <m/>
    <x v="1"/>
    <s v="51518531001001"/>
    <n v="-0.86"/>
    <n v="35"/>
    <n v="1"/>
    <n v="1"/>
  </r>
  <r>
    <m/>
    <m/>
    <x v="1"/>
    <s v="51518881001001"/>
    <n v="-12.96"/>
    <n v="529"/>
    <n v="1"/>
    <n v="1"/>
  </r>
  <r>
    <m/>
    <m/>
    <x v="1"/>
    <s v="51529534001001"/>
    <n v="-12.1"/>
    <n v="494"/>
    <n v="1"/>
    <n v="1"/>
  </r>
  <r>
    <m/>
    <m/>
    <x v="1"/>
    <s v="51532811002001"/>
    <n v="-29.42"/>
    <n v="1201"/>
    <n v="1"/>
    <n v="1"/>
  </r>
  <r>
    <m/>
    <m/>
    <x v="1"/>
    <s v="51539946002026"/>
    <n v="-5.66"/>
    <n v="231"/>
    <n v="1"/>
    <n v="1"/>
  </r>
  <r>
    <m/>
    <m/>
    <x v="1"/>
    <s v="51549471001001"/>
    <n v="-5.46"/>
    <n v="223"/>
    <n v="1"/>
    <n v="1"/>
  </r>
  <r>
    <m/>
    <m/>
    <x v="1"/>
    <s v="51552831003002"/>
    <n v="-17.440000000000001"/>
    <n v="712"/>
    <n v="1"/>
    <n v="1"/>
  </r>
  <r>
    <m/>
    <m/>
    <x v="1"/>
    <s v="51583981001001"/>
    <n v="-9.85"/>
    <n v="402"/>
    <n v="1"/>
    <n v="1"/>
  </r>
  <r>
    <m/>
    <m/>
    <x v="1"/>
    <s v="51593501001001"/>
    <n v="-16.59"/>
    <n v="677"/>
    <n v="1"/>
    <n v="1"/>
  </r>
  <r>
    <m/>
    <m/>
    <x v="1"/>
    <s v="51607711002002"/>
    <n v="-13.21"/>
    <n v="539"/>
    <n v="1"/>
    <n v="1"/>
  </r>
  <r>
    <m/>
    <m/>
    <x v="1"/>
    <s v="51609951002002"/>
    <n v="-19.920000000000002"/>
    <n v="813"/>
    <n v="1"/>
    <n v="1"/>
  </r>
  <r>
    <m/>
    <m/>
    <x v="1"/>
    <s v="51613941001002"/>
    <n v="-22.59"/>
    <n v="922"/>
    <n v="1"/>
    <n v="1"/>
  </r>
  <r>
    <m/>
    <m/>
    <x v="1"/>
    <s v="51614221001001"/>
    <n v="-38.15"/>
    <n v="1557"/>
    <n v="1"/>
    <n v="1"/>
  </r>
  <r>
    <m/>
    <m/>
    <x v="1"/>
    <s v="51635711001002"/>
    <n v="-16.68"/>
    <n v="681"/>
    <n v="1"/>
    <n v="1"/>
  </r>
  <r>
    <m/>
    <m/>
    <x v="1"/>
    <s v="51773839001001"/>
    <n v="-30.09"/>
    <n v="1228"/>
    <n v="1"/>
    <n v="1"/>
  </r>
  <r>
    <m/>
    <m/>
    <x v="1"/>
    <s v="52411414001001"/>
    <n v="-22.12"/>
    <n v="903"/>
    <n v="1"/>
    <n v="1"/>
  </r>
  <r>
    <m/>
    <m/>
    <x v="1"/>
    <s v="52604309001004"/>
    <n v="-62.38"/>
    <n v="2546"/>
    <n v="1"/>
    <n v="1"/>
  </r>
  <r>
    <m/>
    <m/>
    <x v="1"/>
    <s v="52682385001007"/>
    <n v="-8.9700000000000006"/>
    <n v="366"/>
    <n v="1"/>
    <n v="1"/>
  </r>
  <r>
    <m/>
    <m/>
    <x v="1"/>
    <s v="52743980001001"/>
    <n v="-10.17"/>
    <n v="415"/>
    <n v="1"/>
    <n v="1"/>
  </r>
  <r>
    <m/>
    <m/>
    <x v="1"/>
    <s v="52969548001004"/>
    <n v="-1.57"/>
    <n v="64"/>
    <n v="1"/>
    <n v="1"/>
  </r>
  <r>
    <m/>
    <m/>
    <x v="1"/>
    <s v="52987911001001"/>
    <n v="-12.27"/>
    <n v="501"/>
    <n v="1"/>
    <n v="1"/>
  </r>
  <r>
    <m/>
    <m/>
    <x v="1"/>
    <s v="53001899001007"/>
    <n v="-39.42"/>
    <n v="1609"/>
    <n v="1"/>
    <n v="1"/>
  </r>
  <r>
    <m/>
    <m/>
    <x v="1"/>
    <s v="53060982001003"/>
    <n v="-9.36"/>
    <n v="382"/>
    <n v="1"/>
    <n v="1"/>
  </r>
  <r>
    <m/>
    <m/>
    <x v="1"/>
    <s v="53145339001003"/>
    <n v="-13.92"/>
    <n v="568"/>
    <n v="1"/>
    <n v="1"/>
  </r>
  <r>
    <m/>
    <m/>
    <x v="1"/>
    <s v="53199928001001"/>
    <n v="-6.88"/>
    <n v="281"/>
    <n v="1"/>
    <n v="1"/>
  </r>
  <r>
    <m/>
    <m/>
    <x v="1"/>
    <s v="53233663001001"/>
    <n v="-6.98"/>
    <n v="285"/>
    <n v="1"/>
    <n v="1"/>
  </r>
  <r>
    <m/>
    <m/>
    <x v="1"/>
    <s v="53541590001001"/>
    <n v="-3.53"/>
    <n v="144"/>
    <n v="1"/>
    <n v="1"/>
  </r>
  <r>
    <m/>
    <m/>
    <x v="1"/>
    <s v="53913484003002"/>
    <n v="-23.25"/>
    <n v="949"/>
    <n v="1"/>
    <n v="1"/>
  </r>
  <r>
    <m/>
    <m/>
    <x v="1"/>
    <s v="53923746001001"/>
    <n v="-19.36"/>
    <n v="790"/>
    <n v="1"/>
    <n v="1"/>
  </r>
  <r>
    <m/>
    <m/>
    <x v="1"/>
    <s v="53931640001001"/>
    <n v="-33.909999999999997"/>
    <n v="1384"/>
    <n v="1"/>
    <n v="1"/>
  </r>
  <r>
    <m/>
    <m/>
    <x v="1"/>
    <s v="54011290001001"/>
    <n v="-18.57"/>
    <n v="758"/>
    <n v="1"/>
    <n v="1"/>
  </r>
  <r>
    <m/>
    <m/>
    <x v="1"/>
    <s v="54099172001001"/>
    <n v="-4.26"/>
    <n v="174"/>
    <n v="1"/>
    <n v="1"/>
  </r>
  <r>
    <m/>
    <m/>
    <x v="1"/>
    <s v="54213868001001"/>
    <n v="-47.51"/>
    <n v="1939"/>
    <n v="1"/>
    <n v="1"/>
  </r>
  <r>
    <m/>
    <m/>
    <x v="1"/>
    <s v="54273862001002"/>
    <n v="-23.79"/>
    <n v="971"/>
    <n v="1"/>
    <n v="1"/>
  </r>
  <r>
    <m/>
    <m/>
    <x v="1"/>
    <s v="54291381001009"/>
    <n v="-22.83"/>
    <n v="932"/>
    <n v="1"/>
    <n v="1"/>
  </r>
  <r>
    <m/>
    <m/>
    <x v="1"/>
    <s v="54626005001001"/>
    <n v="-8.0399999999999991"/>
    <n v="328"/>
    <n v="1"/>
    <n v="1"/>
  </r>
  <r>
    <m/>
    <m/>
    <x v="1"/>
    <s v="55096000001001"/>
    <n v="-4.09"/>
    <n v="167"/>
    <n v="1"/>
    <n v="1"/>
  </r>
  <r>
    <m/>
    <m/>
    <x v="1"/>
    <s v="55151623003001"/>
    <n v="-11.2"/>
    <n v="457"/>
    <n v="1"/>
    <n v="1"/>
  </r>
  <r>
    <m/>
    <m/>
    <x v="1"/>
    <s v="55185996001003"/>
    <n v="-9.4600000000000009"/>
    <n v="386"/>
    <n v="1"/>
    <n v="1"/>
  </r>
  <r>
    <m/>
    <m/>
    <x v="1"/>
    <s v="55250557001001"/>
    <n v="-1.89"/>
    <n v="77"/>
    <n v="1"/>
    <n v="1"/>
  </r>
  <r>
    <m/>
    <m/>
    <x v="1"/>
    <s v="55441830002001"/>
    <n v="-2.5499999999999998"/>
    <n v="104"/>
    <n v="1"/>
    <n v="1"/>
  </r>
  <r>
    <m/>
    <m/>
    <x v="1"/>
    <s v="55495324001002"/>
    <n v="-16.91"/>
    <n v="690"/>
    <n v="1"/>
    <n v="1"/>
  </r>
  <r>
    <m/>
    <m/>
    <x v="1"/>
    <s v="55663297001003"/>
    <n v="-8.99"/>
    <n v="367"/>
    <n v="1"/>
    <n v="1"/>
  </r>
  <r>
    <m/>
    <m/>
    <x v="1"/>
    <s v="56055745002003"/>
    <n v="-13.62"/>
    <n v="556"/>
    <n v="1"/>
    <n v="1"/>
  </r>
  <r>
    <m/>
    <m/>
    <x v="1"/>
    <s v="56091920005001"/>
    <n v="-11.59"/>
    <n v="473"/>
    <n v="2"/>
    <n v="1"/>
  </r>
  <r>
    <m/>
    <m/>
    <x v="1"/>
    <s v="56105605001004"/>
    <n v="-9.02"/>
    <n v="368"/>
    <n v="1"/>
    <n v="1"/>
  </r>
  <r>
    <m/>
    <m/>
    <x v="1"/>
    <s v="56408599001001"/>
    <n v="-14.09"/>
    <n v="575"/>
    <n v="1"/>
    <n v="1"/>
  </r>
  <r>
    <m/>
    <m/>
    <x v="1"/>
    <s v="57165863001001"/>
    <n v="-8.92"/>
    <n v="364"/>
    <n v="1"/>
    <n v="1"/>
  </r>
  <r>
    <m/>
    <m/>
    <x v="1"/>
    <s v="57364558001001"/>
    <n v="-15.29"/>
    <n v="624"/>
    <n v="1"/>
    <n v="1"/>
  </r>
  <r>
    <m/>
    <m/>
    <x v="1"/>
    <s v="57497445001001"/>
    <n v="-16.59"/>
    <n v="677"/>
    <n v="1"/>
    <n v="1"/>
  </r>
  <r>
    <m/>
    <m/>
    <x v="1"/>
    <s v="57560991001007"/>
    <n v="-16.39"/>
    <n v="669"/>
    <n v="1"/>
    <n v="1"/>
  </r>
  <r>
    <m/>
    <m/>
    <x v="1"/>
    <s v="57834181001001"/>
    <n v="-17.440000000000001"/>
    <n v="712"/>
    <n v="1"/>
    <n v="1"/>
  </r>
  <r>
    <m/>
    <m/>
    <x v="1"/>
    <s v="58010908001002"/>
    <n v="-25.21"/>
    <n v="1029"/>
    <n v="1"/>
    <n v="1"/>
  </r>
  <r>
    <m/>
    <m/>
    <x v="1"/>
    <s v="58027310005001"/>
    <n v="-0.81"/>
    <n v="33"/>
    <n v="1"/>
    <n v="1"/>
  </r>
  <r>
    <m/>
    <m/>
    <x v="1"/>
    <s v="58157660001002"/>
    <n v="-25.19"/>
    <n v="1028"/>
    <n v="1"/>
    <n v="1"/>
  </r>
  <r>
    <m/>
    <m/>
    <x v="1"/>
    <s v="58340472001005"/>
    <n v="-5"/>
    <n v="204"/>
    <n v="1"/>
    <n v="1"/>
  </r>
  <r>
    <m/>
    <m/>
    <x v="1"/>
    <s v="58433748001002"/>
    <n v="-7.64"/>
    <n v="312"/>
    <n v="1"/>
    <n v="1"/>
  </r>
  <r>
    <m/>
    <m/>
    <x v="1"/>
    <s v="58524123001003"/>
    <n v="-25.55"/>
    <n v="1043"/>
    <n v="1"/>
    <n v="1"/>
  </r>
  <r>
    <m/>
    <m/>
    <x v="1"/>
    <s v="59371575001001"/>
    <n v="-1.96"/>
    <n v="80"/>
    <n v="1"/>
    <n v="1"/>
  </r>
  <r>
    <m/>
    <m/>
    <x v="1"/>
    <s v="59431046001003"/>
    <n v="-12.74"/>
    <n v="520"/>
    <n v="1"/>
    <n v="1"/>
  </r>
  <r>
    <m/>
    <m/>
    <x v="1"/>
    <s v="59498637001004"/>
    <n v="-19.600000000000001"/>
    <n v="800"/>
    <n v="1"/>
    <n v="1"/>
  </r>
  <r>
    <m/>
    <m/>
    <x v="1"/>
    <s v="59567010001005"/>
    <n v="-8.67"/>
    <n v="354"/>
    <n v="1"/>
    <n v="1"/>
  </r>
  <r>
    <m/>
    <m/>
    <x v="1"/>
    <s v="59766724001001"/>
    <n v="-13.94"/>
    <n v="569"/>
    <n v="1"/>
    <n v="1"/>
  </r>
  <r>
    <m/>
    <m/>
    <x v="1"/>
    <s v="59801546001007"/>
    <n v="-6.22"/>
    <n v="254"/>
    <n v="1"/>
    <n v="1"/>
  </r>
  <r>
    <m/>
    <m/>
    <x v="1"/>
    <s v="59807684001002"/>
    <n v="-2.35"/>
    <n v="96"/>
    <n v="1"/>
    <n v="1"/>
  </r>
  <r>
    <m/>
    <m/>
    <x v="1"/>
    <s v="59857982001002"/>
    <n v="-0.76"/>
    <n v="31"/>
    <n v="1"/>
    <n v="1"/>
  </r>
  <r>
    <m/>
    <m/>
    <x v="1"/>
    <s v="59901721001001"/>
    <n v="-19.11"/>
    <n v="780"/>
    <n v="1"/>
    <n v="1"/>
  </r>
  <r>
    <m/>
    <m/>
    <x v="1"/>
    <s v="59997483001001"/>
    <n v="-24.3"/>
    <n v="992"/>
    <n v="1"/>
    <n v="1"/>
  </r>
  <r>
    <m/>
    <m/>
    <x v="1"/>
    <s v="59999162001001"/>
    <n v="-20.53"/>
    <n v="838"/>
    <n v="1"/>
    <n v="1"/>
  </r>
  <r>
    <m/>
    <m/>
    <x v="1"/>
    <s v="60053306001001"/>
    <n v="-13.35"/>
    <n v="545"/>
    <n v="1"/>
    <n v="1"/>
  </r>
  <r>
    <m/>
    <m/>
    <x v="1"/>
    <s v="60216914001002"/>
    <n v="-3.28"/>
    <n v="134"/>
    <n v="1"/>
    <n v="1"/>
  </r>
  <r>
    <m/>
    <m/>
    <x v="1"/>
    <s v="60461927001006"/>
    <n v="-7.52"/>
    <n v="307"/>
    <n v="1"/>
    <n v="1"/>
  </r>
  <r>
    <m/>
    <m/>
    <x v="1"/>
    <s v="60536331001001"/>
    <n v="-15.56"/>
    <n v="635"/>
    <n v="1"/>
    <n v="1"/>
  </r>
  <r>
    <m/>
    <m/>
    <x v="1"/>
    <s v="60599585001001"/>
    <n v="-18.420000000000002"/>
    <n v="752"/>
    <n v="1"/>
    <n v="1"/>
  </r>
  <r>
    <m/>
    <m/>
    <x v="1"/>
    <s v="60756030001002"/>
    <n v="-9.33"/>
    <n v="381"/>
    <n v="1"/>
    <n v="1"/>
  </r>
  <r>
    <m/>
    <m/>
    <x v="1"/>
    <s v="60814201001003"/>
    <n v="-15.48"/>
    <n v="632"/>
    <n v="1"/>
    <n v="1"/>
  </r>
  <r>
    <m/>
    <m/>
    <x v="1"/>
    <s v="60842999001005"/>
    <n v="-15.02"/>
    <n v="613"/>
    <n v="1"/>
    <n v="1"/>
  </r>
  <r>
    <m/>
    <m/>
    <x v="1"/>
    <s v="60850163002001"/>
    <n v="-9.8699999999999992"/>
    <n v="403"/>
    <n v="1"/>
    <n v="1"/>
  </r>
  <r>
    <m/>
    <m/>
    <x v="1"/>
    <s v="60997302001006"/>
    <n v="-10.49"/>
    <n v="428"/>
    <n v="1"/>
    <n v="1"/>
  </r>
  <r>
    <m/>
    <m/>
    <x v="1"/>
    <s v="61176690001001"/>
    <n v="-9.68"/>
    <n v="395"/>
    <n v="1"/>
    <n v="1"/>
  </r>
  <r>
    <m/>
    <m/>
    <x v="1"/>
    <s v="61759982001001"/>
    <n v="-7.64"/>
    <n v="312"/>
    <n v="1"/>
    <n v="1"/>
  </r>
  <r>
    <m/>
    <m/>
    <x v="1"/>
    <s v="61779550001001"/>
    <n v="-35.450000000000003"/>
    <n v="1447"/>
    <n v="1"/>
    <n v="1"/>
  </r>
  <r>
    <m/>
    <m/>
    <x v="1"/>
    <s v="62038452002001"/>
    <n v="-27.2"/>
    <n v="1110"/>
    <n v="1"/>
    <n v="1"/>
  </r>
  <r>
    <m/>
    <m/>
    <x v="1"/>
    <s v="62111926001007"/>
    <n v="-18.079999999999998"/>
    <n v="738"/>
    <n v="1"/>
    <n v="1"/>
  </r>
  <r>
    <m/>
    <m/>
    <x v="1"/>
    <s v="62125470001002"/>
    <n v="-11.93"/>
    <n v="487"/>
    <n v="1"/>
    <n v="1"/>
  </r>
  <r>
    <m/>
    <m/>
    <x v="1"/>
    <s v="62139312001006"/>
    <n v="-1.1299999999999999"/>
    <n v="46"/>
    <n v="1"/>
    <n v="1"/>
  </r>
  <r>
    <m/>
    <m/>
    <x v="1"/>
    <s v="62166846001001"/>
    <n v="-3.28"/>
    <n v="134"/>
    <n v="1"/>
    <n v="1"/>
  </r>
  <r>
    <m/>
    <m/>
    <x v="1"/>
    <s v="62244159001003"/>
    <n v="-15.36"/>
    <n v="627"/>
    <n v="1"/>
    <n v="1"/>
  </r>
  <r>
    <m/>
    <m/>
    <x v="1"/>
    <s v="63054171001001"/>
    <n v="-34.03"/>
    <n v="1389"/>
    <n v="1"/>
    <n v="1"/>
  </r>
  <r>
    <m/>
    <m/>
    <x v="1"/>
    <s v="63184485001003"/>
    <n v="-0.83"/>
    <n v="34"/>
    <n v="1"/>
    <n v="1"/>
  </r>
  <r>
    <m/>
    <m/>
    <x v="1"/>
    <s v="63189646005005"/>
    <n v="-8.06"/>
    <n v="329"/>
    <n v="1"/>
    <n v="1"/>
  </r>
  <r>
    <m/>
    <m/>
    <x v="1"/>
    <s v="63415000003005"/>
    <n v="-5.68"/>
    <n v="232"/>
    <n v="1"/>
    <n v="1"/>
  </r>
  <r>
    <m/>
    <m/>
    <x v="1"/>
    <s v="63578652001001"/>
    <n v="-19.11"/>
    <n v="780"/>
    <n v="1"/>
    <n v="1"/>
  </r>
  <r>
    <m/>
    <m/>
    <x v="1"/>
    <s v="63707556001001"/>
    <n v="-27.69"/>
    <n v="1130"/>
    <n v="1"/>
    <n v="1"/>
  </r>
  <r>
    <m/>
    <m/>
    <x v="1"/>
    <s v="63792896001001"/>
    <n v="-12.67"/>
    <n v="517"/>
    <n v="1"/>
    <n v="1"/>
  </r>
  <r>
    <m/>
    <m/>
    <x v="1"/>
    <s v="63952309001001"/>
    <n v="-31.19"/>
    <n v="1273"/>
    <n v="1"/>
    <n v="1"/>
  </r>
  <r>
    <m/>
    <m/>
    <x v="1"/>
    <s v="64113638001003"/>
    <n v="-1.67"/>
    <n v="68"/>
    <n v="1"/>
    <n v="1"/>
  </r>
  <r>
    <m/>
    <m/>
    <x v="1"/>
    <s v="64168501001010"/>
    <n v="-28.32"/>
    <n v="1156"/>
    <n v="1"/>
    <n v="1"/>
  </r>
  <r>
    <m/>
    <m/>
    <x v="1"/>
    <s v="64295366002001"/>
    <n v="-9.3800000000000008"/>
    <n v="383"/>
    <n v="1"/>
    <n v="1"/>
  </r>
  <r>
    <m/>
    <m/>
    <x v="1"/>
    <s v="64412831001001"/>
    <n v="-21.05"/>
    <n v="859"/>
    <n v="1"/>
    <n v="1"/>
  </r>
  <r>
    <m/>
    <m/>
    <x v="1"/>
    <s v="64578518001001"/>
    <n v="-4.17"/>
    <n v="170"/>
    <n v="1"/>
    <n v="1"/>
  </r>
  <r>
    <m/>
    <m/>
    <x v="1"/>
    <s v="64597306001001"/>
    <n v="-29.89"/>
    <n v="1220"/>
    <n v="1"/>
    <n v="1"/>
  </r>
  <r>
    <m/>
    <m/>
    <x v="1"/>
    <s v="64700335001001"/>
    <n v="-16.95"/>
    <n v="692"/>
    <n v="1"/>
    <n v="1"/>
  </r>
  <r>
    <m/>
    <m/>
    <x v="1"/>
    <s v="65001066001001"/>
    <n v="-11.88"/>
    <n v="485"/>
    <n v="1"/>
    <n v="1"/>
  </r>
  <r>
    <m/>
    <m/>
    <x v="1"/>
    <s v="65368514001004"/>
    <n v="-25.77"/>
    <n v="1052"/>
    <n v="1"/>
    <n v="1"/>
  </r>
  <r>
    <m/>
    <m/>
    <x v="1"/>
    <s v="65369611001005"/>
    <n v="-3.33"/>
    <n v="136"/>
    <n v="1"/>
    <n v="1"/>
  </r>
  <r>
    <m/>
    <m/>
    <x v="1"/>
    <s v="65509206001003"/>
    <n v="-22.47"/>
    <n v="917"/>
    <n v="1"/>
    <n v="1"/>
  </r>
  <r>
    <m/>
    <m/>
    <x v="1"/>
    <s v="66009948006003"/>
    <n v="-2.4500000000000002"/>
    <n v="100"/>
    <n v="1"/>
    <n v="1"/>
  </r>
  <r>
    <m/>
    <m/>
    <x v="1"/>
    <s v="66308224001001"/>
    <n v="-6.96"/>
    <n v="284"/>
    <n v="1"/>
    <n v="1"/>
  </r>
  <r>
    <m/>
    <m/>
    <x v="1"/>
    <s v="66622465002001"/>
    <n v="-21.61"/>
    <n v="882"/>
    <n v="1"/>
    <n v="1"/>
  </r>
  <r>
    <m/>
    <m/>
    <x v="1"/>
    <s v="66851187001007"/>
    <n v="-12.45"/>
    <n v="508"/>
    <n v="1"/>
    <n v="1"/>
  </r>
  <r>
    <m/>
    <m/>
    <x v="1"/>
    <s v="66923121001005"/>
    <n v="-20.56"/>
    <n v="839"/>
    <n v="1"/>
    <n v="1"/>
  </r>
  <r>
    <m/>
    <m/>
    <x v="1"/>
    <s v="66953942002008"/>
    <n v="-24.94"/>
    <n v="1018"/>
    <n v="1"/>
    <n v="1"/>
  </r>
  <r>
    <m/>
    <m/>
    <x v="1"/>
    <s v="66997780001001"/>
    <n v="-28.08"/>
    <n v="1146"/>
    <n v="1"/>
    <n v="1"/>
  </r>
  <r>
    <m/>
    <m/>
    <x v="1"/>
    <s v="67053287002001"/>
    <n v="-8.58"/>
    <n v="350"/>
    <n v="1"/>
    <n v="1"/>
  </r>
  <r>
    <m/>
    <m/>
    <x v="1"/>
    <s v="67116312001003"/>
    <n v="-9.65"/>
    <n v="394"/>
    <n v="1"/>
    <n v="1"/>
  </r>
  <r>
    <m/>
    <m/>
    <x v="1"/>
    <s v="67479940002009"/>
    <n v="-36.14"/>
    <n v="1475"/>
    <n v="2"/>
    <n v="1"/>
  </r>
  <r>
    <m/>
    <m/>
    <x v="1"/>
    <s v="67565406001001"/>
    <n v="-19.309999999999999"/>
    <n v="788"/>
    <n v="1"/>
    <n v="1"/>
  </r>
  <r>
    <m/>
    <m/>
    <x v="1"/>
    <s v="67575902001005"/>
    <n v="-3.6"/>
    <n v="147"/>
    <n v="1"/>
    <n v="1"/>
  </r>
  <r>
    <m/>
    <m/>
    <x v="1"/>
    <s v="67587226001001"/>
    <n v="-16.22"/>
    <n v="662"/>
    <n v="1"/>
    <n v="1"/>
  </r>
  <r>
    <m/>
    <m/>
    <x v="1"/>
    <s v="68028456001001"/>
    <n v="-16.02"/>
    <n v="654"/>
    <n v="1"/>
    <n v="1"/>
  </r>
  <r>
    <m/>
    <m/>
    <x v="1"/>
    <s v="68322478003001"/>
    <n v="-20.75"/>
    <n v="847"/>
    <n v="1"/>
    <n v="1"/>
  </r>
  <r>
    <m/>
    <m/>
    <x v="1"/>
    <s v="68400908001007"/>
    <n v="-25.9"/>
    <n v="1057"/>
    <n v="1"/>
    <n v="1"/>
  </r>
  <r>
    <m/>
    <m/>
    <x v="1"/>
    <s v="68439076001001"/>
    <n v="-4.83"/>
    <n v="197"/>
    <n v="1"/>
    <n v="1"/>
  </r>
  <r>
    <m/>
    <m/>
    <x v="1"/>
    <s v="68472022001003"/>
    <n v="-0.56000000000000005"/>
    <n v="23"/>
    <n v="1"/>
    <n v="1"/>
  </r>
  <r>
    <m/>
    <m/>
    <x v="1"/>
    <s v="68512232001001"/>
    <n v="-30.7"/>
    <n v="1253"/>
    <n v="1"/>
    <n v="1"/>
  </r>
  <r>
    <m/>
    <m/>
    <x v="1"/>
    <s v="68623369001004"/>
    <n v="-9.26"/>
    <n v="378"/>
    <n v="1"/>
    <n v="1"/>
  </r>
  <r>
    <m/>
    <m/>
    <x v="1"/>
    <s v="68624650001002"/>
    <n v="-7.72"/>
    <n v="315"/>
    <n v="1"/>
    <n v="1"/>
  </r>
  <r>
    <m/>
    <m/>
    <x v="1"/>
    <s v="68639459001005"/>
    <n v="-64.53"/>
    <n v="2634"/>
    <n v="1"/>
    <n v="1"/>
  </r>
  <r>
    <m/>
    <m/>
    <x v="1"/>
    <s v="69000077001002"/>
    <n v="-32.29"/>
    <n v="1318"/>
    <n v="1"/>
    <n v="1"/>
  </r>
  <r>
    <m/>
    <m/>
    <x v="1"/>
    <s v="69060183003015"/>
    <n v="-10.61"/>
    <n v="433"/>
    <n v="1"/>
    <n v="1"/>
  </r>
  <r>
    <m/>
    <m/>
    <x v="1"/>
    <s v="69172909001002"/>
    <n v="-15.14"/>
    <n v="618"/>
    <n v="1"/>
    <n v="1"/>
  </r>
  <r>
    <m/>
    <m/>
    <x v="1"/>
    <s v="69212535001003"/>
    <n v="-21.24"/>
    <n v="867"/>
    <n v="1"/>
    <n v="1"/>
  </r>
  <r>
    <m/>
    <m/>
    <x v="1"/>
    <s v="69243847003001"/>
    <n v="-16.39"/>
    <n v="669"/>
    <n v="1"/>
    <n v="1"/>
  </r>
  <r>
    <m/>
    <m/>
    <x v="1"/>
    <s v="69278841002001"/>
    <n v="-4.43"/>
    <n v="181"/>
    <n v="1"/>
    <n v="1"/>
  </r>
  <r>
    <m/>
    <m/>
    <x v="1"/>
    <s v="69363729001001"/>
    <n v="-30.06"/>
    <n v="1227"/>
    <n v="1"/>
    <n v="1"/>
  </r>
  <r>
    <m/>
    <m/>
    <x v="1"/>
    <s v="69589294001001"/>
    <n v="-3.31"/>
    <n v="135"/>
    <n v="1"/>
    <n v="1"/>
  </r>
  <r>
    <m/>
    <m/>
    <x v="1"/>
    <s v="69593297001008"/>
    <n v="-2.16"/>
    <n v="88"/>
    <n v="1"/>
    <n v="1"/>
  </r>
  <r>
    <m/>
    <m/>
    <x v="1"/>
    <s v="69697436003002"/>
    <n v="-2.21"/>
    <n v="90"/>
    <n v="1"/>
    <n v="1"/>
  </r>
  <r>
    <m/>
    <m/>
    <x v="1"/>
    <s v="69938123001005"/>
    <n v="-12.62"/>
    <n v="515"/>
    <n v="1"/>
    <n v="1"/>
  </r>
  <r>
    <m/>
    <m/>
    <x v="1"/>
    <s v="69998675005001"/>
    <n v="-20.41"/>
    <n v="833"/>
    <n v="1"/>
    <n v="1"/>
  </r>
  <r>
    <m/>
    <m/>
    <x v="1"/>
    <s v="70221164001005"/>
    <n v="-14.41"/>
    <n v="588"/>
    <n v="1"/>
    <n v="1"/>
  </r>
  <r>
    <m/>
    <m/>
    <x v="1"/>
    <s v="70498831001001"/>
    <n v="-13.72"/>
    <n v="560"/>
    <n v="1"/>
    <n v="1"/>
  </r>
  <r>
    <m/>
    <m/>
    <x v="1"/>
    <s v="70508523001001"/>
    <n v="-1.57"/>
    <n v="64"/>
    <n v="1"/>
    <n v="1"/>
  </r>
  <r>
    <m/>
    <m/>
    <x v="1"/>
    <s v="70517135001001"/>
    <n v="-9.8000000000000007"/>
    <n v="400"/>
    <n v="1"/>
    <n v="1"/>
  </r>
  <r>
    <m/>
    <m/>
    <x v="1"/>
    <s v="70518336001001"/>
    <n v="-17.71"/>
    <n v="723"/>
    <n v="1"/>
    <n v="1"/>
  </r>
  <r>
    <m/>
    <m/>
    <x v="1"/>
    <s v="70572154001001"/>
    <n v="-30.45"/>
    <n v="1243"/>
    <n v="1"/>
    <n v="1"/>
  </r>
  <r>
    <m/>
    <m/>
    <x v="1"/>
    <s v="70805952001004"/>
    <n v="-15.31"/>
    <n v="625"/>
    <n v="1"/>
    <n v="1"/>
  </r>
  <r>
    <m/>
    <m/>
    <x v="1"/>
    <s v="70925378002003"/>
    <n v="-12.57"/>
    <n v="513"/>
    <n v="1"/>
    <n v="1"/>
  </r>
  <r>
    <m/>
    <m/>
    <x v="1"/>
    <s v="70934025001005"/>
    <n v="-19.77"/>
    <n v="807"/>
    <n v="1"/>
    <n v="1"/>
  </r>
  <r>
    <m/>
    <m/>
    <x v="1"/>
    <s v="70953596001001"/>
    <n v="-18.96"/>
    <n v="774"/>
    <n v="1"/>
    <n v="1"/>
  </r>
  <r>
    <m/>
    <m/>
    <x v="1"/>
    <s v="71361970001009"/>
    <n v="-0.76"/>
    <n v="31"/>
    <n v="1"/>
    <n v="1"/>
  </r>
  <r>
    <m/>
    <m/>
    <x v="1"/>
    <s v="71508543001001"/>
    <n v="-3.75"/>
    <n v="153"/>
    <n v="1"/>
    <n v="1"/>
  </r>
  <r>
    <m/>
    <m/>
    <x v="1"/>
    <s v="72054793001001"/>
    <n v="-3.11"/>
    <n v="127"/>
    <n v="1"/>
    <n v="1"/>
  </r>
  <r>
    <m/>
    <m/>
    <x v="1"/>
    <s v="72106643001003"/>
    <n v="-7.69"/>
    <n v="314"/>
    <n v="1"/>
    <n v="1"/>
  </r>
  <r>
    <m/>
    <m/>
    <x v="1"/>
    <s v="72476489001001"/>
    <n v="-35.619999999999997"/>
    <n v="1454"/>
    <n v="1"/>
    <n v="1"/>
  </r>
  <r>
    <m/>
    <m/>
    <x v="1"/>
    <s v="72680010001001"/>
    <n v="-13.67"/>
    <n v="558"/>
    <n v="1"/>
    <n v="1"/>
  </r>
  <r>
    <m/>
    <m/>
    <x v="1"/>
    <s v="72769540001001"/>
    <n v="-5.98"/>
    <n v="244"/>
    <n v="1"/>
    <n v="1"/>
  </r>
  <r>
    <m/>
    <m/>
    <x v="1"/>
    <s v="72889636001003"/>
    <n v="-21.02"/>
    <n v="858"/>
    <n v="1"/>
    <n v="1"/>
  </r>
  <r>
    <m/>
    <m/>
    <x v="1"/>
    <s v="72971361001006"/>
    <n v="-36.26"/>
    <n v="1480"/>
    <n v="1"/>
    <n v="1"/>
  </r>
  <r>
    <m/>
    <m/>
    <x v="1"/>
    <s v="73439615001001"/>
    <n v="-11.56"/>
    <n v="472"/>
    <n v="1"/>
    <n v="1"/>
  </r>
  <r>
    <m/>
    <m/>
    <x v="1"/>
    <s v="73718834002001"/>
    <n v="-17.25"/>
    <n v="704"/>
    <n v="1"/>
    <n v="1"/>
  </r>
  <r>
    <m/>
    <m/>
    <x v="1"/>
    <s v="73822565001003"/>
    <n v="-13.35"/>
    <n v="545"/>
    <n v="1"/>
    <n v="1"/>
  </r>
  <r>
    <m/>
    <m/>
    <x v="1"/>
    <s v="74374771001005"/>
    <n v="-7.99"/>
    <n v="326"/>
    <n v="1"/>
    <n v="1"/>
  </r>
  <r>
    <m/>
    <m/>
    <x v="1"/>
    <s v="74556668001006"/>
    <n v="-11.66"/>
    <n v="476"/>
    <n v="1"/>
    <n v="1"/>
  </r>
  <r>
    <m/>
    <m/>
    <x v="1"/>
    <s v="74657239001002"/>
    <n v="-5.07"/>
    <n v="207"/>
    <n v="1"/>
    <n v="1"/>
  </r>
  <r>
    <m/>
    <m/>
    <x v="1"/>
    <s v="74849102001003"/>
    <n v="-30.06"/>
    <n v="1227"/>
    <n v="1"/>
    <n v="1"/>
  </r>
  <r>
    <m/>
    <m/>
    <x v="1"/>
    <s v="74916061001001"/>
    <n v="-18.25"/>
    <n v="745"/>
    <n v="1"/>
    <n v="1"/>
  </r>
  <r>
    <m/>
    <m/>
    <x v="1"/>
    <s v="75013681001001"/>
    <n v="-8.16"/>
    <n v="333"/>
    <n v="1"/>
    <n v="1"/>
  </r>
  <r>
    <m/>
    <m/>
    <x v="1"/>
    <s v="75149375001006"/>
    <n v="-15.68"/>
    <n v="640"/>
    <n v="1"/>
    <n v="1"/>
  </r>
  <r>
    <m/>
    <m/>
    <x v="1"/>
    <s v="75544198001002"/>
    <n v="-18.52"/>
    <n v="756"/>
    <n v="1"/>
    <n v="1"/>
  </r>
  <r>
    <m/>
    <m/>
    <x v="1"/>
    <s v="75558866002001"/>
    <n v="-22.59"/>
    <n v="922"/>
    <n v="1"/>
    <n v="1"/>
  </r>
  <r>
    <m/>
    <m/>
    <x v="1"/>
    <s v="75743118001001"/>
    <n v="-4.29"/>
    <n v="175"/>
    <n v="1"/>
    <n v="1"/>
  </r>
  <r>
    <m/>
    <m/>
    <x v="1"/>
    <s v="75814877002001"/>
    <n v="-37.14"/>
    <n v="1516"/>
    <n v="1"/>
    <n v="1"/>
  </r>
  <r>
    <m/>
    <m/>
    <x v="1"/>
    <s v="75838799001004"/>
    <n v="-15.31"/>
    <n v="625"/>
    <n v="1"/>
    <n v="1"/>
  </r>
  <r>
    <m/>
    <m/>
    <x v="1"/>
    <s v="76017664001001"/>
    <n v="-2.5"/>
    <n v="102"/>
    <n v="1"/>
    <n v="1"/>
  </r>
  <r>
    <m/>
    <m/>
    <x v="1"/>
    <s v="76559936001004"/>
    <n v="-8.89"/>
    <n v="363"/>
    <n v="1"/>
    <n v="1"/>
  </r>
  <r>
    <m/>
    <m/>
    <x v="1"/>
    <s v="76588944001003"/>
    <n v="-0.74"/>
    <n v="30"/>
    <n v="1"/>
    <n v="1"/>
  </r>
  <r>
    <m/>
    <m/>
    <x v="1"/>
    <s v="76614777003003"/>
    <n v="-60.71"/>
    <n v="2478"/>
    <n v="1"/>
    <n v="1"/>
  </r>
  <r>
    <m/>
    <m/>
    <x v="1"/>
    <s v="76615869001006"/>
    <n v="-36.04"/>
    <n v="1471"/>
    <n v="1"/>
    <n v="1"/>
  </r>
  <r>
    <m/>
    <m/>
    <x v="1"/>
    <s v="76670454001001"/>
    <n v="-31.02"/>
    <n v="1266"/>
    <n v="1"/>
    <n v="1"/>
  </r>
  <r>
    <m/>
    <m/>
    <x v="1"/>
    <s v="76795463001003"/>
    <n v="-13.13"/>
    <n v="536"/>
    <n v="1"/>
    <n v="1"/>
  </r>
  <r>
    <m/>
    <m/>
    <x v="1"/>
    <s v="76854949001003"/>
    <n v="-22.22"/>
    <n v="907"/>
    <n v="1"/>
    <n v="1"/>
  </r>
  <r>
    <m/>
    <m/>
    <x v="1"/>
    <s v="77297374001003"/>
    <n v="-6.3"/>
    <n v="257"/>
    <n v="1"/>
    <n v="1"/>
  </r>
  <r>
    <m/>
    <m/>
    <x v="1"/>
    <s v="77319670001005"/>
    <n v="-2.23"/>
    <n v="91"/>
    <n v="1"/>
    <n v="1"/>
  </r>
  <r>
    <m/>
    <m/>
    <x v="1"/>
    <s v="77414176001005"/>
    <n v="-13.57"/>
    <n v="554"/>
    <n v="1"/>
    <n v="1"/>
  </r>
  <r>
    <m/>
    <m/>
    <x v="1"/>
    <s v="77482495003001"/>
    <n v="-13.57"/>
    <n v="554"/>
    <n v="1"/>
    <n v="1"/>
  </r>
  <r>
    <m/>
    <m/>
    <x v="1"/>
    <s v="77745389002003"/>
    <n v="-2.23"/>
    <n v="91"/>
    <n v="1"/>
    <n v="1"/>
  </r>
  <r>
    <m/>
    <m/>
    <x v="1"/>
    <s v="77931356002006"/>
    <n v="-20.97"/>
    <n v="856"/>
    <n v="1"/>
    <n v="1"/>
  </r>
  <r>
    <m/>
    <m/>
    <x v="1"/>
    <s v="78067360001002"/>
    <n v="-18.91"/>
    <n v="772"/>
    <n v="1"/>
    <n v="1"/>
  </r>
  <r>
    <m/>
    <m/>
    <x v="1"/>
    <s v="78102550001004"/>
    <n v="-25.85"/>
    <n v="1055"/>
    <n v="1"/>
    <n v="1"/>
  </r>
  <r>
    <m/>
    <m/>
    <x v="1"/>
    <s v="78241325001001"/>
    <n v="-18.350000000000001"/>
    <n v="749"/>
    <n v="1"/>
    <n v="1"/>
  </r>
  <r>
    <m/>
    <m/>
    <x v="1"/>
    <s v="79283500001002"/>
    <n v="-29.2"/>
    <n v="1192"/>
    <n v="1"/>
    <n v="1"/>
  </r>
  <r>
    <m/>
    <m/>
    <x v="1"/>
    <s v="79543609001001"/>
    <n v="-9.24"/>
    <n v="377"/>
    <n v="1"/>
    <n v="1"/>
  </r>
  <r>
    <m/>
    <m/>
    <x v="1"/>
    <s v="79559262001003"/>
    <n v="-3.99"/>
    <n v="163"/>
    <n v="1"/>
    <n v="1"/>
  </r>
  <r>
    <m/>
    <m/>
    <x v="1"/>
    <s v="79713989002001"/>
    <n v="-35.75"/>
    <n v="1459"/>
    <n v="1"/>
    <n v="1"/>
  </r>
  <r>
    <m/>
    <m/>
    <x v="1"/>
    <s v="79889636001005"/>
    <n v="-29.28"/>
    <n v="1195"/>
    <n v="1"/>
    <n v="1"/>
  </r>
  <r>
    <m/>
    <m/>
    <x v="1"/>
    <s v="79989931001001"/>
    <n v="-7.47"/>
    <n v="305"/>
    <n v="1"/>
    <n v="1"/>
  </r>
  <r>
    <m/>
    <m/>
    <x v="1"/>
    <s v="80164416001009"/>
    <n v="-15.34"/>
    <n v="626"/>
    <n v="1"/>
    <n v="1"/>
  </r>
  <r>
    <m/>
    <m/>
    <x v="1"/>
    <s v="80546282001001"/>
    <n v="-0.88"/>
    <n v="36"/>
    <n v="1"/>
    <n v="1"/>
  </r>
  <r>
    <m/>
    <m/>
    <x v="1"/>
    <s v="80624981001003"/>
    <n v="-3.58"/>
    <n v="146"/>
    <n v="1"/>
    <n v="1"/>
  </r>
  <r>
    <m/>
    <m/>
    <x v="1"/>
    <s v="80867382002003"/>
    <n v="-10.68"/>
    <n v="436"/>
    <n v="1"/>
    <n v="1"/>
  </r>
  <r>
    <m/>
    <m/>
    <x v="1"/>
    <s v="80918426001002"/>
    <n v="-20.7"/>
    <n v="845"/>
    <n v="1"/>
    <n v="1"/>
  </r>
  <r>
    <m/>
    <m/>
    <x v="1"/>
    <s v="81097028001001"/>
    <n v="-9.7799999999999994"/>
    <n v="399"/>
    <n v="1"/>
    <n v="1"/>
  </r>
  <r>
    <m/>
    <m/>
    <x v="1"/>
    <s v="81182109001003"/>
    <n v="-8.6"/>
    <n v="351"/>
    <n v="1"/>
    <n v="1"/>
  </r>
  <r>
    <m/>
    <m/>
    <x v="1"/>
    <s v="81298475001001"/>
    <n v="-9.09"/>
    <n v="371"/>
    <n v="1"/>
    <n v="1"/>
  </r>
  <r>
    <m/>
    <m/>
    <x v="1"/>
    <s v="81376958001002"/>
    <n v="-31.61"/>
    <n v="1290"/>
    <n v="1"/>
    <n v="1"/>
  </r>
  <r>
    <m/>
    <m/>
    <x v="1"/>
    <s v="81489053002003"/>
    <n v="-25.6"/>
    <n v="1045"/>
    <n v="1"/>
    <n v="1"/>
  </r>
  <r>
    <m/>
    <m/>
    <x v="1"/>
    <s v="81851563001001"/>
    <n v="-15.04"/>
    <n v="614"/>
    <n v="1"/>
    <n v="1"/>
  </r>
  <r>
    <m/>
    <m/>
    <x v="1"/>
    <s v="82043401001001"/>
    <n v="-12.13"/>
    <n v="495"/>
    <n v="1"/>
    <n v="1"/>
  </r>
  <r>
    <m/>
    <m/>
    <x v="1"/>
    <s v="82082422001001"/>
    <n v="-3.06"/>
    <n v="125"/>
    <n v="1"/>
    <n v="1"/>
  </r>
  <r>
    <m/>
    <m/>
    <x v="1"/>
    <s v="82322990001001"/>
    <n v="-21.73"/>
    <n v="887"/>
    <n v="1"/>
    <n v="1"/>
  </r>
  <r>
    <m/>
    <m/>
    <x v="1"/>
    <s v="82389671001001"/>
    <n v="-35.94"/>
    <n v="1467"/>
    <n v="1"/>
    <n v="1"/>
  </r>
  <r>
    <m/>
    <m/>
    <x v="1"/>
    <s v="82705141002003"/>
    <n v="-20.63"/>
    <n v="842"/>
    <n v="1"/>
    <n v="1"/>
  </r>
  <r>
    <m/>
    <m/>
    <x v="1"/>
    <s v="82876457001003"/>
    <n v="-7.37"/>
    <n v="301"/>
    <n v="1"/>
    <n v="1"/>
  </r>
  <r>
    <m/>
    <m/>
    <x v="1"/>
    <s v="83012772001001"/>
    <n v="-15.29"/>
    <n v="624"/>
    <n v="1"/>
    <n v="1"/>
  </r>
  <r>
    <m/>
    <m/>
    <x v="1"/>
    <s v="83058315001004"/>
    <n v="-29.69"/>
    <n v="1212"/>
    <n v="1"/>
    <n v="1"/>
  </r>
  <r>
    <m/>
    <m/>
    <x v="1"/>
    <s v="83144829001001"/>
    <n v="-5.71"/>
    <n v="233"/>
    <n v="1"/>
    <n v="1"/>
  </r>
  <r>
    <m/>
    <m/>
    <x v="1"/>
    <s v="83232170001001"/>
    <n v="-23.96"/>
    <n v="978"/>
    <n v="1"/>
    <n v="1"/>
  </r>
  <r>
    <m/>
    <m/>
    <x v="1"/>
    <s v="83365022001002"/>
    <n v="-16.489999999999998"/>
    <n v="673"/>
    <n v="1"/>
    <n v="1"/>
  </r>
  <r>
    <m/>
    <m/>
    <x v="1"/>
    <s v="83430858001001"/>
    <n v="-22.3"/>
    <n v="910"/>
    <n v="1"/>
    <n v="1"/>
  </r>
  <r>
    <m/>
    <m/>
    <x v="1"/>
    <s v="83589580001001"/>
    <n v="-21.19"/>
    <n v="865"/>
    <n v="1"/>
    <n v="1"/>
  </r>
  <r>
    <m/>
    <m/>
    <x v="1"/>
    <s v="83951109003001"/>
    <n v="-48"/>
    <n v="1959"/>
    <n v="1"/>
    <n v="1"/>
  </r>
  <r>
    <m/>
    <m/>
    <x v="1"/>
    <s v="83981500001003"/>
    <n v="-17.690000000000001"/>
    <n v="722"/>
    <n v="1"/>
    <n v="1"/>
  </r>
  <r>
    <m/>
    <m/>
    <x v="1"/>
    <s v="84147592002001"/>
    <n v="-14.36"/>
    <n v="586"/>
    <n v="1"/>
    <n v="1"/>
  </r>
  <r>
    <m/>
    <m/>
    <x v="1"/>
    <s v="84160982001001"/>
    <n v="-1.18"/>
    <n v="48"/>
    <n v="1"/>
    <n v="1"/>
  </r>
  <r>
    <m/>
    <m/>
    <x v="1"/>
    <s v="84270072001001"/>
    <n v="-7.84"/>
    <n v="320"/>
    <n v="1"/>
    <n v="1"/>
  </r>
  <r>
    <m/>
    <m/>
    <x v="1"/>
    <s v="84296270001001"/>
    <n v="-0.15"/>
    <n v="6"/>
    <n v="1"/>
    <n v="1"/>
  </r>
  <r>
    <m/>
    <m/>
    <x v="1"/>
    <s v="84649205001001"/>
    <n v="-21.51"/>
    <n v="878"/>
    <n v="1"/>
    <n v="1"/>
  </r>
  <r>
    <m/>
    <m/>
    <x v="1"/>
    <s v="84767508001007"/>
    <n v="-1.37"/>
    <n v="56"/>
    <n v="1"/>
    <n v="1"/>
  </r>
  <r>
    <m/>
    <m/>
    <x v="1"/>
    <s v="84854567001007"/>
    <n v="-12.25"/>
    <n v="500"/>
    <n v="1"/>
    <n v="1"/>
  </r>
  <r>
    <m/>
    <m/>
    <x v="1"/>
    <s v="84929826001001"/>
    <n v="-4.09"/>
    <n v="167"/>
    <n v="1"/>
    <n v="1"/>
  </r>
  <r>
    <m/>
    <m/>
    <x v="1"/>
    <s v="84938068001001"/>
    <n v="-8.48"/>
    <n v="346"/>
    <n v="1"/>
    <n v="1"/>
  </r>
  <r>
    <m/>
    <m/>
    <x v="1"/>
    <s v="85218753001001"/>
    <n v="-21.29"/>
    <n v="869"/>
    <n v="1"/>
    <n v="1"/>
  </r>
  <r>
    <m/>
    <m/>
    <x v="1"/>
    <s v="85220903001004"/>
    <n v="-0.39"/>
    <n v="16"/>
    <n v="1"/>
    <n v="1"/>
  </r>
  <r>
    <m/>
    <m/>
    <x v="1"/>
    <s v="85373492001005"/>
    <n v="-3.94"/>
    <n v="161"/>
    <n v="1"/>
    <n v="1"/>
  </r>
  <r>
    <m/>
    <m/>
    <x v="1"/>
    <s v="85464036001001"/>
    <n v="-20.36"/>
    <n v="831"/>
    <n v="1"/>
    <n v="1"/>
  </r>
  <r>
    <m/>
    <m/>
    <x v="1"/>
    <s v="85607457001003"/>
    <n v="-11.03"/>
    <n v="450"/>
    <n v="1"/>
    <n v="1"/>
  </r>
  <r>
    <m/>
    <m/>
    <x v="1"/>
    <s v="85949429001002"/>
    <n v="-11.25"/>
    <n v="459"/>
    <n v="1"/>
    <n v="1"/>
  </r>
  <r>
    <m/>
    <m/>
    <x v="1"/>
    <s v="85972728001001"/>
    <n v="-0.12"/>
    <n v="5"/>
    <n v="1"/>
    <n v="1"/>
  </r>
  <r>
    <m/>
    <m/>
    <x v="1"/>
    <s v="85986593003001"/>
    <n v="-14.01"/>
    <n v="572"/>
    <n v="1"/>
    <n v="1"/>
  </r>
  <r>
    <m/>
    <m/>
    <x v="1"/>
    <s v="86314126001001"/>
    <n v="-21.88"/>
    <n v="893"/>
    <n v="1"/>
    <n v="1"/>
  </r>
  <r>
    <m/>
    <m/>
    <x v="1"/>
    <s v="86420880001004"/>
    <n v="-55.22"/>
    <n v="2254"/>
    <n v="1"/>
    <n v="1"/>
  </r>
  <r>
    <m/>
    <m/>
    <x v="1"/>
    <s v="86574879001008"/>
    <n v="-20.63"/>
    <n v="842"/>
    <n v="1"/>
    <n v="1"/>
  </r>
  <r>
    <m/>
    <m/>
    <x v="1"/>
    <s v="86808270001005"/>
    <n v="-8.6999999999999993"/>
    <n v="355"/>
    <n v="1"/>
    <n v="1"/>
  </r>
  <r>
    <m/>
    <m/>
    <x v="1"/>
    <s v="86826206004005"/>
    <n v="-16.61"/>
    <n v="678"/>
    <n v="1"/>
    <n v="1"/>
  </r>
  <r>
    <m/>
    <m/>
    <x v="1"/>
    <s v="86974765001001"/>
    <n v="-11.1"/>
    <n v="453"/>
    <n v="1"/>
    <n v="1"/>
  </r>
  <r>
    <m/>
    <m/>
    <x v="1"/>
    <s v="87298950001009"/>
    <n v="-4.95"/>
    <n v="202"/>
    <n v="1"/>
    <n v="1"/>
  </r>
  <r>
    <m/>
    <m/>
    <x v="1"/>
    <s v="87402995001003"/>
    <n v="-18.670000000000002"/>
    <n v="762"/>
    <n v="1"/>
    <n v="1"/>
  </r>
  <r>
    <m/>
    <m/>
    <x v="1"/>
    <s v="87409773002001"/>
    <n v="-19.23"/>
    <n v="785"/>
    <n v="1"/>
    <n v="1"/>
  </r>
  <r>
    <m/>
    <m/>
    <x v="1"/>
    <s v="87496184001004"/>
    <n v="-1.76"/>
    <n v="72"/>
    <n v="1"/>
    <n v="1"/>
  </r>
  <r>
    <m/>
    <m/>
    <x v="1"/>
    <s v="87567739001004"/>
    <n v="-26.22"/>
    <n v="1070"/>
    <n v="1"/>
    <n v="1"/>
  </r>
  <r>
    <m/>
    <m/>
    <x v="1"/>
    <s v="87970646001002"/>
    <n v="-10.46"/>
    <n v="427"/>
    <n v="1"/>
    <n v="1"/>
  </r>
  <r>
    <m/>
    <m/>
    <x v="1"/>
    <s v="88302097001001"/>
    <n v="-26.8"/>
    <n v="1094"/>
    <n v="1"/>
    <n v="1"/>
  </r>
  <r>
    <m/>
    <m/>
    <x v="1"/>
    <s v="88416298001001"/>
    <n v="-4.97"/>
    <n v="203"/>
    <n v="1"/>
    <n v="1"/>
  </r>
  <r>
    <m/>
    <m/>
    <x v="1"/>
    <s v="88600796001001"/>
    <n v="-13.79"/>
    <n v="563"/>
    <n v="1"/>
    <n v="1"/>
  </r>
  <r>
    <m/>
    <m/>
    <x v="1"/>
    <s v="88674501001001"/>
    <n v="-2.77"/>
    <n v="113"/>
    <n v="1"/>
    <n v="1"/>
  </r>
  <r>
    <m/>
    <m/>
    <x v="1"/>
    <s v="88716719002003"/>
    <n v="-8.06"/>
    <n v="329"/>
    <n v="1"/>
    <n v="1"/>
  </r>
  <r>
    <m/>
    <m/>
    <x v="1"/>
    <s v="88795471002001"/>
    <n v="-9.0399999999999991"/>
    <n v="369"/>
    <n v="1"/>
    <n v="1"/>
  </r>
  <r>
    <m/>
    <m/>
    <x v="1"/>
    <s v="89067112002001"/>
    <n v="-16.760000000000002"/>
    <n v="684"/>
    <n v="1"/>
    <n v="1"/>
  </r>
  <r>
    <m/>
    <m/>
    <x v="1"/>
    <s v="89105915001001"/>
    <n v="-82.64"/>
    <n v="3373"/>
    <n v="1"/>
    <n v="1"/>
  </r>
  <r>
    <m/>
    <m/>
    <x v="1"/>
    <s v="89115051002001"/>
    <n v="-31.65"/>
    <n v="1292"/>
    <n v="1"/>
    <n v="1"/>
  </r>
  <r>
    <m/>
    <m/>
    <x v="1"/>
    <s v="89128471001009"/>
    <n v="-32.14"/>
    <n v="1312"/>
    <n v="1"/>
    <n v="1"/>
  </r>
  <r>
    <m/>
    <m/>
    <x v="1"/>
    <s v="89435607001002"/>
    <n v="-21.51"/>
    <n v="878"/>
    <n v="1"/>
    <n v="1"/>
  </r>
  <r>
    <m/>
    <m/>
    <x v="1"/>
    <s v="89520809001009"/>
    <n v="-25.28"/>
    <n v="1032"/>
    <n v="1"/>
    <n v="1"/>
  </r>
  <r>
    <m/>
    <m/>
    <x v="1"/>
    <s v="89599726001001"/>
    <n v="-14.5"/>
    <n v="592"/>
    <n v="1"/>
    <n v="1"/>
  </r>
  <r>
    <m/>
    <m/>
    <x v="1"/>
    <s v="90070067001013"/>
    <n v="-10.68"/>
    <n v="436"/>
    <n v="1"/>
    <n v="1"/>
  </r>
  <r>
    <m/>
    <m/>
    <x v="1"/>
    <s v="90423930002005"/>
    <n v="-17.64"/>
    <n v="720"/>
    <n v="1"/>
    <n v="1"/>
  </r>
  <r>
    <m/>
    <m/>
    <x v="1"/>
    <s v="90466455001004"/>
    <n v="-20.36"/>
    <n v="831"/>
    <n v="1"/>
    <n v="1"/>
  </r>
  <r>
    <m/>
    <m/>
    <x v="1"/>
    <s v="90515852001001"/>
    <n v="-23.2"/>
    <n v="947"/>
    <n v="1"/>
    <n v="1"/>
  </r>
  <r>
    <m/>
    <m/>
    <x v="1"/>
    <s v="90593570008003"/>
    <n v="-24.97"/>
    <n v="1019"/>
    <n v="1"/>
    <n v="1"/>
  </r>
  <r>
    <m/>
    <m/>
    <x v="1"/>
    <s v="90642244003005"/>
    <n v="-28.69"/>
    <n v="1171"/>
    <n v="1"/>
    <n v="1"/>
  </r>
  <r>
    <m/>
    <m/>
    <x v="1"/>
    <s v="90666654001001"/>
    <n v="-18.55"/>
    <n v="757"/>
    <n v="1"/>
    <n v="1"/>
  </r>
  <r>
    <m/>
    <m/>
    <x v="1"/>
    <s v="91179685001003"/>
    <n v="-4.58"/>
    <n v="187"/>
    <n v="1"/>
    <n v="1"/>
  </r>
  <r>
    <m/>
    <m/>
    <x v="1"/>
    <s v="91251961001001"/>
    <n v="-3.72"/>
    <n v="152"/>
    <n v="1"/>
    <n v="1"/>
  </r>
  <r>
    <m/>
    <m/>
    <x v="1"/>
    <s v="91266513001005"/>
    <n v="-10.93"/>
    <n v="446"/>
    <n v="1"/>
    <n v="1"/>
  </r>
  <r>
    <m/>
    <m/>
    <x v="1"/>
    <s v="91610458001002"/>
    <n v="-22.15"/>
    <n v="904"/>
    <n v="1"/>
    <n v="1"/>
  </r>
  <r>
    <m/>
    <m/>
    <x v="1"/>
    <s v="91666691002003"/>
    <n v="-34.42"/>
    <n v="1405"/>
    <n v="1"/>
    <n v="1"/>
  </r>
  <r>
    <m/>
    <m/>
    <x v="1"/>
    <s v="91700255001001"/>
    <n v="-22.71"/>
    <n v="927"/>
    <n v="1"/>
    <n v="1"/>
  </r>
  <r>
    <m/>
    <m/>
    <x v="1"/>
    <s v="91722865001003"/>
    <n v="-6.84"/>
    <n v="279"/>
    <n v="1"/>
    <n v="1"/>
  </r>
  <r>
    <m/>
    <m/>
    <x v="1"/>
    <s v="91727388001001"/>
    <n v="-20.309999999999999"/>
    <n v="829"/>
    <n v="1"/>
    <n v="1"/>
  </r>
  <r>
    <m/>
    <m/>
    <x v="1"/>
    <s v="92277523001006"/>
    <n v="-7.64"/>
    <n v="312"/>
    <n v="1"/>
    <n v="1"/>
  </r>
  <r>
    <m/>
    <m/>
    <x v="1"/>
    <s v="92284333001003"/>
    <n v="-7.15"/>
    <n v="292"/>
    <n v="1"/>
    <n v="1"/>
  </r>
  <r>
    <m/>
    <m/>
    <x v="1"/>
    <s v="92517163002004"/>
    <n v="-33.71"/>
    <n v="1376"/>
    <n v="1"/>
    <n v="1"/>
  </r>
  <r>
    <m/>
    <m/>
    <x v="1"/>
    <s v="92602233001001"/>
    <n v="-17.100000000000001"/>
    <n v="698"/>
    <n v="1"/>
    <n v="1"/>
  </r>
  <r>
    <m/>
    <m/>
    <x v="1"/>
    <s v="93107160001010"/>
    <n v="-24.72"/>
    <n v="1009"/>
    <n v="1"/>
    <n v="1"/>
  </r>
  <r>
    <m/>
    <m/>
    <x v="1"/>
    <s v="93387211001009"/>
    <n v="-32.44"/>
    <n v="1324"/>
    <n v="1"/>
    <n v="1"/>
  </r>
  <r>
    <m/>
    <m/>
    <x v="1"/>
    <s v="93541991001003"/>
    <n v="-6.13"/>
    <n v="250"/>
    <n v="1"/>
    <n v="1"/>
  </r>
  <r>
    <m/>
    <m/>
    <x v="1"/>
    <s v="94290441002001"/>
    <n v="-9.58"/>
    <n v="391"/>
    <n v="1"/>
    <n v="1"/>
  </r>
  <r>
    <m/>
    <m/>
    <x v="1"/>
    <s v="94513633001005"/>
    <n v="-17.03"/>
    <n v="695"/>
    <n v="1"/>
    <n v="1"/>
  </r>
  <r>
    <m/>
    <m/>
    <x v="1"/>
    <s v="94684058001001"/>
    <n v="-10.17"/>
    <n v="415"/>
    <n v="1"/>
    <n v="1"/>
  </r>
  <r>
    <m/>
    <m/>
    <x v="1"/>
    <s v="94908251002001"/>
    <n v="-34.42"/>
    <n v="1405"/>
    <n v="1"/>
    <n v="1"/>
  </r>
  <r>
    <m/>
    <m/>
    <x v="1"/>
    <s v="94963671001001"/>
    <n v="-16.91"/>
    <n v="690"/>
    <n v="1"/>
    <n v="1"/>
  </r>
  <r>
    <m/>
    <m/>
    <x v="1"/>
    <s v="95016897001001"/>
    <n v="-8.26"/>
    <n v="337"/>
    <n v="1"/>
    <n v="1"/>
  </r>
  <r>
    <m/>
    <m/>
    <x v="1"/>
    <s v="95227952004001"/>
    <n v="-57.48"/>
    <n v="2346"/>
    <n v="1"/>
    <n v="1"/>
  </r>
  <r>
    <m/>
    <m/>
    <x v="1"/>
    <s v="95229231001002"/>
    <n v="-11.76"/>
    <n v="480"/>
    <n v="1"/>
    <n v="1"/>
  </r>
  <r>
    <m/>
    <m/>
    <x v="1"/>
    <s v="95311280001001"/>
    <n v="-10.88"/>
    <n v="444"/>
    <n v="1"/>
    <n v="1"/>
  </r>
  <r>
    <m/>
    <m/>
    <x v="1"/>
    <s v="95373261001005"/>
    <n v="-20.58"/>
    <n v="840"/>
    <n v="1"/>
    <n v="1"/>
  </r>
  <r>
    <m/>
    <m/>
    <x v="1"/>
    <s v="95438353001014"/>
    <n v="-16.61"/>
    <n v="678"/>
    <n v="1"/>
    <n v="1"/>
  </r>
  <r>
    <m/>
    <m/>
    <x v="1"/>
    <s v="95527245001004"/>
    <n v="-4.09"/>
    <n v="167"/>
    <n v="1"/>
    <n v="1"/>
  </r>
  <r>
    <m/>
    <m/>
    <x v="1"/>
    <s v="95699360003004"/>
    <n v="-16.559999999999999"/>
    <n v="676"/>
    <n v="1"/>
    <n v="1"/>
  </r>
  <r>
    <m/>
    <m/>
    <x v="1"/>
    <s v="95972381001002"/>
    <n v="-21.58"/>
    <n v="881"/>
    <n v="1"/>
    <n v="1"/>
  </r>
  <r>
    <m/>
    <m/>
    <x v="1"/>
    <s v="95974841004001"/>
    <n v="-16.88"/>
    <n v="689"/>
    <n v="1"/>
    <n v="1"/>
  </r>
  <r>
    <m/>
    <m/>
    <x v="1"/>
    <s v="96052911001001"/>
    <n v="-4.92"/>
    <n v="201"/>
    <n v="1"/>
    <n v="1"/>
  </r>
  <r>
    <m/>
    <m/>
    <x v="1"/>
    <s v="96226382001001"/>
    <n v="-5.15"/>
    <n v="210"/>
    <n v="1"/>
    <n v="1"/>
  </r>
  <r>
    <m/>
    <m/>
    <x v="1"/>
    <s v="96258552001004"/>
    <n v="-21.61"/>
    <n v="882"/>
    <n v="1"/>
    <n v="1"/>
  </r>
  <r>
    <m/>
    <m/>
    <x v="1"/>
    <s v="96369039001001"/>
    <n v="-30.38"/>
    <n v="1240"/>
    <n v="1"/>
    <n v="1"/>
  </r>
  <r>
    <m/>
    <m/>
    <x v="1"/>
    <s v="96989595001001"/>
    <n v="-11.83"/>
    <n v="483"/>
    <n v="1"/>
    <n v="1"/>
  </r>
  <r>
    <m/>
    <m/>
    <x v="1"/>
    <s v="97033053001001"/>
    <n v="-26.63"/>
    <n v="1087"/>
    <n v="1"/>
    <n v="1"/>
  </r>
  <r>
    <m/>
    <m/>
    <x v="1"/>
    <s v="97058089002005"/>
    <n v="-4.41"/>
    <n v="180"/>
    <n v="1"/>
    <n v="1"/>
  </r>
  <r>
    <m/>
    <m/>
    <x v="1"/>
    <s v="97517408001003"/>
    <n v="-9.0399999999999991"/>
    <n v="369"/>
    <n v="1"/>
    <n v="1"/>
  </r>
  <r>
    <m/>
    <m/>
    <x v="1"/>
    <s v="97521847001001"/>
    <n v="-9.4600000000000009"/>
    <n v="386"/>
    <n v="1"/>
    <n v="1"/>
  </r>
  <r>
    <m/>
    <m/>
    <x v="1"/>
    <s v="97956025003003"/>
    <n v="-12.25"/>
    <n v="500"/>
    <n v="1"/>
    <n v="1"/>
  </r>
  <r>
    <m/>
    <m/>
    <x v="1"/>
    <s v="98157594010001"/>
    <n v="-41.75"/>
    <n v="1704"/>
    <n v="1"/>
    <n v="1"/>
  </r>
  <r>
    <m/>
    <m/>
    <x v="1"/>
    <s v="98361540001003"/>
    <n v="-3.65"/>
    <n v="149"/>
    <n v="1"/>
    <n v="1"/>
  </r>
  <r>
    <m/>
    <m/>
    <x v="1"/>
    <s v="98550222001001"/>
    <n v="-25.63"/>
    <n v="1046"/>
    <n v="1"/>
    <n v="1"/>
  </r>
  <r>
    <m/>
    <m/>
    <x v="1"/>
    <s v="98859974001007"/>
    <n v="-11.25"/>
    <n v="459"/>
    <n v="1"/>
    <n v="1"/>
  </r>
  <r>
    <m/>
    <m/>
    <x v="1"/>
    <s v="98982821001003"/>
    <n v="-1.64"/>
    <n v="67"/>
    <n v="1"/>
    <n v="1"/>
  </r>
  <r>
    <m/>
    <m/>
    <x v="1"/>
    <s v="99547055001003"/>
    <n v="-37.04"/>
    <n v="1512"/>
    <n v="1"/>
    <n v="1"/>
  </r>
  <r>
    <m/>
    <m/>
    <x v="1"/>
    <s v="99605913001001"/>
    <n v="-5.83"/>
    <n v="238"/>
    <n v="1"/>
    <n v="1"/>
  </r>
  <r>
    <m/>
    <m/>
    <x v="1"/>
    <s v="99678131001001"/>
    <n v="-14.8"/>
    <n v="604"/>
    <n v="1"/>
    <n v="1"/>
  </r>
  <r>
    <m/>
    <m/>
    <x v="1"/>
    <s v="99689334001002"/>
    <n v="-13.38"/>
    <n v="546"/>
    <n v="1"/>
    <n v="1"/>
  </r>
  <r>
    <m/>
    <m/>
    <x v="1"/>
    <s v="99752520001007"/>
    <n v="-20.43"/>
    <n v="834"/>
    <n v="1"/>
    <n v="1"/>
  </r>
  <r>
    <m/>
    <m/>
    <x v="1"/>
    <s v="99831171002001"/>
    <n v="-67.5"/>
    <n v="2755"/>
    <n v="1"/>
    <n v="1"/>
  </r>
  <r>
    <m/>
    <m/>
    <x v="1"/>
    <s v="99840626001004"/>
    <n v="-9.6"/>
    <n v="392"/>
    <n v="1"/>
    <n v="1"/>
  </r>
  <r>
    <m/>
    <m/>
    <x v="2"/>
    <m/>
    <n v="-15741.789999999999"/>
    <n v="642513"/>
    <n v="942"/>
    <n v="939"/>
  </r>
  <r>
    <m/>
    <m/>
    <x v="3"/>
    <s v="00046637001001"/>
    <n v="-11.41"/>
    <n v="291"/>
    <n v="1"/>
    <n v="1"/>
  </r>
  <r>
    <m/>
    <m/>
    <x v="1"/>
    <s v="00505142002001"/>
    <n v="-13.06"/>
    <n v="333"/>
    <n v="1"/>
    <n v="1"/>
  </r>
  <r>
    <m/>
    <m/>
    <x v="1"/>
    <s v="00615047002001"/>
    <n v="-22.04"/>
    <n v="562"/>
    <n v="1"/>
    <n v="1"/>
  </r>
  <r>
    <m/>
    <m/>
    <x v="1"/>
    <s v="00620929001002"/>
    <n v="-12.74"/>
    <n v="325"/>
    <n v="1"/>
    <n v="1"/>
  </r>
  <r>
    <m/>
    <m/>
    <x v="1"/>
    <s v="00785166001003"/>
    <n v="-1.06"/>
    <n v="27"/>
    <n v="1"/>
    <n v="1"/>
  </r>
  <r>
    <m/>
    <m/>
    <x v="1"/>
    <s v="00809273002003"/>
    <n v="-44.15"/>
    <n v="1126"/>
    <n v="1"/>
    <n v="1"/>
  </r>
  <r>
    <m/>
    <m/>
    <x v="1"/>
    <s v="00829036001001"/>
    <n v="-32.11"/>
    <n v="819"/>
    <n v="1"/>
    <n v="1"/>
  </r>
  <r>
    <m/>
    <m/>
    <x v="1"/>
    <s v="00838430001003"/>
    <n v="-46.31"/>
    <n v="1181"/>
    <n v="1"/>
    <n v="1"/>
  </r>
  <r>
    <m/>
    <m/>
    <x v="1"/>
    <s v="00876650001003"/>
    <n v="-43.29"/>
    <n v="1104"/>
    <n v="1"/>
    <n v="1"/>
  </r>
  <r>
    <m/>
    <m/>
    <x v="1"/>
    <s v="01028343001005"/>
    <n v="-19.53"/>
    <n v="498"/>
    <n v="1"/>
    <n v="1"/>
  </r>
  <r>
    <m/>
    <m/>
    <x v="1"/>
    <s v="01147160001001"/>
    <n v="-43.44"/>
    <n v="1108"/>
    <n v="1"/>
    <n v="1"/>
  </r>
  <r>
    <m/>
    <m/>
    <x v="1"/>
    <s v="01335294001005"/>
    <n v="-5.0599999999999996"/>
    <n v="129"/>
    <n v="1"/>
    <n v="1"/>
  </r>
  <r>
    <m/>
    <m/>
    <x v="1"/>
    <s v="01519525001005"/>
    <n v="-7.37"/>
    <n v="188"/>
    <n v="1"/>
    <n v="1"/>
  </r>
  <r>
    <m/>
    <m/>
    <x v="1"/>
    <s v="01520368001007"/>
    <n v="-5.88"/>
    <n v="150"/>
    <n v="1"/>
    <n v="1"/>
  </r>
  <r>
    <m/>
    <m/>
    <x v="1"/>
    <s v="01858972001001"/>
    <n v="-31.88"/>
    <n v="813"/>
    <n v="1"/>
    <n v="1"/>
  </r>
  <r>
    <m/>
    <m/>
    <x v="1"/>
    <s v="02383685001001"/>
    <n v="-18.66"/>
    <n v="476"/>
    <n v="1"/>
    <n v="1"/>
  </r>
  <r>
    <m/>
    <m/>
    <x v="1"/>
    <s v="02495470002001"/>
    <n v="-7.14"/>
    <n v="182"/>
    <n v="1"/>
    <n v="1"/>
  </r>
  <r>
    <m/>
    <m/>
    <x v="1"/>
    <s v="02761318001001"/>
    <n v="-31.6"/>
    <n v="806"/>
    <n v="1"/>
    <n v="1"/>
  </r>
  <r>
    <m/>
    <m/>
    <x v="1"/>
    <s v="02861062001008"/>
    <n v="-4.08"/>
    <n v="104"/>
    <n v="1"/>
    <n v="1"/>
  </r>
  <r>
    <m/>
    <m/>
    <x v="1"/>
    <s v="02975140001002"/>
    <n v="-6.27"/>
    <n v="160"/>
    <n v="1"/>
    <n v="1"/>
  </r>
  <r>
    <m/>
    <m/>
    <x v="1"/>
    <s v="03276788001006"/>
    <n v="-53.01"/>
    <n v="1352"/>
    <n v="1"/>
    <n v="1"/>
  </r>
  <r>
    <m/>
    <m/>
    <x v="1"/>
    <s v="03303681001001"/>
    <n v="-27.02"/>
    <n v="689"/>
    <n v="1"/>
    <n v="1"/>
  </r>
  <r>
    <m/>
    <m/>
    <x v="1"/>
    <s v="03425988001004"/>
    <n v="-21.13"/>
    <n v="539"/>
    <n v="1"/>
    <n v="1"/>
  </r>
  <r>
    <m/>
    <m/>
    <x v="1"/>
    <s v="03428866001003"/>
    <n v="-27.33"/>
    <n v="697"/>
    <n v="1"/>
    <n v="1"/>
  </r>
  <r>
    <m/>
    <m/>
    <x v="1"/>
    <s v="03527986001008"/>
    <n v="-9.02"/>
    <n v="230"/>
    <n v="1"/>
    <n v="1"/>
  </r>
  <r>
    <m/>
    <m/>
    <x v="1"/>
    <s v="04226765001003"/>
    <n v="-30.86"/>
    <n v="787"/>
    <n v="1"/>
    <n v="1"/>
  </r>
  <r>
    <m/>
    <m/>
    <x v="1"/>
    <s v="04330395001006"/>
    <n v="-40.35"/>
    <n v="1029"/>
    <n v="1"/>
    <n v="1"/>
  </r>
  <r>
    <m/>
    <m/>
    <x v="1"/>
    <s v="04365606001002"/>
    <n v="-34.19"/>
    <n v="872"/>
    <n v="1"/>
    <n v="1"/>
  </r>
  <r>
    <m/>
    <m/>
    <x v="1"/>
    <s v="04615660011001"/>
    <n v="-17.41"/>
    <n v="444"/>
    <n v="1"/>
    <n v="1"/>
  </r>
  <r>
    <m/>
    <m/>
    <x v="1"/>
    <s v="04707114001003"/>
    <n v="-15.29"/>
    <n v="390"/>
    <n v="1"/>
    <n v="1"/>
  </r>
  <r>
    <m/>
    <m/>
    <x v="1"/>
    <s v="04758207001001"/>
    <n v="-9.8800000000000008"/>
    <n v="252"/>
    <n v="1"/>
    <n v="1"/>
  </r>
  <r>
    <m/>
    <m/>
    <x v="1"/>
    <s v="04813613001001"/>
    <n v="-67.010000000000005"/>
    <n v="1709"/>
    <n v="1"/>
    <n v="1"/>
  </r>
  <r>
    <m/>
    <m/>
    <x v="1"/>
    <s v="05077769001001"/>
    <n v="-11.29"/>
    <n v="288"/>
    <n v="1"/>
    <n v="1"/>
  </r>
  <r>
    <m/>
    <m/>
    <x v="1"/>
    <s v="05266292001004"/>
    <n v="-6.94"/>
    <n v="177"/>
    <n v="1"/>
    <n v="1"/>
  </r>
  <r>
    <m/>
    <m/>
    <x v="1"/>
    <s v="05424431002001"/>
    <n v="-21.02"/>
    <n v="536"/>
    <n v="1"/>
    <n v="1"/>
  </r>
  <r>
    <m/>
    <m/>
    <x v="1"/>
    <s v="05467882001001"/>
    <n v="-76.69"/>
    <n v="1956"/>
    <n v="1"/>
    <n v="1"/>
  </r>
  <r>
    <m/>
    <m/>
    <x v="1"/>
    <s v="05489508003005"/>
    <n v="-26.74"/>
    <n v="682"/>
    <n v="1"/>
    <n v="1"/>
  </r>
  <r>
    <m/>
    <m/>
    <x v="1"/>
    <s v="05608094001001"/>
    <n v="-1.33"/>
    <n v="34"/>
    <n v="1"/>
    <n v="1"/>
  </r>
  <r>
    <m/>
    <m/>
    <x v="1"/>
    <s v="05767750001001"/>
    <n v="-42.07"/>
    <n v="1073"/>
    <n v="1"/>
    <n v="1"/>
  </r>
  <r>
    <m/>
    <m/>
    <x v="1"/>
    <s v="05803986001003"/>
    <n v="-28.86"/>
    <n v="736"/>
    <n v="1"/>
    <n v="1"/>
  </r>
  <r>
    <m/>
    <m/>
    <x v="1"/>
    <s v="05939875001001"/>
    <n v="-22.9"/>
    <n v="584"/>
    <n v="1"/>
    <n v="1"/>
  </r>
  <r>
    <m/>
    <m/>
    <x v="1"/>
    <s v="06381309001002"/>
    <n v="-65.680000000000007"/>
    <n v="1675"/>
    <n v="1"/>
    <n v="1"/>
  </r>
  <r>
    <m/>
    <m/>
    <x v="1"/>
    <s v="06483393001005"/>
    <n v="-13.45"/>
    <n v="343"/>
    <n v="1"/>
    <n v="1"/>
  </r>
  <r>
    <m/>
    <m/>
    <x v="1"/>
    <s v="06815394001001"/>
    <n v="-15.1"/>
    <n v="385"/>
    <n v="1"/>
    <n v="1"/>
  </r>
  <r>
    <m/>
    <m/>
    <x v="1"/>
    <s v="06870862001003"/>
    <n v="-10.43"/>
    <n v="266"/>
    <n v="1"/>
    <n v="1"/>
  </r>
  <r>
    <m/>
    <m/>
    <x v="1"/>
    <s v="07214889002013"/>
    <n v="-39.840000000000003"/>
    <n v="1016"/>
    <n v="1"/>
    <n v="1"/>
  </r>
  <r>
    <m/>
    <m/>
    <x v="1"/>
    <s v="07573474001004"/>
    <n v="-3.29"/>
    <n v="84"/>
    <n v="1"/>
    <n v="1"/>
  </r>
  <r>
    <m/>
    <m/>
    <x v="1"/>
    <s v="07775926001003"/>
    <n v="-34.9"/>
    <n v="890"/>
    <n v="1"/>
    <n v="1"/>
  </r>
  <r>
    <m/>
    <m/>
    <x v="1"/>
    <s v="07923176001001"/>
    <n v="-20.94"/>
    <n v="534"/>
    <n v="1"/>
    <n v="1"/>
  </r>
  <r>
    <m/>
    <m/>
    <x v="1"/>
    <s v="08007689001001"/>
    <n v="-105.91"/>
    <n v="2701"/>
    <n v="1"/>
    <n v="1"/>
  </r>
  <r>
    <m/>
    <m/>
    <x v="1"/>
    <s v="08067240001001"/>
    <n v="-7.41"/>
    <n v="189"/>
    <n v="1"/>
    <n v="1"/>
  </r>
  <r>
    <m/>
    <m/>
    <x v="1"/>
    <s v="08189439001003"/>
    <n v="-12.12"/>
    <n v="309"/>
    <n v="1"/>
    <n v="1"/>
  </r>
  <r>
    <m/>
    <m/>
    <x v="1"/>
    <s v="08233163001005"/>
    <n v="-28.19"/>
    <n v="719"/>
    <n v="1"/>
    <n v="1"/>
  </r>
  <r>
    <m/>
    <m/>
    <x v="1"/>
    <s v="08314540001003"/>
    <n v="-12.31"/>
    <n v="314"/>
    <n v="1"/>
    <n v="1"/>
  </r>
  <r>
    <m/>
    <m/>
    <x v="1"/>
    <s v="08360608001002"/>
    <n v="-33.29"/>
    <n v="849"/>
    <n v="1"/>
    <n v="1"/>
  </r>
  <r>
    <m/>
    <m/>
    <x v="1"/>
    <s v="08435512001003"/>
    <n v="-29.64"/>
    <n v="756"/>
    <n v="1"/>
    <n v="1"/>
  </r>
  <r>
    <m/>
    <m/>
    <x v="1"/>
    <s v="08544021001001"/>
    <n v="-23.8"/>
    <n v="607"/>
    <n v="1"/>
    <n v="1"/>
  </r>
  <r>
    <m/>
    <m/>
    <x v="1"/>
    <s v="08685884001001"/>
    <n v="-0.43"/>
    <n v="11"/>
    <n v="1"/>
    <n v="1"/>
  </r>
  <r>
    <m/>
    <m/>
    <x v="1"/>
    <s v="08851339001001"/>
    <n v="-3.49"/>
    <n v="89"/>
    <n v="1"/>
    <n v="1"/>
  </r>
  <r>
    <m/>
    <m/>
    <x v="1"/>
    <s v="08897151001004"/>
    <n v="-55.48"/>
    <n v="1415"/>
    <n v="1"/>
    <n v="1"/>
  </r>
  <r>
    <m/>
    <m/>
    <x v="1"/>
    <s v="08985850001001"/>
    <n v="-14.35"/>
    <n v="366"/>
    <n v="1"/>
    <n v="1"/>
  </r>
  <r>
    <m/>
    <m/>
    <x v="1"/>
    <s v="08994743001001"/>
    <n v="-48.35"/>
    <n v="1233"/>
    <n v="1"/>
    <n v="1"/>
  </r>
  <r>
    <m/>
    <m/>
    <x v="1"/>
    <s v="09089643001002"/>
    <n v="-19.29"/>
    <n v="492"/>
    <n v="1"/>
    <n v="1"/>
  </r>
  <r>
    <m/>
    <m/>
    <x v="1"/>
    <s v="09159151001002"/>
    <n v="-45.91"/>
    <n v="1171"/>
    <n v="1"/>
    <n v="1"/>
  </r>
  <r>
    <m/>
    <m/>
    <x v="1"/>
    <s v="09353338001001"/>
    <n v="-30.07"/>
    <n v="767"/>
    <n v="1"/>
    <n v="1"/>
  </r>
  <r>
    <m/>
    <m/>
    <x v="1"/>
    <s v="09381479001007"/>
    <n v="-3.84"/>
    <n v="98"/>
    <n v="1"/>
    <n v="1"/>
  </r>
  <r>
    <m/>
    <m/>
    <x v="1"/>
    <s v="09510965001001"/>
    <n v="-14.59"/>
    <n v="372"/>
    <n v="1"/>
    <n v="1"/>
  </r>
  <r>
    <m/>
    <m/>
    <x v="1"/>
    <s v="09912352001004"/>
    <n v="-15.41"/>
    <n v="393"/>
    <n v="1"/>
    <n v="1"/>
  </r>
  <r>
    <m/>
    <m/>
    <x v="1"/>
    <s v="10427012001001"/>
    <n v="-26.11"/>
    <n v="666"/>
    <n v="1"/>
    <n v="1"/>
  </r>
  <r>
    <m/>
    <m/>
    <x v="1"/>
    <s v="10567153001001"/>
    <n v="-8.9"/>
    <n v="227"/>
    <n v="1"/>
    <n v="1"/>
  </r>
  <r>
    <m/>
    <m/>
    <x v="1"/>
    <s v="10597439001003"/>
    <n v="-24.78"/>
    <n v="632"/>
    <n v="1"/>
    <n v="1"/>
  </r>
  <r>
    <m/>
    <m/>
    <x v="1"/>
    <s v="10898812001001"/>
    <n v="-1.84"/>
    <n v="47"/>
    <n v="1"/>
    <n v="1"/>
  </r>
  <r>
    <m/>
    <m/>
    <x v="1"/>
    <s v="11073517001005"/>
    <n v="-38.270000000000003"/>
    <n v="976"/>
    <n v="1"/>
    <n v="1"/>
  </r>
  <r>
    <m/>
    <m/>
    <x v="1"/>
    <s v="11266870001001"/>
    <n v="-4.12"/>
    <n v="105"/>
    <n v="1"/>
    <n v="1"/>
  </r>
  <r>
    <m/>
    <m/>
    <x v="1"/>
    <s v="11284469001003"/>
    <n v="-24.43"/>
    <n v="623"/>
    <n v="1"/>
    <n v="1"/>
  </r>
  <r>
    <m/>
    <m/>
    <x v="1"/>
    <s v="11498623002001"/>
    <n v="-63.36"/>
    <n v="1616"/>
    <n v="1"/>
    <n v="1"/>
  </r>
  <r>
    <m/>
    <m/>
    <x v="1"/>
    <s v="11558237001001"/>
    <n v="-30.62"/>
    <n v="781"/>
    <n v="1"/>
    <n v="1"/>
  </r>
  <r>
    <m/>
    <m/>
    <x v="1"/>
    <s v="11649874003001"/>
    <n v="-0.98"/>
    <n v="25"/>
    <n v="1"/>
    <n v="1"/>
  </r>
  <r>
    <m/>
    <m/>
    <x v="1"/>
    <s v="11762846001001"/>
    <n v="-9.8800000000000008"/>
    <n v="252"/>
    <n v="1"/>
    <n v="1"/>
  </r>
  <r>
    <m/>
    <m/>
    <x v="1"/>
    <s v="11764245001001"/>
    <n v="-3.69"/>
    <n v="94"/>
    <n v="1"/>
    <n v="1"/>
  </r>
  <r>
    <m/>
    <m/>
    <x v="1"/>
    <s v="11787709001001"/>
    <n v="-41.05"/>
    <n v="1047"/>
    <n v="1"/>
    <n v="1"/>
  </r>
  <r>
    <m/>
    <m/>
    <x v="1"/>
    <s v="11913025001002"/>
    <n v="-35.68"/>
    <n v="910"/>
    <n v="1"/>
    <n v="1"/>
  </r>
  <r>
    <m/>
    <m/>
    <x v="1"/>
    <s v="11918881001001"/>
    <n v="-5.96"/>
    <n v="152"/>
    <n v="1"/>
    <n v="1"/>
  </r>
  <r>
    <m/>
    <m/>
    <x v="1"/>
    <s v="11968828001003"/>
    <n v="-22.04"/>
    <n v="562"/>
    <n v="1"/>
    <n v="1"/>
  </r>
  <r>
    <m/>
    <m/>
    <x v="1"/>
    <s v="12157971001001"/>
    <n v="-17.96"/>
    <n v="458"/>
    <n v="1"/>
    <n v="1"/>
  </r>
  <r>
    <m/>
    <m/>
    <x v="1"/>
    <s v="12190639001002"/>
    <n v="-17.8"/>
    <n v="454"/>
    <n v="1"/>
    <n v="1"/>
  </r>
  <r>
    <m/>
    <m/>
    <x v="1"/>
    <s v="12421088001004"/>
    <n v="-21.88"/>
    <n v="558"/>
    <n v="1"/>
    <n v="1"/>
  </r>
  <r>
    <m/>
    <m/>
    <x v="1"/>
    <s v="12591289001004"/>
    <n v="-21.29"/>
    <n v="543"/>
    <n v="1"/>
    <n v="1"/>
  </r>
  <r>
    <m/>
    <m/>
    <x v="1"/>
    <s v="12818134001004"/>
    <n v="-29.45"/>
    <n v="751"/>
    <n v="1"/>
    <n v="1"/>
  </r>
  <r>
    <m/>
    <m/>
    <x v="1"/>
    <s v="12990985004003"/>
    <n v="-16.190000000000001"/>
    <n v="413"/>
    <n v="1"/>
    <n v="1"/>
  </r>
  <r>
    <m/>
    <m/>
    <x v="1"/>
    <s v="13033808001005"/>
    <n v="-1.37"/>
    <n v="35"/>
    <n v="1"/>
    <n v="1"/>
  </r>
  <r>
    <m/>
    <m/>
    <x v="1"/>
    <s v="13203269001001"/>
    <n v="-28.58"/>
    <n v="729"/>
    <n v="1"/>
    <n v="1"/>
  </r>
  <r>
    <m/>
    <m/>
    <x v="1"/>
    <s v="13255124001001"/>
    <n v="-26.15"/>
    <n v="667"/>
    <n v="1"/>
    <n v="1"/>
  </r>
  <r>
    <m/>
    <m/>
    <x v="1"/>
    <s v="13653453001001"/>
    <n v="-31.29"/>
    <n v="798"/>
    <n v="1"/>
    <n v="1"/>
  </r>
  <r>
    <m/>
    <m/>
    <x v="1"/>
    <s v="13661749001003"/>
    <n v="-28.11"/>
    <n v="717"/>
    <n v="1"/>
    <n v="1"/>
  </r>
  <r>
    <m/>
    <m/>
    <x v="1"/>
    <s v="13673984005001"/>
    <n v="-82.38"/>
    <n v="2101"/>
    <n v="1"/>
    <n v="1"/>
  </r>
  <r>
    <m/>
    <m/>
    <x v="1"/>
    <s v="14250991001001"/>
    <n v="-26.04"/>
    <n v="664"/>
    <n v="1"/>
    <n v="1"/>
  </r>
  <r>
    <m/>
    <m/>
    <x v="1"/>
    <s v="14523509002001"/>
    <n v="-48.54"/>
    <n v="1238"/>
    <n v="1"/>
    <n v="1"/>
  </r>
  <r>
    <m/>
    <m/>
    <x v="1"/>
    <s v="14550816001001"/>
    <n v="-16.899999999999999"/>
    <n v="431"/>
    <n v="1"/>
    <n v="1"/>
  </r>
  <r>
    <m/>
    <m/>
    <x v="1"/>
    <s v="14612915001001"/>
    <n v="-30.07"/>
    <n v="767"/>
    <n v="1"/>
    <n v="1"/>
  </r>
  <r>
    <m/>
    <m/>
    <x v="1"/>
    <s v="14880751002003"/>
    <n v="-14.86"/>
    <n v="379"/>
    <n v="1"/>
    <n v="1"/>
  </r>
  <r>
    <m/>
    <m/>
    <x v="1"/>
    <s v="14884998001013"/>
    <n v="-8.86"/>
    <n v="226"/>
    <n v="1"/>
    <n v="1"/>
  </r>
  <r>
    <m/>
    <m/>
    <x v="1"/>
    <s v="14986800001003"/>
    <n v="-42.43"/>
    <n v="1082"/>
    <n v="1"/>
    <n v="1"/>
  </r>
  <r>
    <m/>
    <m/>
    <x v="1"/>
    <s v="15120810001001"/>
    <n v="-10.98"/>
    <n v="280"/>
    <n v="1"/>
    <n v="1"/>
  </r>
  <r>
    <m/>
    <m/>
    <x v="1"/>
    <s v="15125902001003"/>
    <n v="-24.42"/>
    <n v="623"/>
    <n v="2"/>
    <n v="1"/>
  </r>
  <r>
    <m/>
    <m/>
    <x v="1"/>
    <s v="15197163001001"/>
    <n v="-15.64"/>
    <n v="399"/>
    <n v="1"/>
    <n v="1"/>
  </r>
  <r>
    <m/>
    <m/>
    <x v="1"/>
    <s v="15210168001005"/>
    <n v="-31.8"/>
    <n v="811"/>
    <n v="1"/>
    <n v="1"/>
  </r>
  <r>
    <m/>
    <m/>
    <x v="1"/>
    <s v="15429562002003"/>
    <n v="-31.45"/>
    <n v="802"/>
    <n v="1"/>
    <n v="1"/>
  </r>
  <r>
    <m/>
    <m/>
    <x v="1"/>
    <s v="15475885001003"/>
    <n v="-21.33"/>
    <n v="544"/>
    <n v="1"/>
    <n v="1"/>
  </r>
  <r>
    <m/>
    <m/>
    <x v="1"/>
    <s v="15572981001001"/>
    <n v="-17.57"/>
    <n v="448"/>
    <n v="1"/>
    <n v="1"/>
  </r>
  <r>
    <m/>
    <m/>
    <x v="1"/>
    <s v="16000002001005"/>
    <n v="-20.11"/>
    <n v="513"/>
    <n v="1"/>
    <n v="1"/>
  </r>
  <r>
    <m/>
    <m/>
    <x v="1"/>
    <s v="16146889001001"/>
    <n v="-22.35"/>
    <n v="570"/>
    <n v="1"/>
    <n v="1"/>
  </r>
  <r>
    <m/>
    <m/>
    <x v="1"/>
    <s v="16208723002001"/>
    <n v="-14.82"/>
    <n v="378"/>
    <n v="1"/>
    <n v="1"/>
  </r>
  <r>
    <m/>
    <m/>
    <x v="1"/>
    <s v="16212832003001"/>
    <n v="-55.21"/>
    <n v="1408"/>
    <n v="1"/>
    <n v="1"/>
  </r>
  <r>
    <m/>
    <m/>
    <x v="1"/>
    <s v="16268790001003"/>
    <n v="-20.43"/>
    <n v="521"/>
    <n v="1"/>
    <n v="1"/>
  </r>
  <r>
    <m/>
    <m/>
    <x v="1"/>
    <s v="16343113001003"/>
    <n v="-23.29"/>
    <n v="594"/>
    <n v="1"/>
    <n v="1"/>
  </r>
  <r>
    <m/>
    <m/>
    <x v="1"/>
    <s v="16414586003001"/>
    <n v="-20.78"/>
    <n v="530"/>
    <n v="1"/>
    <n v="1"/>
  </r>
  <r>
    <m/>
    <m/>
    <x v="1"/>
    <s v="16474562001006"/>
    <n v="-11.21"/>
    <n v="286"/>
    <n v="1"/>
    <n v="1"/>
  </r>
  <r>
    <m/>
    <m/>
    <x v="1"/>
    <s v="16483184001001"/>
    <n v="-3.49"/>
    <n v="89"/>
    <n v="1"/>
    <n v="1"/>
  </r>
  <r>
    <m/>
    <m/>
    <x v="1"/>
    <s v="16578645001005"/>
    <n v="-3.72"/>
    <n v="95"/>
    <n v="1"/>
    <n v="1"/>
  </r>
  <r>
    <m/>
    <m/>
    <x v="1"/>
    <s v="16614801002003"/>
    <n v="-41.64"/>
    <n v="1062"/>
    <n v="1"/>
    <n v="1"/>
  </r>
  <r>
    <m/>
    <m/>
    <x v="1"/>
    <s v="17143195002001"/>
    <n v="-48.35"/>
    <n v="1233"/>
    <n v="1"/>
    <n v="1"/>
  </r>
  <r>
    <m/>
    <m/>
    <x v="1"/>
    <s v="17146839001001"/>
    <n v="-8.19"/>
    <n v="209"/>
    <n v="1"/>
    <n v="1"/>
  </r>
  <r>
    <m/>
    <m/>
    <x v="1"/>
    <s v="17479759004002"/>
    <n v="-35.450000000000003"/>
    <n v="904"/>
    <n v="1"/>
    <n v="1"/>
  </r>
  <r>
    <m/>
    <m/>
    <x v="1"/>
    <s v="17540542001001"/>
    <n v="-31.33"/>
    <n v="799"/>
    <n v="1"/>
    <n v="1"/>
  </r>
  <r>
    <m/>
    <m/>
    <x v="1"/>
    <s v="17724609001006"/>
    <n v="-19.96"/>
    <n v="509"/>
    <n v="1"/>
    <n v="1"/>
  </r>
  <r>
    <m/>
    <m/>
    <x v="1"/>
    <s v="17773522002001"/>
    <n v="-25.76"/>
    <n v="657"/>
    <n v="1"/>
    <n v="1"/>
  </r>
  <r>
    <m/>
    <m/>
    <x v="1"/>
    <s v="17785645002001"/>
    <n v="-23.68"/>
    <n v="604"/>
    <n v="1"/>
    <n v="1"/>
  </r>
  <r>
    <m/>
    <m/>
    <x v="1"/>
    <s v="17953292001001"/>
    <n v="-15.33"/>
    <n v="391"/>
    <n v="1"/>
    <n v="1"/>
  </r>
  <r>
    <m/>
    <m/>
    <x v="1"/>
    <s v="18165838001002"/>
    <n v="-27.49"/>
    <n v="701"/>
    <n v="1"/>
    <n v="1"/>
  </r>
  <r>
    <m/>
    <m/>
    <x v="1"/>
    <s v="18557213001004"/>
    <n v="-10.47"/>
    <n v="267"/>
    <n v="1"/>
    <n v="1"/>
  </r>
  <r>
    <m/>
    <m/>
    <x v="1"/>
    <s v="18802755001007"/>
    <n v="-18.7"/>
    <n v="477"/>
    <n v="1"/>
    <n v="1"/>
  </r>
  <r>
    <m/>
    <m/>
    <x v="1"/>
    <s v="18996093002001"/>
    <n v="-80.930000000000007"/>
    <n v="2064"/>
    <n v="1"/>
    <n v="1"/>
  </r>
  <r>
    <m/>
    <m/>
    <x v="1"/>
    <s v="19009803001003"/>
    <n v="-7.65"/>
    <n v="195"/>
    <n v="1"/>
    <n v="1"/>
  </r>
  <r>
    <m/>
    <m/>
    <x v="1"/>
    <s v="19345185001001"/>
    <n v="-28.19"/>
    <n v="719"/>
    <n v="1"/>
    <n v="1"/>
  </r>
  <r>
    <m/>
    <m/>
    <x v="1"/>
    <s v="19672904001001"/>
    <n v="-41.33"/>
    <n v="1054"/>
    <n v="1"/>
    <n v="1"/>
  </r>
  <r>
    <m/>
    <m/>
    <x v="1"/>
    <s v="19857581001001"/>
    <n v="-11.17"/>
    <n v="285"/>
    <n v="1"/>
    <n v="1"/>
  </r>
  <r>
    <m/>
    <m/>
    <x v="1"/>
    <s v="19922627001001"/>
    <n v="-44.9"/>
    <n v="1145"/>
    <n v="1"/>
    <n v="1"/>
  </r>
  <r>
    <m/>
    <m/>
    <x v="1"/>
    <s v="20021948002001"/>
    <n v="-46.66"/>
    <n v="1190"/>
    <n v="1"/>
    <n v="1"/>
  </r>
  <r>
    <m/>
    <m/>
    <x v="1"/>
    <s v="20242520001001"/>
    <n v="-4.16"/>
    <n v="106"/>
    <n v="1"/>
    <n v="1"/>
  </r>
  <r>
    <m/>
    <m/>
    <x v="1"/>
    <s v="20373554001003"/>
    <n v="-33.92"/>
    <n v="865"/>
    <n v="1"/>
    <n v="1"/>
  </r>
  <r>
    <m/>
    <m/>
    <x v="1"/>
    <s v="20683934001002"/>
    <n v="-30.47"/>
    <n v="777"/>
    <n v="1"/>
    <n v="1"/>
  </r>
  <r>
    <m/>
    <m/>
    <x v="1"/>
    <s v="20806802001001"/>
    <n v="-35.25"/>
    <n v="899"/>
    <n v="1"/>
    <n v="1"/>
  </r>
  <r>
    <m/>
    <m/>
    <x v="1"/>
    <s v="21033205001006"/>
    <n v="-17.57"/>
    <n v="448"/>
    <n v="1"/>
    <n v="1"/>
  </r>
  <r>
    <m/>
    <m/>
    <x v="1"/>
    <s v="21219326001001"/>
    <n v="-38.31"/>
    <n v="977"/>
    <n v="1"/>
    <n v="1"/>
  </r>
  <r>
    <m/>
    <m/>
    <x v="1"/>
    <s v="21330324001003"/>
    <n v="-3.25"/>
    <n v="83"/>
    <n v="1"/>
    <n v="1"/>
  </r>
  <r>
    <m/>
    <m/>
    <x v="1"/>
    <s v="21429755001006"/>
    <n v="-13.65"/>
    <n v="348"/>
    <n v="1"/>
    <n v="1"/>
  </r>
  <r>
    <m/>
    <m/>
    <x v="1"/>
    <s v="21809926001003"/>
    <n v="-8.5500000000000007"/>
    <n v="218"/>
    <n v="1"/>
    <n v="1"/>
  </r>
  <r>
    <m/>
    <m/>
    <x v="1"/>
    <s v="21820617001003"/>
    <n v="-10.86"/>
    <n v="277"/>
    <n v="1"/>
    <n v="1"/>
  </r>
  <r>
    <m/>
    <m/>
    <x v="1"/>
    <s v="21943625001001"/>
    <n v="-2.23"/>
    <n v="57"/>
    <n v="1"/>
    <n v="1"/>
  </r>
  <r>
    <m/>
    <m/>
    <x v="1"/>
    <s v="21995120001004"/>
    <n v="-3.18"/>
    <n v="81"/>
    <n v="1"/>
    <n v="1"/>
  </r>
  <r>
    <m/>
    <m/>
    <x v="1"/>
    <s v="22050356001004"/>
    <n v="-7.49"/>
    <n v="191"/>
    <n v="1"/>
    <n v="1"/>
  </r>
  <r>
    <m/>
    <m/>
    <x v="1"/>
    <s v="22154055001001"/>
    <n v="-3.45"/>
    <n v="88"/>
    <n v="1"/>
    <n v="1"/>
  </r>
  <r>
    <m/>
    <m/>
    <x v="1"/>
    <s v="22305793001002"/>
    <n v="-26.15"/>
    <n v="667"/>
    <n v="1"/>
    <n v="1"/>
  </r>
  <r>
    <m/>
    <m/>
    <x v="1"/>
    <s v="22359131001001"/>
    <n v="-23.88"/>
    <n v="609"/>
    <n v="1"/>
    <n v="1"/>
  </r>
  <r>
    <m/>
    <m/>
    <x v="1"/>
    <s v="22380133001001"/>
    <n v="-25.02"/>
    <n v="638"/>
    <n v="1"/>
    <n v="1"/>
  </r>
  <r>
    <m/>
    <m/>
    <x v="1"/>
    <s v="22617306001001"/>
    <n v="-21.17"/>
    <n v="540"/>
    <n v="1"/>
    <n v="1"/>
  </r>
  <r>
    <m/>
    <m/>
    <x v="1"/>
    <s v="22675655001001"/>
    <n v="-16.47"/>
    <n v="420"/>
    <n v="1"/>
    <n v="1"/>
  </r>
  <r>
    <m/>
    <m/>
    <x v="1"/>
    <s v="22784555001001"/>
    <n v="-17.53"/>
    <n v="447"/>
    <n v="1"/>
    <n v="1"/>
  </r>
  <r>
    <m/>
    <m/>
    <x v="1"/>
    <s v="22793293001002"/>
    <n v="-4.3899999999999997"/>
    <n v="112"/>
    <n v="1"/>
    <n v="1"/>
  </r>
  <r>
    <m/>
    <m/>
    <x v="1"/>
    <s v="23045379001003"/>
    <n v="-12.23"/>
    <n v="312"/>
    <n v="1"/>
    <n v="1"/>
  </r>
  <r>
    <m/>
    <m/>
    <x v="1"/>
    <s v="23201827004001"/>
    <n v="-6"/>
    <n v="153"/>
    <n v="1"/>
    <n v="1"/>
  </r>
  <r>
    <m/>
    <m/>
    <x v="1"/>
    <s v="23227062001002"/>
    <n v="-15.53"/>
    <n v="396"/>
    <n v="1"/>
    <n v="1"/>
  </r>
  <r>
    <m/>
    <m/>
    <x v="1"/>
    <s v="23403071001003"/>
    <n v="-3.22"/>
    <n v="82"/>
    <n v="1"/>
    <n v="1"/>
  </r>
  <r>
    <m/>
    <m/>
    <x v="1"/>
    <s v="23407345001003"/>
    <n v="-13.61"/>
    <n v="347"/>
    <n v="1"/>
    <n v="1"/>
  </r>
  <r>
    <m/>
    <m/>
    <x v="1"/>
    <s v="23427190001001"/>
    <n v="-20"/>
    <n v="510"/>
    <n v="1"/>
    <n v="1"/>
  </r>
  <r>
    <m/>
    <m/>
    <x v="1"/>
    <s v="23460849001003"/>
    <n v="-5.18"/>
    <n v="132"/>
    <n v="1"/>
    <n v="1"/>
  </r>
  <r>
    <m/>
    <m/>
    <x v="1"/>
    <s v="23535049001001"/>
    <n v="-17.64"/>
    <n v="450"/>
    <n v="1"/>
    <n v="1"/>
  </r>
  <r>
    <m/>
    <m/>
    <x v="1"/>
    <s v="23582904002001"/>
    <n v="-12.12"/>
    <n v="309"/>
    <n v="1"/>
    <n v="1"/>
  </r>
  <r>
    <m/>
    <m/>
    <x v="1"/>
    <s v="23857343001001"/>
    <n v="-2.08"/>
    <n v="53"/>
    <n v="1"/>
    <n v="1"/>
  </r>
  <r>
    <m/>
    <m/>
    <x v="1"/>
    <s v="23863133001011"/>
    <n v="-13.76"/>
    <n v="351"/>
    <n v="1"/>
    <n v="1"/>
  </r>
  <r>
    <m/>
    <m/>
    <x v="1"/>
    <s v="23890949001001"/>
    <n v="-13.72"/>
    <n v="350"/>
    <n v="1"/>
    <n v="1"/>
  </r>
  <r>
    <m/>
    <m/>
    <x v="1"/>
    <s v="24116787001007"/>
    <n v="-19.170000000000002"/>
    <n v="489"/>
    <n v="1"/>
    <n v="1"/>
  </r>
  <r>
    <m/>
    <m/>
    <x v="1"/>
    <s v="24288214001005"/>
    <n v="-30.43"/>
    <n v="776"/>
    <n v="1"/>
    <n v="1"/>
  </r>
  <r>
    <m/>
    <m/>
    <x v="1"/>
    <s v="24291697001001"/>
    <n v="-34.979999999999997"/>
    <n v="892"/>
    <n v="1"/>
    <n v="1"/>
  </r>
  <r>
    <m/>
    <m/>
    <x v="1"/>
    <s v="24369303001001"/>
    <n v="-21.68"/>
    <n v="553"/>
    <n v="1"/>
    <n v="1"/>
  </r>
  <r>
    <m/>
    <m/>
    <x v="1"/>
    <s v="24471043001004"/>
    <n v="-21.57"/>
    <n v="550"/>
    <n v="1"/>
    <n v="1"/>
  </r>
  <r>
    <m/>
    <m/>
    <x v="1"/>
    <s v="24516542001001"/>
    <n v="-14.19"/>
    <n v="362"/>
    <n v="1"/>
    <n v="1"/>
  </r>
  <r>
    <m/>
    <m/>
    <x v="1"/>
    <s v="24516542001006"/>
    <n v="-1.29"/>
    <n v="33"/>
    <n v="1"/>
    <n v="1"/>
  </r>
  <r>
    <m/>
    <m/>
    <x v="1"/>
    <s v="24533539006003"/>
    <n v="-23.96"/>
    <n v="611"/>
    <n v="1"/>
    <n v="1"/>
  </r>
  <r>
    <m/>
    <m/>
    <x v="1"/>
    <s v="24743896001001"/>
    <n v="-12.7"/>
    <n v="324"/>
    <n v="1"/>
    <n v="1"/>
  </r>
  <r>
    <m/>
    <m/>
    <x v="1"/>
    <s v="24785101001002"/>
    <n v="-46.82"/>
    <n v="1194"/>
    <n v="1"/>
    <n v="1"/>
  </r>
  <r>
    <m/>
    <m/>
    <x v="1"/>
    <s v="24901880001001"/>
    <n v="-19.84"/>
    <n v="506"/>
    <n v="1"/>
    <n v="1"/>
  </r>
  <r>
    <m/>
    <m/>
    <x v="1"/>
    <s v="24992881001001"/>
    <n v="-39.799999999999997"/>
    <n v="1015"/>
    <n v="1"/>
    <n v="1"/>
  </r>
  <r>
    <m/>
    <m/>
    <x v="1"/>
    <s v="25133485004003"/>
    <n v="-45.95"/>
    <n v="1172"/>
    <n v="1"/>
    <n v="1"/>
  </r>
  <r>
    <m/>
    <m/>
    <x v="1"/>
    <s v="25266054001002"/>
    <n v="-52.86"/>
    <n v="1348"/>
    <n v="1"/>
    <n v="1"/>
  </r>
  <r>
    <m/>
    <m/>
    <x v="1"/>
    <s v="25302590001001"/>
    <n v="-22.43"/>
    <n v="572"/>
    <n v="1"/>
    <n v="1"/>
  </r>
  <r>
    <m/>
    <m/>
    <x v="1"/>
    <s v="25780799001001"/>
    <n v="-52.03"/>
    <n v="1327"/>
    <n v="1"/>
    <n v="1"/>
  </r>
  <r>
    <m/>
    <m/>
    <x v="1"/>
    <s v="25919981001003"/>
    <n v="-13.68"/>
    <n v="349"/>
    <n v="1"/>
    <n v="1"/>
  </r>
  <r>
    <m/>
    <m/>
    <x v="1"/>
    <s v="26133946001003"/>
    <n v="-41.95"/>
    <n v="1070"/>
    <n v="1"/>
    <n v="1"/>
  </r>
  <r>
    <m/>
    <m/>
    <x v="1"/>
    <s v="26406770002001"/>
    <n v="-40.86"/>
    <n v="1042"/>
    <n v="1"/>
    <n v="1"/>
  </r>
  <r>
    <m/>
    <m/>
    <x v="1"/>
    <s v="26449890001003"/>
    <n v="-4.59"/>
    <n v="117"/>
    <n v="1"/>
    <n v="1"/>
  </r>
  <r>
    <m/>
    <m/>
    <x v="1"/>
    <s v="26574451002003"/>
    <n v="-98.89"/>
    <n v="2522"/>
    <n v="1"/>
    <n v="1"/>
  </r>
  <r>
    <m/>
    <m/>
    <x v="1"/>
    <s v="26826704001001"/>
    <n v="-33.049999999999997"/>
    <n v="843"/>
    <n v="1"/>
    <n v="1"/>
  </r>
  <r>
    <m/>
    <m/>
    <x v="1"/>
    <s v="26832624001007"/>
    <n v="-21.96"/>
    <n v="560"/>
    <n v="1"/>
    <n v="1"/>
  </r>
  <r>
    <m/>
    <m/>
    <x v="1"/>
    <s v="26894132003001"/>
    <n v="-128.96"/>
    <n v="3289"/>
    <n v="1"/>
    <n v="1"/>
  </r>
  <r>
    <m/>
    <m/>
    <x v="1"/>
    <s v="26917575001001"/>
    <n v="-52.54"/>
    <n v="1340"/>
    <n v="1"/>
    <n v="1"/>
  </r>
  <r>
    <m/>
    <m/>
    <x v="1"/>
    <s v="27004406002001"/>
    <n v="-9.5299999999999994"/>
    <n v="243"/>
    <n v="1"/>
    <n v="1"/>
  </r>
  <r>
    <m/>
    <m/>
    <x v="1"/>
    <s v="27035079002007"/>
    <n v="-8.23"/>
    <n v="210"/>
    <n v="1"/>
    <n v="1"/>
  </r>
  <r>
    <m/>
    <m/>
    <x v="1"/>
    <s v="27356342001008"/>
    <n v="-11.33"/>
    <n v="289"/>
    <n v="1"/>
    <n v="1"/>
  </r>
  <r>
    <m/>
    <m/>
    <x v="1"/>
    <s v="27612583002003"/>
    <n v="-64.89"/>
    <n v="1655"/>
    <n v="1"/>
    <n v="1"/>
  </r>
  <r>
    <m/>
    <m/>
    <x v="1"/>
    <s v="27708255007001"/>
    <n v="-1.53"/>
    <n v="39"/>
    <n v="1"/>
    <n v="1"/>
  </r>
  <r>
    <m/>
    <m/>
    <x v="1"/>
    <s v="27943716001001"/>
    <n v="-14.35"/>
    <n v="366"/>
    <n v="1"/>
    <n v="1"/>
  </r>
  <r>
    <m/>
    <m/>
    <x v="1"/>
    <s v="28014351004010"/>
    <n v="-17.45"/>
    <n v="445"/>
    <n v="1"/>
    <n v="1"/>
  </r>
  <r>
    <m/>
    <m/>
    <x v="1"/>
    <s v="28085146002003"/>
    <n v="-66.739999999999995"/>
    <n v="1702"/>
    <n v="1"/>
    <n v="1"/>
  </r>
  <r>
    <m/>
    <m/>
    <x v="1"/>
    <s v="28330708001001"/>
    <n v="-19.8"/>
    <n v="505"/>
    <n v="1"/>
    <n v="1"/>
  </r>
  <r>
    <m/>
    <m/>
    <x v="1"/>
    <s v="28430533001001"/>
    <n v="-10.16"/>
    <n v="259"/>
    <n v="1"/>
    <n v="1"/>
  </r>
  <r>
    <m/>
    <m/>
    <x v="1"/>
    <s v="28452386002001"/>
    <n v="-34.47"/>
    <n v="879"/>
    <n v="1"/>
    <n v="1"/>
  </r>
  <r>
    <m/>
    <m/>
    <x v="1"/>
    <s v="28645126001006"/>
    <n v="-14.55"/>
    <n v="371"/>
    <n v="1"/>
    <n v="1"/>
  </r>
  <r>
    <m/>
    <m/>
    <x v="1"/>
    <s v="28758621002008"/>
    <n v="-39.090000000000003"/>
    <n v="997"/>
    <n v="1"/>
    <n v="1"/>
  </r>
  <r>
    <m/>
    <m/>
    <x v="1"/>
    <s v="28819742011001"/>
    <n v="-39.76"/>
    <n v="1014"/>
    <n v="1"/>
    <n v="1"/>
  </r>
  <r>
    <m/>
    <m/>
    <x v="1"/>
    <s v="28950576001002"/>
    <n v="-6.39"/>
    <n v="163"/>
    <n v="1"/>
    <n v="1"/>
  </r>
  <r>
    <m/>
    <m/>
    <x v="1"/>
    <s v="28959951001001"/>
    <n v="-48.93"/>
    <n v="1248"/>
    <n v="1"/>
    <n v="1"/>
  </r>
  <r>
    <m/>
    <m/>
    <x v="1"/>
    <s v="29196761001004"/>
    <n v="-41.64"/>
    <n v="1062"/>
    <n v="1"/>
    <n v="1"/>
  </r>
  <r>
    <m/>
    <m/>
    <x v="1"/>
    <s v="29219744003001"/>
    <n v="-6.31"/>
    <n v="161"/>
    <n v="1"/>
    <n v="1"/>
  </r>
  <r>
    <m/>
    <m/>
    <x v="1"/>
    <s v="29225864001003"/>
    <n v="-18.309999999999999"/>
    <n v="467"/>
    <n v="1"/>
    <n v="1"/>
  </r>
  <r>
    <m/>
    <m/>
    <x v="1"/>
    <s v="29365356001002"/>
    <n v="-46.46"/>
    <n v="1185"/>
    <n v="1"/>
    <n v="1"/>
  </r>
  <r>
    <m/>
    <m/>
    <x v="1"/>
    <s v="29403974001002"/>
    <n v="-14.47"/>
    <n v="369"/>
    <n v="1"/>
    <n v="1"/>
  </r>
  <r>
    <m/>
    <m/>
    <x v="1"/>
    <s v="29448259001002"/>
    <n v="-15.02"/>
    <n v="383"/>
    <n v="1"/>
    <n v="1"/>
  </r>
  <r>
    <m/>
    <m/>
    <x v="1"/>
    <s v="29519438001001"/>
    <n v="-59.83"/>
    <n v="1526"/>
    <n v="1"/>
    <n v="1"/>
  </r>
  <r>
    <m/>
    <m/>
    <x v="1"/>
    <s v="29570002001001"/>
    <n v="-31.56"/>
    <n v="805"/>
    <n v="1"/>
    <n v="1"/>
  </r>
  <r>
    <m/>
    <m/>
    <x v="1"/>
    <s v="29577821001001"/>
    <n v="-1.22"/>
    <n v="31"/>
    <n v="1"/>
    <n v="1"/>
  </r>
  <r>
    <m/>
    <m/>
    <x v="1"/>
    <s v="29629435002003"/>
    <n v="-18.66"/>
    <n v="476"/>
    <n v="1"/>
    <n v="1"/>
  </r>
  <r>
    <m/>
    <m/>
    <x v="1"/>
    <s v="29971660001004"/>
    <n v="-14.66"/>
    <n v="374"/>
    <n v="1"/>
    <n v="1"/>
  </r>
  <r>
    <m/>
    <m/>
    <x v="1"/>
    <s v="30240552001001"/>
    <n v="-5.76"/>
    <n v="147"/>
    <n v="1"/>
    <n v="1"/>
  </r>
  <r>
    <m/>
    <m/>
    <x v="1"/>
    <s v="30325264001001"/>
    <n v="-71.48"/>
    <n v="1823"/>
    <n v="1"/>
    <n v="1"/>
  </r>
  <r>
    <m/>
    <m/>
    <x v="1"/>
    <s v="30370464002001"/>
    <n v="-121.51"/>
    <n v="3099"/>
    <n v="1"/>
    <n v="1"/>
  </r>
  <r>
    <m/>
    <m/>
    <x v="1"/>
    <s v="30405921001003"/>
    <n v="-37.99"/>
    <n v="969"/>
    <n v="1"/>
    <n v="1"/>
  </r>
  <r>
    <m/>
    <m/>
    <x v="1"/>
    <s v="30757590002002"/>
    <n v="-34.35"/>
    <n v="876"/>
    <n v="1"/>
    <n v="1"/>
  </r>
  <r>
    <m/>
    <m/>
    <x v="1"/>
    <s v="30816545001001"/>
    <n v="-23.09"/>
    <n v="589"/>
    <n v="1"/>
    <n v="1"/>
  </r>
  <r>
    <m/>
    <m/>
    <x v="1"/>
    <s v="30947723001004"/>
    <n v="-21.13"/>
    <n v="539"/>
    <n v="1"/>
    <n v="1"/>
  </r>
  <r>
    <m/>
    <m/>
    <x v="1"/>
    <s v="31180821001001"/>
    <n v="-16"/>
    <n v="408"/>
    <n v="1"/>
    <n v="1"/>
  </r>
  <r>
    <m/>
    <m/>
    <x v="1"/>
    <s v="31347134001001"/>
    <n v="-26.82"/>
    <n v="684"/>
    <n v="1"/>
    <n v="1"/>
  </r>
  <r>
    <m/>
    <m/>
    <x v="1"/>
    <s v="31608000001004"/>
    <n v="-20.27"/>
    <n v="517"/>
    <n v="1"/>
    <n v="1"/>
  </r>
  <r>
    <m/>
    <m/>
    <x v="1"/>
    <s v="31685952001001"/>
    <n v="-65.790000000000006"/>
    <n v="1678"/>
    <n v="1"/>
    <n v="1"/>
  </r>
  <r>
    <m/>
    <m/>
    <x v="1"/>
    <s v="31781301001003"/>
    <n v="-74.62"/>
    <n v="1903"/>
    <n v="1"/>
    <n v="1"/>
  </r>
  <r>
    <m/>
    <m/>
    <x v="1"/>
    <s v="31833646004004"/>
    <n v="-48.19"/>
    <n v="1229"/>
    <n v="1"/>
    <n v="1"/>
  </r>
  <r>
    <m/>
    <m/>
    <x v="1"/>
    <s v="31854579001001"/>
    <n v="-1.49"/>
    <n v="38"/>
    <n v="1"/>
    <n v="1"/>
  </r>
  <r>
    <m/>
    <m/>
    <x v="1"/>
    <s v="31861613001001"/>
    <n v="-20.190000000000001"/>
    <n v="515"/>
    <n v="1"/>
    <n v="1"/>
  </r>
  <r>
    <m/>
    <m/>
    <x v="1"/>
    <s v="31987952001001"/>
    <n v="-2.23"/>
    <n v="57"/>
    <n v="1"/>
    <n v="1"/>
  </r>
  <r>
    <m/>
    <m/>
    <x v="1"/>
    <s v="32003969001001"/>
    <n v="-15.96"/>
    <n v="407"/>
    <n v="1"/>
    <n v="1"/>
  </r>
  <r>
    <m/>
    <m/>
    <x v="1"/>
    <s v="32202242001001"/>
    <n v="-1.41"/>
    <n v="36"/>
    <n v="1"/>
    <n v="1"/>
  </r>
  <r>
    <m/>
    <m/>
    <x v="1"/>
    <s v="32750874002001"/>
    <n v="-30.74"/>
    <n v="784"/>
    <n v="1"/>
    <n v="1"/>
  </r>
  <r>
    <m/>
    <m/>
    <x v="1"/>
    <s v="33066711002006"/>
    <n v="-16.350000000000001"/>
    <n v="417"/>
    <n v="1"/>
    <n v="1"/>
  </r>
  <r>
    <m/>
    <m/>
    <x v="1"/>
    <s v="33564577001003"/>
    <n v="-129.75"/>
    <n v="3309"/>
    <n v="1"/>
    <n v="1"/>
  </r>
  <r>
    <m/>
    <m/>
    <x v="1"/>
    <s v="33642246001005"/>
    <n v="-8.39"/>
    <n v="214"/>
    <n v="1"/>
    <n v="1"/>
  </r>
  <r>
    <m/>
    <m/>
    <x v="1"/>
    <s v="33687453001001"/>
    <n v="-48.07"/>
    <n v="1226"/>
    <n v="1"/>
    <n v="1"/>
  </r>
  <r>
    <m/>
    <m/>
    <x v="1"/>
    <s v="33829956002003"/>
    <n v="-17.53"/>
    <n v="447"/>
    <n v="1"/>
    <n v="1"/>
  </r>
  <r>
    <m/>
    <m/>
    <x v="1"/>
    <s v="33910067001003"/>
    <n v="-37.799999999999997"/>
    <n v="964"/>
    <n v="1"/>
    <n v="1"/>
  </r>
  <r>
    <m/>
    <m/>
    <x v="1"/>
    <s v="34080235001002"/>
    <n v="-16"/>
    <n v="408"/>
    <n v="1"/>
    <n v="1"/>
  </r>
  <r>
    <m/>
    <m/>
    <x v="1"/>
    <s v="34160604001001"/>
    <n v="-15.29"/>
    <n v="390"/>
    <n v="1"/>
    <n v="1"/>
  </r>
  <r>
    <m/>
    <m/>
    <x v="1"/>
    <s v="34571678001001"/>
    <n v="-18.23"/>
    <n v="465"/>
    <n v="1"/>
    <n v="1"/>
  </r>
  <r>
    <m/>
    <m/>
    <x v="1"/>
    <s v="34683105001001"/>
    <n v="-19.329999999999998"/>
    <n v="493"/>
    <n v="1"/>
    <n v="1"/>
  </r>
  <r>
    <m/>
    <m/>
    <x v="1"/>
    <s v="34758238001001"/>
    <n v="-9.7200000000000006"/>
    <n v="248"/>
    <n v="1"/>
    <n v="1"/>
  </r>
  <r>
    <m/>
    <m/>
    <x v="1"/>
    <s v="34822690001003"/>
    <n v="-26.39"/>
    <n v="673"/>
    <n v="1"/>
    <n v="1"/>
  </r>
  <r>
    <m/>
    <m/>
    <x v="1"/>
    <s v="34827216001001"/>
    <n v="-22.08"/>
    <n v="563"/>
    <n v="1"/>
    <n v="1"/>
  </r>
  <r>
    <m/>
    <m/>
    <x v="1"/>
    <s v="34874155001002"/>
    <n v="-9.61"/>
    <n v="245"/>
    <n v="1"/>
    <n v="1"/>
  </r>
  <r>
    <m/>
    <m/>
    <x v="1"/>
    <s v="35256283001003"/>
    <n v="-28.07"/>
    <n v="716"/>
    <n v="1"/>
    <n v="1"/>
  </r>
  <r>
    <m/>
    <m/>
    <x v="1"/>
    <s v="35260727001006"/>
    <n v="-10.55"/>
    <n v="269"/>
    <n v="1"/>
    <n v="1"/>
  </r>
  <r>
    <m/>
    <m/>
    <x v="1"/>
    <s v="35268541002002"/>
    <n v="-11.14"/>
    <n v="284"/>
    <n v="1"/>
    <n v="1"/>
  </r>
  <r>
    <m/>
    <m/>
    <x v="1"/>
    <s v="35387208001001"/>
    <n v="-58.54"/>
    <n v="1493"/>
    <n v="1"/>
    <n v="1"/>
  </r>
  <r>
    <m/>
    <m/>
    <x v="1"/>
    <s v="35402111001001"/>
    <n v="-2.4300000000000002"/>
    <n v="62"/>
    <n v="1"/>
    <n v="1"/>
  </r>
  <r>
    <m/>
    <m/>
    <x v="1"/>
    <s v="35453275001007"/>
    <n v="-40.54"/>
    <n v="1034"/>
    <n v="1"/>
    <n v="1"/>
  </r>
  <r>
    <m/>
    <m/>
    <x v="1"/>
    <s v="35545855003001"/>
    <n v="-24.62"/>
    <n v="628"/>
    <n v="1"/>
    <n v="1"/>
  </r>
  <r>
    <m/>
    <m/>
    <x v="1"/>
    <s v="35571209001001"/>
    <n v="-14.43"/>
    <n v="368"/>
    <n v="1"/>
    <n v="1"/>
  </r>
  <r>
    <m/>
    <m/>
    <x v="1"/>
    <s v="35830208001001"/>
    <n v="-27.72"/>
    <n v="707"/>
    <n v="1"/>
    <n v="1"/>
  </r>
  <r>
    <m/>
    <m/>
    <x v="1"/>
    <s v="35958850001005"/>
    <n v="-7.29"/>
    <n v="186"/>
    <n v="1"/>
    <n v="1"/>
  </r>
  <r>
    <m/>
    <m/>
    <x v="1"/>
    <s v="35983383001007"/>
    <n v="-12.98"/>
    <n v="331"/>
    <n v="1"/>
    <n v="1"/>
  </r>
  <r>
    <m/>
    <m/>
    <x v="1"/>
    <s v="36046479001001"/>
    <n v="-41.68"/>
    <n v="1063"/>
    <n v="1"/>
    <n v="1"/>
  </r>
  <r>
    <m/>
    <m/>
    <x v="1"/>
    <s v="36078864001001"/>
    <n v="-19.170000000000002"/>
    <n v="489"/>
    <n v="1"/>
    <n v="1"/>
  </r>
  <r>
    <m/>
    <m/>
    <x v="1"/>
    <s v="36264381001001"/>
    <n v="-46.39"/>
    <n v="1183"/>
    <n v="1"/>
    <n v="1"/>
  </r>
  <r>
    <m/>
    <m/>
    <x v="1"/>
    <s v="36265466001001"/>
    <n v="-27.17"/>
    <n v="693"/>
    <n v="1"/>
    <n v="1"/>
  </r>
  <r>
    <m/>
    <m/>
    <x v="1"/>
    <s v="36294296001004"/>
    <n v="-21.41"/>
    <n v="546"/>
    <n v="1"/>
    <n v="1"/>
  </r>
  <r>
    <m/>
    <m/>
    <x v="1"/>
    <s v="36404328001001"/>
    <n v="-53.56"/>
    <n v="1366"/>
    <n v="1"/>
    <n v="1"/>
  </r>
  <r>
    <m/>
    <m/>
    <x v="1"/>
    <s v="36405485001001"/>
    <n v="-20.7"/>
    <n v="528"/>
    <n v="1"/>
    <n v="1"/>
  </r>
  <r>
    <m/>
    <m/>
    <x v="1"/>
    <s v="36445725001001"/>
    <n v="-49.13"/>
    <n v="1253"/>
    <n v="1"/>
    <n v="1"/>
  </r>
  <r>
    <m/>
    <m/>
    <x v="1"/>
    <s v="36603976001005"/>
    <n v="-12.9"/>
    <n v="329"/>
    <n v="1"/>
    <n v="1"/>
  </r>
  <r>
    <m/>
    <m/>
    <x v="1"/>
    <s v="36872264001001"/>
    <n v="-70.23"/>
    <n v="1791"/>
    <n v="1"/>
    <n v="1"/>
  </r>
  <r>
    <m/>
    <m/>
    <x v="1"/>
    <s v="36931062001008"/>
    <n v="-19.45"/>
    <n v="496"/>
    <n v="1"/>
    <n v="1"/>
  </r>
  <r>
    <m/>
    <m/>
    <x v="1"/>
    <s v="37014491001001"/>
    <n v="-49.48"/>
    <n v="1262"/>
    <n v="1"/>
    <n v="1"/>
  </r>
  <r>
    <m/>
    <m/>
    <x v="1"/>
    <s v="37230806001004"/>
    <n v="-48.89"/>
    <n v="1247"/>
    <n v="1"/>
    <n v="1"/>
  </r>
  <r>
    <m/>
    <m/>
    <x v="1"/>
    <s v="37387403001001"/>
    <n v="-37.64"/>
    <n v="960"/>
    <n v="1"/>
    <n v="1"/>
  </r>
  <r>
    <m/>
    <m/>
    <x v="1"/>
    <s v="37477159001001"/>
    <n v="-16.27"/>
    <n v="415"/>
    <n v="1"/>
    <n v="1"/>
  </r>
  <r>
    <m/>
    <m/>
    <x v="1"/>
    <s v="37518547001003"/>
    <n v="-29.21"/>
    <n v="745"/>
    <n v="1"/>
    <n v="1"/>
  </r>
  <r>
    <m/>
    <m/>
    <x v="1"/>
    <s v="37546855001001"/>
    <n v="-19.68"/>
    <n v="502"/>
    <n v="1"/>
    <n v="1"/>
  </r>
  <r>
    <m/>
    <m/>
    <x v="1"/>
    <s v="37962417001003"/>
    <n v="-51.13"/>
    <n v="1304"/>
    <n v="1"/>
    <n v="1"/>
  </r>
  <r>
    <m/>
    <m/>
    <x v="1"/>
    <s v="38003358004003"/>
    <n v="-23.33"/>
    <n v="595"/>
    <n v="1"/>
    <n v="1"/>
  </r>
  <r>
    <m/>
    <m/>
    <x v="1"/>
    <s v="38058429001003"/>
    <n v="-9.8800000000000008"/>
    <n v="252"/>
    <n v="1"/>
    <n v="1"/>
  </r>
  <r>
    <m/>
    <m/>
    <x v="1"/>
    <s v="38059806002007"/>
    <n v="-20.39"/>
    <n v="520"/>
    <n v="1"/>
    <n v="1"/>
  </r>
  <r>
    <m/>
    <m/>
    <x v="1"/>
    <s v="38245625004008"/>
    <n v="-34.47"/>
    <n v="879"/>
    <n v="1"/>
    <n v="1"/>
  </r>
  <r>
    <m/>
    <m/>
    <x v="1"/>
    <s v="38337468001003"/>
    <n v="-27.05"/>
    <n v="690"/>
    <n v="1"/>
    <n v="1"/>
  </r>
  <r>
    <m/>
    <m/>
    <x v="1"/>
    <s v="38371635001001"/>
    <n v="-24.15"/>
    <n v="616"/>
    <n v="1"/>
    <n v="1"/>
  </r>
  <r>
    <m/>
    <m/>
    <x v="1"/>
    <s v="38447668001004"/>
    <n v="-0.27"/>
    <n v="7"/>
    <n v="1"/>
    <n v="1"/>
  </r>
  <r>
    <m/>
    <m/>
    <x v="1"/>
    <s v="38606746001003"/>
    <n v="-21.64"/>
    <n v="552"/>
    <n v="1"/>
    <n v="1"/>
  </r>
  <r>
    <m/>
    <m/>
    <x v="1"/>
    <s v="38907178001004"/>
    <n v="-5.29"/>
    <n v="135"/>
    <n v="1"/>
    <n v="1"/>
  </r>
  <r>
    <m/>
    <m/>
    <x v="1"/>
    <s v="38911036001003"/>
    <n v="-0.04"/>
    <n v="1"/>
    <n v="1"/>
    <n v="1"/>
  </r>
  <r>
    <m/>
    <m/>
    <x v="1"/>
    <s v="39337225001001"/>
    <n v="-37.799999999999997"/>
    <n v="964"/>
    <n v="1"/>
    <n v="1"/>
  </r>
  <r>
    <m/>
    <m/>
    <x v="1"/>
    <s v="39388823001005"/>
    <n v="-2.59"/>
    <n v="66"/>
    <n v="1"/>
    <n v="1"/>
  </r>
  <r>
    <m/>
    <m/>
    <x v="1"/>
    <s v="39398603002003"/>
    <n v="-22.39"/>
    <n v="571"/>
    <n v="1"/>
    <n v="1"/>
  </r>
  <r>
    <m/>
    <m/>
    <x v="1"/>
    <s v="39832575001004"/>
    <n v="-11.1"/>
    <n v="283"/>
    <n v="1"/>
    <n v="1"/>
  </r>
  <r>
    <m/>
    <m/>
    <x v="1"/>
    <s v="39862438001001"/>
    <n v="-37.25"/>
    <n v="950"/>
    <n v="1"/>
    <n v="1"/>
  </r>
  <r>
    <m/>
    <m/>
    <x v="1"/>
    <s v="39896845001006"/>
    <n v="-35.25"/>
    <n v="899"/>
    <n v="1"/>
    <n v="1"/>
  </r>
  <r>
    <m/>
    <m/>
    <x v="1"/>
    <s v="40009788001009"/>
    <n v="-24.07"/>
    <n v="614"/>
    <n v="1"/>
    <n v="1"/>
  </r>
  <r>
    <m/>
    <m/>
    <x v="1"/>
    <s v="40054017001004"/>
    <n v="-12.47"/>
    <n v="318"/>
    <n v="1"/>
    <n v="1"/>
  </r>
  <r>
    <m/>
    <m/>
    <x v="1"/>
    <s v="40302520001002"/>
    <n v="-10.74"/>
    <n v="274"/>
    <n v="1"/>
    <n v="1"/>
  </r>
  <r>
    <m/>
    <m/>
    <x v="1"/>
    <s v="40396125001001"/>
    <n v="-21.53"/>
    <n v="549"/>
    <n v="1"/>
    <n v="1"/>
  </r>
  <r>
    <m/>
    <m/>
    <x v="1"/>
    <s v="40575106001004"/>
    <n v="-33.130000000000003"/>
    <n v="845"/>
    <n v="1"/>
    <n v="1"/>
  </r>
  <r>
    <m/>
    <m/>
    <x v="1"/>
    <s v="40647134001006"/>
    <n v="-24.47"/>
    <n v="624"/>
    <n v="1"/>
    <n v="1"/>
  </r>
  <r>
    <m/>
    <m/>
    <x v="1"/>
    <s v="40755745001007"/>
    <n v="-3.88"/>
    <n v="99"/>
    <n v="1"/>
    <n v="1"/>
  </r>
  <r>
    <m/>
    <m/>
    <x v="1"/>
    <s v="40799378002001"/>
    <n v="-31.72"/>
    <n v="809"/>
    <n v="1"/>
    <n v="1"/>
  </r>
  <r>
    <m/>
    <m/>
    <x v="1"/>
    <s v="40819353001002"/>
    <n v="-19.25"/>
    <n v="491"/>
    <n v="1"/>
    <n v="1"/>
  </r>
  <r>
    <m/>
    <m/>
    <x v="1"/>
    <s v="40940003001003"/>
    <n v="-35.96"/>
    <n v="917"/>
    <n v="1"/>
    <n v="1"/>
  </r>
  <r>
    <m/>
    <m/>
    <x v="1"/>
    <s v="41102044001001"/>
    <n v="-9.7200000000000006"/>
    <n v="248"/>
    <n v="1"/>
    <n v="1"/>
  </r>
  <r>
    <m/>
    <m/>
    <x v="1"/>
    <s v="41344855001009"/>
    <n v="-5.72"/>
    <n v="146"/>
    <n v="1"/>
    <n v="1"/>
  </r>
  <r>
    <m/>
    <m/>
    <x v="1"/>
    <s v="41547810001001"/>
    <n v="-51.72"/>
    <n v="1319"/>
    <n v="1"/>
    <n v="1"/>
  </r>
  <r>
    <m/>
    <m/>
    <x v="1"/>
    <s v="41568295001001"/>
    <n v="-55.95"/>
    <n v="1427"/>
    <n v="1"/>
    <n v="1"/>
  </r>
  <r>
    <m/>
    <m/>
    <x v="1"/>
    <s v="41809389001005"/>
    <n v="-26.07"/>
    <n v="665"/>
    <n v="1"/>
    <n v="1"/>
  </r>
  <r>
    <m/>
    <m/>
    <x v="1"/>
    <s v="41836630001003"/>
    <n v="-24"/>
    <n v="612"/>
    <n v="1"/>
    <n v="1"/>
  </r>
  <r>
    <m/>
    <m/>
    <x v="1"/>
    <s v="41921625002001"/>
    <n v="-62.66"/>
    <n v="1598"/>
    <n v="1"/>
    <n v="1"/>
  </r>
  <r>
    <m/>
    <m/>
    <x v="1"/>
    <s v="41938265001001"/>
    <n v="-29.02"/>
    <n v="740"/>
    <n v="1"/>
    <n v="1"/>
  </r>
  <r>
    <m/>
    <m/>
    <x v="1"/>
    <s v="42046814001001"/>
    <n v="-18.12"/>
    <n v="462"/>
    <n v="1"/>
    <n v="1"/>
  </r>
  <r>
    <m/>
    <m/>
    <x v="1"/>
    <s v="42066880001001"/>
    <n v="-8.23"/>
    <n v="210"/>
    <n v="1"/>
    <n v="1"/>
  </r>
  <r>
    <m/>
    <m/>
    <x v="1"/>
    <s v="42453517001001"/>
    <n v="-26.58"/>
    <n v="678"/>
    <n v="1"/>
    <n v="1"/>
  </r>
  <r>
    <m/>
    <m/>
    <x v="1"/>
    <s v="42490701001001"/>
    <n v="-0.86"/>
    <n v="22"/>
    <n v="1"/>
    <n v="1"/>
  </r>
  <r>
    <m/>
    <m/>
    <x v="1"/>
    <s v="42502321001005"/>
    <n v="-20.04"/>
    <n v="511"/>
    <n v="1"/>
    <n v="1"/>
  </r>
  <r>
    <m/>
    <m/>
    <x v="1"/>
    <s v="42503511001002"/>
    <n v="-13.57"/>
    <n v="346"/>
    <n v="1"/>
    <n v="1"/>
  </r>
  <r>
    <m/>
    <m/>
    <x v="1"/>
    <s v="42503651001002"/>
    <n v="-19.920000000000002"/>
    <n v="508"/>
    <n v="1"/>
    <n v="1"/>
  </r>
  <r>
    <m/>
    <m/>
    <x v="1"/>
    <s v="42507081005002"/>
    <n v="-24.82"/>
    <n v="633"/>
    <n v="1"/>
    <n v="1"/>
  </r>
  <r>
    <m/>
    <m/>
    <x v="1"/>
    <s v="42515551001011"/>
    <n v="-19.170000000000002"/>
    <n v="489"/>
    <n v="1"/>
    <n v="1"/>
  </r>
  <r>
    <m/>
    <m/>
    <x v="1"/>
    <s v="42518981005010"/>
    <n v="-18.43"/>
    <n v="470"/>
    <n v="1"/>
    <n v="1"/>
  </r>
  <r>
    <m/>
    <m/>
    <x v="1"/>
    <s v="42523746002001"/>
    <n v="-35.49"/>
    <n v="905"/>
    <n v="1"/>
    <n v="1"/>
  </r>
  <r>
    <m/>
    <m/>
    <x v="1"/>
    <s v="42533821001001"/>
    <n v="-27.53"/>
    <n v="702"/>
    <n v="1"/>
    <n v="1"/>
  </r>
  <r>
    <m/>
    <m/>
    <x v="1"/>
    <s v="42535011001002"/>
    <n v="-3.76"/>
    <n v="96"/>
    <n v="1"/>
    <n v="1"/>
  </r>
  <r>
    <m/>
    <m/>
    <x v="1"/>
    <s v="42543901001001"/>
    <n v="-24.9"/>
    <n v="635"/>
    <n v="1"/>
    <n v="1"/>
  </r>
  <r>
    <m/>
    <m/>
    <x v="1"/>
    <s v="42569591004003"/>
    <n v="-13.14"/>
    <n v="335"/>
    <n v="1"/>
    <n v="1"/>
  </r>
  <r>
    <m/>
    <m/>
    <x v="1"/>
    <s v="42591011001001"/>
    <n v="-30.35"/>
    <n v="774"/>
    <n v="1"/>
    <n v="1"/>
  </r>
  <r>
    <m/>
    <m/>
    <x v="1"/>
    <s v="42599481001004"/>
    <n v="-0.12"/>
    <n v="3"/>
    <n v="1"/>
    <n v="1"/>
  </r>
  <r>
    <m/>
    <m/>
    <x v="1"/>
    <s v="42637141001007"/>
    <n v="-34.78"/>
    <n v="887"/>
    <n v="1"/>
    <n v="1"/>
  </r>
  <r>
    <m/>
    <m/>
    <x v="1"/>
    <s v="42640641001001"/>
    <n v="-54.7"/>
    <n v="1395"/>
    <n v="1"/>
    <n v="1"/>
  </r>
  <r>
    <m/>
    <m/>
    <x v="1"/>
    <s v="42640711003001"/>
    <n v="-14.86"/>
    <n v="379"/>
    <n v="1"/>
    <n v="1"/>
  </r>
  <r>
    <m/>
    <m/>
    <x v="1"/>
    <s v="42646171001006"/>
    <n v="-6.94"/>
    <n v="177"/>
    <n v="1"/>
    <n v="1"/>
  </r>
  <r>
    <m/>
    <m/>
    <x v="1"/>
    <s v="42653661001001"/>
    <n v="-2.67"/>
    <n v="68"/>
    <n v="1"/>
    <n v="1"/>
  </r>
  <r>
    <m/>
    <m/>
    <x v="1"/>
    <s v="42653801001002"/>
    <n v="-3.65"/>
    <n v="93"/>
    <n v="1"/>
    <n v="1"/>
  </r>
  <r>
    <m/>
    <m/>
    <x v="1"/>
    <s v="42662971001011"/>
    <n v="-37.56"/>
    <n v="958"/>
    <n v="1"/>
    <n v="1"/>
  </r>
  <r>
    <m/>
    <m/>
    <x v="1"/>
    <s v="42671651001004"/>
    <n v="-4.59"/>
    <n v="117"/>
    <n v="1"/>
    <n v="1"/>
  </r>
  <r>
    <m/>
    <m/>
    <x v="1"/>
    <s v="42689921004001"/>
    <n v="-32.47"/>
    <n v="828"/>
    <n v="1"/>
    <n v="1"/>
  </r>
  <r>
    <m/>
    <m/>
    <x v="1"/>
    <s v="42717921001003"/>
    <n v="-59.64"/>
    <n v="1521"/>
    <n v="1"/>
    <n v="1"/>
  </r>
  <r>
    <m/>
    <m/>
    <x v="1"/>
    <s v="42734931001007"/>
    <n v="-22.39"/>
    <n v="571"/>
    <n v="1"/>
    <n v="1"/>
  </r>
  <r>
    <m/>
    <m/>
    <x v="1"/>
    <s v="42740811001004"/>
    <n v="-13.37"/>
    <n v="341"/>
    <n v="1"/>
    <n v="1"/>
  </r>
  <r>
    <m/>
    <m/>
    <x v="1"/>
    <s v="42753761003001"/>
    <n v="-2.35"/>
    <n v="60"/>
    <n v="1"/>
    <n v="1"/>
  </r>
  <r>
    <m/>
    <m/>
    <x v="1"/>
    <s v="42811861001001"/>
    <n v="-39.130000000000003"/>
    <n v="998"/>
    <n v="1"/>
    <n v="1"/>
  </r>
  <r>
    <m/>
    <m/>
    <x v="1"/>
    <s v="42846828002005"/>
    <n v="-2.39"/>
    <n v="61"/>
    <n v="1"/>
    <n v="1"/>
  </r>
  <r>
    <m/>
    <m/>
    <x v="1"/>
    <s v="42862751002001"/>
    <n v="-20.51"/>
    <n v="523"/>
    <n v="1"/>
    <n v="1"/>
  </r>
  <r>
    <m/>
    <m/>
    <x v="1"/>
    <s v="42945601001003"/>
    <n v="-9.9600000000000009"/>
    <n v="254"/>
    <n v="1"/>
    <n v="1"/>
  </r>
  <r>
    <m/>
    <m/>
    <x v="1"/>
    <s v="43016751001009"/>
    <n v="-14.51"/>
    <n v="370"/>
    <n v="1"/>
    <n v="1"/>
  </r>
  <r>
    <m/>
    <m/>
    <x v="1"/>
    <s v="43024731003001"/>
    <n v="-13.41"/>
    <n v="342"/>
    <n v="1"/>
    <n v="1"/>
  </r>
  <r>
    <m/>
    <m/>
    <x v="1"/>
    <s v="43029771001001"/>
    <n v="-9.02"/>
    <n v="230"/>
    <n v="1"/>
    <n v="1"/>
  </r>
  <r>
    <m/>
    <m/>
    <x v="1"/>
    <s v="43037331002001"/>
    <n v="-28.9"/>
    <n v="737"/>
    <n v="1"/>
    <n v="1"/>
  </r>
  <r>
    <m/>
    <m/>
    <x v="1"/>
    <s v="43037471001001"/>
    <n v="-10.55"/>
    <n v="269"/>
    <n v="1"/>
    <n v="1"/>
  </r>
  <r>
    <m/>
    <m/>
    <x v="1"/>
    <s v="43067921001001"/>
    <n v="-25.13"/>
    <n v="641"/>
    <n v="1"/>
    <n v="1"/>
  </r>
  <r>
    <m/>
    <m/>
    <x v="1"/>
    <s v="43079401001005"/>
    <n v="-2.2000000000000002"/>
    <n v="56"/>
    <n v="1"/>
    <n v="1"/>
  </r>
  <r>
    <m/>
    <m/>
    <x v="1"/>
    <s v="43084721006001"/>
    <n v="-10.35"/>
    <n v="264"/>
    <n v="1"/>
    <n v="1"/>
  </r>
  <r>
    <m/>
    <m/>
    <x v="1"/>
    <s v="43103551001002"/>
    <n v="-2.12"/>
    <n v="54"/>
    <n v="1"/>
    <n v="1"/>
  </r>
  <r>
    <m/>
    <m/>
    <x v="1"/>
    <s v="43219471001003"/>
    <n v="-8.43"/>
    <n v="215"/>
    <n v="1"/>
    <n v="1"/>
  </r>
  <r>
    <m/>
    <m/>
    <x v="1"/>
    <s v="43225001001001"/>
    <n v="-28.62"/>
    <n v="730"/>
    <n v="1"/>
    <n v="1"/>
  </r>
  <r>
    <m/>
    <m/>
    <x v="1"/>
    <s v="43239421002001"/>
    <n v="-8.82"/>
    <n v="225"/>
    <n v="1"/>
    <n v="1"/>
  </r>
  <r>
    <m/>
    <m/>
    <x v="1"/>
    <s v="43245091005003"/>
    <n v="-22.9"/>
    <n v="584"/>
    <n v="1"/>
    <n v="1"/>
  </r>
  <r>
    <m/>
    <m/>
    <x v="1"/>
    <s v="43262451002003"/>
    <n v="-9.8800000000000008"/>
    <n v="252"/>
    <n v="1"/>
    <n v="1"/>
  </r>
  <r>
    <m/>
    <m/>
    <x v="1"/>
    <s v="43301371002001"/>
    <n v="-9.92"/>
    <n v="253"/>
    <n v="1"/>
    <n v="1"/>
  </r>
  <r>
    <m/>
    <m/>
    <x v="1"/>
    <s v="43330105002001"/>
    <n v="-65.87"/>
    <n v="1680"/>
    <n v="1"/>
    <n v="1"/>
  </r>
  <r>
    <m/>
    <m/>
    <x v="1"/>
    <s v="43334201001001"/>
    <n v="-28.15"/>
    <n v="718"/>
    <n v="1"/>
    <n v="1"/>
  </r>
  <r>
    <m/>
    <m/>
    <x v="1"/>
    <s v="43347711001001"/>
    <n v="-37.520000000000003"/>
    <n v="957"/>
    <n v="1"/>
    <n v="1"/>
  </r>
  <r>
    <m/>
    <m/>
    <x v="1"/>
    <s v="43386911002002"/>
    <n v="-31.8"/>
    <n v="811"/>
    <n v="1"/>
    <n v="1"/>
  </r>
  <r>
    <m/>
    <m/>
    <x v="1"/>
    <s v="43415471005001"/>
    <n v="-58.03"/>
    <n v="1480"/>
    <n v="1"/>
    <n v="1"/>
  </r>
  <r>
    <m/>
    <m/>
    <x v="1"/>
    <s v="43530621001001"/>
    <n v="-92.77"/>
    <n v="2366"/>
    <n v="1"/>
    <n v="1"/>
  </r>
  <r>
    <m/>
    <m/>
    <x v="1"/>
    <s v="43661996001002"/>
    <n v="-42.03"/>
    <n v="1072"/>
    <n v="1"/>
    <n v="1"/>
  </r>
  <r>
    <m/>
    <m/>
    <x v="1"/>
    <s v="43665824001005"/>
    <n v="-20.82"/>
    <n v="531"/>
    <n v="1"/>
    <n v="1"/>
  </r>
  <r>
    <m/>
    <m/>
    <x v="1"/>
    <s v="43688479001001"/>
    <n v="-13.45"/>
    <n v="343"/>
    <n v="1"/>
    <n v="1"/>
  </r>
  <r>
    <m/>
    <m/>
    <x v="1"/>
    <s v="43721161001001"/>
    <n v="-4.51"/>
    <n v="115"/>
    <n v="1"/>
    <n v="1"/>
  </r>
  <r>
    <m/>
    <m/>
    <x v="1"/>
    <s v="43736211001004"/>
    <n v="-8.74"/>
    <n v="223"/>
    <n v="1"/>
    <n v="1"/>
  </r>
  <r>
    <m/>
    <m/>
    <x v="1"/>
    <s v="43784132001001"/>
    <n v="-45.56"/>
    <n v="1162"/>
    <n v="1"/>
    <n v="1"/>
  </r>
  <r>
    <m/>
    <m/>
    <x v="1"/>
    <s v="43784151001001"/>
    <n v="-10.78"/>
    <n v="275"/>
    <n v="1"/>
    <n v="1"/>
  </r>
  <r>
    <m/>
    <m/>
    <x v="1"/>
    <s v="43801381001001"/>
    <n v="-40.659999999999997"/>
    <n v="1037"/>
    <n v="1"/>
    <n v="1"/>
  </r>
  <r>
    <m/>
    <m/>
    <x v="1"/>
    <s v="43823991001001"/>
    <n v="-9.84"/>
    <n v="251"/>
    <n v="1"/>
    <n v="1"/>
  </r>
  <r>
    <m/>
    <m/>
    <x v="1"/>
    <s v="43865752001004"/>
    <n v="-14"/>
    <n v="357"/>
    <n v="1"/>
    <n v="1"/>
  </r>
  <r>
    <m/>
    <m/>
    <x v="1"/>
    <s v="43924371003001"/>
    <n v="-16.86"/>
    <n v="430"/>
    <n v="1"/>
    <n v="1"/>
  </r>
  <r>
    <m/>
    <m/>
    <x v="1"/>
    <s v="43928151001002"/>
    <n v="-29.41"/>
    <n v="750"/>
    <n v="1"/>
    <n v="1"/>
  </r>
  <r>
    <m/>
    <m/>
    <x v="1"/>
    <s v="43981430001003"/>
    <n v="-27.64"/>
    <n v="705"/>
    <n v="1"/>
    <n v="1"/>
  </r>
  <r>
    <m/>
    <m/>
    <x v="1"/>
    <s v="43991683002001"/>
    <n v="-24.39"/>
    <n v="622"/>
    <n v="1"/>
    <n v="1"/>
  </r>
  <r>
    <m/>
    <m/>
    <x v="1"/>
    <s v="43997887009001"/>
    <n v="-9.49"/>
    <n v="242"/>
    <n v="1"/>
    <n v="1"/>
  </r>
  <r>
    <m/>
    <m/>
    <x v="1"/>
    <s v="44017401001003"/>
    <n v="-31.92"/>
    <n v="814"/>
    <n v="1"/>
    <n v="1"/>
  </r>
  <r>
    <m/>
    <m/>
    <x v="1"/>
    <s v="44035671002001"/>
    <n v="-25.13"/>
    <n v="641"/>
    <n v="1"/>
    <n v="1"/>
  </r>
  <r>
    <m/>
    <m/>
    <x v="1"/>
    <s v="44070041001001"/>
    <n v="-32.979999999999997"/>
    <n v="841"/>
    <n v="1"/>
    <n v="1"/>
  </r>
  <r>
    <m/>
    <m/>
    <x v="1"/>
    <s v="44095871001001"/>
    <n v="-28.07"/>
    <n v="716"/>
    <n v="1"/>
    <n v="1"/>
  </r>
  <r>
    <m/>
    <m/>
    <x v="1"/>
    <s v="44133601001001"/>
    <n v="-50.89"/>
    <n v="1298"/>
    <n v="1"/>
    <n v="1"/>
  </r>
  <r>
    <m/>
    <m/>
    <x v="1"/>
    <s v="44172520001001"/>
    <n v="-25.8"/>
    <n v="658"/>
    <n v="1"/>
    <n v="1"/>
  </r>
  <r>
    <m/>
    <m/>
    <x v="1"/>
    <s v="44198701001002"/>
    <n v="-48.39"/>
    <n v="1234"/>
    <n v="1"/>
    <n v="1"/>
  </r>
  <r>
    <m/>
    <m/>
    <x v="1"/>
    <s v="44200871001010"/>
    <n v="-6.82"/>
    <n v="174"/>
    <n v="1"/>
    <n v="1"/>
  </r>
  <r>
    <m/>
    <m/>
    <x v="1"/>
    <s v="44235381001002"/>
    <n v="-11.02"/>
    <n v="281"/>
    <n v="1"/>
    <n v="1"/>
  </r>
  <r>
    <m/>
    <m/>
    <x v="1"/>
    <s v="44237551001002"/>
    <n v="-9.76"/>
    <n v="249"/>
    <n v="1"/>
    <n v="1"/>
  </r>
  <r>
    <m/>
    <m/>
    <x v="1"/>
    <s v="44271641001001"/>
    <n v="-1.02"/>
    <n v="26"/>
    <n v="1"/>
    <n v="1"/>
  </r>
  <r>
    <m/>
    <m/>
    <x v="1"/>
    <s v="44286551002002"/>
    <n v="-12.66"/>
    <n v="323"/>
    <n v="1"/>
    <n v="1"/>
  </r>
  <r>
    <m/>
    <m/>
    <x v="1"/>
    <s v="44293551003001"/>
    <n v="-9.57"/>
    <n v="244"/>
    <n v="1"/>
    <n v="1"/>
  </r>
  <r>
    <m/>
    <m/>
    <x v="1"/>
    <s v="44327781001003"/>
    <n v="-5.18"/>
    <n v="132"/>
    <n v="1"/>
    <n v="1"/>
  </r>
  <r>
    <m/>
    <m/>
    <x v="1"/>
    <s v="44340381001001"/>
    <n v="-29.72"/>
    <n v="758"/>
    <n v="1"/>
    <n v="1"/>
  </r>
  <r>
    <m/>
    <m/>
    <x v="1"/>
    <s v="44365721001001"/>
    <n v="-28.98"/>
    <n v="739"/>
    <n v="1"/>
    <n v="1"/>
  </r>
  <r>
    <m/>
    <m/>
    <x v="1"/>
    <s v="44389521001001"/>
    <n v="-18.940000000000001"/>
    <n v="483"/>
    <n v="1"/>
    <n v="1"/>
  </r>
  <r>
    <m/>
    <m/>
    <x v="1"/>
    <s v="44423891001003"/>
    <n v="-1.61"/>
    <n v="41"/>
    <n v="1"/>
    <n v="1"/>
  </r>
  <r>
    <m/>
    <m/>
    <x v="1"/>
    <s v="44442320001003"/>
    <n v="-38.659999999999997"/>
    <n v="986"/>
    <n v="1"/>
    <n v="1"/>
  </r>
  <r>
    <m/>
    <m/>
    <x v="1"/>
    <s v="44445801002001"/>
    <n v="-59.44"/>
    <n v="1516"/>
    <n v="1"/>
    <n v="1"/>
  </r>
  <r>
    <m/>
    <m/>
    <x v="1"/>
    <s v="44484511001002"/>
    <n v="-7.02"/>
    <n v="179"/>
    <n v="1"/>
    <n v="1"/>
  </r>
  <r>
    <m/>
    <m/>
    <x v="1"/>
    <s v="44490601001001"/>
    <n v="-32.86"/>
    <n v="838"/>
    <n v="1"/>
    <n v="1"/>
  </r>
  <r>
    <m/>
    <m/>
    <x v="1"/>
    <s v="44502641001003"/>
    <n v="-44.11"/>
    <n v="1125"/>
    <n v="1"/>
    <n v="1"/>
  </r>
  <r>
    <m/>
    <m/>
    <x v="1"/>
    <s v="44525601001001"/>
    <n v="-22.7"/>
    <n v="579"/>
    <n v="1"/>
    <n v="1"/>
  </r>
  <r>
    <m/>
    <m/>
    <x v="1"/>
    <s v="44528121001001"/>
    <n v="-11.92"/>
    <n v="304"/>
    <n v="1"/>
    <n v="1"/>
  </r>
  <r>
    <m/>
    <m/>
    <x v="1"/>
    <s v="44543521001001"/>
    <n v="-31.13"/>
    <n v="794"/>
    <n v="1"/>
    <n v="1"/>
  </r>
  <r>
    <m/>
    <m/>
    <x v="1"/>
    <s v="44545061002001"/>
    <n v="-2.5099999999999998"/>
    <n v="64"/>
    <n v="1"/>
    <n v="1"/>
  </r>
  <r>
    <m/>
    <m/>
    <x v="1"/>
    <s v="44560811001004"/>
    <n v="-8.08"/>
    <n v="206"/>
    <n v="1"/>
    <n v="1"/>
  </r>
  <r>
    <m/>
    <m/>
    <x v="1"/>
    <s v="44574881001005"/>
    <n v="-25.37"/>
    <n v="647"/>
    <n v="1"/>
    <n v="1"/>
  </r>
  <r>
    <m/>
    <m/>
    <x v="1"/>
    <s v="44617161001001"/>
    <n v="-25.17"/>
    <n v="642"/>
    <n v="1"/>
    <n v="1"/>
  </r>
  <r>
    <m/>
    <m/>
    <x v="1"/>
    <s v="44617721001003"/>
    <n v="-12.94"/>
    <n v="330"/>
    <n v="1"/>
    <n v="1"/>
  </r>
  <r>
    <m/>
    <m/>
    <x v="1"/>
    <s v="44628151002001"/>
    <n v="-2.5499999999999998"/>
    <n v="65"/>
    <n v="1"/>
    <n v="1"/>
  </r>
  <r>
    <m/>
    <m/>
    <x v="1"/>
    <s v="44686531002001"/>
    <n v="-17.61"/>
    <n v="449"/>
    <n v="1"/>
    <n v="1"/>
  </r>
  <r>
    <m/>
    <m/>
    <x v="1"/>
    <s v="44688351001001"/>
    <n v="-4.9400000000000004"/>
    <n v="126"/>
    <n v="1"/>
    <n v="1"/>
  </r>
  <r>
    <m/>
    <m/>
    <x v="1"/>
    <s v="44688771001005"/>
    <n v="-34.94"/>
    <n v="891"/>
    <n v="1"/>
    <n v="1"/>
  </r>
  <r>
    <m/>
    <m/>
    <x v="1"/>
    <s v="44706621001001"/>
    <n v="-24.98"/>
    <n v="637"/>
    <n v="1"/>
    <n v="1"/>
  </r>
  <r>
    <m/>
    <m/>
    <x v="1"/>
    <s v="44736744001004"/>
    <n v="-9.2100000000000009"/>
    <n v="235"/>
    <n v="1"/>
    <n v="1"/>
  </r>
  <r>
    <m/>
    <m/>
    <x v="1"/>
    <s v="44773681001001"/>
    <n v="-13.37"/>
    <n v="341"/>
    <n v="1"/>
    <n v="1"/>
  </r>
  <r>
    <m/>
    <m/>
    <x v="1"/>
    <s v="44774521001002"/>
    <n v="-19.059999999999999"/>
    <n v="486"/>
    <n v="1"/>
    <n v="1"/>
  </r>
  <r>
    <m/>
    <m/>
    <x v="1"/>
    <s v="44781521001003"/>
    <n v="-37.479999999999997"/>
    <n v="956"/>
    <n v="1"/>
    <n v="1"/>
  </r>
  <r>
    <m/>
    <m/>
    <x v="1"/>
    <s v="44789781001001"/>
    <n v="-38.19"/>
    <n v="974"/>
    <n v="1"/>
    <n v="1"/>
  </r>
  <r>
    <m/>
    <m/>
    <x v="1"/>
    <s v="44806441001001"/>
    <n v="-0.98"/>
    <n v="25"/>
    <n v="1"/>
    <n v="1"/>
  </r>
  <r>
    <m/>
    <m/>
    <x v="1"/>
    <s v="44808191002002"/>
    <n v="-61.83"/>
    <n v="1577"/>
    <n v="1"/>
    <n v="1"/>
  </r>
  <r>
    <m/>
    <m/>
    <x v="1"/>
    <s v="44810291001002"/>
    <n v="-5.57"/>
    <n v="142"/>
    <n v="1"/>
    <n v="1"/>
  </r>
  <r>
    <m/>
    <m/>
    <x v="1"/>
    <s v="44819842001003"/>
    <n v="-67.25"/>
    <n v="1715"/>
    <n v="1"/>
    <n v="1"/>
  </r>
  <r>
    <m/>
    <m/>
    <x v="1"/>
    <s v="44843401002001"/>
    <n v="-15.37"/>
    <n v="392"/>
    <n v="1"/>
    <n v="1"/>
  </r>
  <r>
    <m/>
    <m/>
    <x v="1"/>
    <s v="44861671002001"/>
    <n v="-12.16"/>
    <n v="310"/>
    <n v="1"/>
    <n v="1"/>
  </r>
  <r>
    <m/>
    <m/>
    <x v="1"/>
    <s v="44875461001001"/>
    <n v="-4.55"/>
    <n v="116"/>
    <n v="1"/>
    <n v="1"/>
  </r>
  <r>
    <m/>
    <m/>
    <x v="1"/>
    <s v="44881201001001"/>
    <n v="-22.27"/>
    <n v="568"/>
    <n v="1"/>
    <n v="1"/>
  </r>
  <r>
    <m/>
    <m/>
    <x v="1"/>
    <s v="44896251001001"/>
    <n v="-18.86"/>
    <n v="481"/>
    <n v="1"/>
    <n v="1"/>
  </r>
  <r>
    <m/>
    <m/>
    <x v="1"/>
    <s v="44898175001005"/>
    <n v="-30.07"/>
    <n v="767"/>
    <n v="1"/>
    <n v="1"/>
  </r>
  <r>
    <m/>
    <m/>
    <x v="1"/>
    <s v="44898351001001"/>
    <n v="-53.13"/>
    <n v="1355"/>
    <n v="1"/>
    <n v="1"/>
  </r>
  <r>
    <m/>
    <m/>
    <x v="1"/>
    <s v="44902061004004"/>
    <n v="-43.6"/>
    <n v="1112"/>
    <n v="1"/>
    <n v="1"/>
  </r>
  <r>
    <m/>
    <m/>
    <x v="1"/>
    <s v="44906681002005"/>
    <n v="-18.59"/>
    <n v="474"/>
    <n v="1"/>
    <n v="1"/>
  </r>
  <r>
    <m/>
    <m/>
    <x v="1"/>
    <s v="44955261001002"/>
    <n v="-59.99"/>
    <n v="1530"/>
    <n v="1"/>
    <n v="1"/>
  </r>
  <r>
    <m/>
    <m/>
    <x v="1"/>
    <s v="44959251002002"/>
    <n v="-46.35"/>
    <n v="1182"/>
    <n v="1"/>
    <n v="1"/>
  </r>
  <r>
    <m/>
    <m/>
    <x v="1"/>
    <s v="44976331003006"/>
    <n v="-4.04"/>
    <n v="103"/>
    <n v="1"/>
    <n v="1"/>
  </r>
  <r>
    <m/>
    <m/>
    <x v="1"/>
    <s v="44983051001001"/>
    <n v="-30.15"/>
    <n v="769"/>
    <n v="1"/>
    <n v="1"/>
  </r>
  <r>
    <m/>
    <m/>
    <x v="1"/>
    <s v="45016581002001"/>
    <n v="-27.84"/>
    <n v="710"/>
    <n v="1"/>
    <n v="1"/>
  </r>
  <r>
    <m/>
    <m/>
    <x v="1"/>
    <s v="45023091001001"/>
    <n v="-2.71"/>
    <n v="69"/>
    <n v="1"/>
    <n v="1"/>
  </r>
  <r>
    <m/>
    <m/>
    <x v="1"/>
    <s v="45028411001001"/>
    <n v="-7.8"/>
    <n v="199"/>
    <n v="1"/>
    <n v="1"/>
  </r>
  <r>
    <m/>
    <m/>
    <x v="1"/>
    <s v="45032471001003"/>
    <n v="-29.6"/>
    <n v="755"/>
    <n v="1"/>
    <n v="1"/>
  </r>
  <r>
    <m/>
    <m/>
    <x v="1"/>
    <s v="45035075001001"/>
    <n v="-34.31"/>
    <n v="875"/>
    <n v="1"/>
    <n v="1"/>
  </r>
  <r>
    <m/>
    <m/>
    <x v="1"/>
    <s v="45058021001005"/>
    <n v="-25.45"/>
    <n v="649"/>
    <n v="1"/>
    <n v="1"/>
  </r>
  <r>
    <m/>
    <m/>
    <x v="1"/>
    <s v="45058426001008"/>
    <n v="-25.68"/>
    <n v="655"/>
    <n v="1"/>
    <n v="1"/>
  </r>
  <r>
    <m/>
    <m/>
    <x v="1"/>
    <s v="45064181002001"/>
    <n v="-15.25"/>
    <n v="389"/>
    <n v="1"/>
    <n v="1"/>
  </r>
  <r>
    <m/>
    <m/>
    <x v="1"/>
    <s v="45064461001001"/>
    <n v="-15.72"/>
    <n v="401"/>
    <n v="1"/>
    <n v="1"/>
  </r>
  <r>
    <m/>
    <m/>
    <x v="1"/>
    <s v="45064531001001"/>
    <n v="-1.25"/>
    <n v="32"/>
    <n v="1"/>
    <n v="1"/>
  </r>
  <r>
    <m/>
    <m/>
    <x v="1"/>
    <s v="45064881001001"/>
    <n v="-73.790000000000006"/>
    <n v="1882"/>
    <n v="1"/>
    <n v="1"/>
  </r>
  <r>
    <m/>
    <m/>
    <x v="1"/>
    <s v="45068661003001"/>
    <n v="-11.49"/>
    <n v="293"/>
    <n v="1"/>
    <n v="1"/>
  </r>
  <r>
    <m/>
    <m/>
    <x v="1"/>
    <s v="45073281001004"/>
    <n v="-25.45"/>
    <n v="649"/>
    <n v="1"/>
    <n v="1"/>
  </r>
  <r>
    <m/>
    <m/>
    <x v="1"/>
    <s v="45074541002003"/>
    <n v="-20.55"/>
    <n v="524"/>
    <n v="1"/>
    <n v="1"/>
  </r>
  <r>
    <m/>
    <m/>
    <x v="1"/>
    <s v="45077271001001"/>
    <n v="-7.49"/>
    <n v="191"/>
    <n v="1"/>
    <n v="1"/>
  </r>
  <r>
    <m/>
    <m/>
    <x v="1"/>
    <s v="45081471001002"/>
    <n v="-25.6"/>
    <n v="653"/>
    <n v="1"/>
    <n v="1"/>
  </r>
  <r>
    <m/>
    <m/>
    <x v="1"/>
    <s v="45091654002003"/>
    <n v="-30.94"/>
    <n v="789"/>
    <n v="1"/>
    <n v="1"/>
  </r>
  <r>
    <m/>
    <m/>
    <x v="1"/>
    <s v="45101911002002"/>
    <n v="-31.8"/>
    <n v="811"/>
    <n v="1"/>
    <n v="1"/>
  </r>
  <r>
    <m/>
    <m/>
    <x v="1"/>
    <s v="45119621001001"/>
    <n v="-19.13"/>
    <n v="488"/>
    <n v="1"/>
    <n v="1"/>
  </r>
  <r>
    <m/>
    <m/>
    <x v="1"/>
    <s v="45120321002003"/>
    <n v="-23.29"/>
    <n v="594"/>
    <n v="1"/>
    <n v="1"/>
  </r>
  <r>
    <m/>
    <m/>
    <x v="1"/>
    <s v="45124731002005"/>
    <n v="-17.489999999999998"/>
    <n v="446"/>
    <n v="1"/>
    <n v="1"/>
  </r>
  <r>
    <m/>
    <m/>
    <x v="1"/>
    <s v="45126411001001"/>
    <n v="-20.98"/>
    <n v="535"/>
    <n v="1"/>
    <n v="1"/>
  </r>
  <r>
    <m/>
    <m/>
    <x v="1"/>
    <s v="45128441001005"/>
    <n v="-17.29"/>
    <n v="441"/>
    <n v="1"/>
    <n v="1"/>
  </r>
  <r>
    <m/>
    <m/>
    <x v="1"/>
    <s v="45128931001001"/>
    <n v="-1.33"/>
    <n v="34"/>
    <n v="1"/>
    <n v="1"/>
  </r>
  <r>
    <m/>
    <m/>
    <x v="1"/>
    <s v="45136421001001"/>
    <n v="-52.97"/>
    <n v="1351"/>
    <n v="1"/>
    <n v="1"/>
  </r>
  <r>
    <m/>
    <m/>
    <x v="1"/>
    <s v="45143631001001"/>
    <n v="-5.37"/>
    <n v="137"/>
    <n v="1"/>
    <n v="1"/>
  </r>
  <r>
    <m/>
    <m/>
    <x v="1"/>
    <s v="45160921001001"/>
    <n v="-24.39"/>
    <n v="622"/>
    <n v="1"/>
    <n v="1"/>
  </r>
  <r>
    <m/>
    <m/>
    <x v="1"/>
    <s v="45161201003001"/>
    <n v="-35.56"/>
    <n v="907"/>
    <n v="1"/>
    <n v="1"/>
  </r>
  <r>
    <m/>
    <m/>
    <x v="1"/>
    <s v="45162468001001"/>
    <n v="-28.98"/>
    <n v="739"/>
    <n v="1"/>
    <n v="1"/>
  </r>
  <r>
    <m/>
    <m/>
    <x v="1"/>
    <s v="45170721001001"/>
    <n v="-55.8"/>
    <n v="1423"/>
    <n v="1"/>
    <n v="1"/>
  </r>
  <r>
    <m/>
    <m/>
    <x v="1"/>
    <s v="45188221002002"/>
    <n v="-34.54"/>
    <n v="881"/>
    <n v="1"/>
    <n v="1"/>
  </r>
  <r>
    <m/>
    <m/>
    <x v="1"/>
    <s v="45190531001001"/>
    <n v="-6.78"/>
    <n v="173"/>
    <n v="1"/>
    <n v="1"/>
  </r>
  <r>
    <m/>
    <m/>
    <x v="1"/>
    <s v="45191721001004"/>
    <n v="-24.04"/>
    <n v="613"/>
    <n v="1"/>
    <n v="1"/>
  </r>
  <r>
    <m/>
    <m/>
    <x v="1"/>
    <s v="45192001001001"/>
    <n v="-36.94"/>
    <n v="942"/>
    <n v="1"/>
    <n v="1"/>
  </r>
  <r>
    <m/>
    <m/>
    <x v="1"/>
    <s v="45194661001001"/>
    <n v="-21.84"/>
    <n v="557"/>
    <n v="1"/>
    <n v="1"/>
  </r>
  <r>
    <m/>
    <m/>
    <x v="1"/>
    <s v="45195641001001"/>
    <n v="-49.64"/>
    <n v="1266"/>
    <n v="1"/>
    <n v="1"/>
  </r>
  <r>
    <m/>
    <m/>
    <x v="1"/>
    <s v="45196412001001"/>
    <n v="-13.96"/>
    <n v="356"/>
    <n v="1"/>
    <n v="1"/>
  </r>
  <r>
    <m/>
    <m/>
    <x v="1"/>
    <s v="45221093002001"/>
    <n v="-20.9"/>
    <n v="533"/>
    <n v="1"/>
    <n v="1"/>
  </r>
  <r>
    <m/>
    <m/>
    <x v="1"/>
    <s v="45222165001003"/>
    <n v="-32.51"/>
    <n v="829"/>
    <n v="1"/>
    <n v="1"/>
  </r>
  <r>
    <m/>
    <m/>
    <x v="1"/>
    <s v="45233441001001"/>
    <n v="-31.68"/>
    <n v="808"/>
    <n v="1"/>
    <n v="1"/>
  </r>
  <r>
    <m/>
    <m/>
    <x v="1"/>
    <s v="45259201001001"/>
    <n v="-26.86"/>
    <n v="685"/>
    <n v="1"/>
    <n v="1"/>
  </r>
  <r>
    <m/>
    <m/>
    <x v="1"/>
    <s v="45324791001001"/>
    <n v="-82.22"/>
    <n v="2097"/>
    <n v="1"/>
    <n v="1"/>
  </r>
  <r>
    <m/>
    <m/>
    <x v="1"/>
    <s v="45329411001001"/>
    <n v="-3.76"/>
    <n v="96"/>
    <n v="1"/>
    <n v="1"/>
  </r>
  <r>
    <m/>
    <m/>
    <x v="1"/>
    <s v="45353841001001"/>
    <n v="-14.55"/>
    <n v="371"/>
    <n v="1"/>
    <n v="1"/>
  </r>
  <r>
    <m/>
    <m/>
    <x v="1"/>
    <s v="45356011003001"/>
    <n v="-41.41"/>
    <n v="1056"/>
    <n v="1"/>
    <n v="1"/>
  </r>
  <r>
    <m/>
    <m/>
    <x v="1"/>
    <s v="45382121001001"/>
    <n v="-22.23"/>
    <n v="567"/>
    <n v="1"/>
    <n v="1"/>
  </r>
  <r>
    <m/>
    <m/>
    <x v="1"/>
    <s v="45382261001001"/>
    <n v="-45.56"/>
    <n v="1162"/>
    <n v="1"/>
    <n v="1"/>
  </r>
  <r>
    <m/>
    <m/>
    <x v="1"/>
    <s v="45384361001001"/>
    <n v="-40.07"/>
    <n v="1022"/>
    <n v="1"/>
    <n v="1"/>
  </r>
  <r>
    <m/>
    <m/>
    <x v="1"/>
    <s v="45390801001001"/>
    <n v="-34.5"/>
    <n v="880"/>
    <n v="1"/>
    <n v="1"/>
  </r>
  <r>
    <m/>
    <m/>
    <x v="1"/>
    <s v="45395421001001"/>
    <n v="-11.61"/>
    <n v="296"/>
    <n v="1"/>
    <n v="1"/>
  </r>
  <r>
    <m/>
    <m/>
    <x v="1"/>
    <s v="45446941001001"/>
    <n v="-31.6"/>
    <n v="806"/>
    <n v="1"/>
    <n v="1"/>
  </r>
  <r>
    <m/>
    <m/>
    <x v="1"/>
    <s v="45451701001002"/>
    <n v="-79.64"/>
    <n v="2031"/>
    <n v="1"/>
    <n v="1"/>
  </r>
  <r>
    <m/>
    <m/>
    <x v="1"/>
    <s v="45454501002002"/>
    <n v="-24.15"/>
    <n v="616"/>
    <n v="1"/>
    <n v="1"/>
  </r>
  <r>
    <m/>
    <m/>
    <x v="1"/>
    <s v="45466051001001"/>
    <n v="-28.23"/>
    <n v="720"/>
    <n v="1"/>
    <n v="1"/>
  </r>
  <r>
    <m/>
    <m/>
    <x v="1"/>
    <s v="45469341007001"/>
    <n v="-112.34"/>
    <n v="2865"/>
    <n v="1"/>
    <n v="1"/>
  </r>
  <r>
    <m/>
    <m/>
    <x v="1"/>
    <s v="45472001001001"/>
    <n v="-16.739999999999998"/>
    <n v="427"/>
    <n v="1"/>
    <n v="1"/>
  </r>
  <r>
    <m/>
    <m/>
    <x v="1"/>
    <s v="45473261001002"/>
    <n v="-41.48"/>
    <n v="1058"/>
    <n v="1"/>
    <n v="1"/>
  </r>
  <r>
    <m/>
    <m/>
    <x v="1"/>
    <s v="45491181001001"/>
    <n v="-2.4700000000000002"/>
    <n v="63"/>
    <n v="1"/>
    <n v="1"/>
  </r>
  <r>
    <m/>
    <m/>
    <x v="1"/>
    <s v="45496921001002"/>
    <n v="-22.78"/>
    <n v="581"/>
    <n v="1"/>
    <n v="1"/>
  </r>
  <r>
    <m/>
    <m/>
    <x v="1"/>
    <s v="45503921006001"/>
    <n v="-31.76"/>
    <n v="810"/>
    <n v="1"/>
    <n v="1"/>
  </r>
  <r>
    <m/>
    <m/>
    <x v="1"/>
    <s v="45512671001001"/>
    <n v="-54.97"/>
    <n v="1402"/>
    <n v="1"/>
    <n v="1"/>
  </r>
  <r>
    <m/>
    <m/>
    <x v="1"/>
    <s v="45513791001001"/>
    <n v="-15.53"/>
    <n v="396"/>
    <n v="1"/>
    <n v="1"/>
  </r>
  <r>
    <m/>
    <m/>
    <x v="1"/>
    <s v="45525746001005"/>
    <n v="-38.58"/>
    <n v="984"/>
    <n v="1"/>
    <n v="1"/>
  </r>
  <r>
    <m/>
    <m/>
    <x v="1"/>
    <s v="45526041001005"/>
    <n v="-11.72"/>
    <n v="299"/>
    <n v="1"/>
    <n v="1"/>
  </r>
  <r>
    <m/>
    <m/>
    <x v="1"/>
    <s v="45532411001003"/>
    <n v="-6.67"/>
    <n v="170"/>
    <n v="1"/>
    <n v="1"/>
  </r>
  <r>
    <m/>
    <m/>
    <x v="1"/>
    <s v="45559221007005"/>
    <n v="-21.33"/>
    <n v="544"/>
    <n v="1"/>
    <n v="1"/>
  </r>
  <r>
    <m/>
    <m/>
    <x v="1"/>
    <s v="45626771003001"/>
    <n v="-92.69"/>
    <n v="2364"/>
    <n v="1"/>
    <n v="1"/>
  </r>
  <r>
    <m/>
    <m/>
    <x v="1"/>
    <s v="45645881001002"/>
    <n v="-69.87"/>
    <n v="1782"/>
    <n v="1"/>
    <n v="1"/>
  </r>
  <r>
    <m/>
    <m/>
    <x v="1"/>
    <s v="45725261001001"/>
    <n v="-78.260000000000005"/>
    <n v="1996"/>
    <n v="1"/>
    <n v="1"/>
  </r>
  <r>
    <m/>
    <m/>
    <x v="1"/>
    <s v="45742621001001"/>
    <n v="-24.15"/>
    <n v="616"/>
    <n v="1"/>
    <n v="1"/>
  </r>
  <r>
    <m/>
    <m/>
    <x v="1"/>
    <s v="45751371001001"/>
    <n v="-3.14"/>
    <n v="80"/>
    <n v="1"/>
    <n v="1"/>
  </r>
  <r>
    <m/>
    <m/>
    <x v="1"/>
    <s v="45751441001001"/>
    <n v="-20.43"/>
    <n v="521"/>
    <n v="1"/>
    <n v="1"/>
  </r>
  <r>
    <m/>
    <m/>
    <x v="1"/>
    <s v="45755851001001"/>
    <n v="-12.74"/>
    <n v="325"/>
    <n v="1"/>
    <n v="1"/>
  </r>
  <r>
    <m/>
    <m/>
    <x v="1"/>
    <s v="45768031001001"/>
    <n v="-12.19"/>
    <n v="311"/>
    <n v="1"/>
    <n v="1"/>
  </r>
  <r>
    <m/>
    <m/>
    <x v="1"/>
    <s v="45771181001001"/>
    <n v="-25.72"/>
    <n v="656"/>
    <n v="1"/>
    <n v="1"/>
  </r>
  <r>
    <m/>
    <m/>
    <x v="1"/>
    <s v="45785601001001"/>
    <n v="-11.41"/>
    <n v="291"/>
    <n v="1"/>
    <n v="1"/>
  </r>
  <r>
    <m/>
    <m/>
    <x v="1"/>
    <s v="45786091001001"/>
    <n v="-68.62"/>
    <n v="1750"/>
    <n v="1"/>
    <n v="1"/>
  </r>
  <r>
    <m/>
    <m/>
    <x v="1"/>
    <s v="45799741001002"/>
    <n v="-72.22"/>
    <n v="1842"/>
    <n v="1"/>
    <n v="1"/>
  </r>
  <r>
    <m/>
    <m/>
    <x v="1"/>
    <s v="45848041001001"/>
    <n v="-68.5"/>
    <n v="1747"/>
    <n v="1"/>
    <n v="1"/>
  </r>
  <r>
    <m/>
    <m/>
    <x v="1"/>
    <s v="45884231001001"/>
    <n v="-67.010000000000005"/>
    <n v="1709"/>
    <n v="1"/>
    <n v="1"/>
  </r>
  <r>
    <m/>
    <m/>
    <x v="1"/>
    <s v="45896761002001"/>
    <n v="-8.23"/>
    <n v="210"/>
    <n v="1"/>
    <n v="1"/>
  </r>
  <r>
    <m/>
    <m/>
    <x v="1"/>
    <s v="45898663001009"/>
    <n v="-50.42"/>
    <n v="1286"/>
    <n v="1"/>
    <n v="1"/>
  </r>
  <r>
    <m/>
    <m/>
    <x v="1"/>
    <s v="45900611001001"/>
    <n v="-53.99"/>
    <n v="1377"/>
    <n v="1"/>
    <n v="1"/>
  </r>
  <r>
    <m/>
    <m/>
    <x v="1"/>
    <s v="45918951003002"/>
    <n v="-28.66"/>
    <n v="731"/>
    <n v="1"/>
    <n v="1"/>
  </r>
  <r>
    <m/>
    <m/>
    <x v="1"/>
    <s v="45919931008001"/>
    <n v="-35.25"/>
    <n v="899"/>
    <n v="1"/>
    <n v="1"/>
  </r>
  <r>
    <m/>
    <m/>
    <x v="1"/>
    <s v="45931061001003"/>
    <n v="-39.369999999999997"/>
    <n v="1004"/>
    <n v="1"/>
    <n v="1"/>
  </r>
  <r>
    <m/>
    <m/>
    <x v="1"/>
    <s v="45934211002001"/>
    <n v="-50.74"/>
    <n v="1294"/>
    <n v="1"/>
    <n v="1"/>
  </r>
  <r>
    <m/>
    <m/>
    <x v="1"/>
    <s v="45943591002001"/>
    <n v="-24.19"/>
    <n v="617"/>
    <n v="1"/>
    <n v="1"/>
  </r>
  <r>
    <m/>
    <m/>
    <x v="1"/>
    <s v="46014571002003"/>
    <n v="-11.65"/>
    <n v="297"/>
    <n v="1"/>
    <n v="1"/>
  </r>
  <r>
    <m/>
    <m/>
    <x v="1"/>
    <s v="46026754003007"/>
    <n v="-26.15"/>
    <n v="667"/>
    <n v="1"/>
    <n v="1"/>
  </r>
  <r>
    <m/>
    <m/>
    <x v="1"/>
    <s v="46042851003005"/>
    <n v="-37.01"/>
    <n v="944"/>
    <n v="1"/>
    <n v="1"/>
  </r>
  <r>
    <m/>
    <m/>
    <x v="1"/>
    <s v="46074210001001"/>
    <n v="-26.74"/>
    <n v="682"/>
    <n v="1"/>
    <n v="1"/>
  </r>
  <r>
    <m/>
    <m/>
    <x v="1"/>
    <s v="46133151002005"/>
    <n v="-24.7"/>
    <n v="630"/>
    <n v="1"/>
    <n v="1"/>
  </r>
  <r>
    <m/>
    <m/>
    <x v="1"/>
    <s v="46135041001002"/>
    <n v="-84.65"/>
    <n v="2159"/>
    <n v="1"/>
    <n v="1"/>
  </r>
  <r>
    <m/>
    <m/>
    <x v="1"/>
    <s v="46146381001003"/>
    <n v="-55.6"/>
    <n v="1418"/>
    <n v="1"/>
    <n v="1"/>
  </r>
  <r>
    <m/>
    <m/>
    <x v="1"/>
    <s v="46153451002002"/>
    <n v="-20.62"/>
    <n v="526"/>
    <n v="1"/>
    <n v="1"/>
  </r>
  <r>
    <m/>
    <m/>
    <x v="1"/>
    <s v="46176053001002"/>
    <n v="-49.72"/>
    <n v="1268"/>
    <n v="1"/>
    <n v="1"/>
  </r>
  <r>
    <m/>
    <m/>
    <x v="1"/>
    <s v="46246869001009"/>
    <n v="-12.04"/>
    <n v="307"/>
    <n v="1"/>
    <n v="1"/>
  </r>
  <r>
    <m/>
    <m/>
    <x v="1"/>
    <s v="46246971001001"/>
    <n v="-113.32"/>
    <n v="2890"/>
    <n v="1"/>
    <n v="1"/>
  </r>
  <r>
    <m/>
    <m/>
    <x v="1"/>
    <s v="46253481001006"/>
    <n v="-2.08"/>
    <n v="53"/>
    <n v="1"/>
    <n v="1"/>
  </r>
  <r>
    <m/>
    <m/>
    <x v="1"/>
    <s v="46255143001001"/>
    <n v="-0.31"/>
    <n v="8"/>
    <n v="1"/>
    <n v="1"/>
  </r>
  <r>
    <m/>
    <m/>
    <x v="1"/>
    <s v="46279591001002"/>
    <n v="-28.07"/>
    <n v="716"/>
    <n v="1"/>
    <n v="1"/>
  </r>
  <r>
    <m/>
    <m/>
    <x v="1"/>
    <s v="46289951001001"/>
    <n v="-8.59"/>
    <n v="219"/>
    <n v="1"/>
    <n v="1"/>
  </r>
  <r>
    <m/>
    <m/>
    <x v="1"/>
    <s v="46322361003003"/>
    <n v="-56.5"/>
    <n v="1441"/>
    <n v="1"/>
    <n v="1"/>
  </r>
  <r>
    <m/>
    <m/>
    <x v="1"/>
    <s v="46327821002001"/>
    <n v="-45.68"/>
    <n v="1165"/>
    <n v="1"/>
    <n v="1"/>
  </r>
  <r>
    <m/>
    <m/>
    <x v="1"/>
    <s v="46336781001001"/>
    <n v="-21.72"/>
    <n v="554"/>
    <n v="1"/>
    <n v="1"/>
  </r>
  <r>
    <m/>
    <m/>
    <x v="1"/>
    <s v="46341891001007"/>
    <n v="-22.39"/>
    <n v="571"/>
    <n v="1"/>
    <n v="1"/>
  </r>
  <r>
    <m/>
    <m/>
    <x v="1"/>
    <s v="46370031001001"/>
    <n v="-51.76"/>
    <n v="1320"/>
    <n v="1"/>
    <n v="1"/>
  </r>
  <r>
    <m/>
    <m/>
    <x v="1"/>
    <s v="46372831002006"/>
    <n v="-31.52"/>
    <n v="804"/>
    <n v="1"/>
    <n v="1"/>
  </r>
  <r>
    <m/>
    <m/>
    <x v="1"/>
    <s v="46400411001001"/>
    <n v="-3.33"/>
    <n v="85"/>
    <n v="1"/>
    <n v="1"/>
  </r>
  <r>
    <m/>
    <m/>
    <x v="1"/>
    <s v="46421145001001"/>
    <n v="-28.31"/>
    <n v="722"/>
    <n v="1"/>
    <n v="1"/>
  </r>
  <r>
    <m/>
    <m/>
    <x v="1"/>
    <s v="46458791001003"/>
    <n v="-45.37"/>
    <n v="1157"/>
    <n v="1"/>
    <n v="1"/>
  </r>
  <r>
    <m/>
    <m/>
    <x v="1"/>
    <s v="46475241001003"/>
    <n v="-29.8"/>
    <n v="760"/>
    <n v="1"/>
    <n v="1"/>
  </r>
  <r>
    <m/>
    <m/>
    <x v="1"/>
    <s v="46482661001005"/>
    <n v="-41.84"/>
    <n v="1067"/>
    <n v="1"/>
    <n v="1"/>
  </r>
  <r>
    <m/>
    <m/>
    <x v="1"/>
    <s v="46488681001003"/>
    <n v="-35.25"/>
    <n v="899"/>
    <n v="1"/>
    <n v="1"/>
  </r>
  <r>
    <m/>
    <m/>
    <x v="1"/>
    <s v="46504501001001"/>
    <n v="-8.94"/>
    <n v="228"/>
    <n v="1"/>
    <n v="1"/>
  </r>
  <r>
    <m/>
    <m/>
    <x v="1"/>
    <s v="46578701001001"/>
    <n v="-13.49"/>
    <n v="344"/>
    <n v="1"/>
    <n v="1"/>
  </r>
  <r>
    <m/>
    <m/>
    <x v="1"/>
    <s v="46605651001001"/>
    <n v="-11.57"/>
    <n v="295"/>
    <n v="1"/>
    <n v="1"/>
  </r>
  <r>
    <m/>
    <m/>
    <x v="1"/>
    <s v="46748171001002"/>
    <n v="-75.09"/>
    <n v="1915"/>
    <n v="1"/>
    <n v="1"/>
  </r>
  <r>
    <m/>
    <m/>
    <x v="1"/>
    <s v="46752049002013"/>
    <n v="-65.83"/>
    <n v="1679"/>
    <n v="1"/>
    <n v="1"/>
  </r>
  <r>
    <m/>
    <m/>
    <x v="1"/>
    <s v="46763571002001"/>
    <n v="-3.53"/>
    <n v="90"/>
    <n v="1"/>
    <n v="1"/>
  </r>
  <r>
    <m/>
    <m/>
    <x v="1"/>
    <s v="46769241002001"/>
    <n v="-27.02"/>
    <n v="689"/>
    <n v="1"/>
    <n v="1"/>
  </r>
  <r>
    <m/>
    <m/>
    <x v="1"/>
    <s v="46784991001003"/>
    <n v="-48.82"/>
    <n v="1245"/>
    <n v="1"/>
    <n v="1"/>
  </r>
  <r>
    <m/>
    <m/>
    <x v="1"/>
    <s v="46805851001001"/>
    <n v="-17.13"/>
    <n v="437"/>
    <n v="1"/>
    <n v="1"/>
  </r>
  <r>
    <m/>
    <m/>
    <x v="1"/>
    <s v="46824191001001"/>
    <n v="-46.23"/>
    <n v="1179"/>
    <n v="1"/>
    <n v="1"/>
  </r>
  <r>
    <m/>
    <m/>
    <x v="1"/>
    <s v="46829091001001"/>
    <n v="-13.14"/>
    <n v="335"/>
    <n v="1"/>
    <n v="1"/>
  </r>
  <r>
    <m/>
    <m/>
    <x v="1"/>
    <s v="46831051002001"/>
    <n v="-39.01"/>
    <n v="995"/>
    <n v="1"/>
    <n v="1"/>
  </r>
  <r>
    <m/>
    <m/>
    <x v="1"/>
    <s v="46858841001004"/>
    <n v="-73.680000000000007"/>
    <n v="1879"/>
    <n v="1"/>
    <n v="1"/>
  </r>
  <r>
    <m/>
    <m/>
    <x v="1"/>
    <s v="46867241001005"/>
    <n v="-12.19"/>
    <n v="311"/>
    <n v="1"/>
    <n v="1"/>
  </r>
  <r>
    <m/>
    <m/>
    <x v="1"/>
    <s v="46883740001002"/>
    <n v="-30.74"/>
    <n v="784"/>
    <n v="1"/>
    <n v="1"/>
  </r>
  <r>
    <m/>
    <m/>
    <x v="1"/>
    <s v="46905092001001"/>
    <n v="-28.51"/>
    <n v="727"/>
    <n v="1"/>
    <n v="1"/>
  </r>
  <r>
    <m/>
    <m/>
    <x v="1"/>
    <s v="46913740001001"/>
    <n v="-8.5500000000000007"/>
    <n v="218"/>
    <n v="1"/>
    <n v="1"/>
  </r>
  <r>
    <m/>
    <m/>
    <x v="1"/>
    <s v="46948371001001"/>
    <n v="-11.45"/>
    <n v="292"/>
    <n v="1"/>
    <n v="1"/>
  </r>
  <r>
    <m/>
    <m/>
    <x v="1"/>
    <s v="46950121002001"/>
    <n v="-4.3499999999999996"/>
    <n v="111"/>
    <n v="1"/>
    <n v="1"/>
  </r>
  <r>
    <m/>
    <m/>
    <x v="1"/>
    <s v="46962301001002"/>
    <n v="-6.67"/>
    <n v="170"/>
    <n v="1"/>
    <n v="1"/>
  </r>
  <r>
    <m/>
    <m/>
    <x v="1"/>
    <s v="46966151001003"/>
    <n v="-7.57"/>
    <n v="193"/>
    <n v="1"/>
    <n v="1"/>
  </r>
  <r>
    <m/>
    <m/>
    <x v="1"/>
    <s v="47001382001001"/>
    <n v="-84.22"/>
    <n v="2148"/>
    <n v="1"/>
    <n v="1"/>
  </r>
  <r>
    <m/>
    <m/>
    <x v="1"/>
    <s v="47139891001002"/>
    <n v="-12.7"/>
    <n v="324"/>
    <n v="1"/>
    <n v="1"/>
  </r>
  <r>
    <m/>
    <m/>
    <x v="1"/>
    <s v="47140101001006"/>
    <n v="-5.14"/>
    <n v="131"/>
    <n v="1"/>
    <n v="1"/>
  </r>
  <r>
    <m/>
    <m/>
    <x v="1"/>
    <s v="47142481001004"/>
    <n v="-7.29"/>
    <n v="186"/>
    <n v="1"/>
    <n v="1"/>
  </r>
  <r>
    <m/>
    <m/>
    <x v="1"/>
    <s v="47161241001003"/>
    <n v="-21.06"/>
    <n v="537"/>
    <n v="1"/>
    <n v="1"/>
  </r>
  <r>
    <m/>
    <m/>
    <x v="1"/>
    <s v="47180631003001"/>
    <n v="-12.63"/>
    <n v="322"/>
    <n v="1"/>
    <n v="1"/>
  </r>
  <r>
    <m/>
    <m/>
    <x v="1"/>
    <s v="47194351001001"/>
    <n v="-18.39"/>
    <n v="469"/>
    <n v="1"/>
    <n v="1"/>
  </r>
  <r>
    <m/>
    <m/>
    <x v="1"/>
    <s v="47198691002001"/>
    <n v="-50.86"/>
    <n v="1297"/>
    <n v="1"/>
    <n v="1"/>
  </r>
  <r>
    <m/>
    <m/>
    <x v="1"/>
    <s v="47205271001007"/>
    <n v="-12.9"/>
    <n v="329"/>
    <n v="1"/>
    <n v="1"/>
  </r>
  <r>
    <m/>
    <m/>
    <x v="1"/>
    <s v="47228301003001"/>
    <n v="-22.27"/>
    <n v="568"/>
    <n v="1"/>
    <n v="1"/>
  </r>
  <r>
    <m/>
    <m/>
    <x v="1"/>
    <s v="47231801001002"/>
    <n v="-17.13"/>
    <n v="437"/>
    <n v="1"/>
    <n v="1"/>
  </r>
  <r>
    <m/>
    <m/>
    <x v="1"/>
    <s v="47237681002003"/>
    <n v="-95.52"/>
    <n v="2436"/>
    <n v="1"/>
    <n v="1"/>
  </r>
  <r>
    <m/>
    <m/>
    <x v="1"/>
    <s v="47311671002002"/>
    <n v="-30.51"/>
    <n v="778"/>
    <n v="1"/>
    <n v="1"/>
  </r>
  <r>
    <m/>
    <m/>
    <x v="1"/>
    <s v="47321401005001"/>
    <n v="-28.54"/>
    <n v="728"/>
    <n v="1"/>
    <n v="1"/>
  </r>
  <r>
    <m/>
    <m/>
    <x v="1"/>
    <s v="47327071005001"/>
    <n v="-36.979999999999997"/>
    <n v="943"/>
    <n v="1"/>
    <n v="1"/>
  </r>
  <r>
    <m/>
    <m/>
    <x v="1"/>
    <s v="47328821001007"/>
    <n v="-40.11"/>
    <n v="1023"/>
    <n v="1"/>
    <n v="1"/>
  </r>
  <r>
    <m/>
    <m/>
    <x v="1"/>
    <s v="47345831001004"/>
    <n v="-15.84"/>
    <n v="404"/>
    <n v="1"/>
    <n v="1"/>
  </r>
  <r>
    <m/>
    <m/>
    <x v="1"/>
    <s v="47354441001003"/>
    <n v="-52.89"/>
    <n v="1349"/>
    <n v="1"/>
    <n v="1"/>
  </r>
  <r>
    <m/>
    <m/>
    <x v="1"/>
    <s v="47354861004001"/>
    <n v="-12.12"/>
    <n v="309"/>
    <n v="1"/>
    <n v="1"/>
  </r>
  <r>
    <m/>
    <m/>
    <x v="1"/>
    <s v="47356829001002"/>
    <n v="-0.98"/>
    <n v="25"/>
    <n v="1"/>
    <n v="1"/>
  </r>
  <r>
    <m/>
    <m/>
    <x v="1"/>
    <s v="47363051001001"/>
    <n v="-20.94"/>
    <n v="534"/>
    <n v="1"/>
    <n v="1"/>
  </r>
  <r>
    <m/>
    <m/>
    <x v="1"/>
    <s v="47376841002006"/>
    <n v="-7.02"/>
    <n v="179"/>
    <n v="1"/>
    <n v="1"/>
  </r>
  <r>
    <m/>
    <m/>
    <x v="1"/>
    <s v="47414851004001"/>
    <n v="-33.56"/>
    <n v="856"/>
    <n v="1"/>
    <n v="1"/>
  </r>
  <r>
    <m/>
    <m/>
    <x v="1"/>
    <s v="47445167002001"/>
    <n v="-12.55"/>
    <n v="320"/>
    <n v="1"/>
    <n v="1"/>
  </r>
  <r>
    <m/>
    <m/>
    <x v="1"/>
    <s v="47456402001001"/>
    <n v="-33.880000000000003"/>
    <n v="864"/>
    <n v="1"/>
    <n v="1"/>
  </r>
  <r>
    <m/>
    <m/>
    <x v="1"/>
    <s v="47467911001002"/>
    <n v="-2.71"/>
    <n v="69"/>
    <n v="1"/>
    <n v="1"/>
  </r>
  <r>
    <m/>
    <m/>
    <x v="1"/>
    <s v="47541901001001"/>
    <n v="-34.15"/>
    <n v="871"/>
    <n v="1"/>
    <n v="1"/>
  </r>
  <r>
    <m/>
    <m/>
    <x v="1"/>
    <s v="47552611001001"/>
    <n v="-77.48"/>
    <n v="1976"/>
    <n v="1"/>
    <n v="1"/>
  </r>
  <r>
    <m/>
    <m/>
    <x v="1"/>
    <s v="47555411002001"/>
    <n v="-37.72"/>
    <n v="962"/>
    <n v="1"/>
    <n v="1"/>
  </r>
  <r>
    <m/>
    <m/>
    <x v="1"/>
    <s v="47585534001003"/>
    <n v="-14.47"/>
    <n v="369"/>
    <n v="1"/>
    <n v="1"/>
  </r>
  <r>
    <m/>
    <m/>
    <x v="1"/>
    <s v="47596151001005"/>
    <n v="-19.61"/>
    <n v="500"/>
    <n v="1"/>
    <n v="1"/>
  </r>
  <r>
    <m/>
    <m/>
    <x v="1"/>
    <s v="47605461003004"/>
    <n v="-21.57"/>
    <n v="550"/>
    <n v="1"/>
    <n v="1"/>
  </r>
  <r>
    <m/>
    <m/>
    <x v="1"/>
    <s v="47670141001007"/>
    <n v="-5.61"/>
    <n v="143"/>
    <n v="1"/>
    <n v="1"/>
  </r>
  <r>
    <m/>
    <m/>
    <x v="1"/>
    <s v="47674271002001"/>
    <n v="-17.920000000000002"/>
    <n v="457"/>
    <n v="1"/>
    <n v="1"/>
  </r>
  <r>
    <m/>
    <m/>
    <x v="1"/>
    <s v="47760721004001"/>
    <n v="-11.17"/>
    <n v="285"/>
    <n v="1"/>
    <n v="1"/>
  </r>
  <r>
    <m/>
    <m/>
    <x v="1"/>
    <s v="47767651001002"/>
    <n v="-1.69"/>
    <n v="43"/>
    <n v="1"/>
    <n v="1"/>
  </r>
  <r>
    <m/>
    <m/>
    <x v="1"/>
    <s v="47770451001002"/>
    <n v="-8.0399999999999991"/>
    <n v="205"/>
    <n v="1"/>
    <n v="1"/>
  </r>
  <r>
    <m/>
    <m/>
    <x v="1"/>
    <s v="47821341001001"/>
    <n v="-8.16"/>
    <n v="208"/>
    <n v="1"/>
    <n v="1"/>
  </r>
  <r>
    <m/>
    <m/>
    <x v="1"/>
    <s v="47837581001001"/>
    <n v="-8.82"/>
    <n v="225"/>
    <n v="1"/>
    <n v="1"/>
  </r>
  <r>
    <m/>
    <m/>
    <x v="1"/>
    <s v="47852771008001"/>
    <n v="-21.72"/>
    <n v="554"/>
    <n v="1"/>
    <n v="1"/>
  </r>
  <r>
    <m/>
    <m/>
    <x v="1"/>
    <s v="47854171001002"/>
    <n v="-37.99"/>
    <n v="969"/>
    <n v="1"/>
    <n v="1"/>
  </r>
  <r>
    <m/>
    <m/>
    <x v="1"/>
    <s v="47876291003003"/>
    <n v="-26"/>
    <n v="663"/>
    <n v="1"/>
    <n v="1"/>
  </r>
  <r>
    <m/>
    <m/>
    <x v="1"/>
    <s v="47907161002002"/>
    <n v="-32.54"/>
    <n v="830"/>
    <n v="1"/>
    <n v="1"/>
  </r>
  <r>
    <m/>
    <m/>
    <x v="1"/>
    <s v="47909401001001"/>
    <n v="-8.08"/>
    <n v="206"/>
    <n v="1"/>
    <n v="1"/>
  </r>
  <r>
    <m/>
    <m/>
    <x v="1"/>
    <s v="47912897001001"/>
    <n v="-6.47"/>
    <n v="165"/>
    <n v="1"/>
    <n v="1"/>
  </r>
  <r>
    <m/>
    <m/>
    <x v="1"/>
    <s v="47943771006001"/>
    <n v="-47.91"/>
    <n v="1222"/>
    <n v="1"/>
    <n v="1"/>
  </r>
  <r>
    <m/>
    <m/>
    <x v="1"/>
    <s v="47943981001003"/>
    <n v="-37.049999999999997"/>
    <n v="945"/>
    <n v="1"/>
    <n v="1"/>
  </r>
  <r>
    <m/>
    <m/>
    <x v="1"/>
    <s v="47971841001005"/>
    <n v="-15.49"/>
    <n v="395"/>
    <n v="1"/>
    <n v="1"/>
  </r>
  <r>
    <m/>
    <m/>
    <x v="1"/>
    <s v="48036521001001"/>
    <n v="-28.82"/>
    <n v="735"/>
    <n v="1"/>
    <n v="1"/>
  </r>
  <r>
    <m/>
    <m/>
    <x v="1"/>
    <s v="48037781003001"/>
    <n v="-16.7"/>
    <n v="426"/>
    <n v="1"/>
    <n v="1"/>
  </r>
  <r>
    <m/>
    <m/>
    <x v="1"/>
    <s v="48048211001001"/>
    <n v="-31.05"/>
    <n v="792"/>
    <n v="1"/>
    <n v="1"/>
  </r>
  <r>
    <m/>
    <m/>
    <x v="1"/>
    <s v="48058431001001"/>
    <n v="-40.78"/>
    <n v="1040"/>
    <n v="1"/>
    <n v="1"/>
  </r>
  <r>
    <m/>
    <m/>
    <x v="1"/>
    <s v="48115691001003"/>
    <n v="-7.21"/>
    <n v="184"/>
    <n v="1"/>
    <n v="1"/>
  </r>
  <r>
    <m/>
    <m/>
    <x v="1"/>
    <s v="48121641002006"/>
    <n v="-34.700000000000003"/>
    <n v="885"/>
    <n v="1"/>
    <n v="1"/>
  </r>
  <r>
    <m/>
    <m/>
    <x v="1"/>
    <s v="48124752001001"/>
    <n v="-24.04"/>
    <n v="613"/>
    <n v="1"/>
    <n v="1"/>
  </r>
  <r>
    <m/>
    <m/>
    <x v="1"/>
    <s v="48168055001001"/>
    <n v="-36.07"/>
    <n v="920"/>
    <n v="1"/>
    <n v="1"/>
  </r>
  <r>
    <m/>
    <m/>
    <x v="1"/>
    <s v="48182681001001"/>
    <n v="-12.51"/>
    <n v="319"/>
    <n v="1"/>
    <n v="1"/>
  </r>
  <r>
    <m/>
    <m/>
    <x v="1"/>
    <s v="48194791003001"/>
    <n v="-55.76"/>
    <n v="1422"/>
    <n v="1"/>
    <n v="1"/>
  </r>
  <r>
    <m/>
    <m/>
    <x v="1"/>
    <s v="48219833001001"/>
    <n v="-49.44"/>
    <n v="1261"/>
    <n v="1"/>
    <n v="1"/>
  </r>
  <r>
    <m/>
    <m/>
    <x v="1"/>
    <s v="48221391002003"/>
    <n v="-29.37"/>
    <n v="749"/>
    <n v="1"/>
    <n v="1"/>
  </r>
  <r>
    <m/>
    <m/>
    <x v="1"/>
    <s v="48278021001002"/>
    <n v="-2.4700000000000002"/>
    <n v="63"/>
    <n v="1"/>
    <n v="1"/>
  </r>
  <r>
    <m/>
    <m/>
    <x v="1"/>
    <s v="48368531001006"/>
    <n v="-19.53"/>
    <n v="498"/>
    <n v="1"/>
    <n v="1"/>
  </r>
  <r>
    <m/>
    <m/>
    <x v="1"/>
    <s v="48398584006001"/>
    <n v="-20.78"/>
    <n v="530"/>
    <n v="1"/>
    <n v="1"/>
  </r>
  <r>
    <m/>
    <m/>
    <x v="1"/>
    <s v="48401751001001"/>
    <n v="-17.02"/>
    <n v="434"/>
    <n v="1"/>
    <n v="1"/>
  </r>
  <r>
    <m/>
    <m/>
    <x v="1"/>
    <s v="48438811004001"/>
    <n v="-31.09"/>
    <n v="793"/>
    <n v="1"/>
    <n v="1"/>
  </r>
  <r>
    <m/>
    <m/>
    <x v="1"/>
    <s v="48455961001001"/>
    <n v="-1.96"/>
    <n v="50"/>
    <n v="1"/>
    <n v="1"/>
  </r>
  <r>
    <m/>
    <m/>
    <x v="1"/>
    <s v="48581489001001"/>
    <n v="-27.92"/>
    <n v="712"/>
    <n v="1"/>
    <n v="1"/>
  </r>
  <r>
    <m/>
    <m/>
    <x v="1"/>
    <s v="48629818001001"/>
    <n v="-11.65"/>
    <n v="297"/>
    <n v="1"/>
    <n v="1"/>
  </r>
  <r>
    <m/>
    <m/>
    <x v="1"/>
    <s v="48660341001001"/>
    <n v="-8.59"/>
    <n v="219"/>
    <n v="1"/>
    <n v="1"/>
  </r>
  <r>
    <m/>
    <m/>
    <x v="1"/>
    <s v="48684021001001"/>
    <n v="-64.3"/>
    <n v="1640"/>
    <n v="1"/>
    <n v="1"/>
  </r>
  <r>
    <m/>
    <m/>
    <x v="1"/>
    <s v="48752136001002"/>
    <n v="-4.59"/>
    <n v="117"/>
    <n v="1"/>
    <n v="1"/>
  </r>
  <r>
    <m/>
    <m/>
    <x v="1"/>
    <s v="48762278001001"/>
    <n v="-21.49"/>
    <n v="548"/>
    <n v="1"/>
    <n v="1"/>
  </r>
  <r>
    <m/>
    <m/>
    <x v="1"/>
    <s v="48798498001001"/>
    <n v="-12.51"/>
    <n v="319"/>
    <n v="1"/>
    <n v="1"/>
  </r>
  <r>
    <m/>
    <m/>
    <x v="1"/>
    <s v="48804422001006"/>
    <n v="-9.65"/>
    <n v="246"/>
    <n v="1"/>
    <n v="1"/>
  </r>
  <r>
    <m/>
    <m/>
    <x v="1"/>
    <s v="48813381002001"/>
    <n v="-21.17"/>
    <n v="540"/>
    <n v="1"/>
    <n v="1"/>
  </r>
  <r>
    <m/>
    <m/>
    <x v="1"/>
    <s v="48826277001001"/>
    <n v="-40.19"/>
    <n v="1025"/>
    <n v="1"/>
    <n v="1"/>
  </r>
  <r>
    <m/>
    <m/>
    <x v="1"/>
    <s v="48834171001003"/>
    <n v="-27.49"/>
    <n v="701"/>
    <n v="1"/>
    <n v="1"/>
  </r>
  <r>
    <m/>
    <m/>
    <x v="1"/>
    <s v="48845721001001"/>
    <n v="-27.92"/>
    <n v="712"/>
    <n v="1"/>
    <n v="1"/>
  </r>
  <r>
    <m/>
    <m/>
    <x v="1"/>
    <s v="49166301001001"/>
    <n v="-21.6"/>
    <n v="551"/>
    <n v="1"/>
    <n v="1"/>
  </r>
  <r>
    <m/>
    <m/>
    <x v="1"/>
    <s v="49177241002001"/>
    <n v="-42.07"/>
    <n v="1073"/>
    <n v="1"/>
    <n v="1"/>
  </r>
  <r>
    <m/>
    <m/>
    <x v="1"/>
    <s v="49180461001001"/>
    <n v="-4.9400000000000004"/>
    <n v="126"/>
    <n v="1"/>
    <n v="1"/>
  </r>
  <r>
    <m/>
    <m/>
    <x v="1"/>
    <s v="49187126001001"/>
    <n v="-50.19"/>
    <n v="1280"/>
    <n v="1"/>
    <n v="1"/>
  </r>
  <r>
    <m/>
    <m/>
    <x v="1"/>
    <s v="49267961004003"/>
    <n v="-4.16"/>
    <n v="106"/>
    <n v="1"/>
    <n v="1"/>
  </r>
  <r>
    <m/>
    <m/>
    <x v="1"/>
    <s v="49276322001004"/>
    <n v="-60.46"/>
    <n v="1542"/>
    <n v="1"/>
    <n v="1"/>
  </r>
  <r>
    <m/>
    <m/>
    <x v="1"/>
    <s v="49298970001001"/>
    <n v="-23.25"/>
    <n v="593"/>
    <n v="1"/>
    <n v="1"/>
  </r>
  <r>
    <m/>
    <m/>
    <x v="1"/>
    <s v="49315865001001"/>
    <n v="-11.37"/>
    <n v="290"/>
    <n v="1"/>
    <n v="1"/>
  </r>
  <r>
    <m/>
    <m/>
    <x v="1"/>
    <s v="49326370001005"/>
    <n v="-46.31"/>
    <n v="1181"/>
    <n v="1"/>
    <n v="1"/>
  </r>
  <r>
    <m/>
    <m/>
    <x v="1"/>
    <s v="49371491001002"/>
    <n v="-57.44"/>
    <n v="1465"/>
    <n v="1"/>
    <n v="1"/>
  </r>
  <r>
    <m/>
    <m/>
    <x v="1"/>
    <s v="49448561001001"/>
    <n v="-70.150000000000006"/>
    <n v="1789"/>
    <n v="1"/>
    <n v="1"/>
  </r>
  <r>
    <m/>
    <m/>
    <x v="1"/>
    <s v="49554261003001"/>
    <n v="-13.8"/>
    <n v="352"/>
    <n v="1"/>
    <n v="1"/>
  </r>
  <r>
    <m/>
    <m/>
    <x v="1"/>
    <s v="49570081001002"/>
    <n v="-4.2699999999999996"/>
    <n v="109"/>
    <n v="1"/>
    <n v="1"/>
  </r>
  <r>
    <m/>
    <m/>
    <x v="1"/>
    <s v="49580441001001"/>
    <n v="-17.760000000000002"/>
    <n v="453"/>
    <n v="1"/>
    <n v="1"/>
  </r>
  <r>
    <m/>
    <m/>
    <x v="1"/>
    <s v="49581631001005"/>
    <n v="-24.11"/>
    <n v="615"/>
    <n v="1"/>
    <n v="1"/>
  </r>
  <r>
    <m/>
    <m/>
    <x v="1"/>
    <s v="49600181003002"/>
    <n v="-39.33"/>
    <n v="1003"/>
    <n v="1"/>
    <n v="1"/>
  </r>
  <r>
    <m/>
    <m/>
    <x v="1"/>
    <s v="49602561001001"/>
    <n v="-6.04"/>
    <n v="154"/>
    <n v="1"/>
    <n v="1"/>
  </r>
  <r>
    <m/>
    <m/>
    <x v="1"/>
    <s v="49608231003009"/>
    <n v="-62.07"/>
    <n v="1583"/>
    <n v="1"/>
    <n v="1"/>
  </r>
  <r>
    <m/>
    <m/>
    <x v="1"/>
    <s v="49649391002003"/>
    <n v="-36.659999999999997"/>
    <n v="935"/>
    <n v="1"/>
    <n v="1"/>
  </r>
  <r>
    <m/>
    <m/>
    <x v="1"/>
    <s v="49693491002008"/>
    <n v="-10.74"/>
    <n v="274"/>
    <n v="1"/>
    <n v="1"/>
  </r>
  <r>
    <m/>
    <m/>
    <x v="1"/>
    <s v="49702654001002"/>
    <n v="-6.55"/>
    <n v="167"/>
    <n v="1"/>
    <n v="1"/>
  </r>
  <r>
    <m/>
    <m/>
    <x v="1"/>
    <s v="49716043001002"/>
    <n v="-3.22"/>
    <n v="82"/>
    <n v="1"/>
    <n v="1"/>
  </r>
  <r>
    <m/>
    <m/>
    <x v="1"/>
    <s v="49717151001001"/>
    <n v="-22.78"/>
    <n v="581"/>
    <n v="1"/>
    <n v="1"/>
  </r>
  <r>
    <m/>
    <m/>
    <x v="1"/>
    <s v="49735399001001"/>
    <n v="-14.7"/>
    <n v="375"/>
    <n v="1"/>
    <n v="1"/>
  </r>
  <r>
    <m/>
    <m/>
    <x v="1"/>
    <s v="49761531001001"/>
    <n v="-28.62"/>
    <n v="730"/>
    <n v="1"/>
    <n v="1"/>
  </r>
  <r>
    <m/>
    <m/>
    <x v="1"/>
    <s v="49774436001006"/>
    <n v="-13.92"/>
    <n v="355"/>
    <n v="1"/>
    <n v="1"/>
  </r>
  <r>
    <m/>
    <m/>
    <x v="1"/>
    <s v="49828031002004"/>
    <n v="-39.72"/>
    <n v="1013"/>
    <n v="1"/>
    <n v="1"/>
  </r>
  <r>
    <m/>
    <m/>
    <x v="1"/>
    <s v="49836221003001"/>
    <n v="-97.95"/>
    <n v="2498"/>
    <n v="1"/>
    <n v="1"/>
  </r>
  <r>
    <m/>
    <m/>
    <x v="1"/>
    <s v="49841331001004"/>
    <n v="-18.86"/>
    <n v="481"/>
    <n v="1"/>
    <n v="1"/>
  </r>
  <r>
    <m/>
    <m/>
    <x v="1"/>
    <s v="49866391001002"/>
    <n v="-0.35"/>
    <n v="9"/>
    <n v="1"/>
    <n v="1"/>
  </r>
  <r>
    <m/>
    <m/>
    <x v="1"/>
    <s v="49896911001001"/>
    <n v="-3.49"/>
    <n v="89"/>
    <n v="1"/>
    <n v="1"/>
  </r>
  <r>
    <m/>
    <m/>
    <x v="1"/>
    <s v="49916861001001"/>
    <n v="-15.72"/>
    <n v="401"/>
    <n v="1"/>
    <n v="1"/>
  </r>
  <r>
    <m/>
    <m/>
    <x v="1"/>
    <s v="49929881001003"/>
    <n v="-33.130000000000003"/>
    <n v="845"/>
    <n v="1"/>
    <n v="1"/>
  </r>
  <r>
    <m/>
    <m/>
    <x v="1"/>
    <s v="49950321001002"/>
    <n v="-6.23"/>
    <n v="159"/>
    <n v="1"/>
    <n v="1"/>
  </r>
  <r>
    <m/>
    <m/>
    <x v="1"/>
    <s v="49951931001004"/>
    <n v="-32.94"/>
    <n v="840"/>
    <n v="1"/>
    <n v="1"/>
  </r>
  <r>
    <m/>
    <m/>
    <x v="1"/>
    <s v="49965791001003"/>
    <n v="-9.06"/>
    <n v="231"/>
    <n v="1"/>
    <n v="1"/>
  </r>
  <r>
    <m/>
    <m/>
    <x v="1"/>
    <s v="50011086001001"/>
    <n v="-5.69"/>
    <n v="145"/>
    <n v="1"/>
    <n v="1"/>
  </r>
  <r>
    <m/>
    <m/>
    <x v="1"/>
    <s v="50043981001003"/>
    <n v="-25.41"/>
    <n v="648"/>
    <n v="1"/>
    <n v="1"/>
  </r>
  <r>
    <m/>
    <m/>
    <x v="1"/>
    <s v="50069630001004"/>
    <n v="-17.57"/>
    <n v="448"/>
    <n v="1"/>
    <n v="1"/>
  </r>
  <r>
    <m/>
    <m/>
    <x v="1"/>
    <s v="50071631001001"/>
    <n v="-17.64"/>
    <n v="450"/>
    <n v="1"/>
    <n v="1"/>
  </r>
  <r>
    <m/>
    <m/>
    <x v="1"/>
    <s v="50095781001001"/>
    <n v="-28.27"/>
    <n v="721"/>
    <n v="1"/>
    <n v="1"/>
  </r>
  <r>
    <m/>
    <m/>
    <x v="1"/>
    <s v="50097303001004"/>
    <n v="-13.21"/>
    <n v="337"/>
    <n v="1"/>
    <n v="1"/>
  </r>
  <r>
    <m/>
    <m/>
    <x v="1"/>
    <s v="50180049001004"/>
    <n v="-68.459999999999994"/>
    <n v="1746"/>
    <n v="1"/>
    <n v="1"/>
  </r>
  <r>
    <m/>
    <m/>
    <x v="1"/>
    <s v="50181601002005"/>
    <n v="-12.27"/>
    <n v="313"/>
    <n v="1"/>
    <n v="1"/>
  </r>
  <r>
    <m/>
    <m/>
    <x v="1"/>
    <s v="50198191001001"/>
    <n v="-46.31"/>
    <n v="1181"/>
    <n v="1"/>
    <n v="1"/>
  </r>
  <r>
    <m/>
    <m/>
    <x v="1"/>
    <s v="50249641001001"/>
    <n v="-50.86"/>
    <n v="1297"/>
    <n v="1"/>
    <n v="1"/>
  </r>
  <r>
    <m/>
    <m/>
    <x v="1"/>
    <s v="50254821001001"/>
    <n v="-47.88"/>
    <n v="1221"/>
    <n v="1"/>
    <n v="1"/>
  </r>
  <r>
    <m/>
    <m/>
    <x v="1"/>
    <s v="50305221001001"/>
    <n v="-27.88"/>
    <n v="711"/>
    <n v="1"/>
    <n v="1"/>
  </r>
  <r>
    <m/>
    <m/>
    <x v="1"/>
    <s v="50306876001004"/>
    <n v="-28.7"/>
    <n v="732"/>
    <n v="1"/>
    <n v="1"/>
  </r>
  <r>
    <m/>
    <m/>
    <x v="1"/>
    <s v="50314391002005"/>
    <n v="-68.89"/>
    <n v="1757"/>
    <n v="1"/>
    <n v="1"/>
  </r>
  <r>
    <m/>
    <m/>
    <x v="1"/>
    <s v="50412391001001"/>
    <n v="-8.1199999999999992"/>
    <n v="207"/>
    <n v="1"/>
    <n v="1"/>
  </r>
  <r>
    <m/>
    <m/>
    <x v="1"/>
    <s v="50425271002004"/>
    <n v="-1.69"/>
    <n v="43"/>
    <n v="1"/>
    <n v="1"/>
  </r>
  <r>
    <m/>
    <m/>
    <x v="1"/>
    <s v="50718011001001"/>
    <n v="-89.28"/>
    <n v="2277"/>
    <n v="1"/>
    <n v="1"/>
  </r>
  <r>
    <m/>
    <m/>
    <x v="1"/>
    <s v="50725151001007"/>
    <n v="-8.23"/>
    <n v="210"/>
    <n v="1"/>
    <n v="1"/>
  </r>
  <r>
    <m/>
    <m/>
    <x v="1"/>
    <s v="50740761001001"/>
    <n v="-30.86"/>
    <n v="787"/>
    <n v="1"/>
    <n v="1"/>
  </r>
  <r>
    <m/>
    <m/>
    <x v="1"/>
    <s v="50756231001002"/>
    <n v="-2.98"/>
    <n v="76"/>
    <n v="1"/>
    <n v="1"/>
  </r>
  <r>
    <m/>
    <m/>
    <x v="1"/>
    <s v="50757911001003"/>
    <n v="-52.78"/>
    <n v="1346"/>
    <n v="1"/>
    <n v="1"/>
  </r>
  <r>
    <m/>
    <m/>
    <x v="1"/>
    <s v="50768201001001"/>
    <n v="-15.21"/>
    <n v="388"/>
    <n v="1"/>
    <n v="1"/>
  </r>
  <r>
    <m/>
    <m/>
    <x v="1"/>
    <s v="50782131001001"/>
    <n v="-0.82"/>
    <n v="21"/>
    <n v="1"/>
    <n v="1"/>
  </r>
  <r>
    <m/>
    <m/>
    <x v="1"/>
    <s v="50787241001001"/>
    <n v="-30.94"/>
    <n v="789"/>
    <n v="1"/>
    <n v="1"/>
  </r>
  <r>
    <m/>
    <m/>
    <x v="1"/>
    <s v="50808591001001"/>
    <n v="-33.56"/>
    <n v="856"/>
    <n v="1"/>
    <n v="1"/>
  </r>
  <r>
    <m/>
    <m/>
    <x v="1"/>
    <s v="50809571001001"/>
    <n v="-37.369999999999997"/>
    <n v="953"/>
    <n v="1"/>
    <n v="1"/>
  </r>
  <r>
    <m/>
    <m/>
    <x v="1"/>
    <s v="50823431001001"/>
    <n v="-17.760000000000002"/>
    <n v="453"/>
    <n v="1"/>
    <n v="1"/>
  </r>
  <r>
    <m/>
    <m/>
    <x v="1"/>
    <s v="50830571001002"/>
    <n v="-15.64"/>
    <n v="399"/>
    <n v="1"/>
    <n v="1"/>
  </r>
  <r>
    <m/>
    <m/>
    <x v="1"/>
    <s v="50831971001002"/>
    <n v="-6.78"/>
    <n v="173"/>
    <n v="1"/>
    <n v="1"/>
  </r>
  <r>
    <m/>
    <m/>
    <x v="1"/>
    <s v="50849401001002"/>
    <n v="-38.9"/>
    <n v="992"/>
    <n v="1"/>
    <n v="1"/>
  </r>
  <r>
    <m/>
    <m/>
    <x v="1"/>
    <s v="50858361001001"/>
    <n v="-35.840000000000003"/>
    <n v="914"/>
    <n v="1"/>
    <n v="1"/>
  </r>
  <r>
    <m/>
    <m/>
    <x v="1"/>
    <s v="50870401001001"/>
    <n v="-5.8"/>
    <n v="148"/>
    <n v="1"/>
    <n v="1"/>
  </r>
  <r>
    <m/>
    <m/>
    <x v="1"/>
    <s v="50898883001003"/>
    <n v="-9.8000000000000007"/>
    <n v="250"/>
    <n v="1"/>
    <n v="1"/>
  </r>
  <r>
    <m/>
    <m/>
    <x v="1"/>
    <s v="50918728001001"/>
    <n v="-11.21"/>
    <n v="286"/>
    <n v="1"/>
    <n v="1"/>
  </r>
  <r>
    <m/>
    <m/>
    <x v="1"/>
    <s v="50919121001001"/>
    <n v="-32.9"/>
    <n v="839"/>
    <n v="1"/>
    <n v="1"/>
  </r>
  <r>
    <m/>
    <m/>
    <x v="1"/>
    <s v="50919821001002"/>
    <n v="-33.92"/>
    <n v="865"/>
    <n v="1"/>
    <n v="1"/>
  </r>
  <r>
    <m/>
    <m/>
    <x v="1"/>
    <s v="50988281001004"/>
    <n v="-1.22"/>
    <n v="31"/>
    <n v="1"/>
    <n v="1"/>
  </r>
  <r>
    <m/>
    <m/>
    <x v="1"/>
    <s v="51005151001001"/>
    <n v="-6.08"/>
    <n v="155"/>
    <n v="1"/>
    <n v="1"/>
  </r>
  <r>
    <m/>
    <m/>
    <x v="1"/>
    <s v="51009071001001"/>
    <n v="-24"/>
    <n v="612"/>
    <n v="1"/>
    <n v="1"/>
  </r>
  <r>
    <m/>
    <m/>
    <x v="1"/>
    <s v="51009701002001"/>
    <n v="-43.8"/>
    <n v="1117"/>
    <n v="1"/>
    <n v="1"/>
  </r>
  <r>
    <m/>
    <m/>
    <x v="1"/>
    <s v="51010891001001"/>
    <n v="-4.2699999999999996"/>
    <n v="109"/>
    <n v="1"/>
    <n v="1"/>
  </r>
  <r>
    <m/>
    <m/>
    <x v="1"/>
    <s v="51011661001002"/>
    <n v="-13.96"/>
    <n v="356"/>
    <n v="1"/>
    <n v="1"/>
  </r>
  <r>
    <m/>
    <m/>
    <x v="1"/>
    <s v="51036671001001"/>
    <n v="-8.5500000000000007"/>
    <n v="218"/>
    <n v="1"/>
    <n v="1"/>
  </r>
  <r>
    <m/>
    <m/>
    <x v="1"/>
    <s v="51040151001001"/>
    <n v="-8.86"/>
    <n v="226"/>
    <n v="1"/>
    <n v="1"/>
  </r>
  <r>
    <m/>
    <m/>
    <x v="1"/>
    <s v="51045961001001"/>
    <n v="-41.21"/>
    <n v="1051"/>
    <n v="1"/>
    <n v="1"/>
  </r>
  <r>
    <m/>
    <m/>
    <x v="1"/>
    <s v="51057441001003"/>
    <n v="-42.39"/>
    <n v="1081"/>
    <n v="1"/>
    <n v="1"/>
  </r>
  <r>
    <m/>
    <m/>
    <x v="1"/>
    <s v="51060731009001"/>
    <n v="-21.06"/>
    <n v="537"/>
    <n v="1"/>
    <n v="1"/>
  </r>
  <r>
    <m/>
    <m/>
    <x v="1"/>
    <s v="51073821001002"/>
    <n v="-4.16"/>
    <n v="106"/>
    <n v="1"/>
    <n v="1"/>
  </r>
  <r>
    <m/>
    <m/>
    <x v="1"/>
    <s v="51082221002003"/>
    <n v="-11.33"/>
    <n v="289"/>
    <n v="1"/>
    <n v="1"/>
  </r>
  <r>
    <m/>
    <m/>
    <x v="1"/>
    <s v="51084811002002"/>
    <n v="-34.9"/>
    <n v="890"/>
    <n v="1"/>
    <n v="1"/>
  </r>
  <r>
    <m/>
    <m/>
    <x v="1"/>
    <s v="51088927001007"/>
    <n v="-9.25"/>
    <n v="236"/>
    <n v="1"/>
    <n v="1"/>
  </r>
  <r>
    <m/>
    <m/>
    <x v="1"/>
    <s v="51098181001001"/>
    <n v="-4.51"/>
    <n v="115"/>
    <n v="1"/>
    <n v="1"/>
  </r>
  <r>
    <m/>
    <m/>
    <x v="1"/>
    <s v="51108261002001"/>
    <n v="-18.190000000000001"/>
    <n v="464"/>
    <n v="1"/>
    <n v="1"/>
  </r>
  <r>
    <m/>
    <m/>
    <x v="1"/>
    <s v="51108401001003"/>
    <n v="-35.130000000000003"/>
    <n v="896"/>
    <n v="1"/>
    <n v="1"/>
  </r>
  <r>
    <m/>
    <m/>
    <x v="1"/>
    <s v="51138081002001"/>
    <n v="-29.84"/>
    <n v="761"/>
    <n v="1"/>
    <n v="1"/>
  </r>
  <r>
    <m/>
    <m/>
    <x v="1"/>
    <s v="51138571001004"/>
    <n v="-19.61"/>
    <n v="500"/>
    <n v="1"/>
    <n v="1"/>
  </r>
  <r>
    <m/>
    <m/>
    <x v="1"/>
    <s v="51140391002005"/>
    <n v="-11.88"/>
    <n v="303"/>
    <n v="1"/>
    <n v="1"/>
  </r>
  <r>
    <m/>
    <m/>
    <x v="1"/>
    <s v="51151311001002"/>
    <n v="-12.98"/>
    <n v="331"/>
    <n v="1"/>
    <n v="1"/>
  </r>
  <r>
    <m/>
    <m/>
    <x v="1"/>
    <s v="51155161001001"/>
    <n v="-4.2300000000000004"/>
    <n v="108"/>
    <n v="1"/>
    <n v="1"/>
  </r>
  <r>
    <m/>
    <m/>
    <x v="1"/>
    <s v="51155231001001"/>
    <n v="-15.25"/>
    <n v="389"/>
    <n v="1"/>
    <n v="1"/>
  </r>
  <r>
    <m/>
    <m/>
    <x v="1"/>
    <s v="51155949001002"/>
    <n v="-46.5"/>
    <n v="1186"/>
    <n v="1"/>
    <n v="1"/>
  </r>
  <r>
    <m/>
    <m/>
    <x v="1"/>
    <s v="51159641001002"/>
    <n v="-1.76"/>
    <n v="45"/>
    <n v="1"/>
    <n v="1"/>
  </r>
  <r>
    <m/>
    <m/>
    <x v="1"/>
    <s v="51159921001001"/>
    <n v="-6.55"/>
    <n v="167"/>
    <n v="1"/>
    <n v="1"/>
  </r>
  <r>
    <m/>
    <m/>
    <x v="1"/>
    <s v="51163561001003"/>
    <n v="-19.84"/>
    <n v="506"/>
    <n v="1"/>
    <n v="1"/>
  </r>
  <r>
    <m/>
    <m/>
    <x v="1"/>
    <s v="51163841001002"/>
    <n v="-42.19"/>
    <n v="1076"/>
    <n v="1"/>
    <n v="1"/>
  </r>
  <r>
    <m/>
    <m/>
    <x v="1"/>
    <s v="51166641001002"/>
    <n v="-52.42"/>
    <n v="1337"/>
    <n v="1"/>
    <n v="1"/>
  </r>
  <r>
    <m/>
    <m/>
    <x v="1"/>
    <s v="51175111003001"/>
    <n v="-8.7799999999999994"/>
    <n v="224"/>
    <n v="1"/>
    <n v="1"/>
  </r>
  <r>
    <m/>
    <m/>
    <x v="1"/>
    <s v="51184281006001"/>
    <n v="-22.51"/>
    <n v="574"/>
    <n v="1"/>
    <n v="1"/>
  </r>
  <r>
    <m/>
    <m/>
    <x v="1"/>
    <s v="51193044001001"/>
    <n v="-11.02"/>
    <n v="281"/>
    <n v="1"/>
    <n v="1"/>
  </r>
  <r>
    <m/>
    <m/>
    <x v="1"/>
    <s v="51198211001002"/>
    <n v="-27.29"/>
    <n v="696"/>
    <n v="1"/>
    <n v="1"/>
  </r>
  <r>
    <m/>
    <m/>
    <x v="1"/>
    <s v="51201221014006"/>
    <n v="-27.25"/>
    <n v="695"/>
    <n v="1"/>
    <n v="1"/>
  </r>
  <r>
    <m/>
    <m/>
    <x v="1"/>
    <s v="51213051001002"/>
    <n v="-6.51"/>
    <n v="166"/>
    <n v="1"/>
    <n v="1"/>
  </r>
  <r>
    <m/>
    <m/>
    <x v="1"/>
    <s v="51221801001005"/>
    <n v="-28.27"/>
    <n v="721"/>
    <n v="1"/>
    <n v="1"/>
  </r>
  <r>
    <m/>
    <m/>
    <x v="1"/>
    <s v="51230691001002"/>
    <n v="-26.86"/>
    <n v="685"/>
    <n v="1"/>
    <n v="1"/>
  </r>
  <r>
    <m/>
    <m/>
    <x v="1"/>
    <s v="51231111001004"/>
    <n v="-17.61"/>
    <n v="449"/>
    <n v="1"/>
    <n v="1"/>
  </r>
  <r>
    <m/>
    <m/>
    <x v="1"/>
    <s v="51237341002006"/>
    <n v="-28.78"/>
    <n v="734"/>
    <n v="1"/>
    <n v="1"/>
  </r>
  <r>
    <m/>
    <m/>
    <x v="1"/>
    <s v="51286341001003"/>
    <n v="-31.37"/>
    <n v="800"/>
    <n v="1"/>
    <n v="1"/>
  </r>
  <r>
    <m/>
    <m/>
    <x v="1"/>
    <s v="51286568001001"/>
    <n v="-13.21"/>
    <n v="337"/>
    <n v="1"/>
    <n v="1"/>
  </r>
  <r>
    <m/>
    <m/>
    <x v="1"/>
    <s v="51286691001002"/>
    <n v="-48.5"/>
    <n v="1237"/>
    <n v="1"/>
    <n v="1"/>
  </r>
  <r>
    <m/>
    <m/>
    <x v="1"/>
    <s v="51293341001001"/>
    <n v="-49.56"/>
    <n v="1264"/>
    <n v="1"/>
    <n v="1"/>
  </r>
  <r>
    <m/>
    <m/>
    <x v="1"/>
    <s v="51309651001001"/>
    <n v="-48.31"/>
    <n v="1232"/>
    <n v="1"/>
    <n v="1"/>
  </r>
  <r>
    <m/>
    <m/>
    <x v="1"/>
    <s v="51309721001001"/>
    <n v="-94.85"/>
    <n v="2419"/>
    <n v="1"/>
    <n v="1"/>
  </r>
  <r>
    <m/>
    <m/>
    <x v="1"/>
    <s v="51323511001002"/>
    <n v="-18.510000000000002"/>
    <n v="472"/>
    <n v="1"/>
    <n v="1"/>
  </r>
  <r>
    <m/>
    <m/>
    <x v="1"/>
    <s v="51324911001001"/>
    <n v="-19.84"/>
    <n v="506"/>
    <n v="1"/>
    <n v="1"/>
  </r>
  <r>
    <m/>
    <m/>
    <x v="1"/>
    <s v="51344791001003"/>
    <n v="-10.08"/>
    <n v="257"/>
    <n v="1"/>
    <n v="1"/>
  </r>
  <r>
    <m/>
    <m/>
    <x v="1"/>
    <s v="51344861001001"/>
    <n v="-38.58"/>
    <n v="984"/>
    <n v="1"/>
    <n v="1"/>
  </r>
  <r>
    <m/>
    <m/>
    <x v="1"/>
    <s v="51356061003003"/>
    <n v="-36.270000000000003"/>
    <n v="925"/>
    <n v="1"/>
    <n v="1"/>
  </r>
  <r>
    <m/>
    <m/>
    <x v="1"/>
    <s v="51370831001001"/>
    <n v="-62.34"/>
    <n v="1590"/>
    <n v="1"/>
    <n v="1"/>
  </r>
  <r>
    <m/>
    <m/>
    <x v="1"/>
    <s v="51395961001001"/>
    <n v="-61.13"/>
    <n v="1559"/>
    <n v="1"/>
    <n v="1"/>
  </r>
  <r>
    <m/>
    <m/>
    <x v="1"/>
    <s v="51405271001001"/>
    <n v="-12.35"/>
    <n v="315"/>
    <n v="1"/>
    <n v="1"/>
  </r>
  <r>
    <m/>
    <m/>
    <x v="1"/>
    <s v="51411291004004"/>
    <n v="-5.53"/>
    <n v="141"/>
    <n v="1"/>
    <n v="1"/>
  </r>
  <r>
    <m/>
    <m/>
    <x v="1"/>
    <s v="51416681001001"/>
    <n v="-44.58"/>
    <n v="1137"/>
    <n v="1"/>
    <n v="1"/>
  </r>
  <r>
    <m/>
    <m/>
    <x v="1"/>
    <s v="51450421001005"/>
    <n v="-48.07"/>
    <n v="1226"/>
    <n v="1"/>
    <n v="1"/>
  </r>
  <r>
    <m/>
    <m/>
    <x v="1"/>
    <s v="51506701002001"/>
    <n v="-13.06"/>
    <n v="333"/>
    <n v="1"/>
    <n v="1"/>
  </r>
  <r>
    <m/>
    <m/>
    <x v="1"/>
    <s v="51514051001001"/>
    <n v="-4.2699999999999996"/>
    <n v="109"/>
    <n v="1"/>
    <n v="1"/>
  </r>
  <r>
    <m/>
    <m/>
    <x v="1"/>
    <s v="51514331001001"/>
    <n v="-12.19"/>
    <n v="311"/>
    <n v="1"/>
    <n v="1"/>
  </r>
  <r>
    <m/>
    <m/>
    <x v="1"/>
    <s v="51519832001003"/>
    <n v="-7.1"/>
    <n v="181"/>
    <n v="1"/>
    <n v="1"/>
  </r>
  <r>
    <m/>
    <m/>
    <x v="1"/>
    <s v="51525601001002"/>
    <n v="-2.31"/>
    <n v="59"/>
    <n v="1"/>
    <n v="1"/>
  </r>
  <r>
    <m/>
    <m/>
    <x v="1"/>
    <s v="51531201001002"/>
    <n v="-39.56"/>
    <n v="1009"/>
    <n v="1"/>
    <n v="1"/>
  </r>
  <r>
    <m/>
    <m/>
    <x v="1"/>
    <s v="51555701001005"/>
    <n v="-32.74"/>
    <n v="835"/>
    <n v="1"/>
    <n v="1"/>
  </r>
  <r>
    <m/>
    <m/>
    <x v="1"/>
    <s v="51578031001001"/>
    <n v="-27.8"/>
    <n v="709"/>
    <n v="1"/>
    <n v="1"/>
  </r>
  <r>
    <m/>
    <m/>
    <x v="1"/>
    <s v="51593221002002"/>
    <n v="-33.49"/>
    <n v="854"/>
    <n v="1"/>
    <n v="1"/>
  </r>
  <r>
    <m/>
    <m/>
    <x v="1"/>
    <s v="51593291002001"/>
    <n v="-35.799999999999997"/>
    <n v="913"/>
    <n v="1"/>
    <n v="1"/>
  </r>
  <r>
    <m/>
    <m/>
    <x v="1"/>
    <s v="51593431001001"/>
    <n v="-69.52"/>
    <n v="1773"/>
    <n v="1"/>
    <n v="1"/>
  </r>
  <r>
    <m/>
    <m/>
    <x v="1"/>
    <s v="51597701001005"/>
    <n v="-6.08"/>
    <n v="155"/>
    <n v="1"/>
    <n v="1"/>
  </r>
  <r>
    <m/>
    <m/>
    <x v="1"/>
    <s v="51618981001001"/>
    <n v="-47.25"/>
    <n v="1205"/>
    <n v="1"/>
    <n v="1"/>
  </r>
  <r>
    <m/>
    <m/>
    <x v="1"/>
    <s v="51625911001001"/>
    <n v="-26.23"/>
    <n v="669"/>
    <n v="1"/>
    <n v="1"/>
  </r>
  <r>
    <m/>
    <m/>
    <x v="1"/>
    <s v="51627031001001"/>
    <n v="-15.14"/>
    <n v="386"/>
    <n v="1"/>
    <n v="1"/>
  </r>
  <r>
    <m/>
    <m/>
    <x v="1"/>
    <s v="51957591005001"/>
    <n v="-16.55"/>
    <n v="422"/>
    <n v="1"/>
    <n v="1"/>
  </r>
  <r>
    <m/>
    <m/>
    <x v="1"/>
    <s v="52072198001016"/>
    <n v="-14.19"/>
    <n v="362"/>
    <n v="1"/>
    <n v="1"/>
  </r>
  <r>
    <m/>
    <m/>
    <x v="1"/>
    <s v="52072311002001"/>
    <n v="-22.78"/>
    <n v="581"/>
    <n v="1"/>
    <n v="1"/>
  </r>
  <r>
    <m/>
    <m/>
    <x v="1"/>
    <s v="52219018001001"/>
    <n v="-8.23"/>
    <n v="210"/>
    <n v="1"/>
    <n v="1"/>
  </r>
  <r>
    <m/>
    <m/>
    <x v="1"/>
    <s v="52439752001001"/>
    <n v="-10.98"/>
    <n v="280"/>
    <n v="1"/>
    <n v="1"/>
  </r>
  <r>
    <m/>
    <m/>
    <x v="1"/>
    <s v="52553675001011"/>
    <n v="-30.74"/>
    <n v="784"/>
    <n v="1"/>
    <n v="1"/>
  </r>
  <r>
    <m/>
    <m/>
    <x v="1"/>
    <s v="52724555001001"/>
    <n v="-52.31"/>
    <n v="1334"/>
    <n v="1"/>
    <n v="1"/>
  </r>
  <r>
    <m/>
    <m/>
    <x v="1"/>
    <s v="52815374001001"/>
    <n v="-24.31"/>
    <n v="620"/>
    <n v="1"/>
    <n v="1"/>
  </r>
  <r>
    <m/>
    <m/>
    <x v="1"/>
    <s v="52896992001002"/>
    <n v="-23.45"/>
    <n v="598"/>
    <n v="1"/>
    <n v="1"/>
  </r>
  <r>
    <m/>
    <m/>
    <x v="1"/>
    <s v="52978478001001"/>
    <n v="-3.88"/>
    <n v="99"/>
    <n v="1"/>
    <n v="1"/>
  </r>
  <r>
    <m/>
    <m/>
    <x v="1"/>
    <s v="53059671003001"/>
    <n v="-25.8"/>
    <n v="658"/>
    <n v="1"/>
    <n v="1"/>
  </r>
  <r>
    <m/>
    <m/>
    <x v="1"/>
    <s v="53077277001001"/>
    <n v="-26.7"/>
    <n v="681"/>
    <n v="1"/>
    <n v="1"/>
  </r>
  <r>
    <m/>
    <m/>
    <x v="1"/>
    <s v="53090223001005"/>
    <n v="-7.92"/>
    <n v="202"/>
    <n v="1"/>
    <n v="1"/>
  </r>
  <r>
    <m/>
    <m/>
    <x v="1"/>
    <s v="53108976001002"/>
    <n v="-25.45"/>
    <n v="649"/>
    <n v="1"/>
    <n v="1"/>
  </r>
  <r>
    <m/>
    <m/>
    <x v="1"/>
    <s v="53180045001003"/>
    <n v="-25.64"/>
    <n v="654"/>
    <n v="1"/>
    <n v="1"/>
  </r>
  <r>
    <m/>
    <m/>
    <x v="1"/>
    <s v="53425442001001"/>
    <n v="-22.27"/>
    <n v="568"/>
    <n v="1"/>
    <n v="1"/>
  </r>
  <r>
    <m/>
    <m/>
    <x v="1"/>
    <s v="53681358001002"/>
    <n v="-17.170000000000002"/>
    <n v="438"/>
    <n v="1"/>
    <n v="1"/>
  </r>
  <r>
    <m/>
    <m/>
    <x v="1"/>
    <s v="53697250001001"/>
    <n v="-22.08"/>
    <n v="563"/>
    <n v="1"/>
    <n v="1"/>
  </r>
  <r>
    <m/>
    <m/>
    <x v="1"/>
    <s v="53915118004001"/>
    <n v="-32.11"/>
    <n v="819"/>
    <n v="1"/>
    <n v="1"/>
  </r>
  <r>
    <m/>
    <m/>
    <x v="1"/>
    <s v="54019982001004"/>
    <n v="-61.56"/>
    <n v="1570"/>
    <n v="1"/>
    <n v="1"/>
  </r>
  <r>
    <m/>
    <m/>
    <x v="1"/>
    <s v="54146036001001"/>
    <n v="-33.68"/>
    <n v="859"/>
    <n v="1"/>
    <n v="1"/>
  </r>
  <r>
    <m/>
    <m/>
    <x v="1"/>
    <s v="54555658001004"/>
    <n v="-78.97"/>
    <n v="2014"/>
    <n v="1"/>
    <n v="1"/>
  </r>
  <r>
    <m/>
    <m/>
    <x v="1"/>
    <s v="54781310001002"/>
    <n v="-62.27"/>
    <n v="1588"/>
    <n v="1"/>
    <n v="1"/>
  </r>
  <r>
    <m/>
    <m/>
    <x v="1"/>
    <s v="54807945001001"/>
    <n v="-0.35"/>
    <n v="9"/>
    <n v="1"/>
    <n v="1"/>
  </r>
  <r>
    <m/>
    <m/>
    <x v="1"/>
    <s v="54915640001001"/>
    <n v="-29.76"/>
    <n v="759"/>
    <n v="1"/>
    <n v="1"/>
  </r>
  <r>
    <m/>
    <m/>
    <x v="1"/>
    <s v="55036747001002"/>
    <n v="-17.25"/>
    <n v="440"/>
    <n v="1"/>
    <n v="1"/>
  </r>
  <r>
    <m/>
    <m/>
    <x v="1"/>
    <s v="55116401001003"/>
    <n v="-12.31"/>
    <n v="314"/>
    <n v="1"/>
    <n v="1"/>
  </r>
  <r>
    <m/>
    <m/>
    <x v="1"/>
    <s v="55208319002001"/>
    <n v="-29.88"/>
    <n v="762"/>
    <n v="1"/>
    <n v="1"/>
  </r>
  <r>
    <m/>
    <m/>
    <x v="1"/>
    <s v="55514801001013"/>
    <n v="-9.9600000000000009"/>
    <n v="254"/>
    <n v="1"/>
    <n v="1"/>
  </r>
  <r>
    <m/>
    <m/>
    <x v="1"/>
    <s v="55534974001003"/>
    <n v="-31.8"/>
    <n v="811"/>
    <n v="1"/>
    <n v="1"/>
  </r>
  <r>
    <m/>
    <m/>
    <x v="1"/>
    <s v="55598081001003"/>
    <n v="-14.31"/>
    <n v="365"/>
    <n v="1"/>
    <n v="1"/>
  </r>
  <r>
    <m/>
    <m/>
    <x v="1"/>
    <s v="55776761001013"/>
    <n v="-13.92"/>
    <n v="355"/>
    <n v="1"/>
    <n v="1"/>
  </r>
  <r>
    <m/>
    <m/>
    <x v="1"/>
    <s v="55791936001001"/>
    <n v="-4.74"/>
    <n v="121"/>
    <n v="1"/>
    <n v="1"/>
  </r>
  <r>
    <m/>
    <m/>
    <x v="1"/>
    <s v="55852549001005"/>
    <n v="-34.39"/>
    <n v="877"/>
    <n v="1"/>
    <n v="1"/>
  </r>
  <r>
    <m/>
    <m/>
    <x v="1"/>
    <s v="56051310004001"/>
    <n v="-53.48"/>
    <n v="1364"/>
    <n v="1"/>
    <n v="1"/>
  </r>
  <r>
    <m/>
    <m/>
    <x v="1"/>
    <s v="56272890001001"/>
    <n v="-16.510000000000002"/>
    <n v="421"/>
    <n v="1"/>
    <n v="1"/>
  </r>
  <r>
    <m/>
    <m/>
    <x v="1"/>
    <s v="56308644001003"/>
    <n v="-41.29"/>
    <n v="1053"/>
    <n v="1"/>
    <n v="1"/>
  </r>
  <r>
    <m/>
    <m/>
    <x v="1"/>
    <s v="56367091002003"/>
    <n v="-18.62"/>
    <n v="475"/>
    <n v="1"/>
    <n v="1"/>
  </r>
  <r>
    <m/>
    <m/>
    <x v="1"/>
    <s v="56371783001001"/>
    <n v="-10.55"/>
    <n v="269"/>
    <n v="1"/>
    <n v="1"/>
  </r>
  <r>
    <m/>
    <m/>
    <x v="1"/>
    <s v="56463265001003"/>
    <n v="-22.78"/>
    <n v="581"/>
    <n v="1"/>
    <n v="1"/>
  </r>
  <r>
    <m/>
    <m/>
    <x v="1"/>
    <s v="56604939001001"/>
    <n v="-58.27"/>
    <n v="1486"/>
    <n v="1"/>
    <n v="1"/>
  </r>
  <r>
    <m/>
    <m/>
    <x v="1"/>
    <s v="56726418001010"/>
    <n v="-6.16"/>
    <n v="157"/>
    <n v="1"/>
    <n v="1"/>
  </r>
  <r>
    <m/>
    <m/>
    <x v="1"/>
    <s v="56745375001001"/>
    <n v="-21.57"/>
    <n v="550"/>
    <n v="1"/>
    <n v="1"/>
  </r>
  <r>
    <m/>
    <m/>
    <x v="1"/>
    <s v="56940246001005"/>
    <n v="-9.49"/>
    <n v="242"/>
    <n v="1"/>
    <n v="1"/>
  </r>
  <r>
    <m/>
    <m/>
    <x v="1"/>
    <s v="57425690001002"/>
    <n v="-12.19"/>
    <n v="311"/>
    <n v="1"/>
    <n v="1"/>
  </r>
  <r>
    <m/>
    <m/>
    <x v="1"/>
    <s v="57455935001001"/>
    <n v="-42.03"/>
    <n v="1072"/>
    <n v="1"/>
    <n v="1"/>
  </r>
  <r>
    <m/>
    <m/>
    <x v="1"/>
    <s v="57629831001001"/>
    <n v="-18.86"/>
    <n v="481"/>
    <n v="1"/>
    <n v="1"/>
  </r>
  <r>
    <m/>
    <m/>
    <x v="1"/>
    <s v="57808945004001"/>
    <n v="-45.8"/>
    <n v="1168"/>
    <n v="1"/>
    <n v="1"/>
  </r>
  <r>
    <m/>
    <m/>
    <x v="1"/>
    <s v="57810254001002"/>
    <n v="-25.02"/>
    <n v="638"/>
    <n v="1"/>
    <n v="1"/>
  </r>
  <r>
    <m/>
    <m/>
    <x v="1"/>
    <s v="58035525001001"/>
    <n v="-13.53"/>
    <n v="345"/>
    <n v="1"/>
    <n v="1"/>
  </r>
  <r>
    <m/>
    <m/>
    <x v="1"/>
    <s v="58161623001001"/>
    <n v="-22.43"/>
    <n v="572"/>
    <n v="1"/>
    <n v="1"/>
  </r>
  <r>
    <m/>
    <m/>
    <x v="1"/>
    <s v="58195945001003"/>
    <n v="-41.76"/>
    <n v="1065"/>
    <n v="1"/>
    <n v="1"/>
  </r>
  <r>
    <m/>
    <m/>
    <x v="1"/>
    <s v="58413059001001"/>
    <n v="-20.43"/>
    <n v="521"/>
    <n v="1"/>
    <n v="1"/>
  </r>
  <r>
    <m/>
    <m/>
    <x v="1"/>
    <s v="58584299001003"/>
    <n v="-12.86"/>
    <n v="328"/>
    <n v="1"/>
    <n v="1"/>
  </r>
  <r>
    <m/>
    <m/>
    <x v="1"/>
    <s v="58619499001001"/>
    <n v="-57.09"/>
    <n v="1456"/>
    <n v="1"/>
    <n v="1"/>
  </r>
  <r>
    <m/>
    <m/>
    <x v="1"/>
    <s v="58708783001003"/>
    <n v="-62.81"/>
    <n v="1602"/>
    <n v="1"/>
    <n v="1"/>
  </r>
  <r>
    <m/>
    <m/>
    <x v="1"/>
    <s v="58743642001003"/>
    <n v="-42.93"/>
    <n v="1095"/>
    <n v="1"/>
    <n v="1"/>
  </r>
  <r>
    <m/>
    <m/>
    <x v="1"/>
    <s v="58785514001003"/>
    <n v="-13.68"/>
    <n v="349"/>
    <n v="1"/>
    <n v="1"/>
  </r>
  <r>
    <m/>
    <m/>
    <x v="1"/>
    <s v="58876732001003"/>
    <n v="-52.42"/>
    <n v="1337"/>
    <n v="1"/>
    <n v="1"/>
  </r>
  <r>
    <m/>
    <m/>
    <x v="1"/>
    <s v="59053011001001"/>
    <n v="-28"/>
    <n v="714"/>
    <n v="1"/>
    <n v="1"/>
  </r>
  <r>
    <m/>
    <m/>
    <x v="1"/>
    <s v="59201289002001"/>
    <n v="-0.78"/>
    <n v="20"/>
    <n v="1"/>
    <n v="1"/>
  </r>
  <r>
    <m/>
    <m/>
    <x v="1"/>
    <s v="59304140001003"/>
    <n v="-21.37"/>
    <n v="545"/>
    <n v="1"/>
    <n v="1"/>
  </r>
  <r>
    <m/>
    <m/>
    <x v="1"/>
    <s v="59553713001001"/>
    <n v="-30.58"/>
    <n v="780"/>
    <n v="1"/>
    <n v="1"/>
  </r>
  <r>
    <m/>
    <m/>
    <x v="1"/>
    <s v="59576593002002"/>
    <n v="-22.11"/>
    <n v="564"/>
    <n v="1"/>
    <n v="1"/>
  </r>
  <r>
    <m/>
    <m/>
    <x v="1"/>
    <s v="59657734001001"/>
    <n v="-23.88"/>
    <n v="609"/>
    <n v="1"/>
    <n v="1"/>
  </r>
  <r>
    <m/>
    <m/>
    <x v="1"/>
    <s v="59739422001001"/>
    <n v="-20.86"/>
    <n v="532"/>
    <n v="1"/>
    <n v="1"/>
  </r>
  <r>
    <m/>
    <m/>
    <x v="1"/>
    <s v="59766552006003"/>
    <n v="-12.9"/>
    <n v="329"/>
    <n v="1"/>
    <n v="1"/>
  </r>
  <r>
    <m/>
    <m/>
    <x v="1"/>
    <s v="60000842001003"/>
    <n v="-19.64"/>
    <n v="501"/>
    <n v="1"/>
    <n v="1"/>
  </r>
  <r>
    <m/>
    <m/>
    <x v="1"/>
    <s v="60176479001001"/>
    <n v="-22.08"/>
    <n v="563"/>
    <n v="1"/>
    <n v="1"/>
  </r>
  <r>
    <m/>
    <m/>
    <x v="1"/>
    <s v="60324948001003"/>
    <n v="-0.04"/>
    <n v="1"/>
    <n v="1"/>
    <n v="1"/>
  </r>
  <r>
    <m/>
    <m/>
    <x v="1"/>
    <s v="60327049001006"/>
    <n v="-27.8"/>
    <n v="709"/>
    <n v="1"/>
    <n v="1"/>
  </r>
  <r>
    <m/>
    <m/>
    <x v="1"/>
    <s v="60460345001001"/>
    <n v="-13.61"/>
    <n v="347"/>
    <n v="1"/>
    <n v="1"/>
  </r>
  <r>
    <m/>
    <m/>
    <x v="1"/>
    <s v="60469517001003"/>
    <n v="-38.74"/>
    <n v="988"/>
    <n v="1"/>
    <n v="1"/>
  </r>
  <r>
    <m/>
    <m/>
    <x v="1"/>
    <s v="60623325001001"/>
    <n v="-15.1"/>
    <n v="385"/>
    <n v="1"/>
    <n v="1"/>
  </r>
  <r>
    <m/>
    <m/>
    <x v="1"/>
    <s v="60708476001002"/>
    <n v="-35.17"/>
    <n v="897"/>
    <n v="1"/>
    <n v="1"/>
  </r>
  <r>
    <m/>
    <m/>
    <x v="1"/>
    <s v="60721174001011"/>
    <n v="-28"/>
    <n v="714"/>
    <n v="1"/>
    <n v="1"/>
  </r>
  <r>
    <m/>
    <m/>
    <x v="1"/>
    <s v="60784386002004"/>
    <n v="-21.72"/>
    <n v="554"/>
    <n v="1"/>
    <n v="1"/>
  </r>
  <r>
    <m/>
    <m/>
    <x v="1"/>
    <s v="60790565001008"/>
    <n v="-27.76"/>
    <n v="708"/>
    <n v="1"/>
    <n v="1"/>
  </r>
  <r>
    <m/>
    <m/>
    <x v="1"/>
    <s v="61054450003001"/>
    <n v="-17.02"/>
    <n v="434"/>
    <n v="1"/>
    <n v="1"/>
  </r>
  <r>
    <m/>
    <m/>
    <x v="1"/>
    <s v="61239947002001"/>
    <n v="-12.27"/>
    <n v="313"/>
    <n v="1"/>
    <n v="1"/>
  </r>
  <r>
    <m/>
    <m/>
    <x v="1"/>
    <s v="61308081001001"/>
    <n v="-35.450000000000003"/>
    <n v="904"/>
    <n v="1"/>
    <n v="1"/>
  </r>
  <r>
    <m/>
    <m/>
    <x v="1"/>
    <s v="61432189003001"/>
    <n v="-16.39"/>
    <n v="418"/>
    <n v="1"/>
    <n v="1"/>
  </r>
  <r>
    <m/>
    <m/>
    <x v="1"/>
    <s v="61690664001003"/>
    <n v="-3.1"/>
    <n v="79"/>
    <n v="1"/>
    <n v="1"/>
  </r>
  <r>
    <m/>
    <m/>
    <x v="1"/>
    <s v="61831600002001"/>
    <n v="-37.72"/>
    <n v="962"/>
    <n v="1"/>
    <n v="1"/>
  </r>
  <r>
    <m/>
    <m/>
    <x v="1"/>
    <s v="61919998001001"/>
    <n v="-29.09"/>
    <n v="742"/>
    <n v="1"/>
    <n v="1"/>
  </r>
  <r>
    <m/>
    <m/>
    <x v="1"/>
    <s v="61959666001001"/>
    <n v="-34.03"/>
    <n v="868"/>
    <n v="1"/>
    <n v="1"/>
  </r>
  <r>
    <m/>
    <m/>
    <x v="1"/>
    <s v="61995118001001"/>
    <n v="-43.68"/>
    <n v="1114"/>
    <n v="1"/>
    <n v="1"/>
  </r>
  <r>
    <m/>
    <m/>
    <x v="1"/>
    <s v="62003086001001"/>
    <n v="-19.29"/>
    <n v="492"/>
    <n v="1"/>
    <n v="1"/>
  </r>
  <r>
    <m/>
    <m/>
    <x v="1"/>
    <s v="62091193002001"/>
    <n v="-36.82"/>
    <n v="939"/>
    <n v="1"/>
    <n v="1"/>
  </r>
  <r>
    <m/>
    <m/>
    <x v="1"/>
    <s v="62108607001005"/>
    <n v="-52.93"/>
    <n v="1350"/>
    <n v="1"/>
    <n v="1"/>
  </r>
  <r>
    <m/>
    <m/>
    <x v="1"/>
    <s v="62182271001002"/>
    <n v="-24.19"/>
    <n v="617"/>
    <n v="1"/>
    <n v="1"/>
  </r>
  <r>
    <m/>
    <m/>
    <x v="1"/>
    <s v="62268891001001"/>
    <n v="-10.08"/>
    <n v="257"/>
    <n v="1"/>
    <n v="1"/>
  </r>
  <r>
    <m/>
    <m/>
    <x v="1"/>
    <s v="62305746001001"/>
    <n v="-33.25"/>
    <n v="848"/>
    <n v="1"/>
    <n v="1"/>
  </r>
  <r>
    <m/>
    <m/>
    <x v="1"/>
    <s v="62498679001005"/>
    <n v="-18.04"/>
    <n v="460"/>
    <n v="1"/>
    <n v="1"/>
  </r>
  <r>
    <m/>
    <m/>
    <x v="1"/>
    <s v="62878804001007"/>
    <n v="-79.319999999999993"/>
    <n v="2023"/>
    <n v="1"/>
    <n v="1"/>
  </r>
  <r>
    <m/>
    <m/>
    <x v="1"/>
    <s v="63123242001001"/>
    <n v="-1.92"/>
    <n v="49"/>
    <n v="1"/>
    <n v="1"/>
  </r>
  <r>
    <m/>
    <m/>
    <x v="1"/>
    <s v="63172903002001"/>
    <n v="-15.49"/>
    <n v="395"/>
    <n v="1"/>
    <n v="1"/>
  </r>
  <r>
    <m/>
    <m/>
    <x v="1"/>
    <s v="63196464001001"/>
    <n v="-39.29"/>
    <n v="1002"/>
    <n v="1"/>
    <n v="1"/>
  </r>
  <r>
    <m/>
    <m/>
    <x v="1"/>
    <s v="63263435001001"/>
    <n v="-24.9"/>
    <n v="635"/>
    <n v="1"/>
    <n v="1"/>
  </r>
  <r>
    <m/>
    <m/>
    <x v="1"/>
    <s v="63451251001005"/>
    <n v="-21.06"/>
    <n v="537"/>
    <n v="1"/>
    <n v="1"/>
  </r>
  <r>
    <m/>
    <m/>
    <x v="1"/>
    <s v="63473427001003"/>
    <n v="-34.5"/>
    <n v="880"/>
    <n v="1"/>
    <n v="1"/>
  </r>
  <r>
    <m/>
    <m/>
    <x v="1"/>
    <s v="63681093001001"/>
    <n v="-35.25"/>
    <n v="899"/>
    <n v="1"/>
    <n v="1"/>
  </r>
  <r>
    <m/>
    <m/>
    <x v="1"/>
    <s v="63898256001003"/>
    <n v="-11.45"/>
    <n v="292"/>
    <n v="1"/>
    <n v="1"/>
  </r>
  <r>
    <m/>
    <m/>
    <x v="1"/>
    <s v="64287131001001"/>
    <n v="-34.229999999999997"/>
    <n v="873"/>
    <n v="1"/>
    <n v="1"/>
  </r>
  <r>
    <m/>
    <m/>
    <x v="1"/>
    <s v="64490982003003"/>
    <n v="-17.64"/>
    <n v="450"/>
    <n v="1"/>
    <n v="1"/>
  </r>
  <r>
    <m/>
    <m/>
    <x v="1"/>
    <s v="64587795001002"/>
    <n v="-24.66"/>
    <n v="629"/>
    <n v="1"/>
    <n v="1"/>
  </r>
  <r>
    <m/>
    <m/>
    <x v="1"/>
    <s v="64653489001002"/>
    <n v="-13.29"/>
    <n v="339"/>
    <n v="1"/>
    <n v="1"/>
  </r>
  <r>
    <m/>
    <m/>
    <x v="1"/>
    <s v="64802495002001"/>
    <n v="-16.309999999999999"/>
    <n v="416"/>
    <n v="1"/>
    <n v="1"/>
  </r>
  <r>
    <m/>
    <m/>
    <x v="1"/>
    <s v="64815090001001"/>
    <n v="-11.37"/>
    <n v="290"/>
    <n v="1"/>
    <n v="1"/>
  </r>
  <r>
    <m/>
    <m/>
    <x v="1"/>
    <s v="64826160001001"/>
    <n v="-15.61"/>
    <n v="398"/>
    <n v="1"/>
    <n v="1"/>
  </r>
  <r>
    <m/>
    <m/>
    <x v="1"/>
    <s v="65039500002003"/>
    <n v="-17.489999999999998"/>
    <n v="446"/>
    <n v="1"/>
    <n v="1"/>
  </r>
  <r>
    <m/>
    <m/>
    <x v="1"/>
    <s v="65098964002001"/>
    <n v="-35.21"/>
    <n v="898"/>
    <n v="1"/>
    <n v="1"/>
  </r>
  <r>
    <m/>
    <m/>
    <x v="1"/>
    <s v="65242015001001"/>
    <n v="-10.51"/>
    <n v="268"/>
    <n v="1"/>
    <n v="1"/>
  </r>
  <r>
    <m/>
    <m/>
    <x v="1"/>
    <s v="65270935001002"/>
    <n v="-36.270000000000003"/>
    <n v="925"/>
    <n v="1"/>
    <n v="1"/>
  </r>
  <r>
    <m/>
    <m/>
    <x v="1"/>
    <s v="65413433002003"/>
    <n v="-13.25"/>
    <n v="338"/>
    <n v="1"/>
    <n v="1"/>
  </r>
  <r>
    <m/>
    <m/>
    <x v="1"/>
    <s v="65447350001002"/>
    <n v="-5.41"/>
    <n v="138"/>
    <n v="1"/>
    <n v="1"/>
  </r>
  <r>
    <m/>
    <m/>
    <x v="1"/>
    <s v="65474469002008"/>
    <n v="-22.86"/>
    <n v="583"/>
    <n v="1"/>
    <n v="1"/>
  </r>
  <r>
    <m/>
    <m/>
    <x v="1"/>
    <s v="65633759005001"/>
    <n v="-40.58"/>
    <n v="1035"/>
    <n v="1"/>
    <n v="1"/>
  </r>
  <r>
    <m/>
    <m/>
    <x v="1"/>
    <s v="65715070001005"/>
    <n v="-47.01"/>
    <n v="1199"/>
    <n v="1"/>
    <n v="1"/>
  </r>
  <r>
    <m/>
    <m/>
    <x v="1"/>
    <s v="65734956001007"/>
    <n v="-33.369999999999997"/>
    <n v="851"/>
    <n v="1"/>
    <n v="1"/>
  </r>
  <r>
    <m/>
    <m/>
    <x v="1"/>
    <s v="65798712001005"/>
    <n v="-20.66"/>
    <n v="527"/>
    <n v="1"/>
    <n v="1"/>
  </r>
  <r>
    <m/>
    <m/>
    <x v="1"/>
    <s v="65818545001003"/>
    <n v="-26.51"/>
    <n v="676"/>
    <n v="1"/>
    <n v="1"/>
  </r>
  <r>
    <m/>
    <m/>
    <x v="1"/>
    <s v="65819822001006"/>
    <n v="-40.11"/>
    <n v="1023"/>
    <n v="1"/>
    <n v="1"/>
  </r>
  <r>
    <m/>
    <m/>
    <x v="1"/>
    <s v="66122783001004"/>
    <n v="-0.63"/>
    <n v="16"/>
    <n v="1"/>
    <n v="1"/>
  </r>
  <r>
    <m/>
    <m/>
    <x v="1"/>
    <s v="66154595001001"/>
    <n v="-6"/>
    <n v="153"/>
    <n v="1"/>
    <n v="1"/>
  </r>
  <r>
    <m/>
    <m/>
    <x v="1"/>
    <s v="66219418001001"/>
    <n v="-13.49"/>
    <n v="344"/>
    <n v="1"/>
    <n v="1"/>
  </r>
  <r>
    <m/>
    <m/>
    <x v="1"/>
    <s v="66682187001003"/>
    <n v="-27.29"/>
    <n v="696"/>
    <n v="1"/>
    <n v="1"/>
  </r>
  <r>
    <m/>
    <m/>
    <x v="1"/>
    <s v="66809061002005"/>
    <n v="-6.51"/>
    <n v="166"/>
    <n v="1"/>
    <n v="1"/>
  </r>
  <r>
    <m/>
    <m/>
    <x v="1"/>
    <s v="66942119001003"/>
    <n v="-16.55"/>
    <n v="422"/>
    <n v="1"/>
    <n v="1"/>
  </r>
  <r>
    <m/>
    <m/>
    <x v="1"/>
    <s v="67267992001001"/>
    <n v="-24.47"/>
    <n v="624"/>
    <n v="1"/>
    <n v="1"/>
  </r>
  <r>
    <m/>
    <m/>
    <x v="1"/>
    <s v="67361765001002"/>
    <n v="-55.95"/>
    <n v="1427"/>
    <n v="1"/>
    <n v="1"/>
  </r>
  <r>
    <m/>
    <m/>
    <x v="1"/>
    <s v="67563007001003"/>
    <n v="-76.81"/>
    <n v="1959"/>
    <n v="1"/>
    <n v="1"/>
  </r>
  <r>
    <m/>
    <m/>
    <x v="1"/>
    <s v="68003161001002"/>
    <n v="-25.33"/>
    <n v="646"/>
    <n v="1"/>
    <n v="1"/>
  </r>
  <r>
    <m/>
    <m/>
    <x v="1"/>
    <s v="68146157001004"/>
    <n v="-11.21"/>
    <n v="286"/>
    <n v="1"/>
    <n v="1"/>
  </r>
  <r>
    <m/>
    <m/>
    <x v="1"/>
    <s v="68156471001004"/>
    <n v="-9.3699999999999992"/>
    <n v="239"/>
    <n v="1"/>
    <n v="1"/>
  </r>
  <r>
    <m/>
    <m/>
    <x v="1"/>
    <s v="68261372001003"/>
    <n v="-12.43"/>
    <n v="317"/>
    <n v="1"/>
    <n v="1"/>
  </r>
  <r>
    <m/>
    <m/>
    <x v="1"/>
    <s v="68338933001001"/>
    <n v="-60.66"/>
    <n v="1547"/>
    <n v="1"/>
    <n v="1"/>
  </r>
  <r>
    <m/>
    <m/>
    <x v="1"/>
    <s v="68419291001001"/>
    <n v="-57.56"/>
    <n v="1468"/>
    <n v="1"/>
    <n v="1"/>
  </r>
  <r>
    <m/>
    <m/>
    <x v="1"/>
    <s v="68453365001003"/>
    <n v="-28.66"/>
    <n v="731"/>
    <n v="1"/>
    <n v="1"/>
  </r>
  <r>
    <m/>
    <m/>
    <x v="1"/>
    <s v="68461671002003"/>
    <n v="-0.31"/>
    <n v="8"/>
    <n v="1"/>
    <n v="1"/>
  </r>
  <r>
    <m/>
    <m/>
    <x v="1"/>
    <s v="68562129001001"/>
    <n v="-38.97"/>
    <n v="994"/>
    <n v="1"/>
    <n v="1"/>
  </r>
  <r>
    <m/>
    <m/>
    <x v="1"/>
    <s v="68711288001003"/>
    <n v="-34.11"/>
    <n v="870"/>
    <n v="1"/>
    <n v="1"/>
  </r>
  <r>
    <m/>
    <m/>
    <x v="1"/>
    <s v="68836312001001"/>
    <n v="-8.59"/>
    <n v="219"/>
    <n v="1"/>
    <n v="1"/>
  </r>
  <r>
    <m/>
    <m/>
    <x v="1"/>
    <s v="68894705001001"/>
    <n v="-10.35"/>
    <n v="264"/>
    <n v="1"/>
    <n v="1"/>
  </r>
  <r>
    <m/>
    <m/>
    <x v="1"/>
    <s v="68970693005001"/>
    <n v="-42.54"/>
    <n v="1085"/>
    <n v="1"/>
    <n v="1"/>
  </r>
  <r>
    <m/>
    <m/>
    <x v="1"/>
    <s v="69170739001001"/>
    <n v="-15.64"/>
    <n v="399"/>
    <n v="1"/>
    <n v="1"/>
  </r>
  <r>
    <m/>
    <m/>
    <x v="1"/>
    <s v="69182870001007"/>
    <n v="-50.97"/>
    <n v="1300"/>
    <n v="1"/>
    <n v="1"/>
  </r>
  <r>
    <m/>
    <m/>
    <x v="1"/>
    <s v="69208025001001"/>
    <n v="-10.51"/>
    <n v="268"/>
    <n v="1"/>
    <n v="1"/>
  </r>
  <r>
    <m/>
    <m/>
    <x v="1"/>
    <s v="69340720001002"/>
    <n v="-26.66"/>
    <n v="680"/>
    <n v="1"/>
    <n v="1"/>
  </r>
  <r>
    <m/>
    <m/>
    <x v="1"/>
    <s v="69343800002003"/>
    <n v="-17.059999999999999"/>
    <n v="435"/>
    <n v="1"/>
    <n v="1"/>
  </r>
  <r>
    <m/>
    <m/>
    <x v="1"/>
    <s v="69443775003001"/>
    <n v="-43.29"/>
    <n v="1104"/>
    <n v="1"/>
    <n v="1"/>
  </r>
  <r>
    <m/>
    <m/>
    <x v="1"/>
    <s v="69542400001002"/>
    <n v="-33.01"/>
    <n v="842"/>
    <n v="1"/>
    <n v="1"/>
  </r>
  <r>
    <m/>
    <m/>
    <x v="1"/>
    <s v="69570598001001"/>
    <n v="-43.25"/>
    <n v="1103"/>
    <n v="1"/>
    <n v="1"/>
  </r>
  <r>
    <m/>
    <m/>
    <x v="1"/>
    <s v="69596317004001"/>
    <n v="-16.59"/>
    <n v="423"/>
    <n v="1"/>
    <n v="1"/>
  </r>
  <r>
    <m/>
    <m/>
    <x v="1"/>
    <s v="69704870003001"/>
    <n v="-66.260000000000005"/>
    <n v="1690"/>
    <n v="1"/>
    <n v="1"/>
  </r>
  <r>
    <m/>
    <m/>
    <x v="1"/>
    <s v="69738947001007"/>
    <n v="-16.55"/>
    <n v="422"/>
    <n v="1"/>
    <n v="1"/>
  </r>
  <r>
    <m/>
    <m/>
    <x v="1"/>
    <s v="69851222003003"/>
    <n v="-25.33"/>
    <n v="646"/>
    <n v="1"/>
    <n v="1"/>
  </r>
  <r>
    <m/>
    <m/>
    <x v="1"/>
    <s v="69863694002001"/>
    <n v="-5.18"/>
    <n v="132"/>
    <n v="1"/>
    <n v="1"/>
  </r>
  <r>
    <m/>
    <m/>
    <x v="1"/>
    <s v="69906946003001"/>
    <n v="-16.27"/>
    <n v="415"/>
    <n v="1"/>
    <n v="1"/>
  </r>
  <r>
    <m/>
    <m/>
    <x v="1"/>
    <s v="69952866001005"/>
    <n v="-3.76"/>
    <n v="96"/>
    <n v="1"/>
    <n v="1"/>
  </r>
  <r>
    <m/>
    <m/>
    <x v="1"/>
    <s v="70272425001001"/>
    <n v="-77.790000000000006"/>
    <n v="1984"/>
    <n v="1"/>
    <n v="1"/>
  </r>
  <r>
    <m/>
    <m/>
    <x v="1"/>
    <s v="70273911001001"/>
    <n v="-26.47"/>
    <n v="675"/>
    <n v="1"/>
    <n v="1"/>
  </r>
  <r>
    <m/>
    <m/>
    <x v="1"/>
    <s v="70449132003001"/>
    <n v="-6.23"/>
    <n v="159"/>
    <n v="1"/>
    <n v="1"/>
  </r>
  <r>
    <m/>
    <m/>
    <x v="1"/>
    <s v="70483477001001"/>
    <n v="-44.31"/>
    <n v="1130"/>
    <n v="1"/>
    <n v="1"/>
  </r>
  <r>
    <m/>
    <m/>
    <x v="1"/>
    <s v="70566844001001"/>
    <n v="-17.8"/>
    <n v="454"/>
    <n v="1"/>
    <n v="1"/>
  </r>
  <r>
    <m/>
    <m/>
    <x v="1"/>
    <s v="70587997002003"/>
    <n v="-11.06"/>
    <n v="282"/>
    <n v="1"/>
    <n v="1"/>
  </r>
  <r>
    <m/>
    <m/>
    <x v="1"/>
    <s v="70863501002003"/>
    <n v="-42.31"/>
    <n v="1079"/>
    <n v="1"/>
    <n v="1"/>
  </r>
  <r>
    <m/>
    <m/>
    <x v="1"/>
    <s v="70915951001003"/>
    <n v="-14.51"/>
    <n v="370"/>
    <n v="1"/>
    <n v="1"/>
  </r>
  <r>
    <m/>
    <m/>
    <x v="1"/>
    <s v="70944177001002"/>
    <n v="-3.8"/>
    <n v="97"/>
    <n v="1"/>
    <n v="1"/>
  </r>
  <r>
    <m/>
    <m/>
    <x v="1"/>
    <s v="71069064001004"/>
    <n v="-25.17"/>
    <n v="642"/>
    <n v="1"/>
    <n v="1"/>
  </r>
  <r>
    <m/>
    <m/>
    <x v="1"/>
    <s v="71222085003001"/>
    <n v="-30.23"/>
    <n v="771"/>
    <n v="1"/>
    <n v="1"/>
  </r>
  <r>
    <m/>
    <m/>
    <x v="1"/>
    <s v="71274854001001"/>
    <n v="-12.74"/>
    <n v="325"/>
    <n v="1"/>
    <n v="1"/>
  </r>
  <r>
    <m/>
    <m/>
    <x v="1"/>
    <s v="71339719006001"/>
    <n v="-9.02"/>
    <n v="230"/>
    <n v="1"/>
    <n v="1"/>
  </r>
  <r>
    <m/>
    <m/>
    <x v="1"/>
    <s v="71348793001001"/>
    <n v="-19.96"/>
    <n v="509"/>
    <n v="1"/>
    <n v="1"/>
  </r>
  <r>
    <m/>
    <m/>
    <x v="1"/>
    <s v="71360086001001"/>
    <n v="-4.2"/>
    <n v="107"/>
    <n v="1"/>
    <n v="1"/>
  </r>
  <r>
    <m/>
    <m/>
    <x v="1"/>
    <s v="71575625001001"/>
    <n v="-6.94"/>
    <n v="177"/>
    <n v="1"/>
    <n v="1"/>
  </r>
  <r>
    <m/>
    <m/>
    <x v="1"/>
    <s v="71625176001001"/>
    <n v="-24.27"/>
    <n v="619"/>
    <n v="1"/>
    <n v="1"/>
  </r>
  <r>
    <m/>
    <m/>
    <x v="1"/>
    <s v="71771733001003"/>
    <n v="-29.37"/>
    <n v="749"/>
    <n v="1"/>
    <n v="1"/>
  </r>
  <r>
    <m/>
    <m/>
    <x v="1"/>
    <s v="71821959006001"/>
    <n v="-49.44"/>
    <n v="1261"/>
    <n v="1"/>
    <n v="1"/>
  </r>
  <r>
    <m/>
    <m/>
    <x v="1"/>
    <s v="71822800001001"/>
    <n v="-22.7"/>
    <n v="579"/>
    <n v="1"/>
    <n v="1"/>
  </r>
  <r>
    <m/>
    <m/>
    <x v="1"/>
    <s v="71968164001001"/>
    <n v="-72.7"/>
    <n v="1854"/>
    <n v="1"/>
    <n v="1"/>
  </r>
  <r>
    <m/>
    <m/>
    <x v="1"/>
    <s v="71983541001003"/>
    <n v="-15.96"/>
    <n v="407"/>
    <n v="1"/>
    <n v="1"/>
  </r>
  <r>
    <m/>
    <m/>
    <x v="1"/>
    <s v="72116107007001"/>
    <n v="-17.53"/>
    <n v="447"/>
    <n v="1"/>
    <n v="1"/>
  </r>
  <r>
    <m/>
    <m/>
    <x v="1"/>
    <s v="72255939001003"/>
    <n v="-12.63"/>
    <n v="322"/>
    <n v="1"/>
    <n v="1"/>
  </r>
  <r>
    <m/>
    <m/>
    <x v="1"/>
    <s v="72281719002001"/>
    <n v="-3.33"/>
    <n v="85"/>
    <n v="1"/>
    <n v="1"/>
  </r>
  <r>
    <m/>
    <m/>
    <x v="1"/>
    <s v="72414106001007"/>
    <n v="-24.39"/>
    <n v="622"/>
    <n v="1"/>
    <n v="1"/>
  </r>
  <r>
    <m/>
    <m/>
    <x v="1"/>
    <s v="73073162002001"/>
    <n v="-24.27"/>
    <n v="619"/>
    <n v="1"/>
    <n v="1"/>
  </r>
  <r>
    <m/>
    <m/>
    <x v="1"/>
    <s v="73183338001003"/>
    <n v="-25.06"/>
    <n v="639"/>
    <n v="1"/>
    <n v="1"/>
  </r>
  <r>
    <m/>
    <m/>
    <x v="1"/>
    <s v="73183610001001"/>
    <n v="-25.09"/>
    <n v="640"/>
    <n v="1"/>
    <n v="1"/>
  </r>
  <r>
    <m/>
    <m/>
    <x v="1"/>
    <s v="73241290002003"/>
    <n v="-28.39"/>
    <n v="724"/>
    <n v="1"/>
    <n v="1"/>
  </r>
  <r>
    <m/>
    <m/>
    <x v="1"/>
    <s v="73496965001001"/>
    <n v="-43.8"/>
    <n v="1117"/>
    <n v="1"/>
    <n v="1"/>
  </r>
  <r>
    <m/>
    <m/>
    <x v="1"/>
    <s v="73587213002004"/>
    <n v="-53.68"/>
    <n v="1369"/>
    <n v="1"/>
    <n v="1"/>
  </r>
  <r>
    <m/>
    <m/>
    <x v="1"/>
    <s v="73630920001004"/>
    <n v="-15.92"/>
    <n v="406"/>
    <n v="1"/>
    <n v="1"/>
  </r>
  <r>
    <m/>
    <m/>
    <x v="1"/>
    <s v="73758151001001"/>
    <n v="-49.99"/>
    <n v="1275"/>
    <n v="1"/>
    <n v="1"/>
  </r>
  <r>
    <m/>
    <m/>
    <x v="1"/>
    <s v="73783764001001"/>
    <n v="-6.39"/>
    <n v="163"/>
    <n v="1"/>
    <n v="1"/>
  </r>
  <r>
    <m/>
    <m/>
    <x v="1"/>
    <s v="73949590004003"/>
    <n v="-22.86"/>
    <n v="583"/>
    <n v="1"/>
    <n v="1"/>
  </r>
  <r>
    <m/>
    <m/>
    <x v="1"/>
    <s v="74187446001006"/>
    <n v="-10.039999999999999"/>
    <n v="256"/>
    <n v="1"/>
    <n v="1"/>
  </r>
  <r>
    <m/>
    <m/>
    <x v="1"/>
    <s v="74321348001004"/>
    <n v="-31.13"/>
    <n v="794"/>
    <n v="1"/>
    <n v="1"/>
  </r>
  <r>
    <m/>
    <m/>
    <x v="1"/>
    <s v="74446426001001"/>
    <n v="-46.11"/>
    <n v="1176"/>
    <n v="1"/>
    <n v="1"/>
  </r>
  <r>
    <m/>
    <m/>
    <x v="1"/>
    <s v="74962988001001"/>
    <n v="-26.78"/>
    <n v="683"/>
    <n v="1"/>
    <n v="1"/>
  </r>
  <r>
    <m/>
    <m/>
    <x v="1"/>
    <s v="75379491002001"/>
    <n v="-24.15"/>
    <n v="616"/>
    <n v="1"/>
    <n v="1"/>
  </r>
  <r>
    <m/>
    <m/>
    <x v="1"/>
    <s v="75448417001001"/>
    <n v="-12.86"/>
    <n v="328"/>
    <n v="1"/>
    <n v="1"/>
  </r>
  <r>
    <m/>
    <m/>
    <x v="1"/>
    <s v="75487883001003"/>
    <n v="-19.920000000000002"/>
    <n v="508"/>
    <n v="1"/>
    <n v="1"/>
  </r>
  <r>
    <m/>
    <m/>
    <x v="1"/>
    <s v="75591553001001"/>
    <n v="-7.57"/>
    <n v="193"/>
    <n v="1"/>
    <n v="1"/>
  </r>
  <r>
    <m/>
    <m/>
    <x v="1"/>
    <s v="75962811001001"/>
    <n v="-7.18"/>
    <n v="183"/>
    <n v="1"/>
    <n v="1"/>
  </r>
  <r>
    <m/>
    <m/>
    <x v="1"/>
    <s v="76051640001005"/>
    <n v="-1.65"/>
    <n v="42"/>
    <n v="1"/>
    <n v="1"/>
  </r>
  <r>
    <m/>
    <m/>
    <x v="1"/>
    <s v="76207699002001"/>
    <n v="-12.31"/>
    <n v="314"/>
    <n v="1"/>
    <n v="1"/>
  </r>
  <r>
    <m/>
    <m/>
    <x v="1"/>
    <s v="76419170001003"/>
    <n v="-22"/>
    <n v="561"/>
    <n v="1"/>
    <n v="1"/>
  </r>
  <r>
    <m/>
    <m/>
    <x v="1"/>
    <s v="76824306001001"/>
    <n v="-0.59"/>
    <n v="15"/>
    <n v="1"/>
    <n v="1"/>
  </r>
  <r>
    <m/>
    <m/>
    <x v="1"/>
    <s v="76834821003003"/>
    <n v="-2.82"/>
    <n v="72"/>
    <n v="1"/>
    <n v="1"/>
  </r>
  <r>
    <m/>
    <m/>
    <x v="1"/>
    <s v="77034079001001"/>
    <n v="-17.29"/>
    <n v="441"/>
    <n v="1"/>
    <n v="1"/>
  </r>
  <r>
    <m/>
    <m/>
    <x v="1"/>
    <s v="77104713001006"/>
    <n v="-34"/>
    <n v="867"/>
    <n v="1"/>
    <n v="1"/>
  </r>
  <r>
    <m/>
    <m/>
    <x v="1"/>
    <s v="77431809001004"/>
    <n v="-19.72"/>
    <n v="503"/>
    <n v="1"/>
    <n v="1"/>
  </r>
  <r>
    <m/>
    <m/>
    <x v="1"/>
    <s v="77456701001001"/>
    <n v="-55.99"/>
    <n v="1428"/>
    <n v="1"/>
    <n v="1"/>
  </r>
  <r>
    <m/>
    <m/>
    <x v="1"/>
    <s v="77469310001005"/>
    <n v="-33.56"/>
    <n v="856"/>
    <n v="1"/>
    <n v="1"/>
  </r>
  <r>
    <m/>
    <m/>
    <x v="1"/>
    <s v="77538150006001"/>
    <n v="-29.8"/>
    <n v="760"/>
    <n v="1"/>
    <n v="1"/>
  </r>
  <r>
    <m/>
    <m/>
    <x v="1"/>
    <s v="77860128001001"/>
    <n v="-37.450000000000003"/>
    <n v="955"/>
    <n v="1"/>
    <n v="1"/>
  </r>
  <r>
    <m/>
    <m/>
    <x v="1"/>
    <s v="77965745001001"/>
    <n v="-34.43"/>
    <n v="878"/>
    <n v="1"/>
    <n v="1"/>
  </r>
  <r>
    <m/>
    <m/>
    <x v="1"/>
    <s v="77976864001001"/>
    <n v="-2.23"/>
    <n v="57"/>
    <n v="1"/>
    <n v="1"/>
  </r>
  <r>
    <m/>
    <m/>
    <x v="1"/>
    <s v="78002899002002"/>
    <n v="-47.68"/>
    <n v="1216"/>
    <n v="1"/>
    <n v="1"/>
  </r>
  <r>
    <m/>
    <m/>
    <x v="1"/>
    <s v="78040116001002"/>
    <n v="-42.46"/>
    <n v="1083"/>
    <n v="1"/>
    <n v="1"/>
  </r>
  <r>
    <m/>
    <m/>
    <x v="1"/>
    <s v="78107039001001"/>
    <n v="-5.88"/>
    <n v="150"/>
    <n v="1"/>
    <n v="1"/>
  </r>
  <r>
    <m/>
    <m/>
    <x v="1"/>
    <s v="78257483004003"/>
    <n v="-35.29"/>
    <n v="900"/>
    <n v="1"/>
    <n v="1"/>
  </r>
  <r>
    <m/>
    <m/>
    <x v="1"/>
    <s v="78305476001002"/>
    <n v="-22.66"/>
    <n v="578"/>
    <n v="1"/>
    <n v="1"/>
  </r>
  <r>
    <m/>
    <m/>
    <x v="1"/>
    <s v="78360766001001"/>
    <n v="-93.71"/>
    <n v="2390"/>
    <n v="1"/>
    <n v="1"/>
  </r>
  <r>
    <m/>
    <m/>
    <x v="1"/>
    <s v="78365326001003"/>
    <n v="-0.43"/>
    <n v="11"/>
    <n v="1"/>
    <n v="1"/>
  </r>
  <r>
    <m/>
    <m/>
    <x v="1"/>
    <s v="78415920003009"/>
    <n v="-16.309999999999999"/>
    <n v="416"/>
    <n v="1"/>
    <n v="1"/>
  </r>
  <r>
    <m/>
    <m/>
    <x v="1"/>
    <s v="78610741003005"/>
    <n v="-35.17"/>
    <n v="897"/>
    <n v="1"/>
    <n v="1"/>
  </r>
  <r>
    <m/>
    <m/>
    <x v="1"/>
    <s v="78764555001002"/>
    <n v="-19.53"/>
    <n v="498"/>
    <n v="1"/>
    <n v="1"/>
  </r>
  <r>
    <m/>
    <m/>
    <x v="1"/>
    <s v="78981033002001"/>
    <n v="-81.239999999999995"/>
    <n v="2072"/>
    <n v="1"/>
    <n v="1"/>
  </r>
  <r>
    <m/>
    <m/>
    <x v="1"/>
    <s v="79262329001005"/>
    <n v="-12.66"/>
    <n v="323"/>
    <n v="1"/>
    <n v="1"/>
  </r>
  <r>
    <m/>
    <m/>
    <x v="1"/>
    <s v="79728915002004"/>
    <n v="-33.76"/>
    <n v="861"/>
    <n v="1"/>
    <n v="1"/>
  </r>
  <r>
    <m/>
    <m/>
    <x v="1"/>
    <s v="79876400001001"/>
    <n v="-21.84"/>
    <n v="557"/>
    <n v="1"/>
    <n v="1"/>
  </r>
  <r>
    <m/>
    <m/>
    <x v="1"/>
    <s v="80040145002003"/>
    <n v="-29.72"/>
    <n v="758"/>
    <n v="1"/>
    <n v="1"/>
  </r>
  <r>
    <m/>
    <m/>
    <x v="1"/>
    <s v="80231406001003"/>
    <n v="-41.76"/>
    <n v="1065"/>
    <n v="1"/>
    <n v="1"/>
  </r>
  <r>
    <m/>
    <m/>
    <x v="1"/>
    <s v="80579052001003"/>
    <n v="-19.45"/>
    <n v="496"/>
    <n v="1"/>
    <n v="1"/>
  </r>
  <r>
    <m/>
    <m/>
    <x v="1"/>
    <s v="80583516001005"/>
    <n v="-75.52"/>
    <n v="1926"/>
    <n v="1"/>
    <n v="1"/>
  </r>
  <r>
    <m/>
    <m/>
    <x v="1"/>
    <s v="80690359001001"/>
    <n v="-6.2"/>
    <n v="158"/>
    <n v="1"/>
    <n v="1"/>
  </r>
  <r>
    <m/>
    <m/>
    <x v="1"/>
    <s v="80691482001003"/>
    <n v="-27.64"/>
    <n v="705"/>
    <n v="1"/>
    <n v="1"/>
  </r>
  <r>
    <m/>
    <m/>
    <x v="1"/>
    <s v="80745052001007"/>
    <n v="-18.510000000000002"/>
    <n v="472"/>
    <n v="1"/>
    <n v="1"/>
  </r>
  <r>
    <m/>
    <m/>
    <x v="1"/>
    <s v="81113647002001"/>
    <n v="-26.11"/>
    <n v="666"/>
    <n v="1"/>
    <n v="1"/>
  </r>
  <r>
    <m/>
    <m/>
    <x v="1"/>
    <s v="81283750001001"/>
    <n v="-22.19"/>
    <n v="566"/>
    <n v="1"/>
    <n v="1"/>
  </r>
  <r>
    <m/>
    <m/>
    <x v="1"/>
    <s v="81304932001001"/>
    <n v="-21.33"/>
    <n v="544"/>
    <n v="1"/>
    <n v="1"/>
  </r>
  <r>
    <m/>
    <m/>
    <x v="1"/>
    <s v="81337996001001"/>
    <n v="-24.62"/>
    <n v="628"/>
    <n v="1"/>
    <n v="1"/>
  </r>
  <r>
    <m/>
    <m/>
    <x v="1"/>
    <s v="81392055002006"/>
    <n v="-40.43"/>
    <n v="1031"/>
    <n v="1"/>
    <n v="1"/>
  </r>
  <r>
    <m/>
    <m/>
    <x v="1"/>
    <s v="81678039001001"/>
    <n v="-4.67"/>
    <n v="119"/>
    <n v="1"/>
    <n v="1"/>
  </r>
  <r>
    <m/>
    <m/>
    <x v="1"/>
    <s v="81890846004001"/>
    <n v="-39.21"/>
    <n v="1000"/>
    <n v="1"/>
    <n v="1"/>
  </r>
  <r>
    <m/>
    <m/>
    <x v="1"/>
    <s v="81905257001001"/>
    <n v="-32.51"/>
    <n v="829"/>
    <n v="1"/>
    <n v="1"/>
  </r>
  <r>
    <m/>
    <m/>
    <x v="1"/>
    <s v="82041298001001"/>
    <n v="-38.659999999999997"/>
    <n v="986"/>
    <n v="1"/>
    <n v="1"/>
  </r>
  <r>
    <m/>
    <m/>
    <x v="1"/>
    <s v="82061210002003"/>
    <n v="-55.52"/>
    <n v="1416"/>
    <n v="1"/>
    <n v="1"/>
  </r>
  <r>
    <m/>
    <m/>
    <x v="1"/>
    <s v="82090212005001"/>
    <n v="-35.99"/>
    <n v="918"/>
    <n v="1"/>
    <n v="1"/>
  </r>
  <r>
    <m/>
    <m/>
    <x v="1"/>
    <s v="82301770001003"/>
    <n v="-35.21"/>
    <n v="898"/>
    <n v="1"/>
    <n v="1"/>
  </r>
  <r>
    <m/>
    <m/>
    <x v="1"/>
    <s v="82412634002004"/>
    <n v="-22.19"/>
    <n v="566"/>
    <n v="1"/>
    <n v="1"/>
  </r>
  <r>
    <m/>
    <m/>
    <x v="1"/>
    <s v="82440956001001"/>
    <n v="-25.84"/>
    <n v="659"/>
    <n v="1"/>
    <n v="1"/>
  </r>
  <r>
    <m/>
    <m/>
    <x v="1"/>
    <s v="82467652003001"/>
    <n v="-29.13"/>
    <n v="743"/>
    <n v="1"/>
    <n v="1"/>
  </r>
  <r>
    <m/>
    <m/>
    <x v="1"/>
    <s v="82488681001001"/>
    <n v="-2.4300000000000002"/>
    <n v="62"/>
    <n v="1"/>
    <n v="1"/>
  </r>
  <r>
    <m/>
    <m/>
    <x v="1"/>
    <s v="82658174001006"/>
    <n v="-6.39"/>
    <n v="163"/>
    <n v="1"/>
    <n v="1"/>
  </r>
  <r>
    <m/>
    <m/>
    <x v="1"/>
    <s v="82697231001002"/>
    <n v="-9.61"/>
    <n v="245"/>
    <n v="1"/>
    <n v="1"/>
  </r>
  <r>
    <m/>
    <m/>
    <x v="1"/>
    <s v="82800086001001"/>
    <n v="-6.27"/>
    <n v="160"/>
    <n v="1"/>
    <n v="1"/>
  </r>
  <r>
    <m/>
    <m/>
    <x v="1"/>
    <s v="82877362001001"/>
    <n v="-19.45"/>
    <n v="496"/>
    <n v="1"/>
    <n v="1"/>
  </r>
  <r>
    <m/>
    <m/>
    <x v="1"/>
    <s v="83010955001001"/>
    <n v="-7.18"/>
    <n v="183"/>
    <n v="1"/>
    <n v="1"/>
  </r>
  <r>
    <m/>
    <m/>
    <x v="1"/>
    <s v="83187563001001"/>
    <n v="-17.37"/>
    <n v="443"/>
    <n v="1"/>
    <n v="1"/>
  </r>
  <r>
    <m/>
    <m/>
    <x v="1"/>
    <s v="83641533002004"/>
    <n v="-29.21"/>
    <n v="745"/>
    <n v="1"/>
    <n v="1"/>
  </r>
  <r>
    <m/>
    <m/>
    <x v="1"/>
    <s v="83648881001001"/>
    <n v="-17.64"/>
    <n v="450"/>
    <n v="1"/>
    <n v="1"/>
  </r>
  <r>
    <m/>
    <m/>
    <x v="1"/>
    <s v="83800275002001"/>
    <n v="-1.92"/>
    <n v="49"/>
    <n v="1"/>
    <n v="1"/>
  </r>
  <r>
    <m/>
    <m/>
    <x v="1"/>
    <s v="84291714001001"/>
    <n v="-22.62"/>
    <n v="577"/>
    <n v="1"/>
    <n v="1"/>
  </r>
  <r>
    <m/>
    <m/>
    <x v="1"/>
    <s v="84497328001001"/>
    <n v="-27.25"/>
    <n v="695"/>
    <n v="1"/>
    <n v="1"/>
  </r>
  <r>
    <m/>
    <m/>
    <x v="1"/>
    <s v="84610177001005"/>
    <n v="-7.53"/>
    <n v="192"/>
    <n v="1"/>
    <n v="1"/>
  </r>
  <r>
    <m/>
    <m/>
    <x v="1"/>
    <s v="85023046001005"/>
    <n v="-32.86"/>
    <n v="838"/>
    <n v="1"/>
    <n v="1"/>
  </r>
  <r>
    <m/>
    <m/>
    <x v="1"/>
    <s v="85108950001001"/>
    <n v="-18.39"/>
    <n v="469"/>
    <n v="1"/>
    <n v="1"/>
  </r>
  <r>
    <m/>
    <m/>
    <x v="1"/>
    <s v="85307300001016"/>
    <n v="-32.659999999999997"/>
    <n v="833"/>
    <n v="1"/>
    <n v="1"/>
  </r>
  <r>
    <m/>
    <m/>
    <x v="1"/>
    <s v="85316731004002"/>
    <n v="-67.44"/>
    <n v="1720"/>
    <n v="1"/>
    <n v="1"/>
  </r>
  <r>
    <m/>
    <m/>
    <x v="1"/>
    <s v="85581255001001"/>
    <n v="-4.67"/>
    <n v="119"/>
    <n v="1"/>
    <n v="1"/>
  </r>
  <r>
    <m/>
    <m/>
    <x v="1"/>
    <s v="85590751001003"/>
    <n v="-11.68"/>
    <n v="298"/>
    <n v="1"/>
    <n v="1"/>
  </r>
  <r>
    <m/>
    <m/>
    <x v="1"/>
    <s v="85648933001001"/>
    <n v="-26.94"/>
    <n v="687"/>
    <n v="1"/>
    <n v="1"/>
  </r>
  <r>
    <m/>
    <m/>
    <x v="1"/>
    <s v="85663723001011"/>
    <n v="-37.21"/>
    <n v="949"/>
    <n v="1"/>
    <n v="1"/>
  </r>
  <r>
    <m/>
    <m/>
    <x v="1"/>
    <s v="85865787001003"/>
    <n v="-1.1399999999999999"/>
    <n v="29"/>
    <n v="1"/>
    <n v="1"/>
  </r>
  <r>
    <m/>
    <m/>
    <x v="1"/>
    <s v="85877100003003"/>
    <n v="-10.19"/>
    <n v="260"/>
    <n v="1"/>
    <n v="1"/>
  </r>
  <r>
    <m/>
    <m/>
    <x v="1"/>
    <s v="85995109001001"/>
    <n v="-37.049999999999997"/>
    <n v="945"/>
    <n v="1"/>
    <n v="1"/>
  </r>
  <r>
    <m/>
    <m/>
    <x v="1"/>
    <s v="86090490001001"/>
    <n v="-36.47"/>
    <n v="930"/>
    <n v="1"/>
    <n v="1"/>
  </r>
  <r>
    <m/>
    <m/>
    <x v="1"/>
    <s v="86166400001001"/>
    <n v="-64.77"/>
    <n v="1652"/>
    <n v="1"/>
    <n v="1"/>
  </r>
  <r>
    <m/>
    <m/>
    <x v="1"/>
    <s v="86307010001002"/>
    <n v="-42.58"/>
    <n v="1086"/>
    <n v="1"/>
    <n v="1"/>
  </r>
  <r>
    <m/>
    <m/>
    <x v="1"/>
    <s v="86307411001003"/>
    <n v="-16.940000000000001"/>
    <n v="432"/>
    <n v="1"/>
    <n v="1"/>
  </r>
  <r>
    <m/>
    <m/>
    <x v="1"/>
    <s v="86342190001003"/>
    <n v="-14.08"/>
    <n v="359"/>
    <n v="1"/>
    <n v="1"/>
  </r>
  <r>
    <m/>
    <m/>
    <x v="1"/>
    <s v="86363752001001"/>
    <n v="-14.51"/>
    <n v="370"/>
    <n v="1"/>
    <n v="1"/>
  </r>
  <r>
    <m/>
    <m/>
    <x v="1"/>
    <s v="86572383001004"/>
    <n v="-20.78"/>
    <n v="530"/>
    <n v="1"/>
    <n v="1"/>
  </r>
  <r>
    <m/>
    <m/>
    <x v="1"/>
    <s v="86709161001013"/>
    <n v="-4.55"/>
    <n v="116"/>
    <n v="1"/>
    <n v="1"/>
  </r>
  <r>
    <m/>
    <m/>
    <x v="1"/>
    <s v="86799046001002"/>
    <n v="-28.35"/>
    <n v="723"/>
    <n v="1"/>
    <n v="1"/>
  </r>
  <r>
    <m/>
    <m/>
    <x v="1"/>
    <s v="86861748001005"/>
    <n v="-30.35"/>
    <n v="774"/>
    <n v="1"/>
    <n v="1"/>
  </r>
  <r>
    <m/>
    <m/>
    <x v="1"/>
    <s v="86965244003001"/>
    <n v="-39.01"/>
    <n v="995"/>
    <n v="1"/>
    <n v="1"/>
  </r>
  <r>
    <m/>
    <m/>
    <x v="1"/>
    <s v="86993697001006"/>
    <n v="-24.47"/>
    <n v="624"/>
    <n v="1"/>
    <n v="1"/>
  </r>
  <r>
    <m/>
    <m/>
    <x v="1"/>
    <s v="86997021001001"/>
    <n v="-18.27"/>
    <n v="466"/>
    <n v="1"/>
    <n v="1"/>
  </r>
  <r>
    <m/>
    <m/>
    <x v="1"/>
    <s v="87027409001001"/>
    <n v="-45.41"/>
    <n v="1158"/>
    <n v="1"/>
    <n v="1"/>
  </r>
  <r>
    <m/>
    <m/>
    <x v="1"/>
    <s v="87070196001003"/>
    <n v="-6.55"/>
    <n v="167"/>
    <n v="1"/>
    <n v="1"/>
  </r>
  <r>
    <m/>
    <m/>
    <x v="1"/>
    <s v="87114513002001"/>
    <n v="-29.6"/>
    <n v="755"/>
    <n v="1"/>
    <n v="1"/>
  </r>
  <r>
    <m/>
    <m/>
    <x v="1"/>
    <s v="87134959001001"/>
    <n v="-54.89"/>
    <n v="1400"/>
    <n v="1"/>
    <n v="1"/>
  </r>
  <r>
    <m/>
    <m/>
    <x v="1"/>
    <s v="87157714001003"/>
    <n v="-18.86"/>
    <n v="481"/>
    <n v="1"/>
    <n v="1"/>
  </r>
  <r>
    <m/>
    <m/>
    <x v="1"/>
    <s v="87389500014001"/>
    <n v="-0.86"/>
    <n v="22"/>
    <n v="1"/>
    <n v="1"/>
  </r>
  <r>
    <m/>
    <m/>
    <x v="1"/>
    <s v="87486491001002"/>
    <n v="-12.63"/>
    <n v="322"/>
    <n v="1"/>
    <n v="1"/>
  </r>
  <r>
    <m/>
    <m/>
    <x v="1"/>
    <s v="87498972001001"/>
    <n v="-31.6"/>
    <n v="806"/>
    <n v="1"/>
    <n v="1"/>
  </r>
  <r>
    <m/>
    <m/>
    <x v="1"/>
    <s v="87984399001003"/>
    <n v="-32.58"/>
    <n v="831"/>
    <n v="1"/>
    <n v="1"/>
  </r>
  <r>
    <m/>
    <m/>
    <x v="1"/>
    <s v="88037259002004"/>
    <n v="-74.11"/>
    <n v="1890"/>
    <n v="1"/>
    <n v="1"/>
  </r>
  <r>
    <m/>
    <m/>
    <x v="1"/>
    <s v="88063060001002"/>
    <n v="-83.48"/>
    <n v="2129"/>
    <n v="1"/>
    <n v="1"/>
  </r>
  <r>
    <m/>
    <m/>
    <x v="1"/>
    <s v="88142714001001"/>
    <n v="-75.05"/>
    <n v="1914"/>
    <n v="1"/>
    <n v="1"/>
  </r>
  <r>
    <m/>
    <m/>
    <x v="1"/>
    <s v="88142806002001"/>
    <n v="-52.5"/>
    <n v="1339"/>
    <n v="1"/>
    <n v="1"/>
  </r>
  <r>
    <m/>
    <m/>
    <x v="1"/>
    <s v="88450306001003"/>
    <n v="-25.72"/>
    <n v="656"/>
    <n v="1"/>
    <n v="1"/>
  </r>
  <r>
    <m/>
    <m/>
    <x v="1"/>
    <s v="88484707001005"/>
    <n v="-11.37"/>
    <n v="290"/>
    <n v="1"/>
    <n v="1"/>
  </r>
  <r>
    <m/>
    <m/>
    <x v="1"/>
    <s v="88908327001003"/>
    <n v="-29.88"/>
    <n v="762"/>
    <n v="1"/>
    <n v="1"/>
  </r>
  <r>
    <m/>
    <m/>
    <x v="1"/>
    <s v="88935508001003"/>
    <n v="-24.9"/>
    <n v="635"/>
    <n v="1"/>
    <n v="1"/>
  </r>
  <r>
    <m/>
    <m/>
    <x v="1"/>
    <s v="88983549001001"/>
    <n v="-35.92"/>
    <n v="916"/>
    <n v="1"/>
    <n v="1"/>
  </r>
  <r>
    <m/>
    <m/>
    <x v="1"/>
    <s v="89107006001001"/>
    <n v="-9.76"/>
    <n v="249"/>
    <n v="1"/>
    <n v="1"/>
  </r>
  <r>
    <m/>
    <m/>
    <x v="1"/>
    <s v="89156906001001"/>
    <n v="-2.04"/>
    <n v="52"/>
    <n v="1"/>
    <n v="1"/>
  </r>
  <r>
    <m/>
    <m/>
    <x v="1"/>
    <s v="89366347001001"/>
    <n v="-34.31"/>
    <n v="875"/>
    <n v="1"/>
    <n v="1"/>
  </r>
  <r>
    <m/>
    <m/>
    <x v="1"/>
    <s v="89416711001001"/>
    <n v="-17.96"/>
    <n v="458"/>
    <n v="1"/>
    <n v="1"/>
  </r>
  <r>
    <m/>
    <m/>
    <x v="1"/>
    <s v="89768877001001"/>
    <n v="-24.55"/>
    <n v="626"/>
    <n v="1"/>
    <n v="1"/>
  </r>
  <r>
    <m/>
    <m/>
    <x v="1"/>
    <s v="89864539001001"/>
    <n v="-33.049999999999997"/>
    <n v="843"/>
    <n v="1"/>
    <n v="1"/>
  </r>
  <r>
    <m/>
    <m/>
    <x v="1"/>
    <s v="89887026001003"/>
    <n v="-40.700000000000003"/>
    <n v="1038"/>
    <n v="1"/>
    <n v="1"/>
  </r>
  <r>
    <m/>
    <m/>
    <x v="1"/>
    <s v="89949893001001"/>
    <n v="-1.37"/>
    <n v="35"/>
    <n v="1"/>
    <n v="1"/>
  </r>
  <r>
    <m/>
    <m/>
    <x v="1"/>
    <s v="89953012002004"/>
    <n v="-4.9000000000000004"/>
    <n v="125"/>
    <n v="1"/>
    <n v="1"/>
  </r>
  <r>
    <m/>
    <m/>
    <x v="1"/>
    <s v="90452668002001"/>
    <n v="-24.58"/>
    <n v="627"/>
    <n v="1"/>
    <n v="1"/>
  </r>
  <r>
    <m/>
    <m/>
    <x v="1"/>
    <s v="90517503001001"/>
    <n v="-16.079999999999998"/>
    <n v="410"/>
    <n v="1"/>
    <n v="1"/>
  </r>
  <r>
    <m/>
    <m/>
    <x v="1"/>
    <s v="90673462003001"/>
    <n v="-35.049999999999997"/>
    <n v="894"/>
    <n v="1"/>
    <n v="1"/>
  </r>
  <r>
    <m/>
    <m/>
    <x v="1"/>
    <s v="90805481002003"/>
    <n v="-56.46"/>
    <n v="1440"/>
    <n v="1"/>
    <n v="1"/>
  </r>
  <r>
    <m/>
    <m/>
    <x v="1"/>
    <s v="90821226001006"/>
    <n v="-36.35"/>
    <n v="927"/>
    <n v="1"/>
    <n v="1"/>
  </r>
  <r>
    <m/>
    <m/>
    <x v="1"/>
    <s v="90822925001006"/>
    <n v="-42.19"/>
    <n v="1076"/>
    <n v="1"/>
    <n v="1"/>
  </r>
  <r>
    <m/>
    <m/>
    <x v="1"/>
    <s v="90876636001005"/>
    <n v="-8.4700000000000006"/>
    <n v="216"/>
    <n v="1"/>
    <n v="1"/>
  </r>
  <r>
    <m/>
    <m/>
    <x v="1"/>
    <s v="91039711003001"/>
    <n v="-26.78"/>
    <n v="683"/>
    <n v="1"/>
    <n v="1"/>
  </r>
  <r>
    <m/>
    <m/>
    <x v="1"/>
    <s v="91059700002001"/>
    <n v="-32.270000000000003"/>
    <n v="823"/>
    <n v="1"/>
    <n v="1"/>
  </r>
  <r>
    <m/>
    <m/>
    <x v="1"/>
    <s v="91081109001003"/>
    <n v="-15.84"/>
    <n v="404"/>
    <n v="1"/>
    <n v="1"/>
  </r>
  <r>
    <m/>
    <m/>
    <x v="1"/>
    <s v="91086693001001"/>
    <n v="-9.57"/>
    <n v="244"/>
    <n v="1"/>
    <n v="1"/>
  </r>
  <r>
    <m/>
    <m/>
    <x v="1"/>
    <s v="91233206001001"/>
    <n v="-19.170000000000002"/>
    <n v="489"/>
    <n v="1"/>
    <n v="1"/>
  </r>
  <r>
    <m/>
    <m/>
    <x v="1"/>
    <s v="91441748001001"/>
    <n v="-48.27"/>
    <n v="1231"/>
    <n v="1"/>
    <n v="1"/>
  </r>
  <r>
    <m/>
    <m/>
    <x v="1"/>
    <s v="91911316001004"/>
    <n v="-22.23"/>
    <n v="567"/>
    <n v="1"/>
    <n v="1"/>
  </r>
  <r>
    <m/>
    <m/>
    <x v="1"/>
    <s v="91947072001002"/>
    <n v="-20.350000000000001"/>
    <n v="519"/>
    <n v="1"/>
    <n v="1"/>
  </r>
  <r>
    <m/>
    <m/>
    <x v="1"/>
    <s v="92631033001005"/>
    <n v="-51.76"/>
    <n v="1320"/>
    <n v="1"/>
    <n v="1"/>
  </r>
  <r>
    <m/>
    <m/>
    <x v="1"/>
    <s v="92711390001001"/>
    <n v="-17.100000000000001"/>
    <n v="436"/>
    <n v="1"/>
    <n v="1"/>
  </r>
  <r>
    <m/>
    <m/>
    <x v="1"/>
    <s v="92775127001001"/>
    <n v="-21.64"/>
    <n v="552"/>
    <n v="1"/>
    <n v="1"/>
  </r>
  <r>
    <m/>
    <m/>
    <x v="1"/>
    <s v="92883803001003"/>
    <n v="-31.76"/>
    <n v="810"/>
    <n v="1"/>
    <n v="1"/>
  </r>
  <r>
    <m/>
    <m/>
    <x v="1"/>
    <s v="92960404001001"/>
    <n v="-43.92"/>
    <n v="1120"/>
    <n v="1"/>
    <n v="1"/>
  </r>
  <r>
    <m/>
    <m/>
    <x v="1"/>
    <s v="93053068001003"/>
    <n v="-43.05"/>
    <n v="1098"/>
    <n v="1"/>
    <n v="1"/>
  </r>
  <r>
    <m/>
    <m/>
    <x v="1"/>
    <s v="93280654001004"/>
    <n v="-20.39"/>
    <n v="520"/>
    <n v="1"/>
    <n v="1"/>
  </r>
  <r>
    <m/>
    <m/>
    <x v="1"/>
    <s v="93295699001010"/>
    <n v="-20.78"/>
    <n v="530"/>
    <n v="1"/>
    <n v="1"/>
  </r>
  <r>
    <m/>
    <m/>
    <x v="1"/>
    <s v="93332324001001"/>
    <n v="-5.72"/>
    <n v="146"/>
    <n v="1"/>
    <n v="1"/>
  </r>
  <r>
    <m/>
    <m/>
    <x v="1"/>
    <s v="93416826004001"/>
    <n v="-14.47"/>
    <n v="369"/>
    <n v="1"/>
    <n v="1"/>
  </r>
  <r>
    <m/>
    <m/>
    <x v="1"/>
    <s v="93447974001001"/>
    <n v="-41.76"/>
    <n v="1065"/>
    <n v="1"/>
    <n v="1"/>
  </r>
  <r>
    <m/>
    <m/>
    <x v="1"/>
    <s v="93483899001002"/>
    <n v="-18.27"/>
    <n v="466"/>
    <n v="1"/>
    <n v="1"/>
  </r>
  <r>
    <m/>
    <m/>
    <x v="1"/>
    <s v="93525219001001"/>
    <n v="-14.08"/>
    <n v="359"/>
    <n v="1"/>
    <n v="1"/>
  </r>
  <r>
    <m/>
    <m/>
    <x v="1"/>
    <s v="93549993001001"/>
    <n v="-43.92"/>
    <n v="1120"/>
    <n v="1"/>
    <n v="1"/>
  </r>
  <r>
    <m/>
    <m/>
    <x v="1"/>
    <s v="93630806001004"/>
    <n v="-35.99"/>
    <n v="918"/>
    <n v="1"/>
    <n v="1"/>
  </r>
  <r>
    <m/>
    <m/>
    <x v="1"/>
    <s v="93645499001014"/>
    <n v="-17.37"/>
    <n v="443"/>
    <n v="1"/>
    <n v="1"/>
  </r>
  <r>
    <m/>
    <m/>
    <x v="1"/>
    <s v="93853061001004"/>
    <n v="-21.45"/>
    <n v="547"/>
    <n v="1"/>
    <n v="1"/>
  </r>
  <r>
    <m/>
    <m/>
    <x v="1"/>
    <s v="94027788001002"/>
    <n v="-26.11"/>
    <n v="666"/>
    <n v="1"/>
    <n v="1"/>
  </r>
  <r>
    <m/>
    <m/>
    <x v="1"/>
    <s v="94167857001010"/>
    <n v="-5.0599999999999996"/>
    <n v="129"/>
    <n v="1"/>
    <n v="1"/>
  </r>
  <r>
    <m/>
    <m/>
    <x v="1"/>
    <s v="94294869001001"/>
    <n v="-23.25"/>
    <n v="593"/>
    <n v="1"/>
    <n v="1"/>
  </r>
  <r>
    <m/>
    <m/>
    <x v="1"/>
    <s v="94384624001001"/>
    <n v="-15.45"/>
    <n v="394"/>
    <n v="1"/>
    <n v="1"/>
  </r>
  <r>
    <m/>
    <m/>
    <x v="1"/>
    <s v="94490206001005"/>
    <n v="-3.84"/>
    <n v="98"/>
    <n v="1"/>
    <n v="1"/>
  </r>
  <r>
    <m/>
    <m/>
    <x v="1"/>
    <s v="94506465001003"/>
    <n v="-38.11"/>
    <n v="972"/>
    <n v="1"/>
    <n v="1"/>
  </r>
  <r>
    <m/>
    <m/>
    <x v="1"/>
    <s v="94703589005001"/>
    <n v="-2.35"/>
    <n v="60"/>
    <n v="1"/>
    <n v="1"/>
  </r>
  <r>
    <m/>
    <m/>
    <x v="1"/>
    <s v="94860723001003"/>
    <n v="-26.51"/>
    <n v="676"/>
    <n v="1"/>
    <n v="1"/>
  </r>
  <r>
    <m/>
    <m/>
    <x v="1"/>
    <s v="94938062001001"/>
    <n v="-20.62"/>
    <n v="526"/>
    <n v="1"/>
    <n v="1"/>
  </r>
  <r>
    <m/>
    <m/>
    <x v="1"/>
    <s v="95066278001003"/>
    <n v="-50.89"/>
    <n v="1298"/>
    <n v="1"/>
    <n v="1"/>
  </r>
  <r>
    <m/>
    <m/>
    <x v="1"/>
    <s v="95131113005001"/>
    <n v="-54.19"/>
    <n v="1382"/>
    <n v="1"/>
    <n v="1"/>
  </r>
  <r>
    <m/>
    <m/>
    <x v="1"/>
    <s v="95275266001003"/>
    <n v="-25.21"/>
    <n v="643"/>
    <n v="1"/>
    <n v="1"/>
  </r>
  <r>
    <m/>
    <m/>
    <x v="1"/>
    <s v="95429454001002"/>
    <n v="-1.33"/>
    <n v="34"/>
    <n v="1"/>
    <n v="1"/>
  </r>
  <r>
    <m/>
    <m/>
    <x v="1"/>
    <s v="95833151003001"/>
    <n v="-10.119999999999999"/>
    <n v="258"/>
    <n v="1"/>
    <n v="1"/>
  </r>
  <r>
    <m/>
    <m/>
    <x v="1"/>
    <s v="96127192001001"/>
    <n v="-25.56"/>
    <n v="652"/>
    <n v="1"/>
    <n v="1"/>
  </r>
  <r>
    <m/>
    <m/>
    <x v="1"/>
    <s v="96171891001007"/>
    <n v="-14.82"/>
    <n v="378"/>
    <n v="1"/>
    <n v="1"/>
  </r>
  <r>
    <m/>
    <m/>
    <x v="1"/>
    <s v="96186430001005"/>
    <n v="-20.55"/>
    <n v="524"/>
    <n v="1"/>
    <n v="1"/>
  </r>
  <r>
    <m/>
    <m/>
    <x v="1"/>
    <s v="96305704001001"/>
    <n v="-31.09"/>
    <n v="793"/>
    <n v="1"/>
    <n v="1"/>
  </r>
  <r>
    <m/>
    <m/>
    <x v="1"/>
    <s v="96336668001003"/>
    <n v="-25.84"/>
    <n v="659"/>
    <n v="1"/>
    <n v="1"/>
  </r>
  <r>
    <m/>
    <m/>
    <x v="1"/>
    <s v="96386777001002"/>
    <n v="-48.5"/>
    <n v="1237"/>
    <n v="1"/>
    <n v="1"/>
  </r>
  <r>
    <m/>
    <m/>
    <x v="1"/>
    <s v="96656563001001"/>
    <n v="-7.18"/>
    <n v="183"/>
    <n v="1"/>
    <n v="1"/>
  </r>
  <r>
    <m/>
    <m/>
    <x v="1"/>
    <s v="96743423001001"/>
    <n v="-6.31"/>
    <n v="161"/>
    <n v="1"/>
    <n v="1"/>
  </r>
  <r>
    <m/>
    <m/>
    <x v="1"/>
    <s v="96816452001001"/>
    <n v="-5.8"/>
    <n v="148"/>
    <n v="1"/>
    <n v="1"/>
  </r>
  <r>
    <m/>
    <m/>
    <x v="1"/>
    <s v="96882822001001"/>
    <n v="-25.88"/>
    <n v="660"/>
    <n v="1"/>
    <n v="1"/>
  </r>
  <r>
    <m/>
    <m/>
    <x v="1"/>
    <s v="97054411004003"/>
    <n v="-11.57"/>
    <n v="295"/>
    <n v="1"/>
    <n v="1"/>
  </r>
  <r>
    <m/>
    <m/>
    <x v="1"/>
    <s v="97148101001003"/>
    <n v="-6.59"/>
    <n v="168"/>
    <n v="1"/>
    <n v="1"/>
  </r>
  <r>
    <m/>
    <m/>
    <x v="1"/>
    <s v="97157952001008"/>
    <n v="-11.57"/>
    <n v="295"/>
    <n v="1"/>
    <n v="1"/>
  </r>
  <r>
    <m/>
    <m/>
    <x v="1"/>
    <s v="97323566001003"/>
    <n v="-15.49"/>
    <n v="395"/>
    <n v="1"/>
    <n v="1"/>
  </r>
  <r>
    <m/>
    <m/>
    <x v="1"/>
    <s v="97473613001004"/>
    <n v="-7.25"/>
    <n v="185"/>
    <n v="1"/>
    <n v="1"/>
  </r>
  <r>
    <m/>
    <m/>
    <x v="1"/>
    <s v="97778274001003"/>
    <n v="-3.72"/>
    <n v="95"/>
    <n v="1"/>
    <n v="1"/>
  </r>
  <r>
    <m/>
    <m/>
    <x v="1"/>
    <s v="97919016001004"/>
    <n v="-29.96"/>
    <n v="764"/>
    <n v="1"/>
    <n v="1"/>
  </r>
  <r>
    <m/>
    <m/>
    <x v="1"/>
    <s v="97943952002001"/>
    <n v="-38.43"/>
    <n v="980"/>
    <n v="1"/>
    <n v="1"/>
  </r>
  <r>
    <m/>
    <m/>
    <x v="1"/>
    <s v="98004963001002"/>
    <n v="-32.35"/>
    <n v="825"/>
    <n v="1"/>
    <n v="1"/>
  </r>
  <r>
    <m/>
    <m/>
    <x v="1"/>
    <s v="98323580001002"/>
    <n v="-18.309999999999999"/>
    <n v="467"/>
    <n v="1"/>
    <n v="1"/>
  </r>
  <r>
    <m/>
    <m/>
    <x v="1"/>
    <s v="98330301001001"/>
    <n v="-11.68"/>
    <n v="298"/>
    <n v="1"/>
    <n v="1"/>
  </r>
  <r>
    <m/>
    <m/>
    <x v="1"/>
    <s v="98396921001007"/>
    <n v="-8.51"/>
    <n v="217"/>
    <n v="1"/>
    <n v="1"/>
  </r>
  <r>
    <m/>
    <m/>
    <x v="1"/>
    <s v="98478092001001"/>
    <n v="-15.64"/>
    <n v="399"/>
    <n v="1"/>
    <n v="1"/>
  </r>
  <r>
    <m/>
    <m/>
    <x v="1"/>
    <s v="98525309002001"/>
    <n v="-40.43"/>
    <n v="1031"/>
    <n v="1"/>
    <n v="1"/>
  </r>
  <r>
    <m/>
    <m/>
    <x v="1"/>
    <s v="98568936001003"/>
    <n v="-24.47"/>
    <n v="624"/>
    <n v="1"/>
    <n v="1"/>
  </r>
  <r>
    <m/>
    <m/>
    <x v="1"/>
    <s v="98578986001002"/>
    <n v="-28.94"/>
    <n v="738"/>
    <n v="1"/>
    <n v="1"/>
  </r>
  <r>
    <m/>
    <m/>
    <x v="1"/>
    <s v="98706279001001"/>
    <n v="-6.86"/>
    <n v="175"/>
    <n v="1"/>
    <n v="1"/>
  </r>
  <r>
    <m/>
    <m/>
    <x v="1"/>
    <s v="98841325001003"/>
    <n v="-29.45"/>
    <n v="751"/>
    <n v="1"/>
    <n v="1"/>
  </r>
  <r>
    <m/>
    <m/>
    <x v="1"/>
    <s v="99162209001001"/>
    <n v="-48.23"/>
    <n v="1230"/>
    <n v="1"/>
    <n v="1"/>
  </r>
  <r>
    <m/>
    <m/>
    <x v="1"/>
    <s v="99181573002001"/>
    <n v="-13.45"/>
    <n v="343"/>
    <n v="1"/>
    <n v="1"/>
  </r>
  <r>
    <m/>
    <m/>
    <x v="1"/>
    <s v="99207126001001"/>
    <n v="-62.11"/>
    <n v="1584"/>
    <n v="1"/>
    <n v="1"/>
  </r>
  <r>
    <m/>
    <m/>
    <x v="1"/>
    <s v="99215914001001"/>
    <n v="-32.19"/>
    <n v="821"/>
    <n v="1"/>
    <n v="1"/>
  </r>
  <r>
    <m/>
    <m/>
    <x v="1"/>
    <s v="99427689006001"/>
    <n v="-24.43"/>
    <n v="623"/>
    <n v="1"/>
    <n v="1"/>
  </r>
  <r>
    <m/>
    <m/>
    <x v="1"/>
    <s v="99435304001001"/>
    <n v="-21.21"/>
    <n v="541"/>
    <n v="1"/>
    <n v="1"/>
  </r>
  <r>
    <m/>
    <m/>
    <x v="1"/>
    <s v="99609771001001"/>
    <n v="-4.71"/>
    <n v="120"/>
    <n v="1"/>
    <n v="1"/>
  </r>
  <r>
    <m/>
    <m/>
    <x v="4"/>
    <m/>
    <n v="-31282.809999999976"/>
    <n v="797829"/>
    <n v="1207"/>
    <n v="1206"/>
  </r>
  <r>
    <m/>
    <m/>
    <x v="5"/>
    <s v="00148726001003"/>
    <n v="-11.6"/>
    <n v="199"/>
    <n v="1"/>
    <n v="1"/>
  </r>
  <r>
    <m/>
    <m/>
    <x v="1"/>
    <s v="00259343010001"/>
    <n v="-31.7"/>
    <n v="544"/>
    <n v="1"/>
    <n v="1"/>
  </r>
  <r>
    <m/>
    <m/>
    <x v="1"/>
    <s v="00319594001001"/>
    <n v="-6.59"/>
    <n v="113"/>
    <n v="1"/>
    <n v="1"/>
  </r>
  <r>
    <m/>
    <m/>
    <x v="1"/>
    <s v="00365733004005"/>
    <n v="-1.46"/>
    <n v="25"/>
    <n v="1"/>
    <n v="1"/>
  </r>
  <r>
    <m/>
    <m/>
    <x v="1"/>
    <s v="00382666001003"/>
    <n v="-50.7"/>
    <n v="870"/>
    <n v="1"/>
    <n v="1"/>
  </r>
  <r>
    <m/>
    <m/>
    <x v="1"/>
    <s v="00403507003001"/>
    <n v="-74.25"/>
    <n v="1274"/>
    <n v="1"/>
    <n v="1"/>
  </r>
  <r>
    <m/>
    <m/>
    <x v="1"/>
    <s v="00435186001001"/>
    <n v="-10.26"/>
    <n v="176"/>
    <n v="1"/>
    <n v="1"/>
  </r>
  <r>
    <m/>
    <m/>
    <x v="1"/>
    <s v="00447035006001"/>
    <n v="-65.16"/>
    <n v="1118"/>
    <n v="1"/>
    <n v="1"/>
  </r>
  <r>
    <m/>
    <m/>
    <x v="1"/>
    <s v="00477416001005"/>
    <n v="-130.72"/>
    <n v="2243"/>
    <n v="1"/>
    <n v="1"/>
  </r>
  <r>
    <m/>
    <m/>
    <x v="1"/>
    <s v="00546153003003"/>
    <n v="-55.25"/>
    <n v="948"/>
    <n v="1"/>
    <n v="1"/>
  </r>
  <r>
    <m/>
    <m/>
    <x v="1"/>
    <s v="00689227001008"/>
    <n v="-10.32"/>
    <n v="177"/>
    <n v="1"/>
    <n v="1"/>
  </r>
  <r>
    <m/>
    <m/>
    <x v="1"/>
    <s v="00722915001001"/>
    <n v="-25.58"/>
    <n v="439"/>
    <n v="1"/>
    <n v="1"/>
  </r>
  <r>
    <m/>
    <m/>
    <x v="1"/>
    <s v="00730907001001"/>
    <n v="-6.64"/>
    <n v="114"/>
    <n v="1"/>
    <n v="1"/>
  </r>
  <r>
    <m/>
    <m/>
    <x v="1"/>
    <s v="00779681001001"/>
    <n v="-48.84"/>
    <n v="838"/>
    <n v="1"/>
    <n v="1"/>
  </r>
  <r>
    <m/>
    <m/>
    <x v="1"/>
    <s v="00781014001001"/>
    <n v="-19.579999999999998"/>
    <n v="336"/>
    <n v="1"/>
    <n v="1"/>
  </r>
  <r>
    <m/>
    <m/>
    <x v="1"/>
    <s v="00787390005001"/>
    <n v="-19.350000000000001"/>
    <n v="332"/>
    <n v="1"/>
    <n v="1"/>
  </r>
  <r>
    <m/>
    <m/>
    <x v="1"/>
    <s v="00852442003001"/>
    <n v="-118.72"/>
    <n v="2037"/>
    <n v="1"/>
    <n v="1"/>
  </r>
  <r>
    <m/>
    <m/>
    <x v="1"/>
    <s v="00906029001008"/>
    <n v="-19.989999999999998"/>
    <n v="343"/>
    <n v="1"/>
    <n v="1"/>
  </r>
  <r>
    <m/>
    <m/>
    <x v="1"/>
    <s v="01058313001005"/>
    <n v="-66.5"/>
    <n v="1141"/>
    <n v="1"/>
    <n v="1"/>
  </r>
  <r>
    <m/>
    <m/>
    <x v="1"/>
    <s v="01092252001001"/>
    <n v="-26.69"/>
    <n v="458"/>
    <n v="1"/>
    <n v="1"/>
  </r>
  <r>
    <m/>
    <m/>
    <x v="1"/>
    <s v="01312177001001"/>
    <n v="-0.7"/>
    <n v="12"/>
    <n v="1"/>
    <n v="1"/>
  </r>
  <r>
    <m/>
    <m/>
    <x v="1"/>
    <s v="01346674001004"/>
    <n v="-10.43"/>
    <n v="179"/>
    <n v="1"/>
    <n v="1"/>
  </r>
  <r>
    <m/>
    <m/>
    <x v="1"/>
    <s v="01403700005001"/>
    <n v="-18.18"/>
    <n v="312"/>
    <n v="1"/>
    <n v="1"/>
  </r>
  <r>
    <m/>
    <m/>
    <x v="1"/>
    <s v="01570655003001"/>
    <n v="-28.44"/>
    <n v="488"/>
    <n v="1"/>
    <n v="1"/>
  </r>
  <r>
    <m/>
    <m/>
    <x v="1"/>
    <s v="01701580001001"/>
    <n v="-38.17"/>
    <n v="655"/>
    <n v="1"/>
    <n v="1"/>
  </r>
  <r>
    <m/>
    <m/>
    <x v="1"/>
    <s v="01752705001001"/>
    <n v="-64.63"/>
    <n v="1109"/>
    <n v="1"/>
    <n v="1"/>
  </r>
  <r>
    <m/>
    <m/>
    <x v="1"/>
    <s v="01775038001002"/>
    <n v="-31.12"/>
    <n v="534"/>
    <n v="1"/>
    <n v="1"/>
  </r>
  <r>
    <m/>
    <m/>
    <x v="1"/>
    <s v="02050383001001"/>
    <n v="-52.57"/>
    <n v="902"/>
    <n v="1"/>
    <n v="1"/>
  </r>
  <r>
    <m/>
    <m/>
    <x v="1"/>
    <s v="02094728002012"/>
    <n v="-21.68"/>
    <n v="372"/>
    <n v="1"/>
    <n v="1"/>
  </r>
  <r>
    <m/>
    <m/>
    <x v="1"/>
    <s v="02164047003001"/>
    <n v="-55.77"/>
    <n v="957"/>
    <n v="1"/>
    <n v="1"/>
  </r>
  <r>
    <m/>
    <m/>
    <x v="1"/>
    <s v="02179705001007"/>
    <n v="-52.28"/>
    <n v="897"/>
    <n v="1"/>
    <n v="1"/>
  </r>
  <r>
    <m/>
    <m/>
    <x v="1"/>
    <s v="02232792001001"/>
    <n v="-32"/>
    <n v="549"/>
    <n v="1"/>
    <n v="1"/>
  </r>
  <r>
    <m/>
    <m/>
    <x v="1"/>
    <s v="02342104001006"/>
    <n v="-15.09"/>
    <n v="259"/>
    <n v="1"/>
    <n v="1"/>
  </r>
  <r>
    <m/>
    <m/>
    <x v="1"/>
    <s v="02380352002001"/>
    <n v="-9.15"/>
    <n v="157"/>
    <n v="1"/>
    <n v="1"/>
  </r>
  <r>
    <m/>
    <m/>
    <x v="1"/>
    <s v="02393997001015"/>
    <n v="-23.95"/>
    <n v="411"/>
    <n v="1"/>
    <n v="1"/>
  </r>
  <r>
    <m/>
    <m/>
    <x v="1"/>
    <s v="02412878001003"/>
    <n v="-35.08"/>
    <n v="602"/>
    <n v="1"/>
    <n v="1"/>
  </r>
  <r>
    <m/>
    <m/>
    <x v="1"/>
    <s v="02425825002002"/>
    <n v="-32.29"/>
    <n v="554"/>
    <n v="1"/>
    <n v="1"/>
  </r>
  <r>
    <m/>
    <m/>
    <x v="1"/>
    <s v="02434713001004"/>
    <n v="-5.01"/>
    <n v="86"/>
    <n v="1"/>
    <n v="1"/>
  </r>
  <r>
    <m/>
    <m/>
    <x v="1"/>
    <s v="02447419003012"/>
    <n v="-38"/>
    <n v="652"/>
    <n v="1"/>
    <n v="1"/>
  </r>
  <r>
    <m/>
    <m/>
    <x v="1"/>
    <s v="02464003001001"/>
    <n v="-47.15"/>
    <n v="809"/>
    <n v="1"/>
    <n v="1"/>
  </r>
  <r>
    <m/>
    <m/>
    <x v="1"/>
    <s v="02485811001007"/>
    <n v="-20.46"/>
    <n v="351"/>
    <n v="1"/>
    <n v="1"/>
  </r>
  <r>
    <m/>
    <m/>
    <x v="1"/>
    <s v="02486188001001"/>
    <n v="-54.84"/>
    <n v="941"/>
    <n v="1"/>
    <n v="1"/>
  </r>
  <r>
    <m/>
    <m/>
    <x v="1"/>
    <s v="02514781001007"/>
    <n v="-9.15"/>
    <n v="157"/>
    <n v="1"/>
    <n v="1"/>
  </r>
  <r>
    <m/>
    <m/>
    <x v="1"/>
    <s v="02622939006001"/>
    <n v="-16.38"/>
    <n v="281"/>
    <n v="1"/>
    <n v="1"/>
  </r>
  <r>
    <m/>
    <m/>
    <x v="1"/>
    <s v="02683413001001"/>
    <n v="-23.6"/>
    <n v="405"/>
    <n v="1"/>
    <n v="1"/>
  </r>
  <r>
    <m/>
    <m/>
    <x v="1"/>
    <s v="02704694001001"/>
    <n v="-60.49"/>
    <n v="1038"/>
    <n v="1"/>
    <n v="1"/>
  </r>
  <r>
    <m/>
    <m/>
    <x v="1"/>
    <s v="02792185008001"/>
    <n v="-20.34"/>
    <n v="349"/>
    <n v="1"/>
    <n v="1"/>
  </r>
  <r>
    <m/>
    <m/>
    <x v="1"/>
    <s v="02819465001001"/>
    <n v="-22.5"/>
    <n v="386"/>
    <n v="1"/>
    <n v="1"/>
  </r>
  <r>
    <m/>
    <m/>
    <x v="1"/>
    <s v="02884496001010"/>
    <n v="-77.45"/>
    <n v="1329"/>
    <n v="1"/>
    <n v="1"/>
  </r>
  <r>
    <m/>
    <m/>
    <x v="1"/>
    <s v="03013295002003"/>
    <n v="-21.51"/>
    <n v="369"/>
    <n v="1"/>
    <n v="1"/>
  </r>
  <r>
    <m/>
    <m/>
    <x v="1"/>
    <s v="03018483004001"/>
    <n v="-31.88"/>
    <n v="547"/>
    <n v="1"/>
    <n v="1"/>
  </r>
  <r>
    <m/>
    <m/>
    <x v="1"/>
    <s v="03019509001001"/>
    <n v="-48.37"/>
    <n v="830"/>
    <n v="1"/>
    <n v="1"/>
  </r>
  <r>
    <m/>
    <m/>
    <x v="1"/>
    <s v="03040052001003"/>
    <n v="-86.72"/>
    <n v="1488"/>
    <n v="1"/>
    <n v="1"/>
  </r>
  <r>
    <m/>
    <m/>
    <x v="1"/>
    <s v="03051677001003"/>
    <n v="-75.239999999999995"/>
    <n v="1291"/>
    <n v="1"/>
    <n v="1"/>
  </r>
  <r>
    <m/>
    <m/>
    <x v="1"/>
    <s v="03074570001005"/>
    <n v="-74.48"/>
    <n v="1278"/>
    <n v="1"/>
    <n v="1"/>
  </r>
  <r>
    <m/>
    <m/>
    <x v="1"/>
    <s v="03088248001005"/>
    <n v="-44.76"/>
    <n v="768"/>
    <n v="1"/>
    <n v="1"/>
  </r>
  <r>
    <m/>
    <m/>
    <x v="1"/>
    <s v="03107202002001"/>
    <n v="-27.92"/>
    <n v="479"/>
    <n v="1"/>
    <n v="1"/>
  </r>
  <r>
    <m/>
    <m/>
    <x v="1"/>
    <s v="03308022002001"/>
    <n v="-69"/>
    <n v="1184"/>
    <n v="1"/>
    <n v="1"/>
  </r>
  <r>
    <m/>
    <m/>
    <x v="1"/>
    <s v="03330463001002"/>
    <n v="-41.5"/>
    <n v="712"/>
    <n v="1"/>
    <n v="1"/>
  </r>
  <r>
    <m/>
    <m/>
    <x v="1"/>
    <s v="03366536001005"/>
    <n v="-3.67"/>
    <n v="63"/>
    <n v="1"/>
    <n v="1"/>
  </r>
  <r>
    <m/>
    <m/>
    <x v="1"/>
    <s v="03379746001001"/>
    <n v="-49.83"/>
    <n v="855"/>
    <n v="1"/>
    <n v="1"/>
  </r>
  <r>
    <m/>
    <m/>
    <x v="1"/>
    <s v="03391201005001"/>
    <n v="-49.71"/>
    <n v="853"/>
    <n v="1"/>
    <n v="1"/>
  </r>
  <r>
    <m/>
    <m/>
    <x v="1"/>
    <s v="03498939002001"/>
    <n v="-53.73"/>
    <n v="922"/>
    <n v="1"/>
    <n v="1"/>
  </r>
  <r>
    <m/>
    <m/>
    <x v="1"/>
    <s v="03499851001005"/>
    <n v="-65.22"/>
    <n v="1119"/>
    <n v="1"/>
    <n v="1"/>
  </r>
  <r>
    <m/>
    <m/>
    <x v="1"/>
    <s v="03554715002003"/>
    <n v="-37.119999999999997"/>
    <n v="637"/>
    <n v="1"/>
    <n v="1"/>
  </r>
  <r>
    <m/>
    <m/>
    <x v="1"/>
    <s v="03739009003001"/>
    <n v="-38.46"/>
    <n v="660"/>
    <n v="1"/>
    <n v="1"/>
  </r>
  <r>
    <m/>
    <m/>
    <x v="1"/>
    <s v="03983250001004"/>
    <n v="-57.93"/>
    <n v="994"/>
    <n v="1"/>
    <n v="1"/>
  </r>
  <r>
    <m/>
    <m/>
    <x v="1"/>
    <s v="04036291001005"/>
    <n v="-75.819999999999993"/>
    <n v="1301"/>
    <n v="1"/>
    <n v="1"/>
  </r>
  <r>
    <m/>
    <m/>
    <x v="1"/>
    <s v="04195526001007"/>
    <n v="-25.18"/>
    <n v="432"/>
    <n v="1"/>
    <n v="1"/>
  </r>
  <r>
    <m/>
    <m/>
    <x v="1"/>
    <s v="04366073001001"/>
    <n v="-24.36"/>
    <n v="418"/>
    <n v="1"/>
    <n v="1"/>
  </r>
  <r>
    <m/>
    <m/>
    <x v="1"/>
    <s v="04587647002001"/>
    <n v="-87.36"/>
    <n v="1499"/>
    <n v="1"/>
    <n v="1"/>
  </r>
  <r>
    <m/>
    <m/>
    <x v="1"/>
    <s v="04639874001001"/>
    <n v="-27.57"/>
    <n v="473"/>
    <n v="1"/>
    <n v="1"/>
  </r>
  <r>
    <m/>
    <m/>
    <x v="1"/>
    <s v="04642237001003"/>
    <n v="-12.76"/>
    <n v="219"/>
    <n v="1"/>
    <n v="1"/>
  </r>
  <r>
    <m/>
    <m/>
    <x v="1"/>
    <s v="04805152001005"/>
    <n v="-57.11"/>
    <n v="980"/>
    <n v="1"/>
    <n v="1"/>
  </r>
  <r>
    <m/>
    <m/>
    <x v="1"/>
    <s v="04914620002001"/>
    <n v="-34.56"/>
    <n v="593"/>
    <n v="1"/>
    <n v="1"/>
  </r>
  <r>
    <m/>
    <m/>
    <x v="1"/>
    <s v="05055558001001"/>
    <n v="-25.06"/>
    <n v="430"/>
    <n v="1"/>
    <n v="1"/>
  </r>
  <r>
    <m/>
    <m/>
    <x v="1"/>
    <s v="05077001002001"/>
    <n v="-3.67"/>
    <n v="63"/>
    <n v="1"/>
    <n v="1"/>
  </r>
  <r>
    <m/>
    <m/>
    <x v="1"/>
    <s v="05105357001003"/>
    <n v="-5.71"/>
    <n v="98"/>
    <n v="1"/>
    <n v="1"/>
  </r>
  <r>
    <m/>
    <m/>
    <x v="1"/>
    <s v="05112776001003"/>
    <n v="-21.8"/>
    <n v="374"/>
    <n v="1"/>
    <n v="1"/>
  </r>
  <r>
    <m/>
    <m/>
    <x v="1"/>
    <s v="05178218001003"/>
    <n v="-57.29"/>
    <n v="983"/>
    <n v="1"/>
    <n v="1"/>
  </r>
  <r>
    <m/>
    <m/>
    <x v="1"/>
    <s v="05214090001003"/>
    <n v="-19.350000000000001"/>
    <n v="332"/>
    <n v="1"/>
    <n v="1"/>
  </r>
  <r>
    <m/>
    <m/>
    <x v="1"/>
    <s v="05222943001009"/>
    <n v="-59.56"/>
    <n v="1022"/>
    <n v="1"/>
    <n v="1"/>
  </r>
  <r>
    <m/>
    <m/>
    <x v="1"/>
    <s v="05234970001001"/>
    <n v="-26.63"/>
    <n v="457"/>
    <n v="1"/>
    <n v="1"/>
  </r>
  <r>
    <m/>
    <m/>
    <x v="1"/>
    <s v="05499075001003"/>
    <n v="-29.84"/>
    <n v="512"/>
    <n v="1"/>
    <n v="1"/>
  </r>
  <r>
    <m/>
    <m/>
    <x v="1"/>
    <s v="05860137001003"/>
    <n v="-7.11"/>
    <n v="122"/>
    <n v="1"/>
    <n v="1"/>
  </r>
  <r>
    <m/>
    <m/>
    <x v="1"/>
    <s v="05861722001003"/>
    <n v="-54.38"/>
    <n v="933"/>
    <n v="1"/>
    <n v="1"/>
  </r>
  <r>
    <m/>
    <m/>
    <x v="1"/>
    <s v="06200267001003"/>
    <n v="-20.34"/>
    <n v="349"/>
    <n v="1"/>
    <n v="1"/>
  </r>
  <r>
    <m/>
    <m/>
    <x v="1"/>
    <s v="06309819004001"/>
    <n v="-37.880000000000003"/>
    <n v="650"/>
    <n v="1"/>
    <n v="1"/>
  </r>
  <r>
    <m/>
    <m/>
    <x v="1"/>
    <s v="06359444001001"/>
    <n v="-56.01"/>
    <n v="961"/>
    <n v="1"/>
    <n v="1"/>
  </r>
  <r>
    <m/>
    <m/>
    <x v="1"/>
    <s v="06382830001001"/>
    <n v="-59.21"/>
    <n v="1016"/>
    <n v="1"/>
    <n v="1"/>
  </r>
  <r>
    <m/>
    <m/>
    <x v="1"/>
    <s v="06440891001007"/>
    <n v="-58.75"/>
    <n v="1008"/>
    <n v="1"/>
    <n v="1"/>
  </r>
  <r>
    <m/>
    <m/>
    <x v="1"/>
    <s v="06543425001011"/>
    <n v="-81.36"/>
    <n v="1396"/>
    <n v="1"/>
    <n v="1"/>
  </r>
  <r>
    <m/>
    <m/>
    <x v="1"/>
    <s v="06563369001001"/>
    <n v="-96.98"/>
    <n v="1664"/>
    <n v="1"/>
    <n v="1"/>
  </r>
  <r>
    <m/>
    <m/>
    <x v="1"/>
    <s v="06580144002011"/>
    <n v="-18.59"/>
    <n v="319"/>
    <n v="1"/>
    <n v="1"/>
  </r>
  <r>
    <m/>
    <m/>
    <x v="1"/>
    <s v="06650635001001"/>
    <n v="-15.15"/>
    <n v="260"/>
    <n v="1"/>
    <n v="1"/>
  </r>
  <r>
    <m/>
    <m/>
    <x v="1"/>
    <s v="06651048001002"/>
    <n v="-82.58"/>
    <n v="1417"/>
    <n v="1"/>
    <n v="1"/>
  </r>
  <r>
    <m/>
    <m/>
    <x v="1"/>
    <s v="06670399001005"/>
    <n v="-46.1"/>
    <n v="791"/>
    <n v="1"/>
    <n v="1"/>
  </r>
  <r>
    <m/>
    <m/>
    <x v="1"/>
    <s v="06761853001001"/>
    <n v="-53.5"/>
    <n v="918"/>
    <n v="1"/>
    <n v="1"/>
  </r>
  <r>
    <m/>
    <m/>
    <x v="1"/>
    <s v="06797083002002"/>
    <n v="-6.7"/>
    <n v="115"/>
    <n v="1"/>
    <n v="1"/>
  </r>
  <r>
    <m/>
    <m/>
    <x v="1"/>
    <s v="06840429001005"/>
    <n v="-11.71"/>
    <n v="201"/>
    <n v="1"/>
    <n v="1"/>
  </r>
  <r>
    <m/>
    <m/>
    <x v="1"/>
    <s v="06850200002007"/>
    <n v="-7.63"/>
    <n v="131"/>
    <n v="1"/>
    <n v="1"/>
  </r>
  <r>
    <m/>
    <m/>
    <x v="1"/>
    <s v="06934010001008"/>
    <n v="-30.42"/>
    <n v="522"/>
    <n v="1"/>
    <n v="1"/>
  </r>
  <r>
    <m/>
    <m/>
    <x v="1"/>
    <s v="06956115001001"/>
    <n v="-79.73"/>
    <n v="1368"/>
    <n v="1"/>
    <n v="1"/>
  </r>
  <r>
    <m/>
    <m/>
    <x v="1"/>
    <s v="06957333004001"/>
    <n v="-67.84"/>
    <n v="1164"/>
    <n v="1"/>
    <n v="1"/>
  </r>
  <r>
    <m/>
    <m/>
    <x v="1"/>
    <s v="07188065003001"/>
    <n v="-41.67"/>
    <n v="715"/>
    <n v="1"/>
    <n v="1"/>
  </r>
  <r>
    <m/>
    <m/>
    <x v="1"/>
    <s v="07219889001001"/>
    <n v="-34.5"/>
    <n v="592"/>
    <n v="1"/>
    <n v="1"/>
  </r>
  <r>
    <m/>
    <m/>
    <x v="1"/>
    <s v="07248551001001"/>
    <n v="-15.85"/>
    <n v="272"/>
    <n v="1"/>
    <n v="1"/>
  </r>
  <r>
    <m/>
    <m/>
    <x v="1"/>
    <s v="07343513002001"/>
    <n v="-95.58"/>
    <n v="1640"/>
    <n v="1"/>
    <n v="1"/>
  </r>
  <r>
    <m/>
    <m/>
    <x v="1"/>
    <s v="07424854003003"/>
    <n v="-84.86"/>
    <n v="1456"/>
    <n v="1"/>
    <n v="1"/>
  </r>
  <r>
    <m/>
    <m/>
    <x v="1"/>
    <s v="07576140001005"/>
    <n v="-20.34"/>
    <n v="349"/>
    <n v="1"/>
    <n v="1"/>
  </r>
  <r>
    <m/>
    <m/>
    <x v="1"/>
    <s v="07692401004003"/>
    <n v="-59.39"/>
    <n v="1019"/>
    <n v="1"/>
    <n v="1"/>
  </r>
  <r>
    <m/>
    <m/>
    <x v="1"/>
    <s v="07753575001007"/>
    <n v="-45.23"/>
    <n v="776"/>
    <n v="1"/>
    <n v="1"/>
  </r>
  <r>
    <m/>
    <m/>
    <x v="1"/>
    <s v="07790450003001"/>
    <n v="-56.07"/>
    <n v="962"/>
    <n v="1"/>
    <n v="1"/>
  </r>
  <r>
    <m/>
    <m/>
    <x v="1"/>
    <s v="07805842001001"/>
    <n v="-21.56"/>
    <n v="370"/>
    <n v="1"/>
    <n v="1"/>
  </r>
  <r>
    <m/>
    <m/>
    <x v="1"/>
    <s v="07928044001004"/>
    <n v="-42.37"/>
    <n v="727"/>
    <n v="1"/>
    <n v="1"/>
  </r>
  <r>
    <m/>
    <m/>
    <x v="1"/>
    <s v="08047179002001"/>
    <n v="-34.97"/>
    <n v="600"/>
    <n v="1"/>
    <n v="1"/>
  </r>
  <r>
    <m/>
    <m/>
    <x v="1"/>
    <s v="08056389001001"/>
    <n v="-2.39"/>
    <n v="41"/>
    <n v="1"/>
    <n v="1"/>
  </r>
  <r>
    <m/>
    <m/>
    <x v="1"/>
    <s v="08101639001005"/>
    <n v="-40.21"/>
    <n v="690"/>
    <n v="1"/>
    <n v="1"/>
  </r>
  <r>
    <m/>
    <m/>
    <x v="1"/>
    <s v="08155953001003"/>
    <n v="-15.97"/>
    <n v="274"/>
    <n v="1"/>
    <n v="1"/>
  </r>
  <r>
    <m/>
    <m/>
    <x v="1"/>
    <s v="08205707001003"/>
    <n v="-17.079999999999998"/>
    <n v="293"/>
    <n v="1"/>
    <n v="1"/>
  </r>
  <r>
    <m/>
    <m/>
    <x v="1"/>
    <s v="08228077001003"/>
    <n v="-1.98"/>
    <n v="34"/>
    <n v="1"/>
    <n v="1"/>
  </r>
  <r>
    <m/>
    <m/>
    <x v="1"/>
    <s v="08291880001007"/>
    <n v="-30.71"/>
    <n v="527"/>
    <n v="1"/>
    <n v="1"/>
  </r>
  <r>
    <m/>
    <m/>
    <x v="1"/>
    <s v="08293744002001"/>
    <n v="-59.27"/>
    <n v="1017"/>
    <n v="1"/>
    <n v="1"/>
  </r>
  <r>
    <m/>
    <m/>
    <x v="1"/>
    <s v="08341079003003"/>
    <n v="-32.229999999999997"/>
    <n v="553"/>
    <n v="1"/>
    <n v="1"/>
  </r>
  <r>
    <m/>
    <m/>
    <x v="1"/>
    <s v="08395040001001"/>
    <n v="-74.25"/>
    <n v="1274"/>
    <n v="1"/>
    <n v="1"/>
  </r>
  <r>
    <m/>
    <m/>
    <x v="1"/>
    <s v="08422119001005"/>
    <n v="-38.869999999999997"/>
    <n v="667"/>
    <n v="1"/>
    <n v="1"/>
  </r>
  <r>
    <m/>
    <m/>
    <x v="1"/>
    <s v="08504635004007"/>
    <n v="-42.6"/>
    <n v="731"/>
    <n v="1"/>
    <n v="1"/>
  </r>
  <r>
    <m/>
    <m/>
    <x v="1"/>
    <s v="08551503001003"/>
    <n v="-57.64"/>
    <n v="989"/>
    <n v="1"/>
    <n v="1"/>
  </r>
  <r>
    <m/>
    <m/>
    <x v="1"/>
    <s v="08612150001001"/>
    <n v="-44.06"/>
    <n v="756"/>
    <n v="1"/>
    <n v="1"/>
  </r>
  <r>
    <m/>
    <m/>
    <x v="1"/>
    <s v="08648376001001"/>
    <n v="-63.76"/>
    <n v="1094"/>
    <n v="1"/>
    <n v="1"/>
  </r>
  <r>
    <m/>
    <m/>
    <x v="1"/>
    <s v="08657953002001"/>
    <n v="-17.78"/>
    <n v="305"/>
    <n v="1"/>
    <n v="1"/>
  </r>
  <r>
    <m/>
    <m/>
    <x v="1"/>
    <s v="08662234001004"/>
    <n v="-8.68"/>
    <n v="149"/>
    <n v="1"/>
    <n v="1"/>
  </r>
  <r>
    <m/>
    <m/>
    <x v="1"/>
    <s v="08694261001001"/>
    <n v="-30.83"/>
    <n v="529"/>
    <n v="1"/>
    <n v="1"/>
  </r>
  <r>
    <m/>
    <m/>
    <x v="1"/>
    <s v="08733004003005"/>
    <n v="-52.92"/>
    <n v="908"/>
    <n v="1"/>
    <n v="1"/>
  </r>
  <r>
    <m/>
    <m/>
    <x v="1"/>
    <s v="08749105002001"/>
    <n v="-39.69"/>
    <n v="681"/>
    <n v="1"/>
    <n v="1"/>
  </r>
  <r>
    <m/>
    <m/>
    <x v="1"/>
    <s v="08860390001003"/>
    <n v="-11.66"/>
    <n v="200"/>
    <n v="1"/>
    <n v="1"/>
  </r>
  <r>
    <m/>
    <m/>
    <x v="1"/>
    <s v="08947024001001"/>
    <n v="-29.55"/>
    <n v="507"/>
    <n v="1"/>
    <n v="1"/>
  </r>
  <r>
    <m/>
    <m/>
    <x v="1"/>
    <s v="08951802001002"/>
    <n v="-55.31"/>
    <n v="949"/>
    <n v="1"/>
    <n v="1"/>
  </r>
  <r>
    <m/>
    <m/>
    <x v="1"/>
    <s v="08955164001001"/>
    <n v="-72.33"/>
    <n v="1241"/>
    <n v="1"/>
    <n v="1"/>
  </r>
  <r>
    <m/>
    <m/>
    <x v="1"/>
    <s v="09062578001001"/>
    <n v="-27.62"/>
    <n v="474"/>
    <n v="1"/>
    <n v="1"/>
  </r>
  <r>
    <m/>
    <m/>
    <x v="1"/>
    <s v="09084610002003"/>
    <n v="-47.5"/>
    <n v="815"/>
    <n v="1"/>
    <n v="1"/>
  </r>
  <r>
    <m/>
    <m/>
    <x v="1"/>
    <s v="09125101001001"/>
    <n v="-29.02"/>
    <n v="498"/>
    <n v="1"/>
    <n v="1"/>
  </r>
  <r>
    <m/>
    <m/>
    <x v="1"/>
    <s v="09146355001001"/>
    <n v="-11.01"/>
    <n v="189"/>
    <n v="1"/>
    <n v="1"/>
  </r>
  <r>
    <m/>
    <m/>
    <x v="1"/>
    <s v="09315806002001"/>
    <n v="-13.99"/>
    <n v="240"/>
    <n v="1"/>
    <n v="1"/>
  </r>
  <r>
    <m/>
    <m/>
    <x v="1"/>
    <s v="09318796001003"/>
    <n v="-33.92"/>
    <n v="582"/>
    <n v="1"/>
    <n v="1"/>
  </r>
  <r>
    <m/>
    <m/>
    <x v="1"/>
    <s v="09410352001003"/>
    <n v="-53.21"/>
    <n v="913"/>
    <n v="1"/>
    <n v="1"/>
  </r>
  <r>
    <m/>
    <m/>
    <x v="1"/>
    <s v="09448617003001"/>
    <n v="-53.03"/>
    <n v="910"/>
    <n v="1"/>
    <n v="1"/>
  </r>
  <r>
    <m/>
    <m/>
    <x v="1"/>
    <s v="09451288001001"/>
    <n v="-17.13"/>
    <n v="294"/>
    <n v="1"/>
    <n v="1"/>
  </r>
  <r>
    <m/>
    <m/>
    <x v="1"/>
    <s v="09541206010001"/>
    <n v="-19.93"/>
    <n v="342"/>
    <n v="1"/>
    <n v="1"/>
  </r>
  <r>
    <m/>
    <m/>
    <x v="1"/>
    <s v="09717335001001"/>
    <n v="-44.35"/>
    <n v="761"/>
    <n v="1"/>
    <n v="1"/>
  </r>
  <r>
    <m/>
    <m/>
    <x v="1"/>
    <s v="09742133005001"/>
    <n v="-20.92"/>
    <n v="359"/>
    <n v="1"/>
    <n v="1"/>
  </r>
  <r>
    <m/>
    <m/>
    <x v="1"/>
    <s v="09771064001005"/>
    <n v="-63.64"/>
    <n v="1092"/>
    <n v="1"/>
    <n v="1"/>
  </r>
  <r>
    <m/>
    <m/>
    <x v="1"/>
    <s v="09790156001005"/>
    <n v="-42.95"/>
    <n v="737"/>
    <n v="1"/>
    <n v="1"/>
  </r>
  <r>
    <m/>
    <m/>
    <x v="1"/>
    <s v="09830097001003"/>
    <n v="-66.260000000000005"/>
    <n v="1137"/>
    <n v="1"/>
    <n v="1"/>
  </r>
  <r>
    <m/>
    <m/>
    <x v="1"/>
    <s v="09956672001005"/>
    <n v="-50.47"/>
    <n v="866"/>
    <n v="1"/>
    <n v="1"/>
  </r>
  <r>
    <m/>
    <m/>
    <x v="1"/>
    <s v="10000443001001"/>
    <n v="-33.159999999999997"/>
    <n v="569"/>
    <n v="1"/>
    <n v="1"/>
  </r>
  <r>
    <m/>
    <m/>
    <x v="1"/>
    <s v="10032544001001"/>
    <n v="-31.53"/>
    <n v="541"/>
    <n v="1"/>
    <n v="1"/>
  </r>
  <r>
    <m/>
    <m/>
    <x v="1"/>
    <s v="10044758001004"/>
    <n v="-14.4"/>
    <n v="247"/>
    <n v="1"/>
    <n v="1"/>
  </r>
  <r>
    <m/>
    <m/>
    <x v="1"/>
    <s v="10059606001005"/>
    <n v="-15.21"/>
    <n v="261"/>
    <n v="1"/>
    <n v="1"/>
  </r>
  <r>
    <m/>
    <m/>
    <x v="1"/>
    <s v="10089238001001"/>
    <n v="-21.56"/>
    <n v="370"/>
    <n v="1"/>
    <n v="1"/>
  </r>
  <r>
    <m/>
    <m/>
    <x v="1"/>
    <s v="10135376001003"/>
    <n v="-0.41"/>
    <n v="7"/>
    <n v="1"/>
    <n v="1"/>
  </r>
  <r>
    <m/>
    <m/>
    <x v="1"/>
    <s v="10291136001005"/>
    <n v="-70.989999999999995"/>
    <n v="1218"/>
    <n v="1"/>
    <n v="1"/>
  </r>
  <r>
    <m/>
    <m/>
    <x v="1"/>
    <s v="10342020001001"/>
    <n v="-37.42"/>
    <n v="642"/>
    <n v="1"/>
    <n v="1"/>
  </r>
  <r>
    <m/>
    <m/>
    <x v="1"/>
    <s v="10344859001004"/>
    <n v="-17.89"/>
    <n v="307"/>
    <n v="1"/>
    <n v="1"/>
  </r>
  <r>
    <m/>
    <m/>
    <x v="1"/>
    <s v="10377894001016"/>
    <n v="-47.38"/>
    <n v="813"/>
    <n v="1"/>
    <n v="1"/>
  </r>
  <r>
    <m/>
    <m/>
    <x v="1"/>
    <s v="10414127001001"/>
    <n v="-74.37"/>
    <n v="1276"/>
    <n v="1"/>
    <n v="1"/>
  </r>
  <r>
    <m/>
    <m/>
    <x v="1"/>
    <s v="10506768001003"/>
    <n v="-32.869999999999997"/>
    <n v="564"/>
    <n v="1"/>
    <n v="1"/>
  </r>
  <r>
    <m/>
    <m/>
    <x v="1"/>
    <s v="10532169002004"/>
    <n v="-17.78"/>
    <n v="305"/>
    <n v="1"/>
    <n v="1"/>
  </r>
  <r>
    <m/>
    <m/>
    <x v="1"/>
    <s v="10584250001001"/>
    <n v="-28.62"/>
    <n v="491"/>
    <n v="1"/>
    <n v="1"/>
  </r>
  <r>
    <m/>
    <m/>
    <x v="1"/>
    <s v="10602704001001"/>
    <n v="-49.25"/>
    <n v="845"/>
    <n v="1"/>
    <n v="1"/>
  </r>
  <r>
    <m/>
    <m/>
    <x v="1"/>
    <s v="10701194001007"/>
    <n v="-43.59"/>
    <n v="748"/>
    <n v="1"/>
    <n v="1"/>
  </r>
  <r>
    <m/>
    <m/>
    <x v="1"/>
    <s v="10769950001001"/>
    <n v="-1.28"/>
    <n v="22"/>
    <n v="1"/>
    <n v="1"/>
  </r>
  <r>
    <m/>
    <m/>
    <x v="1"/>
    <s v="10792246001002"/>
    <n v="-25.88"/>
    <n v="444"/>
    <n v="1"/>
    <n v="1"/>
  </r>
  <r>
    <m/>
    <m/>
    <x v="1"/>
    <s v="10827202001001"/>
    <n v="-61.54"/>
    <n v="1056"/>
    <n v="1"/>
    <n v="1"/>
  </r>
  <r>
    <m/>
    <m/>
    <x v="1"/>
    <s v="10852636002001"/>
    <n v="-22.85"/>
    <n v="392"/>
    <n v="1"/>
    <n v="1"/>
  </r>
  <r>
    <m/>
    <m/>
    <x v="1"/>
    <s v="10865475001001"/>
    <n v="-62.88"/>
    <n v="1079"/>
    <n v="1"/>
    <n v="1"/>
  </r>
  <r>
    <m/>
    <m/>
    <x v="1"/>
    <s v="10948443001012"/>
    <n v="-32.64"/>
    <n v="560"/>
    <n v="1"/>
    <n v="1"/>
  </r>
  <r>
    <m/>
    <m/>
    <x v="1"/>
    <s v="11044266002005"/>
    <n v="-46.33"/>
    <n v="795"/>
    <n v="1"/>
    <n v="1"/>
  </r>
  <r>
    <m/>
    <m/>
    <x v="1"/>
    <s v="11152661004001"/>
    <n v="-27.28"/>
    <n v="468"/>
    <n v="1"/>
    <n v="1"/>
  </r>
  <r>
    <m/>
    <m/>
    <x v="1"/>
    <s v="11181273001011"/>
    <n v="-28.5"/>
    <n v="489"/>
    <n v="1"/>
    <n v="1"/>
  </r>
  <r>
    <m/>
    <m/>
    <x v="1"/>
    <s v="11199375001001"/>
    <n v="-21.04"/>
    <n v="361"/>
    <n v="1"/>
    <n v="1"/>
  </r>
  <r>
    <m/>
    <m/>
    <x v="1"/>
    <s v="11307499001004"/>
    <n v="-32.64"/>
    <n v="560"/>
    <n v="1"/>
    <n v="1"/>
  </r>
  <r>
    <m/>
    <m/>
    <x v="1"/>
    <s v="11381042002003"/>
    <n v="-44.76"/>
    <n v="768"/>
    <n v="1"/>
    <n v="1"/>
  </r>
  <r>
    <m/>
    <m/>
    <x v="1"/>
    <s v="11647392001003"/>
    <n v="-1.81"/>
    <n v="31"/>
    <n v="1"/>
    <n v="1"/>
  </r>
  <r>
    <m/>
    <m/>
    <x v="1"/>
    <s v="11675325001001"/>
    <n v="-58.51"/>
    <n v="1004"/>
    <n v="1"/>
    <n v="1"/>
  </r>
  <r>
    <m/>
    <m/>
    <x v="1"/>
    <s v="11718825001001"/>
    <n v="-22.03"/>
    <n v="378"/>
    <n v="1"/>
    <n v="1"/>
  </r>
  <r>
    <m/>
    <m/>
    <x v="1"/>
    <s v="11724480001002"/>
    <n v="-9.5"/>
    <n v="163"/>
    <n v="1"/>
    <n v="1"/>
  </r>
  <r>
    <m/>
    <m/>
    <x v="1"/>
    <s v="11864835001004"/>
    <n v="-141.74"/>
    <n v="2432"/>
    <n v="1"/>
    <n v="1"/>
  </r>
  <r>
    <m/>
    <m/>
    <x v="1"/>
    <s v="11865542001003"/>
    <n v="-21.91"/>
    <n v="376"/>
    <n v="1"/>
    <n v="1"/>
  </r>
  <r>
    <m/>
    <m/>
    <x v="1"/>
    <s v="12081707001007"/>
    <n v="-58.57"/>
    <n v="1005"/>
    <n v="1"/>
    <n v="1"/>
  </r>
  <r>
    <m/>
    <m/>
    <x v="1"/>
    <s v="12161900001001"/>
    <n v="-19.989999999999998"/>
    <n v="343"/>
    <n v="1"/>
    <n v="1"/>
  </r>
  <r>
    <m/>
    <m/>
    <x v="1"/>
    <s v="12178408001003"/>
    <n v="-3.73"/>
    <n v="64"/>
    <n v="1"/>
    <n v="1"/>
  </r>
  <r>
    <m/>
    <m/>
    <x v="1"/>
    <s v="12199696001001"/>
    <n v="-66.150000000000006"/>
    <n v="1135"/>
    <n v="1"/>
    <n v="1"/>
  </r>
  <r>
    <m/>
    <m/>
    <x v="1"/>
    <s v="12325069001003"/>
    <n v="-22.03"/>
    <n v="378"/>
    <n v="1"/>
    <n v="1"/>
  </r>
  <r>
    <m/>
    <m/>
    <x v="1"/>
    <s v="12431136001001"/>
    <n v="-25.64"/>
    <n v="440"/>
    <n v="1"/>
    <n v="1"/>
  </r>
  <r>
    <m/>
    <m/>
    <x v="1"/>
    <s v="12508856001001"/>
    <n v="-17.829999999999998"/>
    <n v="306"/>
    <n v="1"/>
    <n v="1"/>
  </r>
  <r>
    <m/>
    <m/>
    <x v="1"/>
    <s v="12538348002001"/>
    <n v="-48.78"/>
    <n v="837"/>
    <n v="1"/>
    <n v="1"/>
  </r>
  <r>
    <m/>
    <m/>
    <x v="1"/>
    <s v="12640965001001"/>
    <n v="-54.55"/>
    <n v="936"/>
    <n v="1"/>
    <n v="1"/>
  </r>
  <r>
    <m/>
    <m/>
    <x v="1"/>
    <s v="12750086001005"/>
    <n v="-63.99"/>
    <n v="1098"/>
    <n v="1"/>
    <n v="1"/>
  </r>
  <r>
    <m/>
    <m/>
    <x v="1"/>
    <s v="12843580001005"/>
    <n v="-11.6"/>
    <n v="199"/>
    <n v="1"/>
    <n v="1"/>
  </r>
  <r>
    <m/>
    <m/>
    <x v="1"/>
    <s v="12887725001001"/>
    <n v="-27.04"/>
    <n v="464"/>
    <n v="1"/>
    <n v="1"/>
  </r>
  <r>
    <m/>
    <m/>
    <x v="1"/>
    <s v="12890384003001"/>
    <n v="-69.819999999999993"/>
    <n v="1198"/>
    <n v="1"/>
    <n v="1"/>
  </r>
  <r>
    <m/>
    <m/>
    <x v="1"/>
    <s v="12902462003001"/>
    <n v="-16.670000000000002"/>
    <n v="286"/>
    <n v="1"/>
    <n v="1"/>
  </r>
  <r>
    <m/>
    <m/>
    <x v="1"/>
    <s v="12923934001001"/>
    <n v="-1.28"/>
    <n v="22"/>
    <n v="1"/>
    <n v="1"/>
  </r>
  <r>
    <m/>
    <m/>
    <x v="1"/>
    <s v="12968693001002"/>
    <n v="-3.85"/>
    <n v="66"/>
    <n v="1"/>
    <n v="1"/>
  </r>
  <r>
    <m/>
    <m/>
    <x v="1"/>
    <s v="13120231001014"/>
    <n v="-9.9700000000000006"/>
    <n v="171"/>
    <n v="1"/>
    <n v="1"/>
  </r>
  <r>
    <m/>
    <m/>
    <x v="1"/>
    <s v="13147069001001"/>
    <n v="-27.74"/>
    <n v="476"/>
    <n v="1"/>
    <n v="1"/>
  </r>
  <r>
    <m/>
    <m/>
    <x v="1"/>
    <s v="13219544001001"/>
    <n v="-109.39"/>
    <n v="1877"/>
    <n v="1"/>
    <n v="1"/>
  </r>
  <r>
    <m/>
    <m/>
    <x v="1"/>
    <s v="13319972001001"/>
    <n v="-1.75"/>
    <n v="30"/>
    <n v="1"/>
    <n v="1"/>
  </r>
  <r>
    <m/>
    <m/>
    <x v="1"/>
    <s v="13392614001001"/>
    <n v="-3.03"/>
    <n v="52"/>
    <n v="1"/>
    <n v="1"/>
  </r>
  <r>
    <m/>
    <m/>
    <x v="1"/>
    <s v="13434804001011"/>
    <n v="-50.94"/>
    <n v="874"/>
    <n v="1"/>
    <n v="1"/>
  </r>
  <r>
    <m/>
    <m/>
    <x v="1"/>
    <s v="13623153001006"/>
    <n v="-58.92"/>
    <n v="1011"/>
    <n v="1"/>
    <n v="1"/>
  </r>
  <r>
    <m/>
    <m/>
    <x v="1"/>
    <s v="13664271001001"/>
    <n v="-15.27"/>
    <n v="262"/>
    <n v="1"/>
    <n v="1"/>
  </r>
  <r>
    <m/>
    <m/>
    <x v="1"/>
    <s v="13666615002003"/>
    <n v="-29.14"/>
    <n v="500"/>
    <n v="1"/>
    <n v="1"/>
  </r>
  <r>
    <m/>
    <m/>
    <x v="1"/>
    <s v="13731146001001"/>
    <n v="-9.27"/>
    <n v="159"/>
    <n v="1"/>
    <n v="1"/>
  </r>
  <r>
    <m/>
    <m/>
    <x v="1"/>
    <s v="13794916004003"/>
    <n v="-80.08"/>
    <n v="1374"/>
    <n v="1"/>
    <n v="1"/>
  </r>
  <r>
    <m/>
    <m/>
    <x v="1"/>
    <s v="13882655001005"/>
    <n v="-92.96"/>
    <n v="1595"/>
    <n v="1"/>
    <n v="1"/>
  </r>
  <r>
    <m/>
    <m/>
    <x v="1"/>
    <s v="13950661003001"/>
    <n v="-2.04"/>
    <n v="35"/>
    <n v="1"/>
    <n v="1"/>
  </r>
  <r>
    <m/>
    <m/>
    <x v="1"/>
    <s v="14105636001003"/>
    <n v="-94.41"/>
    <n v="1620"/>
    <n v="1"/>
    <n v="1"/>
  </r>
  <r>
    <m/>
    <m/>
    <x v="1"/>
    <s v="14112463001010"/>
    <n v="-76.52"/>
    <n v="1313"/>
    <n v="1"/>
    <n v="1"/>
  </r>
  <r>
    <m/>
    <m/>
    <x v="1"/>
    <s v="14125814001005"/>
    <n v="-12.59"/>
    <n v="216"/>
    <n v="1"/>
    <n v="1"/>
  </r>
  <r>
    <m/>
    <m/>
    <x v="1"/>
    <s v="14158880001001"/>
    <n v="-51.34"/>
    <n v="881"/>
    <n v="1"/>
    <n v="1"/>
  </r>
  <r>
    <m/>
    <m/>
    <x v="1"/>
    <s v="14171251001006"/>
    <n v="-21.97"/>
    <n v="377"/>
    <n v="1"/>
    <n v="1"/>
  </r>
  <r>
    <m/>
    <m/>
    <x v="1"/>
    <s v="14201594001002"/>
    <n v="-9.67"/>
    <n v="166"/>
    <n v="1"/>
    <n v="1"/>
  </r>
  <r>
    <m/>
    <m/>
    <x v="1"/>
    <s v="14414244001001"/>
    <n v="-70.930000000000007"/>
    <n v="1217"/>
    <n v="1"/>
    <n v="1"/>
  </r>
  <r>
    <m/>
    <m/>
    <x v="1"/>
    <s v="14417667001001"/>
    <n v="-25.47"/>
    <n v="437"/>
    <n v="1"/>
    <n v="1"/>
  </r>
  <r>
    <m/>
    <m/>
    <x v="1"/>
    <s v="14544335001001"/>
    <n v="-6.53"/>
    <n v="112"/>
    <n v="1"/>
    <n v="1"/>
  </r>
  <r>
    <m/>
    <m/>
    <x v="1"/>
    <s v="14546711001003"/>
    <n v="-15.56"/>
    <n v="267"/>
    <n v="1"/>
    <n v="1"/>
  </r>
  <r>
    <m/>
    <m/>
    <x v="1"/>
    <s v="14606942002003"/>
    <n v="-51.87"/>
    <n v="890"/>
    <n v="1"/>
    <n v="1"/>
  </r>
  <r>
    <m/>
    <m/>
    <x v="1"/>
    <s v="14688187005003"/>
    <n v="-32.11"/>
    <n v="551"/>
    <n v="1"/>
    <n v="1"/>
  </r>
  <r>
    <m/>
    <m/>
    <x v="1"/>
    <s v="14767126002001"/>
    <n v="-88.99"/>
    <n v="1527"/>
    <n v="1"/>
    <n v="1"/>
  </r>
  <r>
    <m/>
    <m/>
    <x v="1"/>
    <s v="14809005001008"/>
    <n v="-1.86"/>
    <n v="32"/>
    <n v="1"/>
    <n v="1"/>
  </r>
  <r>
    <m/>
    <m/>
    <x v="1"/>
    <s v="14916764001003"/>
    <n v="-6.12"/>
    <n v="105"/>
    <n v="1"/>
    <n v="1"/>
  </r>
  <r>
    <m/>
    <m/>
    <x v="1"/>
    <s v="14932788004002"/>
    <n v="-33.74"/>
    <n v="579"/>
    <n v="1"/>
    <n v="1"/>
  </r>
  <r>
    <m/>
    <m/>
    <x v="1"/>
    <s v="14988573003007"/>
    <n v="-1.1100000000000001"/>
    <n v="19"/>
    <n v="1"/>
    <n v="1"/>
  </r>
  <r>
    <m/>
    <m/>
    <x v="1"/>
    <s v="15024480001003"/>
    <n v="-200.25"/>
    <n v="3436"/>
    <n v="1"/>
    <n v="1"/>
  </r>
  <r>
    <m/>
    <m/>
    <x v="1"/>
    <s v="15264531001003"/>
    <n v="-39.46"/>
    <n v="677"/>
    <n v="1"/>
    <n v="1"/>
  </r>
  <r>
    <m/>
    <m/>
    <x v="1"/>
    <s v="15327433006001"/>
    <n v="-89.17"/>
    <n v="1530"/>
    <n v="1"/>
    <n v="1"/>
  </r>
  <r>
    <m/>
    <m/>
    <x v="1"/>
    <s v="15371962001008"/>
    <n v="-6.29"/>
    <n v="108"/>
    <n v="1"/>
    <n v="1"/>
  </r>
  <r>
    <m/>
    <m/>
    <x v="1"/>
    <s v="15399217001007"/>
    <n v="-40.799999999999997"/>
    <n v="700"/>
    <n v="1"/>
    <n v="1"/>
  </r>
  <r>
    <m/>
    <m/>
    <x v="1"/>
    <s v="15497150001007"/>
    <n v="-26.4"/>
    <n v="453"/>
    <n v="1"/>
    <n v="1"/>
  </r>
  <r>
    <m/>
    <m/>
    <x v="1"/>
    <s v="15511956001001"/>
    <n v="-40.04"/>
    <n v="687"/>
    <n v="1"/>
    <n v="1"/>
  </r>
  <r>
    <m/>
    <m/>
    <x v="1"/>
    <s v="15544695002003"/>
    <n v="-27.1"/>
    <n v="465"/>
    <n v="1"/>
    <n v="1"/>
  </r>
  <r>
    <m/>
    <m/>
    <x v="1"/>
    <s v="15663487001001"/>
    <n v="-11.42"/>
    <n v="196"/>
    <n v="1"/>
    <n v="1"/>
  </r>
  <r>
    <m/>
    <m/>
    <x v="1"/>
    <s v="15663563001002"/>
    <n v="-21.86"/>
    <n v="375"/>
    <n v="1"/>
    <n v="1"/>
  </r>
  <r>
    <m/>
    <m/>
    <x v="1"/>
    <s v="15718240001002"/>
    <n v="-23.43"/>
    <n v="402"/>
    <n v="1"/>
    <n v="1"/>
  </r>
  <r>
    <m/>
    <m/>
    <x v="1"/>
    <s v="15728259001001"/>
    <n v="-115.98"/>
    <n v="1990"/>
    <n v="1"/>
    <n v="1"/>
  </r>
  <r>
    <m/>
    <m/>
    <x v="1"/>
    <s v="15745592001001"/>
    <n v="-100.36"/>
    <n v="1722"/>
    <n v="1"/>
    <n v="1"/>
  </r>
  <r>
    <m/>
    <m/>
    <x v="1"/>
    <s v="15758411005005"/>
    <n v="-6.41"/>
    <n v="110"/>
    <n v="1"/>
    <n v="1"/>
  </r>
  <r>
    <m/>
    <m/>
    <x v="1"/>
    <s v="15908468001001"/>
    <n v="-68.540000000000006"/>
    <n v="1176"/>
    <n v="1"/>
    <n v="1"/>
  </r>
  <r>
    <m/>
    <m/>
    <x v="1"/>
    <s v="15925995001001"/>
    <n v="-11.19"/>
    <n v="192"/>
    <n v="1"/>
    <n v="1"/>
  </r>
  <r>
    <m/>
    <m/>
    <x v="1"/>
    <s v="16066827003001"/>
    <n v="-33.22"/>
    <n v="570"/>
    <n v="1"/>
    <n v="1"/>
  </r>
  <r>
    <m/>
    <m/>
    <x v="1"/>
    <s v="16098772001001"/>
    <n v="-1.92"/>
    <n v="33"/>
    <n v="1"/>
    <n v="1"/>
  </r>
  <r>
    <m/>
    <m/>
    <x v="1"/>
    <s v="16099578001001"/>
    <n v="-36.479999999999997"/>
    <n v="626"/>
    <n v="1"/>
    <n v="1"/>
  </r>
  <r>
    <m/>
    <m/>
    <x v="1"/>
    <s v="16127640001003"/>
    <n v="-12.88"/>
    <n v="221"/>
    <n v="1"/>
    <n v="1"/>
  </r>
  <r>
    <m/>
    <m/>
    <x v="1"/>
    <s v="16141513003001"/>
    <n v="-31.76"/>
    <n v="545"/>
    <n v="1"/>
    <n v="1"/>
  </r>
  <r>
    <m/>
    <m/>
    <x v="1"/>
    <s v="16174085001001"/>
    <n v="-37.42"/>
    <n v="642"/>
    <n v="1"/>
    <n v="1"/>
  </r>
  <r>
    <m/>
    <m/>
    <x v="1"/>
    <s v="16175755001003"/>
    <n v="-18.07"/>
    <n v="310"/>
    <n v="1"/>
    <n v="1"/>
  </r>
  <r>
    <m/>
    <m/>
    <x v="1"/>
    <s v="16222691001005"/>
    <n v="-40.33"/>
    <n v="692"/>
    <n v="1"/>
    <n v="1"/>
  </r>
  <r>
    <m/>
    <m/>
    <x v="1"/>
    <s v="16324942001001"/>
    <n v="-4.78"/>
    <n v="82"/>
    <n v="1"/>
    <n v="1"/>
  </r>
  <r>
    <m/>
    <m/>
    <x v="1"/>
    <s v="16428953002001"/>
    <n v="-13.75"/>
    <n v="236"/>
    <n v="1"/>
    <n v="1"/>
  </r>
  <r>
    <m/>
    <m/>
    <x v="1"/>
    <s v="16450177001001"/>
    <n v="-51.81"/>
    <n v="889"/>
    <n v="1"/>
    <n v="1"/>
  </r>
  <r>
    <m/>
    <m/>
    <x v="1"/>
    <s v="16568578002001"/>
    <n v="-21.86"/>
    <n v="375"/>
    <n v="1"/>
    <n v="1"/>
  </r>
  <r>
    <m/>
    <m/>
    <x v="1"/>
    <s v="16580528001001"/>
    <n v="-35.49"/>
    <n v="609"/>
    <n v="1"/>
    <n v="1"/>
  </r>
  <r>
    <m/>
    <m/>
    <x v="1"/>
    <s v="16616380001003"/>
    <n v="-1.52"/>
    <n v="26"/>
    <n v="1"/>
    <n v="1"/>
  </r>
  <r>
    <m/>
    <m/>
    <x v="1"/>
    <s v="16766325001001"/>
    <n v="-12.94"/>
    <n v="222"/>
    <n v="1"/>
    <n v="1"/>
  </r>
  <r>
    <m/>
    <m/>
    <x v="1"/>
    <s v="16821471001003"/>
    <n v="-20.69"/>
    <n v="355"/>
    <n v="1"/>
    <n v="1"/>
  </r>
  <r>
    <m/>
    <m/>
    <x v="1"/>
    <s v="16865540003001"/>
    <n v="-12.01"/>
    <n v="206"/>
    <n v="1"/>
    <n v="1"/>
  </r>
  <r>
    <m/>
    <m/>
    <x v="1"/>
    <s v="16940606001001"/>
    <n v="-55.95"/>
    <n v="960"/>
    <n v="1"/>
    <n v="1"/>
  </r>
  <r>
    <m/>
    <m/>
    <x v="1"/>
    <s v="16946064001004"/>
    <n v="-4.25"/>
    <n v="73"/>
    <n v="1"/>
    <n v="1"/>
  </r>
  <r>
    <m/>
    <m/>
    <x v="1"/>
    <s v="17002950001001"/>
    <n v="-53.62"/>
    <n v="920"/>
    <n v="1"/>
    <n v="1"/>
  </r>
  <r>
    <m/>
    <m/>
    <x v="1"/>
    <s v="17053300001004"/>
    <n v="-26.93"/>
    <n v="462"/>
    <n v="1"/>
    <n v="1"/>
  </r>
  <r>
    <m/>
    <m/>
    <x v="1"/>
    <s v="17064549001001"/>
    <n v="-53.09"/>
    <n v="911"/>
    <n v="1"/>
    <n v="1"/>
  </r>
  <r>
    <m/>
    <m/>
    <x v="1"/>
    <s v="17196615001005"/>
    <n v="-3.03"/>
    <n v="52"/>
    <n v="1"/>
    <n v="1"/>
  </r>
  <r>
    <m/>
    <m/>
    <x v="1"/>
    <s v="17378301001002"/>
    <n v="-116.21"/>
    <n v="1994"/>
    <n v="1"/>
    <n v="1"/>
  </r>
  <r>
    <m/>
    <m/>
    <x v="1"/>
    <s v="17439100001001"/>
    <n v="-13.99"/>
    <n v="240"/>
    <n v="1"/>
    <n v="1"/>
  </r>
  <r>
    <m/>
    <m/>
    <x v="1"/>
    <s v="17606006001001"/>
    <n v="-50.59"/>
    <n v="868"/>
    <n v="1"/>
    <n v="1"/>
  </r>
  <r>
    <m/>
    <m/>
    <x v="1"/>
    <s v="17640682001003"/>
    <n v="-42.54"/>
    <n v="730"/>
    <n v="1"/>
    <n v="1"/>
  </r>
  <r>
    <m/>
    <m/>
    <x v="1"/>
    <s v="17704374001008"/>
    <n v="-18.940000000000001"/>
    <n v="325"/>
    <n v="1"/>
    <n v="1"/>
  </r>
  <r>
    <m/>
    <m/>
    <x v="1"/>
    <s v="17706944001001"/>
    <n v="-49.95"/>
    <n v="857"/>
    <n v="1"/>
    <n v="1"/>
  </r>
  <r>
    <m/>
    <m/>
    <x v="1"/>
    <s v="17776485001001"/>
    <n v="-9.5"/>
    <n v="163"/>
    <n v="1"/>
    <n v="1"/>
  </r>
  <r>
    <m/>
    <m/>
    <x v="1"/>
    <s v="17782526001001"/>
    <n v="-77.98"/>
    <n v="1338"/>
    <n v="1"/>
    <n v="1"/>
  </r>
  <r>
    <m/>
    <m/>
    <x v="1"/>
    <s v="17847574002001"/>
    <n v="-59.74"/>
    <n v="1025"/>
    <n v="1"/>
    <n v="1"/>
  </r>
  <r>
    <m/>
    <m/>
    <x v="1"/>
    <s v="17860325001001"/>
    <n v="-5.94"/>
    <n v="102"/>
    <n v="1"/>
    <n v="1"/>
  </r>
  <r>
    <m/>
    <m/>
    <x v="1"/>
    <s v="18064895001005"/>
    <n v="-57.52"/>
    <n v="987"/>
    <n v="1"/>
    <n v="1"/>
  </r>
  <r>
    <m/>
    <m/>
    <x v="1"/>
    <s v="18093249001001"/>
    <n v="-51.87"/>
    <n v="890"/>
    <n v="1"/>
    <n v="1"/>
  </r>
  <r>
    <m/>
    <m/>
    <x v="1"/>
    <s v="18264564004001"/>
    <n v="-79.2"/>
    <n v="1359"/>
    <n v="1"/>
    <n v="1"/>
  </r>
  <r>
    <m/>
    <m/>
    <x v="1"/>
    <s v="18510970001001"/>
    <n v="-46.51"/>
    <n v="798"/>
    <n v="1"/>
    <n v="1"/>
  </r>
  <r>
    <m/>
    <m/>
    <x v="1"/>
    <s v="18558909001002"/>
    <n v="-201.07"/>
    <n v="3450"/>
    <n v="1"/>
    <n v="1"/>
  </r>
  <r>
    <m/>
    <m/>
    <x v="1"/>
    <s v="18598550001006"/>
    <n v="-9.09"/>
    <n v="156"/>
    <n v="1"/>
    <n v="1"/>
  </r>
  <r>
    <m/>
    <m/>
    <x v="1"/>
    <s v="18699890007001"/>
    <n v="-8.8000000000000007"/>
    <n v="151"/>
    <n v="1"/>
    <n v="1"/>
  </r>
  <r>
    <m/>
    <m/>
    <x v="1"/>
    <s v="18882101006001"/>
    <n v="-89.75"/>
    <n v="1540"/>
    <n v="1"/>
    <n v="1"/>
  </r>
  <r>
    <m/>
    <m/>
    <x v="1"/>
    <s v="18891872005001"/>
    <n v="-27.45"/>
    <n v="471"/>
    <n v="1"/>
    <n v="1"/>
  </r>
  <r>
    <m/>
    <m/>
    <x v="1"/>
    <s v="18896376002001"/>
    <n v="-138.18"/>
    <n v="2371"/>
    <n v="1"/>
    <n v="1"/>
  </r>
  <r>
    <m/>
    <m/>
    <x v="1"/>
    <s v="18964849002003"/>
    <n v="-53.56"/>
    <n v="919"/>
    <n v="1"/>
    <n v="1"/>
  </r>
  <r>
    <m/>
    <m/>
    <x v="1"/>
    <s v="19027224008001"/>
    <n v="-23.66"/>
    <n v="406"/>
    <n v="1"/>
    <n v="1"/>
  </r>
  <r>
    <m/>
    <m/>
    <x v="1"/>
    <s v="19066582001001"/>
    <n v="-34.44"/>
    <n v="591"/>
    <n v="1"/>
    <n v="1"/>
  </r>
  <r>
    <m/>
    <m/>
    <x v="1"/>
    <s v="19112010001001"/>
    <n v="-24.94"/>
    <n v="428"/>
    <n v="1"/>
    <n v="1"/>
  </r>
  <r>
    <m/>
    <m/>
    <x v="1"/>
    <s v="19229155004001"/>
    <n v="-91.56"/>
    <n v="1571"/>
    <n v="1"/>
    <n v="1"/>
  </r>
  <r>
    <m/>
    <m/>
    <x v="1"/>
    <s v="19248493001003"/>
    <n v="-25.76"/>
    <n v="442"/>
    <n v="1"/>
    <n v="1"/>
  </r>
  <r>
    <m/>
    <m/>
    <x v="1"/>
    <s v="19280275005001"/>
    <n v="-39.22"/>
    <n v="673"/>
    <n v="1"/>
    <n v="1"/>
  </r>
  <r>
    <m/>
    <m/>
    <x v="1"/>
    <s v="19435050001006"/>
    <n v="-129.56"/>
    <n v="2223"/>
    <n v="1"/>
    <n v="1"/>
  </r>
  <r>
    <m/>
    <m/>
    <x v="1"/>
    <s v="19485422001001"/>
    <n v="-14.57"/>
    <n v="250"/>
    <n v="1"/>
    <n v="1"/>
  </r>
  <r>
    <m/>
    <m/>
    <x v="1"/>
    <s v="19496026001002"/>
    <n v="-23.14"/>
    <n v="397"/>
    <n v="1"/>
    <n v="1"/>
  </r>
  <r>
    <m/>
    <m/>
    <x v="1"/>
    <s v="19532482001001"/>
    <n v="-10.26"/>
    <n v="176"/>
    <n v="1"/>
    <n v="1"/>
  </r>
  <r>
    <m/>
    <m/>
    <x v="1"/>
    <s v="19562566001001"/>
    <n v="-39.979999999999997"/>
    <n v="686"/>
    <n v="1"/>
    <n v="1"/>
  </r>
  <r>
    <m/>
    <m/>
    <x v="1"/>
    <s v="19625257001005"/>
    <n v="-29.84"/>
    <n v="512"/>
    <n v="1"/>
    <n v="1"/>
  </r>
  <r>
    <m/>
    <m/>
    <x v="1"/>
    <s v="19655093001001"/>
    <n v="-24.19"/>
    <n v="415"/>
    <n v="1"/>
    <n v="1"/>
  </r>
  <r>
    <m/>
    <m/>
    <x v="1"/>
    <s v="19672934001001"/>
    <n v="-29.37"/>
    <n v="504"/>
    <n v="1"/>
    <n v="1"/>
  </r>
  <r>
    <m/>
    <m/>
    <x v="1"/>
    <s v="19760888001002"/>
    <n v="-1.75"/>
    <n v="30"/>
    <n v="1"/>
    <n v="1"/>
  </r>
  <r>
    <m/>
    <m/>
    <x v="1"/>
    <s v="19844787001003"/>
    <n v="-13.29"/>
    <n v="228"/>
    <n v="1"/>
    <n v="1"/>
  </r>
  <r>
    <m/>
    <m/>
    <x v="1"/>
    <s v="19858663001009"/>
    <n v="-34.97"/>
    <n v="600"/>
    <n v="1"/>
    <n v="1"/>
  </r>
  <r>
    <m/>
    <m/>
    <x v="1"/>
    <s v="19974784001003"/>
    <n v="-13.99"/>
    <n v="240"/>
    <n v="1"/>
    <n v="1"/>
  </r>
  <r>
    <m/>
    <m/>
    <x v="1"/>
    <s v="19984149003004"/>
    <n v="-45.92"/>
    <n v="788"/>
    <n v="2"/>
    <n v="1"/>
  </r>
  <r>
    <m/>
    <m/>
    <x v="1"/>
    <s v="19984502001006"/>
    <n v="-41.9"/>
    <n v="719"/>
    <n v="1"/>
    <n v="1"/>
  </r>
  <r>
    <m/>
    <m/>
    <x v="1"/>
    <s v="20017970001001"/>
    <n v="-11.6"/>
    <n v="199"/>
    <n v="1"/>
    <n v="1"/>
  </r>
  <r>
    <m/>
    <m/>
    <x v="1"/>
    <s v="20104962001001"/>
    <n v="-15.04"/>
    <n v="258"/>
    <n v="1"/>
    <n v="1"/>
  </r>
  <r>
    <m/>
    <m/>
    <x v="1"/>
    <s v="20111439001001"/>
    <n v="-18.940000000000001"/>
    <n v="325"/>
    <n v="1"/>
    <n v="1"/>
  </r>
  <r>
    <m/>
    <m/>
    <x v="1"/>
    <s v="20180113005001"/>
    <n v="-89.4"/>
    <n v="1534"/>
    <n v="1"/>
    <n v="1"/>
  </r>
  <r>
    <m/>
    <m/>
    <x v="1"/>
    <s v="20180489001004"/>
    <n v="-11.54"/>
    <n v="198"/>
    <n v="1"/>
    <n v="1"/>
  </r>
  <r>
    <m/>
    <m/>
    <x v="1"/>
    <s v="20263571001001"/>
    <n v="-16.14"/>
    <n v="277"/>
    <n v="1"/>
    <n v="1"/>
  </r>
  <r>
    <m/>
    <m/>
    <x v="1"/>
    <s v="20271876001002"/>
    <n v="-28.62"/>
    <n v="491"/>
    <n v="1"/>
    <n v="1"/>
  </r>
  <r>
    <m/>
    <m/>
    <x v="1"/>
    <s v="20346784001001"/>
    <n v="-20.05"/>
    <n v="344"/>
    <n v="1"/>
    <n v="1"/>
  </r>
  <r>
    <m/>
    <m/>
    <x v="1"/>
    <s v="20353719002001"/>
    <n v="-36.020000000000003"/>
    <n v="618"/>
    <n v="1"/>
    <n v="1"/>
  </r>
  <r>
    <m/>
    <m/>
    <x v="1"/>
    <s v="20394809001002"/>
    <n v="-41.61"/>
    <n v="714"/>
    <n v="1"/>
    <n v="1"/>
  </r>
  <r>
    <m/>
    <m/>
    <x v="1"/>
    <s v="20495106003001"/>
    <n v="-44.29"/>
    <n v="760"/>
    <n v="1"/>
    <n v="1"/>
  </r>
  <r>
    <m/>
    <m/>
    <x v="1"/>
    <s v="20531435001001"/>
    <n v="-31.88"/>
    <n v="547"/>
    <n v="1"/>
    <n v="1"/>
  </r>
  <r>
    <m/>
    <m/>
    <x v="1"/>
    <s v="20622831001001"/>
    <n v="-11.83"/>
    <n v="203"/>
    <n v="1"/>
    <n v="1"/>
  </r>
  <r>
    <m/>
    <m/>
    <x v="1"/>
    <s v="20643460001006"/>
    <n v="-68.650000000000006"/>
    <n v="1178"/>
    <n v="1"/>
    <n v="1"/>
  </r>
  <r>
    <m/>
    <m/>
    <x v="1"/>
    <s v="20661619001004"/>
    <n v="-55.77"/>
    <n v="957"/>
    <n v="1"/>
    <n v="1"/>
  </r>
  <r>
    <m/>
    <m/>
    <x v="1"/>
    <s v="20667329001003"/>
    <n v="-43.07"/>
    <n v="739"/>
    <n v="1"/>
    <n v="1"/>
  </r>
  <r>
    <m/>
    <m/>
    <x v="1"/>
    <s v="20924266001001"/>
    <n v="-24.83"/>
    <n v="426"/>
    <n v="1"/>
    <n v="1"/>
  </r>
  <r>
    <m/>
    <m/>
    <x v="1"/>
    <s v="20988421001001"/>
    <n v="-39.92"/>
    <n v="685"/>
    <n v="1"/>
    <n v="1"/>
  </r>
  <r>
    <m/>
    <m/>
    <x v="1"/>
    <s v="21000703003001"/>
    <n v="-43.24"/>
    <n v="742"/>
    <n v="1"/>
    <n v="1"/>
  </r>
  <r>
    <m/>
    <m/>
    <x v="1"/>
    <s v="21014172001007"/>
    <n v="-24.94"/>
    <n v="428"/>
    <n v="1"/>
    <n v="1"/>
  </r>
  <r>
    <m/>
    <m/>
    <x v="1"/>
    <s v="21076316001002"/>
    <n v="-88.24"/>
    <n v="1514"/>
    <n v="1"/>
    <n v="1"/>
  </r>
  <r>
    <m/>
    <m/>
    <x v="1"/>
    <s v="21211434001004"/>
    <n v="-81.42"/>
    <n v="1397"/>
    <n v="1"/>
    <n v="1"/>
  </r>
  <r>
    <m/>
    <m/>
    <x v="1"/>
    <s v="21227003001003"/>
    <n v="-53.73"/>
    <n v="922"/>
    <n v="1"/>
    <n v="1"/>
  </r>
  <r>
    <m/>
    <m/>
    <x v="1"/>
    <s v="21262148002004"/>
    <n v="-32.11"/>
    <n v="551"/>
    <n v="1"/>
    <n v="1"/>
  </r>
  <r>
    <m/>
    <m/>
    <x v="1"/>
    <s v="21404658001001"/>
    <n v="-15.62"/>
    <n v="268"/>
    <n v="1"/>
    <n v="1"/>
  </r>
  <r>
    <m/>
    <m/>
    <x v="1"/>
    <s v="21428566001001"/>
    <n v="-28.62"/>
    <n v="491"/>
    <n v="1"/>
    <n v="1"/>
  </r>
  <r>
    <m/>
    <m/>
    <x v="1"/>
    <s v="21469093001007"/>
    <n v="-15.04"/>
    <n v="258"/>
    <n v="1"/>
    <n v="1"/>
  </r>
  <r>
    <m/>
    <m/>
    <x v="1"/>
    <s v="21525125003001"/>
    <n v="-4.2"/>
    <n v="72"/>
    <n v="1"/>
    <n v="1"/>
  </r>
  <r>
    <m/>
    <m/>
    <x v="1"/>
    <s v="21530313001003"/>
    <n v="-17.25"/>
    <n v="296"/>
    <n v="1"/>
    <n v="1"/>
  </r>
  <r>
    <m/>
    <m/>
    <x v="1"/>
    <s v="21546690001003"/>
    <n v="-44.23"/>
    <n v="759"/>
    <n v="1"/>
    <n v="1"/>
  </r>
  <r>
    <m/>
    <m/>
    <x v="1"/>
    <s v="21594867001004"/>
    <n v="-87.89"/>
    <n v="1508"/>
    <n v="1"/>
    <n v="1"/>
  </r>
  <r>
    <m/>
    <m/>
    <x v="1"/>
    <s v="21645618001001"/>
    <n v="-63.29"/>
    <n v="1086"/>
    <n v="1"/>
    <n v="1"/>
  </r>
  <r>
    <m/>
    <m/>
    <x v="1"/>
    <s v="21653812001006"/>
    <n v="-64.75"/>
    <n v="1111"/>
    <n v="1"/>
    <n v="1"/>
  </r>
  <r>
    <m/>
    <m/>
    <x v="1"/>
    <s v="21694077001003"/>
    <n v="-37.590000000000003"/>
    <n v="645"/>
    <n v="1"/>
    <n v="1"/>
  </r>
  <r>
    <m/>
    <m/>
    <x v="1"/>
    <s v="21855033001004"/>
    <n v="-66.91"/>
    <n v="1148"/>
    <n v="1"/>
    <n v="1"/>
  </r>
  <r>
    <m/>
    <m/>
    <x v="1"/>
    <s v="21953308001001"/>
    <n v="-36.72"/>
    <n v="630"/>
    <n v="1"/>
    <n v="1"/>
  </r>
  <r>
    <m/>
    <m/>
    <x v="1"/>
    <s v="22010468001003"/>
    <n v="-23.08"/>
    <n v="396"/>
    <n v="1"/>
    <n v="1"/>
  </r>
  <r>
    <m/>
    <m/>
    <x v="1"/>
    <s v="22038843001001"/>
    <n v="-12.36"/>
    <n v="212"/>
    <n v="1"/>
    <n v="1"/>
  </r>
  <r>
    <m/>
    <m/>
    <x v="1"/>
    <s v="22062156001001"/>
    <n v="-34.270000000000003"/>
    <n v="588"/>
    <n v="1"/>
    <n v="1"/>
  </r>
  <r>
    <m/>
    <m/>
    <x v="1"/>
    <s v="22102529001008"/>
    <n v="-28.15"/>
    <n v="483"/>
    <n v="1"/>
    <n v="1"/>
  </r>
  <r>
    <m/>
    <m/>
    <x v="1"/>
    <s v="22203493001001"/>
    <n v="-27.39"/>
    <n v="470"/>
    <n v="1"/>
    <n v="1"/>
  </r>
  <r>
    <m/>
    <m/>
    <x v="1"/>
    <s v="22361013001001"/>
    <n v="-88.99"/>
    <n v="1527"/>
    <n v="1"/>
    <n v="1"/>
  </r>
  <r>
    <m/>
    <m/>
    <x v="1"/>
    <s v="22368801002001"/>
    <n v="-94.59"/>
    <n v="1623"/>
    <n v="1"/>
    <n v="1"/>
  </r>
  <r>
    <m/>
    <m/>
    <x v="1"/>
    <s v="22381989001002"/>
    <n v="-28.97"/>
    <n v="497"/>
    <n v="1"/>
    <n v="1"/>
  </r>
  <r>
    <m/>
    <m/>
    <x v="1"/>
    <s v="22408901001001"/>
    <n v="-6.18"/>
    <n v="106"/>
    <n v="1"/>
    <n v="1"/>
  </r>
  <r>
    <m/>
    <m/>
    <x v="1"/>
    <s v="22424413001003"/>
    <n v="-26.98"/>
    <n v="463"/>
    <n v="1"/>
    <n v="1"/>
  </r>
  <r>
    <m/>
    <m/>
    <x v="1"/>
    <s v="22448306001009"/>
    <n v="-40.33"/>
    <n v="692"/>
    <n v="1"/>
    <n v="1"/>
  </r>
  <r>
    <m/>
    <m/>
    <x v="1"/>
    <s v="22461172001010"/>
    <n v="-11.83"/>
    <n v="203"/>
    <n v="1"/>
    <n v="1"/>
  </r>
  <r>
    <m/>
    <m/>
    <x v="1"/>
    <s v="22537776001001"/>
    <n v="-46.86"/>
    <n v="804"/>
    <n v="1"/>
    <n v="1"/>
  </r>
  <r>
    <m/>
    <m/>
    <x v="1"/>
    <s v="22697285001003"/>
    <n v="-39.92"/>
    <n v="685"/>
    <n v="1"/>
    <n v="1"/>
  </r>
  <r>
    <m/>
    <m/>
    <x v="1"/>
    <s v="22816970001003"/>
    <n v="-41.73"/>
    <n v="716"/>
    <n v="1"/>
    <n v="1"/>
  </r>
  <r>
    <m/>
    <m/>
    <x v="1"/>
    <s v="22849605002001"/>
    <n v="-65.510000000000005"/>
    <n v="1124"/>
    <n v="1"/>
    <n v="1"/>
  </r>
  <r>
    <m/>
    <m/>
    <x v="1"/>
    <s v="22970260001002"/>
    <n v="-48.43"/>
    <n v="831"/>
    <n v="1"/>
    <n v="1"/>
  </r>
  <r>
    <m/>
    <m/>
    <x v="1"/>
    <s v="23056711001001"/>
    <n v="-60.55"/>
    <n v="1039"/>
    <n v="1"/>
    <n v="1"/>
  </r>
  <r>
    <m/>
    <m/>
    <x v="1"/>
    <s v="23072089004002"/>
    <n v="-33.340000000000003"/>
    <n v="572"/>
    <n v="1"/>
    <n v="1"/>
  </r>
  <r>
    <m/>
    <m/>
    <x v="1"/>
    <s v="23103586001001"/>
    <n v="-11.89"/>
    <n v="204"/>
    <n v="1"/>
    <n v="1"/>
  </r>
  <r>
    <m/>
    <m/>
    <x v="1"/>
    <s v="23143876001001"/>
    <n v="-35.549999999999997"/>
    <n v="610"/>
    <n v="1"/>
    <n v="1"/>
  </r>
  <r>
    <m/>
    <m/>
    <x v="1"/>
    <s v="23207064001009"/>
    <n v="-8.98"/>
    <n v="154"/>
    <n v="1"/>
    <n v="1"/>
  </r>
  <r>
    <m/>
    <m/>
    <x v="1"/>
    <s v="23396729002001"/>
    <n v="-46.86"/>
    <n v="804"/>
    <n v="1"/>
    <n v="1"/>
  </r>
  <r>
    <m/>
    <m/>
    <x v="1"/>
    <s v="23453749007001"/>
    <n v="-37.94"/>
    <n v="651"/>
    <n v="1"/>
    <n v="1"/>
  </r>
  <r>
    <m/>
    <m/>
    <x v="1"/>
    <s v="23600074001001"/>
    <n v="-28.56"/>
    <n v="490"/>
    <n v="1"/>
    <n v="1"/>
  </r>
  <r>
    <m/>
    <m/>
    <x v="1"/>
    <s v="23634903001001"/>
    <n v="-23.25"/>
    <n v="399"/>
    <n v="1"/>
    <n v="1"/>
  </r>
  <r>
    <m/>
    <m/>
    <x v="1"/>
    <s v="23714586001003"/>
    <n v="-22.55"/>
    <n v="387"/>
    <n v="1"/>
    <n v="1"/>
  </r>
  <r>
    <m/>
    <m/>
    <x v="1"/>
    <s v="23784674001004"/>
    <n v="-20.69"/>
    <n v="355"/>
    <n v="1"/>
    <n v="1"/>
  </r>
  <r>
    <m/>
    <m/>
    <x v="1"/>
    <s v="23879667001001"/>
    <n v="-25.06"/>
    <n v="430"/>
    <n v="1"/>
    <n v="1"/>
  </r>
  <r>
    <m/>
    <m/>
    <x v="1"/>
    <s v="23937121001001"/>
    <n v="-15.27"/>
    <n v="262"/>
    <n v="1"/>
    <n v="1"/>
  </r>
  <r>
    <m/>
    <m/>
    <x v="1"/>
    <s v="23975539001003"/>
    <n v="-101.41"/>
    <n v="1740"/>
    <n v="1"/>
    <n v="1"/>
  </r>
  <r>
    <m/>
    <m/>
    <x v="1"/>
    <s v="24047839001001"/>
    <n v="-51.46"/>
    <n v="883"/>
    <n v="1"/>
    <n v="1"/>
  </r>
  <r>
    <m/>
    <m/>
    <x v="1"/>
    <s v="24300134001001"/>
    <n v="-12.41"/>
    <n v="213"/>
    <n v="1"/>
    <n v="1"/>
  </r>
  <r>
    <m/>
    <m/>
    <x v="1"/>
    <s v="24336943003005"/>
    <n v="-153.74"/>
    <n v="2638"/>
    <n v="1"/>
    <n v="1"/>
  </r>
  <r>
    <m/>
    <m/>
    <x v="1"/>
    <s v="24338902001001"/>
    <n v="-3.73"/>
    <n v="64"/>
    <n v="1"/>
    <n v="1"/>
  </r>
  <r>
    <m/>
    <m/>
    <x v="1"/>
    <s v="24434887002003"/>
    <n v="-19.29"/>
    <n v="331"/>
    <n v="1"/>
    <n v="1"/>
  </r>
  <r>
    <m/>
    <m/>
    <x v="1"/>
    <s v="24503591001001"/>
    <n v="-44.82"/>
    <n v="769"/>
    <n v="1"/>
    <n v="1"/>
  </r>
  <r>
    <m/>
    <m/>
    <x v="1"/>
    <s v="24504553001005"/>
    <n v="-9.15"/>
    <n v="157"/>
    <n v="1"/>
    <n v="1"/>
  </r>
  <r>
    <m/>
    <m/>
    <x v="1"/>
    <s v="24505066002001"/>
    <n v="-45.05"/>
    <n v="773"/>
    <n v="1"/>
    <n v="1"/>
  </r>
  <r>
    <m/>
    <m/>
    <x v="1"/>
    <s v="24605344004001"/>
    <n v="-15.27"/>
    <n v="262"/>
    <n v="1"/>
    <n v="1"/>
  </r>
  <r>
    <m/>
    <m/>
    <x v="1"/>
    <s v="24709409001003"/>
    <n v="-15.85"/>
    <n v="272"/>
    <n v="1"/>
    <n v="1"/>
  </r>
  <r>
    <m/>
    <m/>
    <x v="1"/>
    <s v="24715679001001"/>
    <n v="-13"/>
    <n v="223"/>
    <n v="1"/>
    <n v="1"/>
  </r>
  <r>
    <m/>
    <m/>
    <x v="1"/>
    <s v="24751934001001"/>
    <n v="-14.16"/>
    <n v="243"/>
    <n v="1"/>
    <n v="1"/>
  </r>
  <r>
    <m/>
    <m/>
    <x v="1"/>
    <s v="24806438001006"/>
    <n v="-28.27"/>
    <n v="485"/>
    <n v="1"/>
    <n v="1"/>
  </r>
  <r>
    <m/>
    <m/>
    <x v="1"/>
    <s v="25096011001001"/>
    <n v="-30.77"/>
    <n v="528"/>
    <n v="1"/>
    <n v="1"/>
  </r>
  <r>
    <m/>
    <m/>
    <x v="1"/>
    <s v="25160457004003"/>
    <n v="-53.21"/>
    <n v="913"/>
    <n v="1"/>
    <n v="1"/>
  </r>
  <r>
    <m/>
    <m/>
    <x v="1"/>
    <s v="25383308001001"/>
    <n v="-48.96"/>
    <n v="840"/>
    <n v="1"/>
    <n v="1"/>
  </r>
  <r>
    <m/>
    <m/>
    <x v="1"/>
    <s v="25428167001001"/>
    <n v="-1.52"/>
    <n v="26"/>
    <n v="1"/>
    <n v="1"/>
  </r>
  <r>
    <m/>
    <m/>
    <x v="1"/>
    <s v="25442253001005"/>
    <n v="-29.37"/>
    <n v="504"/>
    <n v="1"/>
    <n v="1"/>
  </r>
  <r>
    <m/>
    <m/>
    <x v="1"/>
    <s v="25580805001001"/>
    <n v="-11.42"/>
    <n v="196"/>
    <n v="1"/>
    <n v="1"/>
  </r>
  <r>
    <m/>
    <m/>
    <x v="1"/>
    <s v="25584708001005"/>
    <n v="-50.3"/>
    <n v="863"/>
    <n v="1"/>
    <n v="1"/>
  </r>
  <r>
    <m/>
    <m/>
    <x v="1"/>
    <s v="25611864001004"/>
    <n v="-47.85"/>
    <n v="821"/>
    <n v="1"/>
    <n v="1"/>
  </r>
  <r>
    <m/>
    <m/>
    <x v="1"/>
    <s v="25644209001001"/>
    <n v="-11.31"/>
    <n v="194"/>
    <n v="1"/>
    <n v="1"/>
  </r>
  <r>
    <m/>
    <m/>
    <x v="1"/>
    <s v="25741551007013"/>
    <n v="-106.48"/>
    <n v="1827"/>
    <n v="1"/>
    <n v="1"/>
  </r>
  <r>
    <m/>
    <m/>
    <x v="1"/>
    <s v="25769735001009"/>
    <n v="-64.75"/>
    <n v="1111"/>
    <n v="1"/>
    <n v="1"/>
  </r>
  <r>
    <m/>
    <m/>
    <x v="1"/>
    <s v="25783482001001"/>
    <n v="-76.7"/>
    <n v="1316"/>
    <n v="1"/>
    <n v="1"/>
  </r>
  <r>
    <m/>
    <m/>
    <x v="1"/>
    <s v="25784922001004"/>
    <n v="-37.47"/>
    <n v="643"/>
    <n v="1"/>
    <n v="1"/>
  </r>
  <r>
    <m/>
    <m/>
    <x v="1"/>
    <s v="25810340001001"/>
    <n v="-91.97"/>
    <n v="1578"/>
    <n v="1"/>
    <n v="1"/>
  </r>
  <r>
    <m/>
    <m/>
    <x v="1"/>
    <s v="25816610001008"/>
    <n v="-60.73"/>
    <n v="1042"/>
    <n v="1"/>
    <n v="1"/>
  </r>
  <r>
    <m/>
    <m/>
    <x v="1"/>
    <s v="25824653001001"/>
    <n v="-27.8"/>
    <n v="477"/>
    <n v="1"/>
    <n v="1"/>
  </r>
  <r>
    <m/>
    <m/>
    <x v="1"/>
    <s v="25851963001001"/>
    <n v="-38.700000000000003"/>
    <n v="664"/>
    <n v="1"/>
    <n v="1"/>
  </r>
  <r>
    <m/>
    <m/>
    <x v="1"/>
    <s v="25915661001001"/>
    <n v="-69.94"/>
    <n v="1200"/>
    <n v="1"/>
    <n v="1"/>
  </r>
  <r>
    <m/>
    <m/>
    <x v="1"/>
    <s v="25980885005001"/>
    <n v="-50.94"/>
    <n v="874"/>
    <n v="1"/>
    <n v="1"/>
  </r>
  <r>
    <m/>
    <m/>
    <x v="1"/>
    <s v="26054021001002"/>
    <n v="-26.34"/>
    <n v="452"/>
    <n v="1"/>
    <n v="1"/>
  </r>
  <r>
    <m/>
    <m/>
    <x v="1"/>
    <s v="26264318008001"/>
    <n v="-30.54"/>
    <n v="524"/>
    <n v="1"/>
    <n v="1"/>
  </r>
  <r>
    <m/>
    <m/>
    <x v="1"/>
    <s v="26366881003001"/>
    <n v="-68.19"/>
    <n v="1170"/>
    <n v="1"/>
    <n v="1"/>
  </r>
  <r>
    <m/>
    <m/>
    <x v="1"/>
    <s v="26400210001001"/>
    <n v="-39.159999999999997"/>
    <n v="672"/>
    <n v="1"/>
    <n v="1"/>
  </r>
  <r>
    <m/>
    <m/>
    <x v="1"/>
    <s v="26537288001001"/>
    <n v="-29.66"/>
    <n v="509"/>
    <n v="1"/>
    <n v="1"/>
  </r>
  <r>
    <m/>
    <m/>
    <x v="1"/>
    <s v="26545623004004"/>
    <n v="-46.62"/>
    <n v="800"/>
    <n v="1"/>
    <n v="1"/>
  </r>
  <r>
    <m/>
    <m/>
    <x v="1"/>
    <s v="26569299001003"/>
    <n v="-69.989999999999995"/>
    <n v="1201"/>
    <n v="1"/>
    <n v="1"/>
  </r>
  <r>
    <m/>
    <m/>
    <x v="1"/>
    <s v="26685293001003"/>
    <n v="-40.04"/>
    <n v="687"/>
    <n v="1"/>
    <n v="1"/>
  </r>
  <r>
    <m/>
    <m/>
    <x v="1"/>
    <s v="26902722002003"/>
    <n v="-86.78"/>
    <n v="1489"/>
    <n v="1"/>
    <n v="1"/>
  </r>
  <r>
    <m/>
    <m/>
    <x v="1"/>
    <s v="27057981001001"/>
    <n v="-27.57"/>
    <n v="473"/>
    <n v="1"/>
    <n v="1"/>
  </r>
  <r>
    <m/>
    <m/>
    <x v="1"/>
    <s v="27069473001005"/>
    <n v="-56.12"/>
    <n v="963"/>
    <n v="1"/>
    <n v="1"/>
  </r>
  <r>
    <m/>
    <m/>
    <x v="1"/>
    <s v="27104996002014"/>
    <n v="-40.04"/>
    <n v="687"/>
    <n v="1"/>
    <n v="1"/>
  </r>
  <r>
    <m/>
    <m/>
    <x v="1"/>
    <s v="27207665001001"/>
    <n v="-6.88"/>
    <n v="118"/>
    <n v="1"/>
    <n v="1"/>
  </r>
  <r>
    <m/>
    <m/>
    <x v="1"/>
    <s v="27214758001001"/>
    <n v="-47.79"/>
    <n v="820"/>
    <n v="1"/>
    <n v="1"/>
  </r>
  <r>
    <m/>
    <m/>
    <x v="1"/>
    <s v="27323643001001"/>
    <n v="-27.04"/>
    <n v="464"/>
    <n v="1"/>
    <n v="1"/>
  </r>
  <r>
    <m/>
    <m/>
    <x v="1"/>
    <s v="27353470003003"/>
    <n v="-59.04"/>
    <n v="1013"/>
    <n v="1"/>
    <n v="1"/>
  </r>
  <r>
    <m/>
    <m/>
    <x v="1"/>
    <s v="27362591001003"/>
    <n v="-28.32"/>
    <n v="486"/>
    <n v="1"/>
    <n v="1"/>
  </r>
  <r>
    <m/>
    <m/>
    <x v="1"/>
    <s v="27457180001003"/>
    <n v="-31.88"/>
    <n v="547"/>
    <n v="1"/>
    <n v="1"/>
  </r>
  <r>
    <m/>
    <m/>
    <x v="1"/>
    <s v="27614236002001"/>
    <n v="-13.64"/>
    <n v="234"/>
    <n v="1"/>
    <n v="1"/>
  </r>
  <r>
    <m/>
    <m/>
    <x v="1"/>
    <s v="27625170002006"/>
    <n v="-11.77"/>
    <n v="202"/>
    <n v="1"/>
    <n v="1"/>
  </r>
  <r>
    <m/>
    <m/>
    <x v="1"/>
    <s v="27629352001002"/>
    <n v="-103.27"/>
    <n v="1772"/>
    <n v="1"/>
    <n v="1"/>
  </r>
  <r>
    <m/>
    <m/>
    <x v="1"/>
    <s v="27670002001006"/>
    <n v="-66.260000000000005"/>
    <n v="1137"/>
    <n v="1"/>
    <n v="1"/>
  </r>
  <r>
    <m/>
    <m/>
    <x v="1"/>
    <s v="27691065001006"/>
    <n v="-71.98"/>
    <n v="1235"/>
    <n v="1"/>
    <n v="1"/>
  </r>
  <r>
    <m/>
    <m/>
    <x v="1"/>
    <s v="27796579002001"/>
    <n v="-35.200000000000003"/>
    <n v="604"/>
    <n v="1"/>
    <n v="1"/>
  </r>
  <r>
    <m/>
    <m/>
    <x v="1"/>
    <s v="27803535001001"/>
    <n v="-27.86"/>
    <n v="478"/>
    <n v="1"/>
    <n v="1"/>
  </r>
  <r>
    <m/>
    <m/>
    <x v="1"/>
    <s v="27807380001004"/>
    <n v="-3.44"/>
    <n v="59"/>
    <n v="1"/>
    <n v="1"/>
  </r>
  <r>
    <m/>
    <m/>
    <x v="1"/>
    <s v="28059627001003"/>
    <n v="-14.16"/>
    <n v="243"/>
    <n v="1"/>
    <n v="1"/>
  </r>
  <r>
    <m/>
    <m/>
    <x v="1"/>
    <s v="28099179001007"/>
    <n v="-2.21"/>
    <n v="38"/>
    <n v="1"/>
    <n v="1"/>
  </r>
  <r>
    <m/>
    <m/>
    <x v="1"/>
    <s v="28164675001001"/>
    <n v="-38.17"/>
    <n v="655"/>
    <n v="1"/>
    <n v="1"/>
  </r>
  <r>
    <m/>
    <m/>
    <x v="1"/>
    <s v="28184432001001"/>
    <n v="-9.91"/>
    <n v="170"/>
    <n v="1"/>
    <n v="1"/>
  </r>
  <r>
    <m/>
    <m/>
    <x v="1"/>
    <s v="28477040001004"/>
    <n v="-26.98"/>
    <n v="463"/>
    <n v="1"/>
    <n v="1"/>
  </r>
  <r>
    <m/>
    <m/>
    <x v="1"/>
    <s v="28584427001011"/>
    <n v="-17.43"/>
    <n v="299"/>
    <n v="1"/>
    <n v="1"/>
  </r>
  <r>
    <m/>
    <m/>
    <x v="1"/>
    <s v="28647586001001"/>
    <n v="-18.53"/>
    <n v="318"/>
    <n v="1"/>
    <n v="1"/>
  </r>
  <r>
    <m/>
    <m/>
    <x v="1"/>
    <s v="28704245001001"/>
    <n v="-102.11"/>
    <n v="1752"/>
    <n v="1"/>
    <n v="1"/>
  </r>
  <r>
    <m/>
    <m/>
    <x v="1"/>
    <s v="28722691001003"/>
    <n v="-39.340000000000003"/>
    <n v="675"/>
    <n v="1"/>
    <n v="1"/>
  </r>
  <r>
    <m/>
    <m/>
    <x v="1"/>
    <s v="28804615002002"/>
    <n v="-77.569999999999993"/>
    <n v="1331"/>
    <n v="1"/>
    <n v="1"/>
  </r>
  <r>
    <m/>
    <m/>
    <x v="1"/>
    <s v="28868417001005"/>
    <n v="-15.27"/>
    <n v="262"/>
    <n v="1"/>
    <n v="1"/>
  </r>
  <r>
    <m/>
    <m/>
    <x v="1"/>
    <s v="28903097001004"/>
    <n v="-45.69"/>
    <n v="784"/>
    <n v="1"/>
    <n v="1"/>
  </r>
  <r>
    <m/>
    <m/>
    <x v="1"/>
    <s v="29000608001001"/>
    <n v="-70.58"/>
    <n v="1211"/>
    <n v="1"/>
    <n v="1"/>
  </r>
  <r>
    <m/>
    <m/>
    <x v="1"/>
    <s v="29018357001001"/>
    <n v="-22.85"/>
    <n v="392"/>
    <n v="1"/>
    <n v="1"/>
  </r>
  <r>
    <m/>
    <m/>
    <x v="1"/>
    <s v="29121023001001"/>
    <n v="-15.85"/>
    <n v="272"/>
    <n v="1"/>
    <n v="1"/>
  </r>
  <r>
    <m/>
    <m/>
    <x v="1"/>
    <s v="29435988001007"/>
    <n v="-41.15"/>
    <n v="706"/>
    <n v="1"/>
    <n v="1"/>
  </r>
  <r>
    <m/>
    <m/>
    <x v="1"/>
    <s v="29492327001001"/>
    <n v="-18.53"/>
    <n v="318"/>
    <n v="1"/>
    <n v="1"/>
  </r>
  <r>
    <m/>
    <m/>
    <x v="1"/>
    <s v="29527274001001"/>
    <n v="-34.85"/>
    <n v="598"/>
    <n v="1"/>
    <n v="1"/>
  </r>
  <r>
    <m/>
    <m/>
    <x v="1"/>
    <s v="29879754001001"/>
    <n v="-24.07"/>
    <n v="413"/>
    <n v="1"/>
    <n v="1"/>
  </r>
  <r>
    <m/>
    <m/>
    <x v="1"/>
    <s v="29893344002001"/>
    <n v="-55.48"/>
    <n v="952"/>
    <n v="1"/>
    <n v="1"/>
  </r>
  <r>
    <m/>
    <m/>
    <x v="1"/>
    <s v="30002964001001"/>
    <n v="-8.68"/>
    <n v="149"/>
    <n v="1"/>
    <n v="1"/>
  </r>
  <r>
    <m/>
    <m/>
    <x v="1"/>
    <s v="30102676002001"/>
    <n v="-62.24"/>
    <n v="1068"/>
    <n v="1"/>
    <n v="1"/>
  </r>
  <r>
    <m/>
    <m/>
    <x v="1"/>
    <s v="30133433001001"/>
    <n v="-75.709999999999994"/>
    <n v="1299"/>
    <n v="1"/>
    <n v="1"/>
  </r>
  <r>
    <m/>
    <m/>
    <x v="1"/>
    <s v="30267414002001"/>
    <n v="-48.26"/>
    <n v="828"/>
    <n v="1"/>
    <n v="1"/>
  </r>
  <r>
    <m/>
    <m/>
    <x v="1"/>
    <s v="30319002002003"/>
    <n v="-44"/>
    <n v="755"/>
    <n v="1"/>
    <n v="1"/>
  </r>
  <r>
    <m/>
    <m/>
    <x v="1"/>
    <s v="30360605008001"/>
    <n v="-36.950000000000003"/>
    <n v="634"/>
    <n v="1"/>
    <n v="1"/>
  </r>
  <r>
    <m/>
    <m/>
    <x v="1"/>
    <s v="30498530001006"/>
    <n v="-30.95"/>
    <n v="531"/>
    <n v="1"/>
    <n v="1"/>
  </r>
  <r>
    <m/>
    <m/>
    <x v="1"/>
    <s v="30521149001003"/>
    <n v="-45.57"/>
    <n v="782"/>
    <n v="1"/>
    <n v="1"/>
  </r>
  <r>
    <m/>
    <m/>
    <x v="1"/>
    <s v="30897668001002"/>
    <n v="-11.95"/>
    <n v="205"/>
    <n v="1"/>
    <n v="1"/>
  </r>
  <r>
    <m/>
    <m/>
    <x v="1"/>
    <s v="30915212001003"/>
    <n v="-15.09"/>
    <n v="259"/>
    <n v="1"/>
    <n v="1"/>
  </r>
  <r>
    <m/>
    <m/>
    <x v="1"/>
    <s v="30923567001005"/>
    <n v="-73.37"/>
    <n v="1259"/>
    <n v="1"/>
    <n v="1"/>
  </r>
  <r>
    <m/>
    <m/>
    <x v="1"/>
    <s v="30965089001001"/>
    <n v="-12.06"/>
    <n v="207"/>
    <n v="1"/>
    <n v="1"/>
  </r>
  <r>
    <m/>
    <m/>
    <x v="1"/>
    <s v="31016219002001"/>
    <n v="-12.47"/>
    <n v="214"/>
    <n v="1"/>
    <n v="1"/>
  </r>
  <r>
    <m/>
    <m/>
    <x v="1"/>
    <s v="31043707001001"/>
    <n v="-35.840000000000003"/>
    <n v="615"/>
    <n v="1"/>
    <n v="1"/>
  </r>
  <r>
    <m/>
    <m/>
    <x v="1"/>
    <s v="31207589001006"/>
    <n v="-34.68"/>
    <n v="595"/>
    <n v="1"/>
    <n v="1"/>
  </r>
  <r>
    <m/>
    <m/>
    <x v="1"/>
    <s v="31283347001004"/>
    <n v="-39.049999999999997"/>
    <n v="670"/>
    <n v="1"/>
    <n v="1"/>
  </r>
  <r>
    <m/>
    <m/>
    <x v="1"/>
    <s v="31363659001003"/>
    <n v="-6.35"/>
    <n v="109"/>
    <n v="1"/>
    <n v="1"/>
  </r>
  <r>
    <m/>
    <m/>
    <x v="1"/>
    <s v="31396728001005"/>
    <n v="-7.11"/>
    <n v="122"/>
    <n v="1"/>
    <n v="1"/>
  </r>
  <r>
    <m/>
    <m/>
    <x v="1"/>
    <s v="31533047001001"/>
    <n v="-42.19"/>
    <n v="724"/>
    <n v="1"/>
    <n v="1"/>
  </r>
  <r>
    <m/>
    <m/>
    <x v="1"/>
    <s v="31539259001001"/>
    <n v="-52.28"/>
    <n v="897"/>
    <n v="1"/>
    <n v="1"/>
  </r>
  <r>
    <m/>
    <m/>
    <x v="1"/>
    <s v="31702243001003"/>
    <n v="-13.46"/>
    <n v="231"/>
    <n v="1"/>
    <n v="1"/>
  </r>
  <r>
    <m/>
    <m/>
    <x v="1"/>
    <s v="31770964001004"/>
    <n v="-62.59"/>
    <n v="1074"/>
    <n v="1"/>
    <n v="1"/>
  </r>
  <r>
    <m/>
    <m/>
    <x v="1"/>
    <s v="31813958002003"/>
    <n v="-36.6"/>
    <n v="628"/>
    <n v="1"/>
    <n v="1"/>
  </r>
  <r>
    <m/>
    <m/>
    <x v="1"/>
    <s v="31999957005001"/>
    <n v="-59.5"/>
    <n v="1021"/>
    <n v="1"/>
    <n v="1"/>
  </r>
  <r>
    <m/>
    <m/>
    <x v="1"/>
    <s v="32202621001001"/>
    <n v="-33.04"/>
    <n v="567"/>
    <n v="1"/>
    <n v="1"/>
  </r>
  <r>
    <m/>
    <m/>
    <x v="1"/>
    <s v="32293901002001"/>
    <n v="-42.95"/>
    <n v="737"/>
    <n v="1"/>
    <n v="1"/>
  </r>
  <r>
    <m/>
    <m/>
    <x v="1"/>
    <s v="32412801002002"/>
    <n v="-53.91"/>
    <n v="925"/>
    <n v="1"/>
    <n v="1"/>
  </r>
  <r>
    <m/>
    <m/>
    <x v="1"/>
    <s v="32447778001001"/>
    <n v="-47.67"/>
    <n v="818"/>
    <n v="1"/>
    <n v="1"/>
  </r>
  <r>
    <m/>
    <m/>
    <x v="1"/>
    <s v="32517568005001"/>
    <n v="-22.96"/>
    <n v="394"/>
    <n v="1"/>
    <n v="1"/>
  </r>
  <r>
    <m/>
    <m/>
    <x v="1"/>
    <s v="32519917001004"/>
    <n v="-13.75"/>
    <n v="236"/>
    <n v="1"/>
    <n v="1"/>
  </r>
  <r>
    <m/>
    <m/>
    <x v="1"/>
    <s v="32720886001003"/>
    <n v="-32.99"/>
    <n v="566"/>
    <n v="1"/>
    <n v="1"/>
  </r>
  <r>
    <m/>
    <m/>
    <x v="1"/>
    <s v="32740450002001"/>
    <n v="-11.77"/>
    <n v="202"/>
    <n v="1"/>
    <n v="1"/>
  </r>
  <r>
    <m/>
    <m/>
    <x v="1"/>
    <s v="32762616001002"/>
    <n v="-27.28"/>
    <n v="468"/>
    <n v="1"/>
    <n v="1"/>
  </r>
  <r>
    <m/>
    <m/>
    <x v="1"/>
    <s v="32767929001001"/>
    <n v="-14.05"/>
    <n v="241"/>
    <n v="1"/>
    <n v="1"/>
  </r>
  <r>
    <m/>
    <m/>
    <x v="1"/>
    <s v="32853341001004"/>
    <n v="-66.67"/>
    <n v="1144"/>
    <n v="1"/>
    <n v="1"/>
  </r>
  <r>
    <m/>
    <m/>
    <x v="1"/>
    <s v="33003317001001"/>
    <n v="-53.33"/>
    <n v="915"/>
    <n v="1"/>
    <n v="1"/>
  </r>
  <r>
    <m/>
    <m/>
    <x v="1"/>
    <s v="33218089001003"/>
    <n v="-59.62"/>
    <n v="1023"/>
    <n v="1"/>
    <n v="1"/>
  </r>
  <r>
    <m/>
    <m/>
    <x v="1"/>
    <s v="33292898001002"/>
    <n v="-8.51"/>
    <n v="146"/>
    <n v="1"/>
    <n v="1"/>
  </r>
  <r>
    <m/>
    <m/>
    <x v="1"/>
    <s v="33293530001001"/>
    <n v="-30.95"/>
    <n v="531"/>
    <n v="1"/>
    <n v="1"/>
  </r>
  <r>
    <m/>
    <m/>
    <x v="1"/>
    <s v="33325640001005"/>
    <n v="-90.39"/>
    <n v="1551"/>
    <n v="1"/>
    <n v="1"/>
  </r>
  <r>
    <m/>
    <m/>
    <x v="1"/>
    <s v="33449904002001"/>
    <n v="-11.07"/>
    <n v="190"/>
    <n v="1"/>
    <n v="1"/>
  </r>
  <r>
    <m/>
    <m/>
    <x v="1"/>
    <s v="33459488001004"/>
    <n v="-36.31"/>
    <n v="623"/>
    <n v="1"/>
    <n v="1"/>
  </r>
  <r>
    <m/>
    <m/>
    <x v="1"/>
    <s v="33524631002001"/>
    <n v="-85.38"/>
    <n v="1465"/>
    <n v="1"/>
    <n v="1"/>
  </r>
  <r>
    <m/>
    <m/>
    <x v="1"/>
    <s v="33529526001001"/>
    <n v="-43.59"/>
    <n v="748"/>
    <n v="1"/>
    <n v="1"/>
  </r>
  <r>
    <m/>
    <m/>
    <x v="1"/>
    <s v="33533745001003"/>
    <n v="-21.74"/>
    <n v="373"/>
    <n v="1"/>
    <n v="1"/>
  </r>
  <r>
    <m/>
    <m/>
    <x v="1"/>
    <s v="33551931001003"/>
    <n v="-73.67"/>
    <n v="1264"/>
    <n v="1"/>
    <n v="1"/>
  </r>
  <r>
    <m/>
    <m/>
    <x v="1"/>
    <s v="33559246001001"/>
    <n v="-35.49"/>
    <n v="609"/>
    <n v="1"/>
    <n v="1"/>
  </r>
  <r>
    <m/>
    <m/>
    <x v="1"/>
    <s v="33652204001001"/>
    <n v="-14.57"/>
    <n v="250"/>
    <n v="1"/>
    <n v="1"/>
  </r>
  <r>
    <m/>
    <m/>
    <x v="1"/>
    <s v="33705370001001"/>
    <n v="-66.73"/>
    <n v="1145"/>
    <n v="1"/>
    <n v="1"/>
  </r>
  <r>
    <m/>
    <m/>
    <x v="1"/>
    <s v="33808192001001"/>
    <n v="-35.78"/>
    <n v="614"/>
    <n v="1"/>
    <n v="1"/>
  </r>
  <r>
    <m/>
    <m/>
    <x v="1"/>
    <s v="33824960001005"/>
    <n v="-42.89"/>
    <n v="736"/>
    <n v="1"/>
    <n v="1"/>
  </r>
  <r>
    <m/>
    <m/>
    <x v="1"/>
    <s v="33857521001001"/>
    <n v="-23.78"/>
    <n v="408"/>
    <n v="1"/>
    <n v="1"/>
  </r>
  <r>
    <m/>
    <m/>
    <x v="1"/>
    <s v="33915238004001"/>
    <n v="-46.1"/>
    <n v="791"/>
    <n v="1"/>
    <n v="1"/>
  </r>
  <r>
    <m/>
    <m/>
    <x v="1"/>
    <s v="33946666001001"/>
    <n v="-206.54"/>
    <n v="3544"/>
    <n v="1"/>
    <n v="1"/>
  </r>
  <r>
    <m/>
    <m/>
    <x v="1"/>
    <s v="33988440001001"/>
    <n v="-63.99"/>
    <n v="1098"/>
    <n v="1"/>
    <n v="1"/>
  </r>
  <r>
    <m/>
    <m/>
    <x v="1"/>
    <s v="34473759002001"/>
    <n v="-46.97"/>
    <n v="806"/>
    <n v="1"/>
    <n v="1"/>
  </r>
  <r>
    <m/>
    <m/>
    <x v="1"/>
    <s v="34717698001005"/>
    <n v="-29.14"/>
    <n v="500"/>
    <n v="1"/>
    <n v="1"/>
  </r>
  <r>
    <m/>
    <m/>
    <x v="1"/>
    <s v="35012953001002"/>
    <n v="-38.58"/>
    <n v="662"/>
    <n v="1"/>
    <n v="1"/>
  </r>
  <r>
    <m/>
    <m/>
    <x v="1"/>
    <s v="35150603002003"/>
    <n v="-5.89"/>
    <n v="101"/>
    <n v="1"/>
    <n v="1"/>
  </r>
  <r>
    <m/>
    <m/>
    <x v="1"/>
    <s v="35172600002001"/>
    <n v="-150.41999999999999"/>
    <n v="2581"/>
    <n v="1"/>
    <n v="1"/>
  </r>
  <r>
    <m/>
    <m/>
    <x v="1"/>
    <s v="35225739001001"/>
    <n v="-44.23"/>
    <n v="759"/>
    <n v="1"/>
    <n v="1"/>
  </r>
  <r>
    <m/>
    <m/>
    <x v="1"/>
    <s v="35251550001001"/>
    <n v="-55.72"/>
    <n v="956"/>
    <n v="1"/>
    <n v="1"/>
  </r>
  <r>
    <m/>
    <m/>
    <x v="1"/>
    <s v="35296076001001"/>
    <n v="-9.56"/>
    <n v="164"/>
    <n v="1"/>
    <n v="1"/>
  </r>
  <r>
    <m/>
    <m/>
    <x v="1"/>
    <s v="35325747002003"/>
    <n v="-89.11"/>
    <n v="1529"/>
    <n v="1"/>
    <n v="1"/>
  </r>
  <r>
    <m/>
    <m/>
    <x v="1"/>
    <s v="35340232002001"/>
    <n v="-94.47"/>
    <n v="1621"/>
    <n v="1"/>
    <n v="1"/>
  </r>
  <r>
    <m/>
    <m/>
    <x v="1"/>
    <s v="35490120001003"/>
    <n v="-8.2799999999999994"/>
    <n v="142"/>
    <n v="1"/>
    <n v="1"/>
  </r>
  <r>
    <m/>
    <m/>
    <x v="1"/>
    <s v="35691353001006"/>
    <n v="-35.200000000000003"/>
    <n v="604"/>
    <n v="1"/>
    <n v="1"/>
  </r>
  <r>
    <m/>
    <m/>
    <x v="1"/>
    <s v="35696004001002"/>
    <n v="-76.989999999999995"/>
    <n v="1321"/>
    <n v="1"/>
    <n v="1"/>
  </r>
  <r>
    <m/>
    <m/>
    <x v="1"/>
    <s v="35735102001001"/>
    <n v="-57.23"/>
    <n v="982"/>
    <n v="1"/>
    <n v="1"/>
  </r>
  <r>
    <m/>
    <m/>
    <x v="1"/>
    <s v="35861191001002"/>
    <n v="-2.16"/>
    <n v="37"/>
    <n v="1"/>
    <n v="1"/>
  </r>
  <r>
    <m/>
    <m/>
    <x v="1"/>
    <s v="35882527001002"/>
    <n v="-29.78"/>
    <n v="511"/>
    <n v="1"/>
    <n v="1"/>
  </r>
  <r>
    <m/>
    <m/>
    <x v="1"/>
    <s v="35900670002005"/>
    <n v="-1.57"/>
    <n v="27"/>
    <n v="1"/>
    <n v="1"/>
  </r>
  <r>
    <m/>
    <m/>
    <x v="1"/>
    <s v="36008083001001"/>
    <n v="-45.52"/>
    <n v="781"/>
    <n v="1"/>
    <n v="1"/>
  </r>
  <r>
    <m/>
    <m/>
    <x v="1"/>
    <s v="36026930001001"/>
    <n v="-69.239999999999995"/>
    <n v="1188"/>
    <n v="1"/>
    <n v="1"/>
  </r>
  <r>
    <m/>
    <m/>
    <x v="1"/>
    <s v="36099025002001"/>
    <n v="-27.68"/>
    <n v="475"/>
    <n v="1"/>
    <n v="1"/>
  </r>
  <r>
    <m/>
    <m/>
    <x v="1"/>
    <s v="36103245002011"/>
    <n v="-114.7"/>
    <n v="1968"/>
    <n v="1"/>
    <n v="1"/>
  </r>
  <r>
    <m/>
    <m/>
    <x v="1"/>
    <s v="36152719003003"/>
    <n v="-15.91"/>
    <n v="273"/>
    <n v="1"/>
    <n v="1"/>
  </r>
  <r>
    <m/>
    <m/>
    <x v="1"/>
    <s v="36193790001003"/>
    <n v="-13.75"/>
    <n v="236"/>
    <n v="1"/>
    <n v="1"/>
  </r>
  <r>
    <m/>
    <m/>
    <x v="1"/>
    <s v="36341076001001"/>
    <n v="-130.61000000000001"/>
    <n v="2241"/>
    <n v="1"/>
    <n v="1"/>
  </r>
  <r>
    <m/>
    <m/>
    <x v="1"/>
    <s v="36618779001001"/>
    <n v="-20.05"/>
    <n v="344"/>
    <n v="1"/>
    <n v="1"/>
  </r>
  <r>
    <m/>
    <m/>
    <x v="1"/>
    <s v="36686919001003"/>
    <n v="-26.58"/>
    <n v="456"/>
    <n v="1"/>
    <n v="1"/>
  </r>
  <r>
    <m/>
    <m/>
    <x v="1"/>
    <s v="36698749001001"/>
    <n v="-49.25"/>
    <n v="845"/>
    <n v="1"/>
    <n v="1"/>
  </r>
  <r>
    <m/>
    <m/>
    <x v="1"/>
    <s v="36829904002003"/>
    <n v="-90.22"/>
    <n v="1548"/>
    <n v="1"/>
    <n v="1"/>
  </r>
  <r>
    <m/>
    <m/>
    <x v="1"/>
    <s v="36836870001005"/>
    <n v="-34.21"/>
    <n v="587"/>
    <n v="1"/>
    <n v="1"/>
  </r>
  <r>
    <m/>
    <m/>
    <x v="1"/>
    <s v="37058752001009"/>
    <n v="-34.44"/>
    <n v="591"/>
    <n v="1"/>
    <n v="1"/>
  </r>
  <r>
    <m/>
    <m/>
    <x v="1"/>
    <s v="37060503001007"/>
    <n v="-38.35"/>
    <n v="658"/>
    <n v="1"/>
    <n v="1"/>
  </r>
  <r>
    <m/>
    <m/>
    <x v="1"/>
    <s v="37232118001006"/>
    <n v="-15.56"/>
    <n v="267"/>
    <n v="1"/>
    <n v="1"/>
  </r>
  <r>
    <m/>
    <m/>
    <x v="1"/>
    <s v="37239471001005"/>
    <n v="-37.299999999999997"/>
    <n v="640"/>
    <n v="1"/>
    <n v="1"/>
  </r>
  <r>
    <m/>
    <m/>
    <x v="1"/>
    <s v="37250462001001"/>
    <n v="-71.22"/>
    <n v="1222"/>
    <n v="1"/>
    <n v="1"/>
  </r>
  <r>
    <m/>
    <m/>
    <x v="1"/>
    <s v="37486921001001"/>
    <n v="-6.76"/>
    <n v="116"/>
    <n v="1"/>
    <n v="1"/>
  </r>
  <r>
    <m/>
    <m/>
    <x v="1"/>
    <s v="37494438002001"/>
    <n v="-60.61"/>
    <n v="1040"/>
    <n v="1"/>
    <n v="1"/>
  </r>
  <r>
    <m/>
    <m/>
    <x v="1"/>
    <s v="37502144001001"/>
    <n v="-158.99"/>
    <n v="2728"/>
    <n v="1"/>
    <n v="1"/>
  </r>
  <r>
    <m/>
    <m/>
    <x v="1"/>
    <s v="37624653001003"/>
    <n v="-34.79"/>
    <n v="597"/>
    <n v="1"/>
    <n v="1"/>
  </r>
  <r>
    <m/>
    <m/>
    <x v="1"/>
    <s v="37644296001002"/>
    <n v="-43.77"/>
    <n v="751"/>
    <n v="1"/>
    <n v="1"/>
  </r>
  <r>
    <m/>
    <m/>
    <x v="1"/>
    <s v="37682914001001"/>
    <n v="-9.73"/>
    <n v="167"/>
    <n v="1"/>
    <n v="1"/>
  </r>
  <r>
    <m/>
    <m/>
    <x v="1"/>
    <s v="37689743001001"/>
    <n v="-7.52"/>
    <n v="129"/>
    <n v="1"/>
    <n v="1"/>
  </r>
  <r>
    <m/>
    <m/>
    <x v="1"/>
    <s v="37819864001004"/>
    <n v="-50.94"/>
    <n v="874"/>
    <n v="1"/>
    <n v="1"/>
  </r>
  <r>
    <m/>
    <m/>
    <x v="1"/>
    <s v="37910513001001"/>
    <n v="-1.17"/>
    <n v="20"/>
    <n v="1"/>
    <n v="1"/>
  </r>
  <r>
    <m/>
    <m/>
    <x v="1"/>
    <s v="38026902001003"/>
    <n v="-3.73"/>
    <n v="64"/>
    <n v="1"/>
    <n v="1"/>
  </r>
  <r>
    <m/>
    <m/>
    <x v="1"/>
    <s v="38054004001001"/>
    <n v="-24.94"/>
    <n v="428"/>
    <n v="1"/>
    <n v="1"/>
  </r>
  <r>
    <m/>
    <m/>
    <x v="1"/>
    <s v="38159601001012"/>
    <n v="-49.48"/>
    <n v="849"/>
    <n v="1"/>
    <n v="1"/>
  </r>
  <r>
    <m/>
    <m/>
    <x v="1"/>
    <s v="38272305001003"/>
    <n v="-20.98"/>
    <n v="360"/>
    <n v="1"/>
    <n v="1"/>
  </r>
  <r>
    <m/>
    <m/>
    <x v="1"/>
    <s v="38301351001001"/>
    <n v="-33.57"/>
    <n v="576"/>
    <n v="1"/>
    <n v="1"/>
  </r>
  <r>
    <m/>
    <m/>
    <x v="1"/>
    <s v="38371698002001"/>
    <n v="-24.3"/>
    <n v="417"/>
    <n v="1"/>
    <n v="1"/>
  </r>
  <r>
    <m/>
    <m/>
    <x v="1"/>
    <s v="38397225001002"/>
    <n v="-52.74"/>
    <n v="905"/>
    <n v="1"/>
    <n v="1"/>
  </r>
  <r>
    <m/>
    <m/>
    <x v="1"/>
    <s v="38424727001004"/>
    <n v="-5.83"/>
    <n v="100"/>
    <n v="1"/>
    <n v="1"/>
  </r>
  <r>
    <m/>
    <m/>
    <x v="1"/>
    <s v="38499863001004"/>
    <n v="-45.81"/>
    <n v="786"/>
    <n v="1"/>
    <n v="1"/>
  </r>
  <r>
    <m/>
    <m/>
    <x v="1"/>
    <s v="38540989001007"/>
    <n v="-18.59"/>
    <n v="319"/>
    <n v="1"/>
    <n v="1"/>
  </r>
  <r>
    <m/>
    <m/>
    <x v="1"/>
    <s v="38611961001001"/>
    <n v="-93.48"/>
    <n v="1604"/>
    <n v="1"/>
    <n v="1"/>
  </r>
  <r>
    <m/>
    <m/>
    <x v="1"/>
    <s v="38663995001001"/>
    <n v="-29.96"/>
    <n v="514"/>
    <n v="1"/>
    <n v="1"/>
  </r>
  <r>
    <m/>
    <m/>
    <x v="1"/>
    <s v="38666511001005"/>
    <n v="-77.75"/>
    <n v="1334"/>
    <n v="1"/>
    <n v="1"/>
  </r>
  <r>
    <m/>
    <m/>
    <x v="1"/>
    <s v="38774008001001"/>
    <n v="-14.51"/>
    <n v="249"/>
    <n v="1"/>
    <n v="1"/>
  </r>
  <r>
    <m/>
    <m/>
    <x v="1"/>
    <s v="38778095001001"/>
    <n v="-10.43"/>
    <n v="179"/>
    <n v="1"/>
    <n v="1"/>
  </r>
  <r>
    <m/>
    <m/>
    <x v="1"/>
    <s v="38838346002005"/>
    <n v="-87.83"/>
    <n v="1507"/>
    <n v="1"/>
    <n v="1"/>
  </r>
  <r>
    <m/>
    <m/>
    <x v="1"/>
    <s v="39075374001002"/>
    <n v="-40.450000000000003"/>
    <n v="694"/>
    <n v="1"/>
    <n v="1"/>
  </r>
  <r>
    <m/>
    <m/>
    <x v="1"/>
    <s v="39105361003001"/>
    <n v="-16.32"/>
    <n v="280"/>
    <n v="1"/>
    <n v="1"/>
  </r>
  <r>
    <m/>
    <m/>
    <x v="1"/>
    <s v="39206681001007"/>
    <n v="-66.44"/>
    <n v="1140"/>
    <n v="1"/>
    <n v="1"/>
  </r>
  <r>
    <m/>
    <m/>
    <x v="1"/>
    <s v="39421231001001"/>
    <n v="-7.11"/>
    <n v="122"/>
    <n v="1"/>
    <n v="1"/>
  </r>
  <r>
    <m/>
    <m/>
    <x v="1"/>
    <s v="39500179007001"/>
    <n v="-13"/>
    <n v="223"/>
    <n v="1"/>
    <n v="1"/>
  </r>
  <r>
    <m/>
    <m/>
    <x v="1"/>
    <s v="39509588001002"/>
    <n v="-51.87"/>
    <n v="890"/>
    <n v="1"/>
    <n v="1"/>
  </r>
  <r>
    <m/>
    <m/>
    <x v="1"/>
    <s v="39523212004008"/>
    <n v="-8.92"/>
    <n v="153"/>
    <n v="1"/>
    <n v="1"/>
  </r>
  <r>
    <m/>
    <m/>
    <x v="1"/>
    <s v="39525577001001"/>
    <n v="-20.46"/>
    <n v="351"/>
    <n v="1"/>
    <n v="1"/>
  </r>
  <r>
    <m/>
    <m/>
    <x v="1"/>
    <s v="39758083001001"/>
    <n v="-16.61"/>
    <n v="285"/>
    <n v="1"/>
    <n v="1"/>
  </r>
  <r>
    <m/>
    <m/>
    <x v="1"/>
    <s v="39766519001003"/>
    <n v="-7.63"/>
    <n v="131"/>
    <n v="1"/>
    <n v="1"/>
  </r>
  <r>
    <m/>
    <m/>
    <x v="1"/>
    <s v="39773816002001"/>
    <n v="-54.49"/>
    <n v="935"/>
    <n v="1"/>
    <n v="1"/>
  </r>
  <r>
    <m/>
    <m/>
    <x v="1"/>
    <s v="39857500001003"/>
    <n v="-4.25"/>
    <n v="73"/>
    <n v="1"/>
    <n v="1"/>
  </r>
  <r>
    <m/>
    <m/>
    <x v="1"/>
    <s v="39904885001002"/>
    <n v="-33.630000000000003"/>
    <n v="577"/>
    <n v="1"/>
    <n v="1"/>
  </r>
  <r>
    <m/>
    <m/>
    <x v="1"/>
    <s v="39991003001001"/>
    <n v="-32.049999999999997"/>
    <n v="550"/>
    <n v="1"/>
    <n v="1"/>
  </r>
  <r>
    <m/>
    <m/>
    <x v="1"/>
    <s v="40139129001002"/>
    <n v="-91.97"/>
    <n v="1578"/>
    <n v="1"/>
    <n v="1"/>
  </r>
  <r>
    <m/>
    <m/>
    <x v="1"/>
    <s v="40186507001001"/>
    <n v="-5.07"/>
    <n v="87"/>
    <n v="1"/>
    <n v="1"/>
  </r>
  <r>
    <m/>
    <m/>
    <x v="1"/>
    <s v="40187844001001"/>
    <n v="-13.4"/>
    <n v="230"/>
    <n v="1"/>
    <n v="1"/>
  </r>
  <r>
    <m/>
    <m/>
    <x v="1"/>
    <s v="40195770001001"/>
    <n v="-73.319999999999993"/>
    <n v="1258"/>
    <n v="1"/>
    <n v="1"/>
  </r>
  <r>
    <m/>
    <m/>
    <x v="1"/>
    <s v="40254052001001"/>
    <n v="-14.98"/>
    <n v="257"/>
    <n v="1"/>
    <n v="1"/>
  </r>
  <r>
    <m/>
    <m/>
    <x v="1"/>
    <s v="40354936001001"/>
    <n v="-27.1"/>
    <n v="465"/>
    <n v="1"/>
    <n v="1"/>
  </r>
  <r>
    <m/>
    <m/>
    <x v="1"/>
    <s v="40428864001001"/>
    <n v="-25.41"/>
    <n v="436"/>
    <n v="1"/>
    <n v="1"/>
  </r>
  <r>
    <m/>
    <m/>
    <x v="1"/>
    <s v="40647033004003"/>
    <n v="-58.4"/>
    <n v="1002"/>
    <n v="1"/>
    <n v="1"/>
  </r>
  <r>
    <m/>
    <m/>
    <x v="1"/>
    <s v="40680887001001"/>
    <n v="-113.47"/>
    <n v="1947"/>
    <n v="1"/>
    <n v="1"/>
  </r>
  <r>
    <m/>
    <m/>
    <x v="1"/>
    <s v="40810644001009"/>
    <n v="-21.8"/>
    <n v="374"/>
    <n v="1"/>
    <n v="1"/>
  </r>
  <r>
    <m/>
    <m/>
    <x v="1"/>
    <s v="40811850001003"/>
    <n v="-39.979999999999997"/>
    <n v="686"/>
    <n v="1"/>
    <n v="1"/>
  </r>
  <r>
    <m/>
    <m/>
    <x v="1"/>
    <s v="40849252002005"/>
    <n v="-33.74"/>
    <n v="579"/>
    <n v="1"/>
    <n v="1"/>
  </r>
  <r>
    <m/>
    <m/>
    <x v="1"/>
    <s v="40922056004001"/>
    <n v="-69.989999999999995"/>
    <n v="1201"/>
    <n v="1"/>
    <n v="1"/>
  </r>
  <r>
    <m/>
    <m/>
    <x v="1"/>
    <s v="40965656008001"/>
    <n v="-44.06"/>
    <n v="756"/>
    <n v="1"/>
    <n v="1"/>
  </r>
  <r>
    <m/>
    <m/>
    <x v="1"/>
    <s v="41212065001001"/>
    <n v="-31.12"/>
    <n v="534"/>
    <n v="1"/>
    <n v="1"/>
  </r>
  <r>
    <m/>
    <m/>
    <x v="1"/>
    <s v="41218173004005"/>
    <n v="-82.29"/>
    <n v="1412"/>
    <n v="1"/>
    <n v="1"/>
  </r>
  <r>
    <m/>
    <m/>
    <x v="1"/>
    <s v="41221819001001"/>
    <n v="-11.48"/>
    <n v="197"/>
    <n v="1"/>
    <n v="1"/>
  </r>
  <r>
    <m/>
    <m/>
    <x v="1"/>
    <s v="41254471001004"/>
    <n v="-52.22"/>
    <n v="896"/>
    <n v="1"/>
    <n v="1"/>
  </r>
  <r>
    <m/>
    <m/>
    <x v="1"/>
    <s v="41261705001002"/>
    <n v="-63.99"/>
    <n v="1098"/>
    <n v="1"/>
    <n v="1"/>
  </r>
  <r>
    <m/>
    <m/>
    <x v="1"/>
    <s v="41291991001001"/>
    <n v="-24.54"/>
    <n v="421"/>
    <n v="1"/>
    <n v="1"/>
  </r>
  <r>
    <m/>
    <m/>
    <x v="1"/>
    <s v="41302242001001"/>
    <n v="-43.65"/>
    <n v="749"/>
    <n v="1"/>
    <n v="1"/>
  </r>
  <r>
    <m/>
    <m/>
    <x v="1"/>
    <s v="41605082002003"/>
    <n v="-26.23"/>
    <n v="450"/>
    <n v="1"/>
    <n v="1"/>
  </r>
  <r>
    <m/>
    <m/>
    <x v="1"/>
    <s v="41791652002003"/>
    <n v="-29.49"/>
    <n v="506"/>
    <n v="1"/>
    <n v="1"/>
  </r>
  <r>
    <m/>
    <m/>
    <x v="1"/>
    <s v="41850336001002"/>
    <n v="-26.93"/>
    <n v="462"/>
    <n v="1"/>
    <n v="1"/>
  </r>
  <r>
    <m/>
    <m/>
    <x v="1"/>
    <s v="41878216001003"/>
    <n v="-59.33"/>
    <n v="1018"/>
    <n v="1"/>
    <n v="1"/>
  </r>
  <r>
    <m/>
    <m/>
    <x v="1"/>
    <s v="41892227002002"/>
    <n v="-26.98"/>
    <n v="463"/>
    <n v="1"/>
    <n v="1"/>
  </r>
  <r>
    <m/>
    <m/>
    <x v="1"/>
    <s v="41978051001003"/>
    <n v="-43.19"/>
    <n v="741"/>
    <n v="1"/>
    <n v="1"/>
  </r>
  <r>
    <m/>
    <m/>
    <x v="1"/>
    <s v="41980548001001"/>
    <n v="-70.87"/>
    <n v="1216"/>
    <n v="1"/>
    <n v="1"/>
  </r>
  <r>
    <m/>
    <m/>
    <x v="1"/>
    <s v="42029419001001"/>
    <n v="-24.36"/>
    <n v="418"/>
    <n v="1"/>
    <n v="1"/>
  </r>
  <r>
    <m/>
    <m/>
    <x v="1"/>
    <s v="42073484003001"/>
    <n v="-95.64"/>
    <n v="1641"/>
    <n v="1"/>
    <n v="1"/>
  </r>
  <r>
    <m/>
    <m/>
    <x v="1"/>
    <s v="42131911001008"/>
    <n v="-120.64"/>
    <n v="2070"/>
    <n v="1"/>
    <n v="1"/>
  </r>
  <r>
    <m/>
    <m/>
    <x v="1"/>
    <s v="42185507001001"/>
    <n v="-36.83"/>
    <n v="632"/>
    <n v="1"/>
    <n v="1"/>
  </r>
  <r>
    <m/>
    <m/>
    <x v="1"/>
    <s v="42244289002003"/>
    <n v="-69.290000000000006"/>
    <n v="1189"/>
    <n v="1"/>
    <n v="1"/>
  </r>
  <r>
    <m/>
    <m/>
    <x v="1"/>
    <s v="42270867001005"/>
    <n v="-42.37"/>
    <n v="727"/>
    <n v="1"/>
    <n v="1"/>
  </r>
  <r>
    <m/>
    <m/>
    <x v="1"/>
    <s v="42281329001011"/>
    <n v="-37.590000000000003"/>
    <n v="645"/>
    <n v="1"/>
    <n v="1"/>
  </r>
  <r>
    <m/>
    <m/>
    <x v="1"/>
    <s v="42284086002001"/>
    <n v="-3.96"/>
    <n v="68"/>
    <n v="1"/>
    <n v="1"/>
  </r>
  <r>
    <m/>
    <m/>
    <x v="1"/>
    <s v="42343001003004"/>
    <n v="-88.82"/>
    <n v="1524"/>
    <n v="1"/>
    <n v="1"/>
  </r>
  <r>
    <m/>
    <m/>
    <x v="1"/>
    <s v="42367522001001"/>
    <n v="-65.569999999999993"/>
    <n v="1125"/>
    <n v="1"/>
    <n v="1"/>
  </r>
  <r>
    <m/>
    <m/>
    <x v="1"/>
    <s v="42433691001006"/>
    <n v="-27.57"/>
    <n v="473"/>
    <n v="1"/>
    <n v="1"/>
  </r>
  <r>
    <m/>
    <m/>
    <x v="1"/>
    <s v="42468571002005"/>
    <n v="-50.53"/>
    <n v="867"/>
    <n v="1"/>
    <n v="1"/>
  </r>
  <r>
    <m/>
    <m/>
    <x v="1"/>
    <s v="42472921002002"/>
    <n v="-86.02"/>
    <n v="1476"/>
    <n v="1"/>
    <n v="1"/>
  </r>
  <r>
    <m/>
    <m/>
    <x v="1"/>
    <s v="42475114001001"/>
    <n v="-21.51"/>
    <n v="369"/>
    <n v="1"/>
    <n v="1"/>
  </r>
  <r>
    <m/>
    <m/>
    <x v="1"/>
    <s v="42488881004001"/>
    <n v="-19.23"/>
    <n v="330"/>
    <n v="1"/>
    <n v="1"/>
  </r>
  <r>
    <m/>
    <m/>
    <x v="1"/>
    <s v="42500151001003"/>
    <n v="-48.66"/>
    <n v="835"/>
    <n v="1"/>
    <n v="1"/>
  </r>
  <r>
    <m/>
    <m/>
    <x v="1"/>
    <s v="42504631004001"/>
    <n v="-8.4499999999999993"/>
    <n v="145"/>
    <n v="1"/>
    <n v="1"/>
  </r>
  <r>
    <m/>
    <m/>
    <x v="1"/>
    <s v="42531581001002"/>
    <n v="-37.880000000000003"/>
    <n v="650"/>
    <n v="1"/>
    <n v="1"/>
  </r>
  <r>
    <m/>
    <m/>
    <x v="1"/>
    <s v="42535431005001"/>
    <n v="-49.25"/>
    <n v="845"/>
    <n v="1"/>
    <n v="1"/>
  </r>
  <r>
    <m/>
    <m/>
    <x v="1"/>
    <s v="42559441005001"/>
    <n v="-51.64"/>
    <n v="886"/>
    <n v="1"/>
    <n v="1"/>
  </r>
  <r>
    <m/>
    <m/>
    <x v="1"/>
    <s v="42561606001009"/>
    <n v="-36.31"/>
    <n v="623"/>
    <n v="1"/>
    <n v="1"/>
  </r>
  <r>
    <m/>
    <m/>
    <x v="1"/>
    <s v="42577291003003"/>
    <n v="-21.21"/>
    <n v="364"/>
    <n v="1"/>
    <n v="1"/>
  </r>
  <r>
    <m/>
    <m/>
    <x v="1"/>
    <s v="42577991002002"/>
    <n v="-108.58"/>
    <n v="1863"/>
    <n v="1"/>
    <n v="1"/>
  </r>
  <r>
    <m/>
    <m/>
    <x v="1"/>
    <s v="42593181002003"/>
    <n v="-70.290000000000006"/>
    <n v="1206"/>
    <n v="1"/>
    <n v="1"/>
  </r>
  <r>
    <m/>
    <m/>
    <x v="1"/>
    <s v="42595211001004"/>
    <n v="-86.43"/>
    <n v="1483"/>
    <n v="1"/>
    <n v="1"/>
  </r>
  <r>
    <m/>
    <m/>
    <x v="1"/>
    <s v="42633571002001"/>
    <n v="-10.14"/>
    <n v="174"/>
    <n v="1"/>
    <n v="1"/>
  </r>
  <r>
    <m/>
    <m/>
    <x v="1"/>
    <s v="42642951010001"/>
    <n v="-1.46"/>
    <n v="25"/>
    <n v="1"/>
    <n v="1"/>
  </r>
  <r>
    <m/>
    <m/>
    <x v="1"/>
    <s v="42673331002003"/>
    <n v="-64.22"/>
    <n v="1102"/>
    <n v="1"/>
    <n v="1"/>
  </r>
  <r>
    <m/>
    <m/>
    <x v="1"/>
    <s v="42686841002008"/>
    <n v="-11.48"/>
    <n v="197"/>
    <n v="1"/>
    <n v="1"/>
  </r>
  <r>
    <m/>
    <m/>
    <x v="1"/>
    <s v="42718551001001"/>
    <n v="-46.62"/>
    <n v="800"/>
    <n v="1"/>
    <n v="1"/>
  </r>
  <r>
    <m/>
    <m/>
    <x v="1"/>
    <s v="42766435002003"/>
    <n v="-70.87"/>
    <n v="1216"/>
    <n v="1"/>
    <n v="1"/>
  </r>
  <r>
    <m/>
    <m/>
    <x v="1"/>
    <s v="42783651002001"/>
    <n v="-44.06"/>
    <n v="756"/>
    <n v="1"/>
    <n v="1"/>
  </r>
  <r>
    <m/>
    <m/>
    <x v="1"/>
    <s v="42878921002001"/>
    <n v="-14.28"/>
    <n v="245"/>
    <n v="1"/>
    <n v="1"/>
  </r>
  <r>
    <m/>
    <m/>
    <x v="1"/>
    <s v="42972931001004"/>
    <n v="-20.16"/>
    <n v="346"/>
    <n v="1"/>
    <n v="1"/>
  </r>
  <r>
    <m/>
    <m/>
    <x v="1"/>
    <s v="43023681011001"/>
    <n v="-17.89"/>
    <n v="307"/>
    <n v="1"/>
    <n v="1"/>
  </r>
  <r>
    <m/>
    <m/>
    <x v="1"/>
    <s v="43023751003001"/>
    <n v="-60.26"/>
    <n v="1034"/>
    <n v="1"/>
    <n v="1"/>
  </r>
  <r>
    <m/>
    <m/>
    <x v="1"/>
    <s v="43122241004005"/>
    <n v="-39.92"/>
    <n v="685"/>
    <n v="1"/>
    <n v="1"/>
  </r>
  <r>
    <m/>
    <m/>
    <x v="1"/>
    <s v="43131201001002"/>
    <n v="-54.49"/>
    <n v="935"/>
    <n v="1"/>
    <n v="1"/>
  </r>
  <r>
    <m/>
    <m/>
    <x v="1"/>
    <s v="43154466001003"/>
    <n v="-18.940000000000001"/>
    <n v="325"/>
    <n v="1"/>
    <n v="1"/>
  </r>
  <r>
    <m/>
    <m/>
    <x v="1"/>
    <s v="43192521002006"/>
    <n v="-30.95"/>
    <n v="531"/>
    <n v="1"/>
    <n v="1"/>
  </r>
  <r>
    <m/>
    <m/>
    <x v="1"/>
    <s v="43195531002001"/>
    <n v="-21.51"/>
    <n v="369"/>
    <n v="1"/>
    <n v="1"/>
  </r>
  <r>
    <m/>
    <m/>
    <x v="1"/>
    <s v="43209041003005"/>
    <n v="-25.47"/>
    <n v="437"/>
    <n v="1"/>
    <n v="1"/>
  </r>
  <r>
    <m/>
    <m/>
    <x v="1"/>
    <s v="43213661002005"/>
    <n v="-63.53"/>
    <n v="1090"/>
    <n v="1"/>
    <n v="1"/>
  </r>
  <r>
    <m/>
    <m/>
    <x v="1"/>
    <s v="43218351001006"/>
    <n v="-52.34"/>
    <n v="898"/>
    <n v="1"/>
    <n v="1"/>
  </r>
  <r>
    <m/>
    <m/>
    <x v="1"/>
    <s v="43233471004001"/>
    <n v="-103.74"/>
    <n v="1780"/>
    <n v="1"/>
    <n v="1"/>
  </r>
  <r>
    <m/>
    <m/>
    <x v="1"/>
    <s v="43233574002001"/>
    <n v="-10.26"/>
    <n v="176"/>
    <n v="1"/>
    <n v="1"/>
  </r>
  <r>
    <m/>
    <m/>
    <x v="1"/>
    <s v="43240331001004"/>
    <n v="-35.03"/>
    <n v="601"/>
    <n v="1"/>
    <n v="1"/>
  </r>
  <r>
    <m/>
    <m/>
    <x v="1"/>
    <s v="43240401001003"/>
    <n v="-32.58"/>
    <n v="559"/>
    <n v="1"/>
    <n v="1"/>
  </r>
  <r>
    <m/>
    <m/>
    <x v="1"/>
    <s v="43248661001005"/>
    <n v="-29.96"/>
    <n v="514"/>
    <n v="1"/>
    <n v="1"/>
  </r>
  <r>
    <m/>
    <m/>
    <x v="1"/>
    <s v="43268821001001"/>
    <n v="-51.75"/>
    <n v="888"/>
    <n v="1"/>
    <n v="1"/>
  </r>
  <r>
    <m/>
    <m/>
    <x v="1"/>
    <s v="43296891001001"/>
    <n v="-65.62"/>
    <n v="1126"/>
    <n v="1"/>
    <n v="1"/>
  </r>
  <r>
    <m/>
    <m/>
    <x v="1"/>
    <s v="43302281004001"/>
    <n v="-39.81"/>
    <n v="683"/>
    <n v="1"/>
    <n v="1"/>
  </r>
  <r>
    <m/>
    <m/>
    <x v="1"/>
    <s v="43384741001002"/>
    <n v="-34.04"/>
    <n v="584"/>
    <n v="2"/>
    <n v="1"/>
  </r>
  <r>
    <m/>
    <m/>
    <x v="1"/>
    <s v="43445991001003"/>
    <n v="-40.619999999999997"/>
    <n v="697"/>
    <n v="1"/>
    <n v="1"/>
  </r>
  <r>
    <m/>
    <m/>
    <x v="1"/>
    <s v="43482671001001"/>
    <n v="-80.72"/>
    <n v="1385"/>
    <n v="1"/>
    <n v="1"/>
  </r>
  <r>
    <m/>
    <m/>
    <x v="1"/>
    <s v="43691761001001"/>
    <n v="-76.930000000000007"/>
    <n v="1320"/>
    <n v="1"/>
    <n v="1"/>
  </r>
  <r>
    <m/>
    <m/>
    <x v="1"/>
    <s v="43697462001003"/>
    <n v="-26.81"/>
    <n v="460"/>
    <n v="1"/>
    <n v="1"/>
  </r>
  <r>
    <m/>
    <m/>
    <x v="1"/>
    <s v="43720585001001"/>
    <n v="-25.58"/>
    <n v="439"/>
    <n v="1"/>
    <n v="1"/>
  </r>
  <r>
    <m/>
    <m/>
    <x v="1"/>
    <s v="43743281001003"/>
    <n v="-40.04"/>
    <n v="687"/>
    <n v="1"/>
    <n v="1"/>
  </r>
  <r>
    <m/>
    <m/>
    <x v="1"/>
    <s v="43761831009001"/>
    <n v="-140.75"/>
    <n v="2415"/>
    <n v="1"/>
    <n v="1"/>
  </r>
  <r>
    <m/>
    <m/>
    <x v="1"/>
    <s v="43843941001002"/>
    <n v="-114.11"/>
    <n v="1958"/>
    <n v="1"/>
    <n v="1"/>
  </r>
  <r>
    <m/>
    <m/>
    <x v="1"/>
    <s v="43848981006003"/>
    <n v="-89.4"/>
    <n v="1534"/>
    <n v="1"/>
    <n v="1"/>
  </r>
  <r>
    <m/>
    <m/>
    <x v="1"/>
    <s v="43908201002002"/>
    <n v="-0.64"/>
    <n v="11"/>
    <n v="1"/>
    <n v="1"/>
  </r>
  <r>
    <m/>
    <m/>
    <x v="1"/>
    <s v="43930309005001"/>
    <n v="-46.04"/>
    <n v="790"/>
    <n v="1"/>
    <n v="1"/>
  </r>
  <r>
    <m/>
    <m/>
    <x v="1"/>
    <s v="43931231001001"/>
    <n v="-16.73"/>
    <n v="287"/>
    <n v="1"/>
    <n v="1"/>
  </r>
  <r>
    <m/>
    <m/>
    <x v="1"/>
    <s v="43995090001012"/>
    <n v="-9.5"/>
    <n v="163"/>
    <n v="1"/>
    <n v="1"/>
  </r>
  <r>
    <m/>
    <m/>
    <x v="1"/>
    <s v="44027831001002"/>
    <n v="-30.54"/>
    <n v="524"/>
    <n v="1"/>
    <n v="1"/>
  </r>
  <r>
    <m/>
    <m/>
    <x v="1"/>
    <s v="44132341001001"/>
    <n v="-42.72"/>
    <n v="733"/>
    <n v="1"/>
    <n v="1"/>
  </r>
  <r>
    <m/>
    <m/>
    <x v="1"/>
    <s v="44289141002001"/>
    <n v="-4.72"/>
    <n v="81"/>
    <n v="1"/>
    <n v="1"/>
  </r>
  <r>
    <m/>
    <m/>
    <x v="1"/>
    <s v="44295021002002"/>
    <n v="-46.57"/>
    <n v="799"/>
    <n v="1"/>
    <n v="1"/>
  </r>
  <r>
    <m/>
    <m/>
    <x v="1"/>
    <s v="44310351005002"/>
    <n v="-32.17"/>
    <n v="552"/>
    <n v="1"/>
    <n v="1"/>
  </r>
  <r>
    <m/>
    <m/>
    <x v="1"/>
    <s v="44346821001002"/>
    <n v="-41.67"/>
    <n v="715"/>
    <n v="1"/>
    <n v="1"/>
  </r>
  <r>
    <m/>
    <m/>
    <x v="1"/>
    <s v="44348081005001"/>
    <n v="-87.59"/>
    <n v="1503"/>
    <n v="1"/>
    <n v="1"/>
  </r>
  <r>
    <m/>
    <m/>
    <x v="1"/>
    <s v="44348711012001"/>
    <n v="-51.87"/>
    <n v="890"/>
    <n v="1"/>
    <n v="1"/>
  </r>
  <r>
    <m/>
    <m/>
    <x v="1"/>
    <s v="44350671002005"/>
    <n v="-37.42"/>
    <n v="642"/>
    <n v="1"/>
    <n v="1"/>
  </r>
  <r>
    <m/>
    <m/>
    <x v="1"/>
    <s v="44371461001006"/>
    <n v="-49.83"/>
    <n v="855"/>
    <n v="1"/>
    <n v="1"/>
  </r>
  <r>
    <m/>
    <m/>
    <x v="1"/>
    <s v="44380071003003"/>
    <n v="-44.58"/>
    <n v="765"/>
    <n v="1"/>
    <n v="1"/>
  </r>
  <r>
    <m/>
    <m/>
    <x v="1"/>
    <s v="44400231001002"/>
    <n v="-45.23"/>
    <n v="776"/>
    <n v="1"/>
    <n v="1"/>
  </r>
  <r>
    <m/>
    <m/>
    <x v="1"/>
    <s v="44424535001002"/>
    <n v="-28.38"/>
    <n v="487"/>
    <n v="1"/>
    <n v="1"/>
  </r>
  <r>
    <m/>
    <m/>
    <x v="1"/>
    <s v="44437541001001"/>
    <n v="-124.89"/>
    <n v="2143"/>
    <n v="1"/>
    <n v="1"/>
  </r>
  <r>
    <m/>
    <m/>
    <x v="1"/>
    <s v="44470529001003"/>
    <n v="-22.38"/>
    <n v="384"/>
    <n v="1"/>
    <n v="1"/>
  </r>
  <r>
    <m/>
    <m/>
    <x v="1"/>
    <s v="44494451001004"/>
    <n v="-26.87"/>
    <n v="461"/>
    <n v="1"/>
    <n v="1"/>
  </r>
  <r>
    <m/>
    <m/>
    <x v="1"/>
    <s v="44510481001001"/>
    <n v="-59.04"/>
    <n v="1013"/>
    <n v="1"/>
    <n v="1"/>
  </r>
  <r>
    <m/>
    <m/>
    <x v="1"/>
    <s v="44510901001001"/>
    <n v="-30.36"/>
    <n v="521"/>
    <n v="1"/>
    <n v="1"/>
  </r>
  <r>
    <m/>
    <m/>
    <x v="1"/>
    <s v="44512971001001"/>
    <n v="-44.12"/>
    <n v="757"/>
    <n v="1"/>
    <n v="1"/>
  </r>
  <r>
    <m/>
    <m/>
    <x v="1"/>
    <s v="44517723001001"/>
    <n v="-6.41"/>
    <n v="110"/>
    <n v="1"/>
    <n v="1"/>
  </r>
  <r>
    <m/>
    <m/>
    <x v="1"/>
    <s v="44521191004001"/>
    <n v="-67.84"/>
    <n v="1164"/>
    <n v="1"/>
    <n v="1"/>
  </r>
  <r>
    <m/>
    <m/>
    <x v="1"/>
    <s v="44522381001001"/>
    <n v="-61.08"/>
    <n v="1048"/>
    <n v="1"/>
    <n v="1"/>
  </r>
  <r>
    <m/>
    <m/>
    <x v="1"/>
    <s v="44524481001001"/>
    <n v="-25.41"/>
    <n v="436"/>
    <n v="1"/>
    <n v="1"/>
  </r>
  <r>
    <m/>
    <m/>
    <x v="1"/>
    <s v="44533511002002"/>
    <n v="-46.1"/>
    <n v="791"/>
    <n v="1"/>
    <n v="1"/>
  </r>
  <r>
    <m/>
    <m/>
    <x v="1"/>
    <s v="44536031001002"/>
    <n v="-25.12"/>
    <n v="431"/>
    <n v="1"/>
    <n v="1"/>
  </r>
  <r>
    <m/>
    <m/>
    <x v="1"/>
    <s v="44577611002002"/>
    <n v="-3.67"/>
    <n v="63"/>
    <n v="1"/>
    <n v="1"/>
  </r>
  <r>
    <m/>
    <m/>
    <x v="1"/>
    <s v="44581251003001"/>
    <n v="-23.2"/>
    <n v="398"/>
    <n v="1"/>
    <n v="1"/>
  </r>
  <r>
    <m/>
    <m/>
    <x v="1"/>
    <s v="44596091002001"/>
    <n v="-1.98"/>
    <n v="34"/>
    <n v="1"/>
    <n v="1"/>
  </r>
  <r>
    <m/>
    <m/>
    <x v="1"/>
    <s v="44613171001010"/>
    <n v="-57"/>
    <n v="978"/>
    <n v="1"/>
    <n v="1"/>
  </r>
  <r>
    <m/>
    <m/>
    <x v="1"/>
    <s v="44625701002001"/>
    <n v="-73.959999999999994"/>
    <n v="1269"/>
    <n v="1"/>
    <n v="1"/>
  </r>
  <r>
    <m/>
    <m/>
    <x v="1"/>
    <s v="44638931001005"/>
    <n v="-18.53"/>
    <n v="318"/>
    <n v="1"/>
    <n v="1"/>
  </r>
  <r>
    <m/>
    <m/>
    <x v="1"/>
    <s v="44639981001001"/>
    <n v="-23.37"/>
    <n v="401"/>
    <n v="1"/>
    <n v="1"/>
  </r>
  <r>
    <m/>
    <m/>
    <x v="1"/>
    <s v="44663409001001"/>
    <n v="-79.260000000000005"/>
    <n v="1360"/>
    <n v="1"/>
    <n v="1"/>
  </r>
  <r>
    <m/>
    <m/>
    <x v="1"/>
    <s v="44694441001003"/>
    <n v="-61.08"/>
    <n v="1048"/>
    <n v="1"/>
    <n v="1"/>
  </r>
  <r>
    <m/>
    <m/>
    <x v="1"/>
    <s v="44698571001002"/>
    <n v="-11.95"/>
    <n v="205"/>
    <n v="1"/>
    <n v="1"/>
  </r>
  <r>
    <m/>
    <m/>
    <x v="1"/>
    <s v="44710891001001"/>
    <n v="-48.31"/>
    <n v="829"/>
    <n v="1"/>
    <n v="1"/>
  </r>
  <r>
    <m/>
    <m/>
    <x v="1"/>
    <s v="44711381004001"/>
    <n v="-7.46"/>
    <n v="128"/>
    <n v="1"/>
    <n v="1"/>
  </r>
  <r>
    <m/>
    <m/>
    <x v="1"/>
    <s v="44752516001001"/>
    <n v="-5.65"/>
    <n v="97"/>
    <n v="1"/>
    <n v="1"/>
  </r>
  <r>
    <m/>
    <m/>
    <x v="1"/>
    <s v="44753381001001"/>
    <n v="-27.22"/>
    <n v="467"/>
    <n v="1"/>
    <n v="1"/>
  </r>
  <r>
    <m/>
    <m/>
    <x v="1"/>
    <s v="44761361002003"/>
    <n v="-59.56"/>
    <n v="1022"/>
    <n v="1"/>
    <n v="1"/>
  </r>
  <r>
    <m/>
    <m/>
    <x v="1"/>
    <s v="44859011005001"/>
    <n v="-25.24"/>
    <n v="433"/>
    <n v="1"/>
    <n v="1"/>
  </r>
  <r>
    <m/>
    <m/>
    <x v="1"/>
    <s v="44863491001001"/>
    <n v="-53.21"/>
    <n v="913"/>
    <n v="1"/>
    <n v="1"/>
  </r>
  <r>
    <m/>
    <m/>
    <x v="1"/>
    <s v="44881481002002"/>
    <n v="-39.340000000000003"/>
    <n v="675"/>
    <n v="1"/>
    <n v="1"/>
  </r>
  <r>
    <m/>
    <m/>
    <x v="1"/>
    <s v="44881621001001"/>
    <n v="-44.99"/>
    <n v="772"/>
    <n v="1"/>
    <n v="1"/>
  </r>
  <r>
    <m/>
    <m/>
    <x v="1"/>
    <s v="44930551001003"/>
    <n v="-35.32"/>
    <n v="606"/>
    <n v="1"/>
    <n v="1"/>
  </r>
  <r>
    <m/>
    <m/>
    <x v="1"/>
    <s v="44956311001001"/>
    <n v="-25.53"/>
    <n v="438"/>
    <n v="1"/>
    <n v="1"/>
  </r>
  <r>
    <m/>
    <m/>
    <x v="1"/>
    <s v="44962961004001"/>
    <n v="-11.13"/>
    <n v="191"/>
    <n v="1"/>
    <n v="1"/>
  </r>
  <r>
    <m/>
    <m/>
    <x v="1"/>
    <s v="44967161001001"/>
    <n v="-108.81"/>
    <n v="1867"/>
    <n v="1"/>
    <n v="1"/>
  </r>
  <r>
    <m/>
    <m/>
    <x v="1"/>
    <s v="44990541001001"/>
    <n v="-39.69"/>
    <n v="681"/>
    <n v="1"/>
    <n v="1"/>
  </r>
  <r>
    <m/>
    <m/>
    <x v="1"/>
    <s v="45008951004001"/>
    <n v="-46.8"/>
    <n v="803"/>
    <n v="1"/>
    <n v="1"/>
  </r>
  <r>
    <m/>
    <m/>
    <x v="1"/>
    <s v="45031958001001"/>
    <n v="-103.39"/>
    <n v="1774"/>
    <n v="1"/>
    <n v="1"/>
  </r>
  <r>
    <m/>
    <m/>
    <x v="1"/>
    <s v="45041431001002"/>
    <n v="-80.08"/>
    <n v="1374"/>
    <n v="1"/>
    <n v="1"/>
  </r>
  <r>
    <m/>
    <m/>
    <x v="1"/>
    <s v="45047731002001"/>
    <n v="-43.65"/>
    <n v="749"/>
    <n v="1"/>
    <n v="1"/>
  </r>
  <r>
    <m/>
    <m/>
    <x v="1"/>
    <s v="45048221001001"/>
    <n v="-28.38"/>
    <n v="487"/>
    <n v="1"/>
    <n v="1"/>
  </r>
  <r>
    <m/>
    <m/>
    <x v="1"/>
    <s v="45050391007001"/>
    <n v="-50.47"/>
    <n v="866"/>
    <n v="1"/>
    <n v="1"/>
  </r>
  <r>
    <m/>
    <m/>
    <x v="1"/>
    <s v="45052631001002"/>
    <n v="-14.16"/>
    <n v="243"/>
    <n v="1"/>
    <n v="1"/>
  </r>
  <r>
    <m/>
    <m/>
    <x v="1"/>
    <s v="45055431001001"/>
    <n v="-17.25"/>
    <n v="296"/>
    <n v="1"/>
    <n v="1"/>
  </r>
  <r>
    <m/>
    <m/>
    <x v="1"/>
    <s v="45057461003001"/>
    <n v="-21.1"/>
    <n v="362"/>
    <n v="1"/>
    <n v="1"/>
  </r>
  <r>
    <m/>
    <m/>
    <x v="1"/>
    <s v="45061941003003"/>
    <n v="-35.78"/>
    <n v="614"/>
    <n v="1"/>
    <n v="1"/>
  </r>
  <r>
    <m/>
    <m/>
    <x v="1"/>
    <s v="45072791003019"/>
    <n v="-66.150000000000006"/>
    <n v="1135"/>
    <n v="1"/>
    <n v="1"/>
  </r>
  <r>
    <m/>
    <m/>
    <x v="1"/>
    <s v="45074891004011"/>
    <n v="-27.62"/>
    <n v="474"/>
    <n v="1"/>
    <n v="1"/>
  </r>
  <r>
    <m/>
    <m/>
    <x v="1"/>
    <s v="45075591004001"/>
    <n v="-33.159999999999997"/>
    <n v="569"/>
    <n v="1"/>
    <n v="1"/>
  </r>
  <r>
    <m/>
    <m/>
    <x v="1"/>
    <s v="45076781001003"/>
    <n v="-33.57"/>
    <n v="576"/>
    <n v="1"/>
    <n v="1"/>
  </r>
  <r>
    <m/>
    <m/>
    <x v="1"/>
    <s v="45079791002001"/>
    <n v="-7.81"/>
    <n v="134"/>
    <n v="1"/>
    <n v="1"/>
  </r>
  <r>
    <m/>
    <m/>
    <x v="1"/>
    <s v="45081401001004"/>
    <n v="-37.770000000000003"/>
    <n v="648"/>
    <n v="1"/>
    <n v="1"/>
  </r>
  <r>
    <m/>
    <m/>
    <x v="1"/>
    <s v="45099461003003"/>
    <n v="-46.74"/>
    <n v="802"/>
    <n v="1"/>
    <n v="1"/>
  </r>
  <r>
    <m/>
    <m/>
    <x v="1"/>
    <s v="45126691002004"/>
    <n v="-58.8"/>
    <n v="1009"/>
    <n v="1"/>
    <n v="1"/>
  </r>
  <r>
    <m/>
    <m/>
    <x v="1"/>
    <s v="45131871004001"/>
    <n v="-32.17"/>
    <n v="552"/>
    <n v="1"/>
    <n v="1"/>
  </r>
  <r>
    <m/>
    <m/>
    <x v="1"/>
    <s v="45132711001002"/>
    <n v="-79.319999999999993"/>
    <n v="1361"/>
    <n v="1"/>
    <n v="1"/>
  </r>
  <r>
    <m/>
    <m/>
    <x v="1"/>
    <s v="45137261001001"/>
    <n v="-119.12"/>
    <n v="2044"/>
    <n v="1"/>
    <n v="1"/>
  </r>
  <r>
    <m/>
    <m/>
    <x v="1"/>
    <s v="45153011001003"/>
    <n v="-61.19"/>
    <n v="1050"/>
    <n v="1"/>
    <n v="1"/>
  </r>
  <r>
    <m/>
    <m/>
    <x v="1"/>
    <s v="45156161001001"/>
    <n v="-34.15"/>
    <n v="586"/>
    <n v="1"/>
    <n v="1"/>
  </r>
  <r>
    <m/>
    <m/>
    <x v="1"/>
    <s v="45170842001005"/>
    <n v="-5.65"/>
    <n v="97"/>
    <n v="1"/>
    <n v="1"/>
  </r>
  <r>
    <m/>
    <m/>
    <x v="1"/>
    <s v="45192841001001"/>
    <n v="-15.56"/>
    <n v="267"/>
    <n v="1"/>
    <n v="1"/>
  </r>
  <r>
    <m/>
    <m/>
    <x v="1"/>
    <s v="45208591002004"/>
    <n v="-13.11"/>
    <n v="225"/>
    <n v="1"/>
    <n v="1"/>
  </r>
  <r>
    <m/>
    <m/>
    <x v="1"/>
    <s v="45230011001003"/>
    <n v="-25.47"/>
    <n v="437"/>
    <n v="1"/>
    <n v="1"/>
  </r>
  <r>
    <m/>
    <m/>
    <x v="1"/>
    <s v="45240016001001"/>
    <n v="-43.13"/>
    <n v="740"/>
    <n v="1"/>
    <n v="1"/>
  </r>
  <r>
    <m/>
    <m/>
    <x v="1"/>
    <s v="45242051001003"/>
    <n v="-86.02"/>
    <n v="1476"/>
    <n v="1"/>
    <n v="1"/>
  </r>
  <r>
    <m/>
    <m/>
    <x v="1"/>
    <s v="45253671001001"/>
    <n v="-52.92"/>
    <n v="908"/>
    <n v="1"/>
    <n v="1"/>
  </r>
  <r>
    <m/>
    <m/>
    <x v="1"/>
    <s v="45322971007001"/>
    <n v="-33.159999999999997"/>
    <n v="569"/>
    <n v="1"/>
    <n v="1"/>
  </r>
  <r>
    <m/>
    <m/>
    <x v="1"/>
    <s v="45338080004001"/>
    <n v="-67.599999999999994"/>
    <n v="1160"/>
    <n v="1"/>
    <n v="1"/>
  </r>
  <r>
    <m/>
    <m/>
    <x v="1"/>
    <s v="45356641001001"/>
    <n v="-80.430000000000007"/>
    <n v="1380"/>
    <n v="1"/>
    <n v="1"/>
  </r>
  <r>
    <m/>
    <m/>
    <x v="1"/>
    <s v="45362871001003"/>
    <n v="-46.16"/>
    <n v="792"/>
    <n v="1"/>
    <n v="1"/>
  </r>
  <r>
    <m/>
    <m/>
    <x v="1"/>
    <s v="45379041001001"/>
    <n v="-45.4"/>
    <n v="779"/>
    <n v="1"/>
    <n v="1"/>
  </r>
  <r>
    <m/>
    <m/>
    <x v="1"/>
    <s v="45407555001001"/>
    <n v="-29.78"/>
    <n v="511"/>
    <n v="1"/>
    <n v="1"/>
  </r>
  <r>
    <m/>
    <m/>
    <x v="1"/>
    <s v="45408608002003"/>
    <n v="-69"/>
    <n v="1184"/>
    <n v="1"/>
    <n v="1"/>
  </r>
  <r>
    <m/>
    <m/>
    <x v="1"/>
    <s v="45412781001004"/>
    <n v="-59.8"/>
    <n v="1026"/>
    <n v="1"/>
    <n v="1"/>
  </r>
  <r>
    <m/>
    <m/>
    <x v="1"/>
    <s v="45413901003003"/>
    <n v="-30.77"/>
    <n v="528"/>
    <n v="1"/>
    <n v="1"/>
  </r>
  <r>
    <m/>
    <m/>
    <x v="1"/>
    <s v="45420831002002"/>
    <n v="-82.76"/>
    <n v="1420"/>
    <n v="1"/>
    <n v="1"/>
  </r>
  <r>
    <m/>
    <m/>
    <x v="1"/>
    <s v="45442391006001"/>
    <n v="-20.46"/>
    <n v="351"/>
    <n v="1"/>
    <n v="1"/>
  </r>
  <r>
    <m/>
    <m/>
    <x v="1"/>
    <s v="45447641001001"/>
    <n v="-41.26"/>
    <n v="708"/>
    <n v="1"/>
    <n v="1"/>
  </r>
  <r>
    <m/>
    <m/>
    <x v="1"/>
    <s v="45447711001002"/>
    <n v="-64.22"/>
    <n v="1102"/>
    <n v="1"/>
    <n v="1"/>
  </r>
  <r>
    <m/>
    <m/>
    <x v="1"/>
    <s v="45452652002011"/>
    <n v="-27.33"/>
    <n v="469"/>
    <n v="1"/>
    <n v="1"/>
  </r>
  <r>
    <m/>
    <m/>
    <x v="1"/>
    <s v="45481311001001"/>
    <n v="-3.85"/>
    <n v="66"/>
    <n v="1"/>
    <n v="1"/>
  </r>
  <r>
    <m/>
    <m/>
    <x v="1"/>
    <s v="45500981001001"/>
    <n v="-62.88"/>
    <n v="1079"/>
    <n v="1"/>
    <n v="1"/>
  </r>
  <r>
    <m/>
    <m/>
    <x v="1"/>
    <s v="45504201001002"/>
    <n v="-68.3"/>
    <n v="1172"/>
    <n v="1"/>
    <n v="1"/>
  </r>
  <r>
    <m/>
    <m/>
    <x v="1"/>
    <s v="45519246001001"/>
    <n v="-81.83"/>
    <n v="1404"/>
    <n v="1"/>
    <n v="1"/>
  </r>
  <r>
    <m/>
    <m/>
    <x v="1"/>
    <s v="45523171024001"/>
    <n v="-2.1"/>
    <n v="36"/>
    <n v="1"/>
    <n v="1"/>
  </r>
  <r>
    <m/>
    <m/>
    <x v="1"/>
    <s v="45528421001002"/>
    <n v="-102.34"/>
    <n v="1756"/>
    <n v="1"/>
    <n v="1"/>
  </r>
  <r>
    <m/>
    <m/>
    <x v="1"/>
    <s v="45554531001005"/>
    <n v="-35.49"/>
    <n v="609"/>
    <n v="1"/>
    <n v="1"/>
  </r>
  <r>
    <m/>
    <m/>
    <x v="1"/>
    <s v="45575065001005"/>
    <n v="-15.79"/>
    <n v="271"/>
    <n v="1"/>
    <n v="1"/>
  </r>
  <r>
    <m/>
    <m/>
    <x v="1"/>
    <s v="45615361005001"/>
    <n v="-88.35"/>
    <n v="1516"/>
    <n v="1"/>
    <n v="1"/>
  </r>
  <r>
    <m/>
    <m/>
    <x v="1"/>
    <s v="45622851001009"/>
    <n v="-5.77"/>
    <n v="99"/>
    <n v="1"/>
    <n v="1"/>
  </r>
  <r>
    <m/>
    <m/>
    <x v="1"/>
    <s v="45764531001001"/>
    <n v="-29.78"/>
    <n v="511"/>
    <n v="1"/>
    <n v="1"/>
  </r>
  <r>
    <m/>
    <m/>
    <x v="1"/>
    <s v="45765441001002"/>
    <n v="-21.39"/>
    <n v="367"/>
    <n v="1"/>
    <n v="1"/>
  </r>
  <r>
    <m/>
    <m/>
    <x v="1"/>
    <s v="45824016001003"/>
    <n v="-31"/>
    <n v="532"/>
    <n v="1"/>
    <n v="1"/>
  </r>
  <r>
    <m/>
    <m/>
    <x v="1"/>
    <s v="45845101001001"/>
    <n v="-52.46"/>
    <n v="900"/>
    <n v="2"/>
    <n v="1"/>
  </r>
  <r>
    <m/>
    <m/>
    <x v="1"/>
    <s v="45861201001008"/>
    <n v="-25.82"/>
    <n v="443"/>
    <n v="1"/>
    <n v="1"/>
  </r>
  <r>
    <m/>
    <m/>
    <x v="1"/>
    <s v="45878001001001"/>
    <n v="-49.71"/>
    <n v="853"/>
    <n v="1"/>
    <n v="1"/>
  </r>
  <r>
    <m/>
    <m/>
    <x v="1"/>
    <s v="45906912002001"/>
    <n v="-43.71"/>
    <n v="750"/>
    <n v="1"/>
    <n v="1"/>
  </r>
  <r>
    <m/>
    <m/>
    <x v="1"/>
    <s v="45930081004001"/>
    <n v="-3.96"/>
    <n v="68"/>
    <n v="1"/>
    <n v="1"/>
  </r>
  <r>
    <m/>
    <m/>
    <x v="1"/>
    <s v="45979501004001"/>
    <n v="-59.85"/>
    <n v="1027"/>
    <n v="1"/>
    <n v="1"/>
  </r>
  <r>
    <m/>
    <m/>
    <x v="1"/>
    <s v="45981872001001"/>
    <n v="-2.04"/>
    <n v="35"/>
    <n v="1"/>
    <n v="1"/>
  </r>
  <r>
    <m/>
    <m/>
    <x v="1"/>
    <s v="45987934001001"/>
    <n v="-40.04"/>
    <n v="687"/>
    <n v="1"/>
    <n v="1"/>
  </r>
  <r>
    <m/>
    <m/>
    <x v="1"/>
    <s v="45999031007001"/>
    <n v="-44.64"/>
    <n v="766"/>
    <n v="1"/>
    <n v="1"/>
  </r>
  <r>
    <m/>
    <m/>
    <x v="1"/>
    <s v="46112501001001"/>
    <n v="-77.8"/>
    <n v="1335"/>
    <n v="1"/>
    <n v="1"/>
  </r>
  <r>
    <m/>
    <m/>
    <x v="1"/>
    <s v="46135601001001"/>
    <n v="-54.61"/>
    <n v="937"/>
    <n v="1"/>
    <n v="1"/>
  </r>
  <r>
    <m/>
    <m/>
    <x v="1"/>
    <s v="46141131001003"/>
    <n v="-19.52"/>
    <n v="335"/>
    <n v="1"/>
    <n v="1"/>
  </r>
  <r>
    <m/>
    <m/>
    <x v="1"/>
    <s v="46149601001005"/>
    <n v="-62.94"/>
    <n v="1080"/>
    <n v="1"/>
    <n v="1"/>
  </r>
  <r>
    <m/>
    <m/>
    <x v="1"/>
    <s v="46161221003014"/>
    <n v="-86.72"/>
    <n v="1488"/>
    <n v="1"/>
    <n v="1"/>
  </r>
  <r>
    <m/>
    <m/>
    <x v="1"/>
    <s v="46195241001002"/>
    <n v="-42.72"/>
    <n v="733"/>
    <n v="1"/>
    <n v="1"/>
  </r>
  <r>
    <m/>
    <m/>
    <x v="1"/>
    <s v="46210291002003"/>
    <n v="-89.93"/>
    <n v="1543"/>
    <n v="1"/>
    <n v="1"/>
  </r>
  <r>
    <m/>
    <m/>
    <x v="1"/>
    <s v="46217641006001"/>
    <n v="-45.98"/>
    <n v="789"/>
    <n v="1"/>
    <n v="1"/>
  </r>
  <r>
    <m/>
    <m/>
    <x v="1"/>
    <s v="46242001001004"/>
    <n v="-50.47"/>
    <n v="866"/>
    <n v="1"/>
    <n v="1"/>
  </r>
  <r>
    <m/>
    <m/>
    <x v="1"/>
    <s v="46248581001001"/>
    <n v="-89.28"/>
    <n v="1532"/>
    <n v="1"/>
    <n v="1"/>
  </r>
  <r>
    <m/>
    <m/>
    <x v="1"/>
    <s v="46290511001002"/>
    <n v="-33.51"/>
    <n v="575"/>
    <n v="1"/>
    <n v="1"/>
  </r>
  <r>
    <m/>
    <m/>
    <x v="1"/>
    <s v="46323621003008"/>
    <n v="-34.85"/>
    <n v="598"/>
    <n v="1"/>
    <n v="1"/>
  </r>
  <r>
    <m/>
    <m/>
    <x v="1"/>
    <s v="46396071001002"/>
    <n v="-12.94"/>
    <n v="222"/>
    <n v="1"/>
    <n v="1"/>
  </r>
  <r>
    <m/>
    <m/>
    <x v="1"/>
    <s v="46398591003001"/>
    <n v="-60.38"/>
    <n v="1036"/>
    <n v="1"/>
    <n v="1"/>
  </r>
  <r>
    <m/>
    <m/>
    <x v="1"/>
    <s v="46399081006001"/>
    <n v="-54.78"/>
    <n v="940"/>
    <n v="1"/>
    <n v="1"/>
  </r>
  <r>
    <m/>
    <m/>
    <x v="1"/>
    <s v="46402441001006"/>
    <n v="-2.86"/>
    <n v="49"/>
    <n v="1"/>
    <n v="1"/>
  </r>
  <r>
    <m/>
    <m/>
    <x v="1"/>
    <s v="46412521001006"/>
    <n v="-20.51"/>
    <n v="352"/>
    <n v="1"/>
    <n v="1"/>
  </r>
  <r>
    <m/>
    <m/>
    <x v="1"/>
    <s v="46429881006001"/>
    <n v="-165.92"/>
    <n v="2847"/>
    <n v="1"/>
    <n v="1"/>
  </r>
  <r>
    <m/>
    <m/>
    <x v="1"/>
    <s v="46438981001002"/>
    <n v="-69"/>
    <n v="1184"/>
    <n v="1"/>
    <n v="1"/>
  </r>
  <r>
    <m/>
    <m/>
    <x v="1"/>
    <s v="46440861001007"/>
    <n v="-30.71"/>
    <n v="527"/>
    <n v="1"/>
    <n v="1"/>
  </r>
  <r>
    <m/>
    <m/>
    <x v="1"/>
    <s v="46467611002001"/>
    <n v="-32.049999999999997"/>
    <n v="550"/>
    <n v="1"/>
    <n v="1"/>
  </r>
  <r>
    <m/>
    <m/>
    <x v="1"/>
    <s v="46477551003001"/>
    <n v="-38.229999999999997"/>
    <n v="656"/>
    <n v="1"/>
    <n v="1"/>
  </r>
  <r>
    <m/>
    <m/>
    <x v="1"/>
    <s v="46478573003001"/>
    <n v="-59.97"/>
    <n v="1029"/>
    <n v="1"/>
    <n v="1"/>
  </r>
  <r>
    <m/>
    <m/>
    <x v="1"/>
    <s v="46539265001001"/>
    <n v="-4.95"/>
    <n v="85"/>
    <n v="1"/>
    <n v="1"/>
  </r>
  <r>
    <m/>
    <m/>
    <x v="1"/>
    <s v="46649901001004"/>
    <n v="-9.85"/>
    <n v="169"/>
    <n v="1"/>
    <n v="1"/>
  </r>
  <r>
    <m/>
    <m/>
    <x v="1"/>
    <s v="46684121001001"/>
    <n v="-96.69"/>
    <n v="1659"/>
    <n v="1"/>
    <n v="1"/>
  </r>
  <r>
    <m/>
    <m/>
    <x v="1"/>
    <s v="46713395001001"/>
    <n v="-4.3099999999999996"/>
    <n v="74"/>
    <n v="1"/>
    <n v="1"/>
  </r>
  <r>
    <m/>
    <m/>
    <x v="1"/>
    <s v="46767001003001"/>
    <n v="-46.51"/>
    <n v="798"/>
    <n v="1"/>
    <n v="1"/>
  </r>
  <r>
    <m/>
    <m/>
    <x v="1"/>
    <s v="46767211003001"/>
    <n v="-22.61"/>
    <n v="388"/>
    <n v="1"/>
    <n v="1"/>
  </r>
  <r>
    <m/>
    <m/>
    <x v="1"/>
    <s v="46772111002005"/>
    <n v="-47.67"/>
    <n v="818"/>
    <n v="1"/>
    <n v="1"/>
  </r>
  <r>
    <m/>
    <m/>
    <x v="1"/>
    <s v="46773581002002"/>
    <n v="-120.06"/>
    <n v="2060"/>
    <n v="1"/>
    <n v="1"/>
  </r>
  <r>
    <m/>
    <m/>
    <x v="1"/>
    <s v="46778971002001"/>
    <n v="-29.02"/>
    <n v="498"/>
    <n v="1"/>
    <n v="1"/>
  </r>
  <r>
    <m/>
    <m/>
    <x v="1"/>
    <s v="46779671001003"/>
    <n v="-34.97"/>
    <n v="600"/>
    <n v="1"/>
    <n v="1"/>
  </r>
  <r>
    <m/>
    <m/>
    <x v="1"/>
    <s v="46789961001001"/>
    <n v="-51.75"/>
    <n v="888"/>
    <n v="1"/>
    <n v="1"/>
  </r>
  <r>
    <m/>
    <m/>
    <x v="1"/>
    <s v="46790122001005"/>
    <n v="-23.43"/>
    <n v="402"/>
    <n v="1"/>
    <n v="1"/>
  </r>
  <r>
    <m/>
    <m/>
    <x v="1"/>
    <s v="46825208001001"/>
    <n v="-38.119999999999997"/>
    <n v="654"/>
    <n v="1"/>
    <n v="1"/>
  </r>
  <r>
    <m/>
    <m/>
    <x v="1"/>
    <s v="46831191008001"/>
    <n v="-59.45"/>
    <n v="1020"/>
    <n v="1"/>
    <n v="1"/>
  </r>
  <r>
    <m/>
    <m/>
    <x v="1"/>
    <s v="46834341003003"/>
    <n v="-86.84"/>
    <n v="1490"/>
    <n v="1"/>
    <n v="1"/>
  </r>
  <r>
    <m/>
    <m/>
    <x v="1"/>
    <s v="46844491002002"/>
    <n v="-64.92"/>
    <n v="1114"/>
    <n v="1"/>
    <n v="1"/>
  </r>
  <r>
    <m/>
    <m/>
    <x v="1"/>
    <s v="46848061001005"/>
    <n v="-37.36"/>
    <n v="641"/>
    <n v="1"/>
    <n v="1"/>
  </r>
  <r>
    <m/>
    <m/>
    <x v="1"/>
    <s v="46866331001002"/>
    <n v="-97.44"/>
    <n v="1672"/>
    <n v="1"/>
    <n v="1"/>
  </r>
  <r>
    <m/>
    <m/>
    <x v="1"/>
    <s v="46962021001002"/>
    <n v="-5.42"/>
    <n v="93"/>
    <n v="1"/>
    <n v="1"/>
  </r>
  <r>
    <m/>
    <m/>
    <x v="1"/>
    <s v="46966753003003"/>
    <n v="-62.710000000000008"/>
    <n v="1076"/>
    <n v="2"/>
    <n v="1"/>
  </r>
  <r>
    <m/>
    <m/>
    <x v="1"/>
    <s v="46967818003001"/>
    <n v="-70.52"/>
    <n v="1210"/>
    <n v="1"/>
    <n v="1"/>
  </r>
  <r>
    <m/>
    <m/>
    <x v="1"/>
    <s v="47028499003001"/>
    <n v="-69.290000000000006"/>
    <n v="1189"/>
    <n v="1"/>
    <n v="1"/>
  </r>
  <r>
    <m/>
    <m/>
    <x v="1"/>
    <s v="47124400001003"/>
    <n v="-31.3"/>
    <n v="537"/>
    <n v="1"/>
    <n v="1"/>
  </r>
  <r>
    <m/>
    <m/>
    <x v="1"/>
    <s v="47135971001002"/>
    <n v="-45.28"/>
    <n v="777"/>
    <n v="1"/>
    <n v="1"/>
  </r>
  <r>
    <m/>
    <m/>
    <x v="1"/>
    <s v="47154521003001"/>
    <n v="-39.92"/>
    <n v="685"/>
    <n v="1"/>
    <n v="1"/>
  </r>
  <r>
    <m/>
    <m/>
    <x v="1"/>
    <s v="47164321003004"/>
    <n v="-25.93"/>
    <n v="445"/>
    <n v="1"/>
    <n v="1"/>
  </r>
  <r>
    <m/>
    <m/>
    <x v="1"/>
    <s v="47176711002001"/>
    <n v="-16.96"/>
    <n v="291"/>
    <n v="1"/>
    <n v="1"/>
  </r>
  <r>
    <m/>
    <m/>
    <x v="1"/>
    <s v="47179931001007"/>
    <n v="-2.68"/>
    <n v="46"/>
    <n v="1"/>
    <n v="1"/>
  </r>
  <r>
    <m/>
    <m/>
    <x v="1"/>
    <s v="47233131004002"/>
    <n v="-34.270000000000003"/>
    <n v="588"/>
    <n v="1"/>
    <n v="1"/>
  </r>
  <r>
    <m/>
    <m/>
    <x v="1"/>
    <s v="47258973001001"/>
    <n v="-17.079999999999998"/>
    <n v="293"/>
    <n v="1"/>
    <n v="1"/>
  </r>
  <r>
    <m/>
    <m/>
    <x v="1"/>
    <s v="47275061002003"/>
    <n v="-2.56"/>
    <n v="44"/>
    <n v="1"/>
    <n v="1"/>
  </r>
  <r>
    <m/>
    <m/>
    <x v="1"/>
    <s v="47312021001002"/>
    <n v="-55.95"/>
    <n v="960"/>
    <n v="1"/>
    <n v="1"/>
  </r>
  <r>
    <m/>
    <m/>
    <x v="1"/>
    <s v="47318111005003"/>
    <n v="-122.97"/>
    <n v="2110"/>
    <n v="1"/>
    <n v="1"/>
  </r>
  <r>
    <m/>
    <m/>
    <x v="1"/>
    <s v="47341211003001"/>
    <n v="-18.82"/>
    <n v="323"/>
    <n v="1"/>
    <n v="1"/>
  </r>
  <r>
    <m/>
    <m/>
    <x v="1"/>
    <s v="47356261001002"/>
    <n v="-72.209999999999994"/>
    <n v="1239"/>
    <n v="1"/>
    <n v="1"/>
  </r>
  <r>
    <m/>
    <m/>
    <x v="1"/>
    <s v="47375581005013"/>
    <n v="-42.95"/>
    <n v="737"/>
    <n v="1"/>
    <n v="1"/>
  </r>
  <r>
    <m/>
    <m/>
    <x v="1"/>
    <s v="47377611003002"/>
    <n v="-24.71"/>
    <n v="424"/>
    <n v="1"/>
    <n v="1"/>
  </r>
  <r>
    <m/>
    <m/>
    <x v="1"/>
    <s v="47382721001001"/>
    <n v="-40.74"/>
    <n v="699"/>
    <n v="1"/>
    <n v="1"/>
  </r>
  <r>
    <m/>
    <m/>
    <x v="1"/>
    <s v="47385801001001"/>
    <n v="-29.9"/>
    <n v="513"/>
    <n v="1"/>
    <n v="1"/>
  </r>
  <r>
    <m/>
    <m/>
    <x v="1"/>
    <s v="47386711001003"/>
    <n v="-64.92"/>
    <n v="1114"/>
    <n v="1"/>
    <n v="1"/>
  </r>
  <r>
    <m/>
    <m/>
    <x v="1"/>
    <s v="47388041001006"/>
    <n v="-28.56"/>
    <n v="490"/>
    <n v="1"/>
    <n v="1"/>
  </r>
  <r>
    <m/>
    <m/>
    <x v="1"/>
    <s v="47403091001002"/>
    <n v="-45.34"/>
    <n v="778"/>
    <n v="1"/>
    <n v="1"/>
  </r>
  <r>
    <m/>
    <m/>
    <x v="1"/>
    <s v="47406521002002"/>
    <n v="-65.62"/>
    <n v="1126"/>
    <n v="1"/>
    <n v="1"/>
  </r>
  <r>
    <m/>
    <m/>
    <x v="1"/>
    <s v="47406740001003"/>
    <n v="-64.22"/>
    <n v="1102"/>
    <n v="1"/>
    <n v="1"/>
  </r>
  <r>
    <m/>
    <m/>
    <x v="1"/>
    <s v="47425421003001"/>
    <n v="-64.87"/>
    <n v="1113"/>
    <n v="1"/>
    <n v="1"/>
  </r>
  <r>
    <m/>
    <m/>
    <x v="1"/>
    <s v="47429201001003"/>
    <n v="-32.700000000000003"/>
    <n v="561"/>
    <n v="1"/>
    <n v="1"/>
  </r>
  <r>
    <m/>
    <m/>
    <x v="1"/>
    <s v="47431160001002"/>
    <n v="-78.56"/>
    <n v="1348"/>
    <n v="1"/>
    <n v="1"/>
  </r>
  <r>
    <m/>
    <m/>
    <x v="1"/>
    <s v="47463011003001"/>
    <n v="-131.25"/>
    <n v="2252"/>
    <n v="2"/>
    <n v="1"/>
  </r>
  <r>
    <m/>
    <m/>
    <x v="1"/>
    <s v="47480441007001"/>
    <n v="-57.11"/>
    <n v="980"/>
    <n v="1"/>
    <n v="1"/>
  </r>
  <r>
    <m/>
    <m/>
    <x v="1"/>
    <s v="47562061007001"/>
    <n v="-10.72"/>
    <n v="184"/>
    <n v="1"/>
    <n v="1"/>
  </r>
  <r>
    <m/>
    <m/>
    <x v="1"/>
    <s v="47574941012001"/>
    <n v="-28.5"/>
    <n v="489"/>
    <n v="1"/>
    <n v="1"/>
  </r>
  <r>
    <m/>
    <m/>
    <x v="1"/>
    <s v="47576624002003"/>
    <n v="-69.290000000000006"/>
    <n v="1189"/>
    <n v="1"/>
    <n v="1"/>
  </r>
  <r>
    <m/>
    <m/>
    <x v="1"/>
    <s v="47599651005003"/>
    <n v="-41.26"/>
    <n v="708"/>
    <n v="1"/>
    <n v="1"/>
  </r>
  <r>
    <m/>
    <m/>
    <x v="1"/>
    <s v="47600631003001"/>
    <n v="-64.17"/>
    <n v="1101"/>
    <n v="1"/>
    <n v="1"/>
  </r>
  <r>
    <m/>
    <m/>
    <x v="1"/>
    <s v="47672521001007"/>
    <n v="-14.98"/>
    <n v="257"/>
    <n v="1"/>
    <n v="1"/>
  </r>
  <r>
    <m/>
    <m/>
    <x v="1"/>
    <s v="47723831004003"/>
    <n v="-57"/>
    <n v="978"/>
    <n v="1"/>
    <n v="1"/>
  </r>
  <r>
    <m/>
    <m/>
    <x v="1"/>
    <s v="47755961001002"/>
    <n v="-98.67"/>
    <n v="1693"/>
    <n v="1"/>
    <n v="1"/>
  </r>
  <r>
    <m/>
    <m/>
    <x v="1"/>
    <s v="47756941004003"/>
    <n v="-70.75"/>
    <n v="1214"/>
    <n v="1"/>
    <n v="1"/>
  </r>
  <r>
    <m/>
    <m/>
    <x v="1"/>
    <s v="47762681005001"/>
    <n v="-134.80000000000001"/>
    <n v="2313"/>
    <n v="1"/>
    <n v="1"/>
  </r>
  <r>
    <m/>
    <m/>
    <x v="1"/>
    <s v="47839821001002"/>
    <n v="-45.63"/>
    <n v="783"/>
    <n v="1"/>
    <n v="1"/>
  </r>
  <r>
    <m/>
    <m/>
    <x v="1"/>
    <s v="47842819001009"/>
    <n v="-6.99"/>
    <n v="120"/>
    <n v="1"/>
    <n v="1"/>
  </r>
  <r>
    <m/>
    <m/>
    <x v="1"/>
    <s v="47866841003004"/>
    <n v="-26.93"/>
    <n v="462"/>
    <n v="1"/>
    <n v="1"/>
  </r>
  <r>
    <m/>
    <m/>
    <x v="1"/>
    <s v="47872982001001"/>
    <n v="-130.26"/>
    <n v="2235"/>
    <n v="1"/>
    <n v="1"/>
  </r>
  <r>
    <m/>
    <m/>
    <x v="1"/>
    <s v="47874541007001"/>
    <n v="-88.94"/>
    <n v="1526"/>
    <n v="1"/>
    <n v="1"/>
  </r>
  <r>
    <m/>
    <m/>
    <x v="1"/>
    <s v="47881813001003"/>
    <n v="-30.19"/>
    <n v="518"/>
    <n v="1"/>
    <n v="1"/>
  </r>
  <r>
    <m/>
    <m/>
    <x v="1"/>
    <s v="47919224001001"/>
    <n v="-6.59"/>
    <n v="113"/>
    <n v="1"/>
    <n v="1"/>
  </r>
  <r>
    <m/>
    <m/>
    <x v="1"/>
    <s v="47927671001001"/>
    <n v="-16.260000000000002"/>
    <n v="279"/>
    <n v="1"/>
    <n v="1"/>
  </r>
  <r>
    <m/>
    <m/>
    <x v="1"/>
    <s v="47932305003001"/>
    <n v="-32"/>
    <n v="549"/>
    <n v="1"/>
    <n v="1"/>
  </r>
  <r>
    <m/>
    <m/>
    <x v="1"/>
    <s v="47945381004001"/>
    <n v="-71.040000000000006"/>
    <n v="1219"/>
    <n v="1"/>
    <n v="1"/>
  </r>
  <r>
    <m/>
    <m/>
    <x v="1"/>
    <s v="47948181001002"/>
    <n v="-31.88"/>
    <n v="547"/>
    <n v="1"/>
    <n v="1"/>
  </r>
  <r>
    <m/>
    <m/>
    <x v="1"/>
    <s v="47966661006001"/>
    <n v="-7.4"/>
    <n v="127"/>
    <n v="1"/>
    <n v="1"/>
  </r>
  <r>
    <m/>
    <m/>
    <x v="1"/>
    <s v="47981781001001"/>
    <n v="-91.38"/>
    <n v="1568"/>
    <n v="1"/>
    <n v="1"/>
  </r>
  <r>
    <m/>
    <m/>
    <x v="1"/>
    <s v="47983531004001"/>
    <n v="-39.979999999999997"/>
    <n v="686"/>
    <n v="1"/>
    <n v="1"/>
  </r>
  <r>
    <m/>
    <m/>
    <x v="1"/>
    <s v="48013109001003"/>
    <n v="-21.86"/>
    <n v="375"/>
    <n v="1"/>
    <n v="1"/>
  </r>
  <r>
    <m/>
    <m/>
    <x v="1"/>
    <s v="48036574003001"/>
    <n v="-11.77"/>
    <n v="202"/>
    <n v="1"/>
    <n v="1"/>
  </r>
  <r>
    <m/>
    <m/>
    <x v="1"/>
    <s v="48040883001002"/>
    <n v="-22.26"/>
    <n v="382"/>
    <n v="1"/>
    <n v="1"/>
  </r>
  <r>
    <m/>
    <m/>
    <x v="1"/>
    <s v="48065577001006"/>
    <n v="-24.24"/>
    <n v="416"/>
    <n v="1"/>
    <n v="1"/>
  </r>
  <r>
    <m/>
    <m/>
    <x v="1"/>
    <s v="48076533001001"/>
    <n v="-40.909999999999997"/>
    <n v="702"/>
    <n v="1"/>
    <n v="1"/>
  </r>
  <r>
    <m/>
    <m/>
    <x v="1"/>
    <s v="48085381001001"/>
    <n v="-7.81"/>
    <n v="134"/>
    <n v="1"/>
    <n v="1"/>
  </r>
  <r>
    <m/>
    <m/>
    <x v="1"/>
    <s v="48182191001001"/>
    <n v="-50"/>
    <n v="858"/>
    <n v="1"/>
    <n v="1"/>
  </r>
  <r>
    <m/>
    <m/>
    <x v="1"/>
    <s v="48214181001001"/>
    <n v="-34.56"/>
    <n v="593"/>
    <n v="1"/>
    <n v="1"/>
  </r>
  <r>
    <m/>
    <m/>
    <x v="1"/>
    <s v="48254983001001"/>
    <n v="-64.52"/>
    <n v="1107"/>
    <n v="1"/>
    <n v="1"/>
  </r>
  <r>
    <m/>
    <m/>
    <x v="1"/>
    <s v="48287655003001"/>
    <n v="-15.5"/>
    <n v="266"/>
    <n v="1"/>
    <n v="1"/>
  </r>
  <r>
    <m/>
    <m/>
    <x v="1"/>
    <s v="48474794001001"/>
    <n v="-39.81"/>
    <n v="683"/>
    <n v="1"/>
    <n v="1"/>
  </r>
  <r>
    <m/>
    <m/>
    <x v="1"/>
    <s v="48488730001001"/>
    <n v="-13.23"/>
    <n v="227"/>
    <n v="1"/>
    <n v="1"/>
  </r>
  <r>
    <m/>
    <m/>
    <x v="1"/>
    <s v="48490261001001"/>
    <n v="-67.55"/>
    <n v="1159"/>
    <n v="1"/>
    <n v="1"/>
  </r>
  <r>
    <m/>
    <m/>
    <x v="1"/>
    <s v="48518541001001"/>
    <n v="-44.64"/>
    <n v="766"/>
    <n v="1"/>
    <n v="1"/>
  </r>
  <r>
    <m/>
    <m/>
    <x v="1"/>
    <s v="48671160001004"/>
    <n v="-49.95"/>
    <n v="857"/>
    <n v="1"/>
    <n v="1"/>
  </r>
  <r>
    <m/>
    <m/>
    <x v="1"/>
    <s v="48704876001001"/>
    <n v="-58.69"/>
    <n v="1007"/>
    <n v="1"/>
    <n v="1"/>
  </r>
  <r>
    <m/>
    <m/>
    <x v="1"/>
    <s v="48771464001005"/>
    <n v="-42.89"/>
    <n v="736"/>
    <n v="1"/>
    <n v="1"/>
  </r>
  <r>
    <m/>
    <m/>
    <x v="1"/>
    <s v="48789559005001"/>
    <n v="-29.08"/>
    <n v="499"/>
    <n v="1"/>
    <n v="1"/>
  </r>
  <r>
    <m/>
    <m/>
    <x v="1"/>
    <s v="48798510001003"/>
    <n v="-50.53"/>
    <n v="867"/>
    <n v="1"/>
    <n v="1"/>
  </r>
  <r>
    <m/>
    <m/>
    <x v="1"/>
    <s v="48843876001001"/>
    <n v="-35.67"/>
    <n v="612"/>
    <n v="1"/>
    <n v="1"/>
  </r>
  <r>
    <m/>
    <m/>
    <x v="1"/>
    <s v="48867586002009"/>
    <n v="-24.94"/>
    <n v="428"/>
    <n v="1"/>
    <n v="1"/>
  </r>
  <r>
    <m/>
    <m/>
    <x v="1"/>
    <s v="48930701001003"/>
    <n v="-16.260000000000002"/>
    <n v="279"/>
    <n v="1"/>
    <n v="1"/>
  </r>
  <r>
    <m/>
    <m/>
    <x v="1"/>
    <s v="49059747001011"/>
    <n v="-1.52"/>
    <n v="26"/>
    <n v="1"/>
    <n v="1"/>
  </r>
  <r>
    <m/>
    <m/>
    <x v="1"/>
    <s v="49069822001001"/>
    <n v="-41.96"/>
    <n v="720"/>
    <n v="1"/>
    <n v="1"/>
  </r>
  <r>
    <m/>
    <m/>
    <x v="1"/>
    <s v="49110279001004"/>
    <n v="-30.31"/>
    <n v="520"/>
    <n v="1"/>
    <n v="1"/>
  </r>
  <r>
    <m/>
    <m/>
    <x v="1"/>
    <s v="49114661001002"/>
    <n v="-25.53"/>
    <n v="438"/>
    <n v="1"/>
    <n v="1"/>
  </r>
  <r>
    <m/>
    <m/>
    <x v="1"/>
    <s v="49146371004001"/>
    <n v="-64.22"/>
    <n v="1102"/>
    <n v="1"/>
    <n v="1"/>
  </r>
  <r>
    <m/>
    <m/>
    <x v="1"/>
    <s v="49162471005001"/>
    <n v="-92.32"/>
    <n v="1584"/>
    <n v="1"/>
    <n v="1"/>
  </r>
  <r>
    <m/>
    <m/>
    <x v="1"/>
    <s v="49200673001001"/>
    <n v="-20.11"/>
    <n v="345"/>
    <n v="1"/>
    <n v="1"/>
  </r>
  <r>
    <m/>
    <m/>
    <x v="1"/>
    <s v="49214775001001"/>
    <n v="-33.92"/>
    <n v="582"/>
    <n v="1"/>
    <n v="1"/>
  </r>
  <r>
    <m/>
    <m/>
    <x v="1"/>
    <s v="49217701003005"/>
    <n v="-194.19"/>
    <n v="3332"/>
    <n v="1"/>
    <n v="1"/>
  </r>
  <r>
    <m/>
    <m/>
    <x v="1"/>
    <s v="49295866001005"/>
    <n v="-68.540000000000006"/>
    <n v="1176"/>
    <n v="1"/>
    <n v="1"/>
  </r>
  <r>
    <m/>
    <m/>
    <x v="1"/>
    <s v="49299299001005"/>
    <n v="-42.25"/>
    <n v="725"/>
    <n v="1"/>
    <n v="1"/>
  </r>
  <r>
    <m/>
    <m/>
    <x v="1"/>
    <s v="49436870001001"/>
    <n v="-53.73"/>
    <n v="922"/>
    <n v="1"/>
    <n v="1"/>
  </r>
  <r>
    <m/>
    <m/>
    <x v="1"/>
    <s v="49472851001001"/>
    <n v="-28.44"/>
    <n v="488"/>
    <n v="1"/>
    <n v="1"/>
  </r>
  <r>
    <m/>
    <m/>
    <x v="1"/>
    <s v="49542151005001"/>
    <n v="-131.36000000000001"/>
    <n v="2254"/>
    <n v="1"/>
    <n v="1"/>
  </r>
  <r>
    <m/>
    <m/>
    <x v="1"/>
    <s v="49542291001001"/>
    <n v="-66.56"/>
    <n v="1142"/>
    <n v="1"/>
    <n v="1"/>
  </r>
  <r>
    <m/>
    <m/>
    <x v="1"/>
    <s v="49549801001003"/>
    <n v="-8.2799999999999994"/>
    <n v="142"/>
    <n v="1"/>
    <n v="1"/>
  </r>
  <r>
    <m/>
    <m/>
    <x v="1"/>
    <s v="49557855001003"/>
    <n v="-30.95"/>
    <n v="531"/>
    <n v="1"/>
    <n v="1"/>
  </r>
  <r>
    <m/>
    <m/>
    <x v="1"/>
    <s v="49586951001001"/>
    <n v="-10.43"/>
    <n v="179"/>
    <n v="1"/>
    <n v="1"/>
  </r>
  <r>
    <m/>
    <m/>
    <x v="1"/>
    <s v="49620391001001"/>
    <n v="-76.989999999999995"/>
    <n v="1321"/>
    <n v="1"/>
    <n v="1"/>
  </r>
  <r>
    <m/>
    <m/>
    <x v="1"/>
    <s v="49622441001001"/>
    <n v="-24.24"/>
    <n v="416"/>
    <n v="1"/>
    <n v="1"/>
  </r>
  <r>
    <m/>
    <m/>
    <x v="1"/>
    <s v="49632381001008"/>
    <n v="-35.200000000000003"/>
    <n v="604"/>
    <n v="1"/>
    <n v="1"/>
  </r>
  <r>
    <m/>
    <m/>
    <x v="1"/>
    <s v="49743471001001"/>
    <n v="-13.35"/>
    <n v="229"/>
    <n v="1"/>
    <n v="1"/>
  </r>
  <r>
    <m/>
    <m/>
    <x v="1"/>
    <s v="49808641003001"/>
    <n v="-81.010000000000005"/>
    <n v="1390"/>
    <n v="1"/>
    <n v="1"/>
  </r>
  <r>
    <m/>
    <m/>
    <x v="1"/>
    <s v="49897285001001"/>
    <n v="-42.43"/>
    <n v="728"/>
    <n v="1"/>
    <n v="1"/>
  </r>
  <r>
    <m/>
    <m/>
    <x v="1"/>
    <s v="49903001001002"/>
    <n v="-106.48"/>
    <n v="1827"/>
    <n v="1"/>
    <n v="1"/>
  </r>
  <r>
    <m/>
    <m/>
    <x v="1"/>
    <s v="49904401001017"/>
    <n v="-92.78"/>
    <n v="1592"/>
    <n v="1"/>
    <n v="1"/>
  </r>
  <r>
    <m/>
    <m/>
    <x v="1"/>
    <s v="49926110001001"/>
    <n v="-31.82"/>
    <n v="546"/>
    <n v="1"/>
    <n v="1"/>
  </r>
  <r>
    <m/>
    <m/>
    <x v="1"/>
    <s v="49944272001001"/>
    <n v="-39.75"/>
    <n v="682"/>
    <n v="1"/>
    <n v="1"/>
  </r>
  <r>
    <m/>
    <m/>
    <x v="1"/>
    <s v="49953330001004"/>
    <n v="-9.44"/>
    <n v="162"/>
    <n v="1"/>
    <n v="1"/>
  </r>
  <r>
    <m/>
    <m/>
    <x v="1"/>
    <s v="49960891003001"/>
    <n v="-33.92"/>
    <n v="582"/>
    <n v="1"/>
    <n v="1"/>
  </r>
  <r>
    <m/>
    <m/>
    <x v="1"/>
    <s v="49963733001001"/>
    <n v="-62.18"/>
    <n v="1067"/>
    <n v="1"/>
    <n v="1"/>
  </r>
  <r>
    <m/>
    <m/>
    <x v="1"/>
    <s v="50032221001002"/>
    <n v="-44.35"/>
    <n v="761"/>
    <n v="1"/>
    <n v="1"/>
  </r>
  <r>
    <m/>
    <m/>
    <x v="1"/>
    <s v="50062741003005"/>
    <n v="-7.98"/>
    <n v="137"/>
    <n v="1"/>
    <n v="1"/>
  </r>
  <r>
    <m/>
    <m/>
    <x v="1"/>
    <s v="50119791001001"/>
    <n v="-7.81"/>
    <n v="134"/>
    <n v="1"/>
    <n v="1"/>
  </r>
  <r>
    <m/>
    <m/>
    <x v="1"/>
    <s v="50146181002001"/>
    <n v="-64.569999999999993"/>
    <n v="1108"/>
    <n v="1"/>
    <n v="1"/>
  </r>
  <r>
    <m/>
    <m/>
    <x v="1"/>
    <s v="50146531001002"/>
    <n v="-15.09"/>
    <n v="259"/>
    <n v="1"/>
    <n v="1"/>
  </r>
  <r>
    <m/>
    <m/>
    <x v="1"/>
    <s v="50159341001001"/>
    <n v="-13.29"/>
    <n v="228"/>
    <n v="1"/>
    <n v="1"/>
  </r>
  <r>
    <m/>
    <m/>
    <x v="1"/>
    <s v="50175157001008"/>
    <n v="-11.19"/>
    <n v="192"/>
    <n v="1"/>
    <n v="1"/>
  </r>
  <r>
    <m/>
    <m/>
    <x v="1"/>
    <s v="50186781001001"/>
    <n v="-71.22"/>
    <n v="1222"/>
    <n v="1"/>
    <n v="1"/>
  </r>
  <r>
    <m/>
    <m/>
    <x v="1"/>
    <s v="50218504001005"/>
    <n v="-11.83"/>
    <n v="203"/>
    <n v="1"/>
    <n v="1"/>
  </r>
  <r>
    <m/>
    <m/>
    <x v="1"/>
    <s v="50234784001005"/>
    <n v="-78.739999999999995"/>
    <n v="1351"/>
    <n v="1"/>
    <n v="1"/>
  </r>
  <r>
    <m/>
    <m/>
    <x v="1"/>
    <s v="50245081001005"/>
    <n v="-61.02"/>
    <n v="1047"/>
    <n v="1"/>
    <n v="1"/>
  </r>
  <r>
    <m/>
    <m/>
    <x v="1"/>
    <s v="50271551003001"/>
    <n v="-39.81"/>
    <n v="683"/>
    <n v="1"/>
    <n v="1"/>
  </r>
  <r>
    <m/>
    <m/>
    <x v="1"/>
    <s v="50336736001011"/>
    <n v="-16.38"/>
    <n v="281"/>
    <n v="1"/>
    <n v="1"/>
  </r>
  <r>
    <m/>
    <m/>
    <x v="1"/>
    <s v="50363741006001"/>
    <n v="-44.82"/>
    <n v="769"/>
    <n v="1"/>
    <n v="1"/>
  </r>
  <r>
    <m/>
    <m/>
    <x v="1"/>
    <s v="50395403001001"/>
    <n v="-8.86"/>
    <n v="152"/>
    <n v="1"/>
    <n v="1"/>
  </r>
  <r>
    <m/>
    <m/>
    <x v="1"/>
    <s v="50448812001001"/>
    <n v="-1.81"/>
    <n v="31"/>
    <n v="1"/>
    <n v="1"/>
  </r>
  <r>
    <m/>
    <m/>
    <x v="1"/>
    <s v="50575121001001"/>
    <n v="-14.22"/>
    <n v="244"/>
    <n v="1"/>
    <n v="1"/>
  </r>
  <r>
    <m/>
    <m/>
    <x v="1"/>
    <s v="50577986002006"/>
    <n v="-35.32"/>
    <n v="606"/>
    <n v="1"/>
    <n v="1"/>
  </r>
  <r>
    <m/>
    <m/>
    <x v="1"/>
    <s v="50578291001002"/>
    <n v="-20.46"/>
    <n v="351"/>
    <n v="1"/>
    <n v="1"/>
  </r>
  <r>
    <m/>
    <m/>
    <x v="1"/>
    <s v="50583810001001"/>
    <n v="-115.98"/>
    <n v="1990"/>
    <n v="1"/>
    <n v="1"/>
  </r>
  <r>
    <m/>
    <m/>
    <x v="1"/>
    <s v="50677761001001"/>
    <n v="-8.92"/>
    <n v="153"/>
    <n v="1"/>
    <n v="1"/>
  </r>
  <r>
    <m/>
    <m/>
    <x v="1"/>
    <s v="50744541002001"/>
    <n v="-25.24"/>
    <n v="433"/>
    <n v="1"/>
    <n v="1"/>
  </r>
  <r>
    <m/>
    <m/>
    <x v="1"/>
    <s v="50745624002003"/>
    <n v="-46.39"/>
    <n v="796"/>
    <n v="1"/>
    <n v="1"/>
  </r>
  <r>
    <m/>
    <m/>
    <x v="1"/>
    <s v="50757351002006"/>
    <n v="-23.08"/>
    <n v="396"/>
    <n v="1"/>
    <n v="1"/>
  </r>
  <r>
    <m/>
    <m/>
    <x v="1"/>
    <s v="50861231003003"/>
    <n v="-109.28"/>
    <n v="1875"/>
    <n v="1"/>
    <n v="1"/>
  </r>
  <r>
    <m/>
    <m/>
    <x v="1"/>
    <s v="50867741001001"/>
    <n v="-10.14"/>
    <n v="174"/>
    <n v="1"/>
    <n v="1"/>
  </r>
  <r>
    <m/>
    <m/>
    <x v="1"/>
    <s v="50873620001001"/>
    <n v="-118.19"/>
    <n v="2028"/>
    <n v="1"/>
    <n v="1"/>
  </r>
  <r>
    <m/>
    <m/>
    <x v="1"/>
    <s v="50891821006005"/>
    <n v="-76.349999999999994"/>
    <n v="1310"/>
    <n v="1"/>
    <n v="1"/>
  </r>
  <r>
    <m/>
    <m/>
    <x v="1"/>
    <s v="50892241001002"/>
    <n v="-35.08"/>
    <n v="602"/>
    <n v="1"/>
    <n v="1"/>
  </r>
  <r>
    <m/>
    <m/>
    <x v="1"/>
    <s v="50955251001001"/>
    <n v="-10.84"/>
    <n v="186"/>
    <n v="1"/>
    <n v="1"/>
  </r>
  <r>
    <m/>
    <m/>
    <x v="1"/>
    <s v="50972811001001"/>
    <n v="-20.81"/>
    <n v="357"/>
    <n v="1"/>
    <n v="1"/>
  </r>
  <r>
    <m/>
    <m/>
    <x v="1"/>
    <s v="50980185001006"/>
    <n v="-65.510000000000005"/>
    <n v="1124"/>
    <n v="1"/>
    <n v="1"/>
  </r>
  <r>
    <m/>
    <m/>
    <x v="1"/>
    <s v="50980301002006"/>
    <n v="-66.61"/>
    <n v="1143"/>
    <n v="1"/>
    <n v="1"/>
  </r>
  <r>
    <m/>
    <m/>
    <x v="1"/>
    <s v="50982891003001"/>
    <n v="-19.64"/>
    <n v="337"/>
    <n v="1"/>
    <n v="1"/>
  </r>
  <r>
    <m/>
    <m/>
    <x v="1"/>
    <s v="51001301006001"/>
    <n v="-30.95"/>
    <n v="531"/>
    <n v="1"/>
    <n v="1"/>
  </r>
  <r>
    <m/>
    <m/>
    <x v="1"/>
    <s v="51002981005001"/>
    <n v="-55.54"/>
    <n v="953"/>
    <n v="1"/>
    <n v="1"/>
  </r>
  <r>
    <m/>
    <m/>
    <x v="1"/>
    <s v="51011101001001"/>
    <n v="-38.93"/>
    <n v="668"/>
    <n v="1"/>
    <n v="1"/>
  </r>
  <r>
    <m/>
    <m/>
    <x v="1"/>
    <s v="51012360002001"/>
    <n v="-92.55"/>
    <n v="1588"/>
    <n v="1"/>
    <n v="1"/>
  </r>
  <r>
    <m/>
    <m/>
    <x v="1"/>
    <s v="51026361001001"/>
    <n v="-29.49"/>
    <n v="506"/>
    <n v="1"/>
    <n v="1"/>
  </r>
  <r>
    <m/>
    <m/>
    <x v="1"/>
    <s v="51027691001003"/>
    <n v="-42.08"/>
    <n v="722"/>
    <n v="1"/>
    <n v="1"/>
  </r>
  <r>
    <m/>
    <m/>
    <x v="1"/>
    <s v="51049671008001"/>
    <n v="-113.76"/>
    <n v="1952"/>
    <n v="1"/>
    <n v="1"/>
  </r>
  <r>
    <m/>
    <m/>
    <x v="1"/>
    <s v="51053871001001"/>
    <n v="-21.62"/>
    <n v="371"/>
    <n v="1"/>
    <n v="1"/>
  </r>
  <r>
    <m/>
    <m/>
    <x v="1"/>
    <s v="51056944001001"/>
    <n v="-17.13"/>
    <n v="294"/>
    <n v="1"/>
    <n v="1"/>
  </r>
  <r>
    <m/>
    <m/>
    <x v="1"/>
    <s v="51095876001003"/>
    <n v="-4.08"/>
    <n v="70"/>
    <n v="1"/>
    <n v="1"/>
  </r>
  <r>
    <m/>
    <m/>
    <x v="1"/>
    <s v="51104901004003"/>
    <n v="-46.33"/>
    <n v="795"/>
    <n v="1"/>
    <n v="1"/>
  </r>
  <r>
    <m/>
    <m/>
    <x v="1"/>
    <s v="51106511001005"/>
    <n v="-6.59"/>
    <n v="113"/>
    <n v="1"/>
    <n v="1"/>
  </r>
  <r>
    <m/>
    <m/>
    <x v="1"/>
    <s v="51127017001002"/>
    <n v="-32.049999999999997"/>
    <n v="550"/>
    <n v="1"/>
    <n v="1"/>
  </r>
  <r>
    <m/>
    <m/>
    <x v="1"/>
    <s v="51133531001002"/>
    <n v="-16.73"/>
    <n v="287"/>
    <n v="1"/>
    <n v="1"/>
  </r>
  <r>
    <m/>
    <m/>
    <x v="1"/>
    <s v="51159081001001"/>
    <n v="-22.09"/>
    <n v="379"/>
    <n v="1"/>
    <n v="1"/>
  </r>
  <r>
    <m/>
    <m/>
    <x v="1"/>
    <s v="51159431001001"/>
    <n v="-16.09"/>
    <n v="276"/>
    <n v="1"/>
    <n v="1"/>
  </r>
  <r>
    <m/>
    <m/>
    <x v="1"/>
    <s v="51165871003001"/>
    <n v="-42.78"/>
    <n v="734"/>
    <n v="1"/>
    <n v="1"/>
  </r>
  <r>
    <m/>
    <m/>
    <x v="1"/>
    <s v="51173361004001"/>
    <n v="-26.46"/>
    <n v="454"/>
    <n v="1"/>
    <n v="1"/>
  </r>
  <r>
    <m/>
    <m/>
    <x v="1"/>
    <s v="51174201001004"/>
    <n v="-16.32"/>
    <n v="280"/>
    <n v="1"/>
    <n v="1"/>
  </r>
  <r>
    <m/>
    <m/>
    <x v="1"/>
    <s v="51182321003003"/>
    <n v="-106.71"/>
    <n v="1831"/>
    <n v="1"/>
    <n v="1"/>
  </r>
  <r>
    <m/>
    <m/>
    <x v="1"/>
    <s v="51206821003010"/>
    <n v="-16.260000000000002"/>
    <n v="279"/>
    <n v="1"/>
    <n v="1"/>
  </r>
  <r>
    <m/>
    <m/>
    <x v="1"/>
    <s v="51222851001001"/>
    <n v="-7.4"/>
    <n v="127"/>
    <n v="1"/>
    <n v="1"/>
  </r>
  <r>
    <m/>
    <m/>
    <x v="1"/>
    <s v="51241523001003"/>
    <n v="-37.119999999999997"/>
    <n v="637"/>
    <n v="1"/>
    <n v="1"/>
  </r>
  <r>
    <m/>
    <m/>
    <x v="1"/>
    <s v="51315811004001"/>
    <n v="-111.43"/>
    <n v="1912"/>
    <n v="1"/>
    <n v="1"/>
  </r>
  <r>
    <m/>
    <m/>
    <x v="1"/>
    <s v="51340941002001"/>
    <n v="-86.55"/>
    <n v="1485"/>
    <n v="1"/>
    <n v="1"/>
  </r>
  <r>
    <m/>
    <m/>
    <x v="1"/>
    <s v="51396381005001"/>
    <n v="-110.67"/>
    <n v="1899"/>
    <n v="1"/>
    <n v="1"/>
  </r>
  <r>
    <m/>
    <m/>
    <x v="1"/>
    <s v="51424031004001"/>
    <n v="-28.91"/>
    <n v="496"/>
    <n v="1"/>
    <n v="1"/>
  </r>
  <r>
    <m/>
    <m/>
    <x v="1"/>
    <s v="51441601002001"/>
    <n v="-75.180000000000007"/>
    <n v="1290"/>
    <n v="1"/>
    <n v="1"/>
  </r>
  <r>
    <m/>
    <m/>
    <x v="1"/>
    <s v="51446011004001"/>
    <n v="-19.350000000000001"/>
    <n v="332"/>
    <n v="1"/>
    <n v="1"/>
  </r>
  <r>
    <m/>
    <m/>
    <x v="1"/>
    <s v="51453851003001"/>
    <n v="-57.41"/>
    <n v="985"/>
    <n v="1"/>
    <n v="1"/>
  </r>
  <r>
    <m/>
    <m/>
    <x v="1"/>
    <s v="51461761001001"/>
    <n v="-39.75"/>
    <n v="682"/>
    <n v="1"/>
    <n v="1"/>
  </r>
  <r>
    <m/>
    <m/>
    <x v="1"/>
    <s v="51467250001001"/>
    <n v="-17.89"/>
    <n v="307"/>
    <n v="1"/>
    <n v="1"/>
  </r>
  <r>
    <m/>
    <m/>
    <x v="1"/>
    <s v="51469191001009"/>
    <n v="-1.86"/>
    <n v="32"/>
    <n v="1"/>
    <n v="1"/>
  </r>
  <r>
    <m/>
    <m/>
    <x v="1"/>
    <s v="51483531009001"/>
    <n v="-36.19"/>
    <n v="621"/>
    <n v="1"/>
    <n v="1"/>
  </r>
  <r>
    <m/>
    <m/>
    <x v="1"/>
    <s v="51516081001002"/>
    <n v="-22.67"/>
    <n v="389"/>
    <n v="1"/>
    <n v="1"/>
  </r>
  <r>
    <m/>
    <m/>
    <x v="1"/>
    <s v="51528681001002"/>
    <n v="-3.96"/>
    <n v="68"/>
    <n v="1"/>
    <n v="1"/>
  </r>
  <r>
    <m/>
    <m/>
    <x v="1"/>
    <s v="51530786001003"/>
    <n v="-2.27"/>
    <n v="39"/>
    <n v="1"/>
    <n v="1"/>
  </r>
  <r>
    <m/>
    <m/>
    <x v="1"/>
    <s v="51542891001003"/>
    <n v="-33.22"/>
    <n v="570"/>
    <n v="1"/>
    <n v="1"/>
  </r>
  <r>
    <m/>
    <m/>
    <x v="1"/>
    <s v="51543731002001"/>
    <n v="-71.040000000000006"/>
    <n v="1219"/>
    <n v="1"/>
    <n v="1"/>
  </r>
  <r>
    <m/>
    <m/>
    <x v="1"/>
    <s v="51544151002001"/>
    <n v="-63.64"/>
    <n v="1092"/>
    <n v="1"/>
    <n v="1"/>
  </r>
  <r>
    <m/>
    <m/>
    <x v="1"/>
    <s v="51554091001001"/>
    <n v="-98.38"/>
    <n v="1688"/>
    <n v="1"/>
    <n v="1"/>
  </r>
  <r>
    <m/>
    <m/>
    <x v="1"/>
    <s v="51556121001002"/>
    <n v="-35.96"/>
    <n v="617"/>
    <n v="1"/>
    <n v="1"/>
  </r>
  <r>
    <m/>
    <m/>
    <x v="1"/>
    <s v="51557381001002"/>
    <n v="-11.19"/>
    <n v="192"/>
    <n v="1"/>
    <n v="1"/>
  </r>
  <r>
    <m/>
    <m/>
    <x v="1"/>
    <s v="51568021003009"/>
    <n v="-22.09"/>
    <n v="379"/>
    <n v="1"/>
    <n v="1"/>
  </r>
  <r>
    <m/>
    <m/>
    <x v="1"/>
    <s v="51568721001004"/>
    <n v="-31.41"/>
    <n v="539"/>
    <n v="1"/>
    <n v="1"/>
  </r>
  <r>
    <m/>
    <m/>
    <x v="1"/>
    <s v="51572011001005"/>
    <n v="-41.26"/>
    <n v="708"/>
    <n v="1"/>
    <n v="1"/>
  </r>
  <r>
    <m/>
    <m/>
    <x v="1"/>
    <s v="51581151001001"/>
    <n v="-25.93"/>
    <n v="445"/>
    <n v="1"/>
    <n v="1"/>
  </r>
  <r>
    <m/>
    <m/>
    <x v="1"/>
    <s v="51584751002008"/>
    <n v="-47.61"/>
    <n v="817"/>
    <n v="1"/>
    <n v="1"/>
  </r>
  <r>
    <m/>
    <m/>
    <x v="1"/>
    <s v="51588111004001"/>
    <n v="-54.55"/>
    <n v="936"/>
    <n v="1"/>
    <n v="1"/>
  </r>
  <r>
    <m/>
    <m/>
    <x v="1"/>
    <s v="51589096001005"/>
    <n v="-40.39"/>
    <n v="693"/>
    <n v="1"/>
    <n v="1"/>
  </r>
  <r>
    <m/>
    <m/>
    <x v="1"/>
    <s v="51591471001001"/>
    <n v="-28.03"/>
    <n v="481"/>
    <n v="1"/>
    <n v="1"/>
  </r>
  <r>
    <m/>
    <m/>
    <x v="1"/>
    <s v="51595951001005"/>
    <n v="-32"/>
    <n v="549"/>
    <n v="1"/>
    <n v="1"/>
  </r>
  <r>
    <m/>
    <m/>
    <x v="1"/>
    <s v="51603441001001"/>
    <n v="-81.239999999999995"/>
    <n v="1394"/>
    <n v="1"/>
    <n v="1"/>
  </r>
  <r>
    <m/>
    <m/>
    <x v="1"/>
    <s v="51609181001001"/>
    <n v="-65.86"/>
    <n v="1130"/>
    <n v="1"/>
    <n v="1"/>
  </r>
  <r>
    <m/>
    <m/>
    <x v="1"/>
    <s v="51610791002001"/>
    <n v="-17.13"/>
    <n v="294"/>
    <n v="1"/>
    <n v="1"/>
  </r>
  <r>
    <m/>
    <m/>
    <x v="1"/>
    <s v="51615411001001"/>
    <n v="-56.82"/>
    <n v="975"/>
    <n v="1"/>
    <n v="1"/>
  </r>
  <r>
    <m/>
    <m/>
    <x v="1"/>
    <s v="51615551001001"/>
    <n v="-63.64"/>
    <n v="1092"/>
    <n v="1"/>
    <n v="1"/>
  </r>
  <r>
    <m/>
    <m/>
    <x v="1"/>
    <s v="51618911002001"/>
    <n v="-27.51"/>
    <n v="472"/>
    <n v="1"/>
    <n v="1"/>
  </r>
  <r>
    <m/>
    <m/>
    <x v="1"/>
    <s v="51619110002001"/>
    <n v="-49.48"/>
    <n v="849"/>
    <n v="1"/>
    <n v="1"/>
  </r>
  <r>
    <m/>
    <m/>
    <x v="1"/>
    <s v="51627661001003"/>
    <n v="-28.62"/>
    <n v="491"/>
    <n v="1"/>
    <n v="1"/>
  </r>
  <r>
    <m/>
    <m/>
    <x v="1"/>
    <s v="51628011003001"/>
    <n v="-28.91"/>
    <n v="496"/>
    <n v="1"/>
    <n v="1"/>
  </r>
  <r>
    <m/>
    <m/>
    <x v="1"/>
    <s v="51682390003003"/>
    <n v="-50.18"/>
    <n v="861"/>
    <n v="1"/>
    <n v="1"/>
  </r>
  <r>
    <m/>
    <m/>
    <x v="1"/>
    <s v="51719592001003"/>
    <n v="-41.85"/>
    <n v="718"/>
    <n v="1"/>
    <n v="1"/>
  </r>
  <r>
    <m/>
    <m/>
    <x v="1"/>
    <s v="51733911001002"/>
    <n v="-18.59"/>
    <n v="319"/>
    <n v="1"/>
    <n v="1"/>
  </r>
  <r>
    <m/>
    <m/>
    <x v="1"/>
    <s v="51790155001003"/>
    <n v="-34.39"/>
    <n v="590"/>
    <n v="1"/>
    <n v="1"/>
  </r>
  <r>
    <m/>
    <m/>
    <x v="1"/>
    <s v="51910701001010"/>
    <n v="-40.33"/>
    <n v="692"/>
    <n v="1"/>
    <n v="1"/>
  </r>
  <r>
    <m/>
    <m/>
    <x v="1"/>
    <s v="51911437001003"/>
    <n v="-51.34"/>
    <n v="881"/>
    <n v="1"/>
    <n v="1"/>
  </r>
  <r>
    <m/>
    <m/>
    <x v="1"/>
    <s v="51976041001003"/>
    <n v="-53.09"/>
    <n v="911"/>
    <n v="1"/>
    <n v="1"/>
  </r>
  <r>
    <m/>
    <m/>
    <x v="1"/>
    <s v="52042325001004"/>
    <n v="-71.39"/>
    <n v="1225"/>
    <n v="1"/>
    <n v="1"/>
  </r>
  <r>
    <m/>
    <m/>
    <x v="1"/>
    <s v="52175886001002"/>
    <n v="-42.78"/>
    <n v="734"/>
    <n v="1"/>
    <n v="1"/>
  </r>
  <r>
    <m/>
    <m/>
    <x v="1"/>
    <s v="52236917004003"/>
    <n v="-64.81"/>
    <n v="1112"/>
    <n v="1"/>
    <n v="1"/>
  </r>
  <r>
    <m/>
    <m/>
    <x v="1"/>
    <s v="52259109001002"/>
    <n v="-55.31"/>
    <n v="949"/>
    <n v="1"/>
    <n v="1"/>
  </r>
  <r>
    <m/>
    <m/>
    <x v="1"/>
    <s v="52306367002003"/>
    <n v="-54.49"/>
    <n v="935"/>
    <n v="1"/>
    <n v="1"/>
  </r>
  <r>
    <m/>
    <m/>
    <x v="1"/>
    <s v="52383903001008"/>
    <n v="-56.59"/>
    <n v="971"/>
    <n v="1"/>
    <n v="1"/>
  </r>
  <r>
    <m/>
    <m/>
    <x v="1"/>
    <s v="52419352004001"/>
    <n v="-11.13"/>
    <n v="191"/>
    <n v="1"/>
    <n v="1"/>
  </r>
  <r>
    <m/>
    <m/>
    <x v="1"/>
    <s v="52499165001001"/>
    <n v="-5.42"/>
    <n v="93"/>
    <n v="1"/>
    <n v="1"/>
  </r>
  <r>
    <m/>
    <m/>
    <x v="1"/>
    <s v="52507041001001"/>
    <n v="-22.44"/>
    <n v="385"/>
    <n v="1"/>
    <n v="1"/>
  </r>
  <r>
    <m/>
    <m/>
    <x v="1"/>
    <s v="52557185001003"/>
    <n v="-10.61"/>
    <n v="182"/>
    <n v="1"/>
    <n v="1"/>
  </r>
  <r>
    <m/>
    <m/>
    <x v="1"/>
    <s v="52650916001001"/>
    <n v="-41.55"/>
    <n v="713"/>
    <n v="1"/>
    <n v="1"/>
  </r>
  <r>
    <m/>
    <m/>
    <x v="1"/>
    <s v="52742616001001"/>
    <n v="-99.66"/>
    <n v="1710"/>
    <n v="1"/>
    <n v="1"/>
  </r>
  <r>
    <m/>
    <m/>
    <x v="1"/>
    <s v="52942632001005"/>
    <n v="-14.69"/>
    <n v="252"/>
    <n v="1"/>
    <n v="1"/>
  </r>
  <r>
    <m/>
    <m/>
    <x v="1"/>
    <s v="52973692001004"/>
    <n v="-14.69"/>
    <n v="252"/>
    <n v="1"/>
    <n v="1"/>
  </r>
  <r>
    <m/>
    <m/>
    <x v="1"/>
    <s v="53040645001004"/>
    <n v="-50.35"/>
    <n v="864"/>
    <n v="1"/>
    <n v="1"/>
  </r>
  <r>
    <m/>
    <m/>
    <x v="1"/>
    <s v="53093346001006"/>
    <n v="-24.77"/>
    <n v="425"/>
    <n v="1"/>
    <n v="1"/>
  </r>
  <r>
    <m/>
    <m/>
    <x v="1"/>
    <s v="53096079004003"/>
    <n v="-28.79"/>
    <n v="494"/>
    <n v="1"/>
    <n v="1"/>
  </r>
  <r>
    <m/>
    <m/>
    <x v="1"/>
    <s v="53276260002001"/>
    <n v="-83.92"/>
    <n v="1440"/>
    <n v="1"/>
    <n v="1"/>
  </r>
  <r>
    <m/>
    <m/>
    <x v="1"/>
    <s v="53296048001001"/>
    <n v="-32.93"/>
    <n v="565"/>
    <n v="1"/>
    <n v="1"/>
  </r>
  <r>
    <m/>
    <m/>
    <x v="1"/>
    <s v="53333677003005"/>
    <n v="-22.32"/>
    <n v="383"/>
    <n v="1"/>
    <n v="1"/>
  </r>
  <r>
    <m/>
    <m/>
    <x v="1"/>
    <s v="53350345002007"/>
    <n v="-2.97"/>
    <n v="51"/>
    <n v="1"/>
    <n v="1"/>
  </r>
  <r>
    <m/>
    <m/>
    <x v="1"/>
    <s v="53355064001008"/>
    <n v="-29.08"/>
    <n v="499"/>
    <n v="1"/>
    <n v="1"/>
  </r>
  <r>
    <m/>
    <m/>
    <x v="1"/>
    <s v="53390379003003"/>
    <n v="-50"/>
    <n v="858"/>
    <n v="1"/>
    <n v="1"/>
  </r>
  <r>
    <m/>
    <m/>
    <x v="1"/>
    <s v="53403598003001"/>
    <n v="-15.74"/>
    <n v="270"/>
    <n v="1"/>
    <n v="1"/>
  </r>
  <r>
    <m/>
    <m/>
    <x v="1"/>
    <s v="53512067001011"/>
    <n v="-82.23"/>
    <n v="1411"/>
    <n v="1"/>
    <n v="1"/>
  </r>
  <r>
    <m/>
    <m/>
    <x v="1"/>
    <s v="53586339001001"/>
    <n v="-25.76"/>
    <n v="442"/>
    <n v="1"/>
    <n v="1"/>
  </r>
  <r>
    <m/>
    <m/>
    <x v="1"/>
    <s v="53629812002001"/>
    <n v="-1.17"/>
    <n v="20"/>
    <n v="1"/>
    <n v="1"/>
  </r>
  <r>
    <m/>
    <m/>
    <x v="1"/>
    <s v="53707529001003"/>
    <n v="-18.82"/>
    <n v="323"/>
    <n v="1"/>
    <n v="1"/>
  </r>
  <r>
    <m/>
    <m/>
    <x v="1"/>
    <s v="53784070001007"/>
    <n v="-2.68"/>
    <n v="46"/>
    <n v="1"/>
    <n v="1"/>
  </r>
  <r>
    <m/>
    <m/>
    <x v="1"/>
    <s v="53812406001002"/>
    <n v="-13.17"/>
    <n v="226"/>
    <n v="1"/>
    <n v="1"/>
  </r>
  <r>
    <m/>
    <m/>
    <x v="1"/>
    <s v="53911595001002"/>
    <n v="-19.989999999999998"/>
    <n v="343"/>
    <n v="1"/>
    <n v="1"/>
  </r>
  <r>
    <m/>
    <m/>
    <x v="1"/>
    <s v="54086288002005"/>
    <n v="-38.64"/>
    <n v="663"/>
    <n v="1"/>
    <n v="1"/>
  </r>
  <r>
    <m/>
    <m/>
    <x v="1"/>
    <s v="54306064004001"/>
    <n v="-30.01"/>
    <n v="515"/>
    <n v="1"/>
    <n v="1"/>
  </r>
  <r>
    <m/>
    <m/>
    <x v="1"/>
    <s v="54329736005001"/>
    <n v="-12.36"/>
    <n v="212"/>
    <n v="1"/>
    <n v="1"/>
  </r>
  <r>
    <m/>
    <m/>
    <x v="1"/>
    <s v="54362749001005"/>
    <n v="-14.1"/>
    <n v="242"/>
    <n v="1"/>
    <n v="1"/>
  </r>
  <r>
    <m/>
    <m/>
    <x v="1"/>
    <s v="54408477001001"/>
    <n v="-58.92"/>
    <n v="1011"/>
    <n v="1"/>
    <n v="1"/>
  </r>
  <r>
    <m/>
    <m/>
    <x v="1"/>
    <s v="54419366001001"/>
    <n v="-16.32"/>
    <n v="280"/>
    <n v="1"/>
    <n v="1"/>
  </r>
  <r>
    <m/>
    <m/>
    <x v="1"/>
    <s v="54477932001004"/>
    <n v="-48.84"/>
    <n v="838"/>
    <n v="1"/>
    <n v="1"/>
  </r>
  <r>
    <m/>
    <m/>
    <x v="1"/>
    <s v="54503017001001"/>
    <n v="-0.23"/>
    <n v="4"/>
    <n v="1"/>
    <n v="1"/>
  </r>
  <r>
    <m/>
    <m/>
    <x v="1"/>
    <s v="54514352002003"/>
    <n v="-60.84"/>
    <n v="1044"/>
    <n v="1"/>
    <n v="1"/>
  </r>
  <r>
    <m/>
    <m/>
    <x v="1"/>
    <s v="54523601001001"/>
    <n v="-82.06"/>
    <n v="1408"/>
    <n v="1"/>
    <n v="1"/>
  </r>
  <r>
    <m/>
    <m/>
    <x v="1"/>
    <s v="54740330004001"/>
    <n v="-179.68"/>
    <n v="3083"/>
    <n v="1"/>
    <n v="1"/>
  </r>
  <r>
    <m/>
    <m/>
    <x v="1"/>
    <s v="54754288002005"/>
    <n v="-30.19"/>
    <n v="518"/>
    <n v="1"/>
    <n v="1"/>
  </r>
  <r>
    <m/>
    <m/>
    <x v="1"/>
    <s v="54870246005001"/>
    <n v="-1.17"/>
    <n v="20"/>
    <n v="1"/>
    <n v="1"/>
  </r>
  <r>
    <m/>
    <m/>
    <x v="1"/>
    <s v="54870440001001"/>
    <n v="-9.67"/>
    <n v="166"/>
    <n v="1"/>
    <n v="1"/>
  </r>
  <r>
    <m/>
    <m/>
    <x v="1"/>
    <s v="54951169001003"/>
    <n v="-51.93"/>
    <n v="891"/>
    <n v="1"/>
    <n v="1"/>
  </r>
  <r>
    <m/>
    <m/>
    <x v="1"/>
    <s v="54978920001003"/>
    <n v="-30.36"/>
    <n v="521"/>
    <n v="1"/>
    <n v="1"/>
  </r>
  <r>
    <m/>
    <m/>
    <x v="1"/>
    <s v="55059572001001"/>
    <n v="-13.05"/>
    <n v="224"/>
    <n v="1"/>
    <n v="1"/>
  </r>
  <r>
    <m/>
    <m/>
    <x v="1"/>
    <s v="55126085001004"/>
    <n v="-22.96"/>
    <n v="394"/>
    <n v="1"/>
    <n v="1"/>
  </r>
  <r>
    <m/>
    <m/>
    <x v="1"/>
    <s v="55194605001001"/>
    <n v="-33.28"/>
    <n v="571"/>
    <n v="1"/>
    <n v="1"/>
  </r>
  <r>
    <m/>
    <m/>
    <x v="1"/>
    <s v="55356091006001"/>
    <n v="-68.709999999999994"/>
    <n v="1179"/>
    <n v="1"/>
    <n v="1"/>
  </r>
  <r>
    <m/>
    <m/>
    <x v="1"/>
    <s v="55476730001005"/>
    <n v="-47.03"/>
    <n v="807"/>
    <n v="1"/>
    <n v="1"/>
  </r>
  <r>
    <m/>
    <m/>
    <x v="1"/>
    <s v="55524078001001"/>
    <n v="-29.14"/>
    <n v="500"/>
    <n v="1"/>
    <n v="1"/>
  </r>
  <r>
    <m/>
    <m/>
    <x v="1"/>
    <s v="55536729004001"/>
    <n v="-29.26"/>
    <n v="502"/>
    <n v="1"/>
    <n v="1"/>
  </r>
  <r>
    <m/>
    <m/>
    <x v="1"/>
    <s v="55537391001001"/>
    <n v="-8.74"/>
    <n v="150"/>
    <n v="1"/>
    <n v="1"/>
  </r>
  <r>
    <m/>
    <m/>
    <x v="1"/>
    <s v="55693754001001"/>
    <n v="-38.229999999999997"/>
    <n v="656"/>
    <n v="1"/>
    <n v="1"/>
  </r>
  <r>
    <m/>
    <m/>
    <x v="1"/>
    <s v="55703490001004"/>
    <n v="-5.07"/>
    <n v="87"/>
    <n v="1"/>
    <n v="1"/>
  </r>
  <r>
    <m/>
    <m/>
    <x v="1"/>
    <s v="55781832001008"/>
    <n v="-46.92"/>
    <n v="805"/>
    <n v="1"/>
    <n v="1"/>
  </r>
  <r>
    <m/>
    <m/>
    <x v="1"/>
    <s v="55798886001003"/>
    <n v="-5.65"/>
    <n v="97"/>
    <n v="1"/>
    <n v="1"/>
  </r>
  <r>
    <m/>
    <m/>
    <x v="1"/>
    <s v="55898070001006"/>
    <n v="-18.13"/>
    <n v="311"/>
    <n v="1"/>
    <n v="1"/>
  </r>
  <r>
    <m/>
    <m/>
    <x v="1"/>
    <s v="55940653002003"/>
    <n v="-114.58"/>
    <n v="1966"/>
    <n v="1"/>
    <n v="1"/>
  </r>
  <r>
    <m/>
    <m/>
    <x v="1"/>
    <s v="56027623001001"/>
    <n v="-76.7"/>
    <n v="1316"/>
    <n v="1"/>
    <n v="1"/>
  </r>
  <r>
    <m/>
    <m/>
    <x v="1"/>
    <s v="56079112001004"/>
    <n v="-89.63"/>
    <n v="1538"/>
    <n v="1"/>
    <n v="1"/>
  </r>
  <r>
    <m/>
    <m/>
    <x v="1"/>
    <s v="56087752002005"/>
    <n v="-18.13"/>
    <n v="311"/>
    <n v="1"/>
    <n v="1"/>
  </r>
  <r>
    <m/>
    <m/>
    <x v="1"/>
    <s v="56095941001001"/>
    <n v="-84.62"/>
    <n v="1452"/>
    <n v="1"/>
    <n v="1"/>
  </r>
  <r>
    <m/>
    <m/>
    <x v="1"/>
    <s v="56154051001001"/>
    <n v="-23.37"/>
    <n v="401"/>
    <n v="1"/>
    <n v="1"/>
  </r>
  <r>
    <m/>
    <m/>
    <x v="1"/>
    <s v="56213971001003"/>
    <n v="-43.3"/>
    <n v="743"/>
    <n v="1"/>
    <n v="1"/>
  </r>
  <r>
    <m/>
    <m/>
    <x v="1"/>
    <s v="56215841001001"/>
    <n v="-34.619999999999997"/>
    <n v="594"/>
    <n v="1"/>
    <n v="1"/>
  </r>
  <r>
    <m/>
    <m/>
    <x v="1"/>
    <s v="56312823002001"/>
    <n v="-83.34"/>
    <n v="1430"/>
    <n v="1"/>
    <n v="1"/>
  </r>
  <r>
    <m/>
    <m/>
    <x v="1"/>
    <s v="56354960001003"/>
    <n v="-47.85"/>
    <n v="821"/>
    <n v="1"/>
    <n v="1"/>
  </r>
  <r>
    <m/>
    <m/>
    <x v="1"/>
    <s v="56378536001001"/>
    <n v="-47.73"/>
    <n v="819"/>
    <n v="1"/>
    <n v="1"/>
  </r>
  <r>
    <m/>
    <m/>
    <x v="1"/>
    <s v="56386327001003"/>
    <n v="-12.47"/>
    <n v="214"/>
    <n v="1"/>
    <n v="1"/>
  </r>
  <r>
    <m/>
    <m/>
    <x v="1"/>
    <s v="56404144001004"/>
    <n v="-14.16"/>
    <n v="243"/>
    <n v="1"/>
    <n v="1"/>
  </r>
  <r>
    <m/>
    <m/>
    <x v="1"/>
    <s v="56511566004001"/>
    <n v="-59.39"/>
    <n v="1019"/>
    <n v="1"/>
    <n v="1"/>
  </r>
  <r>
    <m/>
    <m/>
    <x v="1"/>
    <s v="56634209003002"/>
    <n v="-7.11"/>
    <n v="122"/>
    <n v="1"/>
    <n v="1"/>
  </r>
  <r>
    <m/>
    <m/>
    <x v="1"/>
    <s v="56663449004003"/>
    <n v="-17.89"/>
    <n v="307"/>
    <n v="1"/>
    <n v="1"/>
  </r>
  <r>
    <m/>
    <m/>
    <x v="1"/>
    <s v="56725042001004"/>
    <n v="-8.16"/>
    <n v="140"/>
    <n v="1"/>
    <n v="1"/>
  </r>
  <r>
    <m/>
    <m/>
    <x v="1"/>
    <s v="56805763001004"/>
    <n v="-15.04"/>
    <n v="258"/>
    <n v="1"/>
    <n v="1"/>
  </r>
  <r>
    <m/>
    <m/>
    <x v="1"/>
    <s v="56947002001001"/>
    <n v="-31.94"/>
    <n v="548"/>
    <n v="1"/>
    <n v="1"/>
  </r>
  <r>
    <m/>
    <m/>
    <x v="1"/>
    <s v="57000650001002"/>
    <n v="-34.090000000000003"/>
    <n v="585"/>
    <n v="1"/>
    <n v="1"/>
  </r>
  <r>
    <m/>
    <m/>
    <x v="1"/>
    <s v="57011783002003"/>
    <n v="-18.420000000000002"/>
    <n v="316"/>
    <n v="1"/>
    <n v="1"/>
  </r>
  <r>
    <m/>
    <m/>
    <x v="1"/>
    <s v="57050305002003"/>
    <n v="-17.43"/>
    <n v="299"/>
    <n v="1"/>
    <n v="1"/>
  </r>
  <r>
    <m/>
    <m/>
    <x v="1"/>
    <s v="57053280001002"/>
    <n v="-86.08"/>
    <n v="1477"/>
    <n v="1"/>
    <n v="1"/>
  </r>
  <r>
    <m/>
    <m/>
    <x v="1"/>
    <s v="57113275001001"/>
    <n v="-8.51"/>
    <n v="146"/>
    <n v="1"/>
    <n v="1"/>
  </r>
  <r>
    <m/>
    <m/>
    <x v="1"/>
    <s v="57157582001007"/>
    <n v="-37.65"/>
    <n v="646"/>
    <n v="1"/>
    <n v="1"/>
  </r>
  <r>
    <m/>
    <m/>
    <x v="1"/>
    <s v="57409186002001"/>
    <n v="-17.95"/>
    <n v="308"/>
    <n v="1"/>
    <n v="1"/>
  </r>
  <r>
    <m/>
    <m/>
    <x v="1"/>
    <s v="57422963001002"/>
    <n v="-50.3"/>
    <n v="863"/>
    <n v="1"/>
    <n v="1"/>
  </r>
  <r>
    <m/>
    <m/>
    <x v="1"/>
    <s v="57504758001005"/>
    <n v="-35.32"/>
    <n v="606"/>
    <n v="1"/>
    <n v="1"/>
  </r>
  <r>
    <m/>
    <m/>
    <x v="1"/>
    <s v="57631181001002"/>
    <n v="-22.67"/>
    <n v="389"/>
    <n v="1"/>
    <n v="1"/>
  </r>
  <r>
    <m/>
    <m/>
    <x v="1"/>
    <s v="57703401001001"/>
    <n v="-28.5"/>
    <n v="489"/>
    <n v="1"/>
    <n v="1"/>
  </r>
  <r>
    <m/>
    <m/>
    <x v="1"/>
    <s v="57703524001001"/>
    <n v="-25.06"/>
    <n v="430"/>
    <n v="1"/>
    <n v="1"/>
  </r>
  <r>
    <m/>
    <m/>
    <x v="1"/>
    <s v="57785781001002"/>
    <n v="-49.25"/>
    <n v="845"/>
    <n v="1"/>
    <n v="1"/>
  </r>
  <r>
    <m/>
    <m/>
    <x v="1"/>
    <s v="57869500001003"/>
    <n v="-6.53"/>
    <n v="112"/>
    <n v="1"/>
    <n v="1"/>
  </r>
  <r>
    <m/>
    <m/>
    <x v="1"/>
    <s v="58021308001009"/>
    <n v="-14.86"/>
    <n v="255"/>
    <n v="1"/>
    <n v="1"/>
  </r>
  <r>
    <m/>
    <m/>
    <x v="1"/>
    <s v="58029702001001"/>
    <n v="-20.399999999999999"/>
    <n v="350"/>
    <n v="1"/>
    <n v="1"/>
  </r>
  <r>
    <m/>
    <m/>
    <x v="1"/>
    <s v="58070087003005"/>
    <n v="-56.71"/>
    <n v="973"/>
    <n v="1"/>
    <n v="1"/>
  </r>
  <r>
    <m/>
    <m/>
    <x v="1"/>
    <s v="58214480001001"/>
    <n v="-47.27"/>
    <n v="811"/>
    <n v="1"/>
    <n v="1"/>
  </r>
  <r>
    <m/>
    <m/>
    <x v="1"/>
    <s v="58280210001001"/>
    <n v="-57.06"/>
    <n v="979"/>
    <n v="1"/>
    <n v="1"/>
  </r>
  <r>
    <m/>
    <m/>
    <x v="1"/>
    <s v="58383494001001"/>
    <n v="-22.5"/>
    <n v="386"/>
    <n v="1"/>
    <n v="1"/>
  </r>
  <r>
    <m/>
    <m/>
    <x v="1"/>
    <s v="58426355002001"/>
    <n v="-2.1"/>
    <n v="36"/>
    <n v="1"/>
    <n v="1"/>
  </r>
  <r>
    <m/>
    <m/>
    <x v="1"/>
    <s v="58436858001004"/>
    <n v="-66.790000000000006"/>
    <n v="1146"/>
    <n v="1"/>
    <n v="1"/>
  </r>
  <r>
    <m/>
    <m/>
    <x v="1"/>
    <s v="58469818001001"/>
    <n v="-1.28"/>
    <n v="22"/>
    <n v="1"/>
    <n v="1"/>
  </r>
  <r>
    <m/>
    <m/>
    <x v="1"/>
    <s v="58476662001005"/>
    <n v="-27.16"/>
    <n v="466"/>
    <n v="1"/>
    <n v="1"/>
  </r>
  <r>
    <m/>
    <m/>
    <x v="1"/>
    <s v="58549564001001"/>
    <n v="-19.47"/>
    <n v="334"/>
    <n v="1"/>
    <n v="1"/>
  </r>
  <r>
    <m/>
    <m/>
    <x v="1"/>
    <s v="58573146001001"/>
    <n v="-5.89"/>
    <n v="101"/>
    <n v="1"/>
    <n v="1"/>
  </r>
  <r>
    <m/>
    <m/>
    <x v="1"/>
    <s v="58719680001003"/>
    <n v="-37.07"/>
    <n v="636"/>
    <n v="1"/>
    <n v="1"/>
  </r>
  <r>
    <m/>
    <m/>
    <x v="1"/>
    <s v="59136213001001"/>
    <n v="-38.119999999999997"/>
    <n v="654"/>
    <n v="1"/>
    <n v="1"/>
  </r>
  <r>
    <m/>
    <m/>
    <x v="1"/>
    <s v="59243405001001"/>
    <n v="-95.75"/>
    <n v="1643"/>
    <n v="1"/>
    <n v="1"/>
  </r>
  <r>
    <m/>
    <m/>
    <x v="1"/>
    <s v="59547463005003"/>
    <n v="-67.430000000000007"/>
    <n v="1157"/>
    <n v="1"/>
    <n v="1"/>
  </r>
  <r>
    <m/>
    <m/>
    <x v="1"/>
    <s v="59582257003001"/>
    <n v="-42.25"/>
    <n v="725"/>
    <n v="1"/>
    <n v="1"/>
  </r>
  <r>
    <m/>
    <m/>
    <x v="1"/>
    <s v="59645818001009"/>
    <n v="-6.47"/>
    <n v="111"/>
    <n v="1"/>
    <n v="1"/>
  </r>
  <r>
    <m/>
    <m/>
    <x v="1"/>
    <s v="59835939001001"/>
    <n v="-40.799999999999997"/>
    <n v="700"/>
    <n v="1"/>
    <n v="1"/>
  </r>
  <r>
    <m/>
    <m/>
    <x v="1"/>
    <s v="59904249001001"/>
    <n v="-59.21"/>
    <n v="1016"/>
    <n v="1"/>
    <n v="1"/>
  </r>
  <r>
    <m/>
    <m/>
    <x v="1"/>
    <s v="59919753001001"/>
    <n v="-4.43"/>
    <n v="76"/>
    <n v="1"/>
    <n v="1"/>
  </r>
  <r>
    <m/>
    <m/>
    <x v="1"/>
    <s v="60063354001001"/>
    <n v="-92.61"/>
    <n v="1589"/>
    <n v="1"/>
    <n v="1"/>
  </r>
  <r>
    <m/>
    <m/>
    <x v="1"/>
    <s v="60068702001008"/>
    <n v="-36.479999999999997"/>
    <n v="626"/>
    <n v="1"/>
    <n v="1"/>
  </r>
  <r>
    <m/>
    <m/>
    <x v="1"/>
    <s v="60103851002003"/>
    <n v="-30.48"/>
    <n v="523"/>
    <n v="1"/>
    <n v="1"/>
  </r>
  <r>
    <m/>
    <m/>
    <x v="1"/>
    <s v="60148123001001"/>
    <n v="-60.73"/>
    <n v="1042"/>
    <n v="1"/>
    <n v="1"/>
  </r>
  <r>
    <m/>
    <m/>
    <x v="1"/>
    <s v="60187351001001"/>
    <n v="-102.4"/>
    <n v="1757"/>
    <n v="1"/>
    <n v="1"/>
  </r>
  <r>
    <m/>
    <m/>
    <x v="1"/>
    <s v="60226051001005"/>
    <n v="-6.82"/>
    <n v="117"/>
    <n v="1"/>
    <n v="1"/>
  </r>
  <r>
    <m/>
    <m/>
    <x v="1"/>
    <s v="60262385001001"/>
    <n v="-127.34"/>
    <n v="2185"/>
    <n v="1"/>
    <n v="1"/>
  </r>
  <r>
    <m/>
    <m/>
    <x v="1"/>
    <s v="60270707001007"/>
    <n v="-34.15"/>
    <n v="586"/>
    <n v="1"/>
    <n v="1"/>
  </r>
  <r>
    <m/>
    <m/>
    <x v="1"/>
    <s v="60311880001002"/>
    <n v="-99.13"/>
    <n v="1701"/>
    <n v="1"/>
    <n v="1"/>
  </r>
  <r>
    <m/>
    <m/>
    <x v="1"/>
    <s v="60322180001003"/>
    <n v="-24.24"/>
    <n v="416"/>
    <n v="1"/>
    <n v="1"/>
  </r>
  <r>
    <m/>
    <m/>
    <x v="1"/>
    <s v="60323445002004"/>
    <n v="-0.47"/>
    <n v="8"/>
    <n v="1"/>
    <n v="1"/>
  </r>
  <r>
    <m/>
    <m/>
    <x v="1"/>
    <s v="60473262001001"/>
    <n v="-1.05"/>
    <n v="18"/>
    <n v="1"/>
    <n v="1"/>
  </r>
  <r>
    <m/>
    <m/>
    <x v="1"/>
    <s v="60503071001008"/>
    <n v="-50.3"/>
    <n v="863"/>
    <n v="1"/>
    <n v="1"/>
  </r>
  <r>
    <m/>
    <m/>
    <x v="1"/>
    <s v="60603915001011"/>
    <n v="-42.14"/>
    <n v="723"/>
    <n v="1"/>
    <n v="1"/>
  </r>
  <r>
    <m/>
    <m/>
    <x v="1"/>
    <s v="60626334001001"/>
    <n v="-21.74"/>
    <n v="373"/>
    <n v="1"/>
    <n v="1"/>
  </r>
  <r>
    <m/>
    <m/>
    <x v="1"/>
    <s v="60661525001001"/>
    <n v="-60.09"/>
    <n v="1031"/>
    <n v="1"/>
    <n v="1"/>
  </r>
  <r>
    <m/>
    <m/>
    <x v="1"/>
    <s v="60891092001002"/>
    <n v="-65.8"/>
    <n v="1129"/>
    <n v="1"/>
    <n v="1"/>
  </r>
  <r>
    <m/>
    <m/>
    <x v="1"/>
    <s v="60925111001003"/>
    <n v="-18.77"/>
    <n v="322"/>
    <n v="1"/>
    <n v="1"/>
  </r>
  <r>
    <m/>
    <m/>
    <x v="1"/>
    <s v="60933719008001"/>
    <n v="-96.69"/>
    <n v="1659"/>
    <n v="1"/>
    <n v="1"/>
  </r>
  <r>
    <m/>
    <m/>
    <x v="1"/>
    <s v="60942818001007"/>
    <n v="-43.65"/>
    <n v="749"/>
    <n v="1"/>
    <n v="1"/>
  </r>
  <r>
    <m/>
    <m/>
    <x v="1"/>
    <s v="60950439001011"/>
    <n v="-134.1"/>
    <n v="2301"/>
    <n v="1"/>
    <n v="1"/>
  </r>
  <r>
    <m/>
    <m/>
    <x v="1"/>
    <s v="61063646001001"/>
    <n v="-1.28"/>
    <n v="22"/>
    <n v="1"/>
    <n v="1"/>
  </r>
  <r>
    <m/>
    <m/>
    <x v="1"/>
    <s v="61094059001003"/>
    <n v="-30.83"/>
    <n v="529"/>
    <n v="1"/>
    <n v="1"/>
  </r>
  <r>
    <m/>
    <m/>
    <x v="1"/>
    <s v="61096024001009"/>
    <n v="-37.71"/>
    <n v="647"/>
    <n v="1"/>
    <n v="1"/>
  </r>
  <r>
    <m/>
    <m/>
    <x v="1"/>
    <s v="61184365001007"/>
    <n v="-50.24"/>
    <n v="862"/>
    <n v="1"/>
    <n v="1"/>
  </r>
  <r>
    <m/>
    <m/>
    <x v="1"/>
    <s v="61201741003001"/>
    <n v="-34.5"/>
    <n v="592"/>
    <n v="1"/>
    <n v="1"/>
  </r>
  <r>
    <m/>
    <m/>
    <x v="1"/>
    <s v="61237473001001"/>
    <n v="-52.28"/>
    <n v="897"/>
    <n v="1"/>
    <n v="1"/>
  </r>
  <r>
    <m/>
    <m/>
    <x v="1"/>
    <s v="61241854001001"/>
    <n v="-38.06"/>
    <n v="653"/>
    <n v="1"/>
    <n v="1"/>
  </r>
  <r>
    <m/>
    <m/>
    <x v="1"/>
    <s v="61254120001004"/>
    <n v="-11.42"/>
    <n v="196"/>
    <n v="1"/>
    <n v="1"/>
  </r>
  <r>
    <m/>
    <m/>
    <x v="1"/>
    <s v="61309008001005"/>
    <n v="-19.64"/>
    <n v="337"/>
    <n v="1"/>
    <n v="1"/>
  </r>
  <r>
    <m/>
    <m/>
    <x v="1"/>
    <s v="61446494004008"/>
    <n v="-15.39"/>
    <n v="264"/>
    <n v="1"/>
    <n v="1"/>
  </r>
  <r>
    <m/>
    <m/>
    <x v="1"/>
    <s v="61647293001003"/>
    <n v="-36.479999999999997"/>
    <n v="626"/>
    <n v="1"/>
    <n v="1"/>
  </r>
  <r>
    <m/>
    <m/>
    <x v="1"/>
    <s v="61725151001005"/>
    <n v="-4.3099999999999996"/>
    <n v="74"/>
    <n v="1"/>
    <n v="1"/>
  </r>
  <r>
    <m/>
    <m/>
    <x v="1"/>
    <s v="61935568001001"/>
    <n v="-5.48"/>
    <n v="94"/>
    <n v="1"/>
    <n v="1"/>
  </r>
  <r>
    <m/>
    <m/>
    <x v="1"/>
    <s v="62065609001001"/>
    <n v="-62.18"/>
    <n v="1067"/>
    <n v="1"/>
    <n v="1"/>
  </r>
  <r>
    <m/>
    <m/>
    <x v="1"/>
    <s v="62148084003001"/>
    <n v="-21.62"/>
    <n v="371"/>
    <n v="1"/>
    <n v="1"/>
  </r>
  <r>
    <m/>
    <m/>
    <x v="1"/>
    <s v="62235479001001"/>
    <n v="-24.48"/>
    <n v="420"/>
    <n v="1"/>
    <n v="1"/>
  </r>
  <r>
    <m/>
    <m/>
    <x v="1"/>
    <s v="62296705003003"/>
    <n v="-95.29"/>
    <n v="1635"/>
    <n v="1"/>
    <n v="1"/>
  </r>
  <r>
    <m/>
    <m/>
    <x v="1"/>
    <s v="62360104001003"/>
    <n v="-89.11"/>
    <n v="1529"/>
    <n v="1"/>
    <n v="1"/>
  </r>
  <r>
    <m/>
    <m/>
    <x v="1"/>
    <s v="62483712001004"/>
    <n v="-20.92"/>
    <n v="359"/>
    <n v="1"/>
    <n v="1"/>
  </r>
  <r>
    <m/>
    <m/>
    <x v="1"/>
    <s v="62495514001001"/>
    <n v="-28.85"/>
    <n v="495"/>
    <n v="1"/>
    <n v="1"/>
  </r>
  <r>
    <m/>
    <m/>
    <x v="1"/>
    <s v="62610781001004"/>
    <n v="-48.66"/>
    <n v="835"/>
    <n v="1"/>
    <n v="1"/>
  </r>
  <r>
    <m/>
    <m/>
    <x v="1"/>
    <s v="62615155002001"/>
    <n v="-49.19"/>
    <n v="844"/>
    <n v="1"/>
    <n v="1"/>
  </r>
  <r>
    <m/>
    <m/>
    <x v="1"/>
    <s v="62620561001002"/>
    <n v="-37.880000000000003"/>
    <n v="650"/>
    <n v="1"/>
    <n v="1"/>
  </r>
  <r>
    <m/>
    <m/>
    <x v="1"/>
    <s v="62682462001001"/>
    <n v="-121.86"/>
    <n v="2091"/>
    <n v="1"/>
    <n v="1"/>
  </r>
  <r>
    <m/>
    <m/>
    <x v="1"/>
    <s v="62712929001001"/>
    <n v="-17.89"/>
    <n v="307"/>
    <n v="1"/>
    <n v="1"/>
  </r>
  <r>
    <m/>
    <m/>
    <x v="1"/>
    <s v="62746326001001"/>
    <n v="-11.95"/>
    <n v="205"/>
    <n v="1"/>
    <n v="1"/>
  </r>
  <r>
    <m/>
    <m/>
    <x v="1"/>
    <s v="62780064001001"/>
    <n v="-40.33"/>
    <n v="692"/>
    <n v="1"/>
    <n v="1"/>
  </r>
  <r>
    <m/>
    <m/>
    <x v="1"/>
    <s v="62820845001004"/>
    <n v="-53.62"/>
    <n v="920"/>
    <n v="1"/>
    <n v="1"/>
  </r>
  <r>
    <m/>
    <m/>
    <x v="1"/>
    <s v="62852130001002"/>
    <n v="-0.52"/>
    <n v="9"/>
    <n v="1"/>
    <n v="1"/>
  </r>
  <r>
    <m/>
    <m/>
    <x v="1"/>
    <s v="62855144002003"/>
    <n v="-51.52"/>
    <n v="884"/>
    <n v="1"/>
    <n v="1"/>
  </r>
  <r>
    <m/>
    <m/>
    <x v="1"/>
    <s v="63178902001002"/>
    <n v="-19.82"/>
    <n v="340"/>
    <n v="1"/>
    <n v="1"/>
  </r>
  <r>
    <m/>
    <m/>
    <x v="1"/>
    <s v="63202392001004"/>
    <n v="-13.29"/>
    <n v="228"/>
    <n v="1"/>
    <n v="1"/>
  </r>
  <r>
    <m/>
    <m/>
    <x v="1"/>
    <s v="63257498001003"/>
    <n v="-72.849999999999994"/>
    <n v="1250"/>
    <n v="1"/>
    <n v="1"/>
  </r>
  <r>
    <m/>
    <m/>
    <x v="1"/>
    <s v="63278864002003"/>
    <n v="-58.28"/>
    <n v="1000"/>
    <n v="1"/>
    <n v="1"/>
  </r>
  <r>
    <m/>
    <m/>
    <x v="1"/>
    <s v="63329115001002"/>
    <n v="-22.96"/>
    <n v="394"/>
    <n v="1"/>
    <n v="1"/>
  </r>
  <r>
    <m/>
    <m/>
    <x v="1"/>
    <s v="63369349002003"/>
    <n v="-30.71"/>
    <n v="527"/>
    <n v="1"/>
    <n v="1"/>
  </r>
  <r>
    <m/>
    <m/>
    <x v="1"/>
    <s v="63473902002001"/>
    <n v="-29.9"/>
    <n v="513"/>
    <n v="1"/>
    <n v="1"/>
  </r>
  <r>
    <m/>
    <m/>
    <x v="1"/>
    <s v="63843169001005"/>
    <n v="-42.43"/>
    <n v="728"/>
    <n v="1"/>
    <n v="1"/>
  </r>
  <r>
    <m/>
    <m/>
    <x v="1"/>
    <s v="63847291001002"/>
    <n v="-63.53"/>
    <n v="1090"/>
    <n v="1"/>
    <n v="1"/>
  </r>
  <r>
    <m/>
    <m/>
    <x v="1"/>
    <s v="63889252001008"/>
    <n v="-35.67"/>
    <n v="612"/>
    <n v="1"/>
    <n v="1"/>
  </r>
  <r>
    <m/>
    <m/>
    <x v="1"/>
    <s v="63974376001003"/>
    <n v="-41.38"/>
    <n v="710"/>
    <n v="1"/>
    <n v="1"/>
  </r>
  <r>
    <m/>
    <m/>
    <x v="1"/>
    <s v="64092233001001"/>
    <n v="-66.61"/>
    <n v="1143"/>
    <n v="1"/>
    <n v="1"/>
  </r>
  <r>
    <m/>
    <m/>
    <x v="1"/>
    <s v="64133260001001"/>
    <n v="-21.62"/>
    <n v="371"/>
    <n v="1"/>
    <n v="1"/>
  </r>
  <r>
    <m/>
    <m/>
    <x v="1"/>
    <s v="64277366004001"/>
    <n v="-53.21"/>
    <n v="913"/>
    <n v="1"/>
    <n v="1"/>
  </r>
  <r>
    <m/>
    <m/>
    <x v="1"/>
    <s v="64306926001001"/>
    <n v="-83.17"/>
    <n v="1427"/>
    <n v="1"/>
    <n v="1"/>
  </r>
  <r>
    <m/>
    <m/>
    <x v="1"/>
    <s v="64727466001007"/>
    <n v="-65.39"/>
    <n v="1122"/>
    <n v="1"/>
    <n v="1"/>
  </r>
  <r>
    <m/>
    <m/>
    <x v="1"/>
    <s v="64787221002001"/>
    <n v="-42.31"/>
    <n v="726"/>
    <n v="1"/>
    <n v="1"/>
  </r>
  <r>
    <m/>
    <m/>
    <x v="1"/>
    <s v="64947999002003"/>
    <n v="-117.73"/>
    <n v="2020"/>
    <n v="1"/>
    <n v="1"/>
  </r>
  <r>
    <m/>
    <m/>
    <x v="1"/>
    <s v="64960542001013"/>
    <n v="-24.54"/>
    <n v="421"/>
    <n v="1"/>
    <n v="1"/>
  </r>
  <r>
    <m/>
    <m/>
    <x v="1"/>
    <s v="65047530001001"/>
    <n v="-77.63"/>
    <n v="1332"/>
    <n v="1"/>
    <n v="1"/>
  </r>
  <r>
    <m/>
    <m/>
    <x v="1"/>
    <s v="65303114002001"/>
    <n v="-45.34"/>
    <n v="778"/>
    <n v="1"/>
    <n v="1"/>
  </r>
  <r>
    <m/>
    <m/>
    <x v="1"/>
    <s v="65349971001003"/>
    <n v="-32.17"/>
    <n v="552"/>
    <n v="1"/>
    <n v="1"/>
  </r>
  <r>
    <m/>
    <m/>
    <x v="1"/>
    <s v="65500085001007"/>
    <n v="-47.32"/>
    <n v="812"/>
    <n v="1"/>
    <n v="1"/>
  </r>
  <r>
    <m/>
    <m/>
    <x v="1"/>
    <s v="65501585001005"/>
    <n v="-25.06"/>
    <n v="430"/>
    <n v="1"/>
    <n v="1"/>
  </r>
  <r>
    <m/>
    <m/>
    <x v="1"/>
    <s v="65509711001003"/>
    <n v="-45.69"/>
    <n v="784"/>
    <n v="1"/>
    <n v="1"/>
  </r>
  <r>
    <m/>
    <m/>
    <x v="1"/>
    <s v="65773806002003"/>
    <n v="-14.69"/>
    <n v="252"/>
    <n v="1"/>
    <n v="1"/>
  </r>
  <r>
    <m/>
    <m/>
    <x v="1"/>
    <s v="66052105002003"/>
    <n v="-112.42"/>
    <n v="1929"/>
    <n v="1"/>
    <n v="1"/>
  </r>
  <r>
    <m/>
    <m/>
    <x v="1"/>
    <s v="66083905003006"/>
    <n v="-8.1"/>
    <n v="139"/>
    <n v="1"/>
    <n v="1"/>
  </r>
  <r>
    <m/>
    <m/>
    <x v="1"/>
    <s v="66094656001008"/>
    <n v="-84.27"/>
    <n v="1446"/>
    <n v="1"/>
    <n v="1"/>
  </r>
  <r>
    <m/>
    <m/>
    <x v="1"/>
    <s v="66166298003001"/>
    <n v="-66.67"/>
    <n v="1144"/>
    <n v="1"/>
    <n v="1"/>
  </r>
  <r>
    <m/>
    <m/>
    <x v="1"/>
    <s v="66310272001003"/>
    <n v="-50.76"/>
    <n v="871"/>
    <n v="1"/>
    <n v="1"/>
  </r>
  <r>
    <m/>
    <m/>
    <x v="1"/>
    <s v="66322585001001"/>
    <n v="-25.06"/>
    <n v="430"/>
    <n v="1"/>
    <n v="1"/>
  </r>
  <r>
    <m/>
    <m/>
    <x v="1"/>
    <s v="66382381001001"/>
    <n v="-33.630000000000003"/>
    <n v="577"/>
    <n v="1"/>
    <n v="1"/>
  </r>
  <r>
    <m/>
    <m/>
    <x v="1"/>
    <s v="66421133001001"/>
    <n v="-30.13"/>
    <n v="517"/>
    <n v="1"/>
    <n v="1"/>
  </r>
  <r>
    <m/>
    <m/>
    <x v="1"/>
    <s v="66438713001009"/>
    <n v="-48.49"/>
    <n v="832"/>
    <n v="1"/>
    <n v="1"/>
  </r>
  <r>
    <m/>
    <m/>
    <x v="1"/>
    <s v="66455859001001"/>
    <n v="-29.61"/>
    <n v="508"/>
    <n v="1"/>
    <n v="1"/>
  </r>
  <r>
    <m/>
    <m/>
    <x v="1"/>
    <s v="66541721002006"/>
    <n v="-111.2"/>
    <n v="1908"/>
    <n v="1"/>
    <n v="1"/>
  </r>
  <r>
    <m/>
    <m/>
    <x v="1"/>
    <s v="66753430001001"/>
    <n v="-89.87"/>
    <n v="1542"/>
    <n v="1"/>
    <n v="1"/>
  </r>
  <r>
    <m/>
    <m/>
    <x v="1"/>
    <s v="66777400001001"/>
    <n v="-5.83"/>
    <n v="100"/>
    <n v="1"/>
    <n v="1"/>
  </r>
  <r>
    <m/>
    <m/>
    <x v="1"/>
    <s v="66793225001004"/>
    <n v="-3.44"/>
    <n v="59"/>
    <n v="1"/>
    <n v="1"/>
  </r>
  <r>
    <m/>
    <m/>
    <x v="1"/>
    <s v="66795559006001"/>
    <n v="-19.170000000000002"/>
    <n v="329"/>
    <n v="1"/>
    <n v="1"/>
  </r>
  <r>
    <m/>
    <m/>
    <x v="1"/>
    <s v="66842259001003"/>
    <n v="-61.08"/>
    <n v="1048"/>
    <n v="1"/>
    <n v="1"/>
  </r>
  <r>
    <m/>
    <m/>
    <x v="1"/>
    <s v="67052660001005"/>
    <n v="-39.51"/>
    <n v="678"/>
    <n v="1"/>
    <n v="1"/>
  </r>
  <r>
    <m/>
    <m/>
    <x v="1"/>
    <s v="67083125001001"/>
    <n v="-41.5"/>
    <n v="712"/>
    <n v="1"/>
    <n v="1"/>
  </r>
  <r>
    <m/>
    <m/>
    <x v="1"/>
    <s v="67318625001003"/>
    <n v="-0.82"/>
    <n v="14"/>
    <n v="1"/>
    <n v="1"/>
  </r>
  <r>
    <m/>
    <m/>
    <x v="1"/>
    <s v="67456537001003"/>
    <n v="-7.11"/>
    <n v="122"/>
    <n v="1"/>
    <n v="1"/>
  </r>
  <r>
    <m/>
    <m/>
    <x v="1"/>
    <s v="67552852001001"/>
    <n v="-33.39"/>
    <n v="573"/>
    <n v="1"/>
    <n v="1"/>
  </r>
  <r>
    <m/>
    <m/>
    <x v="1"/>
    <s v="67553373001003"/>
    <n v="-10.02"/>
    <n v="172"/>
    <n v="1"/>
    <n v="1"/>
  </r>
  <r>
    <m/>
    <m/>
    <x v="1"/>
    <s v="67667059003001"/>
    <n v="-31.12"/>
    <n v="534"/>
    <n v="1"/>
    <n v="1"/>
  </r>
  <r>
    <m/>
    <m/>
    <x v="1"/>
    <s v="67722017001004"/>
    <n v="-47.96"/>
    <n v="823"/>
    <n v="1"/>
    <n v="1"/>
  </r>
  <r>
    <m/>
    <m/>
    <x v="1"/>
    <s v="67844298001011"/>
    <n v="-6.88"/>
    <n v="118"/>
    <n v="1"/>
    <n v="1"/>
  </r>
  <r>
    <m/>
    <m/>
    <x v="1"/>
    <s v="67994603001007"/>
    <n v="-58.57"/>
    <n v="1005"/>
    <n v="1"/>
    <n v="1"/>
  </r>
  <r>
    <m/>
    <m/>
    <x v="1"/>
    <s v="68039419001001"/>
    <n v="-54.43"/>
    <n v="934"/>
    <n v="1"/>
    <n v="1"/>
  </r>
  <r>
    <m/>
    <m/>
    <x v="1"/>
    <s v="68121160001009"/>
    <n v="-20.86"/>
    <n v="358"/>
    <n v="1"/>
    <n v="1"/>
  </r>
  <r>
    <m/>
    <m/>
    <x v="1"/>
    <s v="68329341001003"/>
    <n v="-20.98"/>
    <n v="360"/>
    <n v="1"/>
    <n v="1"/>
  </r>
  <r>
    <m/>
    <m/>
    <x v="1"/>
    <s v="68441476001005"/>
    <n v="-53.5"/>
    <n v="918"/>
    <n v="1"/>
    <n v="1"/>
  </r>
  <r>
    <m/>
    <m/>
    <x v="1"/>
    <s v="68468118001001"/>
    <n v="-30.71"/>
    <n v="527"/>
    <n v="1"/>
    <n v="1"/>
  </r>
  <r>
    <m/>
    <m/>
    <x v="1"/>
    <s v="68497807001010"/>
    <n v="-13.75"/>
    <n v="236"/>
    <n v="1"/>
    <n v="1"/>
  </r>
  <r>
    <m/>
    <m/>
    <x v="1"/>
    <s v="68520131001002"/>
    <n v="-14.51"/>
    <n v="249"/>
    <n v="1"/>
    <n v="1"/>
  </r>
  <r>
    <m/>
    <m/>
    <x v="1"/>
    <s v="68540315001002"/>
    <n v="-51.64"/>
    <n v="886"/>
    <n v="1"/>
    <n v="1"/>
  </r>
  <r>
    <m/>
    <m/>
    <x v="1"/>
    <s v="68561006001001"/>
    <n v="-51.05"/>
    <n v="876"/>
    <n v="1"/>
    <n v="1"/>
  </r>
  <r>
    <m/>
    <m/>
    <x v="1"/>
    <s v="68616474001006"/>
    <n v="-42.08"/>
    <n v="722"/>
    <n v="1"/>
    <n v="1"/>
  </r>
  <r>
    <m/>
    <m/>
    <x v="1"/>
    <s v="68667346001005"/>
    <n v="-123.15"/>
    <n v="2113"/>
    <n v="1"/>
    <n v="1"/>
  </r>
  <r>
    <m/>
    <m/>
    <x v="1"/>
    <s v="68732877001001"/>
    <n v="-16.55"/>
    <n v="284"/>
    <n v="1"/>
    <n v="1"/>
  </r>
  <r>
    <m/>
    <m/>
    <x v="1"/>
    <s v="68747880001001"/>
    <n v="-67.02"/>
    <n v="1150"/>
    <n v="1"/>
    <n v="1"/>
  </r>
  <r>
    <m/>
    <m/>
    <x v="1"/>
    <s v="68769952001001"/>
    <n v="-10.61"/>
    <n v="182"/>
    <n v="1"/>
    <n v="1"/>
  </r>
  <r>
    <m/>
    <m/>
    <x v="1"/>
    <s v="68803965001003"/>
    <n v="-57.99"/>
    <n v="995"/>
    <n v="1"/>
    <n v="1"/>
  </r>
  <r>
    <m/>
    <m/>
    <x v="1"/>
    <s v="68928083001002"/>
    <n v="-91.73"/>
    <n v="1574"/>
    <n v="1"/>
    <n v="1"/>
  </r>
  <r>
    <m/>
    <m/>
    <x v="1"/>
    <s v="68940427001001"/>
    <n v="-49.6"/>
    <n v="851"/>
    <n v="1"/>
    <n v="1"/>
  </r>
  <r>
    <m/>
    <m/>
    <x v="1"/>
    <s v="69106756001007"/>
    <n v="-61.43"/>
    <n v="1054"/>
    <n v="1"/>
    <n v="1"/>
  </r>
  <r>
    <m/>
    <m/>
    <x v="1"/>
    <s v="69227176002002"/>
    <n v="-25.18"/>
    <n v="432"/>
    <n v="1"/>
    <n v="1"/>
  </r>
  <r>
    <m/>
    <m/>
    <x v="1"/>
    <s v="69358446001002"/>
    <n v="-44.35"/>
    <n v="761"/>
    <n v="1"/>
    <n v="1"/>
  </r>
  <r>
    <m/>
    <m/>
    <x v="1"/>
    <s v="69359447001001"/>
    <n v="-25.64"/>
    <n v="440"/>
    <n v="1"/>
    <n v="1"/>
  </r>
  <r>
    <m/>
    <m/>
    <x v="1"/>
    <s v="69455470002001"/>
    <n v="-89.93"/>
    <n v="1543"/>
    <n v="1"/>
    <n v="1"/>
  </r>
  <r>
    <m/>
    <m/>
    <x v="1"/>
    <s v="69499962002001"/>
    <n v="-38.58"/>
    <n v="662"/>
    <n v="1"/>
    <n v="1"/>
  </r>
  <r>
    <m/>
    <m/>
    <x v="1"/>
    <s v="69512047001001"/>
    <n v="-38.06"/>
    <n v="653"/>
    <n v="1"/>
    <n v="1"/>
  </r>
  <r>
    <m/>
    <m/>
    <x v="1"/>
    <s v="69552058001004"/>
    <n v="-1.34"/>
    <n v="23"/>
    <n v="1"/>
    <n v="1"/>
  </r>
  <r>
    <m/>
    <m/>
    <x v="1"/>
    <s v="69552955001005"/>
    <n v="-28.21"/>
    <n v="484"/>
    <n v="1"/>
    <n v="1"/>
  </r>
  <r>
    <m/>
    <m/>
    <x v="1"/>
    <s v="69604500006004"/>
    <n v="-16.27"/>
    <n v="279"/>
    <n v="2"/>
    <n v="1"/>
  </r>
  <r>
    <m/>
    <m/>
    <x v="1"/>
    <s v="69726976003004"/>
    <n v="-14.16"/>
    <n v="243"/>
    <n v="1"/>
    <n v="1"/>
  </r>
  <r>
    <m/>
    <m/>
    <x v="1"/>
    <s v="69758949003003"/>
    <n v="-1.28"/>
    <n v="22"/>
    <n v="1"/>
    <n v="1"/>
  </r>
  <r>
    <m/>
    <m/>
    <x v="1"/>
    <s v="69795270001001"/>
    <n v="-39.159999999999997"/>
    <n v="672"/>
    <n v="1"/>
    <n v="1"/>
  </r>
  <r>
    <m/>
    <m/>
    <x v="1"/>
    <s v="69970331001001"/>
    <n v="-0.12"/>
    <n v="2"/>
    <n v="1"/>
    <n v="1"/>
  </r>
  <r>
    <m/>
    <m/>
    <x v="1"/>
    <s v="69991566001003"/>
    <n v="-60.44"/>
    <n v="1037"/>
    <n v="1"/>
    <n v="1"/>
  </r>
  <r>
    <m/>
    <m/>
    <x v="1"/>
    <s v="69998683001001"/>
    <n v="-48.02"/>
    <n v="824"/>
    <n v="1"/>
    <n v="1"/>
  </r>
  <r>
    <m/>
    <m/>
    <x v="1"/>
    <s v="70196025004001"/>
    <n v="-23.14"/>
    <n v="397"/>
    <n v="1"/>
    <n v="1"/>
  </r>
  <r>
    <m/>
    <m/>
    <x v="1"/>
    <s v="70201020001001"/>
    <n v="-2.4500000000000002"/>
    <n v="42"/>
    <n v="1"/>
    <n v="1"/>
  </r>
  <r>
    <m/>
    <m/>
    <x v="1"/>
    <s v="70280362001003"/>
    <n v="-24.36"/>
    <n v="418"/>
    <n v="1"/>
    <n v="1"/>
  </r>
  <r>
    <m/>
    <m/>
    <x v="1"/>
    <s v="70376367001003"/>
    <n v="-20.399999999999999"/>
    <n v="350"/>
    <n v="1"/>
    <n v="1"/>
  </r>
  <r>
    <m/>
    <m/>
    <x v="1"/>
    <s v="70581364003001"/>
    <n v="-55.13"/>
    <n v="946"/>
    <n v="1"/>
    <n v="1"/>
  </r>
  <r>
    <m/>
    <m/>
    <x v="1"/>
    <s v="70593073001001"/>
    <n v="-35.67"/>
    <n v="612"/>
    <n v="1"/>
    <n v="1"/>
  </r>
  <r>
    <m/>
    <m/>
    <x v="1"/>
    <s v="70655150003010"/>
    <n v="-90.86"/>
    <n v="1559"/>
    <n v="1"/>
    <n v="1"/>
  </r>
  <r>
    <m/>
    <m/>
    <x v="1"/>
    <s v="70723544001001"/>
    <n v="-29.78"/>
    <n v="511"/>
    <n v="1"/>
    <n v="1"/>
  </r>
  <r>
    <m/>
    <m/>
    <x v="1"/>
    <s v="70804751001005"/>
    <n v="-13.05"/>
    <n v="224"/>
    <n v="1"/>
    <n v="1"/>
  </r>
  <r>
    <m/>
    <m/>
    <x v="1"/>
    <s v="71274320003001"/>
    <n v="-78.56"/>
    <n v="1348"/>
    <n v="1"/>
    <n v="1"/>
  </r>
  <r>
    <m/>
    <m/>
    <x v="1"/>
    <s v="71278625001004"/>
    <n v="-71.8"/>
    <n v="1232"/>
    <n v="1"/>
    <n v="1"/>
  </r>
  <r>
    <m/>
    <m/>
    <x v="1"/>
    <s v="71391581006001"/>
    <n v="-74.540000000000006"/>
    <n v="1279"/>
    <n v="1"/>
    <n v="1"/>
  </r>
  <r>
    <m/>
    <m/>
    <x v="1"/>
    <s v="71499386001002"/>
    <n v="-47.32"/>
    <n v="812"/>
    <n v="1"/>
    <n v="1"/>
  </r>
  <r>
    <m/>
    <m/>
    <x v="1"/>
    <s v="71669535001005"/>
    <n v="-25.82"/>
    <n v="443"/>
    <n v="1"/>
    <n v="1"/>
  </r>
  <r>
    <m/>
    <m/>
    <x v="1"/>
    <s v="71769014004002"/>
    <n v="-47.73"/>
    <n v="819"/>
    <n v="1"/>
    <n v="1"/>
  </r>
  <r>
    <m/>
    <m/>
    <x v="1"/>
    <s v="71787084002001"/>
    <n v="-13.23"/>
    <n v="227"/>
    <n v="1"/>
    <n v="1"/>
  </r>
  <r>
    <m/>
    <m/>
    <x v="1"/>
    <s v="71796224001001"/>
    <n v="-45.57"/>
    <n v="782"/>
    <n v="1"/>
    <n v="1"/>
  </r>
  <r>
    <m/>
    <m/>
    <x v="1"/>
    <s v="71997040001001"/>
    <n v="-47.44"/>
    <n v="814"/>
    <n v="1"/>
    <n v="1"/>
  </r>
  <r>
    <m/>
    <m/>
    <x v="1"/>
    <s v="72146811001001"/>
    <n v="-1.81"/>
    <n v="31"/>
    <n v="1"/>
    <n v="1"/>
  </r>
  <r>
    <m/>
    <m/>
    <x v="1"/>
    <s v="72261639001001"/>
    <n v="-107.41"/>
    <n v="1843"/>
    <n v="1"/>
    <n v="1"/>
  </r>
  <r>
    <m/>
    <m/>
    <x v="1"/>
    <s v="72331837001003"/>
    <n v="-61.49"/>
    <n v="1055"/>
    <n v="1"/>
    <n v="1"/>
  </r>
  <r>
    <m/>
    <m/>
    <x v="1"/>
    <s v="72395550003001"/>
    <n v="-132.65"/>
    <n v="2276"/>
    <n v="1"/>
    <n v="1"/>
  </r>
  <r>
    <m/>
    <m/>
    <x v="1"/>
    <s v="72489193001001"/>
    <n v="-26.17"/>
    <n v="449"/>
    <n v="1"/>
    <n v="1"/>
  </r>
  <r>
    <m/>
    <m/>
    <x v="1"/>
    <s v="72521223001005"/>
    <n v="-4.72"/>
    <n v="81"/>
    <n v="1"/>
    <n v="1"/>
  </r>
  <r>
    <m/>
    <m/>
    <x v="1"/>
    <s v="72621276001001"/>
    <n v="-17.25"/>
    <n v="296"/>
    <n v="1"/>
    <n v="1"/>
  </r>
  <r>
    <m/>
    <m/>
    <x v="1"/>
    <s v="72648295001001"/>
    <n v="-27.1"/>
    <n v="465"/>
    <n v="1"/>
    <n v="1"/>
  </r>
  <r>
    <m/>
    <m/>
    <x v="1"/>
    <s v="72649617001013"/>
    <n v="-25.88"/>
    <n v="444"/>
    <n v="1"/>
    <n v="1"/>
  </r>
  <r>
    <m/>
    <m/>
    <x v="1"/>
    <s v="72706959001001"/>
    <n v="-25.58"/>
    <n v="439"/>
    <n v="1"/>
    <n v="1"/>
  </r>
  <r>
    <m/>
    <m/>
    <x v="1"/>
    <s v="72814767001001"/>
    <n v="-73.84"/>
    <n v="1267"/>
    <n v="1"/>
    <n v="1"/>
  </r>
  <r>
    <m/>
    <m/>
    <x v="1"/>
    <s v="72998390003001"/>
    <n v="-20.57"/>
    <n v="353"/>
    <n v="1"/>
    <n v="1"/>
  </r>
  <r>
    <m/>
    <m/>
    <x v="1"/>
    <s v="73047819001006"/>
    <n v="-39.81"/>
    <n v="683"/>
    <n v="1"/>
    <n v="1"/>
  </r>
  <r>
    <m/>
    <m/>
    <x v="1"/>
    <s v="73073983020001"/>
    <n v="-35.840000000000003"/>
    <n v="615"/>
    <n v="1"/>
    <n v="1"/>
  </r>
  <r>
    <m/>
    <m/>
    <x v="1"/>
    <s v="73088070001002"/>
    <n v="-9.56"/>
    <n v="164"/>
    <n v="1"/>
    <n v="1"/>
  </r>
  <r>
    <m/>
    <m/>
    <x v="1"/>
    <s v="73099039001001"/>
    <n v="-1.57"/>
    <n v="27"/>
    <n v="1"/>
    <n v="1"/>
  </r>
  <r>
    <m/>
    <m/>
    <x v="1"/>
    <s v="73114048001002"/>
    <n v="-38.409999999999997"/>
    <n v="659"/>
    <n v="1"/>
    <n v="1"/>
  </r>
  <r>
    <m/>
    <m/>
    <x v="1"/>
    <s v="73173555001001"/>
    <n v="-76"/>
    <n v="1304"/>
    <n v="1"/>
    <n v="1"/>
  </r>
  <r>
    <m/>
    <m/>
    <x v="1"/>
    <s v="73220801001001"/>
    <n v="-17.309999999999999"/>
    <n v="297"/>
    <n v="1"/>
    <n v="1"/>
  </r>
  <r>
    <m/>
    <m/>
    <x v="1"/>
    <s v="73258916001001"/>
    <n v="-64.69"/>
    <n v="1110"/>
    <n v="1"/>
    <n v="1"/>
  </r>
  <r>
    <m/>
    <m/>
    <x v="1"/>
    <s v="73355098003007"/>
    <n v="-61.37"/>
    <n v="1053"/>
    <n v="1"/>
    <n v="1"/>
  </r>
  <r>
    <m/>
    <m/>
    <x v="1"/>
    <s v="73416515001001"/>
    <n v="-17.48"/>
    <n v="300"/>
    <n v="1"/>
    <n v="1"/>
  </r>
  <r>
    <m/>
    <m/>
    <x v="1"/>
    <s v="73558422001001"/>
    <n v="-15.62"/>
    <n v="268"/>
    <n v="1"/>
    <n v="1"/>
  </r>
  <r>
    <m/>
    <m/>
    <x v="1"/>
    <s v="73571632001001"/>
    <n v="-28.62"/>
    <n v="491"/>
    <n v="1"/>
    <n v="1"/>
  </r>
  <r>
    <m/>
    <m/>
    <x v="1"/>
    <s v="73774640001002"/>
    <n v="-27.97"/>
    <n v="480"/>
    <n v="1"/>
    <n v="1"/>
  </r>
  <r>
    <m/>
    <m/>
    <x v="1"/>
    <s v="73788624001001"/>
    <n v="-5.89"/>
    <n v="101"/>
    <n v="1"/>
    <n v="1"/>
  </r>
  <r>
    <m/>
    <m/>
    <x v="1"/>
    <s v="73935992001002"/>
    <n v="-97.33"/>
    <n v="1670"/>
    <n v="1"/>
    <n v="1"/>
  </r>
  <r>
    <m/>
    <m/>
    <x v="1"/>
    <s v="73939854001001"/>
    <n v="-5.94"/>
    <n v="102"/>
    <n v="1"/>
    <n v="1"/>
  </r>
  <r>
    <m/>
    <m/>
    <x v="1"/>
    <s v="74022126002001"/>
    <n v="-11.77"/>
    <n v="202"/>
    <n v="1"/>
    <n v="1"/>
  </r>
  <r>
    <m/>
    <m/>
    <x v="1"/>
    <s v="74055933001001"/>
    <n v="-113.12"/>
    <n v="1941"/>
    <n v="1"/>
    <n v="1"/>
  </r>
  <r>
    <m/>
    <m/>
    <x v="1"/>
    <s v="74076340001005"/>
    <n v="-48.14"/>
    <n v="826"/>
    <n v="1"/>
    <n v="1"/>
  </r>
  <r>
    <m/>
    <m/>
    <x v="1"/>
    <s v="74101362001001"/>
    <n v="-59.5"/>
    <n v="1021"/>
    <n v="1"/>
    <n v="1"/>
  </r>
  <r>
    <m/>
    <m/>
    <x v="1"/>
    <s v="74168786004008"/>
    <n v="-28.56"/>
    <n v="490"/>
    <n v="1"/>
    <n v="1"/>
  </r>
  <r>
    <m/>
    <m/>
    <x v="1"/>
    <s v="74228888001001"/>
    <n v="-9.91"/>
    <n v="170"/>
    <n v="1"/>
    <n v="1"/>
  </r>
  <r>
    <m/>
    <m/>
    <x v="1"/>
    <s v="74229049001001"/>
    <n v="-21.56"/>
    <n v="370"/>
    <n v="1"/>
    <n v="1"/>
  </r>
  <r>
    <m/>
    <m/>
    <x v="1"/>
    <s v="74351356002001"/>
    <n v="-75.650000000000006"/>
    <n v="1298"/>
    <n v="1"/>
    <n v="1"/>
  </r>
  <r>
    <m/>
    <m/>
    <x v="1"/>
    <s v="74369035001007"/>
    <n v="-39.75"/>
    <n v="682"/>
    <n v="1"/>
    <n v="1"/>
  </r>
  <r>
    <m/>
    <m/>
    <x v="1"/>
    <s v="74380477001003"/>
    <n v="-24.19"/>
    <n v="415"/>
    <n v="1"/>
    <n v="1"/>
  </r>
  <r>
    <m/>
    <m/>
    <x v="1"/>
    <s v="74386329001002"/>
    <n v="-22.96"/>
    <n v="394"/>
    <n v="1"/>
    <n v="1"/>
  </r>
  <r>
    <m/>
    <m/>
    <x v="1"/>
    <s v="74440719001001"/>
    <n v="-18.649999999999999"/>
    <n v="320"/>
    <n v="1"/>
    <n v="1"/>
  </r>
  <r>
    <m/>
    <m/>
    <x v="1"/>
    <s v="74467874001005"/>
    <n v="-7.17"/>
    <n v="123"/>
    <n v="1"/>
    <n v="1"/>
  </r>
  <r>
    <m/>
    <m/>
    <x v="1"/>
    <s v="74475975001005"/>
    <n v="-13.75"/>
    <n v="236"/>
    <n v="1"/>
    <n v="1"/>
  </r>
  <r>
    <m/>
    <m/>
    <x v="1"/>
    <s v="74529868001012"/>
    <n v="-85.61"/>
    <n v="1469"/>
    <n v="1"/>
    <n v="1"/>
  </r>
  <r>
    <m/>
    <m/>
    <x v="1"/>
    <s v="74613378001005"/>
    <n v="-26.69"/>
    <n v="458"/>
    <n v="1"/>
    <n v="1"/>
  </r>
  <r>
    <m/>
    <m/>
    <x v="1"/>
    <s v="74773751003001"/>
    <n v="-36.950000000000003"/>
    <n v="634"/>
    <n v="1"/>
    <n v="1"/>
  </r>
  <r>
    <m/>
    <m/>
    <x v="1"/>
    <s v="74790154001001"/>
    <n v="-11.6"/>
    <n v="199"/>
    <n v="1"/>
    <n v="1"/>
  </r>
  <r>
    <m/>
    <m/>
    <x v="1"/>
    <s v="74802804001001"/>
    <n v="-41.5"/>
    <n v="712"/>
    <n v="1"/>
    <n v="1"/>
  </r>
  <r>
    <m/>
    <m/>
    <x v="1"/>
    <s v="74897585001003"/>
    <n v="-7.87"/>
    <n v="135"/>
    <n v="1"/>
    <n v="1"/>
  </r>
  <r>
    <m/>
    <m/>
    <x v="1"/>
    <s v="74921730001003"/>
    <n v="-18.07"/>
    <n v="310"/>
    <n v="1"/>
    <n v="1"/>
  </r>
  <r>
    <m/>
    <m/>
    <x v="1"/>
    <s v="74925966001001"/>
    <n v="-51.87"/>
    <n v="890"/>
    <n v="1"/>
    <n v="1"/>
  </r>
  <r>
    <m/>
    <m/>
    <x v="1"/>
    <s v="74965108005007"/>
    <n v="-38.64"/>
    <n v="663"/>
    <n v="1"/>
    <n v="1"/>
  </r>
  <r>
    <m/>
    <m/>
    <x v="1"/>
    <s v="74967292001001"/>
    <n v="-12.12"/>
    <n v="208"/>
    <n v="1"/>
    <n v="1"/>
  </r>
  <r>
    <m/>
    <m/>
    <x v="1"/>
    <s v="75053878001002"/>
    <n v="-4.66"/>
    <n v="80"/>
    <n v="1"/>
    <n v="1"/>
  </r>
  <r>
    <m/>
    <m/>
    <x v="1"/>
    <s v="75076089001006"/>
    <n v="-42.89"/>
    <n v="736"/>
    <n v="1"/>
    <n v="1"/>
  </r>
  <r>
    <m/>
    <m/>
    <x v="1"/>
    <s v="75083574001001"/>
    <n v="-34.090000000000003"/>
    <n v="585"/>
    <n v="1"/>
    <n v="1"/>
  </r>
  <r>
    <m/>
    <m/>
    <x v="1"/>
    <s v="75200298001001"/>
    <n v="-53.03"/>
    <n v="910"/>
    <n v="1"/>
    <n v="1"/>
  </r>
  <r>
    <m/>
    <m/>
    <x v="1"/>
    <s v="75321301001004"/>
    <n v="-26.81"/>
    <n v="460"/>
    <n v="1"/>
    <n v="1"/>
  </r>
  <r>
    <m/>
    <m/>
    <x v="1"/>
    <s v="75518241003003"/>
    <n v="-6.47"/>
    <n v="111"/>
    <n v="1"/>
    <n v="1"/>
  </r>
  <r>
    <m/>
    <m/>
    <x v="1"/>
    <s v="75599421001001"/>
    <n v="-24.65"/>
    <n v="423"/>
    <n v="1"/>
    <n v="1"/>
  </r>
  <r>
    <m/>
    <m/>
    <x v="1"/>
    <s v="75620479001003"/>
    <n v="-32.81"/>
    <n v="563"/>
    <n v="1"/>
    <n v="1"/>
  </r>
  <r>
    <m/>
    <m/>
    <x v="1"/>
    <s v="75764971002001"/>
    <n v="-1.75"/>
    <n v="30"/>
    <n v="1"/>
    <n v="1"/>
  </r>
  <r>
    <m/>
    <m/>
    <x v="1"/>
    <s v="75854409001001"/>
    <n v="-36.54"/>
    <n v="627"/>
    <n v="1"/>
    <n v="1"/>
  </r>
  <r>
    <m/>
    <m/>
    <x v="1"/>
    <s v="75878216001003"/>
    <n v="-23.31"/>
    <n v="400"/>
    <n v="1"/>
    <n v="1"/>
  </r>
  <r>
    <m/>
    <m/>
    <x v="1"/>
    <s v="76033198001011"/>
    <n v="-33.28"/>
    <n v="571"/>
    <n v="1"/>
    <n v="1"/>
  </r>
  <r>
    <m/>
    <m/>
    <x v="1"/>
    <s v="76035247001002"/>
    <n v="-32.64"/>
    <n v="560"/>
    <n v="1"/>
    <n v="1"/>
  </r>
  <r>
    <m/>
    <m/>
    <x v="1"/>
    <s v="76068750001001"/>
    <n v="-9.9700000000000006"/>
    <n v="171"/>
    <n v="1"/>
    <n v="1"/>
  </r>
  <r>
    <m/>
    <m/>
    <x v="1"/>
    <s v="76090392001001"/>
    <n v="-28.85"/>
    <n v="495"/>
    <n v="1"/>
    <n v="1"/>
  </r>
  <r>
    <m/>
    <m/>
    <x v="1"/>
    <s v="76140288001007"/>
    <n v="-13.7"/>
    <n v="235"/>
    <n v="1"/>
    <n v="1"/>
  </r>
  <r>
    <m/>
    <m/>
    <x v="1"/>
    <s v="76156300001003"/>
    <n v="-124.95"/>
    <n v="2144"/>
    <n v="1"/>
    <n v="1"/>
  </r>
  <r>
    <m/>
    <m/>
    <x v="1"/>
    <s v="76204778001006"/>
    <n v="-12.65"/>
    <n v="217"/>
    <n v="1"/>
    <n v="1"/>
  </r>
  <r>
    <m/>
    <m/>
    <x v="1"/>
    <s v="76214834004001"/>
    <n v="-40.04"/>
    <n v="687"/>
    <n v="1"/>
    <n v="1"/>
  </r>
  <r>
    <m/>
    <m/>
    <x v="1"/>
    <s v="76487590001001"/>
    <n v="-39.340000000000003"/>
    <n v="675"/>
    <n v="1"/>
    <n v="1"/>
  </r>
  <r>
    <m/>
    <m/>
    <x v="1"/>
    <s v="76556293001009"/>
    <n v="-4.49"/>
    <n v="77"/>
    <n v="1"/>
    <n v="1"/>
  </r>
  <r>
    <m/>
    <m/>
    <x v="1"/>
    <s v="76557416001001"/>
    <n v="-68.95"/>
    <n v="1183"/>
    <n v="1"/>
    <n v="1"/>
  </r>
  <r>
    <m/>
    <m/>
    <x v="1"/>
    <s v="76563942002004"/>
    <n v="-80.599999999999994"/>
    <n v="1383"/>
    <n v="1"/>
    <n v="1"/>
  </r>
  <r>
    <m/>
    <m/>
    <x v="1"/>
    <s v="76629522001015"/>
    <n v="-63.29"/>
    <n v="1086"/>
    <n v="1"/>
    <n v="1"/>
  </r>
  <r>
    <m/>
    <m/>
    <x v="1"/>
    <s v="76645220002001"/>
    <n v="-61.49"/>
    <n v="1055"/>
    <n v="1"/>
    <n v="1"/>
  </r>
  <r>
    <m/>
    <m/>
    <x v="1"/>
    <s v="76662020001001"/>
    <n v="-29.84"/>
    <n v="512"/>
    <n v="1"/>
    <n v="1"/>
  </r>
  <r>
    <m/>
    <m/>
    <x v="1"/>
    <s v="76681576002009"/>
    <n v="-15.74"/>
    <n v="270"/>
    <n v="1"/>
    <n v="1"/>
  </r>
  <r>
    <m/>
    <m/>
    <x v="1"/>
    <s v="76686982001003"/>
    <n v="-14.69"/>
    <n v="252"/>
    <n v="1"/>
    <n v="1"/>
  </r>
  <r>
    <m/>
    <m/>
    <x v="1"/>
    <s v="76757615001002"/>
    <n v="-13.81"/>
    <n v="237"/>
    <n v="1"/>
    <n v="1"/>
  </r>
  <r>
    <m/>
    <m/>
    <x v="1"/>
    <s v="76812372003003"/>
    <n v="-77.05"/>
    <n v="1322"/>
    <n v="1"/>
    <n v="1"/>
  </r>
  <r>
    <m/>
    <m/>
    <x v="1"/>
    <s v="76821093007001"/>
    <n v="-75.06"/>
    <n v="1288"/>
    <n v="1"/>
    <n v="1"/>
  </r>
  <r>
    <m/>
    <m/>
    <x v="1"/>
    <s v="76842746002015"/>
    <n v="-62.53"/>
    <n v="1073"/>
    <n v="1"/>
    <n v="1"/>
  </r>
  <r>
    <m/>
    <m/>
    <x v="1"/>
    <s v="76903196001004"/>
    <n v="-45.69"/>
    <n v="784"/>
    <n v="1"/>
    <n v="1"/>
  </r>
  <r>
    <m/>
    <m/>
    <x v="1"/>
    <s v="77028105003004"/>
    <n v="-15.33"/>
    <n v="263"/>
    <n v="1"/>
    <n v="1"/>
  </r>
  <r>
    <m/>
    <m/>
    <x v="1"/>
    <s v="77168759001001"/>
    <n v="-53.62"/>
    <n v="920"/>
    <n v="1"/>
    <n v="1"/>
  </r>
  <r>
    <m/>
    <m/>
    <x v="1"/>
    <s v="77330718001007"/>
    <n v="-69.180000000000007"/>
    <n v="1187"/>
    <n v="1"/>
    <n v="1"/>
  </r>
  <r>
    <m/>
    <m/>
    <x v="1"/>
    <s v="77524629001001"/>
    <n v="-39.81"/>
    <n v="683"/>
    <n v="1"/>
    <n v="1"/>
  </r>
  <r>
    <m/>
    <m/>
    <x v="1"/>
    <s v="77650352001001"/>
    <n v="-15.39"/>
    <n v="264"/>
    <n v="1"/>
    <n v="1"/>
  </r>
  <r>
    <m/>
    <m/>
    <x v="1"/>
    <s v="77681333001007"/>
    <n v="-50.82"/>
    <n v="872"/>
    <n v="1"/>
    <n v="1"/>
  </r>
  <r>
    <m/>
    <m/>
    <x v="1"/>
    <s v="77810743001005"/>
    <n v="-43.07"/>
    <n v="739"/>
    <n v="1"/>
    <n v="1"/>
  </r>
  <r>
    <m/>
    <m/>
    <x v="1"/>
    <s v="77834930001003"/>
    <n v="-34.04"/>
    <n v="584"/>
    <n v="1"/>
    <n v="1"/>
  </r>
  <r>
    <m/>
    <m/>
    <x v="1"/>
    <s v="78092750001001"/>
    <n v="-32.75"/>
    <n v="562"/>
    <n v="1"/>
    <n v="1"/>
  </r>
  <r>
    <m/>
    <m/>
    <x v="1"/>
    <s v="78231851001001"/>
    <n v="-41.26"/>
    <n v="708"/>
    <n v="1"/>
    <n v="1"/>
  </r>
  <r>
    <m/>
    <m/>
    <x v="1"/>
    <s v="78319567001011"/>
    <n v="-83.75"/>
    <n v="1437"/>
    <n v="1"/>
    <n v="1"/>
  </r>
  <r>
    <m/>
    <m/>
    <x v="1"/>
    <s v="78378527001001"/>
    <n v="-16.09"/>
    <n v="276"/>
    <n v="1"/>
    <n v="1"/>
  </r>
  <r>
    <m/>
    <m/>
    <x v="1"/>
    <s v="78465175004001"/>
    <n v="-53.5"/>
    <n v="918"/>
    <n v="1"/>
    <n v="1"/>
  </r>
  <r>
    <m/>
    <m/>
    <x v="1"/>
    <s v="78487633001001"/>
    <n v="-39.630000000000003"/>
    <n v="680"/>
    <n v="1"/>
    <n v="1"/>
  </r>
  <r>
    <m/>
    <m/>
    <x v="1"/>
    <s v="78621225002001"/>
    <n v="-78.739999999999995"/>
    <n v="1351"/>
    <n v="1"/>
    <n v="1"/>
  </r>
  <r>
    <m/>
    <m/>
    <x v="1"/>
    <s v="78695215001003"/>
    <n v="-24.71"/>
    <n v="424"/>
    <n v="1"/>
    <n v="1"/>
  </r>
  <r>
    <m/>
    <m/>
    <x v="1"/>
    <s v="78724028001003"/>
    <n v="-2.27"/>
    <n v="39"/>
    <n v="1"/>
    <n v="1"/>
  </r>
  <r>
    <m/>
    <m/>
    <x v="1"/>
    <s v="78902898001016"/>
    <n v="-1.92"/>
    <n v="33"/>
    <n v="1"/>
    <n v="1"/>
  </r>
  <r>
    <m/>
    <m/>
    <x v="1"/>
    <s v="79030418001001"/>
    <n v="-36.89"/>
    <n v="633"/>
    <n v="1"/>
    <n v="1"/>
  </r>
  <r>
    <m/>
    <m/>
    <x v="1"/>
    <s v="79041940001001"/>
    <n v="-7.81"/>
    <n v="134"/>
    <n v="1"/>
    <n v="1"/>
  </r>
  <r>
    <m/>
    <m/>
    <x v="1"/>
    <s v="79143940001001"/>
    <n v="-4.2"/>
    <n v="72"/>
    <n v="1"/>
    <n v="1"/>
  </r>
  <r>
    <m/>
    <m/>
    <x v="1"/>
    <s v="79205630002009"/>
    <n v="-45.75"/>
    <n v="785"/>
    <n v="1"/>
    <n v="1"/>
  </r>
  <r>
    <m/>
    <m/>
    <x v="1"/>
    <s v="79219123001001"/>
    <n v="-24.71"/>
    <n v="424"/>
    <n v="1"/>
    <n v="1"/>
  </r>
  <r>
    <m/>
    <m/>
    <x v="1"/>
    <s v="79229022001003"/>
    <n v="-19.059999999999999"/>
    <n v="327"/>
    <n v="1"/>
    <n v="1"/>
  </r>
  <r>
    <m/>
    <m/>
    <x v="1"/>
    <s v="79306812001001"/>
    <n v="-31.7"/>
    <n v="544"/>
    <n v="1"/>
    <n v="1"/>
  </r>
  <r>
    <m/>
    <m/>
    <x v="1"/>
    <s v="79474986003003"/>
    <n v="-50"/>
    <n v="858"/>
    <n v="1"/>
    <n v="1"/>
  </r>
  <r>
    <m/>
    <m/>
    <x v="1"/>
    <s v="79691093001003"/>
    <n v="-67.489999999999995"/>
    <n v="1158"/>
    <n v="1"/>
    <n v="1"/>
  </r>
  <r>
    <m/>
    <m/>
    <x v="1"/>
    <s v="79790907001005"/>
    <n v="-33.57"/>
    <n v="576"/>
    <n v="1"/>
    <n v="1"/>
  </r>
  <r>
    <m/>
    <m/>
    <x v="1"/>
    <s v="79794330001001"/>
    <n v="-11.07"/>
    <n v="190"/>
    <n v="1"/>
    <n v="1"/>
  </r>
  <r>
    <m/>
    <m/>
    <x v="1"/>
    <s v="79932201001006"/>
    <n v="-24.48"/>
    <n v="420"/>
    <n v="1"/>
    <n v="1"/>
  </r>
  <r>
    <m/>
    <m/>
    <x v="1"/>
    <s v="79985097001001"/>
    <n v="-20.63"/>
    <n v="354"/>
    <n v="1"/>
    <n v="1"/>
  </r>
  <r>
    <m/>
    <m/>
    <x v="1"/>
    <s v="80157270001001"/>
    <n v="-37.299999999999997"/>
    <n v="640"/>
    <n v="1"/>
    <n v="1"/>
  </r>
  <r>
    <m/>
    <m/>
    <x v="1"/>
    <s v="80214838001001"/>
    <n v="-44.58"/>
    <n v="765"/>
    <n v="1"/>
    <n v="1"/>
  </r>
  <r>
    <m/>
    <m/>
    <x v="1"/>
    <s v="80220416001005"/>
    <n v="-55.25"/>
    <n v="948"/>
    <n v="1"/>
    <n v="1"/>
  </r>
  <r>
    <m/>
    <m/>
    <x v="1"/>
    <s v="80534796005001"/>
    <n v="-83.46"/>
    <n v="1432"/>
    <n v="1"/>
    <n v="1"/>
  </r>
  <r>
    <m/>
    <m/>
    <x v="1"/>
    <s v="80635643001001"/>
    <n v="-43.36"/>
    <n v="744"/>
    <n v="1"/>
    <n v="1"/>
  </r>
  <r>
    <m/>
    <m/>
    <x v="1"/>
    <s v="80668896002003"/>
    <n v="-6.82"/>
    <n v="117"/>
    <n v="1"/>
    <n v="1"/>
  </r>
  <r>
    <m/>
    <m/>
    <x v="1"/>
    <s v="80921920002005"/>
    <n v="-58.45"/>
    <n v="1003"/>
    <n v="1"/>
    <n v="1"/>
  </r>
  <r>
    <m/>
    <m/>
    <x v="1"/>
    <s v="80926951003001"/>
    <n v="-24.89"/>
    <n v="427"/>
    <n v="1"/>
    <n v="1"/>
  </r>
  <r>
    <m/>
    <m/>
    <x v="1"/>
    <s v="80965084001001"/>
    <n v="-42.89"/>
    <n v="736"/>
    <n v="1"/>
    <n v="1"/>
  </r>
  <r>
    <m/>
    <m/>
    <x v="1"/>
    <s v="81005861001001"/>
    <n v="-20.92"/>
    <n v="359"/>
    <n v="1"/>
    <n v="1"/>
  </r>
  <r>
    <m/>
    <m/>
    <x v="1"/>
    <s v="81092601001005"/>
    <n v="-53.91"/>
    <n v="925"/>
    <n v="1"/>
    <n v="1"/>
  </r>
  <r>
    <m/>
    <m/>
    <x v="1"/>
    <s v="81118246001009"/>
    <n v="-40.450000000000003"/>
    <n v="694"/>
    <n v="1"/>
    <n v="1"/>
  </r>
  <r>
    <m/>
    <m/>
    <x v="1"/>
    <s v="81197766002001"/>
    <n v="-3.21"/>
    <n v="55"/>
    <n v="1"/>
    <n v="1"/>
  </r>
  <r>
    <m/>
    <m/>
    <x v="1"/>
    <s v="81276857002001"/>
    <n v="-43.59"/>
    <n v="748"/>
    <n v="1"/>
    <n v="1"/>
  </r>
  <r>
    <m/>
    <m/>
    <x v="1"/>
    <s v="81390168001001"/>
    <n v="-11.01"/>
    <n v="189"/>
    <n v="1"/>
    <n v="1"/>
  </r>
  <r>
    <m/>
    <m/>
    <x v="1"/>
    <s v="81445174003001"/>
    <n v="-49.25"/>
    <n v="845"/>
    <n v="1"/>
    <n v="1"/>
  </r>
  <r>
    <m/>
    <m/>
    <x v="1"/>
    <s v="81473774001001"/>
    <n v="-31.06"/>
    <n v="533"/>
    <n v="1"/>
    <n v="1"/>
  </r>
  <r>
    <m/>
    <m/>
    <x v="1"/>
    <s v="81498585001005"/>
    <n v="-16.78"/>
    <n v="288"/>
    <n v="1"/>
    <n v="1"/>
  </r>
  <r>
    <m/>
    <m/>
    <x v="1"/>
    <s v="81645123001001"/>
    <n v="-91.85"/>
    <n v="1576"/>
    <n v="1"/>
    <n v="1"/>
  </r>
  <r>
    <m/>
    <m/>
    <x v="1"/>
    <s v="81725915001001"/>
    <n v="-119.07"/>
    <n v="2043"/>
    <n v="1"/>
    <n v="1"/>
  </r>
  <r>
    <m/>
    <m/>
    <x v="1"/>
    <s v="81762889001004"/>
    <n v="-22.85"/>
    <n v="392"/>
    <n v="1"/>
    <n v="1"/>
  </r>
  <r>
    <m/>
    <m/>
    <x v="1"/>
    <s v="81908653002007"/>
    <n v="-42.78"/>
    <n v="734"/>
    <n v="1"/>
    <n v="1"/>
  </r>
  <r>
    <m/>
    <m/>
    <x v="1"/>
    <s v="81910607001001"/>
    <n v="-39.92"/>
    <n v="685"/>
    <n v="1"/>
    <n v="1"/>
  </r>
  <r>
    <m/>
    <m/>
    <x v="1"/>
    <s v="81917999001003"/>
    <n v="-27.16"/>
    <n v="466"/>
    <n v="1"/>
    <n v="1"/>
  </r>
  <r>
    <m/>
    <m/>
    <x v="1"/>
    <s v="81944374001004"/>
    <n v="-42.6"/>
    <n v="731"/>
    <n v="1"/>
    <n v="1"/>
  </r>
  <r>
    <m/>
    <m/>
    <x v="1"/>
    <s v="81956135001004"/>
    <n v="-39.69"/>
    <n v="681"/>
    <n v="1"/>
    <n v="1"/>
  </r>
  <r>
    <m/>
    <m/>
    <x v="1"/>
    <s v="82153211002003"/>
    <n v="-43.13"/>
    <n v="740"/>
    <n v="1"/>
    <n v="1"/>
  </r>
  <r>
    <m/>
    <m/>
    <x v="1"/>
    <s v="82216737013001"/>
    <n v="-80.25"/>
    <n v="1377"/>
    <n v="1"/>
    <n v="1"/>
  </r>
  <r>
    <m/>
    <m/>
    <x v="1"/>
    <s v="82225464001008"/>
    <n v="-45.92"/>
    <n v="788"/>
    <n v="1"/>
    <n v="1"/>
  </r>
  <r>
    <m/>
    <m/>
    <x v="1"/>
    <s v="82233435001002"/>
    <n v="-17.37"/>
    <n v="298"/>
    <n v="1"/>
    <n v="1"/>
  </r>
  <r>
    <m/>
    <m/>
    <x v="1"/>
    <s v="82239948003003"/>
    <n v="-43.83"/>
    <n v="752"/>
    <n v="1"/>
    <n v="1"/>
  </r>
  <r>
    <m/>
    <m/>
    <x v="1"/>
    <s v="82307326003001"/>
    <n v="-40.39"/>
    <n v="693"/>
    <n v="1"/>
    <n v="1"/>
  </r>
  <r>
    <m/>
    <m/>
    <x v="1"/>
    <s v="82314056001001"/>
    <n v="-19.12"/>
    <n v="328"/>
    <n v="1"/>
    <n v="1"/>
  </r>
  <r>
    <m/>
    <m/>
    <x v="1"/>
    <s v="82385356001001"/>
    <n v="-52.86"/>
    <n v="907"/>
    <n v="1"/>
    <n v="1"/>
  </r>
  <r>
    <m/>
    <m/>
    <x v="1"/>
    <s v="82551362001003"/>
    <n v="-6.35"/>
    <n v="109"/>
    <n v="1"/>
    <n v="1"/>
  </r>
  <r>
    <m/>
    <m/>
    <x v="1"/>
    <s v="82804369003001"/>
    <n v="-8.92"/>
    <n v="153"/>
    <n v="1"/>
    <n v="1"/>
  </r>
  <r>
    <m/>
    <m/>
    <x v="1"/>
    <s v="82980447003001"/>
    <n v="-11.01"/>
    <n v="189"/>
    <n v="1"/>
    <n v="1"/>
  </r>
  <r>
    <m/>
    <m/>
    <x v="1"/>
    <s v="83053405001004"/>
    <n v="-4.3099999999999996"/>
    <n v="74"/>
    <n v="1"/>
    <n v="1"/>
  </r>
  <r>
    <m/>
    <m/>
    <x v="1"/>
    <s v="83061885001003"/>
    <n v="-42.19"/>
    <n v="724"/>
    <n v="1"/>
    <n v="1"/>
  </r>
  <r>
    <m/>
    <m/>
    <x v="1"/>
    <s v="83216854001001"/>
    <n v="-39.28"/>
    <n v="674"/>
    <n v="1"/>
    <n v="1"/>
  </r>
  <r>
    <m/>
    <m/>
    <x v="1"/>
    <s v="83341239005003"/>
    <n v="-9.67"/>
    <n v="166"/>
    <n v="1"/>
    <n v="1"/>
  </r>
  <r>
    <m/>
    <m/>
    <x v="1"/>
    <s v="83389146001010"/>
    <n v="-55.6"/>
    <n v="954"/>
    <n v="1"/>
    <n v="1"/>
  </r>
  <r>
    <m/>
    <m/>
    <x v="1"/>
    <s v="83390138001003"/>
    <n v="-1.86"/>
    <n v="32"/>
    <n v="1"/>
    <n v="1"/>
  </r>
  <r>
    <m/>
    <m/>
    <x v="1"/>
    <s v="83416228001001"/>
    <n v="-108.52"/>
    <n v="1862"/>
    <n v="1"/>
    <n v="1"/>
  </r>
  <r>
    <m/>
    <m/>
    <x v="1"/>
    <s v="83464000001003"/>
    <n v="-44.99"/>
    <n v="772"/>
    <n v="1"/>
    <n v="1"/>
  </r>
  <r>
    <m/>
    <m/>
    <x v="1"/>
    <s v="83489581005001"/>
    <n v="-34.15"/>
    <n v="586"/>
    <n v="1"/>
    <n v="1"/>
  </r>
  <r>
    <m/>
    <m/>
    <x v="1"/>
    <s v="83512091001003"/>
    <n v="-1.34"/>
    <n v="23"/>
    <n v="1"/>
    <n v="1"/>
  </r>
  <r>
    <m/>
    <m/>
    <x v="1"/>
    <s v="83588017002001"/>
    <n v="-39.92"/>
    <n v="685"/>
    <n v="1"/>
    <n v="1"/>
  </r>
  <r>
    <m/>
    <m/>
    <x v="1"/>
    <s v="83665512001003"/>
    <n v="-104.73"/>
    <n v="1797"/>
    <n v="1"/>
    <n v="1"/>
  </r>
  <r>
    <m/>
    <m/>
    <x v="1"/>
    <s v="83743311001001"/>
    <n v="-137.37"/>
    <n v="2357"/>
    <n v="1"/>
    <n v="1"/>
  </r>
  <r>
    <m/>
    <m/>
    <x v="1"/>
    <s v="83746831001005"/>
    <n v="-18.649999999999999"/>
    <n v="320"/>
    <n v="1"/>
    <n v="1"/>
  </r>
  <r>
    <m/>
    <m/>
    <x v="1"/>
    <s v="83801335001005"/>
    <n v="-82.7"/>
    <n v="1419"/>
    <n v="1"/>
    <n v="1"/>
  </r>
  <r>
    <m/>
    <m/>
    <x v="1"/>
    <s v="83824088001011"/>
    <n v="-68.709999999999994"/>
    <n v="1179"/>
    <n v="1"/>
    <n v="1"/>
  </r>
  <r>
    <m/>
    <m/>
    <x v="1"/>
    <s v="83855211001006"/>
    <n v="-19.350000000000001"/>
    <n v="332"/>
    <n v="1"/>
    <n v="1"/>
  </r>
  <r>
    <m/>
    <m/>
    <x v="1"/>
    <s v="83940883001001"/>
    <n v="-26.46"/>
    <n v="454"/>
    <n v="1"/>
    <n v="1"/>
  </r>
  <r>
    <m/>
    <m/>
    <x v="1"/>
    <s v="84108570003004"/>
    <n v="-9.15"/>
    <n v="157"/>
    <n v="1"/>
    <n v="1"/>
  </r>
  <r>
    <m/>
    <m/>
    <x v="1"/>
    <s v="84749539001001"/>
    <n v="-21.16"/>
    <n v="363"/>
    <n v="1"/>
    <n v="1"/>
  </r>
  <r>
    <m/>
    <m/>
    <x v="1"/>
    <s v="84877125001007"/>
    <n v="-0.17"/>
    <n v="3"/>
    <n v="1"/>
    <n v="1"/>
  </r>
  <r>
    <m/>
    <m/>
    <x v="1"/>
    <s v="84933960001005"/>
    <n v="-4.0199999999999996"/>
    <n v="69"/>
    <n v="1"/>
    <n v="1"/>
  </r>
  <r>
    <m/>
    <m/>
    <x v="1"/>
    <s v="85004567002010"/>
    <n v="-45.98"/>
    <n v="789"/>
    <n v="1"/>
    <n v="1"/>
  </r>
  <r>
    <m/>
    <m/>
    <x v="1"/>
    <s v="85052617001010"/>
    <n v="-8.98"/>
    <n v="154"/>
    <n v="1"/>
    <n v="1"/>
  </r>
  <r>
    <m/>
    <m/>
    <x v="1"/>
    <s v="85194732001005"/>
    <n v="-90.22"/>
    <n v="1548"/>
    <n v="1"/>
    <n v="1"/>
  </r>
  <r>
    <m/>
    <m/>
    <x v="1"/>
    <s v="85242909001001"/>
    <n v="-11.71"/>
    <n v="201"/>
    <n v="1"/>
    <n v="1"/>
  </r>
  <r>
    <m/>
    <m/>
    <x v="1"/>
    <s v="85292110001006"/>
    <n v="-41.44"/>
    <n v="711"/>
    <n v="1"/>
    <n v="1"/>
  </r>
  <r>
    <m/>
    <m/>
    <x v="1"/>
    <s v="85307977001005"/>
    <n v="-61.72"/>
    <n v="1059"/>
    <n v="1"/>
    <n v="1"/>
  </r>
  <r>
    <m/>
    <m/>
    <x v="1"/>
    <s v="85360992003005"/>
    <n v="-83.22"/>
    <n v="1428"/>
    <n v="1"/>
    <n v="1"/>
  </r>
  <r>
    <m/>
    <m/>
    <x v="1"/>
    <s v="85465302001001"/>
    <n v="-9.56"/>
    <n v="164"/>
    <n v="1"/>
    <n v="1"/>
  </r>
  <r>
    <m/>
    <m/>
    <x v="1"/>
    <s v="85553648001002"/>
    <n v="-47.15"/>
    <n v="809"/>
    <n v="1"/>
    <n v="1"/>
  </r>
  <r>
    <m/>
    <m/>
    <x v="1"/>
    <s v="85767727002001"/>
    <n v="-57.93"/>
    <n v="994"/>
    <n v="1"/>
    <n v="1"/>
  </r>
  <r>
    <m/>
    <m/>
    <x v="1"/>
    <s v="85854485001003"/>
    <n v="-18.59"/>
    <n v="319"/>
    <n v="1"/>
    <n v="1"/>
  </r>
  <r>
    <m/>
    <m/>
    <x v="1"/>
    <s v="85980006001001"/>
    <n v="-18.3"/>
    <n v="314"/>
    <n v="1"/>
    <n v="1"/>
  </r>
  <r>
    <m/>
    <m/>
    <x v="1"/>
    <s v="86028893001003"/>
    <n v="-32.11"/>
    <n v="551"/>
    <n v="1"/>
    <n v="1"/>
  </r>
  <r>
    <m/>
    <m/>
    <x v="1"/>
    <s v="86131823008001"/>
    <n v="-44.23"/>
    <n v="759"/>
    <n v="1"/>
    <n v="1"/>
  </r>
  <r>
    <m/>
    <m/>
    <x v="1"/>
    <s v="86390002001003"/>
    <n v="-48.49"/>
    <n v="832"/>
    <n v="1"/>
    <n v="1"/>
  </r>
  <r>
    <m/>
    <m/>
    <x v="1"/>
    <s v="86397266002003"/>
    <n v="-33.04"/>
    <n v="567"/>
    <n v="1"/>
    <n v="1"/>
  </r>
  <r>
    <m/>
    <m/>
    <x v="1"/>
    <s v="86415123001005"/>
    <n v="-92.9"/>
    <n v="1594"/>
    <n v="1"/>
    <n v="1"/>
  </r>
  <r>
    <m/>
    <m/>
    <x v="1"/>
    <s v="86437804001005"/>
    <n v="-4.66"/>
    <n v="80"/>
    <n v="1"/>
    <n v="1"/>
  </r>
  <r>
    <m/>
    <m/>
    <x v="1"/>
    <s v="86557042001001"/>
    <n v="-103.27"/>
    <n v="1772"/>
    <n v="1"/>
    <n v="1"/>
  </r>
  <r>
    <m/>
    <m/>
    <x v="1"/>
    <s v="86649855002001"/>
    <n v="-30.6"/>
    <n v="525"/>
    <n v="1"/>
    <n v="1"/>
  </r>
  <r>
    <m/>
    <m/>
    <x v="1"/>
    <s v="86725672001005"/>
    <n v="-6.7"/>
    <n v="115"/>
    <n v="1"/>
    <n v="1"/>
  </r>
  <r>
    <m/>
    <m/>
    <x v="1"/>
    <s v="86736871001001"/>
    <n v="-51.05"/>
    <n v="876"/>
    <n v="1"/>
    <n v="1"/>
  </r>
  <r>
    <m/>
    <m/>
    <x v="1"/>
    <s v="86773366001001"/>
    <n v="-50.06"/>
    <n v="859"/>
    <n v="1"/>
    <n v="1"/>
  </r>
  <r>
    <m/>
    <m/>
    <x v="1"/>
    <s v="86786094001006"/>
    <n v="-31.12"/>
    <n v="534"/>
    <n v="1"/>
    <n v="1"/>
  </r>
  <r>
    <m/>
    <m/>
    <x v="1"/>
    <s v="86970391001001"/>
    <n v="-33.630000000000003"/>
    <n v="577"/>
    <n v="1"/>
    <n v="1"/>
  </r>
  <r>
    <m/>
    <m/>
    <x v="1"/>
    <s v="86983732001001"/>
    <n v="-67.430000000000007"/>
    <n v="1157"/>
    <n v="1"/>
    <n v="1"/>
  </r>
  <r>
    <m/>
    <m/>
    <x v="1"/>
    <s v="87014077001006"/>
    <n v="-62.18"/>
    <n v="1067"/>
    <n v="1"/>
    <n v="1"/>
  </r>
  <r>
    <m/>
    <m/>
    <x v="1"/>
    <s v="87032981001001"/>
    <n v="-21.1"/>
    <n v="362"/>
    <n v="1"/>
    <n v="1"/>
  </r>
  <r>
    <m/>
    <m/>
    <x v="1"/>
    <s v="87070925001002"/>
    <n v="-42.08"/>
    <n v="722"/>
    <n v="1"/>
    <n v="1"/>
  </r>
  <r>
    <m/>
    <m/>
    <x v="1"/>
    <s v="87361385001003"/>
    <n v="-59.8"/>
    <n v="1026"/>
    <n v="1"/>
    <n v="1"/>
  </r>
  <r>
    <m/>
    <m/>
    <x v="1"/>
    <s v="87380869001001"/>
    <n v="-19.47"/>
    <n v="334"/>
    <n v="1"/>
    <n v="1"/>
  </r>
  <r>
    <m/>
    <m/>
    <x v="1"/>
    <s v="87418750001001"/>
    <n v="-82.82"/>
    <n v="1421"/>
    <n v="1"/>
    <n v="1"/>
  </r>
  <r>
    <m/>
    <m/>
    <x v="1"/>
    <s v="87551644002001"/>
    <n v="-15.21"/>
    <n v="261"/>
    <n v="1"/>
    <n v="1"/>
  </r>
  <r>
    <m/>
    <m/>
    <x v="1"/>
    <s v="87582546001007"/>
    <n v="-53.33"/>
    <n v="915"/>
    <n v="1"/>
    <n v="1"/>
  </r>
  <r>
    <m/>
    <m/>
    <x v="1"/>
    <s v="87604227002002"/>
    <n v="-36.020000000000003"/>
    <n v="618"/>
    <n v="1"/>
    <n v="1"/>
  </r>
  <r>
    <m/>
    <m/>
    <x v="1"/>
    <s v="87791029001001"/>
    <n v="-60.61"/>
    <n v="1040"/>
    <n v="1"/>
    <n v="1"/>
  </r>
  <r>
    <m/>
    <m/>
    <x v="1"/>
    <s v="87810851004003"/>
    <n v="-79.73"/>
    <n v="1368"/>
    <n v="1"/>
    <n v="1"/>
  </r>
  <r>
    <m/>
    <m/>
    <x v="1"/>
    <s v="87815744002003"/>
    <n v="-66.849999999999994"/>
    <n v="1147"/>
    <n v="1"/>
    <n v="1"/>
  </r>
  <r>
    <m/>
    <m/>
    <x v="1"/>
    <s v="87958644001001"/>
    <n v="-46.22"/>
    <n v="793"/>
    <n v="1"/>
    <n v="1"/>
  </r>
  <r>
    <m/>
    <m/>
    <x v="1"/>
    <s v="88059297001001"/>
    <n v="-7.52"/>
    <n v="129"/>
    <n v="1"/>
    <n v="1"/>
  </r>
  <r>
    <m/>
    <m/>
    <x v="1"/>
    <s v="88129242004001"/>
    <n v="-68.540000000000006"/>
    <n v="1176"/>
    <n v="1"/>
    <n v="1"/>
  </r>
  <r>
    <m/>
    <m/>
    <x v="1"/>
    <s v="88179789001004"/>
    <n v="-55.72"/>
    <n v="956"/>
    <n v="1"/>
    <n v="1"/>
  </r>
  <r>
    <m/>
    <m/>
    <x v="1"/>
    <s v="88298279001006"/>
    <n v="-1.17"/>
    <n v="20"/>
    <n v="1"/>
    <n v="1"/>
  </r>
  <r>
    <m/>
    <m/>
    <x v="1"/>
    <s v="88386366001006"/>
    <n v="-28.32"/>
    <n v="486"/>
    <n v="1"/>
    <n v="1"/>
  </r>
  <r>
    <m/>
    <m/>
    <x v="1"/>
    <s v="88585974001001"/>
    <n v="-78.680000000000007"/>
    <n v="1350"/>
    <n v="1"/>
    <n v="1"/>
  </r>
  <r>
    <m/>
    <m/>
    <x v="1"/>
    <s v="88600032002001"/>
    <n v="-16.55"/>
    <n v="284"/>
    <n v="1"/>
    <n v="1"/>
  </r>
  <r>
    <m/>
    <m/>
    <x v="1"/>
    <s v="88695058001001"/>
    <n v="-57.06"/>
    <n v="979"/>
    <n v="1"/>
    <n v="1"/>
  </r>
  <r>
    <m/>
    <m/>
    <x v="1"/>
    <s v="88706120001001"/>
    <n v="-36.479999999999997"/>
    <n v="626"/>
    <n v="1"/>
    <n v="1"/>
  </r>
  <r>
    <m/>
    <m/>
    <x v="1"/>
    <s v="88737240001001"/>
    <n v="-61.43"/>
    <n v="1054"/>
    <n v="1"/>
    <n v="1"/>
  </r>
  <r>
    <m/>
    <m/>
    <x v="1"/>
    <s v="88756758002012"/>
    <n v="-5.83"/>
    <n v="100"/>
    <n v="1"/>
    <n v="1"/>
  </r>
  <r>
    <m/>
    <m/>
    <x v="1"/>
    <s v="88772979001005"/>
    <n v="-5.19"/>
    <n v="89"/>
    <n v="1"/>
    <n v="1"/>
  </r>
  <r>
    <m/>
    <m/>
    <x v="1"/>
    <s v="88797325001004"/>
    <n v="-34.21"/>
    <n v="587"/>
    <n v="1"/>
    <n v="1"/>
  </r>
  <r>
    <m/>
    <m/>
    <x v="1"/>
    <s v="88822809001005"/>
    <n v="-46.39"/>
    <n v="796"/>
    <n v="1"/>
    <n v="1"/>
  </r>
  <r>
    <m/>
    <m/>
    <x v="1"/>
    <s v="88854433001001"/>
    <n v="-28.62"/>
    <n v="491"/>
    <n v="1"/>
    <n v="1"/>
  </r>
  <r>
    <m/>
    <m/>
    <x v="1"/>
    <s v="88891691002011"/>
    <n v="-98.73"/>
    <n v="1694"/>
    <n v="1"/>
    <n v="1"/>
  </r>
  <r>
    <m/>
    <m/>
    <x v="1"/>
    <s v="89037466001001"/>
    <n v="-2.62"/>
    <n v="45"/>
    <n v="1"/>
    <n v="1"/>
  </r>
  <r>
    <m/>
    <m/>
    <x v="1"/>
    <s v="89128925001003"/>
    <n v="-34.79"/>
    <n v="597"/>
    <n v="1"/>
    <n v="1"/>
  </r>
  <r>
    <m/>
    <m/>
    <x v="1"/>
    <s v="89224302002001"/>
    <n v="-57.76"/>
    <n v="991"/>
    <n v="1"/>
    <n v="1"/>
  </r>
  <r>
    <m/>
    <m/>
    <x v="1"/>
    <s v="89432491001006"/>
    <n v="-59.91"/>
    <n v="1028"/>
    <n v="1"/>
    <n v="1"/>
  </r>
  <r>
    <m/>
    <m/>
    <x v="1"/>
    <s v="89456905001003"/>
    <n v="-8.4499999999999993"/>
    <n v="145"/>
    <n v="1"/>
    <n v="1"/>
  </r>
  <r>
    <m/>
    <m/>
    <x v="1"/>
    <s v="89597176008001"/>
    <n v="-77.86"/>
    <n v="1336"/>
    <n v="1"/>
    <n v="1"/>
  </r>
  <r>
    <m/>
    <m/>
    <x v="1"/>
    <s v="89636629004001"/>
    <n v="-24.54"/>
    <n v="421"/>
    <n v="1"/>
    <n v="1"/>
  </r>
  <r>
    <m/>
    <m/>
    <x v="1"/>
    <s v="89718018001006"/>
    <n v="-13.29"/>
    <n v="228"/>
    <n v="1"/>
    <n v="1"/>
  </r>
  <r>
    <m/>
    <m/>
    <x v="1"/>
    <s v="89747832004001"/>
    <n v="-31.65"/>
    <n v="543"/>
    <n v="1"/>
    <n v="1"/>
  </r>
  <r>
    <m/>
    <m/>
    <x v="1"/>
    <s v="89769832001004"/>
    <n v="-22.03"/>
    <n v="378"/>
    <n v="1"/>
    <n v="1"/>
  </r>
  <r>
    <m/>
    <m/>
    <x v="1"/>
    <s v="89805136001001"/>
    <n v="-115.86"/>
    <n v="1988"/>
    <n v="1"/>
    <n v="1"/>
  </r>
  <r>
    <m/>
    <m/>
    <x v="1"/>
    <s v="89843398001002"/>
    <n v="-34.68"/>
    <n v="595"/>
    <n v="1"/>
    <n v="1"/>
  </r>
  <r>
    <m/>
    <m/>
    <x v="1"/>
    <s v="89870121001001"/>
    <n v="-44.29"/>
    <n v="760"/>
    <n v="1"/>
    <n v="1"/>
  </r>
  <r>
    <m/>
    <m/>
    <x v="1"/>
    <s v="89962058001001"/>
    <n v="-60.44"/>
    <n v="1037"/>
    <n v="1"/>
    <n v="1"/>
  </r>
  <r>
    <m/>
    <m/>
    <x v="1"/>
    <s v="89999378009001"/>
    <n v="-25.18"/>
    <n v="432"/>
    <n v="1"/>
    <n v="1"/>
  </r>
  <r>
    <m/>
    <m/>
    <x v="1"/>
    <s v="90115475001003"/>
    <n v="-10.49"/>
    <n v="180"/>
    <n v="1"/>
    <n v="1"/>
  </r>
  <r>
    <m/>
    <m/>
    <x v="1"/>
    <s v="90223411001018"/>
    <n v="-12.88"/>
    <n v="221"/>
    <n v="1"/>
    <n v="1"/>
  </r>
  <r>
    <m/>
    <m/>
    <x v="1"/>
    <s v="90244033001001"/>
    <n v="-2.4500000000000002"/>
    <n v="42"/>
    <n v="1"/>
    <n v="1"/>
  </r>
  <r>
    <m/>
    <m/>
    <x v="1"/>
    <s v="90376961001005"/>
    <n v="-32.11"/>
    <n v="551"/>
    <n v="1"/>
    <n v="1"/>
  </r>
  <r>
    <m/>
    <m/>
    <x v="1"/>
    <s v="90381406001001"/>
    <n v="-36.020000000000003"/>
    <n v="618"/>
    <n v="1"/>
    <n v="1"/>
  </r>
  <r>
    <m/>
    <m/>
    <x v="1"/>
    <s v="90421000005001"/>
    <n v="-138.94"/>
    <n v="2384"/>
    <n v="1"/>
    <n v="1"/>
  </r>
  <r>
    <m/>
    <m/>
    <x v="1"/>
    <s v="90453061001001"/>
    <n v="-53.44"/>
    <n v="917"/>
    <n v="1"/>
    <n v="1"/>
  </r>
  <r>
    <m/>
    <m/>
    <x v="1"/>
    <s v="90516824001003"/>
    <n v="-55.54"/>
    <n v="953"/>
    <n v="1"/>
    <n v="1"/>
  </r>
  <r>
    <m/>
    <m/>
    <x v="1"/>
    <s v="90718040001001"/>
    <n v="-26.23"/>
    <n v="450"/>
    <n v="1"/>
    <n v="1"/>
  </r>
  <r>
    <m/>
    <m/>
    <x v="1"/>
    <s v="90725573001001"/>
    <n v="-31.47"/>
    <n v="540"/>
    <n v="1"/>
    <n v="1"/>
  </r>
  <r>
    <m/>
    <m/>
    <x v="1"/>
    <s v="90729873001001"/>
    <n v="-0.93"/>
    <n v="16"/>
    <n v="1"/>
    <n v="1"/>
  </r>
  <r>
    <m/>
    <m/>
    <x v="1"/>
    <s v="90740546001001"/>
    <n v="-31.65"/>
    <n v="543"/>
    <n v="1"/>
    <n v="1"/>
  </r>
  <r>
    <m/>
    <m/>
    <x v="1"/>
    <s v="90803817001003"/>
    <n v="-162.72"/>
    <n v="2792"/>
    <n v="1"/>
    <n v="1"/>
  </r>
  <r>
    <m/>
    <m/>
    <x v="1"/>
    <s v="90822240011001"/>
    <n v="-83.34"/>
    <n v="1430"/>
    <n v="1"/>
    <n v="1"/>
  </r>
  <r>
    <m/>
    <m/>
    <x v="1"/>
    <s v="90875802001001"/>
    <n v="-6.47"/>
    <n v="111"/>
    <n v="1"/>
    <n v="1"/>
  </r>
  <r>
    <m/>
    <m/>
    <x v="1"/>
    <s v="91168263001001"/>
    <n v="-48.26"/>
    <n v="828"/>
    <n v="1"/>
    <n v="1"/>
  </r>
  <r>
    <m/>
    <m/>
    <x v="1"/>
    <s v="91237440001003"/>
    <n v="-35.96"/>
    <n v="617"/>
    <n v="1"/>
    <n v="1"/>
  </r>
  <r>
    <m/>
    <m/>
    <x v="1"/>
    <s v="91344047001008"/>
    <n v="-30.83"/>
    <n v="529"/>
    <n v="1"/>
    <n v="1"/>
  </r>
  <r>
    <m/>
    <m/>
    <x v="1"/>
    <s v="91428706001001"/>
    <n v="-15.56"/>
    <n v="267"/>
    <n v="1"/>
    <n v="1"/>
  </r>
  <r>
    <m/>
    <m/>
    <x v="1"/>
    <s v="91441345001005"/>
    <n v="-86.25"/>
    <n v="1480"/>
    <n v="1"/>
    <n v="1"/>
  </r>
  <r>
    <m/>
    <m/>
    <x v="1"/>
    <s v="91634459001003"/>
    <n v="-38.06"/>
    <n v="653"/>
    <n v="1"/>
    <n v="1"/>
  </r>
  <r>
    <m/>
    <m/>
    <x v="1"/>
    <s v="91659027002001"/>
    <n v="-72.73"/>
    <n v="1248"/>
    <n v="1"/>
    <n v="1"/>
  </r>
  <r>
    <m/>
    <m/>
    <x v="1"/>
    <s v="91686493001001"/>
    <n v="-7.81"/>
    <n v="134"/>
    <n v="1"/>
    <n v="1"/>
  </r>
  <r>
    <m/>
    <m/>
    <x v="1"/>
    <s v="91694661001009"/>
    <n v="-22.5"/>
    <n v="386"/>
    <n v="1"/>
    <n v="1"/>
  </r>
  <r>
    <m/>
    <m/>
    <x v="1"/>
    <s v="91750195001001"/>
    <n v="-25.24"/>
    <n v="433"/>
    <n v="1"/>
    <n v="1"/>
  </r>
  <r>
    <m/>
    <m/>
    <x v="1"/>
    <s v="91774675002002"/>
    <n v="-58.86"/>
    <n v="1010"/>
    <n v="1"/>
    <n v="1"/>
  </r>
  <r>
    <m/>
    <m/>
    <x v="1"/>
    <s v="91808671001002"/>
    <n v="-87.89"/>
    <n v="1508"/>
    <n v="1"/>
    <n v="1"/>
  </r>
  <r>
    <m/>
    <m/>
    <x v="1"/>
    <s v="91895802001005"/>
    <n v="-11.48"/>
    <n v="197"/>
    <n v="1"/>
    <n v="1"/>
  </r>
  <r>
    <m/>
    <m/>
    <x v="1"/>
    <s v="92016111001005"/>
    <n v="-46.45"/>
    <n v="797"/>
    <n v="1"/>
    <n v="1"/>
  </r>
  <r>
    <m/>
    <m/>
    <x v="1"/>
    <s v="92041740001001"/>
    <n v="-30.77"/>
    <n v="528"/>
    <n v="1"/>
    <n v="1"/>
  </r>
  <r>
    <m/>
    <m/>
    <x v="1"/>
    <s v="92103491001001"/>
    <n v="-36.08"/>
    <n v="619"/>
    <n v="1"/>
    <n v="1"/>
  </r>
  <r>
    <m/>
    <m/>
    <x v="1"/>
    <s v="92139692001003"/>
    <n v="-171.58"/>
    <n v="2944"/>
    <n v="1"/>
    <n v="1"/>
  </r>
  <r>
    <m/>
    <m/>
    <x v="1"/>
    <s v="92227325006001"/>
    <n v="-139.63999999999999"/>
    <n v="2396"/>
    <n v="1"/>
    <n v="1"/>
  </r>
  <r>
    <m/>
    <m/>
    <x v="1"/>
    <s v="92297397002002"/>
    <n v="-35.96"/>
    <n v="617"/>
    <n v="1"/>
    <n v="1"/>
  </r>
  <r>
    <m/>
    <m/>
    <x v="1"/>
    <s v="92360208002001"/>
    <n v="-49.71"/>
    <n v="853"/>
    <n v="1"/>
    <n v="1"/>
  </r>
  <r>
    <m/>
    <m/>
    <x v="1"/>
    <s v="92399017001001"/>
    <n v="-20.92"/>
    <n v="359"/>
    <n v="1"/>
    <n v="1"/>
  </r>
  <r>
    <m/>
    <m/>
    <x v="1"/>
    <s v="92474314001001"/>
    <n v="-1.05"/>
    <n v="18"/>
    <n v="1"/>
    <n v="1"/>
  </r>
  <r>
    <m/>
    <m/>
    <x v="1"/>
    <s v="92487973001001"/>
    <n v="-29.61"/>
    <n v="508"/>
    <n v="1"/>
    <n v="1"/>
  </r>
  <r>
    <m/>
    <m/>
    <x v="1"/>
    <s v="92612665001005"/>
    <n v="-6.76"/>
    <n v="116"/>
    <n v="1"/>
    <n v="1"/>
  </r>
  <r>
    <m/>
    <m/>
    <x v="1"/>
    <s v="92643112001001"/>
    <n v="-9.27"/>
    <n v="159"/>
    <n v="1"/>
    <n v="1"/>
  </r>
  <r>
    <m/>
    <m/>
    <x v="1"/>
    <s v="92665096001001"/>
    <n v="-83.92"/>
    <n v="1440"/>
    <n v="1"/>
    <n v="1"/>
  </r>
  <r>
    <m/>
    <m/>
    <x v="1"/>
    <s v="92749025001003"/>
    <n v="-14.86"/>
    <n v="255"/>
    <n v="1"/>
    <n v="1"/>
  </r>
  <r>
    <m/>
    <m/>
    <x v="1"/>
    <s v="92873766001005"/>
    <n v="-29.78"/>
    <n v="511"/>
    <n v="1"/>
    <n v="1"/>
  </r>
  <r>
    <m/>
    <m/>
    <x v="1"/>
    <s v="92962587001001"/>
    <n v="-89.46"/>
    <n v="1535"/>
    <n v="1"/>
    <n v="1"/>
  </r>
  <r>
    <m/>
    <m/>
    <x v="1"/>
    <s v="92973520001003"/>
    <n v="-14.28"/>
    <n v="245"/>
    <n v="1"/>
    <n v="1"/>
  </r>
  <r>
    <m/>
    <m/>
    <x v="1"/>
    <s v="93109578002001"/>
    <n v="-7.46"/>
    <n v="128"/>
    <n v="1"/>
    <n v="1"/>
  </r>
  <r>
    <m/>
    <m/>
    <x v="1"/>
    <s v="93164650004007"/>
    <n v="-39.81"/>
    <n v="683"/>
    <n v="1"/>
    <n v="1"/>
  </r>
  <r>
    <m/>
    <m/>
    <x v="1"/>
    <s v="93304243002003"/>
    <n v="-241.28"/>
    <n v="4140"/>
    <n v="1"/>
    <n v="1"/>
  </r>
  <r>
    <m/>
    <m/>
    <x v="1"/>
    <s v="93368775001001"/>
    <n v="-11.19"/>
    <n v="192"/>
    <n v="1"/>
    <n v="1"/>
  </r>
  <r>
    <m/>
    <m/>
    <x v="1"/>
    <s v="93477594002001"/>
    <n v="-18.53"/>
    <n v="318"/>
    <n v="1"/>
    <n v="1"/>
  </r>
  <r>
    <m/>
    <m/>
    <x v="1"/>
    <s v="93594305001005"/>
    <n v="-15.09"/>
    <n v="259"/>
    <n v="1"/>
    <n v="1"/>
  </r>
  <r>
    <m/>
    <m/>
    <x v="1"/>
    <s v="93626551001002"/>
    <n v="-1.69"/>
    <n v="29"/>
    <n v="1"/>
    <n v="1"/>
  </r>
  <r>
    <m/>
    <m/>
    <x v="1"/>
    <s v="93737043001001"/>
    <n v="-5.89"/>
    <n v="101"/>
    <n v="1"/>
    <n v="1"/>
  </r>
  <r>
    <m/>
    <m/>
    <x v="1"/>
    <s v="93813014002001"/>
    <n v="-58.86"/>
    <n v="1010"/>
    <n v="1"/>
    <n v="1"/>
  </r>
  <r>
    <m/>
    <m/>
    <x v="1"/>
    <s v="93981586001007"/>
    <n v="-77.510000000000005"/>
    <n v="1330"/>
    <n v="1"/>
    <n v="1"/>
  </r>
  <r>
    <m/>
    <m/>
    <x v="1"/>
    <s v="94072499001003"/>
    <n v="-95.93"/>
    <n v="1646"/>
    <n v="1"/>
    <n v="1"/>
  </r>
  <r>
    <m/>
    <m/>
    <x v="1"/>
    <s v="94236722001001"/>
    <n v="-49.89"/>
    <n v="856"/>
    <n v="1"/>
    <n v="1"/>
  </r>
  <r>
    <m/>
    <m/>
    <x v="1"/>
    <s v="94290285002001"/>
    <n v="-65.099999999999994"/>
    <n v="1117"/>
    <n v="1"/>
    <n v="1"/>
  </r>
  <r>
    <m/>
    <m/>
    <x v="1"/>
    <s v="94305261001003"/>
    <n v="-137.37"/>
    <n v="2357"/>
    <n v="1"/>
    <n v="1"/>
  </r>
  <r>
    <m/>
    <m/>
    <x v="1"/>
    <s v="94338453002003"/>
    <n v="-74.25"/>
    <n v="1274"/>
    <n v="1"/>
    <n v="1"/>
  </r>
  <r>
    <m/>
    <m/>
    <x v="1"/>
    <s v="94383332001012"/>
    <n v="-21.91"/>
    <n v="376"/>
    <n v="1"/>
    <n v="1"/>
  </r>
  <r>
    <m/>
    <m/>
    <x v="1"/>
    <s v="94464191001001"/>
    <n v="-28.85"/>
    <n v="495"/>
    <n v="1"/>
    <n v="1"/>
  </r>
  <r>
    <m/>
    <m/>
    <x v="1"/>
    <s v="94495822001011"/>
    <n v="-41.96"/>
    <n v="720"/>
    <n v="1"/>
    <n v="1"/>
  </r>
  <r>
    <m/>
    <m/>
    <x v="1"/>
    <s v="94600455002001"/>
    <n v="-100.07"/>
    <n v="1717"/>
    <n v="1"/>
    <n v="1"/>
  </r>
  <r>
    <m/>
    <m/>
    <x v="1"/>
    <s v="94648149001003"/>
    <n v="-8.86"/>
    <n v="152"/>
    <n v="1"/>
    <n v="1"/>
  </r>
  <r>
    <m/>
    <m/>
    <x v="1"/>
    <s v="94670446001001"/>
    <n v="-28.79"/>
    <n v="494"/>
    <n v="1"/>
    <n v="1"/>
  </r>
  <r>
    <m/>
    <m/>
    <x v="1"/>
    <s v="94794096001013"/>
    <n v="-42.49"/>
    <n v="729"/>
    <n v="1"/>
    <n v="1"/>
  </r>
  <r>
    <m/>
    <m/>
    <x v="1"/>
    <s v="94900294001001"/>
    <n v="-102.86"/>
    <n v="1765"/>
    <n v="1"/>
    <n v="1"/>
  </r>
  <r>
    <m/>
    <m/>
    <x v="1"/>
    <s v="94903881001003"/>
    <n v="-56.42"/>
    <n v="968"/>
    <n v="1"/>
    <n v="1"/>
  </r>
  <r>
    <m/>
    <m/>
    <x v="1"/>
    <s v="95145975001001"/>
    <n v="-47.61"/>
    <n v="817"/>
    <n v="1"/>
    <n v="1"/>
  </r>
  <r>
    <m/>
    <m/>
    <x v="1"/>
    <s v="95248906001001"/>
    <n v="-30.6"/>
    <n v="525"/>
    <n v="1"/>
    <n v="1"/>
  </r>
  <r>
    <m/>
    <m/>
    <x v="1"/>
    <s v="95273141001001"/>
    <n v="-79.790000000000006"/>
    <n v="1369"/>
    <n v="1"/>
    <n v="1"/>
  </r>
  <r>
    <m/>
    <m/>
    <x v="1"/>
    <s v="95315181001001"/>
    <n v="-1.34"/>
    <n v="23"/>
    <n v="1"/>
    <n v="1"/>
  </r>
  <r>
    <m/>
    <m/>
    <x v="1"/>
    <s v="95382413001005"/>
    <n v="-21.86"/>
    <n v="375"/>
    <n v="1"/>
    <n v="1"/>
  </r>
  <r>
    <m/>
    <m/>
    <x v="1"/>
    <s v="95437723003001"/>
    <n v="-63.35"/>
    <n v="1087"/>
    <n v="1"/>
    <n v="1"/>
  </r>
  <r>
    <m/>
    <m/>
    <x v="1"/>
    <s v="95442300001013"/>
    <n v="-52.22"/>
    <n v="896"/>
    <n v="1"/>
    <n v="1"/>
  </r>
  <r>
    <m/>
    <m/>
    <x v="1"/>
    <s v="95581312001002"/>
    <n v="-46.86"/>
    <n v="804"/>
    <n v="1"/>
    <n v="1"/>
  </r>
  <r>
    <m/>
    <m/>
    <x v="1"/>
    <s v="95629019002003"/>
    <n v="-91.32"/>
    <n v="1567"/>
    <n v="1"/>
    <n v="1"/>
  </r>
  <r>
    <m/>
    <m/>
    <x v="1"/>
    <s v="95833037001003"/>
    <n v="-13.7"/>
    <n v="235"/>
    <n v="1"/>
    <n v="1"/>
  </r>
  <r>
    <m/>
    <m/>
    <x v="1"/>
    <s v="95983524001002"/>
    <n v="-48.49"/>
    <n v="832"/>
    <n v="1"/>
    <n v="1"/>
  </r>
  <r>
    <m/>
    <m/>
    <x v="1"/>
    <s v="95991168001001"/>
    <n v="-30.01"/>
    <n v="515"/>
    <n v="1"/>
    <n v="1"/>
  </r>
  <r>
    <m/>
    <m/>
    <x v="1"/>
    <s v="95992899001001"/>
    <n v="-40.04"/>
    <n v="687"/>
    <n v="1"/>
    <n v="1"/>
  </r>
  <r>
    <m/>
    <m/>
    <x v="1"/>
    <s v="96029566001003"/>
    <n v="-4.95"/>
    <n v="85"/>
    <n v="1"/>
    <n v="1"/>
  </r>
  <r>
    <m/>
    <m/>
    <x v="1"/>
    <s v="96031734001001"/>
    <n v="-57.81"/>
    <n v="992"/>
    <n v="1"/>
    <n v="1"/>
  </r>
  <r>
    <m/>
    <m/>
    <x v="1"/>
    <s v="96047383001004"/>
    <n v="-52.69"/>
    <n v="904"/>
    <n v="1"/>
    <n v="1"/>
  </r>
  <r>
    <m/>
    <m/>
    <x v="1"/>
    <s v="96145942001001"/>
    <n v="-7.46"/>
    <n v="128"/>
    <n v="1"/>
    <n v="1"/>
  </r>
  <r>
    <m/>
    <m/>
    <x v="1"/>
    <s v="96197510001001"/>
    <n v="-9.85"/>
    <n v="169"/>
    <n v="1"/>
    <n v="1"/>
  </r>
  <r>
    <m/>
    <m/>
    <x v="1"/>
    <s v="96326521001007"/>
    <n v="-23.66"/>
    <n v="406"/>
    <n v="1"/>
    <n v="1"/>
  </r>
  <r>
    <m/>
    <m/>
    <x v="1"/>
    <s v="96360767002001"/>
    <n v="-17.829999999999998"/>
    <n v="306"/>
    <n v="1"/>
    <n v="1"/>
  </r>
  <r>
    <m/>
    <m/>
    <x v="1"/>
    <s v="96426781002003"/>
    <n v="-15.04"/>
    <n v="258"/>
    <n v="1"/>
    <n v="1"/>
  </r>
  <r>
    <m/>
    <m/>
    <x v="1"/>
    <s v="96526669001001"/>
    <n v="-3.56"/>
    <n v="61"/>
    <n v="1"/>
    <n v="1"/>
  </r>
  <r>
    <m/>
    <m/>
    <x v="1"/>
    <s v="96583136006003"/>
    <n v="-18.649999999999999"/>
    <n v="320"/>
    <n v="1"/>
    <n v="1"/>
  </r>
  <r>
    <m/>
    <m/>
    <x v="1"/>
    <s v="96609922001004"/>
    <n v="-13.99"/>
    <n v="240"/>
    <n v="1"/>
    <n v="1"/>
  </r>
  <r>
    <m/>
    <m/>
    <x v="1"/>
    <s v="96660241001001"/>
    <n v="-40.909999999999997"/>
    <n v="702"/>
    <n v="1"/>
    <n v="1"/>
  </r>
  <r>
    <m/>
    <m/>
    <x v="1"/>
    <s v="96664201001004"/>
    <n v="-20.28"/>
    <n v="348"/>
    <n v="1"/>
    <n v="1"/>
  </r>
  <r>
    <m/>
    <m/>
    <x v="1"/>
    <s v="96678659001003"/>
    <n v="-44.41"/>
    <n v="762"/>
    <n v="1"/>
    <n v="1"/>
  </r>
  <r>
    <m/>
    <m/>
    <x v="1"/>
    <s v="96696838001001"/>
    <n v="-61.02"/>
    <n v="1047"/>
    <n v="1"/>
    <n v="1"/>
  </r>
  <r>
    <m/>
    <m/>
    <x v="1"/>
    <s v="96746681001003"/>
    <n v="-13.7"/>
    <n v="235"/>
    <n v="1"/>
    <n v="1"/>
  </r>
  <r>
    <m/>
    <m/>
    <x v="1"/>
    <s v="96759256001001"/>
    <n v="-8.39"/>
    <n v="144"/>
    <n v="1"/>
    <n v="1"/>
  </r>
  <r>
    <m/>
    <m/>
    <x v="1"/>
    <s v="96956354001001"/>
    <n v="-123.03"/>
    <n v="2111"/>
    <n v="1"/>
    <n v="1"/>
  </r>
  <r>
    <m/>
    <m/>
    <x v="1"/>
    <s v="96958659001002"/>
    <n v="-19.47"/>
    <n v="334"/>
    <n v="1"/>
    <n v="1"/>
  </r>
  <r>
    <m/>
    <m/>
    <x v="1"/>
    <s v="97019963001004"/>
    <n v="-40.799999999999997"/>
    <n v="700"/>
    <n v="1"/>
    <n v="1"/>
  </r>
  <r>
    <m/>
    <m/>
    <x v="1"/>
    <s v="97083962001002"/>
    <n v="-20.05"/>
    <n v="344"/>
    <n v="1"/>
    <n v="1"/>
  </r>
  <r>
    <m/>
    <m/>
    <x v="1"/>
    <s v="97203407001003"/>
    <n v="-67.489999999999995"/>
    <n v="1158"/>
    <n v="1"/>
    <n v="1"/>
  </r>
  <r>
    <m/>
    <m/>
    <x v="1"/>
    <s v="97231261001003"/>
    <n v="-62.88"/>
    <n v="1079"/>
    <n v="1"/>
    <n v="1"/>
  </r>
  <r>
    <m/>
    <m/>
    <x v="1"/>
    <s v="97234945001001"/>
    <n v="-1.17"/>
    <n v="20"/>
    <n v="1"/>
    <n v="1"/>
  </r>
  <r>
    <m/>
    <m/>
    <x v="1"/>
    <s v="97385680002001"/>
    <n v="-84.33"/>
    <n v="1447"/>
    <n v="1"/>
    <n v="1"/>
  </r>
  <r>
    <m/>
    <m/>
    <x v="1"/>
    <s v="97407607001010"/>
    <n v="-16.38"/>
    <n v="281"/>
    <n v="1"/>
    <n v="1"/>
  </r>
  <r>
    <m/>
    <m/>
    <x v="1"/>
    <s v="97419061001003"/>
    <n v="-66.5"/>
    <n v="1141"/>
    <n v="1"/>
    <n v="1"/>
  </r>
  <r>
    <m/>
    <m/>
    <x v="1"/>
    <s v="97510292001002"/>
    <n v="-20.46"/>
    <n v="351"/>
    <n v="1"/>
    <n v="1"/>
  </r>
  <r>
    <m/>
    <m/>
    <x v="1"/>
    <s v="97512804001001"/>
    <n v="-14.57"/>
    <n v="250"/>
    <n v="1"/>
    <n v="1"/>
  </r>
  <r>
    <m/>
    <m/>
    <x v="1"/>
    <s v="97514722001003"/>
    <n v="-53.62"/>
    <n v="920"/>
    <n v="1"/>
    <n v="1"/>
  </r>
  <r>
    <m/>
    <m/>
    <x v="1"/>
    <s v="97610141001001"/>
    <n v="-14.63"/>
    <n v="251"/>
    <n v="1"/>
    <n v="1"/>
  </r>
  <r>
    <m/>
    <m/>
    <x v="1"/>
    <s v="97640373002001"/>
    <n v="-23.25"/>
    <n v="399"/>
    <n v="1"/>
    <n v="1"/>
  </r>
  <r>
    <m/>
    <m/>
    <x v="1"/>
    <s v="97655232002004"/>
    <n v="-15.85"/>
    <n v="272"/>
    <n v="1"/>
    <n v="1"/>
  </r>
  <r>
    <m/>
    <m/>
    <x v="1"/>
    <s v="97678050001005"/>
    <n v="-66.959999999999994"/>
    <n v="1149"/>
    <n v="1"/>
    <n v="1"/>
  </r>
  <r>
    <m/>
    <m/>
    <x v="1"/>
    <s v="97876560004001"/>
    <n v="-87.48"/>
    <n v="1501"/>
    <n v="1"/>
    <n v="1"/>
  </r>
  <r>
    <m/>
    <m/>
    <x v="1"/>
    <s v="97914163001004"/>
    <n v="-68.3"/>
    <n v="1172"/>
    <n v="1"/>
    <n v="1"/>
  </r>
  <r>
    <m/>
    <m/>
    <x v="1"/>
    <s v="97968796004005"/>
    <n v="-14.74"/>
    <n v="253"/>
    <n v="1"/>
    <n v="1"/>
  </r>
  <r>
    <m/>
    <m/>
    <x v="1"/>
    <s v="98163492001001"/>
    <n v="-28.79"/>
    <n v="494"/>
    <n v="1"/>
    <n v="1"/>
  </r>
  <r>
    <m/>
    <m/>
    <x v="1"/>
    <s v="98228086004003"/>
    <n v="-8.92"/>
    <n v="153"/>
    <n v="1"/>
    <n v="1"/>
  </r>
  <r>
    <m/>
    <m/>
    <x v="1"/>
    <s v="98317810002005"/>
    <n v="-26.93"/>
    <n v="462"/>
    <n v="1"/>
    <n v="1"/>
  </r>
  <r>
    <m/>
    <m/>
    <x v="1"/>
    <s v="98374511001001"/>
    <n v="-33.04"/>
    <n v="567"/>
    <n v="1"/>
    <n v="1"/>
  </r>
  <r>
    <m/>
    <m/>
    <x v="1"/>
    <s v="98499617005001"/>
    <n v="-29.96"/>
    <n v="514"/>
    <n v="1"/>
    <n v="1"/>
  </r>
  <r>
    <m/>
    <m/>
    <x v="1"/>
    <s v="98567491001001"/>
    <n v="-26.93"/>
    <n v="462"/>
    <n v="1"/>
    <n v="1"/>
  </r>
  <r>
    <m/>
    <m/>
    <x v="1"/>
    <s v="98657291002001"/>
    <n v="-51.52"/>
    <n v="884"/>
    <n v="1"/>
    <n v="1"/>
  </r>
  <r>
    <m/>
    <m/>
    <x v="1"/>
    <s v="98734416001003"/>
    <n v="-110.5"/>
    <n v="1896"/>
    <n v="1"/>
    <n v="1"/>
  </r>
  <r>
    <m/>
    <m/>
    <x v="1"/>
    <s v="98925007001003"/>
    <n v="-47.85"/>
    <n v="821"/>
    <n v="1"/>
    <n v="1"/>
  </r>
  <r>
    <m/>
    <m/>
    <x v="1"/>
    <s v="98962968001003"/>
    <n v="-85.9"/>
    <n v="1474"/>
    <n v="1"/>
    <n v="1"/>
  </r>
  <r>
    <m/>
    <m/>
    <x v="1"/>
    <s v="99086775001001"/>
    <n v="-47.03"/>
    <n v="807"/>
    <n v="1"/>
    <n v="1"/>
  </r>
  <r>
    <m/>
    <m/>
    <x v="1"/>
    <s v="99107518001001"/>
    <n v="-13"/>
    <n v="223"/>
    <n v="1"/>
    <n v="1"/>
  </r>
  <r>
    <m/>
    <m/>
    <x v="1"/>
    <s v="99342816001009"/>
    <n v="-7.75"/>
    <n v="133"/>
    <n v="1"/>
    <n v="1"/>
  </r>
  <r>
    <m/>
    <m/>
    <x v="1"/>
    <s v="99409195002001"/>
    <n v="-35.380000000000003"/>
    <n v="607"/>
    <n v="1"/>
    <n v="1"/>
  </r>
  <r>
    <m/>
    <m/>
    <x v="1"/>
    <s v="99409206001002"/>
    <n v="-38.229999999999997"/>
    <n v="656"/>
    <n v="1"/>
    <n v="1"/>
  </r>
  <r>
    <m/>
    <m/>
    <x v="1"/>
    <s v="99442912002003"/>
    <n v="-66.91"/>
    <n v="1148"/>
    <n v="1"/>
    <n v="1"/>
  </r>
  <r>
    <m/>
    <m/>
    <x v="1"/>
    <s v="99456731002005"/>
    <n v="-40.450000000000003"/>
    <n v="694"/>
    <n v="1"/>
    <n v="1"/>
  </r>
  <r>
    <m/>
    <m/>
    <x v="1"/>
    <s v="99521426001005"/>
    <n v="-18.47"/>
    <n v="317"/>
    <n v="1"/>
    <n v="1"/>
  </r>
  <r>
    <m/>
    <m/>
    <x v="1"/>
    <s v="99576705001002"/>
    <n v="-10.9"/>
    <n v="187"/>
    <n v="1"/>
    <n v="1"/>
  </r>
  <r>
    <m/>
    <m/>
    <x v="1"/>
    <s v="99635117002001"/>
    <n v="-33.799999999999997"/>
    <n v="580"/>
    <n v="1"/>
    <n v="1"/>
  </r>
  <r>
    <m/>
    <m/>
    <x v="1"/>
    <s v="99662318001001"/>
    <n v="-29.14"/>
    <n v="500"/>
    <n v="1"/>
    <n v="1"/>
  </r>
  <r>
    <m/>
    <m/>
    <x v="1"/>
    <s v="99777701001004"/>
    <n v="-28.09"/>
    <n v="482"/>
    <n v="1"/>
    <n v="1"/>
  </r>
  <r>
    <m/>
    <m/>
    <x v="1"/>
    <s v="99960737001001"/>
    <n v="-30.83"/>
    <n v="529"/>
    <n v="1"/>
    <n v="1"/>
  </r>
  <r>
    <m/>
    <m/>
    <x v="6"/>
    <m/>
    <n v="-69835.410000000018"/>
    <n v="1198269"/>
    <n v="1709"/>
    <n v="1703"/>
  </r>
  <r>
    <m/>
    <s v="201305"/>
    <x v="0"/>
    <s v="00006596001003"/>
    <n v="-1"/>
    <n v="41"/>
    <n v="1"/>
    <n v="1"/>
  </r>
  <r>
    <m/>
    <m/>
    <x v="1"/>
    <s v="00237051001001"/>
    <n v="-1"/>
    <n v="41"/>
    <n v="1"/>
    <n v="1"/>
  </r>
  <r>
    <m/>
    <m/>
    <x v="1"/>
    <s v="00388467001002"/>
    <n v="-0.32"/>
    <n v="13"/>
    <n v="1"/>
    <n v="1"/>
  </r>
  <r>
    <m/>
    <m/>
    <x v="1"/>
    <s v="00416718001001"/>
    <n v="-14.43"/>
    <n v="589"/>
    <n v="1"/>
    <n v="1"/>
  </r>
  <r>
    <m/>
    <m/>
    <x v="1"/>
    <s v="01063383001003"/>
    <n v="-10.050000000000001"/>
    <n v="410"/>
    <n v="1"/>
    <n v="1"/>
  </r>
  <r>
    <m/>
    <m/>
    <x v="1"/>
    <s v="01128497001005"/>
    <n v="-5.34"/>
    <n v="218"/>
    <n v="1"/>
    <n v="1"/>
  </r>
  <r>
    <m/>
    <m/>
    <x v="1"/>
    <s v="01423270002001"/>
    <n v="-8.09"/>
    <n v="330"/>
    <n v="1"/>
    <n v="1"/>
  </r>
  <r>
    <m/>
    <m/>
    <x v="1"/>
    <s v="01883451001001"/>
    <n v="-11.74"/>
    <n v="479"/>
    <n v="1"/>
    <n v="1"/>
  </r>
  <r>
    <m/>
    <m/>
    <x v="1"/>
    <s v="01982876002001"/>
    <n v="-10.73"/>
    <n v="438"/>
    <n v="1"/>
    <n v="1"/>
  </r>
  <r>
    <m/>
    <m/>
    <x v="1"/>
    <s v="02018025004001"/>
    <n v="-0.59"/>
    <n v="24"/>
    <n v="1"/>
    <n v="1"/>
  </r>
  <r>
    <m/>
    <m/>
    <x v="1"/>
    <s v="02367690001003"/>
    <n v="-9.6300000000000008"/>
    <n v="393"/>
    <n v="1"/>
    <n v="1"/>
  </r>
  <r>
    <m/>
    <m/>
    <x v="1"/>
    <s v="02947249002001"/>
    <n v="-0.49"/>
    <n v="20"/>
    <n v="1"/>
    <n v="1"/>
  </r>
  <r>
    <m/>
    <m/>
    <x v="1"/>
    <s v="03268055001001"/>
    <n v="-7.35"/>
    <n v="300"/>
    <n v="1"/>
    <n v="1"/>
  </r>
  <r>
    <m/>
    <m/>
    <x v="1"/>
    <s v="03556592002007"/>
    <n v="-14.68"/>
    <n v="599"/>
    <n v="1"/>
    <n v="1"/>
  </r>
  <r>
    <m/>
    <m/>
    <x v="1"/>
    <s v="03566581001003"/>
    <n v="-12.67"/>
    <n v="517"/>
    <n v="1"/>
    <n v="1"/>
  </r>
  <r>
    <m/>
    <m/>
    <x v="1"/>
    <s v="03650699001006"/>
    <n v="-1.72"/>
    <n v="70"/>
    <n v="1"/>
    <n v="1"/>
  </r>
  <r>
    <m/>
    <m/>
    <x v="1"/>
    <s v="03799095002001"/>
    <n v="-1.32"/>
    <n v="54"/>
    <n v="1"/>
    <n v="1"/>
  </r>
  <r>
    <m/>
    <m/>
    <x v="1"/>
    <s v="03819092002003"/>
    <n v="-4.26"/>
    <n v="174"/>
    <n v="1"/>
    <n v="1"/>
  </r>
  <r>
    <m/>
    <m/>
    <x v="1"/>
    <s v="03931679001001"/>
    <n v="-17.91"/>
    <n v="731"/>
    <n v="1"/>
    <n v="1"/>
  </r>
  <r>
    <m/>
    <m/>
    <x v="1"/>
    <s v="03991437001001"/>
    <n v="-0.86"/>
    <n v="35"/>
    <n v="1"/>
    <n v="1"/>
  </r>
  <r>
    <m/>
    <m/>
    <x v="1"/>
    <s v="04193072001001"/>
    <n v="-1.4"/>
    <n v="57"/>
    <n v="1"/>
    <n v="1"/>
  </r>
  <r>
    <m/>
    <m/>
    <x v="1"/>
    <s v="04205533001001"/>
    <n v="-13.94"/>
    <n v="569"/>
    <n v="1"/>
    <n v="1"/>
  </r>
  <r>
    <m/>
    <m/>
    <x v="1"/>
    <s v="04316925001003"/>
    <n v="-19.649999999999999"/>
    <n v="802"/>
    <n v="1"/>
    <n v="1"/>
  </r>
  <r>
    <m/>
    <m/>
    <x v="1"/>
    <s v="04759970003001"/>
    <n v="-2.72"/>
    <n v="111"/>
    <n v="1"/>
    <n v="1"/>
  </r>
  <r>
    <m/>
    <m/>
    <x v="1"/>
    <s v="04886136001001"/>
    <n v="-2.2999999999999998"/>
    <n v="94"/>
    <n v="1"/>
    <n v="1"/>
  </r>
  <r>
    <m/>
    <m/>
    <x v="1"/>
    <s v="04891223001003"/>
    <n v="-2.25"/>
    <n v="92"/>
    <n v="1"/>
    <n v="1"/>
  </r>
  <r>
    <m/>
    <m/>
    <x v="1"/>
    <s v="05135552001001"/>
    <n v="-1.23"/>
    <n v="50"/>
    <n v="1"/>
    <n v="1"/>
  </r>
  <r>
    <m/>
    <m/>
    <x v="1"/>
    <s v="05169515001001"/>
    <n v="-1.94"/>
    <n v="79"/>
    <n v="1"/>
    <n v="1"/>
  </r>
  <r>
    <m/>
    <m/>
    <x v="1"/>
    <s v="05495875001001"/>
    <n v="-8.99"/>
    <n v="367"/>
    <n v="1"/>
    <n v="1"/>
  </r>
  <r>
    <m/>
    <m/>
    <x v="1"/>
    <s v="05776636001001"/>
    <n v="-0.47"/>
    <n v="19"/>
    <n v="1"/>
    <n v="1"/>
  </r>
  <r>
    <m/>
    <m/>
    <x v="1"/>
    <s v="05867332001001"/>
    <n v="-7.77"/>
    <n v="317"/>
    <n v="1"/>
    <n v="1"/>
  </r>
  <r>
    <m/>
    <m/>
    <x v="1"/>
    <s v="05950340001002"/>
    <n v="-5.44"/>
    <n v="222"/>
    <n v="1"/>
    <n v="1"/>
  </r>
  <r>
    <m/>
    <m/>
    <x v="1"/>
    <s v="06087532001006"/>
    <n v="-9.73"/>
    <n v="397"/>
    <n v="1"/>
    <n v="1"/>
  </r>
  <r>
    <m/>
    <m/>
    <x v="1"/>
    <s v="06414889001004"/>
    <n v="-0.17"/>
    <n v="7"/>
    <n v="1"/>
    <n v="1"/>
  </r>
  <r>
    <m/>
    <m/>
    <x v="1"/>
    <s v="06525325001005"/>
    <n v="-7.06"/>
    <n v="288"/>
    <n v="1"/>
    <n v="1"/>
  </r>
  <r>
    <m/>
    <m/>
    <x v="1"/>
    <s v="06546723004003"/>
    <n v="-4.92"/>
    <n v="201"/>
    <n v="1"/>
    <n v="1"/>
  </r>
  <r>
    <m/>
    <m/>
    <x v="1"/>
    <s v="06547490001007"/>
    <n v="-0.34"/>
    <n v="14"/>
    <n v="1"/>
    <n v="1"/>
  </r>
  <r>
    <m/>
    <m/>
    <x v="1"/>
    <s v="06802240001003"/>
    <n v="-4.12"/>
    <n v="168"/>
    <n v="1"/>
    <n v="1"/>
  </r>
  <r>
    <m/>
    <m/>
    <x v="1"/>
    <s v="06910038001001"/>
    <n v="-0.59"/>
    <n v="24"/>
    <n v="1"/>
    <n v="1"/>
  </r>
  <r>
    <m/>
    <m/>
    <x v="1"/>
    <s v="06998048001001"/>
    <n v="-7.99"/>
    <n v="326"/>
    <n v="1"/>
    <n v="1"/>
  </r>
  <r>
    <m/>
    <m/>
    <x v="1"/>
    <s v="07187712009001"/>
    <n v="-3.94"/>
    <n v="161"/>
    <n v="1"/>
    <n v="1"/>
  </r>
  <r>
    <m/>
    <m/>
    <x v="1"/>
    <s v="07371395001001"/>
    <n v="-8.48"/>
    <n v="346"/>
    <n v="1"/>
    <n v="1"/>
  </r>
  <r>
    <m/>
    <m/>
    <x v="1"/>
    <s v="07444293001002"/>
    <n v="-0.37"/>
    <n v="15"/>
    <n v="1"/>
    <n v="1"/>
  </r>
  <r>
    <m/>
    <m/>
    <x v="1"/>
    <s v="07453783001003"/>
    <n v="-0.98"/>
    <n v="40"/>
    <n v="1"/>
    <n v="1"/>
  </r>
  <r>
    <m/>
    <m/>
    <x v="1"/>
    <s v="07561969008001"/>
    <n v="-11.12"/>
    <n v="454"/>
    <n v="1"/>
    <n v="1"/>
  </r>
  <r>
    <m/>
    <m/>
    <x v="1"/>
    <s v="07623916001007"/>
    <n v="-1.81"/>
    <n v="74"/>
    <n v="1"/>
    <n v="1"/>
  </r>
  <r>
    <m/>
    <m/>
    <x v="1"/>
    <s v="07642562002001"/>
    <n v="-0.17"/>
    <n v="7"/>
    <n v="1"/>
    <n v="1"/>
  </r>
  <r>
    <m/>
    <m/>
    <x v="1"/>
    <s v="07782109001001"/>
    <n v="-0.28999999999999998"/>
    <n v="12"/>
    <n v="1"/>
    <n v="1"/>
  </r>
  <r>
    <m/>
    <m/>
    <x v="1"/>
    <s v="07866347005003"/>
    <n v="-9.82"/>
    <n v="401"/>
    <n v="1"/>
    <n v="1"/>
  </r>
  <r>
    <m/>
    <m/>
    <x v="1"/>
    <s v="07894781001001"/>
    <n v="-1.59"/>
    <n v="65"/>
    <n v="1"/>
    <n v="1"/>
  </r>
  <r>
    <m/>
    <m/>
    <x v="1"/>
    <s v="07961096001001"/>
    <n v="-29.67"/>
    <n v="1211"/>
    <n v="1"/>
    <n v="1"/>
  </r>
  <r>
    <m/>
    <m/>
    <x v="1"/>
    <s v="07992532001002"/>
    <n v="-0.49"/>
    <n v="20"/>
    <n v="1"/>
    <n v="1"/>
  </r>
  <r>
    <m/>
    <m/>
    <x v="1"/>
    <s v="08005911001002"/>
    <n v="-2.67"/>
    <n v="109"/>
    <n v="1"/>
    <n v="1"/>
  </r>
  <r>
    <m/>
    <m/>
    <x v="1"/>
    <s v="08016256001003"/>
    <n v="-19.43"/>
    <n v="793"/>
    <n v="1"/>
    <n v="1"/>
  </r>
  <r>
    <m/>
    <m/>
    <x v="1"/>
    <s v="08070610002001"/>
    <n v="-16.32"/>
    <n v="666"/>
    <n v="1"/>
    <n v="1"/>
  </r>
  <r>
    <m/>
    <m/>
    <x v="1"/>
    <s v="08074271001001"/>
    <n v="-7.0000000000000007E-2"/>
    <n v="3"/>
    <n v="1"/>
    <n v="1"/>
  </r>
  <r>
    <m/>
    <m/>
    <x v="1"/>
    <s v="08355466001007"/>
    <n v="-0.25"/>
    <n v="10"/>
    <n v="1"/>
    <n v="1"/>
  </r>
  <r>
    <m/>
    <m/>
    <x v="1"/>
    <s v="08688999005001"/>
    <n v="-7.69"/>
    <n v="314"/>
    <n v="1"/>
    <n v="1"/>
  </r>
  <r>
    <m/>
    <m/>
    <x v="1"/>
    <s v="08740262001001"/>
    <n v="-0.66"/>
    <n v="27"/>
    <n v="1"/>
    <n v="1"/>
  </r>
  <r>
    <m/>
    <m/>
    <x v="1"/>
    <s v="08747776001001"/>
    <n v="-6.22"/>
    <n v="254"/>
    <n v="1"/>
    <n v="1"/>
  </r>
  <r>
    <m/>
    <m/>
    <x v="1"/>
    <s v="08808764002008"/>
    <n v="-13.77"/>
    <n v="562"/>
    <n v="1"/>
    <n v="1"/>
  </r>
  <r>
    <m/>
    <m/>
    <x v="1"/>
    <s v="09301778001001"/>
    <n v="-0.12"/>
    <n v="5"/>
    <n v="1"/>
    <n v="1"/>
  </r>
  <r>
    <m/>
    <m/>
    <x v="1"/>
    <s v="09482609001001"/>
    <n v="-7.28"/>
    <n v="297"/>
    <n v="1"/>
    <n v="1"/>
  </r>
  <r>
    <m/>
    <m/>
    <x v="1"/>
    <s v="09557772001003"/>
    <n v="-13.97"/>
    <n v="570"/>
    <n v="1"/>
    <n v="1"/>
  </r>
  <r>
    <m/>
    <m/>
    <x v="1"/>
    <s v="09777774001001"/>
    <n v="-3.9"/>
    <n v="159"/>
    <n v="1"/>
    <n v="1"/>
  </r>
  <r>
    <m/>
    <m/>
    <x v="1"/>
    <s v="10045212001003"/>
    <n v="-1.76"/>
    <n v="72"/>
    <n v="1"/>
    <n v="1"/>
  </r>
  <r>
    <m/>
    <m/>
    <x v="1"/>
    <s v="10153548001001"/>
    <n v="-2.06"/>
    <n v="84"/>
    <n v="1"/>
    <n v="1"/>
  </r>
  <r>
    <m/>
    <m/>
    <x v="1"/>
    <s v="10196138001001"/>
    <n v="-7.03"/>
    <n v="287"/>
    <n v="1"/>
    <n v="1"/>
  </r>
  <r>
    <m/>
    <m/>
    <x v="1"/>
    <s v="10356260001001"/>
    <n v="-17.27"/>
    <n v="705"/>
    <n v="1"/>
    <n v="1"/>
  </r>
  <r>
    <m/>
    <m/>
    <x v="1"/>
    <s v="10489329001002"/>
    <n v="-1.59"/>
    <n v="65"/>
    <n v="1"/>
    <n v="1"/>
  </r>
  <r>
    <m/>
    <m/>
    <x v="1"/>
    <s v="10863812009001"/>
    <n v="-12.18"/>
    <n v="497"/>
    <n v="1"/>
    <n v="1"/>
  </r>
  <r>
    <m/>
    <m/>
    <x v="1"/>
    <s v="10977214001001"/>
    <n v="-0.05"/>
    <n v="2"/>
    <n v="1"/>
    <n v="1"/>
  </r>
  <r>
    <m/>
    <m/>
    <x v="1"/>
    <s v="11078715001003"/>
    <n v="-9.9499999999999993"/>
    <n v="406"/>
    <n v="1"/>
    <n v="1"/>
  </r>
  <r>
    <m/>
    <m/>
    <x v="1"/>
    <s v="11144829001001"/>
    <n v="-20.29"/>
    <n v="828"/>
    <n v="1"/>
    <n v="1"/>
  </r>
  <r>
    <m/>
    <m/>
    <x v="1"/>
    <s v="11263199001003"/>
    <n v="-6.39"/>
    <n v="261"/>
    <n v="1"/>
    <n v="1"/>
  </r>
  <r>
    <m/>
    <m/>
    <x v="1"/>
    <s v="11373197001002"/>
    <n v="-0.12"/>
    <n v="5"/>
    <n v="1"/>
    <n v="1"/>
  </r>
  <r>
    <m/>
    <m/>
    <x v="1"/>
    <s v="11397922002001"/>
    <n v="-6.71"/>
    <n v="274"/>
    <n v="1"/>
    <n v="1"/>
  </r>
  <r>
    <m/>
    <m/>
    <x v="1"/>
    <s v="11646801001004"/>
    <n v="-2.67"/>
    <n v="109"/>
    <n v="1"/>
    <n v="1"/>
  </r>
  <r>
    <m/>
    <m/>
    <x v="1"/>
    <s v="11957483001007"/>
    <n v="-8.16"/>
    <n v="333"/>
    <n v="1"/>
    <n v="1"/>
  </r>
  <r>
    <m/>
    <m/>
    <x v="1"/>
    <s v="11964851001002"/>
    <n v="-1.03"/>
    <n v="42"/>
    <n v="1"/>
    <n v="1"/>
  </r>
  <r>
    <m/>
    <m/>
    <x v="1"/>
    <s v="12013270001001"/>
    <n v="-1.57"/>
    <n v="64"/>
    <n v="1"/>
    <n v="1"/>
  </r>
  <r>
    <m/>
    <m/>
    <x v="1"/>
    <s v="12393193001003"/>
    <n v="-3.01"/>
    <n v="123"/>
    <n v="1"/>
    <n v="1"/>
  </r>
  <r>
    <m/>
    <m/>
    <x v="1"/>
    <s v="12667965001001"/>
    <n v="-11.64"/>
    <n v="475"/>
    <n v="1"/>
    <n v="1"/>
  </r>
  <r>
    <m/>
    <m/>
    <x v="1"/>
    <s v="12738579001003"/>
    <n v="-0.22"/>
    <n v="9"/>
    <n v="1"/>
    <n v="1"/>
  </r>
  <r>
    <m/>
    <m/>
    <x v="1"/>
    <s v="13114260001002"/>
    <n v="-2.16"/>
    <n v="88"/>
    <n v="1"/>
    <n v="1"/>
  </r>
  <r>
    <m/>
    <m/>
    <x v="1"/>
    <s v="13116014001003"/>
    <n v="-2.79"/>
    <n v="114"/>
    <n v="1"/>
    <n v="1"/>
  </r>
  <r>
    <m/>
    <m/>
    <x v="1"/>
    <s v="13302962002001"/>
    <n v="-3.33"/>
    <n v="136"/>
    <n v="1"/>
    <n v="1"/>
  </r>
  <r>
    <m/>
    <m/>
    <x v="1"/>
    <s v="13844306002004"/>
    <n v="-4.24"/>
    <n v="173"/>
    <n v="1"/>
    <n v="1"/>
  </r>
  <r>
    <m/>
    <m/>
    <x v="1"/>
    <s v="13898780002006"/>
    <n v="-3.21"/>
    <n v="131"/>
    <n v="1"/>
    <n v="1"/>
  </r>
  <r>
    <m/>
    <m/>
    <x v="1"/>
    <s v="13899655001008"/>
    <n v="-1.47"/>
    <n v="60"/>
    <n v="1"/>
    <n v="1"/>
  </r>
  <r>
    <m/>
    <m/>
    <x v="1"/>
    <s v="13972735001001"/>
    <n v="-2.4500000000000002"/>
    <n v="100"/>
    <n v="1"/>
    <n v="1"/>
  </r>
  <r>
    <m/>
    <m/>
    <x v="1"/>
    <s v="14057368001006"/>
    <n v="-17.79"/>
    <n v="726"/>
    <n v="1"/>
    <n v="1"/>
  </r>
  <r>
    <m/>
    <m/>
    <x v="1"/>
    <s v="14276797001005"/>
    <n v="-0.12"/>
    <n v="5"/>
    <n v="1"/>
    <n v="1"/>
  </r>
  <r>
    <m/>
    <m/>
    <x v="1"/>
    <s v="14364355001001"/>
    <n v="-14.55"/>
    <n v="594"/>
    <n v="1"/>
    <n v="1"/>
  </r>
  <r>
    <m/>
    <m/>
    <x v="1"/>
    <s v="14663014001002"/>
    <n v="-1.81"/>
    <n v="74"/>
    <n v="1"/>
    <n v="1"/>
  </r>
  <r>
    <m/>
    <m/>
    <x v="1"/>
    <s v="14783592001004"/>
    <n v="-5.86"/>
    <n v="239"/>
    <n v="1"/>
    <n v="1"/>
  </r>
  <r>
    <m/>
    <m/>
    <x v="1"/>
    <s v="14994182001007"/>
    <n v="-10.83"/>
    <n v="442"/>
    <n v="1"/>
    <n v="1"/>
  </r>
  <r>
    <m/>
    <m/>
    <x v="1"/>
    <s v="15161620001001"/>
    <n v="-4.75"/>
    <n v="194"/>
    <n v="1"/>
    <n v="1"/>
  </r>
  <r>
    <m/>
    <m/>
    <x v="1"/>
    <s v="15391958001009"/>
    <n v="-3.92"/>
    <n v="160"/>
    <n v="1"/>
    <n v="1"/>
  </r>
  <r>
    <m/>
    <m/>
    <x v="1"/>
    <s v="15707865001001"/>
    <n v="-3.06"/>
    <n v="125"/>
    <n v="1"/>
    <n v="1"/>
  </r>
  <r>
    <m/>
    <m/>
    <x v="1"/>
    <s v="15752716002001"/>
    <n v="-8.2100000000000009"/>
    <n v="335"/>
    <n v="1"/>
    <n v="1"/>
  </r>
  <r>
    <m/>
    <m/>
    <x v="1"/>
    <s v="15889369001001"/>
    <n v="-3.58"/>
    <n v="146"/>
    <n v="1"/>
    <n v="1"/>
  </r>
  <r>
    <m/>
    <m/>
    <x v="1"/>
    <s v="15896167001005"/>
    <n v="-5.0199999999999996"/>
    <n v="205"/>
    <n v="1"/>
    <n v="1"/>
  </r>
  <r>
    <m/>
    <m/>
    <x v="1"/>
    <s v="15945413001003"/>
    <n v="-2.35"/>
    <n v="96"/>
    <n v="1"/>
    <n v="1"/>
  </r>
  <r>
    <m/>
    <m/>
    <x v="1"/>
    <s v="16192571001003"/>
    <n v="-12.5"/>
    <n v="510"/>
    <n v="1"/>
    <n v="1"/>
  </r>
  <r>
    <m/>
    <m/>
    <x v="1"/>
    <s v="16309419001005"/>
    <n v="-2.2799999999999998"/>
    <n v="93"/>
    <n v="1"/>
    <n v="1"/>
  </r>
  <r>
    <m/>
    <m/>
    <x v="1"/>
    <s v="16354772002003"/>
    <n v="-0.37"/>
    <n v="15"/>
    <n v="1"/>
    <n v="1"/>
  </r>
  <r>
    <m/>
    <m/>
    <x v="1"/>
    <s v="16572947001005"/>
    <n v="-17.22"/>
    <n v="703"/>
    <n v="1"/>
    <n v="1"/>
  </r>
  <r>
    <m/>
    <m/>
    <x v="1"/>
    <s v="16709268001002"/>
    <n v="-3.33"/>
    <n v="136"/>
    <n v="1"/>
    <n v="1"/>
  </r>
  <r>
    <m/>
    <m/>
    <x v="1"/>
    <s v="16801512002002"/>
    <n v="-0.22"/>
    <n v="9"/>
    <n v="1"/>
    <n v="1"/>
  </r>
  <r>
    <m/>
    <m/>
    <x v="1"/>
    <s v="16884109001002"/>
    <n v="-0.28999999999999998"/>
    <n v="12"/>
    <n v="1"/>
    <n v="1"/>
  </r>
  <r>
    <m/>
    <m/>
    <x v="1"/>
    <s v="17329177001003"/>
    <n v="-2.4"/>
    <n v="98"/>
    <n v="1"/>
    <n v="1"/>
  </r>
  <r>
    <m/>
    <m/>
    <x v="1"/>
    <s v="17511025003001"/>
    <n v="-0.78"/>
    <n v="32"/>
    <n v="1"/>
    <n v="1"/>
  </r>
  <r>
    <m/>
    <m/>
    <x v="1"/>
    <s v="17581646001002"/>
    <n v="-14.28"/>
    <n v="583"/>
    <n v="1"/>
    <n v="1"/>
  </r>
  <r>
    <m/>
    <m/>
    <x v="1"/>
    <s v="17700255001003"/>
    <n v="-3.68"/>
    <n v="150"/>
    <n v="1"/>
    <n v="1"/>
  </r>
  <r>
    <m/>
    <m/>
    <x v="1"/>
    <s v="17706944001001"/>
    <n v="-9.6300000000000008"/>
    <n v="393"/>
    <n v="1"/>
    <n v="1"/>
  </r>
  <r>
    <m/>
    <m/>
    <x v="1"/>
    <s v="17818148001004"/>
    <n v="-2.0299999999999998"/>
    <n v="83"/>
    <n v="1"/>
    <n v="1"/>
  </r>
  <r>
    <m/>
    <m/>
    <x v="1"/>
    <s v="17834267001002"/>
    <n v="-3.04"/>
    <n v="124"/>
    <n v="1"/>
    <n v="1"/>
  </r>
  <r>
    <m/>
    <m/>
    <x v="1"/>
    <s v="17836081001001"/>
    <n v="-1.64"/>
    <n v="67"/>
    <n v="1"/>
    <n v="1"/>
  </r>
  <r>
    <m/>
    <m/>
    <x v="1"/>
    <s v="18060662001003"/>
    <n v="-13.45"/>
    <n v="549"/>
    <n v="1"/>
    <n v="1"/>
  </r>
  <r>
    <m/>
    <m/>
    <x v="1"/>
    <s v="18699658001004"/>
    <n v="-2.2999999999999998"/>
    <n v="94"/>
    <n v="1"/>
    <n v="1"/>
  </r>
  <r>
    <m/>
    <m/>
    <x v="1"/>
    <s v="18991884001001"/>
    <n v="-11.17"/>
    <n v="456"/>
    <n v="1"/>
    <n v="1"/>
  </r>
  <r>
    <m/>
    <m/>
    <x v="1"/>
    <s v="19283696002001"/>
    <n v="-1.79"/>
    <n v="73"/>
    <n v="1"/>
    <n v="1"/>
  </r>
  <r>
    <m/>
    <m/>
    <x v="1"/>
    <s v="19497588001001"/>
    <n v="-7.0000000000000007E-2"/>
    <n v="3"/>
    <n v="1"/>
    <n v="1"/>
  </r>
  <r>
    <m/>
    <m/>
    <x v="1"/>
    <s v="19508093004001"/>
    <n v="-6.2"/>
    <n v="253"/>
    <n v="1"/>
    <n v="1"/>
  </r>
  <r>
    <m/>
    <m/>
    <x v="1"/>
    <s v="19669200001002"/>
    <n v="-9.16"/>
    <n v="374"/>
    <n v="1"/>
    <n v="1"/>
  </r>
  <r>
    <m/>
    <m/>
    <x v="1"/>
    <s v="19830150001004"/>
    <n v="-6.74"/>
    <n v="275"/>
    <n v="1"/>
    <n v="1"/>
  </r>
  <r>
    <m/>
    <m/>
    <x v="1"/>
    <s v="20011333001001"/>
    <n v="-1.23"/>
    <n v="50"/>
    <n v="1"/>
    <n v="1"/>
  </r>
  <r>
    <m/>
    <m/>
    <x v="1"/>
    <s v="20283219003003"/>
    <n v="-3.31"/>
    <n v="135"/>
    <n v="1"/>
    <n v="1"/>
  </r>
  <r>
    <m/>
    <m/>
    <x v="1"/>
    <s v="20367566001001"/>
    <n v="-3.19"/>
    <n v="130"/>
    <n v="1"/>
    <n v="1"/>
  </r>
  <r>
    <m/>
    <m/>
    <x v="1"/>
    <s v="20375453005001"/>
    <n v="-15.29"/>
    <n v="624"/>
    <n v="1"/>
    <n v="1"/>
  </r>
  <r>
    <m/>
    <m/>
    <x v="1"/>
    <s v="20410415001001"/>
    <n v="-0.2"/>
    <n v="8"/>
    <n v="1"/>
    <n v="1"/>
  </r>
  <r>
    <m/>
    <m/>
    <x v="1"/>
    <s v="20444426001001"/>
    <n v="-0.54"/>
    <n v="22"/>
    <n v="1"/>
    <n v="1"/>
  </r>
  <r>
    <m/>
    <m/>
    <x v="1"/>
    <s v="21045838003008"/>
    <n v="-1.3"/>
    <n v="53"/>
    <n v="1"/>
    <n v="1"/>
  </r>
  <r>
    <m/>
    <m/>
    <x v="1"/>
    <s v="21046404001005"/>
    <n v="-15.78"/>
    <n v="644"/>
    <n v="1"/>
    <n v="1"/>
  </r>
  <r>
    <m/>
    <m/>
    <x v="1"/>
    <s v="21300261001003"/>
    <n v="-8.5299999999999994"/>
    <n v="348"/>
    <n v="1"/>
    <n v="1"/>
  </r>
  <r>
    <m/>
    <m/>
    <x v="1"/>
    <s v="21528376001001"/>
    <n v="-8.8699999999999992"/>
    <n v="362"/>
    <n v="1"/>
    <n v="1"/>
  </r>
  <r>
    <m/>
    <m/>
    <x v="1"/>
    <s v="21546259001005"/>
    <n v="-14.95"/>
    <n v="610"/>
    <n v="1"/>
    <n v="1"/>
  </r>
  <r>
    <m/>
    <m/>
    <x v="1"/>
    <s v="21610680001001"/>
    <n v="-2.5"/>
    <n v="102"/>
    <n v="1"/>
    <n v="1"/>
  </r>
  <r>
    <m/>
    <m/>
    <x v="1"/>
    <s v="21883954001003"/>
    <n v="-3.72"/>
    <n v="152"/>
    <n v="1"/>
    <n v="1"/>
  </r>
  <r>
    <m/>
    <m/>
    <x v="1"/>
    <s v="22107625001001"/>
    <n v="-13.16"/>
    <n v="537"/>
    <n v="1"/>
    <n v="1"/>
  </r>
  <r>
    <m/>
    <m/>
    <x v="1"/>
    <s v="22178371001001"/>
    <n v="-0.83"/>
    <n v="34"/>
    <n v="1"/>
    <n v="1"/>
  </r>
  <r>
    <m/>
    <m/>
    <x v="1"/>
    <s v="22234236001007"/>
    <n v="-9.75"/>
    <n v="398"/>
    <n v="1"/>
    <n v="1"/>
  </r>
  <r>
    <m/>
    <m/>
    <x v="1"/>
    <s v="22280876001009"/>
    <n v="-12.03"/>
    <n v="491"/>
    <n v="1"/>
    <n v="1"/>
  </r>
  <r>
    <m/>
    <m/>
    <x v="1"/>
    <s v="22318296001001"/>
    <n v="-1.89"/>
    <n v="77"/>
    <n v="1"/>
    <n v="1"/>
  </r>
  <r>
    <m/>
    <m/>
    <x v="1"/>
    <s v="22384711002002"/>
    <n v="-5.78"/>
    <n v="236"/>
    <n v="1"/>
    <n v="1"/>
  </r>
  <r>
    <m/>
    <m/>
    <x v="1"/>
    <s v="22556911001001"/>
    <n v="-5.83"/>
    <n v="238"/>
    <n v="1"/>
    <n v="1"/>
  </r>
  <r>
    <m/>
    <m/>
    <x v="1"/>
    <s v="23207615004001"/>
    <n v="-6.57"/>
    <n v="268"/>
    <n v="1"/>
    <n v="1"/>
  </r>
  <r>
    <m/>
    <m/>
    <x v="1"/>
    <s v="23492030001001"/>
    <n v="-12.18"/>
    <n v="497"/>
    <n v="1"/>
    <n v="1"/>
  </r>
  <r>
    <m/>
    <m/>
    <x v="1"/>
    <s v="23628172002001"/>
    <n v="-15.36"/>
    <n v="627"/>
    <n v="1"/>
    <n v="1"/>
  </r>
  <r>
    <m/>
    <m/>
    <x v="1"/>
    <s v="24324136002006"/>
    <n v="-0.71"/>
    <n v="29"/>
    <n v="1"/>
    <n v="1"/>
  </r>
  <r>
    <m/>
    <m/>
    <x v="1"/>
    <s v="24367594001003"/>
    <n v="-21.54"/>
    <n v="879"/>
    <n v="1"/>
    <n v="1"/>
  </r>
  <r>
    <m/>
    <m/>
    <x v="1"/>
    <s v="24944686001001"/>
    <n v="-1.27"/>
    <n v="52"/>
    <n v="1"/>
    <n v="1"/>
  </r>
  <r>
    <m/>
    <m/>
    <x v="1"/>
    <s v="25389985004001"/>
    <n v="-1.08"/>
    <n v="44"/>
    <n v="1"/>
    <n v="1"/>
  </r>
  <r>
    <m/>
    <m/>
    <x v="1"/>
    <s v="25549425001001"/>
    <n v="-9.68"/>
    <n v="395"/>
    <n v="1"/>
    <n v="1"/>
  </r>
  <r>
    <m/>
    <m/>
    <x v="1"/>
    <s v="25616940003001"/>
    <n v="-5.66"/>
    <n v="231"/>
    <n v="1"/>
    <n v="1"/>
  </r>
  <r>
    <m/>
    <m/>
    <x v="1"/>
    <s v="25664446001001"/>
    <n v="-4.83"/>
    <n v="197"/>
    <n v="1"/>
    <n v="1"/>
  </r>
  <r>
    <m/>
    <m/>
    <x v="1"/>
    <s v="25829665002003"/>
    <n v="-57.99"/>
    <n v="2367"/>
    <n v="1"/>
    <n v="1"/>
  </r>
  <r>
    <m/>
    <m/>
    <x v="1"/>
    <s v="25839879001001"/>
    <n v="-5.59"/>
    <n v="228"/>
    <n v="1"/>
    <n v="1"/>
  </r>
  <r>
    <m/>
    <m/>
    <x v="1"/>
    <s v="26278650001003"/>
    <n v="-0.22"/>
    <n v="9"/>
    <n v="1"/>
    <n v="1"/>
  </r>
  <r>
    <m/>
    <m/>
    <x v="1"/>
    <s v="26811317001002"/>
    <n v="-15.14"/>
    <n v="618"/>
    <n v="1"/>
    <n v="1"/>
  </r>
  <r>
    <m/>
    <m/>
    <x v="1"/>
    <s v="26835966001001"/>
    <n v="-9.11"/>
    <n v="372"/>
    <n v="1"/>
    <n v="1"/>
  </r>
  <r>
    <m/>
    <m/>
    <x v="1"/>
    <s v="26841750001003"/>
    <n v="-1.25"/>
    <n v="51"/>
    <n v="1"/>
    <n v="1"/>
  </r>
  <r>
    <m/>
    <m/>
    <x v="1"/>
    <s v="26874335001001"/>
    <n v="-0.93"/>
    <n v="38"/>
    <n v="1"/>
    <n v="1"/>
  </r>
  <r>
    <m/>
    <m/>
    <x v="1"/>
    <s v="27126363001003"/>
    <n v="-24.65"/>
    <n v="1006"/>
    <n v="1"/>
    <n v="1"/>
  </r>
  <r>
    <m/>
    <m/>
    <x v="1"/>
    <s v="27141666001001"/>
    <n v="-0.2"/>
    <n v="8"/>
    <n v="1"/>
    <n v="1"/>
  </r>
  <r>
    <m/>
    <m/>
    <x v="1"/>
    <s v="27250246001005"/>
    <n v="-1.37"/>
    <n v="56"/>
    <n v="1"/>
    <n v="1"/>
  </r>
  <r>
    <m/>
    <m/>
    <x v="1"/>
    <s v="27553023001001"/>
    <n v="-6.93"/>
    <n v="283"/>
    <n v="1"/>
    <n v="1"/>
  </r>
  <r>
    <m/>
    <m/>
    <x v="1"/>
    <s v="27668170001005"/>
    <n v="-1.18"/>
    <n v="48"/>
    <n v="1"/>
    <n v="1"/>
  </r>
  <r>
    <m/>
    <m/>
    <x v="1"/>
    <s v="27696108001012"/>
    <n v="-0.22"/>
    <n v="9"/>
    <n v="1"/>
    <n v="1"/>
  </r>
  <r>
    <m/>
    <m/>
    <x v="1"/>
    <s v="27733480001001"/>
    <n v="-6.62"/>
    <n v="270"/>
    <n v="1"/>
    <n v="1"/>
  </r>
  <r>
    <m/>
    <m/>
    <x v="1"/>
    <s v="27759845001003"/>
    <n v="-7.4"/>
    <n v="302"/>
    <n v="1"/>
    <n v="1"/>
  </r>
  <r>
    <m/>
    <m/>
    <x v="1"/>
    <s v="27883736001001"/>
    <n v="-28.15"/>
    <n v="1149"/>
    <n v="1"/>
    <n v="1"/>
  </r>
  <r>
    <m/>
    <m/>
    <x v="1"/>
    <s v="28006021003005"/>
    <n v="-14.82"/>
    <n v="605"/>
    <n v="1"/>
    <n v="1"/>
  </r>
  <r>
    <m/>
    <m/>
    <x v="1"/>
    <s v="28065736001006"/>
    <n v="-3.65"/>
    <n v="149"/>
    <n v="1"/>
    <n v="1"/>
  </r>
  <r>
    <m/>
    <m/>
    <x v="1"/>
    <s v="28227700001002"/>
    <n v="-6.49"/>
    <n v="265"/>
    <n v="1"/>
    <n v="1"/>
  </r>
  <r>
    <m/>
    <m/>
    <x v="1"/>
    <s v="28252202004001"/>
    <n v="-44.03"/>
    <n v="1797"/>
    <n v="1"/>
    <n v="1"/>
  </r>
  <r>
    <m/>
    <m/>
    <x v="1"/>
    <s v="28535255003001"/>
    <n v="-0.25"/>
    <n v="10"/>
    <n v="1"/>
    <n v="1"/>
  </r>
  <r>
    <m/>
    <m/>
    <x v="1"/>
    <s v="28827702001004"/>
    <n v="-1.05"/>
    <n v="43"/>
    <n v="1"/>
    <n v="1"/>
  </r>
  <r>
    <m/>
    <m/>
    <x v="1"/>
    <s v="29018645001003"/>
    <n v="-0.61"/>
    <n v="25"/>
    <n v="1"/>
    <n v="1"/>
  </r>
  <r>
    <m/>
    <m/>
    <x v="1"/>
    <s v="29647367001002"/>
    <n v="-8.26"/>
    <n v="337"/>
    <n v="1"/>
    <n v="1"/>
  </r>
  <r>
    <m/>
    <m/>
    <x v="1"/>
    <s v="29786462001001"/>
    <n v="-1.72"/>
    <n v="70"/>
    <n v="1"/>
    <n v="1"/>
  </r>
  <r>
    <m/>
    <m/>
    <x v="1"/>
    <s v="29810873001003"/>
    <n v="-20.7"/>
    <n v="845"/>
    <n v="1"/>
    <n v="1"/>
  </r>
  <r>
    <m/>
    <m/>
    <x v="1"/>
    <s v="34861184002001"/>
    <n v="-20.68"/>
    <n v="844"/>
    <n v="1"/>
    <n v="1"/>
  </r>
  <r>
    <m/>
    <m/>
    <x v="1"/>
    <s v="34902092001003"/>
    <n v="-11.1"/>
    <n v="453"/>
    <n v="1"/>
    <n v="1"/>
  </r>
  <r>
    <m/>
    <m/>
    <x v="1"/>
    <s v="35202172002003"/>
    <n v="-0.74"/>
    <n v="30"/>
    <n v="1"/>
    <n v="1"/>
  </r>
  <r>
    <m/>
    <m/>
    <x v="1"/>
    <s v="35366207001001"/>
    <n v="-20.51"/>
    <n v="837"/>
    <n v="1"/>
    <n v="1"/>
  </r>
  <r>
    <m/>
    <m/>
    <x v="1"/>
    <s v="35482082002001"/>
    <n v="-0.56000000000000005"/>
    <n v="23"/>
    <n v="1"/>
    <n v="1"/>
  </r>
  <r>
    <m/>
    <m/>
    <x v="1"/>
    <s v="35872394002002"/>
    <n v="-0.22"/>
    <n v="9"/>
    <n v="1"/>
    <n v="1"/>
  </r>
  <r>
    <m/>
    <m/>
    <x v="1"/>
    <s v="36023502001013"/>
    <n v="-15.48"/>
    <n v="632"/>
    <n v="1"/>
    <n v="1"/>
  </r>
  <r>
    <m/>
    <m/>
    <x v="1"/>
    <s v="36052702001001"/>
    <n v="-5.24"/>
    <n v="214"/>
    <n v="1"/>
    <n v="1"/>
  </r>
  <r>
    <m/>
    <m/>
    <x v="1"/>
    <s v="36065414001010"/>
    <n v="-8.48"/>
    <n v="346"/>
    <n v="1"/>
    <n v="1"/>
  </r>
  <r>
    <m/>
    <m/>
    <x v="1"/>
    <s v="36079563001001"/>
    <n v="-4.34"/>
    <n v="177"/>
    <n v="1"/>
    <n v="1"/>
  </r>
  <r>
    <m/>
    <m/>
    <x v="1"/>
    <s v="36292176001002"/>
    <n v="-3.45"/>
    <n v="141"/>
    <n v="1"/>
    <n v="1"/>
  </r>
  <r>
    <m/>
    <m/>
    <x v="1"/>
    <s v="36390708002001"/>
    <n v="-3.19"/>
    <n v="130"/>
    <n v="1"/>
    <n v="1"/>
  </r>
  <r>
    <m/>
    <m/>
    <x v="1"/>
    <s v="36529463001001"/>
    <n v="-0.25"/>
    <n v="10"/>
    <n v="1"/>
    <n v="1"/>
  </r>
  <r>
    <m/>
    <m/>
    <x v="1"/>
    <s v="36555550001003"/>
    <n v="-29.57"/>
    <n v="1207"/>
    <n v="1"/>
    <n v="1"/>
  </r>
  <r>
    <m/>
    <m/>
    <x v="1"/>
    <s v="36995940001003"/>
    <n v="-18.940000000000001"/>
    <n v="773"/>
    <n v="1"/>
    <n v="1"/>
  </r>
  <r>
    <m/>
    <m/>
    <x v="1"/>
    <s v="37047706001003"/>
    <n v="-16.59"/>
    <n v="677"/>
    <n v="1"/>
    <n v="1"/>
  </r>
  <r>
    <m/>
    <m/>
    <x v="1"/>
    <s v="37271824001007"/>
    <n v="-0.49"/>
    <n v="20"/>
    <n v="1"/>
    <n v="1"/>
  </r>
  <r>
    <m/>
    <m/>
    <x v="1"/>
    <s v="37301319001001"/>
    <n v="-4.88"/>
    <n v="199"/>
    <n v="1"/>
    <n v="1"/>
  </r>
  <r>
    <m/>
    <m/>
    <x v="1"/>
    <s v="37380947001001"/>
    <n v="-7.28"/>
    <n v="297"/>
    <n v="1"/>
    <n v="1"/>
  </r>
  <r>
    <m/>
    <m/>
    <x v="1"/>
    <s v="37578682001001"/>
    <n v="-6.59"/>
    <n v="269"/>
    <n v="1"/>
    <n v="1"/>
  </r>
  <r>
    <m/>
    <m/>
    <x v="1"/>
    <s v="38031459001001"/>
    <n v="-6.37"/>
    <n v="260"/>
    <n v="1"/>
    <n v="1"/>
  </r>
  <r>
    <m/>
    <m/>
    <x v="1"/>
    <s v="38067720003001"/>
    <n v="-0.32"/>
    <n v="13"/>
    <n v="1"/>
    <n v="1"/>
  </r>
  <r>
    <m/>
    <m/>
    <x v="1"/>
    <s v="38319008002003"/>
    <n v="-9.0399999999999991"/>
    <n v="369"/>
    <n v="1"/>
    <n v="1"/>
  </r>
  <r>
    <m/>
    <m/>
    <x v="1"/>
    <s v="38860694001003"/>
    <n v="-0.05"/>
    <n v="2"/>
    <n v="1"/>
    <n v="1"/>
  </r>
  <r>
    <m/>
    <m/>
    <x v="1"/>
    <s v="39272181001001"/>
    <n v="-3.43"/>
    <n v="140"/>
    <n v="1"/>
    <n v="1"/>
  </r>
  <r>
    <m/>
    <m/>
    <x v="1"/>
    <s v="39281076001004"/>
    <n v="-14.43"/>
    <n v="589"/>
    <n v="1"/>
    <n v="1"/>
  </r>
  <r>
    <m/>
    <m/>
    <x v="1"/>
    <s v="39314816001003"/>
    <n v="-7.96"/>
    <n v="325"/>
    <n v="1"/>
    <n v="1"/>
  </r>
  <r>
    <m/>
    <m/>
    <x v="1"/>
    <s v="39597196001001"/>
    <n v="-14.06"/>
    <n v="574"/>
    <n v="1"/>
    <n v="1"/>
  </r>
  <r>
    <m/>
    <m/>
    <x v="1"/>
    <s v="39658784002001"/>
    <n v="-4.3600000000000003"/>
    <n v="178"/>
    <n v="1"/>
    <n v="1"/>
  </r>
  <r>
    <m/>
    <m/>
    <x v="1"/>
    <s v="39662471001003"/>
    <n v="-7.2"/>
    <n v="294"/>
    <n v="1"/>
    <n v="1"/>
  </r>
  <r>
    <m/>
    <m/>
    <x v="1"/>
    <s v="39810811001003"/>
    <n v="-1.62"/>
    <n v="66"/>
    <n v="1"/>
    <n v="1"/>
  </r>
  <r>
    <m/>
    <m/>
    <x v="1"/>
    <s v="39860007001003"/>
    <n v="-6.2"/>
    <n v="253"/>
    <n v="1"/>
    <n v="1"/>
  </r>
  <r>
    <m/>
    <m/>
    <x v="1"/>
    <s v="40288069002001"/>
    <n v="-39"/>
    <n v="1592"/>
    <n v="1"/>
    <n v="1"/>
  </r>
  <r>
    <m/>
    <m/>
    <x v="1"/>
    <s v="40458113001001"/>
    <n v="-0.32"/>
    <n v="13"/>
    <n v="1"/>
    <n v="1"/>
  </r>
  <r>
    <m/>
    <m/>
    <x v="1"/>
    <s v="41383064001001"/>
    <n v="-15.29"/>
    <n v="624"/>
    <n v="1"/>
    <n v="1"/>
  </r>
  <r>
    <m/>
    <m/>
    <x v="1"/>
    <s v="41426603001001"/>
    <n v="-10.17"/>
    <n v="415"/>
    <n v="1"/>
    <n v="1"/>
  </r>
  <r>
    <m/>
    <m/>
    <x v="1"/>
    <s v="41439561001003"/>
    <n v="-5.19"/>
    <n v="212"/>
    <n v="1"/>
    <n v="1"/>
  </r>
  <r>
    <m/>
    <m/>
    <x v="1"/>
    <s v="41823518001001"/>
    <n v="-1.57"/>
    <n v="64"/>
    <n v="1"/>
    <n v="1"/>
  </r>
  <r>
    <m/>
    <m/>
    <x v="1"/>
    <s v="42039072001008"/>
    <n v="-1.2"/>
    <n v="49"/>
    <n v="1"/>
    <n v="1"/>
  </r>
  <r>
    <m/>
    <m/>
    <x v="1"/>
    <s v="42075427001001"/>
    <n v="-9.3800000000000008"/>
    <n v="383"/>
    <n v="1"/>
    <n v="1"/>
  </r>
  <r>
    <m/>
    <m/>
    <x v="1"/>
    <s v="42491401001003"/>
    <n v="-20.43"/>
    <n v="834"/>
    <n v="1"/>
    <n v="1"/>
  </r>
  <r>
    <m/>
    <m/>
    <x v="1"/>
    <s v="42514501001001"/>
    <n v="-11.25"/>
    <n v="459"/>
    <n v="1"/>
    <n v="1"/>
  </r>
  <r>
    <m/>
    <m/>
    <x v="1"/>
    <s v="42524441001002"/>
    <n v="-30.28"/>
    <n v="1236"/>
    <n v="1"/>
    <n v="1"/>
  </r>
  <r>
    <m/>
    <m/>
    <x v="1"/>
    <s v="42528501001002"/>
    <n v="-12.15"/>
    <n v="496"/>
    <n v="1"/>
    <n v="1"/>
  </r>
  <r>
    <m/>
    <m/>
    <x v="1"/>
    <s v="42536481001002"/>
    <n v="-24.79"/>
    <n v="1012"/>
    <n v="1"/>
    <n v="1"/>
  </r>
  <r>
    <m/>
    <m/>
    <x v="1"/>
    <s v="42586041004001"/>
    <n v="-15.53"/>
    <n v="634"/>
    <n v="1"/>
    <n v="1"/>
  </r>
  <r>
    <m/>
    <m/>
    <x v="1"/>
    <s v="42620271001001"/>
    <n v="-0.39"/>
    <n v="16"/>
    <n v="1"/>
    <n v="1"/>
  </r>
  <r>
    <m/>
    <m/>
    <x v="1"/>
    <s v="42649321001001"/>
    <n v="-0.98"/>
    <n v="40"/>
    <n v="1"/>
    <n v="1"/>
  </r>
  <r>
    <m/>
    <m/>
    <x v="1"/>
    <s v="42659261001004"/>
    <n v="-5.12"/>
    <n v="209"/>
    <n v="1"/>
    <n v="1"/>
  </r>
  <r>
    <m/>
    <m/>
    <x v="1"/>
    <s v="42677111001001"/>
    <n v="-3.85"/>
    <n v="157"/>
    <n v="1"/>
    <n v="1"/>
  </r>
  <r>
    <m/>
    <m/>
    <x v="1"/>
    <s v="42812561001002"/>
    <n v="-44.69"/>
    <n v="1824"/>
    <n v="1"/>
    <n v="1"/>
  </r>
  <r>
    <m/>
    <m/>
    <x v="1"/>
    <s v="42890570001001"/>
    <n v="-34.06"/>
    <n v="1390"/>
    <n v="1"/>
    <n v="1"/>
  </r>
  <r>
    <m/>
    <m/>
    <x v="1"/>
    <s v="42898451001001"/>
    <n v="-3.7"/>
    <n v="151"/>
    <n v="1"/>
    <n v="1"/>
  </r>
  <r>
    <m/>
    <m/>
    <x v="1"/>
    <s v="42954661002001"/>
    <n v="-11.17"/>
    <n v="456"/>
    <n v="1"/>
    <n v="1"/>
  </r>
  <r>
    <m/>
    <m/>
    <x v="1"/>
    <s v="43124621001001"/>
    <n v="-4.9000000000000004"/>
    <n v="200"/>
    <n v="1"/>
    <n v="1"/>
  </r>
  <r>
    <m/>
    <m/>
    <x v="1"/>
    <s v="43137151001001"/>
    <n v="-12.91"/>
    <n v="527"/>
    <n v="1"/>
    <n v="1"/>
  </r>
  <r>
    <m/>
    <m/>
    <x v="1"/>
    <s v="43234101001001"/>
    <n v="-3.31"/>
    <n v="135"/>
    <n v="1"/>
    <n v="1"/>
  </r>
  <r>
    <m/>
    <m/>
    <x v="1"/>
    <s v="43243411001002"/>
    <n v="-9.11"/>
    <n v="372"/>
    <n v="1"/>
    <n v="1"/>
  </r>
  <r>
    <m/>
    <m/>
    <x v="1"/>
    <s v="43288421001001"/>
    <n v="-6.17"/>
    <n v="252"/>
    <n v="1"/>
    <n v="1"/>
  </r>
  <r>
    <m/>
    <m/>
    <x v="1"/>
    <s v="43297591001002"/>
    <n v="-5.76"/>
    <n v="235"/>
    <n v="1"/>
    <n v="1"/>
  </r>
  <r>
    <m/>
    <m/>
    <x v="1"/>
    <s v="43325521001002"/>
    <n v="-2.35"/>
    <n v="96"/>
    <n v="1"/>
    <n v="1"/>
  </r>
  <r>
    <m/>
    <m/>
    <x v="1"/>
    <s v="43333711001002"/>
    <n v="-2.7"/>
    <n v="110"/>
    <n v="1"/>
    <n v="1"/>
  </r>
  <r>
    <m/>
    <m/>
    <x v="1"/>
    <s v="43341691001009"/>
    <n v="-16.829999999999998"/>
    <n v="687"/>
    <n v="1"/>
    <n v="1"/>
  </r>
  <r>
    <m/>
    <m/>
    <x v="1"/>
    <s v="43363111001003"/>
    <n v="-24.97"/>
    <n v="1019"/>
    <n v="1"/>
    <n v="1"/>
  </r>
  <r>
    <m/>
    <m/>
    <x v="1"/>
    <s v="43390341005001"/>
    <n v="-0.1"/>
    <n v="4"/>
    <n v="1"/>
    <n v="1"/>
  </r>
  <r>
    <m/>
    <m/>
    <x v="1"/>
    <s v="43399301001004"/>
    <n v="-8.58"/>
    <n v="350"/>
    <n v="1"/>
    <n v="1"/>
  </r>
  <r>
    <m/>
    <m/>
    <x v="1"/>
    <s v="43499059001005"/>
    <n v="-0.76"/>
    <n v="31"/>
    <n v="1"/>
    <n v="1"/>
  </r>
  <r>
    <m/>
    <m/>
    <x v="1"/>
    <s v="43659561001002"/>
    <n v="-1.05"/>
    <n v="43"/>
    <n v="1"/>
    <n v="1"/>
  </r>
  <r>
    <m/>
    <m/>
    <x v="1"/>
    <s v="43677061001004"/>
    <n v="-9.3800000000000008"/>
    <n v="383"/>
    <n v="1"/>
    <n v="1"/>
  </r>
  <r>
    <m/>
    <m/>
    <x v="1"/>
    <s v="43684761001003"/>
    <n v="-1"/>
    <n v="41"/>
    <n v="1"/>
    <n v="1"/>
  </r>
  <r>
    <m/>
    <m/>
    <x v="1"/>
    <s v="43686651002002"/>
    <n v="-14.14"/>
    <n v="577"/>
    <n v="1"/>
    <n v="1"/>
  </r>
  <r>
    <m/>
    <m/>
    <x v="1"/>
    <s v="43687491001003"/>
    <n v="-8.48"/>
    <n v="346"/>
    <n v="1"/>
    <n v="1"/>
  </r>
  <r>
    <m/>
    <m/>
    <x v="1"/>
    <s v="43692811001002"/>
    <n v="-7.45"/>
    <n v="304"/>
    <n v="1"/>
    <n v="1"/>
  </r>
  <r>
    <m/>
    <m/>
    <x v="1"/>
    <s v="43717941001003"/>
    <n v="-2.6"/>
    <n v="106"/>
    <n v="1"/>
    <n v="1"/>
  </r>
  <r>
    <m/>
    <m/>
    <x v="1"/>
    <s v="43726551002001"/>
    <n v="-11.64"/>
    <n v="475"/>
    <n v="1"/>
    <n v="1"/>
  </r>
  <r>
    <m/>
    <m/>
    <x v="1"/>
    <s v="43764561001002"/>
    <n v="-8.65"/>
    <n v="353"/>
    <n v="1"/>
    <n v="1"/>
  </r>
  <r>
    <m/>
    <m/>
    <x v="1"/>
    <s v="43829871002001"/>
    <n v="-3.28"/>
    <n v="134"/>
    <n v="1"/>
    <n v="1"/>
  </r>
  <r>
    <m/>
    <m/>
    <x v="1"/>
    <s v="43863401001002"/>
    <n v="-6.62"/>
    <n v="270"/>
    <n v="1"/>
    <n v="1"/>
  </r>
  <r>
    <m/>
    <m/>
    <x v="1"/>
    <s v="43881111001003"/>
    <n v="-5.76"/>
    <n v="235"/>
    <n v="1"/>
    <n v="1"/>
  </r>
  <r>
    <m/>
    <m/>
    <x v="1"/>
    <s v="43901831002001"/>
    <n v="-2.77"/>
    <n v="113"/>
    <n v="1"/>
    <n v="1"/>
  </r>
  <r>
    <m/>
    <m/>
    <x v="1"/>
    <s v="43918351001003"/>
    <n v="-9.3800000000000008"/>
    <n v="383"/>
    <n v="1"/>
    <n v="1"/>
  </r>
  <r>
    <m/>
    <m/>
    <x v="1"/>
    <s v="43953794001001"/>
    <n v="-21.68"/>
    <n v="885"/>
    <n v="1"/>
    <n v="1"/>
  </r>
  <r>
    <m/>
    <m/>
    <x v="1"/>
    <s v="43992272001007"/>
    <n v="-7.15"/>
    <n v="292"/>
    <n v="1"/>
    <n v="1"/>
  </r>
  <r>
    <m/>
    <m/>
    <x v="1"/>
    <s v="44017138001001"/>
    <n v="-8.23"/>
    <n v="336"/>
    <n v="1"/>
    <n v="1"/>
  </r>
  <r>
    <m/>
    <m/>
    <x v="1"/>
    <s v="44032521001001"/>
    <n v="-9.4600000000000009"/>
    <n v="386"/>
    <n v="1"/>
    <n v="1"/>
  </r>
  <r>
    <m/>
    <m/>
    <x v="1"/>
    <s v="44089561001003"/>
    <n v="-0.51"/>
    <n v="21"/>
    <n v="1"/>
    <n v="1"/>
  </r>
  <r>
    <m/>
    <m/>
    <x v="1"/>
    <s v="44141337001005"/>
    <n v="-12.79"/>
    <n v="522"/>
    <n v="1"/>
    <n v="1"/>
  </r>
  <r>
    <m/>
    <m/>
    <x v="1"/>
    <s v="44169062001003"/>
    <n v="-9.48"/>
    <n v="387"/>
    <n v="1"/>
    <n v="1"/>
  </r>
  <r>
    <m/>
    <m/>
    <x v="1"/>
    <s v="44225511001001"/>
    <n v="-16.61"/>
    <n v="678"/>
    <n v="1"/>
    <n v="1"/>
  </r>
  <r>
    <m/>
    <m/>
    <x v="1"/>
    <s v="44254071001001"/>
    <n v="-8.58"/>
    <n v="350"/>
    <n v="1"/>
    <n v="1"/>
  </r>
  <r>
    <m/>
    <m/>
    <x v="1"/>
    <s v="44271711001001"/>
    <n v="-0.15"/>
    <n v="6"/>
    <n v="1"/>
    <n v="1"/>
  </r>
  <r>
    <m/>
    <m/>
    <x v="1"/>
    <s v="44301741001003"/>
    <n v="-13.3"/>
    <n v="543"/>
    <n v="1"/>
    <n v="1"/>
  </r>
  <r>
    <m/>
    <m/>
    <x v="1"/>
    <s v="44319801001012"/>
    <n v="-0.34"/>
    <n v="14"/>
    <n v="1"/>
    <n v="1"/>
  </r>
  <r>
    <m/>
    <m/>
    <x v="1"/>
    <s v="44339401001001"/>
    <n v="-6.08"/>
    <n v="248"/>
    <n v="1"/>
    <n v="1"/>
  </r>
  <r>
    <m/>
    <m/>
    <x v="1"/>
    <s v="44353961001003"/>
    <n v="-3.38"/>
    <n v="138"/>
    <n v="1"/>
    <n v="1"/>
  </r>
  <r>
    <m/>
    <m/>
    <x v="1"/>
    <s v="44431101001001"/>
    <n v="-6.59"/>
    <n v="269"/>
    <n v="1"/>
    <n v="1"/>
  </r>
  <r>
    <m/>
    <m/>
    <x v="1"/>
    <s v="44437261002001"/>
    <n v="-28.47"/>
    <n v="1162"/>
    <n v="1"/>
    <n v="1"/>
  </r>
  <r>
    <m/>
    <m/>
    <x v="1"/>
    <s v="44449861003001"/>
    <n v="-25.24"/>
    <n v="1030"/>
    <n v="1"/>
    <n v="1"/>
  </r>
  <r>
    <m/>
    <m/>
    <x v="1"/>
    <s v="44468901001002"/>
    <n v="-5.17"/>
    <n v="211"/>
    <n v="1"/>
    <n v="1"/>
  </r>
  <r>
    <m/>
    <m/>
    <x v="1"/>
    <s v="44485551001001"/>
    <n v="-13.52"/>
    <n v="552"/>
    <n v="1"/>
    <n v="1"/>
  </r>
  <r>
    <m/>
    <m/>
    <x v="1"/>
    <s v="44487731001001"/>
    <n v="-1.25"/>
    <n v="51"/>
    <n v="1"/>
    <n v="1"/>
  </r>
  <r>
    <m/>
    <m/>
    <x v="1"/>
    <s v="44496438001001"/>
    <n v="-8.6999999999999993"/>
    <n v="355"/>
    <n v="1"/>
    <n v="1"/>
  </r>
  <r>
    <m/>
    <m/>
    <x v="1"/>
    <s v="44500471002001"/>
    <n v="-28.47"/>
    <n v="1162"/>
    <n v="1"/>
    <n v="1"/>
  </r>
  <r>
    <m/>
    <m/>
    <x v="1"/>
    <s v="44524271001003"/>
    <n v="-5.51"/>
    <n v="225"/>
    <n v="1"/>
    <n v="1"/>
  </r>
  <r>
    <m/>
    <m/>
    <x v="1"/>
    <s v="44530221003001"/>
    <n v="-5.34"/>
    <n v="218"/>
    <n v="1"/>
    <n v="1"/>
  </r>
  <r>
    <m/>
    <m/>
    <x v="1"/>
    <s v="44588111004001"/>
    <n v="-14.23"/>
    <n v="581"/>
    <n v="1"/>
    <n v="1"/>
  </r>
  <r>
    <m/>
    <m/>
    <x v="1"/>
    <s v="44636061001001"/>
    <n v="-6.59"/>
    <n v="269"/>
    <n v="1"/>
    <n v="1"/>
  </r>
  <r>
    <m/>
    <m/>
    <x v="1"/>
    <s v="44697801002002"/>
    <n v="-7.25"/>
    <n v="296"/>
    <n v="1"/>
    <n v="1"/>
  </r>
  <r>
    <m/>
    <m/>
    <x v="1"/>
    <s v="44711731001005"/>
    <n v="-7.84"/>
    <n v="320"/>
    <n v="1"/>
    <n v="1"/>
  </r>
  <r>
    <m/>
    <m/>
    <x v="1"/>
    <s v="44716981001002"/>
    <n v="-11.17"/>
    <n v="456"/>
    <n v="1"/>
    <n v="1"/>
  </r>
  <r>
    <m/>
    <m/>
    <x v="1"/>
    <s v="44717961001001"/>
    <n v="-2.79"/>
    <n v="114"/>
    <n v="1"/>
    <n v="1"/>
  </r>
  <r>
    <m/>
    <m/>
    <x v="1"/>
    <s v="44726851001001"/>
    <n v="-27.83"/>
    <n v="1136"/>
    <n v="1"/>
    <n v="1"/>
  </r>
  <r>
    <m/>
    <m/>
    <x v="1"/>
    <s v="44760031004001"/>
    <n v="-1.96"/>
    <n v="80"/>
    <n v="1"/>
    <n v="1"/>
  </r>
  <r>
    <m/>
    <m/>
    <x v="1"/>
    <s v="44789081002003"/>
    <n v="-9.09"/>
    <n v="371"/>
    <n v="1"/>
    <n v="1"/>
  </r>
  <r>
    <m/>
    <m/>
    <x v="1"/>
    <s v="44797411005020"/>
    <n v="-0.96"/>
    <n v="39"/>
    <n v="1"/>
    <n v="1"/>
  </r>
  <r>
    <m/>
    <m/>
    <x v="1"/>
    <s v="44805881002002"/>
    <n v="-11.76"/>
    <n v="480"/>
    <n v="1"/>
    <n v="1"/>
  </r>
  <r>
    <m/>
    <m/>
    <x v="1"/>
    <s v="44811481003005"/>
    <n v="-2.1800000000000002"/>
    <n v="89"/>
    <n v="1"/>
    <n v="1"/>
  </r>
  <r>
    <m/>
    <m/>
    <x v="1"/>
    <s v="44813091001002"/>
    <n v="-4.41"/>
    <n v="180"/>
    <n v="1"/>
    <n v="1"/>
  </r>
  <r>
    <m/>
    <m/>
    <x v="1"/>
    <s v="44827301001001"/>
    <n v="-9.41"/>
    <n v="384"/>
    <n v="1"/>
    <n v="1"/>
  </r>
  <r>
    <m/>
    <m/>
    <x v="1"/>
    <s v="44847951001001"/>
    <n v="-7.89"/>
    <n v="322"/>
    <n v="1"/>
    <n v="1"/>
  </r>
  <r>
    <m/>
    <m/>
    <x v="1"/>
    <s v="44848161001001"/>
    <n v="-7.62"/>
    <n v="311"/>
    <n v="1"/>
    <n v="1"/>
  </r>
  <r>
    <m/>
    <m/>
    <x v="1"/>
    <s v="44876721001002"/>
    <n v="-19.36"/>
    <n v="790"/>
    <n v="1"/>
    <n v="1"/>
  </r>
  <r>
    <m/>
    <m/>
    <x v="1"/>
    <s v="44882082003001"/>
    <n v="-0.12"/>
    <n v="5"/>
    <n v="1"/>
    <n v="1"/>
  </r>
  <r>
    <m/>
    <m/>
    <x v="1"/>
    <s v="44883581001001"/>
    <n v="-6.1"/>
    <n v="249"/>
    <n v="1"/>
    <n v="1"/>
  </r>
  <r>
    <m/>
    <m/>
    <x v="1"/>
    <s v="44905351001002"/>
    <n v="-4.88"/>
    <n v="199"/>
    <n v="1"/>
    <n v="1"/>
  </r>
  <r>
    <m/>
    <m/>
    <x v="1"/>
    <s v="44908641001004"/>
    <n v="-4.6100000000000003"/>
    <n v="188"/>
    <n v="1"/>
    <n v="1"/>
  </r>
  <r>
    <m/>
    <m/>
    <x v="1"/>
    <s v="44943221001001"/>
    <n v="-13.43"/>
    <n v="548"/>
    <n v="1"/>
    <n v="1"/>
  </r>
  <r>
    <m/>
    <m/>
    <x v="1"/>
    <s v="44983121001001"/>
    <n v="-4.83"/>
    <n v="197"/>
    <n v="1"/>
    <n v="1"/>
  </r>
  <r>
    <m/>
    <m/>
    <x v="1"/>
    <s v="44995231002001"/>
    <n v="-4.21"/>
    <n v="172"/>
    <n v="1"/>
    <n v="1"/>
  </r>
  <r>
    <m/>
    <m/>
    <x v="1"/>
    <s v="45037931001001"/>
    <n v="-5.41"/>
    <n v="221"/>
    <n v="1"/>
    <n v="1"/>
  </r>
  <r>
    <m/>
    <m/>
    <x v="1"/>
    <s v="45042901001001"/>
    <n v="-1.59"/>
    <n v="65"/>
    <n v="1"/>
    <n v="1"/>
  </r>
  <r>
    <m/>
    <m/>
    <x v="1"/>
    <s v="45045911001001"/>
    <n v="-8.06"/>
    <n v="329"/>
    <n v="1"/>
    <n v="1"/>
  </r>
  <r>
    <m/>
    <m/>
    <x v="1"/>
    <s v="45045981001003"/>
    <n v="-2.57"/>
    <n v="105"/>
    <n v="1"/>
    <n v="1"/>
  </r>
  <r>
    <m/>
    <m/>
    <x v="1"/>
    <s v="45049061001001"/>
    <n v="-1.27"/>
    <n v="52"/>
    <n v="1"/>
    <n v="1"/>
  </r>
  <r>
    <m/>
    <m/>
    <x v="1"/>
    <s v="45051231004001"/>
    <n v="-3.92"/>
    <n v="160"/>
    <n v="1"/>
    <n v="1"/>
  </r>
  <r>
    <m/>
    <m/>
    <x v="1"/>
    <s v="45060821001003"/>
    <n v="-7.64"/>
    <n v="312"/>
    <n v="1"/>
    <n v="1"/>
  </r>
  <r>
    <m/>
    <m/>
    <x v="1"/>
    <s v="45087071001001"/>
    <n v="-9.51"/>
    <n v="388"/>
    <n v="1"/>
    <n v="1"/>
  </r>
  <r>
    <m/>
    <m/>
    <x v="1"/>
    <s v="45128721001001"/>
    <n v="-1.62"/>
    <n v="66"/>
    <n v="1"/>
    <n v="1"/>
  </r>
  <r>
    <m/>
    <m/>
    <x v="1"/>
    <s v="45155461001001"/>
    <n v="-8.92"/>
    <n v="364"/>
    <n v="1"/>
    <n v="1"/>
  </r>
  <r>
    <m/>
    <m/>
    <x v="1"/>
    <s v="45161551001001"/>
    <n v="-14.72"/>
    <n v="601"/>
    <n v="1"/>
    <n v="1"/>
  </r>
  <r>
    <m/>
    <m/>
    <x v="1"/>
    <s v="45185561001003"/>
    <n v="-13.55"/>
    <n v="553"/>
    <n v="1"/>
    <n v="1"/>
  </r>
  <r>
    <m/>
    <m/>
    <x v="1"/>
    <s v="45188011001001"/>
    <n v="-2.6"/>
    <n v="106"/>
    <n v="1"/>
    <n v="1"/>
  </r>
  <r>
    <m/>
    <m/>
    <x v="1"/>
    <s v="45200191001001"/>
    <n v="-6"/>
    <n v="245"/>
    <n v="1"/>
    <n v="1"/>
  </r>
  <r>
    <m/>
    <m/>
    <x v="1"/>
    <s v="45200681004001"/>
    <n v="-15.17"/>
    <n v="619"/>
    <n v="1"/>
    <n v="1"/>
  </r>
  <r>
    <m/>
    <m/>
    <x v="1"/>
    <s v="45206841001001"/>
    <n v="-17.170000000000002"/>
    <n v="701"/>
    <n v="1"/>
    <n v="1"/>
  </r>
  <r>
    <m/>
    <m/>
    <x v="1"/>
    <s v="45253371002003"/>
    <n v="-2.21"/>
    <n v="90"/>
    <n v="1"/>
    <n v="1"/>
  </r>
  <r>
    <m/>
    <m/>
    <x v="1"/>
    <s v="45272991001001"/>
    <n v="-6.25"/>
    <n v="255"/>
    <n v="1"/>
    <n v="1"/>
  </r>
  <r>
    <m/>
    <m/>
    <x v="1"/>
    <s v="45311911001001"/>
    <n v="-14.21"/>
    <n v="580"/>
    <n v="1"/>
    <n v="1"/>
  </r>
  <r>
    <m/>
    <m/>
    <x v="1"/>
    <s v="45329621001002"/>
    <n v="-24.26"/>
    <n v="990"/>
    <n v="1"/>
    <n v="1"/>
  </r>
  <r>
    <m/>
    <m/>
    <x v="1"/>
    <s v="45381281001001"/>
    <n v="-2.35"/>
    <n v="96"/>
    <n v="1"/>
    <n v="1"/>
  </r>
  <r>
    <m/>
    <m/>
    <x v="1"/>
    <s v="45384011001002"/>
    <n v="-16.829999999999998"/>
    <n v="687"/>
    <n v="1"/>
    <n v="1"/>
  </r>
  <r>
    <m/>
    <m/>
    <x v="1"/>
    <s v="45435111001002"/>
    <n v="-18.989999999999998"/>
    <n v="775"/>
    <n v="1"/>
    <n v="1"/>
  </r>
  <r>
    <m/>
    <m/>
    <x v="1"/>
    <s v="45443161001003"/>
    <n v="-9.56"/>
    <n v="390"/>
    <n v="1"/>
    <n v="1"/>
  </r>
  <r>
    <m/>
    <m/>
    <x v="1"/>
    <s v="45455716004001"/>
    <n v="-23.67"/>
    <n v="966"/>
    <n v="1"/>
    <n v="1"/>
  </r>
  <r>
    <m/>
    <m/>
    <x v="1"/>
    <s v="45487611001002"/>
    <n v="-5"/>
    <n v="204"/>
    <n v="1"/>
    <n v="1"/>
  </r>
  <r>
    <m/>
    <m/>
    <x v="1"/>
    <s v="45508261001001"/>
    <n v="-0.25"/>
    <n v="10"/>
    <n v="1"/>
    <n v="1"/>
  </r>
  <r>
    <m/>
    <m/>
    <x v="1"/>
    <s v="45595131003001"/>
    <n v="-0.25"/>
    <n v="10"/>
    <n v="1"/>
    <n v="1"/>
  </r>
  <r>
    <m/>
    <m/>
    <x v="1"/>
    <s v="45599751001003"/>
    <n v="-0.37"/>
    <n v="15"/>
    <n v="1"/>
    <n v="1"/>
  </r>
  <r>
    <m/>
    <m/>
    <x v="1"/>
    <s v="45628101001001"/>
    <n v="-12.5"/>
    <n v="510"/>
    <n v="1"/>
    <n v="1"/>
  </r>
  <r>
    <m/>
    <m/>
    <x v="1"/>
    <s v="45634593001005"/>
    <n v="-4.4800000000000004"/>
    <n v="183"/>
    <n v="1"/>
    <n v="1"/>
  </r>
  <r>
    <m/>
    <m/>
    <x v="1"/>
    <s v="45755151003001"/>
    <n v="-2.84"/>
    <n v="116"/>
    <n v="1"/>
    <n v="1"/>
  </r>
  <r>
    <m/>
    <m/>
    <x v="1"/>
    <s v="45765931005001"/>
    <n v="-2.84"/>
    <n v="116"/>
    <n v="1"/>
    <n v="1"/>
  </r>
  <r>
    <m/>
    <m/>
    <x v="1"/>
    <s v="45788681002001"/>
    <n v="-0.88"/>
    <n v="36"/>
    <n v="1"/>
    <n v="1"/>
  </r>
  <r>
    <m/>
    <m/>
    <x v="1"/>
    <s v="45796661003006"/>
    <n v="-1.03"/>
    <n v="42"/>
    <n v="1"/>
    <n v="1"/>
  </r>
  <r>
    <m/>
    <m/>
    <x v="1"/>
    <s v="45818361008003"/>
    <n v="-3.23"/>
    <n v="132"/>
    <n v="1"/>
    <n v="1"/>
  </r>
  <r>
    <m/>
    <m/>
    <x v="1"/>
    <s v="45846991001001"/>
    <n v="-24.01"/>
    <n v="980"/>
    <n v="1"/>
    <n v="1"/>
  </r>
  <r>
    <m/>
    <m/>
    <x v="1"/>
    <s v="45848321002005"/>
    <n v="-3.16"/>
    <n v="129"/>
    <n v="1"/>
    <n v="1"/>
  </r>
  <r>
    <m/>
    <m/>
    <x v="1"/>
    <s v="45851261001001"/>
    <n v="-15.68"/>
    <n v="640"/>
    <n v="1"/>
    <n v="1"/>
  </r>
  <r>
    <m/>
    <m/>
    <x v="1"/>
    <s v="45855951001001"/>
    <n v="-13.28"/>
    <n v="542"/>
    <n v="1"/>
    <n v="1"/>
  </r>
  <r>
    <m/>
    <m/>
    <x v="1"/>
    <s v="45861481003001"/>
    <n v="-5.07"/>
    <n v="207"/>
    <n v="1"/>
    <n v="1"/>
  </r>
  <r>
    <m/>
    <m/>
    <x v="1"/>
    <s v="45923431004001"/>
    <n v="-20.9"/>
    <n v="853"/>
    <n v="1"/>
    <n v="1"/>
  </r>
  <r>
    <m/>
    <m/>
    <x v="1"/>
    <s v="45929941001001"/>
    <n v="-5.68"/>
    <n v="232"/>
    <n v="1"/>
    <n v="1"/>
  </r>
  <r>
    <m/>
    <m/>
    <x v="1"/>
    <s v="45955491001002"/>
    <n v="-0.44"/>
    <n v="18"/>
    <n v="1"/>
    <n v="1"/>
  </r>
  <r>
    <m/>
    <m/>
    <x v="1"/>
    <s v="46002181001004"/>
    <n v="-0.64"/>
    <n v="26"/>
    <n v="1"/>
    <n v="1"/>
  </r>
  <r>
    <m/>
    <m/>
    <x v="1"/>
    <s v="46067776002003"/>
    <n v="-4.34"/>
    <n v="177"/>
    <n v="1"/>
    <n v="1"/>
  </r>
  <r>
    <m/>
    <m/>
    <x v="1"/>
    <s v="46087791001001"/>
    <n v="-2.82"/>
    <n v="115"/>
    <n v="1"/>
    <n v="1"/>
  </r>
  <r>
    <m/>
    <m/>
    <x v="1"/>
    <s v="46108706001003"/>
    <n v="-0.32"/>
    <n v="13"/>
    <n v="1"/>
    <n v="1"/>
  </r>
  <r>
    <m/>
    <m/>
    <x v="1"/>
    <s v="46109911001006"/>
    <n v="-1.81"/>
    <n v="74"/>
    <n v="1"/>
    <n v="1"/>
  </r>
  <r>
    <m/>
    <m/>
    <x v="1"/>
    <s v="46115161001001"/>
    <n v="-9.92"/>
    <n v="405"/>
    <n v="1"/>
    <n v="1"/>
  </r>
  <r>
    <m/>
    <m/>
    <x v="1"/>
    <s v="46127621002001"/>
    <n v="-23.28"/>
    <n v="950"/>
    <n v="1"/>
    <n v="1"/>
  </r>
  <r>
    <m/>
    <m/>
    <x v="1"/>
    <s v="46140781001002"/>
    <n v="-0.59"/>
    <n v="24"/>
    <n v="1"/>
    <n v="1"/>
  </r>
  <r>
    <m/>
    <m/>
    <x v="1"/>
    <s v="46149881001005"/>
    <n v="-0.05"/>
    <n v="2"/>
    <n v="1"/>
    <n v="1"/>
  </r>
  <r>
    <m/>
    <m/>
    <x v="1"/>
    <s v="46181801006035"/>
    <n v="-9.41"/>
    <n v="384"/>
    <n v="1"/>
    <n v="1"/>
  </r>
  <r>
    <m/>
    <m/>
    <x v="1"/>
    <s v="46212041001001"/>
    <n v="-1.35"/>
    <n v="55"/>
    <n v="1"/>
    <n v="1"/>
  </r>
  <r>
    <m/>
    <m/>
    <x v="1"/>
    <s v="46228281001002"/>
    <n v="-2.1800000000000002"/>
    <n v="89"/>
    <n v="1"/>
    <n v="1"/>
  </r>
  <r>
    <m/>
    <m/>
    <x v="1"/>
    <s v="46332861005002"/>
    <n v="-17.86"/>
    <n v="729"/>
    <n v="1"/>
    <n v="1"/>
  </r>
  <r>
    <m/>
    <m/>
    <x v="1"/>
    <s v="46333701006001"/>
    <n v="-10.8"/>
    <n v="441"/>
    <n v="1"/>
    <n v="1"/>
  </r>
  <r>
    <m/>
    <m/>
    <x v="1"/>
    <s v="46341751001001"/>
    <n v="-28.62"/>
    <n v="1168"/>
    <n v="1"/>
    <n v="1"/>
  </r>
  <r>
    <m/>
    <m/>
    <x v="1"/>
    <s v="46392431004003"/>
    <n v="-7.42"/>
    <n v="303"/>
    <n v="1"/>
    <n v="1"/>
  </r>
  <r>
    <m/>
    <m/>
    <x v="1"/>
    <s v="46403001005001"/>
    <n v="-2.4500000000000002"/>
    <n v="100"/>
    <n v="1"/>
    <n v="1"/>
  </r>
  <r>
    <m/>
    <m/>
    <x v="1"/>
    <s v="46447731001002"/>
    <n v="-12.42"/>
    <n v="507"/>
    <n v="1"/>
    <n v="1"/>
  </r>
  <r>
    <m/>
    <m/>
    <x v="1"/>
    <s v="46459421003005"/>
    <n v="-2.77"/>
    <n v="113"/>
    <n v="1"/>
    <n v="1"/>
  </r>
  <r>
    <m/>
    <m/>
    <x v="1"/>
    <s v="46461591002001"/>
    <n v="-0.54"/>
    <n v="22"/>
    <n v="1"/>
    <n v="1"/>
  </r>
  <r>
    <m/>
    <m/>
    <x v="1"/>
    <s v="46484481001004"/>
    <n v="-7.64"/>
    <n v="312"/>
    <n v="1"/>
    <n v="1"/>
  </r>
  <r>
    <m/>
    <m/>
    <x v="1"/>
    <s v="46562181001001"/>
    <n v="-1.86"/>
    <n v="76"/>
    <n v="1"/>
    <n v="1"/>
  </r>
  <r>
    <m/>
    <m/>
    <x v="1"/>
    <s v="46613701001001"/>
    <n v="-3.65"/>
    <n v="149"/>
    <n v="1"/>
    <n v="1"/>
  </r>
  <r>
    <m/>
    <m/>
    <x v="1"/>
    <s v="46689301001005"/>
    <n v="-0.25"/>
    <n v="10"/>
    <n v="1"/>
    <n v="1"/>
  </r>
  <r>
    <m/>
    <m/>
    <x v="1"/>
    <s v="46747261004013"/>
    <n v="-4.1399999999999997"/>
    <n v="169"/>
    <n v="1"/>
    <n v="1"/>
  </r>
  <r>
    <m/>
    <m/>
    <x v="1"/>
    <s v="46774841003005"/>
    <n v="-4.53"/>
    <n v="185"/>
    <n v="1"/>
    <n v="1"/>
  </r>
  <r>
    <m/>
    <m/>
    <x v="1"/>
    <s v="46806971002001"/>
    <n v="-18.28"/>
    <n v="746"/>
    <n v="1"/>
    <n v="1"/>
  </r>
  <r>
    <m/>
    <m/>
    <x v="1"/>
    <s v="46868991001001"/>
    <n v="-0.28999999999999998"/>
    <n v="12"/>
    <n v="1"/>
    <n v="1"/>
  </r>
  <r>
    <m/>
    <m/>
    <x v="1"/>
    <s v="46933740002003"/>
    <n v="-0.1"/>
    <n v="4"/>
    <n v="1"/>
    <n v="1"/>
  </r>
  <r>
    <m/>
    <m/>
    <x v="1"/>
    <s v="47056381002002"/>
    <n v="-5.61"/>
    <n v="229"/>
    <n v="1"/>
    <n v="1"/>
  </r>
  <r>
    <m/>
    <m/>
    <x v="1"/>
    <s v="47142060001003"/>
    <n v="-0.34"/>
    <n v="14"/>
    <n v="1"/>
    <n v="1"/>
  </r>
  <r>
    <m/>
    <m/>
    <x v="1"/>
    <s v="47162081002004"/>
    <n v="-8.35"/>
    <n v="341"/>
    <n v="1"/>
    <n v="1"/>
  </r>
  <r>
    <m/>
    <m/>
    <x v="1"/>
    <s v="47164607001003"/>
    <n v="-3.26"/>
    <n v="133"/>
    <n v="1"/>
    <n v="1"/>
  </r>
  <r>
    <m/>
    <m/>
    <x v="1"/>
    <s v="47166561001004"/>
    <n v="-13.4"/>
    <n v="547"/>
    <n v="1"/>
    <n v="1"/>
  </r>
  <r>
    <m/>
    <m/>
    <x v="1"/>
    <s v="47167121008001"/>
    <n v="-17.64"/>
    <n v="720"/>
    <n v="1"/>
    <n v="1"/>
  </r>
  <r>
    <m/>
    <m/>
    <x v="1"/>
    <s v="47184061008001"/>
    <n v="-0.71"/>
    <n v="29"/>
    <n v="1"/>
    <n v="1"/>
  </r>
  <r>
    <m/>
    <m/>
    <x v="1"/>
    <s v="47203101003001"/>
    <n v="-6.22"/>
    <n v="254"/>
    <n v="1"/>
    <n v="1"/>
  </r>
  <r>
    <m/>
    <m/>
    <x v="1"/>
    <s v="47210031006001"/>
    <n v="-16.170000000000002"/>
    <n v="660"/>
    <n v="1"/>
    <n v="1"/>
  </r>
  <r>
    <m/>
    <m/>
    <x v="1"/>
    <s v="47227107001005"/>
    <n v="-2.77"/>
    <n v="113"/>
    <n v="1"/>
    <n v="1"/>
  </r>
  <r>
    <m/>
    <m/>
    <x v="1"/>
    <s v="47299108003003"/>
    <n v="-1.27"/>
    <n v="52"/>
    <n v="1"/>
    <n v="1"/>
  </r>
  <r>
    <m/>
    <m/>
    <x v="1"/>
    <s v="47309151001003"/>
    <n v="-3.82"/>
    <n v="156"/>
    <n v="1"/>
    <n v="1"/>
  </r>
  <r>
    <m/>
    <m/>
    <x v="1"/>
    <s v="47315031001007"/>
    <n v="-0.02"/>
    <n v="1"/>
    <n v="1"/>
    <n v="1"/>
  </r>
  <r>
    <m/>
    <m/>
    <x v="1"/>
    <s v="47328121002001"/>
    <n v="-4.51"/>
    <n v="184"/>
    <n v="1"/>
    <n v="1"/>
  </r>
  <r>
    <m/>
    <m/>
    <x v="1"/>
    <s v="47335261001008"/>
    <n v="-0.15"/>
    <n v="6"/>
    <n v="1"/>
    <n v="1"/>
  </r>
  <r>
    <m/>
    <m/>
    <x v="1"/>
    <s v="47404141001001"/>
    <n v="-13.77"/>
    <n v="562"/>
    <n v="1"/>
    <n v="1"/>
  </r>
  <r>
    <m/>
    <m/>
    <x v="1"/>
    <s v="47418141001001"/>
    <n v="-11.29"/>
    <n v="461"/>
    <n v="1"/>
    <n v="1"/>
  </r>
  <r>
    <m/>
    <m/>
    <x v="1"/>
    <s v="47484221001003"/>
    <n v="-0.71"/>
    <n v="29"/>
    <n v="1"/>
    <n v="1"/>
  </r>
  <r>
    <m/>
    <m/>
    <x v="1"/>
    <s v="47496751010001"/>
    <n v="-2.2999999999999998"/>
    <n v="94"/>
    <n v="1"/>
    <n v="1"/>
  </r>
  <r>
    <m/>
    <m/>
    <x v="1"/>
    <s v="47505992001004"/>
    <n v="-27.88"/>
    <n v="1138"/>
    <n v="1"/>
    <n v="1"/>
  </r>
  <r>
    <m/>
    <m/>
    <x v="1"/>
    <s v="47543441001004"/>
    <n v="-9.68"/>
    <n v="395"/>
    <n v="1"/>
    <n v="1"/>
  </r>
  <r>
    <m/>
    <m/>
    <x v="1"/>
    <s v="47558607001001"/>
    <n v="-0.54"/>
    <n v="22"/>
    <n v="1"/>
    <n v="1"/>
  </r>
  <r>
    <m/>
    <m/>
    <x v="1"/>
    <s v="47567311002006"/>
    <n v="-13.23"/>
    <n v="540"/>
    <n v="1"/>
    <n v="1"/>
  </r>
  <r>
    <m/>
    <m/>
    <x v="1"/>
    <s v="47593271001001"/>
    <n v="-2.5"/>
    <n v="102"/>
    <n v="1"/>
    <n v="1"/>
  </r>
  <r>
    <m/>
    <m/>
    <x v="1"/>
    <s v="47598881005001"/>
    <n v="-3.92"/>
    <n v="160"/>
    <n v="1"/>
    <n v="1"/>
  </r>
  <r>
    <m/>
    <m/>
    <x v="1"/>
    <s v="47603221004001"/>
    <n v="-0.44"/>
    <n v="18"/>
    <n v="1"/>
    <n v="1"/>
  </r>
  <r>
    <m/>
    <m/>
    <x v="1"/>
    <s v="47614561003007"/>
    <n v="-3.82"/>
    <n v="156"/>
    <n v="1"/>
    <n v="1"/>
  </r>
  <r>
    <m/>
    <m/>
    <x v="1"/>
    <s v="47671401001005"/>
    <n v="-5.9"/>
    <n v="241"/>
    <n v="1"/>
    <n v="1"/>
  </r>
  <r>
    <m/>
    <m/>
    <x v="1"/>
    <s v="47673221001005"/>
    <n v="-2.0299999999999998"/>
    <n v="83"/>
    <n v="1"/>
    <n v="1"/>
  </r>
  <r>
    <m/>
    <m/>
    <x v="1"/>
    <s v="47696251001001"/>
    <n v="-11.1"/>
    <n v="453"/>
    <n v="1"/>
    <n v="1"/>
  </r>
  <r>
    <m/>
    <m/>
    <x v="1"/>
    <s v="47707871002001"/>
    <n v="-17.149999999999999"/>
    <n v="700"/>
    <n v="1"/>
    <n v="1"/>
  </r>
  <r>
    <m/>
    <m/>
    <x v="1"/>
    <s v="47759881007003"/>
    <n v="-1.81"/>
    <n v="74"/>
    <n v="1"/>
    <n v="1"/>
  </r>
  <r>
    <m/>
    <m/>
    <x v="1"/>
    <s v="47778151001004"/>
    <n v="-33"/>
    <n v="1347"/>
    <n v="1"/>
    <n v="1"/>
  </r>
  <r>
    <m/>
    <m/>
    <x v="1"/>
    <s v="47795791001001"/>
    <n v="-5.78"/>
    <n v="236"/>
    <n v="1"/>
    <n v="1"/>
  </r>
  <r>
    <m/>
    <m/>
    <x v="1"/>
    <s v="47848571001001"/>
    <n v="-0.66"/>
    <n v="27"/>
    <n v="1"/>
    <n v="1"/>
  </r>
  <r>
    <m/>
    <m/>
    <x v="1"/>
    <s v="47849621001003"/>
    <n v="-5.24"/>
    <n v="214"/>
    <n v="1"/>
    <n v="1"/>
  </r>
  <r>
    <m/>
    <m/>
    <x v="1"/>
    <s v="47863481003003"/>
    <n v="-0.61"/>
    <n v="25"/>
    <n v="1"/>
    <n v="1"/>
  </r>
  <r>
    <m/>
    <m/>
    <x v="1"/>
    <s v="47865371001001"/>
    <n v="-1.59"/>
    <n v="65"/>
    <n v="1"/>
    <n v="1"/>
  </r>
  <r>
    <m/>
    <m/>
    <x v="1"/>
    <s v="47871671002003"/>
    <n v="-0.34"/>
    <n v="14"/>
    <n v="1"/>
    <n v="1"/>
  </r>
  <r>
    <m/>
    <m/>
    <x v="1"/>
    <s v="47874432001002"/>
    <n v="-17.52"/>
    <n v="715"/>
    <n v="1"/>
    <n v="1"/>
  </r>
  <r>
    <m/>
    <m/>
    <x v="1"/>
    <s v="47902401001001"/>
    <n v="-4.83"/>
    <n v="197"/>
    <n v="1"/>
    <n v="1"/>
  </r>
  <r>
    <m/>
    <m/>
    <x v="1"/>
    <s v="47907721006007"/>
    <n v="-6.47"/>
    <n v="264"/>
    <n v="1"/>
    <n v="1"/>
  </r>
  <r>
    <m/>
    <m/>
    <x v="1"/>
    <s v="47951681001003"/>
    <n v="-6.42"/>
    <n v="262"/>
    <n v="1"/>
    <n v="1"/>
  </r>
  <r>
    <m/>
    <m/>
    <x v="1"/>
    <s v="48019581004001"/>
    <n v="-2.21"/>
    <n v="90"/>
    <n v="1"/>
    <n v="1"/>
  </r>
  <r>
    <m/>
    <m/>
    <x v="1"/>
    <s v="48037431004001"/>
    <n v="-0.28999999999999998"/>
    <n v="12"/>
    <n v="1"/>
    <n v="1"/>
  </r>
  <r>
    <m/>
    <m/>
    <x v="1"/>
    <s v="48051781001007"/>
    <n v="-0.88"/>
    <n v="36"/>
    <n v="1"/>
    <n v="1"/>
  </r>
  <r>
    <m/>
    <m/>
    <x v="1"/>
    <s v="48090281007001"/>
    <n v="-9.6999999999999993"/>
    <n v="396"/>
    <n v="1"/>
    <n v="1"/>
  </r>
  <r>
    <m/>
    <m/>
    <x v="1"/>
    <s v="48098261002004"/>
    <n v="-0.93"/>
    <n v="38"/>
    <n v="1"/>
    <n v="1"/>
  </r>
  <r>
    <m/>
    <m/>
    <x v="1"/>
    <s v="48098490001001"/>
    <n v="-10.07"/>
    <n v="411"/>
    <n v="1"/>
    <n v="1"/>
  </r>
  <r>
    <m/>
    <m/>
    <x v="1"/>
    <s v="48109251001002"/>
    <n v="-4.5599999999999996"/>
    <n v="186"/>
    <n v="1"/>
    <n v="1"/>
  </r>
  <r>
    <m/>
    <m/>
    <x v="1"/>
    <s v="48121991001001"/>
    <n v="-7.2"/>
    <n v="294"/>
    <n v="1"/>
    <n v="1"/>
  </r>
  <r>
    <m/>
    <m/>
    <x v="1"/>
    <s v="48201931003002"/>
    <n v="-15.24"/>
    <n v="622"/>
    <n v="1"/>
    <n v="1"/>
  </r>
  <r>
    <m/>
    <m/>
    <x v="1"/>
    <s v="48227142001001"/>
    <n v="-6.27"/>
    <n v="256"/>
    <n v="1"/>
    <n v="1"/>
  </r>
  <r>
    <m/>
    <m/>
    <x v="1"/>
    <s v="48244561001001"/>
    <n v="-4.1399999999999997"/>
    <n v="169"/>
    <n v="1"/>
    <n v="1"/>
  </r>
  <r>
    <m/>
    <m/>
    <x v="1"/>
    <s v="48270598001001"/>
    <n v="-0.61"/>
    <n v="25"/>
    <n v="1"/>
    <n v="1"/>
  </r>
  <r>
    <m/>
    <m/>
    <x v="1"/>
    <s v="48320511001002"/>
    <n v="-11.52"/>
    <n v="470"/>
    <n v="1"/>
    <n v="1"/>
  </r>
  <r>
    <m/>
    <m/>
    <x v="1"/>
    <s v="48498657001001"/>
    <n v="-1.2"/>
    <n v="49"/>
    <n v="1"/>
    <n v="1"/>
  </r>
  <r>
    <m/>
    <m/>
    <x v="1"/>
    <s v="48520235002004"/>
    <n v="-0.34"/>
    <n v="14"/>
    <n v="1"/>
    <n v="1"/>
  </r>
  <r>
    <m/>
    <m/>
    <x v="1"/>
    <s v="48622948001002"/>
    <n v="-5.95"/>
    <n v="243"/>
    <n v="1"/>
    <n v="1"/>
  </r>
  <r>
    <m/>
    <m/>
    <x v="1"/>
    <s v="48676391001001"/>
    <n v="-3.53"/>
    <n v="144"/>
    <n v="1"/>
    <n v="1"/>
  </r>
  <r>
    <m/>
    <m/>
    <x v="1"/>
    <s v="48754161004001"/>
    <n v="-14.01"/>
    <n v="572"/>
    <n v="1"/>
    <n v="1"/>
  </r>
  <r>
    <m/>
    <m/>
    <x v="1"/>
    <s v="48919522001001"/>
    <n v="-8.2799999999999994"/>
    <n v="338"/>
    <n v="1"/>
    <n v="1"/>
  </r>
  <r>
    <m/>
    <m/>
    <x v="1"/>
    <s v="48925311003003"/>
    <n v="-7.74"/>
    <n v="316"/>
    <n v="1"/>
    <n v="1"/>
  </r>
  <r>
    <m/>
    <m/>
    <x v="1"/>
    <s v="48926217001001"/>
    <n v="-25.77"/>
    <n v="1052"/>
    <n v="1"/>
    <n v="1"/>
  </r>
  <r>
    <m/>
    <m/>
    <x v="1"/>
    <s v="48937755001004"/>
    <n v="-0.05"/>
    <n v="2"/>
    <n v="1"/>
    <n v="1"/>
  </r>
  <r>
    <m/>
    <m/>
    <x v="1"/>
    <s v="48944491003004"/>
    <n v="-0.64"/>
    <n v="26"/>
    <n v="1"/>
    <n v="1"/>
  </r>
  <r>
    <m/>
    <m/>
    <x v="1"/>
    <s v="48985511001001"/>
    <n v="-1.1499999999999999"/>
    <n v="47"/>
    <n v="1"/>
    <n v="1"/>
  </r>
  <r>
    <m/>
    <m/>
    <x v="1"/>
    <s v="48996360001005"/>
    <n v="-1.62"/>
    <n v="66"/>
    <n v="1"/>
    <n v="1"/>
  </r>
  <r>
    <m/>
    <m/>
    <x v="1"/>
    <s v="49283851001002"/>
    <n v="-23.08"/>
    <n v="942"/>
    <n v="1"/>
    <n v="1"/>
  </r>
  <r>
    <m/>
    <m/>
    <x v="1"/>
    <s v="49301721001001"/>
    <n v="-0.98"/>
    <n v="40"/>
    <n v="1"/>
    <n v="1"/>
  </r>
  <r>
    <m/>
    <m/>
    <x v="1"/>
    <s v="49320041001002"/>
    <n v="-7.0000000000000007E-2"/>
    <n v="3"/>
    <n v="1"/>
    <n v="1"/>
  </r>
  <r>
    <m/>
    <m/>
    <x v="1"/>
    <s v="49365331001001"/>
    <n v="-1.35"/>
    <n v="55"/>
    <n v="1"/>
    <n v="1"/>
  </r>
  <r>
    <m/>
    <m/>
    <x v="1"/>
    <s v="49393121003003"/>
    <n v="-13.3"/>
    <n v="543"/>
    <n v="1"/>
    <n v="1"/>
  </r>
  <r>
    <m/>
    <m/>
    <x v="1"/>
    <s v="49399211004004"/>
    <n v="-6.91"/>
    <n v="282"/>
    <n v="1"/>
    <n v="1"/>
  </r>
  <r>
    <m/>
    <m/>
    <x v="1"/>
    <s v="49419650001003"/>
    <n v="-0.32"/>
    <n v="13"/>
    <n v="1"/>
    <n v="1"/>
  </r>
  <r>
    <m/>
    <m/>
    <x v="1"/>
    <s v="49422279001002"/>
    <n v="-14.53"/>
    <n v="593"/>
    <n v="1"/>
    <n v="1"/>
  </r>
  <r>
    <m/>
    <m/>
    <x v="1"/>
    <s v="49494020001001"/>
    <n v="-14.43"/>
    <n v="589"/>
    <n v="1"/>
    <n v="1"/>
  </r>
  <r>
    <m/>
    <m/>
    <x v="1"/>
    <s v="49495461002007"/>
    <n v="-0.88"/>
    <n v="36"/>
    <n v="1"/>
    <n v="1"/>
  </r>
  <r>
    <m/>
    <m/>
    <x v="1"/>
    <s v="49495741001001"/>
    <n v="-10.17"/>
    <n v="415"/>
    <n v="1"/>
    <n v="1"/>
  </r>
  <r>
    <m/>
    <m/>
    <x v="1"/>
    <s v="49508621001001"/>
    <n v="-2.79"/>
    <n v="114"/>
    <n v="1"/>
    <n v="1"/>
  </r>
  <r>
    <m/>
    <m/>
    <x v="1"/>
    <s v="49522201001002"/>
    <n v="-3.7"/>
    <n v="151"/>
    <n v="1"/>
    <n v="1"/>
  </r>
  <r>
    <m/>
    <m/>
    <x v="1"/>
    <s v="49528221002003"/>
    <n v="-32.32"/>
    <n v="1319"/>
    <n v="1"/>
    <n v="1"/>
  </r>
  <r>
    <m/>
    <m/>
    <x v="1"/>
    <s v="49538441007001"/>
    <n v="-27.49"/>
    <n v="1122"/>
    <n v="1"/>
    <n v="1"/>
  </r>
  <r>
    <m/>
    <m/>
    <x v="1"/>
    <s v="49541451001001"/>
    <n v="-0.05"/>
    <n v="2"/>
    <n v="1"/>
    <n v="1"/>
  </r>
  <r>
    <m/>
    <m/>
    <x v="1"/>
    <s v="49543901002001"/>
    <n v="-4.12"/>
    <n v="168"/>
    <n v="1"/>
    <n v="1"/>
  </r>
  <r>
    <m/>
    <m/>
    <x v="1"/>
    <s v="49555941001005"/>
    <n v="-16.559999999999999"/>
    <n v="676"/>
    <n v="1"/>
    <n v="1"/>
  </r>
  <r>
    <m/>
    <m/>
    <x v="1"/>
    <s v="49570221001004"/>
    <n v="-4.1900000000000004"/>
    <n v="171"/>
    <n v="1"/>
    <n v="1"/>
  </r>
  <r>
    <m/>
    <m/>
    <x v="1"/>
    <s v="49577991001002"/>
    <n v="-1.05"/>
    <n v="43"/>
    <n v="1"/>
    <n v="1"/>
  </r>
  <r>
    <m/>
    <m/>
    <x v="1"/>
    <s v="49656951001001"/>
    <n v="-0.1"/>
    <n v="4"/>
    <n v="1"/>
    <n v="1"/>
  </r>
  <r>
    <m/>
    <m/>
    <x v="1"/>
    <s v="49672030001003"/>
    <n v="-5.66"/>
    <n v="231"/>
    <n v="1"/>
    <n v="1"/>
  </r>
  <r>
    <m/>
    <m/>
    <x v="1"/>
    <s v="49686351001004"/>
    <n v="-0.25"/>
    <n v="10"/>
    <n v="1"/>
    <n v="1"/>
  </r>
  <r>
    <m/>
    <m/>
    <x v="1"/>
    <s v="49824467001003"/>
    <n v="-1.45"/>
    <n v="59"/>
    <n v="1"/>
    <n v="1"/>
  </r>
  <r>
    <m/>
    <m/>
    <x v="1"/>
    <s v="49885151001001"/>
    <n v="-0.1"/>
    <n v="4"/>
    <n v="1"/>
    <n v="1"/>
  </r>
  <r>
    <m/>
    <m/>
    <x v="1"/>
    <s v="49930301001001"/>
    <n v="-0.69"/>
    <n v="28"/>
    <n v="1"/>
    <n v="1"/>
  </r>
  <r>
    <m/>
    <m/>
    <x v="1"/>
    <s v="50008447001011"/>
    <n v="-1.37"/>
    <n v="56"/>
    <n v="1"/>
    <n v="1"/>
  </r>
  <r>
    <m/>
    <m/>
    <x v="1"/>
    <s v="50047300001003"/>
    <n v="-9.9"/>
    <n v="404"/>
    <n v="1"/>
    <n v="1"/>
  </r>
  <r>
    <m/>
    <m/>
    <x v="1"/>
    <s v="50087731002008"/>
    <n v="-2.7"/>
    <n v="110"/>
    <n v="1"/>
    <n v="1"/>
  </r>
  <r>
    <m/>
    <m/>
    <x v="1"/>
    <s v="50112547001005"/>
    <n v="-4.1900000000000004"/>
    <n v="171"/>
    <n v="1"/>
    <n v="1"/>
  </r>
  <r>
    <m/>
    <m/>
    <x v="1"/>
    <s v="50185311001007"/>
    <n v="-5.73"/>
    <n v="234"/>
    <n v="1"/>
    <n v="1"/>
  </r>
  <r>
    <m/>
    <m/>
    <x v="1"/>
    <s v="50193571001001"/>
    <n v="-7.57"/>
    <n v="309"/>
    <n v="1"/>
    <n v="1"/>
  </r>
  <r>
    <m/>
    <m/>
    <x v="1"/>
    <s v="50237638001001"/>
    <n v="-2.77"/>
    <n v="113"/>
    <n v="1"/>
    <n v="1"/>
  </r>
  <r>
    <m/>
    <m/>
    <x v="1"/>
    <s v="50368711001001"/>
    <n v="-4.58"/>
    <n v="187"/>
    <n v="1"/>
    <n v="1"/>
  </r>
  <r>
    <m/>
    <m/>
    <x v="1"/>
    <s v="50402241001002"/>
    <n v="-0.71"/>
    <n v="29"/>
    <n v="1"/>
    <n v="1"/>
  </r>
  <r>
    <m/>
    <m/>
    <x v="1"/>
    <s v="50442211002001"/>
    <n v="-17.59"/>
    <n v="718"/>
    <n v="1"/>
    <n v="1"/>
  </r>
  <r>
    <m/>
    <m/>
    <x v="1"/>
    <s v="50448651006001"/>
    <n v="-12.18"/>
    <n v="497"/>
    <n v="1"/>
    <n v="1"/>
  </r>
  <r>
    <m/>
    <m/>
    <x v="1"/>
    <s v="50475466003001"/>
    <n v="-5.22"/>
    <n v="213"/>
    <n v="1"/>
    <n v="1"/>
  </r>
  <r>
    <m/>
    <m/>
    <x v="1"/>
    <s v="50499961001001"/>
    <n v="-8.77"/>
    <n v="358"/>
    <n v="1"/>
    <n v="1"/>
  </r>
  <r>
    <m/>
    <m/>
    <x v="1"/>
    <s v="50535031003001"/>
    <n v="-14.28"/>
    <n v="583"/>
    <n v="1"/>
    <n v="1"/>
  </r>
  <r>
    <m/>
    <m/>
    <x v="1"/>
    <s v="50570311001001"/>
    <n v="-3.99"/>
    <n v="163"/>
    <n v="1"/>
    <n v="1"/>
  </r>
  <r>
    <m/>
    <m/>
    <x v="1"/>
    <s v="50573811005005"/>
    <n v="-1.74"/>
    <n v="71"/>
    <n v="1"/>
    <n v="1"/>
  </r>
  <r>
    <m/>
    <m/>
    <x v="1"/>
    <s v="50603564001001"/>
    <n v="-8.89"/>
    <n v="363"/>
    <n v="1"/>
    <n v="1"/>
  </r>
  <r>
    <m/>
    <m/>
    <x v="1"/>
    <s v="50633661001004"/>
    <n v="-5.93"/>
    <n v="242"/>
    <n v="1"/>
    <n v="1"/>
  </r>
  <r>
    <m/>
    <m/>
    <x v="1"/>
    <s v="50645281001001"/>
    <n v="-1.18"/>
    <n v="48"/>
    <n v="1"/>
    <n v="1"/>
  </r>
  <r>
    <m/>
    <m/>
    <x v="1"/>
    <s v="50670003002005"/>
    <n v="-7.3"/>
    <n v="298"/>
    <n v="1"/>
    <n v="1"/>
  </r>
  <r>
    <m/>
    <m/>
    <x v="1"/>
    <s v="50692811001009"/>
    <n v="-0.15"/>
    <n v="6"/>
    <n v="1"/>
    <n v="1"/>
  </r>
  <r>
    <m/>
    <m/>
    <x v="1"/>
    <s v="50704851001003"/>
    <n v="-7.11"/>
    <n v="290"/>
    <n v="1"/>
    <n v="1"/>
  </r>
  <r>
    <m/>
    <m/>
    <x v="1"/>
    <s v="50707021001003"/>
    <n v="-14.36"/>
    <n v="586"/>
    <n v="1"/>
    <n v="1"/>
  </r>
  <r>
    <m/>
    <m/>
    <x v="1"/>
    <s v="50737681001001"/>
    <n v="-0.71"/>
    <n v="29"/>
    <n v="1"/>
    <n v="1"/>
  </r>
  <r>
    <m/>
    <m/>
    <x v="1"/>
    <s v="50750548001001"/>
    <n v="-6.57"/>
    <n v="268"/>
    <n v="1"/>
    <n v="1"/>
  </r>
  <r>
    <m/>
    <m/>
    <x v="1"/>
    <s v="50774501001001"/>
    <n v="-0.17"/>
    <n v="7"/>
    <n v="1"/>
    <n v="1"/>
  </r>
  <r>
    <m/>
    <m/>
    <x v="1"/>
    <s v="50791371001002"/>
    <n v="-2.38"/>
    <n v="97"/>
    <n v="1"/>
    <n v="1"/>
  </r>
  <r>
    <m/>
    <m/>
    <x v="1"/>
    <s v="50806272001001"/>
    <n v="-7.67"/>
    <n v="313"/>
    <n v="1"/>
    <n v="1"/>
  </r>
  <r>
    <m/>
    <m/>
    <x v="1"/>
    <s v="50839041006001"/>
    <n v="-4.63"/>
    <n v="189"/>
    <n v="1"/>
    <n v="1"/>
  </r>
  <r>
    <m/>
    <m/>
    <x v="1"/>
    <s v="50841762002002"/>
    <n v="-5.22"/>
    <n v="213"/>
    <n v="1"/>
    <n v="1"/>
  </r>
  <r>
    <m/>
    <m/>
    <x v="1"/>
    <s v="50841911003002"/>
    <n v="-1.59"/>
    <n v="65"/>
    <n v="1"/>
    <n v="1"/>
  </r>
  <r>
    <m/>
    <m/>
    <x v="1"/>
    <s v="50860461001005"/>
    <n v="-0.64"/>
    <n v="26"/>
    <n v="1"/>
    <n v="1"/>
  </r>
  <r>
    <m/>
    <m/>
    <x v="1"/>
    <s v="50866831006001"/>
    <n v="-4.3899999999999997"/>
    <n v="179"/>
    <n v="1"/>
    <n v="1"/>
  </r>
  <r>
    <m/>
    <m/>
    <x v="1"/>
    <s v="50901131002003"/>
    <n v="-0.34"/>
    <n v="14"/>
    <n v="1"/>
    <n v="1"/>
  </r>
  <r>
    <m/>
    <m/>
    <x v="1"/>
    <s v="50903441001001"/>
    <n v="-5.86"/>
    <n v="239"/>
    <n v="1"/>
    <n v="1"/>
  </r>
  <r>
    <m/>
    <m/>
    <x v="1"/>
    <s v="50924581001001"/>
    <n v="-9.31"/>
    <n v="380"/>
    <n v="1"/>
    <n v="1"/>
  </r>
  <r>
    <m/>
    <m/>
    <x v="1"/>
    <s v="50950411001003"/>
    <n v="-4.29"/>
    <n v="175"/>
    <n v="1"/>
    <n v="1"/>
  </r>
  <r>
    <m/>
    <m/>
    <x v="1"/>
    <s v="50978201001001"/>
    <n v="-2.13"/>
    <n v="87"/>
    <n v="1"/>
    <n v="1"/>
  </r>
  <r>
    <m/>
    <m/>
    <x v="1"/>
    <s v="50996471001001"/>
    <n v="-7.96"/>
    <n v="325"/>
    <n v="1"/>
    <n v="1"/>
  </r>
  <r>
    <m/>
    <m/>
    <x v="1"/>
    <s v="50996751002001"/>
    <n v="-0.96"/>
    <n v="39"/>
    <n v="1"/>
    <n v="1"/>
  </r>
  <r>
    <m/>
    <m/>
    <x v="1"/>
    <s v="50998792001004"/>
    <n v="-6.13"/>
    <n v="250"/>
    <n v="1"/>
    <n v="1"/>
  </r>
  <r>
    <m/>
    <m/>
    <x v="1"/>
    <s v="51004521001001"/>
    <n v="-6.35"/>
    <n v="259"/>
    <n v="1"/>
    <n v="1"/>
  </r>
  <r>
    <m/>
    <m/>
    <x v="1"/>
    <s v="51040081001001"/>
    <n v="-1.27"/>
    <n v="52"/>
    <n v="1"/>
    <n v="1"/>
  </r>
  <r>
    <m/>
    <m/>
    <x v="1"/>
    <s v="51068641001003"/>
    <n v="-1.76"/>
    <n v="72"/>
    <n v="1"/>
    <n v="1"/>
  </r>
  <r>
    <m/>
    <m/>
    <x v="1"/>
    <s v="51118901001001"/>
    <n v="-7.0000000000000007E-2"/>
    <n v="3"/>
    <n v="1"/>
    <n v="1"/>
  </r>
  <r>
    <m/>
    <m/>
    <x v="1"/>
    <s v="51122891005001"/>
    <n v="-0.2"/>
    <n v="8"/>
    <n v="1"/>
    <n v="1"/>
  </r>
  <r>
    <m/>
    <m/>
    <x v="1"/>
    <s v="51123890001005"/>
    <n v="-10.44"/>
    <n v="426"/>
    <n v="1"/>
    <n v="1"/>
  </r>
  <r>
    <m/>
    <m/>
    <x v="1"/>
    <s v="51130381001001"/>
    <n v="-0.54"/>
    <n v="22"/>
    <n v="1"/>
    <n v="1"/>
  </r>
  <r>
    <m/>
    <m/>
    <x v="1"/>
    <s v="51130521001001"/>
    <n v="-0.17"/>
    <n v="7"/>
    <n v="1"/>
    <n v="1"/>
  </r>
  <r>
    <m/>
    <m/>
    <x v="1"/>
    <s v="51132481001002"/>
    <n v="-4.5599999999999996"/>
    <n v="186"/>
    <n v="1"/>
    <n v="1"/>
  </r>
  <r>
    <m/>
    <m/>
    <x v="1"/>
    <s v="51134651003001"/>
    <n v="-1.59"/>
    <n v="65"/>
    <n v="1"/>
    <n v="1"/>
  </r>
  <r>
    <m/>
    <m/>
    <x v="1"/>
    <s v="51136541001001"/>
    <n v="-0.2"/>
    <n v="8"/>
    <n v="1"/>
    <n v="1"/>
  </r>
  <r>
    <m/>
    <m/>
    <x v="1"/>
    <s v="51148861001002"/>
    <n v="-1.37"/>
    <n v="56"/>
    <n v="1"/>
    <n v="1"/>
  </r>
  <r>
    <m/>
    <m/>
    <x v="1"/>
    <s v="51154671002001"/>
    <n v="-21.07"/>
    <n v="860"/>
    <n v="1"/>
    <n v="1"/>
  </r>
  <r>
    <m/>
    <m/>
    <x v="1"/>
    <s v="51157051002006"/>
    <n v="-9.9"/>
    <n v="404"/>
    <n v="1"/>
    <n v="1"/>
  </r>
  <r>
    <m/>
    <m/>
    <x v="1"/>
    <s v="51163211002005"/>
    <n v="-4.46"/>
    <n v="182"/>
    <n v="1"/>
    <n v="1"/>
  </r>
  <r>
    <m/>
    <m/>
    <x v="1"/>
    <s v="51165241001003"/>
    <n v="-0.34"/>
    <n v="14"/>
    <n v="1"/>
    <n v="1"/>
  </r>
  <r>
    <m/>
    <m/>
    <x v="1"/>
    <s v="51172101004001"/>
    <n v="-7.79"/>
    <n v="318"/>
    <n v="1"/>
    <n v="1"/>
  </r>
  <r>
    <m/>
    <m/>
    <x v="1"/>
    <s v="51185331001003"/>
    <n v="-0.25"/>
    <n v="10"/>
    <n v="1"/>
    <n v="1"/>
  </r>
  <r>
    <m/>
    <m/>
    <x v="1"/>
    <s v="51193241002001"/>
    <n v="-0.91"/>
    <n v="37"/>
    <n v="1"/>
    <n v="1"/>
  </r>
  <r>
    <m/>
    <m/>
    <x v="1"/>
    <s v="51225301005001"/>
    <n v="-10.54"/>
    <n v="430"/>
    <n v="1"/>
    <n v="1"/>
  </r>
  <r>
    <m/>
    <m/>
    <x v="1"/>
    <s v="51297541001005"/>
    <n v="-33.54"/>
    <n v="1369"/>
    <n v="1"/>
    <n v="1"/>
  </r>
  <r>
    <m/>
    <m/>
    <x v="1"/>
    <s v="51312171001001"/>
    <n v="-6.22"/>
    <n v="254"/>
    <n v="1"/>
    <n v="1"/>
  </r>
  <r>
    <m/>
    <m/>
    <x v="1"/>
    <s v="51333171001001"/>
    <n v="-27.64"/>
    <n v="1128"/>
    <n v="1"/>
    <n v="1"/>
  </r>
  <r>
    <m/>
    <m/>
    <x v="1"/>
    <s v="51335971001001"/>
    <n v="-19.28"/>
    <n v="787"/>
    <n v="1"/>
    <n v="1"/>
  </r>
  <r>
    <m/>
    <m/>
    <x v="1"/>
    <s v="51337301001006"/>
    <n v="-16.239999999999998"/>
    <n v="663"/>
    <n v="1"/>
    <n v="1"/>
  </r>
  <r>
    <m/>
    <m/>
    <x v="1"/>
    <s v="51386861002001"/>
    <n v="-26.34"/>
    <n v="1075"/>
    <n v="1"/>
    <n v="1"/>
  </r>
  <r>
    <m/>
    <m/>
    <x v="1"/>
    <s v="51450281001002"/>
    <n v="-31.21"/>
    <n v="1274"/>
    <n v="1"/>
    <n v="1"/>
  </r>
  <r>
    <m/>
    <m/>
    <x v="1"/>
    <s v="51462741002002"/>
    <n v="-16.829999999999998"/>
    <n v="687"/>
    <n v="1"/>
    <n v="1"/>
  </r>
  <r>
    <m/>
    <m/>
    <x v="1"/>
    <s v="51493121002001"/>
    <n v="-31.48"/>
    <n v="1285"/>
    <n v="1"/>
    <n v="1"/>
  </r>
  <r>
    <m/>
    <m/>
    <x v="1"/>
    <s v="51513351001001"/>
    <n v="-11.37"/>
    <n v="464"/>
    <n v="1"/>
    <n v="1"/>
  </r>
  <r>
    <m/>
    <m/>
    <x v="1"/>
    <s v="51518531001001"/>
    <n v="-2.7"/>
    <n v="110"/>
    <n v="1"/>
    <n v="1"/>
  </r>
  <r>
    <m/>
    <m/>
    <x v="1"/>
    <s v="51518881001001"/>
    <n v="-1.89"/>
    <n v="77"/>
    <n v="1"/>
    <n v="1"/>
  </r>
  <r>
    <m/>
    <m/>
    <x v="1"/>
    <s v="51529534001001"/>
    <n v="-5.98"/>
    <n v="244"/>
    <n v="1"/>
    <n v="1"/>
  </r>
  <r>
    <m/>
    <m/>
    <x v="1"/>
    <s v="51532811002001"/>
    <n v="-10.39"/>
    <n v="424"/>
    <n v="1"/>
    <n v="1"/>
  </r>
  <r>
    <m/>
    <m/>
    <x v="1"/>
    <s v="51539946002026"/>
    <n v="-1.74"/>
    <n v="71"/>
    <n v="1"/>
    <n v="1"/>
  </r>
  <r>
    <m/>
    <m/>
    <x v="1"/>
    <s v="51549471001001"/>
    <n v="-1.03"/>
    <n v="42"/>
    <n v="1"/>
    <n v="1"/>
  </r>
  <r>
    <m/>
    <m/>
    <x v="1"/>
    <s v="51552831003002"/>
    <n v="-1.45"/>
    <n v="59"/>
    <n v="1"/>
    <n v="1"/>
  </r>
  <r>
    <m/>
    <m/>
    <x v="1"/>
    <s v="51583981001001"/>
    <n v="-4.41"/>
    <n v="180"/>
    <n v="1"/>
    <n v="1"/>
  </r>
  <r>
    <m/>
    <m/>
    <x v="1"/>
    <s v="51593501001001"/>
    <n v="-4.29"/>
    <n v="175"/>
    <n v="1"/>
    <n v="1"/>
  </r>
  <r>
    <m/>
    <m/>
    <x v="1"/>
    <s v="51596441002007"/>
    <n v="-0.76"/>
    <n v="31"/>
    <n v="1"/>
    <n v="1"/>
  </r>
  <r>
    <m/>
    <m/>
    <x v="1"/>
    <s v="51607711002002"/>
    <n v="-6.76"/>
    <n v="276"/>
    <n v="1"/>
    <n v="1"/>
  </r>
  <r>
    <m/>
    <m/>
    <x v="1"/>
    <s v="51609951002002"/>
    <n v="-7.11"/>
    <n v="290"/>
    <n v="1"/>
    <n v="1"/>
  </r>
  <r>
    <m/>
    <m/>
    <x v="1"/>
    <s v="51613941001002"/>
    <n v="-8.4"/>
    <n v="343"/>
    <n v="1"/>
    <n v="1"/>
  </r>
  <r>
    <m/>
    <m/>
    <x v="1"/>
    <s v="51614221001001"/>
    <n v="-25.7"/>
    <n v="1049"/>
    <n v="1"/>
    <n v="1"/>
  </r>
  <r>
    <m/>
    <m/>
    <x v="1"/>
    <s v="51635711001002"/>
    <n v="-7.4"/>
    <n v="302"/>
    <n v="1"/>
    <n v="1"/>
  </r>
  <r>
    <m/>
    <m/>
    <x v="1"/>
    <s v="51773839001001"/>
    <n v="-7.23"/>
    <n v="295"/>
    <n v="1"/>
    <n v="1"/>
  </r>
  <r>
    <m/>
    <m/>
    <x v="1"/>
    <s v="52411414001001"/>
    <n v="-6.47"/>
    <n v="264"/>
    <n v="1"/>
    <n v="1"/>
  </r>
  <r>
    <m/>
    <m/>
    <x v="1"/>
    <s v="52604309001004"/>
    <n v="-17.52"/>
    <n v="715"/>
    <n v="1"/>
    <n v="1"/>
  </r>
  <r>
    <m/>
    <m/>
    <x v="1"/>
    <s v="52682385001007"/>
    <n v="-1.84"/>
    <n v="75"/>
    <n v="1"/>
    <n v="1"/>
  </r>
  <r>
    <m/>
    <m/>
    <x v="1"/>
    <s v="52987911001001"/>
    <n v="-0.25"/>
    <n v="10"/>
    <n v="1"/>
    <n v="1"/>
  </r>
  <r>
    <m/>
    <m/>
    <x v="1"/>
    <s v="53001899001007"/>
    <n v="-30.5"/>
    <n v="1245"/>
    <n v="1"/>
    <n v="1"/>
  </r>
  <r>
    <m/>
    <m/>
    <x v="1"/>
    <s v="53060982001003"/>
    <n v="-5"/>
    <n v="204"/>
    <n v="1"/>
    <n v="1"/>
  </r>
  <r>
    <m/>
    <m/>
    <x v="1"/>
    <s v="53145339001003"/>
    <n v="-2.06"/>
    <n v="84"/>
    <n v="1"/>
    <n v="1"/>
  </r>
  <r>
    <m/>
    <m/>
    <x v="1"/>
    <s v="53199928001001"/>
    <n v="-1.69"/>
    <n v="69"/>
    <n v="1"/>
    <n v="1"/>
  </r>
  <r>
    <m/>
    <m/>
    <x v="1"/>
    <s v="53233663001001"/>
    <n v="-1.08"/>
    <n v="44"/>
    <n v="1"/>
    <n v="1"/>
  </r>
  <r>
    <m/>
    <m/>
    <x v="1"/>
    <s v="53913484003002"/>
    <n v="-20.46"/>
    <n v="835"/>
    <n v="1"/>
    <n v="1"/>
  </r>
  <r>
    <m/>
    <m/>
    <x v="1"/>
    <s v="53923746001001"/>
    <n v="-9.9700000000000006"/>
    <n v="407"/>
    <n v="1"/>
    <n v="1"/>
  </r>
  <r>
    <m/>
    <m/>
    <x v="1"/>
    <s v="53931640001001"/>
    <n v="-25.55"/>
    <n v="1043"/>
    <n v="1"/>
    <n v="1"/>
  </r>
  <r>
    <m/>
    <m/>
    <x v="1"/>
    <s v="54011290001001"/>
    <n v="-2.25"/>
    <n v="92"/>
    <n v="1"/>
    <n v="1"/>
  </r>
  <r>
    <m/>
    <m/>
    <x v="1"/>
    <s v="54099172001001"/>
    <n v="-0.17"/>
    <n v="7"/>
    <n v="1"/>
    <n v="1"/>
  </r>
  <r>
    <m/>
    <m/>
    <x v="1"/>
    <s v="54213868001001"/>
    <n v="-0.83"/>
    <n v="34"/>
    <n v="1"/>
    <n v="1"/>
  </r>
  <r>
    <m/>
    <m/>
    <x v="1"/>
    <s v="54273862001002"/>
    <n v="-9.9499999999999993"/>
    <n v="406"/>
    <n v="1"/>
    <n v="1"/>
  </r>
  <r>
    <m/>
    <m/>
    <x v="1"/>
    <s v="54291381001009"/>
    <n v="-12.15"/>
    <n v="496"/>
    <n v="1"/>
    <n v="1"/>
  </r>
  <r>
    <m/>
    <m/>
    <x v="1"/>
    <s v="54626005001001"/>
    <n v="-3.16"/>
    <n v="129"/>
    <n v="1"/>
    <n v="1"/>
  </r>
  <r>
    <m/>
    <m/>
    <x v="1"/>
    <s v="55185996001003"/>
    <n v="-4.43"/>
    <n v="181"/>
    <n v="1"/>
    <n v="1"/>
  </r>
  <r>
    <m/>
    <m/>
    <x v="1"/>
    <s v="55441830002001"/>
    <n v="-1.91"/>
    <n v="78"/>
    <n v="1"/>
    <n v="1"/>
  </r>
  <r>
    <m/>
    <m/>
    <x v="1"/>
    <s v="55495324001002"/>
    <n v="-2.4500000000000002"/>
    <n v="100"/>
    <n v="1"/>
    <n v="1"/>
  </r>
  <r>
    <m/>
    <m/>
    <x v="1"/>
    <s v="55663297001003"/>
    <n v="-0.1"/>
    <n v="4"/>
    <n v="1"/>
    <n v="1"/>
  </r>
  <r>
    <m/>
    <m/>
    <x v="1"/>
    <s v="56055745002003"/>
    <n v="-4.34"/>
    <n v="177"/>
    <n v="1"/>
    <n v="1"/>
  </r>
  <r>
    <m/>
    <m/>
    <x v="1"/>
    <s v="56105605001004"/>
    <n v="-0.81"/>
    <n v="33"/>
    <n v="1"/>
    <n v="1"/>
  </r>
  <r>
    <m/>
    <m/>
    <x v="1"/>
    <s v="56408599001001"/>
    <n v="-0.27"/>
    <n v="11"/>
    <n v="1"/>
    <n v="1"/>
  </r>
  <r>
    <m/>
    <m/>
    <x v="1"/>
    <s v="57165863001001"/>
    <n v="-3.21"/>
    <n v="131"/>
    <n v="1"/>
    <n v="1"/>
  </r>
  <r>
    <m/>
    <m/>
    <x v="1"/>
    <s v="57364558001001"/>
    <n v="-9.19"/>
    <n v="375"/>
    <n v="1"/>
    <n v="1"/>
  </r>
  <r>
    <m/>
    <m/>
    <x v="1"/>
    <s v="57497445001001"/>
    <n v="-1.89"/>
    <n v="77"/>
    <n v="1"/>
    <n v="1"/>
  </r>
  <r>
    <m/>
    <m/>
    <x v="1"/>
    <s v="57560991001007"/>
    <n v="-0.42"/>
    <n v="17"/>
    <n v="1"/>
    <n v="1"/>
  </r>
  <r>
    <m/>
    <m/>
    <x v="1"/>
    <s v="57834181001001"/>
    <n v="-1.81"/>
    <n v="74"/>
    <n v="1"/>
    <n v="1"/>
  </r>
  <r>
    <m/>
    <m/>
    <x v="1"/>
    <s v="58010908001002"/>
    <n v="-19.82"/>
    <n v="809"/>
    <n v="1"/>
    <n v="1"/>
  </r>
  <r>
    <m/>
    <m/>
    <x v="1"/>
    <s v="58157660001002"/>
    <n v="-11.81"/>
    <n v="482"/>
    <n v="1"/>
    <n v="1"/>
  </r>
  <r>
    <m/>
    <m/>
    <x v="1"/>
    <s v="58340472001005"/>
    <n v="-1.35"/>
    <n v="55"/>
    <n v="1"/>
    <n v="1"/>
  </r>
  <r>
    <m/>
    <m/>
    <x v="1"/>
    <s v="58433748001002"/>
    <n v="-2.4700000000000002"/>
    <n v="101"/>
    <n v="1"/>
    <n v="1"/>
  </r>
  <r>
    <m/>
    <m/>
    <x v="1"/>
    <s v="58524123001003"/>
    <n v="-17.690000000000001"/>
    <n v="722"/>
    <n v="1"/>
    <n v="1"/>
  </r>
  <r>
    <m/>
    <m/>
    <x v="1"/>
    <s v="59431046001003"/>
    <n v="-0.39"/>
    <n v="16"/>
    <n v="1"/>
    <n v="1"/>
  </r>
  <r>
    <m/>
    <m/>
    <x v="1"/>
    <s v="59498637001004"/>
    <n v="-11.52"/>
    <n v="470"/>
    <n v="1"/>
    <n v="1"/>
  </r>
  <r>
    <m/>
    <m/>
    <x v="1"/>
    <s v="59567010001005"/>
    <n v="-5.15"/>
    <n v="210"/>
    <n v="1"/>
    <n v="1"/>
  </r>
  <r>
    <m/>
    <m/>
    <x v="1"/>
    <s v="59766724001001"/>
    <n v="-8.6"/>
    <n v="351"/>
    <n v="1"/>
    <n v="1"/>
  </r>
  <r>
    <m/>
    <m/>
    <x v="1"/>
    <s v="59807684001002"/>
    <n v="-1.79"/>
    <n v="73"/>
    <n v="1"/>
    <n v="1"/>
  </r>
  <r>
    <m/>
    <m/>
    <x v="1"/>
    <s v="59901721001001"/>
    <n v="-1.42"/>
    <n v="58"/>
    <n v="1"/>
    <n v="1"/>
  </r>
  <r>
    <m/>
    <m/>
    <x v="1"/>
    <s v="59997483001001"/>
    <n v="-18.329999999999998"/>
    <n v="748"/>
    <n v="1"/>
    <n v="1"/>
  </r>
  <r>
    <m/>
    <m/>
    <x v="1"/>
    <s v="59999162001001"/>
    <n v="-10.98"/>
    <n v="448"/>
    <n v="1"/>
    <n v="1"/>
  </r>
  <r>
    <m/>
    <m/>
    <x v="1"/>
    <s v="60053306001001"/>
    <n v="-6.37"/>
    <n v="260"/>
    <n v="1"/>
    <n v="1"/>
  </r>
  <r>
    <m/>
    <m/>
    <x v="1"/>
    <s v="60216914001002"/>
    <n v="-4.9000000000000004"/>
    <n v="200"/>
    <n v="1"/>
    <n v="1"/>
  </r>
  <r>
    <m/>
    <m/>
    <x v="1"/>
    <s v="60536331001001"/>
    <n v="-0.76"/>
    <n v="31"/>
    <n v="1"/>
    <n v="1"/>
  </r>
  <r>
    <m/>
    <m/>
    <x v="1"/>
    <s v="60599585001001"/>
    <n v="-2.2799999999999998"/>
    <n v="93"/>
    <n v="1"/>
    <n v="1"/>
  </r>
  <r>
    <m/>
    <m/>
    <x v="1"/>
    <s v="60756030001002"/>
    <n v="-0.96"/>
    <n v="39"/>
    <n v="1"/>
    <n v="1"/>
  </r>
  <r>
    <m/>
    <m/>
    <x v="1"/>
    <s v="60814201001003"/>
    <n v="-12.54"/>
    <n v="512"/>
    <n v="1"/>
    <n v="1"/>
  </r>
  <r>
    <m/>
    <m/>
    <x v="1"/>
    <s v="60842999001005"/>
    <n v="-5.12"/>
    <n v="209"/>
    <n v="1"/>
    <n v="1"/>
  </r>
  <r>
    <m/>
    <m/>
    <x v="1"/>
    <s v="60850163002001"/>
    <n v="-5.61"/>
    <n v="229"/>
    <n v="1"/>
    <n v="1"/>
  </r>
  <r>
    <m/>
    <m/>
    <x v="1"/>
    <s v="60997302001006"/>
    <n v="-7.6"/>
    <n v="310"/>
    <n v="1"/>
    <n v="1"/>
  </r>
  <r>
    <m/>
    <m/>
    <x v="1"/>
    <s v="61176690001001"/>
    <n v="-6.64"/>
    <n v="271"/>
    <n v="1"/>
    <n v="1"/>
  </r>
  <r>
    <m/>
    <m/>
    <x v="1"/>
    <s v="61779550001001"/>
    <n v="-21.27"/>
    <n v="868"/>
    <n v="1"/>
    <n v="1"/>
  </r>
  <r>
    <m/>
    <m/>
    <x v="1"/>
    <s v="62038452002001"/>
    <n v="-2.5"/>
    <n v="102"/>
    <n v="1"/>
    <n v="1"/>
  </r>
  <r>
    <m/>
    <m/>
    <x v="1"/>
    <s v="62111926001007"/>
    <n v="-16.239999999999998"/>
    <n v="663"/>
    <n v="1"/>
    <n v="1"/>
  </r>
  <r>
    <m/>
    <m/>
    <x v="1"/>
    <s v="62125470001002"/>
    <n v="-0.12"/>
    <n v="5"/>
    <n v="1"/>
    <n v="1"/>
  </r>
  <r>
    <m/>
    <m/>
    <x v="1"/>
    <s v="62139312001006"/>
    <n v="-0.56000000000000005"/>
    <n v="23"/>
    <n v="1"/>
    <n v="1"/>
  </r>
  <r>
    <m/>
    <m/>
    <x v="1"/>
    <s v="62166846001001"/>
    <n v="-0.51"/>
    <n v="21"/>
    <n v="1"/>
    <n v="1"/>
  </r>
  <r>
    <m/>
    <m/>
    <x v="1"/>
    <s v="63054171001001"/>
    <n v="-14.63"/>
    <n v="597"/>
    <n v="1"/>
    <n v="1"/>
  </r>
  <r>
    <m/>
    <m/>
    <x v="1"/>
    <s v="63184485001003"/>
    <n v="-0.76"/>
    <n v="31"/>
    <n v="1"/>
    <n v="1"/>
  </r>
  <r>
    <m/>
    <m/>
    <x v="1"/>
    <s v="63415000003005"/>
    <n v="-2.21"/>
    <n v="90"/>
    <n v="1"/>
    <n v="1"/>
  </r>
  <r>
    <m/>
    <m/>
    <x v="1"/>
    <s v="63578652001001"/>
    <n v="-14.01"/>
    <n v="572"/>
    <n v="1"/>
    <n v="1"/>
  </r>
  <r>
    <m/>
    <m/>
    <x v="1"/>
    <s v="63707556001001"/>
    <n v="-9.56"/>
    <n v="390"/>
    <n v="1"/>
    <n v="1"/>
  </r>
  <r>
    <m/>
    <m/>
    <x v="1"/>
    <s v="63792896001001"/>
    <n v="-5.12"/>
    <n v="209"/>
    <n v="1"/>
    <n v="1"/>
  </r>
  <r>
    <m/>
    <m/>
    <x v="1"/>
    <s v="63952309001001"/>
    <n v="-30.26"/>
    <n v="1235"/>
    <n v="1"/>
    <n v="1"/>
  </r>
  <r>
    <m/>
    <m/>
    <x v="1"/>
    <s v="64168501001010"/>
    <n v="-0.37"/>
    <n v="15"/>
    <n v="1"/>
    <n v="1"/>
  </r>
  <r>
    <m/>
    <m/>
    <x v="1"/>
    <s v="64295366002001"/>
    <n v="-1.62"/>
    <n v="66"/>
    <n v="1"/>
    <n v="1"/>
  </r>
  <r>
    <m/>
    <m/>
    <x v="1"/>
    <s v="64412831001001"/>
    <n v="-3.75"/>
    <n v="153"/>
    <n v="1"/>
    <n v="1"/>
  </r>
  <r>
    <m/>
    <m/>
    <x v="1"/>
    <s v="64578518001001"/>
    <n v="-0.05"/>
    <n v="2"/>
    <n v="1"/>
    <n v="1"/>
  </r>
  <r>
    <m/>
    <m/>
    <x v="1"/>
    <s v="64597306001001"/>
    <n v="-17"/>
    <n v="694"/>
    <n v="1"/>
    <n v="1"/>
  </r>
  <r>
    <m/>
    <m/>
    <x v="1"/>
    <s v="64700335001001"/>
    <n v="-12.94"/>
    <n v="528"/>
    <n v="1"/>
    <n v="1"/>
  </r>
  <r>
    <m/>
    <m/>
    <x v="1"/>
    <s v="64874042001003"/>
    <n v="-1.18"/>
    <n v="48"/>
    <n v="1"/>
    <n v="1"/>
  </r>
  <r>
    <m/>
    <m/>
    <x v="1"/>
    <s v="65001066001001"/>
    <n v="-6.81"/>
    <n v="278"/>
    <n v="1"/>
    <n v="1"/>
  </r>
  <r>
    <m/>
    <m/>
    <x v="1"/>
    <s v="65368514001004"/>
    <n v="-9.82"/>
    <n v="401"/>
    <n v="1"/>
    <n v="1"/>
  </r>
  <r>
    <m/>
    <m/>
    <x v="1"/>
    <s v="65509206001003"/>
    <n v="-5.22"/>
    <n v="213"/>
    <n v="1"/>
    <n v="1"/>
  </r>
  <r>
    <m/>
    <m/>
    <x v="1"/>
    <s v="66308224001001"/>
    <n v="-1.62"/>
    <n v="66"/>
    <n v="1"/>
    <n v="1"/>
  </r>
  <r>
    <m/>
    <m/>
    <x v="1"/>
    <s v="66622465002001"/>
    <n v="-4.51"/>
    <n v="184"/>
    <n v="1"/>
    <n v="1"/>
  </r>
  <r>
    <m/>
    <m/>
    <x v="1"/>
    <s v="66851187001007"/>
    <n v="-0.05"/>
    <n v="2"/>
    <n v="1"/>
    <n v="1"/>
  </r>
  <r>
    <m/>
    <m/>
    <x v="1"/>
    <s v="66923121001005"/>
    <n v="-2.2999999999999998"/>
    <n v="94"/>
    <n v="1"/>
    <n v="1"/>
  </r>
  <r>
    <m/>
    <m/>
    <x v="1"/>
    <s v="66953942002008"/>
    <n v="-11.32"/>
    <n v="462"/>
    <n v="1"/>
    <n v="1"/>
  </r>
  <r>
    <m/>
    <m/>
    <x v="1"/>
    <s v="66997780001001"/>
    <n v="-12.79"/>
    <n v="522"/>
    <n v="1"/>
    <n v="1"/>
  </r>
  <r>
    <m/>
    <m/>
    <x v="1"/>
    <s v="67053287002001"/>
    <n v="-5.07"/>
    <n v="207"/>
    <n v="1"/>
    <n v="1"/>
  </r>
  <r>
    <m/>
    <m/>
    <x v="1"/>
    <s v="67059049001004"/>
    <n v="-0.88"/>
    <n v="36"/>
    <n v="1"/>
    <n v="1"/>
  </r>
  <r>
    <m/>
    <m/>
    <x v="1"/>
    <s v="67116312001003"/>
    <n v="-0.25"/>
    <n v="10"/>
    <n v="1"/>
    <n v="1"/>
  </r>
  <r>
    <m/>
    <m/>
    <x v="1"/>
    <s v="67565406001001"/>
    <n v="-11.93"/>
    <n v="487"/>
    <n v="1"/>
    <n v="1"/>
  </r>
  <r>
    <m/>
    <m/>
    <x v="1"/>
    <s v="67587226001001"/>
    <n v="-9.6999999999999993"/>
    <n v="396"/>
    <n v="1"/>
    <n v="1"/>
  </r>
  <r>
    <m/>
    <m/>
    <x v="1"/>
    <s v="68028456001001"/>
    <n v="-7.11"/>
    <n v="290"/>
    <n v="1"/>
    <n v="1"/>
  </r>
  <r>
    <m/>
    <m/>
    <x v="1"/>
    <s v="68322478003001"/>
    <n v="-14.75"/>
    <n v="602"/>
    <n v="1"/>
    <n v="1"/>
  </r>
  <r>
    <m/>
    <m/>
    <x v="1"/>
    <s v="68400908001007"/>
    <n v="-6.76"/>
    <n v="276"/>
    <n v="1"/>
    <n v="1"/>
  </r>
  <r>
    <m/>
    <m/>
    <x v="1"/>
    <s v="68472022001003"/>
    <n v="-3.31"/>
    <n v="135"/>
    <n v="1"/>
    <n v="1"/>
  </r>
  <r>
    <m/>
    <m/>
    <x v="1"/>
    <s v="68512232001001"/>
    <n v="-1.74"/>
    <n v="71"/>
    <n v="1"/>
    <n v="1"/>
  </r>
  <r>
    <m/>
    <m/>
    <x v="1"/>
    <s v="68623369001004"/>
    <n v="-0.56000000000000005"/>
    <n v="23"/>
    <n v="1"/>
    <n v="1"/>
  </r>
  <r>
    <m/>
    <m/>
    <x v="1"/>
    <s v="68624650001002"/>
    <n v="-2.7"/>
    <n v="110"/>
    <n v="1"/>
    <n v="1"/>
  </r>
  <r>
    <m/>
    <m/>
    <x v="1"/>
    <s v="68639459001005"/>
    <n v="-5.83"/>
    <n v="238"/>
    <n v="1"/>
    <n v="1"/>
  </r>
  <r>
    <m/>
    <m/>
    <x v="1"/>
    <s v="69000077001002"/>
    <n v="-19.72"/>
    <n v="805"/>
    <n v="1"/>
    <n v="1"/>
  </r>
  <r>
    <m/>
    <m/>
    <x v="1"/>
    <s v="69060183003015"/>
    <n v="-11.2"/>
    <n v="457"/>
    <n v="1"/>
    <n v="1"/>
  </r>
  <r>
    <m/>
    <m/>
    <x v="1"/>
    <s v="69172909001002"/>
    <n v="-7.99"/>
    <n v="326"/>
    <n v="1"/>
    <n v="1"/>
  </r>
  <r>
    <m/>
    <m/>
    <x v="1"/>
    <s v="69212535001003"/>
    <n v="-2.52"/>
    <n v="103"/>
    <n v="1"/>
    <n v="1"/>
  </r>
  <r>
    <m/>
    <m/>
    <x v="1"/>
    <s v="69243847003001"/>
    <n v="-0.34"/>
    <n v="14"/>
    <n v="1"/>
    <n v="1"/>
  </r>
  <r>
    <m/>
    <m/>
    <x v="1"/>
    <s v="69278841002001"/>
    <n v="-1.37"/>
    <n v="56"/>
    <n v="1"/>
    <n v="1"/>
  </r>
  <r>
    <m/>
    <m/>
    <x v="1"/>
    <s v="69363729001001"/>
    <n v="-11.17"/>
    <n v="456"/>
    <n v="1"/>
    <n v="1"/>
  </r>
  <r>
    <m/>
    <m/>
    <x v="1"/>
    <s v="69589294001001"/>
    <n v="-0.1"/>
    <n v="4"/>
    <n v="1"/>
    <n v="1"/>
  </r>
  <r>
    <m/>
    <m/>
    <x v="1"/>
    <s v="69593297001008"/>
    <n v="-0.32"/>
    <n v="13"/>
    <n v="1"/>
    <n v="1"/>
  </r>
  <r>
    <m/>
    <m/>
    <x v="1"/>
    <s v="69697436003002"/>
    <n v="-3.99"/>
    <n v="163"/>
    <n v="1"/>
    <n v="1"/>
  </r>
  <r>
    <m/>
    <m/>
    <x v="1"/>
    <s v="69938123001005"/>
    <n v="-10.56"/>
    <n v="431"/>
    <n v="1"/>
    <n v="1"/>
  </r>
  <r>
    <m/>
    <m/>
    <x v="1"/>
    <s v="69998675005001"/>
    <n v="-9.6999999999999993"/>
    <n v="396"/>
    <n v="1"/>
    <n v="1"/>
  </r>
  <r>
    <m/>
    <m/>
    <x v="1"/>
    <s v="70221164001005"/>
    <n v="-2.4700000000000002"/>
    <n v="101"/>
    <n v="1"/>
    <n v="1"/>
  </r>
  <r>
    <m/>
    <m/>
    <x v="1"/>
    <s v="70498831001001"/>
    <n v="-3.14"/>
    <n v="128"/>
    <n v="1"/>
    <n v="1"/>
  </r>
  <r>
    <m/>
    <m/>
    <x v="1"/>
    <s v="70517135001001"/>
    <n v="-2.65"/>
    <n v="108"/>
    <n v="1"/>
    <n v="1"/>
  </r>
  <r>
    <m/>
    <m/>
    <x v="1"/>
    <s v="70518336001001"/>
    <n v="-0.44"/>
    <n v="18"/>
    <n v="1"/>
    <n v="1"/>
  </r>
  <r>
    <m/>
    <m/>
    <x v="1"/>
    <s v="70572154001001"/>
    <n v="-15.14"/>
    <n v="618"/>
    <n v="1"/>
    <n v="1"/>
  </r>
  <r>
    <m/>
    <m/>
    <x v="1"/>
    <s v="70925378002003"/>
    <n v="-3.48"/>
    <n v="142"/>
    <n v="1"/>
    <n v="1"/>
  </r>
  <r>
    <m/>
    <m/>
    <x v="1"/>
    <s v="70934025001005"/>
    <n v="-13.99"/>
    <n v="571"/>
    <n v="1"/>
    <n v="1"/>
  </r>
  <r>
    <m/>
    <m/>
    <x v="1"/>
    <s v="70953596001001"/>
    <n v="-7.13"/>
    <n v="291"/>
    <n v="1"/>
    <n v="1"/>
  </r>
  <r>
    <m/>
    <m/>
    <x v="1"/>
    <s v="71047342001002"/>
    <n v="-0.74"/>
    <n v="30"/>
    <n v="1"/>
    <n v="1"/>
  </r>
  <r>
    <m/>
    <m/>
    <x v="1"/>
    <s v="71508543001001"/>
    <n v="-2.2799999999999998"/>
    <n v="93"/>
    <n v="1"/>
    <n v="1"/>
  </r>
  <r>
    <m/>
    <m/>
    <x v="1"/>
    <s v="72106643001003"/>
    <n v="-7.0000000000000007E-2"/>
    <n v="3"/>
    <n v="1"/>
    <n v="1"/>
  </r>
  <r>
    <m/>
    <m/>
    <x v="1"/>
    <s v="72476489001001"/>
    <n v="-13.38"/>
    <n v="546"/>
    <n v="1"/>
    <n v="1"/>
  </r>
  <r>
    <m/>
    <m/>
    <x v="1"/>
    <s v="72680010001001"/>
    <n v="-6"/>
    <n v="245"/>
    <n v="1"/>
    <n v="1"/>
  </r>
  <r>
    <m/>
    <m/>
    <x v="1"/>
    <s v="72769540001001"/>
    <n v="-1.42"/>
    <n v="58"/>
    <n v="1"/>
    <n v="1"/>
  </r>
  <r>
    <m/>
    <m/>
    <x v="1"/>
    <s v="72796289004001"/>
    <n v="-0.32"/>
    <n v="13"/>
    <n v="1"/>
    <n v="1"/>
  </r>
  <r>
    <m/>
    <m/>
    <x v="1"/>
    <s v="72889636001003"/>
    <n v="-5.29"/>
    <n v="216"/>
    <n v="1"/>
    <n v="1"/>
  </r>
  <r>
    <m/>
    <m/>
    <x v="1"/>
    <s v="72971361001006"/>
    <n v="-16.34"/>
    <n v="667"/>
    <n v="1"/>
    <n v="1"/>
  </r>
  <r>
    <m/>
    <m/>
    <x v="1"/>
    <s v="73439615001001"/>
    <n v="-2.82"/>
    <n v="115"/>
    <n v="1"/>
    <n v="1"/>
  </r>
  <r>
    <m/>
    <m/>
    <x v="1"/>
    <s v="73718834002001"/>
    <n v="-11.22"/>
    <n v="458"/>
    <n v="1"/>
    <n v="1"/>
  </r>
  <r>
    <m/>
    <m/>
    <x v="1"/>
    <s v="73822565001003"/>
    <n v="-1.4"/>
    <n v="57"/>
    <n v="1"/>
    <n v="1"/>
  </r>
  <r>
    <m/>
    <m/>
    <x v="1"/>
    <s v="74374771001005"/>
    <n v="-0.69"/>
    <n v="28"/>
    <n v="1"/>
    <n v="1"/>
  </r>
  <r>
    <m/>
    <m/>
    <x v="1"/>
    <s v="74556668001006"/>
    <n v="-9.31"/>
    <n v="380"/>
    <n v="1"/>
    <n v="1"/>
  </r>
  <r>
    <m/>
    <m/>
    <x v="1"/>
    <s v="74657239001002"/>
    <n v="-1.52"/>
    <n v="62"/>
    <n v="1"/>
    <n v="1"/>
  </r>
  <r>
    <m/>
    <m/>
    <x v="1"/>
    <s v="74849102001003"/>
    <n v="-19.670000000000002"/>
    <n v="803"/>
    <n v="1"/>
    <n v="1"/>
  </r>
  <r>
    <m/>
    <m/>
    <x v="1"/>
    <s v="74916061001001"/>
    <n v="-3.5"/>
    <n v="143"/>
    <n v="1"/>
    <n v="1"/>
  </r>
  <r>
    <m/>
    <m/>
    <x v="1"/>
    <s v="75149375001006"/>
    <n v="-0.51"/>
    <n v="21"/>
    <n v="1"/>
    <n v="1"/>
  </r>
  <r>
    <m/>
    <m/>
    <x v="1"/>
    <s v="75544198001002"/>
    <n v="-13.11"/>
    <n v="535"/>
    <n v="1"/>
    <n v="1"/>
  </r>
  <r>
    <m/>
    <m/>
    <x v="1"/>
    <s v="75558866002001"/>
    <n v="-14.58"/>
    <n v="595"/>
    <n v="1"/>
    <n v="1"/>
  </r>
  <r>
    <m/>
    <m/>
    <x v="1"/>
    <s v="75743118001001"/>
    <n v="-0.28999999999999998"/>
    <n v="12"/>
    <n v="1"/>
    <n v="1"/>
  </r>
  <r>
    <m/>
    <m/>
    <x v="1"/>
    <s v="75814877002001"/>
    <n v="-23.01"/>
    <n v="939"/>
    <n v="1"/>
    <n v="1"/>
  </r>
  <r>
    <m/>
    <m/>
    <x v="1"/>
    <s v="75838799001004"/>
    <n v="-1.1299999999999999"/>
    <n v="46"/>
    <n v="1"/>
    <n v="1"/>
  </r>
  <r>
    <m/>
    <m/>
    <x v="1"/>
    <s v="76559936001004"/>
    <n v="-1.05"/>
    <n v="43"/>
    <n v="1"/>
    <n v="1"/>
  </r>
  <r>
    <m/>
    <m/>
    <x v="1"/>
    <s v="76588944001003"/>
    <n v="-3.06"/>
    <n v="125"/>
    <n v="1"/>
    <n v="1"/>
  </r>
  <r>
    <m/>
    <m/>
    <x v="1"/>
    <s v="76614777003003"/>
    <n v="-34.450000000000003"/>
    <n v="1406"/>
    <n v="1"/>
    <n v="1"/>
  </r>
  <r>
    <m/>
    <m/>
    <x v="1"/>
    <s v="76615869001006"/>
    <n v="-9.3800000000000008"/>
    <n v="383"/>
    <n v="1"/>
    <n v="1"/>
  </r>
  <r>
    <m/>
    <m/>
    <x v="1"/>
    <s v="76670454001001"/>
    <n v="-4.51"/>
    <n v="184"/>
    <n v="1"/>
    <n v="1"/>
  </r>
  <r>
    <m/>
    <m/>
    <x v="1"/>
    <s v="76795463001003"/>
    <n v="-9.33"/>
    <n v="381"/>
    <n v="1"/>
    <n v="1"/>
  </r>
  <r>
    <m/>
    <m/>
    <x v="1"/>
    <s v="76854949001003"/>
    <n v="-16.170000000000002"/>
    <n v="660"/>
    <n v="1"/>
    <n v="1"/>
  </r>
  <r>
    <m/>
    <m/>
    <x v="1"/>
    <s v="77297374001003"/>
    <n v="-0.15"/>
    <n v="6"/>
    <n v="1"/>
    <n v="1"/>
  </r>
  <r>
    <m/>
    <m/>
    <x v="1"/>
    <s v="77414176001005"/>
    <n v="-0.17"/>
    <n v="7"/>
    <n v="1"/>
    <n v="1"/>
  </r>
  <r>
    <m/>
    <m/>
    <x v="1"/>
    <s v="77482495003001"/>
    <n v="-6.57"/>
    <n v="268"/>
    <n v="1"/>
    <n v="1"/>
  </r>
  <r>
    <m/>
    <m/>
    <x v="1"/>
    <s v="77931356002006"/>
    <n v="-13.62"/>
    <n v="556"/>
    <n v="1"/>
    <n v="1"/>
  </r>
  <r>
    <m/>
    <m/>
    <x v="1"/>
    <s v="78067360001002"/>
    <n v="-1.62"/>
    <n v="66"/>
    <n v="1"/>
    <n v="1"/>
  </r>
  <r>
    <m/>
    <m/>
    <x v="1"/>
    <s v="78102550001004"/>
    <n v="-5.49"/>
    <n v="224"/>
    <n v="1"/>
    <n v="1"/>
  </r>
  <r>
    <m/>
    <m/>
    <x v="1"/>
    <s v="78241325001001"/>
    <n v="-7.0000000000000007E-2"/>
    <n v="3"/>
    <n v="1"/>
    <n v="1"/>
  </r>
  <r>
    <m/>
    <m/>
    <x v="1"/>
    <s v="78347555001002"/>
    <n v="-0.86"/>
    <n v="35"/>
    <n v="1"/>
    <n v="1"/>
  </r>
  <r>
    <m/>
    <m/>
    <x v="1"/>
    <s v="78390859001002"/>
    <n v="-10.29"/>
    <n v="420"/>
    <n v="1"/>
    <n v="1"/>
  </r>
  <r>
    <m/>
    <m/>
    <x v="1"/>
    <s v="79283500001002"/>
    <n v="-15.83"/>
    <n v="646"/>
    <n v="1"/>
    <n v="1"/>
  </r>
  <r>
    <m/>
    <m/>
    <x v="1"/>
    <s v="79543609001001"/>
    <n v="-3.53"/>
    <n v="144"/>
    <n v="1"/>
    <n v="1"/>
  </r>
  <r>
    <m/>
    <m/>
    <x v="1"/>
    <s v="79559262001003"/>
    <n v="-6.91"/>
    <n v="282"/>
    <n v="1"/>
    <n v="1"/>
  </r>
  <r>
    <m/>
    <m/>
    <x v="1"/>
    <s v="79713989002001"/>
    <n v="-28.4"/>
    <n v="1159"/>
    <n v="1"/>
    <n v="1"/>
  </r>
  <r>
    <m/>
    <m/>
    <x v="1"/>
    <s v="79889636001005"/>
    <n v="-3.7"/>
    <n v="151"/>
    <n v="1"/>
    <n v="1"/>
  </r>
  <r>
    <m/>
    <m/>
    <x v="1"/>
    <s v="79989931001001"/>
    <n v="-3.26"/>
    <n v="133"/>
    <n v="1"/>
    <n v="1"/>
  </r>
  <r>
    <m/>
    <m/>
    <x v="1"/>
    <s v="80164416001009"/>
    <n v="-4.83"/>
    <n v="197"/>
    <n v="1"/>
    <n v="1"/>
  </r>
  <r>
    <m/>
    <m/>
    <x v="1"/>
    <s v="80867382002003"/>
    <n v="-0.74"/>
    <n v="30"/>
    <n v="1"/>
    <n v="1"/>
  </r>
  <r>
    <m/>
    <m/>
    <x v="1"/>
    <s v="80918426001002"/>
    <n v="-8.5500000000000007"/>
    <n v="349"/>
    <n v="1"/>
    <n v="1"/>
  </r>
  <r>
    <m/>
    <m/>
    <x v="1"/>
    <s v="81097028001001"/>
    <n v="-2.2999999999999998"/>
    <n v="94"/>
    <n v="1"/>
    <n v="1"/>
  </r>
  <r>
    <m/>
    <m/>
    <x v="1"/>
    <s v="81182109001003"/>
    <n v="-0.42"/>
    <n v="17"/>
    <n v="1"/>
    <n v="1"/>
  </r>
  <r>
    <m/>
    <m/>
    <x v="1"/>
    <s v="81298475001001"/>
    <n v="-3.6"/>
    <n v="147"/>
    <n v="1"/>
    <n v="1"/>
  </r>
  <r>
    <m/>
    <m/>
    <x v="1"/>
    <s v="81376958001002"/>
    <n v="-4.97"/>
    <n v="203"/>
    <n v="1"/>
    <n v="1"/>
  </r>
  <r>
    <m/>
    <m/>
    <x v="1"/>
    <s v="81489053002003"/>
    <n v="-3.72"/>
    <n v="152"/>
    <n v="1"/>
    <n v="1"/>
  </r>
  <r>
    <m/>
    <m/>
    <x v="1"/>
    <s v="81851563001001"/>
    <n v="-6.88"/>
    <n v="281"/>
    <n v="1"/>
    <n v="1"/>
  </r>
  <r>
    <m/>
    <m/>
    <x v="1"/>
    <s v="82043401001001"/>
    <n v="-0.39"/>
    <n v="16"/>
    <n v="1"/>
    <n v="1"/>
  </r>
  <r>
    <m/>
    <m/>
    <x v="1"/>
    <s v="82322990001001"/>
    <n v="-5.51"/>
    <n v="225"/>
    <n v="1"/>
    <n v="1"/>
  </r>
  <r>
    <m/>
    <m/>
    <x v="1"/>
    <s v="82389671001001"/>
    <n v="-12.4"/>
    <n v="506"/>
    <n v="1"/>
    <n v="1"/>
  </r>
  <r>
    <m/>
    <m/>
    <x v="1"/>
    <s v="82705141002003"/>
    <n v="-3.82"/>
    <n v="156"/>
    <n v="1"/>
    <n v="1"/>
  </r>
  <r>
    <m/>
    <m/>
    <x v="1"/>
    <s v="82876457001003"/>
    <n v="-5.88"/>
    <n v="240"/>
    <n v="1"/>
    <n v="1"/>
  </r>
  <r>
    <m/>
    <m/>
    <x v="1"/>
    <s v="83012772001001"/>
    <n v="-3.55"/>
    <n v="145"/>
    <n v="1"/>
    <n v="1"/>
  </r>
  <r>
    <m/>
    <m/>
    <x v="1"/>
    <s v="83058315001004"/>
    <n v="-19.97"/>
    <n v="815"/>
    <n v="1"/>
    <n v="1"/>
  </r>
  <r>
    <m/>
    <m/>
    <x v="1"/>
    <s v="83232170001001"/>
    <n v="-3.14"/>
    <n v="128"/>
    <n v="1"/>
    <n v="1"/>
  </r>
  <r>
    <m/>
    <m/>
    <x v="1"/>
    <s v="83365022001002"/>
    <n v="-9.24"/>
    <n v="377"/>
    <n v="1"/>
    <n v="1"/>
  </r>
  <r>
    <m/>
    <m/>
    <x v="1"/>
    <s v="83430858001001"/>
    <n v="-9.6999999999999993"/>
    <n v="396"/>
    <n v="1"/>
    <n v="1"/>
  </r>
  <r>
    <m/>
    <m/>
    <x v="1"/>
    <s v="83589580001001"/>
    <n v="-0.51"/>
    <n v="21"/>
    <n v="1"/>
    <n v="1"/>
  </r>
  <r>
    <m/>
    <m/>
    <x v="1"/>
    <s v="83951109003001"/>
    <n v="-36.090000000000003"/>
    <n v="1473"/>
    <n v="1"/>
    <n v="1"/>
  </r>
  <r>
    <m/>
    <m/>
    <x v="1"/>
    <s v="83981500001003"/>
    <n v="-11.64"/>
    <n v="475"/>
    <n v="1"/>
    <n v="1"/>
  </r>
  <r>
    <m/>
    <m/>
    <x v="1"/>
    <s v="84147592002001"/>
    <n v="-7.42"/>
    <n v="303"/>
    <n v="1"/>
    <n v="1"/>
  </r>
  <r>
    <m/>
    <m/>
    <x v="1"/>
    <s v="84270072001001"/>
    <n v="-1.47"/>
    <n v="60"/>
    <n v="1"/>
    <n v="1"/>
  </r>
  <r>
    <m/>
    <m/>
    <x v="1"/>
    <s v="84649205001001"/>
    <n v="-9.36"/>
    <n v="382"/>
    <n v="1"/>
    <n v="1"/>
  </r>
  <r>
    <m/>
    <m/>
    <x v="1"/>
    <s v="84767508001007"/>
    <n v="-0.05"/>
    <n v="2"/>
    <n v="1"/>
    <n v="1"/>
  </r>
  <r>
    <m/>
    <m/>
    <x v="1"/>
    <s v="84854567001007"/>
    <n v="-1.3"/>
    <n v="53"/>
    <n v="1"/>
    <n v="1"/>
  </r>
  <r>
    <m/>
    <m/>
    <x v="1"/>
    <s v="84929826001001"/>
    <n v="-3.23"/>
    <n v="132"/>
    <n v="1"/>
    <n v="1"/>
  </r>
  <r>
    <m/>
    <m/>
    <x v="1"/>
    <s v="84938068001001"/>
    <n v="-0.96"/>
    <n v="39"/>
    <n v="1"/>
    <n v="1"/>
  </r>
  <r>
    <m/>
    <m/>
    <x v="1"/>
    <s v="85218753001001"/>
    <n v="-14.82"/>
    <n v="605"/>
    <n v="1"/>
    <n v="1"/>
  </r>
  <r>
    <m/>
    <m/>
    <x v="1"/>
    <s v="85464036001001"/>
    <n v="-10.54"/>
    <n v="430"/>
    <n v="1"/>
    <n v="1"/>
  </r>
  <r>
    <m/>
    <m/>
    <x v="1"/>
    <s v="85607457001003"/>
    <n v="-4.29"/>
    <n v="175"/>
    <n v="1"/>
    <n v="1"/>
  </r>
  <r>
    <m/>
    <m/>
    <x v="1"/>
    <s v="85949429001002"/>
    <n v="-6.15"/>
    <n v="251"/>
    <n v="1"/>
    <n v="1"/>
  </r>
  <r>
    <m/>
    <m/>
    <x v="1"/>
    <s v="85986593003001"/>
    <n v="-3.45"/>
    <n v="141"/>
    <n v="1"/>
    <n v="1"/>
  </r>
  <r>
    <m/>
    <m/>
    <x v="1"/>
    <s v="86314126001001"/>
    <n v="-9.9499999999999993"/>
    <n v="406"/>
    <n v="1"/>
    <n v="1"/>
  </r>
  <r>
    <m/>
    <m/>
    <x v="1"/>
    <s v="86420880001004"/>
    <n v="-28"/>
    <n v="1143"/>
    <n v="1"/>
    <n v="1"/>
  </r>
  <r>
    <m/>
    <m/>
    <x v="1"/>
    <s v="86574879001008"/>
    <n v="-0.74"/>
    <n v="30"/>
    <n v="1"/>
    <n v="1"/>
  </r>
  <r>
    <m/>
    <m/>
    <x v="1"/>
    <s v="86808270001005"/>
    <n v="-0.42"/>
    <n v="17"/>
    <n v="1"/>
    <n v="1"/>
  </r>
  <r>
    <m/>
    <m/>
    <x v="1"/>
    <s v="86826206004005"/>
    <n v="-13.11"/>
    <n v="535"/>
    <n v="1"/>
    <n v="1"/>
  </r>
  <r>
    <m/>
    <m/>
    <x v="1"/>
    <s v="86974765001001"/>
    <n v="-1.74"/>
    <n v="71"/>
    <n v="1"/>
    <n v="1"/>
  </r>
  <r>
    <m/>
    <m/>
    <x v="1"/>
    <s v="87090986001001"/>
    <n v="-2.96"/>
    <n v="121"/>
    <n v="1"/>
    <n v="1"/>
  </r>
  <r>
    <m/>
    <m/>
    <x v="1"/>
    <s v="87298950001009"/>
    <n v="-2.77"/>
    <n v="113"/>
    <n v="1"/>
    <n v="1"/>
  </r>
  <r>
    <m/>
    <m/>
    <x v="1"/>
    <s v="87402995001003"/>
    <n v="-10.119999999999999"/>
    <n v="413"/>
    <n v="1"/>
    <n v="1"/>
  </r>
  <r>
    <m/>
    <m/>
    <x v="1"/>
    <s v="87409773002001"/>
    <n v="-3.77"/>
    <n v="154"/>
    <n v="1"/>
    <n v="1"/>
  </r>
  <r>
    <m/>
    <m/>
    <x v="1"/>
    <s v="87567739001004"/>
    <n v="-11.66"/>
    <n v="476"/>
    <n v="1"/>
    <n v="1"/>
  </r>
  <r>
    <m/>
    <m/>
    <x v="1"/>
    <s v="87970646001002"/>
    <n v="-11.61"/>
    <n v="474"/>
    <n v="1"/>
    <n v="1"/>
  </r>
  <r>
    <m/>
    <m/>
    <x v="1"/>
    <s v="88302097001001"/>
    <n v="-14.33"/>
    <n v="585"/>
    <n v="1"/>
    <n v="1"/>
  </r>
  <r>
    <m/>
    <m/>
    <x v="1"/>
    <s v="88600796001001"/>
    <n v="-3.41"/>
    <n v="139"/>
    <n v="1"/>
    <n v="1"/>
  </r>
  <r>
    <m/>
    <m/>
    <x v="1"/>
    <s v="88716719002003"/>
    <n v="-1.05"/>
    <n v="43"/>
    <n v="1"/>
    <n v="1"/>
  </r>
  <r>
    <m/>
    <m/>
    <x v="1"/>
    <s v="88795471002001"/>
    <n v="-4.4800000000000004"/>
    <n v="183"/>
    <n v="1"/>
    <n v="1"/>
  </r>
  <r>
    <m/>
    <m/>
    <x v="1"/>
    <s v="89067112002001"/>
    <n v="-6.69"/>
    <n v="273"/>
    <n v="1"/>
    <n v="1"/>
  </r>
  <r>
    <m/>
    <m/>
    <x v="1"/>
    <s v="89105915001001"/>
    <n v="-46.8"/>
    <n v="1910"/>
    <n v="1"/>
    <n v="1"/>
  </r>
  <r>
    <m/>
    <m/>
    <x v="1"/>
    <s v="89115051002001"/>
    <n v="-12.64"/>
    <n v="516"/>
    <n v="1"/>
    <n v="1"/>
  </r>
  <r>
    <m/>
    <m/>
    <x v="1"/>
    <s v="89128471001009"/>
    <n v="-20.02"/>
    <n v="817"/>
    <n v="1"/>
    <n v="1"/>
  </r>
  <r>
    <m/>
    <m/>
    <x v="1"/>
    <s v="89435607001002"/>
    <n v="-10.54"/>
    <n v="430"/>
    <n v="1"/>
    <n v="1"/>
  </r>
  <r>
    <m/>
    <m/>
    <x v="1"/>
    <s v="89520809001009"/>
    <n v="-8.31"/>
    <n v="339"/>
    <n v="1"/>
    <n v="1"/>
  </r>
  <r>
    <m/>
    <m/>
    <x v="1"/>
    <s v="89599726001001"/>
    <n v="-3.68"/>
    <n v="150"/>
    <n v="1"/>
    <n v="1"/>
  </r>
  <r>
    <m/>
    <m/>
    <x v="1"/>
    <s v="90070067001013"/>
    <n v="-10"/>
    <n v="408"/>
    <n v="1"/>
    <n v="1"/>
  </r>
  <r>
    <m/>
    <m/>
    <x v="1"/>
    <s v="90423930002005"/>
    <n v="-6.96"/>
    <n v="284"/>
    <n v="1"/>
    <n v="1"/>
  </r>
  <r>
    <m/>
    <m/>
    <x v="1"/>
    <s v="90466455001004"/>
    <n v="-10.78"/>
    <n v="440"/>
    <n v="1"/>
    <n v="1"/>
  </r>
  <r>
    <m/>
    <m/>
    <x v="1"/>
    <s v="90515852001001"/>
    <n v="-4.1399999999999997"/>
    <n v="169"/>
    <n v="1"/>
    <n v="1"/>
  </r>
  <r>
    <m/>
    <m/>
    <x v="1"/>
    <s v="90593570008003"/>
    <n v="-28.57"/>
    <n v="1166"/>
    <n v="1"/>
    <n v="1"/>
  </r>
  <r>
    <m/>
    <m/>
    <x v="1"/>
    <s v="90642244003005"/>
    <n v="-10"/>
    <n v="408"/>
    <n v="1"/>
    <n v="1"/>
  </r>
  <r>
    <m/>
    <m/>
    <x v="1"/>
    <s v="90666654001001"/>
    <n v="-6.59"/>
    <n v="269"/>
    <n v="1"/>
    <n v="1"/>
  </r>
  <r>
    <m/>
    <m/>
    <x v="1"/>
    <s v="91179685001003"/>
    <n v="-0.39"/>
    <n v="16"/>
    <n v="1"/>
    <n v="1"/>
  </r>
  <r>
    <m/>
    <m/>
    <x v="1"/>
    <s v="91251961001001"/>
    <n v="-0.02"/>
    <n v="1"/>
    <n v="1"/>
    <n v="1"/>
  </r>
  <r>
    <m/>
    <m/>
    <x v="1"/>
    <s v="91266513001005"/>
    <n v="-5.0199999999999996"/>
    <n v="205"/>
    <n v="1"/>
    <n v="1"/>
  </r>
  <r>
    <m/>
    <m/>
    <x v="1"/>
    <s v="91610458001002"/>
    <n v="-10.36"/>
    <n v="423"/>
    <n v="1"/>
    <n v="1"/>
  </r>
  <r>
    <m/>
    <m/>
    <x v="1"/>
    <s v="91666691002003"/>
    <n v="-5.05"/>
    <n v="206"/>
    <n v="1"/>
    <n v="1"/>
  </r>
  <r>
    <m/>
    <m/>
    <x v="1"/>
    <s v="91700255001001"/>
    <n v="-6.91"/>
    <n v="282"/>
    <n v="1"/>
    <n v="1"/>
  </r>
  <r>
    <m/>
    <m/>
    <x v="1"/>
    <s v="91722865001003"/>
    <n v="-1.18"/>
    <n v="48"/>
    <n v="1"/>
    <n v="1"/>
  </r>
  <r>
    <m/>
    <m/>
    <x v="1"/>
    <s v="91727388001001"/>
    <n v="-13.67"/>
    <n v="558"/>
    <n v="1"/>
    <n v="1"/>
  </r>
  <r>
    <m/>
    <m/>
    <x v="1"/>
    <s v="92277523001006"/>
    <n v="-7.0000000000000007E-2"/>
    <n v="3"/>
    <n v="1"/>
    <n v="1"/>
  </r>
  <r>
    <m/>
    <m/>
    <x v="1"/>
    <s v="92517163002004"/>
    <n v="-14.04"/>
    <n v="573"/>
    <n v="1"/>
    <n v="1"/>
  </r>
  <r>
    <m/>
    <m/>
    <x v="1"/>
    <s v="92602233001001"/>
    <n v="-0.49"/>
    <n v="20"/>
    <n v="1"/>
    <n v="1"/>
  </r>
  <r>
    <m/>
    <m/>
    <x v="1"/>
    <s v="93107160001010"/>
    <n v="-1.62"/>
    <n v="66"/>
    <n v="1"/>
    <n v="1"/>
  </r>
  <r>
    <m/>
    <m/>
    <x v="1"/>
    <s v="93146187001002"/>
    <n v="-5.12"/>
    <n v="209"/>
    <n v="1"/>
    <n v="1"/>
  </r>
  <r>
    <m/>
    <m/>
    <x v="1"/>
    <s v="93316698001001"/>
    <n v="-4.07"/>
    <n v="166"/>
    <n v="1"/>
    <n v="1"/>
  </r>
  <r>
    <m/>
    <m/>
    <x v="1"/>
    <s v="93387211001009"/>
    <n v="-30.53"/>
    <n v="1246"/>
    <n v="1"/>
    <n v="1"/>
  </r>
  <r>
    <m/>
    <m/>
    <x v="1"/>
    <s v="93541991001003"/>
    <n v="-2.5"/>
    <n v="102"/>
    <n v="1"/>
    <n v="1"/>
  </r>
  <r>
    <m/>
    <m/>
    <x v="1"/>
    <s v="94290441002001"/>
    <n v="-0.42"/>
    <n v="17"/>
    <n v="1"/>
    <n v="1"/>
  </r>
  <r>
    <m/>
    <m/>
    <x v="1"/>
    <s v="94513633001005"/>
    <n v="-10.51"/>
    <n v="429"/>
    <n v="1"/>
    <n v="1"/>
  </r>
  <r>
    <m/>
    <m/>
    <x v="1"/>
    <s v="94684058001001"/>
    <n v="-5"/>
    <n v="204"/>
    <n v="1"/>
    <n v="1"/>
  </r>
  <r>
    <m/>
    <m/>
    <x v="1"/>
    <s v="94908251002001"/>
    <n v="-4.4800000000000004"/>
    <n v="183"/>
    <n v="1"/>
    <n v="1"/>
  </r>
  <r>
    <m/>
    <m/>
    <x v="1"/>
    <s v="94963671001001"/>
    <n v="-1.45"/>
    <n v="59"/>
    <n v="1"/>
    <n v="1"/>
  </r>
  <r>
    <m/>
    <m/>
    <x v="1"/>
    <s v="95016897001001"/>
    <n v="-6.54"/>
    <n v="267"/>
    <n v="1"/>
    <n v="1"/>
  </r>
  <r>
    <m/>
    <m/>
    <x v="1"/>
    <s v="95227952004001"/>
    <n v="-31.34"/>
    <n v="1279"/>
    <n v="1"/>
    <n v="1"/>
  </r>
  <r>
    <m/>
    <m/>
    <x v="1"/>
    <s v="95229231001002"/>
    <n v="-2.38"/>
    <n v="97"/>
    <n v="1"/>
    <n v="1"/>
  </r>
  <r>
    <m/>
    <m/>
    <x v="1"/>
    <s v="95311280001001"/>
    <n v="-6.3"/>
    <n v="257"/>
    <n v="1"/>
    <n v="1"/>
  </r>
  <r>
    <m/>
    <m/>
    <x v="1"/>
    <s v="95373261001005"/>
    <n v="-16.98"/>
    <n v="693"/>
    <n v="1"/>
    <n v="1"/>
  </r>
  <r>
    <m/>
    <m/>
    <x v="1"/>
    <s v="95438353001014"/>
    <n v="-14.01"/>
    <n v="572"/>
    <n v="1"/>
    <n v="1"/>
  </r>
  <r>
    <m/>
    <m/>
    <x v="1"/>
    <s v="95527245001004"/>
    <n v="-2.0099999999999998"/>
    <n v="82"/>
    <n v="1"/>
    <n v="1"/>
  </r>
  <r>
    <m/>
    <m/>
    <x v="1"/>
    <s v="95699360003004"/>
    <n v="-9.9700000000000006"/>
    <n v="407"/>
    <n v="1"/>
    <n v="1"/>
  </r>
  <r>
    <m/>
    <m/>
    <x v="1"/>
    <s v="95972381001002"/>
    <n v="-6.76"/>
    <n v="276"/>
    <n v="1"/>
    <n v="1"/>
  </r>
  <r>
    <m/>
    <m/>
    <x v="1"/>
    <s v="95974841004001"/>
    <n v="-9.8000000000000007"/>
    <n v="400"/>
    <n v="1"/>
    <n v="1"/>
  </r>
  <r>
    <m/>
    <m/>
    <x v="1"/>
    <s v="96226382001001"/>
    <n v="-1.47"/>
    <n v="60"/>
    <n v="1"/>
    <n v="1"/>
  </r>
  <r>
    <m/>
    <m/>
    <x v="1"/>
    <s v="96258552001004"/>
    <n v="-13.35"/>
    <n v="545"/>
    <n v="1"/>
    <n v="1"/>
  </r>
  <r>
    <m/>
    <m/>
    <x v="1"/>
    <s v="96369039001001"/>
    <n v="-18.38"/>
    <n v="750"/>
    <n v="1"/>
    <n v="1"/>
  </r>
  <r>
    <m/>
    <m/>
    <x v="1"/>
    <s v="96989595001001"/>
    <n v="-0.25"/>
    <n v="10"/>
    <n v="1"/>
    <n v="1"/>
  </r>
  <r>
    <m/>
    <m/>
    <x v="1"/>
    <s v="97033053001001"/>
    <n v="-7.33"/>
    <n v="299"/>
    <n v="1"/>
    <n v="1"/>
  </r>
  <r>
    <m/>
    <m/>
    <x v="1"/>
    <s v="97517408001003"/>
    <n v="-6.57"/>
    <n v="268"/>
    <n v="1"/>
    <n v="1"/>
  </r>
  <r>
    <m/>
    <m/>
    <x v="1"/>
    <s v="97521847001001"/>
    <n v="-6.03"/>
    <n v="246"/>
    <n v="1"/>
    <n v="1"/>
  </r>
  <r>
    <m/>
    <m/>
    <x v="1"/>
    <s v="97956025003003"/>
    <n v="-4.24"/>
    <n v="173"/>
    <n v="1"/>
    <n v="1"/>
  </r>
  <r>
    <m/>
    <m/>
    <x v="1"/>
    <s v="98157594010001"/>
    <n v="-4.78"/>
    <n v="195"/>
    <n v="1"/>
    <n v="1"/>
  </r>
  <r>
    <m/>
    <m/>
    <x v="1"/>
    <s v="98361540001003"/>
    <n v="-1.1499999999999999"/>
    <n v="47"/>
    <n v="1"/>
    <n v="1"/>
  </r>
  <r>
    <m/>
    <m/>
    <x v="1"/>
    <s v="98550222001001"/>
    <n v="-8.9700000000000006"/>
    <n v="366"/>
    <n v="1"/>
    <n v="1"/>
  </r>
  <r>
    <m/>
    <m/>
    <x v="1"/>
    <s v="98859974001007"/>
    <n v="-1.67"/>
    <n v="68"/>
    <n v="1"/>
    <n v="1"/>
  </r>
  <r>
    <m/>
    <m/>
    <x v="1"/>
    <s v="99547055001003"/>
    <n v="-8.6"/>
    <n v="351"/>
    <n v="1"/>
    <n v="1"/>
  </r>
  <r>
    <m/>
    <m/>
    <x v="1"/>
    <s v="99605913001001"/>
    <n v="-2.7"/>
    <n v="110"/>
    <n v="1"/>
    <n v="1"/>
  </r>
  <r>
    <m/>
    <m/>
    <x v="1"/>
    <s v="99678131001001"/>
    <n v="-3.63"/>
    <n v="148"/>
    <n v="1"/>
    <n v="1"/>
  </r>
  <r>
    <m/>
    <m/>
    <x v="1"/>
    <s v="99689334001002"/>
    <n v="-1.47"/>
    <n v="60"/>
    <n v="1"/>
    <n v="1"/>
  </r>
  <r>
    <m/>
    <m/>
    <x v="1"/>
    <s v="99752520001007"/>
    <n v="-3.75"/>
    <n v="153"/>
    <n v="1"/>
    <n v="1"/>
  </r>
  <r>
    <m/>
    <m/>
    <x v="1"/>
    <s v="99831171002001"/>
    <n v="-25.19"/>
    <n v="1028"/>
    <n v="1"/>
    <n v="1"/>
  </r>
  <r>
    <m/>
    <m/>
    <x v="1"/>
    <s v="99840626001004"/>
    <n v="-0.17"/>
    <n v="7"/>
    <n v="1"/>
    <n v="1"/>
  </r>
  <r>
    <m/>
    <m/>
    <x v="2"/>
    <m/>
    <n v="-6136.6300000000056"/>
    <n v="250462"/>
    <n v="840"/>
    <n v="840"/>
  </r>
  <r>
    <m/>
    <m/>
    <x v="3"/>
    <s v="00046637001001"/>
    <n v="-1.84"/>
    <n v="47"/>
    <n v="1"/>
    <n v="1"/>
  </r>
  <r>
    <m/>
    <m/>
    <x v="1"/>
    <s v="00505142002001"/>
    <n v="-0.39"/>
    <n v="10"/>
    <n v="1"/>
    <n v="1"/>
  </r>
  <r>
    <m/>
    <m/>
    <x v="1"/>
    <s v="00615047002001"/>
    <n v="-9.25"/>
    <n v="236"/>
    <n v="1"/>
    <n v="1"/>
  </r>
  <r>
    <m/>
    <m/>
    <x v="1"/>
    <s v="00620929001002"/>
    <n v="-6.82"/>
    <n v="174"/>
    <n v="1"/>
    <n v="1"/>
  </r>
  <r>
    <m/>
    <m/>
    <x v="1"/>
    <s v="00809273002003"/>
    <n v="-19.25"/>
    <n v="491"/>
    <n v="1"/>
    <n v="1"/>
  </r>
  <r>
    <m/>
    <m/>
    <x v="1"/>
    <s v="00829036001001"/>
    <n v="-25.72"/>
    <n v="656"/>
    <n v="1"/>
    <n v="1"/>
  </r>
  <r>
    <m/>
    <m/>
    <x v="1"/>
    <s v="00838430001003"/>
    <n v="-20.78"/>
    <n v="530"/>
    <n v="1"/>
    <n v="1"/>
  </r>
  <r>
    <m/>
    <m/>
    <x v="1"/>
    <s v="00876650001003"/>
    <n v="-24.66"/>
    <n v="629"/>
    <n v="1"/>
    <n v="1"/>
  </r>
  <r>
    <m/>
    <m/>
    <x v="1"/>
    <s v="01028343001005"/>
    <n v="-2.9"/>
    <n v="74"/>
    <n v="1"/>
    <n v="1"/>
  </r>
  <r>
    <m/>
    <m/>
    <x v="1"/>
    <s v="01147160001001"/>
    <n v="-19.8"/>
    <n v="505"/>
    <n v="1"/>
    <n v="1"/>
  </r>
  <r>
    <m/>
    <m/>
    <x v="1"/>
    <s v="01520368001007"/>
    <n v="-9.8800000000000008"/>
    <n v="252"/>
    <n v="1"/>
    <n v="1"/>
  </r>
  <r>
    <m/>
    <m/>
    <x v="1"/>
    <s v="01858972001001"/>
    <n v="-21.96"/>
    <n v="560"/>
    <n v="1"/>
    <n v="1"/>
  </r>
  <r>
    <m/>
    <m/>
    <x v="1"/>
    <s v="02383685001001"/>
    <n v="-1.25"/>
    <n v="32"/>
    <n v="1"/>
    <n v="1"/>
  </r>
  <r>
    <m/>
    <m/>
    <x v="1"/>
    <s v="02761318001001"/>
    <n v="-6.82"/>
    <n v="174"/>
    <n v="1"/>
    <n v="1"/>
  </r>
  <r>
    <m/>
    <m/>
    <x v="1"/>
    <s v="02861062001008"/>
    <n v="-0.86"/>
    <n v="22"/>
    <n v="1"/>
    <n v="1"/>
  </r>
  <r>
    <m/>
    <m/>
    <x v="1"/>
    <s v="02975140001002"/>
    <n v="-8.86"/>
    <n v="226"/>
    <n v="1"/>
    <n v="1"/>
  </r>
  <r>
    <m/>
    <m/>
    <x v="1"/>
    <s v="03276788001006"/>
    <n v="-36.619999999999997"/>
    <n v="934"/>
    <n v="1"/>
    <n v="1"/>
  </r>
  <r>
    <m/>
    <m/>
    <x v="1"/>
    <s v="03303681001001"/>
    <n v="-13.68"/>
    <n v="349"/>
    <n v="1"/>
    <n v="1"/>
  </r>
  <r>
    <m/>
    <m/>
    <x v="1"/>
    <s v="03425988001004"/>
    <n v="-1.88"/>
    <n v="48"/>
    <n v="1"/>
    <n v="1"/>
  </r>
  <r>
    <m/>
    <m/>
    <x v="1"/>
    <s v="03428866001003"/>
    <n v="-8.59"/>
    <n v="219"/>
    <n v="1"/>
    <n v="1"/>
  </r>
  <r>
    <m/>
    <m/>
    <x v="1"/>
    <s v="03527986001008"/>
    <n v="-6.39"/>
    <n v="163"/>
    <n v="1"/>
    <n v="1"/>
  </r>
  <r>
    <m/>
    <m/>
    <x v="1"/>
    <s v="04226765001003"/>
    <n v="-18.12"/>
    <n v="462"/>
    <n v="1"/>
    <n v="1"/>
  </r>
  <r>
    <m/>
    <m/>
    <x v="1"/>
    <s v="04274208001003"/>
    <n v="-3.06"/>
    <n v="78"/>
    <n v="1"/>
    <n v="1"/>
  </r>
  <r>
    <m/>
    <m/>
    <x v="1"/>
    <s v="04330395001006"/>
    <n v="-22.08"/>
    <n v="563"/>
    <n v="1"/>
    <n v="1"/>
  </r>
  <r>
    <m/>
    <m/>
    <x v="1"/>
    <s v="04365606001002"/>
    <n v="-2.59"/>
    <n v="66"/>
    <n v="1"/>
    <n v="1"/>
  </r>
  <r>
    <m/>
    <m/>
    <x v="1"/>
    <s v="04615660011001"/>
    <n v="-11.57"/>
    <n v="295"/>
    <n v="1"/>
    <n v="1"/>
  </r>
  <r>
    <m/>
    <m/>
    <x v="1"/>
    <s v="04707114001003"/>
    <n v="-0.16"/>
    <n v="4"/>
    <n v="1"/>
    <n v="1"/>
  </r>
  <r>
    <m/>
    <m/>
    <x v="1"/>
    <s v="04758207001001"/>
    <n v="-0.16"/>
    <n v="4"/>
    <n v="1"/>
    <n v="1"/>
  </r>
  <r>
    <m/>
    <m/>
    <x v="1"/>
    <s v="04813613001001"/>
    <n v="-36.979999999999997"/>
    <n v="943"/>
    <n v="1"/>
    <n v="1"/>
  </r>
  <r>
    <m/>
    <m/>
    <x v="1"/>
    <s v="05077769001001"/>
    <n v="-4.74"/>
    <n v="121"/>
    <n v="1"/>
    <n v="1"/>
  </r>
  <r>
    <m/>
    <m/>
    <x v="1"/>
    <s v="05424431002001"/>
    <n v="-9.5299999999999994"/>
    <n v="243"/>
    <n v="1"/>
    <n v="1"/>
  </r>
  <r>
    <m/>
    <m/>
    <x v="1"/>
    <s v="05467882001001"/>
    <n v="-36.11"/>
    <n v="921"/>
    <n v="1"/>
    <n v="1"/>
  </r>
  <r>
    <m/>
    <m/>
    <x v="1"/>
    <s v="05489508003005"/>
    <n v="-9.18"/>
    <n v="234"/>
    <n v="1"/>
    <n v="1"/>
  </r>
  <r>
    <m/>
    <m/>
    <x v="1"/>
    <s v="05608094001001"/>
    <n v="-0.12"/>
    <n v="3"/>
    <n v="1"/>
    <n v="1"/>
  </r>
  <r>
    <m/>
    <m/>
    <x v="1"/>
    <s v="05767750001001"/>
    <n v="-24.19"/>
    <n v="617"/>
    <n v="1"/>
    <n v="1"/>
  </r>
  <r>
    <m/>
    <m/>
    <x v="1"/>
    <s v="05803986001003"/>
    <n v="-3.84"/>
    <n v="98"/>
    <n v="1"/>
    <n v="1"/>
  </r>
  <r>
    <m/>
    <m/>
    <x v="1"/>
    <s v="05939875001001"/>
    <n v="-4.2300000000000004"/>
    <n v="108"/>
    <n v="1"/>
    <n v="1"/>
  </r>
  <r>
    <m/>
    <m/>
    <x v="1"/>
    <s v="06381309001002"/>
    <n v="-40.270000000000003"/>
    <n v="1027"/>
    <n v="1"/>
    <n v="1"/>
  </r>
  <r>
    <m/>
    <m/>
    <x v="1"/>
    <s v="06815394001001"/>
    <n v="-9.84"/>
    <n v="251"/>
    <n v="1"/>
    <n v="1"/>
  </r>
  <r>
    <m/>
    <m/>
    <x v="1"/>
    <s v="06870862001003"/>
    <n v="-10.19"/>
    <n v="260"/>
    <n v="1"/>
    <n v="1"/>
  </r>
  <r>
    <m/>
    <m/>
    <x v="1"/>
    <s v="07214889002013"/>
    <n v="-14.82"/>
    <n v="378"/>
    <n v="1"/>
    <n v="1"/>
  </r>
  <r>
    <m/>
    <m/>
    <x v="1"/>
    <s v="07535080002004"/>
    <n v="-4.9400000000000004"/>
    <n v="126"/>
    <n v="1"/>
    <n v="1"/>
  </r>
  <r>
    <m/>
    <m/>
    <x v="1"/>
    <s v="07573474001004"/>
    <n v="-0.16"/>
    <n v="4"/>
    <n v="1"/>
    <n v="1"/>
  </r>
  <r>
    <m/>
    <m/>
    <x v="1"/>
    <s v="07775926001003"/>
    <n v="-15.1"/>
    <n v="385"/>
    <n v="1"/>
    <n v="1"/>
  </r>
  <r>
    <m/>
    <m/>
    <x v="1"/>
    <s v="07923176001001"/>
    <n v="-4.2300000000000004"/>
    <n v="108"/>
    <n v="1"/>
    <n v="1"/>
  </r>
  <r>
    <m/>
    <m/>
    <x v="1"/>
    <s v="08007689001001"/>
    <n v="-45.29"/>
    <n v="1155"/>
    <n v="1"/>
    <n v="1"/>
  </r>
  <r>
    <m/>
    <m/>
    <x v="1"/>
    <s v="08067240001001"/>
    <n v="-7.25"/>
    <n v="185"/>
    <n v="1"/>
    <n v="1"/>
  </r>
  <r>
    <m/>
    <m/>
    <x v="1"/>
    <s v="08189439001003"/>
    <n v="-7.96"/>
    <n v="203"/>
    <n v="1"/>
    <n v="1"/>
  </r>
  <r>
    <m/>
    <m/>
    <x v="1"/>
    <s v="08233163001005"/>
    <n v="-0.71"/>
    <n v="18"/>
    <n v="1"/>
    <n v="1"/>
  </r>
  <r>
    <m/>
    <m/>
    <x v="1"/>
    <s v="08314540001003"/>
    <n v="-5.61"/>
    <n v="143"/>
    <n v="1"/>
    <n v="1"/>
  </r>
  <r>
    <m/>
    <m/>
    <x v="1"/>
    <s v="08360608001002"/>
    <n v="-15.76"/>
    <n v="402"/>
    <n v="1"/>
    <n v="1"/>
  </r>
  <r>
    <m/>
    <m/>
    <x v="1"/>
    <s v="08435512001003"/>
    <n v="-0.27"/>
    <n v="7"/>
    <n v="1"/>
    <n v="1"/>
  </r>
  <r>
    <m/>
    <m/>
    <x v="1"/>
    <s v="08544021001001"/>
    <n v="-4.9800000000000004"/>
    <n v="127"/>
    <n v="1"/>
    <n v="1"/>
  </r>
  <r>
    <m/>
    <m/>
    <x v="1"/>
    <s v="08685884001001"/>
    <n v="-0.35"/>
    <n v="9"/>
    <n v="1"/>
    <n v="1"/>
  </r>
  <r>
    <m/>
    <m/>
    <x v="1"/>
    <s v="08851339001001"/>
    <n v="-1.53"/>
    <n v="39"/>
    <n v="1"/>
    <n v="1"/>
  </r>
  <r>
    <m/>
    <m/>
    <x v="1"/>
    <s v="08897151001004"/>
    <n v="-39.21"/>
    <n v="1000"/>
    <n v="1"/>
    <n v="1"/>
  </r>
  <r>
    <m/>
    <m/>
    <x v="1"/>
    <s v="08985850001001"/>
    <n v="-3.53"/>
    <n v="90"/>
    <n v="1"/>
    <n v="1"/>
  </r>
  <r>
    <m/>
    <m/>
    <x v="1"/>
    <s v="08994743001001"/>
    <n v="-24.78"/>
    <n v="632"/>
    <n v="1"/>
    <n v="1"/>
  </r>
  <r>
    <m/>
    <m/>
    <x v="1"/>
    <s v="09032815001002"/>
    <n v="-5.69"/>
    <n v="145"/>
    <n v="1"/>
    <n v="1"/>
  </r>
  <r>
    <m/>
    <m/>
    <x v="1"/>
    <s v="09089643001002"/>
    <n v="-6.16"/>
    <n v="157"/>
    <n v="1"/>
    <n v="1"/>
  </r>
  <r>
    <m/>
    <m/>
    <x v="1"/>
    <s v="09159151001002"/>
    <n v="-43.99"/>
    <n v="1122"/>
    <n v="1"/>
    <n v="1"/>
  </r>
  <r>
    <m/>
    <m/>
    <x v="1"/>
    <s v="09353338001001"/>
    <n v="-14.43"/>
    <n v="368"/>
    <n v="1"/>
    <n v="1"/>
  </r>
  <r>
    <m/>
    <m/>
    <x v="1"/>
    <s v="09381479001007"/>
    <n v="-0.43"/>
    <n v="11"/>
    <n v="1"/>
    <n v="1"/>
  </r>
  <r>
    <m/>
    <m/>
    <x v="1"/>
    <s v="09510965001001"/>
    <n v="-2.16"/>
    <n v="55"/>
    <n v="1"/>
    <n v="1"/>
  </r>
  <r>
    <m/>
    <m/>
    <x v="1"/>
    <s v="09912352001004"/>
    <n v="-7.45"/>
    <n v="190"/>
    <n v="1"/>
    <n v="1"/>
  </r>
  <r>
    <m/>
    <m/>
    <x v="1"/>
    <s v="10427012001001"/>
    <n v="-5.0599999999999996"/>
    <n v="129"/>
    <n v="1"/>
    <n v="1"/>
  </r>
  <r>
    <m/>
    <m/>
    <x v="1"/>
    <s v="10597439001003"/>
    <n v="-10.31"/>
    <n v="263"/>
    <n v="1"/>
    <n v="1"/>
  </r>
  <r>
    <m/>
    <m/>
    <x v="1"/>
    <s v="11073517001005"/>
    <n v="-21.8"/>
    <n v="556"/>
    <n v="1"/>
    <n v="1"/>
  </r>
  <r>
    <m/>
    <m/>
    <x v="1"/>
    <s v="11266870001001"/>
    <n v="-1.25"/>
    <n v="32"/>
    <n v="1"/>
    <n v="1"/>
  </r>
  <r>
    <m/>
    <m/>
    <x v="1"/>
    <s v="11284469001003"/>
    <n v="-2"/>
    <n v="51"/>
    <n v="1"/>
    <n v="1"/>
  </r>
  <r>
    <m/>
    <m/>
    <x v="1"/>
    <s v="11498623002001"/>
    <n v="-22.74"/>
    <n v="580"/>
    <n v="1"/>
    <n v="1"/>
  </r>
  <r>
    <m/>
    <m/>
    <x v="1"/>
    <s v="11502718002001"/>
    <n v="-21.06"/>
    <n v="537"/>
    <n v="1"/>
    <n v="1"/>
  </r>
  <r>
    <m/>
    <m/>
    <x v="1"/>
    <s v="11558237001001"/>
    <n v="-9.84"/>
    <n v="251"/>
    <n v="1"/>
    <n v="1"/>
  </r>
  <r>
    <m/>
    <m/>
    <x v="1"/>
    <s v="11762846001001"/>
    <n v="-5.53"/>
    <n v="141"/>
    <n v="1"/>
    <n v="1"/>
  </r>
  <r>
    <m/>
    <m/>
    <x v="1"/>
    <s v="11764245001001"/>
    <n v="-0.71"/>
    <n v="18"/>
    <n v="1"/>
    <n v="1"/>
  </r>
  <r>
    <m/>
    <m/>
    <x v="1"/>
    <s v="11787709001001"/>
    <n v="-12.82"/>
    <n v="327"/>
    <n v="1"/>
    <n v="1"/>
  </r>
  <r>
    <m/>
    <m/>
    <x v="1"/>
    <s v="11913025001002"/>
    <n v="-10.39"/>
    <n v="265"/>
    <n v="1"/>
    <n v="1"/>
  </r>
  <r>
    <m/>
    <m/>
    <x v="1"/>
    <s v="11918881001001"/>
    <n v="-3.06"/>
    <n v="78"/>
    <n v="1"/>
    <n v="1"/>
  </r>
  <r>
    <m/>
    <m/>
    <x v="1"/>
    <s v="11968828001003"/>
    <n v="-5.33"/>
    <n v="136"/>
    <n v="1"/>
    <n v="1"/>
  </r>
  <r>
    <m/>
    <m/>
    <x v="1"/>
    <s v="12157971001001"/>
    <n v="-17.329999999999998"/>
    <n v="442"/>
    <n v="1"/>
    <n v="1"/>
  </r>
  <r>
    <m/>
    <m/>
    <x v="1"/>
    <s v="12190639001002"/>
    <n v="-0.71"/>
    <n v="18"/>
    <n v="1"/>
    <n v="1"/>
  </r>
  <r>
    <m/>
    <m/>
    <x v="1"/>
    <s v="12190744001001"/>
    <n v="-2.4300000000000002"/>
    <n v="62"/>
    <n v="1"/>
    <n v="1"/>
  </r>
  <r>
    <m/>
    <m/>
    <x v="1"/>
    <s v="12421088001004"/>
    <n v="-15.72"/>
    <n v="401"/>
    <n v="1"/>
    <n v="1"/>
  </r>
  <r>
    <m/>
    <m/>
    <x v="1"/>
    <s v="12591289001004"/>
    <n v="-12.94"/>
    <n v="330"/>
    <n v="1"/>
    <n v="1"/>
  </r>
  <r>
    <m/>
    <m/>
    <x v="1"/>
    <s v="12818134001004"/>
    <n v="-15.02"/>
    <n v="383"/>
    <n v="1"/>
    <n v="1"/>
  </r>
  <r>
    <m/>
    <m/>
    <x v="1"/>
    <s v="12990985004003"/>
    <n v="-0.31"/>
    <n v="8"/>
    <n v="1"/>
    <n v="1"/>
  </r>
  <r>
    <m/>
    <m/>
    <x v="1"/>
    <s v="13203269001001"/>
    <n v="-2.86"/>
    <n v="73"/>
    <n v="1"/>
    <n v="1"/>
  </r>
  <r>
    <m/>
    <m/>
    <x v="1"/>
    <s v="13653453001001"/>
    <n v="-3.37"/>
    <n v="86"/>
    <n v="1"/>
    <n v="1"/>
  </r>
  <r>
    <m/>
    <m/>
    <x v="1"/>
    <s v="13661749001003"/>
    <n v="-3.61"/>
    <n v="92"/>
    <n v="1"/>
    <n v="1"/>
  </r>
  <r>
    <m/>
    <m/>
    <x v="1"/>
    <s v="13673984005001"/>
    <n v="-2.4700000000000002"/>
    <n v="63"/>
    <n v="1"/>
    <n v="1"/>
  </r>
  <r>
    <m/>
    <m/>
    <x v="1"/>
    <s v="14250991001001"/>
    <n v="-7.76"/>
    <n v="198"/>
    <n v="1"/>
    <n v="1"/>
  </r>
  <r>
    <m/>
    <m/>
    <x v="1"/>
    <s v="14523509002001"/>
    <n v="-23.17"/>
    <n v="591"/>
    <n v="1"/>
    <n v="1"/>
  </r>
  <r>
    <m/>
    <m/>
    <x v="1"/>
    <s v="14550816001001"/>
    <n v="-0.59"/>
    <n v="15"/>
    <n v="1"/>
    <n v="1"/>
  </r>
  <r>
    <m/>
    <m/>
    <x v="1"/>
    <s v="14612915001001"/>
    <n v="-18.899999999999999"/>
    <n v="482"/>
    <n v="1"/>
    <n v="1"/>
  </r>
  <r>
    <m/>
    <m/>
    <x v="1"/>
    <s v="14880751002003"/>
    <n v="-1.29"/>
    <n v="33"/>
    <n v="1"/>
    <n v="1"/>
  </r>
  <r>
    <m/>
    <m/>
    <x v="1"/>
    <s v="14884998001013"/>
    <n v="-0.47"/>
    <n v="12"/>
    <n v="1"/>
    <n v="1"/>
  </r>
  <r>
    <m/>
    <m/>
    <x v="1"/>
    <s v="14986800001003"/>
    <n v="-29.96"/>
    <n v="764"/>
    <n v="1"/>
    <n v="1"/>
  </r>
  <r>
    <m/>
    <m/>
    <x v="1"/>
    <s v="15197163001001"/>
    <n v="-0.47"/>
    <n v="12"/>
    <n v="1"/>
    <n v="1"/>
  </r>
  <r>
    <m/>
    <m/>
    <x v="1"/>
    <s v="15210168001005"/>
    <n v="-16.12"/>
    <n v="411"/>
    <n v="1"/>
    <n v="1"/>
  </r>
  <r>
    <m/>
    <m/>
    <x v="1"/>
    <s v="15429562002003"/>
    <n v="-14.51"/>
    <n v="370"/>
    <n v="1"/>
    <n v="1"/>
  </r>
  <r>
    <m/>
    <m/>
    <x v="1"/>
    <s v="15475885001003"/>
    <n v="-3.41"/>
    <n v="87"/>
    <n v="1"/>
    <n v="1"/>
  </r>
  <r>
    <m/>
    <m/>
    <x v="1"/>
    <s v="15572981001001"/>
    <n v="-10.98"/>
    <n v="280"/>
    <n v="1"/>
    <n v="1"/>
  </r>
  <r>
    <m/>
    <m/>
    <x v="1"/>
    <s v="16000002001005"/>
    <n v="-3.1"/>
    <n v="79"/>
    <n v="1"/>
    <n v="1"/>
  </r>
  <r>
    <m/>
    <m/>
    <x v="1"/>
    <s v="16146889001001"/>
    <n v="-7.8"/>
    <n v="199"/>
    <n v="1"/>
    <n v="1"/>
  </r>
  <r>
    <m/>
    <m/>
    <x v="1"/>
    <s v="16208723002001"/>
    <n v="-6.16"/>
    <n v="157"/>
    <n v="1"/>
    <n v="1"/>
  </r>
  <r>
    <m/>
    <m/>
    <x v="1"/>
    <s v="16212832003001"/>
    <n v="-8.23"/>
    <n v="210"/>
    <n v="1"/>
    <n v="1"/>
  </r>
  <r>
    <m/>
    <m/>
    <x v="1"/>
    <s v="16268790001003"/>
    <n v="-2.27"/>
    <n v="58"/>
    <n v="1"/>
    <n v="1"/>
  </r>
  <r>
    <m/>
    <m/>
    <x v="1"/>
    <s v="16343113001003"/>
    <n v="-8.27"/>
    <n v="211"/>
    <n v="1"/>
    <n v="1"/>
  </r>
  <r>
    <m/>
    <m/>
    <x v="1"/>
    <s v="16414586003001"/>
    <n v="-0.55000000000000004"/>
    <n v="14"/>
    <n v="1"/>
    <n v="1"/>
  </r>
  <r>
    <m/>
    <m/>
    <x v="1"/>
    <s v="16614801002003"/>
    <n v="-16.04"/>
    <n v="409"/>
    <n v="1"/>
    <n v="1"/>
  </r>
  <r>
    <m/>
    <m/>
    <x v="1"/>
    <s v="17143195002001"/>
    <n v="-4"/>
    <n v="102"/>
    <n v="1"/>
    <n v="1"/>
  </r>
  <r>
    <m/>
    <m/>
    <x v="1"/>
    <s v="17146839001001"/>
    <n v="-3.06"/>
    <n v="78"/>
    <n v="1"/>
    <n v="1"/>
  </r>
  <r>
    <m/>
    <m/>
    <x v="1"/>
    <s v="17479759004002"/>
    <n v="-24.04"/>
    <n v="613"/>
    <n v="1"/>
    <n v="1"/>
  </r>
  <r>
    <m/>
    <m/>
    <x v="1"/>
    <s v="17540542001001"/>
    <n v="-4.9800000000000004"/>
    <n v="127"/>
    <n v="1"/>
    <n v="1"/>
  </r>
  <r>
    <m/>
    <m/>
    <x v="1"/>
    <s v="17724609001006"/>
    <n v="-10.59"/>
    <n v="270"/>
    <n v="1"/>
    <n v="1"/>
  </r>
  <r>
    <m/>
    <m/>
    <x v="1"/>
    <s v="17773522002001"/>
    <n v="-5.29"/>
    <n v="135"/>
    <n v="1"/>
    <n v="1"/>
  </r>
  <r>
    <m/>
    <m/>
    <x v="1"/>
    <s v="17785645002001"/>
    <n v="-9.18"/>
    <n v="234"/>
    <n v="1"/>
    <n v="1"/>
  </r>
  <r>
    <m/>
    <m/>
    <x v="1"/>
    <s v="18165838001002"/>
    <n v="-15.88"/>
    <n v="405"/>
    <n v="1"/>
    <n v="1"/>
  </r>
  <r>
    <m/>
    <m/>
    <x v="1"/>
    <s v="18557213001004"/>
    <n v="-1.65"/>
    <n v="42"/>
    <n v="1"/>
    <n v="1"/>
  </r>
  <r>
    <m/>
    <m/>
    <x v="1"/>
    <s v="18802755001007"/>
    <n v="-7.84"/>
    <n v="200"/>
    <n v="1"/>
    <n v="1"/>
  </r>
  <r>
    <m/>
    <m/>
    <x v="1"/>
    <s v="18996093002001"/>
    <n v="-30.98"/>
    <n v="790"/>
    <n v="1"/>
    <n v="1"/>
  </r>
  <r>
    <m/>
    <m/>
    <x v="1"/>
    <s v="19345185001001"/>
    <n v="-0.63"/>
    <n v="16"/>
    <n v="1"/>
    <n v="1"/>
  </r>
  <r>
    <m/>
    <m/>
    <x v="1"/>
    <s v="19672904001001"/>
    <n v="-28.94"/>
    <n v="738"/>
    <n v="1"/>
    <n v="1"/>
  </r>
  <r>
    <m/>
    <m/>
    <x v="1"/>
    <s v="19857581001001"/>
    <n v="-6.7"/>
    <n v="171"/>
    <n v="1"/>
    <n v="1"/>
  </r>
  <r>
    <m/>
    <m/>
    <x v="1"/>
    <s v="19922627001001"/>
    <n v="-14.9"/>
    <n v="380"/>
    <n v="1"/>
    <n v="1"/>
  </r>
  <r>
    <m/>
    <m/>
    <x v="1"/>
    <s v="20021948002001"/>
    <n v="-9.84"/>
    <n v="251"/>
    <n v="1"/>
    <n v="1"/>
  </r>
  <r>
    <m/>
    <m/>
    <x v="1"/>
    <s v="20373554001003"/>
    <n v="-17.02"/>
    <n v="434"/>
    <n v="1"/>
    <n v="1"/>
  </r>
  <r>
    <m/>
    <m/>
    <x v="1"/>
    <s v="20563492001001"/>
    <n v="-16.23"/>
    <n v="414"/>
    <n v="1"/>
    <n v="1"/>
  </r>
  <r>
    <m/>
    <m/>
    <x v="1"/>
    <s v="20683934001002"/>
    <n v="-2.23"/>
    <n v="57"/>
    <n v="1"/>
    <n v="1"/>
  </r>
  <r>
    <m/>
    <m/>
    <x v="1"/>
    <s v="20806802001001"/>
    <n v="-9.57"/>
    <n v="244"/>
    <n v="1"/>
    <n v="1"/>
  </r>
  <r>
    <m/>
    <m/>
    <x v="1"/>
    <s v="20890010002001"/>
    <n v="-20.78"/>
    <n v="530"/>
    <n v="1"/>
    <n v="1"/>
  </r>
  <r>
    <m/>
    <m/>
    <x v="1"/>
    <s v="21033205001006"/>
    <n v="-9.06"/>
    <n v="231"/>
    <n v="1"/>
    <n v="1"/>
  </r>
  <r>
    <m/>
    <m/>
    <x v="1"/>
    <s v="21219326001001"/>
    <n v="-14.94"/>
    <n v="381"/>
    <n v="1"/>
    <n v="1"/>
  </r>
  <r>
    <m/>
    <m/>
    <x v="1"/>
    <s v="21429755001006"/>
    <n v="-8.1199999999999992"/>
    <n v="207"/>
    <n v="1"/>
    <n v="1"/>
  </r>
  <r>
    <m/>
    <m/>
    <x v="1"/>
    <s v="21809926001003"/>
    <n v="-1.33"/>
    <n v="34"/>
    <n v="1"/>
    <n v="1"/>
  </r>
  <r>
    <m/>
    <m/>
    <x v="1"/>
    <s v="21820617001003"/>
    <n v="-3.69"/>
    <n v="94"/>
    <n v="1"/>
    <n v="1"/>
  </r>
  <r>
    <m/>
    <m/>
    <x v="1"/>
    <s v="22050356001004"/>
    <n v="-4.74"/>
    <n v="121"/>
    <n v="1"/>
    <n v="1"/>
  </r>
  <r>
    <m/>
    <m/>
    <x v="1"/>
    <s v="22305793001002"/>
    <n v="-2.12"/>
    <n v="54"/>
    <n v="1"/>
    <n v="1"/>
  </r>
  <r>
    <m/>
    <m/>
    <x v="1"/>
    <s v="22359131001001"/>
    <n v="-2.04"/>
    <n v="52"/>
    <n v="1"/>
    <n v="1"/>
  </r>
  <r>
    <m/>
    <m/>
    <x v="1"/>
    <s v="22380133001001"/>
    <n v="-8.31"/>
    <n v="212"/>
    <n v="1"/>
    <n v="1"/>
  </r>
  <r>
    <m/>
    <m/>
    <x v="1"/>
    <s v="22617306001001"/>
    <n v="-15.02"/>
    <n v="383"/>
    <n v="1"/>
    <n v="1"/>
  </r>
  <r>
    <m/>
    <m/>
    <x v="1"/>
    <s v="22675655001001"/>
    <n v="-2.04"/>
    <n v="52"/>
    <n v="1"/>
    <n v="1"/>
  </r>
  <r>
    <m/>
    <m/>
    <x v="1"/>
    <s v="22784555001001"/>
    <n v="-6.23"/>
    <n v="159"/>
    <n v="1"/>
    <n v="1"/>
  </r>
  <r>
    <m/>
    <m/>
    <x v="1"/>
    <s v="23201827004001"/>
    <n v="-1.29"/>
    <n v="33"/>
    <n v="1"/>
    <n v="1"/>
  </r>
  <r>
    <m/>
    <m/>
    <x v="1"/>
    <s v="23227062001002"/>
    <n v="-0.51"/>
    <n v="13"/>
    <n v="1"/>
    <n v="1"/>
  </r>
  <r>
    <m/>
    <m/>
    <x v="1"/>
    <s v="23231303001004"/>
    <n v="-15.96"/>
    <n v="407"/>
    <n v="1"/>
    <n v="1"/>
  </r>
  <r>
    <m/>
    <m/>
    <x v="1"/>
    <s v="23407345001003"/>
    <n v="-6.04"/>
    <n v="154"/>
    <n v="1"/>
    <n v="1"/>
  </r>
  <r>
    <m/>
    <m/>
    <x v="1"/>
    <s v="23427190001001"/>
    <n v="-3.22"/>
    <n v="82"/>
    <n v="1"/>
    <n v="1"/>
  </r>
  <r>
    <m/>
    <m/>
    <x v="1"/>
    <s v="23535049001001"/>
    <n v="-9.18"/>
    <n v="234"/>
    <n v="1"/>
    <n v="1"/>
  </r>
  <r>
    <m/>
    <m/>
    <x v="1"/>
    <s v="23582904002001"/>
    <n v="-3.69"/>
    <n v="94"/>
    <n v="1"/>
    <n v="1"/>
  </r>
  <r>
    <m/>
    <m/>
    <x v="1"/>
    <s v="23863133001011"/>
    <n v="-0.74"/>
    <n v="19"/>
    <n v="1"/>
    <n v="1"/>
  </r>
  <r>
    <m/>
    <m/>
    <x v="1"/>
    <s v="23890949001001"/>
    <n v="-3.22"/>
    <n v="82"/>
    <n v="1"/>
    <n v="1"/>
  </r>
  <r>
    <m/>
    <m/>
    <x v="1"/>
    <s v="24116787001007"/>
    <n v="-6.12"/>
    <n v="156"/>
    <n v="1"/>
    <n v="1"/>
  </r>
  <r>
    <m/>
    <m/>
    <x v="1"/>
    <s v="24288214001005"/>
    <n v="-9.57"/>
    <n v="244"/>
    <n v="1"/>
    <n v="1"/>
  </r>
  <r>
    <m/>
    <m/>
    <x v="1"/>
    <s v="24291697001001"/>
    <n v="-16.98"/>
    <n v="433"/>
    <n v="1"/>
    <n v="1"/>
  </r>
  <r>
    <m/>
    <m/>
    <x v="1"/>
    <s v="24369303001001"/>
    <n v="-8.94"/>
    <n v="228"/>
    <n v="1"/>
    <n v="1"/>
  </r>
  <r>
    <m/>
    <m/>
    <x v="1"/>
    <s v="24471043001004"/>
    <n v="-5.14"/>
    <n v="131"/>
    <n v="1"/>
    <n v="1"/>
  </r>
  <r>
    <m/>
    <m/>
    <x v="1"/>
    <s v="24488041001003"/>
    <n v="-3.61"/>
    <n v="92"/>
    <n v="1"/>
    <n v="1"/>
  </r>
  <r>
    <m/>
    <m/>
    <x v="1"/>
    <s v="24516542001001"/>
    <n v="-0.43"/>
    <n v="11"/>
    <n v="1"/>
    <n v="1"/>
  </r>
  <r>
    <m/>
    <m/>
    <x v="1"/>
    <s v="24516542001006"/>
    <n v="-0.24"/>
    <n v="6"/>
    <n v="1"/>
    <n v="1"/>
  </r>
  <r>
    <m/>
    <m/>
    <x v="1"/>
    <s v="24533539006003"/>
    <n v="-0.47"/>
    <n v="12"/>
    <n v="1"/>
    <n v="1"/>
  </r>
  <r>
    <m/>
    <m/>
    <x v="1"/>
    <s v="24743896001001"/>
    <n v="-2.35"/>
    <n v="60"/>
    <n v="1"/>
    <n v="1"/>
  </r>
  <r>
    <m/>
    <m/>
    <x v="1"/>
    <s v="24785101001002"/>
    <n v="-22.31"/>
    <n v="569"/>
    <n v="1"/>
    <n v="1"/>
  </r>
  <r>
    <m/>
    <m/>
    <x v="1"/>
    <s v="24901880001001"/>
    <n v="-1.88"/>
    <n v="48"/>
    <n v="1"/>
    <n v="1"/>
  </r>
  <r>
    <m/>
    <m/>
    <x v="1"/>
    <s v="24992881001001"/>
    <n v="-19.53"/>
    <n v="498"/>
    <n v="1"/>
    <n v="1"/>
  </r>
  <r>
    <m/>
    <m/>
    <x v="1"/>
    <s v="25026606001003"/>
    <n v="-1.76"/>
    <n v="45"/>
    <n v="1"/>
    <n v="1"/>
  </r>
  <r>
    <m/>
    <m/>
    <x v="1"/>
    <s v="25133485004003"/>
    <n v="-41.37"/>
    <n v="1055"/>
    <n v="1"/>
    <n v="1"/>
  </r>
  <r>
    <m/>
    <m/>
    <x v="1"/>
    <s v="25212072001001"/>
    <n v="-8.6999999999999993"/>
    <n v="222"/>
    <n v="1"/>
    <n v="1"/>
  </r>
  <r>
    <m/>
    <m/>
    <x v="1"/>
    <s v="25266054001002"/>
    <n v="-27.29"/>
    <n v="696"/>
    <n v="1"/>
    <n v="1"/>
  </r>
  <r>
    <m/>
    <m/>
    <x v="1"/>
    <s v="25302590001001"/>
    <n v="-6.27"/>
    <n v="160"/>
    <n v="1"/>
    <n v="1"/>
  </r>
  <r>
    <m/>
    <m/>
    <x v="1"/>
    <s v="25612446001001"/>
    <n v="-1.92"/>
    <n v="49"/>
    <n v="1"/>
    <n v="1"/>
  </r>
  <r>
    <m/>
    <m/>
    <x v="1"/>
    <s v="25681918009001"/>
    <n v="-9.8800000000000008"/>
    <n v="252"/>
    <n v="1"/>
    <n v="1"/>
  </r>
  <r>
    <m/>
    <m/>
    <x v="1"/>
    <s v="25780799001001"/>
    <n v="-28.9"/>
    <n v="737"/>
    <n v="1"/>
    <n v="1"/>
  </r>
  <r>
    <m/>
    <m/>
    <x v="1"/>
    <s v="25919981001003"/>
    <n v="-2"/>
    <n v="51"/>
    <n v="1"/>
    <n v="1"/>
  </r>
  <r>
    <m/>
    <m/>
    <x v="1"/>
    <s v="26133946001003"/>
    <n v="-19.920000000000002"/>
    <n v="508"/>
    <n v="1"/>
    <n v="1"/>
  </r>
  <r>
    <m/>
    <m/>
    <x v="1"/>
    <s v="26406770002001"/>
    <n v="-24.15"/>
    <n v="616"/>
    <n v="1"/>
    <n v="1"/>
  </r>
  <r>
    <m/>
    <m/>
    <x v="1"/>
    <s v="26574451002003"/>
    <n v="-28.19"/>
    <n v="719"/>
    <n v="1"/>
    <n v="1"/>
  </r>
  <r>
    <m/>
    <m/>
    <x v="1"/>
    <s v="26826704001001"/>
    <n v="-0.39"/>
    <n v="10"/>
    <n v="1"/>
    <n v="1"/>
  </r>
  <r>
    <m/>
    <m/>
    <x v="1"/>
    <s v="26832624001007"/>
    <n v="-4.63"/>
    <n v="118"/>
    <n v="1"/>
    <n v="1"/>
  </r>
  <r>
    <m/>
    <m/>
    <x v="1"/>
    <s v="26894132003001"/>
    <n v="-65.790000000000006"/>
    <n v="1678"/>
    <n v="1"/>
    <n v="1"/>
  </r>
  <r>
    <m/>
    <m/>
    <x v="1"/>
    <s v="26917575001001"/>
    <n v="-22.08"/>
    <n v="563"/>
    <n v="1"/>
    <n v="1"/>
  </r>
  <r>
    <m/>
    <m/>
    <x v="1"/>
    <s v="27004406002001"/>
    <n v="-0.67"/>
    <n v="17"/>
    <n v="1"/>
    <n v="1"/>
  </r>
  <r>
    <m/>
    <m/>
    <x v="1"/>
    <s v="27356342001008"/>
    <n v="-4.43"/>
    <n v="113"/>
    <n v="1"/>
    <n v="1"/>
  </r>
  <r>
    <m/>
    <m/>
    <x v="1"/>
    <s v="27612583002003"/>
    <n v="-8.5500000000000007"/>
    <n v="218"/>
    <n v="1"/>
    <n v="1"/>
  </r>
  <r>
    <m/>
    <m/>
    <x v="1"/>
    <s v="27708255007001"/>
    <n v="-1.96"/>
    <n v="50"/>
    <n v="1"/>
    <n v="1"/>
  </r>
  <r>
    <m/>
    <m/>
    <x v="1"/>
    <s v="27943716001001"/>
    <n v="-9.7200000000000006"/>
    <n v="248"/>
    <n v="1"/>
    <n v="1"/>
  </r>
  <r>
    <m/>
    <m/>
    <x v="1"/>
    <s v="28014351004010"/>
    <n v="-7.21"/>
    <n v="184"/>
    <n v="1"/>
    <n v="1"/>
  </r>
  <r>
    <m/>
    <m/>
    <x v="1"/>
    <s v="28085146002003"/>
    <n v="-40.39"/>
    <n v="1030"/>
    <n v="1"/>
    <n v="1"/>
  </r>
  <r>
    <m/>
    <m/>
    <x v="1"/>
    <s v="28330708001001"/>
    <n v="-1.25"/>
    <n v="32"/>
    <n v="1"/>
    <n v="1"/>
  </r>
  <r>
    <m/>
    <m/>
    <x v="1"/>
    <s v="28452386002001"/>
    <n v="-18.47"/>
    <n v="471"/>
    <n v="1"/>
    <n v="1"/>
  </r>
  <r>
    <m/>
    <m/>
    <x v="1"/>
    <s v="28645126001006"/>
    <n v="-0.27"/>
    <n v="7"/>
    <n v="1"/>
    <n v="1"/>
  </r>
  <r>
    <m/>
    <m/>
    <x v="1"/>
    <s v="28758621002008"/>
    <n v="-2.23"/>
    <n v="57"/>
    <n v="1"/>
    <n v="1"/>
  </r>
  <r>
    <m/>
    <m/>
    <x v="1"/>
    <s v="28819742011001"/>
    <n v="-26.07"/>
    <n v="665"/>
    <n v="1"/>
    <n v="1"/>
  </r>
  <r>
    <m/>
    <m/>
    <x v="1"/>
    <s v="28950576001002"/>
    <n v="-0.51"/>
    <n v="13"/>
    <n v="1"/>
    <n v="1"/>
  </r>
  <r>
    <m/>
    <m/>
    <x v="1"/>
    <s v="28959951001001"/>
    <n v="-28.23"/>
    <n v="720"/>
    <n v="1"/>
    <n v="1"/>
  </r>
  <r>
    <m/>
    <m/>
    <x v="1"/>
    <s v="29196761001004"/>
    <n v="-10.82"/>
    <n v="276"/>
    <n v="1"/>
    <n v="1"/>
  </r>
  <r>
    <m/>
    <m/>
    <x v="1"/>
    <s v="29219744003001"/>
    <n v="-2.12"/>
    <n v="54"/>
    <n v="1"/>
    <n v="1"/>
  </r>
  <r>
    <m/>
    <m/>
    <x v="1"/>
    <s v="29225864001003"/>
    <n v="-6.04"/>
    <n v="154"/>
    <n v="1"/>
    <n v="1"/>
  </r>
  <r>
    <m/>
    <m/>
    <x v="1"/>
    <s v="29365356001002"/>
    <n v="-28.27"/>
    <n v="721"/>
    <n v="1"/>
    <n v="1"/>
  </r>
  <r>
    <m/>
    <m/>
    <x v="1"/>
    <s v="29403974001002"/>
    <n v="-0.39"/>
    <n v="10"/>
    <n v="1"/>
    <n v="1"/>
  </r>
  <r>
    <m/>
    <m/>
    <x v="1"/>
    <s v="29448259001002"/>
    <n v="-9.1"/>
    <n v="232"/>
    <n v="1"/>
    <n v="1"/>
  </r>
  <r>
    <m/>
    <m/>
    <x v="1"/>
    <s v="29519438001001"/>
    <n v="-32.51"/>
    <n v="829"/>
    <n v="1"/>
    <n v="1"/>
  </r>
  <r>
    <m/>
    <m/>
    <x v="1"/>
    <s v="29570002001001"/>
    <n v="-8.9"/>
    <n v="227"/>
    <n v="1"/>
    <n v="1"/>
  </r>
  <r>
    <m/>
    <m/>
    <x v="1"/>
    <s v="29577821001001"/>
    <n v="-3.92"/>
    <n v="100"/>
    <n v="1"/>
    <n v="1"/>
  </r>
  <r>
    <m/>
    <m/>
    <x v="1"/>
    <s v="29629435002003"/>
    <n v="-10.7"/>
    <n v="273"/>
    <n v="1"/>
    <n v="1"/>
  </r>
  <r>
    <m/>
    <m/>
    <x v="1"/>
    <s v="34758238001001"/>
    <n v="-5.37"/>
    <n v="137"/>
    <n v="1"/>
    <n v="1"/>
  </r>
  <r>
    <m/>
    <m/>
    <x v="1"/>
    <s v="34822690001003"/>
    <n v="-26.74"/>
    <n v="682"/>
    <n v="1"/>
    <n v="1"/>
  </r>
  <r>
    <m/>
    <m/>
    <x v="1"/>
    <s v="34827216001001"/>
    <n v="-2.71"/>
    <n v="69"/>
    <n v="1"/>
    <n v="1"/>
  </r>
  <r>
    <m/>
    <m/>
    <x v="1"/>
    <s v="34874155001002"/>
    <n v="-3.69"/>
    <n v="94"/>
    <n v="1"/>
    <n v="1"/>
  </r>
  <r>
    <m/>
    <m/>
    <x v="1"/>
    <s v="35256283001003"/>
    <n v="-16.350000000000001"/>
    <n v="417"/>
    <n v="1"/>
    <n v="1"/>
  </r>
  <r>
    <m/>
    <m/>
    <x v="1"/>
    <s v="35260727001006"/>
    <n v="-0.82"/>
    <n v="21"/>
    <n v="1"/>
    <n v="1"/>
  </r>
  <r>
    <m/>
    <m/>
    <x v="1"/>
    <s v="35268541002002"/>
    <n v="-2.4300000000000002"/>
    <n v="62"/>
    <n v="1"/>
    <n v="1"/>
  </r>
  <r>
    <m/>
    <m/>
    <x v="1"/>
    <s v="35387208001001"/>
    <n v="-39.479999999999997"/>
    <n v="1007"/>
    <n v="1"/>
    <n v="1"/>
  </r>
  <r>
    <m/>
    <m/>
    <x v="1"/>
    <s v="35402111001001"/>
    <n v="-5.45"/>
    <n v="139"/>
    <n v="1"/>
    <n v="1"/>
  </r>
  <r>
    <m/>
    <m/>
    <x v="1"/>
    <s v="35453275001007"/>
    <n v="-19.64"/>
    <n v="501"/>
    <n v="1"/>
    <n v="1"/>
  </r>
  <r>
    <m/>
    <m/>
    <x v="1"/>
    <s v="35545855003001"/>
    <n v="-9.3699999999999992"/>
    <n v="239"/>
    <n v="1"/>
    <n v="1"/>
  </r>
  <r>
    <m/>
    <m/>
    <x v="1"/>
    <s v="35571209001001"/>
    <n v="-8.59"/>
    <n v="219"/>
    <n v="1"/>
    <n v="1"/>
  </r>
  <r>
    <m/>
    <m/>
    <x v="1"/>
    <s v="35958850001005"/>
    <n v="-2.39"/>
    <n v="61"/>
    <n v="1"/>
    <n v="1"/>
  </r>
  <r>
    <m/>
    <m/>
    <x v="1"/>
    <s v="35983383001007"/>
    <n v="-1.53"/>
    <n v="39"/>
    <n v="1"/>
    <n v="1"/>
  </r>
  <r>
    <m/>
    <m/>
    <x v="1"/>
    <s v="36046479001001"/>
    <n v="-16.149999999999999"/>
    <n v="412"/>
    <n v="1"/>
    <n v="1"/>
  </r>
  <r>
    <m/>
    <m/>
    <x v="1"/>
    <s v="36078864001001"/>
    <n v="-10.35"/>
    <n v="264"/>
    <n v="1"/>
    <n v="1"/>
  </r>
  <r>
    <m/>
    <m/>
    <x v="1"/>
    <s v="36264381001001"/>
    <n v="-41.95"/>
    <n v="1070"/>
    <n v="1"/>
    <n v="1"/>
  </r>
  <r>
    <m/>
    <m/>
    <x v="1"/>
    <s v="36265466001001"/>
    <n v="-11.21"/>
    <n v="286"/>
    <n v="1"/>
    <n v="1"/>
  </r>
  <r>
    <m/>
    <m/>
    <x v="1"/>
    <s v="36294296001004"/>
    <n v="-17.25"/>
    <n v="440"/>
    <n v="1"/>
    <n v="1"/>
  </r>
  <r>
    <m/>
    <m/>
    <x v="1"/>
    <s v="36404328001001"/>
    <n v="-17.45"/>
    <n v="445"/>
    <n v="1"/>
    <n v="1"/>
  </r>
  <r>
    <m/>
    <m/>
    <x v="1"/>
    <s v="36405485001001"/>
    <n v="-10.78"/>
    <n v="275"/>
    <n v="1"/>
    <n v="1"/>
  </r>
  <r>
    <m/>
    <m/>
    <x v="1"/>
    <s v="36445725001001"/>
    <n v="-23.29"/>
    <n v="594"/>
    <n v="1"/>
    <n v="1"/>
  </r>
  <r>
    <m/>
    <m/>
    <x v="1"/>
    <s v="36603976001005"/>
    <n v="-0.43"/>
    <n v="11"/>
    <n v="1"/>
    <n v="1"/>
  </r>
  <r>
    <m/>
    <m/>
    <x v="1"/>
    <s v="36872264001001"/>
    <n v="-22.43"/>
    <n v="572"/>
    <n v="1"/>
    <n v="1"/>
  </r>
  <r>
    <m/>
    <m/>
    <x v="1"/>
    <s v="36931062001008"/>
    <n v="-0.98"/>
    <n v="25"/>
    <n v="1"/>
    <n v="1"/>
  </r>
  <r>
    <m/>
    <m/>
    <x v="1"/>
    <s v="37014491001001"/>
    <n v="-10.98"/>
    <n v="280"/>
    <n v="1"/>
    <n v="1"/>
  </r>
  <r>
    <m/>
    <m/>
    <x v="1"/>
    <s v="37230806001004"/>
    <n v="-20.11"/>
    <n v="513"/>
    <n v="1"/>
    <n v="1"/>
  </r>
  <r>
    <m/>
    <m/>
    <x v="1"/>
    <s v="37387403001001"/>
    <n v="-3.92"/>
    <n v="100"/>
    <n v="1"/>
    <n v="1"/>
  </r>
  <r>
    <m/>
    <m/>
    <x v="1"/>
    <s v="37477159001001"/>
    <n v="-7.1"/>
    <n v="181"/>
    <n v="1"/>
    <n v="1"/>
  </r>
  <r>
    <m/>
    <m/>
    <x v="1"/>
    <s v="37518547001003"/>
    <n v="-9.7200000000000006"/>
    <n v="248"/>
    <n v="1"/>
    <n v="1"/>
  </r>
  <r>
    <m/>
    <m/>
    <x v="1"/>
    <s v="37546855001001"/>
    <n v="-3.06"/>
    <n v="78"/>
    <n v="1"/>
    <n v="1"/>
  </r>
  <r>
    <m/>
    <m/>
    <x v="1"/>
    <s v="37962417001003"/>
    <n v="-21.17"/>
    <n v="540"/>
    <n v="1"/>
    <n v="1"/>
  </r>
  <r>
    <m/>
    <m/>
    <x v="1"/>
    <s v="38003358004003"/>
    <n v="-17.37"/>
    <n v="443"/>
    <n v="1"/>
    <n v="1"/>
  </r>
  <r>
    <m/>
    <m/>
    <x v="1"/>
    <s v="38054004001003"/>
    <n v="-0.27"/>
    <n v="7"/>
    <n v="1"/>
    <n v="1"/>
  </r>
  <r>
    <m/>
    <m/>
    <x v="1"/>
    <s v="38059806002007"/>
    <n v="-4.47"/>
    <n v="114"/>
    <n v="1"/>
    <n v="1"/>
  </r>
  <r>
    <m/>
    <m/>
    <x v="1"/>
    <s v="38245625004008"/>
    <n v="-12.51"/>
    <n v="319"/>
    <n v="1"/>
    <n v="1"/>
  </r>
  <r>
    <m/>
    <m/>
    <x v="1"/>
    <s v="38371635001001"/>
    <n v="-10.039999999999999"/>
    <n v="256"/>
    <n v="1"/>
    <n v="1"/>
  </r>
  <r>
    <m/>
    <m/>
    <x v="1"/>
    <s v="38606746001003"/>
    <n v="-20.350000000000001"/>
    <n v="519"/>
    <n v="1"/>
    <n v="1"/>
  </r>
  <r>
    <m/>
    <m/>
    <x v="1"/>
    <s v="38907178001004"/>
    <n v="-0.51"/>
    <n v="13"/>
    <n v="1"/>
    <n v="1"/>
  </r>
  <r>
    <m/>
    <m/>
    <x v="1"/>
    <s v="38911036001003"/>
    <n v="-0.04"/>
    <n v="1"/>
    <n v="1"/>
    <n v="1"/>
  </r>
  <r>
    <m/>
    <m/>
    <x v="1"/>
    <s v="39250671001002"/>
    <n v="-42.5"/>
    <n v="1084"/>
    <n v="1"/>
    <n v="1"/>
  </r>
  <r>
    <m/>
    <m/>
    <x v="1"/>
    <s v="39337225001001"/>
    <n v="-12.94"/>
    <n v="330"/>
    <n v="1"/>
    <n v="1"/>
  </r>
  <r>
    <m/>
    <m/>
    <x v="1"/>
    <s v="39398603002003"/>
    <n v="-3.69"/>
    <n v="94"/>
    <n v="1"/>
    <n v="1"/>
  </r>
  <r>
    <m/>
    <m/>
    <x v="1"/>
    <s v="39832575001004"/>
    <n v="-6.12"/>
    <n v="156"/>
    <n v="1"/>
    <n v="1"/>
  </r>
  <r>
    <m/>
    <m/>
    <x v="1"/>
    <s v="39862438001001"/>
    <n v="-6.59"/>
    <n v="168"/>
    <n v="1"/>
    <n v="1"/>
  </r>
  <r>
    <m/>
    <m/>
    <x v="1"/>
    <s v="39896845001006"/>
    <n v="-14.12"/>
    <n v="360"/>
    <n v="1"/>
    <n v="1"/>
  </r>
  <r>
    <m/>
    <m/>
    <x v="1"/>
    <s v="40009788001009"/>
    <n v="-3.37"/>
    <n v="86"/>
    <n v="1"/>
    <n v="1"/>
  </r>
  <r>
    <m/>
    <m/>
    <x v="1"/>
    <s v="40054017001004"/>
    <n v="-1.06"/>
    <n v="27"/>
    <n v="1"/>
    <n v="1"/>
  </r>
  <r>
    <m/>
    <m/>
    <x v="1"/>
    <s v="40302520001002"/>
    <n v="-10.31"/>
    <n v="263"/>
    <n v="1"/>
    <n v="1"/>
  </r>
  <r>
    <m/>
    <m/>
    <x v="1"/>
    <s v="40396125001001"/>
    <n v="-2.5499999999999998"/>
    <n v="65"/>
    <n v="1"/>
    <n v="1"/>
  </r>
  <r>
    <m/>
    <m/>
    <x v="1"/>
    <s v="40575106001004"/>
    <n v="-0.98"/>
    <n v="25"/>
    <n v="1"/>
    <n v="1"/>
  </r>
  <r>
    <m/>
    <m/>
    <x v="1"/>
    <s v="40647134001006"/>
    <n v="-8.9"/>
    <n v="227"/>
    <n v="1"/>
    <n v="1"/>
  </r>
  <r>
    <m/>
    <m/>
    <x v="1"/>
    <s v="40799378002001"/>
    <n v="-9.25"/>
    <n v="236"/>
    <n v="1"/>
    <n v="1"/>
  </r>
  <r>
    <m/>
    <m/>
    <x v="1"/>
    <s v="40819353001002"/>
    <n v="-16.98"/>
    <n v="433"/>
    <n v="1"/>
    <n v="1"/>
  </r>
  <r>
    <m/>
    <m/>
    <x v="1"/>
    <s v="40940003001003"/>
    <n v="-29.37"/>
    <n v="749"/>
    <n v="1"/>
    <n v="1"/>
  </r>
  <r>
    <m/>
    <m/>
    <x v="1"/>
    <s v="41102044001001"/>
    <n v="-2"/>
    <n v="51"/>
    <n v="1"/>
    <n v="1"/>
  </r>
  <r>
    <m/>
    <m/>
    <x v="1"/>
    <s v="41344855001009"/>
    <n v="-0.2"/>
    <n v="5"/>
    <n v="1"/>
    <n v="1"/>
  </r>
  <r>
    <m/>
    <m/>
    <x v="1"/>
    <s v="41547810001001"/>
    <n v="-4.47"/>
    <n v="114"/>
    <n v="1"/>
    <n v="1"/>
  </r>
  <r>
    <m/>
    <m/>
    <x v="1"/>
    <s v="41568295001001"/>
    <n v="-37.880000000000003"/>
    <n v="966"/>
    <n v="1"/>
    <n v="1"/>
  </r>
  <r>
    <m/>
    <m/>
    <x v="1"/>
    <s v="41731451001005"/>
    <n v="-1.25"/>
    <n v="32"/>
    <n v="1"/>
    <n v="1"/>
  </r>
  <r>
    <m/>
    <m/>
    <x v="1"/>
    <s v="41809389001005"/>
    <n v="-11.53"/>
    <n v="294"/>
    <n v="1"/>
    <n v="1"/>
  </r>
  <r>
    <m/>
    <m/>
    <x v="1"/>
    <s v="41836630001003"/>
    <n v="-17.41"/>
    <n v="444"/>
    <n v="1"/>
    <n v="1"/>
  </r>
  <r>
    <m/>
    <m/>
    <x v="1"/>
    <s v="41921625002001"/>
    <n v="-10.98"/>
    <n v="280"/>
    <n v="1"/>
    <n v="1"/>
  </r>
  <r>
    <m/>
    <m/>
    <x v="1"/>
    <s v="41938265001001"/>
    <n v="-19.41"/>
    <n v="495"/>
    <n v="1"/>
    <n v="1"/>
  </r>
  <r>
    <m/>
    <m/>
    <x v="1"/>
    <s v="42046814001001"/>
    <n v="-8.67"/>
    <n v="221"/>
    <n v="1"/>
    <n v="1"/>
  </r>
  <r>
    <m/>
    <m/>
    <x v="1"/>
    <s v="42066880001001"/>
    <n v="-1.02"/>
    <n v="26"/>
    <n v="1"/>
    <n v="1"/>
  </r>
  <r>
    <m/>
    <m/>
    <x v="1"/>
    <s v="42174751001003"/>
    <n v="-6.16"/>
    <n v="157"/>
    <n v="1"/>
    <n v="1"/>
  </r>
  <r>
    <m/>
    <m/>
    <x v="1"/>
    <s v="42338999003001"/>
    <n v="-19.41"/>
    <n v="495"/>
    <n v="1"/>
    <n v="1"/>
  </r>
  <r>
    <m/>
    <m/>
    <x v="1"/>
    <s v="42453517001001"/>
    <n v="-10.31"/>
    <n v="263"/>
    <n v="1"/>
    <n v="1"/>
  </r>
  <r>
    <m/>
    <m/>
    <x v="1"/>
    <s v="42502321001005"/>
    <n v="-9.8800000000000008"/>
    <n v="252"/>
    <n v="1"/>
    <n v="1"/>
  </r>
  <r>
    <m/>
    <m/>
    <x v="1"/>
    <s v="42503511001002"/>
    <n v="-8.35"/>
    <n v="213"/>
    <n v="1"/>
    <n v="1"/>
  </r>
  <r>
    <m/>
    <m/>
    <x v="1"/>
    <s v="42503651001002"/>
    <n v="-12.7"/>
    <n v="324"/>
    <n v="1"/>
    <n v="1"/>
  </r>
  <r>
    <m/>
    <m/>
    <x v="1"/>
    <s v="42507081005002"/>
    <n v="-12.39"/>
    <n v="316"/>
    <n v="1"/>
    <n v="1"/>
  </r>
  <r>
    <m/>
    <m/>
    <x v="1"/>
    <s v="42515551001011"/>
    <n v="-18.899999999999999"/>
    <n v="482"/>
    <n v="1"/>
    <n v="1"/>
  </r>
  <r>
    <m/>
    <m/>
    <x v="1"/>
    <s v="42518981005010"/>
    <n v="-3.65"/>
    <n v="93"/>
    <n v="1"/>
    <n v="1"/>
  </r>
  <r>
    <m/>
    <m/>
    <x v="1"/>
    <s v="42523746002001"/>
    <n v="-19.329999999999998"/>
    <n v="493"/>
    <n v="1"/>
    <n v="1"/>
  </r>
  <r>
    <m/>
    <m/>
    <x v="1"/>
    <s v="42533821001001"/>
    <n v="-29.6"/>
    <n v="755"/>
    <n v="1"/>
    <n v="1"/>
  </r>
  <r>
    <m/>
    <m/>
    <x v="1"/>
    <s v="42535011001002"/>
    <n v="-4.9800000000000004"/>
    <n v="127"/>
    <n v="1"/>
    <n v="1"/>
  </r>
  <r>
    <m/>
    <m/>
    <x v="1"/>
    <s v="42543901001001"/>
    <n v="-13.29"/>
    <n v="339"/>
    <n v="1"/>
    <n v="1"/>
  </r>
  <r>
    <m/>
    <m/>
    <x v="1"/>
    <s v="42569591004003"/>
    <n v="-10.94"/>
    <n v="279"/>
    <n v="1"/>
    <n v="1"/>
  </r>
  <r>
    <m/>
    <m/>
    <x v="1"/>
    <s v="42591011001001"/>
    <n v="-10.43"/>
    <n v="266"/>
    <n v="1"/>
    <n v="1"/>
  </r>
  <r>
    <m/>
    <m/>
    <x v="1"/>
    <s v="42637141001007"/>
    <n v="-19.25"/>
    <n v="491"/>
    <n v="1"/>
    <n v="1"/>
  </r>
  <r>
    <m/>
    <m/>
    <x v="1"/>
    <s v="42640641001001"/>
    <n v="-44.78"/>
    <n v="1142"/>
    <n v="1"/>
    <n v="1"/>
  </r>
  <r>
    <m/>
    <m/>
    <x v="1"/>
    <s v="42646171001006"/>
    <n v="-3.61"/>
    <n v="92"/>
    <n v="1"/>
    <n v="1"/>
  </r>
  <r>
    <m/>
    <m/>
    <x v="1"/>
    <s v="42653661001001"/>
    <n v="-2.86"/>
    <n v="73"/>
    <n v="1"/>
    <n v="1"/>
  </r>
  <r>
    <m/>
    <m/>
    <x v="1"/>
    <s v="42653801001002"/>
    <n v="-2.23"/>
    <n v="57"/>
    <n v="1"/>
    <n v="1"/>
  </r>
  <r>
    <m/>
    <m/>
    <x v="1"/>
    <s v="42662971001011"/>
    <n v="-17.29"/>
    <n v="441"/>
    <n v="1"/>
    <n v="1"/>
  </r>
  <r>
    <m/>
    <m/>
    <x v="1"/>
    <s v="42671651001004"/>
    <n v="-0.12"/>
    <n v="3"/>
    <n v="1"/>
    <n v="1"/>
  </r>
  <r>
    <m/>
    <m/>
    <x v="1"/>
    <s v="42689921004001"/>
    <n v="-28.47"/>
    <n v="726"/>
    <n v="1"/>
    <n v="1"/>
  </r>
  <r>
    <m/>
    <m/>
    <x v="1"/>
    <s v="42717921001003"/>
    <n v="-35.72"/>
    <n v="911"/>
    <n v="1"/>
    <n v="1"/>
  </r>
  <r>
    <m/>
    <m/>
    <x v="1"/>
    <s v="42734931001007"/>
    <n v="-26.31"/>
    <n v="671"/>
    <n v="1"/>
    <n v="1"/>
  </r>
  <r>
    <m/>
    <m/>
    <x v="1"/>
    <s v="42740811001004"/>
    <n v="-4.55"/>
    <n v="116"/>
    <n v="1"/>
    <n v="1"/>
  </r>
  <r>
    <m/>
    <m/>
    <x v="1"/>
    <s v="42753761003001"/>
    <n v="-6.12"/>
    <n v="156"/>
    <n v="1"/>
    <n v="1"/>
  </r>
  <r>
    <m/>
    <m/>
    <x v="1"/>
    <s v="42811861001001"/>
    <n v="-22.35"/>
    <n v="570"/>
    <n v="1"/>
    <n v="1"/>
  </r>
  <r>
    <m/>
    <m/>
    <x v="1"/>
    <s v="42837831001001"/>
    <n v="-5.92"/>
    <n v="151"/>
    <n v="1"/>
    <n v="1"/>
  </r>
  <r>
    <m/>
    <m/>
    <x v="1"/>
    <s v="42862751002001"/>
    <n v="-16.7"/>
    <n v="426"/>
    <n v="1"/>
    <n v="1"/>
  </r>
  <r>
    <m/>
    <m/>
    <x v="1"/>
    <s v="42945601001003"/>
    <n v="-3.18"/>
    <n v="81"/>
    <n v="1"/>
    <n v="1"/>
  </r>
  <r>
    <m/>
    <m/>
    <x v="1"/>
    <s v="43016751001009"/>
    <n v="-7.53"/>
    <n v="192"/>
    <n v="1"/>
    <n v="1"/>
  </r>
  <r>
    <m/>
    <m/>
    <x v="1"/>
    <s v="43024731003001"/>
    <n v="-8.82"/>
    <n v="225"/>
    <n v="1"/>
    <n v="1"/>
  </r>
  <r>
    <m/>
    <m/>
    <x v="1"/>
    <s v="43029771001001"/>
    <n v="-7.21"/>
    <n v="184"/>
    <n v="1"/>
    <n v="1"/>
  </r>
  <r>
    <m/>
    <m/>
    <x v="1"/>
    <s v="43037331002001"/>
    <n v="-10.23"/>
    <n v="261"/>
    <n v="1"/>
    <n v="1"/>
  </r>
  <r>
    <m/>
    <m/>
    <x v="1"/>
    <s v="43037471001001"/>
    <n v="-10.86"/>
    <n v="277"/>
    <n v="1"/>
    <n v="1"/>
  </r>
  <r>
    <m/>
    <m/>
    <x v="1"/>
    <s v="43067921001001"/>
    <n v="-15.72"/>
    <n v="401"/>
    <n v="1"/>
    <n v="1"/>
  </r>
  <r>
    <m/>
    <m/>
    <x v="1"/>
    <s v="43084721006001"/>
    <n v="-8.67"/>
    <n v="221"/>
    <n v="1"/>
    <n v="1"/>
  </r>
  <r>
    <m/>
    <m/>
    <x v="1"/>
    <s v="43219471001003"/>
    <n v="-0.47"/>
    <n v="12"/>
    <n v="1"/>
    <n v="1"/>
  </r>
  <r>
    <m/>
    <m/>
    <x v="1"/>
    <s v="43225001001001"/>
    <n v="-18.82"/>
    <n v="480"/>
    <n v="1"/>
    <n v="1"/>
  </r>
  <r>
    <m/>
    <m/>
    <x v="1"/>
    <s v="43239421002001"/>
    <n v="-1.88"/>
    <n v="48"/>
    <n v="1"/>
    <n v="1"/>
  </r>
  <r>
    <m/>
    <m/>
    <x v="1"/>
    <s v="43245091005003"/>
    <n v="-10.98"/>
    <n v="280"/>
    <n v="1"/>
    <n v="1"/>
  </r>
  <r>
    <m/>
    <m/>
    <x v="1"/>
    <s v="43262451002003"/>
    <n v="-5.65"/>
    <n v="144"/>
    <n v="1"/>
    <n v="1"/>
  </r>
  <r>
    <m/>
    <m/>
    <x v="1"/>
    <s v="43301371002001"/>
    <n v="-8.23"/>
    <n v="210"/>
    <n v="1"/>
    <n v="1"/>
  </r>
  <r>
    <m/>
    <m/>
    <x v="1"/>
    <s v="43330105002001"/>
    <n v="-31.21"/>
    <n v="796"/>
    <n v="1"/>
    <n v="1"/>
  </r>
  <r>
    <m/>
    <m/>
    <x v="1"/>
    <s v="43334201001001"/>
    <n v="-18.190000000000001"/>
    <n v="464"/>
    <n v="1"/>
    <n v="1"/>
  </r>
  <r>
    <m/>
    <m/>
    <x v="1"/>
    <s v="43347711001001"/>
    <n v="-25.17"/>
    <n v="642"/>
    <n v="1"/>
    <n v="1"/>
  </r>
  <r>
    <m/>
    <m/>
    <x v="1"/>
    <s v="43386911002002"/>
    <n v="-15.88"/>
    <n v="405"/>
    <n v="1"/>
    <n v="1"/>
  </r>
  <r>
    <m/>
    <m/>
    <x v="1"/>
    <s v="43415471005001"/>
    <n v="-49.09"/>
    <n v="1252"/>
    <n v="1"/>
    <n v="1"/>
  </r>
  <r>
    <m/>
    <m/>
    <x v="1"/>
    <s v="43530621001001"/>
    <n v="-19.68"/>
    <n v="502"/>
    <n v="1"/>
    <n v="1"/>
  </r>
  <r>
    <m/>
    <m/>
    <x v="1"/>
    <s v="43661996001002"/>
    <n v="-28.78"/>
    <n v="734"/>
    <n v="1"/>
    <n v="1"/>
  </r>
  <r>
    <m/>
    <m/>
    <x v="1"/>
    <s v="43665824001005"/>
    <n v="-6.43"/>
    <n v="164"/>
    <n v="1"/>
    <n v="1"/>
  </r>
  <r>
    <m/>
    <m/>
    <x v="1"/>
    <s v="43721161001001"/>
    <n v="-0.63"/>
    <n v="16"/>
    <n v="1"/>
    <n v="1"/>
  </r>
  <r>
    <m/>
    <m/>
    <x v="1"/>
    <s v="43736211001004"/>
    <n v="-1.8"/>
    <n v="46"/>
    <n v="1"/>
    <n v="1"/>
  </r>
  <r>
    <m/>
    <m/>
    <x v="1"/>
    <s v="43784132001001"/>
    <n v="-24.74"/>
    <n v="631"/>
    <n v="1"/>
    <n v="1"/>
  </r>
  <r>
    <m/>
    <m/>
    <x v="1"/>
    <s v="43784151001001"/>
    <n v="-8.19"/>
    <n v="209"/>
    <n v="1"/>
    <n v="1"/>
  </r>
  <r>
    <m/>
    <m/>
    <x v="1"/>
    <s v="43801381001001"/>
    <n v="-31.41"/>
    <n v="801"/>
    <n v="1"/>
    <n v="1"/>
  </r>
  <r>
    <m/>
    <m/>
    <x v="1"/>
    <s v="43823991001001"/>
    <n v="-5.0599999999999996"/>
    <n v="129"/>
    <n v="1"/>
    <n v="1"/>
  </r>
  <r>
    <m/>
    <m/>
    <x v="1"/>
    <s v="43865752001004"/>
    <n v="-5.41"/>
    <n v="138"/>
    <n v="1"/>
    <n v="1"/>
  </r>
  <r>
    <m/>
    <m/>
    <x v="1"/>
    <s v="43924371003001"/>
    <n v="-12.98"/>
    <n v="331"/>
    <n v="1"/>
    <n v="1"/>
  </r>
  <r>
    <m/>
    <m/>
    <x v="1"/>
    <s v="43928151001002"/>
    <n v="-23.21"/>
    <n v="592"/>
    <n v="1"/>
    <n v="1"/>
  </r>
  <r>
    <m/>
    <m/>
    <x v="1"/>
    <s v="43981430001003"/>
    <n v="-12.12"/>
    <n v="309"/>
    <n v="1"/>
    <n v="1"/>
  </r>
  <r>
    <m/>
    <m/>
    <x v="1"/>
    <s v="43991683002001"/>
    <n v="-9.7200000000000006"/>
    <n v="248"/>
    <n v="1"/>
    <n v="1"/>
  </r>
  <r>
    <m/>
    <m/>
    <x v="1"/>
    <s v="44017401001003"/>
    <n v="-17.45"/>
    <n v="445"/>
    <n v="1"/>
    <n v="1"/>
  </r>
  <r>
    <m/>
    <m/>
    <x v="1"/>
    <s v="44030154001001"/>
    <n v="-1.22"/>
    <n v="31"/>
    <n v="1"/>
    <n v="1"/>
  </r>
  <r>
    <m/>
    <m/>
    <x v="1"/>
    <s v="44035671002001"/>
    <n v="-9.8800000000000008"/>
    <n v="252"/>
    <n v="1"/>
    <n v="1"/>
  </r>
  <r>
    <m/>
    <m/>
    <x v="1"/>
    <s v="44070041001001"/>
    <n v="-2.16"/>
    <n v="55"/>
    <n v="1"/>
    <n v="1"/>
  </r>
  <r>
    <m/>
    <m/>
    <x v="1"/>
    <s v="44095871001001"/>
    <n v="-2.23"/>
    <n v="57"/>
    <n v="1"/>
    <n v="1"/>
  </r>
  <r>
    <m/>
    <m/>
    <x v="1"/>
    <s v="44133601001001"/>
    <n v="-8.08"/>
    <n v="206"/>
    <n v="1"/>
    <n v="1"/>
  </r>
  <r>
    <m/>
    <m/>
    <x v="1"/>
    <s v="44172520001001"/>
    <n v="-5.88"/>
    <n v="150"/>
    <n v="1"/>
    <n v="1"/>
  </r>
  <r>
    <m/>
    <m/>
    <x v="1"/>
    <s v="44198701001002"/>
    <n v="-27.56"/>
    <n v="703"/>
    <n v="1"/>
    <n v="1"/>
  </r>
  <r>
    <m/>
    <m/>
    <x v="1"/>
    <s v="44200871001010"/>
    <n v="-1.1000000000000001"/>
    <n v="28"/>
    <n v="1"/>
    <n v="1"/>
  </r>
  <r>
    <m/>
    <m/>
    <x v="1"/>
    <s v="44235381001002"/>
    <n v="-6.08"/>
    <n v="155"/>
    <n v="1"/>
    <n v="1"/>
  </r>
  <r>
    <m/>
    <m/>
    <x v="1"/>
    <s v="44237551001002"/>
    <n v="-2.4700000000000002"/>
    <n v="63"/>
    <n v="1"/>
    <n v="1"/>
  </r>
  <r>
    <m/>
    <m/>
    <x v="1"/>
    <s v="44340381001001"/>
    <n v="-2.9"/>
    <n v="74"/>
    <n v="1"/>
    <n v="1"/>
  </r>
  <r>
    <m/>
    <m/>
    <x v="1"/>
    <s v="44365721001001"/>
    <n v="-6"/>
    <n v="153"/>
    <n v="1"/>
    <n v="1"/>
  </r>
  <r>
    <m/>
    <m/>
    <x v="1"/>
    <s v="44389521001001"/>
    <n v="-0.35"/>
    <n v="9"/>
    <n v="1"/>
    <n v="1"/>
  </r>
  <r>
    <m/>
    <m/>
    <x v="1"/>
    <s v="44442320001003"/>
    <n v="-10.119999999999999"/>
    <n v="258"/>
    <n v="1"/>
    <n v="1"/>
  </r>
  <r>
    <m/>
    <m/>
    <x v="1"/>
    <s v="44445801002001"/>
    <n v="-25.8"/>
    <n v="658"/>
    <n v="1"/>
    <n v="1"/>
  </r>
  <r>
    <m/>
    <m/>
    <x v="1"/>
    <s v="44484511001002"/>
    <n v="-1.92"/>
    <n v="49"/>
    <n v="1"/>
    <n v="1"/>
  </r>
  <r>
    <m/>
    <m/>
    <x v="1"/>
    <s v="44490601001001"/>
    <n v="-16"/>
    <n v="408"/>
    <n v="1"/>
    <n v="1"/>
  </r>
  <r>
    <m/>
    <m/>
    <x v="1"/>
    <s v="44502641001003"/>
    <n v="-4.71"/>
    <n v="120"/>
    <n v="1"/>
    <n v="1"/>
  </r>
  <r>
    <m/>
    <m/>
    <x v="1"/>
    <s v="44525601001001"/>
    <n v="-3.8"/>
    <n v="97"/>
    <n v="1"/>
    <n v="1"/>
  </r>
  <r>
    <m/>
    <m/>
    <x v="1"/>
    <s v="44528121001001"/>
    <n v="-1.84"/>
    <n v="47"/>
    <n v="1"/>
    <n v="1"/>
  </r>
  <r>
    <m/>
    <m/>
    <x v="1"/>
    <s v="44543521001001"/>
    <n v="-16.04"/>
    <n v="409"/>
    <n v="1"/>
    <n v="1"/>
  </r>
  <r>
    <m/>
    <m/>
    <x v="1"/>
    <s v="44560811001004"/>
    <n v="-3.41"/>
    <n v="87"/>
    <n v="1"/>
    <n v="1"/>
  </r>
  <r>
    <m/>
    <m/>
    <x v="1"/>
    <s v="44574881001005"/>
    <n v="-0.67"/>
    <n v="17"/>
    <n v="1"/>
    <n v="1"/>
  </r>
  <r>
    <m/>
    <m/>
    <x v="1"/>
    <s v="44617161001001"/>
    <n v="-9.68"/>
    <n v="247"/>
    <n v="1"/>
    <n v="1"/>
  </r>
  <r>
    <m/>
    <m/>
    <x v="1"/>
    <s v="44617721001003"/>
    <n v="-2.2000000000000002"/>
    <n v="56"/>
    <n v="1"/>
    <n v="1"/>
  </r>
  <r>
    <m/>
    <m/>
    <x v="1"/>
    <s v="44686531002001"/>
    <n v="-8.98"/>
    <n v="229"/>
    <n v="1"/>
    <n v="1"/>
  </r>
  <r>
    <m/>
    <m/>
    <x v="1"/>
    <s v="44688351001001"/>
    <n v="-0.12"/>
    <n v="3"/>
    <n v="1"/>
    <n v="1"/>
  </r>
  <r>
    <m/>
    <m/>
    <x v="1"/>
    <s v="44688771001005"/>
    <n v="-13.25"/>
    <n v="338"/>
    <n v="1"/>
    <n v="1"/>
  </r>
  <r>
    <m/>
    <m/>
    <x v="1"/>
    <s v="44706621001001"/>
    <n v="-15.72"/>
    <n v="401"/>
    <n v="1"/>
    <n v="1"/>
  </r>
  <r>
    <m/>
    <m/>
    <x v="1"/>
    <s v="44736744001004"/>
    <n v="-5.18"/>
    <n v="132"/>
    <n v="1"/>
    <n v="1"/>
  </r>
  <r>
    <m/>
    <m/>
    <x v="1"/>
    <s v="44773681001001"/>
    <n v="-3.22"/>
    <n v="82"/>
    <n v="1"/>
    <n v="1"/>
  </r>
  <r>
    <m/>
    <m/>
    <x v="1"/>
    <s v="44774521001002"/>
    <n v="-6.55"/>
    <n v="167"/>
    <n v="1"/>
    <n v="1"/>
  </r>
  <r>
    <m/>
    <m/>
    <x v="1"/>
    <s v="44781521001003"/>
    <n v="-11.92"/>
    <n v="304"/>
    <n v="1"/>
    <n v="1"/>
  </r>
  <r>
    <m/>
    <m/>
    <x v="1"/>
    <s v="44789781001001"/>
    <n v="-12.39"/>
    <n v="316"/>
    <n v="1"/>
    <n v="1"/>
  </r>
  <r>
    <m/>
    <m/>
    <x v="1"/>
    <s v="44806441001001"/>
    <n v="-2.16"/>
    <n v="55"/>
    <n v="1"/>
    <n v="1"/>
  </r>
  <r>
    <m/>
    <m/>
    <x v="1"/>
    <s v="44808191002002"/>
    <n v="-31.76"/>
    <n v="810"/>
    <n v="1"/>
    <n v="1"/>
  </r>
  <r>
    <m/>
    <m/>
    <x v="1"/>
    <s v="44810291001002"/>
    <n v="-1.25"/>
    <n v="32"/>
    <n v="1"/>
    <n v="1"/>
  </r>
  <r>
    <m/>
    <m/>
    <x v="1"/>
    <s v="44819842001003"/>
    <n v="-19.29"/>
    <n v="492"/>
    <n v="1"/>
    <n v="1"/>
  </r>
  <r>
    <m/>
    <m/>
    <x v="1"/>
    <s v="44843401002001"/>
    <n v="-3.25"/>
    <n v="83"/>
    <n v="1"/>
    <n v="1"/>
  </r>
  <r>
    <m/>
    <m/>
    <x v="1"/>
    <s v="44861671002001"/>
    <n v="-7.8"/>
    <n v="199"/>
    <n v="1"/>
    <n v="1"/>
  </r>
  <r>
    <m/>
    <m/>
    <x v="1"/>
    <s v="44875461001001"/>
    <n v="-0.12"/>
    <n v="3"/>
    <n v="1"/>
    <n v="1"/>
  </r>
  <r>
    <m/>
    <m/>
    <x v="1"/>
    <s v="44881201001001"/>
    <n v="-6.7"/>
    <n v="171"/>
    <n v="1"/>
    <n v="1"/>
  </r>
  <r>
    <m/>
    <m/>
    <x v="1"/>
    <s v="44896251001001"/>
    <n v="-4.9800000000000004"/>
    <n v="127"/>
    <n v="1"/>
    <n v="1"/>
  </r>
  <r>
    <m/>
    <m/>
    <x v="1"/>
    <s v="44898175001005"/>
    <n v="-4.67"/>
    <n v="119"/>
    <n v="1"/>
    <n v="1"/>
  </r>
  <r>
    <m/>
    <m/>
    <x v="1"/>
    <s v="44898351001001"/>
    <n v="-14.47"/>
    <n v="369"/>
    <n v="1"/>
    <n v="1"/>
  </r>
  <r>
    <m/>
    <m/>
    <x v="1"/>
    <s v="44902061004004"/>
    <n v="-17.489999999999998"/>
    <n v="446"/>
    <n v="1"/>
    <n v="1"/>
  </r>
  <r>
    <m/>
    <m/>
    <x v="1"/>
    <s v="44906681002005"/>
    <n v="-6.23"/>
    <n v="159"/>
    <n v="1"/>
    <n v="1"/>
  </r>
  <r>
    <m/>
    <m/>
    <x v="1"/>
    <s v="44955261001002"/>
    <n v="-23.6"/>
    <n v="602"/>
    <n v="1"/>
    <n v="1"/>
  </r>
  <r>
    <m/>
    <m/>
    <x v="1"/>
    <s v="44959251002002"/>
    <n v="-9.68"/>
    <n v="247"/>
    <n v="1"/>
    <n v="1"/>
  </r>
  <r>
    <m/>
    <m/>
    <x v="1"/>
    <s v="44976331003006"/>
    <n v="-2.82"/>
    <n v="72"/>
    <n v="1"/>
    <n v="1"/>
  </r>
  <r>
    <m/>
    <m/>
    <x v="1"/>
    <s v="44983051001001"/>
    <n v="-11.14"/>
    <n v="284"/>
    <n v="1"/>
    <n v="1"/>
  </r>
  <r>
    <m/>
    <m/>
    <x v="1"/>
    <s v="45016581002001"/>
    <n v="-8.19"/>
    <n v="209"/>
    <n v="1"/>
    <n v="1"/>
  </r>
  <r>
    <m/>
    <m/>
    <x v="1"/>
    <s v="45022391001002"/>
    <n v="-2.04"/>
    <n v="52"/>
    <n v="1"/>
    <n v="1"/>
  </r>
  <r>
    <m/>
    <m/>
    <x v="1"/>
    <s v="45023091001001"/>
    <n v="-0.86"/>
    <n v="22"/>
    <n v="1"/>
    <n v="1"/>
  </r>
  <r>
    <m/>
    <m/>
    <x v="1"/>
    <s v="45032471001003"/>
    <n v="-8.94"/>
    <n v="228"/>
    <n v="1"/>
    <n v="1"/>
  </r>
  <r>
    <m/>
    <m/>
    <x v="1"/>
    <s v="45035075001001"/>
    <n v="-4.43"/>
    <n v="113"/>
    <n v="1"/>
    <n v="1"/>
  </r>
  <r>
    <m/>
    <m/>
    <x v="1"/>
    <s v="45058021001005"/>
    <n v="-17.45"/>
    <n v="445"/>
    <n v="1"/>
    <n v="1"/>
  </r>
  <r>
    <m/>
    <m/>
    <x v="1"/>
    <s v="45058426001008"/>
    <n v="-15.57"/>
    <n v="397"/>
    <n v="1"/>
    <n v="1"/>
  </r>
  <r>
    <m/>
    <m/>
    <x v="1"/>
    <s v="45064181002001"/>
    <n v="-11.65"/>
    <n v="297"/>
    <n v="1"/>
    <n v="1"/>
  </r>
  <r>
    <m/>
    <m/>
    <x v="1"/>
    <s v="45064461001001"/>
    <n v="-1.18"/>
    <n v="30"/>
    <n v="1"/>
    <n v="1"/>
  </r>
  <r>
    <m/>
    <m/>
    <x v="1"/>
    <s v="45064531001001"/>
    <n v="-2.74"/>
    <n v="70"/>
    <n v="1"/>
    <n v="1"/>
  </r>
  <r>
    <m/>
    <m/>
    <x v="1"/>
    <s v="45064881001001"/>
    <n v="-25.8"/>
    <n v="658"/>
    <n v="1"/>
    <n v="1"/>
  </r>
  <r>
    <m/>
    <m/>
    <x v="1"/>
    <s v="45073281001004"/>
    <n v="-5.25"/>
    <n v="134"/>
    <n v="1"/>
    <n v="1"/>
  </r>
  <r>
    <m/>
    <m/>
    <x v="1"/>
    <s v="45074541002003"/>
    <n v="-9.18"/>
    <n v="234"/>
    <n v="1"/>
    <n v="1"/>
  </r>
  <r>
    <m/>
    <m/>
    <x v="1"/>
    <s v="45077271001001"/>
    <n v="-3.06"/>
    <n v="78"/>
    <n v="1"/>
    <n v="1"/>
  </r>
  <r>
    <m/>
    <m/>
    <x v="1"/>
    <s v="45081471001002"/>
    <n v="-9.14"/>
    <n v="233"/>
    <n v="1"/>
    <n v="1"/>
  </r>
  <r>
    <m/>
    <m/>
    <x v="1"/>
    <s v="45091654002003"/>
    <n v="-7.49"/>
    <n v="191"/>
    <n v="1"/>
    <n v="1"/>
  </r>
  <r>
    <m/>
    <m/>
    <x v="1"/>
    <s v="45101911002002"/>
    <n v="-16.78"/>
    <n v="428"/>
    <n v="1"/>
    <n v="1"/>
  </r>
  <r>
    <m/>
    <m/>
    <x v="1"/>
    <s v="45119621001001"/>
    <n v="-8.74"/>
    <n v="223"/>
    <n v="1"/>
    <n v="1"/>
  </r>
  <r>
    <m/>
    <m/>
    <x v="1"/>
    <s v="45120321002003"/>
    <n v="-16.47"/>
    <n v="420"/>
    <n v="1"/>
    <n v="1"/>
  </r>
  <r>
    <m/>
    <m/>
    <x v="1"/>
    <s v="45124731002005"/>
    <n v="-10.31"/>
    <n v="263"/>
    <n v="1"/>
    <n v="1"/>
  </r>
  <r>
    <m/>
    <m/>
    <x v="1"/>
    <s v="45126411001001"/>
    <n v="-5.0999999999999996"/>
    <n v="130"/>
    <n v="1"/>
    <n v="1"/>
  </r>
  <r>
    <m/>
    <m/>
    <x v="1"/>
    <s v="45128441001005"/>
    <n v="-7.88"/>
    <n v="201"/>
    <n v="1"/>
    <n v="1"/>
  </r>
  <r>
    <m/>
    <m/>
    <x v="1"/>
    <s v="45136421001001"/>
    <n v="-24.47"/>
    <n v="624"/>
    <n v="1"/>
    <n v="1"/>
  </r>
  <r>
    <m/>
    <m/>
    <x v="1"/>
    <s v="45143631001001"/>
    <n v="-3.06"/>
    <n v="78"/>
    <n v="1"/>
    <n v="1"/>
  </r>
  <r>
    <m/>
    <m/>
    <x v="1"/>
    <s v="45160921001001"/>
    <n v="-12.04"/>
    <n v="307"/>
    <n v="1"/>
    <n v="1"/>
  </r>
  <r>
    <m/>
    <m/>
    <x v="1"/>
    <s v="45161201003001"/>
    <n v="-20.23"/>
    <n v="516"/>
    <n v="1"/>
    <n v="1"/>
  </r>
  <r>
    <m/>
    <m/>
    <x v="1"/>
    <s v="45162468001001"/>
    <n v="-5.84"/>
    <n v="149"/>
    <n v="1"/>
    <n v="1"/>
  </r>
  <r>
    <m/>
    <m/>
    <x v="1"/>
    <s v="45170721001001"/>
    <n v="-32.619999999999997"/>
    <n v="832"/>
    <n v="1"/>
    <n v="1"/>
  </r>
  <r>
    <m/>
    <m/>
    <x v="1"/>
    <s v="45188221002002"/>
    <n v="-8.6300000000000008"/>
    <n v="220"/>
    <n v="1"/>
    <n v="1"/>
  </r>
  <r>
    <m/>
    <m/>
    <x v="1"/>
    <s v="45190811002001"/>
    <n v="-25.06"/>
    <n v="639"/>
    <n v="1"/>
    <n v="1"/>
  </r>
  <r>
    <m/>
    <m/>
    <x v="1"/>
    <s v="45191721001004"/>
    <n v="-6.82"/>
    <n v="174"/>
    <n v="1"/>
    <n v="1"/>
  </r>
  <r>
    <m/>
    <m/>
    <x v="1"/>
    <s v="45192001001001"/>
    <n v="-18.39"/>
    <n v="469"/>
    <n v="1"/>
    <n v="1"/>
  </r>
  <r>
    <m/>
    <m/>
    <x v="1"/>
    <s v="45194661001001"/>
    <n v="-6.9"/>
    <n v="176"/>
    <n v="1"/>
    <n v="1"/>
  </r>
  <r>
    <m/>
    <m/>
    <x v="1"/>
    <s v="45195221001002"/>
    <n v="-13.68"/>
    <n v="349"/>
    <n v="1"/>
    <n v="1"/>
  </r>
  <r>
    <m/>
    <m/>
    <x v="1"/>
    <s v="45195641001001"/>
    <n v="-12.43"/>
    <n v="317"/>
    <n v="1"/>
    <n v="1"/>
  </r>
  <r>
    <m/>
    <m/>
    <x v="1"/>
    <s v="45196412001001"/>
    <n v="-12.94"/>
    <n v="330"/>
    <n v="1"/>
    <n v="1"/>
  </r>
  <r>
    <m/>
    <m/>
    <x v="1"/>
    <s v="45221093002001"/>
    <n v="-10.23"/>
    <n v="261"/>
    <n v="1"/>
    <n v="1"/>
  </r>
  <r>
    <m/>
    <m/>
    <x v="1"/>
    <s v="45222165001003"/>
    <n v="-16.079999999999998"/>
    <n v="410"/>
    <n v="1"/>
    <n v="1"/>
  </r>
  <r>
    <m/>
    <m/>
    <x v="1"/>
    <s v="45233441001001"/>
    <n v="-7.49"/>
    <n v="191"/>
    <n v="1"/>
    <n v="1"/>
  </r>
  <r>
    <m/>
    <m/>
    <x v="1"/>
    <s v="45241140001003"/>
    <n v="-1.73"/>
    <n v="44"/>
    <n v="1"/>
    <n v="1"/>
  </r>
  <r>
    <m/>
    <m/>
    <x v="1"/>
    <s v="45259201001001"/>
    <n v="-19.96"/>
    <n v="509"/>
    <n v="1"/>
    <n v="1"/>
  </r>
  <r>
    <m/>
    <m/>
    <x v="1"/>
    <s v="45324791001001"/>
    <n v="-54.89"/>
    <n v="1400"/>
    <n v="1"/>
    <n v="1"/>
  </r>
  <r>
    <m/>
    <m/>
    <x v="1"/>
    <s v="45353841001001"/>
    <n v="-1.84"/>
    <n v="47"/>
    <n v="1"/>
    <n v="1"/>
  </r>
  <r>
    <m/>
    <m/>
    <x v="1"/>
    <s v="45356011003001"/>
    <n v="-24.74"/>
    <n v="631"/>
    <n v="1"/>
    <n v="1"/>
  </r>
  <r>
    <m/>
    <m/>
    <x v="1"/>
    <s v="45382121001001"/>
    <n v="-20.66"/>
    <n v="527"/>
    <n v="1"/>
    <n v="1"/>
  </r>
  <r>
    <m/>
    <m/>
    <x v="1"/>
    <s v="45382261001001"/>
    <n v="-24.55"/>
    <n v="626"/>
    <n v="1"/>
    <n v="1"/>
  </r>
  <r>
    <m/>
    <m/>
    <x v="1"/>
    <s v="45384361001001"/>
    <n v="-21.33"/>
    <n v="544"/>
    <n v="1"/>
    <n v="1"/>
  </r>
  <r>
    <m/>
    <m/>
    <x v="1"/>
    <s v="45390801001001"/>
    <n v="-18.66"/>
    <n v="476"/>
    <n v="1"/>
    <n v="1"/>
  </r>
  <r>
    <m/>
    <m/>
    <x v="1"/>
    <s v="45395421001001"/>
    <n v="-3.06"/>
    <n v="78"/>
    <n v="1"/>
    <n v="1"/>
  </r>
  <r>
    <m/>
    <m/>
    <x v="1"/>
    <s v="45446941001001"/>
    <n v="-12.04"/>
    <n v="307"/>
    <n v="1"/>
    <n v="1"/>
  </r>
  <r>
    <m/>
    <m/>
    <x v="1"/>
    <s v="45454501002002"/>
    <n v="-12.47"/>
    <n v="318"/>
    <n v="1"/>
    <n v="1"/>
  </r>
  <r>
    <m/>
    <m/>
    <x v="1"/>
    <s v="45466051001001"/>
    <n v="-12.86"/>
    <n v="328"/>
    <n v="1"/>
    <n v="1"/>
  </r>
  <r>
    <m/>
    <m/>
    <x v="1"/>
    <s v="45469341007001"/>
    <n v="-62.34"/>
    <n v="1590"/>
    <n v="1"/>
    <n v="1"/>
  </r>
  <r>
    <m/>
    <m/>
    <x v="1"/>
    <s v="45472001001001"/>
    <n v="-2.27"/>
    <n v="58"/>
    <n v="1"/>
    <n v="1"/>
  </r>
  <r>
    <m/>
    <m/>
    <x v="1"/>
    <s v="45496921001002"/>
    <n v="-7.06"/>
    <n v="180"/>
    <n v="1"/>
    <n v="1"/>
  </r>
  <r>
    <m/>
    <m/>
    <x v="1"/>
    <s v="45503921006001"/>
    <n v="-21.57"/>
    <n v="550"/>
    <n v="1"/>
    <n v="1"/>
  </r>
  <r>
    <m/>
    <m/>
    <x v="1"/>
    <s v="45512671001001"/>
    <n v="-31.64"/>
    <n v="807"/>
    <n v="1"/>
    <n v="1"/>
  </r>
  <r>
    <m/>
    <m/>
    <x v="1"/>
    <s v="45513791001001"/>
    <n v="-2.9"/>
    <n v="74"/>
    <n v="1"/>
    <n v="1"/>
  </r>
  <r>
    <m/>
    <m/>
    <x v="1"/>
    <s v="45525746001005"/>
    <n v="-27.64"/>
    <n v="705"/>
    <n v="1"/>
    <n v="1"/>
  </r>
  <r>
    <m/>
    <m/>
    <x v="1"/>
    <s v="45526041001005"/>
    <n v="-2.04"/>
    <n v="52"/>
    <n v="1"/>
    <n v="1"/>
  </r>
  <r>
    <m/>
    <m/>
    <x v="1"/>
    <s v="45559221007005"/>
    <n v="-1.41"/>
    <n v="36"/>
    <n v="1"/>
    <n v="1"/>
  </r>
  <r>
    <m/>
    <m/>
    <x v="1"/>
    <s v="45626771003001"/>
    <n v="-65.56"/>
    <n v="1672"/>
    <n v="1"/>
    <n v="1"/>
  </r>
  <r>
    <m/>
    <m/>
    <x v="1"/>
    <s v="45644831001001"/>
    <n v="-0.27"/>
    <n v="7"/>
    <n v="1"/>
    <n v="1"/>
  </r>
  <r>
    <m/>
    <m/>
    <x v="1"/>
    <s v="45645881001002"/>
    <n v="-2.67"/>
    <n v="68"/>
    <n v="1"/>
    <n v="1"/>
  </r>
  <r>
    <m/>
    <m/>
    <x v="1"/>
    <s v="45725261001001"/>
    <n v="-8.43"/>
    <n v="215"/>
    <n v="1"/>
    <n v="1"/>
  </r>
  <r>
    <m/>
    <m/>
    <x v="1"/>
    <s v="45742621001001"/>
    <n v="-0.98"/>
    <n v="25"/>
    <n v="1"/>
    <n v="1"/>
  </r>
  <r>
    <m/>
    <m/>
    <x v="1"/>
    <s v="45751441001001"/>
    <n v="-1.88"/>
    <n v="48"/>
    <n v="1"/>
    <n v="1"/>
  </r>
  <r>
    <m/>
    <m/>
    <x v="1"/>
    <s v="45755851001001"/>
    <n v="-0.31"/>
    <n v="8"/>
    <n v="1"/>
    <n v="1"/>
  </r>
  <r>
    <m/>
    <m/>
    <x v="1"/>
    <s v="45768031001001"/>
    <n v="-0.74"/>
    <n v="19"/>
    <n v="1"/>
    <n v="1"/>
  </r>
  <r>
    <m/>
    <m/>
    <x v="1"/>
    <s v="45771181001001"/>
    <n v="-2.5099999999999998"/>
    <n v="64"/>
    <n v="1"/>
    <n v="1"/>
  </r>
  <r>
    <m/>
    <m/>
    <x v="1"/>
    <s v="45785601001001"/>
    <n v="-3.1"/>
    <n v="79"/>
    <n v="1"/>
    <n v="1"/>
  </r>
  <r>
    <m/>
    <m/>
    <x v="1"/>
    <s v="45786091001001"/>
    <n v="-8"/>
    <n v="204"/>
    <n v="1"/>
    <n v="1"/>
  </r>
  <r>
    <m/>
    <m/>
    <x v="1"/>
    <s v="45799741001002"/>
    <n v="-6.9"/>
    <n v="176"/>
    <n v="1"/>
    <n v="1"/>
  </r>
  <r>
    <m/>
    <m/>
    <x v="1"/>
    <s v="45848041001001"/>
    <n v="-39.25"/>
    <n v="1001"/>
    <n v="1"/>
    <n v="1"/>
  </r>
  <r>
    <m/>
    <m/>
    <x v="1"/>
    <s v="45884231001001"/>
    <n v="-42.7"/>
    <n v="1089"/>
    <n v="1"/>
    <n v="1"/>
  </r>
  <r>
    <m/>
    <m/>
    <x v="1"/>
    <s v="45885065001001"/>
    <n v="-7.8"/>
    <n v="199"/>
    <n v="1"/>
    <n v="1"/>
  </r>
  <r>
    <m/>
    <m/>
    <x v="1"/>
    <s v="45896761002001"/>
    <n v="-1.45"/>
    <n v="37"/>
    <n v="1"/>
    <n v="1"/>
  </r>
  <r>
    <m/>
    <m/>
    <x v="1"/>
    <s v="45898663001009"/>
    <n v="-48.19"/>
    <n v="1229"/>
    <n v="1"/>
    <n v="1"/>
  </r>
  <r>
    <m/>
    <m/>
    <x v="1"/>
    <s v="45900611001001"/>
    <n v="-33.409999999999997"/>
    <n v="852"/>
    <n v="1"/>
    <n v="1"/>
  </r>
  <r>
    <m/>
    <m/>
    <x v="1"/>
    <s v="45918951003002"/>
    <n v="-13.72"/>
    <n v="350"/>
    <n v="1"/>
    <n v="1"/>
  </r>
  <r>
    <m/>
    <m/>
    <x v="1"/>
    <s v="45919931008001"/>
    <n v="-37.76"/>
    <n v="963"/>
    <n v="1"/>
    <n v="1"/>
  </r>
  <r>
    <m/>
    <m/>
    <x v="1"/>
    <s v="45931061001003"/>
    <n v="-4.9800000000000004"/>
    <n v="127"/>
    <n v="1"/>
    <n v="1"/>
  </r>
  <r>
    <m/>
    <m/>
    <x v="1"/>
    <s v="45934211002001"/>
    <n v="-30.58"/>
    <n v="780"/>
    <n v="1"/>
    <n v="1"/>
  </r>
  <r>
    <m/>
    <m/>
    <x v="1"/>
    <s v="45943591002001"/>
    <n v="-8.51"/>
    <n v="217"/>
    <n v="1"/>
    <n v="1"/>
  </r>
  <r>
    <m/>
    <m/>
    <x v="1"/>
    <s v="46026754003007"/>
    <n v="-27.45"/>
    <n v="700"/>
    <n v="1"/>
    <n v="1"/>
  </r>
  <r>
    <m/>
    <m/>
    <x v="1"/>
    <s v="46042851003005"/>
    <n v="-22.35"/>
    <n v="570"/>
    <n v="1"/>
    <n v="1"/>
  </r>
  <r>
    <m/>
    <m/>
    <x v="1"/>
    <s v="46074210001001"/>
    <n v="-16.309999999999999"/>
    <n v="416"/>
    <n v="1"/>
    <n v="1"/>
  </r>
  <r>
    <m/>
    <m/>
    <x v="1"/>
    <s v="46133151002005"/>
    <n v="-8.9"/>
    <n v="227"/>
    <n v="1"/>
    <n v="1"/>
  </r>
  <r>
    <m/>
    <m/>
    <x v="1"/>
    <s v="46135041001002"/>
    <n v="-54.78"/>
    <n v="1397"/>
    <n v="1"/>
    <n v="1"/>
  </r>
  <r>
    <m/>
    <m/>
    <x v="1"/>
    <s v="46146381001003"/>
    <n v="-29.17"/>
    <n v="744"/>
    <n v="1"/>
    <n v="1"/>
  </r>
  <r>
    <m/>
    <m/>
    <x v="1"/>
    <s v="46153451002002"/>
    <n v="-16.510000000000002"/>
    <n v="421"/>
    <n v="1"/>
    <n v="1"/>
  </r>
  <r>
    <m/>
    <m/>
    <x v="1"/>
    <s v="46176053001002"/>
    <n v="-35.6"/>
    <n v="908"/>
    <n v="1"/>
    <n v="1"/>
  </r>
  <r>
    <m/>
    <m/>
    <x v="1"/>
    <s v="46178853001001"/>
    <n v="-0.59"/>
    <n v="15"/>
    <n v="1"/>
    <n v="1"/>
  </r>
  <r>
    <m/>
    <m/>
    <x v="1"/>
    <s v="46246869001009"/>
    <n v="-4.63"/>
    <n v="118"/>
    <n v="1"/>
    <n v="1"/>
  </r>
  <r>
    <m/>
    <m/>
    <x v="1"/>
    <s v="46246971001001"/>
    <n v="-21.6"/>
    <n v="551"/>
    <n v="1"/>
    <n v="1"/>
  </r>
  <r>
    <m/>
    <m/>
    <x v="1"/>
    <s v="46253481001006"/>
    <n v="-1.92"/>
    <n v="49"/>
    <n v="1"/>
    <n v="1"/>
  </r>
  <r>
    <m/>
    <m/>
    <x v="1"/>
    <s v="46279591001002"/>
    <n v="-16.39"/>
    <n v="418"/>
    <n v="1"/>
    <n v="1"/>
  </r>
  <r>
    <m/>
    <m/>
    <x v="1"/>
    <s v="46322361003003"/>
    <n v="-37.56"/>
    <n v="958"/>
    <n v="1"/>
    <n v="1"/>
  </r>
  <r>
    <m/>
    <m/>
    <x v="1"/>
    <s v="46327821002001"/>
    <n v="-32"/>
    <n v="816"/>
    <n v="1"/>
    <n v="1"/>
  </r>
  <r>
    <m/>
    <m/>
    <x v="1"/>
    <s v="46336781001001"/>
    <n v="-11.41"/>
    <n v="291"/>
    <n v="1"/>
    <n v="1"/>
  </r>
  <r>
    <m/>
    <m/>
    <x v="1"/>
    <s v="46341891001007"/>
    <n v="-18"/>
    <n v="459"/>
    <n v="1"/>
    <n v="1"/>
  </r>
  <r>
    <m/>
    <m/>
    <x v="1"/>
    <s v="46370031001001"/>
    <n v="-22.82"/>
    <n v="582"/>
    <n v="1"/>
    <n v="1"/>
  </r>
  <r>
    <m/>
    <m/>
    <x v="1"/>
    <s v="46372831002006"/>
    <n v="-6.27"/>
    <n v="160"/>
    <n v="1"/>
    <n v="1"/>
  </r>
  <r>
    <m/>
    <m/>
    <x v="1"/>
    <s v="46421145001001"/>
    <n v="-18.59"/>
    <n v="474"/>
    <n v="1"/>
    <n v="1"/>
  </r>
  <r>
    <m/>
    <m/>
    <x v="1"/>
    <s v="46430371001002"/>
    <n v="-17.059999999999999"/>
    <n v="435"/>
    <n v="1"/>
    <n v="1"/>
  </r>
  <r>
    <m/>
    <m/>
    <x v="1"/>
    <s v="46458791001003"/>
    <n v="-35.33"/>
    <n v="901"/>
    <n v="1"/>
    <n v="1"/>
  </r>
  <r>
    <m/>
    <m/>
    <x v="1"/>
    <s v="46475241001003"/>
    <n v="-22.08"/>
    <n v="563"/>
    <n v="1"/>
    <n v="1"/>
  </r>
  <r>
    <m/>
    <m/>
    <x v="1"/>
    <s v="46482661001005"/>
    <n v="-0.82"/>
    <n v="21"/>
    <n v="1"/>
    <n v="1"/>
  </r>
  <r>
    <m/>
    <m/>
    <x v="1"/>
    <s v="46488681001003"/>
    <n v="-12.19"/>
    <n v="311"/>
    <n v="1"/>
    <n v="1"/>
  </r>
  <r>
    <m/>
    <m/>
    <x v="1"/>
    <s v="46578701001001"/>
    <n v="-1.76"/>
    <n v="45"/>
    <n v="1"/>
    <n v="1"/>
  </r>
  <r>
    <m/>
    <m/>
    <x v="1"/>
    <s v="46605651001001"/>
    <n v="-0.35"/>
    <n v="9"/>
    <n v="1"/>
    <n v="1"/>
  </r>
  <r>
    <m/>
    <m/>
    <x v="1"/>
    <s v="46748171001002"/>
    <n v="-44.11"/>
    <n v="1125"/>
    <n v="1"/>
    <n v="1"/>
  </r>
  <r>
    <m/>
    <m/>
    <x v="1"/>
    <s v="46752049002013"/>
    <n v="-13.49"/>
    <n v="344"/>
    <n v="1"/>
    <n v="1"/>
  </r>
  <r>
    <m/>
    <m/>
    <x v="1"/>
    <s v="46763571002001"/>
    <n v="-1.49"/>
    <n v="38"/>
    <n v="1"/>
    <n v="1"/>
  </r>
  <r>
    <m/>
    <m/>
    <x v="1"/>
    <s v="46784991001003"/>
    <n v="-40.58"/>
    <n v="1035"/>
    <n v="1"/>
    <n v="1"/>
  </r>
  <r>
    <m/>
    <m/>
    <x v="1"/>
    <s v="46805851001001"/>
    <n v="-4.2699999999999996"/>
    <n v="109"/>
    <n v="1"/>
    <n v="1"/>
  </r>
  <r>
    <m/>
    <m/>
    <x v="1"/>
    <s v="46824191001001"/>
    <n v="-37.840000000000003"/>
    <n v="965"/>
    <n v="1"/>
    <n v="1"/>
  </r>
  <r>
    <m/>
    <m/>
    <x v="1"/>
    <s v="46829091001001"/>
    <n v="-2.94"/>
    <n v="75"/>
    <n v="1"/>
    <n v="1"/>
  </r>
  <r>
    <m/>
    <m/>
    <x v="1"/>
    <s v="46831051002001"/>
    <n v="-20.74"/>
    <n v="529"/>
    <n v="1"/>
    <n v="1"/>
  </r>
  <r>
    <m/>
    <m/>
    <x v="1"/>
    <s v="46858841001004"/>
    <n v="-60.07"/>
    <n v="1532"/>
    <n v="1"/>
    <n v="1"/>
  </r>
  <r>
    <m/>
    <m/>
    <x v="1"/>
    <s v="46867241001005"/>
    <n v="-4.3899999999999997"/>
    <n v="112"/>
    <n v="1"/>
    <n v="1"/>
  </r>
  <r>
    <m/>
    <m/>
    <x v="1"/>
    <s v="46883740001002"/>
    <n v="-16.59"/>
    <n v="423"/>
    <n v="1"/>
    <n v="1"/>
  </r>
  <r>
    <m/>
    <m/>
    <x v="1"/>
    <s v="46905092001001"/>
    <n v="-2.23"/>
    <n v="57"/>
    <n v="1"/>
    <n v="1"/>
  </r>
  <r>
    <m/>
    <m/>
    <x v="1"/>
    <s v="46913740001001"/>
    <n v="-2.16"/>
    <n v="55"/>
    <n v="1"/>
    <n v="1"/>
  </r>
  <r>
    <m/>
    <m/>
    <x v="1"/>
    <s v="46948371001001"/>
    <n v="-4"/>
    <n v="102"/>
    <n v="1"/>
    <n v="1"/>
  </r>
  <r>
    <m/>
    <m/>
    <x v="1"/>
    <s v="46950121002001"/>
    <n v="-0.31"/>
    <n v="8"/>
    <n v="1"/>
    <n v="1"/>
  </r>
  <r>
    <m/>
    <m/>
    <x v="1"/>
    <s v="47001382001001"/>
    <n v="-71.64"/>
    <n v="1827"/>
    <n v="1"/>
    <n v="1"/>
  </r>
  <r>
    <m/>
    <m/>
    <x v="1"/>
    <s v="47139891001002"/>
    <n v="-1.18"/>
    <n v="30"/>
    <n v="1"/>
    <n v="1"/>
  </r>
  <r>
    <m/>
    <m/>
    <x v="1"/>
    <s v="47142481001004"/>
    <n v="-1.06"/>
    <n v="27"/>
    <n v="1"/>
    <n v="1"/>
  </r>
  <r>
    <m/>
    <m/>
    <x v="1"/>
    <s v="47161241001003"/>
    <n v="-10.08"/>
    <n v="257"/>
    <n v="1"/>
    <n v="1"/>
  </r>
  <r>
    <m/>
    <m/>
    <x v="1"/>
    <s v="47180631003001"/>
    <n v="-3.65"/>
    <n v="93"/>
    <n v="1"/>
    <n v="1"/>
  </r>
  <r>
    <m/>
    <m/>
    <x v="1"/>
    <s v="47194351001001"/>
    <n v="-11.84"/>
    <n v="302"/>
    <n v="1"/>
    <n v="1"/>
  </r>
  <r>
    <m/>
    <m/>
    <x v="1"/>
    <s v="47198691002001"/>
    <n v="-15.61"/>
    <n v="398"/>
    <n v="1"/>
    <n v="1"/>
  </r>
  <r>
    <m/>
    <m/>
    <x v="1"/>
    <s v="47205271001007"/>
    <n v="-3.76"/>
    <n v="96"/>
    <n v="1"/>
    <n v="1"/>
  </r>
  <r>
    <m/>
    <m/>
    <x v="1"/>
    <s v="47228301003001"/>
    <n v="-12.9"/>
    <n v="329"/>
    <n v="1"/>
    <n v="1"/>
  </r>
  <r>
    <m/>
    <m/>
    <x v="1"/>
    <s v="47231801001002"/>
    <n v="-2.67"/>
    <n v="68"/>
    <n v="1"/>
    <n v="1"/>
  </r>
  <r>
    <m/>
    <m/>
    <x v="1"/>
    <s v="47237681002003"/>
    <n v="-23.25"/>
    <n v="593"/>
    <n v="1"/>
    <n v="1"/>
  </r>
  <r>
    <m/>
    <m/>
    <x v="1"/>
    <s v="47311671002002"/>
    <n v="-3.33"/>
    <n v="85"/>
    <n v="1"/>
    <n v="1"/>
  </r>
  <r>
    <m/>
    <m/>
    <x v="1"/>
    <s v="47321401005001"/>
    <n v="-16.27"/>
    <n v="415"/>
    <n v="1"/>
    <n v="1"/>
  </r>
  <r>
    <m/>
    <m/>
    <x v="1"/>
    <s v="47327071005001"/>
    <n v="-15.21"/>
    <n v="388"/>
    <n v="1"/>
    <n v="1"/>
  </r>
  <r>
    <m/>
    <m/>
    <x v="1"/>
    <s v="47328821001007"/>
    <n v="-13.21"/>
    <n v="337"/>
    <n v="1"/>
    <n v="1"/>
  </r>
  <r>
    <m/>
    <m/>
    <x v="1"/>
    <s v="47345831001004"/>
    <n v="-9.3699999999999992"/>
    <n v="239"/>
    <n v="1"/>
    <n v="1"/>
  </r>
  <r>
    <m/>
    <m/>
    <x v="1"/>
    <s v="47354441001003"/>
    <n v="-30.58"/>
    <n v="780"/>
    <n v="1"/>
    <n v="1"/>
  </r>
  <r>
    <m/>
    <m/>
    <x v="1"/>
    <s v="47354861004001"/>
    <n v="-8.5500000000000007"/>
    <n v="218"/>
    <n v="1"/>
    <n v="1"/>
  </r>
  <r>
    <m/>
    <m/>
    <x v="1"/>
    <s v="47356829001002"/>
    <n v="-1.22"/>
    <n v="31"/>
    <n v="1"/>
    <n v="1"/>
  </r>
  <r>
    <m/>
    <m/>
    <x v="1"/>
    <s v="47363051001001"/>
    <n v="-20"/>
    <n v="510"/>
    <n v="1"/>
    <n v="1"/>
  </r>
  <r>
    <m/>
    <m/>
    <x v="1"/>
    <s v="47376841002006"/>
    <n v="-0.27"/>
    <n v="7"/>
    <n v="1"/>
    <n v="1"/>
  </r>
  <r>
    <m/>
    <m/>
    <x v="1"/>
    <s v="47414851004001"/>
    <n v="-26.9"/>
    <n v="686"/>
    <n v="1"/>
    <n v="1"/>
  </r>
  <r>
    <m/>
    <m/>
    <x v="1"/>
    <s v="47445167002001"/>
    <n v="-1.92"/>
    <n v="49"/>
    <n v="1"/>
    <n v="1"/>
  </r>
  <r>
    <m/>
    <m/>
    <x v="1"/>
    <s v="47456402001001"/>
    <n v="-6.23"/>
    <n v="159"/>
    <n v="1"/>
    <n v="1"/>
  </r>
  <r>
    <m/>
    <m/>
    <x v="1"/>
    <s v="47541901001001"/>
    <n v="-13.29"/>
    <n v="339"/>
    <n v="1"/>
    <n v="1"/>
  </r>
  <r>
    <m/>
    <m/>
    <x v="1"/>
    <s v="47552611001001"/>
    <n v="-24"/>
    <n v="612"/>
    <n v="1"/>
    <n v="1"/>
  </r>
  <r>
    <m/>
    <m/>
    <x v="1"/>
    <s v="47555411002001"/>
    <n v="-18.510000000000002"/>
    <n v="472"/>
    <n v="1"/>
    <n v="1"/>
  </r>
  <r>
    <m/>
    <m/>
    <x v="1"/>
    <s v="47585534001003"/>
    <n v="-8.08"/>
    <n v="206"/>
    <n v="1"/>
    <n v="1"/>
  </r>
  <r>
    <m/>
    <m/>
    <x v="1"/>
    <s v="47596151001005"/>
    <n v="-5.57"/>
    <n v="142"/>
    <n v="1"/>
    <n v="1"/>
  </r>
  <r>
    <m/>
    <m/>
    <x v="1"/>
    <s v="47605461003004"/>
    <n v="-7.41"/>
    <n v="189"/>
    <n v="1"/>
    <n v="1"/>
  </r>
  <r>
    <m/>
    <m/>
    <x v="1"/>
    <s v="47674271002001"/>
    <n v="-3.22"/>
    <n v="82"/>
    <n v="1"/>
    <n v="1"/>
  </r>
  <r>
    <m/>
    <m/>
    <x v="1"/>
    <s v="47760721004001"/>
    <n v="-0.16"/>
    <n v="4"/>
    <n v="1"/>
    <n v="1"/>
  </r>
  <r>
    <m/>
    <m/>
    <x v="1"/>
    <s v="47852771008001"/>
    <n v="-0.63"/>
    <n v="16"/>
    <n v="1"/>
    <n v="1"/>
  </r>
  <r>
    <m/>
    <m/>
    <x v="1"/>
    <s v="47854171001002"/>
    <n v="-4.9000000000000004"/>
    <n v="125"/>
    <n v="1"/>
    <n v="1"/>
  </r>
  <r>
    <m/>
    <m/>
    <x v="1"/>
    <s v="47876291003003"/>
    <n v="-20.51"/>
    <n v="523"/>
    <n v="1"/>
    <n v="1"/>
  </r>
  <r>
    <m/>
    <m/>
    <x v="1"/>
    <s v="47907161002002"/>
    <n v="-12.59"/>
    <n v="321"/>
    <n v="1"/>
    <n v="1"/>
  </r>
  <r>
    <m/>
    <m/>
    <x v="1"/>
    <s v="47909401001001"/>
    <n v="-7.84"/>
    <n v="200"/>
    <n v="1"/>
    <n v="1"/>
  </r>
  <r>
    <m/>
    <m/>
    <x v="1"/>
    <s v="47912897001001"/>
    <n v="-4.2699999999999996"/>
    <n v="109"/>
    <n v="1"/>
    <n v="1"/>
  </r>
  <r>
    <m/>
    <m/>
    <x v="1"/>
    <s v="47943771006001"/>
    <n v="-1.25"/>
    <n v="32"/>
    <n v="1"/>
    <n v="1"/>
  </r>
  <r>
    <m/>
    <m/>
    <x v="1"/>
    <s v="47943981001003"/>
    <n v="-0.9"/>
    <n v="23"/>
    <n v="1"/>
    <n v="1"/>
  </r>
  <r>
    <m/>
    <m/>
    <x v="1"/>
    <s v="48036521001001"/>
    <n v="-7.76"/>
    <n v="198"/>
    <n v="1"/>
    <n v="1"/>
  </r>
  <r>
    <m/>
    <m/>
    <x v="1"/>
    <s v="48048211001001"/>
    <n v="-9.68"/>
    <n v="247"/>
    <n v="1"/>
    <n v="1"/>
  </r>
  <r>
    <m/>
    <m/>
    <x v="1"/>
    <s v="48058431001001"/>
    <n v="-17.920000000000002"/>
    <n v="457"/>
    <n v="1"/>
    <n v="1"/>
  </r>
  <r>
    <m/>
    <m/>
    <x v="1"/>
    <s v="48115691001003"/>
    <n v="-1.84"/>
    <n v="47"/>
    <n v="1"/>
    <n v="1"/>
  </r>
  <r>
    <m/>
    <m/>
    <x v="1"/>
    <s v="48121641002006"/>
    <n v="-13.96"/>
    <n v="356"/>
    <n v="1"/>
    <n v="1"/>
  </r>
  <r>
    <m/>
    <m/>
    <x v="1"/>
    <s v="48124752001001"/>
    <n v="-12.59"/>
    <n v="321"/>
    <n v="1"/>
    <n v="1"/>
  </r>
  <r>
    <m/>
    <m/>
    <x v="1"/>
    <s v="48168055001001"/>
    <n v="-26.74"/>
    <n v="682"/>
    <n v="1"/>
    <n v="1"/>
  </r>
  <r>
    <m/>
    <m/>
    <x v="1"/>
    <s v="48194791003001"/>
    <n v="-8.4700000000000006"/>
    <n v="216"/>
    <n v="1"/>
    <n v="1"/>
  </r>
  <r>
    <m/>
    <m/>
    <x v="1"/>
    <s v="48219833001001"/>
    <n v="-28.23"/>
    <n v="720"/>
    <n v="1"/>
    <n v="1"/>
  </r>
  <r>
    <m/>
    <m/>
    <x v="1"/>
    <s v="48221391002003"/>
    <n v="-8.9"/>
    <n v="227"/>
    <n v="1"/>
    <n v="1"/>
  </r>
  <r>
    <m/>
    <m/>
    <x v="1"/>
    <s v="48368531001006"/>
    <n v="-2"/>
    <n v="51"/>
    <n v="1"/>
    <n v="1"/>
  </r>
  <r>
    <m/>
    <m/>
    <x v="1"/>
    <s v="48398584006001"/>
    <n v="-10.67"/>
    <n v="272"/>
    <n v="1"/>
    <n v="1"/>
  </r>
  <r>
    <m/>
    <m/>
    <x v="1"/>
    <s v="48401751001001"/>
    <n v="-0.63"/>
    <n v="16"/>
    <n v="1"/>
    <n v="1"/>
  </r>
  <r>
    <m/>
    <m/>
    <x v="1"/>
    <s v="48438811004001"/>
    <n v="-33.01"/>
    <n v="842"/>
    <n v="1"/>
    <n v="1"/>
  </r>
  <r>
    <m/>
    <m/>
    <x v="1"/>
    <s v="48455961001001"/>
    <n v="-2.04"/>
    <n v="52"/>
    <n v="1"/>
    <n v="1"/>
  </r>
  <r>
    <m/>
    <m/>
    <x v="1"/>
    <s v="48551861002001"/>
    <n v="-0.71"/>
    <n v="18"/>
    <n v="1"/>
    <n v="1"/>
  </r>
  <r>
    <m/>
    <m/>
    <x v="1"/>
    <s v="48581489001001"/>
    <n v="-13.21"/>
    <n v="337"/>
    <n v="1"/>
    <n v="1"/>
  </r>
  <r>
    <m/>
    <m/>
    <x v="1"/>
    <s v="48629818001001"/>
    <n v="-0.9"/>
    <n v="23"/>
    <n v="1"/>
    <n v="1"/>
  </r>
  <r>
    <m/>
    <m/>
    <x v="1"/>
    <s v="48684021001001"/>
    <n v="-34.619999999999997"/>
    <n v="883"/>
    <n v="1"/>
    <n v="1"/>
  </r>
  <r>
    <m/>
    <m/>
    <x v="1"/>
    <s v="48752136001002"/>
    <n v="-1.18"/>
    <n v="30"/>
    <n v="1"/>
    <n v="1"/>
  </r>
  <r>
    <m/>
    <m/>
    <x v="1"/>
    <s v="48762278001001"/>
    <n v="-2.78"/>
    <n v="71"/>
    <n v="1"/>
    <n v="1"/>
  </r>
  <r>
    <m/>
    <m/>
    <x v="1"/>
    <s v="48798498001001"/>
    <n v="-2.2000000000000002"/>
    <n v="56"/>
    <n v="1"/>
    <n v="1"/>
  </r>
  <r>
    <m/>
    <m/>
    <x v="1"/>
    <s v="48804422001006"/>
    <n v="-1.76"/>
    <n v="45"/>
    <n v="1"/>
    <n v="1"/>
  </r>
  <r>
    <m/>
    <m/>
    <x v="1"/>
    <s v="48826277001001"/>
    <n v="-16.309999999999999"/>
    <n v="416"/>
    <n v="1"/>
    <n v="1"/>
  </r>
  <r>
    <m/>
    <m/>
    <x v="1"/>
    <s v="48834171001003"/>
    <n v="-6.94"/>
    <n v="177"/>
    <n v="1"/>
    <n v="1"/>
  </r>
  <r>
    <m/>
    <m/>
    <x v="1"/>
    <s v="48845721001001"/>
    <n v="-1.1399999999999999"/>
    <n v="29"/>
    <n v="1"/>
    <n v="1"/>
  </r>
  <r>
    <m/>
    <m/>
    <x v="1"/>
    <s v="49074901003004"/>
    <n v="-2.5499999999999998"/>
    <n v="65"/>
    <n v="1"/>
    <n v="1"/>
  </r>
  <r>
    <m/>
    <m/>
    <x v="1"/>
    <s v="49166301001001"/>
    <n v="-17.760000000000002"/>
    <n v="453"/>
    <n v="1"/>
    <n v="1"/>
  </r>
  <r>
    <m/>
    <m/>
    <x v="1"/>
    <s v="49177241002001"/>
    <n v="-24.86"/>
    <n v="634"/>
    <n v="1"/>
    <n v="1"/>
  </r>
  <r>
    <m/>
    <m/>
    <x v="1"/>
    <s v="49180461001001"/>
    <n v="-2.5499999999999998"/>
    <n v="65"/>
    <n v="1"/>
    <n v="1"/>
  </r>
  <r>
    <m/>
    <m/>
    <x v="1"/>
    <s v="49187126001001"/>
    <n v="-16.39"/>
    <n v="418"/>
    <n v="1"/>
    <n v="1"/>
  </r>
  <r>
    <m/>
    <m/>
    <x v="1"/>
    <s v="49298970001001"/>
    <n v="-20.98"/>
    <n v="535"/>
    <n v="1"/>
    <n v="1"/>
  </r>
  <r>
    <m/>
    <m/>
    <x v="1"/>
    <s v="49315865001001"/>
    <n v="-6.51"/>
    <n v="166"/>
    <n v="1"/>
    <n v="1"/>
  </r>
  <r>
    <m/>
    <m/>
    <x v="1"/>
    <s v="49326370001005"/>
    <n v="-2.5499999999999998"/>
    <n v="65"/>
    <n v="1"/>
    <n v="1"/>
  </r>
  <r>
    <m/>
    <m/>
    <x v="1"/>
    <s v="49371491001002"/>
    <n v="-41.09"/>
    <n v="1048"/>
    <n v="1"/>
    <n v="1"/>
  </r>
  <r>
    <m/>
    <m/>
    <x v="1"/>
    <s v="49448561001001"/>
    <n v="-36.82"/>
    <n v="939"/>
    <n v="1"/>
    <n v="1"/>
  </r>
  <r>
    <m/>
    <m/>
    <x v="1"/>
    <s v="49570081001002"/>
    <n v="-0.86"/>
    <n v="22"/>
    <n v="1"/>
    <n v="1"/>
  </r>
  <r>
    <m/>
    <m/>
    <x v="1"/>
    <s v="49580441001001"/>
    <n v="-0.71"/>
    <n v="18"/>
    <n v="1"/>
    <n v="1"/>
  </r>
  <r>
    <m/>
    <m/>
    <x v="1"/>
    <s v="49581631001005"/>
    <n v="-0.27"/>
    <n v="7"/>
    <n v="1"/>
    <n v="1"/>
  </r>
  <r>
    <m/>
    <m/>
    <x v="1"/>
    <s v="49600181003002"/>
    <n v="-1.02"/>
    <n v="26"/>
    <n v="1"/>
    <n v="1"/>
  </r>
  <r>
    <m/>
    <m/>
    <x v="1"/>
    <s v="49608231003009"/>
    <n v="-1.37"/>
    <n v="35"/>
    <n v="1"/>
    <n v="1"/>
  </r>
  <r>
    <m/>
    <m/>
    <x v="1"/>
    <s v="49649391002003"/>
    <n v="-25.92"/>
    <n v="661"/>
    <n v="1"/>
    <n v="1"/>
  </r>
  <r>
    <m/>
    <m/>
    <x v="1"/>
    <s v="49693491002008"/>
    <n v="-4.78"/>
    <n v="122"/>
    <n v="1"/>
    <n v="1"/>
  </r>
  <r>
    <m/>
    <m/>
    <x v="1"/>
    <s v="49702654001002"/>
    <n v="-1.96"/>
    <n v="50"/>
    <n v="1"/>
    <n v="1"/>
  </r>
  <r>
    <m/>
    <m/>
    <x v="1"/>
    <s v="49717151001001"/>
    <n v="-0.35"/>
    <n v="9"/>
    <n v="1"/>
    <n v="1"/>
  </r>
  <r>
    <m/>
    <m/>
    <x v="1"/>
    <s v="49735399001001"/>
    <n v="-2.63"/>
    <n v="67"/>
    <n v="1"/>
    <n v="1"/>
  </r>
  <r>
    <m/>
    <m/>
    <x v="1"/>
    <s v="49761531001001"/>
    <n v="-11.65"/>
    <n v="297"/>
    <n v="1"/>
    <n v="1"/>
  </r>
  <r>
    <m/>
    <m/>
    <x v="1"/>
    <s v="49774436001006"/>
    <n v="-1.25"/>
    <n v="32"/>
    <n v="1"/>
    <n v="1"/>
  </r>
  <r>
    <m/>
    <m/>
    <x v="1"/>
    <s v="49828031002004"/>
    <n v="-30.11"/>
    <n v="768"/>
    <n v="1"/>
    <n v="1"/>
  </r>
  <r>
    <m/>
    <m/>
    <x v="1"/>
    <s v="49836221003001"/>
    <n v="-66.77"/>
    <n v="1703"/>
    <n v="1"/>
    <n v="1"/>
  </r>
  <r>
    <m/>
    <m/>
    <x v="1"/>
    <s v="49841331001004"/>
    <n v="-8.23"/>
    <n v="210"/>
    <n v="1"/>
    <n v="1"/>
  </r>
  <r>
    <m/>
    <m/>
    <x v="1"/>
    <s v="49896911001001"/>
    <n v="-0.35"/>
    <n v="9"/>
    <n v="1"/>
    <n v="1"/>
  </r>
  <r>
    <m/>
    <m/>
    <x v="1"/>
    <s v="49929881001003"/>
    <n v="-1.37"/>
    <n v="35"/>
    <n v="1"/>
    <n v="1"/>
  </r>
  <r>
    <m/>
    <m/>
    <x v="1"/>
    <s v="49951931001004"/>
    <n v="-3.29"/>
    <n v="84"/>
    <n v="1"/>
    <n v="1"/>
  </r>
  <r>
    <m/>
    <m/>
    <x v="1"/>
    <s v="50043981001003"/>
    <n v="-22.51"/>
    <n v="574"/>
    <n v="1"/>
    <n v="1"/>
  </r>
  <r>
    <m/>
    <m/>
    <x v="1"/>
    <s v="50069630001004"/>
    <n v="-7.49"/>
    <n v="191"/>
    <n v="1"/>
    <n v="1"/>
  </r>
  <r>
    <m/>
    <m/>
    <x v="1"/>
    <s v="50071631001001"/>
    <n v="-6.04"/>
    <n v="154"/>
    <n v="1"/>
    <n v="1"/>
  </r>
  <r>
    <m/>
    <m/>
    <x v="1"/>
    <s v="50097303001004"/>
    <n v="-11.41"/>
    <n v="291"/>
    <n v="1"/>
    <n v="1"/>
  </r>
  <r>
    <m/>
    <m/>
    <x v="1"/>
    <s v="50180049001004"/>
    <n v="-37.68"/>
    <n v="961"/>
    <n v="1"/>
    <n v="1"/>
  </r>
  <r>
    <m/>
    <m/>
    <x v="1"/>
    <s v="50181601002005"/>
    <n v="-0.08"/>
    <n v="2"/>
    <n v="1"/>
    <n v="1"/>
  </r>
  <r>
    <m/>
    <m/>
    <x v="1"/>
    <s v="50198191001001"/>
    <n v="-27.45"/>
    <n v="700"/>
    <n v="1"/>
    <n v="1"/>
  </r>
  <r>
    <m/>
    <m/>
    <x v="1"/>
    <s v="50249641001001"/>
    <n v="-32.979999999999997"/>
    <n v="841"/>
    <n v="1"/>
    <n v="1"/>
  </r>
  <r>
    <m/>
    <m/>
    <x v="1"/>
    <s v="50254821001001"/>
    <n v="-27.02"/>
    <n v="689"/>
    <n v="1"/>
    <n v="1"/>
  </r>
  <r>
    <m/>
    <m/>
    <x v="1"/>
    <s v="50305221001001"/>
    <n v="-17.29"/>
    <n v="441"/>
    <n v="1"/>
    <n v="1"/>
  </r>
  <r>
    <m/>
    <m/>
    <x v="1"/>
    <s v="50306876001004"/>
    <n v="-12.47"/>
    <n v="318"/>
    <n v="1"/>
    <n v="1"/>
  </r>
  <r>
    <m/>
    <m/>
    <x v="1"/>
    <s v="50314391002005"/>
    <n v="-30.58"/>
    <n v="780"/>
    <n v="1"/>
    <n v="1"/>
  </r>
  <r>
    <m/>
    <m/>
    <x v="1"/>
    <s v="50412391001001"/>
    <n v="-2.74"/>
    <n v="70"/>
    <n v="1"/>
    <n v="1"/>
  </r>
  <r>
    <m/>
    <m/>
    <x v="1"/>
    <s v="50425271002004"/>
    <n v="-0.82"/>
    <n v="21"/>
    <n v="1"/>
    <n v="1"/>
  </r>
  <r>
    <m/>
    <m/>
    <x v="1"/>
    <s v="50718011001001"/>
    <n v="-65.790000000000006"/>
    <n v="1678"/>
    <n v="1"/>
    <n v="1"/>
  </r>
  <r>
    <m/>
    <m/>
    <x v="1"/>
    <s v="50740761001001"/>
    <n v="-0.82"/>
    <n v="21"/>
    <n v="1"/>
    <n v="1"/>
  </r>
  <r>
    <m/>
    <m/>
    <x v="1"/>
    <s v="50756231001002"/>
    <n v="-0.16"/>
    <n v="4"/>
    <n v="1"/>
    <n v="1"/>
  </r>
  <r>
    <m/>
    <m/>
    <x v="1"/>
    <s v="50757911001003"/>
    <n v="-9.3699999999999992"/>
    <n v="239"/>
    <n v="1"/>
    <n v="1"/>
  </r>
  <r>
    <m/>
    <m/>
    <x v="1"/>
    <s v="50768201001001"/>
    <n v="-0.63"/>
    <n v="16"/>
    <n v="1"/>
    <n v="1"/>
  </r>
  <r>
    <m/>
    <m/>
    <x v="1"/>
    <s v="50787241001001"/>
    <n v="-1.1399999999999999"/>
    <n v="29"/>
    <n v="1"/>
    <n v="1"/>
  </r>
  <r>
    <m/>
    <m/>
    <x v="1"/>
    <s v="50808591001001"/>
    <n v="-4.43"/>
    <n v="113"/>
    <n v="1"/>
    <n v="1"/>
  </r>
  <r>
    <m/>
    <m/>
    <x v="1"/>
    <s v="50809571001001"/>
    <n v="-6.12"/>
    <n v="156"/>
    <n v="1"/>
    <n v="1"/>
  </r>
  <r>
    <m/>
    <m/>
    <x v="1"/>
    <s v="50823431001001"/>
    <n v="-2.12"/>
    <n v="54"/>
    <n v="1"/>
    <n v="1"/>
  </r>
  <r>
    <m/>
    <m/>
    <x v="1"/>
    <s v="50830571001002"/>
    <n v="-3.76"/>
    <n v="96"/>
    <n v="1"/>
    <n v="1"/>
  </r>
  <r>
    <m/>
    <m/>
    <x v="1"/>
    <s v="50849401001002"/>
    <n v="-22.08"/>
    <n v="563"/>
    <n v="1"/>
    <n v="1"/>
  </r>
  <r>
    <m/>
    <m/>
    <x v="1"/>
    <s v="50858361001001"/>
    <n v="-2.4300000000000002"/>
    <n v="62"/>
    <n v="1"/>
    <n v="1"/>
  </r>
  <r>
    <m/>
    <m/>
    <x v="1"/>
    <s v="50870401001001"/>
    <n v="-1.06"/>
    <n v="27"/>
    <n v="1"/>
    <n v="1"/>
  </r>
  <r>
    <m/>
    <m/>
    <x v="1"/>
    <s v="50898883001003"/>
    <n v="-9.9600000000000009"/>
    <n v="254"/>
    <n v="1"/>
    <n v="1"/>
  </r>
  <r>
    <m/>
    <m/>
    <x v="1"/>
    <s v="50919121001001"/>
    <n v="-1.96"/>
    <n v="50"/>
    <n v="1"/>
    <n v="1"/>
  </r>
  <r>
    <m/>
    <m/>
    <x v="1"/>
    <s v="50919821001002"/>
    <n v="-4.71"/>
    <n v="120"/>
    <n v="1"/>
    <n v="1"/>
  </r>
  <r>
    <m/>
    <m/>
    <x v="1"/>
    <s v="50988281001004"/>
    <n v="-0.74"/>
    <n v="19"/>
    <n v="1"/>
    <n v="1"/>
  </r>
  <r>
    <m/>
    <m/>
    <x v="1"/>
    <s v="50997031001001"/>
    <n v="-0.27"/>
    <n v="7"/>
    <n v="1"/>
    <n v="1"/>
  </r>
  <r>
    <m/>
    <m/>
    <x v="1"/>
    <s v="50997311003001"/>
    <n v="-5.45"/>
    <n v="139"/>
    <n v="1"/>
    <n v="1"/>
  </r>
  <r>
    <m/>
    <m/>
    <x v="1"/>
    <s v="51005151001001"/>
    <n v="-1.8"/>
    <n v="46"/>
    <n v="1"/>
    <n v="1"/>
  </r>
  <r>
    <m/>
    <m/>
    <x v="1"/>
    <s v="51009071001001"/>
    <n v="-2.4700000000000002"/>
    <n v="63"/>
    <n v="1"/>
    <n v="1"/>
  </r>
  <r>
    <m/>
    <m/>
    <x v="1"/>
    <s v="51009701002001"/>
    <n v="-9.57"/>
    <n v="244"/>
    <n v="1"/>
    <n v="1"/>
  </r>
  <r>
    <m/>
    <m/>
    <x v="1"/>
    <s v="51011661001002"/>
    <n v="-9.7200000000000006"/>
    <n v="248"/>
    <n v="1"/>
    <n v="1"/>
  </r>
  <r>
    <m/>
    <m/>
    <x v="1"/>
    <s v="51036671001001"/>
    <n v="-1.02"/>
    <n v="26"/>
    <n v="1"/>
    <n v="1"/>
  </r>
  <r>
    <m/>
    <m/>
    <x v="1"/>
    <s v="51040151001001"/>
    <n v="-0.39"/>
    <n v="10"/>
    <n v="1"/>
    <n v="1"/>
  </r>
  <r>
    <m/>
    <m/>
    <x v="1"/>
    <s v="51045961001001"/>
    <n v="-3.8"/>
    <n v="97"/>
    <n v="1"/>
    <n v="1"/>
  </r>
  <r>
    <m/>
    <m/>
    <x v="1"/>
    <s v="51051071001005"/>
    <n v="-0.86"/>
    <n v="22"/>
    <n v="1"/>
    <n v="1"/>
  </r>
  <r>
    <m/>
    <m/>
    <x v="1"/>
    <s v="51057441001003"/>
    <n v="-4.3099999999999996"/>
    <n v="110"/>
    <n v="1"/>
    <n v="1"/>
  </r>
  <r>
    <m/>
    <m/>
    <x v="1"/>
    <s v="51060731009001"/>
    <n v="-1.92"/>
    <n v="49"/>
    <n v="1"/>
    <n v="1"/>
  </r>
  <r>
    <m/>
    <m/>
    <x v="1"/>
    <s v="51073821001002"/>
    <n v="-0.16"/>
    <n v="4"/>
    <n v="1"/>
    <n v="1"/>
  </r>
  <r>
    <m/>
    <m/>
    <x v="1"/>
    <s v="51082221002003"/>
    <n v="-0.82"/>
    <n v="21"/>
    <n v="1"/>
    <n v="1"/>
  </r>
  <r>
    <m/>
    <m/>
    <x v="1"/>
    <s v="51084811002002"/>
    <n v="-24.23"/>
    <n v="618"/>
    <n v="1"/>
    <n v="1"/>
  </r>
  <r>
    <m/>
    <m/>
    <x v="1"/>
    <s v="51097131003001"/>
    <n v="-23.41"/>
    <n v="597"/>
    <n v="1"/>
    <n v="1"/>
  </r>
  <r>
    <m/>
    <m/>
    <x v="1"/>
    <s v="51098181001001"/>
    <n v="-0.04"/>
    <n v="1"/>
    <n v="1"/>
    <n v="1"/>
  </r>
  <r>
    <m/>
    <m/>
    <x v="1"/>
    <s v="51108261002001"/>
    <n v="-0.63"/>
    <n v="16"/>
    <n v="1"/>
    <n v="1"/>
  </r>
  <r>
    <m/>
    <m/>
    <x v="1"/>
    <s v="51108401001003"/>
    <n v="-4.9800000000000004"/>
    <n v="127"/>
    <n v="1"/>
    <n v="1"/>
  </r>
  <r>
    <m/>
    <m/>
    <x v="1"/>
    <s v="51138081002001"/>
    <n v="-0.55000000000000004"/>
    <n v="14"/>
    <n v="1"/>
    <n v="1"/>
  </r>
  <r>
    <m/>
    <m/>
    <x v="1"/>
    <s v="51138571001004"/>
    <n v="-0.27"/>
    <n v="7"/>
    <n v="1"/>
    <n v="1"/>
  </r>
  <r>
    <m/>
    <m/>
    <x v="1"/>
    <s v="51140391002005"/>
    <n v="-3.49"/>
    <n v="89"/>
    <n v="1"/>
    <n v="1"/>
  </r>
  <r>
    <m/>
    <m/>
    <x v="1"/>
    <s v="51155161001001"/>
    <n v="-0.24"/>
    <n v="6"/>
    <n v="1"/>
    <n v="1"/>
  </r>
  <r>
    <m/>
    <m/>
    <x v="1"/>
    <s v="51155231001001"/>
    <n v="-2.4300000000000002"/>
    <n v="62"/>
    <n v="1"/>
    <n v="1"/>
  </r>
  <r>
    <m/>
    <m/>
    <x v="1"/>
    <s v="51155949001002"/>
    <n v="-4.78"/>
    <n v="122"/>
    <n v="1"/>
    <n v="1"/>
  </r>
  <r>
    <m/>
    <m/>
    <x v="1"/>
    <s v="51159921001001"/>
    <n v="-0.47"/>
    <n v="12"/>
    <n v="1"/>
    <n v="1"/>
  </r>
  <r>
    <m/>
    <m/>
    <x v="1"/>
    <s v="51163561001003"/>
    <n v="-5.96"/>
    <n v="152"/>
    <n v="1"/>
    <n v="1"/>
  </r>
  <r>
    <m/>
    <m/>
    <x v="1"/>
    <s v="51163841001002"/>
    <n v="-7.02"/>
    <n v="179"/>
    <n v="1"/>
    <n v="1"/>
  </r>
  <r>
    <m/>
    <m/>
    <x v="1"/>
    <s v="51166641001002"/>
    <n v="-6.12"/>
    <n v="156"/>
    <n v="1"/>
    <n v="1"/>
  </r>
  <r>
    <m/>
    <m/>
    <x v="1"/>
    <s v="51184281006001"/>
    <n v="-4.12"/>
    <n v="105"/>
    <n v="1"/>
    <n v="1"/>
  </r>
  <r>
    <m/>
    <m/>
    <x v="1"/>
    <s v="51193044001001"/>
    <n v="-4.78"/>
    <n v="122"/>
    <n v="1"/>
    <n v="1"/>
  </r>
  <r>
    <m/>
    <m/>
    <x v="1"/>
    <s v="51198211001002"/>
    <n v="-0.67"/>
    <n v="17"/>
    <n v="1"/>
    <n v="1"/>
  </r>
  <r>
    <m/>
    <m/>
    <x v="1"/>
    <s v="51201221014006"/>
    <n v="-2.35"/>
    <n v="60"/>
    <n v="1"/>
    <n v="1"/>
  </r>
  <r>
    <m/>
    <m/>
    <x v="1"/>
    <s v="51221801001005"/>
    <n v="-3.61"/>
    <n v="92"/>
    <n v="1"/>
    <n v="1"/>
  </r>
  <r>
    <m/>
    <m/>
    <x v="1"/>
    <s v="51230691001002"/>
    <n v="-1.02"/>
    <n v="26"/>
    <n v="1"/>
    <n v="1"/>
  </r>
  <r>
    <m/>
    <m/>
    <x v="1"/>
    <s v="51231111001004"/>
    <n v="-2.71"/>
    <n v="69"/>
    <n v="1"/>
    <n v="1"/>
  </r>
  <r>
    <m/>
    <m/>
    <x v="1"/>
    <s v="51237341002006"/>
    <n v="-4.82"/>
    <n v="123"/>
    <n v="1"/>
    <n v="1"/>
  </r>
  <r>
    <m/>
    <m/>
    <x v="1"/>
    <s v="51237411001001"/>
    <n v="-4.43"/>
    <n v="113"/>
    <n v="1"/>
    <n v="1"/>
  </r>
  <r>
    <m/>
    <m/>
    <x v="1"/>
    <s v="51286341001003"/>
    <n v="-17.489999999999998"/>
    <n v="446"/>
    <n v="1"/>
    <n v="1"/>
  </r>
  <r>
    <m/>
    <m/>
    <x v="1"/>
    <s v="51286568001001"/>
    <n v="-0.98"/>
    <n v="25"/>
    <n v="1"/>
    <n v="1"/>
  </r>
  <r>
    <m/>
    <m/>
    <x v="1"/>
    <s v="51286691001002"/>
    <n v="-34.700000000000003"/>
    <n v="885"/>
    <n v="1"/>
    <n v="1"/>
  </r>
  <r>
    <m/>
    <m/>
    <x v="1"/>
    <s v="51293341001001"/>
    <n v="-35.68"/>
    <n v="910"/>
    <n v="1"/>
    <n v="1"/>
  </r>
  <r>
    <m/>
    <m/>
    <x v="1"/>
    <s v="51309651001001"/>
    <n v="-36.15"/>
    <n v="922"/>
    <n v="1"/>
    <n v="1"/>
  </r>
  <r>
    <m/>
    <m/>
    <x v="1"/>
    <s v="51309721001001"/>
    <n v="-74.73"/>
    <n v="1906"/>
    <n v="1"/>
    <n v="1"/>
  </r>
  <r>
    <m/>
    <m/>
    <x v="1"/>
    <s v="51316301003004"/>
    <n v="-10.39"/>
    <n v="265"/>
    <n v="1"/>
    <n v="1"/>
  </r>
  <r>
    <m/>
    <m/>
    <x v="1"/>
    <s v="51323511001002"/>
    <n v="-5.92"/>
    <n v="151"/>
    <n v="1"/>
    <n v="1"/>
  </r>
  <r>
    <m/>
    <m/>
    <x v="1"/>
    <s v="51324911001001"/>
    <n v="-9.49"/>
    <n v="242"/>
    <n v="1"/>
    <n v="1"/>
  </r>
  <r>
    <m/>
    <m/>
    <x v="1"/>
    <s v="51344791001003"/>
    <n v="-0.31"/>
    <n v="8"/>
    <n v="1"/>
    <n v="1"/>
  </r>
  <r>
    <m/>
    <m/>
    <x v="1"/>
    <s v="51344861001001"/>
    <n v="-26.39"/>
    <n v="673"/>
    <n v="1"/>
    <n v="1"/>
  </r>
  <r>
    <m/>
    <m/>
    <x v="1"/>
    <s v="51356061003003"/>
    <n v="-35.17"/>
    <n v="897"/>
    <n v="1"/>
    <n v="1"/>
  </r>
  <r>
    <m/>
    <m/>
    <x v="1"/>
    <s v="51370831001001"/>
    <n v="-40.43"/>
    <n v="1031"/>
    <n v="1"/>
    <n v="1"/>
  </r>
  <r>
    <m/>
    <m/>
    <x v="1"/>
    <s v="51395961001001"/>
    <n v="-20.11"/>
    <n v="513"/>
    <n v="1"/>
    <n v="1"/>
  </r>
  <r>
    <m/>
    <m/>
    <x v="1"/>
    <s v="51405271001001"/>
    <n v="-8.1199999999999992"/>
    <n v="207"/>
    <n v="1"/>
    <n v="1"/>
  </r>
  <r>
    <m/>
    <m/>
    <x v="1"/>
    <s v="51411291004004"/>
    <n v="-3.06"/>
    <n v="78"/>
    <n v="1"/>
    <n v="1"/>
  </r>
  <r>
    <m/>
    <m/>
    <x v="1"/>
    <s v="51416681001001"/>
    <n v="-18.39"/>
    <n v="469"/>
    <n v="1"/>
    <n v="1"/>
  </r>
  <r>
    <m/>
    <m/>
    <x v="1"/>
    <s v="51450421001005"/>
    <n v="-22.66"/>
    <n v="578"/>
    <n v="1"/>
    <n v="1"/>
  </r>
  <r>
    <m/>
    <m/>
    <x v="1"/>
    <s v="51506701002001"/>
    <n v="-0.2"/>
    <n v="5"/>
    <n v="1"/>
    <n v="1"/>
  </r>
  <r>
    <m/>
    <m/>
    <x v="1"/>
    <s v="51514051001001"/>
    <n v="-1.92"/>
    <n v="49"/>
    <n v="1"/>
    <n v="1"/>
  </r>
  <r>
    <m/>
    <m/>
    <x v="1"/>
    <s v="51514331001001"/>
    <n v="-8.43"/>
    <n v="215"/>
    <n v="1"/>
    <n v="1"/>
  </r>
  <r>
    <m/>
    <m/>
    <x v="1"/>
    <s v="51519832001003"/>
    <n v="-0.47"/>
    <n v="12"/>
    <n v="1"/>
    <n v="1"/>
  </r>
  <r>
    <m/>
    <m/>
    <x v="1"/>
    <s v="51531201001002"/>
    <n v="-23.41"/>
    <n v="597"/>
    <n v="1"/>
    <n v="1"/>
  </r>
  <r>
    <m/>
    <m/>
    <x v="1"/>
    <s v="51555701001005"/>
    <n v="-14.43"/>
    <n v="368"/>
    <n v="1"/>
    <n v="1"/>
  </r>
  <r>
    <m/>
    <m/>
    <x v="1"/>
    <s v="51578031001001"/>
    <n v="-11.57"/>
    <n v="295"/>
    <n v="1"/>
    <n v="1"/>
  </r>
  <r>
    <m/>
    <m/>
    <x v="1"/>
    <s v="51593221002002"/>
    <n v="-15.21"/>
    <n v="388"/>
    <n v="1"/>
    <n v="1"/>
  </r>
  <r>
    <m/>
    <m/>
    <x v="1"/>
    <s v="51593291002001"/>
    <n v="-19.61"/>
    <n v="500"/>
    <n v="1"/>
    <n v="1"/>
  </r>
  <r>
    <m/>
    <m/>
    <x v="1"/>
    <s v="51593431001001"/>
    <n v="-24.82"/>
    <n v="633"/>
    <n v="1"/>
    <n v="1"/>
  </r>
  <r>
    <m/>
    <m/>
    <x v="1"/>
    <s v="51618981001001"/>
    <n v="-24.55"/>
    <n v="626"/>
    <n v="1"/>
    <n v="1"/>
  </r>
  <r>
    <m/>
    <m/>
    <x v="1"/>
    <s v="51625911001001"/>
    <n v="-14.27"/>
    <n v="364"/>
    <n v="1"/>
    <n v="1"/>
  </r>
  <r>
    <m/>
    <m/>
    <x v="1"/>
    <s v="51627031001001"/>
    <n v="-11.96"/>
    <n v="305"/>
    <n v="1"/>
    <n v="1"/>
  </r>
  <r>
    <m/>
    <m/>
    <x v="1"/>
    <s v="51957591005001"/>
    <n v="-3.69"/>
    <n v="94"/>
    <n v="1"/>
    <n v="1"/>
  </r>
  <r>
    <m/>
    <m/>
    <x v="1"/>
    <s v="52072198001016"/>
    <n v="-0.55000000000000004"/>
    <n v="14"/>
    <n v="1"/>
    <n v="1"/>
  </r>
  <r>
    <m/>
    <m/>
    <x v="1"/>
    <s v="52072311002001"/>
    <n v="-13.57"/>
    <n v="346"/>
    <n v="1"/>
    <n v="1"/>
  </r>
  <r>
    <m/>
    <m/>
    <x v="1"/>
    <s v="52219018001001"/>
    <n v="-2.63"/>
    <n v="67"/>
    <n v="1"/>
    <n v="1"/>
  </r>
  <r>
    <m/>
    <m/>
    <x v="1"/>
    <s v="52439752001001"/>
    <n v="-10.31"/>
    <n v="263"/>
    <n v="1"/>
    <n v="1"/>
  </r>
  <r>
    <m/>
    <m/>
    <x v="1"/>
    <s v="52553675001011"/>
    <n v="-2.59"/>
    <n v="66"/>
    <n v="1"/>
    <n v="1"/>
  </r>
  <r>
    <m/>
    <m/>
    <x v="1"/>
    <s v="52724555001001"/>
    <n v="-39.840000000000003"/>
    <n v="1016"/>
    <n v="1"/>
    <n v="1"/>
  </r>
  <r>
    <m/>
    <m/>
    <x v="1"/>
    <s v="52815374001001"/>
    <n v="-14.86"/>
    <n v="379"/>
    <n v="1"/>
    <n v="1"/>
  </r>
  <r>
    <m/>
    <m/>
    <x v="1"/>
    <s v="52896992001002"/>
    <n v="-12.47"/>
    <n v="318"/>
    <n v="1"/>
    <n v="1"/>
  </r>
  <r>
    <m/>
    <m/>
    <x v="1"/>
    <s v="53059671003001"/>
    <n v="-24.62"/>
    <n v="628"/>
    <n v="1"/>
    <n v="1"/>
  </r>
  <r>
    <m/>
    <m/>
    <x v="1"/>
    <s v="53077277001001"/>
    <n v="-14.98"/>
    <n v="382"/>
    <n v="1"/>
    <n v="1"/>
  </r>
  <r>
    <m/>
    <m/>
    <x v="1"/>
    <s v="53090223001005"/>
    <n v="-0.63"/>
    <n v="16"/>
    <n v="1"/>
    <n v="1"/>
  </r>
  <r>
    <m/>
    <m/>
    <x v="1"/>
    <s v="53108976001002"/>
    <n v="-13.45"/>
    <n v="343"/>
    <n v="1"/>
    <n v="1"/>
  </r>
  <r>
    <m/>
    <m/>
    <x v="1"/>
    <s v="53180045001003"/>
    <n v="-25.33"/>
    <n v="646"/>
    <n v="1"/>
    <n v="1"/>
  </r>
  <r>
    <m/>
    <m/>
    <x v="1"/>
    <s v="53425442001001"/>
    <n v="-7.96"/>
    <n v="203"/>
    <n v="1"/>
    <n v="1"/>
  </r>
  <r>
    <m/>
    <m/>
    <x v="1"/>
    <s v="53681358001002"/>
    <n v="-8.08"/>
    <n v="206"/>
    <n v="1"/>
    <n v="1"/>
  </r>
  <r>
    <m/>
    <m/>
    <x v="1"/>
    <s v="53697250001001"/>
    <n v="-9.25"/>
    <n v="236"/>
    <n v="1"/>
    <n v="1"/>
  </r>
  <r>
    <m/>
    <m/>
    <x v="1"/>
    <s v="53904570007001"/>
    <n v="-2.16"/>
    <n v="55"/>
    <n v="1"/>
    <n v="1"/>
  </r>
  <r>
    <m/>
    <m/>
    <x v="1"/>
    <s v="53915118004001"/>
    <n v="-9.06"/>
    <n v="231"/>
    <n v="1"/>
    <n v="1"/>
  </r>
  <r>
    <m/>
    <m/>
    <x v="1"/>
    <s v="54019982001004"/>
    <n v="-32.39"/>
    <n v="826"/>
    <n v="1"/>
    <n v="1"/>
  </r>
  <r>
    <m/>
    <m/>
    <x v="1"/>
    <s v="54146036001001"/>
    <n v="-0.63"/>
    <n v="16"/>
    <n v="1"/>
    <n v="1"/>
  </r>
  <r>
    <m/>
    <m/>
    <x v="1"/>
    <s v="54555658001004"/>
    <n v="-58.66"/>
    <n v="1496"/>
    <n v="1"/>
    <n v="1"/>
  </r>
  <r>
    <m/>
    <m/>
    <x v="1"/>
    <s v="54781310001002"/>
    <n v="-38.74"/>
    <n v="988"/>
    <n v="1"/>
    <n v="1"/>
  </r>
  <r>
    <m/>
    <m/>
    <x v="1"/>
    <s v="54915640001001"/>
    <n v="-0.51"/>
    <n v="13"/>
    <n v="1"/>
    <n v="1"/>
  </r>
  <r>
    <m/>
    <m/>
    <x v="1"/>
    <s v="55036747001002"/>
    <n v="-2.67"/>
    <n v="68"/>
    <n v="1"/>
    <n v="1"/>
  </r>
  <r>
    <m/>
    <m/>
    <x v="1"/>
    <s v="55116401001003"/>
    <n v="-6.59"/>
    <n v="168"/>
    <n v="1"/>
    <n v="1"/>
  </r>
  <r>
    <m/>
    <m/>
    <x v="1"/>
    <s v="55208319002001"/>
    <n v="-4.2300000000000004"/>
    <n v="108"/>
    <n v="1"/>
    <n v="1"/>
  </r>
  <r>
    <m/>
    <m/>
    <x v="1"/>
    <s v="55514801001013"/>
    <n v="-0.51"/>
    <n v="13"/>
    <n v="1"/>
    <n v="1"/>
  </r>
  <r>
    <m/>
    <m/>
    <x v="1"/>
    <s v="55534974001003"/>
    <n v="-4.71"/>
    <n v="120"/>
    <n v="1"/>
    <n v="1"/>
  </r>
  <r>
    <m/>
    <m/>
    <x v="1"/>
    <s v="55598081001003"/>
    <n v="-3.45"/>
    <n v="88"/>
    <n v="1"/>
    <n v="1"/>
  </r>
  <r>
    <m/>
    <m/>
    <x v="1"/>
    <s v="55776761001013"/>
    <n v="-1.57"/>
    <n v="40"/>
    <n v="1"/>
    <n v="1"/>
  </r>
  <r>
    <m/>
    <m/>
    <x v="1"/>
    <s v="55791936001001"/>
    <n v="-2.39"/>
    <n v="61"/>
    <n v="1"/>
    <n v="1"/>
  </r>
  <r>
    <m/>
    <m/>
    <x v="1"/>
    <s v="55852549001005"/>
    <n v="-19.920000000000002"/>
    <n v="508"/>
    <n v="1"/>
    <n v="1"/>
  </r>
  <r>
    <m/>
    <m/>
    <x v="1"/>
    <s v="56051310004001"/>
    <n v="-0.59"/>
    <n v="15"/>
    <n v="1"/>
    <n v="1"/>
  </r>
  <r>
    <m/>
    <m/>
    <x v="1"/>
    <s v="56272890001001"/>
    <n v="-2.5499999999999998"/>
    <n v="65"/>
    <n v="1"/>
    <n v="1"/>
  </r>
  <r>
    <m/>
    <m/>
    <x v="1"/>
    <s v="56308644001003"/>
    <n v="-27.68"/>
    <n v="706"/>
    <n v="1"/>
    <n v="1"/>
  </r>
  <r>
    <m/>
    <m/>
    <x v="1"/>
    <s v="56463265001003"/>
    <n v="-0.43"/>
    <n v="11"/>
    <n v="1"/>
    <n v="1"/>
  </r>
  <r>
    <m/>
    <m/>
    <x v="1"/>
    <s v="56604939001001"/>
    <n v="-11.92"/>
    <n v="304"/>
    <n v="1"/>
    <n v="1"/>
  </r>
  <r>
    <m/>
    <m/>
    <x v="1"/>
    <s v="56726418001010"/>
    <n v="-0.82"/>
    <n v="21"/>
    <n v="1"/>
    <n v="1"/>
  </r>
  <r>
    <m/>
    <m/>
    <x v="1"/>
    <s v="56745375001001"/>
    <n v="-10.35"/>
    <n v="264"/>
    <n v="1"/>
    <n v="1"/>
  </r>
  <r>
    <m/>
    <m/>
    <x v="1"/>
    <s v="56940246001005"/>
    <n v="-2.08"/>
    <n v="53"/>
    <n v="1"/>
    <n v="1"/>
  </r>
  <r>
    <m/>
    <m/>
    <x v="1"/>
    <s v="56979825001002"/>
    <n v="-0.55000000000000004"/>
    <n v="14"/>
    <n v="1"/>
    <n v="1"/>
  </r>
  <r>
    <m/>
    <m/>
    <x v="1"/>
    <s v="57425690001002"/>
    <n v="-2.63"/>
    <n v="67"/>
    <n v="1"/>
    <n v="1"/>
  </r>
  <r>
    <m/>
    <m/>
    <x v="1"/>
    <s v="57455935001001"/>
    <n v="-7.33"/>
    <n v="187"/>
    <n v="1"/>
    <n v="1"/>
  </r>
  <r>
    <m/>
    <m/>
    <x v="1"/>
    <s v="57629831001001"/>
    <n v="-1.65"/>
    <n v="42"/>
    <n v="1"/>
    <n v="1"/>
  </r>
  <r>
    <m/>
    <m/>
    <x v="1"/>
    <s v="57767872001003"/>
    <n v="-20.78"/>
    <n v="530"/>
    <n v="1"/>
    <n v="1"/>
  </r>
  <r>
    <m/>
    <m/>
    <x v="1"/>
    <s v="57808945004001"/>
    <n v="-3.8"/>
    <n v="97"/>
    <n v="1"/>
    <n v="1"/>
  </r>
  <r>
    <m/>
    <m/>
    <x v="1"/>
    <s v="57810254001002"/>
    <n v="-10.27"/>
    <n v="262"/>
    <n v="1"/>
    <n v="1"/>
  </r>
  <r>
    <m/>
    <m/>
    <x v="1"/>
    <s v="58035525001001"/>
    <n v="-0.67"/>
    <n v="17"/>
    <n v="1"/>
    <n v="1"/>
  </r>
  <r>
    <m/>
    <m/>
    <x v="1"/>
    <s v="58161623001001"/>
    <n v="-4.63"/>
    <n v="118"/>
    <n v="1"/>
    <n v="1"/>
  </r>
  <r>
    <m/>
    <m/>
    <x v="1"/>
    <s v="58195945001003"/>
    <n v="-15.37"/>
    <n v="392"/>
    <n v="1"/>
    <n v="1"/>
  </r>
  <r>
    <m/>
    <m/>
    <x v="1"/>
    <s v="58413059001001"/>
    <n v="-3.49"/>
    <n v="89"/>
    <n v="1"/>
    <n v="1"/>
  </r>
  <r>
    <m/>
    <m/>
    <x v="1"/>
    <s v="58584299001003"/>
    <n v="-0.39"/>
    <n v="10"/>
    <n v="1"/>
    <n v="1"/>
  </r>
  <r>
    <m/>
    <m/>
    <x v="1"/>
    <s v="58619499001001"/>
    <n v="-20.23"/>
    <n v="516"/>
    <n v="1"/>
    <n v="1"/>
  </r>
  <r>
    <m/>
    <m/>
    <x v="1"/>
    <s v="58708783001003"/>
    <n v="-31.49"/>
    <n v="803"/>
    <n v="1"/>
    <n v="1"/>
  </r>
  <r>
    <m/>
    <m/>
    <x v="1"/>
    <s v="58743642001003"/>
    <n v="-4.63"/>
    <n v="118"/>
    <n v="1"/>
    <n v="1"/>
  </r>
  <r>
    <m/>
    <m/>
    <x v="1"/>
    <s v="58785514001003"/>
    <n v="-5.69"/>
    <n v="145"/>
    <n v="1"/>
    <n v="1"/>
  </r>
  <r>
    <m/>
    <m/>
    <x v="1"/>
    <s v="58876732001003"/>
    <n v="-11.57"/>
    <n v="295"/>
    <n v="1"/>
    <n v="1"/>
  </r>
  <r>
    <m/>
    <m/>
    <x v="1"/>
    <s v="59053011001001"/>
    <n v="-0.47"/>
    <n v="12"/>
    <n v="1"/>
    <n v="1"/>
  </r>
  <r>
    <m/>
    <m/>
    <x v="1"/>
    <s v="59304140001003"/>
    <n v="-2.39"/>
    <n v="61"/>
    <n v="1"/>
    <n v="1"/>
  </r>
  <r>
    <m/>
    <m/>
    <x v="1"/>
    <s v="59368767004001"/>
    <n v="-17.88"/>
    <n v="456"/>
    <n v="1"/>
    <n v="1"/>
  </r>
  <r>
    <m/>
    <m/>
    <x v="1"/>
    <s v="59553713001001"/>
    <n v="-14.74"/>
    <n v="376"/>
    <n v="1"/>
    <n v="1"/>
  </r>
  <r>
    <m/>
    <m/>
    <x v="1"/>
    <s v="59576593002002"/>
    <n v="-12.31"/>
    <n v="314"/>
    <n v="1"/>
    <n v="1"/>
  </r>
  <r>
    <m/>
    <m/>
    <x v="1"/>
    <s v="59657734001001"/>
    <n v="-31.41"/>
    <n v="801"/>
    <n v="1"/>
    <n v="1"/>
  </r>
  <r>
    <m/>
    <m/>
    <x v="1"/>
    <s v="59739422001001"/>
    <n v="-1.92"/>
    <n v="49"/>
    <n v="1"/>
    <n v="1"/>
  </r>
  <r>
    <m/>
    <m/>
    <x v="1"/>
    <s v="59766552006003"/>
    <n v="-6.55"/>
    <n v="167"/>
    <n v="1"/>
    <n v="1"/>
  </r>
  <r>
    <m/>
    <m/>
    <x v="1"/>
    <s v="60000842001003"/>
    <n v="-0.2"/>
    <n v="5"/>
    <n v="1"/>
    <n v="1"/>
  </r>
  <r>
    <m/>
    <m/>
    <x v="1"/>
    <s v="60176479001001"/>
    <n v="-2.86"/>
    <n v="73"/>
    <n v="1"/>
    <n v="1"/>
  </r>
  <r>
    <m/>
    <m/>
    <x v="1"/>
    <s v="60327049001006"/>
    <n v="-11.8"/>
    <n v="301"/>
    <n v="1"/>
    <n v="1"/>
  </r>
  <r>
    <m/>
    <m/>
    <x v="1"/>
    <s v="60460345001001"/>
    <n v="-1.88"/>
    <n v="48"/>
    <n v="1"/>
    <n v="1"/>
  </r>
  <r>
    <m/>
    <m/>
    <x v="1"/>
    <s v="60469517001003"/>
    <n v="-17.100000000000001"/>
    <n v="436"/>
    <n v="1"/>
    <n v="1"/>
  </r>
  <r>
    <m/>
    <m/>
    <x v="1"/>
    <s v="60623325001001"/>
    <n v="-1.73"/>
    <n v="44"/>
    <n v="1"/>
    <n v="1"/>
  </r>
  <r>
    <m/>
    <m/>
    <x v="1"/>
    <s v="60708476001002"/>
    <n v="-17.29"/>
    <n v="441"/>
    <n v="1"/>
    <n v="1"/>
  </r>
  <r>
    <m/>
    <m/>
    <x v="1"/>
    <s v="60721174001011"/>
    <n v="-11.33"/>
    <n v="289"/>
    <n v="1"/>
    <n v="1"/>
  </r>
  <r>
    <m/>
    <m/>
    <x v="1"/>
    <s v="60784386002004"/>
    <n v="-8.19"/>
    <n v="209"/>
    <n v="1"/>
    <n v="1"/>
  </r>
  <r>
    <m/>
    <m/>
    <x v="1"/>
    <s v="60790565001008"/>
    <n v="-8.6300000000000008"/>
    <n v="220"/>
    <n v="1"/>
    <n v="1"/>
  </r>
  <r>
    <m/>
    <m/>
    <x v="1"/>
    <s v="61054450003001"/>
    <n v="-0.31"/>
    <n v="8"/>
    <n v="1"/>
    <n v="1"/>
  </r>
  <r>
    <m/>
    <m/>
    <x v="1"/>
    <s v="61239947002001"/>
    <n v="-1.18"/>
    <n v="30"/>
    <n v="1"/>
    <n v="1"/>
  </r>
  <r>
    <m/>
    <m/>
    <x v="1"/>
    <s v="61308081001001"/>
    <n v="-17.64"/>
    <n v="450"/>
    <n v="1"/>
    <n v="1"/>
  </r>
  <r>
    <m/>
    <m/>
    <x v="1"/>
    <s v="61432189003001"/>
    <n v="-13.33"/>
    <n v="340"/>
    <n v="1"/>
    <n v="1"/>
  </r>
  <r>
    <m/>
    <m/>
    <x v="1"/>
    <s v="61831600002001"/>
    <n v="-6.51"/>
    <n v="166"/>
    <n v="1"/>
    <n v="1"/>
  </r>
  <r>
    <m/>
    <m/>
    <x v="1"/>
    <s v="61919998001001"/>
    <n v="-0.31"/>
    <n v="8"/>
    <n v="1"/>
    <n v="1"/>
  </r>
  <r>
    <m/>
    <m/>
    <x v="1"/>
    <s v="61959666001001"/>
    <n v="-19.489999999999998"/>
    <n v="497"/>
    <n v="1"/>
    <n v="1"/>
  </r>
  <r>
    <m/>
    <m/>
    <x v="1"/>
    <s v="61995118001001"/>
    <n v="-22.7"/>
    <n v="579"/>
    <n v="1"/>
    <n v="1"/>
  </r>
  <r>
    <m/>
    <m/>
    <x v="1"/>
    <s v="62003086001001"/>
    <n v="-18.27"/>
    <n v="466"/>
    <n v="1"/>
    <n v="1"/>
  </r>
  <r>
    <m/>
    <m/>
    <x v="1"/>
    <s v="62108607001005"/>
    <n v="-48.35"/>
    <n v="1233"/>
    <n v="1"/>
    <n v="1"/>
  </r>
  <r>
    <m/>
    <m/>
    <x v="1"/>
    <s v="62182271001002"/>
    <n v="-8.43"/>
    <n v="215"/>
    <n v="1"/>
    <n v="1"/>
  </r>
  <r>
    <m/>
    <m/>
    <x v="1"/>
    <s v="62268891001001"/>
    <n v="-0.86"/>
    <n v="22"/>
    <n v="1"/>
    <n v="1"/>
  </r>
  <r>
    <m/>
    <m/>
    <x v="1"/>
    <s v="62305746001001"/>
    <n v="-19.37"/>
    <n v="494"/>
    <n v="1"/>
    <n v="1"/>
  </r>
  <r>
    <m/>
    <m/>
    <x v="1"/>
    <s v="62498679001005"/>
    <n v="-1.57"/>
    <n v="40"/>
    <n v="1"/>
    <n v="1"/>
  </r>
  <r>
    <m/>
    <m/>
    <x v="1"/>
    <s v="62878804001007"/>
    <n v="-42.43"/>
    <n v="1082"/>
    <n v="1"/>
    <n v="1"/>
  </r>
  <r>
    <m/>
    <m/>
    <x v="1"/>
    <s v="63172903002001"/>
    <n v="-6.43"/>
    <n v="164"/>
    <n v="1"/>
    <n v="1"/>
  </r>
  <r>
    <m/>
    <m/>
    <x v="1"/>
    <s v="63196464001001"/>
    <n v="-14.78"/>
    <n v="377"/>
    <n v="1"/>
    <n v="1"/>
  </r>
  <r>
    <m/>
    <m/>
    <x v="1"/>
    <s v="63263435001001"/>
    <n v="-5.96"/>
    <n v="152"/>
    <n v="1"/>
    <n v="1"/>
  </r>
  <r>
    <m/>
    <m/>
    <x v="1"/>
    <s v="63412267001001"/>
    <n v="-6.04"/>
    <n v="154"/>
    <n v="1"/>
    <n v="1"/>
  </r>
  <r>
    <m/>
    <m/>
    <x v="1"/>
    <s v="63451251001005"/>
    <n v="-6.23"/>
    <n v="159"/>
    <n v="1"/>
    <n v="1"/>
  </r>
  <r>
    <m/>
    <m/>
    <x v="1"/>
    <s v="63473427001003"/>
    <n v="-3.92"/>
    <n v="100"/>
    <n v="1"/>
    <n v="1"/>
  </r>
  <r>
    <m/>
    <m/>
    <x v="1"/>
    <s v="63681093001001"/>
    <n v="-12.04"/>
    <n v="307"/>
    <n v="1"/>
    <n v="1"/>
  </r>
  <r>
    <m/>
    <m/>
    <x v="1"/>
    <s v="64287131001001"/>
    <n v="-14.39"/>
    <n v="367"/>
    <n v="1"/>
    <n v="1"/>
  </r>
  <r>
    <m/>
    <m/>
    <x v="1"/>
    <s v="64490982003003"/>
    <n v="-19.059999999999999"/>
    <n v="486"/>
    <n v="1"/>
    <n v="1"/>
  </r>
  <r>
    <m/>
    <m/>
    <x v="1"/>
    <s v="64587795001002"/>
    <n v="-13.41"/>
    <n v="342"/>
    <n v="1"/>
    <n v="1"/>
  </r>
  <r>
    <m/>
    <m/>
    <x v="1"/>
    <s v="64653489001002"/>
    <n v="-1.41"/>
    <n v="36"/>
    <n v="1"/>
    <n v="1"/>
  </r>
  <r>
    <m/>
    <m/>
    <x v="1"/>
    <s v="64802495002001"/>
    <n v="-5.29"/>
    <n v="135"/>
    <n v="1"/>
    <n v="1"/>
  </r>
  <r>
    <m/>
    <m/>
    <x v="1"/>
    <s v="64815090001001"/>
    <n v="-6.67"/>
    <n v="170"/>
    <n v="1"/>
    <n v="1"/>
  </r>
  <r>
    <m/>
    <m/>
    <x v="1"/>
    <s v="65039500002003"/>
    <n v="-21.33"/>
    <n v="544"/>
    <n v="1"/>
    <n v="1"/>
  </r>
  <r>
    <m/>
    <m/>
    <x v="1"/>
    <s v="65098964002001"/>
    <n v="-10.27"/>
    <n v="262"/>
    <n v="1"/>
    <n v="1"/>
  </r>
  <r>
    <m/>
    <m/>
    <x v="1"/>
    <s v="65242015001001"/>
    <n v="-1.61"/>
    <n v="41"/>
    <n v="1"/>
    <n v="1"/>
  </r>
  <r>
    <m/>
    <m/>
    <x v="1"/>
    <s v="65270935001002"/>
    <n v="-12.94"/>
    <n v="330"/>
    <n v="1"/>
    <n v="1"/>
  </r>
  <r>
    <m/>
    <m/>
    <x v="1"/>
    <s v="65413433002003"/>
    <n v="-3.29"/>
    <n v="84"/>
    <n v="1"/>
    <n v="1"/>
  </r>
  <r>
    <m/>
    <m/>
    <x v="1"/>
    <s v="65447350001002"/>
    <n v="-0.43"/>
    <n v="11"/>
    <n v="1"/>
    <n v="1"/>
  </r>
  <r>
    <m/>
    <m/>
    <x v="1"/>
    <s v="65474469002008"/>
    <n v="-10.51"/>
    <n v="268"/>
    <n v="1"/>
    <n v="1"/>
  </r>
  <r>
    <m/>
    <m/>
    <x v="1"/>
    <s v="65633759005001"/>
    <n v="-4.74"/>
    <n v="121"/>
    <n v="1"/>
    <n v="1"/>
  </r>
  <r>
    <m/>
    <m/>
    <x v="1"/>
    <s v="65715070001005"/>
    <n v="-9.25"/>
    <n v="236"/>
    <n v="1"/>
    <n v="1"/>
  </r>
  <r>
    <m/>
    <m/>
    <x v="1"/>
    <s v="65734956001007"/>
    <n v="-12.9"/>
    <n v="329"/>
    <n v="1"/>
    <n v="1"/>
  </r>
  <r>
    <m/>
    <m/>
    <x v="1"/>
    <s v="65798712001005"/>
    <n v="-15.92"/>
    <n v="406"/>
    <n v="1"/>
    <n v="1"/>
  </r>
  <r>
    <m/>
    <m/>
    <x v="1"/>
    <s v="65818545001003"/>
    <n v="-13.33"/>
    <n v="340"/>
    <n v="1"/>
    <n v="1"/>
  </r>
  <r>
    <m/>
    <m/>
    <x v="1"/>
    <s v="65819822001006"/>
    <n v="-29.37"/>
    <n v="749"/>
    <n v="1"/>
    <n v="1"/>
  </r>
  <r>
    <m/>
    <m/>
    <x v="1"/>
    <s v="66154595001001"/>
    <n v="-3.1"/>
    <n v="79"/>
    <n v="1"/>
    <n v="1"/>
  </r>
  <r>
    <m/>
    <m/>
    <x v="1"/>
    <s v="66219418001001"/>
    <n v="-13.21"/>
    <n v="337"/>
    <n v="1"/>
    <n v="1"/>
  </r>
  <r>
    <m/>
    <m/>
    <x v="1"/>
    <s v="66682187001003"/>
    <n v="-16.66"/>
    <n v="425"/>
    <n v="1"/>
    <n v="1"/>
  </r>
  <r>
    <m/>
    <m/>
    <x v="1"/>
    <s v="66809061002005"/>
    <n v="-1.65"/>
    <n v="42"/>
    <n v="1"/>
    <n v="1"/>
  </r>
  <r>
    <m/>
    <m/>
    <x v="1"/>
    <s v="66942119001003"/>
    <n v="-2.08"/>
    <n v="53"/>
    <n v="1"/>
    <n v="1"/>
  </r>
  <r>
    <m/>
    <m/>
    <x v="1"/>
    <s v="67267992001001"/>
    <n v="-9.3699999999999992"/>
    <n v="239"/>
    <n v="1"/>
    <n v="1"/>
  </r>
  <r>
    <m/>
    <m/>
    <x v="1"/>
    <s v="67361765001002"/>
    <n v="-11.65"/>
    <n v="297"/>
    <n v="1"/>
    <n v="1"/>
  </r>
  <r>
    <m/>
    <m/>
    <x v="1"/>
    <s v="67563007001003"/>
    <n v="-47.64"/>
    <n v="1215"/>
    <n v="1"/>
    <n v="1"/>
  </r>
  <r>
    <m/>
    <m/>
    <x v="1"/>
    <s v="68003161001002"/>
    <n v="-14.47"/>
    <n v="369"/>
    <n v="1"/>
    <n v="1"/>
  </r>
  <r>
    <m/>
    <m/>
    <x v="1"/>
    <s v="68146157001004"/>
    <n v="-8.0399999999999991"/>
    <n v="205"/>
    <n v="1"/>
    <n v="1"/>
  </r>
  <r>
    <m/>
    <m/>
    <x v="1"/>
    <s v="68156471001004"/>
    <n v="-3.02"/>
    <n v="77"/>
    <n v="1"/>
    <n v="1"/>
  </r>
  <r>
    <m/>
    <m/>
    <x v="1"/>
    <s v="68338933001001"/>
    <n v="-31.92"/>
    <n v="814"/>
    <n v="1"/>
    <n v="1"/>
  </r>
  <r>
    <m/>
    <m/>
    <x v="1"/>
    <s v="68419291001001"/>
    <n v="-28.74"/>
    <n v="733"/>
    <n v="1"/>
    <n v="1"/>
  </r>
  <r>
    <m/>
    <m/>
    <x v="1"/>
    <s v="68453365001003"/>
    <n v="-0.39"/>
    <n v="10"/>
    <n v="1"/>
    <n v="1"/>
  </r>
  <r>
    <m/>
    <m/>
    <x v="1"/>
    <s v="68471539001001"/>
    <n v="-0.43"/>
    <n v="11"/>
    <n v="1"/>
    <n v="1"/>
  </r>
  <r>
    <m/>
    <m/>
    <x v="1"/>
    <s v="68562129001001"/>
    <n v="-20.7"/>
    <n v="528"/>
    <n v="1"/>
    <n v="1"/>
  </r>
  <r>
    <m/>
    <m/>
    <x v="1"/>
    <s v="68711288001003"/>
    <n v="-0.55000000000000004"/>
    <n v="14"/>
    <n v="1"/>
    <n v="1"/>
  </r>
  <r>
    <m/>
    <m/>
    <x v="1"/>
    <s v="68836312001001"/>
    <n v="-1.41"/>
    <n v="36"/>
    <n v="1"/>
    <n v="1"/>
  </r>
  <r>
    <m/>
    <m/>
    <x v="1"/>
    <s v="68894705001001"/>
    <n v="-6"/>
    <n v="153"/>
    <n v="1"/>
    <n v="1"/>
  </r>
  <r>
    <m/>
    <m/>
    <x v="1"/>
    <s v="68970693005001"/>
    <n v="-34.43"/>
    <n v="878"/>
    <n v="1"/>
    <n v="1"/>
  </r>
  <r>
    <m/>
    <m/>
    <x v="1"/>
    <s v="69170739001001"/>
    <n v="-0.86"/>
    <n v="22"/>
    <n v="1"/>
    <n v="1"/>
  </r>
  <r>
    <m/>
    <m/>
    <x v="1"/>
    <s v="69182870001007"/>
    <n v="-22.11"/>
    <n v="564"/>
    <n v="1"/>
    <n v="1"/>
  </r>
  <r>
    <m/>
    <m/>
    <x v="1"/>
    <s v="69208025001001"/>
    <n v="-2.5499999999999998"/>
    <n v="65"/>
    <n v="1"/>
    <n v="1"/>
  </r>
  <r>
    <m/>
    <m/>
    <x v="1"/>
    <s v="69340720001002"/>
    <n v="-6.23"/>
    <n v="159"/>
    <n v="1"/>
    <n v="1"/>
  </r>
  <r>
    <m/>
    <m/>
    <x v="1"/>
    <s v="69343800002003"/>
    <n v="-5.53"/>
    <n v="141"/>
    <n v="1"/>
    <n v="1"/>
  </r>
  <r>
    <m/>
    <m/>
    <x v="1"/>
    <s v="69443775003001"/>
    <n v="-1.1000000000000001"/>
    <n v="28"/>
    <n v="1"/>
    <n v="1"/>
  </r>
  <r>
    <m/>
    <m/>
    <x v="1"/>
    <s v="69542400001002"/>
    <n v="-7.72"/>
    <n v="197"/>
    <n v="1"/>
    <n v="1"/>
  </r>
  <r>
    <m/>
    <m/>
    <x v="1"/>
    <s v="69570598001001"/>
    <n v="-32.47"/>
    <n v="828"/>
    <n v="1"/>
    <n v="1"/>
  </r>
  <r>
    <m/>
    <m/>
    <x v="1"/>
    <s v="69596317004001"/>
    <n v="-1.06"/>
    <n v="27"/>
    <n v="1"/>
    <n v="1"/>
  </r>
  <r>
    <m/>
    <m/>
    <x v="1"/>
    <s v="69704870003001"/>
    <n v="-44.19"/>
    <n v="1127"/>
    <n v="1"/>
    <n v="1"/>
  </r>
  <r>
    <m/>
    <m/>
    <x v="1"/>
    <s v="69738947001007"/>
    <n v="-5.0999999999999996"/>
    <n v="130"/>
    <n v="1"/>
    <n v="1"/>
  </r>
  <r>
    <m/>
    <m/>
    <x v="1"/>
    <s v="69851222003003"/>
    <n v="-10.59"/>
    <n v="270"/>
    <n v="1"/>
    <n v="1"/>
  </r>
  <r>
    <m/>
    <m/>
    <x v="1"/>
    <s v="69906946003001"/>
    <n v="-6.31"/>
    <n v="161"/>
    <n v="1"/>
    <n v="1"/>
  </r>
  <r>
    <m/>
    <m/>
    <x v="1"/>
    <s v="69952866001005"/>
    <n v="-4"/>
    <n v="102"/>
    <n v="1"/>
    <n v="1"/>
  </r>
  <r>
    <m/>
    <m/>
    <x v="1"/>
    <s v="70272425001001"/>
    <n v="-57.36"/>
    <n v="1463"/>
    <n v="1"/>
    <n v="1"/>
  </r>
  <r>
    <m/>
    <m/>
    <x v="1"/>
    <s v="70273911001001"/>
    <n v="-13.45"/>
    <n v="343"/>
    <n v="1"/>
    <n v="1"/>
  </r>
  <r>
    <m/>
    <m/>
    <x v="1"/>
    <s v="70449132003001"/>
    <n v="-6"/>
    <n v="153"/>
    <n v="1"/>
    <n v="1"/>
  </r>
  <r>
    <m/>
    <m/>
    <x v="1"/>
    <s v="70483477001001"/>
    <n v="-33.25"/>
    <n v="848"/>
    <n v="1"/>
    <n v="1"/>
  </r>
  <r>
    <m/>
    <m/>
    <x v="1"/>
    <s v="70566844001001"/>
    <n v="-13.61"/>
    <n v="347"/>
    <n v="1"/>
    <n v="1"/>
  </r>
  <r>
    <m/>
    <m/>
    <x v="1"/>
    <s v="70863501002003"/>
    <n v="-17.920000000000002"/>
    <n v="457"/>
    <n v="1"/>
    <n v="1"/>
  </r>
  <r>
    <m/>
    <m/>
    <x v="1"/>
    <s v="70912414004001"/>
    <n v="-22.98"/>
    <n v="586"/>
    <n v="1"/>
    <n v="1"/>
  </r>
  <r>
    <m/>
    <m/>
    <x v="1"/>
    <s v="70915951001003"/>
    <n v="-5.18"/>
    <n v="132"/>
    <n v="1"/>
    <n v="1"/>
  </r>
  <r>
    <m/>
    <m/>
    <x v="1"/>
    <s v="71069064001004"/>
    <n v="-21.06"/>
    <n v="537"/>
    <n v="1"/>
    <n v="1"/>
  </r>
  <r>
    <m/>
    <m/>
    <x v="1"/>
    <s v="71222085003001"/>
    <n v="-16.940000000000001"/>
    <n v="432"/>
    <n v="1"/>
    <n v="1"/>
  </r>
  <r>
    <m/>
    <m/>
    <x v="1"/>
    <s v="71274854001001"/>
    <n v="-3.57"/>
    <n v="91"/>
    <n v="1"/>
    <n v="1"/>
  </r>
  <r>
    <m/>
    <m/>
    <x v="1"/>
    <s v="71348793001001"/>
    <n v="-9.2100000000000009"/>
    <n v="235"/>
    <n v="1"/>
    <n v="1"/>
  </r>
  <r>
    <m/>
    <m/>
    <x v="1"/>
    <s v="71360086001001"/>
    <n v="-0.04"/>
    <n v="1"/>
    <n v="1"/>
    <n v="1"/>
  </r>
  <r>
    <m/>
    <m/>
    <x v="1"/>
    <s v="71575625001001"/>
    <n v="-5.76"/>
    <n v="147"/>
    <n v="1"/>
    <n v="1"/>
  </r>
  <r>
    <m/>
    <m/>
    <x v="1"/>
    <s v="71625176001001"/>
    <n v="-3.06"/>
    <n v="78"/>
    <n v="1"/>
    <n v="1"/>
  </r>
  <r>
    <m/>
    <m/>
    <x v="1"/>
    <s v="71771733001003"/>
    <n v="-25.6"/>
    <n v="653"/>
    <n v="1"/>
    <n v="1"/>
  </r>
  <r>
    <m/>
    <m/>
    <x v="1"/>
    <s v="71822800001001"/>
    <n v="-1.88"/>
    <n v="48"/>
    <n v="1"/>
    <n v="1"/>
  </r>
  <r>
    <m/>
    <m/>
    <x v="1"/>
    <s v="71835065001003"/>
    <n v="-1.02"/>
    <n v="26"/>
    <n v="1"/>
    <n v="1"/>
  </r>
  <r>
    <m/>
    <m/>
    <x v="1"/>
    <s v="71968164001001"/>
    <n v="-8.39"/>
    <n v="214"/>
    <n v="1"/>
    <n v="1"/>
  </r>
  <r>
    <m/>
    <m/>
    <x v="1"/>
    <s v="71983541001003"/>
    <n v="-0.63"/>
    <n v="16"/>
    <n v="1"/>
    <n v="1"/>
  </r>
  <r>
    <m/>
    <m/>
    <x v="1"/>
    <s v="72255939001003"/>
    <n v="-3.18"/>
    <n v="81"/>
    <n v="1"/>
    <n v="1"/>
  </r>
  <r>
    <m/>
    <m/>
    <x v="1"/>
    <s v="72414106001007"/>
    <n v="-8.6300000000000008"/>
    <n v="220"/>
    <n v="1"/>
    <n v="1"/>
  </r>
  <r>
    <m/>
    <m/>
    <x v="1"/>
    <s v="73073162002001"/>
    <n v="-2.74"/>
    <n v="70"/>
    <n v="1"/>
    <n v="1"/>
  </r>
  <r>
    <m/>
    <m/>
    <x v="1"/>
    <s v="73183338001003"/>
    <n v="-0.63"/>
    <n v="16"/>
    <n v="1"/>
    <n v="1"/>
  </r>
  <r>
    <m/>
    <m/>
    <x v="1"/>
    <s v="73183610001001"/>
    <n v="-24"/>
    <n v="612"/>
    <n v="1"/>
    <n v="1"/>
  </r>
  <r>
    <m/>
    <m/>
    <x v="1"/>
    <s v="73241290002003"/>
    <n v="-14.51"/>
    <n v="370"/>
    <n v="1"/>
    <n v="1"/>
  </r>
  <r>
    <m/>
    <m/>
    <x v="1"/>
    <s v="73496965001001"/>
    <n v="-21.37"/>
    <n v="545"/>
    <n v="1"/>
    <n v="1"/>
  </r>
  <r>
    <m/>
    <m/>
    <x v="1"/>
    <s v="73587213002004"/>
    <n v="-14.35"/>
    <n v="366"/>
    <n v="1"/>
    <n v="1"/>
  </r>
  <r>
    <m/>
    <m/>
    <x v="1"/>
    <s v="73758151001001"/>
    <n v="-28.74"/>
    <n v="733"/>
    <n v="1"/>
    <n v="1"/>
  </r>
  <r>
    <m/>
    <m/>
    <x v="1"/>
    <s v="73949590004003"/>
    <n v="-14.59"/>
    <n v="372"/>
    <n v="1"/>
    <n v="1"/>
  </r>
  <r>
    <m/>
    <m/>
    <x v="1"/>
    <s v="74187446001006"/>
    <n v="-0.71"/>
    <n v="18"/>
    <n v="1"/>
    <n v="1"/>
  </r>
  <r>
    <m/>
    <m/>
    <x v="1"/>
    <s v="74321348001004"/>
    <n v="-17.920000000000002"/>
    <n v="457"/>
    <n v="1"/>
    <n v="1"/>
  </r>
  <r>
    <m/>
    <m/>
    <x v="1"/>
    <s v="74446426001001"/>
    <n v="-11.02"/>
    <n v="281"/>
    <n v="1"/>
    <n v="1"/>
  </r>
  <r>
    <m/>
    <m/>
    <x v="1"/>
    <s v="74844196001001"/>
    <n v="-24.51"/>
    <n v="625"/>
    <n v="1"/>
    <n v="1"/>
  </r>
  <r>
    <m/>
    <m/>
    <x v="1"/>
    <s v="74962988001001"/>
    <n v="-11.76"/>
    <n v="300"/>
    <n v="1"/>
    <n v="1"/>
  </r>
  <r>
    <m/>
    <m/>
    <x v="1"/>
    <s v="75379491002001"/>
    <n v="-22.04"/>
    <n v="562"/>
    <n v="1"/>
    <n v="1"/>
  </r>
  <r>
    <m/>
    <m/>
    <x v="1"/>
    <s v="75448417001001"/>
    <n v="-6.63"/>
    <n v="169"/>
    <n v="1"/>
    <n v="1"/>
  </r>
  <r>
    <m/>
    <m/>
    <x v="1"/>
    <s v="75487883001003"/>
    <n v="-9.49"/>
    <n v="242"/>
    <n v="1"/>
    <n v="1"/>
  </r>
  <r>
    <m/>
    <m/>
    <x v="1"/>
    <s v="75591553001001"/>
    <n v="-2.98"/>
    <n v="76"/>
    <n v="1"/>
    <n v="1"/>
  </r>
  <r>
    <m/>
    <m/>
    <x v="1"/>
    <s v="75962811001001"/>
    <n v="-0.39"/>
    <n v="10"/>
    <n v="1"/>
    <n v="1"/>
  </r>
  <r>
    <m/>
    <m/>
    <x v="1"/>
    <s v="76051640001005"/>
    <n v="-1.25"/>
    <n v="32"/>
    <n v="1"/>
    <n v="1"/>
  </r>
  <r>
    <m/>
    <m/>
    <x v="1"/>
    <s v="76207699002001"/>
    <n v="-1.18"/>
    <n v="30"/>
    <n v="1"/>
    <n v="1"/>
  </r>
  <r>
    <m/>
    <m/>
    <x v="1"/>
    <s v="76419170001003"/>
    <n v="-2.71"/>
    <n v="69"/>
    <n v="1"/>
    <n v="1"/>
  </r>
  <r>
    <m/>
    <m/>
    <x v="1"/>
    <s v="77034079001001"/>
    <n v="-9.3699999999999992"/>
    <n v="239"/>
    <n v="1"/>
    <n v="1"/>
  </r>
  <r>
    <m/>
    <m/>
    <x v="1"/>
    <s v="77104713001006"/>
    <n v="-12"/>
    <n v="306"/>
    <n v="1"/>
    <n v="1"/>
  </r>
  <r>
    <m/>
    <m/>
    <x v="1"/>
    <s v="77431809001004"/>
    <n v="-2.74"/>
    <n v="70"/>
    <n v="1"/>
    <n v="1"/>
  </r>
  <r>
    <m/>
    <m/>
    <x v="1"/>
    <s v="77456701001001"/>
    <n v="-15.02"/>
    <n v="383"/>
    <n v="1"/>
    <n v="1"/>
  </r>
  <r>
    <m/>
    <m/>
    <x v="1"/>
    <s v="77469310001005"/>
    <n v="-15.37"/>
    <n v="392"/>
    <n v="1"/>
    <n v="1"/>
  </r>
  <r>
    <m/>
    <m/>
    <x v="1"/>
    <s v="77538150006001"/>
    <n v="-22.11"/>
    <n v="564"/>
    <n v="1"/>
    <n v="1"/>
  </r>
  <r>
    <m/>
    <m/>
    <x v="1"/>
    <s v="77860128001001"/>
    <n v="-21.57"/>
    <n v="550"/>
    <n v="1"/>
    <n v="1"/>
  </r>
  <r>
    <m/>
    <m/>
    <x v="1"/>
    <s v="77965745001001"/>
    <n v="-9.14"/>
    <n v="233"/>
    <n v="1"/>
    <n v="1"/>
  </r>
  <r>
    <m/>
    <m/>
    <x v="1"/>
    <s v="78002899002002"/>
    <n v="-35.090000000000003"/>
    <n v="895"/>
    <n v="1"/>
    <n v="1"/>
  </r>
  <r>
    <m/>
    <m/>
    <x v="1"/>
    <s v="78040116001002"/>
    <n v="-3.49"/>
    <n v="89"/>
    <n v="1"/>
    <n v="1"/>
  </r>
  <r>
    <m/>
    <m/>
    <x v="1"/>
    <s v="78107039001001"/>
    <n v="-5.61"/>
    <n v="143"/>
    <n v="1"/>
    <n v="1"/>
  </r>
  <r>
    <m/>
    <m/>
    <x v="1"/>
    <s v="78257483004003"/>
    <n v="-5.61"/>
    <n v="143"/>
    <n v="1"/>
    <n v="1"/>
  </r>
  <r>
    <m/>
    <m/>
    <x v="1"/>
    <s v="78305476001002"/>
    <n v="-8.67"/>
    <n v="221"/>
    <n v="1"/>
    <n v="1"/>
  </r>
  <r>
    <m/>
    <m/>
    <x v="1"/>
    <s v="78360766001001"/>
    <n v="-59.72"/>
    <n v="1523"/>
    <n v="1"/>
    <n v="1"/>
  </r>
  <r>
    <m/>
    <m/>
    <x v="1"/>
    <s v="78415920003009"/>
    <n v="-3.65"/>
    <n v="93"/>
    <n v="1"/>
    <n v="1"/>
  </r>
  <r>
    <m/>
    <m/>
    <x v="1"/>
    <s v="78484256001001"/>
    <n v="-2.08"/>
    <n v="53"/>
    <n v="1"/>
    <n v="1"/>
  </r>
  <r>
    <m/>
    <m/>
    <x v="1"/>
    <s v="78610741003005"/>
    <n v="-5.76"/>
    <n v="147"/>
    <n v="1"/>
    <n v="1"/>
  </r>
  <r>
    <m/>
    <m/>
    <x v="1"/>
    <s v="78981033002001"/>
    <n v="-45.21"/>
    <n v="1153"/>
    <n v="1"/>
    <n v="1"/>
  </r>
  <r>
    <m/>
    <m/>
    <x v="1"/>
    <s v="79262329001005"/>
    <n v="-0.16"/>
    <n v="4"/>
    <n v="1"/>
    <n v="1"/>
  </r>
  <r>
    <m/>
    <m/>
    <x v="1"/>
    <s v="79728915002004"/>
    <n v="-3.22"/>
    <n v="82"/>
    <n v="1"/>
    <n v="1"/>
  </r>
  <r>
    <m/>
    <m/>
    <x v="1"/>
    <s v="79876400001001"/>
    <n v="-16.43"/>
    <n v="419"/>
    <n v="1"/>
    <n v="1"/>
  </r>
  <r>
    <m/>
    <m/>
    <x v="1"/>
    <s v="80040145002003"/>
    <n v="-3.14"/>
    <n v="80"/>
    <n v="1"/>
    <n v="1"/>
  </r>
  <r>
    <m/>
    <m/>
    <x v="1"/>
    <s v="80231406001003"/>
    <n v="-25.25"/>
    <n v="644"/>
    <n v="1"/>
    <n v="1"/>
  </r>
  <r>
    <m/>
    <m/>
    <x v="1"/>
    <s v="80579052001003"/>
    <n v="-6.78"/>
    <n v="173"/>
    <n v="1"/>
    <n v="1"/>
  </r>
  <r>
    <m/>
    <m/>
    <x v="1"/>
    <s v="80583516001005"/>
    <n v="-24.94"/>
    <n v="636"/>
    <n v="1"/>
    <n v="1"/>
  </r>
  <r>
    <m/>
    <m/>
    <x v="1"/>
    <s v="80690359001001"/>
    <n v="-1.22"/>
    <n v="31"/>
    <n v="1"/>
    <n v="1"/>
  </r>
  <r>
    <m/>
    <m/>
    <x v="1"/>
    <s v="80691482001003"/>
    <n v="-11.72"/>
    <n v="299"/>
    <n v="1"/>
    <n v="1"/>
  </r>
  <r>
    <m/>
    <m/>
    <x v="1"/>
    <s v="80745052001007"/>
    <n v="-1.53"/>
    <n v="39"/>
    <n v="1"/>
    <n v="1"/>
  </r>
  <r>
    <m/>
    <m/>
    <x v="1"/>
    <s v="81113647002001"/>
    <n v="-8.1199999999999992"/>
    <n v="207"/>
    <n v="1"/>
    <n v="1"/>
  </r>
  <r>
    <m/>
    <m/>
    <x v="1"/>
    <s v="81283750001001"/>
    <n v="-13.68"/>
    <n v="349"/>
    <n v="1"/>
    <n v="1"/>
  </r>
  <r>
    <m/>
    <m/>
    <x v="1"/>
    <s v="81304932001001"/>
    <n v="-7.76"/>
    <n v="198"/>
    <n v="1"/>
    <n v="1"/>
  </r>
  <r>
    <m/>
    <m/>
    <x v="1"/>
    <s v="81337996001001"/>
    <n v="-2.39"/>
    <n v="61"/>
    <n v="1"/>
    <n v="1"/>
  </r>
  <r>
    <m/>
    <m/>
    <x v="1"/>
    <s v="81392055002006"/>
    <n v="-8.35"/>
    <n v="213"/>
    <n v="1"/>
    <n v="1"/>
  </r>
  <r>
    <m/>
    <m/>
    <x v="1"/>
    <s v="81678039001001"/>
    <n v="-0.51"/>
    <n v="13"/>
    <n v="1"/>
    <n v="1"/>
  </r>
  <r>
    <m/>
    <m/>
    <x v="1"/>
    <s v="81890846004001"/>
    <n v="-20.98"/>
    <n v="535"/>
    <n v="1"/>
    <n v="1"/>
  </r>
  <r>
    <m/>
    <m/>
    <x v="1"/>
    <s v="81905257001001"/>
    <n v="-22.51"/>
    <n v="574"/>
    <n v="1"/>
    <n v="1"/>
  </r>
  <r>
    <m/>
    <m/>
    <x v="1"/>
    <s v="82041298001001"/>
    <n v="-5.14"/>
    <n v="131"/>
    <n v="1"/>
    <n v="1"/>
  </r>
  <r>
    <m/>
    <m/>
    <x v="1"/>
    <s v="82061210002003"/>
    <n v="-31.49"/>
    <n v="803"/>
    <n v="1"/>
    <n v="1"/>
  </r>
  <r>
    <m/>
    <m/>
    <x v="1"/>
    <s v="82090212005001"/>
    <n v="-9.4499999999999993"/>
    <n v="241"/>
    <n v="1"/>
    <n v="1"/>
  </r>
  <r>
    <m/>
    <m/>
    <x v="1"/>
    <s v="82301770001003"/>
    <n v="-23.25"/>
    <n v="593"/>
    <n v="1"/>
    <n v="1"/>
  </r>
  <r>
    <m/>
    <m/>
    <x v="1"/>
    <s v="82412634002004"/>
    <n v="-13.72"/>
    <n v="350"/>
    <n v="1"/>
    <n v="1"/>
  </r>
  <r>
    <m/>
    <m/>
    <x v="1"/>
    <s v="82440956001001"/>
    <n v="-0.31"/>
    <n v="8"/>
    <n v="1"/>
    <n v="1"/>
  </r>
  <r>
    <m/>
    <m/>
    <x v="1"/>
    <s v="82467652003001"/>
    <n v="-21.8"/>
    <n v="556"/>
    <n v="1"/>
    <n v="1"/>
  </r>
  <r>
    <m/>
    <m/>
    <x v="1"/>
    <s v="82697231001002"/>
    <n v="-0.31"/>
    <n v="8"/>
    <n v="1"/>
    <n v="1"/>
  </r>
  <r>
    <m/>
    <m/>
    <x v="1"/>
    <s v="82800086001001"/>
    <n v="-0.74"/>
    <n v="19"/>
    <n v="1"/>
    <n v="1"/>
  </r>
  <r>
    <m/>
    <m/>
    <x v="1"/>
    <s v="82877362001001"/>
    <n v="-17.41"/>
    <n v="444"/>
    <n v="1"/>
    <n v="1"/>
  </r>
  <r>
    <m/>
    <m/>
    <x v="1"/>
    <s v="83187563001001"/>
    <n v="-5.92"/>
    <n v="151"/>
    <n v="1"/>
    <n v="1"/>
  </r>
  <r>
    <m/>
    <m/>
    <x v="1"/>
    <s v="83641533002004"/>
    <n v="-22.58"/>
    <n v="576"/>
    <n v="1"/>
    <n v="1"/>
  </r>
  <r>
    <m/>
    <m/>
    <x v="1"/>
    <s v="83648881001001"/>
    <n v="-0.2"/>
    <n v="5"/>
    <n v="1"/>
    <n v="1"/>
  </r>
  <r>
    <m/>
    <m/>
    <x v="1"/>
    <s v="83800275002001"/>
    <n v="-0.39"/>
    <n v="10"/>
    <n v="1"/>
    <n v="1"/>
  </r>
  <r>
    <m/>
    <m/>
    <x v="1"/>
    <s v="84497328001001"/>
    <n v="-12.08"/>
    <n v="308"/>
    <n v="1"/>
    <n v="1"/>
  </r>
  <r>
    <m/>
    <m/>
    <x v="1"/>
    <s v="85023046001005"/>
    <n v="-9.33"/>
    <n v="238"/>
    <n v="1"/>
    <n v="1"/>
  </r>
  <r>
    <m/>
    <m/>
    <x v="1"/>
    <s v="85108950001001"/>
    <n v="-2.27"/>
    <n v="58"/>
    <n v="1"/>
    <n v="1"/>
  </r>
  <r>
    <m/>
    <m/>
    <x v="1"/>
    <s v="85307300001016"/>
    <n v="-6.16"/>
    <n v="157"/>
    <n v="1"/>
    <n v="1"/>
  </r>
  <r>
    <m/>
    <m/>
    <x v="1"/>
    <s v="85316731004002"/>
    <n v="-86.26"/>
    <n v="2200"/>
    <n v="1"/>
    <n v="1"/>
  </r>
  <r>
    <m/>
    <m/>
    <x v="1"/>
    <s v="85590751001003"/>
    <n v="-0.27"/>
    <n v="7"/>
    <n v="1"/>
    <n v="1"/>
  </r>
  <r>
    <m/>
    <m/>
    <x v="1"/>
    <s v="85648933001001"/>
    <n v="-0.59"/>
    <n v="15"/>
    <n v="1"/>
    <n v="1"/>
  </r>
  <r>
    <m/>
    <m/>
    <x v="1"/>
    <s v="85663723001011"/>
    <n v="-0.86"/>
    <n v="22"/>
    <n v="1"/>
    <n v="1"/>
  </r>
  <r>
    <m/>
    <m/>
    <x v="1"/>
    <s v="85877100003003"/>
    <n v="-1.57"/>
    <n v="40"/>
    <n v="1"/>
    <n v="1"/>
  </r>
  <r>
    <m/>
    <m/>
    <x v="1"/>
    <s v="85995109001001"/>
    <n v="-6.7"/>
    <n v="171"/>
    <n v="1"/>
    <n v="1"/>
  </r>
  <r>
    <m/>
    <m/>
    <x v="1"/>
    <s v="86090490001001"/>
    <n v="-16"/>
    <n v="408"/>
    <n v="1"/>
    <n v="1"/>
  </r>
  <r>
    <m/>
    <m/>
    <x v="1"/>
    <s v="86166400001001"/>
    <n v="-12.59"/>
    <n v="321"/>
    <n v="1"/>
    <n v="1"/>
  </r>
  <r>
    <m/>
    <m/>
    <x v="1"/>
    <s v="86307010001002"/>
    <n v="-23.96"/>
    <n v="611"/>
    <n v="1"/>
    <n v="1"/>
  </r>
  <r>
    <m/>
    <m/>
    <x v="1"/>
    <s v="86307411001003"/>
    <n v="-6.2"/>
    <n v="158"/>
    <n v="1"/>
    <n v="1"/>
  </r>
  <r>
    <m/>
    <m/>
    <x v="1"/>
    <s v="86342190001003"/>
    <n v="-1.49"/>
    <n v="38"/>
    <n v="1"/>
    <n v="1"/>
  </r>
  <r>
    <m/>
    <m/>
    <x v="1"/>
    <s v="86363752001001"/>
    <n v="-4.9800000000000004"/>
    <n v="127"/>
    <n v="1"/>
    <n v="1"/>
  </r>
  <r>
    <m/>
    <m/>
    <x v="1"/>
    <s v="86572383001004"/>
    <n v="-3.45"/>
    <n v="88"/>
    <n v="1"/>
    <n v="1"/>
  </r>
  <r>
    <m/>
    <m/>
    <x v="1"/>
    <s v="86709161001013"/>
    <n v="-6.43"/>
    <n v="164"/>
    <n v="1"/>
    <n v="1"/>
  </r>
  <r>
    <m/>
    <m/>
    <x v="1"/>
    <s v="86799046001002"/>
    <n v="-19.84"/>
    <n v="506"/>
    <n v="1"/>
    <n v="1"/>
  </r>
  <r>
    <m/>
    <m/>
    <x v="1"/>
    <s v="86861748001005"/>
    <n v="-13.61"/>
    <n v="347"/>
    <n v="1"/>
    <n v="1"/>
  </r>
  <r>
    <m/>
    <m/>
    <x v="1"/>
    <s v="86965244003001"/>
    <n v="-10.039999999999999"/>
    <n v="256"/>
    <n v="1"/>
    <n v="1"/>
  </r>
  <r>
    <m/>
    <m/>
    <x v="1"/>
    <s v="86993697001006"/>
    <n v="-8.19"/>
    <n v="209"/>
    <n v="1"/>
    <n v="1"/>
  </r>
  <r>
    <m/>
    <m/>
    <x v="1"/>
    <s v="86997021001001"/>
    <n v="-7.96"/>
    <n v="203"/>
    <n v="1"/>
    <n v="1"/>
  </r>
  <r>
    <m/>
    <m/>
    <x v="1"/>
    <s v="87027409001001"/>
    <n v="-20.350000000000001"/>
    <n v="519"/>
    <n v="1"/>
    <n v="1"/>
  </r>
  <r>
    <m/>
    <m/>
    <x v="1"/>
    <s v="87114513002001"/>
    <n v="-7.72"/>
    <n v="197"/>
    <n v="1"/>
    <n v="1"/>
  </r>
  <r>
    <m/>
    <m/>
    <x v="1"/>
    <s v="87134959001001"/>
    <n v="-13.29"/>
    <n v="339"/>
    <n v="1"/>
    <n v="1"/>
  </r>
  <r>
    <m/>
    <m/>
    <x v="1"/>
    <s v="87157714001003"/>
    <n v="-9.76"/>
    <n v="249"/>
    <n v="1"/>
    <n v="1"/>
  </r>
  <r>
    <m/>
    <m/>
    <x v="1"/>
    <s v="87486491001002"/>
    <n v="-3.84"/>
    <n v="98"/>
    <n v="1"/>
    <n v="1"/>
  </r>
  <r>
    <m/>
    <m/>
    <x v="1"/>
    <s v="87498972001001"/>
    <n v="-16.43"/>
    <n v="419"/>
    <n v="1"/>
    <n v="1"/>
  </r>
  <r>
    <m/>
    <m/>
    <x v="1"/>
    <s v="87984399001003"/>
    <n v="-0.59"/>
    <n v="15"/>
    <n v="1"/>
    <n v="1"/>
  </r>
  <r>
    <m/>
    <m/>
    <x v="1"/>
    <s v="88037259002004"/>
    <n v="-51.37"/>
    <n v="1310"/>
    <n v="1"/>
    <n v="1"/>
  </r>
  <r>
    <m/>
    <m/>
    <x v="1"/>
    <s v="88063060001002"/>
    <n v="-31.49"/>
    <n v="803"/>
    <n v="1"/>
    <n v="1"/>
  </r>
  <r>
    <m/>
    <m/>
    <x v="1"/>
    <s v="88142714001001"/>
    <n v="-64.81"/>
    <n v="1653"/>
    <n v="1"/>
    <n v="1"/>
  </r>
  <r>
    <m/>
    <m/>
    <x v="1"/>
    <s v="88142806002001"/>
    <n v="-54.82"/>
    <n v="1398"/>
    <n v="1"/>
    <n v="1"/>
  </r>
  <r>
    <m/>
    <m/>
    <x v="1"/>
    <s v="88182721001002"/>
    <n v="-7.61"/>
    <n v="194"/>
    <n v="1"/>
    <n v="1"/>
  </r>
  <r>
    <m/>
    <m/>
    <x v="1"/>
    <s v="88450306001003"/>
    <n v="-11.61"/>
    <n v="296"/>
    <n v="1"/>
    <n v="1"/>
  </r>
  <r>
    <m/>
    <m/>
    <x v="1"/>
    <s v="88484707001005"/>
    <n v="-4.3499999999999996"/>
    <n v="111"/>
    <n v="1"/>
    <n v="1"/>
  </r>
  <r>
    <m/>
    <m/>
    <x v="1"/>
    <s v="88908327001003"/>
    <n v="-10.23"/>
    <n v="261"/>
    <n v="1"/>
    <n v="1"/>
  </r>
  <r>
    <m/>
    <m/>
    <x v="1"/>
    <s v="88935508001003"/>
    <n v="-7.41"/>
    <n v="189"/>
    <n v="1"/>
    <n v="1"/>
  </r>
  <r>
    <m/>
    <m/>
    <x v="1"/>
    <s v="88983549001001"/>
    <n v="-15.33"/>
    <n v="391"/>
    <n v="1"/>
    <n v="1"/>
  </r>
  <r>
    <m/>
    <m/>
    <x v="1"/>
    <s v="89107006001001"/>
    <n v="-1.8"/>
    <n v="46"/>
    <n v="1"/>
    <n v="1"/>
  </r>
  <r>
    <m/>
    <m/>
    <x v="1"/>
    <s v="89366347001001"/>
    <n v="-4.2"/>
    <n v="107"/>
    <n v="1"/>
    <n v="1"/>
  </r>
  <r>
    <m/>
    <m/>
    <x v="1"/>
    <s v="89416711001001"/>
    <n v="-15.72"/>
    <n v="401"/>
    <n v="1"/>
    <n v="1"/>
  </r>
  <r>
    <m/>
    <m/>
    <x v="1"/>
    <s v="89768877001001"/>
    <n v="-13.76"/>
    <n v="351"/>
    <n v="1"/>
    <n v="1"/>
  </r>
  <r>
    <m/>
    <m/>
    <x v="1"/>
    <s v="89864539001001"/>
    <n v="-0.55000000000000004"/>
    <n v="14"/>
    <n v="1"/>
    <n v="1"/>
  </r>
  <r>
    <m/>
    <m/>
    <x v="1"/>
    <s v="89887026001003"/>
    <n v="-1.29"/>
    <n v="33"/>
    <n v="1"/>
    <n v="1"/>
  </r>
  <r>
    <m/>
    <m/>
    <x v="1"/>
    <s v="89971157001001"/>
    <n v="-29.8"/>
    <n v="760"/>
    <n v="1"/>
    <n v="1"/>
  </r>
  <r>
    <m/>
    <m/>
    <x v="1"/>
    <s v="90452668002001"/>
    <n v="-7.8"/>
    <n v="199"/>
    <n v="1"/>
    <n v="1"/>
  </r>
  <r>
    <m/>
    <m/>
    <x v="1"/>
    <s v="90517503001001"/>
    <n v="-14"/>
    <n v="357"/>
    <n v="1"/>
    <n v="1"/>
  </r>
  <r>
    <m/>
    <m/>
    <x v="1"/>
    <s v="90673462003001"/>
    <n v="-5.0999999999999996"/>
    <n v="130"/>
    <n v="1"/>
    <n v="1"/>
  </r>
  <r>
    <m/>
    <m/>
    <x v="1"/>
    <s v="90805481002003"/>
    <n v="-22.27"/>
    <n v="568"/>
    <n v="1"/>
    <n v="1"/>
  </r>
  <r>
    <m/>
    <m/>
    <x v="1"/>
    <s v="90821226001006"/>
    <n v="-12.78"/>
    <n v="326"/>
    <n v="1"/>
    <n v="1"/>
  </r>
  <r>
    <m/>
    <m/>
    <x v="1"/>
    <s v="90822925001006"/>
    <n v="-23.88"/>
    <n v="609"/>
    <n v="1"/>
    <n v="1"/>
  </r>
  <r>
    <m/>
    <m/>
    <x v="1"/>
    <s v="91039711003001"/>
    <n v="-0.31"/>
    <n v="8"/>
    <n v="1"/>
    <n v="1"/>
  </r>
  <r>
    <m/>
    <m/>
    <x v="1"/>
    <s v="91059700002001"/>
    <n v="-15.37"/>
    <n v="392"/>
    <n v="1"/>
    <n v="1"/>
  </r>
  <r>
    <m/>
    <m/>
    <x v="1"/>
    <s v="91081109001003"/>
    <n v="-10.59"/>
    <n v="270"/>
    <n v="1"/>
    <n v="1"/>
  </r>
  <r>
    <m/>
    <m/>
    <x v="1"/>
    <s v="91086693001001"/>
    <n v="-12.39"/>
    <n v="316"/>
    <n v="1"/>
    <n v="1"/>
  </r>
  <r>
    <m/>
    <m/>
    <x v="1"/>
    <s v="91233206001001"/>
    <n v="-8.23"/>
    <n v="210"/>
    <n v="1"/>
    <n v="1"/>
  </r>
  <r>
    <m/>
    <m/>
    <x v="1"/>
    <s v="91441748001001"/>
    <n v="-18.82"/>
    <n v="480"/>
    <n v="1"/>
    <n v="1"/>
  </r>
  <r>
    <m/>
    <m/>
    <x v="1"/>
    <s v="91510446001003"/>
    <n v="-16.43"/>
    <n v="419"/>
    <n v="1"/>
    <n v="1"/>
  </r>
  <r>
    <m/>
    <m/>
    <x v="1"/>
    <s v="91911316001004"/>
    <n v="-8.39"/>
    <n v="214"/>
    <n v="1"/>
    <n v="1"/>
  </r>
  <r>
    <m/>
    <m/>
    <x v="1"/>
    <s v="91947072001002"/>
    <n v="-14.66"/>
    <n v="374"/>
    <n v="1"/>
    <n v="1"/>
  </r>
  <r>
    <m/>
    <m/>
    <x v="1"/>
    <s v="92602736003007"/>
    <n v="-3.8"/>
    <n v="97"/>
    <n v="1"/>
    <n v="1"/>
  </r>
  <r>
    <m/>
    <m/>
    <x v="1"/>
    <s v="92631033001005"/>
    <n v="-32.35"/>
    <n v="825"/>
    <n v="1"/>
    <n v="1"/>
  </r>
  <r>
    <m/>
    <m/>
    <x v="1"/>
    <s v="92711390001001"/>
    <n v="-3.22"/>
    <n v="82"/>
    <n v="1"/>
    <n v="1"/>
  </r>
  <r>
    <m/>
    <m/>
    <x v="1"/>
    <s v="92775127001001"/>
    <n v="-10.16"/>
    <n v="259"/>
    <n v="1"/>
    <n v="1"/>
  </r>
  <r>
    <m/>
    <m/>
    <x v="1"/>
    <s v="92883803001003"/>
    <n v="-27.8"/>
    <n v="709"/>
    <n v="1"/>
    <n v="1"/>
  </r>
  <r>
    <m/>
    <m/>
    <x v="1"/>
    <s v="92960404001001"/>
    <n v="-24.19"/>
    <n v="617"/>
    <n v="1"/>
    <n v="1"/>
  </r>
  <r>
    <m/>
    <m/>
    <x v="1"/>
    <s v="93053068001003"/>
    <n v="-31.68"/>
    <n v="808"/>
    <n v="1"/>
    <n v="1"/>
  </r>
  <r>
    <m/>
    <m/>
    <x v="1"/>
    <s v="93280654001004"/>
    <n v="-4.3499999999999996"/>
    <n v="111"/>
    <n v="1"/>
    <n v="1"/>
  </r>
  <r>
    <m/>
    <m/>
    <x v="1"/>
    <s v="93295699001010"/>
    <n v="-3.8"/>
    <n v="97"/>
    <n v="1"/>
    <n v="1"/>
  </r>
  <r>
    <m/>
    <m/>
    <x v="1"/>
    <s v="93416826004001"/>
    <n v="-6.2"/>
    <n v="158"/>
    <n v="1"/>
    <n v="1"/>
  </r>
  <r>
    <m/>
    <m/>
    <x v="1"/>
    <s v="93447974001001"/>
    <n v="-4.3499999999999996"/>
    <n v="111"/>
    <n v="1"/>
    <n v="1"/>
  </r>
  <r>
    <m/>
    <m/>
    <x v="1"/>
    <s v="93483899001002"/>
    <n v="-2.67"/>
    <n v="68"/>
    <n v="1"/>
    <n v="1"/>
  </r>
  <r>
    <m/>
    <m/>
    <x v="1"/>
    <s v="93502736001008"/>
    <n v="-0.04"/>
    <n v="1"/>
    <n v="1"/>
    <n v="1"/>
  </r>
  <r>
    <m/>
    <m/>
    <x v="1"/>
    <s v="93525219001001"/>
    <n v="-2.35"/>
    <n v="60"/>
    <n v="1"/>
    <n v="1"/>
  </r>
  <r>
    <m/>
    <m/>
    <x v="1"/>
    <s v="93549993001001"/>
    <n v="-9.8800000000000008"/>
    <n v="252"/>
    <n v="1"/>
    <n v="1"/>
  </r>
  <r>
    <m/>
    <m/>
    <x v="1"/>
    <s v="93630806001004"/>
    <n v="-19.489999999999998"/>
    <n v="497"/>
    <n v="1"/>
    <n v="1"/>
  </r>
  <r>
    <m/>
    <m/>
    <x v="1"/>
    <s v="93645499001014"/>
    <n v="-8.9"/>
    <n v="227"/>
    <n v="1"/>
    <n v="1"/>
  </r>
  <r>
    <m/>
    <m/>
    <x v="1"/>
    <s v="93853061001004"/>
    <n v="-10.51"/>
    <n v="268"/>
    <n v="1"/>
    <n v="1"/>
  </r>
  <r>
    <m/>
    <m/>
    <x v="1"/>
    <s v="94027788001002"/>
    <n v="-13.02"/>
    <n v="332"/>
    <n v="1"/>
    <n v="1"/>
  </r>
  <r>
    <m/>
    <m/>
    <x v="1"/>
    <s v="94294869001001"/>
    <n v="-16.59"/>
    <n v="423"/>
    <n v="1"/>
    <n v="1"/>
  </r>
  <r>
    <m/>
    <m/>
    <x v="1"/>
    <s v="94490206001005"/>
    <n v="-3.25"/>
    <n v="83"/>
    <n v="1"/>
    <n v="1"/>
  </r>
  <r>
    <m/>
    <m/>
    <x v="1"/>
    <s v="94506465001003"/>
    <n v="-28.82"/>
    <n v="735"/>
    <n v="1"/>
    <n v="1"/>
  </r>
  <r>
    <m/>
    <m/>
    <x v="1"/>
    <s v="94703589005001"/>
    <n v="-1.69"/>
    <n v="43"/>
    <n v="1"/>
    <n v="1"/>
  </r>
  <r>
    <m/>
    <m/>
    <x v="1"/>
    <s v="94860723001003"/>
    <n v="-18.66"/>
    <n v="476"/>
    <n v="1"/>
    <n v="1"/>
  </r>
  <r>
    <m/>
    <m/>
    <x v="1"/>
    <s v="94938062001001"/>
    <n v="-8.9"/>
    <n v="227"/>
    <n v="1"/>
    <n v="1"/>
  </r>
  <r>
    <m/>
    <m/>
    <x v="1"/>
    <s v="95066278001003"/>
    <n v="-16.43"/>
    <n v="419"/>
    <n v="1"/>
    <n v="1"/>
  </r>
  <r>
    <m/>
    <m/>
    <x v="1"/>
    <s v="95131113005001"/>
    <n v="-1.76"/>
    <n v="45"/>
    <n v="1"/>
    <n v="1"/>
  </r>
  <r>
    <m/>
    <m/>
    <x v="1"/>
    <s v="95275266001003"/>
    <n v="-10.55"/>
    <n v="269"/>
    <n v="1"/>
    <n v="1"/>
  </r>
  <r>
    <m/>
    <m/>
    <x v="1"/>
    <s v="95429454001002"/>
    <n v="-0.16"/>
    <n v="4"/>
    <n v="1"/>
    <n v="1"/>
  </r>
  <r>
    <m/>
    <m/>
    <x v="1"/>
    <s v="95833151003001"/>
    <n v="-10.59"/>
    <n v="270"/>
    <n v="1"/>
    <n v="1"/>
  </r>
  <r>
    <m/>
    <m/>
    <x v="1"/>
    <s v="95916401001001"/>
    <n v="-16.47"/>
    <n v="420"/>
    <n v="1"/>
    <n v="1"/>
  </r>
  <r>
    <m/>
    <m/>
    <x v="1"/>
    <s v="96127192001001"/>
    <n v="-0.86"/>
    <n v="22"/>
    <n v="1"/>
    <n v="1"/>
  </r>
  <r>
    <m/>
    <m/>
    <x v="1"/>
    <s v="96171891001007"/>
    <n v="-0.12"/>
    <n v="3"/>
    <n v="1"/>
    <n v="1"/>
  </r>
  <r>
    <m/>
    <m/>
    <x v="1"/>
    <s v="96186430001005"/>
    <n v="-3.18"/>
    <n v="81"/>
    <n v="1"/>
    <n v="1"/>
  </r>
  <r>
    <m/>
    <m/>
    <x v="1"/>
    <s v="96305704001001"/>
    <n v="-2.74"/>
    <n v="70"/>
    <n v="1"/>
    <n v="1"/>
  </r>
  <r>
    <m/>
    <m/>
    <x v="1"/>
    <s v="96336668001003"/>
    <n v="-3.8"/>
    <n v="97"/>
    <n v="1"/>
    <n v="1"/>
  </r>
  <r>
    <m/>
    <m/>
    <x v="1"/>
    <s v="96386777001002"/>
    <n v="-38.78"/>
    <n v="989"/>
    <n v="1"/>
    <n v="1"/>
  </r>
  <r>
    <m/>
    <m/>
    <x v="1"/>
    <s v="96743423001001"/>
    <n v="-4.51"/>
    <n v="115"/>
    <n v="1"/>
    <n v="1"/>
  </r>
  <r>
    <m/>
    <m/>
    <x v="1"/>
    <s v="96816452001001"/>
    <n v="-3.8"/>
    <n v="97"/>
    <n v="1"/>
    <n v="1"/>
  </r>
  <r>
    <m/>
    <m/>
    <x v="1"/>
    <s v="97148101001003"/>
    <n v="-1.65"/>
    <n v="42"/>
    <n v="1"/>
    <n v="1"/>
  </r>
  <r>
    <m/>
    <m/>
    <x v="1"/>
    <s v="97157952001008"/>
    <n v="-8.43"/>
    <n v="215"/>
    <n v="1"/>
    <n v="1"/>
  </r>
  <r>
    <m/>
    <m/>
    <x v="1"/>
    <s v="97323566001003"/>
    <n v="-4.04"/>
    <n v="103"/>
    <n v="1"/>
    <n v="1"/>
  </r>
  <r>
    <m/>
    <m/>
    <x v="1"/>
    <s v="97378614002001"/>
    <n v="-24.47"/>
    <n v="624"/>
    <n v="1"/>
    <n v="1"/>
  </r>
  <r>
    <m/>
    <m/>
    <x v="1"/>
    <s v="97473613001004"/>
    <n v="-0.35"/>
    <n v="9"/>
    <n v="1"/>
    <n v="1"/>
  </r>
  <r>
    <m/>
    <m/>
    <x v="1"/>
    <s v="97919016001004"/>
    <n v="-4.59"/>
    <n v="117"/>
    <n v="1"/>
    <n v="1"/>
  </r>
  <r>
    <m/>
    <m/>
    <x v="1"/>
    <s v="97943952002001"/>
    <n v="-26.43"/>
    <n v="674"/>
    <n v="1"/>
    <n v="1"/>
  </r>
  <r>
    <m/>
    <m/>
    <x v="1"/>
    <s v="98004963001002"/>
    <n v="-4.47"/>
    <n v="114"/>
    <n v="1"/>
    <n v="1"/>
  </r>
  <r>
    <m/>
    <m/>
    <x v="1"/>
    <s v="98323580001002"/>
    <n v="-7.29"/>
    <n v="186"/>
    <n v="1"/>
    <n v="1"/>
  </r>
  <r>
    <m/>
    <m/>
    <x v="1"/>
    <s v="98330301001001"/>
    <n v="-5.45"/>
    <n v="139"/>
    <n v="1"/>
    <n v="1"/>
  </r>
  <r>
    <m/>
    <m/>
    <x v="1"/>
    <s v="98396921001007"/>
    <n v="-0.43"/>
    <n v="11"/>
    <n v="1"/>
    <n v="1"/>
  </r>
  <r>
    <m/>
    <m/>
    <x v="1"/>
    <s v="98478092001001"/>
    <n v="-4.3499999999999996"/>
    <n v="111"/>
    <n v="1"/>
    <n v="1"/>
  </r>
  <r>
    <m/>
    <m/>
    <x v="1"/>
    <s v="98525309002001"/>
    <n v="-6.9"/>
    <n v="176"/>
    <n v="1"/>
    <n v="1"/>
  </r>
  <r>
    <m/>
    <m/>
    <x v="1"/>
    <s v="98568936001003"/>
    <n v="-2.86"/>
    <n v="73"/>
    <n v="1"/>
    <n v="1"/>
  </r>
  <r>
    <m/>
    <m/>
    <x v="1"/>
    <s v="98578986001002"/>
    <n v="-6.9"/>
    <n v="176"/>
    <n v="1"/>
    <n v="1"/>
  </r>
  <r>
    <m/>
    <m/>
    <x v="1"/>
    <s v="98706279001001"/>
    <n v="-6.23"/>
    <n v="159"/>
    <n v="1"/>
    <n v="1"/>
  </r>
  <r>
    <m/>
    <m/>
    <x v="1"/>
    <s v="98841325001003"/>
    <n v="-12.59"/>
    <n v="321"/>
    <n v="1"/>
    <n v="1"/>
  </r>
  <r>
    <m/>
    <m/>
    <x v="1"/>
    <s v="99162209001001"/>
    <n v="-0.78"/>
    <n v="20"/>
    <n v="1"/>
    <n v="1"/>
  </r>
  <r>
    <m/>
    <m/>
    <x v="1"/>
    <s v="99181573002001"/>
    <n v="-1.33"/>
    <n v="34"/>
    <n v="1"/>
    <n v="1"/>
  </r>
  <r>
    <m/>
    <m/>
    <x v="1"/>
    <s v="99207126001001"/>
    <n v="-40.35"/>
    <n v="1029"/>
    <n v="1"/>
    <n v="1"/>
  </r>
  <r>
    <m/>
    <m/>
    <x v="1"/>
    <s v="99215914001001"/>
    <n v="-17.72"/>
    <n v="452"/>
    <n v="1"/>
    <n v="1"/>
  </r>
  <r>
    <m/>
    <m/>
    <x v="1"/>
    <s v="99427689006001"/>
    <n v="-9.8800000000000008"/>
    <n v="252"/>
    <n v="1"/>
    <n v="1"/>
  </r>
  <r>
    <m/>
    <m/>
    <x v="1"/>
    <s v="99435304001001"/>
    <n v="-13.76"/>
    <n v="351"/>
    <n v="1"/>
    <n v="1"/>
  </r>
  <r>
    <m/>
    <m/>
    <x v="1"/>
    <s v="99770512001001"/>
    <n v="-0.27"/>
    <n v="7"/>
    <n v="1"/>
    <n v="1"/>
  </r>
  <r>
    <m/>
    <m/>
    <x v="4"/>
    <m/>
    <n v="-12565.149999999996"/>
    <n v="320458"/>
    <n v="1075"/>
    <n v="1075"/>
  </r>
  <r>
    <m/>
    <m/>
    <x v="5"/>
    <s v="00148726001003"/>
    <n v="-0.06"/>
    <n v="1"/>
    <n v="1"/>
    <n v="1"/>
  </r>
  <r>
    <m/>
    <m/>
    <x v="1"/>
    <s v="00259343010001"/>
    <n v="-0.52"/>
    <n v="9"/>
    <n v="1"/>
    <n v="1"/>
  </r>
  <r>
    <m/>
    <m/>
    <x v="1"/>
    <s v="00319594001001"/>
    <n v="-9.67"/>
    <n v="166"/>
    <n v="1"/>
    <n v="1"/>
  </r>
  <r>
    <m/>
    <m/>
    <x v="1"/>
    <s v="00329225001005"/>
    <n v="-7.34"/>
    <n v="126"/>
    <n v="1"/>
    <n v="1"/>
  </r>
  <r>
    <m/>
    <m/>
    <x v="1"/>
    <s v="00382666001003"/>
    <n v="-10.9"/>
    <n v="187"/>
    <n v="1"/>
    <n v="1"/>
  </r>
  <r>
    <m/>
    <m/>
    <x v="1"/>
    <s v="00403507003001"/>
    <n v="-58.69"/>
    <n v="1007"/>
    <n v="1"/>
    <n v="1"/>
  </r>
  <r>
    <m/>
    <m/>
    <x v="1"/>
    <s v="00447035006001"/>
    <n v="-17.72"/>
    <n v="304"/>
    <n v="1"/>
    <n v="1"/>
  </r>
  <r>
    <m/>
    <m/>
    <x v="1"/>
    <s v="00477416001005"/>
    <n v="-84.04"/>
    <n v="1442"/>
    <n v="1"/>
    <n v="1"/>
  </r>
  <r>
    <m/>
    <m/>
    <x v="1"/>
    <s v="00546153003003"/>
    <n v="-36.72"/>
    <n v="630"/>
    <n v="1"/>
    <n v="1"/>
  </r>
  <r>
    <m/>
    <m/>
    <x v="1"/>
    <s v="00689227001008"/>
    <n v="-5.3"/>
    <n v="91"/>
    <n v="1"/>
    <n v="1"/>
  </r>
  <r>
    <m/>
    <m/>
    <x v="1"/>
    <s v="00722915001001"/>
    <n v="-16.09"/>
    <n v="276"/>
    <n v="1"/>
    <n v="1"/>
  </r>
  <r>
    <m/>
    <m/>
    <x v="1"/>
    <s v="00730907001001"/>
    <n v="-1.52"/>
    <n v="26"/>
    <n v="1"/>
    <n v="1"/>
  </r>
  <r>
    <m/>
    <m/>
    <x v="1"/>
    <s v="00749818001003"/>
    <n v="-15.56"/>
    <n v="267"/>
    <n v="1"/>
    <n v="1"/>
  </r>
  <r>
    <m/>
    <m/>
    <x v="1"/>
    <s v="00779681001001"/>
    <n v="-0.76"/>
    <n v="13"/>
    <n v="1"/>
    <n v="1"/>
  </r>
  <r>
    <m/>
    <m/>
    <x v="1"/>
    <s v="00787390005001"/>
    <n v="-7.63"/>
    <n v="131"/>
    <n v="1"/>
    <n v="1"/>
  </r>
  <r>
    <m/>
    <m/>
    <x v="1"/>
    <s v="00852442003001"/>
    <n v="-54.72"/>
    <n v="939"/>
    <n v="1"/>
    <n v="1"/>
  </r>
  <r>
    <m/>
    <m/>
    <x v="1"/>
    <s v="00906029001008"/>
    <n v="-7.63"/>
    <n v="131"/>
    <n v="1"/>
    <n v="1"/>
  </r>
  <r>
    <m/>
    <m/>
    <x v="1"/>
    <s v="01058313001005"/>
    <n v="-36.770000000000003"/>
    <n v="631"/>
    <n v="1"/>
    <n v="1"/>
  </r>
  <r>
    <m/>
    <m/>
    <x v="1"/>
    <s v="01092252001001"/>
    <n v="-11.71"/>
    <n v="201"/>
    <n v="1"/>
    <n v="1"/>
  </r>
  <r>
    <m/>
    <m/>
    <x v="1"/>
    <s v="01403700005001"/>
    <n v="-0.41"/>
    <n v="7"/>
    <n v="1"/>
    <n v="1"/>
  </r>
  <r>
    <m/>
    <m/>
    <x v="1"/>
    <s v="01570655003001"/>
    <n v="-19.41"/>
    <n v="333"/>
    <n v="1"/>
    <n v="1"/>
  </r>
  <r>
    <m/>
    <m/>
    <x v="1"/>
    <s v="01698859001001"/>
    <n v="-14.69"/>
    <n v="252"/>
    <n v="1"/>
    <n v="1"/>
  </r>
  <r>
    <m/>
    <m/>
    <x v="1"/>
    <s v="01701580001001"/>
    <n v="-8.16"/>
    <n v="140"/>
    <n v="1"/>
    <n v="1"/>
  </r>
  <r>
    <m/>
    <m/>
    <x v="1"/>
    <s v="01752705001001"/>
    <n v="-21.51"/>
    <n v="369"/>
    <n v="1"/>
    <n v="1"/>
  </r>
  <r>
    <m/>
    <m/>
    <x v="1"/>
    <s v="02050383001001"/>
    <n v="-42.72"/>
    <n v="733"/>
    <n v="1"/>
    <n v="1"/>
  </r>
  <r>
    <m/>
    <m/>
    <x v="1"/>
    <s v="02094728002012"/>
    <n v="-7.05"/>
    <n v="121"/>
    <n v="1"/>
    <n v="1"/>
  </r>
  <r>
    <m/>
    <m/>
    <x v="1"/>
    <s v="02164047003001"/>
    <n v="-8.68"/>
    <n v="149"/>
    <n v="1"/>
    <n v="1"/>
  </r>
  <r>
    <m/>
    <m/>
    <x v="1"/>
    <s v="02179705001007"/>
    <n v="-8.57"/>
    <n v="147"/>
    <n v="1"/>
    <n v="1"/>
  </r>
  <r>
    <m/>
    <m/>
    <x v="1"/>
    <s v="02232792001001"/>
    <n v="-9.85"/>
    <n v="169"/>
    <n v="1"/>
    <n v="1"/>
  </r>
  <r>
    <m/>
    <m/>
    <x v="1"/>
    <s v="02334127001004"/>
    <n v="-2.4500000000000002"/>
    <n v="42"/>
    <n v="1"/>
    <n v="1"/>
  </r>
  <r>
    <m/>
    <m/>
    <x v="1"/>
    <s v="02342104001006"/>
    <n v="-1.92"/>
    <n v="33"/>
    <n v="1"/>
    <n v="1"/>
  </r>
  <r>
    <m/>
    <m/>
    <x v="1"/>
    <s v="02380352002001"/>
    <n v="-2.27"/>
    <n v="39"/>
    <n v="1"/>
    <n v="1"/>
  </r>
  <r>
    <m/>
    <m/>
    <x v="1"/>
    <s v="02393997001015"/>
    <n v="-6.59"/>
    <n v="113"/>
    <n v="1"/>
    <n v="1"/>
  </r>
  <r>
    <m/>
    <m/>
    <x v="1"/>
    <s v="02412878001003"/>
    <n v="-13.93"/>
    <n v="239"/>
    <n v="1"/>
    <n v="1"/>
  </r>
  <r>
    <m/>
    <m/>
    <x v="1"/>
    <s v="02425825002002"/>
    <n v="-4.55"/>
    <n v="78"/>
    <n v="1"/>
    <n v="1"/>
  </r>
  <r>
    <m/>
    <m/>
    <x v="1"/>
    <s v="02434713001004"/>
    <n v="-0.23"/>
    <n v="4"/>
    <n v="1"/>
    <n v="1"/>
  </r>
  <r>
    <m/>
    <m/>
    <x v="1"/>
    <s v="02447419003012"/>
    <n v="-2.8"/>
    <n v="48"/>
    <n v="1"/>
    <n v="1"/>
  </r>
  <r>
    <m/>
    <m/>
    <x v="1"/>
    <s v="02464003001001"/>
    <n v="-30.77"/>
    <n v="528"/>
    <n v="1"/>
    <n v="1"/>
  </r>
  <r>
    <m/>
    <m/>
    <x v="1"/>
    <s v="02485811001007"/>
    <n v="-0.12"/>
    <n v="2"/>
    <n v="1"/>
    <n v="1"/>
  </r>
  <r>
    <m/>
    <m/>
    <x v="1"/>
    <s v="02486188001001"/>
    <n v="-34.79"/>
    <n v="597"/>
    <n v="1"/>
    <n v="1"/>
  </r>
  <r>
    <m/>
    <m/>
    <x v="1"/>
    <s v="02514781001007"/>
    <n v="-1.22"/>
    <n v="21"/>
    <n v="1"/>
    <n v="1"/>
  </r>
  <r>
    <m/>
    <m/>
    <x v="1"/>
    <s v="02683413001001"/>
    <n v="-0.06"/>
    <n v="1"/>
    <n v="1"/>
    <n v="1"/>
  </r>
  <r>
    <m/>
    <m/>
    <x v="1"/>
    <s v="02704694001001"/>
    <n v="-9.09"/>
    <n v="156"/>
    <n v="1"/>
    <n v="1"/>
  </r>
  <r>
    <m/>
    <m/>
    <x v="1"/>
    <s v="02792185008001"/>
    <n v="-4.66"/>
    <n v="80"/>
    <n v="1"/>
    <n v="1"/>
  </r>
  <r>
    <m/>
    <m/>
    <x v="1"/>
    <s v="02819465001001"/>
    <n v="-0.23"/>
    <n v="4"/>
    <n v="1"/>
    <n v="1"/>
  </r>
  <r>
    <m/>
    <m/>
    <x v="1"/>
    <s v="02884496001010"/>
    <n v="-2.33"/>
    <n v="40"/>
    <n v="1"/>
    <n v="1"/>
  </r>
  <r>
    <m/>
    <m/>
    <x v="1"/>
    <s v="02992876001003"/>
    <n v="-15.97"/>
    <n v="274"/>
    <n v="1"/>
    <n v="1"/>
  </r>
  <r>
    <m/>
    <m/>
    <x v="1"/>
    <s v="03013295002003"/>
    <n v="-2.56"/>
    <n v="44"/>
    <n v="1"/>
    <n v="1"/>
  </r>
  <r>
    <m/>
    <m/>
    <x v="1"/>
    <s v="03018483004001"/>
    <n v="-4.55"/>
    <n v="78"/>
    <n v="1"/>
    <n v="1"/>
  </r>
  <r>
    <m/>
    <m/>
    <x v="1"/>
    <s v="03019509001001"/>
    <n v="-30.95"/>
    <n v="531"/>
    <n v="1"/>
    <n v="1"/>
  </r>
  <r>
    <m/>
    <m/>
    <x v="1"/>
    <s v="03040052001003"/>
    <n v="-57.41"/>
    <n v="985"/>
    <n v="1"/>
    <n v="1"/>
  </r>
  <r>
    <m/>
    <m/>
    <x v="1"/>
    <s v="03051677001003"/>
    <n v="-51.81"/>
    <n v="889"/>
    <n v="1"/>
    <n v="1"/>
  </r>
  <r>
    <m/>
    <m/>
    <x v="1"/>
    <s v="03088248001005"/>
    <n v="-11.6"/>
    <n v="199"/>
    <n v="1"/>
    <n v="1"/>
  </r>
  <r>
    <m/>
    <m/>
    <x v="1"/>
    <s v="03107202002001"/>
    <n v="-11.19"/>
    <n v="192"/>
    <n v="1"/>
    <n v="1"/>
  </r>
  <r>
    <m/>
    <m/>
    <x v="1"/>
    <s v="03308022002001"/>
    <n v="-53.44"/>
    <n v="917"/>
    <n v="1"/>
    <n v="1"/>
  </r>
  <r>
    <m/>
    <m/>
    <x v="1"/>
    <s v="03330463001002"/>
    <n v="-8.0399999999999991"/>
    <n v="138"/>
    <n v="1"/>
    <n v="1"/>
  </r>
  <r>
    <m/>
    <m/>
    <x v="1"/>
    <s v="03379746001001"/>
    <n v="-36.130000000000003"/>
    <n v="620"/>
    <n v="1"/>
    <n v="1"/>
  </r>
  <r>
    <m/>
    <m/>
    <x v="1"/>
    <s v="03498939002001"/>
    <n v="-29.02"/>
    <n v="498"/>
    <n v="1"/>
    <n v="1"/>
  </r>
  <r>
    <m/>
    <m/>
    <x v="1"/>
    <s v="03499851001005"/>
    <n v="-35.08"/>
    <n v="602"/>
    <n v="1"/>
    <n v="1"/>
  </r>
  <r>
    <m/>
    <m/>
    <x v="1"/>
    <s v="03554715002003"/>
    <n v="-10.32"/>
    <n v="177"/>
    <n v="1"/>
    <n v="1"/>
  </r>
  <r>
    <m/>
    <m/>
    <x v="1"/>
    <s v="03722115001001"/>
    <n v="-19.350000000000001"/>
    <n v="332"/>
    <n v="1"/>
    <n v="1"/>
  </r>
  <r>
    <m/>
    <m/>
    <x v="1"/>
    <s v="03739009003001"/>
    <n v="-5.42"/>
    <n v="93"/>
    <n v="1"/>
    <n v="1"/>
  </r>
  <r>
    <m/>
    <m/>
    <x v="1"/>
    <s v="03800540001008"/>
    <n v="-6.06"/>
    <n v="104"/>
    <n v="1"/>
    <n v="1"/>
  </r>
  <r>
    <m/>
    <m/>
    <x v="1"/>
    <s v="03918846001002"/>
    <n v="-51"/>
    <n v="875"/>
    <n v="1"/>
    <n v="1"/>
  </r>
  <r>
    <m/>
    <m/>
    <x v="1"/>
    <s v="03983250001004"/>
    <n v="-74.95"/>
    <n v="1286"/>
    <n v="1"/>
    <n v="1"/>
  </r>
  <r>
    <m/>
    <m/>
    <x v="1"/>
    <s v="04022663001001"/>
    <n v="-2.68"/>
    <n v="46"/>
    <n v="1"/>
    <n v="1"/>
  </r>
  <r>
    <m/>
    <m/>
    <x v="1"/>
    <s v="04036291001005"/>
    <n v="-56.42"/>
    <n v="968"/>
    <n v="1"/>
    <n v="1"/>
  </r>
  <r>
    <m/>
    <m/>
    <x v="1"/>
    <s v="04065926001004"/>
    <n v="-1.63"/>
    <n v="28"/>
    <n v="1"/>
    <n v="1"/>
  </r>
  <r>
    <m/>
    <m/>
    <x v="1"/>
    <s v="04195526001007"/>
    <n v="-6.99"/>
    <n v="120"/>
    <n v="1"/>
    <n v="1"/>
  </r>
  <r>
    <m/>
    <m/>
    <x v="1"/>
    <s v="04366073001001"/>
    <n v="-14.05"/>
    <n v="241"/>
    <n v="1"/>
    <n v="1"/>
  </r>
  <r>
    <m/>
    <m/>
    <x v="1"/>
    <s v="04587647002001"/>
    <n v="-65.040000000000006"/>
    <n v="1116"/>
    <n v="1"/>
    <n v="1"/>
  </r>
  <r>
    <m/>
    <m/>
    <x v="1"/>
    <s v="04639874001001"/>
    <n v="-2.21"/>
    <n v="38"/>
    <n v="1"/>
    <n v="1"/>
  </r>
  <r>
    <m/>
    <m/>
    <x v="1"/>
    <s v="04642237001003"/>
    <n v="-0.82"/>
    <n v="14"/>
    <n v="1"/>
    <n v="1"/>
  </r>
  <r>
    <m/>
    <m/>
    <x v="1"/>
    <s v="04731425001001"/>
    <n v="-4.9000000000000004"/>
    <n v="84"/>
    <n v="1"/>
    <n v="1"/>
  </r>
  <r>
    <m/>
    <m/>
    <x v="1"/>
    <s v="04805152001005"/>
    <n v="-27.86"/>
    <n v="478"/>
    <n v="1"/>
    <n v="1"/>
  </r>
  <r>
    <m/>
    <m/>
    <x v="1"/>
    <s v="04908976001003"/>
    <n v="-0.93"/>
    <n v="16"/>
    <n v="1"/>
    <n v="1"/>
  </r>
  <r>
    <m/>
    <m/>
    <x v="1"/>
    <s v="04914620002001"/>
    <n v="-1.05"/>
    <n v="18"/>
    <n v="1"/>
    <n v="1"/>
  </r>
  <r>
    <m/>
    <m/>
    <x v="1"/>
    <s v="05055558001001"/>
    <n v="-9.85"/>
    <n v="169"/>
    <n v="1"/>
    <n v="1"/>
  </r>
  <r>
    <m/>
    <m/>
    <x v="1"/>
    <s v="05077001002001"/>
    <n v="-4.37"/>
    <n v="75"/>
    <n v="1"/>
    <n v="1"/>
  </r>
  <r>
    <m/>
    <m/>
    <x v="1"/>
    <s v="05105357001003"/>
    <n v="-2.97"/>
    <n v="51"/>
    <n v="1"/>
    <n v="1"/>
  </r>
  <r>
    <m/>
    <m/>
    <x v="1"/>
    <s v="05112776001003"/>
    <n v="-4.0199999999999996"/>
    <n v="69"/>
    <n v="1"/>
    <n v="1"/>
  </r>
  <r>
    <m/>
    <m/>
    <x v="1"/>
    <s v="05178218001003"/>
    <n v="-42.6"/>
    <n v="731"/>
    <n v="1"/>
    <n v="1"/>
  </r>
  <r>
    <m/>
    <m/>
    <x v="1"/>
    <s v="05214090001003"/>
    <n v="-5.36"/>
    <n v="92"/>
    <n v="1"/>
    <n v="1"/>
  </r>
  <r>
    <m/>
    <m/>
    <x v="1"/>
    <s v="05222943001009"/>
    <n v="-9.6199999999999992"/>
    <n v="165"/>
    <n v="1"/>
    <n v="1"/>
  </r>
  <r>
    <m/>
    <m/>
    <x v="1"/>
    <s v="05234970001001"/>
    <n v="-15.21"/>
    <n v="261"/>
    <n v="1"/>
    <n v="1"/>
  </r>
  <r>
    <m/>
    <m/>
    <x v="1"/>
    <s v="05499075001003"/>
    <n v="-11.89"/>
    <n v="204"/>
    <n v="1"/>
    <n v="1"/>
  </r>
  <r>
    <m/>
    <m/>
    <x v="1"/>
    <s v="05707361001002"/>
    <n v="-9.91"/>
    <n v="170"/>
    <n v="1"/>
    <n v="1"/>
  </r>
  <r>
    <m/>
    <m/>
    <x v="1"/>
    <s v="05861722001003"/>
    <n v="-28.09"/>
    <n v="482"/>
    <n v="1"/>
    <n v="1"/>
  </r>
  <r>
    <m/>
    <m/>
    <x v="1"/>
    <s v="05933255001001"/>
    <n v="-1.63"/>
    <n v="28"/>
    <n v="1"/>
    <n v="1"/>
  </r>
  <r>
    <m/>
    <m/>
    <x v="1"/>
    <s v="06200267001003"/>
    <n v="-6.94"/>
    <n v="119"/>
    <n v="1"/>
    <n v="1"/>
  </r>
  <r>
    <m/>
    <m/>
    <x v="1"/>
    <s v="06309819004001"/>
    <n v="-9.15"/>
    <n v="157"/>
    <n v="1"/>
    <n v="1"/>
  </r>
  <r>
    <m/>
    <m/>
    <x v="1"/>
    <s v="06359444001001"/>
    <n v="-37.47"/>
    <n v="643"/>
    <n v="1"/>
    <n v="1"/>
  </r>
  <r>
    <m/>
    <m/>
    <x v="1"/>
    <s v="06382830001001"/>
    <n v="-6.59"/>
    <n v="113"/>
    <n v="1"/>
    <n v="1"/>
  </r>
  <r>
    <m/>
    <m/>
    <x v="1"/>
    <s v="06440891001007"/>
    <n v="-16.489999999999998"/>
    <n v="283"/>
    <n v="1"/>
    <n v="1"/>
  </r>
  <r>
    <m/>
    <m/>
    <x v="1"/>
    <s v="06483393001005"/>
    <n v="-10.67"/>
    <n v="183"/>
    <n v="1"/>
    <n v="1"/>
  </r>
  <r>
    <m/>
    <m/>
    <x v="1"/>
    <s v="06543425001011"/>
    <n v="-55.37"/>
    <n v="950"/>
    <n v="1"/>
    <n v="1"/>
  </r>
  <r>
    <m/>
    <m/>
    <x v="1"/>
    <s v="06563369001001"/>
    <n v="-77.05"/>
    <n v="1322"/>
    <n v="1"/>
    <n v="1"/>
  </r>
  <r>
    <m/>
    <m/>
    <x v="1"/>
    <s v="06580144002011"/>
    <n v="-0.23"/>
    <n v="4"/>
    <n v="1"/>
    <n v="1"/>
  </r>
  <r>
    <m/>
    <m/>
    <x v="1"/>
    <s v="06650635001001"/>
    <n v="-1.05"/>
    <n v="18"/>
    <n v="1"/>
    <n v="1"/>
  </r>
  <r>
    <m/>
    <m/>
    <x v="1"/>
    <s v="06651048001002"/>
    <n v="-39.159999999999997"/>
    <n v="672"/>
    <n v="1"/>
    <n v="1"/>
  </r>
  <r>
    <m/>
    <m/>
    <x v="1"/>
    <s v="06670399001005"/>
    <n v="-5.89"/>
    <n v="101"/>
    <n v="1"/>
    <n v="1"/>
  </r>
  <r>
    <m/>
    <m/>
    <x v="1"/>
    <s v="06761853001001"/>
    <n v="-19.29"/>
    <n v="331"/>
    <n v="1"/>
    <n v="1"/>
  </r>
  <r>
    <m/>
    <m/>
    <x v="1"/>
    <s v="06797083002002"/>
    <n v="-0.47"/>
    <n v="8"/>
    <n v="1"/>
    <n v="1"/>
  </r>
  <r>
    <m/>
    <m/>
    <x v="1"/>
    <s v="06840429001005"/>
    <n v="-3.56"/>
    <n v="61"/>
    <n v="1"/>
    <n v="1"/>
  </r>
  <r>
    <m/>
    <m/>
    <x v="1"/>
    <s v="06850200002007"/>
    <n v="-7.11"/>
    <n v="122"/>
    <n v="1"/>
    <n v="1"/>
  </r>
  <r>
    <m/>
    <m/>
    <x v="1"/>
    <s v="06934010001008"/>
    <n v="-7.05"/>
    <n v="121"/>
    <n v="1"/>
    <n v="1"/>
  </r>
  <r>
    <m/>
    <m/>
    <x v="1"/>
    <s v="06956115001001"/>
    <n v="-14.45"/>
    <n v="248"/>
    <n v="1"/>
    <n v="1"/>
  </r>
  <r>
    <m/>
    <m/>
    <x v="1"/>
    <s v="07188065003001"/>
    <n v="-17.95"/>
    <n v="308"/>
    <n v="1"/>
    <n v="1"/>
  </r>
  <r>
    <m/>
    <m/>
    <x v="1"/>
    <s v="07219889001001"/>
    <n v="-13.23"/>
    <n v="227"/>
    <n v="1"/>
    <n v="1"/>
  </r>
  <r>
    <m/>
    <m/>
    <x v="1"/>
    <s v="07248551001001"/>
    <n v="-0.47"/>
    <n v="8"/>
    <n v="1"/>
    <n v="1"/>
  </r>
  <r>
    <m/>
    <m/>
    <x v="1"/>
    <s v="07343513002001"/>
    <n v="-88.7"/>
    <n v="1522"/>
    <n v="1"/>
    <n v="1"/>
  </r>
  <r>
    <m/>
    <m/>
    <x v="1"/>
    <s v="07424854003003"/>
    <n v="-39.46"/>
    <n v="677"/>
    <n v="1"/>
    <n v="1"/>
  </r>
  <r>
    <m/>
    <m/>
    <x v="1"/>
    <s v="07576140001005"/>
    <n v="-3.5"/>
    <n v="60"/>
    <n v="1"/>
    <n v="1"/>
  </r>
  <r>
    <m/>
    <m/>
    <x v="1"/>
    <s v="07692401004003"/>
    <n v="-31"/>
    <n v="532"/>
    <n v="1"/>
    <n v="1"/>
  </r>
  <r>
    <m/>
    <m/>
    <x v="1"/>
    <s v="07753575001007"/>
    <n v="-1.4"/>
    <n v="24"/>
    <n v="1"/>
    <n v="1"/>
  </r>
  <r>
    <m/>
    <m/>
    <x v="1"/>
    <s v="07790450003001"/>
    <n v="-25.06"/>
    <n v="430"/>
    <n v="1"/>
    <n v="1"/>
  </r>
  <r>
    <m/>
    <m/>
    <x v="1"/>
    <s v="07805842001001"/>
    <n v="-10.32"/>
    <n v="177"/>
    <n v="1"/>
    <n v="1"/>
  </r>
  <r>
    <m/>
    <m/>
    <x v="1"/>
    <s v="07928044001004"/>
    <n v="-21.1"/>
    <n v="362"/>
    <n v="1"/>
    <n v="1"/>
  </r>
  <r>
    <m/>
    <m/>
    <x v="1"/>
    <s v="08047179002001"/>
    <n v="-8.2200000000000006"/>
    <n v="141"/>
    <n v="1"/>
    <n v="1"/>
  </r>
  <r>
    <m/>
    <m/>
    <x v="1"/>
    <s v="08056389001001"/>
    <n v="-1.4"/>
    <n v="24"/>
    <n v="1"/>
    <n v="1"/>
  </r>
  <r>
    <m/>
    <m/>
    <x v="1"/>
    <s v="08155953001003"/>
    <n v="-2.21"/>
    <n v="38"/>
    <n v="1"/>
    <n v="1"/>
  </r>
  <r>
    <m/>
    <m/>
    <x v="1"/>
    <s v="08205707001003"/>
    <n v="-0.23"/>
    <n v="4"/>
    <n v="1"/>
    <n v="1"/>
  </r>
  <r>
    <m/>
    <m/>
    <x v="1"/>
    <s v="08291880001007"/>
    <n v="-9.2100000000000009"/>
    <n v="158"/>
    <n v="1"/>
    <n v="1"/>
  </r>
  <r>
    <m/>
    <m/>
    <x v="1"/>
    <s v="08293744002001"/>
    <n v="-23.89"/>
    <n v="410"/>
    <n v="1"/>
    <n v="1"/>
  </r>
  <r>
    <m/>
    <m/>
    <x v="1"/>
    <s v="08341079003003"/>
    <n v="-13.29"/>
    <n v="228"/>
    <n v="1"/>
    <n v="1"/>
  </r>
  <r>
    <m/>
    <m/>
    <x v="1"/>
    <s v="08395040001001"/>
    <n v="-27.39"/>
    <n v="470"/>
    <n v="1"/>
    <n v="1"/>
  </r>
  <r>
    <m/>
    <m/>
    <x v="1"/>
    <s v="08422119001005"/>
    <n v="-3.73"/>
    <n v="64"/>
    <n v="1"/>
    <n v="1"/>
  </r>
  <r>
    <m/>
    <m/>
    <x v="1"/>
    <s v="08504635004007"/>
    <n v="-49.19"/>
    <n v="844"/>
    <n v="1"/>
    <n v="1"/>
  </r>
  <r>
    <m/>
    <m/>
    <x v="1"/>
    <s v="08612150001001"/>
    <n v="-9.27"/>
    <n v="159"/>
    <n v="1"/>
    <n v="1"/>
  </r>
  <r>
    <m/>
    <m/>
    <x v="1"/>
    <s v="08648376001001"/>
    <n v="-20.399999999999999"/>
    <n v="350"/>
    <n v="1"/>
    <n v="1"/>
  </r>
  <r>
    <m/>
    <m/>
    <x v="1"/>
    <s v="08657953002001"/>
    <n v="-8.57"/>
    <n v="147"/>
    <n v="1"/>
    <n v="1"/>
  </r>
  <r>
    <m/>
    <m/>
    <x v="1"/>
    <s v="08662234001004"/>
    <n v="-2.16"/>
    <n v="37"/>
    <n v="1"/>
    <n v="1"/>
  </r>
  <r>
    <m/>
    <m/>
    <x v="1"/>
    <s v="08694261001001"/>
    <n v="-0.35"/>
    <n v="6"/>
    <n v="1"/>
    <n v="1"/>
  </r>
  <r>
    <m/>
    <m/>
    <x v="1"/>
    <s v="08733004003005"/>
    <n v="-41.9"/>
    <n v="719"/>
    <n v="1"/>
    <n v="1"/>
  </r>
  <r>
    <m/>
    <m/>
    <x v="1"/>
    <s v="08749105002001"/>
    <n v="-4.37"/>
    <n v="75"/>
    <n v="1"/>
    <n v="1"/>
  </r>
  <r>
    <m/>
    <m/>
    <x v="1"/>
    <s v="08860390001003"/>
    <n v="-1.63"/>
    <n v="28"/>
    <n v="1"/>
    <n v="1"/>
  </r>
  <r>
    <m/>
    <m/>
    <x v="1"/>
    <s v="08947024001001"/>
    <n v="-25.64"/>
    <n v="440"/>
    <n v="1"/>
    <n v="1"/>
  </r>
  <r>
    <m/>
    <m/>
    <x v="1"/>
    <s v="08951802001002"/>
    <n v="-21.21"/>
    <n v="364"/>
    <n v="1"/>
    <n v="1"/>
  </r>
  <r>
    <m/>
    <m/>
    <x v="1"/>
    <s v="08955164001001"/>
    <n v="-38.58"/>
    <n v="662"/>
    <n v="1"/>
    <n v="1"/>
  </r>
  <r>
    <m/>
    <m/>
    <x v="1"/>
    <s v="09062578001001"/>
    <n v="-0.57999999999999996"/>
    <n v="10"/>
    <n v="1"/>
    <n v="1"/>
  </r>
  <r>
    <m/>
    <m/>
    <x v="1"/>
    <s v="09084610002003"/>
    <n v="-27.28"/>
    <n v="468"/>
    <n v="1"/>
    <n v="1"/>
  </r>
  <r>
    <m/>
    <m/>
    <x v="1"/>
    <s v="09125101001001"/>
    <n v="-12.82"/>
    <n v="220"/>
    <n v="1"/>
    <n v="1"/>
  </r>
  <r>
    <m/>
    <m/>
    <x v="1"/>
    <s v="09315806002001"/>
    <n v="-6.88"/>
    <n v="118"/>
    <n v="1"/>
    <n v="1"/>
  </r>
  <r>
    <m/>
    <m/>
    <x v="1"/>
    <s v="09318796001003"/>
    <n v="-10.14"/>
    <n v="174"/>
    <n v="1"/>
    <n v="1"/>
  </r>
  <r>
    <m/>
    <m/>
    <x v="1"/>
    <s v="09410352001003"/>
    <n v="-40.74"/>
    <n v="699"/>
    <n v="1"/>
    <n v="1"/>
  </r>
  <r>
    <m/>
    <m/>
    <x v="1"/>
    <s v="09448617003001"/>
    <n v="-7.69"/>
    <n v="132"/>
    <n v="1"/>
    <n v="1"/>
  </r>
  <r>
    <m/>
    <m/>
    <x v="1"/>
    <s v="09451288001001"/>
    <n v="-0.47"/>
    <n v="8"/>
    <n v="1"/>
    <n v="1"/>
  </r>
  <r>
    <m/>
    <m/>
    <x v="1"/>
    <s v="09541206010001"/>
    <n v="-12.59"/>
    <n v="216"/>
    <n v="1"/>
    <n v="1"/>
  </r>
  <r>
    <m/>
    <m/>
    <x v="1"/>
    <s v="09717335001001"/>
    <n v="-12.24"/>
    <n v="210"/>
    <n v="1"/>
    <n v="1"/>
  </r>
  <r>
    <m/>
    <m/>
    <x v="1"/>
    <s v="09718241001001"/>
    <n v="-26.17"/>
    <n v="449"/>
    <n v="1"/>
    <n v="1"/>
  </r>
  <r>
    <m/>
    <m/>
    <x v="1"/>
    <s v="09742133005001"/>
    <n v="-2.04"/>
    <n v="35"/>
    <n v="1"/>
    <n v="1"/>
  </r>
  <r>
    <m/>
    <m/>
    <x v="1"/>
    <s v="09771064001005"/>
    <n v="-33.450000000000003"/>
    <n v="574"/>
    <n v="1"/>
    <n v="1"/>
  </r>
  <r>
    <m/>
    <m/>
    <x v="1"/>
    <s v="09830097001003"/>
    <n v="-38.520000000000003"/>
    <n v="661"/>
    <n v="1"/>
    <n v="1"/>
  </r>
  <r>
    <m/>
    <m/>
    <x v="1"/>
    <s v="09956672001005"/>
    <n v="-31.12"/>
    <n v="534"/>
    <n v="1"/>
    <n v="1"/>
  </r>
  <r>
    <m/>
    <m/>
    <x v="1"/>
    <s v="10000443001001"/>
    <n v="-6.59"/>
    <n v="113"/>
    <n v="1"/>
    <n v="1"/>
  </r>
  <r>
    <m/>
    <m/>
    <x v="1"/>
    <s v="10032544001001"/>
    <n v="-19.29"/>
    <n v="331"/>
    <n v="1"/>
    <n v="1"/>
  </r>
  <r>
    <m/>
    <m/>
    <x v="1"/>
    <s v="10059606001005"/>
    <n v="-0.93"/>
    <n v="16"/>
    <n v="1"/>
    <n v="1"/>
  </r>
  <r>
    <m/>
    <m/>
    <x v="1"/>
    <s v="10089238001001"/>
    <n v="-0.28999999999999998"/>
    <n v="5"/>
    <n v="1"/>
    <n v="1"/>
  </r>
  <r>
    <m/>
    <m/>
    <x v="1"/>
    <s v="10119522001001"/>
    <n v="-0.06"/>
    <n v="1"/>
    <n v="1"/>
    <n v="1"/>
  </r>
  <r>
    <m/>
    <m/>
    <x v="1"/>
    <s v="10291136001005"/>
    <n v="-41.73"/>
    <n v="716"/>
    <n v="1"/>
    <n v="1"/>
  </r>
  <r>
    <m/>
    <m/>
    <x v="1"/>
    <s v="10342020001001"/>
    <n v="-12.06"/>
    <n v="207"/>
    <n v="1"/>
    <n v="1"/>
  </r>
  <r>
    <m/>
    <m/>
    <x v="1"/>
    <s v="10377894001016"/>
    <n v="-12.65"/>
    <n v="217"/>
    <n v="1"/>
    <n v="1"/>
  </r>
  <r>
    <m/>
    <m/>
    <x v="1"/>
    <s v="10414127001001"/>
    <n v="-26.4"/>
    <n v="453"/>
    <n v="1"/>
    <n v="1"/>
  </r>
  <r>
    <m/>
    <m/>
    <x v="1"/>
    <s v="10506768001003"/>
    <n v="-2.4500000000000002"/>
    <n v="42"/>
    <n v="1"/>
    <n v="1"/>
  </r>
  <r>
    <m/>
    <m/>
    <x v="1"/>
    <s v="10532169002004"/>
    <n v="-7.93"/>
    <n v="136"/>
    <n v="1"/>
    <n v="1"/>
  </r>
  <r>
    <m/>
    <m/>
    <x v="1"/>
    <s v="10584250001001"/>
    <n v="-2.5099999999999998"/>
    <n v="43"/>
    <n v="1"/>
    <n v="1"/>
  </r>
  <r>
    <m/>
    <m/>
    <x v="1"/>
    <s v="10602704001001"/>
    <n v="-11.07"/>
    <n v="190"/>
    <n v="1"/>
    <n v="1"/>
  </r>
  <r>
    <m/>
    <m/>
    <x v="1"/>
    <s v="10701194001007"/>
    <n v="-11.36"/>
    <n v="195"/>
    <n v="1"/>
    <n v="1"/>
  </r>
  <r>
    <m/>
    <m/>
    <x v="1"/>
    <s v="10792246001002"/>
    <n v="-13.99"/>
    <n v="240"/>
    <n v="1"/>
    <n v="1"/>
  </r>
  <r>
    <m/>
    <m/>
    <x v="1"/>
    <s v="10827202001001"/>
    <n v="-34.33"/>
    <n v="589"/>
    <n v="1"/>
    <n v="1"/>
  </r>
  <r>
    <m/>
    <m/>
    <x v="1"/>
    <s v="10852636002001"/>
    <n v="-34.619999999999997"/>
    <n v="594"/>
    <n v="1"/>
    <n v="1"/>
  </r>
  <r>
    <m/>
    <m/>
    <x v="1"/>
    <s v="10865475001001"/>
    <n v="-31.24"/>
    <n v="536"/>
    <n v="1"/>
    <n v="1"/>
  </r>
  <r>
    <m/>
    <m/>
    <x v="1"/>
    <s v="10948443001012"/>
    <n v="-7.46"/>
    <n v="128"/>
    <n v="1"/>
    <n v="1"/>
  </r>
  <r>
    <m/>
    <m/>
    <x v="1"/>
    <s v="11044266002005"/>
    <n v="-14.16"/>
    <n v="243"/>
    <n v="1"/>
    <n v="1"/>
  </r>
  <r>
    <m/>
    <m/>
    <x v="1"/>
    <s v="11152661004001"/>
    <n v="-4.72"/>
    <n v="81"/>
    <n v="1"/>
    <n v="1"/>
  </r>
  <r>
    <m/>
    <m/>
    <x v="1"/>
    <s v="11181273001011"/>
    <n v="-4.2"/>
    <n v="72"/>
    <n v="1"/>
    <n v="1"/>
  </r>
  <r>
    <m/>
    <m/>
    <x v="1"/>
    <s v="11199375001001"/>
    <n v="-1.28"/>
    <n v="22"/>
    <n v="1"/>
    <n v="1"/>
  </r>
  <r>
    <m/>
    <m/>
    <x v="1"/>
    <s v="11307499001004"/>
    <n v="-22.09"/>
    <n v="379"/>
    <n v="1"/>
    <n v="1"/>
  </r>
  <r>
    <m/>
    <m/>
    <x v="1"/>
    <s v="11381042002003"/>
    <n v="-8.1"/>
    <n v="139"/>
    <n v="1"/>
    <n v="1"/>
  </r>
  <r>
    <m/>
    <m/>
    <x v="1"/>
    <s v="11675325001001"/>
    <n v="-35.840000000000003"/>
    <n v="615"/>
    <n v="1"/>
    <n v="1"/>
  </r>
  <r>
    <m/>
    <m/>
    <x v="1"/>
    <s v="11718825001001"/>
    <n v="-16.32"/>
    <n v="280"/>
    <n v="1"/>
    <n v="1"/>
  </r>
  <r>
    <m/>
    <m/>
    <x v="1"/>
    <s v="11724480001002"/>
    <n v="-3.26"/>
    <n v="56"/>
    <n v="1"/>
    <n v="1"/>
  </r>
  <r>
    <m/>
    <m/>
    <x v="1"/>
    <s v="11864835001004"/>
    <n v="-89.4"/>
    <n v="1534"/>
    <n v="1"/>
    <n v="1"/>
  </r>
  <r>
    <m/>
    <m/>
    <x v="1"/>
    <s v="11865542001003"/>
    <n v="-0.76"/>
    <n v="13"/>
    <n v="1"/>
    <n v="1"/>
  </r>
  <r>
    <m/>
    <m/>
    <x v="1"/>
    <s v="12076406001001"/>
    <n v="-6.24"/>
    <n v="107"/>
    <n v="1"/>
    <n v="1"/>
  </r>
  <r>
    <m/>
    <m/>
    <x v="1"/>
    <s v="12081707001007"/>
    <n v="-24.36"/>
    <n v="418"/>
    <n v="1"/>
    <n v="1"/>
  </r>
  <r>
    <m/>
    <m/>
    <x v="1"/>
    <s v="12161900001001"/>
    <n v="-5.83"/>
    <n v="100"/>
    <n v="1"/>
    <n v="1"/>
  </r>
  <r>
    <m/>
    <m/>
    <x v="1"/>
    <s v="12178408001003"/>
    <n v="-0.76"/>
    <n v="13"/>
    <n v="1"/>
    <n v="1"/>
  </r>
  <r>
    <m/>
    <m/>
    <x v="1"/>
    <s v="12199696001001"/>
    <n v="-6.99"/>
    <n v="120"/>
    <n v="1"/>
    <n v="1"/>
  </r>
  <r>
    <m/>
    <m/>
    <x v="1"/>
    <s v="12325069001003"/>
    <n v="-12.53"/>
    <n v="215"/>
    <n v="1"/>
    <n v="1"/>
  </r>
  <r>
    <m/>
    <m/>
    <x v="1"/>
    <s v="12431136001001"/>
    <n v="-4.95"/>
    <n v="85"/>
    <n v="1"/>
    <n v="1"/>
  </r>
  <r>
    <m/>
    <m/>
    <x v="1"/>
    <s v="12538348002001"/>
    <n v="-35.14"/>
    <n v="603"/>
    <n v="1"/>
    <n v="1"/>
  </r>
  <r>
    <m/>
    <m/>
    <x v="1"/>
    <s v="12640965001001"/>
    <n v="-25.76"/>
    <n v="442"/>
    <n v="1"/>
    <n v="1"/>
  </r>
  <r>
    <m/>
    <m/>
    <x v="1"/>
    <s v="12750086001005"/>
    <n v="-18.18"/>
    <n v="312"/>
    <n v="1"/>
    <n v="1"/>
  </r>
  <r>
    <m/>
    <m/>
    <x v="1"/>
    <s v="12887725001001"/>
    <n v="-13.35"/>
    <n v="229"/>
    <n v="1"/>
    <n v="1"/>
  </r>
  <r>
    <m/>
    <m/>
    <x v="1"/>
    <s v="12890384003001"/>
    <n v="-28.73"/>
    <n v="493"/>
    <n v="1"/>
    <n v="1"/>
  </r>
  <r>
    <m/>
    <m/>
    <x v="1"/>
    <s v="12902462003001"/>
    <n v="-1.75"/>
    <n v="30"/>
    <n v="1"/>
    <n v="1"/>
  </r>
  <r>
    <m/>
    <m/>
    <x v="1"/>
    <s v="12968693001002"/>
    <n v="-2.1"/>
    <n v="36"/>
    <n v="1"/>
    <n v="1"/>
  </r>
  <r>
    <m/>
    <m/>
    <x v="1"/>
    <s v="12974703001005"/>
    <n v="-29.96"/>
    <n v="514"/>
    <n v="1"/>
    <n v="1"/>
  </r>
  <r>
    <m/>
    <m/>
    <x v="1"/>
    <s v="12998199001002"/>
    <n v="-1.63"/>
    <n v="28"/>
    <n v="1"/>
    <n v="1"/>
  </r>
  <r>
    <m/>
    <m/>
    <x v="1"/>
    <s v="13120231001014"/>
    <n v="-0.17"/>
    <n v="3"/>
    <n v="1"/>
    <n v="1"/>
  </r>
  <r>
    <m/>
    <m/>
    <x v="1"/>
    <s v="13147069001001"/>
    <n v="-15.91"/>
    <n v="273"/>
    <n v="1"/>
    <n v="1"/>
  </r>
  <r>
    <m/>
    <m/>
    <x v="1"/>
    <s v="13219544001001"/>
    <n v="-112.71"/>
    <n v="1934"/>
    <n v="1"/>
    <n v="1"/>
  </r>
  <r>
    <m/>
    <m/>
    <x v="1"/>
    <s v="13319972001001"/>
    <n v="-2.68"/>
    <n v="46"/>
    <n v="1"/>
    <n v="1"/>
  </r>
  <r>
    <m/>
    <m/>
    <x v="1"/>
    <s v="13434804001011"/>
    <n v="-24.89"/>
    <n v="427"/>
    <n v="1"/>
    <n v="1"/>
  </r>
  <r>
    <m/>
    <m/>
    <x v="1"/>
    <s v="13623153001006"/>
    <n v="-18.82"/>
    <n v="323"/>
    <n v="1"/>
    <n v="1"/>
  </r>
  <r>
    <m/>
    <m/>
    <x v="1"/>
    <s v="13664271001001"/>
    <n v="-5.01"/>
    <n v="86"/>
    <n v="1"/>
    <n v="1"/>
  </r>
  <r>
    <m/>
    <m/>
    <x v="1"/>
    <s v="13666615002003"/>
    <n v="-10.43"/>
    <n v="179"/>
    <n v="1"/>
    <n v="1"/>
  </r>
  <r>
    <m/>
    <m/>
    <x v="1"/>
    <s v="13731146001001"/>
    <n v="-0.17"/>
    <n v="3"/>
    <n v="1"/>
    <n v="1"/>
  </r>
  <r>
    <m/>
    <m/>
    <x v="1"/>
    <s v="13794916004003"/>
    <n v="-33.39"/>
    <n v="573"/>
    <n v="1"/>
    <n v="1"/>
  </r>
  <r>
    <m/>
    <m/>
    <x v="1"/>
    <s v="13882655001005"/>
    <n v="-46.45"/>
    <n v="797"/>
    <n v="1"/>
    <n v="1"/>
  </r>
  <r>
    <m/>
    <m/>
    <x v="1"/>
    <s v="14105636001003"/>
    <n v="-34.15"/>
    <n v="586"/>
    <n v="1"/>
    <n v="1"/>
  </r>
  <r>
    <m/>
    <m/>
    <x v="1"/>
    <s v="14112463001010"/>
    <n v="-31.3"/>
    <n v="537"/>
    <n v="1"/>
    <n v="1"/>
  </r>
  <r>
    <m/>
    <m/>
    <x v="1"/>
    <s v="14122852001003"/>
    <n v="-27.74"/>
    <n v="476"/>
    <n v="1"/>
    <n v="1"/>
  </r>
  <r>
    <m/>
    <m/>
    <x v="1"/>
    <s v="14123583001011"/>
    <n v="-3.85"/>
    <n v="66"/>
    <n v="1"/>
    <n v="1"/>
  </r>
  <r>
    <m/>
    <m/>
    <x v="1"/>
    <s v="14125814001005"/>
    <n v="-7.05"/>
    <n v="121"/>
    <n v="1"/>
    <n v="1"/>
  </r>
  <r>
    <m/>
    <m/>
    <x v="1"/>
    <s v="14158880001001"/>
    <n v="-24.36"/>
    <n v="418"/>
    <n v="1"/>
    <n v="1"/>
  </r>
  <r>
    <m/>
    <m/>
    <x v="1"/>
    <s v="14171251001006"/>
    <n v="-8.6300000000000008"/>
    <n v="148"/>
    <n v="1"/>
    <n v="1"/>
  </r>
  <r>
    <m/>
    <m/>
    <x v="1"/>
    <s v="14201594001002"/>
    <n v="-7.87"/>
    <n v="135"/>
    <n v="1"/>
    <n v="1"/>
  </r>
  <r>
    <m/>
    <m/>
    <x v="1"/>
    <s v="14414244001001"/>
    <n v="-21.8"/>
    <n v="374"/>
    <n v="1"/>
    <n v="1"/>
  </r>
  <r>
    <m/>
    <m/>
    <x v="1"/>
    <s v="14417667001001"/>
    <n v="-0.28999999999999998"/>
    <n v="5"/>
    <n v="1"/>
    <n v="1"/>
  </r>
  <r>
    <m/>
    <m/>
    <x v="1"/>
    <s v="14544335001001"/>
    <n v="-2.04"/>
    <n v="35"/>
    <n v="1"/>
    <n v="1"/>
  </r>
  <r>
    <m/>
    <m/>
    <x v="1"/>
    <s v="14546711001003"/>
    <n v="-0.41"/>
    <n v="7"/>
    <n v="1"/>
    <n v="1"/>
  </r>
  <r>
    <m/>
    <m/>
    <x v="1"/>
    <s v="14584319001001"/>
    <n v="-38.58"/>
    <n v="662"/>
    <n v="1"/>
    <n v="1"/>
  </r>
  <r>
    <m/>
    <m/>
    <x v="1"/>
    <s v="14606942002003"/>
    <n v="-8.39"/>
    <n v="144"/>
    <n v="1"/>
    <n v="1"/>
  </r>
  <r>
    <m/>
    <m/>
    <x v="1"/>
    <s v="14688187005003"/>
    <n v="-4.25"/>
    <n v="73"/>
    <n v="1"/>
    <n v="1"/>
  </r>
  <r>
    <m/>
    <m/>
    <x v="1"/>
    <s v="14767126002001"/>
    <n v="-68.89"/>
    <n v="1182"/>
    <n v="1"/>
    <n v="1"/>
  </r>
  <r>
    <m/>
    <m/>
    <x v="1"/>
    <s v="14932788004002"/>
    <n v="-24.89"/>
    <n v="427"/>
    <n v="1"/>
    <n v="1"/>
  </r>
  <r>
    <m/>
    <m/>
    <x v="1"/>
    <s v="14988573003007"/>
    <n v="-4.55"/>
    <n v="78"/>
    <n v="1"/>
    <n v="1"/>
  </r>
  <r>
    <m/>
    <m/>
    <x v="1"/>
    <s v="15024480001003"/>
    <n v="-120.64"/>
    <n v="2070"/>
    <n v="1"/>
    <n v="1"/>
  </r>
  <r>
    <m/>
    <m/>
    <x v="1"/>
    <s v="15264531001003"/>
    <n v="-1.22"/>
    <n v="21"/>
    <n v="1"/>
    <n v="1"/>
  </r>
  <r>
    <m/>
    <m/>
    <x v="1"/>
    <s v="15327433006001"/>
    <n v="-67.489999999999995"/>
    <n v="1158"/>
    <n v="1"/>
    <n v="1"/>
  </r>
  <r>
    <m/>
    <m/>
    <x v="1"/>
    <s v="15371962001008"/>
    <n v="-1.34"/>
    <n v="23"/>
    <n v="1"/>
    <n v="1"/>
  </r>
  <r>
    <m/>
    <m/>
    <x v="1"/>
    <s v="15399217001007"/>
    <n v="-19"/>
    <n v="326"/>
    <n v="1"/>
    <n v="1"/>
  </r>
  <r>
    <m/>
    <m/>
    <x v="1"/>
    <s v="15497150001007"/>
    <n v="-19.29"/>
    <n v="331"/>
    <n v="1"/>
    <n v="1"/>
  </r>
  <r>
    <m/>
    <m/>
    <x v="1"/>
    <s v="15503574001005"/>
    <n v="-4.08"/>
    <n v="70"/>
    <n v="1"/>
    <n v="1"/>
  </r>
  <r>
    <m/>
    <m/>
    <x v="1"/>
    <s v="15511956001001"/>
    <n v="-29.49"/>
    <n v="506"/>
    <n v="1"/>
    <n v="1"/>
  </r>
  <r>
    <m/>
    <m/>
    <x v="1"/>
    <s v="15544695002003"/>
    <n v="-21.04"/>
    <n v="361"/>
    <n v="1"/>
    <n v="1"/>
  </r>
  <r>
    <m/>
    <m/>
    <x v="1"/>
    <s v="15605670001005"/>
    <n v="-2.21"/>
    <n v="38"/>
    <n v="1"/>
    <n v="1"/>
  </r>
  <r>
    <m/>
    <m/>
    <x v="1"/>
    <s v="15718240001002"/>
    <n v="-6.35"/>
    <n v="109"/>
    <n v="1"/>
    <n v="1"/>
  </r>
  <r>
    <m/>
    <m/>
    <x v="1"/>
    <s v="15728259001001"/>
    <n v="-31.88"/>
    <n v="547"/>
    <n v="1"/>
    <n v="1"/>
  </r>
  <r>
    <m/>
    <m/>
    <x v="1"/>
    <s v="15745592001001"/>
    <n v="-31.47"/>
    <n v="540"/>
    <n v="1"/>
    <n v="1"/>
  </r>
  <r>
    <m/>
    <m/>
    <x v="1"/>
    <s v="15908468001001"/>
    <n v="-31.41"/>
    <n v="539"/>
    <n v="1"/>
    <n v="1"/>
  </r>
  <r>
    <m/>
    <m/>
    <x v="1"/>
    <s v="15925995001001"/>
    <n v="-5.48"/>
    <n v="94"/>
    <n v="1"/>
    <n v="1"/>
  </r>
  <r>
    <m/>
    <m/>
    <x v="1"/>
    <s v="16066827003001"/>
    <n v="-17.37"/>
    <n v="298"/>
    <n v="1"/>
    <n v="1"/>
  </r>
  <r>
    <m/>
    <m/>
    <x v="1"/>
    <s v="16098772001001"/>
    <n v="-1.52"/>
    <n v="26"/>
    <n v="1"/>
    <n v="1"/>
  </r>
  <r>
    <m/>
    <m/>
    <x v="1"/>
    <s v="16099578001001"/>
    <n v="-14.63"/>
    <n v="251"/>
    <n v="1"/>
    <n v="1"/>
  </r>
  <r>
    <m/>
    <m/>
    <x v="1"/>
    <s v="16127640001003"/>
    <n v="-1.63"/>
    <n v="28"/>
    <n v="1"/>
    <n v="1"/>
  </r>
  <r>
    <m/>
    <m/>
    <x v="1"/>
    <s v="16141513003001"/>
    <n v="-21.56"/>
    <n v="370"/>
    <n v="1"/>
    <n v="1"/>
  </r>
  <r>
    <m/>
    <m/>
    <x v="1"/>
    <s v="16174085001001"/>
    <n v="-18.53"/>
    <n v="318"/>
    <n v="1"/>
    <n v="1"/>
  </r>
  <r>
    <m/>
    <m/>
    <x v="1"/>
    <s v="16175755001003"/>
    <n v="-1.86"/>
    <n v="32"/>
    <n v="1"/>
    <n v="1"/>
  </r>
  <r>
    <m/>
    <m/>
    <x v="1"/>
    <s v="16222691001005"/>
    <n v="-11.36"/>
    <n v="195"/>
    <n v="1"/>
    <n v="1"/>
  </r>
  <r>
    <m/>
    <m/>
    <x v="1"/>
    <s v="16428953002001"/>
    <n v="-2.97"/>
    <n v="51"/>
    <n v="1"/>
    <n v="1"/>
  </r>
  <r>
    <m/>
    <m/>
    <x v="1"/>
    <s v="16450177001001"/>
    <n v="-5.94"/>
    <n v="102"/>
    <n v="1"/>
    <n v="1"/>
  </r>
  <r>
    <m/>
    <m/>
    <x v="1"/>
    <s v="16568578002001"/>
    <n v="-18.71"/>
    <n v="321"/>
    <n v="1"/>
    <n v="1"/>
  </r>
  <r>
    <m/>
    <m/>
    <x v="1"/>
    <s v="16580528001001"/>
    <n v="-0.57999999999999996"/>
    <n v="10"/>
    <n v="1"/>
    <n v="1"/>
  </r>
  <r>
    <m/>
    <m/>
    <x v="1"/>
    <s v="16766325001001"/>
    <n v="-6.12"/>
    <n v="105"/>
    <n v="1"/>
    <n v="1"/>
  </r>
  <r>
    <m/>
    <m/>
    <x v="1"/>
    <s v="16821471001003"/>
    <n v="-1.98"/>
    <n v="34"/>
    <n v="1"/>
    <n v="1"/>
  </r>
  <r>
    <m/>
    <m/>
    <x v="1"/>
    <s v="16865540003001"/>
    <n v="-13.46"/>
    <n v="231"/>
    <n v="1"/>
    <n v="1"/>
  </r>
  <r>
    <m/>
    <m/>
    <x v="1"/>
    <s v="16940606001001"/>
    <n v="-4.66"/>
    <n v="80"/>
    <n v="1"/>
    <n v="1"/>
  </r>
  <r>
    <m/>
    <m/>
    <x v="1"/>
    <s v="16946064001004"/>
    <n v="-3.15"/>
    <n v="54"/>
    <n v="1"/>
    <n v="1"/>
  </r>
  <r>
    <m/>
    <m/>
    <x v="1"/>
    <s v="17002950001001"/>
    <n v="-30.95"/>
    <n v="531"/>
    <n v="1"/>
    <n v="1"/>
  </r>
  <r>
    <m/>
    <m/>
    <x v="1"/>
    <s v="17053300001004"/>
    <n v="-2.04"/>
    <n v="35"/>
    <n v="1"/>
    <n v="1"/>
  </r>
  <r>
    <m/>
    <m/>
    <x v="1"/>
    <s v="17064549001001"/>
    <n v="-5.3"/>
    <n v="91"/>
    <n v="1"/>
    <n v="1"/>
  </r>
  <r>
    <m/>
    <m/>
    <x v="1"/>
    <s v="17196615001005"/>
    <n v="-0.57999999999999996"/>
    <n v="10"/>
    <n v="1"/>
    <n v="1"/>
  </r>
  <r>
    <m/>
    <m/>
    <x v="1"/>
    <s v="17236061001003"/>
    <n v="-18.3"/>
    <n v="314"/>
    <n v="1"/>
    <n v="1"/>
  </r>
  <r>
    <m/>
    <m/>
    <x v="1"/>
    <s v="17378301001002"/>
    <n v="-87.48"/>
    <n v="1501"/>
    <n v="1"/>
    <n v="1"/>
  </r>
  <r>
    <m/>
    <m/>
    <x v="1"/>
    <s v="17606006001001"/>
    <n v="-21.86"/>
    <n v="375"/>
    <n v="1"/>
    <n v="1"/>
  </r>
  <r>
    <m/>
    <m/>
    <x v="1"/>
    <s v="17640682001003"/>
    <n v="-24.24"/>
    <n v="416"/>
    <n v="1"/>
    <n v="1"/>
  </r>
  <r>
    <m/>
    <m/>
    <x v="1"/>
    <s v="17704374001008"/>
    <n v="-5.65"/>
    <n v="97"/>
    <n v="1"/>
    <n v="1"/>
  </r>
  <r>
    <m/>
    <m/>
    <x v="1"/>
    <s v="17847574002001"/>
    <n v="-29.2"/>
    <n v="501"/>
    <n v="1"/>
    <n v="1"/>
  </r>
  <r>
    <m/>
    <m/>
    <x v="1"/>
    <s v="17860325001001"/>
    <n v="-6.18"/>
    <n v="106"/>
    <n v="1"/>
    <n v="1"/>
  </r>
  <r>
    <m/>
    <m/>
    <x v="1"/>
    <s v="18046704001003"/>
    <n v="-1.92"/>
    <n v="33"/>
    <n v="1"/>
    <n v="1"/>
  </r>
  <r>
    <m/>
    <m/>
    <x v="1"/>
    <s v="18064895001005"/>
    <n v="-17.02"/>
    <n v="292"/>
    <n v="1"/>
    <n v="1"/>
  </r>
  <r>
    <m/>
    <m/>
    <x v="1"/>
    <s v="18093249001001"/>
    <n v="-10.96"/>
    <n v="188"/>
    <n v="1"/>
    <n v="1"/>
  </r>
  <r>
    <m/>
    <m/>
    <x v="1"/>
    <s v="18264564004001"/>
    <n v="-12.47"/>
    <n v="214"/>
    <n v="1"/>
    <n v="1"/>
  </r>
  <r>
    <m/>
    <m/>
    <x v="1"/>
    <s v="18510970001001"/>
    <n v="-19.989999999999998"/>
    <n v="343"/>
    <n v="1"/>
    <n v="1"/>
  </r>
  <r>
    <m/>
    <m/>
    <x v="1"/>
    <s v="18558909001002"/>
    <n v="-27.92"/>
    <n v="479"/>
    <n v="1"/>
    <n v="1"/>
  </r>
  <r>
    <m/>
    <m/>
    <x v="1"/>
    <s v="18573993001002"/>
    <n v="-3.09"/>
    <n v="53"/>
    <n v="1"/>
    <n v="1"/>
  </r>
  <r>
    <m/>
    <m/>
    <x v="1"/>
    <s v="18598550001006"/>
    <n v="-0.12"/>
    <n v="2"/>
    <n v="1"/>
    <n v="1"/>
  </r>
  <r>
    <m/>
    <m/>
    <x v="1"/>
    <s v="18699890007001"/>
    <n v="-6.82"/>
    <n v="117"/>
    <n v="1"/>
    <n v="1"/>
  </r>
  <r>
    <m/>
    <m/>
    <x v="1"/>
    <s v="18882101006001"/>
    <n v="-71.33"/>
    <n v="1224"/>
    <n v="1"/>
    <n v="1"/>
  </r>
  <r>
    <m/>
    <m/>
    <x v="1"/>
    <s v="18891872005001"/>
    <n v="-1.57"/>
    <n v="27"/>
    <n v="1"/>
    <n v="1"/>
  </r>
  <r>
    <m/>
    <m/>
    <x v="1"/>
    <s v="18896376002001"/>
    <n v="-90.86"/>
    <n v="1559"/>
    <n v="1"/>
    <n v="1"/>
  </r>
  <r>
    <m/>
    <m/>
    <x v="1"/>
    <s v="18898892001005"/>
    <n v="-2.21"/>
    <n v="38"/>
    <n v="1"/>
    <n v="1"/>
  </r>
  <r>
    <m/>
    <m/>
    <x v="1"/>
    <s v="18964849002003"/>
    <n v="-8.4499999999999993"/>
    <n v="145"/>
    <n v="1"/>
    <n v="1"/>
  </r>
  <r>
    <m/>
    <m/>
    <x v="1"/>
    <s v="19027224008001"/>
    <n v="-0.93"/>
    <n v="16"/>
    <n v="1"/>
    <n v="1"/>
  </r>
  <r>
    <m/>
    <m/>
    <x v="1"/>
    <s v="19066582001001"/>
    <n v="-12.41"/>
    <n v="213"/>
    <n v="1"/>
    <n v="1"/>
  </r>
  <r>
    <m/>
    <m/>
    <x v="1"/>
    <s v="19112010001001"/>
    <n v="-21.16"/>
    <n v="363"/>
    <n v="1"/>
    <n v="1"/>
  </r>
  <r>
    <m/>
    <m/>
    <x v="1"/>
    <s v="19229155004001"/>
    <n v="-29.55"/>
    <n v="507"/>
    <n v="1"/>
    <n v="1"/>
  </r>
  <r>
    <m/>
    <m/>
    <x v="1"/>
    <s v="19248493001003"/>
    <n v="-9.7899999999999991"/>
    <n v="168"/>
    <n v="1"/>
    <n v="1"/>
  </r>
  <r>
    <m/>
    <m/>
    <x v="1"/>
    <s v="19280275005001"/>
    <n v="-20.98"/>
    <n v="360"/>
    <n v="1"/>
    <n v="1"/>
  </r>
  <r>
    <m/>
    <m/>
    <x v="1"/>
    <s v="19435050001006"/>
    <n v="-3.03"/>
    <n v="52"/>
    <n v="1"/>
    <n v="1"/>
  </r>
  <r>
    <m/>
    <m/>
    <x v="1"/>
    <s v="19485422001001"/>
    <n v="-1.52"/>
    <n v="26"/>
    <n v="1"/>
    <n v="1"/>
  </r>
  <r>
    <m/>
    <m/>
    <x v="1"/>
    <s v="19496026001002"/>
    <n v="-8.39"/>
    <n v="144"/>
    <n v="1"/>
    <n v="1"/>
  </r>
  <r>
    <m/>
    <m/>
    <x v="1"/>
    <s v="19532482001001"/>
    <n v="-13.05"/>
    <n v="224"/>
    <n v="1"/>
    <n v="1"/>
  </r>
  <r>
    <m/>
    <m/>
    <x v="1"/>
    <s v="19562566001001"/>
    <n v="-20.399999999999999"/>
    <n v="350"/>
    <n v="1"/>
    <n v="1"/>
  </r>
  <r>
    <m/>
    <m/>
    <x v="1"/>
    <s v="19625257001005"/>
    <n v="-2.74"/>
    <n v="47"/>
    <n v="1"/>
    <n v="1"/>
  </r>
  <r>
    <m/>
    <m/>
    <x v="1"/>
    <s v="19649729001001"/>
    <n v="-22.96"/>
    <n v="394"/>
    <n v="1"/>
    <n v="1"/>
  </r>
  <r>
    <m/>
    <m/>
    <x v="1"/>
    <s v="19655093001001"/>
    <n v="-2.74"/>
    <n v="47"/>
    <n v="1"/>
    <n v="1"/>
  </r>
  <r>
    <m/>
    <m/>
    <x v="1"/>
    <s v="19672934001001"/>
    <n v="-20.399999999999999"/>
    <n v="350"/>
    <n v="1"/>
    <n v="1"/>
  </r>
  <r>
    <m/>
    <m/>
    <x v="1"/>
    <s v="19760888001002"/>
    <n v="-0.41"/>
    <n v="7"/>
    <n v="1"/>
    <n v="1"/>
  </r>
  <r>
    <m/>
    <m/>
    <x v="1"/>
    <s v="19858663001009"/>
    <n v="-18.36"/>
    <n v="315"/>
    <n v="1"/>
    <n v="1"/>
  </r>
  <r>
    <m/>
    <m/>
    <x v="1"/>
    <s v="19974784001003"/>
    <n v="-2.97"/>
    <n v="51"/>
    <n v="1"/>
    <n v="1"/>
  </r>
  <r>
    <m/>
    <m/>
    <x v="1"/>
    <s v="19984502001006"/>
    <n v="-20.46"/>
    <n v="351"/>
    <n v="1"/>
    <n v="1"/>
  </r>
  <r>
    <m/>
    <m/>
    <x v="1"/>
    <s v="20017970001001"/>
    <n v="-1.52"/>
    <n v="26"/>
    <n v="1"/>
    <n v="1"/>
  </r>
  <r>
    <m/>
    <m/>
    <x v="1"/>
    <s v="20104962001001"/>
    <n v="-18.59"/>
    <n v="319"/>
    <n v="1"/>
    <n v="1"/>
  </r>
  <r>
    <m/>
    <m/>
    <x v="1"/>
    <s v="20109404001004"/>
    <n v="-2.1"/>
    <n v="36"/>
    <n v="1"/>
    <n v="1"/>
  </r>
  <r>
    <m/>
    <m/>
    <x v="1"/>
    <s v="20111439001001"/>
    <n v="-4.84"/>
    <n v="83"/>
    <n v="1"/>
    <n v="1"/>
  </r>
  <r>
    <m/>
    <m/>
    <x v="1"/>
    <s v="20180113005001"/>
    <n v="-67.02"/>
    <n v="1150"/>
    <n v="1"/>
    <n v="1"/>
  </r>
  <r>
    <m/>
    <m/>
    <x v="1"/>
    <s v="20263571001001"/>
    <n v="-0.17"/>
    <n v="3"/>
    <n v="1"/>
    <n v="1"/>
  </r>
  <r>
    <m/>
    <m/>
    <x v="1"/>
    <s v="20271876001002"/>
    <n v="-21.51"/>
    <n v="369"/>
    <n v="1"/>
    <n v="1"/>
  </r>
  <r>
    <m/>
    <m/>
    <x v="1"/>
    <s v="20346784001001"/>
    <n v="-15.91"/>
    <n v="273"/>
    <n v="1"/>
    <n v="1"/>
  </r>
  <r>
    <m/>
    <m/>
    <x v="1"/>
    <s v="20353719002001"/>
    <n v="-27.16"/>
    <n v="466"/>
    <n v="1"/>
    <n v="1"/>
  </r>
  <r>
    <m/>
    <m/>
    <x v="1"/>
    <s v="20394809001002"/>
    <n v="-17.13"/>
    <n v="294"/>
    <n v="1"/>
    <n v="1"/>
  </r>
  <r>
    <m/>
    <m/>
    <x v="1"/>
    <s v="20495106003001"/>
    <n v="-31"/>
    <n v="532"/>
    <n v="1"/>
    <n v="1"/>
  </r>
  <r>
    <m/>
    <m/>
    <x v="1"/>
    <s v="20643460001006"/>
    <n v="-34.21"/>
    <n v="587"/>
    <n v="1"/>
    <n v="1"/>
  </r>
  <r>
    <m/>
    <m/>
    <x v="1"/>
    <s v="20661619001004"/>
    <n v="-11.66"/>
    <n v="200"/>
    <n v="1"/>
    <n v="1"/>
  </r>
  <r>
    <m/>
    <m/>
    <x v="1"/>
    <s v="20667329001003"/>
    <n v="-25.7"/>
    <n v="441"/>
    <n v="1"/>
    <n v="1"/>
  </r>
  <r>
    <m/>
    <m/>
    <x v="1"/>
    <s v="20924266001001"/>
    <n v="-6.53"/>
    <n v="112"/>
    <n v="1"/>
    <n v="1"/>
  </r>
  <r>
    <m/>
    <m/>
    <x v="1"/>
    <s v="20988421001001"/>
    <n v="-23.14"/>
    <n v="397"/>
    <n v="1"/>
    <n v="1"/>
  </r>
  <r>
    <m/>
    <m/>
    <x v="1"/>
    <s v="21000703003001"/>
    <n v="-5.59"/>
    <n v="96"/>
    <n v="1"/>
    <n v="1"/>
  </r>
  <r>
    <m/>
    <m/>
    <x v="1"/>
    <s v="21014172001007"/>
    <n v="-10.55"/>
    <n v="181"/>
    <n v="1"/>
    <n v="1"/>
  </r>
  <r>
    <m/>
    <m/>
    <x v="1"/>
    <s v="21076316001002"/>
    <n v="-47.03"/>
    <n v="807"/>
    <n v="1"/>
    <n v="1"/>
  </r>
  <r>
    <m/>
    <m/>
    <x v="1"/>
    <s v="21211434001004"/>
    <n v="-37.590000000000003"/>
    <n v="645"/>
    <n v="1"/>
    <n v="1"/>
  </r>
  <r>
    <m/>
    <m/>
    <x v="1"/>
    <s v="21227003001003"/>
    <n v="-37.770000000000003"/>
    <n v="648"/>
    <n v="1"/>
    <n v="1"/>
  </r>
  <r>
    <m/>
    <m/>
    <x v="1"/>
    <s v="21262148002004"/>
    <n v="-4.08"/>
    <n v="70"/>
    <n v="1"/>
    <n v="1"/>
  </r>
  <r>
    <m/>
    <m/>
    <x v="1"/>
    <s v="21404658001001"/>
    <n v="-6.29"/>
    <n v="108"/>
    <n v="1"/>
    <n v="1"/>
  </r>
  <r>
    <m/>
    <m/>
    <x v="1"/>
    <s v="21428566001001"/>
    <n v="-0.47"/>
    <n v="8"/>
    <n v="1"/>
    <n v="1"/>
  </r>
  <r>
    <m/>
    <m/>
    <x v="1"/>
    <s v="21469093001007"/>
    <n v="-2.4500000000000002"/>
    <n v="42"/>
    <n v="1"/>
    <n v="1"/>
  </r>
  <r>
    <m/>
    <m/>
    <x v="1"/>
    <s v="21525125003001"/>
    <n v="-2.74"/>
    <n v="47"/>
    <n v="1"/>
    <n v="1"/>
  </r>
  <r>
    <m/>
    <m/>
    <x v="1"/>
    <s v="21530313001003"/>
    <n v="-7.05"/>
    <n v="121"/>
    <n v="1"/>
    <n v="1"/>
  </r>
  <r>
    <m/>
    <m/>
    <x v="1"/>
    <s v="21546690001003"/>
    <n v="-11.42"/>
    <n v="196"/>
    <n v="1"/>
    <n v="1"/>
  </r>
  <r>
    <m/>
    <m/>
    <x v="1"/>
    <s v="21594867001004"/>
    <n v="-60.03"/>
    <n v="1030"/>
    <n v="1"/>
    <n v="1"/>
  </r>
  <r>
    <m/>
    <m/>
    <x v="1"/>
    <s v="21645618001001"/>
    <n v="-30.25"/>
    <n v="519"/>
    <n v="1"/>
    <n v="1"/>
  </r>
  <r>
    <m/>
    <m/>
    <x v="1"/>
    <s v="21653812001006"/>
    <n v="-30.83"/>
    <n v="529"/>
    <n v="1"/>
    <n v="1"/>
  </r>
  <r>
    <m/>
    <m/>
    <x v="1"/>
    <s v="21694077001003"/>
    <n v="-18.53"/>
    <n v="318"/>
    <n v="1"/>
    <n v="1"/>
  </r>
  <r>
    <m/>
    <m/>
    <x v="1"/>
    <s v="21855033001004"/>
    <n v="-34.79"/>
    <n v="597"/>
    <n v="1"/>
    <n v="1"/>
  </r>
  <r>
    <m/>
    <m/>
    <x v="1"/>
    <s v="21953308001001"/>
    <n v="-0.47"/>
    <n v="8"/>
    <n v="1"/>
    <n v="1"/>
  </r>
  <r>
    <m/>
    <m/>
    <x v="1"/>
    <s v="22010468001003"/>
    <n v="-2.91"/>
    <n v="50"/>
    <n v="1"/>
    <n v="1"/>
  </r>
  <r>
    <m/>
    <m/>
    <x v="1"/>
    <s v="22062156001001"/>
    <n v="-25.7"/>
    <n v="441"/>
    <n v="1"/>
    <n v="1"/>
  </r>
  <r>
    <m/>
    <m/>
    <x v="1"/>
    <s v="22102529001008"/>
    <n v="-10.55"/>
    <n v="181"/>
    <n v="1"/>
    <n v="1"/>
  </r>
  <r>
    <m/>
    <m/>
    <x v="1"/>
    <s v="22186059001001"/>
    <n v="-14.8"/>
    <n v="254"/>
    <n v="1"/>
    <n v="1"/>
  </r>
  <r>
    <m/>
    <m/>
    <x v="1"/>
    <s v="22203493001001"/>
    <n v="-6.24"/>
    <n v="107"/>
    <n v="1"/>
    <n v="1"/>
  </r>
  <r>
    <m/>
    <m/>
    <x v="1"/>
    <s v="22361013001001"/>
    <n v="-58.22"/>
    <n v="999"/>
    <n v="1"/>
    <n v="1"/>
  </r>
  <r>
    <m/>
    <m/>
    <x v="1"/>
    <s v="22368801002001"/>
    <n v="-40.56"/>
    <n v="696"/>
    <n v="1"/>
    <n v="1"/>
  </r>
  <r>
    <m/>
    <m/>
    <x v="1"/>
    <s v="22381989001002"/>
    <n v="-1.22"/>
    <n v="21"/>
    <n v="1"/>
    <n v="1"/>
  </r>
  <r>
    <m/>
    <m/>
    <x v="1"/>
    <s v="22424413001003"/>
    <n v="-9.0299999999999994"/>
    <n v="155"/>
    <n v="1"/>
    <n v="1"/>
  </r>
  <r>
    <m/>
    <m/>
    <x v="1"/>
    <s v="22448306001009"/>
    <n v="-21.27"/>
    <n v="365"/>
    <n v="1"/>
    <n v="1"/>
  </r>
  <r>
    <m/>
    <m/>
    <x v="1"/>
    <s v="22461172001010"/>
    <n v="-7.87"/>
    <n v="135"/>
    <n v="1"/>
    <n v="1"/>
  </r>
  <r>
    <m/>
    <m/>
    <x v="1"/>
    <s v="22537776001001"/>
    <n v="-13.29"/>
    <n v="228"/>
    <n v="1"/>
    <n v="1"/>
  </r>
  <r>
    <m/>
    <m/>
    <x v="1"/>
    <s v="22697285001003"/>
    <n v="-14.57"/>
    <n v="250"/>
    <n v="1"/>
    <n v="1"/>
  </r>
  <r>
    <m/>
    <m/>
    <x v="1"/>
    <s v="22816970001003"/>
    <n v="-28.27"/>
    <n v="485"/>
    <n v="1"/>
    <n v="1"/>
  </r>
  <r>
    <m/>
    <m/>
    <x v="1"/>
    <s v="22843975001009"/>
    <n v="-18.18"/>
    <n v="312"/>
    <n v="1"/>
    <n v="1"/>
  </r>
  <r>
    <m/>
    <m/>
    <x v="1"/>
    <s v="22849605002001"/>
    <n v="-11.48"/>
    <n v="197"/>
    <n v="1"/>
    <n v="1"/>
  </r>
  <r>
    <m/>
    <m/>
    <x v="1"/>
    <s v="22970260001002"/>
    <n v="-3.15"/>
    <n v="54"/>
    <n v="1"/>
    <n v="1"/>
  </r>
  <r>
    <m/>
    <m/>
    <x v="1"/>
    <s v="23056711001001"/>
    <n v="-26.4"/>
    <n v="453"/>
    <n v="1"/>
    <n v="1"/>
  </r>
  <r>
    <m/>
    <m/>
    <x v="1"/>
    <s v="23072089004002"/>
    <n v="-17.829999999999998"/>
    <n v="306"/>
    <n v="1"/>
    <n v="1"/>
  </r>
  <r>
    <m/>
    <m/>
    <x v="1"/>
    <s v="23143876001001"/>
    <n v="-2.4500000000000002"/>
    <n v="42"/>
    <n v="1"/>
    <n v="1"/>
  </r>
  <r>
    <m/>
    <m/>
    <x v="1"/>
    <s v="23207064001009"/>
    <n v="-7.23"/>
    <n v="124"/>
    <n v="1"/>
    <n v="1"/>
  </r>
  <r>
    <m/>
    <m/>
    <x v="1"/>
    <s v="23396729002001"/>
    <n v="-27.68"/>
    <n v="475"/>
    <n v="1"/>
    <n v="1"/>
  </r>
  <r>
    <m/>
    <m/>
    <x v="1"/>
    <s v="23453749007001"/>
    <n v="-28.79"/>
    <n v="494"/>
    <n v="1"/>
    <n v="1"/>
  </r>
  <r>
    <m/>
    <m/>
    <x v="1"/>
    <s v="23600074001001"/>
    <n v="-11.01"/>
    <n v="189"/>
    <n v="1"/>
    <n v="1"/>
  </r>
  <r>
    <m/>
    <m/>
    <x v="1"/>
    <s v="23634903001001"/>
    <n v="-8.1"/>
    <n v="139"/>
    <n v="1"/>
    <n v="1"/>
  </r>
  <r>
    <m/>
    <m/>
    <x v="1"/>
    <s v="23714586001003"/>
    <n v="-2.91"/>
    <n v="50"/>
    <n v="1"/>
    <n v="1"/>
  </r>
  <r>
    <m/>
    <m/>
    <x v="1"/>
    <s v="23784674001004"/>
    <n v="-5.01"/>
    <n v="86"/>
    <n v="1"/>
    <n v="1"/>
  </r>
  <r>
    <m/>
    <m/>
    <x v="1"/>
    <s v="23879667001001"/>
    <n v="-8.57"/>
    <n v="147"/>
    <n v="1"/>
    <n v="1"/>
  </r>
  <r>
    <m/>
    <m/>
    <x v="1"/>
    <s v="23937121001001"/>
    <n v="-9.0299999999999994"/>
    <n v="155"/>
    <n v="1"/>
    <n v="1"/>
  </r>
  <r>
    <m/>
    <m/>
    <x v="1"/>
    <s v="23975539001003"/>
    <n v="-48.26"/>
    <n v="828"/>
    <n v="1"/>
    <n v="1"/>
  </r>
  <r>
    <m/>
    <m/>
    <x v="1"/>
    <s v="24047839001001"/>
    <n v="-47.91"/>
    <n v="822"/>
    <n v="1"/>
    <n v="1"/>
  </r>
  <r>
    <m/>
    <m/>
    <x v="1"/>
    <s v="24300134001001"/>
    <n v="-3.9"/>
    <n v="67"/>
    <n v="1"/>
    <n v="1"/>
  </r>
  <r>
    <m/>
    <m/>
    <x v="1"/>
    <s v="24336943003005"/>
    <n v="-116.85"/>
    <n v="2005"/>
    <n v="1"/>
    <n v="1"/>
  </r>
  <r>
    <m/>
    <m/>
    <x v="1"/>
    <s v="24434887002003"/>
    <n v="-5.25"/>
    <n v="90"/>
    <n v="1"/>
    <n v="1"/>
  </r>
  <r>
    <m/>
    <m/>
    <x v="1"/>
    <s v="24503591001001"/>
    <n v="-30.71"/>
    <n v="527"/>
    <n v="1"/>
    <n v="1"/>
  </r>
  <r>
    <m/>
    <m/>
    <x v="1"/>
    <s v="24505066002001"/>
    <n v="-11.36"/>
    <n v="195"/>
    <n v="1"/>
    <n v="1"/>
  </r>
  <r>
    <m/>
    <m/>
    <x v="1"/>
    <s v="24709409001003"/>
    <n v="-3.09"/>
    <n v="53"/>
    <n v="1"/>
    <n v="1"/>
  </r>
  <r>
    <m/>
    <m/>
    <x v="1"/>
    <s v="24715679001001"/>
    <n v="-7.69"/>
    <n v="132"/>
    <n v="1"/>
    <n v="1"/>
  </r>
  <r>
    <m/>
    <m/>
    <x v="1"/>
    <s v="24751934001001"/>
    <n v="-1.98"/>
    <n v="34"/>
    <n v="1"/>
    <n v="1"/>
  </r>
  <r>
    <m/>
    <m/>
    <x v="1"/>
    <s v="24806438001006"/>
    <n v="-12.18"/>
    <n v="209"/>
    <n v="1"/>
    <n v="1"/>
  </r>
  <r>
    <m/>
    <m/>
    <x v="1"/>
    <s v="25096011001001"/>
    <n v="-4.3099999999999996"/>
    <n v="74"/>
    <n v="1"/>
    <n v="1"/>
  </r>
  <r>
    <m/>
    <m/>
    <x v="1"/>
    <s v="25160457004003"/>
    <n v="-11.54"/>
    <n v="198"/>
    <n v="1"/>
    <n v="1"/>
  </r>
  <r>
    <m/>
    <m/>
    <x v="1"/>
    <s v="25383308001001"/>
    <n v="-15.97"/>
    <n v="274"/>
    <n v="1"/>
    <n v="1"/>
  </r>
  <r>
    <m/>
    <m/>
    <x v="1"/>
    <s v="25442253001005"/>
    <n v="-12.12"/>
    <n v="208"/>
    <n v="1"/>
    <n v="1"/>
  </r>
  <r>
    <m/>
    <m/>
    <x v="1"/>
    <s v="25580805001001"/>
    <n v="-6.82"/>
    <n v="117"/>
    <n v="1"/>
    <n v="1"/>
  </r>
  <r>
    <m/>
    <m/>
    <x v="1"/>
    <s v="25584708001005"/>
    <n v="-46.45"/>
    <n v="797"/>
    <n v="1"/>
    <n v="1"/>
  </r>
  <r>
    <m/>
    <m/>
    <x v="1"/>
    <s v="25611864001004"/>
    <n v="-30.89"/>
    <n v="530"/>
    <n v="1"/>
    <n v="1"/>
  </r>
  <r>
    <m/>
    <m/>
    <x v="1"/>
    <s v="25741551007013"/>
    <n v="-2.8"/>
    <n v="48"/>
    <n v="1"/>
    <n v="1"/>
  </r>
  <r>
    <m/>
    <m/>
    <x v="1"/>
    <s v="25769735001009"/>
    <n v="-57.7"/>
    <n v="990"/>
    <n v="1"/>
    <n v="1"/>
  </r>
  <r>
    <m/>
    <m/>
    <x v="1"/>
    <s v="25783482001001"/>
    <n v="-6.06"/>
    <n v="104"/>
    <n v="1"/>
    <n v="1"/>
  </r>
  <r>
    <m/>
    <m/>
    <x v="1"/>
    <s v="25784922001004"/>
    <n v="-7.23"/>
    <n v="124"/>
    <n v="1"/>
    <n v="1"/>
  </r>
  <r>
    <m/>
    <m/>
    <x v="1"/>
    <s v="25810340001001"/>
    <n v="-40.909999999999997"/>
    <n v="702"/>
    <n v="1"/>
    <n v="1"/>
  </r>
  <r>
    <m/>
    <m/>
    <x v="1"/>
    <s v="25816610001008"/>
    <n v="-24.71"/>
    <n v="424"/>
    <n v="1"/>
    <n v="1"/>
  </r>
  <r>
    <m/>
    <m/>
    <x v="1"/>
    <s v="25824653001001"/>
    <n v="-14.4"/>
    <n v="247"/>
    <n v="1"/>
    <n v="1"/>
  </r>
  <r>
    <m/>
    <m/>
    <x v="1"/>
    <s v="25851963001001"/>
    <n v="-27.45"/>
    <n v="471"/>
    <n v="1"/>
    <n v="1"/>
  </r>
  <r>
    <m/>
    <m/>
    <x v="1"/>
    <s v="25915661001001"/>
    <n v="-26.23"/>
    <n v="450"/>
    <n v="1"/>
    <n v="1"/>
  </r>
  <r>
    <m/>
    <m/>
    <x v="1"/>
    <s v="25980885005001"/>
    <n v="-21.68"/>
    <n v="372"/>
    <n v="1"/>
    <n v="1"/>
  </r>
  <r>
    <m/>
    <m/>
    <x v="1"/>
    <s v="26054021001002"/>
    <n v="-16.43"/>
    <n v="282"/>
    <n v="1"/>
    <n v="1"/>
  </r>
  <r>
    <m/>
    <m/>
    <x v="1"/>
    <s v="26360288004001"/>
    <n v="-0.82"/>
    <n v="14"/>
    <n v="1"/>
    <n v="1"/>
  </r>
  <r>
    <m/>
    <m/>
    <x v="1"/>
    <s v="26366881003001"/>
    <n v="-40.5"/>
    <n v="695"/>
    <n v="1"/>
    <n v="1"/>
  </r>
  <r>
    <m/>
    <m/>
    <x v="1"/>
    <s v="26400210001001"/>
    <n v="-31.82"/>
    <n v="546"/>
    <n v="1"/>
    <n v="1"/>
  </r>
  <r>
    <m/>
    <m/>
    <x v="1"/>
    <s v="26537288001001"/>
    <n v="-24.54"/>
    <n v="421"/>
    <n v="1"/>
    <n v="1"/>
  </r>
  <r>
    <m/>
    <m/>
    <x v="1"/>
    <s v="26545623004004"/>
    <n v="-36.43"/>
    <n v="625"/>
    <n v="1"/>
    <n v="1"/>
  </r>
  <r>
    <m/>
    <m/>
    <x v="1"/>
    <s v="26569299001003"/>
    <n v="-26.63"/>
    <n v="457"/>
    <n v="1"/>
    <n v="1"/>
  </r>
  <r>
    <m/>
    <m/>
    <x v="1"/>
    <s v="26685293001003"/>
    <n v="-19.82"/>
    <n v="340"/>
    <n v="1"/>
    <n v="1"/>
  </r>
  <r>
    <m/>
    <m/>
    <x v="1"/>
    <s v="26902722002003"/>
    <n v="-9.0299999999999994"/>
    <n v="155"/>
    <n v="1"/>
    <n v="1"/>
  </r>
  <r>
    <m/>
    <m/>
    <x v="1"/>
    <s v="27057981001001"/>
    <n v="-9.85"/>
    <n v="169"/>
    <n v="1"/>
    <n v="1"/>
  </r>
  <r>
    <m/>
    <m/>
    <x v="1"/>
    <s v="27069473001005"/>
    <n v="-9.32"/>
    <n v="160"/>
    <n v="1"/>
    <n v="1"/>
  </r>
  <r>
    <m/>
    <m/>
    <x v="1"/>
    <s v="27104996002014"/>
    <n v="-11.25"/>
    <n v="193"/>
    <n v="1"/>
    <n v="1"/>
  </r>
  <r>
    <m/>
    <m/>
    <x v="1"/>
    <s v="27214758001001"/>
    <n v="-21.39"/>
    <n v="367"/>
    <n v="1"/>
    <n v="1"/>
  </r>
  <r>
    <m/>
    <m/>
    <x v="1"/>
    <s v="27323643001001"/>
    <n v="-1.34"/>
    <n v="23"/>
    <n v="1"/>
    <n v="1"/>
  </r>
  <r>
    <m/>
    <m/>
    <x v="1"/>
    <s v="27353470003003"/>
    <n v="-28.32"/>
    <n v="486"/>
    <n v="1"/>
    <n v="1"/>
  </r>
  <r>
    <m/>
    <m/>
    <x v="1"/>
    <s v="27362591001003"/>
    <n v="-3.26"/>
    <n v="56"/>
    <n v="1"/>
    <n v="1"/>
  </r>
  <r>
    <m/>
    <m/>
    <x v="1"/>
    <s v="27457180001003"/>
    <n v="-4.2"/>
    <n v="72"/>
    <n v="1"/>
    <n v="1"/>
  </r>
  <r>
    <m/>
    <m/>
    <x v="1"/>
    <s v="27614236002001"/>
    <n v="-9.0299999999999994"/>
    <n v="155"/>
    <n v="1"/>
    <n v="1"/>
  </r>
  <r>
    <m/>
    <m/>
    <x v="1"/>
    <s v="27625170002006"/>
    <n v="-11.54"/>
    <n v="198"/>
    <n v="1"/>
    <n v="1"/>
  </r>
  <r>
    <m/>
    <m/>
    <x v="1"/>
    <s v="27629352001002"/>
    <n v="-79.73"/>
    <n v="1368"/>
    <n v="1"/>
    <n v="1"/>
  </r>
  <r>
    <m/>
    <m/>
    <x v="1"/>
    <s v="27670002001006"/>
    <n v="-24.48"/>
    <n v="420"/>
    <n v="1"/>
    <n v="1"/>
  </r>
  <r>
    <m/>
    <m/>
    <x v="1"/>
    <s v="27691065001006"/>
    <n v="-23.78"/>
    <n v="408"/>
    <n v="1"/>
    <n v="1"/>
  </r>
  <r>
    <m/>
    <m/>
    <x v="1"/>
    <s v="27796579002001"/>
    <n v="-23.72"/>
    <n v="407"/>
    <n v="1"/>
    <n v="1"/>
  </r>
  <r>
    <m/>
    <m/>
    <x v="1"/>
    <s v="27803535001001"/>
    <n v="-13.75"/>
    <n v="236"/>
    <n v="1"/>
    <n v="1"/>
  </r>
  <r>
    <m/>
    <m/>
    <x v="1"/>
    <s v="28059627001003"/>
    <n v="-2.74"/>
    <n v="47"/>
    <n v="1"/>
    <n v="1"/>
  </r>
  <r>
    <m/>
    <m/>
    <x v="1"/>
    <s v="28099179001007"/>
    <n v="-4.0199999999999996"/>
    <n v="69"/>
    <n v="1"/>
    <n v="1"/>
  </r>
  <r>
    <m/>
    <m/>
    <x v="1"/>
    <s v="28164675001001"/>
    <n v="-26.69"/>
    <n v="458"/>
    <n v="1"/>
    <n v="1"/>
  </r>
  <r>
    <m/>
    <m/>
    <x v="1"/>
    <s v="28477040001004"/>
    <n v="-16.43"/>
    <n v="282"/>
    <n v="1"/>
    <n v="1"/>
  </r>
  <r>
    <m/>
    <m/>
    <x v="1"/>
    <s v="28584427001011"/>
    <n v="-9.67"/>
    <n v="166"/>
    <n v="1"/>
    <n v="1"/>
  </r>
  <r>
    <m/>
    <m/>
    <x v="1"/>
    <s v="28597966001001"/>
    <n v="-31.06"/>
    <n v="533"/>
    <n v="1"/>
    <n v="1"/>
  </r>
  <r>
    <m/>
    <m/>
    <x v="1"/>
    <s v="28647586001001"/>
    <n v="-6.88"/>
    <n v="118"/>
    <n v="1"/>
    <n v="1"/>
  </r>
  <r>
    <m/>
    <m/>
    <x v="1"/>
    <s v="28704245001001"/>
    <n v="-93.42"/>
    <n v="1603"/>
    <n v="1"/>
    <n v="1"/>
  </r>
  <r>
    <m/>
    <m/>
    <x v="1"/>
    <s v="28722691001003"/>
    <n v="-24.59"/>
    <n v="422"/>
    <n v="1"/>
    <n v="1"/>
  </r>
  <r>
    <m/>
    <m/>
    <x v="1"/>
    <s v="28804615002002"/>
    <n v="-45.34"/>
    <n v="778"/>
    <n v="1"/>
    <n v="1"/>
  </r>
  <r>
    <m/>
    <m/>
    <x v="1"/>
    <s v="28903097001004"/>
    <n v="-16.2"/>
    <n v="278"/>
    <n v="1"/>
    <n v="1"/>
  </r>
  <r>
    <m/>
    <m/>
    <x v="1"/>
    <s v="29000608001001"/>
    <n v="-46.04"/>
    <n v="790"/>
    <n v="1"/>
    <n v="1"/>
  </r>
  <r>
    <m/>
    <m/>
    <x v="1"/>
    <s v="29018357001001"/>
    <n v="-18.649999999999999"/>
    <n v="320"/>
    <n v="1"/>
    <n v="1"/>
  </r>
  <r>
    <m/>
    <m/>
    <x v="1"/>
    <s v="29121023001001"/>
    <n v="-8.98"/>
    <n v="154"/>
    <n v="1"/>
    <n v="1"/>
  </r>
  <r>
    <m/>
    <m/>
    <x v="1"/>
    <s v="29381580002001"/>
    <n v="-49.07"/>
    <n v="842"/>
    <n v="1"/>
    <n v="1"/>
  </r>
  <r>
    <m/>
    <m/>
    <x v="1"/>
    <s v="29435988001007"/>
    <n v="-18.239999999999998"/>
    <n v="313"/>
    <n v="1"/>
    <n v="1"/>
  </r>
  <r>
    <m/>
    <m/>
    <x v="1"/>
    <s v="29492327001001"/>
    <n v="-3.56"/>
    <n v="61"/>
    <n v="1"/>
    <n v="1"/>
  </r>
  <r>
    <m/>
    <m/>
    <x v="1"/>
    <s v="29527274001001"/>
    <n v="-11.6"/>
    <n v="199"/>
    <n v="1"/>
    <n v="1"/>
  </r>
  <r>
    <m/>
    <m/>
    <x v="1"/>
    <s v="29528919001003"/>
    <n v="-10.61"/>
    <n v="182"/>
    <n v="1"/>
    <n v="1"/>
  </r>
  <r>
    <m/>
    <m/>
    <x v="1"/>
    <s v="35012953001002"/>
    <n v="-10.84"/>
    <n v="186"/>
    <n v="1"/>
    <n v="1"/>
  </r>
  <r>
    <m/>
    <m/>
    <x v="1"/>
    <s v="35060732007005"/>
    <n v="-8.57"/>
    <n v="147"/>
    <n v="1"/>
    <n v="1"/>
  </r>
  <r>
    <m/>
    <m/>
    <x v="1"/>
    <s v="35172600002001"/>
    <n v="-62.83"/>
    <n v="1078"/>
    <n v="1"/>
    <n v="1"/>
  </r>
  <r>
    <m/>
    <m/>
    <x v="1"/>
    <s v="35225739001001"/>
    <n v="-4.49"/>
    <n v="77"/>
    <n v="1"/>
    <n v="1"/>
  </r>
  <r>
    <m/>
    <m/>
    <x v="1"/>
    <s v="35251550001001"/>
    <n v="-2.97"/>
    <n v="51"/>
    <n v="1"/>
    <n v="1"/>
  </r>
  <r>
    <m/>
    <m/>
    <x v="1"/>
    <s v="35296076001001"/>
    <n v="-13.05"/>
    <n v="224"/>
    <n v="1"/>
    <n v="1"/>
  </r>
  <r>
    <m/>
    <m/>
    <x v="1"/>
    <s v="35325747002003"/>
    <n v="-52.28"/>
    <n v="897"/>
    <n v="1"/>
    <n v="1"/>
  </r>
  <r>
    <m/>
    <m/>
    <x v="1"/>
    <s v="35504902001001"/>
    <n v="-6.53"/>
    <n v="112"/>
    <n v="1"/>
    <n v="1"/>
  </r>
  <r>
    <m/>
    <m/>
    <x v="1"/>
    <s v="35691353001006"/>
    <n v="-15.56"/>
    <n v="267"/>
    <n v="1"/>
    <n v="1"/>
  </r>
  <r>
    <m/>
    <m/>
    <x v="1"/>
    <s v="35696004001002"/>
    <n v="-71.86"/>
    <n v="1233"/>
    <n v="1"/>
    <n v="1"/>
  </r>
  <r>
    <m/>
    <m/>
    <x v="1"/>
    <s v="35735102001001"/>
    <n v="-30.77"/>
    <n v="528"/>
    <n v="1"/>
    <n v="1"/>
  </r>
  <r>
    <m/>
    <m/>
    <x v="1"/>
    <s v="35861191001002"/>
    <n v="-0.23"/>
    <n v="4"/>
    <n v="1"/>
    <n v="1"/>
  </r>
  <r>
    <m/>
    <m/>
    <x v="1"/>
    <s v="35882527001002"/>
    <n v="-1.63"/>
    <n v="28"/>
    <n v="1"/>
    <n v="1"/>
  </r>
  <r>
    <m/>
    <m/>
    <x v="1"/>
    <s v="36008083001001"/>
    <n v="-27.8"/>
    <n v="477"/>
    <n v="1"/>
    <n v="1"/>
  </r>
  <r>
    <m/>
    <m/>
    <x v="1"/>
    <s v="36026930001001"/>
    <n v="-18.77"/>
    <n v="322"/>
    <n v="1"/>
    <n v="1"/>
  </r>
  <r>
    <m/>
    <m/>
    <x v="1"/>
    <s v="36103245002011"/>
    <n v="-47.96"/>
    <n v="823"/>
    <n v="1"/>
    <n v="1"/>
  </r>
  <r>
    <m/>
    <m/>
    <x v="1"/>
    <s v="36152719003003"/>
    <n v="-8.86"/>
    <n v="152"/>
    <n v="1"/>
    <n v="1"/>
  </r>
  <r>
    <m/>
    <m/>
    <x v="1"/>
    <s v="36193790001003"/>
    <n v="-2.39"/>
    <n v="41"/>
    <n v="1"/>
    <n v="1"/>
  </r>
  <r>
    <m/>
    <m/>
    <x v="1"/>
    <s v="36341076001001"/>
    <n v="-85.73"/>
    <n v="1471"/>
    <n v="1"/>
    <n v="1"/>
  </r>
  <r>
    <m/>
    <m/>
    <x v="1"/>
    <s v="36618779001001"/>
    <n v="-4.5999999999999996"/>
    <n v="79"/>
    <n v="1"/>
    <n v="1"/>
  </r>
  <r>
    <m/>
    <m/>
    <x v="1"/>
    <s v="36686919001003"/>
    <n v="-12.76"/>
    <n v="219"/>
    <n v="1"/>
    <n v="1"/>
  </r>
  <r>
    <m/>
    <m/>
    <x v="1"/>
    <s v="36698749001001"/>
    <n v="-26.05"/>
    <n v="447"/>
    <n v="1"/>
    <n v="1"/>
  </r>
  <r>
    <m/>
    <m/>
    <x v="1"/>
    <s v="36829904002003"/>
    <n v="-70.64"/>
    <n v="1212"/>
    <n v="1"/>
    <n v="1"/>
  </r>
  <r>
    <m/>
    <m/>
    <x v="1"/>
    <s v="36836870001005"/>
    <n v="-5.71"/>
    <n v="98"/>
    <n v="1"/>
    <n v="1"/>
  </r>
  <r>
    <m/>
    <m/>
    <x v="1"/>
    <s v="37058752001009"/>
    <n v="-20.399999999999999"/>
    <n v="350"/>
    <n v="1"/>
    <n v="1"/>
  </r>
  <r>
    <m/>
    <m/>
    <x v="1"/>
    <s v="37060503001007"/>
    <n v="-22.61"/>
    <n v="388"/>
    <n v="1"/>
    <n v="1"/>
  </r>
  <r>
    <m/>
    <m/>
    <x v="1"/>
    <s v="37232118001006"/>
    <n v="-6.47"/>
    <n v="111"/>
    <n v="1"/>
    <n v="1"/>
  </r>
  <r>
    <m/>
    <m/>
    <x v="1"/>
    <s v="37239471001005"/>
    <n v="-6.35"/>
    <n v="109"/>
    <n v="1"/>
    <n v="1"/>
  </r>
  <r>
    <m/>
    <m/>
    <x v="1"/>
    <s v="37250462001001"/>
    <n v="-27.33"/>
    <n v="469"/>
    <n v="1"/>
    <n v="1"/>
  </r>
  <r>
    <m/>
    <m/>
    <x v="1"/>
    <s v="37494438002001"/>
    <n v="-27.1"/>
    <n v="465"/>
    <n v="1"/>
    <n v="1"/>
  </r>
  <r>
    <m/>
    <m/>
    <x v="1"/>
    <s v="37502144001001"/>
    <n v="-117.32"/>
    <n v="2013"/>
    <n v="1"/>
    <n v="1"/>
  </r>
  <r>
    <m/>
    <m/>
    <x v="1"/>
    <s v="37524139001001"/>
    <n v="-1.52"/>
    <n v="26"/>
    <n v="1"/>
    <n v="1"/>
  </r>
  <r>
    <m/>
    <m/>
    <x v="1"/>
    <s v="37624653001003"/>
    <n v="-20.51"/>
    <n v="352"/>
    <n v="1"/>
    <n v="1"/>
  </r>
  <r>
    <m/>
    <m/>
    <x v="1"/>
    <s v="37644296001002"/>
    <n v="-6.53"/>
    <n v="112"/>
    <n v="1"/>
    <n v="1"/>
  </r>
  <r>
    <m/>
    <m/>
    <x v="1"/>
    <s v="37682914001001"/>
    <n v="-4.37"/>
    <n v="75"/>
    <n v="1"/>
    <n v="1"/>
  </r>
  <r>
    <m/>
    <m/>
    <x v="1"/>
    <s v="37819864001004"/>
    <n v="-34.619999999999997"/>
    <n v="594"/>
    <n v="1"/>
    <n v="1"/>
  </r>
  <r>
    <m/>
    <m/>
    <x v="1"/>
    <s v="37910513001001"/>
    <n v="-1.34"/>
    <n v="23"/>
    <n v="1"/>
    <n v="1"/>
  </r>
  <r>
    <m/>
    <m/>
    <x v="1"/>
    <s v="38159601001012"/>
    <n v="-10.84"/>
    <n v="186"/>
    <n v="1"/>
    <n v="1"/>
  </r>
  <r>
    <m/>
    <m/>
    <x v="1"/>
    <s v="38272305001003"/>
    <n v="-13.05"/>
    <n v="224"/>
    <n v="1"/>
    <n v="1"/>
  </r>
  <r>
    <m/>
    <m/>
    <x v="1"/>
    <s v="38301351001001"/>
    <n v="-0.47"/>
    <n v="8"/>
    <n v="1"/>
    <n v="1"/>
  </r>
  <r>
    <m/>
    <m/>
    <x v="1"/>
    <s v="38371698002001"/>
    <n v="-21.16"/>
    <n v="363"/>
    <n v="1"/>
    <n v="1"/>
  </r>
  <r>
    <m/>
    <m/>
    <x v="1"/>
    <s v="38397225001002"/>
    <n v="-44.82"/>
    <n v="769"/>
    <n v="1"/>
    <n v="1"/>
  </r>
  <r>
    <m/>
    <m/>
    <x v="1"/>
    <s v="38424727001004"/>
    <n v="-1.05"/>
    <n v="18"/>
    <n v="1"/>
    <n v="1"/>
  </r>
  <r>
    <m/>
    <m/>
    <x v="1"/>
    <s v="38499863001004"/>
    <n v="-1.75"/>
    <n v="30"/>
    <n v="1"/>
    <n v="1"/>
  </r>
  <r>
    <m/>
    <m/>
    <x v="1"/>
    <s v="38540989001007"/>
    <n v="-2.04"/>
    <n v="35"/>
    <n v="1"/>
    <n v="1"/>
  </r>
  <r>
    <m/>
    <m/>
    <x v="1"/>
    <s v="38611961001001"/>
    <n v="-9.44"/>
    <n v="162"/>
    <n v="1"/>
    <n v="1"/>
  </r>
  <r>
    <m/>
    <m/>
    <x v="1"/>
    <s v="38663995001001"/>
    <n v="-6.24"/>
    <n v="107"/>
    <n v="1"/>
    <n v="1"/>
  </r>
  <r>
    <m/>
    <m/>
    <x v="1"/>
    <s v="38666511001005"/>
    <n v="-36.770000000000003"/>
    <n v="631"/>
    <n v="1"/>
    <n v="1"/>
  </r>
  <r>
    <m/>
    <m/>
    <x v="1"/>
    <s v="38774008001001"/>
    <n v="-18.53"/>
    <n v="318"/>
    <n v="1"/>
    <n v="1"/>
  </r>
  <r>
    <m/>
    <m/>
    <x v="1"/>
    <s v="38778095001001"/>
    <n v="-0.87"/>
    <n v="15"/>
    <n v="1"/>
    <n v="1"/>
  </r>
  <r>
    <m/>
    <m/>
    <x v="1"/>
    <s v="38838346002005"/>
    <n v="-11.13"/>
    <n v="191"/>
    <n v="1"/>
    <n v="1"/>
  </r>
  <r>
    <m/>
    <m/>
    <x v="1"/>
    <s v="39075374001002"/>
    <n v="-12.47"/>
    <n v="214"/>
    <n v="1"/>
    <n v="1"/>
  </r>
  <r>
    <m/>
    <m/>
    <x v="1"/>
    <s v="39105361003001"/>
    <n v="-5.65"/>
    <n v="97"/>
    <n v="1"/>
    <n v="1"/>
  </r>
  <r>
    <m/>
    <m/>
    <x v="1"/>
    <s v="39206681001007"/>
    <n v="-39.69"/>
    <n v="681"/>
    <n v="1"/>
    <n v="1"/>
  </r>
  <r>
    <m/>
    <m/>
    <x v="1"/>
    <s v="39421231001001"/>
    <n v="-4.25"/>
    <n v="73"/>
    <n v="1"/>
    <n v="1"/>
  </r>
  <r>
    <m/>
    <m/>
    <x v="1"/>
    <s v="39500179007001"/>
    <n v="-1.22"/>
    <n v="21"/>
    <n v="1"/>
    <n v="1"/>
  </r>
  <r>
    <m/>
    <m/>
    <x v="1"/>
    <s v="39509588001002"/>
    <n v="-19.93"/>
    <n v="342"/>
    <n v="1"/>
    <n v="1"/>
  </r>
  <r>
    <m/>
    <m/>
    <x v="1"/>
    <s v="39525577001001"/>
    <n v="-11.19"/>
    <n v="192"/>
    <n v="1"/>
    <n v="1"/>
  </r>
  <r>
    <m/>
    <m/>
    <x v="1"/>
    <s v="39758083001001"/>
    <n v="-2.21"/>
    <n v="38"/>
    <n v="1"/>
    <n v="1"/>
  </r>
  <r>
    <m/>
    <m/>
    <x v="1"/>
    <s v="39773816002001"/>
    <n v="-37.119999999999997"/>
    <n v="637"/>
    <n v="1"/>
    <n v="1"/>
  </r>
  <r>
    <m/>
    <m/>
    <x v="1"/>
    <s v="39904885001002"/>
    <n v="-12.76"/>
    <n v="219"/>
    <n v="1"/>
    <n v="1"/>
  </r>
  <r>
    <m/>
    <m/>
    <x v="1"/>
    <s v="39991003001001"/>
    <n v="-3.67"/>
    <n v="63"/>
    <n v="1"/>
    <n v="1"/>
  </r>
  <r>
    <m/>
    <m/>
    <x v="1"/>
    <s v="40139129001002"/>
    <n v="-32.35"/>
    <n v="555"/>
    <n v="1"/>
    <n v="1"/>
  </r>
  <r>
    <m/>
    <m/>
    <x v="1"/>
    <s v="40186507001001"/>
    <n v="-2.4500000000000002"/>
    <n v="42"/>
    <n v="1"/>
    <n v="1"/>
  </r>
  <r>
    <m/>
    <m/>
    <x v="1"/>
    <s v="40187844001001"/>
    <n v="-11.42"/>
    <n v="196"/>
    <n v="1"/>
    <n v="1"/>
  </r>
  <r>
    <m/>
    <m/>
    <x v="1"/>
    <s v="40195770001001"/>
    <n v="-10.37"/>
    <n v="178"/>
    <n v="1"/>
    <n v="1"/>
  </r>
  <r>
    <m/>
    <m/>
    <x v="1"/>
    <s v="40254052001001"/>
    <n v="-0.7"/>
    <n v="12"/>
    <n v="1"/>
    <n v="1"/>
  </r>
  <r>
    <m/>
    <m/>
    <x v="1"/>
    <s v="40354936001001"/>
    <n v="-10.32"/>
    <n v="177"/>
    <n v="1"/>
    <n v="1"/>
  </r>
  <r>
    <m/>
    <m/>
    <x v="1"/>
    <s v="40647033004003"/>
    <n v="-32.869999999999997"/>
    <n v="564"/>
    <n v="1"/>
    <n v="1"/>
  </r>
  <r>
    <m/>
    <m/>
    <x v="1"/>
    <s v="40680887001001"/>
    <n v="-84.33"/>
    <n v="1447"/>
    <n v="1"/>
    <n v="1"/>
  </r>
  <r>
    <m/>
    <m/>
    <x v="1"/>
    <s v="40810644001009"/>
    <n v="-22.44"/>
    <n v="385"/>
    <n v="1"/>
    <n v="1"/>
  </r>
  <r>
    <m/>
    <m/>
    <x v="1"/>
    <s v="40811850001003"/>
    <n v="-2.16"/>
    <n v="37"/>
    <n v="1"/>
    <n v="1"/>
  </r>
  <r>
    <m/>
    <m/>
    <x v="1"/>
    <s v="40849252002005"/>
    <n v="-18.71"/>
    <n v="321"/>
    <n v="1"/>
    <n v="1"/>
  </r>
  <r>
    <m/>
    <m/>
    <x v="1"/>
    <s v="40922056004001"/>
    <n v="-46.45"/>
    <n v="797"/>
    <n v="1"/>
    <n v="1"/>
  </r>
  <r>
    <m/>
    <m/>
    <x v="1"/>
    <s v="40965656008001"/>
    <n v="-21.56"/>
    <n v="370"/>
    <n v="1"/>
    <n v="1"/>
  </r>
  <r>
    <m/>
    <m/>
    <x v="1"/>
    <s v="41168099001001"/>
    <n v="-10.96"/>
    <n v="188"/>
    <n v="1"/>
    <n v="1"/>
  </r>
  <r>
    <m/>
    <m/>
    <x v="1"/>
    <s v="41212065001001"/>
    <n v="-13"/>
    <n v="223"/>
    <n v="1"/>
    <n v="1"/>
  </r>
  <r>
    <m/>
    <m/>
    <x v="1"/>
    <s v="41218173004005"/>
    <n v="-51.05"/>
    <n v="876"/>
    <n v="1"/>
    <n v="1"/>
  </r>
  <r>
    <m/>
    <m/>
    <x v="1"/>
    <s v="41221819001001"/>
    <n v="-2.91"/>
    <n v="50"/>
    <n v="1"/>
    <n v="1"/>
  </r>
  <r>
    <m/>
    <m/>
    <x v="1"/>
    <s v="41254471001004"/>
    <n v="-31.12"/>
    <n v="534"/>
    <n v="1"/>
    <n v="1"/>
  </r>
  <r>
    <m/>
    <m/>
    <x v="1"/>
    <s v="41261705001002"/>
    <n v="-10.96"/>
    <n v="188"/>
    <n v="1"/>
    <n v="1"/>
  </r>
  <r>
    <m/>
    <m/>
    <x v="1"/>
    <s v="41291991001001"/>
    <n v="-0.99"/>
    <n v="17"/>
    <n v="1"/>
    <n v="1"/>
  </r>
  <r>
    <m/>
    <m/>
    <x v="1"/>
    <s v="41302242001001"/>
    <n v="-7.63"/>
    <n v="131"/>
    <n v="1"/>
    <n v="1"/>
  </r>
  <r>
    <m/>
    <m/>
    <x v="1"/>
    <s v="41401860001002"/>
    <n v="-10.67"/>
    <n v="183"/>
    <n v="1"/>
    <n v="1"/>
  </r>
  <r>
    <m/>
    <m/>
    <x v="1"/>
    <s v="41508622002001"/>
    <n v="-9.5"/>
    <n v="163"/>
    <n v="1"/>
    <n v="1"/>
  </r>
  <r>
    <m/>
    <m/>
    <x v="1"/>
    <s v="41579748001001"/>
    <n v="-51.93"/>
    <n v="891"/>
    <n v="1"/>
    <n v="1"/>
  </r>
  <r>
    <m/>
    <m/>
    <x v="1"/>
    <s v="41605082002003"/>
    <n v="-19.170000000000002"/>
    <n v="329"/>
    <n v="1"/>
    <n v="1"/>
  </r>
  <r>
    <m/>
    <m/>
    <x v="1"/>
    <s v="41650115001003"/>
    <n v="-3.15"/>
    <n v="54"/>
    <n v="1"/>
    <n v="1"/>
  </r>
  <r>
    <m/>
    <m/>
    <x v="1"/>
    <s v="41791652002003"/>
    <n v="-13.52"/>
    <n v="232"/>
    <n v="1"/>
    <n v="1"/>
  </r>
  <r>
    <m/>
    <m/>
    <x v="1"/>
    <s v="41850336001002"/>
    <n v="-8.39"/>
    <n v="144"/>
    <n v="1"/>
    <n v="1"/>
  </r>
  <r>
    <m/>
    <m/>
    <x v="1"/>
    <s v="41878216001003"/>
    <n v="-15.79"/>
    <n v="271"/>
    <n v="1"/>
    <n v="1"/>
  </r>
  <r>
    <m/>
    <m/>
    <x v="1"/>
    <s v="41892227002002"/>
    <n v="-6.12"/>
    <n v="105"/>
    <n v="1"/>
    <n v="1"/>
  </r>
  <r>
    <m/>
    <m/>
    <x v="1"/>
    <s v="41942354002001"/>
    <n v="-31"/>
    <n v="532"/>
    <n v="1"/>
    <n v="1"/>
  </r>
  <r>
    <m/>
    <m/>
    <x v="1"/>
    <s v="41978051001003"/>
    <n v="-0.82"/>
    <n v="14"/>
    <n v="1"/>
    <n v="1"/>
  </r>
  <r>
    <m/>
    <m/>
    <x v="1"/>
    <s v="41980548001001"/>
    <n v="-35.14"/>
    <n v="603"/>
    <n v="1"/>
    <n v="1"/>
  </r>
  <r>
    <m/>
    <m/>
    <x v="1"/>
    <s v="42029419001001"/>
    <n v="-15.56"/>
    <n v="267"/>
    <n v="1"/>
    <n v="1"/>
  </r>
  <r>
    <m/>
    <m/>
    <x v="1"/>
    <s v="42073484003001"/>
    <n v="-62.48"/>
    <n v="1072"/>
    <n v="1"/>
    <n v="1"/>
  </r>
  <r>
    <m/>
    <m/>
    <x v="1"/>
    <s v="42131911001008"/>
    <n v="-38.93"/>
    <n v="668"/>
    <n v="1"/>
    <n v="1"/>
  </r>
  <r>
    <m/>
    <m/>
    <x v="1"/>
    <s v="42185507001001"/>
    <n v="-24.83"/>
    <n v="426"/>
    <n v="1"/>
    <n v="1"/>
  </r>
  <r>
    <m/>
    <m/>
    <x v="1"/>
    <s v="42244289002003"/>
    <n v="-56.47"/>
    <n v="969"/>
    <n v="1"/>
    <n v="1"/>
  </r>
  <r>
    <m/>
    <m/>
    <x v="1"/>
    <s v="42270867001005"/>
    <n v="-4.66"/>
    <n v="80"/>
    <n v="1"/>
    <n v="1"/>
  </r>
  <r>
    <m/>
    <m/>
    <x v="1"/>
    <s v="42281329001011"/>
    <n v="-13.87"/>
    <n v="238"/>
    <n v="1"/>
    <n v="1"/>
  </r>
  <r>
    <m/>
    <m/>
    <x v="1"/>
    <s v="42284086002001"/>
    <n v="-0.57999999999999996"/>
    <n v="10"/>
    <n v="1"/>
    <n v="1"/>
  </r>
  <r>
    <m/>
    <m/>
    <x v="1"/>
    <s v="42343001003004"/>
    <n v="-53.44"/>
    <n v="917"/>
    <n v="1"/>
    <n v="1"/>
  </r>
  <r>
    <m/>
    <m/>
    <x v="1"/>
    <s v="42367522001001"/>
    <n v="-30.19"/>
    <n v="518"/>
    <n v="1"/>
    <n v="1"/>
  </r>
  <r>
    <m/>
    <m/>
    <x v="1"/>
    <s v="42433691001006"/>
    <n v="-0.52"/>
    <n v="9"/>
    <n v="1"/>
    <n v="1"/>
  </r>
  <r>
    <m/>
    <m/>
    <x v="1"/>
    <s v="42468571002005"/>
    <n v="-25.7"/>
    <n v="441"/>
    <n v="1"/>
    <n v="1"/>
  </r>
  <r>
    <m/>
    <m/>
    <x v="1"/>
    <s v="42472921002002"/>
    <n v="-46.92"/>
    <n v="805"/>
    <n v="1"/>
    <n v="1"/>
  </r>
  <r>
    <m/>
    <m/>
    <x v="1"/>
    <s v="42475114001001"/>
    <n v="-8.33"/>
    <n v="143"/>
    <n v="1"/>
    <n v="1"/>
  </r>
  <r>
    <m/>
    <m/>
    <x v="1"/>
    <s v="42488881004001"/>
    <n v="-29.43"/>
    <n v="505"/>
    <n v="1"/>
    <n v="1"/>
  </r>
  <r>
    <m/>
    <m/>
    <x v="1"/>
    <s v="42500151001003"/>
    <n v="-45.52"/>
    <n v="781"/>
    <n v="1"/>
    <n v="1"/>
  </r>
  <r>
    <m/>
    <m/>
    <x v="1"/>
    <s v="42531581001002"/>
    <n v="-19.23"/>
    <n v="330"/>
    <n v="1"/>
    <n v="1"/>
  </r>
  <r>
    <m/>
    <m/>
    <x v="1"/>
    <s v="42535431005001"/>
    <n v="-17.48"/>
    <n v="300"/>
    <n v="1"/>
    <n v="1"/>
  </r>
  <r>
    <m/>
    <m/>
    <x v="1"/>
    <s v="42559441005001"/>
    <n v="-17.54"/>
    <n v="301"/>
    <n v="1"/>
    <n v="1"/>
  </r>
  <r>
    <m/>
    <m/>
    <x v="1"/>
    <s v="42561606001009"/>
    <n v="-10.96"/>
    <n v="188"/>
    <n v="1"/>
    <n v="1"/>
  </r>
  <r>
    <m/>
    <m/>
    <x v="1"/>
    <s v="42577291003003"/>
    <n v="-5.89"/>
    <n v="101"/>
    <n v="1"/>
    <n v="1"/>
  </r>
  <r>
    <m/>
    <m/>
    <x v="1"/>
    <s v="42577991002002"/>
    <n v="-85.9"/>
    <n v="1474"/>
    <n v="1"/>
    <n v="1"/>
  </r>
  <r>
    <m/>
    <m/>
    <x v="1"/>
    <s v="42593181002003"/>
    <n v="-13.05"/>
    <n v="224"/>
    <n v="1"/>
    <n v="1"/>
  </r>
  <r>
    <m/>
    <m/>
    <x v="1"/>
    <s v="42595211001004"/>
    <n v="-29.49"/>
    <n v="506"/>
    <n v="1"/>
    <n v="1"/>
  </r>
  <r>
    <m/>
    <m/>
    <x v="1"/>
    <s v="42673331002003"/>
    <n v="-37.01"/>
    <n v="635"/>
    <n v="1"/>
    <n v="1"/>
  </r>
  <r>
    <m/>
    <m/>
    <x v="1"/>
    <s v="42686841002008"/>
    <n v="-9.0299999999999994"/>
    <n v="155"/>
    <n v="1"/>
    <n v="1"/>
  </r>
  <r>
    <m/>
    <m/>
    <x v="1"/>
    <s v="42718551001001"/>
    <n v="-47.03"/>
    <n v="807"/>
    <n v="1"/>
    <n v="1"/>
  </r>
  <r>
    <m/>
    <m/>
    <x v="1"/>
    <s v="42766435002003"/>
    <n v="-104.67"/>
    <n v="1796"/>
    <n v="1"/>
    <n v="1"/>
  </r>
  <r>
    <m/>
    <m/>
    <x v="1"/>
    <s v="42783651002001"/>
    <n v="-30.71"/>
    <n v="527"/>
    <n v="1"/>
    <n v="1"/>
  </r>
  <r>
    <m/>
    <m/>
    <x v="1"/>
    <s v="42878921002001"/>
    <n v="-7.52"/>
    <n v="129"/>
    <n v="1"/>
    <n v="1"/>
  </r>
  <r>
    <m/>
    <m/>
    <x v="1"/>
    <s v="42972931001004"/>
    <n v="-8.1"/>
    <n v="139"/>
    <n v="1"/>
    <n v="1"/>
  </r>
  <r>
    <m/>
    <m/>
    <x v="1"/>
    <s v="43023681011001"/>
    <n v="-11.71"/>
    <n v="201"/>
    <n v="1"/>
    <n v="1"/>
  </r>
  <r>
    <m/>
    <m/>
    <x v="1"/>
    <s v="43023751003001"/>
    <n v="-44.23"/>
    <n v="759"/>
    <n v="1"/>
    <n v="1"/>
  </r>
  <r>
    <m/>
    <m/>
    <x v="1"/>
    <s v="43122241004005"/>
    <n v="-33.630000000000003"/>
    <n v="577"/>
    <n v="1"/>
    <n v="1"/>
  </r>
  <r>
    <m/>
    <m/>
    <x v="1"/>
    <s v="43131201001002"/>
    <n v="-37.42"/>
    <n v="642"/>
    <n v="1"/>
    <n v="1"/>
  </r>
  <r>
    <m/>
    <m/>
    <x v="1"/>
    <s v="43154466001003"/>
    <n v="-7.34"/>
    <n v="126"/>
    <n v="1"/>
    <n v="1"/>
  </r>
  <r>
    <m/>
    <m/>
    <x v="1"/>
    <s v="43192521002006"/>
    <n v="-20.16"/>
    <n v="346"/>
    <n v="1"/>
    <n v="1"/>
  </r>
  <r>
    <m/>
    <m/>
    <x v="1"/>
    <s v="43209041003005"/>
    <n v="-18.36"/>
    <n v="315"/>
    <n v="1"/>
    <n v="1"/>
  </r>
  <r>
    <m/>
    <m/>
    <x v="1"/>
    <s v="43213661002005"/>
    <n v="-33.39"/>
    <n v="573"/>
    <n v="1"/>
    <n v="1"/>
  </r>
  <r>
    <m/>
    <m/>
    <x v="1"/>
    <s v="43218351001006"/>
    <n v="-65.27"/>
    <n v="1120"/>
    <n v="1"/>
    <n v="1"/>
  </r>
  <r>
    <m/>
    <m/>
    <x v="1"/>
    <s v="43233471004001"/>
    <n v="-70.69"/>
    <n v="1213"/>
    <n v="1"/>
    <n v="1"/>
  </r>
  <r>
    <m/>
    <m/>
    <x v="1"/>
    <s v="43240331001004"/>
    <n v="-13.64"/>
    <n v="234"/>
    <n v="1"/>
    <n v="1"/>
  </r>
  <r>
    <m/>
    <m/>
    <x v="1"/>
    <s v="43240401001003"/>
    <n v="-16.03"/>
    <n v="275"/>
    <n v="1"/>
    <n v="1"/>
  </r>
  <r>
    <m/>
    <m/>
    <x v="1"/>
    <s v="43248661001005"/>
    <n v="-13.93"/>
    <n v="239"/>
    <n v="1"/>
    <n v="1"/>
  </r>
  <r>
    <m/>
    <m/>
    <x v="1"/>
    <s v="43268821001001"/>
    <n v="-27.57"/>
    <n v="473"/>
    <n v="1"/>
    <n v="1"/>
  </r>
  <r>
    <m/>
    <m/>
    <x v="1"/>
    <s v="43296891001001"/>
    <n v="-23.66"/>
    <n v="406"/>
    <n v="1"/>
    <n v="1"/>
  </r>
  <r>
    <m/>
    <m/>
    <x v="1"/>
    <s v="43302281004001"/>
    <n v="-34.85"/>
    <n v="598"/>
    <n v="1"/>
    <n v="1"/>
  </r>
  <r>
    <m/>
    <m/>
    <x v="1"/>
    <s v="43482671001001"/>
    <n v="-67.31"/>
    <n v="1155"/>
    <n v="1"/>
    <n v="1"/>
  </r>
  <r>
    <m/>
    <m/>
    <x v="1"/>
    <s v="43691761001001"/>
    <n v="-30.19"/>
    <n v="518"/>
    <n v="1"/>
    <n v="1"/>
  </r>
  <r>
    <m/>
    <m/>
    <x v="1"/>
    <s v="43697462001003"/>
    <n v="-4.08"/>
    <n v="70"/>
    <n v="1"/>
    <n v="1"/>
  </r>
  <r>
    <m/>
    <m/>
    <x v="1"/>
    <s v="43720585001001"/>
    <n v="-1.92"/>
    <n v="33"/>
    <n v="1"/>
    <n v="1"/>
  </r>
  <r>
    <m/>
    <m/>
    <x v="1"/>
    <s v="43743281001003"/>
    <n v="-25.64"/>
    <n v="440"/>
    <n v="1"/>
    <n v="1"/>
  </r>
  <r>
    <m/>
    <m/>
    <x v="1"/>
    <s v="43761831009001"/>
    <n v="-114.52"/>
    <n v="1965"/>
    <n v="1"/>
    <n v="1"/>
  </r>
  <r>
    <m/>
    <m/>
    <x v="1"/>
    <s v="43843941001002"/>
    <n v="-65.040000000000006"/>
    <n v="1116"/>
    <n v="1"/>
    <n v="1"/>
  </r>
  <r>
    <m/>
    <m/>
    <x v="1"/>
    <s v="43848981006003"/>
    <n v="-60.09"/>
    <n v="1031"/>
    <n v="1"/>
    <n v="1"/>
  </r>
  <r>
    <m/>
    <m/>
    <x v="1"/>
    <s v="43930309005001"/>
    <n v="-15.39"/>
    <n v="264"/>
    <n v="1"/>
    <n v="1"/>
  </r>
  <r>
    <m/>
    <m/>
    <x v="1"/>
    <s v="43931231001001"/>
    <n v="-7.52"/>
    <n v="129"/>
    <n v="1"/>
    <n v="1"/>
  </r>
  <r>
    <m/>
    <m/>
    <x v="1"/>
    <s v="43995090001012"/>
    <n v="-0.47"/>
    <n v="8"/>
    <n v="1"/>
    <n v="1"/>
  </r>
  <r>
    <m/>
    <m/>
    <x v="1"/>
    <s v="44027831001002"/>
    <n v="-19.29"/>
    <n v="331"/>
    <n v="1"/>
    <n v="1"/>
  </r>
  <r>
    <m/>
    <m/>
    <x v="1"/>
    <s v="44132341001001"/>
    <n v="-2.4500000000000002"/>
    <n v="42"/>
    <n v="1"/>
    <n v="1"/>
  </r>
  <r>
    <m/>
    <m/>
    <x v="1"/>
    <s v="44289141002001"/>
    <n v="-9.2100000000000009"/>
    <n v="158"/>
    <n v="1"/>
    <n v="1"/>
  </r>
  <r>
    <m/>
    <m/>
    <x v="1"/>
    <s v="44295021002002"/>
    <n v="-2.97"/>
    <n v="51"/>
    <n v="1"/>
    <n v="1"/>
  </r>
  <r>
    <m/>
    <m/>
    <x v="1"/>
    <s v="44346821001002"/>
    <n v="-2.91"/>
    <n v="50"/>
    <n v="1"/>
    <n v="1"/>
  </r>
  <r>
    <m/>
    <m/>
    <x v="1"/>
    <s v="44348081005001"/>
    <n v="-52.63"/>
    <n v="903"/>
    <n v="1"/>
    <n v="1"/>
  </r>
  <r>
    <m/>
    <m/>
    <x v="1"/>
    <s v="44350671002005"/>
    <n v="-2.27"/>
    <n v="39"/>
    <n v="1"/>
    <n v="1"/>
  </r>
  <r>
    <m/>
    <m/>
    <x v="1"/>
    <s v="44371461001006"/>
    <n v="-0.06"/>
    <n v="1"/>
    <n v="1"/>
    <n v="1"/>
  </r>
  <r>
    <m/>
    <m/>
    <x v="1"/>
    <s v="44380071003003"/>
    <n v="-6.41"/>
    <n v="110"/>
    <n v="1"/>
    <n v="1"/>
  </r>
  <r>
    <m/>
    <m/>
    <x v="1"/>
    <s v="44389693001001"/>
    <n v="-2.68"/>
    <n v="46"/>
    <n v="1"/>
    <n v="1"/>
  </r>
  <r>
    <m/>
    <m/>
    <x v="1"/>
    <s v="44400231001002"/>
    <n v="-24.13"/>
    <n v="414"/>
    <n v="1"/>
    <n v="1"/>
  </r>
  <r>
    <m/>
    <m/>
    <x v="1"/>
    <s v="44424535001002"/>
    <n v="-8.86"/>
    <n v="152"/>
    <n v="1"/>
    <n v="1"/>
  </r>
  <r>
    <m/>
    <m/>
    <x v="1"/>
    <s v="44437541001001"/>
    <n v="-71.33"/>
    <n v="1224"/>
    <n v="1"/>
    <n v="1"/>
  </r>
  <r>
    <m/>
    <m/>
    <x v="1"/>
    <s v="44470529001003"/>
    <n v="-7.46"/>
    <n v="128"/>
    <n v="1"/>
    <n v="1"/>
  </r>
  <r>
    <m/>
    <m/>
    <x v="1"/>
    <s v="44494451001004"/>
    <n v="-7.98"/>
    <n v="137"/>
    <n v="1"/>
    <n v="1"/>
  </r>
  <r>
    <m/>
    <m/>
    <x v="1"/>
    <s v="44510481001001"/>
    <n v="-32.35"/>
    <n v="555"/>
    <n v="1"/>
    <n v="1"/>
  </r>
  <r>
    <m/>
    <m/>
    <x v="1"/>
    <s v="44510901001001"/>
    <n v="-8.74"/>
    <n v="150"/>
    <n v="1"/>
    <n v="1"/>
  </r>
  <r>
    <m/>
    <m/>
    <x v="1"/>
    <s v="44512971001001"/>
    <n v="-25.88"/>
    <n v="444"/>
    <n v="1"/>
    <n v="1"/>
  </r>
  <r>
    <m/>
    <m/>
    <x v="1"/>
    <s v="44521191004001"/>
    <n v="-22.38"/>
    <n v="384"/>
    <n v="1"/>
    <n v="1"/>
  </r>
  <r>
    <m/>
    <m/>
    <x v="1"/>
    <s v="44522381001001"/>
    <n v="-31.88"/>
    <n v="547"/>
    <n v="1"/>
    <n v="1"/>
  </r>
  <r>
    <m/>
    <m/>
    <x v="1"/>
    <s v="44524481001001"/>
    <n v="-4.49"/>
    <n v="77"/>
    <n v="1"/>
    <n v="1"/>
  </r>
  <r>
    <m/>
    <m/>
    <x v="1"/>
    <s v="44533511002002"/>
    <n v="-14.8"/>
    <n v="254"/>
    <n v="1"/>
    <n v="1"/>
  </r>
  <r>
    <m/>
    <m/>
    <x v="1"/>
    <s v="44536031001002"/>
    <n v="-8.2799999999999994"/>
    <n v="142"/>
    <n v="1"/>
    <n v="1"/>
  </r>
  <r>
    <m/>
    <m/>
    <x v="1"/>
    <s v="44577611002002"/>
    <n v="-0.82"/>
    <n v="14"/>
    <n v="1"/>
    <n v="1"/>
  </r>
  <r>
    <m/>
    <m/>
    <x v="1"/>
    <s v="44581251003001"/>
    <n v="-7.87"/>
    <n v="135"/>
    <n v="1"/>
    <n v="1"/>
  </r>
  <r>
    <m/>
    <m/>
    <x v="1"/>
    <s v="44613171001010"/>
    <n v="-28.09"/>
    <n v="482"/>
    <n v="1"/>
    <n v="1"/>
  </r>
  <r>
    <m/>
    <m/>
    <x v="1"/>
    <s v="44625701002001"/>
    <n v="-32.35"/>
    <n v="555"/>
    <n v="1"/>
    <n v="1"/>
  </r>
  <r>
    <m/>
    <m/>
    <x v="1"/>
    <s v="44638931001005"/>
    <n v="-7.11"/>
    <n v="122"/>
    <n v="1"/>
    <n v="1"/>
  </r>
  <r>
    <m/>
    <m/>
    <x v="1"/>
    <s v="44639981001001"/>
    <n v="-11.07"/>
    <n v="190"/>
    <n v="1"/>
    <n v="1"/>
  </r>
  <r>
    <m/>
    <m/>
    <x v="1"/>
    <s v="44663409001001"/>
    <n v="-46.57"/>
    <n v="799"/>
    <n v="1"/>
    <n v="1"/>
  </r>
  <r>
    <m/>
    <m/>
    <x v="1"/>
    <s v="44694441001003"/>
    <n v="-23.43"/>
    <n v="402"/>
    <n v="1"/>
    <n v="1"/>
  </r>
  <r>
    <m/>
    <m/>
    <x v="1"/>
    <s v="44698571001002"/>
    <n v="-9.44"/>
    <n v="162"/>
    <n v="1"/>
    <n v="1"/>
  </r>
  <r>
    <m/>
    <m/>
    <x v="1"/>
    <s v="44710891001001"/>
    <n v="-19.7"/>
    <n v="338"/>
    <n v="1"/>
    <n v="1"/>
  </r>
  <r>
    <m/>
    <m/>
    <x v="1"/>
    <s v="44711381004001"/>
    <n v="-10.32"/>
    <n v="177"/>
    <n v="1"/>
    <n v="1"/>
  </r>
  <r>
    <m/>
    <m/>
    <x v="1"/>
    <s v="44753381001001"/>
    <n v="-5.65"/>
    <n v="97"/>
    <n v="1"/>
    <n v="1"/>
  </r>
  <r>
    <m/>
    <m/>
    <x v="1"/>
    <s v="44761361002003"/>
    <n v="-37.24"/>
    <n v="639"/>
    <n v="1"/>
    <n v="1"/>
  </r>
  <r>
    <m/>
    <m/>
    <x v="1"/>
    <s v="44860691002003"/>
    <n v="-18.71"/>
    <n v="321"/>
    <n v="1"/>
    <n v="1"/>
  </r>
  <r>
    <m/>
    <m/>
    <x v="1"/>
    <s v="44863491001001"/>
    <n v="-24.13"/>
    <n v="414"/>
    <n v="1"/>
    <n v="1"/>
  </r>
  <r>
    <m/>
    <m/>
    <x v="1"/>
    <s v="44881481002002"/>
    <n v="-15.74"/>
    <n v="270"/>
    <n v="1"/>
    <n v="1"/>
  </r>
  <r>
    <m/>
    <m/>
    <x v="1"/>
    <s v="44881621001001"/>
    <n v="-7.87"/>
    <n v="135"/>
    <n v="1"/>
    <n v="1"/>
  </r>
  <r>
    <m/>
    <m/>
    <x v="1"/>
    <s v="44930551001003"/>
    <n v="-7.63"/>
    <n v="131"/>
    <n v="1"/>
    <n v="1"/>
  </r>
  <r>
    <m/>
    <m/>
    <x v="1"/>
    <s v="44956311001001"/>
    <n v="-6.99"/>
    <n v="120"/>
    <n v="1"/>
    <n v="1"/>
  </r>
  <r>
    <m/>
    <m/>
    <x v="1"/>
    <s v="44962961004001"/>
    <n v="-6.12"/>
    <n v="105"/>
    <n v="1"/>
    <n v="1"/>
  </r>
  <r>
    <m/>
    <m/>
    <x v="1"/>
    <s v="44967161001001"/>
    <n v="-41.5"/>
    <n v="712"/>
    <n v="1"/>
    <n v="1"/>
  </r>
  <r>
    <m/>
    <m/>
    <x v="1"/>
    <s v="44987391001001"/>
    <n v="-11.48"/>
    <n v="197"/>
    <n v="1"/>
    <n v="1"/>
  </r>
  <r>
    <m/>
    <m/>
    <x v="1"/>
    <s v="44990541001001"/>
    <n v="-17.66"/>
    <n v="303"/>
    <n v="1"/>
    <n v="1"/>
  </r>
  <r>
    <m/>
    <m/>
    <x v="1"/>
    <s v="45008951004001"/>
    <n v="-10.96"/>
    <n v="188"/>
    <n v="1"/>
    <n v="1"/>
  </r>
  <r>
    <m/>
    <m/>
    <x v="1"/>
    <s v="45031958001001"/>
    <n v="-60.55"/>
    <n v="1039"/>
    <n v="1"/>
    <n v="1"/>
  </r>
  <r>
    <m/>
    <m/>
    <x v="1"/>
    <s v="45041431001002"/>
    <n v="-30.48"/>
    <n v="523"/>
    <n v="1"/>
    <n v="1"/>
  </r>
  <r>
    <m/>
    <m/>
    <x v="1"/>
    <s v="45047731002001"/>
    <n v="-8.92"/>
    <n v="153"/>
    <n v="1"/>
    <n v="1"/>
  </r>
  <r>
    <m/>
    <m/>
    <x v="1"/>
    <s v="45048221001001"/>
    <n v="-10.78"/>
    <n v="185"/>
    <n v="1"/>
    <n v="1"/>
  </r>
  <r>
    <m/>
    <m/>
    <x v="1"/>
    <s v="45050391007001"/>
    <n v="-15.44"/>
    <n v="265"/>
    <n v="1"/>
    <n v="1"/>
  </r>
  <r>
    <m/>
    <m/>
    <x v="1"/>
    <s v="45052631001002"/>
    <n v="-2.62"/>
    <n v="45"/>
    <n v="1"/>
    <n v="1"/>
  </r>
  <r>
    <m/>
    <m/>
    <x v="1"/>
    <s v="45055431001001"/>
    <n v="-1.98"/>
    <n v="34"/>
    <n v="1"/>
    <n v="1"/>
  </r>
  <r>
    <m/>
    <m/>
    <x v="1"/>
    <s v="45057461003001"/>
    <n v="-6.99"/>
    <n v="120"/>
    <n v="1"/>
    <n v="1"/>
  </r>
  <r>
    <m/>
    <m/>
    <x v="1"/>
    <s v="45061941003003"/>
    <n v="-5.19"/>
    <n v="89"/>
    <n v="1"/>
    <n v="1"/>
  </r>
  <r>
    <m/>
    <m/>
    <x v="1"/>
    <s v="45072791003019"/>
    <n v="-34.97"/>
    <n v="600"/>
    <n v="1"/>
    <n v="1"/>
  </r>
  <r>
    <m/>
    <m/>
    <x v="1"/>
    <s v="45074891004011"/>
    <n v="-24.94"/>
    <n v="428"/>
    <n v="1"/>
    <n v="1"/>
  </r>
  <r>
    <m/>
    <m/>
    <x v="1"/>
    <s v="45075591004001"/>
    <n v="-7.05"/>
    <n v="121"/>
    <n v="1"/>
    <n v="1"/>
  </r>
  <r>
    <m/>
    <m/>
    <x v="1"/>
    <s v="45076781001003"/>
    <n v="-7.52"/>
    <n v="129"/>
    <n v="1"/>
    <n v="1"/>
  </r>
  <r>
    <m/>
    <m/>
    <x v="1"/>
    <s v="45081401001004"/>
    <n v="-18.07"/>
    <n v="310"/>
    <n v="1"/>
    <n v="1"/>
  </r>
  <r>
    <m/>
    <m/>
    <x v="1"/>
    <s v="45099461003003"/>
    <n v="-47.73"/>
    <n v="819"/>
    <n v="1"/>
    <n v="1"/>
  </r>
  <r>
    <m/>
    <m/>
    <x v="1"/>
    <s v="45126691002004"/>
    <n v="-14.86"/>
    <n v="255"/>
    <n v="1"/>
    <n v="1"/>
  </r>
  <r>
    <m/>
    <m/>
    <x v="1"/>
    <s v="45131871004001"/>
    <n v="-10.78"/>
    <n v="185"/>
    <n v="1"/>
    <n v="1"/>
  </r>
  <r>
    <m/>
    <m/>
    <x v="1"/>
    <s v="45132711001002"/>
    <n v="-49.89"/>
    <n v="856"/>
    <n v="1"/>
    <n v="1"/>
  </r>
  <r>
    <m/>
    <m/>
    <x v="1"/>
    <s v="45137261001001"/>
    <n v="-52.16"/>
    <n v="895"/>
    <n v="1"/>
    <n v="1"/>
  </r>
  <r>
    <m/>
    <m/>
    <x v="1"/>
    <s v="45153011001003"/>
    <n v="-33.92"/>
    <n v="582"/>
    <n v="1"/>
    <n v="1"/>
  </r>
  <r>
    <m/>
    <m/>
    <x v="1"/>
    <s v="45156161001001"/>
    <n v="-12.71"/>
    <n v="218"/>
    <n v="1"/>
    <n v="1"/>
  </r>
  <r>
    <m/>
    <m/>
    <x v="1"/>
    <s v="45170842001005"/>
    <n v="-2.68"/>
    <n v="46"/>
    <n v="1"/>
    <n v="1"/>
  </r>
  <r>
    <m/>
    <m/>
    <x v="1"/>
    <s v="45192841001001"/>
    <n v="-1.28"/>
    <n v="22"/>
    <n v="1"/>
    <n v="1"/>
  </r>
  <r>
    <m/>
    <m/>
    <x v="1"/>
    <s v="45230011001003"/>
    <n v="-16.2"/>
    <n v="278"/>
    <n v="1"/>
    <n v="1"/>
  </r>
  <r>
    <m/>
    <m/>
    <x v="1"/>
    <s v="45240016001001"/>
    <n v="-24.07"/>
    <n v="413"/>
    <n v="1"/>
    <n v="1"/>
  </r>
  <r>
    <m/>
    <m/>
    <x v="1"/>
    <s v="45242051001003"/>
    <n v="-57.87"/>
    <n v="993"/>
    <n v="1"/>
    <n v="1"/>
  </r>
  <r>
    <m/>
    <m/>
    <x v="1"/>
    <s v="45253671001001"/>
    <n v="-29.72"/>
    <n v="510"/>
    <n v="1"/>
    <n v="1"/>
  </r>
  <r>
    <m/>
    <m/>
    <x v="1"/>
    <s v="45322971007001"/>
    <n v="-27.16"/>
    <n v="466"/>
    <n v="1"/>
    <n v="1"/>
  </r>
  <r>
    <m/>
    <m/>
    <x v="1"/>
    <s v="45327311001001"/>
    <n v="-1.34"/>
    <n v="23"/>
    <n v="1"/>
    <n v="1"/>
  </r>
  <r>
    <m/>
    <m/>
    <x v="1"/>
    <s v="45338080004001"/>
    <n v="-2.21"/>
    <n v="38"/>
    <n v="1"/>
    <n v="1"/>
  </r>
  <r>
    <m/>
    <m/>
    <x v="1"/>
    <s v="45356641001001"/>
    <n v="-50.76"/>
    <n v="871"/>
    <n v="1"/>
    <n v="1"/>
  </r>
  <r>
    <m/>
    <m/>
    <x v="1"/>
    <s v="45362871001003"/>
    <n v="-4.3099999999999996"/>
    <n v="74"/>
    <n v="1"/>
    <n v="1"/>
  </r>
  <r>
    <m/>
    <m/>
    <x v="1"/>
    <s v="45379041001001"/>
    <n v="-20.46"/>
    <n v="351"/>
    <n v="1"/>
    <n v="1"/>
  </r>
  <r>
    <m/>
    <m/>
    <x v="1"/>
    <s v="45407555001001"/>
    <n v="-0.52"/>
    <n v="9"/>
    <n v="1"/>
    <n v="1"/>
  </r>
  <r>
    <m/>
    <m/>
    <x v="1"/>
    <s v="45408608002003"/>
    <n v="-61.78"/>
    <n v="1060"/>
    <n v="1"/>
    <n v="1"/>
  </r>
  <r>
    <m/>
    <m/>
    <x v="1"/>
    <s v="45412781001004"/>
    <n v="-16.03"/>
    <n v="275"/>
    <n v="1"/>
    <n v="1"/>
  </r>
  <r>
    <m/>
    <m/>
    <x v="1"/>
    <s v="45413901003003"/>
    <n v="-15.21"/>
    <n v="261"/>
    <n v="1"/>
    <n v="1"/>
  </r>
  <r>
    <m/>
    <m/>
    <x v="1"/>
    <s v="45420831002002"/>
    <n v="-50.53"/>
    <n v="867"/>
    <n v="1"/>
    <n v="1"/>
  </r>
  <r>
    <m/>
    <m/>
    <x v="1"/>
    <s v="45442391006001"/>
    <n v="-1.63"/>
    <n v="28"/>
    <n v="1"/>
    <n v="1"/>
  </r>
  <r>
    <m/>
    <m/>
    <x v="1"/>
    <s v="45447641001001"/>
    <n v="-13.87"/>
    <n v="238"/>
    <n v="1"/>
    <n v="1"/>
  </r>
  <r>
    <m/>
    <m/>
    <x v="1"/>
    <s v="45447711001002"/>
    <n v="-34.79"/>
    <n v="597"/>
    <n v="1"/>
    <n v="1"/>
  </r>
  <r>
    <m/>
    <m/>
    <x v="1"/>
    <s v="45452652002011"/>
    <n v="-4.5999999999999996"/>
    <n v="79"/>
    <n v="1"/>
    <n v="1"/>
  </r>
  <r>
    <m/>
    <m/>
    <x v="1"/>
    <s v="45481311001001"/>
    <n v="-0.57999999999999996"/>
    <n v="10"/>
    <n v="1"/>
    <n v="1"/>
  </r>
  <r>
    <m/>
    <m/>
    <x v="1"/>
    <s v="45500981001001"/>
    <n v="-38.520000000000003"/>
    <n v="661"/>
    <n v="1"/>
    <n v="1"/>
  </r>
  <r>
    <m/>
    <m/>
    <x v="1"/>
    <s v="45504201001002"/>
    <n v="-29.96"/>
    <n v="514"/>
    <n v="1"/>
    <n v="1"/>
  </r>
  <r>
    <m/>
    <m/>
    <x v="1"/>
    <s v="45519246001001"/>
    <n v="-68.010000000000005"/>
    <n v="1167"/>
    <n v="1"/>
    <n v="1"/>
  </r>
  <r>
    <m/>
    <m/>
    <x v="1"/>
    <s v="45528421001002"/>
    <n v="-52.92"/>
    <n v="908"/>
    <n v="1"/>
    <n v="1"/>
  </r>
  <r>
    <m/>
    <m/>
    <x v="1"/>
    <s v="45554531001005"/>
    <n v="-11.95"/>
    <n v="205"/>
    <n v="1"/>
    <n v="1"/>
  </r>
  <r>
    <m/>
    <m/>
    <x v="1"/>
    <s v="45575065001005"/>
    <n v="-1.34"/>
    <n v="23"/>
    <n v="1"/>
    <n v="1"/>
  </r>
  <r>
    <m/>
    <m/>
    <x v="1"/>
    <s v="45615361005001"/>
    <n v="-46.68"/>
    <n v="801"/>
    <n v="1"/>
    <n v="1"/>
  </r>
  <r>
    <m/>
    <m/>
    <x v="1"/>
    <s v="45622851001009"/>
    <n v="-2.16"/>
    <n v="37"/>
    <n v="1"/>
    <n v="1"/>
  </r>
  <r>
    <m/>
    <m/>
    <x v="1"/>
    <s v="45764531001001"/>
    <n v="-3.73"/>
    <n v="64"/>
    <n v="1"/>
    <n v="1"/>
  </r>
  <r>
    <m/>
    <m/>
    <x v="1"/>
    <s v="45765441001002"/>
    <n v="-3.79"/>
    <n v="65"/>
    <n v="1"/>
    <n v="1"/>
  </r>
  <r>
    <m/>
    <m/>
    <x v="1"/>
    <s v="45824016001003"/>
    <n v="-6.76"/>
    <n v="116"/>
    <n v="1"/>
    <n v="1"/>
  </r>
  <r>
    <m/>
    <m/>
    <x v="1"/>
    <s v="45861201001008"/>
    <n v="-0.28999999999999998"/>
    <n v="5"/>
    <n v="1"/>
    <n v="1"/>
  </r>
  <r>
    <m/>
    <m/>
    <x v="1"/>
    <s v="45878001001001"/>
    <n v="-39.4"/>
    <n v="676"/>
    <n v="1"/>
    <n v="1"/>
  </r>
  <r>
    <m/>
    <m/>
    <x v="1"/>
    <s v="45906912002001"/>
    <n v="-9.27"/>
    <n v="159"/>
    <n v="1"/>
    <n v="1"/>
  </r>
  <r>
    <m/>
    <m/>
    <x v="1"/>
    <s v="45930081004001"/>
    <n v="-0.93"/>
    <n v="16"/>
    <n v="1"/>
    <n v="1"/>
  </r>
  <r>
    <m/>
    <m/>
    <x v="1"/>
    <s v="45979501004001"/>
    <n v="-32.99"/>
    <n v="566"/>
    <n v="1"/>
    <n v="1"/>
  </r>
  <r>
    <m/>
    <m/>
    <x v="1"/>
    <s v="45987934001001"/>
    <n v="-3.26"/>
    <n v="56"/>
    <n v="1"/>
    <n v="1"/>
  </r>
  <r>
    <m/>
    <m/>
    <x v="1"/>
    <s v="45999031007001"/>
    <n v="-38.869999999999997"/>
    <n v="667"/>
    <n v="1"/>
    <n v="1"/>
  </r>
  <r>
    <m/>
    <m/>
    <x v="1"/>
    <s v="46112501001001"/>
    <n v="-43.19"/>
    <n v="741"/>
    <n v="1"/>
    <n v="1"/>
  </r>
  <r>
    <m/>
    <m/>
    <x v="1"/>
    <s v="46122371006001"/>
    <n v="-22.96"/>
    <n v="394"/>
    <n v="1"/>
    <n v="1"/>
  </r>
  <r>
    <m/>
    <m/>
    <x v="1"/>
    <s v="46135601001001"/>
    <n v="-30.25"/>
    <n v="519"/>
    <n v="1"/>
    <n v="1"/>
  </r>
  <r>
    <m/>
    <m/>
    <x v="1"/>
    <s v="46141131001003"/>
    <n v="-10.26"/>
    <n v="176"/>
    <n v="1"/>
    <n v="1"/>
  </r>
  <r>
    <m/>
    <m/>
    <x v="1"/>
    <s v="46149601001005"/>
    <n v="-37.299999999999997"/>
    <n v="640"/>
    <n v="1"/>
    <n v="1"/>
  </r>
  <r>
    <m/>
    <m/>
    <x v="1"/>
    <s v="46161221003014"/>
    <n v="-51.58"/>
    <n v="885"/>
    <n v="1"/>
    <n v="1"/>
  </r>
  <r>
    <m/>
    <m/>
    <x v="1"/>
    <s v="46195241001002"/>
    <n v="-26.93"/>
    <n v="462"/>
    <n v="1"/>
    <n v="1"/>
  </r>
  <r>
    <m/>
    <m/>
    <x v="1"/>
    <s v="46210291002003"/>
    <n v="-47.56"/>
    <n v="816"/>
    <n v="1"/>
    <n v="1"/>
  </r>
  <r>
    <m/>
    <m/>
    <x v="1"/>
    <s v="46217641006001"/>
    <n v="-0.76"/>
    <n v="13"/>
    <n v="1"/>
    <n v="1"/>
  </r>
  <r>
    <m/>
    <m/>
    <x v="1"/>
    <s v="46242001001004"/>
    <n v="-7.58"/>
    <n v="130"/>
    <n v="1"/>
    <n v="1"/>
  </r>
  <r>
    <m/>
    <m/>
    <x v="1"/>
    <s v="46248581001001"/>
    <n v="-7.98"/>
    <n v="137"/>
    <n v="1"/>
    <n v="1"/>
  </r>
  <r>
    <m/>
    <m/>
    <x v="1"/>
    <s v="46290511001002"/>
    <n v="-1.92"/>
    <n v="33"/>
    <n v="1"/>
    <n v="1"/>
  </r>
  <r>
    <m/>
    <m/>
    <x v="1"/>
    <s v="46323621003008"/>
    <n v="-15.15"/>
    <n v="260"/>
    <n v="1"/>
    <n v="1"/>
  </r>
  <r>
    <m/>
    <m/>
    <x v="1"/>
    <s v="46398591003001"/>
    <n v="-15.91"/>
    <n v="273"/>
    <n v="1"/>
    <n v="1"/>
  </r>
  <r>
    <m/>
    <m/>
    <x v="1"/>
    <s v="46399081006001"/>
    <n v="-24.42"/>
    <n v="419"/>
    <n v="1"/>
    <n v="1"/>
  </r>
  <r>
    <m/>
    <m/>
    <x v="1"/>
    <s v="46403981001002"/>
    <n v="-0.23"/>
    <n v="4"/>
    <n v="1"/>
    <n v="1"/>
  </r>
  <r>
    <m/>
    <m/>
    <x v="1"/>
    <s v="46412521001006"/>
    <n v="-12.06"/>
    <n v="207"/>
    <n v="1"/>
    <n v="1"/>
  </r>
  <r>
    <m/>
    <m/>
    <x v="1"/>
    <s v="46429881006001"/>
    <n v="-71.16"/>
    <n v="1221"/>
    <n v="1"/>
    <n v="1"/>
  </r>
  <r>
    <m/>
    <m/>
    <x v="1"/>
    <s v="46438981001002"/>
    <n v="-64.98"/>
    <n v="1115"/>
    <n v="1"/>
    <n v="1"/>
  </r>
  <r>
    <m/>
    <m/>
    <x v="1"/>
    <s v="46440861001007"/>
    <n v="-20.86"/>
    <n v="358"/>
    <n v="1"/>
    <n v="1"/>
  </r>
  <r>
    <m/>
    <m/>
    <x v="1"/>
    <s v="46467611002001"/>
    <n v="-1.22"/>
    <n v="21"/>
    <n v="1"/>
    <n v="1"/>
  </r>
  <r>
    <m/>
    <m/>
    <x v="1"/>
    <s v="46477551003001"/>
    <n v="-22.96"/>
    <n v="394"/>
    <n v="1"/>
    <n v="1"/>
  </r>
  <r>
    <m/>
    <m/>
    <x v="1"/>
    <s v="46478573003001"/>
    <n v="-56.42"/>
    <n v="968"/>
    <n v="1"/>
    <n v="1"/>
  </r>
  <r>
    <m/>
    <m/>
    <x v="1"/>
    <s v="46539265001001"/>
    <n v="-1.1100000000000001"/>
    <n v="19"/>
    <n v="1"/>
    <n v="1"/>
  </r>
  <r>
    <m/>
    <m/>
    <x v="1"/>
    <s v="46649901001004"/>
    <n v="-0.76"/>
    <n v="13"/>
    <n v="1"/>
    <n v="1"/>
  </r>
  <r>
    <m/>
    <m/>
    <x v="1"/>
    <s v="46684121001001"/>
    <n v="-44.06"/>
    <n v="756"/>
    <n v="1"/>
    <n v="1"/>
  </r>
  <r>
    <m/>
    <m/>
    <x v="1"/>
    <s v="46767001003001"/>
    <n v="-10.32"/>
    <n v="177"/>
    <n v="1"/>
    <n v="1"/>
  </r>
  <r>
    <m/>
    <m/>
    <x v="1"/>
    <s v="46767211003001"/>
    <n v="-0.06"/>
    <n v="1"/>
    <n v="1"/>
    <n v="1"/>
  </r>
  <r>
    <m/>
    <m/>
    <x v="1"/>
    <s v="46772111002005"/>
    <n v="-1.05"/>
    <n v="18"/>
    <n v="1"/>
    <n v="1"/>
  </r>
  <r>
    <m/>
    <m/>
    <x v="1"/>
    <s v="46773581002002"/>
    <n v="-15.79"/>
    <n v="271"/>
    <n v="1"/>
    <n v="1"/>
  </r>
  <r>
    <m/>
    <m/>
    <x v="1"/>
    <s v="46778971002001"/>
    <n v="-15.21"/>
    <n v="261"/>
    <n v="1"/>
    <n v="1"/>
  </r>
  <r>
    <m/>
    <m/>
    <x v="1"/>
    <s v="46779671001003"/>
    <n v="-19"/>
    <n v="326"/>
    <n v="1"/>
    <n v="1"/>
  </r>
  <r>
    <m/>
    <m/>
    <x v="1"/>
    <s v="46789961001001"/>
    <n v="-51.34"/>
    <n v="881"/>
    <n v="1"/>
    <n v="1"/>
  </r>
  <r>
    <m/>
    <m/>
    <x v="1"/>
    <s v="46790122001005"/>
    <n v="-2.27"/>
    <n v="39"/>
    <n v="1"/>
    <n v="1"/>
  </r>
  <r>
    <m/>
    <m/>
    <x v="1"/>
    <s v="46825208001001"/>
    <n v="-9.0299999999999994"/>
    <n v="155"/>
    <n v="1"/>
    <n v="1"/>
  </r>
  <r>
    <m/>
    <m/>
    <x v="1"/>
    <s v="46831191008001"/>
    <n v="-39.46"/>
    <n v="677"/>
    <n v="1"/>
    <n v="1"/>
  </r>
  <r>
    <m/>
    <m/>
    <x v="1"/>
    <s v="46834341003003"/>
    <n v="-49.48"/>
    <n v="849"/>
    <n v="1"/>
    <n v="1"/>
  </r>
  <r>
    <m/>
    <m/>
    <x v="1"/>
    <s v="46844491002002"/>
    <n v="-1.69"/>
    <n v="29"/>
    <n v="1"/>
    <n v="1"/>
  </r>
  <r>
    <m/>
    <m/>
    <x v="1"/>
    <s v="46848061001005"/>
    <n v="-6.88"/>
    <n v="118"/>
    <n v="1"/>
    <n v="1"/>
  </r>
  <r>
    <m/>
    <m/>
    <x v="1"/>
    <s v="46855629001001"/>
    <n v="-0.41"/>
    <n v="7"/>
    <n v="1"/>
    <n v="1"/>
  </r>
  <r>
    <m/>
    <m/>
    <x v="1"/>
    <s v="46866331001002"/>
    <n v="-1.98"/>
    <n v="34"/>
    <n v="1"/>
    <n v="1"/>
  </r>
  <r>
    <m/>
    <m/>
    <x v="1"/>
    <s v="46967818003001"/>
    <n v="-1.75"/>
    <n v="30"/>
    <n v="1"/>
    <n v="1"/>
  </r>
  <r>
    <m/>
    <m/>
    <x v="1"/>
    <s v="47028499003001"/>
    <n v="-43.24"/>
    <n v="742"/>
    <n v="1"/>
    <n v="1"/>
  </r>
  <r>
    <m/>
    <m/>
    <x v="1"/>
    <s v="47124400001003"/>
    <n v="-16.2"/>
    <n v="278"/>
    <n v="1"/>
    <n v="1"/>
  </r>
  <r>
    <m/>
    <m/>
    <x v="1"/>
    <s v="47135971001002"/>
    <n v="-3.26"/>
    <n v="56"/>
    <n v="1"/>
    <n v="1"/>
  </r>
  <r>
    <m/>
    <m/>
    <x v="1"/>
    <s v="47154521003001"/>
    <n v="-10.67"/>
    <n v="183"/>
    <n v="1"/>
    <n v="1"/>
  </r>
  <r>
    <m/>
    <m/>
    <x v="1"/>
    <s v="47164321003004"/>
    <n v="-6.12"/>
    <n v="105"/>
    <n v="1"/>
    <n v="1"/>
  </r>
  <r>
    <m/>
    <m/>
    <x v="1"/>
    <s v="47233131004002"/>
    <n v="-1.1100000000000001"/>
    <n v="19"/>
    <n v="1"/>
    <n v="1"/>
  </r>
  <r>
    <m/>
    <m/>
    <x v="1"/>
    <s v="47258973001001"/>
    <n v="-17.600000000000001"/>
    <n v="302"/>
    <n v="1"/>
    <n v="1"/>
  </r>
  <r>
    <m/>
    <m/>
    <x v="1"/>
    <s v="47275061002003"/>
    <n v="-5.07"/>
    <n v="87"/>
    <n v="1"/>
    <n v="1"/>
  </r>
  <r>
    <m/>
    <m/>
    <x v="1"/>
    <s v="47312021001002"/>
    <n v="-18.13"/>
    <n v="311"/>
    <n v="1"/>
    <n v="1"/>
  </r>
  <r>
    <m/>
    <m/>
    <x v="1"/>
    <s v="47318111005003"/>
    <n v="-102.4"/>
    <n v="1757"/>
    <n v="1"/>
    <n v="1"/>
  </r>
  <r>
    <m/>
    <m/>
    <x v="1"/>
    <s v="47341211003001"/>
    <n v="-0.23"/>
    <n v="4"/>
    <n v="1"/>
    <n v="1"/>
  </r>
  <r>
    <m/>
    <m/>
    <x v="1"/>
    <s v="47343796001001"/>
    <n v="-1.98"/>
    <n v="34"/>
    <n v="1"/>
    <n v="1"/>
  </r>
  <r>
    <m/>
    <m/>
    <x v="1"/>
    <s v="47356261001002"/>
    <n v="-31.47"/>
    <n v="540"/>
    <n v="1"/>
    <n v="1"/>
  </r>
  <r>
    <m/>
    <m/>
    <x v="1"/>
    <s v="47375581005013"/>
    <n v="-24.36"/>
    <n v="418"/>
    <n v="1"/>
    <n v="1"/>
  </r>
  <r>
    <m/>
    <m/>
    <x v="1"/>
    <s v="47375861003003"/>
    <n v="-13.75"/>
    <n v="236"/>
    <n v="1"/>
    <n v="1"/>
  </r>
  <r>
    <m/>
    <m/>
    <x v="1"/>
    <s v="47377611003002"/>
    <n v="-14.92"/>
    <n v="256"/>
    <n v="1"/>
    <n v="1"/>
  </r>
  <r>
    <m/>
    <m/>
    <x v="1"/>
    <s v="47382721001001"/>
    <n v="-28.5"/>
    <n v="489"/>
    <n v="1"/>
    <n v="1"/>
  </r>
  <r>
    <m/>
    <m/>
    <x v="1"/>
    <s v="47385801001001"/>
    <n v="-20.34"/>
    <n v="349"/>
    <n v="1"/>
    <n v="1"/>
  </r>
  <r>
    <m/>
    <m/>
    <x v="1"/>
    <s v="47386711001003"/>
    <n v="-13.17"/>
    <n v="226"/>
    <n v="1"/>
    <n v="1"/>
  </r>
  <r>
    <m/>
    <m/>
    <x v="1"/>
    <s v="47388041001006"/>
    <n v="-1.17"/>
    <n v="20"/>
    <n v="1"/>
    <n v="1"/>
  </r>
  <r>
    <m/>
    <m/>
    <x v="1"/>
    <s v="47403091001002"/>
    <n v="-0.47"/>
    <n v="8"/>
    <n v="1"/>
    <n v="1"/>
  </r>
  <r>
    <m/>
    <m/>
    <x v="1"/>
    <s v="47406521002002"/>
    <n v="-27.92"/>
    <n v="479"/>
    <n v="1"/>
    <n v="1"/>
  </r>
  <r>
    <m/>
    <m/>
    <x v="1"/>
    <s v="47406740001003"/>
    <n v="-14.34"/>
    <n v="246"/>
    <n v="1"/>
    <n v="1"/>
  </r>
  <r>
    <m/>
    <m/>
    <x v="1"/>
    <s v="47425421003001"/>
    <n v="-26.58"/>
    <n v="456"/>
    <n v="1"/>
    <n v="1"/>
  </r>
  <r>
    <m/>
    <m/>
    <x v="1"/>
    <s v="47429201001003"/>
    <n v="-18.71"/>
    <n v="321"/>
    <n v="1"/>
    <n v="1"/>
  </r>
  <r>
    <m/>
    <m/>
    <x v="1"/>
    <s v="47431160001002"/>
    <n v="-8.6300000000000008"/>
    <n v="148"/>
    <n v="1"/>
    <n v="1"/>
  </r>
  <r>
    <m/>
    <m/>
    <x v="1"/>
    <s v="47463011003001"/>
    <n v="-11.6"/>
    <n v="199"/>
    <n v="1"/>
    <n v="1"/>
  </r>
  <r>
    <m/>
    <m/>
    <x v="1"/>
    <s v="47480441007001"/>
    <n v="-5.94"/>
    <n v="102"/>
    <n v="1"/>
    <n v="1"/>
  </r>
  <r>
    <m/>
    <m/>
    <x v="1"/>
    <s v="47574941012001"/>
    <n v="-5.71"/>
    <n v="98"/>
    <n v="1"/>
    <n v="1"/>
  </r>
  <r>
    <m/>
    <m/>
    <x v="1"/>
    <s v="47576624002003"/>
    <n v="-37.94"/>
    <n v="651"/>
    <n v="1"/>
    <n v="1"/>
  </r>
  <r>
    <m/>
    <m/>
    <x v="1"/>
    <s v="47599651005003"/>
    <n v="-6.88"/>
    <n v="118"/>
    <n v="1"/>
    <n v="1"/>
  </r>
  <r>
    <m/>
    <m/>
    <x v="1"/>
    <s v="47600631003001"/>
    <n v="-12.53"/>
    <n v="215"/>
    <n v="1"/>
    <n v="1"/>
  </r>
  <r>
    <m/>
    <m/>
    <x v="1"/>
    <s v="47606721001009"/>
    <n v="-16.03"/>
    <n v="275"/>
    <n v="1"/>
    <n v="1"/>
  </r>
  <r>
    <m/>
    <m/>
    <x v="1"/>
    <s v="47672521001007"/>
    <n v="-5.48"/>
    <n v="94"/>
    <n v="1"/>
    <n v="1"/>
  </r>
  <r>
    <m/>
    <m/>
    <x v="1"/>
    <s v="47723831004003"/>
    <n v="-2.1"/>
    <n v="36"/>
    <n v="1"/>
    <n v="1"/>
  </r>
  <r>
    <m/>
    <m/>
    <x v="1"/>
    <s v="47755961001002"/>
    <n v="-17.600000000000001"/>
    <n v="302"/>
    <n v="1"/>
    <n v="1"/>
  </r>
  <r>
    <m/>
    <m/>
    <x v="1"/>
    <s v="47756941004003"/>
    <n v="-18.53"/>
    <n v="318"/>
    <n v="1"/>
    <n v="1"/>
  </r>
  <r>
    <m/>
    <m/>
    <x v="1"/>
    <s v="47762681005001"/>
    <n v="-44.93"/>
    <n v="771"/>
    <n v="1"/>
    <n v="1"/>
  </r>
  <r>
    <m/>
    <m/>
    <x v="1"/>
    <s v="47772743001002"/>
    <n v="-16.61"/>
    <n v="285"/>
    <n v="1"/>
    <n v="1"/>
  </r>
  <r>
    <m/>
    <m/>
    <x v="1"/>
    <s v="47774834001001"/>
    <n v="-5.3"/>
    <n v="91"/>
    <n v="1"/>
    <n v="1"/>
  </r>
  <r>
    <m/>
    <m/>
    <x v="1"/>
    <s v="47792516001006"/>
    <n v="-28.27"/>
    <n v="485"/>
    <n v="1"/>
    <n v="1"/>
  </r>
  <r>
    <m/>
    <m/>
    <x v="1"/>
    <s v="47839821001002"/>
    <n v="-17.600000000000001"/>
    <n v="302"/>
    <n v="1"/>
    <n v="1"/>
  </r>
  <r>
    <m/>
    <m/>
    <x v="1"/>
    <s v="47866841003004"/>
    <n v="-7.98"/>
    <n v="137"/>
    <n v="1"/>
    <n v="1"/>
  </r>
  <r>
    <m/>
    <m/>
    <x v="1"/>
    <s v="47872982001001"/>
    <n v="-97.79"/>
    <n v="1678"/>
    <n v="1"/>
    <n v="1"/>
  </r>
  <r>
    <m/>
    <m/>
    <x v="1"/>
    <s v="47874541007001"/>
    <n v="-74.66"/>
    <n v="1281"/>
    <n v="1"/>
    <n v="1"/>
  </r>
  <r>
    <m/>
    <m/>
    <x v="1"/>
    <s v="47881813001003"/>
    <n v="-14.28"/>
    <n v="245"/>
    <n v="1"/>
    <n v="1"/>
  </r>
  <r>
    <m/>
    <m/>
    <x v="1"/>
    <s v="47927671001001"/>
    <n v="-3.32"/>
    <n v="57"/>
    <n v="1"/>
    <n v="1"/>
  </r>
  <r>
    <m/>
    <m/>
    <x v="1"/>
    <s v="47932305003001"/>
    <n v="-10.02"/>
    <n v="172"/>
    <n v="1"/>
    <n v="1"/>
  </r>
  <r>
    <m/>
    <m/>
    <x v="1"/>
    <s v="47945381004001"/>
    <n v="-19.47"/>
    <n v="334"/>
    <n v="1"/>
    <n v="1"/>
  </r>
  <r>
    <m/>
    <m/>
    <x v="1"/>
    <s v="47948181001002"/>
    <n v="-9.0299999999999994"/>
    <n v="155"/>
    <n v="1"/>
    <n v="1"/>
  </r>
  <r>
    <m/>
    <m/>
    <x v="1"/>
    <s v="47981781001001"/>
    <n v="-30.89"/>
    <n v="530"/>
    <n v="1"/>
    <n v="1"/>
  </r>
  <r>
    <m/>
    <m/>
    <x v="1"/>
    <s v="47983531004001"/>
    <n v="-23.14"/>
    <n v="397"/>
    <n v="1"/>
    <n v="1"/>
  </r>
  <r>
    <m/>
    <m/>
    <x v="1"/>
    <s v="48013109001003"/>
    <n v="-1.57"/>
    <n v="27"/>
    <n v="1"/>
    <n v="1"/>
  </r>
  <r>
    <m/>
    <m/>
    <x v="1"/>
    <s v="48036574003001"/>
    <n v="-20.399999999999999"/>
    <n v="350"/>
    <n v="1"/>
    <n v="1"/>
  </r>
  <r>
    <m/>
    <m/>
    <x v="1"/>
    <s v="48040883001002"/>
    <n v="-6"/>
    <n v="103"/>
    <n v="1"/>
    <n v="1"/>
  </r>
  <r>
    <m/>
    <m/>
    <x v="1"/>
    <s v="48065577001006"/>
    <n v="-6.59"/>
    <n v="113"/>
    <n v="1"/>
    <n v="1"/>
  </r>
  <r>
    <m/>
    <m/>
    <x v="1"/>
    <s v="48076533001001"/>
    <n v="-3.21"/>
    <n v="55"/>
    <n v="1"/>
    <n v="1"/>
  </r>
  <r>
    <m/>
    <m/>
    <x v="1"/>
    <s v="48182191001001"/>
    <n v="-0.99"/>
    <n v="17"/>
    <n v="1"/>
    <n v="1"/>
  </r>
  <r>
    <m/>
    <m/>
    <x v="1"/>
    <s v="48214181001001"/>
    <n v="-10.32"/>
    <n v="177"/>
    <n v="1"/>
    <n v="1"/>
  </r>
  <r>
    <m/>
    <m/>
    <x v="1"/>
    <s v="48254983001001"/>
    <n v="-35.200000000000003"/>
    <n v="604"/>
    <n v="1"/>
    <n v="1"/>
  </r>
  <r>
    <m/>
    <m/>
    <x v="1"/>
    <s v="48287655003001"/>
    <n v="-3.03"/>
    <n v="52"/>
    <n v="1"/>
    <n v="1"/>
  </r>
  <r>
    <m/>
    <m/>
    <x v="1"/>
    <s v="48474794001001"/>
    <n v="-7.58"/>
    <n v="130"/>
    <n v="1"/>
    <n v="1"/>
  </r>
  <r>
    <m/>
    <m/>
    <x v="1"/>
    <s v="48488730001001"/>
    <n v="-2.68"/>
    <n v="46"/>
    <n v="1"/>
    <n v="1"/>
  </r>
  <r>
    <m/>
    <m/>
    <x v="1"/>
    <s v="48490261001001"/>
    <n v="-4.95"/>
    <n v="85"/>
    <n v="1"/>
    <n v="1"/>
  </r>
  <r>
    <m/>
    <m/>
    <x v="1"/>
    <s v="48518541001001"/>
    <n v="-13.58"/>
    <n v="233"/>
    <n v="1"/>
    <n v="1"/>
  </r>
  <r>
    <m/>
    <m/>
    <x v="1"/>
    <s v="48671160001004"/>
    <n v="-0.35"/>
    <n v="6"/>
    <n v="1"/>
    <n v="1"/>
  </r>
  <r>
    <m/>
    <m/>
    <x v="1"/>
    <s v="48704876001001"/>
    <n v="-28.85"/>
    <n v="495"/>
    <n v="1"/>
    <n v="1"/>
  </r>
  <r>
    <m/>
    <m/>
    <x v="1"/>
    <s v="48771464001005"/>
    <n v="-14.92"/>
    <n v="256"/>
    <n v="1"/>
    <n v="1"/>
  </r>
  <r>
    <m/>
    <m/>
    <x v="1"/>
    <s v="48789559005001"/>
    <n v="-14.34"/>
    <n v="246"/>
    <n v="1"/>
    <n v="1"/>
  </r>
  <r>
    <m/>
    <m/>
    <x v="1"/>
    <s v="48798510001003"/>
    <n v="-23.49"/>
    <n v="403"/>
    <n v="1"/>
    <n v="1"/>
  </r>
  <r>
    <m/>
    <m/>
    <x v="1"/>
    <s v="48843876001001"/>
    <n v="-13.11"/>
    <n v="225"/>
    <n v="1"/>
    <n v="1"/>
  </r>
  <r>
    <m/>
    <m/>
    <x v="1"/>
    <s v="48867586002009"/>
    <n v="-2.97"/>
    <n v="51"/>
    <n v="1"/>
    <n v="1"/>
  </r>
  <r>
    <m/>
    <m/>
    <x v="1"/>
    <s v="48930701001003"/>
    <n v="-20.399999999999999"/>
    <n v="350"/>
    <n v="1"/>
    <n v="1"/>
  </r>
  <r>
    <m/>
    <m/>
    <x v="1"/>
    <s v="49069822001001"/>
    <n v="-17.78"/>
    <n v="305"/>
    <n v="1"/>
    <n v="1"/>
  </r>
  <r>
    <m/>
    <m/>
    <x v="1"/>
    <s v="49110279001004"/>
    <n v="-14.98"/>
    <n v="257"/>
    <n v="1"/>
    <n v="1"/>
  </r>
  <r>
    <m/>
    <m/>
    <x v="1"/>
    <s v="49114661001002"/>
    <n v="-3.5"/>
    <n v="60"/>
    <n v="1"/>
    <n v="1"/>
  </r>
  <r>
    <m/>
    <m/>
    <x v="1"/>
    <s v="49146371004001"/>
    <n v="-20.51"/>
    <n v="352"/>
    <n v="1"/>
    <n v="1"/>
  </r>
  <r>
    <m/>
    <m/>
    <x v="1"/>
    <s v="49162471005001"/>
    <n v="-63"/>
    <n v="1081"/>
    <n v="1"/>
    <n v="1"/>
  </r>
  <r>
    <m/>
    <m/>
    <x v="1"/>
    <s v="49200673001001"/>
    <n v="-10.26"/>
    <n v="176"/>
    <n v="1"/>
    <n v="1"/>
  </r>
  <r>
    <m/>
    <m/>
    <x v="1"/>
    <s v="49214775001001"/>
    <n v="-0.35"/>
    <n v="6"/>
    <n v="1"/>
    <n v="1"/>
  </r>
  <r>
    <m/>
    <m/>
    <x v="1"/>
    <s v="49217701003005"/>
    <n v="-71.569999999999993"/>
    <n v="1228"/>
    <n v="1"/>
    <n v="1"/>
  </r>
  <r>
    <m/>
    <m/>
    <x v="1"/>
    <s v="49295866001005"/>
    <n v="-19.170000000000002"/>
    <n v="329"/>
    <n v="1"/>
    <n v="1"/>
  </r>
  <r>
    <m/>
    <m/>
    <x v="1"/>
    <s v="49299299001005"/>
    <n v="-12.65"/>
    <n v="217"/>
    <n v="1"/>
    <n v="1"/>
  </r>
  <r>
    <m/>
    <m/>
    <x v="1"/>
    <s v="49436870001001"/>
    <n v="-19.93"/>
    <n v="342"/>
    <n v="1"/>
    <n v="1"/>
  </r>
  <r>
    <m/>
    <m/>
    <x v="1"/>
    <s v="49472851001001"/>
    <n v="-14.57"/>
    <n v="250"/>
    <n v="1"/>
    <n v="1"/>
  </r>
  <r>
    <m/>
    <m/>
    <x v="1"/>
    <s v="49542151005001"/>
    <n v="-2.8"/>
    <n v="48"/>
    <n v="1"/>
    <n v="1"/>
  </r>
  <r>
    <m/>
    <m/>
    <x v="1"/>
    <s v="49542291001001"/>
    <n v="-1.52"/>
    <n v="26"/>
    <n v="1"/>
    <n v="1"/>
  </r>
  <r>
    <m/>
    <m/>
    <x v="1"/>
    <s v="49549801001003"/>
    <n v="-2.97"/>
    <n v="51"/>
    <n v="1"/>
    <n v="1"/>
  </r>
  <r>
    <m/>
    <m/>
    <x v="1"/>
    <s v="49557855001003"/>
    <n v="-7.81"/>
    <n v="134"/>
    <n v="1"/>
    <n v="1"/>
  </r>
  <r>
    <m/>
    <m/>
    <x v="1"/>
    <s v="49620391001001"/>
    <n v="-18.940000000000001"/>
    <n v="325"/>
    <n v="1"/>
    <n v="1"/>
  </r>
  <r>
    <m/>
    <m/>
    <x v="1"/>
    <s v="49622441001001"/>
    <n v="-0.57999999999999996"/>
    <n v="10"/>
    <n v="1"/>
    <n v="1"/>
  </r>
  <r>
    <m/>
    <m/>
    <x v="1"/>
    <s v="49632381001008"/>
    <n v="-0.64"/>
    <n v="11"/>
    <n v="1"/>
    <n v="1"/>
  </r>
  <r>
    <m/>
    <m/>
    <x v="1"/>
    <s v="49711801001001"/>
    <n v="-12.41"/>
    <n v="213"/>
    <n v="1"/>
    <n v="1"/>
  </r>
  <r>
    <m/>
    <m/>
    <x v="1"/>
    <s v="49808641003001"/>
    <n v="-40.74"/>
    <n v="699"/>
    <n v="1"/>
    <n v="1"/>
  </r>
  <r>
    <m/>
    <m/>
    <x v="1"/>
    <s v="49897285001001"/>
    <n v="-4.43"/>
    <n v="76"/>
    <n v="1"/>
    <n v="1"/>
  </r>
  <r>
    <m/>
    <m/>
    <x v="1"/>
    <s v="49903001001002"/>
    <n v="-73.37"/>
    <n v="1259"/>
    <n v="1"/>
    <n v="1"/>
  </r>
  <r>
    <m/>
    <m/>
    <x v="1"/>
    <s v="49904401001017"/>
    <n v="-17.600000000000001"/>
    <n v="302"/>
    <n v="1"/>
    <n v="1"/>
  </r>
  <r>
    <m/>
    <m/>
    <x v="1"/>
    <s v="49926110001001"/>
    <n v="-24.59"/>
    <n v="422"/>
    <n v="1"/>
    <n v="1"/>
  </r>
  <r>
    <m/>
    <m/>
    <x v="1"/>
    <s v="49944272001001"/>
    <n v="-4.72"/>
    <n v="81"/>
    <n v="1"/>
    <n v="1"/>
  </r>
  <r>
    <m/>
    <m/>
    <x v="1"/>
    <s v="49953330001004"/>
    <n v="-4.72"/>
    <n v="81"/>
    <n v="1"/>
    <n v="1"/>
  </r>
  <r>
    <m/>
    <m/>
    <x v="1"/>
    <s v="49960891003001"/>
    <n v="-7.69"/>
    <n v="132"/>
    <n v="1"/>
    <n v="1"/>
  </r>
  <r>
    <m/>
    <m/>
    <x v="1"/>
    <s v="49963733001001"/>
    <n v="-29.02"/>
    <n v="498"/>
    <n v="1"/>
    <n v="1"/>
  </r>
  <r>
    <m/>
    <m/>
    <x v="1"/>
    <s v="50032221001002"/>
    <n v="-27.04"/>
    <n v="464"/>
    <n v="1"/>
    <n v="1"/>
  </r>
  <r>
    <m/>
    <m/>
    <x v="1"/>
    <s v="50062741003005"/>
    <n v="-0.41"/>
    <n v="7"/>
    <n v="1"/>
    <n v="1"/>
  </r>
  <r>
    <m/>
    <m/>
    <x v="1"/>
    <s v="50119791001001"/>
    <n v="-3.44"/>
    <n v="59"/>
    <n v="1"/>
    <n v="1"/>
  </r>
  <r>
    <m/>
    <m/>
    <x v="1"/>
    <s v="50146181002001"/>
    <n v="-26.98"/>
    <n v="463"/>
    <n v="1"/>
    <n v="1"/>
  </r>
  <r>
    <m/>
    <m/>
    <x v="1"/>
    <s v="50146531001002"/>
    <n v="-0.52"/>
    <n v="9"/>
    <n v="1"/>
    <n v="1"/>
  </r>
  <r>
    <m/>
    <m/>
    <x v="1"/>
    <s v="50175157001008"/>
    <n v="-13.87"/>
    <n v="238"/>
    <n v="1"/>
    <n v="1"/>
  </r>
  <r>
    <m/>
    <m/>
    <x v="1"/>
    <s v="50186781001001"/>
    <n v="-41.67"/>
    <n v="715"/>
    <n v="1"/>
    <n v="1"/>
  </r>
  <r>
    <m/>
    <m/>
    <x v="1"/>
    <s v="50234784001005"/>
    <n v="-49.95"/>
    <n v="857"/>
    <n v="1"/>
    <n v="1"/>
  </r>
  <r>
    <m/>
    <m/>
    <x v="1"/>
    <s v="50245081001005"/>
    <n v="-27.86"/>
    <n v="478"/>
    <n v="1"/>
    <n v="1"/>
  </r>
  <r>
    <m/>
    <m/>
    <x v="1"/>
    <s v="50271551003001"/>
    <n v="-8.8000000000000007"/>
    <n v="151"/>
    <n v="1"/>
    <n v="1"/>
  </r>
  <r>
    <m/>
    <m/>
    <x v="1"/>
    <s v="50336736001011"/>
    <n v="-9.91"/>
    <n v="170"/>
    <n v="1"/>
    <n v="1"/>
  </r>
  <r>
    <m/>
    <m/>
    <x v="1"/>
    <s v="50363741006001"/>
    <n v="-35.67"/>
    <n v="612"/>
    <n v="1"/>
    <n v="1"/>
  </r>
  <r>
    <m/>
    <m/>
    <x v="1"/>
    <s v="50395403001001"/>
    <n v="-9.2100000000000009"/>
    <n v="158"/>
    <n v="1"/>
    <n v="1"/>
  </r>
  <r>
    <m/>
    <m/>
    <x v="1"/>
    <s v="50448812001001"/>
    <n v="-0.35"/>
    <n v="6"/>
    <n v="1"/>
    <n v="1"/>
  </r>
  <r>
    <m/>
    <m/>
    <x v="1"/>
    <s v="50575121001001"/>
    <n v="-9.44"/>
    <n v="162"/>
    <n v="1"/>
    <n v="1"/>
  </r>
  <r>
    <m/>
    <m/>
    <x v="1"/>
    <s v="50577986002006"/>
    <n v="-5.83"/>
    <n v="100"/>
    <n v="1"/>
    <n v="1"/>
  </r>
  <r>
    <m/>
    <m/>
    <x v="1"/>
    <s v="50578291001002"/>
    <n v="-9.67"/>
    <n v="166"/>
    <n v="1"/>
    <n v="1"/>
  </r>
  <r>
    <m/>
    <m/>
    <x v="1"/>
    <s v="50583810001001"/>
    <n v="-26.46"/>
    <n v="454"/>
    <n v="1"/>
    <n v="1"/>
  </r>
  <r>
    <m/>
    <m/>
    <x v="1"/>
    <s v="50677761001001"/>
    <n v="-9.09"/>
    <n v="156"/>
    <n v="1"/>
    <n v="1"/>
  </r>
  <r>
    <m/>
    <m/>
    <x v="1"/>
    <s v="50744541002001"/>
    <n v="-0.41"/>
    <n v="7"/>
    <n v="1"/>
    <n v="1"/>
  </r>
  <r>
    <m/>
    <m/>
    <x v="1"/>
    <s v="50745624002003"/>
    <n v="-46.33"/>
    <n v="795"/>
    <n v="1"/>
    <n v="1"/>
  </r>
  <r>
    <m/>
    <m/>
    <x v="1"/>
    <s v="50757351002006"/>
    <n v="-2.33"/>
    <n v="40"/>
    <n v="1"/>
    <n v="1"/>
  </r>
  <r>
    <m/>
    <m/>
    <x v="1"/>
    <s v="50861231003003"/>
    <n v="-69.53"/>
    <n v="1193"/>
    <n v="1"/>
    <n v="1"/>
  </r>
  <r>
    <m/>
    <m/>
    <x v="1"/>
    <s v="50867741001001"/>
    <n v="-3.03"/>
    <n v="52"/>
    <n v="1"/>
    <n v="1"/>
  </r>
  <r>
    <m/>
    <m/>
    <x v="1"/>
    <s v="50873620001001"/>
    <n v="-81.239999999999995"/>
    <n v="1394"/>
    <n v="1"/>
    <n v="1"/>
  </r>
  <r>
    <m/>
    <m/>
    <x v="1"/>
    <s v="50891821006005"/>
    <n v="-44.06"/>
    <n v="756"/>
    <n v="1"/>
    <n v="1"/>
  </r>
  <r>
    <m/>
    <m/>
    <x v="1"/>
    <s v="50892241001002"/>
    <n v="-6.53"/>
    <n v="112"/>
    <n v="1"/>
    <n v="1"/>
  </r>
  <r>
    <m/>
    <m/>
    <x v="1"/>
    <s v="50972811001001"/>
    <n v="-2.4500000000000002"/>
    <n v="42"/>
    <n v="1"/>
    <n v="1"/>
  </r>
  <r>
    <m/>
    <m/>
    <x v="1"/>
    <s v="50980185001006"/>
    <n v="-6.76"/>
    <n v="116"/>
    <n v="1"/>
    <n v="1"/>
  </r>
  <r>
    <m/>
    <m/>
    <x v="1"/>
    <s v="50980301002006"/>
    <n v="-1.69"/>
    <n v="29"/>
    <n v="1"/>
    <n v="1"/>
  </r>
  <r>
    <m/>
    <m/>
    <x v="1"/>
    <s v="50982891003001"/>
    <n v="-4.5999999999999996"/>
    <n v="79"/>
    <n v="1"/>
    <n v="1"/>
  </r>
  <r>
    <m/>
    <m/>
    <x v="1"/>
    <s v="51001301006001"/>
    <n v="-0.28999999999999998"/>
    <n v="5"/>
    <n v="1"/>
    <n v="1"/>
  </r>
  <r>
    <m/>
    <m/>
    <x v="1"/>
    <s v="51002981005001"/>
    <n v="-17.02"/>
    <n v="292"/>
    <n v="1"/>
    <n v="1"/>
  </r>
  <r>
    <m/>
    <m/>
    <x v="1"/>
    <s v="51011101001001"/>
    <n v="-7.58"/>
    <n v="130"/>
    <n v="1"/>
    <n v="1"/>
  </r>
  <r>
    <m/>
    <m/>
    <x v="1"/>
    <s v="51012360002001"/>
    <n v="-66.56"/>
    <n v="1142"/>
    <n v="1"/>
    <n v="1"/>
  </r>
  <r>
    <m/>
    <m/>
    <x v="1"/>
    <s v="51026361001001"/>
    <n v="-1.52"/>
    <n v="26"/>
    <n v="1"/>
    <n v="1"/>
  </r>
  <r>
    <m/>
    <m/>
    <x v="1"/>
    <s v="51027691001003"/>
    <n v="-1.05"/>
    <n v="18"/>
    <n v="1"/>
    <n v="1"/>
  </r>
  <r>
    <m/>
    <m/>
    <x v="1"/>
    <s v="51047991003003"/>
    <n v="-13.7"/>
    <n v="235"/>
    <n v="1"/>
    <n v="1"/>
  </r>
  <r>
    <m/>
    <m/>
    <x v="1"/>
    <s v="51049671008001"/>
    <n v="-61.6"/>
    <n v="1057"/>
    <n v="1"/>
    <n v="1"/>
  </r>
  <r>
    <m/>
    <m/>
    <x v="1"/>
    <s v="51053871001001"/>
    <n v="-5.19"/>
    <n v="89"/>
    <n v="1"/>
    <n v="1"/>
  </r>
  <r>
    <m/>
    <m/>
    <x v="1"/>
    <s v="51056944001001"/>
    <n v="-0.12"/>
    <n v="2"/>
    <n v="1"/>
    <n v="1"/>
  </r>
  <r>
    <m/>
    <m/>
    <x v="1"/>
    <s v="51093652001008"/>
    <n v="-83.52"/>
    <n v="1433"/>
    <n v="1"/>
    <n v="1"/>
  </r>
  <r>
    <m/>
    <m/>
    <x v="1"/>
    <s v="51104901004003"/>
    <n v="-1.1100000000000001"/>
    <n v="19"/>
    <n v="1"/>
    <n v="1"/>
  </r>
  <r>
    <m/>
    <m/>
    <x v="1"/>
    <s v="51106511001005"/>
    <n v="-1.63"/>
    <n v="28"/>
    <n v="1"/>
    <n v="1"/>
  </r>
  <r>
    <m/>
    <m/>
    <x v="1"/>
    <s v="51127017001002"/>
    <n v="-12.71"/>
    <n v="218"/>
    <n v="1"/>
    <n v="1"/>
  </r>
  <r>
    <m/>
    <m/>
    <x v="1"/>
    <s v="51133531001002"/>
    <n v="-1.63"/>
    <n v="28"/>
    <n v="1"/>
    <n v="1"/>
  </r>
  <r>
    <m/>
    <m/>
    <x v="1"/>
    <s v="51159081001001"/>
    <n v="-3.38"/>
    <n v="58"/>
    <n v="1"/>
    <n v="1"/>
  </r>
  <r>
    <m/>
    <m/>
    <x v="1"/>
    <s v="51159431001001"/>
    <n v="-0.52"/>
    <n v="9"/>
    <n v="1"/>
    <n v="1"/>
  </r>
  <r>
    <m/>
    <m/>
    <x v="1"/>
    <s v="51165871003001"/>
    <n v="-4.3099999999999996"/>
    <n v="74"/>
    <n v="1"/>
    <n v="1"/>
  </r>
  <r>
    <m/>
    <m/>
    <x v="1"/>
    <s v="51173361004001"/>
    <n v="-3.44"/>
    <n v="59"/>
    <n v="1"/>
    <n v="1"/>
  </r>
  <r>
    <m/>
    <m/>
    <x v="1"/>
    <s v="51174201001004"/>
    <n v="-0.76"/>
    <n v="13"/>
    <n v="1"/>
    <n v="1"/>
  </r>
  <r>
    <m/>
    <m/>
    <x v="1"/>
    <s v="51182321003003"/>
    <n v="-51.99"/>
    <n v="892"/>
    <n v="1"/>
    <n v="1"/>
  </r>
  <r>
    <m/>
    <m/>
    <x v="1"/>
    <s v="51206821003010"/>
    <n v="-1.69"/>
    <n v="29"/>
    <n v="1"/>
    <n v="1"/>
  </r>
  <r>
    <m/>
    <m/>
    <x v="1"/>
    <s v="51241523001003"/>
    <n v="-16.14"/>
    <n v="277"/>
    <n v="1"/>
    <n v="1"/>
  </r>
  <r>
    <m/>
    <m/>
    <x v="1"/>
    <s v="51315811004001"/>
    <n v="-45.69"/>
    <n v="784"/>
    <n v="1"/>
    <n v="1"/>
  </r>
  <r>
    <m/>
    <m/>
    <x v="1"/>
    <s v="51340941002001"/>
    <n v="-50.53"/>
    <n v="867"/>
    <n v="1"/>
    <n v="1"/>
  </r>
  <r>
    <m/>
    <m/>
    <x v="1"/>
    <s v="51396381005001"/>
    <n v="-33.74"/>
    <n v="579"/>
    <n v="1"/>
    <n v="1"/>
  </r>
  <r>
    <m/>
    <m/>
    <x v="1"/>
    <s v="51424031004001"/>
    <n v="-8.68"/>
    <n v="149"/>
    <n v="1"/>
    <n v="1"/>
  </r>
  <r>
    <m/>
    <m/>
    <x v="1"/>
    <s v="51441601002001"/>
    <n v="-36.31"/>
    <n v="623"/>
    <n v="1"/>
    <n v="1"/>
  </r>
  <r>
    <m/>
    <m/>
    <x v="1"/>
    <s v="51446011004001"/>
    <n v="-4.66"/>
    <n v="80"/>
    <n v="1"/>
    <n v="1"/>
  </r>
  <r>
    <m/>
    <m/>
    <x v="1"/>
    <s v="51453851003001"/>
    <n v="-16.260000000000002"/>
    <n v="279"/>
    <n v="1"/>
    <n v="1"/>
  </r>
  <r>
    <m/>
    <m/>
    <x v="1"/>
    <s v="51456371002001"/>
    <n v="-8.74"/>
    <n v="150"/>
    <n v="1"/>
    <n v="1"/>
  </r>
  <r>
    <m/>
    <m/>
    <x v="1"/>
    <s v="51461761001001"/>
    <n v="-16.78"/>
    <n v="288"/>
    <n v="1"/>
    <n v="1"/>
  </r>
  <r>
    <m/>
    <m/>
    <x v="1"/>
    <s v="51467250001001"/>
    <n v="-4.1399999999999997"/>
    <n v="71"/>
    <n v="1"/>
    <n v="1"/>
  </r>
  <r>
    <m/>
    <m/>
    <x v="1"/>
    <s v="51469191001009"/>
    <n v="-0.06"/>
    <n v="1"/>
    <n v="1"/>
    <n v="1"/>
  </r>
  <r>
    <m/>
    <m/>
    <x v="1"/>
    <s v="51483531009001"/>
    <n v="-25.76"/>
    <n v="442"/>
    <n v="1"/>
    <n v="1"/>
  </r>
  <r>
    <m/>
    <m/>
    <x v="1"/>
    <s v="51516081001002"/>
    <n v="-15.56"/>
    <n v="267"/>
    <n v="1"/>
    <n v="1"/>
  </r>
  <r>
    <m/>
    <m/>
    <x v="1"/>
    <s v="51542891001003"/>
    <n v="-13.87"/>
    <n v="238"/>
    <n v="1"/>
    <n v="1"/>
  </r>
  <r>
    <m/>
    <m/>
    <x v="1"/>
    <s v="51543731002001"/>
    <n v="-35.9"/>
    <n v="616"/>
    <n v="1"/>
    <n v="1"/>
  </r>
  <r>
    <m/>
    <m/>
    <x v="1"/>
    <s v="51544151002001"/>
    <n v="-39.75"/>
    <n v="682"/>
    <n v="1"/>
    <n v="1"/>
  </r>
  <r>
    <m/>
    <m/>
    <x v="1"/>
    <s v="51554091001001"/>
    <n v="-50.24"/>
    <n v="862"/>
    <n v="1"/>
    <n v="1"/>
  </r>
  <r>
    <m/>
    <m/>
    <x v="1"/>
    <s v="51556121001002"/>
    <n v="-11.31"/>
    <n v="194"/>
    <n v="1"/>
    <n v="1"/>
  </r>
  <r>
    <m/>
    <m/>
    <x v="1"/>
    <s v="51557381001002"/>
    <n v="-1.46"/>
    <n v="25"/>
    <n v="1"/>
    <n v="1"/>
  </r>
  <r>
    <m/>
    <m/>
    <x v="1"/>
    <s v="51568021003009"/>
    <n v="-6.35"/>
    <n v="109"/>
    <n v="1"/>
    <n v="1"/>
  </r>
  <r>
    <m/>
    <m/>
    <x v="1"/>
    <s v="51568721001004"/>
    <n v="-11.48"/>
    <n v="197"/>
    <n v="1"/>
    <n v="1"/>
  </r>
  <r>
    <m/>
    <m/>
    <x v="1"/>
    <s v="51572011001005"/>
    <n v="-2.8"/>
    <n v="48"/>
    <n v="1"/>
    <n v="1"/>
  </r>
  <r>
    <m/>
    <m/>
    <x v="1"/>
    <s v="51581151001001"/>
    <n v="-13.35"/>
    <n v="229"/>
    <n v="1"/>
    <n v="1"/>
  </r>
  <r>
    <m/>
    <m/>
    <x v="1"/>
    <s v="51584751002008"/>
    <n v="-26.17"/>
    <n v="449"/>
    <n v="1"/>
    <n v="1"/>
  </r>
  <r>
    <m/>
    <m/>
    <x v="1"/>
    <s v="51588111004001"/>
    <n v="-22.38"/>
    <n v="384"/>
    <n v="1"/>
    <n v="1"/>
  </r>
  <r>
    <m/>
    <m/>
    <x v="1"/>
    <s v="51589096001005"/>
    <n v="-16.38"/>
    <n v="281"/>
    <n v="1"/>
    <n v="1"/>
  </r>
  <r>
    <m/>
    <m/>
    <x v="1"/>
    <s v="51591471001001"/>
    <n v="-3.73"/>
    <n v="64"/>
    <n v="1"/>
    <n v="1"/>
  </r>
  <r>
    <m/>
    <m/>
    <x v="1"/>
    <s v="51595951001005"/>
    <n v="-3.67"/>
    <n v="63"/>
    <n v="1"/>
    <n v="1"/>
  </r>
  <r>
    <m/>
    <m/>
    <x v="1"/>
    <s v="51603441001001"/>
    <n v="-49.48"/>
    <n v="849"/>
    <n v="1"/>
    <n v="1"/>
  </r>
  <r>
    <m/>
    <m/>
    <x v="1"/>
    <s v="51609181001001"/>
    <n v="-42.72"/>
    <n v="733"/>
    <n v="1"/>
    <n v="1"/>
  </r>
  <r>
    <m/>
    <m/>
    <x v="1"/>
    <s v="51610791002001"/>
    <n v="-7.93"/>
    <n v="136"/>
    <n v="1"/>
    <n v="1"/>
  </r>
  <r>
    <m/>
    <m/>
    <x v="1"/>
    <s v="51615411001001"/>
    <n v="-26.23"/>
    <n v="450"/>
    <n v="1"/>
    <n v="1"/>
  </r>
  <r>
    <m/>
    <m/>
    <x v="1"/>
    <s v="51615551001001"/>
    <n v="-18.47"/>
    <n v="317"/>
    <n v="1"/>
    <n v="1"/>
  </r>
  <r>
    <m/>
    <m/>
    <x v="1"/>
    <s v="51618911002001"/>
    <n v="-10.199999999999999"/>
    <n v="175"/>
    <n v="1"/>
    <n v="1"/>
  </r>
  <r>
    <m/>
    <m/>
    <x v="1"/>
    <s v="51619110002001"/>
    <n v="-22.2"/>
    <n v="381"/>
    <n v="1"/>
    <n v="1"/>
  </r>
  <r>
    <m/>
    <m/>
    <x v="1"/>
    <s v="51627661001003"/>
    <n v="-7.98"/>
    <n v="137"/>
    <n v="1"/>
    <n v="1"/>
  </r>
  <r>
    <m/>
    <m/>
    <x v="1"/>
    <s v="51628011003001"/>
    <n v="-14.28"/>
    <n v="245"/>
    <n v="1"/>
    <n v="1"/>
  </r>
  <r>
    <m/>
    <m/>
    <x v="1"/>
    <s v="51682390003003"/>
    <n v="-18.3"/>
    <n v="314"/>
    <n v="1"/>
    <n v="1"/>
  </r>
  <r>
    <m/>
    <m/>
    <x v="1"/>
    <s v="51719592001003"/>
    <n v="-11.77"/>
    <n v="202"/>
    <n v="1"/>
    <n v="1"/>
  </r>
  <r>
    <m/>
    <m/>
    <x v="1"/>
    <s v="51733911001002"/>
    <n v="-0.17"/>
    <n v="3"/>
    <n v="1"/>
    <n v="1"/>
  </r>
  <r>
    <m/>
    <m/>
    <x v="1"/>
    <s v="51790155001003"/>
    <n v="-9.32"/>
    <n v="160"/>
    <n v="1"/>
    <n v="1"/>
  </r>
  <r>
    <m/>
    <m/>
    <x v="1"/>
    <s v="51910701001010"/>
    <n v="-18.77"/>
    <n v="322"/>
    <n v="1"/>
    <n v="1"/>
  </r>
  <r>
    <m/>
    <m/>
    <x v="1"/>
    <s v="51911437001003"/>
    <n v="-10.37"/>
    <n v="178"/>
    <n v="1"/>
    <n v="1"/>
  </r>
  <r>
    <m/>
    <m/>
    <x v="1"/>
    <s v="51976041001003"/>
    <n v="-41.44"/>
    <n v="711"/>
    <n v="1"/>
    <n v="1"/>
  </r>
  <r>
    <m/>
    <m/>
    <x v="1"/>
    <s v="52042325001004"/>
    <n v="-31.41"/>
    <n v="539"/>
    <n v="1"/>
    <n v="1"/>
  </r>
  <r>
    <m/>
    <m/>
    <x v="1"/>
    <s v="52075169001003"/>
    <n v="-1.81"/>
    <n v="31"/>
    <n v="1"/>
    <n v="1"/>
  </r>
  <r>
    <m/>
    <m/>
    <x v="1"/>
    <s v="52117368002001"/>
    <n v="-4.95"/>
    <n v="85"/>
    <n v="1"/>
    <n v="1"/>
  </r>
  <r>
    <m/>
    <m/>
    <x v="1"/>
    <s v="52175886001002"/>
    <n v="-23.43"/>
    <n v="402"/>
    <n v="1"/>
    <n v="1"/>
  </r>
  <r>
    <m/>
    <m/>
    <x v="1"/>
    <s v="52231893001002"/>
    <n v="-0.41"/>
    <n v="7"/>
    <n v="1"/>
    <n v="1"/>
  </r>
  <r>
    <m/>
    <m/>
    <x v="1"/>
    <s v="52236917004003"/>
    <n v="-34.97"/>
    <n v="600"/>
    <n v="1"/>
    <n v="1"/>
  </r>
  <r>
    <m/>
    <m/>
    <x v="1"/>
    <s v="52259109001002"/>
    <n v="-30.42"/>
    <n v="522"/>
    <n v="1"/>
    <n v="1"/>
  </r>
  <r>
    <m/>
    <m/>
    <x v="1"/>
    <s v="52306367002003"/>
    <n v="-13.58"/>
    <n v="233"/>
    <n v="1"/>
    <n v="1"/>
  </r>
  <r>
    <m/>
    <m/>
    <x v="1"/>
    <s v="52383903001008"/>
    <n v="-19.579999999999998"/>
    <n v="336"/>
    <n v="1"/>
    <n v="1"/>
  </r>
  <r>
    <m/>
    <m/>
    <x v="1"/>
    <s v="52419352004001"/>
    <n v="-0.17"/>
    <n v="3"/>
    <n v="1"/>
    <n v="1"/>
  </r>
  <r>
    <m/>
    <m/>
    <x v="1"/>
    <s v="52440246001003"/>
    <n v="-15.33"/>
    <n v="263"/>
    <n v="1"/>
    <n v="1"/>
  </r>
  <r>
    <m/>
    <m/>
    <x v="1"/>
    <s v="52499165001001"/>
    <n v="-0.82"/>
    <n v="14"/>
    <n v="1"/>
    <n v="1"/>
  </r>
  <r>
    <m/>
    <m/>
    <x v="1"/>
    <s v="52507041001001"/>
    <n v="-11.66"/>
    <n v="200"/>
    <n v="1"/>
    <n v="1"/>
  </r>
  <r>
    <m/>
    <m/>
    <x v="1"/>
    <s v="52507741001001"/>
    <n v="-22.85"/>
    <n v="392"/>
    <n v="1"/>
    <n v="1"/>
  </r>
  <r>
    <m/>
    <m/>
    <x v="1"/>
    <s v="52557185001003"/>
    <n v="-0.12"/>
    <n v="2"/>
    <n v="1"/>
    <n v="1"/>
  </r>
  <r>
    <m/>
    <m/>
    <x v="1"/>
    <s v="52650916001001"/>
    <n v="-7.58"/>
    <n v="130"/>
    <n v="1"/>
    <n v="1"/>
  </r>
  <r>
    <m/>
    <m/>
    <x v="1"/>
    <s v="52742616001001"/>
    <n v="-8.39"/>
    <n v="144"/>
    <n v="1"/>
    <n v="1"/>
  </r>
  <r>
    <m/>
    <m/>
    <x v="1"/>
    <s v="52942632001005"/>
    <n v="-1.57"/>
    <n v="27"/>
    <n v="1"/>
    <n v="1"/>
  </r>
  <r>
    <m/>
    <m/>
    <x v="1"/>
    <s v="52973692001004"/>
    <n v="-11.95"/>
    <n v="205"/>
    <n v="1"/>
    <n v="1"/>
  </r>
  <r>
    <m/>
    <m/>
    <x v="1"/>
    <s v="53040645001004"/>
    <n v="-9.73"/>
    <n v="167"/>
    <n v="1"/>
    <n v="1"/>
  </r>
  <r>
    <m/>
    <m/>
    <x v="1"/>
    <s v="53062226003001"/>
    <n v="-0.64"/>
    <n v="11"/>
    <n v="1"/>
    <n v="1"/>
  </r>
  <r>
    <m/>
    <m/>
    <x v="1"/>
    <s v="53093346001006"/>
    <n v="-9.7899999999999991"/>
    <n v="168"/>
    <n v="1"/>
    <n v="1"/>
  </r>
  <r>
    <m/>
    <m/>
    <x v="1"/>
    <s v="53096079004003"/>
    <n v="-6.59"/>
    <n v="113"/>
    <n v="1"/>
    <n v="1"/>
  </r>
  <r>
    <m/>
    <m/>
    <x v="1"/>
    <s v="53276260002001"/>
    <n v="-32"/>
    <n v="549"/>
    <n v="1"/>
    <n v="1"/>
  </r>
  <r>
    <m/>
    <m/>
    <x v="1"/>
    <s v="53296048001001"/>
    <n v="-8.92"/>
    <n v="153"/>
    <n v="1"/>
    <n v="1"/>
  </r>
  <r>
    <m/>
    <m/>
    <x v="1"/>
    <s v="53333677003005"/>
    <n v="-0.82"/>
    <n v="14"/>
    <n v="1"/>
    <n v="1"/>
  </r>
  <r>
    <m/>
    <m/>
    <x v="1"/>
    <s v="53350345002007"/>
    <n v="-1.46"/>
    <n v="25"/>
    <n v="1"/>
    <n v="1"/>
  </r>
  <r>
    <m/>
    <m/>
    <x v="1"/>
    <s v="53355064001008"/>
    <n v="-9.15"/>
    <n v="157"/>
    <n v="1"/>
    <n v="1"/>
  </r>
  <r>
    <m/>
    <m/>
    <x v="1"/>
    <s v="53390379003003"/>
    <n v="-18.53"/>
    <n v="318"/>
    <n v="1"/>
    <n v="1"/>
  </r>
  <r>
    <m/>
    <m/>
    <x v="1"/>
    <s v="53403598003001"/>
    <n v="-0.12"/>
    <n v="2"/>
    <n v="1"/>
    <n v="1"/>
  </r>
  <r>
    <m/>
    <m/>
    <x v="1"/>
    <s v="53512067001011"/>
    <n v="-13.87"/>
    <n v="238"/>
    <n v="1"/>
    <n v="1"/>
  </r>
  <r>
    <m/>
    <m/>
    <x v="1"/>
    <s v="53586339001001"/>
    <n v="-22.44"/>
    <n v="385"/>
    <n v="1"/>
    <n v="1"/>
  </r>
  <r>
    <m/>
    <m/>
    <x v="1"/>
    <s v="53706633001001"/>
    <n v="-4.72"/>
    <n v="81"/>
    <n v="1"/>
    <n v="1"/>
  </r>
  <r>
    <m/>
    <m/>
    <x v="1"/>
    <s v="53707529001003"/>
    <n v="-3.85"/>
    <n v="66"/>
    <n v="1"/>
    <n v="1"/>
  </r>
  <r>
    <m/>
    <m/>
    <x v="1"/>
    <s v="53812406001002"/>
    <n v="-1.86"/>
    <n v="32"/>
    <n v="1"/>
    <n v="1"/>
  </r>
  <r>
    <m/>
    <m/>
    <x v="1"/>
    <s v="53911595001002"/>
    <n v="-6.18"/>
    <n v="106"/>
    <n v="1"/>
    <n v="1"/>
  </r>
  <r>
    <m/>
    <m/>
    <x v="1"/>
    <s v="54086288002005"/>
    <n v="-0.82"/>
    <n v="14"/>
    <n v="1"/>
    <n v="1"/>
  </r>
  <r>
    <m/>
    <m/>
    <x v="1"/>
    <s v="54105990001001"/>
    <n v="-2.33"/>
    <n v="40"/>
    <n v="1"/>
    <n v="1"/>
  </r>
  <r>
    <m/>
    <m/>
    <x v="1"/>
    <s v="54306064004001"/>
    <n v="-4.08"/>
    <n v="70"/>
    <n v="1"/>
    <n v="1"/>
  </r>
  <r>
    <m/>
    <m/>
    <x v="1"/>
    <s v="54329736005001"/>
    <n v="-0.35"/>
    <n v="6"/>
    <n v="1"/>
    <n v="1"/>
  </r>
  <r>
    <m/>
    <m/>
    <x v="1"/>
    <s v="54362749001005"/>
    <n v="-0.7"/>
    <n v="12"/>
    <n v="1"/>
    <n v="1"/>
  </r>
  <r>
    <m/>
    <m/>
    <x v="1"/>
    <s v="54408477001001"/>
    <n v="-30.07"/>
    <n v="516"/>
    <n v="1"/>
    <n v="1"/>
  </r>
  <r>
    <m/>
    <m/>
    <x v="1"/>
    <s v="54419366001001"/>
    <n v="-0.06"/>
    <n v="1"/>
    <n v="1"/>
    <n v="1"/>
  </r>
  <r>
    <m/>
    <m/>
    <x v="1"/>
    <s v="54477932001004"/>
    <n v="-26.05"/>
    <n v="447"/>
    <n v="1"/>
    <n v="1"/>
  </r>
  <r>
    <m/>
    <m/>
    <x v="1"/>
    <s v="54514352002003"/>
    <n v="-5.01"/>
    <n v="86"/>
    <n v="1"/>
    <n v="1"/>
  </r>
  <r>
    <m/>
    <m/>
    <x v="1"/>
    <s v="54523601001001"/>
    <n v="-33.22"/>
    <n v="570"/>
    <n v="1"/>
    <n v="1"/>
  </r>
  <r>
    <m/>
    <m/>
    <x v="1"/>
    <s v="54740330004001"/>
    <n v="-95.29"/>
    <n v="1635"/>
    <n v="1"/>
    <n v="1"/>
  </r>
  <r>
    <m/>
    <m/>
    <x v="1"/>
    <s v="54754288002005"/>
    <n v="-13.87"/>
    <n v="238"/>
    <n v="1"/>
    <n v="1"/>
  </r>
  <r>
    <m/>
    <m/>
    <x v="1"/>
    <s v="54951169001003"/>
    <n v="-41.44"/>
    <n v="711"/>
    <n v="1"/>
    <n v="1"/>
  </r>
  <r>
    <m/>
    <m/>
    <x v="1"/>
    <s v="54978920001003"/>
    <n v="-12.82"/>
    <n v="220"/>
    <n v="1"/>
    <n v="1"/>
  </r>
  <r>
    <m/>
    <m/>
    <x v="1"/>
    <s v="55059572001001"/>
    <n v="-0.47"/>
    <n v="8"/>
    <n v="1"/>
    <n v="1"/>
  </r>
  <r>
    <m/>
    <m/>
    <x v="1"/>
    <s v="55126085001004"/>
    <n v="-6.18"/>
    <n v="106"/>
    <n v="1"/>
    <n v="1"/>
  </r>
  <r>
    <m/>
    <m/>
    <x v="1"/>
    <s v="55194605001001"/>
    <n v="-13.64"/>
    <n v="234"/>
    <n v="1"/>
    <n v="1"/>
  </r>
  <r>
    <m/>
    <m/>
    <x v="1"/>
    <s v="55356091006001"/>
    <n v="-24.01"/>
    <n v="412"/>
    <n v="1"/>
    <n v="1"/>
  </r>
  <r>
    <m/>
    <m/>
    <x v="1"/>
    <s v="55476730001005"/>
    <n v="-36.43"/>
    <n v="625"/>
    <n v="1"/>
    <n v="1"/>
  </r>
  <r>
    <m/>
    <m/>
    <x v="1"/>
    <s v="55524078001001"/>
    <n v="-0.64"/>
    <n v="11"/>
    <n v="1"/>
    <n v="1"/>
  </r>
  <r>
    <m/>
    <m/>
    <x v="1"/>
    <s v="55527314001004"/>
    <n v="-6.88"/>
    <n v="118"/>
    <n v="1"/>
    <n v="1"/>
  </r>
  <r>
    <m/>
    <m/>
    <x v="1"/>
    <s v="55536729004001"/>
    <n v="-0.41"/>
    <n v="7"/>
    <n v="1"/>
    <n v="1"/>
  </r>
  <r>
    <m/>
    <m/>
    <x v="1"/>
    <s v="55537391001001"/>
    <n v="-9.15"/>
    <n v="157"/>
    <n v="1"/>
    <n v="1"/>
  </r>
  <r>
    <m/>
    <m/>
    <x v="1"/>
    <s v="55693754001001"/>
    <n v="-4.49"/>
    <n v="77"/>
    <n v="1"/>
    <n v="1"/>
  </r>
  <r>
    <m/>
    <m/>
    <x v="1"/>
    <s v="55703490001004"/>
    <n v="-8.39"/>
    <n v="144"/>
    <n v="1"/>
    <n v="1"/>
  </r>
  <r>
    <m/>
    <m/>
    <x v="1"/>
    <s v="55781832001008"/>
    <n v="-10.26"/>
    <n v="176"/>
    <n v="1"/>
    <n v="1"/>
  </r>
  <r>
    <m/>
    <m/>
    <x v="1"/>
    <s v="55898070001006"/>
    <n v="-7.63"/>
    <n v="131"/>
    <n v="1"/>
    <n v="1"/>
  </r>
  <r>
    <m/>
    <m/>
    <x v="1"/>
    <s v="55940653002003"/>
    <n v="-36.770000000000003"/>
    <n v="631"/>
    <n v="1"/>
    <n v="1"/>
  </r>
  <r>
    <m/>
    <m/>
    <x v="1"/>
    <s v="55971351001005"/>
    <n v="-1.81"/>
    <n v="31"/>
    <n v="1"/>
    <n v="1"/>
  </r>
  <r>
    <m/>
    <m/>
    <x v="1"/>
    <s v="56027623001001"/>
    <n v="-28.38"/>
    <n v="487"/>
    <n v="1"/>
    <n v="1"/>
  </r>
  <r>
    <m/>
    <m/>
    <x v="1"/>
    <s v="56079112001004"/>
    <n v="-74.540000000000006"/>
    <n v="1279"/>
    <n v="1"/>
    <n v="1"/>
  </r>
  <r>
    <m/>
    <m/>
    <x v="1"/>
    <s v="56087752002005"/>
    <n v="-5.83"/>
    <n v="100"/>
    <n v="1"/>
    <n v="1"/>
  </r>
  <r>
    <m/>
    <m/>
    <x v="1"/>
    <s v="56095941001001"/>
    <n v="-9.44"/>
    <n v="162"/>
    <n v="1"/>
    <n v="1"/>
  </r>
  <r>
    <m/>
    <m/>
    <x v="1"/>
    <s v="56154051001001"/>
    <n v="-20.98"/>
    <n v="360"/>
    <n v="1"/>
    <n v="1"/>
  </r>
  <r>
    <m/>
    <m/>
    <x v="1"/>
    <s v="56213971001003"/>
    <n v="-2.86"/>
    <n v="49"/>
    <n v="1"/>
    <n v="1"/>
  </r>
  <r>
    <m/>
    <m/>
    <x v="1"/>
    <s v="56215841001001"/>
    <n v="-12.24"/>
    <n v="210"/>
    <n v="1"/>
    <n v="1"/>
  </r>
  <r>
    <m/>
    <m/>
    <x v="1"/>
    <s v="56312823002001"/>
    <n v="-82.23"/>
    <n v="1411"/>
    <n v="1"/>
    <n v="1"/>
  </r>
  <r>
    <m/>
    <m/>
    <x v="1"/>
    <s v="56354960001003"/>
    <n v="-13.58"/>
    <n v="233"/>
    <n v="1"/>
    <n v="1"/>
  </r>
  <r>
    <m/>
    <m/>
    <x v="1"/>
    <s v="56378536001001"/>
    <n v="-14.45"/>
    <n v="248"/>
    <n v="1"/>
    <n v="1"/>
  </r>
  <r>
    <m/>
    <m/>
    <x v="1"/>
    <s v="56386327001003"/>
    <n v="-11.07"/>
    <n v="190"/>
    <n v="1"/>
    <n v="1"/>
  </r>
  <r>
    <m/>
    <m/>
    <x v="1"/>
    <s v="56404144001004"/>
    <n v="-2.74"/>
    <n v="47"/>
    <n v="1"/>
    <n v="1"/>
  </r>
  <r>
    <m/>
    <m/>
    <x v="1"/>
    <s v="56511566004001"/>
    <n v="-27.22"/>
    <n v="467"/>
    <n v="1"/>
    <n v="1"/>
  </r>
  <r>
    <m/>
    <m/>
    <x v="1"/>
    <s v="56634209003002"/>
    <n v="-0.28999999999999998"/>
    <n v="5"/>
    <n v="1"/>
    <n v="1"/>
  </r>
  <r>
    <m/>
    <m/>
    <x v="1"/>
    <s v="56663449004003"/>
    <n v="-0.12"/>
    <n v="2"/>
    <n v="1"/>
    <n v="1"/>
  </r>
  <r>
    <m/>
    <m/>
    <x v="1"/>
    <s v="56805763001004"/>
    <n v="-4.0199999999999996"/>
    <n v="69"/>
    <n v="1"/>
    <n v="1"/>
  </r>
  <r>
    <m/>
    <m/>
    <x v="1"/>
    <s v="56947002001001"/>
    <n v="-3.61"/>
    <n v="62"/>
    <n v="1"/>
    <n v="1"/>
  </r>
  <r>
    <m/>
    <m/>
    <x v="1"/>
    <s v="57000650001002"/>
    <n v="-13.99"/>
    <n v="240"/>
    <n v="1"/>
    <n v="1"/>
  </r>
  <r>
    <m/>
    <m/>
    <x v="1"/>
    <s v="57011783002003"/>
    <n v="-13.23"/>
    <n v="227"/>
    <n v="1"/>
    <n v="1"/>
  </r>
  <r>
    <m/>
    <m/>
    <x v="1"/>
    <s v="57050305002003"/>
    <n v="-9.0299999999999994"/>
    <n v="155"/>
    <n v="1"/>
    <n v="1"/>
  </r>
  <r>
    <m/>
    <m/>
    <x v="1"/>
    <s v="57053280001002"/>
    <n v="-11.95"/>
    <n v="205"/>
    <n v="1"/>
    <n v="1"/>
  </r>
  <r>
    <m/>
    <m/>
    <x v="1"/>
    <s v="57113275001001"/>
    <n v="-0.35"/>
    <n v="6"/>
    <n v="1"/>
    <n v="1"/>
  </r>
  <r>
    <m/>
    <m/>
    <x v="1"/>
    <s v="57157582001007"/>
    <n v="-5.42"/>
    <n v="93"/>
    <n v="1"/>
    <n v="1"/>
  </r>
  <r>
    <m/>
    <m/>
    <x v="1"/>
    <s v="57409186002001"/>
    <n v="-24.24"/>
    <n v="416"/>
    <n v="1"/>
    <n v="1"/>
  </r>
  <r>
    <m/>
    <m/>
    <x v="1"/>
    <s v="57422963001002"/>
    <n v="-16.260000000000002"/>
    <n v="279"/>
    <n v="1"/>
    <n v="1"/>
  </r>
  <r>
    <m/>
    <m/>
    <x v="1"/>
    <s v="57504758001005"/>
    <n v="-33.51"/>
    <n v="575"/>
    <n v="1"/>
    <n v="1"/>
  </r>
  <r>
    <m/>
    <m/>
    <x v="1"/>
    <s v="57596110001001"/>
    <n v="-7.93"/>
    <n v="136"/>
    <n v="1"/>
    <n v="1"/>
  </r>
  <r>
    <m/>
    <m/>
    <x v="1"/>
    <s v="57631181001002"/>
    <n v="-24.42"/>
    <n v="419"/>
    <n v="1"/>
    <n v="1"/>
  </r>
  <r>
    <m/>
    <m/>
    <x v="1"/>
    <s v="57703401001001"/>
    <n v="-13.35"/>
    <n v="229"/>
    <n v="1"/>
    <n v="1"/>
  </r>
  <r>
    <m/>
    <m/>
    <x v="1"/>
    <s v="57703524001001"/>
    <n v="-19.7"/>
    <n v="338"/>
    <n v="1"/>
    <n v="1"/>
  </r>
  <r>
    <m/>
    <m/>
    <x v="1"/>
    <s v="57785781001002"/>
    <n v="-30.25"/>
    <n v="519"/>
    <n v="1"/>
    <n v="1"/>
  </r>
  <r>
    <m/>
    <m/>
    <x v="1"/>
    <s v="58021308001009"/>
    <n v="-0.99"/>
    <n v="17"/>
    <n v="1"/>
    <n v="1"/>
  </r>
  <r>
    <m/>
    <m/>
    <x v="1"/>
    <s v="58070087003005"/>
    <n v="-3.67"/>
    <n v="63"/>
    <n v="1"/>
    <n v="1"/>
  </r>
  <r>
    <m/>
    <m/>
    <x v="1"/>
    <s v="58214480001001"/>
    <n v="-13.99"/>
    <n v="240"/>
    <n v="1"/>
    <n v="1"/>
  </r>
  <r>
    <m/>
    <m/>
    <x v="1"/>
    <s v="58280210001001"/>
    <n v="-38.35"/>
    <n v="658"/>
    <n v="1"/>
    <n v="1"/>
  </r>
  <r>
    <m/>
    <m/>
    <x v="1"/>
    <s v="58383494001001"/>
    <n v="-0.82"/>
    <n v="14"/>
    <n v="1"/>
    <n v="1"/>
  </r>
  <r>
    <m/>
    <m/>
    <x v="1"/>
    <s v="58426355002001"/>
    <n v="-2.74"/>
    <n v="47"/>
    <n v="1"/>
    <n v="1"/>
  </r>
  <r>
    <m/>
    <m/>
    <x v="1"/>
    <s v="58436858001004"/>
    <n v="-26.58"/>
    <n v="456"/>
    <n v="1"/>
    <n v="1"/>
  </r>
  <r>
    <m/>
    <m/>
    <x v="1"/>
    <s v="58476662001005"/>
    <n v="-3.67"/>
    <n v="63"/>
    <n v="1"/>
    <n v="1"/>
  </r>
  <r>
    <m/>
    <m/>
    <x v="1"/>
    <s v="58549564001001"/>
    <n v="-0.23"/>
    <n v="4"/>
    <n v="1"/>
    <n v="1"/>
  </r>
  <r>
    <m/>
    <m/>
    <x v="1"/>
    <s v="58678816008001"/>
    <n v="-59.04"/>
    <n v="1013"/>
    <n v="1"/>
    <n v="1"/>
  </r>
  <r>
    <m/>
    <m/>
    <x v="1"/>
    <s v="58719680001003"/>
    <n v="-12.65"/>
    <n v="217"/>
    <n v="1"/>
    <n v="1"/>
  </r>
  <r>
    <m/>
    <m/>
    <x v="1"/>
    <s v="59006289004001"/>
    <n v="-30.31"/>
    <n v="520"/>
    <n v="1"/>
    <n v="1"/>
  </r>
  <r>
    <m/>
    <m/>
    <x v="1"/>
    <s v="59128933001003"/>
    <n v="-1.86"/>
    <n v="32"/>
    <n v="1"/>
    <n v="1"/>
  </r>
  <r>
    <m/>
    <m/>
    <x v="1"/>
    <s v="59136213001001"/>
    <n v="-20.34"/>
    <n v="349"/>
    <n v="1"/>
    <n v="1"/>
  </r>
  <r>
    <m/>
    <m/>
    <x v="1"/>
    <s v="59145811001005"/>
    <n v="-4.49"/>
    <n v="77"/>
    <n v="1"/>
    <n v="1"/>
  </r>
  <r>
    <m/>
    <m/>
    <x v="1"/>
    <s v="59243405001001"/>
    <n v="-46.57"/>
    <n v="799"/>
    <n v="1"/>
    <n v="1"/>
  </r>
  <r>
    <m/>
    <m/>
    <x v="1"/>
    <s v="59547463005003"/>
    <n v="-1.4"/>
    <n v="24"/>
    <n v="1"/>
    <n v="1"/>
  </r>
  <r>
    <m/>
    <m/>
    <x v="1"/>
    <s v="59645818001009"/>
    <n v="-5.94"/>
    <n v="102"/>
    <n v="1"/>
    <n v="1"/>
  </r>
  <r>
    <m/>
    <m/>
    <x v="1"/>
    <s v="59835939001001"/>
    <n v="-21.04"/>
    <n v="361"/>
    <n v="1"/>
    <n v="1"/>
  </r>
  <r>
    <m/>
    <m/>
    <x v="1"/>
    <s v="59904249001001"/>
    <n v="-28.09"/>
    <n v="482"/>
    <n v="1"/>
    <n v="1"/>
  </r>
  <r>
    <m/>
    <m/>
    <x v="1"/>
    <s v="60063354001001"/>
    <n v="-4.49"/>
    <n v="77"/>
    <n v="1"/>
    <n v="1"/>
  </r>
  <r>
    <m/>
    <m/>
    <x v="1"/>
    <s v="60068702001008"/>
    <n v="-25.53"/>
    <n v="438"/>
    <n v="1"/>
    <n v="1"/>
  </r>
  <r>
    <m/>
    <m/>
    <x v="1"/>
    <s v="60148123001001"/>
    <n v="-19.47"/>
    <n v="334"/>
    <n v="1"/>
    <n v="1"/>
  </r>
  <r>
    <m/>
    <m/>
    <x v="1"/>
    <s v="60187351001001"/>
    <n v="-64.52"/>
    <n v="1107"/>
    <n v="1"/>
    <n v="1"/>
  </r>
  <r>
    <m/>
    <m/>
    <x v="1"/>
    <s v="60262385001001"/>
    <n v="-36.369999999999997"/>
    <n v="624"/>
    <n v="1"/>
    <n v="1"/>
  </r>
  <r>
    <m/>
    <m/>
    <x v="1"/>
    <s v="60270707001007"/>
    <n v="-11.48"/>
    <n v="197"/>
    <n v="1"/>
    <n v="1"/>
  </r>
  <r>
    <m/>
    <m/>
    <x v="1"/>
    <s v="60311880001002"/>
    <n v="-51.05"/>
    <n v="876"/>
    <n v="1"/>
    <n v="1"/>
  </r>
  <r>
    <m/>
    <m/>
    <x v="1"/>
    <s v="60322180001003"/>
    <n v="-4.43"/>
    <n v="76"/>
    <n v="1"/>
    <n v="1"/>
  </r>
  <r>
    <m/>
    <m/>
    <x v="1"/>
    <s v="60378444004001"/>
    <n v="-34.090000000000003"/>
    <n v="585"/>
    <n v="1"/>
    <n v="1"/>
  </r>
  <r>
    <m/>
    <m/>
    <x v="1"/>
    <s v="60503071001008"/>
    <n v="-13.64"/>
    <n v="234"/>
    <n v="1"/>
    <n v="1"/>
  </r>
  <r>
    <m/>
    <m/>
    <x v="1"/>
    <s v="60603915001011"/>
    <n v="-5.59"/>
    <n v="96"/>
    <n v="1"/>
    <n v="1"/>
  </r>
  <r>
    <m/>
    <m/>
    <x v="1"/>
    <s v="60626334001001"/>
    <n v="-17.829999999999998"/>
    <n v="306"/>
    <n v="1"/>
    <n v="1"/>
  </r>
  <r>
    <m/>
    <m/>
    <x v="1"/>
    <s v="60661525001001"/>
    <n v="-38.93"/>
    <n v="668"/>
    <n v="1"/>
    <n v="1"/>
  </r>
  <r>
    <m/>
    <m/>
    <x v="1"/>
    <s v="60891092001002"/>
    <n v="-32"/>
    <n v="549"/>
    <n v="1"/>
    <n v="1"/>
  </r>
  <r>
    <m/>
    <m/>
    <x v="1"/>
    <s v="60933719008001"/>
    <n v="-59.68"/>
    <n v="1024"/>
    <n v="1"/>
    <n v="1"/>
  </r>
  <r>
    <m/>
    <m/>
    <x v="1"/>
    <s v="60942818001007"/>
    <n v="-20.63"/>
    <n v="354"/>
    <n v="1"/>
    <n v="1"/>
  </r>
  <r>
    <m/>
    <m/>
    <x v="1"/>
    <s v="60950439001011"/>
    <n v="-123.5"/>
    <n v="2119"/>
    <n v="1"/>
    <n v="1"/>
  </r>
  <r>
    <m/>
    <m/>
    <x v="1"/>
    <s v="61094059001003"/>
    <n v="-2.74"/>
    <n v="47"/>
    <n v="1"/>
    <n v="1"/>
  </r>
  <r>
    <m/>
    <m/>
    <x v="1"/>
    <s v="61096024001009"/>
    <n v="-4.66"/>
    <n v="80"/>
    <n v="1"/>
    <n v="1"/>
  </r>
  <r>
    <m/>
    <m/>
    <x v="1"/>
    <s v="61184365001007"/>
    <n v="-25.93"/>
    <n v="445"/>
    <n v="1"/>
    <n v="1"/>
  </r>
  <r>
    <m/>
    <m/>
    <x v="1"/>
    <s v="61201741003001"/>
    <n v="-8.4499999999999993"/>
    <n v="145"/>
    <n v="1"/>
    <n v="1"/>
  </r>
  <r>
    <m/>
    <m/>
    <x v="1"/>
    <s v="61237473001001"/>
    <n v="-29.78"/>
    <n v="511"/>
    <n v="1"/>
    <n v="1"/>
  </r>
  <r>
    <m/>
    <m/>
    <x v="1"/>
    <s v="61241854001001"/>
    <n v="-20.05"/>
    <n v="344"/>
    <n v="1"/>
    <n v="1"/>
  </r>
  <r>
    <m/>
    <m/>
    <x v="1"/>
    <s v="61309008001005"/>
    <n v="-4.78"/>
    <n v="82"/>
    <n v="1"/>
    <n v="1"/>
  </r>
  <r>
    <m/>
    <m/>
    <x v="1"/>
    <s v="61446494004008"/>
    <n v="-2.8"/>
    <n v="48"/>
    <n v="1"/>
    <n v="1"/>
  </r>
  <r>
    <m/>
    <m/>
    <x v="1"/>
    <s v="61647293001003"/>
    <n v="-9.3800000000000008"/>
    <n v="161"/>
    <n v="1"/>
    <n v="1"/>
  </r>
  <r>
    <m/>
    <m/>
    <x v="1"/>
    <s v="61725151001005"/>
    <n v="-0.28999999999999998"/>
    <n v="5"/>
    <n v="1"/>
    <n v="1"/>
  </r>
  <r>
    <m/>
    <m/>
    <x v="1"/>
    <s v="61837291001001"/>
    <n v="-12.24"/>
    <n v="210"/>
    <n v="1"/>
    <n v="1"/>
  </r>
  <r>
    <m/>
    <m/>
    <x v="1"/>
    <s v="61935568001001"/>
    <n v="-1.34"/>
    <n v="23"/>
    <n v="1"/>
    <n v="1"/>
  </r>
  <r>
    <m/>
    <m/>
    <x v="1"/>
    <s v="62065609001001"/>
    <n v="-17.13"/>
    <n v="294"/>
    <n v="1"/>
    <n v="1"/>
  </r>
  <r>
    <m/>
    <m/>
    <x v="1"/>
    <s v="62148084003001"/>
    <n v="-4.2"/>
    <n v="72"/>
    <n v="1"/>
    <n v="1"/>
  </r>
  <r>
    <m/>
    <m/>
    <x v="1"/>
    <s v="62235479001001"/>
    <n v="-6.76"/>
    <n v="116"/>
    <n v="1"/>
    <n v="1"/>
  </r>
  <r>
    <m/>
    <m/>
    <x v="1"/>
    <s v="62296705003003"/>
    <n v="-2.4500000000000002"/>
    <n v="42"/>
    <n v="1"/>
    <n v="1"/>
  </r>
  <r>
    <m/>
    <m/>
    <x v="1"/>
    <s v="62360104001003"/>
    <n v="-54.61"/>
    <n v="937"/>
    <n v="1"/>
    <n v="1"/>
  </r>
  <r>
    <m/>
    <m/>
    <x v="1"/>
    <s v="62483712001004"/>
    <n v="-2.8"/>
    <n v="48"/>
    <n v="1"/>
    <n v="1"/>
  </r>
  <r>
    <m/>
    <m/>
    <x v="1"/>
    <s v="62495514001001"/>
    <n v="-14.51"/>
    <n v="249"/>
    <n v="1"/>
    <n v="1"/>
  </r>
  <r>
    <m/>
    <m/>
    <x v="1"/>
    <s v="62610781001004"/>
    <n v="-20.98"/>
    <n v="360"/>
    <n v="1"/>
    <n v="1"/>
  </r>
  <r>
    <m/>
    <m/>
    <x v="1"/>
    <s v="62615155002001"/>
    <n v="-31.3"/>
    <n v="537"/>
    <n v="1"/>
    <n v="1"/>
  </r>
  <r>
    <m/>
    <m/>
    <x v="1"/>
    <s v="62620561001002"/>
    <n v="-11.89"/>
    <n v="204"/>
    <n v="1"/>
    <n v="1"/>
  </r>
  <r>
    <m/>
    <m/>
    <x v="1"/>
    <s v="62682462001001"/>
    <n v="-55.07"/>
    <n v="945"/>
    <n v="1"/>
    <n v="1"/>
  </r>
  <r>
    <m/>
    <m/>
    <x v="1"/>
    <s v="62712929001001"/>
    <n v="-13.46"/>
    <n v="231"/>
    <n v="1"/>
    <n v="1"/>
  </r>
  <r>
    <m/>
    <m/>
    <x v="1"/>
    <s v="62746326001001"/>
    <n v="-0.28999999999999998"/>
    <n v="5"/>
    <n v="1"/>
    <n v="1"/>
  </r>
  <r>
    <m/>
    <m/>
    <x v="1"/>
    <s v="62780064001001"/>
    <n v="-11.13"/>
    <n v="191"/>
    <n v="1"/>
    <n v="1"/>
  </r>
  <r>
    <m/>
    <m/>
    <x v="1"/>
    <s v="62820845001004"/>
    <n v="-27.74"/>
    <n v="476"/>
    <n v="1"/>
    <n v="1"/>
  </r>
  <r>
    <m/>
    <m/>
    <x v="1"/>
    <s v="62855144002003"/>
    <n v="-30.54"/>
    <n v="524"/>
    <n v="1"/>
    <n v="1"/>
  </r>
  <r>
    <m/>
    <m/>
    <x v="1"/>
    <s v="63178902001002"/>
    <n v="-20.22"/>
    <n v="347"/>
    <n v="1"/>
    <n v="1"/>
  </r>
  <r>
    <m/>
    <m/>
    <x v="1"/>
    <s v="63202392001004"/>
    <n v="-0.17"/>
    <n v="3"/>
    <n v="1"/>
    <n v="1"/>
  </r>
  <r>
    <m/>
    <m/>
    <x v="1"/>
    <s v="63254923002001"/>
    <n v="-0.17"/>
    <n v="3"/>
    <n v="1"/>
    <n v="1"/>
  </r>
  <r>
    <m/>
    <m/>
    <x v="1"/>
    <s v="63257498001003"/>
    <n v="-29.08"/>
    <n v="499"/>
    <n v="1"/>
    <n v="1"/>
  </r>
  <r>
    <m/>
    <m/>
    <x v="1"/>
    <s v="63278864002003"/>
    <n v="-17.02"/>
    <n v="292"/>
    <n v="1"/>
    <n v="1"/>
  </r>
  <r>
    <m/>
    <m/>
    <x v="1"/>
    <s v="63329115001002"/>
    <n v="-5.89"/>
    <n v="101"/>
    <n v="1"/>
    <n v="1"/>
  </r>
  <r>
    <m/>
    <m/>
    <x v="1"/>
    <s v="63369349002003"/>
    <n v="-11.89"/>
    <n v="204"/>
    <n v="1"/>
    <n v="1"/>
  </r>
  <r>
    <m/>
    <m/>
    <x v="1"/>
    <s v="63473902002001"/>
    <n v="-12.59"/>
    <n v="216"/>
    <n v="1"/>
    <n v="1"/>
  </r>
  <r>
    <m/>
    <m/>
    <x v="1"/>
    <s v="63843169001005"/>
    <n v="-29.2"/>
    <n v="501"/>
    <n v="1"/>
    <n v="1"/>
  </r>
  <r>
    <m/>
    <m/>
    <x v="1"/>
    <s v="63847291001002"/>
    <n v="-24.89"/>
    <n v="427"/>
    <n v="1"/>
    <n v="1"/>
  </r>
  <r>
    <m/>
    <m/>
    <x v="1"/>
    <s v="63889252001008"/>
    <n v="-20.69"/>
    <n v="355"/>
    <n v="1"/>
    <n v="1"/>
  </r>
  <r>
    <m/>
    <m/>
    <x v="1"/>
    <s v="63974376001003"/>
    <n v="-11.71"/>
    <n v="201"/>
    <n v="1"/>
    <n v="1"/>
  </r>
  <r>
    <m/>
    <m/>
    <x v="1"/>
    <s v="64092233001001"/>
    <n v="-44.88"/>
    <n v="770"/>
    <n v="1"/>
    <n v="1"/>
  </r>
  <r>
    <m/>
    <m/>
    <x v="1"/>
    <s v="64133260001001"/>
    <n v="-14.69"/>
    <n v="252"/>
    <n v="1"/>
    <n v="1"/>
  </r>
  <r>
    <m/>
    <m/>
    <x v="1"/>
    <s v="64227891001003"/>
    <n v="-30.07"/>
    <n v="516"/>
    <n v="1"/>
    <n v="1"/>
  </r>
  <r>
    <m/>
    <m/>
    <x v="1"/>
    <s v="64277366004001"/>
    <n v="-25.93"/>
    <n v="445"/>
    <n v="1"/>
    <n v="1"/>
  </r>
  <r>
    <m/>
    <m/>
    <x v="1"/>
    <s v="64306926001001"/>
    <n v="-11.66"/>
    <n v="200"/>
    <n v="1"/>
    <n v="1"/>
  </r>
  <r>
    <m/>
    <m/>
    <x v="1"/>
    <s v="64727466001007"/>
    <n v="-20.63"/>
    <n v="354"/>
    <n v="1"/>
    <n v="1"/>
  </r>
  <r>
    <m/>
    <m/>
    <x v="1"/>
    <s v="64787221002001"/>
    <n v="-5.48"/>
    <n v="94"/>
    <n v="1"/>
    <n v="1"/>
  </r>
  <r>
    <m/>
    <m/>
    <x v="1"/>
    <s v="64947999002003"/>
    <n v="-69.88"/>
    <n v="1199"/>
    <n v="1"/>
    <n v="1"/>
  </r>
  <r>
    <m/>
    <m/>
    <x v="1"/>
    <s v="64960542001013"/>
    <n v="-25.7"/>
    <n v="441"/>
    <n v="1"/>
    <n v="1"/>
  </r>
  <r>
    <m/>
    <m/>
    <x v="1"/>
    <s v="65047530001001"/>
    <n v="-46.8"/>
    <n v="803"/>
    <n v="1"/>
    <n v="1"/>
  </r>
  <r>
    <m/>
    <m/>
    <x v="1"/>
    <s v="65303114002001"/>
    <n v="-20.11"/>
    <n v="345"/>
    <n v="1"/>
    <n v="1"/>
  </r>
  <r>
    <m/>
    <m/>
    <x v="1"/>
    <s v="65349971001003"/>
    <n v="-5.19"/>
    <n v="89"/>
    <n v="1"/>
    <n v="1"/>
  </r>
  <r>
    <m/>
    <m/>
    <x v="1"/>
    <s v="65500085001007"/>
    <n v="-5.83"/>
    <n v="100"/>
    <n v="1"/>
    <n v="1"/>
  </r>
  <r>
    <m/>
    <m/>
    <x v="1"/>
    <s v="65501585001005"/>
    <n v="-9.9700000000000006"/>
    <n v="171"/>
    <n v="1"/>
    <n v="1"/>
  </r>
  <r>
    <m/>
    <m/>
    <x v="1"/>
    <s v="65509711001003"/>
    <n v="-4.37"/>
    <n v="75"/>
    <n v="1"/>
    <n v="1"/>
  </r>
  <r>
    <m/>
    <m/>
    <x v="1"/>
    <s v="65773806002003"/>
    <n v="-13.64"/>
    <n v="234"/>
    <n v="1"/>
    <n v="1"/>
  </r>
  <r>
    <m/>
    <m/>
    <x v="1"/>
    <s v="66052105002003"/>
    <n v="-78.150000000000006"/>
    <n v="1341"/>
    <n v="1"/>
    <n v="1"/>
  </r>
  <r>
    <m/>
    <m/>
    <x v="1"/>
    <s v="66083905003006"/>
    <n v="-1.28"/>
    <n v="22"/>
    <n v="1"/>
    <n v="1"/>
  </r>
  <r>
    <m/>
    <m/>
    <x v="1"/>
    <s v="66094656001008"/>
    <n v="-44.7"/>
    <n v="767"/>
    <n v="1"/>
    <n v="1"/>
  </r>
  <r>
    <m/>
    <m/>
    <x v="1"/>
    <s v="66113464003004"/>
    <n v="-0.06"/>
    <n v="1"/>
    <n v="1"/>
    <n v="1"/>
  </r>
  <r>
    <m/>
    <m/>
    <x v="1"/>
    <s v="66166298003001"/>
    <n v="-36.43"/>
    <n v="625"/>
    <n v="1"/>
    <n v="1"/>
  </r>
  <r>
    <m/>
    <m/>
    <x v="1"/>
    <s v="66310272001003"/>
    <n v="-35.08"/>
    <n v="602"/>
    <n v="1"/>
    <n v="1"/>
  </r>
  <r>
    <m/>
    <m/>
    <x v="1"/>
    <s v="66322585001001"/>
    <n v="-9.73"/>
    <n v="167"/>
    <n v="1"/>
    <n v="1"/>
  </r>
  <r>
    <m/>
    <m/>
    <x v="1"/>
    <s v="66358624001011"/>
    <n v="-3.79"/>
    <n v="65"/>
    <n v="1"/>
    <n v="1"/>
  </r>
  <r>
    <m/>
    <m/>
    <x v="1"/>
    <s v="66382381001001"/>
    <n v="-12.59"/>
    <n v="216"/>
    <n v="1"/>
    <n v="1"/>
  </r>
  <r>
    <m/>
    <m/>
    <x v="1"/>
    <s v="66421133001001"/>
    <n v="-2.39"/>
    <n v="41"/>
    <n v="1"/>
    <n v="1"/>
  </r>
  <r>
    <m/>
    <m/>
    <x v="1"/>
    <s v="66438713001009"/>
    <n v="-12.59"/>
    <n v="216"/>
    <n v="1"/>
    <n v="1"/>
  </r>
  <r>
    <m/>
    <m/>
    <x v="1"/>
    <s v="66455859001001"/>
    <n v="-6.88"/>
    <n v="118"/>
    <n v="1"/>
    <n v="1"/>
  </r>
  <r>
    <m/>
    <m/>
    <x v="1"/>
    <s v="66541721002006"/>
    <n v="-59.27"/>
    <n v="1017"/>
    <n v="1"/>
    <n v="1"/>
  </r>
  <r>
    <m/>
    <m/>
    <x v="1"/>
    <s v="66753430001001"/>
    <n v="-51.11"/>
    <n v="877"/>
    <n v="1"/>
    <n v="1"/>
  </r>
  <r>
    <m/>
    <m/>
    <x v="1"/>
    <s v="66777400001001"/>
    <n v="-1.34"/>
    <n v="23"/>
    <n v="1"/>
    <n v="1"/>
  </r>
  <r>
    <m/>
    <m/>
    <x v="1"/>
    <s v="66842259001003"/>
    <n v="-23.08"/>
    <n v="396"/>
    <n v="1"/>
    <n v="1"/>
  </r>
  <r>
    <m/>
    <m/>
    <x v="1"/>
    <s v="67052660001005"/>
    <n v="-1.63"/>
    <n v="28"/>
    <n v="1"/>
    <n v="1"/>
  </r>
  <r>
    <m/>
    <m/>
    <x v="1"/>
    <s v="67083125001001"/>
    <n v="-25.93"/>
    <n v="445"/>
    <n v="1"/>
    <n v="1"/>
  </r>
  <r>
    <m/>
    <m/>
    <x v="1"/>
    <s v="67318625001003"/>
    <n v="-6"/>
    <n v="103"/>
    <n v="1"/>
    <n v="1"/>
  </r>
  <r>
    <m/>
    <m/>
    <x v="1"/>
    <s v="67552852001001"/>
    <n v="-16.38"/>
    <n v="281"/>
    <n v="1"/>
    <n v="1"/>
  </r>
  <r>
    <m/>
    <m/>
    <x v="1"/>
    <s v="67667059003001"/>
    <n v="-9.3800000000000008"/>
    <n v="161"/>
    <n v="1"/>
    <n v="1"/>
  </r>
  <r>
    <m/>
    <m/>
    <x v="1"/>
    <s v="67844298001011"/>
    <n v="-0.47"/>
    <n v="8"/>
    <n v="1"/>
    <n v="1"/>
  </r>
  <r>
    <m/>
    <m/>
    <x v="1"/>
    <s v="67994603001007"/>
    <n v="-51.93"/>
    <n v="891"/>
    <n v="1"/>
    <n v="1"/>
  </r>
  <r>
    <m/>
    <m/>
    <x v="1"/>
    <s v="68032163003005"/>
    <n v="-14.51"/>
    <n v="249"/>
    <n v="1"/>
    <n v="1"/>
  </r>
  <r>
    <m/>
    <m/>
    <x v="1"/>
    <s v="68039419001001"/>
    <n v="-25.53"/>
    <n v="438"/>
    <n v="1"/>
    <n v="1"/>
  </r>
  <r>
    <m/>
    <m/>
    <x v="1"/>
    <s v="68121160001009"/>
    <n v="-3.79"/>
    <n v="65"/>
    <n v="1"/>
    <n v="1"/>
  </r>
  <r>
    <m/>
    <m/>
    <x v="1"/>
    <s v="68181174001003"/>
    <n v="-41.9"/>
    <n v="719"/>
    <n v="1"/>
    <n v="1"/>
  </r>
  <r>
    <m/>
    <m/>
    <x v="1"/>
    <s v="68329341001003"/>
    <n v="-1.52"/>
    <n v="26"/>
    <n v="1"/>
    <n v="1"/>
  </r>
  <r>
    <m/>
    <m/>
    <x v="1"/>
    <s v="68408057001001"/>
    <n v="-47.56"/>
    <n v="816"/>
    <n v="1"/>
    <n v="1"/>
  </r>
  <r>
    <m/>
    <m/>
    <x v="1"/>
    <s v="68441476001005"/>
    <n v="-30.83"/>
    <n v="529"/>
    <n v="1"/>
    <n v="1"/>
  </r>
  <r>
    <m/>
    <m/>
    <x v="1"/>
    <s v="68468118001001"/>
    <n v="-12.59"/>
    <n v="216"/>
    <n v="1"/>
    <n v="1"/>
  </r>
  <r>
    <m/>
    <m/>
    <x v="1"/>
    <s v="68497807001010"/>
    <n v="-0.28999999999999998"/>
    <n v="5"/>
    <n v="1"/>
    <n v="1"/>
  </r>
  <r>
    <m/>
    <m/>
    <x v="1"/>
    <s v="68520131001002"/>
    <n v="-2.86"/>
    <n v="49"/>
    <n v="1"/>
    <n v="1"/>
  </r>
  <r>
    <m/>
    <m/>
    <x v="1"/>
    <s v="68540315001002"/>
    <n v="-9.32"/>
    <n v="160"/>
    <n v="1"/>
    <n v="1"/>
  </r>
  <r>
    <m/>
    <m/>
    <x v="1"/>
    <s v="68561006001001"/>
    <n v="-31.06"/>
    <n v="533"/>
    <n v="1"/>
    <n v="1"/>
  </r>
  <r>
    <m/>
    <m/>
    <x v="1"/>
    <s v="68616474001006"/>
    <n v="-6.06"/>
    <n v="104"/>
    <n v="1"/>
    <n v="1"/>
  </r>
  <r>
    <m/>
    <m/>
    <x v="1"/>
    <s v="68667346001005"/>
    <n v="-81.709999999999994"/>
    <n v="1402"/>
    <n v="1"/>
    <n v="1"/>
  </r>
  <r>
    <m/>
    <m/>
    <x v="1"/>
    <s v="68732877001001"/>
    <n v="-0.47"/>
    <n v="8"/>
    <n v="1"/>
    <n v="1"/>
  </r>
  <r>
    <m/>
    <m/>
    <x v="1"/>
    <s v="68747880001001"/>
    <n v="-34.729999999999997"/>
    <n v="596"/>
    <n v="1"/>
    <n v="1"/>
  </r>
  <r>
    <m/>
    <m/>
    <x v="1"/>
    <s v="68803965001003"/>
    <n v="-1.1100000000000001"/>
    <n v="19"/>
    <n v="1"/>
    <n v="1"/>
  </r>
  <r>
    <m/>
    <m/>
    <x v="1"/>
    <s v="68928083001002"/>
    <n v="-11.95"/>
    <n v="205"/>
    <n v="1"/>
    <n v="1"/>
  </r>
  <r>
    <m/>
    <m/>
    <x v="1"/>
    <s v="68940427001001"/>
    <n v="-28.85"/>
    <n v="495"/>
    <n v="1"/>
    <n v="1"/>
  </r>
  <r>
    <m/>
    <m/>
    <x v="1"/>
    <s v="69106756001007"/>
    <n v="-8.4499999999999993"/>
    <n v="145"/>
    <n v="1"/>
    <n v="1"/>
  </r>
  <r>
    <m/>
    <m/>
    <x v="1"/>
    <s v="69227176002002"/>
    <n v="-10.96"/>
    <n v="188"/>
    <n v="1"/>
    <n v="1"/>
  </r>
  <r>
    <m/>
    <m/>
    <x v="1"/>
    <s v="69358446001002"/>
    <n v="-8.51"/>
    <n v="146"/>
    <n v="1"/>
    <n v="1"/>
  </r>
  <r>
    <m/>
    <m/>
    <x v="1"/>
    <s v="69359447001001"/>
    <n v="-14.45"/>
    <n v="248"/>
    <n v="1"/>
    <n v="1"/>
  </r>
  <r>
    <m/>
    <m/>
    <x v="1"/>
    <s v="69455470002001"/>
    <n v="-53.73"/>
    <n v="922"/>
    <n v="1"/>
    <n v="1"/>
  </r>
  <r>
    <m/>
    <m/>
    <x v="1"/>
    <s v="69499962002001"/>
    <n v="-18.18"/>
    <n v="312"/>
    <n v="1"/>
    <n v="1"/>
  </r>
  <r>
    <m/>
    <m/>
    <x v="1"/>
    <s v="69512047001001"/>
    <n v="-10.26"/>
    <n v="176"/>
    <n v="1"/>
    <n v="1"/>
  </r>
  <r>
    <m/>
    <m/>
    <x v="1"/>
    <s v="69552955001005"/>
    <n v="-2.68"/>
    <n v="46"/>
    <n v="1"/>
    <n v="1"/>
  </r>
  <r>
    <m/>
    <m/>
    <x v="1"/>
    <s v="69604500006004"/>
    <n v="-1.92"/>
    <n v="33"/>
    <n v="1"/>
    <n v="1"/>
  </r>
  <r>
    <m/>
    <m/>
    <x v="1"/>
    <s v="69726976003004"/>
    <n v="-12.36"/>
    <n v="212"/>
    <n v="1"/>
    <n v="1"/>
  </r>
  <r>
    <m/>
    <m/>
    <x v="1"/>
    <s v="69758949003003"/>
    <n v="-1.17"/>
    <n v="20"/>
    <n v="1"/>
    <n v="1"/>
  </r>
  <r>
    <m/>
    <m/>
    <x v="1"/>
    <s v="69795270001001"/>
    <n v="-24.54"/>
    <n v="421"/>
    <n v="1"/>
    <n v="1"/>
  </r>
  <r>
    <m/>
    <m/>
    <x v="1"/>
    <s v="69991566001003"/>
    <n v="-40.68"/>
    <n v="698"/>
    <n v="1"/>
    <n v="1"/>
  </r>
  <r>
    <m/>
    <m/>
    <x v="1"/>
    <s v="69998683001001"/>
    <n v="-33.69"/>
    <n v="578"/>
    <n v="1"/>
    <n v="1"/>
  </r>
  <r>
    <m/>
    <m/>
    <x v="1"/>
    <s v="70196025004001"/>
    <n v="-11.48"/>
    <n v="197"/>
    <n v="1"/>
    <n v="1"/>
  </r>
  <r>
    <m/>
    <m/>
    <x v="1"/>
    <s v="70280362001003"/>
    <n v="-8.51"/>
    <n v="146"/>
    <n v="1"/>
    <n v="1"/>
  </r>
  <r>
    <m/>
    <m/>
    <x v="1"/>
    <s v="70376367001003"/>
    <n v="-6.12"/>
    <n v="105"/>
    <n v="1"/>
    <n v="1"/>
  </r>
  <r>
    <m/>
    <m/>
    <x v="1"/>
    <s v="70581364003001"/>
    <n v="-48.61"/>
    <n v="834"/>
    <n v="1"/>
    <n v="1"/>
  </r>
  <r>
    <m/>
    <m/>
    <x v="1"/>
    <s v="70593073001001"/>
    <n v="-0.76"/>
    <n v="13"/>
    <n v="1"/>
    <n v="1"/>
  </r>
  <r>
    <m/>
    <m/>
    <x v="1"/>
    <s v="70655150003010"/>
    <n v="-83.52"/>
    <n v="1433"/>
    <n v="1"/>
    <n v="1"/>
  </r>
  <r>
    <m/>
    <m/>
    <x v="1"/>
    <s v="70723544001001"/>
    <n v="-0.76"/>
    <n v="13"/>
    <n v="1"/>
    <n v="1"/>
  </r>
  <r>
    <m/>
    <m/>
    <x v="1"/>
    <s v="70804751001005"/>
    <n v="-6.59"/>
    <n v="113"/>
    <n v="1"/>
    <n v="1"/>
  </r>
  <r>
    <m/>
    <m/>
    <x v="1"/>
    <s v="71274320003001"/>
    <n v="-54.84"/>
    <n v="941"/>
    <n v="1"/>
    <n v="1"/>
  </r>
  <r>
    <m/>
    <m/>
    <x v="1"/>
    <s v="71278625001004"/>
    <n v="-44.93"/>
    <n v="771"/>
    <n v="1"/>
    <n v="1"/>
  </r>
  <r>
    <m/>
    <m/>
    <x v="1"/>
    <s v="71391581006001"/>
    <n v="-27.33"/>
    <n v="469"/>
    <n v="1"/>
    <n v="1"/>
  </r>
  <r>
    <m/>
    <m/>
    <x v="1"/>
    <s v="71499386001002"/>
    <n v="-28.91"/>
    <n v="496"/>
    <n v="1"/>
    <n v="1"/>
  </r>
  <r>
    <m/>
    <m/>
    <x v="1"/>
    <s v="71502529002001"/>
    <n v="-7.93"/>
    <n v="136"/>
    <n v="1"/>
    <n v="1"/>
  </r>
  <r>
    <m/>
    <m/>
    <x v="1"/>
    <s v="71669535001005"/>
    <n v="-0.47"/>
    <n v="8"/>
    <n v="1"/>
    <n v="1"/>
  </r>
  <r>
    <m/>
    <m/>
    <x v="1"/>
    <s v="71769014004002"/>
    <n v="-24.48"/>
    <n v="420"/>
    <n v="1"/>
    <n v="1"/>
  </r>
  <r>
    <m/>
    <m/>
    <x v="1"/>
    <s v="71787084002001"/>
    <n v="-0.64"/>
    <n v="11"/>
    <n v="1"/>
    <n v="1"/>
  </r>
  <r>
    <m/>
    <m/>
    <x v="1"/>
    <s v="71796224001001"/>
    <n v="-53.27"/>
    <n v="914"/>
    <n v="1"/>
    <n v="1"/>
  </r>
  <r>
    <m/>
    <m/>
    <x v="1"/>
    <s v="71997040001001"/>
    <n v="-9.15"/>
    <n v="157"/>
    <n v="1"/>
    <n v="1"/>
  </r>
  <r>
    <m/>
    <m/>
    <x v="1"/>
    <s v="72261639001001"/>
    <n v="-43.88"/>
    <n v="753"/>
    <n v="1"/>
    <n v="1"/>
  </r>
  <r>
    <m/>
    <m/>
    <x v="1"/>
    <s v="72331837001003"/>
    <n v="-19.170000000000002"/>
    <n v="329"/>
    <n v="1"/>
    <n v="1"/>
  </r>
  <r>
    <m/>
    <m/>
    <x v="1"/>
    <s v="72395550003001"/>
    <n v="-95.64"/>
    <n v="1641"/>
    <n v="1"/>
    <n v="1"/>
  </r>
  <r>
    <m/>
    <m/>
    <x v="1"/>
    <s v="72489193001001"/>
    <n v="-0.41"/>
    <n v="7"/>
    <n v="1"/>
    <n v="1"/>
  </r>
  <r>
    <m/>
    <m/>
    <x v="1"/>
    <s v="72621276001001"/>
    <n v="-0.7"/>
    <n v="12"/>
    <n v="1"/>
    <n v="1"/>
  </r>
  <r>
    <m/>
    <m/>
    <x v="1"/>
    <s v="72648295001001"/>
    <n v="-2.21"/>
    <n v="38"/>
    <n v="1"/>
    <n v="1"/>
  </r>
  <r>
    <m/>
    <m/>
    <x v="1"/>
    <s v="72649617001013"/>
    <n v="-7.34"/>
    <n v="126"/>
    <n v="1"/>
    <n v="1"/>
  </r>
  <r>
    <m/>
    <m/>
    <x v="1"/>
    <s v="72706959001001"/>
    <n v="-24.48"/>
    <n v="420"/>
    <n v="1"/>
    <n v="1"/>
  </r>
  <r>
    <m/>
    <m/>
    <x v="1"/>
    <s v="72814767001001"/>
    <n v="-51.58"/>
    <n v="885"/>
    <n v="1"/>
    <n v="1"/>
  </r>
  <r>
    <m/>
    <m/>
    <x v="1"/>
    <s v="72998390003001"/>
    <n v="-2.27"/>
    <n v="39"/>
    <n v="1"/>
    <n v="1"/>
  </r>
  <r>
    <m/>
    <m/>
    <x v="1"/>
    <s v="73047819001006"/>
    <n v="-13.52"/>
    <n v="232"/>
    <n v="1"/>
    <n v="1"/>
  </r>
  <r>
    <m/>
    <m/>
    <x v="1"/>
    <s v="73073983020001"/>
    <n v="-57.76"/>
    <n v="991"/>
    <n v="1"/>
    <n v="1"/>
  </r>
  <r>
    <m/>
    <m/>
    <x v="1"/>
    <s v="73088070001002"/>
    <n v="-0.06"/>
    <n v="1"/>
    <n v="1"/>
    <n v="1"/>
  </r>
  <r>
    <m/>
    <m/>
    <x v="1"/>
    <s v="73114048001002"/>
    <n v="-11.89"/>
    <n v="204"/>
    <n v="1"/>
    <n v="1"/>
  </r>
  <r>
    <m/>
    <m/>
    <x v="1"/>
    <s v="73173555001001"/>
    <n v="-25.64"/>
    <n v="440"/>
    <n v="1"/>
    <n v="1"/>
  </r>
  <r>
    <m/>
    <m/>
    <x v="1"/>
    <s v="73174806002005"/>
    <n v="-14.28"/>
    <n v="245"/>
    <n v="1"/>
    <n v="1"/>
  </r>
  <r>
    <m/>
    <m/>
    <x v="1"/>
    <s v="73258916001001"/>
    <n v="-1.34"/>
    <n v="23"/>
    <n v="1"/>
    <n v="1"/>
  </r>
  <r>
    <m/>
    <m/>
    <x v="1"/>
    <s v="73355098003007"/>
    <n v="-16.670000000000002"/>
    <n v="286"/>
    <n v="1"/>
    <n v="1"/>
  </r>
  <r>
    <m/>
    <m/>
    <x v="1"/>
    <s v="73571632001001"/>
    <n v="-16.55"/>
    <n v="284"/>
    <n v="1"/>
    <n v="1"/>
  </r>
  <r>
    <m/>
    <m/>
    <x v="1"/>
    <s v="73774640001002"/>
    <n v="-2.62"/>
    <n v="45"/>
    <n v="1"/>
    <n v="1"/>
  </r>
  <r>
    <m/>
    <m/>
    <x v="1"/>
    <s v="73775929001005"/>
    <n v="-16.260000000000002"/>
    <n v="279"/>
    <n v="1"/>
    <n v="1"/>
  </r>
  <r>
    <m/>
    <m/>
    <x v="1"/>
    <s v="73788624001001"/>
    <n v="-0.23"/>
    <n v="4"/>
    <n v="1"/>
    <n v="1"/>
  </r>
  <r>
    <m/>
    <m/>
    <x v="1"/>
    <s v="73873764003003"/>
    <n v="-6.18"/>
    <n v="106"/>
    <n v="1"/>
    <n v="1"/>
  </r>
  <r>
    <m/>
    <m/>
    <x v="1"/>
    <s v="73935992001002"/>
    <n v="-60.44"/>
    <n v="1037"/>
    <n v="1"/>
    <n v="1"/>
  </r>
  <r>
    <m/>
    <m/>
    <x v="1"/>
    <s v="73939854001001"/>
    <n v="-3.32"/>
    <n v="57"/>
    <n v="1"/>
    <n v="1"/>
  </r>
  <r>
    <m/>
    <m/>
    <x v="1"/>
    <s v="74022126002001"/>
    <n v="-4.95"/>
    <n v="85"/>
    <n v="1"/>
    <n v="1"/>
  </r>
  <r>
    <m/>
    <m/>
    <x v="1"/>
    <s v="74055933001001"/>
    <n v="-9.7899999999999991"/>
    <n v="168"/>
    <n v="1"/>
    <n v="1"/>
  </r>
  <r>
    <m/>
    <m/>
    <x v="1"/>
    <s v="74076340001005"/>
    <n v="-49.89"/>
    <n v="856"/>
    <n v="1"/>
    <n v="1"/>
  </r>
  <r>
    <m/>
    <m/>
    <x v="1"/>
    <s v="74101362001001"/>
    <n v="-1.28"/>
    <n v="22"/>
    <n v="1"/>
    <n v="1"/>
  </r>
  <r>
    <m/>
    <m/>
    <x v="1"/>
    <s v="74168786004008"/>
    <n v="-26.23"/>
    <n v="450"/>
    <n v="1"/>
    <n v="1"/>
  </r>
  <r>
    <m/>
    <m/>
    <x v="1"/>
    <s v="74228888001001"/>
    <n v="-0.35"/>
    <n v="6"/>
    <n v="1"/>
    <n v="1"/>
  </r>
  <r>
    <m/>
    <m/>
    <x v="1"/>
    <s v="74229049001001"/>
    <n v="-2.74"/>
    <n v="47"/>
    <n v="1"/>
    <n v="1"/>
  </r>
  <r>
    <m/>
    <m/>
    <x v="1"/>
    <s v="74351356002001"/>
    <n v="-4.43"/>
    <n v="76"/>
    <n v="1"/>
    <n v="1"/>
  </r>
  <r>
    <m/>
    <m/>
    <x v="1"/>
    <s v="74369035001007"/>
    <n v="-4.1399999999999997"/>
    <n v="71"/>
    <n v="1"/>
    <n v="1"/>
  </r>
  <r>
    <m/>
    <m/>
    <x v="1"/>
    <s v="74380477001003"/>
    <n v="-29.96"/>
    <n v="514"/>
    <n v="1"/>
    <n v="1"/>
  </r>
  <r>
    <m/>
    <m/>
    <x v="1"/>
    <s v="74386329001002"/>
    <n v="-0.28999999999999998"/>
    <n v="5"/>
    <n v="1"/>
    <n v="1"/>
  </r>
  <r>
    <m/>
    <m/>
    <x v="1"/>
    <s v="74440719001001"/>
    <n v="-17.95"/>
    <n v="308"/>
    <n v="1"/>
    <n v="1"/>
  </r>
  <r>
    <m/>
    <m/>
    <x v="1"/>
    <s v="74475975001005"/>
    <n v="-9.3800000000000008"/>
    <n v="161"/>
    <n v="1"/>
    <n v="1"/>
  </r>
  <r>
    <m/>
    <m/>
    <x v="1"/>
    <s v="74529868001012"/>
    <n v="-68.36"/>
    <n v="1173"/>
    <n v="1"/>
    <n v="1"/>
  </r>
  <r>
    <m/>
    <m/>
    <x v="1"/>
    <s v="74613378001005"/>
    <n v="-9.27"/>
    <n v="159"/>
    <n v="1"/>
    <n v="1"/>
  </r>
  <r>
    <m/>
    <m/>
    <x v="1"/>
    <s v="74773751003001"/>
    <n v="-27.33"/>
    <n v="469"/>
    <n v="1"/>
    <n v="1"/>
  </r>
  <r>
    <m/>
    <m/>
    <x v="1"/>
    <s v="74802804001001"/>
    <n v="-25.64"/>
    <n v="440"/>
    <n v="1"/>
    <n v="1"/>
  </r>
  <r>
    <m/>
    <m/>
    <x v="1"/>
    <s v="74897585001003"/>
    <n v="-2.8"/>
    <n v="48"/>
    <n v="1"/>
    <n v="1"/>
  </r>
  <r>
    <m/>
    <m/>
    <x v="1"/>
    <s v="74921730001003"/>
    <n v="-0.17"/>
    <n v="3"/>
    <n v="1"/>
    <n v="1"/>
  </r>
  <r>
    <m/>
    <m/>
    <x v="1"/>
    <s v="74925966001001"/>
    <n v="-22.73"/>
    <n v="390"/>
    <n v="1"/>
    <n v="1"/>
  </r>
  <r>
    <m/>
    <m/>
    <x v="1"/>
    <s v="74965108005007"/>
    <n v="-19.579999999999998"/>
    <n v="336"/>
    <n v="1"/>
    <n v="1"/>
  </r>
  <r>
    <m/>
    <m/>
    <x v="1"/>
    <s v="74967292001001"/>
    <n v="-7.23"/>
    <n v="124"/>
    <n v="1"/>
    <n v="1"/>
  </r>
  <r>
    <m/>
    <m/>
    <x v="1"/>
    <s v="75053878001002"/>
    <n v="-2.5099999999999998"/>
    <n v="43"/>
    <n v="1"/>
    <n v="1"/>
  </r>
  <r>
    <m/>
    <m/>
    <x v="1"/>
    <s v="75076089001006"/>
    <n v="-17.13"/>
    <n v="294"/>
    <n v="1"/>
    <n v="1"/>
  </r>
  <r>
    <m/>
    <m/>
    <x v="1"/>
    <s v="75083574001001"/>
    <n v="-14.86"/>
    <n v="255"/>
    <n v="1"/>
    <n v="1"/>
  </r>
  <r>
    <m/>
    <m/>
    <x v="1"/>
    <s v="75200298001001"/>
    <n v="-23.72"/>
    <n v="407"/>
    <n v="1"/>
    <n v="1"/>
  </r>
  <r>
    <m/>
    <m/>
    <x v="1"/>
    <s v="75321301001004"/>
    <n v="-18.940000000000001"/>
    <n v="325"/>
    <n v="1"/>
    <n v="1"/>
  </r>
  <r>
    <m/>
    <m/>
    <x v="1"/>
    <s v="75518241003003"/>
    <n v="-6.59"/>
    <n v="113"/>
    <n v="1"/>
    <n v="1"/>
  </r>
  <r>
    <m/>
    <m/>
    <x v="1"/>
    <s v="75599421001001"/>
    <n v="-2.16"/>
    <n v="37"/>
    <n v="1"/>
    <n v="1"/>
  </r>
  <r>
    <m/>
    <m/>
    <x v="1"/>
    <s v="75620479001003"/>
    <n v="-0.64"/>
    <n v="11"/>
    <n v="1"/>
    <n v="1"/>
  </r>
  <r>
    <m/>
    <m/>
    <x v="1"/>
    <s v="75854409001001"/>
    <n v="-28.09"/>
    <n v="482"/>
    <n v="1"/>
    <n v="1"/>
  </r>
  <r>
    <m/>
    <m/>
    <x v="1"/>
    <s v="75878216001003"/>
    <n v="-3.85"/>
    <n v="66"/>
    <n v="1"/>
    <n v="1"/>
  </r>
  <r>
    <m/>
    <m/>
    <x v="1"/>
    <s v="76033198001011"/>
    <n v="-6.76"/>
    <n v="116"/>
    <n v="1"/>
    <n v="1"/>
  </r>
  <r>
    <m/>
    <m/>
    <x v="1"/>
    <s v="76035247001002"/>
    <n v="-11.07"/>
    <n v="190"/>
    <n v="1"/>
    <n v="1"/>
  </r>
  <r>
    <m/>
    <m/>
    <x v="1"/>
    <s v="76068750001001"/>
    <n v="-12.65"/>
    <n v="217"/>
    <n v="1"/>
    <n v="1"/>
  </r>
  <r>
    <m/>
    <m/>
    <x v="1"/>
    <s v="76090392001001"/>
    <n v="-0.7"/>
    <n v="12"/>
    <n v="1"/>
    <n v="1"/>
  </r>
  <r>
    <m/>
    <m/>
    <x v="1"/>
    <s v="76156300001003"/>
    <n v="-55.37"/>
    <n v="950"/>
    <n v="1"/>
    <n v="1"/>
  </r>
  <r>
    <m/>
    <m/>
    <x v="1"/>
    <s v="76204778001006"/>
    <n v="-2.04"/>
    <n v="35"/>
    <n v="1"/>
    <n v="1"/>
  </r>
  <r>
    <m/>
    <m/>
    <x v="1"/>
    <s v="76214834004001"/>
    <n v="-15.91"/>
    <n v="273"/>
    <n v="1"/>
    <n v="1"/>
  </r>
  <r>
    <m/>
    <m/>
    <x v="1"/>
    <s v="76487590001001"/>
    <n v="-17.829999999999998"/>
    <n v="306"/>
    <n v="1"/>
    <n v="1"/>
  </r>
  <r>
    <m/>
    <m/>
    <x v="1"/>
    <s v="76557416001001"/>
    <n v="-32.17"/>
    <n v="552"/>
    <n v="1"/>
    <n v="1"/>
  </r>
  <r>
    <m/>
    <m/>
    <x v="1"/>
    <s v="76563942002004"/>
    <n v="-67.260000000000005"/>
    <n v="1154"/>
    <n v="1"/>
    <n v="1"/>
  </r>
  <r>
    <m/>
    <m/>
    <x v="1"/>
    <s v="76584057001003"/>
    <n v="-18.82"/>
    <n v="323"/>
    <n v="1"/>
    <n v="1"/>
  </r>
  <r>
    <m/>
    <m/>
    <x v="1"/>
    <s v="76629522001015"/>
    <n v="-36.770000000000003"/>
    <n v="631"/>
    <n v="1"/>
    <n v="1"/>
  </r>
  <r>
    <m/>
    <m/>
    <x v="1"/>
    <s v="76645220002001"/>
    <n v="-12.71"/>
    <n v="218"/>
    <n v="1"/>
    <n v="1"/>
  </r>
  <r>
    <m/>
    <m/>
    <x v="1"/>
    <s v="76652020001010"/>
    <n v="-2.33"/>
    <n v="40"/>
    <n v="1"/>
    <n v="1"/>
  </r>
  <r>
    <m/>
    <m/>
    <x v="1"/>
    <s v="76662020001001"/>
    <n v="-9.6199999999999992"/>
    <n v="165"/>
    <n v="1"/>
    <n v="1"/>
  </r>
  <r>
    <m/>
    <m/>
    <x v="1"/>
    <s v="76680484002001"/>
    <n v="-27.92"/>
    <n v="479"/>
    <n v="1"/>
    <n v="1"/>
  </r>
  <r>
    <m/>
    <m/>
    <x v="1"/>
    <s v="76681576002009"/>
    <n v="-10.61"/>
    <n v="182"/>
    <n v="1"/>
    <n v="1"/>
  </r>
  <r>
    <m/>
    <m/>
    <x v="1"/>
    <s v="76686982001003"/>
    <n v="-4.08"/>
    <n v="70"/>
    <n v="1"/>
    <n v="1"/>
  </r>
  <r>
    <m/>
    <m/>
    <x v="1"/>
    <s v="76757615001002"/>
    <n v="-6.29"/>
    <n v="108"/>
    <n v="1"/>
    <n v="1"/>
  </r>
  <r>
    <m/>
    <m/>
    <x v="1"/>
    <s v="76812372003003"/>
    <n v="-63.58"/>
    <n v="1091"/>
    <n v="1"/>
    <n v="1"/>
  </r>
  <r>
    <m/>
    <m/>
    <x v="1"/>
    <s v="76821093007001"/>
    <n v="-47.21"/>
    <n v="810"/>
    <n v="1"/>
    <n v="1"/>
  </r>
  <r>
    <m/>
    <m/>
    <x v="1"/>
    <s v="76903196001004"/>
    <n v="-5.3"/>
    <n v="91"/>
    <n v="1"/>
    <n v="1"/>
  </r>
  <r>
    <m/>
    <m/>
    <x v="1"/>
    <s v="77168759001001"/>
    <n v="-4.49"/>
    <n v="77"/>
    <n v="1"/>
    <n v="1"/>
  </r>
  <r>
    <m/>
    <m/>
    <x v="1"/>
    <s v="77330718001007"/>
    <n v="-62.01"/>
    <n v="1064"/>
    <n v="1"/>
    <n v="1"/>
  </r>
  <r>
    <m/>
    <m/>
    <x v="1"/>
    <s v="77524629001001"/>
    <n v="-21.45"/>
    <n v="368"/>
    <n v="1"/>
    <n v="1"/>
  </r>
  <r>
    <m/>
    <m/>
    <x v="1"/>
    <s v="77671725001005"/>
    <n v="-2.39"/>
    <n v="41"/>
    <n v="1"/>
    <n v="1"/>
  </r>
  <r>
    <m/>
    <m/>
    <x v="1"/>
    <s v="77681333001007"/>
    <n v="-28.03"/>
    <n v="481"/>
    <n v="1"/>
    <n v="1"/>
  </r>
  <r>
    <m/>
    <m/>
    <x v="1"/>
    <s v="77810743001005"/>
    <n v="-6.94"/>
    <n v="119"/>
    <n v="1"/>
    <n v="1"/>
  </r>
  <r>
    <m/>
    <m/>
    <x v="1"/>
    <s v="77834930001003"/>
    <n v="-3.15"/>
    <n v="54"/>
    <n v="1"/>
    <n v="1"/>
  </r>
  <r>
    <m/>
    <m/>
    <x v="1"/>
    <s v="77965715001003"/>
    <n v="-28.21"/>
    <n v="484"/>
    <n v="1"/>
    <n v="1"/>
  </r>
  <r>
    <m/>
    <m/>
    <x v="1"/>
    <s v="78092750001001"/>
    <n v="-25"/>
    <n v="429"/>
    <n v="1"/>
    <n v="1"/>
  </r>
  <r>
    <m/>
    <m/>
    <x v="1"/>
    <s v="78231851001001"/>
    <n v="-29.96"/>
    <n v="514"/>
    <n v="1"/>
    <n v="1"/>
  </r>
  <r>
    <m/>
    <m/>
    <x v="1"/>
    <s v="78319567001011"/>
    <n v="-24.71"/>
    <n v="424"/>
    <n v="1"/>
    <n v="1"/>
  </r>
  <r>
    <m/>
    <m/>
    <x v="1"/>
    <s v="78378527001001"/>
    <n v="-3.26"/>
    <n v="56"/>
    <n v="1"/>
    <n v="1"/>
  </r>
  <r>
    <m/>
    <m/>
    <x v="1"/>
    <s v="78465175004001"/>
    <n v="-29.96"/>
    <n v="514"/>
    <n v="1"/>
    <n v="1"/>
  </r>
  <r>
    <m/>
    <m/>
    <x v="1"/>
    <s v="78487633001001"/>
    <n v="-16.55"/>
    <n v="284"/>
    <n v="1"/>
    <n v="1"/>
  </r>
  <r>
    <m/>
    <m/>
    <x v="1"/>
    <s v="78621225002001"/>
    <n v="-32.869999999999997"/>
    <n v="564"/>
    <n v="1"/>
    <n v="1"/>
  </r>
  <r>
    <m/>
    <m/>
    <x v="1"/>
    <s v="78695215001003"/>
    <n v="-7.69"/>
    <n v="132"/>
    <n v="1"/>
    <n v="1"/>
  </r>
  <r>
    <m/>
    <m/>
    <x v="1"/>
    <s v="78695278001005"/>
    <n v="-0.93"/>
    <n v="16"/>
    <n v="1"/>
    <n v="1"/>
  </r>
  <r>
    <m/>
    <m/>
    <x v="1"/>
    <s v="79030418001001"/>
    <n v="-7.81"/>
    <n v="134"/>
    <n v="1"/>
    <n v="1"/>
  </r>
  <r>
    <m/>
    <m/>
    <x v="1"/>
    <s v="79041940001001"/>
    <n v="-1.05"/>
    <n v="18"/>
    <n v="1"/>
    <n v="1"/>
  </r>
  <r>
    <m/>
    <m/>
    <x v="1"/>
    <s v="79205630002009"/>
    <n v="-7.93"/>
    <n v="136"/>
    <n v="1"/>
    <n v="1"/>
  </r>
  <r>
    <m/>
    <m/>
    <x v="1"/>
    <s v="79219123001001"/>
    <n v="-19.579999999999998"/>
    <n v="336"/>
    <n v="1"/>
    <n v="1"/>
  </r>
  <r>
    <m/>
    <m/>
    <x v="1"/>
    <s v="79306812001001"/>
    <n v="-7.98"/>
    <n v="137"/>
    <n v="1"/>
    <n v="1"/>
  </r>
  <r>
    <m/>
    <m/>
    <x v="1"/>
    <s v="79474986003003"/>
    <n v="-23.43"/>
    <n v="402"/>
    <n v="1"/>
    <n v="1"/>
  </r>
  <r>
    <m/>
    <m/>
    <x v="1"/>
    <s v="79691093001003"/>
    <n v="-19.059999999999999"/>
    <n v="327"/>
    <n v="1"/>
    <n v="1"/>
  </r>
  <r>
    <m/>
    <m/>
    <x v="1"/>
    <s v="79790907001005"/>
    <n v="-13.93"/>
    <n v="239"/>
    <n v="1"/>
    <n v="1"/>
  </r>
  <r>
    <m/>
    <m/>
    <x v="1"/>
    <s v="79794330001001"/>
    <n v="-0.35"/>
    <n v="6"/>
    <n v="1"/>
    <n v="1"/>
  </r>
  <r>
    <m/>
    <m/>
    <x v="1"/>
    <s v="79932201001006"/>
    <n v="-2.4500000000000002"/>
    <n v="42"/>
    <n v="1"/>
    <n v="1"/>
  </r>
  <r>
    <m/>
    <m/>
    <x v="1"/>
    <s v="79985097001001"/>
    <n v="-6.24"/>
    <n v="107"/>
    <n v="1"/>
    <n v="1"/>
  </r>
  <r>
    <m/>
    <m/>
    <x v="1"/>
    <s v="80157270001001"/>
    <n v="-8.1"/>
    <n v="139"/>
    <n v="1"/>
    <n v="1"/>
  </r>
  <r>
    <m/>
    <m/>
    <x v="1"/>
    <s v="80214838001001"/>
    <n v="-35.380000000000003"/>
    <n v="607"/>
    <n v="1"/>
    <n v="1"/>
  </r>
  <r>
    <m/>
    <m/>
    <x v="1"/>
    <s v="80220416001005"/>
    <n v="-36.369999999999997"/>
    <n v="624"/>
    <n v="1"/>
    <n v="1"/>
  </r>
  <r>
    <m/>
    <m/>
    <x v="1"/>
    <s v="80534796005001"/>
    <n v="-12.47"/>
    <n v="214"/>
    <n v="1"/>
    <n v="1"/>
  </r>
  <r>
    <m/>
    <m/>
    <x v="1"/>
    <s v="80635643001001"/>
    <n v="-38.06"/>
    <n v="653"/>
    <n v="1"/>
    <n v="1"/>
  </r>
  <r>
    <m/>
    <m/>
    <x v="1"/>
    <s v="80643686001003"/>
    <n v="-22.03"/>
    <n v="378"/>
    <n v="1"/>
    <n v="1"/>
  </r>
  <r>
    <m/>
    <m/>
    <x v="1"/>
    <s v="80695849001001"/>
    <n v="-1.17"/>
    <n v="20"/>
    <n v="1"/>
    <n v="1"/>
  </r>
  <r>
    <m/>
    <m/>
    <x v="1"/>
    <s v="80921920002005"/>
    <n v="-20.51"/>
    <n v="352"/>
    <n v="1"/>
    <n v="1"/>
  </r>
  <r>
    <m/>
    <m/>
    <x v="1"/>
    <s v="80926951003001"/>
    <n v="-6"/>
    <n v="103"/>
    <n v="1"/>
    <n v="1"/>
  </r>
  <r>
    <m/>
    <m/>
    <x v="1"/>
    <s v="80965084001001"/>
    <n v="-13.05"/>
    <n v="224"/>
    <n v="1"/>
    <n v="1"/>
  </r>
  <r>
    <m/>
    <m/>
    <x v="1"/>
    <s v="81005861001001"/>
    <n v="-3.67"/>
    <n v="63"/>
    <n v="1"/>
    <n v="1"/>
  </r>
  <r>
    <m/>
    <m/>
    <x v="1"/>
    <s v="81058312001001"/>
    <n v="-8.68"/>
    <n v="149"/>
    <n v="1"/>
    <n v="1"/>
  </r>
  <r>
    <m/>
    <m/>
    <x v="1"/>
    <s v="81092601001005"/>
    <n v="-25.41"/>
    <n v="436"/>
    <n v="1"/>
    <n v="1"/>
  </r>
  <r>
    <m/>
    <m/>
    <x v="1"/>
    <s v="81118246001009"/>
    <n v="-13.58"/>
    <n v="233"/>
    <n v="1"/>
    <n v="1"/>
  </r>
  <r>
    <m/>
    <m/>
    <x v="1"/>
    <s v="81276857002001"/>
    <n v="-41.44"/>
    <n v="711"/>
    <n v="1"/>
    <n v="1"/>
  </r>
  <r>
    <m/>
    <m/>
    <x v="1"/>
    <s v="81390168001001"/>
    <n v="-2.27"/>
    <n v="39"/>
    <n v="1"/>
    <n v="1"/>
  </r>
  <r>
    <m/>
    <m/>
    <x v="1"/>
    <s v="81445174003001"/>
    <n v="-29.49"/>
    <n v="506"/>
    <n v="1"/>
    <n v="1"/>
  </r>
  <r>
    <m/>
    <m/>
    <x v="1"/>
    <s v="81473774001001"/>
    <n v="-13"/>
    <n v="223"/>
    <n v="1"/>
    <n v="1"/>
  </r>
  <r>
    <m/>
    <m/>
    <x v="1"/>
    <s v="81498585001005"/>
    <n v="-9.7899999999999991"/>
    <n v="168"/>
    <n v="1"/>
    <n v="1"/>
  </r>
  <r>
    <m/>
    <m/>
    <x v="1"/>
    <s v="81645123001001"/>
    <n v="-60.26"/>
    <n v="1034"/>
    <n v="1"/>
    <n v="1"/>
  </r>
  <r>
    <m/>
    <m/>
    <x v="1"/>
    <s v="81725915001001"/>
    <n v="-18.71"/>
    <n v="321"/>
    <n v="1"/>
    <n v="1"/>
  </r>
  <r>
    <m/>
    <m/>
    <x v="1"/>
    <s v="81762889001004"/>
    <n v="-11.36"/>
    <n v="195"/>
    <n v="1"/>
    <n v="1"/>
  </r>
  <r>
    <m/>
    <m/>
    <x v="1"/>
    <s v="81908653002007"/>
    <n v="-17.43"/>
    <n v="299"/>
    <n v="1"/>
    <n v="1"/>
  </r>
  <r>
    <m/>
    <m/>
    <x v="1"/>
    <s v="81910607001001"/>
    <n v="-10.43"/>
    <n v="179"/>
    <n v="1"/>
    <n v="1"/>
  </r>
  <r>
    <m/>
    <m/>
    <x v="1"/>
    <s v="81917999001003"/>
    <n v="-17.02"/>
    <n v="292"/>
    <n v="1"/>
    <n v="1"/>
  </r>
  <r>
    <m/>
    <m/>
    <x v="1"/>
    <s v="81944374001004"/>
    <n v="-31.94"/>
    <n v="548"/>
    <n v="1"/>
    <n v="1"/>
  </r>
  <r>
    <m/>
    <m/>
    <x v="1"/>
    <s v="81956135001004"/>
    <n v="-0.41"/>
    <n v="7"/>
    <n v="1"/>
    <n v="1"/>
  </r>
  <r>
    <m/>
    <m/>
    <x v="1"/>
    <s v="82108870001003"/>
    <n v="-0.35"/>
    <n v="6"/>
    <n v="1"/>
    <n v="1"/>
  </r>
  <r>
    <m/>
    <m/>
    <x v="1"/>
    <s v="82153211002003"/>
    <n v="-28.97"/>
    <n v="497"/>
    <n v="1"/>
    <n v="1"/>
  </r>
  <r>
    <m/>
    <m/>
    <x v="1"/>
    <s v="82216737013001"/>
    <n v="-31.47"/>
    <n v="540"/>
    <n v="1"/>
    <n v="1"/>
  </r>
  <r>
    <m/>
    <m/>
    <x v="1"/>
    <s v="82225464001008"/>
    <n v="-24.19"/>
    <n v="415"/>
    <n v="1"/>
    <n v="1"/>
  </r>
  <r>
    <m/>
    <m/>
    <x v="1"/>
    <s v="82233435001002"/>
    <n v="-12.82"/>
    <n v="220"/>
    <n v="1"/>
    <n v="1"/>
  </r>
  <r>
    <m/>
    <m/>
    <x v="1"/>
    <s v="82239948003003"/>
    <n v="-0.93"/>
    <n v="16"/>
    <n v="1"/>
    <n v="1"/>
  </r>
  <r>
    <m/>
    <m/>
    <x v="1"/>
    <s v="82307326003001"/>
    <n v="-23.14"/>
    <n v="397"/>
    <n v="1"/>
    <n v="1"/>
  </r>
  <r>
    <m/>
    <m/>
    <x v="1"/>
    <s v="82314056001001"/>
    <n v="-4.3099999999999996"/>
    <n v="74"/>
    <n v="1"/>
    <n v="1"/>
  </r>
  <r>
    <m/>
    <m/>
    <x v="1"/>
    <s v="82385356001001"/>
    <n v="-36.479999999999997"/>
    <n v="626"/>
    <n v="1"/>
    <n v="1"/>
  </r>
  <r>
    <m/>
    <m/>
    <x v="1"/>
    <s v="82804369003001"/>
    <n v="-0.35"/>
    <n v="6"/>
    <n v="1"/>
    <n v="1"/>
  </r>
  <r>
    <m/>
    <m/>
    <x v="1"/>
    <s v="82980447003001"/>
    <n v="-4.0199999999999996"/>
    <n v="69"/>
    <n v="1"/>
    <n v="1"/>
  </r>
  <r>
    <m/>
    <m/>
    <x v="1"/>
    <s v="83053405001004"/>
    <n v="-0.52"/>
    <n v="9"/>
    <n v="1"/>
    <n v="1"/>
  </r>
  <r>
    <m/>
    <m/>
    <x v="1"/>
    <s v="83061885001003"/>
    <n v="-27.68"/>
    <n v="475"/>
    <n v="1"/>
    <n v="1"/>
  </r>
  <r>
    <m/>
    <m/>
    <x v="1"/>
    <s v="83216854001001"/>
    <n v="-10.49"/>
    <n v="180"/>
    <n v="1"/>
    <n v="1"/>
  </r>
  <r>
    <m/>
    <m/>
    <x v="1"/>
    <s v="83341239005003"/>
    <n v="-3.09"/>
    <n v="53"/>
    <n v="1"/>
    <n v="1"/>
  </r>
  <r>
    <m/>
    <m/>
    <x v="1"/>
    <s v="83345985001001"/>
    <n v="-0.06"/>
    <n v="1"/>
    <n v="1"/>
    <n v="1"/>
  </r>
  <r>
    <m/>
    <m/>
    <x v="1"/>
    <s v="83416228001001"/>
    <n v="-73.430000000000007"/>
    <n v="1260"/>
    <n v="1"/>
    <n v="1"/>
  </r>
  <r>
    <m/>
    <m/>
    <x v="1"/>
    <s v="83464000001003"/>
    <n v="-27.51"/>
    <n v="472"/>
    <n v="1"/>
    <n v="1"/>
  </r>
  <r>
    <m/>
    <m/>
    <x v="1"/>
    <s v="83489581005001"/>
    <n v="-5.25"/>
    <n v="90"/>
    <n v="1"/>
    <n v="1"/>
  </r>
  <r>
    <m/>
    <m/>
    <x v="1"/>
    <s v="83512091001003"/>
    <n v="-5.59"/>
    <n v="96"/>
    <n v="1"/>
    <n v="1"/>
  </r>
  <r>
    <m/>
    <m/>
    <x v="1"/>
    <s v="83534984001009"/>
    <n v="-16.14"/>
    <n v="277"/>
    <n v="1"/>
    <n v="1"/>
  </r>
  <r>
    <m/>
    <m/>
    <x v="1"/>
    <s v="83588017002001"/>
    <n v="-23.37"/>
    <n v="401"/>
    <n v="1"/>
    <n v="1"/>
  </r>
  <r>
    <m/>
    <m/>
    <x v="1"/>
    <s v="83665512001003"/>
    <n v="-77.69"/>
    <n v="1333"/>
    <n v="1"/>
    <n v="1"/>
  </r>
  <r>
    <m/>
    <m/>
    <x v="1"/>
    <s v="83743311001001"/>
    <n v="-30.19"/>
    <n v="518"/>
    <n v="1"/>
    <n v="1"/>
  </r>
  <r>
    <m/>
    <m/>
    <x v="1"/>
    <s v="83746831001005"/>
    <n v="-3.61"/>
    <n v="62"/>
    <n v="1"/>
    <n v="1"/>
  </r>
  <r>
    <m/>
    <m/>
    <x v="1"/>
    <s v="83801335001005"/>
    <n v="-59.62"/>
    <n v="1023"/>
    <n v="1"/>
    <n v="1"/>
  </r>
  <r>
    <m/>
    <m/>
    <x v="1"/>
    <s v="83824088001011"/>
    <n v="-39.159999999999997"/>
    <n v="672"/>
    <n v="1"/>
    <n v="1"/>
  </r>
  <r>
    <m/>
    <m/>
    <x v="1"/>
    <s v="83855211001006"/>
    <n v="-10.37"/>
    <n v="178"/>
    <n v="1"/>
    <n v="1"/>
  </r>
  <r>
    <m/>
    <m/>
    <x v="1"/>
    <s v="83940883001001"/>
    <n v="-7.52"/>
    <n v="129"/>
    <n v="1"/>
    <n v="1"/>
  </r>
  <r>
    <m/>
    <m/>
    <x v="1"/>
    <s v="84291714001001"/>
    <n v="-19"/>
    <n v="326"/>
    <n v="1"/>
    <n v="1"/>
  </r>
  <r>
    <m/>
    <m/>
    <x v="1"/>
    <s v="84749539001001"/>
    <n v="-3.09"/>
    <n v="53"/>
    <n v="1"/>
    <n v="1"/>
  </r>
  <r>
    <m/>
    <m/>
    <x v="1"/>
    <s v="84933960001005"/>
    <n v="-2.68"/>
    <n v="46"/>
    <n v="1"/>
    <n v="1"/>
  </r>
  <r>
    <m/>
    <m/>
    <x v="1"/>
    <s v="85004567002010"/>
    <n v="-16.489999999999998"/>
    <n v="283"/>
    <n v="1"/>
    <n v="1"/>
  </r>
  <r>
    <m/>
    <m/>
    <x v="1"/>
    <s v="85052617001010"/>
    <n v="-0.06"/>
    <n v="1"/>
    <n v="1"/>
    <n v="1"/>
  </r>
  <r>
    <m/>
    <m/>
    <x v="1"/>
    <s v="85194732001005"/>
    <n v="-2.8"/>
    <n v="48"/>
    <n v="1"/>
    <n v="1"/>
  </r>
  <r>
    <m/>
    <m/>
    <x v="1"/>
    <s v="85242909001001"/>
    <n v="-2.33"/>
    <n v="40"/>
    <n v="1"/>
    <n v="1"/>
  </r>
  <r>
    <m/>
    <m/>
    <x v="1"/>
    <s v="85292110001006"/>
    <n v="-4.49"/>
    <n v="77"/>
    <n v="1"/>
    <n v="1"/>
  </r>
  <r>
    <m/>
    <m/>
    <x v="1"/>
    <s v="85307977001005"/>
    <n v="-31.3"/>
    <n v="537"/>
    <n v="1"/>
    <n v="1"/>
  </r>
  <r>
    <m/>
    <m/>
    <x v="1"/>
    <s v="85360992003005"/>
    <n v="-49.07"/>
    <n v="842"/>
    <n v="1"/>
    <n v="1"/>
  </r>
  <r>
    <m/>
    <m/>
    <x v="1"/>
    <s v="85465302001001"/>
    <n v="-6.94"/>
    <n v="119"/>
    <n v="1"/>
    <n v="1"/>
  </r>
  <r>
    <m/>
    <m/>
    <x v="1"/>
    <s v="85553648001002"/>
    <n v="-13.29"/>
    <n v="228"/>
    <n v="1"/>
    <n v="1"/>
  </r>
  <r>
    <m/>
    <m/>
    <x v="1"/>
    <s v="85767727002001"/>
    <n v="-30.54"/>
    <n v="524"/>
    <n v="1"/>
    <n v="1"/>
  </r>
  <r>
    <m/>
    <m/>
    <x v="1"/>
    <s v="85854485001003"/>
    <n v="-6.99"/>
    <n v="120"/>
    <n v="1"/>
    <n v="1"/>
  </r>
  <r>
    <m/>
    <m/>
    <x v="1"/>
    <s v="86028893001003"/>
    <n v="-3.56"/>
    <n v="61"/>
    <n v="1"/>
    <n v="1"/>
  </r>
  <r>
    <m/>
    <m/>
    <x v="1"/>
    <s v="86131823008001"/>
    <n v="-1.34"/>
    <n v="23"/>
    <n v="1"/>
    <n v="1"/>
  </r>
  <r>
    <m/>
    <m/>
    <x v="1"/>
    <s v="86390002001003"/>
    <n v="-4.66"/>
    <n v="80"/>
    <n v="1"/>
    <n v="1"/>
  </r>
  <r>
    <m/>
    <m/>
    <x v="1"/>
    <s v="86397266002003"/>
    <n v="-16.14"/>
    <n v="277"/>
    <n v="1"/>
    <n v="1"/>
  </r>
  <r>
    <m/>
    <m/>
    <x v="1"/>
    <s v="86415123001005"/>
    <n v="-68.83"/>
    <n v="1181"/>
    <n v="1"/>
    <n v="1"/>
  </r>
  <r>
    <m/>
    <m/>
    <x v="1"/>
    <s v="86557042001001"/>
    <n v="-55.02"/>
    <n v="944"/>
    <n v="1"/>
    <n v="1"/>
  </r>
  <r>
    <m/>
    <m/>
    <x v="1"/>
    <s v="86649855002001"/>
    <n v="-19"/>
    <n v="326"/>
    <n v="1"/>
    <n v="1"/>
  </r>
  <r>
    <m/>
    <m/>
    <x v="1"/>
    <s v="86725672001005"/>
    <n v="-0.06"/>
    <n v="1"/>
    <n v="1"/>
    <n v="1"/>
  </r>
  <r>
    <m/>
    <m/>
    <x v="1"/>
    <s v="86736871001001"/>
    <n v="-19.29"/>
    <n v="331"/>
    <n v="1"/>
    <n v="1"/>
  </r>
  <r>
    <m/>
    <m/>
    <x v="1"/>
    <s v="86773366001001"/>
    <n v="-1.17"/>
    <n v="20"/>
    <n v="1"/>
    <n v="1"/>
  </r>
  <r>
    <m/>
    <m/>
    <x v="1"/>
    <s v="86786094001006"/>
    <n v="-26.81"/>
    <n v="460"/>
    <n v="1"/>
    <n v="1"/>
  </r>
  <r>
    <m/>
    <m/>
    <x v="1"/>
    <s v="86970391001001"/>
    <n v="-20.399999999999999"/>
    <n v="350"/>
    <n v="1"/>
    <n v="1"/>
  </r>
  <r>
    <m/>
    <m/>
    <x v="1"/>
    <s v="86983732001001"/>
    <n v="-28.79"/>
    <n v="494"/>
    <n v="1"/>
    <n v="1"/>
  </r>
  <r>
    <m/>
    <m/>
    <x v="1"/>
    <s v="87014077001006"/>
    <n v="-32"/>
    <n v="549"/>
    <n v="1"/>
    <n v="1"/>
  </r>
  <r>
    <m/>
    <m/>
    <x v="1"/>
    <s v="87032981001001"/>
    <n v="-3.56"/>
    <n v="61"/>
    <n v="1"/>
    <n v="1"/>
  </r>
  <r>
    <m/>
    <m/>
    <x v="1"/>
    <s v="87070925001002"/>
    <n v="-34.5"/>
    <n v="592"/>
    <n v="1"/>
    <n v="1"/>
  </r>
  <r>
    <m/>
    <m/>
    <x v="1"/>
    <s v="87361385001003"/>
    <n v="-39.69"/>
    <n v="681"/>
    <n v="1"/>
    <n v="1"/>
  </r>
  <r>
    <m/>
    <m/>
    <x v="1"/>
    <s v="87418750001001"/>
    <n v="-52.1"/>
    <n v="894"/>
    <n v="1"/>
    <n v="1"/>
  </r>
  <r>
    <m/>
    <m/>
    <x v="1"/>
    <s v="87582546001007"/>
    <n v="-27.33"/>
    <n v="469"/>
    <n v="1"/>
    <n v="1"/>
  </r>
  <r>
    <m/>
    <m/>
    <x v="1"/>
    <s v="87604227002002"/>
    <n v="-15.33"/>
    <n v="263"/>
    <n v="1"/>
    <n v="1"/>
  </r>
  <r>
    <m/>
    <m/>
    <x v="1"/>
    <s v="87791029001001"/>
    <n v="-30.95"/>
    <n v="531"/>
    <n v="1"/>
    <n v="1"/>
  </r>
  <r>
    <m/>
    <m/>
    <x v="1"/>
    <s v="87810851004003"/>
    <n v="-11.31"/>
    <n v="194"/>
    <n v="1"/>
    <n v="1"/>
  </r>
  <r>
    <m/>
    <m/>
    <x v="1"/>
    <s v="87815744002003"/>
    <n v="-17.190000000000001"/>
    <n v="295"/>
    <n v="1"/>
    <n v="1"/>
  </r>
  <r>
    <m/>
    <m/>
    <x v="1"/>
    <s v="87958644001001"/>
    <n v="-27.51"/>
    <n v="472"/>
    <n v="1"/>
    <n v="1"/>
  </r>
  <r>
    <m/>
    <m/>
    <x v="1"/>
    <s v="88129242004001"/>
    <n v="-55.89"/>
    <n v="959"/>
    <n v="1"/>
    <n v="1"/>
  </r>
  <r>
    <m/>
    <m/>
    <x v="1"/>
    <s v="88179789001004"/>
    <n v="-27.74"/>
    <n v="476"/>
    <n v="1"/>
    <n v="1"/>
  </r>
  <r>
    <m/>
    <m/>
    <x v="1"/>
    <s v="88386366001006"/>
    <n v="-3.44"/>
    <n v="59"/>
    <n v="1"/>
    <n v="1"/>
  </r>
  <r>
    <m/>
    <m/>
    <x v="1"/>
    <s v="88537204001001"/>
    <n v="-33.450000000000003"/>
    <n v="574"/>
    <n v="1"/>
    <n v="1"/>
  </r>
  <r>
    <m/>
    <m/>
    <x v="1"/>
    <s v="88585974001001"/>
    <n v="-48.08"/>
    <n v="825"/>
    <n v="1"/>
    <n v="1"/>
  </r>
  <r>
    <m/>
    <m/>
    <x v="1"/>
    <s v="88587941001003"/>
    <n v="-12.01"/>
    <n v="206"/>
    <n v="1"/>
    <n v="1"/>
  </r>
  <r>
    <m/>
    <m/>
    <x v="1"/>
    <s v="88600032002001"/>
    <n v="-22.03"/>
    <n v="378"/>
    <n v="1"/>
    <n v="1"/>
  </r>
  <r>
    <m/>
    <m/>
    <x v="1"/>
    <s v="88695058001001"/>
    <n v="-37.18"/>
    <n v="638"/>
    <n v="1"/>
    <n v="1"/>
  </r>
  <r>
    <m/>
    <m/>
    <x v="1"/>
    <s v="88706120001001"/>
    <n v="-5.48"/>
    <n v="94"/>
    <n v="1"/>
    <n v="1"/>
  </r>
  <r>
    <m/>
    <m/>
    <x v="1"/>
    <s v="88737240001001"/>
    <n v="-17.72"/>
    <n v="304"/>
    <n v="1"/>
    <n v="1"/>
  </r>
  <r>
    <m/>
    <m/>
    <x v="1"/>
    <s v="88756758002012"/>
    <n v="-0.06"/>
    <n v="1"/>
    <n v="1"/>
    <n v="1"/>
  </r>
  <r>
    <m/>
    <m/>
    <x v="1"/>
    <s v="88772979001005"/>
    <n v="-2.5099999999999998"/>
    <n v="43"/>
    <n v="1"/>
    <n v="1"/>
  </r>
  <r>
    <m/>
    <m/>
    <x v="1"/>
    <s v="88797325001004"/>
    <n v="-18.36"/>
    <n v="315"/>
    <n v="1"/>
    <n v="1"/>
  </r>
  <r>
    <m/>
    <m/>
    <x v="1"/>
    <s v="88854433001001"/>
    <n v="-12.18"/>
    <n v="209"/>
    <n v="1"/>
    <n v="1"/>
  </r>
  <r>
    <m/>
    <m/>
    <x v="1"/>
    <s v="88891691002011"/>
    <n v="-25.99"/>
    <n v="446"/>
    <n v="1"/>
    <n v="1"/>
  </r>
  <r>
    <m/>
    <m/>
    <x v="1"/>
    <s v="89010250001001"/>
    <n v="-52.69"/>
    <n v="904"/>
    <n v="1"/>
    <n v="1"/>
  </r>
  <r>
    <m/>
    <m/>
    <x v="1"/>
    <s v="89037466001001"/>
    <n v="-0.35"/>
    <n v="6"/>
    <n v="1"/>
    <n v="1"/>
  </r>
  <r>
    <m/>
    <m/>
    <x v="1"/>
    <s v="89128925001003"/>
    <n v="-18.53"/>
    <n v="318"/>
    <n v="1"/>
    <n v="1"/>
  </r>
  <r>
    <m/>
    <m/>
    <x v="1"/>
    <s v="89224302002001"/>
    <n v="-14.98"/>
    <n v="257"/>
    <n v="1"/>
    <n v="1"/>
  </r>
  <r>
    <m/>
    <m/>
    <x v="1"/>
    <s v="89432491001006"/>
    <n v="-46.27"/>
    <n v="794"/>
    <n v="1"/>
    <n v="1"/>
  </r>
  <r>
    <m/>
    <m/>
    <x v="1"/>
    <s v="89456905001003"/>
    <n v="-0.28999999999999998"/>
    <n v="5"/>
    <n v="1"/>
    <n v="1"/>
  </r>
  <r>
    <m/>
    <m/>
    <x v="1"/>
    <s v="89597176008001"/>
    <n v="-31.24"/>
    <n v="536"/>
    <n v="1"/>
    <n v="1"/>
  </r>
  <r>
    <m/>
    <m/>
    <x v="1"/>
    <s v="89636629004001"/>
    <n v="-16.09"/>
    <n v="276"/>
    <n v="1"/>
    <n v="1"/>
  </r>
  <r>
    <m/>
    <m/>
    <x v="1"/>
    <s v="89718018001006"/>
    <n v="-34.97"/>
    <n v="600"/>
    <n v="1"/>
    <n v="1"/>
  </r>
  <r>
    <m/>
    <m/>
    <x v="1"/>
    <s v="89747832004001"/>
    <n v="-2.04"/>
    <n v="35"/>
    <n v="1"/>
    <n v="1"/>
  </r>
  <r>
    <m/>
    <m/>
    <x v="1"/>
    <s v="89769832001004"/>
    <n v="-7.05"/>
    <n v="121"/>
    <n v="1"/>
    <n v="1"/>
  </r>
  <r>
    <m/>
    <m/>
    <x v="1"/>
    <s v="89805136001001"/>
    <n v="-69.819999999999993"/>
    <n v="1198"/>
    <n v="1"/>
    <n v="1"/>
  </r>
  <r>
    <m/>
    <m/>
    <x v="1"/>
    <s v="89843398001002"/>
    <n v="-7.69"/>
    <n v="132"/>
    <n v="1"/>
    <n v="1"/>
  </r>
  <r>
    <m/>
    <m/>
    <x v="1"/>
    <s v="89870121001001"/>
    <n v="-21.74"/>
    <n v="373"/>
    <n v="1"/>
    <n v="1"/>
  </r>
  <r>
    <m/>
    <m/>
    <x v="1"/>
    <s v="89962058001001"/>
    <n v="-17.95"/>
    <n v="308"/>
    <n v="1"/>
    <n v="1"/>
  </r>
  <r>
    <m/>
    <m/>
    <x v="1"/>
    <s v="89999378009001"/>
    <n v="-37.590000000000003"/>
    <n v="645"/>
    <n v="1"/>
    <n v="1"/>
  </r>
  <r>
    <m/>
    <m/>
    <x v="1"/>
    <s v="90115475001003"/>
    <n v="-3.73"/>
    <n v="64"/>
    <n v="1"/>
    <n v="1"/>
  </r>
  <r>
    <m/>
    <m/>
    <x v="1"/>
    <s v="90167563001003"/>
    <n v="-0.06"/>
    <n v="1"/>
    <n v="1"/>
    <n v="1"/>
  </r>
  <r>
    <m/>
    <m/>
    <x v="1"/>
    <s v="90223411001018"/>
    <n v="-8.98"/>
    <n v="154"/>
    <n v="1"/>
    <n v="1"/>
  </r>
  <r>
    <m/>
    <m/>
    <x v="1"/>
    <s v="90376961001005"/>
    <n v="-11.31"/>
    <n v="194"/>
    <n v="1"/>
    <n v="1"/>
  </r>
  <r>
    <m/>
    <m/>
    <x v="1"/>
    <s v="90381406001001"/>
    <n v="-26.46"/>
    <n v="454"/>
    <n v="1"/>
    <n v="1"/>
  </r>
  <r>
    <m/>
    <m/>
    <x v="1"/>
    <s v="90421000005001"/>
    <n v="-93.48"/>
    <n v="1604"/>
    <n v="1"/>
    <n v="1"/>
  </r>
  <r>
    <m/>
    <m/>
    <x v="1"/>
    <s v="90453061001001"/>
    <n v="-18.71"/>
    <n v="321"/>
    <n v="1"/>
    <n v="1"/>
  </r>
  <r>
    <m/>
    <m/>
    <x v="1"/>
    <s v="90516824001003"/>
    <n v="-37.71"/>
    <n v="647"/>
    <n v="1"/>
    <n v="1"/>
  </r>
  <r>
    <m/>
    <m/>
    <x v="1"/>
    <s v="90725573001001"/>
    <n v="-8.98"/>
    <n v="154"/>
    <n v="1"/>
    <n v="1"/>
  </r>
  <r>
    <m/>
    <m/>
    <x v="1"/>
    <s v="90740546001001"/>
    <n v="-1.92"/>
    <n v="33"/>
    <n v="1"/>
    <n v="1"/>
  </r>
  <r>
    <m/>
    <m/>
    <x v="1"/>
    <s v="90803817001003"/>
    <n v="-78.790000000000006"/>
    <n v="1352"/>
    <n v="1"/>
    <n v="1"/>
  </r>
  <r>
    <m/>
    <m/>
    <x v="1"/>
    <s v="90822240011001"/>
    <n v="-50.18"/>
    <n v="861"/>
    <n v="1"/>
    <n v="1"/>
  </r>
  <r>
    <m/>
    <m/>
    <x v="1"/>
    <s v="90875802001001"/>
    <n v="-1.46"/>
    <n v="25"/>
    <n v="1"/>
    <n v="1"/>
  </r>
  <r>
    <m/>
    <m/>
    <x v="1"/>
    <s v="91168263001001"/>
    <n v="-3.79"/>
    <n v="65"/>
    <n v="1"/>
    <n v="1"/>
  </r>
  <r>
    <m/>
    <m/>
    <x v="1"/>
    <s v="91237440001003"/>
    <n v="-11.95"/>
    <n v="205"/>
    <n v="1"/>
    <n v="1"/>
  </r>
  <r>
    <m/>
    <m/>
    <x v="1"/>
    <s v="91344047001008"/>
    <n v="-21.33"/>
    <n v="366"/>
    <n v="1"/>
    <n v="1"/>
  </r>
  <r>
    <m/>
    <m/>
    <x v="1"/>
    <s v="91428706001001"/>
    <n v="-2.91"/>
    <n v="50"/>
    <n v="1"/>
    <n v="1"/>
  </r>
  <r>
    <m/>
    <m/>
    <x v="1"/>
    <s v="91441345001005"/>
    <n v="-31.53"/>
    <n v="541"/>
    <n v="1"/>
    <n v="1"/>
  </r>
  <r>
    <m/>
    <m/>
    <x v="1"/>
    <s v="91634459001003"/>
    <n v="-10.32"/>
    <n v="177"/>
    <n v="1"/>
    <n v="1"/>
  </r>
  <r>
    <m/>
    <m/>
    <x v="1"/>
    <s v="91659027002001"/>
    <n v="-47.21"/>
    <n v="810"/>
    <n v="1"/>
    <n v="1"/>
  </r>
  <r>
    <m/>
    <m/>
    <x v="1"/>
    <s v="91686493001001"/>
    <n v="-3.44"/>
    <n v="59"/>
    <n v="1"/>
    <n v="1"/>
  </r>
  <r>
    <m/>
    <m/>
    <x v="1"/>
    <s v="91694661001009"/>
    <n v="-11.19"/>
    <n v="192"/>
    <n v="1"/>
    <n v="1"/>
  </r>
  <r>
    <m/>
    <m/>
    <x v="1"/>
    <s v="91750195001001"/>
    <n v="-9.56"/>
    <n v="164"/>
    <n v="1"/>
    <n v="1"/>
  </r>
  <r>
    <m/>
    <m/>
    <x v="1"/>
    <s v="91774675002002"/>
    <n v="-19.82"/>
    <n v="340"/>
    <n v="1"/>
    <n v="1"/>
  </r>
  <r>
    <m/>
    <m/>
    <x v="1"/>
    <s v="91808671001002"/>
    <n v="-2.68"/>
    <n v="46"/>
    <n v="1"/>
    <n v="1"/>
  </r>
  <r>
    <m/>
    <m/>
    <x v="1"/>
    <s v="91895802001005"/>
    <n v="-3.21"/>
    <n v="55"/>
    <n v="1"/>
    <n v="1"/>
  </r>
  <r>
    <m/>
    <m/>
    <x v="1"/>
    <s v="92016111001005"/>
    <n v="-26.28"/>
    <n v="451"/>
    <n v="1"/>
    <n v="1"/>
  </r>
  <r>
    <m/>
    <m/>
    <x v="1"/>
    <s v="92041740001001"/>
    <n v="-8.6300000000000008"/>
    <n v="148"/>
    <n v="1"/>
    <n v="1"/>
  </r>
  <r>
    <m/>
    <m/>
    <x v="1"/>
    <s v="92103491001001"/>
    <n v="-18.940000000000001"/>
    <n v="325"/>
    <n v="1"/>
    <n v="1"/>
  </r>
  <r>
    <m/>
    <m/>
    <x v="1"/>
    <s v="92139692001003"/>
    <n v="-116.15"/>
    <n v="1993"/>
    <n v="1"/>
    <n v="1"/>
  </r>
  <r>
    <m/>
    <m/>
    <x v="1"/>
    <s v="92227325006001"/>
    <n v="-128.51"/>
    <n v="2205"/>
    <n v="1"/>
    <n v="1"/>
  </r>
  <r>
    <m/>
    <m/>
    <x v="1"/>
    <s v="92297397002002"/>
    <n v="-15.44"/>
    <n v="265"/>
    <n v="1"/>
    <n v="1"/>
  </r>
  <r>
    <m/>
    <m/>
    <x v="1"/>
    <s v="92360208002001"/>
    <n v="-39.979999999999997"/>
    <n v="686"/>
    <n v="1"/>
    <n v="1"/>
  </r>
  <r>
    <m/>
    <m/>
    <x v="1"/>
    <s v="92399017001001"/>
    <n v="-4.66"/>
    <n v="80"/>
    <n v="1"/>
    <n v="1"/>
  </r>
  <r>
    <m/>
    <m/>
    <x v="1"/>
    <s v="92487973001001"/>
    <n v="-12.18"/>
    <n v="209"/>
    <n v="1"/>
    <n v="1"/>
  </r>
  <r>
    <m/>
    <m/>
    <x v="1"/>
    <s v="92501844001012"/>
    <n v="-31.06"/>
    <n v="533"/>
    <n v="1"/>
    <n v="1"/>
  </r>
  <r>
    <m/>
    <m/>
    <x v="1"/>
    <s v="92643112001001"/>
    <n v="-3.85"/>
    <n v="66"/>
    <n v="1"/>
    <n v="1"/>
  </r>
  <r>
    <m/>
    <m/>
    <x v="1"/>
    <s v="92665096001001"/>
    <n v="-53.79"/>
    <n v="923"/>
    <n v="1"/>
    <n v="1"/>
  </r>
  <r>
    <m/>
    <m/>
    <x v="1"/>
    <s v="92749025001003"/>
    <n v="-2.97"/>
    <n v="51"/>
    <n v="1"/>
    <n v="1"/>
  </r>
  <r>
    <m/>
    <m/>
    <x v="1"/>
    <s v="92784824002001"/>
    <n v="-5.89"/>
    <n v="101"/>
    <n v="1"/>
    <n v="1"/>
  </r>
  <r>
    <m/>
    <m/>
    <x v="1"/>
    <s v="92873766001005"/>
    <n v="-20.22"/>
    <n v="347"/>
    <n v="1"/>
    <n v="1"/>
  </r>
  <r>
    <m/>
    <m/>
    <x v="1"/>
    <s v="92962587001001"/>
    <n v="-21.62"/>
    <n v="371"/>
    <n v="1"/>
    <n v="1"/>
  </r>
  <r>
    <m/>
    <m/>
    <x v="1"/>
    <s v="92973520001003"/>
    <n v="-10.14"/>
    <n v="174"/>
    <n v="1"/>
    <n v="1"/>
  </r>
  <r>
    <m/>
    <m/>
    <x v="1"/>
    <s v="93048154009001"/>
    <n v="-42.78"/>
    <n v="734"/>
    <n v="1"/>
    <n v="1"/>
  </r>
  <r>
    <m/>
    <m/>
    <x v="1"/>
    <s v="93164650004007"/>
    <n v="-30.66"/>
    <n v="526"/>
    <n v="1"/>
    <n v="1"/>
  </r>
  <r>
    <m/>
    <m/>
    <x v="1"/>
    <s v="93304243002003"/>
    <n v="-140.16"/>
    <n v="2405"/>
    <n v="1"/>
    <n v="1"/>
  </r>
  <r>
    <m/>
    <m/>
    <x v="1"/>
    <s v="93368775001001"/>
    <n v="-1.4"/>
    <n v="24"/>
    <n v="1"/>
    <n v="1"/>
  </r>
  <r>
    <m/>
    <m/>
    <x v="1"/>
    <s v="93477594002001"/>
    <n v="-4.2"/>
    <n v="72"/>
    <n v="1"/>
    <n v="1"/>
  </r>
  <r>
    <m/>
    <m/>
    <x v="1"/>
    <s v="93594305001005"/>
    <n v="-5.77"/>
    <n v="99"/>
    <n v="1"/>
    <n v="1"/>
  </r>
  <r>
    <m/>
    <m/>
    <x v="1"/>
    <s v="93626551001002"/>
    <n v="-2.68"/>
    <n v="46"/>
    <n v="1"/>
    <n v="1"/>
  </r>
  <r>
    <m/>
    <m/>
    <x v="1"/>
    <s v="93813014002001"/>
    <n v="-2.97"/>
    <n v="51"/>
    <n v="1"/>
    <n v="1"/>
  </r>
  <r>
    <m/>
    <m/>
    <x v="1"/>
    <s v="93981586001007"/>
    <n v="-21.1"/>
    <n v="362"/>
    <n v="1"/>
    <n v="1"/>
  </r>
  <r>
    <m/>
    <m/>
    <x v="1"/>
    <s v="94072499001003"/>
    <n v="-21.33"/>
    <n v="366"/>
    <n v="1"/>
    <n v="1"/>
  </r>
  <r>
    <m/>
    <m/>
    <x v="1"/>
    <s v="94236722001001"/>
    <n v="-21.39"/>
    <n v="367"/>
    <n v="1"/>
    <n v="1"/>
  </r>
  <r>
    <m/>
    <m/>
    <x v="1"/>
    <s v="94290285002001"/>
    <n v="-54.08"/>
    <n v="928"/>
    <n v="1"/>
    <n v="1"/>
  </r>
  <r>
    <m/>
    <m/>
    <x v="1"/>
    <s v="94305261001003"/>
    <n v="-108.23"/>
    <n v="1857"/>
    <n v="1"/>
    <n v="1"/>
  </r>
  <r>
    <m/>
    <m/>
    <x v="1"/>
    <s v="94338453002003"/>
    <n v="-43.77"/>
    <n v="751"/>
    <n v="1"/>
    <n v="1"/>
  </r>
  <r>
    <m/>
    <m/>
    <x v="1"/>
    <s v="94383332001012"/>
    <n v="-12.24"/>
    <n v="210"/>
    <n v="1"/>
    <n v="1"/>
  </r>
  <r>
    <m/>
    <m/>
    <x v="1"/>
    <s v="94464191001001"/>
    <n v="-17.25"/>
    <n v="296"/>
    <n v="1"/>
    <n v="1"/>
  </r>
  <r>
    <m/>
    <m/>
    <x v="1"/>
    <s v="94495822001011"/>
    <n v="-22.67"/>
    <n v="389"/>
    <n v="1"/>
    <n v="1"/>
  </r>
  <r>
    <m/>
    <m/>
    <x v="1"/>
    <s v="94535473001005"/>
    <n v="-0.7"/>
    <n v="12"/>
    <n v="1"/>
    <n v="1"/>
  </r>
  <r>
    <m/>
    <m/>
    <x v="1"/>
    <s v="94600455002001"/>
    <n v="-34.21"/>
    <n v="587"/>
    <n v="1"/>
    <n v="1"/>
  </r>
  <r>
    <m/>
    <m/>
    <x v="1"/>
    <s v="94648149001003"/>
    <n v="-15.39"/>
    <n v="264"/>
    <n v="1"/>
    <n v="1"/>
  </r>
  <r>
    <m/>
    <m/>
    <x v="1"/>
    <s v="94670446001001"/>
    <n v="-9.32"/>
    <n v="160"/>
    <n v="1"/>
    <n v="1"/>
  </r>
  <r>
    <m/>
    <m/>
    <x v="1"/>
    <s v="94900294001001"/>
    <n v="-87.89"/>
    <n v="1508"/>
    <n v="1"/>
    <n v="1"/>
  </r>
  <r>
    <m/>
    <m/>
    <x v="1"/>
    <s v="94903881001003"/>
    <n v="-39.92"/>
    <n v="685"/>
    <n v="1"/>
    <n v="1"/>
  </r>
  <r>
    <m/>
    <m/>
    <x v="1"/>
    <s v="95145975001001"/>
    <n v="-9.3800000000000008"/>
    <n v="161"/>
    <n v="1"/>
    <n v="1"/>
  </r>
  <r>
    <m/>
    <m/>
    <x v="1"/>
    <s v="95273141001001"/>
    <n v="-7.75"/>
    <n v="133"/>
    <n v="1"/>
    <n v="1"/>
  </r>
  <r>
    <m/>
    <m/>
    <x v="1"/>
    <s v="95312653010001"/>
    <n v="-3.61"/>
    <n v="62"/>
    <n v="1"/>
    <n v="1"/>
  </r>
  <r>
    <m/>
    <m/>
    <x v="1"/>
    <s v="95315181001001"/>
    <n v="-1.63"/>
    <n v="28"/>
    <n v="1"/>
    <n v="1"/>
  </r>
  <r>
    <m/>
    <m/>
    <x v="1"/>
    <s v="95382413001005"/>
    <n v="-9.91"/>
    <n v="170"/>
    <n v="1"/>
    <n v="1"/>
  </r>
  <r>
    <m/>
    <m/>
    <x v="1"/>
    <s v="95437723003001"/>
    <n v="-14.4"/>
    <n v="247"/>
    <n v="1"/>
    <n v="1"/>
  </r>
  <r>
    <m/>
    <m/>
    <x v="1"/>
    <s v="95442300001013"/>
    <n v="-25.82"/>
    <n v="443"/>
    <n v="1"/>
    <n v="1"/>
  </r>
  <r>
    <m/>
    <m/>
    <x v="1"/>
    <s v="95581312001002"/>
    <n v="-21.27"/>
    <n v="365"/>
    <n v="1"/>
    <n v="1"/>
  </r>
  <r>
    <m/>
    <m/>
    <x v="1"/>
    <s v="95629019002003"/>
    <n v="-20.11"/>
    <n v="345"/>
    <n v="1"/>
    <n v="1"/>
  </r>
  <r>
    <m/>
    <m/>
    <x v="1"/>
    <s v="95833037001003"/>
    <n v="-9.3800000000000008"/>
    <n v="161"/>
    <n v="1"/>
    <n v="1"/>
  </r>
  <r>
    <m/>
    <m/>
    <x v="1"/>
    <s v="95983524001002"/>
    <n v="-9.44"/>
    <n v="162"/>
    <n v="1"/>
    <n v="1"/>
  </r>
  <r>
    <m/>
    <m/>
    <x v="1"/>
    <s v="95991168001001"/>
    <n v="-14.4"/>
    <n v="247"/>
    <n v="1"/>
    <n v="1"/>
  </r>
  <r>
    <m/>
    <m/>
    <x v="1"/>
    <s v="95992899001001"/>
    <n v="-17.66"/>
    <n v="303"/>
    <n v="1"/>
    <n v="1"/>
  </r>
  <r>
    <m/>
    <m/>
    <x v="1"/>
    <s v="96029566001003"/>
    <n v="-1.4"/>
    <n v="24"/>
    <n v="1"/>
    <n v="1"/>
  </r>
  <r>
    <m/>
    <m/>
    <x v="1"/>
    <s v="96031734001001"/>
    <n v="-24.54"/>
    <n v="421"/>
    <n v="1"/>
    <n v="1"/>
  </r>
  <r>
    <m/>
    <m/>
    <x v="1"/>
    <s v="96047383001004"/>
    <n v="-24.71"/>
    <n v="424"/>
    <n v="1"/>
    <n v="1"/>
  </r>
  <r>
    <m/>
    <m/>
    <x v="1"/>
    <s v="96145942001001"/>
    <n v="-12.59"/>
    <n v="216"/>
    <n v="1"/>
    <n v="1"/>
  </r>
  <r>
    <m/>
    <m/>
    <x v="1"/>
    <s v="96206602001003"/>
    <n v="-4.1399999999999997"/>
    <n v="71"/>
    <n v="1"/>
    <n v="1"/>
  </r>
  <r>
    <m/>
    <m/>
    <x v="1"/>
    <s v="96326521001007"/>
    <n v="-14.16"/>
    <n v="243"/>
    <n v="1"/>
    <n v="1"/>
  </r>
  <r>
    <m/>
    <m/>
    <x v="1"/>
    <s v="96426781002003"/>
    <n v="-8.39"/>
    <n v="144"/>
    <n v="1"/>
    <n v="1"/>
  </r>
  <r>
    <m/>
    <m/>
    <x v="1"/>
    <s v="96526669001001"/>
    <n v="-0.99"/>
    <n v="17"/>
    <n v="1"/>
    <n v="1"/>
  </r>
  <r>
    <m/>
    <m/>
    <x v="1"/>
    <s v="96609922001004"/>
    <n v="-2.62"/>
    <n v="45"/>
    <n v="1"/>
    <n v="1"/>
  </r>
  <r>
    <m/>
    <m/>
    <x v="1"/>
    <s v="96660241001001"/>
    <n v="-15.79"/>
    <n v="271"/>
    <n v="1"/>
    <n v="1"/>
  </r>
  <r>
    <m/>
    <m/>
    <x v="1"/>
    <s v="96664201001004"/>
    <n v="-4.25"/>
    <n v="73"/>
    <n v="1"/>
    <n v="1"/>
  </r>
  <r>
    <m/>
    <m/>
    <x v="1"/>
    <s v="96678659001003"/>
    <n v="-17.54"/>
    <n v="301"/>
    <n v="1"/>
    <n v="1"/>
  </r>
  <r>
    <m/>
    <m/>
    <x v="1"/>
    <s v="96696838001001"/>
    <n v="-12.06"/>
    <n v="207"/>
    <n v="1"/>
    <n v="1"/>
  </r>
  <r>
    <m/>
    <m/>
    <x v="1"/>
    <s v="96759256001001"/>
    <n v="-0.57999999999999996"/>
    <n v="10"/>
    <n v="1"/>
    <n v="1"/>
  </r>
  <r>
    <m/>
    <m/>
    <x v="1"/>
    <s v="96956354001001"/>
    <n v="-74.89"/>
    <n v="1285"/>
    <n v="1"/>
    <n v="1"/>
  </r>
  <r>
    <m/>
    <m/>
    <x v="1"/>
    <s v="96958659001002"/>
    <n v="-0.47"/>
    <n v="8"/>
    <n v="1"/>
    <n v="1"/>
  </r>
  <r>
    <m/>
    <m/>
    <x v="1"/>
    <s v="97019963001004"/>
    <n v="-27.16"/>
    <n v="466"/>
    <n v="1"/>
    <n v="1"/>
  </r>
  <r>
    <m/>
    <m/>
    <x v="1"/>
    <s v="97083962001002"/>
    <n v="-15.27"/>
    <n v="262"/>
    <n v="1"/>
    <n v="1"/>
  </r>
  <r>
    <m/>
    <m/>
    <x v="1"/>
    <s v="97203407001003"/>
    <n v="-34.729999999999997"/>
    <n v="596"/>
    <n v="1"/>
    <n v="1"/>
  </r>
  <r>
    <m/>
    <m/>
    <x v="1"/>
    <s v="97231261001003"/>
    <n v="-31.12"/>
    <n v="534"/>
    <n v="1"/>
    <n v="1"/>
  </r>
  <r>
    <m/>
    <m/>
    <x v="1"/>
    <s v="97385680002001"/>
    <n v="-1.92"/>
    <n v="33"/>
    <n v="1"/>
    <n v="1"/>
  </r>
  <r>
    <m/>
    <m/>
    <x v="1"/>
    <s v="97407607001010"/>
    <n v="-8.92"/>
    <n v="153"/>
    <n v="1"/>
    <n v="1"/>
  </r>
  <r>
    <m/>
    <m/>
    <x v="1"/>
    <s v="97419061001003"/>
    <n v="-29.84"/>
    <n v="512"/>
    <n v="1"/>
    <n v="1"/>
  </r>
  <r>
    <m/>
    <m/>
    <x v="1"/>
    <s v="97510292001002"/>
    <n v="-28.91"/>
    <n v="496"/>
    <n v="1"/>
    <n v="1"/>
  </r>
  <r>
    <m/>
    <m/>
    <x v="1"/>
    <s v="97512804001001"/>
    <n v="-15.79"/>
    <n v="271"/>
    <n v="1"/>
    <n v="1"/>
  </r>
  <r>
    <m/>
    <m/>
    <x v="1"/>
    <s v="97514722001003"/>
    <n v="-25.47"/>
    <n v="437"/>
    <n v="1"/>
    <n v="1"/>
  </r>
  <r>
    <m/>
    <m/>
    <x v="1"/>
    <s v="97610141001001"/>
    <n v="-2.74"/>
    <n v="47"/>
    <n v="1"/>
    <n v="1"/>
  </r>
  <r>
    <m/>
    <m/>
    <x v="1"/>
    <s v="97640373002001"/>
    <n v="-13.52"/>
    <n v="232"/>
    <n v="1"/>
    <n v="1"/>
  </r>
  <r>
    <m/>
    <m/>
    <x v="1"/>
    <s v="97655232002004"/>
    <n v="-2.56"/>
    <n v="44"/>
    <n v="1"/>
    <n v="1"/>
  </r>
  <r>
    <m/>
    <m/>
    <x v="1"/>
    <s v="97678050001005"/>
    <n v="-11.13"/>
    <n v="191"/>
    <n v="1"/>
    <n v="1"/>
  </r>
  <r>
    <m/>
    <m/>
    <x v="1"/>
    <s v="97914163001004"/>
    <n v="-36.770000000000003"/>
    <n v="631"/>
    <n v="1"/>
    <n v="1"/>
  </r>
  <r>
    <m/>
    <m/>
    <x v="1"/>
    <s v="97968796004005"/>
    <n v="-7.11"/>
    <n v="122"/>
    <n v="1"/>
    <n v="1"/>
  </r>
  <r>
    <m/>
    <m/>
    <x v="1"/>
    <s v="98317810002005"/>
    <n v="-0.28999999999999998"/>
    <n v="5"/>
    <n v="1"/>
    <n v="1"/>
  </r>
  <r>
    <m/>
    <m/>
    <x v="1"/>
    <s v="98374511001001"/>
    <n v="-19.47"/>
    <n v="334"/>
    <n v="1"/>
    <n v="1"/>
  </r>
  <r>
    <m/>
    <m/>
    <x v="1"/>
    <s v="98499617005001"/>
    <n v="-10.37"/>
    <n v="178"/>
    <n v="1"/>
    <n v="1"/>
  </r>
  <r>
    <m/>
    <m/>
    <x v="1"/>
    <s v="98567491001001"/>
    <n v="-8.16"/>
    <n v="140"/>
    <n v="1"/>
    <n v="1"/>
  </r>
  <r>
    <m/>
    <m/>
    <x v="1"/>
    <s v="98657291002001"/>
    <n v="-16.09"/>
    <n v="276"/>
    <n v="1"/>
    <n v="1"/>
  </r>
  <r>
    <m/>
    <m/>
    <x v="1"/>
    <s v="98734416001003"/>
    <n v="-47.03"/>
    <n v="807"/>
    <n v="1"/>
    <n v="1"/>
  </r>
  <r>
    <m/>
    <m/>
    <x v="1"/>
    <s v="98925007001003"/>
    <n v="-5.54"/>
    <n v="95"/>
    <n v="1"/>
    <n v="1"/>
  </r>
  <r>
    <m/>
    <m/>
    <x v="1"/>
    <s v="98962968001003"/>
    <n v="-53.38"/>
    <n v="916"/>
    <n v="1"/>
    <n v="1"/>
  </r>
  <r>
    <m/>
    <m/>
    <x v="1"/>
    <s v="99086775001001"/>
    <n v="-26.52"/>
    <n v="455"/>
    <n v="1"/>
    <n v="1"/>
  </r>
  <r>
    <m/>
    <m/>
    <x v="1"/>
    <s v="99107518001001"/>
    <n v="-3.09"/>
    <n v="53"/>
    <n v="1"/>
    <n v="1"/>
  </r>
  <r>
    <m/>
    <m/>
    <x v="1"/>
    <s v="99409195002001"/>
    <n v="-16.899999999999999"/>
    <n v="290"/>
    <n v="1"/>
    <n v="1"/>
  </r>
  <r>
    <m/>
    <m/>
    <x v="1"/>
    <s v="99409206001002"/>
    <n v="-3.61"/>
    <n v="62"/>
    <n v="1"/>
    <n v="1"/>
  </r>
  <r>
    <m/>
    <m/>
    <x v="1"/>
    <s v="99442912002003"/>
    <n v="-28.79"/>
    <n v="494"/>
    <n v="1"/>
    <n v="1"/>
  </r>
  <r>
    <m/>
    <m/>
    <x v="1"/>
    <s v="99456731002005"/>
    <n v="-5.94"/>
    <n v="102"/>
    <n v="1"/>
    <n v="1"/>
  </r>
  <r>
    <m/>
    <m/>
    <x v="1"/>
    <s v="99521426001005"/>
    <n v="-0.23"/>
    <n v="4"/>
    <n v="1"/>
    <n v="1"/>
  </r>
  <r>
    <m/>
    <m/>
    <x v="1"/>
    <s v="99576705001002"/>
    <n v="-1.17"/>
    <n v="20"/>
    <n v="1"/>
    <n v="1"/>
  </r>
  <r>
    <m/>
    <m/>
    <x v="1"/>
    <s v="99635117002001"/>
    <n v="-13.46"/>
    <n v="231"/>
    <n v="1"/>
    <n v="1"/>
  </r>
  <r>
    <m/>
    <m/>
    <x v="1"/>
    <s v="99662318001001"/>
    <n v="-12.88"/>
    <n v="221"/>
    <n v="1"/>
    <n v="1"/>
  </r>
  <r>
    <m/>
    <m/>
    <x v="1"/>
    <s v="99777701001004"/>
    <n v="-1.63"/>
    <n v="28"/>
    <n v="1"/>
    <n v="1"/>
  </r>
  <r>
    <m/>
    <m/>
    <x v="6"/>
    <m/>
    <n v="-29844.380000000023"/>
    <n v="512084"/>
    <n v="1567"/>
    <n v="1567"/>
  </r>
  <r>
    <m/>
    <s v="201306"/>
    <x v="3"/>
    <s v="71821959006001"/>
    <n v="-0.74"/>
    <n v="19"/>
    <n v="1"/>
    <n v="1"/>
  </r>
  <r>
    <m/>
    <m/>
    <x v="4"/>
    <m/>
    <n v="-0.74"/>
    <n v="19"/>
    <n v="1"/>
    <n v="1"/>
  </r>
  <r>
    <m/>
    <m/>
    <x v="5"/>
    <s v="20675154001004"/>
    <n v="-0.12"/>
    <n v="2"/>
    <n v="1"/>
    <n v="1"/>
  </r>
  <r>
    <m/>
    <m/>
    <x v="6"/>
    <m/>
    <n v="-0.12"/>
    <n v="2"/>
    <n v="1"/>
    <n v="1"/>
  </r>
  <r>
    <m/>
    <s v="201310"/>
    <x v="0"/>
    <s v="08046015005003"/>
    <n v="-820.2"/>
    <n v="40720"/>
    <n v="25"/>
    <n v="1"/>
  </r>
  <r>
    <m/>
    <m/>
    <x v="2"/>
    <m/>
    <n v="-820.2"/>
    <n v="40720"/>
    <n v="25"/>
    <n v="1"/>
  </r>
  <r>
    <m/>
    <s v="201311"/>
    <x v="0"/>
    <s v="00006596001003"/>
    <n v="-2.16"/>
    <n v="88"/>
    <n v="1"/>
    <n v="1"/>
  </r>
  <r>
    <m/>
    <m/>
    <x v="1"/>
    <s v="00641841001003"/>
    <n v="-17.62"/>
    <n v="719"/>
    <n v="1"/>
    <n v="1"/>
  </r>
  <r>
    <m/>
    <m/>
    <x v="1"/>
    <s v="00973908002001"/>
    <n v="-20.78"/>
    <n v="848"/>
    <n v="1"/>
    <n v="1"/>
  </r>
  <r>
    <m/>
    <m/>
    <x v="1"/>
    <s v="01063383001003"/>
    <n v="-1.27"/>
    <n v="52"/>
    <n v="1"/>
    <n v="1"/>
  </r>
  <r>
    <m/>
    <m/>
    <x v="1"/>
    <s v="01147160001001"/>
    <n v="-9.7799999999999994"/>
    <n v="399"/>
    <n v="1"/>
    <n v="1"/>
  </r>
  <r>
    <m/>
    <m/>
    <x v="1"/>
    <s v="01423270002001"/>
    <n v="-5.98"/>
    <n v="244"/>
    <n v="1"/>
    <n v="1"/>
  </r>
  <r>
    <m/>
    <m/>
    <x v="1"/>
    <s v="01883451001001"/>
    <n v="-4.7"/>
    <n v="192"/>
    <n v="1"/>
    <n v="1"/>
  </r>
  <r>
    <m/>
    <m/>
    <x v="1"/>
    <s v="01930076001001"/>
    <n v="-4.7"/>
    <n v="192"/>
    <n v="1"/>
    <n v="1"/>
  </r>
  <r>
    <m/>
    <m/>
    <x v="1"/>
    <s v="01982876002001"/>
    <n v="-16.64"/>
    <n v="679"/>
    <n v="1"/>
    <n v="1"/>
  </r>
  <r>
    <m/>
    <m/>
    <x v="1"/>
    <s v="02021843001003"/>
    <n v="-15.68"/>
    <n v="640"/>
    <n v="1"/>
    <n v="1"/>
  </r>
  <r>
    <m/>
    <m/>
    <x v="1"/>
    <s v="02819465001001"/>
    <n v="-23.84"/>
    <n v="973"/>
    <n v="1"/>
    <n v="1"/>
  </r>
  <r>
    <m/>
    <m/>
    <x v="1"/>
    <s v="02947249002001"/>
    <n v="-11.98"/>
    <n v="489"/>
    <n v="1"/>
    <n v="1"/>
  </r>
  <r>
    <m/>
    <m/>
    <x v="1"/>
    <s v="03268055001001"/>
    <n v="-25.99"/>
    <n v="1061"/>
    <n v="1"/>
    <n v="1"/>
  </r>
  <r>
    <m/>
    <m/>
    <x v="1"/>
    <s v="03324156001002"/>
    <n v="-6.93"/>
    <n v="283"/>
    <n v="1"/>
    <n v="1"/>
  </r>
  <r>
    <m/>
    <m/>
    <x v="1"/>
    <s v="03563664001001"/>
    <n v="-3.94"/>
    <n v="161"/>
    <n v="1"/>
    <n v="1"/>
  </r>
  <r>
    <m/>
    <m/>
    <x v="1"/>
    <s v="03566581001003"/>
    <n v="-19.399999999999999"/>
    <n v="792"/>
    <n v="1"/>
    <n v="1"/>
  </r>
  <r>
    <m/>
    <m/>
    <x v="1"/>
    <s v="03650699001006"/>
    <n v="-19.04"/>
    <n v="777"/>
    <n v="1"/>
    <n v="1"/>
  </r>
  <r>
    <m/>
    <m/>
    <x v="1"/>
    <s v="03893404001001"/>
    <n v="-33"/>
    <n v="1347"/>
    <n v="1"/>
    <n v="1"/>
  </r>
  <r>
    <m/>
    <m/>
    <x v="1"/>
    <s v="04205533001001"/>
    <n v="-3.23"/>
    <n v="132"/>
    <n v="1"/>
    <n v="1"/>
  </r>
  <r>
    <m/>
    <m/>
    <x v="1"/>
    <s v="04891223001003"/>
    <n v="-18.940000000000001"/>
    <n v="773"/>
    <n v="1"/>
    <n v="1"/>
  </r>
  <r>
    <m/>
    <m/>
    <x v="1"/>
    <s v="05056696001001"/>
    <n v="-12.72"/>
    <n v="519"/>
    <n v="1"/>
    <n v="1"/>
  </r>
  <r>
    <m/>
    <m/>
    <x v="1"/>
    <s v="05135552001001"/>
    <n v="-23.79"/>
    <n v="971"/>
    <n v="1"/>
    <n v="1"/>
  </r>
  <r>
    <m/>
    <m/>
    <x v="1"/>
    <s v="05169515001001"/>
    <n v="-6.81"/>
    <n v="278"/>
    <n v="1"/>
    <n v="1"/>
  </r>
  <r>
    <m/>
    <m/>
    <x v="1"/>
    <s v="05495875001001"/>
    <n v="-15.51"/>
    <n v="633"/>
    <n v="1"/>
    <n v="1"/>
  </r>
  <r>
    <m/>
    <m/>
    <x v="1"/>
    <s v="05626141001003"/>
    <n v="-17.05"/>
    <n v="696"/>
    <n v="1"/>
    <n v="1"/>
  </r>
  <r>
    <m/>
    <m/>
    <x v="1"/>
    <s v="05631665002001"/>
    <n v="-0.15"/>
    <n v="6"/>
    <n v="1"/>
    <n v="1"/>
  </r>
  <r>
    <m/>
    <m/>
    <x v="1"/>
    <s v="05776636001001"/>
    <n v="-33.96"/>
    <n v="1386"/>
    <n v="1"/>
    <n v="1"/>
  </r>
  <r>
    <m/>
    <m/>
    <x v="1"/>
    <s v="05867332001001"/>
    <n v="-4.78"/>
    <n v="195"/>
    <n v="1"/>
    <n v="1"/>
  </r>
  <r>
    <m/>
    <m/>
    <x v="1"/>
    <s v="05950340001002"/>
    <n v="-9.8000000000000007"/>
    <n v="400"/>
    <n v="1"/>
    <n v="1"/>
  </r>
  <r>
    <m/>
    <m/>
    <x v="1"/>
    <s v="06259861001001"/>
    <n v="-0.91"/>
    <n v="37"/>
    <n v="1"/>
    <n v="1"/>
  </r>
  <r>
    <m/>
    <m/>
    <x v="1"/>
    <s v="06367818001001"/>
    <n v="-10.31"/>
    <n v="421"/>
    <n v="1"/>
    <n v="1"/>
  </r>
  <r>
    <m/>
    <m/>
    <x v="1"/>
    <s v="06462432001001"/>
    <n v="-21.22"/>
    <n v="866"/>
    <n v="1"/>
    <n v="1"/>
  </r>
  <r>
    <m/>
    <m/>
    <x v="1"/>
    <s v="06525325001005"/>
    <n v="-10.07"/>
    <n v="411"/>
    <n v="1"/>
    <n v="1"/>
  </r>
  <r>
    <m/>
    <m/>
    <x v="1"/>
    <s v="06618747003005"/>
    <n v="-10.98"/>
    <n v="448"/>
    <n v="1"/>
    <n v="1"/>
  </r>
  <r>
    <m/>
    <m/>
    <x v="1"/>
    <s v="06910038001001"/>
    <n v="-3.94"/>
    <n v="161"/>
    <n v="1"/>
    <n v="1"/>
  </r>
  <r>
    <m/>
    <m/>
    <x v="1"/>
    <s v="06998048001001"/>
    <n v="-7.28"/>
    <n v="297"/>
    <n v="1"/>
    <n v="1"/>
  </r>
  <r>
    <m/>
    <m/>
    <x v="1"/>
    <s v="07371395001001"/>
    <n v="-8.9700000000000006"/>
    <n v="366"/>
    <n v="1"/>
    <n v="1"/>
  </r>
  <r>
    <m/>
    <m/>
    <x v="1"/>
    <s v="07444293001002"/>
    <n v="-35.57"/>
    <n v="1452"/>
    <n v="1"/>
    <n v="1"/>
  </r>
  <r>
    <m/>
    <m/>
    <x v="1"/>
    <s v="07642562002001"/>
    <n v="-29.25"/>
    <n v="1194"/>
    <n v="1"/>
    <n v="1"/>
  </r>
  <r>
    <m/>
    <m/>
    <x v="1"/>
    <s v="07866347005003"/>
    <n v="-10.8"/>
    <n v="441"/>
    <n v="1"/>
    <n v="1"/>
  </r>
  <r>
    <m/>
    <m/>
    <x v="1"/>
    <s v="07894781001001"/>
    <n v="-7.64"/>
    <n v="312"/>
    <n v="1"/>
    <n v="1"/>
  </r>
  <r>
    <m/>
    <m/>
    <x v="1"/>
    <s v="07946368001003"/>
    <n v="-13.18"/>
    <n v="538"/>
    <n v="1"/>
    <n v="1"/>
  </r>
  <r>
    <m/>
    <m/>
    <x v="1"/>
    <s v="08001690001004"/>
    <n v="-7.15"/>
    <n v="292"/>
    <n v="1"/>
    <n v="1"/>
  </r>
  <r>
    <m/>
    <m/>
    <x v="1"/>
    <s v="08005911001002"/>
    <n v="-10.58"/>
    <n v="432"/>
    <n v="1"/>
    <n v="1"/>
  </r>
  <r>
    <m/>
    <m/>
    <x v="1"/>
    <s v="08046015005003"/>
    <n v="-38.24"/>
    <n v="1561"/>
    <n v="1"/>
    <n v="1"/>
  </r>
  <r>
    <m/>
    <m/>
    <x v="1"/>
    <s v="08074271001001"/>
    <n v="-25.36"/>
    <n v="1035"/>
    <n v="1"/>
    <n v="1"/>
  </r>
  <r>
    <m/>
    <m/>
    <x v="1"/>
    <s v="09136354002001"/>
    <n v="-1.74"/>
    <n v="71"/>
    <n v="1"/>
    <n v="1"/>
  </r>
  <r>
    <m/>
    <m/>
    <x v="1"/>
    <s v="09301778001001"/>
    <n v="-41.18"/>
    <n v="1681"/>
    <n v="1"/>
    <n v="1"/>
  </r>
  <r>
    <m/>
    <m/>
    <x v="1"/>
    <s v="10045212001003"/>
    <n v="-4.12"/>
    <n v="168"/>
    <n v="1"/>
    <n v="1"/>
  </r>
  <r>
    <m/>
    <m/>
    <x v="1"/>
    <s v="10153548001001"/>
    <n v="-20.58"/>
    <n v="840"/>
    <n v="1"/>
    <n v="1"/>
  </r>
  <r>
    <m/>
    <m/>
    <x v="1"/>
    <s v="10196138001001"/>
    <n v="-5.07"/>
    <n v="207"/>
    <n v="1"/>
    <n v="1"/>
  </r>
  <r>
    <m/>
    <m/>
    <x v="1"/>
    <s v="10336485001005"/>
    <n v="-2.08"/>
    <n v="85"/>
    <n v="1"/>
    <n v="1"/>
  </r>
  <r>
    <m/>
    <m/>
    <x v="1"/>
    <s v="10356260001001"/>
    <n v="-3.16"/>
    <n v="129"/>
    <n v="1"/>
    <n v="1"/>
  </r>
  <r>
    <m/>
    <m/>
    <x v="1"/>
    <s v="10489329001002"/>
    <n v="-32.950000000000003"/>
    <n v="1345"/>
    <n v="1"/>
    <n v="1"/>
  </r>
  <r>
    <m/>
    <m/>
    <x v="1"/>
    <s v="10863812009001"/>
    <n v="-14.82"/>
    <n v="605"/>
    <n v="1"/>
    <n v="1"/>
  </r>
  <r>
    <m/>
    <m/>
    <x v="1"/>
    <s v="11039539002001"/>
    <n v="-8.6199999999999992"/>
    <n v="352"/>
    <n v="1"/>
    <n v="1"/>
  </r>
  <r>
    <m/>
    <m/>
    <x v="1"/>
    <s v="11242576001001"/>
    <n v="-3.68"/>
    <n v="150"/>
    <n v="1"/>
    <n v="1"/>
  </r>
  <r>
    <m/>
    <m/>
    <x v="1"/>
    <s v="11263199001003"/>
    <n v="-7.64"/>
    <n v="312"/>
    <n v="1"/>
    <n v="1"/>
  </r>
  <r>
    <m/>
    <m/>
    <x v="1"/>
    <s v="11296202003001"/>
    <n v="-16.29"/>
    <n v="665"/>
    <n v="1"/>
    <n v="1"/>
  </r>
  <r>
    <m/>
    <m/>
    <x v="1"/>
    <s v="11373197001002"/>
    <n v="-5.81"/>
    <n v="237"/>
    <n v="1"/>
    <n v="1"/>
  </r>
  <r>
    <m/>
    <m/>
    <x v="1"/>
    <s v="11417944001001"/>
    <n v="-4.7"/>
    <n v="192"/>
    <n v="1"/>
    <n v="1"/>
  </r>
  <r>
    <m/>
    <m/>
    <x v="1"/>
    <s v="11646801001004"/>
    <n v="-8.5299999999999994"/>
    <n v="348"/>
    <n v="1"/>
    <n v="1"/>
  </r>
  <r>
    <m/>
    <m/>
    <x v="1"/>
    <s v="11957483001007"/>
    <n v="-10"/>
    <n v="408"/>
    <n v="1"/>
    <n v="1"/>
  </r>
  <r>
    <m/>
    <m/>
    <x v="1"/>
    <s v="12013270001001"/>
    <n v="-0.17"/>
    <n v="7"/>
    <n v="1"/>
    <n v="1"/>
  </r>
  <r>
    <m/>
    <m/>
    <x v="1"/>
    <s v="12190744001001"/>
    <n v="-0.2"/>
    <n v="8"/>
    <n v="1"/>
    <n v="1"/>
  </r>
  <r>
    <m/>
    <m/>
    <x v="1"/>
    <s v="12393193001003"/>
    <n v="-5.86"/>
    <n v="239"/>
    <n v="1"/>
    <n v="1"/>
  </r>
  <r>
    <m/>
    <m/>
    <x v="1"/>
    <s v="12738579001003"/>
    <n v="-28.42"/>
    <n v="1160"/>
    <n v="1"/>
    <n v="1"/>
  </r>
  <r>
    <m/>
    <m/>
    <x v="1"/>
    <s v="13116014001003"/>
    <n v="-4.92"/>
    <n v="201"/>
    <n v="1"/>
    <n v="1"/>
  </r>
  <r>
    <m/>
    <m/>
    <x v="1"/>
    <s v="13147069001001"/>
    <n v="-1.27"/>
    <n v="52"/>
    <n v="1"/>
    <n v="1"/>
  </r>
  <r>
    <m/>
    <m/>
    <x v="1"/>
    <s v="13302962002001"/>
    <n v="-14.97"/>
    <n v="611"/>
    <n v="1"/>
    <n v="1"/>
  </r>
  <r>
    <m/>
    <m/>
    <x v="1"/>
    <s v="13655275002001"/>
    <n v="-2.65"/>
    <n v="108"/>
    <n v="1"/>
    <n v="1"/>
  </r>
  <r>
    <m/>
    <m/>
    <x v="1"/>
    <s v="13812990001010"/>
    <n v="-4.26"/>
    <n v="174"/>
    <n v="1"/>
    <n v="1"/>
  </r>
  <r>
    <m/>
    <m/>
    <x v="1"/>
    <s v="13854832004003"/>
    <n v="-4.3899999999999997"/>
    <n v="179"/>
    <n v="1"/>
    <n v="1"/>
  </r>
  <r>
    <m/>
    <m/>
    <x v="1"/>
    <s v="13898780002006"/>
    <n v="-6.17"/>
    <n v="252"/>
    <n v="1"/>
    <n v="1"/>
  </r>
  <r>
    <m/>
    <m/>
    <x v="1"/>
    <s v="13899655001008"/>
    <n v="-21.02"/>
    <n v="858"/>
    <n v="1"/>
    <n v="1"/>
  </r>
  <r>
    <m/>
    <m/>
    <x v="1"/>
    <s v="14276797001005"/>
    <n v="-14.33"/>
    <n v="585"/>
    <n v="1"/>
    <n v="1"/>
  </r>
  <r>
    <m/>
    <m/>
    <x v="1"/>
    <s v="14663014001002"/>
    <n v="-8.7200000000000006"/>
    <n v="356"/>
    <n v="1"/>
    <n v="1"/>
  </r>
  <r>
    <m/>
    <m/>
    <x v="1"/>
    <s v="14783592001004"/>
    <n v="-2.79"/>
    <n v="114"/>
    <n v="1"/>
    <n v="1"/>
  </r>
  <r>
    <m/>
    <m/>
    <x v="1"/>
    <s v="15018083001001"/>
    <n v="-30.33"/>
    <n v="1238"/>
    <n v="1"/>
    <n v="1"/>
  </r>
  <r>
    <m/>
    <m/>
    <x v="1"/>
    <s v="15868625001001"/>
    <n v="-13.89"/>
    <n v="567"/>
    <n v="1"/>
    <n v="1"/>
  </r>
  <r>
    <m/>
    <m/>
    <x v="1"/>
    <s v="15889369001001"/>
    <n v="-1.94"/>
    <n v="79"/>
    <n v="1"/>
    <n v="1"/>
  </r>
  <r>
    <m/>
    <m/>
    <x v="1"/>
    <s v="15931265001001"/>
    <n v="-0.64"/>
    <n v="26"/>
    <n v="1"/>
    <n v="1"/>
  </r>
  <r>
    <m/>
    <m/>
    <x v="1"/>
    <s v="15945184001001"/>
    <n v="-0.12"/>
    <n v="5"/>
    <n v="1"/>
    <n v="1"/>
  </r>
  <r>
    <m/>
    <m/>
    <x v="1"/>
    <s v="15945413001003"/>
    <n v="-7.37"/>
    <n v="301"/>
    <n v="1"/>
    <n v="1"/>
  </r>
  <r>
    <m/>
    <m/>
    <x v="1"/>
    <s v="15972551001005"/>
    <n v="-3.94"/>
    <n v="161"/>
    <n v="1"/>
    <n v="1"/>
  </r>
  <r>
    <m/>
    <m/>
    <x v="1"/>
    <s v="16146889001001"/>
    <n v="-14.82"/>
    <n v="605"/>
    <n v="1"/>
    <n v="1"/>
  </r>
  <r>
    <m/>
    <m/>
    <x v="1"/>
    <s v="16208723002001"/>
    <n v="-2.67"/>
    <n v="109"/>
    <n v="1"/>
    <n v="1"/>
  </r>
  <r>
    <m/>
    <m/>
    <x v="1"/>
    <s v="16611124001003"/>
    <n v="-8.2799999999999994"/>
    <n v="338"/>
    <n v="1"/>
    <n v="1"/>
  </r>
  <r>
    <m/>
    <m/>
    <x v="1"/>
    <s v="16633653003003"/>
    <n v="-8.0399999999999991"/>
    <n v="328"/>
    <n v="1"/>
    <n v="1"/>
  </r>
  <r>
    <m/>
    <m/>
    <x v="1"/>
    <s v="16801512002002"/>
    <n v="-26.22"/>
    <n v="1070"/>
    <n v="1"/>
    <n v="1"/>
  </r>
  <r>
    <m/>
    <m/>
    <x v="1"/>
    <s v="16884109001002"/>
    <n v="-28.81"/>
    <n v="1176"/>
    <n v="1"/>
    <n v="1"/>
  </r>
  <r>
    <m/>
    <m/>
    <x v="1"/>
    <s v="17175636001003"/>
    <n v="-0.59"/>
    <n v="24"/>
    <n v="1"/>
    <n v="1"/>
  </r>
  <r>
    <m/>
    <m/>
    <x v="1"/>
    <s v="17329177001003"/>
    <n v="-3.6"/>
    <n v="147"/>
    <n v="1"/>
    <n v="1"/>
  </r>
  <r>
    <m/>
    <m/>
    <x v="1"/>
    <s v="17511025003001"/>
    <n v="-8.58"/>
    <n v="350"/>
    <n v="1"/>
    <n v="1"/>
  </r>
  <r>
    <m/>
    <m/>
    <x v="1"/>
    <s v="17706944001001"/>
    <n v="-9.92"/>
    <n v="405"/>
    <n v="1"/>
    <n v="1"/>
  </r>
  <r>
    <m/>
    <m/>
    <x v="1"/>
    <s v="17785645002001"/>
    <n v="-8.48"/>
    <n v="346"/>
    <n v="1"/>
    <n v="1"/>
  </r>
  <r>
    <m/>
    <m/>
    <x v="1"/>
    <s v="17834267001002"/>
    <n v="-5.0199999999999996"/>
    <n v="205"/>
    <n v="1"/>
    <n v="1"/>
  </r>
  <r>
    <m/>
    <m/>
    <x v="1"/>
    <s v="17993993001003"/>
    <n v="-8.5"/>
    <n v="347"/>
    <n v="1"/>
    <n v="1"/>
  </r>
  <r>
    <m/>
    <m/>
    <x v="1"/>
    <s v="18060662001003"/>
    <n v="-0.39"/>
    <n v="16"/>
    <n v="1"/>
    <n v="1"/>
  </r>
  <r>
    <m/>
    <m/>
    <x v="1"/>
    <s v="18699658001004"/>
    <n v="-13.28"/>
    <n v="542"/>
    <n v="1"/>
    <n v="1"/>
  </r>
  <r>
    <m/>
    <m/>
    <x v="1"/>
    <s v="19130781001001"/>
    <n v="-11.2"/>
    <n v="457"/>
    <n v="1"/>
    <n v="1"/>
  </r>
  <r>
    <m/>
    <m/>
    <x v="1"/>
    <s v="19497588001001"/>
    <n v="-29.42"/>
    <n v="1201"/>
    <n v="1"/>
    <n v="1"/>
  </r>
  <r>
    <m/>
    <m/>
    <x v="1"/>
    <s v="19508093004001"/>
    <n v="-3.94"/>
    <n v="161"/>
    <n v="1"/>
    <n v="1"/>
  </r>
  <r>
    <m/>
    <m/>
    <x v="1"/>
    <s v="19605069001003"/>
    <n v="-4.83"/>
    <n v="197"/>
    <n v="1"/>
    <n v="1"/>
  </r>
  <r>
    <m/>
    <m/>
    <x v="1"/>
    <s v="19669200001002"/>
    <n v="-0.02"/>
    <n v="1"/>
    <n v="1"/>
    <n v="1"/>
  </r>
  <r>
    <m/>
    <m/>
    <x v="1"/>
    <s v="20283219003003"/>
    <n v="-12.47"/>
    <n v="509"/>
    <n v="1"/>
    <n v="1"/>
  </r>
  <r>
    <m/>
    <m/>
    <x v="1"/>
    <s v="20379497001001"/>
    <n v="-22.64"/>
    <n v="924"/>
    <n v="1"/>
    <n v="1"/>
  </r>
  <r>
    <m/>
    <m/>
    <x v="1"/>
    <s v="20410415001001"/>
    <n v="-3.01"/>
    <n v="123"/>
    <n v="1"/>
    <n v="1"/>
  </r>
  <r>
    <m/>
    <m/>
    <x v="1"/>
    <s v="20622831001001"/>
    <n v="-7.64"/>
    <n v="312"/>
    <n v="1"/>
    <n v="1"/>
  </r>
  <r>
    <m/>
    <m/>
    <x v="1"/>
    <s v="21045838003008"/>
    <n v="-2.87"/>
    <n v="117"/>
    <n v="1"/>
    <n v="1"/>
  </r>
  <r>
    <m/>
    <m/>
    <x v="1"/>
    <s v="21528376001001"/>
    <n v="-0.66"/>
    <n v="27"/>
    <n v="1"/>
    <n v="1"/>
  </r>
  <r>
    <m/>
    <m/>
    <x v="1"/>
    <s v="22178371001001"/>
    <n v="-14.75"/>
    <n v="602"/>
    <n v="1"/>
    <n v="1"/>
  </r>
  <r>
    <m/>
    <m/>
    <x v="1"/>
    <s v="22234236001007"/>
    <n v="-6.1"/>
    <n v="249"/>
    <n v="1"/>
    <n v="1"/>
  </r>
  <r>
    <m/>
    <m/>
    <x v="1"/>
    <s v="22280876001009"/>
    <n v="-19.670000000000002"/>
    <n v="803"/>
    <n v="1"/>
    <n v="1"/>
  </r>
  <r>
    <m/>
    <m/>
    <x v="1"/>
    <s v="23207615004001"/>
    <n v="-70.12"/>
    <n v="2862"/>
    <n v="1"/>
    <n v="1"/>
  </r>
  <r>
    <m/>
    <m/>
    <x v="1"/>
    <s v="23478212002003"/>
    <n v="-0.78"/>
    <n v="32"/>
    <n v="1"/>
    <n v="1"/>
  </r>
  <r>
    <m/>
    <m/>
    <x v="1"/>
    <s v="23582904002001"/>
    <n v="-8.2799999999999994"/>
    <n v="338"/>
    <n v="1"/>
    <n v="1"/>
  </r>
  <r>
    <m/>
    <m/>
    <x v="1"/>
    <s v="23628172002001"/>
    <n v="-6.71"/>
    <n v="274"/>
    <n v="1"/>
    <n v="1"/>
  </r>
  <r>
    <m/>
    <m/>
    <x v="1"/>
    <s v="24324136002006"/>
    <n v="-11.86"/>
    <n v="484"/>
    <n v="1"/>
    <n v="1"/>
  </r>
  <r>
    <m/>
    <m/>
    <x v="1"/>
    <s v="24367594001003"/>
    <n v="-1"/>
    <n v="41"/>
    <n v="1"/>
    <n v="1"/>
  </r>
  <r>
    <m/>
    <m/>
    <x v="1"/>
    <s v="25269969001001"/>
    <n v="-7.0000000000000007E-2"/>
    <n v="3"/>
    <n v="1"/>
    <n v="1"/>
  </r>
  <r>
    <m/>
    <m/>
    <x v="1"/>
    <s v="25485938001001"/>
    <n v="-8.75"/>
    <n v="357"/>
    <n v="1"/>
    <n v="1"/>
  </r>
  <r>
    <m/>
    <m/>
    <x v="1"/>
    <s v="25664446001001"/>
    <n v="-0.28999999999999998"/>
    <n v="12"/>
    <n v="1"/>
    <n v="1"/>
  </r>
  <r>
    <m/>
    <m/>
    <x v="1"/>
    <s v="25839879001001"/>
    <n v="-17.739999999999998"/>
    <n v="724"/>
    <n v="1"/>
    <n v="1"/>
  </r>
  <r>
    <m/>
    <m/>
    <x v="1"/>
    <s v="26278650001003"/>
    <n v="-15.19"/>
    <n v="620"/>
    <n v="1"/>
    <n v="1"/>
  </r>
  <r>
    <m/>
    <m/>
    <x v="1"/>
    <s v="26811317001002"/>
    <n v="-9.8000000000000007"/>
    <n v="400"/>
    <n v="1"/>
    <n v="1"/>
  </r>
  <r>
    <m/>
    <m/>
    <x v="1"/>
    <s v="26874300001001"/>
    <n v="-5.56"/>
    <n v="227"/>
    <n v="1"/>
    <n v="1"/>
  </r>
  <r>
    <m/>
    <m/>
    <x v="1"/>
    <s v="26874335001001"/>
    <n v="-2.1800000000000002"/>
    <n v="89"/>
    <n v="1"/>
    <n v="1"/>
  </r>
  <r>
    <m/>
    <m/>
    <x v="1"/>
    <s v="27108457001011"/>
    <n v="-17.690000000000001"/>
    <n v="722"/>
    <n v="1"/>
    <n v="1"/>
  </r>
  <r>
    <m/>
    <m/>
    <x v="1"/>
    <s v="27553023001001"/>
    <n v="-2.38"/>
    <n v="97"/>
    <n v="1"/>
    <n v="1"/>
  </r>
  <r>
    <m/>
    <m/>
    <x v="1"/>
    <s v="27733480001001"/>
    <n v="-1.47"/>
    <n v="60"/>
    <n v="1"/>
    <n v="1"/>
  </r>
  <r>
    <m/>
    <m/>
    <x v="1"/>
    <s v="27759845001003"/>
    <n v="-26.24"/>
    <n v="1071"/>
    <n v="1"/>
    <n v="1"/>
  </r>
  <r>
    <m/>
    <m/>
    <x v="1"/>
    <s v="27991196001001"/>
    <n v="-8.58"/>
    <n v="350"/>
    <n v="1"/>
    <n v="1"/>
  </r>
  <r>
    <m/>
    <m/>
    <x v="1"/>
    <s v="28014351004010"/>
    <n v="-2.84"/>
    <n v="116"/>
    <n v="1"/>
    <n v="1"/>
  </r>
  <r>
    <m/>
    <m/>
    <x v="1"/>
    <s v="28227700001002"/>
    <n v="-5.61"/>
    <n v="229"/>
    <n v="1"/>
    <n v="1"/>
  </r>
  <r>
    <m/>
    <m/>
    <x v="1"/>
    <s v="28572819001001"/>
    <n v="-6.15"/>
    <n v="251"/>
    <n v="1"/>
    <n v="1"/>
  </r>
  <r>
    <m/>
    <m/>
    <x v="1"/>
    <s v="28959951001001"/>
    <n v="-4.83"/>
    <n v="197"/>
    <n v="1"/>
    <n v="1"/>
  </r>
  <r>
    <m/>
    <m/>
    <x v="1"/>
    <s v="29018645001003"/>
    <n v="-32.409999999999997"/>
    <n v="1323"/>
    <n v="1"/>
    <n v="1"/>
  </r>
  <r>
    <m/>
    <m/>
    <x v="1"/>
    <s v="29647367001002"/>
    <n v="-6.62"/>
    <n v="270"/>
    <n v="1"/>
    <n v="1"/>
  </r>
  <r>
    <m/>
    <m/>
    <x v="1"/>
    <s v="29810873001003"/>
    <n v="-8.3800000000000008"/>
    <n v="342"/>
    <n v="1"/>
    <n v="1"/>
  </r>
  <r>
    <m/>
    <m/>
    <x v="1"/>
    <s v="30315366001001"/>
    <n v="-11"/>
    <n v="449"/>
    <n v="1"/>
    <n v="1"/>
  </r>
  <r>
    <m/>
    <m/>
    <x v="1"/>
    <s v="30830675001003"/>
    <n v="-0.83"/>
    <n v="34"/>
    <n v="1"/>
    <n v="1"/>
  </r>
  <r>
    <m/>
    <m/>
    <x v="1"/>
    <s v="31130438001003"/>
    <n v="-4.3600000000000003"/>
    <n v="178"/>
    <n v="1"/>
    <n v="1"/>
  </r>
  <r>
    <m/>
    <m/>
    <x v="1"/>
    <s v="31419012001003"/>
    <n v="-12.37"/>
    <n v="505"/>
    <n v="1"/>
    <n v="1"/>
  </r>
  <r>
    <m/>
    <m/>
    <x v="1"/>
    <s v="31589368001001"/>
    <n v="-9.31"/>
    <n v="380"/>
    <n v="1"/>
    <n v="1"/>
  </r>
  <r>
    <m/>
    <m/>
    <x v="1"/>
    <s v="32112027001007"/>
    <n v="-35.4"/>
    <n v="1445"/>
    <n v="1"/>
    <n v="1"/>
  </r>
  <r>
    <m/>
    <m/>
    <x v="1"/>
    <s v="32321580001004"/>
    <n v="-9.11"/>
    <n v="372"/>
    <n v="1"/>
    <n v="1"/>
  </r>
  <r>
    <m/>
    <m/>
    <x v="1"/>
    <s v="32568735001001"/>
    <n v="-17.13"/>
    <n v="699"/>
    <n v="1"/>
    <n v="1"/>
  </r>
  <r>
    <m/>
    <m/>
    <x v="1"/>
    <s v="32701639002001"/>
    <n v="-20.260000000000002"/>
    <n v="827"/>
    <n v="1"/>
    <n v="1"/>
  </r>
  <r>
    <m/>
    <m/>
    <x v="1"/>
    <s v="32754907004001"/>
    <n v="-18.47"/>
    <n v="754"/>
    <n v="1"/>
    <n v="1"/>
  </r>
  <r>
    <m/>
    <m/>
    <x v="1"/>
    <s v="33062190002001"/>
    <n v="-26.83"/>
    <n v="1095"/>
    <n v="1"/>
    <n v="1"/>
  </r>
  <r>
    <m/>
    <m/>
    <x v="1"/>
    <s v="33229599001001"/>
    <n v="-9.02"/>
    <n v="368"/>
    <n v="1"/>
    <n v="1"/>
  </r>
  <r>
    <m/>
    <m/>
    <x v="1"/>
    <s v="33529078009001"/>
    <n v="-26.68"/>
    <n v="1089"/>
    <n v="1"/>
    <n v="1"/>
  </r>
  <r>
    <m/>
    <m/>
    <x v="1"/>
    <s v="33633028001001"/>
    <n v="-1.08"/>
    <n v="44"/>
    <n v="1"/>
    <n v="1"/>
  </r>
  <r>
    <m/>
    <m/>
    <x v="1"/>
    <s v="33887728001004"/>
    <n v="-30.58"/>
    <n v="1248"/>
    <n v="1"/>
    <n v="1"/>
  </r>
  <r>
    <m/>
    <m/>
    <x v="1"/>
    <s v="34099616001006"/>
    <n v="-1.27"/>
    <n v="52"/>
    <n v="1"/>
    <n v="1"/>
  </r>
  <r>
    <m/>
    <m/>
    <x v="1"/>
    <s v="34197993001005"/>
    <n v="-0.25"/>
    <n v="10"/>
    <n v="1"/>
    <n v="1"/>
  </r>
  <r>
    <m/>
    <m/>
    <x v="1"/>
    <s v="34256010001004"/>
    <n v="-7.42"/>
    <n v="303"/>
    <n v="1"/>
    <n v="1"/>
  </r>
  <r>
    <m/>
    <m/>
    <x v="1"/>
    <s v="34329415001002"/>
    <n v="-0.1"/>
    <n v="4"/>
    <n v="1"/>
    <n v="1"/>
  </r>
  <r>
    <m/>
    <m/>
    <x v="1"/>
    <s v="34348453001007"/>
    <n v="-3.65"/>
    <n v="149"/>
    <n v="1"/>
    <n v="1"/>
  </r>
  <r>
    <m/>
    <m/>
    <x v="1"/>
    <s v="34827216001001"/>
    <n v="-49.1"/>
    <n v="2004"/>
    <n v="1"/>
    <n v="1"/>
  </r>
  <r>
    <m/>
    <m/>
    <x v="1"/>
    <s v="35366207001001"/>
    <n v="-3.77"/>
    <n v="154"/>
    <n v="1"/>
    <n v="1"/>
  </r>
  <r>
    <m/>
    <m/>
    <x v="1"/>
    <s v="35482082002001"/>
    <n v="-34.299999999999997"/>
    <n v="1400"/>
    <n v="1"/>
    <n v="1"/>
  </r>
  <r>
    <m/>
    <m/>
    <x v="1"/>
    <s v="35676008003003"/>
    <n v="-2.4700000000000002"/>
    <n v="101"/>
    <n v="1"/>
    <n v="1"/>
  </r>
  <r>
    <m/>
    <m/>
    <x v="1"/>
    <s v="35872394002002"/>
    <n v="-3.58"/>
    <n v="146"/>
    <n v="1"/>
    <n v="1"/>
  </r>
  <r>
    <m/>
    <m/>
    <x v="1"/>
    <s v="36023502001013"/>
    <n v="-11.61"/>
    <n v="474"/>
    <n v="1"/>
    <n v="1"/>
  </r>
  <r>
    <m/>
    <m/>
    <x v="1"/>
    <s v="36079563001001"/>
    <n v="-4.63"/>
    <n v="189"/>
    <n v="1"/>
    <n v="1"/>
  </r>
  <r>
    <m/>
    <m/>
    <x v="1"/>
    <s v="36195946001002"/>
    <n v="-1.89"/>
    <n v="77"/>
    <n v="1"/>
    <n v="1"/>
  </r>
  <r>
    <m/>
    <m/>
    <x v="1"/>
    <s v="36292176001002"/>
    <n v="-46.87"/>
    <n v="1913"/>
    <n v="1"/>
    <n v="1"/>
  </r>
  <r>
    <m/>
    <m/>
    <x v="1"/>
    <s v="36390708002001"/>
    <n v="-12.84"/>
    <n v="524"/>
    <n v="1"/>
    <n v="1"/>
  </r>
  <r>
    <m/>
    <m/>
    <x v="1"/>
    <s v="37271824001007"/>
    <n v="-30.77"/>
    <n v="1256"/>
    <n v="1"/>
    <n v="1"/>
  </r>
  <r>
    <m/>
    <m/>
    <x v="1"/>
    <s v="37301319001001"/>
    <n v="-9.26"/>
    <n v="378"/>
    <n v="1"/>
    <n v="1"/>
  </r>
  <r>
    <m/>
    <m/>
    <x v="1"/>
    <s v="37380947001001"/>
    <n v="-11.03"/>
    <n v="450"/>
    <n v="1"/>
    <n v="1"/>
  </r>
  <r>
    <m/>
    <m/>
    <x v="1"/>
    <s v="38128452001004"/>
    <n v="-0.39"/>
    <n v="16"/>
    <n v="1"/>
    <n v="1"/>
  </r>
  <r>
    <m/>
    <m/>
    <x v="1"/>
    <s v="38493324002002"/>
    <n v="-4.3099999999999996"/>
    <n v="176"/>
    <n v="1"/>
    <n v="1"/>
  </r>
  <r>
    <m/>
    <m/>
    <x v="1"/>
    <s v="38613622001005"/>
    <n v="-0.44"/>
    <n v="18"/>
    <n v="1"/>
    <n v="1"/>
  </r>
  <r>
    <m/>
    <m/>
    <x v="1"/>
    <s v="38860694001003"/>
    <n v="-42.88"/>
    <n v="1750"/>
    <n v="1"/>
    <n v="1"/>
  </r>
  <r>
    <m/>
    <m/>
    <x v="1"/>
    <s v="38911036001003"/>
    <n v="-10.24"/>
    <n v="418"/>
    <n v="1"/>
    <n v="1"/>
  </r>
  <r>
    <m/>
    <m/>
    <x v="1"/>
    <s v="39281076001004"/>
    <n v="-2.82"/>
    <n v="115"/>
    <n v="1"/>
    <n v="1"/>
  </r>
  <r>
    <m/>
    <m/>
    <x v="1"/>
    <s v="39314816001003"/>
    <n v="-14.65"/>
    <n v="598"/>
    <n v="1"/>
    <n v="1"/>
  </r>
  <r>
    <m/>
    <m/>
    <x v="1"/>
    <s v="39458933001002"/>
    <n v="-0.51"/>
    <n v="21"/>
    <n v="1"/>
    <n v="1"/>
  </r>
  <r>
    <m/>
    <m/>
    <x v="1"/>
    <s v="39597196001001"/>
    <n v="-4.4800000000000004"/>
    <n v="183"/>
    <n v="1"/>
    <n v="1"/>
  </r>
  <r>
    <m/>
    <m/>
    <x v="1"/>
    <s v="39658784002001"/>
    <n v="-2.25"/>
    <n v="92"/>
    <n v="1"/>
    <n v="1"/>
  </r>
  <r>
    <m/>
    <m/>
    <x v="1"/>
    <s v="39832575001004"/>
    <n v="-1.72"/>
    <n v="70"/>
    <n v="1"/>
    <n v="1"/>
  </r>
  <r>
    <m/>
    <m/>
    <x v="1"/>
    <s v="39860007001003"/>
    <n v="-2.5499999999999998"/>
    <n v="104"/>
    <n v="1"/>
    <n v="1"/>
  </r>
  <r>
    <m/>
    <m/>
    <x v="1"/>
    <s v="40115604001006"/>
    <n v="-4.0199999999999996"/>
    <n v="164"/>
    <n v="1"/>
    <n v="1"/>
  </r>
  <r>
    <m/>
    <m/>
    <x v="1"/>
    <s v="40458113001001"/>
    <n v="-21.66"/>
    <n v="884"/>
    <n v="1"/>
    <n v="1"/>
  </r>
  <r>
    <m/>
    <m/>
    <x v="1"/>
    <s v="40512589001003"/>
    <n v="-4.29"/>
    <n v="175"/>
    <n v="1"/>
    <n v="1"/>
  </r>
  <r>
    <m/>
    <m/>
    <x v="1"/>
    <s v="40967389001003"/>
    <n v="-0.17"/>
    <n v="7"/>
    <n v="1"/>
    <n v="1"/>
  </r>
  <r>
    <m/>
    <m/>
    <x v="1"/>
    <s v="41195572002001"/>
    <n v="-7.89"/>
    <n v="322"/>
    <n v="1"/>
    <n v="1"/>
  </r>
  <r>
    <m/>
    <m/>
    <x v="1"/>
    <s v="41383064001001"/>
    <n v="-3.06"/>
    <n v="125"/>
    <n v="1"/>
    <n v="1"/>
  </r>
  <r>
    <m/>
    <m/>
    <x v="1"/>
    <s v="41410810001002"/>
    <n v="-19.43"/>
    <n v="793"/>
    <n v="1"/>
    <n v="1"/>
  </r>
  <r>
    <m/>
    <m/>
    <x v="1"/>
    <s v="41439561001003"/>
    <n v="-7.96"/>
    <n v="325"/>
    <n v="1"/>
    <n v="1"/>
  </r>
  <r>
    <m/>
    <m/>
    <x v="1"/>
    <s v="41559231001003"/>
    <n v="-7.0000000000000007E-2"/>
    <n v="3"/>
    <n v="1"/>
    <n v="1"/>
  </r>
  <r>
    <m/>
    <m/>
    <x v="1"/>
    <s v="41723520001001"/>
    <n v="-5.17"/>
    <n v="211"/>
    <n v="1"/>
    <n v="1"/>
  </r>
  <r>
    <m/>
    <m/>
    <x v="1"/>
    <s v="41923203001003"/>
    <n v="-10.88"/>
    <n v="444"/>
    <n v="1"/>
    <n v="1"/>
  </r>
  <r>
    <m/>
    <m/>
    <x v="1"/>
    <s v="42203478001003"/>
    <n v="-2.25"/>
    <n v="92"/>
    <n v="1"/>
    <n v="1"/>
  </r>
  <r>
    <m/>
    <m/>
    <x v="1"/>
    <s v="42491401001003"/>
    <n v="-3.06"/>
    <n v="125"/>
    <n v="1"/>
    <n v="1"/>
  </r>
  <r>
    <m/>
    <m/>
    <x v="1"/>
    <s v="42536481001002"/>
    <n v="-5.68"/>
    <n v="232"/>
    <n v="1"/>
    <n v="1"/>
  </r>
  <r>
    <m/>
    <m/>
    <x v="1"/>
    <s v="42569591004003"/>
    <n v="-0.91"/>
    <n v="37"/>
    <n v="1"/>
    <n v="1"/>
  </r>
  <r>
    <m/>
    <m/>
    <x v="1"/>
    <s v="42620271001001"/>
    <n v="-1.2"/>
    <n v="49"/>
    <n v="1"/>
    <n v="1"/>
  </r>
  <r>
    <m/>
    <m/>
    <x v="1"/>
    <s v="42649321001001"/>
    <n v="-0.78"/>
    <n v="32"/>
    <n v="1"/>
    <n v="1"/>
  </r>
  <r>
    <m/>
    <m/>
    <x v="1"/>
    <s v="42677111001001"/>
    <n v="-0.22"/>
    <n v="9"/>
    <n v="1"/>
    <n v="1"/>
  </r>
  <r>
    <m/>
    <m/>
    <x v="1"/>
    <s v="42851271004005"/>
    <n v="-4.3099999999999996"/>
    <n v="176"/>
    <n v="1"/>
    <n v="1"/>
  </r>
  <r>
    <m/>
    <m/>
    <x v="1"/>
    <s v="42954661002001"/>
    <n v="-1.52"/>
    <n v="62"/>
    <n v="1"/>
    <n v="1"/>
  </r>
  <r>
    <m/>
    <m/>
    <x v="1"/>
    <s v="43079401001005"/>
    <n v="-3.23"/>
    <n v="132"/>
    <n v="1"/>
    <n v="1"/>
  </r>
  <r>
    <m/>
    <m/>
    <x v="1"/>
    <s v="43254471002001"/>
    <n v="-5.78"/>
    <n v="236"/>
    <n v="1"/>
    <n v="1"/>
  </r>
  <r>
    <m/>
    <m/>
    <x v="1"/>
    <s v="43288421001001"/>
    <n v="-4.7300000000000004"/>
    <n v="193"/>
    <n v="1"/>
    <n v="1"/>
  </r>
  <r>
    <m/>
    <m/>
    <x v="1"/>
    <s v="43297591001002"/>
    <n v="-3.6"/>
    <n v="147"/>
    <n v="1"/>
    <n v="1"/>
  </r>
  <r>
    <m/>
    <m/>
    <x v="1"/>
    <s v="43325521001002"/>
    <n v="-2.35"/>
    <n v="96"/>
    <n v="1"/>
    <n v="1"/>
  </r>
  <r>
    <m/>
    <m/>
    <x v="1"/>
    <s v="43347711001001"/>
    <n v="-1"/>
    <n v="41"/>
    <n v="1"/>
    <n v="1"/>
  </r>
  <r>
    <m/>
    <m/>
    <x v="1"/>
    <s v="43363111001003"/>
    <n v="-9.19"/>
    <n v="375"/>
    <n v="1"/>
    <n v="1"/>
  </r>
  <r>
    <m/>
    <m/>
    <x v="1"/>
    <s v="43399301001004"/>
    <n v="-3.85"/>
    <n v="157"/>
    <n v="1"/>
    <n v="1"/>
  </r>
  <r>
    <m/>
    <m/>
    <x v="1"/>
    <s v="43684761001003"/>
    <n v="-1.57"/>
    <n v="64"/>
    <n v="1"/>
    <n v="1"/>
  </r>
  <r>
    <m/>
    <m/>
    <x v="1"/>
    <s v="43686651002002"/>
    <n v="-6.17"/>
    <n v="252"/>
    <n v="1"/>
    <n v="1"/>
  </r>
  <r>
    <m/>
    <m/>
    <x v="1"/>
    <s v="43692811001002"/>
    <n v="-3.92"/>
    <n v="160"/>
    <n v="1"/>
    <n v="1"/>
  </r>
  <r>
    <m/>
    <m/>
    <x v="1"/>
    <s v="43717941001003"/>
    <n v="-2.35"/>
    <n v="96"/>
    <n v="1"/>
    <n v="1"/>
  </r>
  <r>
    <m/>
    <m/>
    <x v="1"/>
    <s v="43736981001001"/>
    <n v="-0.47"/>
    <n v="19"/>
    <n v="1"/>
    <n v="1"/>
  </r>
  <r>
    <m/>
    <m/>
    <x v="1"/>
    <s v="43764561001002"/>
    <n v="-4.09"/>
    <n v="167"/>
    <n v="1"/>
    <n v="1"/>
  </r>
  <r>
    <m/>
    <m/>
    <x v="1"/>
    <s v="43829871002001"/>
    <n v="-2.5499999999999998"/>
    <n v="104"/>
    <n v="1"/>
    <n v="1"/>
  </r>
  <r>
    <m/>
    <m/>
    <x v="1"/>
    <s v="43901831002001"/>
    <n v="-2.74"/>
    <n v="112"/>
    <n v="1"/>
    <n v="1"/>
  </r>
  <r>
    <m/>
    <m/>
    <x v="1"/>
    <s v="43918351001003"/>
    <n v="-2.38"/>
    <n v="97"/>
    <n v="1"/>
    <n v="1"/>
  </r>
  <r>
    <m/>
    <m/>
    <x v="1"/>
    <s v="43920871001009"/>
    <n v="-0.74"/>
    <n v="30"/>
    <n v="1"/>
    <n v="1"/>
  </r>
  <r>
    <m/>
    <m/>
    <x v="1"/>
    <s v="43990381001002"/>
    <n v="-1.27"/>
    <n v="52"/>
    <n v="1"/>
    <n v="1"/>
  </r>
  <r>
    <m/>
    <m/>
    <x v="1"/>
    <s v="44032521001001"/>
    <n v="-2.7"/>
    <n v="110"/>
    <n v="1"/>
    <n v="1"/>
  </r>
  <r>
    <m/>
    <m/>
    <x v="1"/>
    <s v="44225511001001"/>
    <n v="-8.4499999999999993"/>
    <n v="345"/>
    <n v="1"/>
    <n v="1"/>
  </r>
  <r>
    <m/>
    <m/>
    <x v="1"/>
    <s v="44254071001001"/>
    <n v="-3.33"/>
    <n v="136"/>
    <n v="1"/>
    <n v="1"/>
  </r>
  <r>
    <m/>
    <m/>
    <x v="1"/>
    <s v="44271711001001"/>
    <n v="-0.27"/>
    <n v="11"/>
    <n v="1"/>
    <n v="1"/>
  </r>
  <r>
    <m/>
    <m/>
    <x v="1"/>
    <s v="44301741001003"/>
    <n v="-9.07"/>
    <n v="370"/>
    <n v="1"/>
    <n v="1"/>
  </r>
  <r>
    <m/>
    <m/>
    <x v="1"/>
    <s v="44319801001012"/>
    <n v="-6.96"/>
    <n v="284"/>
    <n v="1"/>
    <n v="1"/>
  </r>
  <r>
    <m/>
    <m/>
    <x v="1"/>
    <s v="44339401001001"/>
    <n v="-28.62"/>
    <n v="1168"/>
    <n v="1"/>
    <n v="1"/>
  </r>
  <r>
    <m/>
    <m/>
    <x v="1"/>
    <s v="44353961001003"/>
    <n v="-17.690000000000001"/>
    <n v="722"/>
    <n v="1"/>
    <n v="1"/>
  </r>
  <r>
    <m/>
    <m/>
    <x v="1"/>
    <s v="44355501001004"/>
    <n v="-18.79"/>
    <n v="767"/>
    <n v="1"/>
    <n v="1"/>
  </r>
  <r>
    <m/>
    <m/>
    <x v="1"/>
    <s v="44378391001002"/>
    <n v="-7.6"/>
    <n v="310"/>
    <n v="1"/>
    <n v="1"/>
  </r>
  <r>
    <m/>
    <m/>
    <x v="1"/>
    <s v="44431101001001"/>
    <n v="-1.69"/>
    <n v="69"/>
    <n v="1"/>
    <n v="1"/>
  </r>
  <r>
    <m/>
    <m/>
    <x v="1"/>
    <s v="44449861003001"/>
    <n v="-7.06"/>
    <n v="288"/>
    <n v="1"/>
    <n v="1"/>
  </r>
  <r>
    <m/>
    <m/>
    <x v="1"/>
    <s v="44453291001002"/>
    <n v="-0.27"/>
    <n v="11"/>
    <n v="1"/>
    <n v="1"/>
  </r>
  <r>
    <m/>
    <m/>
    <x v="1"/>
    <s v="44468901001002"/>
    <n v="-1.94"/>
    <n v="79"/>
    <n v="1"/>
    <n v="1"/>
  </r>
  <r>
    <m/>
    <m/>
    <x v="1"/>
    <s v="44487731001001"/>
    <n v="-1.35"/>
    <n v="55"/>
    <n v="1"/>
    <n v="1"/>
  </r>
  <r>
    <m/>
    <m/>
    <x v="1"/>
    <s v="44524271001003"/>
    <n v="-2.0299999999999998"/>
    <n v="83"/>
    <n v="1"/>
    <n v="1"/>
  </r>
  <r>
    <m/>
    <m/>
    <x v="1"/>
    <s v="44530221003001"/>
    <n v="-21.44"/>
    <n v="875"/>
    <n v="1"/>
    <n v="1"/>
  </r>
  <r>
    <m/>
    <m/>
    <x v="1"/>
    <s v="44551221001001"/>
    <n v="-6.17"/>
    <n v="252"/>
    <n v="1"/>
    <n v="1"/>
  </r>
  <r>
    <m/>
    <m/>
    <x v="1"/>
    <s v="44562771002003"/>
    <n v="-2.87"/>
    <n v="117"/>
    <n v="1"/>
    <n v="1"/>
  </r>
  <r>
    <m/>
    <m/>
    <x v="1"/>
    <s v="44588111004001"/>
    <n v="-19.5"/>
    <n v="796"/>
    <n v="1"/>
    <n v="1"/>
  </r>
  <r>
    <m/>
    <m/>
    <x v="1"/>
    <s v="44636061001001"/>
    <n v="-1.59"/>
    <n v="65"/>
    <n v="1"/>
    <n v="1"/>
  </r>
  <r>
    <m/>
    <m/>
    <x v="1"/>
    <s v="44697801002002"/>
    <n v="-11.88"/>
    <n v="485"/>
    <n v="1"/>
    <n v="1"/>
  </r>
  <r>
    <m/>
    <m/>
    <x v="1"/>
    <s v="44702792001004"/>
    <n v="-2.21"/>
    <n v="90"/>
    <n v="1"/>
    <n v="1"/>
  </r>
  <r>
    <m/>
    <m/>
    <x v="1"/>
    <s v="44711031001001"/>
    <n v="-3.48"/>
    <n v="142"/>
    <n v="1"/>
    <n v="1"/>
  </r>
  <r>
    <m/>
    <m/>
    <x v="1"/>
    <s v="44711731001005"/>
    <n v="-0.34"/>
    <n v="14"/>
    <n v="1"/>
    <n v="1"/>
  </r>
  <r>
    <m/>
    <m/>
    <x v="1"/>
    <s v="44716981001002"/>
    <n v="-9.9499999999999993"/>
    <n v="406"/>
    <n v="1"/>
    <n v="1"/>
  </r>
  <r>
    <m/>
    <m/>
    <x v="1"/>
    <s v="44717961001001"/>
    <n v="-1.86"/>
    <n v="76"/>
    <n v="1"/>
    <n v="1"/>
  </r>
  <r>
    <m/>
    <m/>
    <x v="1"/>
    <s v="44719431001001"/>
    <n v="-1.81"/>
    <n v="74"/>
    <n v="1"/>
    <n v="1"/>
  </r>
  <r>
    <m/>
    <m/>
    <x v="1"/>
    <s v="44726851001001"/>
    <n v="-8.26"/>
    <n v="337"/>
    <n v="1"/>
    <n v="1"/>
  </r>
  <r>
    <m/>
    <m/>
    <x v="1"/>
    <s v="44760031004001"/>
    <n v="-31.21"/>
    <n v="1274"/>
    <n v="1"/>
    <n v="1"/>
  </r>
  <r>
    <m/>
    <m/>
    <x v="1"/>
    <s v="44789081002003"/>
    <n v="-0.76"/>
    <n v="31"/>
    <n v="1"/>
    <n v="1"/>
  </r>
  <r>
    <m/>
    <m/>
    <x v="1"/>
    <s v="44805881002002"/>
    <n v="-14.09"/>
    <n v="575"/>
    <n v="1"/>
    <n v="1"/>
  </r>
  <r>
    <m/>
    <m/>
    <x v="1"/>
    <s v="44811481003005"/>
    <n v="-2.67"/>
    <n v="109"/>
    <n v="1"/>
    <n v="1"/>
  </r>
  <r>
    <m/>
    <m/>
    <x v="1"/>
    <s v="44813091001002"/>
    <n v="-7.2"/>
    <n v="294"/>
    <n v="1"/>
    <n v="1"/>
  </r>
  <r>
    <m/>
    <m/>
    <x v="1"/>
    <s v="44827301001001"/>
    <n v="-2.62"/>
    <n v="107"/>
    <n v="1"/>
    <n v="1"/>
  </r>
  <r>
    <m/>
    <m/>
    <x v="1"/>
    <s v="44847951001001"/>
    <n v="-12.08"/>
    <n v="493"/>
    <n v="1"/>
    <n v="1"/>
  </r>
  <r>
    <m/>
    <m/>
    <x v="1"/>
    <s v="44848161001001"/>
    <n v="-15.63"/>
    <n v="638"/>
    <n v="1"/>
    <n v="1"/>
  </r>
  <r>
    <m/>
    <m/>
    <x v="1"/>
    <s v="44860061010001"/>
    <n v="-14.58"/>
    <n v="595"/>
    <n v="1"/>
    <n v="1"/>
  </r>
  <r>
    <m/>
    <m/>
    <x v="1"/>
    <s v="44876721001002"/>
    <n v="-25.38"/>
    <n v="1036"/>
    <n v="1"/>
    <n v="1"/>
  </r>
  <r>
    <m/>
    <m/>
    <x v="1"/>
    <s v="44882082003001"/>
    <n v="-9.4600000000000009"/>
    <n v="386"/>
    <n v="1"/>
    <n v="1"/>
  </r>
  <r>
    <m/>
    <m/>
    <x v="1"/>
    <s v="44883581001001"/>
    <n v="-11.37"/>
    <n v="464"/>
    <n v="1"/>
    <n v="1"/>
  </r>
  <r>
    <m/>
    <m/>
    <x v="1"/>
    <s v="44905351001002"/>
    <n v="-9.24"/>
    <n v="377"/>
    <n v="1"/>
    <n v="1"/>
  </r>
  <r>
    <m/>
    <m/>
    <x v="1"/>
    <s v="44908781005003"/>
    <n v="-1.89"/>
    <n v="77"/>
    <n v="1"/>
    <n v="1"/>
  </r>
  <r>
    <m/>
    <m/>
    <x v="1"/>
    <s v="44909201001001"/>
    <n v="-1.98"/>
    <n v="81"/>
    <n v="1"/>
    <n v="1"/>
  </r>
  <r>
    <m/>
    <m/>
    <x v="1"/>
    <s v="44943221001001"/>
    <n v="-6.74"/>
    <n v="275"/>
    <n v="1"/>
    <n v="1"/>
  </r>
  <r>
    <m/>
    <m/>
    <x v="1"/>
    <s v="44983121001001"/>
    <n v="-9.07"/>
    <n v="370"/>
    <n v="1"/>
    <n v="1"/>
  </r>
  <r>
    <m/>
    <m/>
    <x v="1"/>
    <s v="44995231002001"/>
    <n v="-0.74"/>
    <n v="30"/>
    <n v="1"/>
    <n v="1"/>
  </r>
  <r>
    <m/>
    <m/>
    <x v="1"/>
    <s v="45026101001004"/>
    <n v="-2.74"/>
    <n v="112"/>
    <n v="1"/>
    <n v="1"/>
  </r>
  <r>
    <m/>
    <m/>
    <x v="1"/>
    <s v="45037931001001"/>
    <n v="-21.39"/>
    <n v="873"/>
    <n v="1"/>
    <n v="1"/>
  </r>
  <r>
    <m/>
    <m/>
    <x v="1"/>
    <s v="45042901001001"/>
    <n v="-7.08"/>
    <n v="289"/>
    <n v="1"/>
    <n v="1"/>
  </r>
  <r>
    <m/>
    <m/>
    <x v="1"/>
    <s v="45045911001001"/>
    <n v="-11.74"/>
    <n v="479"/>
    <n v="1"/>
    <n v="1"/>
  </r>
  <r>
    <m/>
    <m/>
    <x v="1"/>
    <s v="45045981001003"/>
    <n v="-13.38"/>
    <n v="546"/>
    <n v="1"/>
    <n v="1"/>
  </r>
  <r>
    <m/>
    <m/>
    <x v="1"/>
    <s v="45049061001001"/>
    <n v="-0.86"/>
    <n v="35"/>
    <n v="1"/>
    <n v="1"/>
  </r>
  <r>
    <m/>
    <m/>
    <x v="1"/>
    <s v="45051231004001"/>
    <n v="-12.47"/>
    <n v="509"/>
    <n v="1"/>
    <n v="1"/>
  </r>
  <r>
    <m/>
    <m/>
    <x v="1"/>
    <s v="45060821001003"/>
    <n v="-7.52"/>
    <n v="307"/>
    <n v="1"/>
    <n v="1"/>
  </r>
  <r>
    <m/>
    <m/>
    <x v="1"/>
    <s v="45072511001002"/>
    <n v="-5.59"/>
    <n v="228"/>
    <n v="1"/>
    <n v="1"/>
  </r>
  <r>
    <m/>
    <m/>
    <x v="1"/>
    <s v="45087071001001"/>
    <n v="-33.96"/>
    <n v="1386"/>
    <n v="1"/>
    <n v="1"/>
  </r>
  <r>
    <m/>
    <m/>
    <x v="1"/>
    <s v="45128721001001"/>
    <n v="-2.65"/>
    <n v="108"/>
    <n v="1"/>
    <n v="1"/>
  </r>
  <r>
    <m/>
    <m/>
    <x v="1"/>
    <s v="45185561001003"/>
    <n v="-8.33"/>
    <n v="340"/>
    <n v="1"/>
    <n v="1"/>
  </r>
  <r>
    <m/>
    <m/>
    <x v="1"/>
    <s v="45253371002003"/>
    <n v="-24.33"/>
    <n v="993"/>
    <n v="1"/>
    <n v="1"/>
  </r>
  <r>
    <m/>
    <m/>
    <x v="1"/>
    <s v="45259341001001"/>
    <n v="-1.1000000000000001"/>
    <n v="45"/>
    <n v="1"/>
    <n v="1"/>
  </r>
  <r>
    <m/>
    <m/>
    <x v="1"/>
    <s v="45272991001001"/>
    <n v="-0.25"/>
    <n v="10"/>
    <n v="1"/>
    <n v="1"/>
  </r>
  <r>
    <m/>
    <m/>
    <x v="1"/>
    <s v="45381281001001"/>
    <n v="-0.61"/>
    <n v="25"/>
    <n v="1"/>
    <n v="1"/>
  </r>
  <r>
    <m/>
    <m/>
    <x v="1"/>
    <s v="45382261001001"/>
    <n v="-2.23"/>
    <n v="91"/>
    <n v="1"/>
    <n v="1"/>
  </r>
  <r>
    <m/>
    <m/>
    <x v="1"/>
    <s v="45384011001002"/>
    <n v="-5.0199999999999996"/>
    <n v="205"/>
    <n v="1"/>
    <n v="1"/>
  </r>
  <r>
    <m/>
    <m/>
    <x v="1"/>
    <s v="45455716004001"/>
    <n v="-13.94"/>
    <n v="569"/>
    <n v="1"/>
    <n v="1"/>
  </r>
  <r>
    <m/>
    <m/>
    <x v="1"/>
    <s v="45487611001002"/>
    <n v="-10.8"/>
    <n v="441"/>
    <n v="1"/>
    <n v="1"/>
  </r>
  <r>
    <m/>
    <m/>
    <x v="1"/>
    <s v="45599751001003"/>
    <n v="-20.83"/>
    <n v="850"/>
    <n v="1"/>
    <n v="1"/>
  </r>
  <r>
    <m/>
    <m/>
    <x v="1"/>
    <s v="45634593001005"/>
    <n v="-0.17"/>
    <n v="7"/>
    <n v="1"/>
    <n v="1"/>
  </r>
  <r>
    <m/>
    <m/>
    <x v="1"/>
    <s v="45692851001002"/>
    <n v="-36.06"/>
    <n v="1472"/>
    <n v="1"/>
    <n v="1"/>
  </r>
  <r>
    <m/>
    <m/>
    <x v="1"/>
    <s v="45755151003001"/>
    <n v="-28.76"/>
    <n v="1174"/>
    <n v="1"/>
    <n v="1"/>
  </r>
  <r>
    <m/>
    <m/>
    <x v="1"/>
    <s v="45765931005001"/>
    <n v="-37.56"/>
    <n v="1533"/>
    <n v="1"/>
    <n v="1"/>
  </r>
  <r>
    <m/>
    <m/>
    <x v="1"/>
    <s v="45788681002001"/>
    <n v="-5.29"/>
    <n v="216"/>
    <n v="1"/>
    <n v="1"/>
  </r>
  <r>
    <m/>
    <m/>
    <x v="1"/>
    <s v="45796661003006"/>
    <n v="-16.100000000000001"/>
    <n v="657"/>
    <n v="1"/>
    <n v="1"/>
  </r>
  <r>
    <m/>
    <m/>
    <x v="1"/>
    <s v="45796731002001"/>
    <n v="-21.71"/>
    <n v="886"/>
    <n v="1"/>
    <n v="1"/>
  </r>
  <r>
    <m/>
    <m/>
    <x v="1"/>
    <s v="45848321002005"/>
    <n v="-3.48"/>
    <n v="142"/>
    <n v="1"/>
    <n v="1"/>
  </r>
  <r>
    <m/>
    <m/>
    <x v="1"/>
    <s v="45955491001002"/>
    <n v="-46.21"/>
    <n v="1886"/>
    <n v="1"/>
    <n v="1"/>
  </r>
  <r>
    <m/>
    <m/>
    <x v="1"/>
    <s v="46040191001001"/>
    <n v="-1.86"/>
    <n v="76"/>
    <n v="1"/>
    <n v="1"/>
  </r>
  <r>
    <m/>
    <m/>
    <x v="1"/>
    <s v="46087791001001"/>
    <n v="-28.3"/>
    <n v="1155"/>
    <n v="1"/>
    <n v="1"/>
  </r>
  <r>
    <m/>
    <m/>
    <x v="1"/>
    <s v="46096471001002"/>
    <n v="-0.61"/>
    <n v="25"/>
    <n v="1"/>
    <n v="1"/>
  </r>
  <r>
    <m/>
    <m/>
    <x v="1"/>
    <s v="46108706001003"/>
    <n v="-39.81"/>
    <n v="1625"/>
    <n v="1"/>
    <n v="1"/>
  </r>
  <r>
    <m/>
    <m/>
    <x v="1"/>
    <s v="46109911001006"/>
    <n v="-5.27"/>
    <n v="215"/>
    <n v="1"/>
    <n v="1"/>
  </r>
  <r>
    <m/>
    <m/>
    <x v="1"/>
    <s v="46140781001002"/>
    <n v="-18.350000000000001"/>
    <n v="749"/>
    <n v="1"/>
    <n v="1"/>
  </r>
  <r>
    <m/>
    <m/>
    <x v="1"/>
    <s v="46208961001005"/>
    <n v="-24.08"/>
    <n v="983"/>
    <n v="1"/>
    <n v="1"/>
  </r>
  <r>
    <m/>
    <m/>
    <x v="1"/>
    <s v="46227600003001"/>
    <n v="-5.81"/>
    <n v="237"/>
    <n v="1"/>
    <n v="1"/>
  </r>
  <r>
    <m/>
    <m/>
    <x v="1"/>
    <s v="46228281001002"/>
    <n v="-11.34"/>
    <n v="463"/>
    <n v="1"/>
    <n v="1"/>
  </r>
  <r>
    <m/>
    <m/>
    <x v="1"/>
    <s v="46253481001006"/>
    <n v="-4.3899999999999997"/>
    <n v="179"/>
    <n v="1"/>
    <n v="1"/>
  </r>
  <r>
    <m/>
    <m/>
    <x v="1"/>
    <s v="46289181005001"/>
    <n v="-17.2"/>
    <n v="702"/>
    <n v="1"/>
    <n v="1"/>
  </r>
  <r>
    <m/>
    <m/>
    <x v="1"/>
    <s v="46322361003003"/>
    <n v="-4.8"/>
    <n v="196"/>
    <n v="1"/>
    <n v="1"/>
  </r>
  <r>
    <m/>
    <m/>
    <x v="1"/>
    <s v="46350571001003"/>
    <n v="-13.77"/>
    <n v="562"/>
    <n v="1"/>
    <n v="1"/>
  </r>
  <r>
    <m/>
    <m/>
    <x v="1"/>
    <s v="46392431004003"/>
    <n v="-8.65"/>
    <n v="353"/>
    <n v="1"/>
    <n v="1"/>
  </r>
  <r>
    <m/>
    <m/>
    <x v="1"/>
    <s v="46459421003005"/>
    <n v="-7.69"/>
    <n v="314"/>
    <n v="1"/>
    <n v="1"/>
  </r>
  <r>
    <m/>
    <m/>
    <x v="1"/>
    <s v="46461591002001"/>
    <n v="-20.11"/>
    <n v="821"/>
    <n v="1"/>
    <n v="1"/>
  </r>
  <r>
    <m/>
    <m/>
    <x v="1"/>
    <s v="46484481001004"/>
    <n v="-40.549999999999997"/>
    <n v="1655"/>
    <n v="1"/>
    <n v="1"/>
  </r>
  <r>
    <m/>
    <m/>
    <x v="1"/>
    <s v="46562181001001"/>
    <n v="-18.079999999999998"/>
    <n v="738"/>
    <n v="1"/>
    <n v="1"/>
  </r>
  <r>
    <m/>
    <m/>
    <x v="1"/>
    <s v="46689301001005"/>
    <n v="-25.26"/>
    <n v="1031"/>
    <n v="1"/>
    <n v="1"/>
  </r>
  <r>
    <m/>
    <m/>
    <x v="1"/>
    <s v="46752049002013"/>
    <n v="-28.93"/>
    <n v="1181"/>
    <n v="1"/>
    <n v="1"/>
  </r>
  <r>
    <m/>
    <m/>
    <x v="1"/>
    <s v="46774841003005"/>
    <n v="-9.85"/>
    <n v="402"/>
    <n v="1"/>
    <n v="1"/>
  </r>
  <r>
    <m/>
    <m/>
    <x v="1"/>
    <s v="46853523001007"/>
    <n v="-21.29"/>
    <n v="869"/>
    <n v="1"/>
    <n v="1"/>
  </r>
  <r>
    <m/>
    <m/>
    <x v="1"/>
    <s v="46933740002005"/>
    <n v="-11.86"/>
    <n v="484"/>
    <n v="1"/>
    <n v="1"/>
  </r>
  <r>
    <m/>
    <m/>
    <x v="1"/>
    <s v="47056381002002"/>
    <n v="-23.42"/>
    <n v="956"/>
    <n v="1"/>
    <n v="1"/>
  </r>
  <r>
    <m/>
    <m/>
    <x v="1"/>
    <s v="47142060001003"/>
    <n v="-3.6"/>
    <n v="147"/>
    <n v="1"/>
    <n v="1"/>
  </r>
  <r>
    <m/>
    <m/>
    <x v="1"/>
    <s v="47167121008001"/>
    <n v="-9.09"/>
    <n v="371"/>
    <n v="1"/>
    <n v="1"/>
  </r>
  <r>
    <m/>
    <m/>
    <x v="1"/>
    <s v="47184061008001"/>
    <n v="-0.05"/>
    <n v="2"/>
    <n v="1"/>
    <n v="1"/>
  </r>
  <r>
    <m/>
    <m/>
    <x v="1"/>
    <s v="47203101003001"/>
    <n v="-33.200000000000003"/>
    <n v="1355"/>
    <n v="1"/>
    <n v="1"/>
  </r>
  <r>
    <m/>
    <m/>
    <x v="1"/>
    <s v="47227107001005"/>
    <n v="-2.0099999999999998"/>
    <n v="82"/>
    <n v="1"/>
    <n v="1"/>
  </r>
  <r>
    <m/>
    <m/>
    <x v="1"/>
    <s v="47237681002003"/>
    <n v="-21.19"/>
    <n v="865"/>
    <n v="1"/>
    <n v="1"/>
  </r>
  <r>
    <m/>
    <m/>
    <x v="1"/>
    <s v="47282621001001"/>
    <n v="-2.33"/>
    <n v="95"/>
    <n v="1"/>
    <n v="1"/>
  </r>
  <r>
    <m/>
    <m/>
    <x v="1"/>
    <s v="47309151001003"/>
    <n v="-3.63"/>
    <n v="148"/>
    <n v="1"/>
    <n v="1"/>
  </r>
  <r>
    <m/>
    <m/>
    <x v="1"/>
    <s v="47315031001007"/>
    <n v="-5"/>
    <n v="204"/>
    <n v="1"/>
    <n v="1"/>
  </r>
  <r>
    <m/>
    <m/>
    <x v="1"/>
    <s v="47328121002001"/>
    <n v="-9.85"/>
    <n v="402"/>
    <n v="1"/>
    <n v="1"/>
  </r>
  <r>
    <m/>
    <m/>
    <x v="1"/>
    <s v="47335261001008"/>
    <n v="-26.34"/>
    <n v="1075"/>
    <n v="1"/>
    <n v="1"/>
  </r>
  <r>
    <m/>
    <m/>
    <x v="1"/>
    <s v="47414851004001"/>
    <n v="-17.93"/>
    <n v="732"/>
    <n v="1"/>
    <n v="1"/>
  </r>
  <r>
    <m/>
    <m/>
    <x v="1"/>
    <s v="47496751010001"/>
    <n v="-8.01"/>
    <n v="327"/>
    <n v="1"/>
    <n v="1"/>
  </r>
  <r>
    <m/>
    <m/>
    <x v="1"/>
    <s v="47543441001004"/>
    <n v="-8.26"/>
    <n v="337"/>
    <n v="1"/>
    <n v="1"/>
  </r>
  <r>
    <m/>
    <m/>
    <x v="1"/>
    <s v="47558607001001"/>
    <n v="-23.03"/>
    <n v="940"/>
    <n v="1"/>
    <n v="1"/>
  </r>
  <r>
    <m/>
    <m/>
    <x v="1"/>
    <s v="47593271001001"/>
    <n v="-11.64"/>
    <n v="475"/>
    <n v="1"/>
    <n v="1"/>
  </r>
  <r>
    <m/>
    <m/>
    <x v="1"/>
    <s v="47596151001005"/>
    <n v="-2.82"/>
    <n v="115"/>
    <n v="1"/>
    <n v="1"/>
  </r>
  <r>
    <m/>
    <m/>
    <x v="1"/>
    <s v="47598881005001"/>
    <n v="-5.12"/>
    <n v="209"/>
    <n v="1"/>
    <n v="1"/>
  </r>
  <r>
    <m/>
    <m/>
    <x v="1"/>
    <s v="47614561003007"/>
    <n v="-7.82"/>
    <n v="319"/>
    <n v="1"/>
    <n v="1"/>
  </r>
  <r>
    <m/>
    <m/>
    <x v="1"/>
    <s v="47663211009005"/>
    <n v="-47.38"/>
    <n v="1934"/>
    <n v="1"/>
    <n v="1"/>
  </r>
  <r>
    <m/>
    <m/>
    <x v="1"/>
    <s v="47671401001005"/>
    <n v="-23.91"/>
    <n v="976"/>
    <n v="1"/>
    <n v="1"/>
  </r>
  <r>
    <m/>
    <m/>
    <x v="1"/>
    <s v="47673221001005"/>
    <n v="-25.16"/>
    <n v="1027"/>
    <n v="1"/>
    <n v="1"/>
  </r>
  <r>
    <m/>
    <m/>
    <x v="1"/>
    <s v="47696251001001"/>
    <n v="-11.56"/>
    <n v="472"/>
    <n v="1"/>
    <n v="1"/>
  </r>
  <r>
    <m/>
    <m/>
    <x v="1"/>
    <s v="47758971002003"/>
    <n v="-5.86"/>
    <n v="239"/>
    <n v="1"/>
    <n v="1"/>
  </r>
  <r>
    <m/>
    <m/>
    <x v="1"/>
    <s v="47762878002003"/>
    <n v="-1.62"/>
    <n v="66"/>
    <n v="1"/>
    <n v="1"/>
  </r>
  <r>
    <m/>
    <m/>
    <x v="1"/>
    <s v="47778151001004"/>
    <n v="-3.8"/>
    <n v="155"/>
    <n v="1"/>
    <n v="1"/>
  </r>
  <r>
    <m/>
    <m/>
    <x v="1"/>
    <s v="47795791001001"/>
    <n v="-10.63"/>
    <n v="434"/>
    <n v="1"/>
    <n v="1"/>
  </r>
  <r>
    <m/>
    <m/>
    <x v="1"/>
    <s v="47863481003003"/>
    <n v="-16.64"/>
    <n v="679"/>
    <n v="1"/>
    <n v="1"/>
  </r>
  <r>
    <m/>
    <m/>
    <x v="1"/>
    <s v="47865371001001"/>
    <n v="-8.75"/>
    <n v="357"/>
    <n v="1"/>
    <n v="1"/>
  </r>
  <r>
    <m/>
    <m/>
    <x v="1"/>
    <s v="47871671002003"/>
    <n v="-20.07"/>
    <n v="819"/>
    <n v="1"/>
    <n v="1"/>
  </r>
  <r>
    <m/>
    <m/>
    <x v="1"/>
    <s v="47902401001001"/>
    <n v="-14.95"/>
    <n v="610"/>
    <n v="1"/>
    <n v="1"/>
  </r>
  <r>
    <m/>
    <m/>
    <x v="1"/>
    <s v="47907721006007"/>
    <n v="-11.1"/>
    <n v="453"/>
    <n v="1"/>
    <n v="1"/>
  </r>
  <r>
    <m/>
    <m/>
    <x v="1"/>
    <s v="47951681001003"/>
    <n v="-1.37"/>
    <n v="56"/>
    <n v="1"/>
    <n v="1"/>
  </r>
  <r>
    <m/>
    <m/>
    <x v="1"/>
    <s v="48051781001007"/>
    <n v="-11.54"/>
    <n v="471"/>
    <n v="1"/>
    <n v="1"/>
  </r>
  <r>
    <m/>
    <m/>
    <x v="1"/>
    <s v="48090281007001"/>
    <n v="-20.07"/>
    <n v="819"/>
    <n v="1"/>
    <n v="1"/>
  </r>
  <r>
    <m/>
    <m/>
    <x v="1"/>
    <s v="48098261002004"/>
    <n v="-6.66"/>
    <n v="272"/>
    <n v="1"/>
    <n v="1"/>
  </r>
  <r>
    <m/>
    <m/>
    <x v="1"/>
    <s v="48109251001002"/>
    <n v="-3.23"/>
    <n v="132"/>
    <n v="1"/>
    <n v="1"/>
  </r>
  <r>
    <m/>
    <m/>
    <x v="1"/>
    <s v="48121991001001"/>
    <n v="-3.14"/>
    <n v="128"/>
    <n v="1"/>
    <n v="1"/>
  </r>
  <r>
    <m/>
    <m/>
    <x v="1"/>
    <s v="48201931003002"/>
    <n v="-3.23"/>
    <n v="132"/>
    <n v="1"/>
    <n v="1"/>
  </r>
  <r>
    <m/>
    <m/>
    <x v="1"/>
    <s v="48227142001001"/>
    <n v="-5.66"/>
    <n v="231"/>
    <n v="1"/>
    <n v="1"/>
  </r>
  <r>
    <m/>
    <m/>
    <x v="1"/>
    <s v="48244561001001"/>
    <n v="-7.18"/>
    <n v="293"/>
    <n v="1"/>
    <n v="1"/>
  </r>
  <r>
    <m/>
    <m/>
    <x v="1"/>
    <s v="48270598001001"/>
    <n v="-39.81"/>
    <n v="1625"/>
    <n v="1"/>
    <n v="1"/>
  </r>
  <r>
    <m/>
    <m/>
    <x v="1"/>
    <s v="48320511001002"/>
    <n v="-8.6999999999999993"/>
    <n v="355"/>
    <n v="1"/>
    <n v="1"/>
  </r>
  <r>
    <m/>
    <m/>
    <x v="1"/>
    <s v="48498657001001"/>
    <n v="-7.45"/>
    <n v="304"/>
    <n v="1"/>
    <n v="1"/>
  </r>
  <r>
    <m/>
    <m/>
    <x v="1"/>
    <s v="48520235002004"/>
    <n v="-6.1"/>
    <n v="249"/>
    <n v="1"/>
    <n v="1"/>
  </r>
  <r>
    <m/>
    <m/>
    <x v="1"/>
    <s v="48617101001002"/>
    <n v="-12.96"/>
    <n v="529"/>
    <n v="1"/>
    <n v="1"/>
  </r>
  <r>
    <m/>
    <m/>
    <x v="1"/>
    <s v="48676391001001"/>
    <n v="-2.06"/>
    <n v="84"/>
    <n v="1"/>
    <n v="1"/>
  </r>
  <r>
    <m/>
    <m/>
    <x v="1"/>
    <s v="48751435001001"/>
    <n v="-2.0299999999999998"/>
    <n v="83"/>
    <n v="1"/>
    <n v="1"/>
  </r>
  <r>
    <m/>
    <m/>
    <x v="1"/>
    <s v="48925311003003"/>
    <n v="-2.5"/>
    <n v="102"/>
    <n v="1"/>
    <n v="1"/>
  </r>
  <r>
    <m/>
    <m/>
    <x v="1"/>
    <s v="48926217001001"/>
    <n v="-0.15"/>
    <n v="6"/>
    <n v="1"/>
    <n v="1"/>
  </r>
  <r>
    <m/>
    <m/>
    <x v="1"/>
    <s v="48937755001004"/>
    <n v="-0.32"/>
    <n v="13"/>
    <n v="1"/>
    <n v="1"/>
  </r>
  <r>
    <m/>
    <m/>
    <x v="1"/>
    <s v="48944491003004"/>
    <n v="-0.59"/>
    <n v="24"/>
    <n v="1"/>
    <n v="1"/>
  </r>
  <r>
    <m/>
    <m/>
    <x v="1"/>
    <s v="48985511001001"/>
    <n v="-35.33"/>
    <n v="1442"/>
    <n v="1"/>
    <n v="1"/>
  </r>
  <r>
    <m/>
    <m/>
    <x v="1"/>
    <s v="48996360001005"/>
    <n v="-16.32"/>
    <n v="666"/>
    <n v="1"/>
    <n v="1"/>
  </r>
  <r>
    <m/>
    <m/>
    <x v="1"/>
    <s v="49040181002004"/>
    <n v="-6.08"/>
    <n v="248"/>
    <n v="1"/>
    <n v="1"/>
  </r>
  <r>
    <m/>
    <m/>
    <x v="1"/>
    <s v="49086895001007"/>
    <n v="-16.95"/>
    <n v="692"/>
    <n v="1"/>
    <n v="1"/>
  </r>
  <r>
    <m/>
    <m/>
    <x v="1"/>
    <s v="49240871005001"/>
    <n v="-5.88"/>
    <n v="240"/>
    <n v="1"/>
    <n v="1"/>
  </r>
  <r>
    <m/>
    <m/>
    <x v="1"/>
    <s v="49311851001001"/>
    <n v="-0.56000000000000005"/>
    <n v="23"/>
    <n v="1"/>
    <n v="1"/>
  </r>
  <r>
    <m/>
    <m/>
    <x v="1"/>
    <s v="49393121003003"/>
    <n v="-0.25"/>
    <n v="10"/>
    <n v="1"/>
    <n v="1"/>
  </r>
  <r>
    <m/>
    <m/>
    <x v="1"/>
    <s v="49399211004004"/>
    <n v="-2.52"/>
    <n v="103"/>
    <n v="1"/>
    <n v="1"/>
  </r>
  <r>
    <m/>
    <m/>
    <x v="1"/>
    <s v="49422279001002"/>
    <n v="-4.88"/>
    <n v="199"/>
    <n v="1"/>
    <n v="1"/>
  </r>
  <r>
    <m/>
    <m/>
    <x v="1"/>
    <s v="49494020001001"/>
    <n v="-14.53"/>
    <n v="593"/>
    <n v="1"/>
    <n v="1"/>
  </r>
  <r>
    <m/>
    <m/>
    <x v="1"/>
    <s v="49495461002007"/>
    <n v="-4.26"/>
    <n v="174"/>
    <n v="1"/>
    <n v="1"/>
  </r>
  <r>
    <m/>
    <m/>
    <x v="1"/>
    <s v="49495741001001"/>
    <n v="-3.26"/>
    <n v="133"/>
    <n v="1"/>
    <n v="1"/>
  </r>
  <r>
    <m/>
    <m/>
    <x v="1"/>
    <s v="49508621001001"/>
    <n v="-1.64"/>
    <n v="67"/>
    <n v="1"/>
    <n v="1"/>
  </r>
  <r>
    <m/>
    <m/>
    <x v="1"/>
    <s v="49520731001007"/>
    <n v="-6.62"/>
    <n v="270"/>
    <n v="1"/>
    <n v="1"/>
  </r>
  <r>
    <m/>
    <m/>
    <x v="1"/>
    <s v="49538441007001"/>
    <n v="-4.29"/>
    <n v="175"/>
    <n v="1"/>
    <n v="1"/>
  </r>
  <r>
    <m/>
    <m/>
    <x v="1"/>
    <s v="49543901002001"/>
    <n v="-3.53"/>
    <n v="144"/>
    <n v="1"/>
    <n v="1"/>
  </r>
  <r>
    <m/>
    <m/>
    <x v="1"/>
    <s v="49555941001005"/>
    <n v="-3.55"/>
    <n v="145"/>
    <n v="1"/>
    <n v="1"/>
  </r>
  <r>
    <m/>
    <m/>
    <x v="1"/>
    <s v="49570221001004"/>
    <n v="-6.22"/>
    <n v="254"/>
    <n v="1"/>
    <n v="1"/>
  </r>
  <r>
    <m/>
    <m/>
    <x v="1"/>
    <s v="49577991001002"/>
    <n v="-6.22"/>
    <n v="254"/>
    <n v="1"/>
    <n v="1"/>
  </r>
  <r>
    <m/>
    <m/>
    <x v="1"/>
    <s v="49656951001001"/>
    <n v="-32.49"/>
    <n v="1326"/>
    <n v="1"/>
    <n v="1"/>
  </r>
  <r>
    <m/>
    <m/>
    <x v="1"/>
    <s v="49672030001003"/>
    <n v="-23.96"/>
    <n v="978"/>
    <n v="2"/>
    <n v="1"/>
  </r>
  <r>
    <m/>
    <m/>
    <x v="1"/>
    <s v="49686351001004"/>
    <n v="-32.29"/>
    <n v="1318"/>
    <n v="1"/>
    <n v="1"/>
  </r>
  <r>
    <m/>
    <m/>
    <x v="1"/>
    <s v="49885151001001"/>
    <n v="-24.55"/>
    <n v="1002"/>
    <n v="1"/>
    <n v="1"/>
  </r>
  <r>
    <m/>
    <m/>
    <x v="1"/>
    <s v="50047300001003"/>
    <n v="-9.73"/>
    <n v="397"/>
    <n v="1"/>
    <n v="1"/>
  </r>
  <r>
    <m/>
    <m/>
    <x v="1"/>
    <s v="50087731002008"/>
    <n v="-10.71"/>
    <n v="437"/>
    <n v="1"/>
    <n v="1"/>
  </r>
  <r>
    <m/>
    <m/>
    <x v="1"/>
    <s v="50237638001001"/>
    <n v="-5.71"/>
    <n v="233"/>
    <n v="1"/>
    <n v="1"/>
  </r>
  <r>
    <m/>
    <m/>
    <x v="1"/>
    <s v="50368711001001"/>
    <n v="-15.51"/>
    <n v="633"/>
    <n v="1"/>
    <n v="1"/>
  </r>
  <r>
    <m/>
    <m/>
    <x v="1"/>
    <s v="50379561001003"/>
    <n v="-1.76"/>
    <n v="72"/>
    <n v="1"/>
    <n v="1"/>
  </r>
  <r>
    <m/>
    <m/>
    <x v="1"/>
    <s v="50402241001002"/>
    <n v="-4.92"/>
    <n v="201"/>
    <n v="1"/>
    <n v="1"/>
  </r>
  <r>
    <m/>
    <m/>
    <x v="1"/>
    <s v="50442211002001"/>
    <n v="-0.93"/>
    <n v="38"/>
    <n v="1"/>
    <n v="1"/>
  </r>
  <r>
    <m/>
    <m/>
    <x v="1"/>
    <s v="50446617005005"/>
    <n v="-0.05"/>
    <n v="2"/>
    <n v="1"/>
    <n v="1"/>
  </r>
  <r>
    <m/>
    <m/>
    <x v="1"/>
    <s v="50448651006001"/>
    <n v="-3.5"/>
    <n v="143"/>
    <n v="1"/>
    <n v="1"/>
  </r>
  <r>
    <m/>
    <m/>
    <x v="1"/>
    <s v="50570311001001"/>
    <n v="-14.28"/>
    <n v="583"/>
    <n v="1"/>
    <n v="1"/>
  </r>
  <r>
    <m/>
    <m/>
    <x v="1"/>
    <s v="50633661001004"/>
    <n v="-10.46"/>
    <n v="427"/>
    <n v="1"/>
    <n v="1"/>
  </r>
  <r>
    <m/>
    <m/>
    <x v="1"/>
    <s v="50645281001001"/>
    <n v="-16.71"/>
    <n v="682"/>
    <n v="1"/>
    <n v="1"/>
  </r>
  <r>
    <m/>
    <m/>
    <x v="1"/>
    <s v="50683991001002"/>
    <n v="-9.33"/>
    <n v="381"/>
    <n v="1"/>
    <n v="1"/>
  </r>
  <r>
    <m/>
    <m/>
    <x v="1"/>
    <s v="50739464001001"/>
    <n v="-20.16"/>
    <n v="823"/>
    <n v="1"/>
    <n v="1"/>
  </r>
  <r>
    <m/>
    <m/>
    <x v="1"/>
    <s v="50750548001001"/>
    <n v="-2.25"/>
    <n v="92"/>
    <n v="1"/>
    <n v="1"/>
  </r>
  <r>
    <m/>
    <m/>
    <x v="1"/>
    <s v="50774501001001"/>
    <n v="-23.42"/>
    <n v="956"/>
    <n v="1"/>
    <n v="1"/>
  </r>
  <r>
    <m/>
    <m/>
    <x v="1"/>
    <s v="50780031003003"/>
    <n v="-9.14"/>
    <n v="373"/>
    <n v="1"/>
    <n v="1"/>
  </r>
  <r>
    <m/>
    <m/>
    <x v="1"/>
    <s v="50791371001002"/>
    <n v="-13.38"/>
    <n v="546"/>
    <n v="1"/>
    <n v="1"/>
  </r>
  <r>
    <m/>
    <m/>
    <x v="1"/>
    <s v="50806272001001"/>
    <n v="-2.1800000000000002"/>
    <n v="89"/>
    <n v="1"/>
    <n v="1"/>
  </r>
  <r>
    <m/>
    <m/>
    <x v="1"/>
    <s v="50839041006001"/>
    <n v="-31.75"/>
    <n v="1296"/>
    <n v="1"/>
    <n v="1"/>
  </r>
  <r>
    <m/>
    <m/>
    <x v="1"/>
    <s v="50841762002002"/>
    <n v="-0.22"/>
    <n v="9"/>
    <n v="1"/>
    <n v="1"/>
  </r>
  <r>
    <m/>
    <m/>
    <x v="1"/>
    <s v="50841911003002"/>
    <n v="-19.38"/>
    <n v="791"/>
    <n v="1"/>
    <n v="1"/>
  </r>
  <r>
    <m/>
    <m/>
    <x v="1"/>
    <s v="50852621001002"/>
    <n v="-4.12"/>
    <n v="168"/>
    <n v="1"/>
    <n v="1"/>
  </r>
  <r>
    <m/>
    <m/>
    <x v="1"/>
    <s v="50860461001005"/>
    <n v="-10.68"/>
    <n v="436"/>
    <n v="1"/>
    <n v="1"/>
  </r>
  <r>
    <m/>
    <m/>
    <x v="1"/>
    <s v="50866831006001"/>
    <n v="-36.82"/>
    <n v="1503"/>
    <n v="1"/>
    <n v="1"/>
  </r>
  <r>
    <m/>
    <m/>
    <x v="1"/>
    <s v="50924581001001"/>
    <n v="-26.39"/>
    <n v="1077"/>
    <n v="1"/>
    <n v="1"/>
  </r>
  <r>
    <m/>
    <m/>
    <x v="1"/>
    <s v="50950411001003"/>
    <n v="-14.99"/>
    <n v="612"/>
    <n v="1"/>
    <n v="1"/>
  </r>
  <r>
    <m/>
    <m/>
    <x v="1"/>
    <s v="50978201001001"/>
    <n v="-11.54"/>
    <n v="471"/>
    <n v="1"/>
    <n v="1"/>
  </r>
  <r>
    <m/>
    <m/>
    <x v="1"/>
    <s v="50996471001001"/>
    <n v="-6.1"/>
    <n v="249"/>
    <n v="1"/>
    <n v="1"/>
  </r>
  <r>
    <m/>
    <m/>
    <x v="1"/>
    <s v="50996751002001"/>
    <n v="-43.41"/>
    <n v="1772"/>
    <n v="1"/>
    <n v="1"/>
  </r>
  <r>
    <m/>
    <m/>
    <x v="1"/>
    <s v="50998792001004"/>
    <n v="-2.67"/>
    <n v="109"/>
    <n v="1"/>
    <n v="1"/>
  </r>
  <r>
    <m/>
    <m/>
    <x v="1"/>
    <s v="51004521001001"/>
    <n v="-7.28"/>
    <n v="297"/>
    <n v="1"/>
    <n v="1"/>
  </r>
  <r>
    <m/>
    <m/>
    <x v="1"/>
    <s v="51018171004001"/>
    <n v="-5.73"/>
    <n v="234"/>
    <n v="1"/>
    <n v="1"/>
  </r>
  <r>
    <m/>
    <m/>
    <x v="1"/>
    <s v="51040081001001"/>
    <n v="-21.02"/>
    <n v="858"/>
    <n v="1"/>
    <n v="1"/>
  </r>
  <r>
    <m/>
    <m/>
    <x v="1"/>
    <s v="51048061001001"/>
    <n v="-0.74"/>
    <n v="30"/>
    <n v="1"/>
    <n v="1"/>
  </r>
  <r>
    <m/>
    <m/>
    <x v="1"/>
    <s v="51068641001003"/>
    <n v="-40.18"/>
    <n v="1640"/>
    <n v="1"/>
    <n v="1"/>
  </r>
  <r>
    <m/>
    <m/>
    <x v="1"/>
    <s v="51088381003005"/>
    <n v="-9.73"/>
    <n v="397"/>
    <n v="1"/>
    <n v="1"/>
  </r>
  <r>
    <m/>
    <m/>
    <x v="1"/>
    <s v="51094611001002"/>
    <n v="-7.64"/>
    <n v="312"/>
    <n v="1"/>
    <n v="1"/>
  </r>
  <r>
    <m/>
    <m/>
    <x v="1"/>
    <s v="51118901001001"/>
    <n v="-18.45"/>
    <n v="753"/>
    <n v="1"/>
    <n v="1"/>
  </r>
  <r>
    <m/>
    <m/>
    <x v="1"/>
    <s v="51122891005001"/>
    <n v="-13.74"/>
    <n v="561"/>
    <n v="1"/>
    <n v="1"/>
  </r>
  <r>
    <m/>
    <m/>
    <x v="1"/>
    <s v="51130381001001"/>
    <n v="-14.75"/>
    <n v="602"/>
    <n v="1"/>
    <n v="1"/>
  </r>
  <r>
    <m/>
    <m/>
    <x v="1"/>
    <s v="51130521001001"/>
    <n v="-24.52"/>
    <n v="1001"/>
    <n v="1"/>
    <n v="1"/>
  </r>
  <r>
    <m/>
    <m/>
    <x v="1"/>
    <s v="51132481001002"/>
    <n v="-7.06"/>
    <n v="288"/>
    <n v="1"/>
    <n v="1"/>
  </r>
  <r>
    <m/>
    <m/>
    <x v="1"/>
    <s v="51136541001001"/>
    <n v="-32.049999999999997"/>
    <n v="1308"/>
    <n v="1"/>
    <n v="1"/>
  </r>
  <r>
    <m/>
    <m/>
    <x v="1"/>
    <s v="51154671002001"/>
    <n v="-10.66"/>
    <n v="435"/>
    <n v="1"/>
    <n v="1"/>
  </r>
  <r>
    <m/>
    <m/>
    <x v="1"/>
    <s v="51157051002006"/>
    <n v="-14.06"/>
    <n v="574"/>
    <n v="1"/>
    <n v="1"/>
  </r>
  <r>
    <m/>
    <m/>
    <x v="1"/>
    <s v="51159921001001"/>
    <n v="-8.67"/>
    <n v="354"/>
    <n v="1"/>
    <n v="1"/>
  </r>
  <r>
    <m/>
    <m/>
    <x v="1"/>
    <s v="51163211002005"/>
    <n v="-28.84"/>
    <n v="1177"/>
    <n v="1"/>
    <n v="1"/>
  </r>
  <r>
    <m/>
    <m/>
    <x v="1"/>
    <s v="51165241001003"/>
    <n v="-3.55"/>
    <n v="145"/>
    <n v="1"/>
    <n v="1"/>
  </r>
  <r>
    <m/>
    <m/>
    <x v="1"/>
    <s v="51172101004001"/>
    <n v="-15.29"/>
    <n v="624"/>
    <n v="1"/>
    <n v="1"/>
  </r>
  <r>
    <m/>
    <m/>
    <x v="1"/>
    <s v="51183651001001"/>
    <n v="-9.0399999999999991"/>
    <n v="369"/>
    <n v="1"/>
    <n v="1"/>
  </r>
  <r>
    <m/>
    <m/>
    <x v="1"/>
    <s v="51185331001003"/>
    <n v="-48.31"/>
    <n v="1972"/>
    <n v="1"/>
    <n v="1"/>
  </r>
  <r>
    <m/>
    <m/>
    <x v="1"/>
    <s v="51193241002001"/>
    <n v="-25.73"/>
    <n v="1050"/>
    <n v="1"/>
    <n v="1"/>
  </r>
  <r>
    <m/>
    <m/>
    <x v="1"/>
    <s v="51206821003010"/>
    <n v="-20.21"/>
    <n v="825"/>
    <n v="1"/>
    <n v="1"/>
  </r>
  <r>
    <m/>
    <m/>
    <x v="1"/>
    <s v="51206961001001"/>
    <n v="-16.98"/>
    <n v="693"/>
    <n v="1"/>
    <n v="1"/>
  </r>
  <r>
    <m/>
    <m/>
    <x v="1"/>
    <s v="51225301005001"/>
    <n v="-73.55"/>
    <n v="3002"/>
    <n v="1"/>
    <n v="1"/>
  </r>
  <r>
    <m/>
    <m/>
    <x v="1"/>
    <s v="51351441001005"/>
    <n v="-11.39"/>
    <n v="465"/>
    <n v="1"/>
    <n v="1"/>
  </r>
  <r>
    <m/>
    <m/>
    <x v="1"/>
    <s v="51386861002001"/>
    <n v="-2.38"/>
    <n v="97"/>
    <n v="1"/>
    <n v="1"/>
  </r>
  <r>
    <m/>
    <m/>
    <x v="1"/>
    <s v="51493121002001"/>
    <n v="-11.61"/>
    <n v="474"/>
    <n v="1"/>
    <n v="1"/>
  </r>
  <r>
    <m/>
    <m/>
    <x v="1"/>
    <s v="51513351001001"/>
    <n v="-15.97"/>
    <n v="652"/>
    <n v="1"/>
    <n v="1"/>
  </r>
  <r>
    <m/>
    <m/>
    <x v="1"/>
    <s v="51518531001001"/>
    <n v="-0.96"/>
    <n v="39"/>
    <n v="1"/>
    <n v="1"/>
  </r>
  <r>
    <m/>
    <m/>
    <x v="1"/>
    <s v="51518881001001"/>
    <n v="-4.92"/>
    <n v="201"/>
    <n v="1"/>
    <n v="1"/>
  </r>
  <r>
    <m/>
    <m/>
    <x v="1"/>
    <s v="51519511001001"/>
    <n v="-2.16"/>
    <n v="88"/>
    <n v="1"/>
    <n v="1"/>
  </r>
  <r>
    <m/>
    <m/>
    <x v="1"/>
    <s v="51532811002001"/>
    <n v="-13.99"/>
    <n v="571"/>
    <n v="1"/>
    <n v="1"/>
  </r>
  <r>
    <m/>
    <m/>
    <x v="1"/>
    <s v="51552831003002"/>
    <n v="-5.41"/>
    <n v="221"/>
    <n v="1"/>
    <n v="1"/>
  </r>
  <r>
    <m/>
    <m/>
    <x v="1"/>
    <s v="51583981001001"/>
    <n v="-6"/>
    <n v="245"/>
    <n v="1"/>
    <n v="1"/>
  </r>
  <r>
    <m/>
    <m/>
    <x v="1"/>
    <s v="51586004001001"/>
    <n v="-1.72"/>
    <n v="70"/>
    <n v="1"/>
    <n v="1"/>
  </r>
  <r>
    <m/>
    <m/>
    <x v="1"/>
    <s v="51593501001001"/>
    <n v="-7.82"/>
    <n v="319"/>
    <n v="1"/>
    <n v="1"/>
  </r>
  <r>
    <m/>
    <m/>
    <x v="1"/>
    <s v="51596441002007"/>
    <n v="-7.0000000000000007E-2"/>
    <n v="3"/>
    <n v="1"/>
    <n v="1"/>
  </r>
  <r>
    <m/>
    <m/>
    <x v="1"/>
    <s v="51607711002002"/>
    <n v="-6.62"/>
    <n v="270"/>
    <n v="1"/>
    <n v="1"/>
  </r>
  <r>
    <m/>
    <m/>
    <x v="1"/>
    <s v="51609951002002"/>
    <n v="-9.85"/>
    <n v="402"/>
    <n v="1"/>
    <n v="1"/>
  </r>
  <r>
    <m/>
    <m/>
    <x v="1"/>
    <s v="51613941001002"/>
    <n v="-7.42"/>
    <n v="303"/>
    <n v="1"/>
    <n v="1"/>
  </r>
  <r>
    <m/>
    <m/>
    <x v="1"/>
    <s v="51614221001001"/>
    <n v="-15.41"/>
    <n v="629"/>
    <n v="1"/>
    <n v="1"/>
  </r>
  <r>
    <m/>
    <m/>
    <x v="1"/>
    <s v="51626401001009"/>
    <n v="-0.98"/>
    <n v="40"/>
    <n v="1"/>
    <n v="1"/>
  </r>
  <r>
    <m/>
    <m/>
    <x v="1"/>
    <s v="51635711001002"/>
    <n v="-5.64"/>
    <n v="230"/>
    <n v="1"/>
    <n v="1"/>
  </r>
  <r>
    <m/>
    <m/>
    <x v="1"/>
    <s v="51773839001001"/>
    <n v="-18.82"/>
    <n v="768"/>
    <n v="1"/>
    <n v="1"/>
  </r>
  <r>
    <m/>
    <m/>
    <x v="1"/>
    <s v="52411414001001"/>
    <n v="-15.14"/>
    <n v="618"/>
    <n v="1"/>
    <n v="1"/>
  </r>
  <r>
    <m/>
    <m/>
    <x v="1"/>
    <s v="52743980001001"/>
    <n v="-6.54"/>
    <n v="267"/>
    <n v="1"/>
    <n v="1"/>
  </r>
  <r>
    <m/>
    <m/>
    <x v="1"/>
    <s v="52987911001001"/>
    <n v="-13.7"/>
    <n v="559"/>
    <n v="1"/>
    <n v="1"/>
  </r>
  <r>
    <m/>
    <m/>
    <x v="1"/>
    <s v="53001899001007"/>
    <n v="-6.3"/>
    <n v="257"/>
    <n v="1"/>
    <n v="1"/>
  </r>
  <r>
    <m/>
    <m/>
    <x v="1"/>
    <s v="53060982001003"/>
    <n v="-4.04"/>
    <n v="165"/>
    <n v="1"/>
    <n v="1"/>
  </r>
  <r>
    <m/>
    <m/>
    <x v="1"/>
    <s v="53145339001003"/>
    <n v="-2.7"/>
    <n v="110"/>
    <n v="1"/>
    <n v="1"/>
  </r>
  <r>
    <m/>
    <m/>
    <x v="1"/>
    <s v="53199928001001"/>
    <n v="-5.76"/>
    <n v="235"/>
    <n v="1"/>
    <n v="1"/>
  </r>
  <r>
    <m/>
    <m/>
    <x v="1"/>
    <s v="53233663001001"/>
    <n v="-5.05"/>
    <n v="206"/>
    <n v="1"/>
    <n v="1"/>
  </r>
  <r>
    <m/>
    <m/>
    <x v="1"/>
    <s v="53852271001001"/>
    <n v="-6.39"/>
    <n v="261"/>
    <n v="1"/>
    <n v="1"/>
  </r>
  <r>
    <m/>
    <m/>
    <x v="1"/>
    <s v="53904570007001"/>
    <n v="-9.07"/>
    <n v="370"/>
    <n v="1"/>
    <n v="1"/>
  </r>
  <r>
    <m/>
    <m/>
    <x v="1"/>
    <s v="54011290001001"/>
    <n v="-15.9"/>
    <n v="649"/>
    <n v="1"/>
    <n v="1"/>
  </r>
  <r>
    <m/>
    <m/>
    <x v="1"/>
    <s v="54099172001001"/>
    <n v="-3.7"/>
    <n v="151"/>
    <n v="1"/>
    <n v="1"/>
  </r>
  <r>
    <m/>
    <m/>
    <x v="1"/>
    <s v="54146036001001"/>
    <n v="-27.86"/>
    <n v="1137"/>
    <n v="1"/>
    <n v="1"/>
  </r>
  <r>
    <m/>
    <m/>
    <x v="1"/>
    <s v="54213868001001"/>
    <n v="-70.239999999999995"/>
    <n v="2867"/>
    <n v="1"/>
    <n v="1"/>
  </r>
  <r>
    <m/>
    <m/>
    <x v="1"/>
    <s v="54291381001009"/>
    <n v="-7.72"/>
    <n v="315"/>
    <n v="1"/>
    <n v="1"/>
  </r>
  <r>
    <m/>
    <m/>
    <x v="1"/>
    <s v="54382001002003"/>
    <n v="-9.82"/>
    <n v="401"/>
    <n v="1"/>
    <n v="1"/>
  </r>
  <r>
    <m/>
    <m/>
    <x v="1"/>
    <s v="54633989001003"/>
    <n v="-9.58"/>
    <n v="391"/>
    <n v="1"/>
    <n v="1"/>
  </r>
  <r>
    <m/>
    <m/>
    <x v="1"/>
    <s v="55081968001003"/>
    <n v="-3.63"/>
    <n v="148"/>
    <n v="1"/>
    <n v="1"/>
  </r>
  <r>
    <m/>
    <m/>
    <x v="1"/>
    <s v="55096000001001"/>
    <n v="-9.36"/>
    <n v="382"/>
    <n v="1"/>
    <n v="1"/>
  </r>
  <r>
    <m/>
    <m/>
    <x v="1"/>
    <s v="55185996001003"/>
    <n v="-7.35"/>
    <n v="300"/>
    <n v="1"/>
    <n v="1"/>
  </r>
  <r>
    <m/>
    <m/>
    <x v="1"/>
    <s v="55441830002001"/>
    <n v="-2.4"/>
    <n v="98"/>
    <n v="1"/>
    <n v="1"/>
  </r>
  <r>
    <m/>
    <m/>
    <x v="1"/>
    <s v="56055745002003"/>
    <n v="-9.09"/>
    <n v="371"/>
    <n v="1"/>
    <n v="1"/>
  </r>
  <r>
    <m/>
    <m/>
    <x v="1"/>
    <s v="56815768003003"/>
    <n v="-22.17"/>
    <n v="905"/>
    <n v="1"/>
    <n v="1"/>
  </r>
  <r>
    <m/>
    <m/>
    <x v="1"/>
    <s v="57165863001001"/>
    <n v="-3.99"/>
    <n v="163"/>
    <n v="1"/>
    <n v="1"/>
  </r>
  <r>
    <m/>
    <m/>
    <x v="1"/>
    <s v="57560991001007"/>
    <n v="-27.27"/>
    <n v="1113"/>
    <n v="1"/>
    <n v="1"/>
  </r>
  <r>
    <m/>
    <m/>
    <x v="1"/>
    <s v="57778330001001"/>
    <n v="-9.6"/>
    <n v="392"/>
    <n v="1"/>
    <n v="1"/>
  </r>
  <r>
    <m/>
    <m/>
    <x v="1"/>
    <s v="57834181001001"/>
    <n v="-14.46"/>
    <n v="590"/>
    <n v="1"/>
    <n v="1"/>
  </r>
  <r>
    <m/>
    <m/>
    <x v="1"/>
    <s v="58027310005001"/>
    <n v="-10.07"/>
    <n v="411"/>
    <n v="1"/>
    <n v="1"/>
  </r>
  <r>
    <m/>
    <m/>
    <x v="1"/>
    <s v="58340472001005"/>
    <n v="-4.07"/>
    <n v="166"/>
    <n v="1"/>
    <n v="1"/>
  </r>
  <r>
    <m/>
    <m/>
    <x v="1"/>
    <s v="58433748001002"/>
    <n v="-2.13"/>
    <n v="87"/>
    <n v="1"/>
    <n v="1"/>
  </r>
  <r>
    <m/>
    <m/>
    <x v="1"/>
    <s v="58784949001003"/>
    <n v="-11.34"/>
    <n v="463"/>
    <n v="1"/>
    <n v="1"/>
  </r>
  <r>
    <m/>
    <m/>
    <x v="1"/>
    <s v="59431046001003"/>
    <n v="-15.58"/>
    <n v="636"/>
    <n v="1"/>
    <n v="1"/>
  </r>
  <r>
    <m/>
    <m/>
    <x v="1"/>
    <s v="59498637001004"/>
    <n v="-1.98"/>
    <n v="81"/>
    <n v="1"/>
    <n v="1"/>
  </r>
  <r>
    <m/>
    <m/>
    <x v="1"/>
    <s v="59801546001007"/>
    <n v="-0.27"/>
    <n v="11"/>
    <n v="1"/>
    <n v="1"/>
  </r>
  <r>
    <m/>
    <m/>
    <x v="1"/>
    <s v="59807684001002"/>
    <n v="-2.13"/>
    <n v="87"/>
    <n v="1"/>
    <n v="1"/>
  </r>
  <r>
    <m/>
    <m/>
    <x v="1"/>
    <s v="59857982001002"/>
    <n v="-3.06"/>
    <n v="125"/>
    <n v="1"/>
    <n v="1"/>
  </r>
  <r>
    <m/>
    <m/>
    <x v="1"/>
    <s v="59901721001001"/>
    <n v="-38.39"/>
    <n v="1567"/>
    <n v="1"/>
    <n v="1"/>
  </r>
  <r>
    <m/>
    <m/>
    <x v="1"/>
    <s v="59997483001001"/>
    <n v="-10.220000000000001"/>
    <n v="417"/>
    <n v="1"/>
    <n v="1"/>
  </r>
  <r>
    <m/>
    <m/>
    <x v="1"/>
    <s v="60216914001002"/>
    <n v="-0.1"/>
    <n v="4"/>
    <n v="1"/>
    <n v="1"/>
  </r>
  <r>
    <m/>
    <m/>
    <x v="1"/>
    <s v="60362120001002"/>
    <n v="-5.05"/>
    <n v="206"/>
    <n v="1"/>
    <n v="1"/>
  </r>
  <r>
    <m/>
    <m/>
    <x v="1"/>
    <s v="60756030001002"/>
    <n v="-24.18"/>
    <n v="987"/>
    <n v="1"/>
    <n v="1"/>
  </r>
  <r>
    <m/>
    <m/>
    <x v="1"/>
    <s v="60842999001005"/>
    <n v="-11.81"/>
    <n v="482"/>
    <n v="1"/>
    <n v="1"/>
  </r>
  <r>
    <m/>
    <m/>
    <x v="1"/>
    <s v="60850163002001"/>
    <n v="-3.87"/>
    <n v="158"/>
    <n v="1"/>
    <n v="1"/>
  </r>
  <r>
    <m/>
    <m/>
    <x v="1"/>
    <s v="60992763002001"/>
    <n v="-10.24"/>
    <n v="418"/>
    <n v="1"/>
    <n v="1"/>
  </r>
  <r>
    <m/>
    <m/>
    <x v="1"/>
    <s v="61294997001002"/>
    <n v="-1.4"/>
    <n v="57"/>
    <n v="1"/>
    <n v="1"/>
  </r>
  <r>
    <m/>
    <m/>
    <x v="1"/>
    <s v="61759982001001"/>
    <n v="-8.18"/>
    <n v="334"/>
    <n v="1"/>
    <n v="1"/>
  </r>
  <r>
    <m/>
    <m/>
    <x v="1"/>
    <s v="61779550001001"/>
    <n v="-7.01"/>
    <n v="286"/>
    <n v="1"/>
    <n v="1"/>
  </r>
  <r>
    <m/>
    <m/>
    <x v="1"/>
    <s v="62035416001001"/>
    <n v="-5.61"/>
    <n v="229"/>
    <n v="1"/>
    <n v="1"/>
  </r>
  <r>
    <m/>
    <m/>
    <x v="1"/>
    <s v="62038452002001"/>
    <n v="-19.8"/>
    <n v="808"/>
    <n v="1"/>
    <n v="1"/>
  </r>
  <r>
    <m/>
    <m/>
    <x v="1"/>
    <s v="62125470001002"/>
    <n v="-22.61"/>
    <n v="923"/>
    <n v="1"/>
    <n v="1"/>
  </r>
  <r>
    <m/>
    <m/>
    <x v="1"/>
    <s v="62139312001006"/>
    <n v="-0.05"/>
    <n v="2"/>
    <n v="1"/>
    <n v="1"/>
  </r>
  <r>
    <m/>
    <m/>
    <x v="1"/>
    <s v="62166846001001"/>
    <n v="-10.66"/>
    <n v="435"/>
    <n v="1"/>
    <n v="1"/>
  </r>
  <r>
    <m/>
    <m/>
    <x v="1"/>
    <s v="62244159001003"/>
    <n v="-8.94"/>
    <n v="365"/>
    <n v="1"/>
    <n v="1"/>
  </r>
  <r>
    <m/>
    <m/>
    <x v="1"/>
    <s v="62620561001002"/>
    <n v="-4.3899999999999997"/>
    <n v="179"/>
    <n v="1"/>
    <n v="1"/>
  </r>
  <r>
    <m/>
    <m/>
    <x v="1"/>
    <s v="62878804001007"/>
    <n v="-12.1"/>
    <n v="494"/>
    <n v="1"/>
    <n v="1"/>
  </r>
  <r>
    <m/>
    <m/>
    <x v="1"/>
    <s v="63054171001001"/>
    <n v="-6.27"/>
    <n v="256"/>
    <n v="1"/>
    <n v="1"/>
  </r>
  <r>
    <m/>
    <m/>
    <x v="1"/>
    <s v="63150661001001"/>
    <n v="-0.64"/>
    <n v="26"/>
    <n v="1"/>
    <n v="1"/>
  </r>
  <r>
    <m/>
    <m/>
    <x v="1"/>
    <s v="63415000003005"/>
    <n v="-9.31"/>
    <n v="380"/>
    <n v="1"/>
    <n v="1"/>
  </r>
  <r>
    <m/>
    <m/>
    <x v="1"/>
    <s v="63462936001004"/>
    <n v="-10.29"/>
    <n v="420"/>
    <n v="1"/>
    <n v="1"/>
  </r>
  <r>
    <m/>
    <m/>
    <x v="1"/>
    <s v="63952309001001"/>
    <n v="-1.05"/>
    <n v="43"/>
    <n v="1"/>
    <n v="1"/>
  </r>
  <r>
    <m/>
    <m/>
    <x v="1"/>
    <s v="64061605002004"/>
    <n v="-10.61"/>
    <n v="433"/>
    <n v="1"/>
    <n v="1"/>
  </r>
  <r>
    <m/>
    <m/>
    <x v="1"/>
    <s v="64113638001003"/>
    <n v="-8.75"/>
    <n v="357"/>
    <n v="1"/>
    <n v="1"/>
  </r>
  <r>
    <m/>
    <m/>
    <x v="1"/>
    <s v="64168501001010"/>
    <n v="-43.61"/>
    <n v="1780"/>
    <n v="1"/>
    <n v="1"/>
  </r>
  <r>
    <m/>
    <m/>
    <x v="1"/>
    <s v="64597306001001"/>
    <n v="-7.3"/>
    <n v="298"/>
    <n v="1"/>
    <n v="1"/>
  </r>
  <r>
    <m/>
    <m/>
    <x v="1"/>
    <s v="65001066001001"/>
    <n v="-4.8499999999999996"/>
    <n v="198"/>
    <n v="1"/>
    <n v="1"/>
  </r>
  <r>
    <m/>
    <m/>
    <x v="1"/>
    <s v="65005121001001"/>
    <n v="-15.7"/>
    <n v="641"/>
    <n v="1"/>
    <n v="1"/>
  </r>
  <r>
    <m/>
    <m/>
    <x v="1"/>
    <s v="65242015001001"/>
    <n v="-24.4"/>
    <n v="996"/>
    <n v="1"/>
    <n v="1"/>
  </r>
  <r>
    <m/>
    <m/>
    <x v="1"/>
    <s v="65368514001004"/>
    <n v="-9.92"/>
    <n v="405"/>
    <n v="1"/>
    <n v="1"/>
  </r>
  <r>
    <m/>
    <m/>
    <x v="1"/>
    <s v="65509206001003"/>
    <n v="-7.03"/>
    <n v="287"/>
    <n v="1"/>
    <n v="1"/>
  </r>
  <r>
    <m/>
    <m/>
    <x v="1"/>
    <s v="65715070001005"/>
    <n v="-33.03"/>
    <n v="1348"/>
    <n v="1"/>
    <n v="1"/>
  </r>
  <r>
    <m/>
    <m/>
    <x v="1"/>
    <s v="65734956001007"/>
    <n v="-2.08"/>
    <n v="85"/>
    <n v="1"/>
    <n v="1"/>
  </r>
  <r>
    <m/>
    <m/>
    <x v="1"/>
    <s v="65903595001005"/>
    <n v="-7.45"/>
    <n v="304"/>
    <n v="1"/>
    <n v="1"/>
  </r>
  <r>
    <m/>
    <m/>
    <x v="1"/>
    <s v="66136740002001"/>
    <n v="-17.149999999999999"/>
    <n v="700"/>
    <n v="1"/>
    <n v="1"/>
  </r>
  <r>
    <m/>
    <m/>
    <x v="1"/>
    <s v="66308224001001"/>
    <n v="-0.17"/>
    <n v="7"/>
    <n v="1"/>
    <n v="1"/>
  </r>
  <r>
    <m/>
    <m/>
    <x v="1"/>
    <s v="66851187001007"/>
    <n v="-26.51"/>
    <n v="1082"/>
    <n v="1"/>
    <n v="1"/>
  </r>
  <r>
    <m/>
    <m/>
    <x v="1"/>
    <s v="66953942002008"/>
    <n v="-5.24"/>
    <n v="214"/>
    <n v="1"/>
    <n v="1"/>
  </r>
  <r>
    <m/>
    <m/>
    <x v="1"/>
    <s v="66997780001001"/>
    <n v="-7.91"/>
    <n v="323"/>
    <n v="1"/>
    <n v="1"/>
  </r>
  <r>
    <m/>
    <m/>
    <x v="1"/>
    <s v="67053287002001"/>
    <n v="-0.66"/>
    <n v="27"/>
    <n v="1"/>
    <n v="1"/>
  </r>
  <r>
    <m/>
    <m/>
    <x v="1"/>
    <s v="67059049001004"/>
    <n v="-4.5599999999999996"/>
    <n v="186"/>
    <n v="1"/>
    <n v="1"/>
  </r>
  <r>
    <m/>
    <m/>
    <x v="1"/>
    <s v="67116312001003"/>
    <n v="-11.52"/>
    <n v="470"/>
    <n v="1"/>
    <n v="1"/>
  </r>
  <r>
    <m/>
    <m/>
    <x v="1"/>
    <s v="67565406001001"/>
    <n v="-6.71"/>
    <n v="274"/>
    <n v="1"/>
    <n v="1"/>
  </r>
  <r>
    <m/>
    <m/>
    <x v="1"/>
    <s v="67575902001005"/>
    <n v="-2.4700000000000002"/>
    <n v="101"/>
    <n v="1"/>
    <n v="1"/>
  </r>
  <r>
    <m/>
    <m/>
    <x v="1"/>
    <s v="67587226001001"/>
    <n v="-4.1399999999999997"/>
    <n v="169"/>
    <n v="1"/>
    <n v="1"/>
  </r>
  <r>
    <m/>
    <m/>
    <x v="1"/>
    <s v="68088779001001"/>
    <n v="-0.22"/>
    <n v="9"/>
    <n v="1"/>
    <n v="1"/>
  </r>
  <r>
    <m/>
    <m/>
    <x v="1"/>
    <s v="68322478003001"/>
    <n v="-2.33"/>
    <n v="95"/>
    <n v="1"/>
    <n v="1"/>
  </r>
  <r>
    <m/>
    <m/>
    <x v="1"/>
    <s v="68439076001001"/>
    <n v="-21.63"/>
    <n v="883"/>
    <n v="1"/>
    <n v="1"/>
  </r>
  <r>
    <m/>
    <m/>
    <x v="1"/>
    <s v="68512232001001"/>
    <n v="-23.84"/>
    <n v="973"/>
    <n v="1"/>
    <n v="1"/>
  </r>
  <r>
    <m/>
    <m/>
    <x v="1"/>
    <s v="68624650001002"/>
    <n v="-5.93"/>
    <n v="242"/>
    <n v="1"/>
    <n v="1"/>
  </r>
  <r>
    <m/>
    <m/>
    <x v="1"/>
    <s v="68639459001005"/>
    <n v="-70.27"/>
    <n v="2868"/>
    <n v="1"/>
    <n v="1"/>
  </r>
  <r>
    <m/>
    <m/>
    <x v="1"/>
    <s v="69000077001002"/>
    <n v="-2.94"/>
    <n v="120"/>
    <n v="1"/>
    <n v="1"/>
  </r>
  <r>
    <m/>
    <m/>
    <x v="1"/>
    <s v="69212535001003"/>
    <n v="-21.12"/>
    <n v="862"/>
    <n v="1"/>
    <n v="1"/>
  </r>
  <r>
    <m/>
    <m/>
    <x v="1"/>
    <s v="69243847003001"/>
    <n v="-23.89"/>
    <n v="975"/>
    <n v="1"/>
    <n v="1"/>
  </r>
  <r>
    <m/>
    <m/>
    <x v="1"/>
    <s v="69589294001001"/>
    <n v="-10.63"/>
    <n v="434"/>
    <n v="1"/>
    <n v="1"/>
  </r>
  <r>
    <m/>
    <m/>
    <x v="1"/>
    <s v="69662874001004"/>
    <n v="-8.4499999999999993"/>
    <n v="345"/>
    <n v="1"/>
    <n v="1"/>
  </r>
  <r>
    <m/>
    <m/>
    <x v="1"/>
    <s v="69697436003002"/>
    <n v="-0.96"/>
    <n v="39"/>
    <n v="1"/>
    <n v="1"/>
  </r>
  <r>
    <m/>
    <m/>
    <x v="1"/>
    <s v="70498831001001"/>
    <n v="-14.55"/>
    <n v="594"/>
    <n v="1"/>
    <n v="1"/>
  </r>
  <r>
    <m/>
    <m/>
    <x v="1"/>
    <s v="70517135001001"/>
    <n v="-5.9"/>
    <n v="241"/>
    <n v="1"/>
    <n v="1"/>
  </r>
  <r>
    <m/>
    <m/>
    <x v="1"/>
    <s v="70518336001001"/>
    <n v="-2.87"/>
    <n v="117"/>
    <n v="1"/>
    <n v="1"/>
  </r>
  <r>
    <m/>
    <m/>
    <x v="1"/>
    <s v="70572154001001"/>
    <n v="-4.17"/>
    <n v="170"/>
    <n v="1"/>
    <n v="1"/>
  </r>
  <r>
    <m/>
    <m/>
    <x v="1"/>
    <s v="70925378002003"/>
    <n v="-13.08"/>
    <n v="534"/>
    <n v="1"/>
    <n v="1"/>
  </r>
  <r>
    <m/>
    <m/>
    <x v="1"/>
    <s v="70953596001001"/>
    <n v="-16.86"/>
    <n v="688"/>
    <n v="1"/>
    <n v="1"/>
  </r>
  <r>
    <m/>
    <m/>
    <x v="1"/>
    <s v="71339719006001"/>
    <n v="-26.17"/>
    <n v="1068"/>
    <n v="1"/>
    <n v="1"/>
  </r>
  <r>
    <m/>
    <m/>
    <x v="1"/>
    <s v="71508543001001"/>
    <n v="-0.47"/>
    <n v="19"/>
    <n v="1"/>
    <n v="1"/>
  </r>
  <r>
    <m/>
    <m/>
    <x v="1"/>
    <s v="72013535003003"/>
    <n v="-0.49"/>
    <n v="20"/>
    <n v="1"/>
    <n v="1"/>
  </r>
  <r>
    <m/>
    <m/>
    <x v="1"/>
    <s v="72769540001001"/>
    <n v="-3.11"/>
    <n v="127"/>
    <n v="1"/>
    <n v="1"/>
  </r>
  <r>
    <m/>
    <m/>
    <x v="1"/>
    <s v="72796289004001"/>
    <n v="-4.29"/>
    <n v="175"/>
    <n v="1"/>
    <n v="1"/>
  </r>
  <r>
    <m/>
    <m/>
    <x v="1"/>
    <s v="72889636001003"/>
    <n v="-21.32"/>
    <n v="870"/>
    <n v="1"/>
    <n v="1"/>
  </r>
  <r>
    <m/>
    <m/>
    <x v="1"/>
    <s v="72971361001006"/>
    <n v="-19.579999999999998"/>
    <n v="799"/>
    <n v="1"/>
    <n v="1"/>
  </r>
  <r>
    <m/>
    <m/>
    <x v="1"/>
    <s v="73413066001003"/>
    <n v="-10.58"/>
    <n v="432"/>
    <n v="1"/>
    <n v="1"/>
  </r>
  <r>
    <m/>
    <m/>
    <x v="1"/>
    <s v="73439615001001"/>
    <n v="-7.82"/>
    <n v="319"/>
    <n v="1"/>
    <n v="1"/>
  </r>
  <r>
    <m/>
    <m/>
    <x v="1"/>
    <s v="73630920001004"/>
    <n v="-2.23"/>
    <n v="91"/>
    <n v="1"/>
    <n v="1"/>
  </r>
  <r>
    <m/>
    <m/>
    <x v="1"/>
    <s v="73656211001009"/>
    <n v="-0.1"/>
    <n v="4"/>
    <n v="1"/>
    <n v="1"/>
  </r>
  <r>
    <m/>
    <m/>
    <x v="1"/>
    <s v="73718834002001"/>
    <n v="-2.96"/>
    <n v="121"/>
    <n v="1"/>
    <n v="1"/>
  </r>
  <r>
    <m/>
    <m/>
    <x v="1"/>
    <s v="73822565001003"/>
    <n v="-16.809999999999999"/>
    <n v="686"/>
    <n v="1"/>
    <n v="1"/>
  </r>
  <r>
    <m/>
    <m/>
    <x v="1"/>
    <s v="73969695001003"/>
    <n v="-0.91"/>
    <n v="37"/>
    <n v="1"/>
    <n v="1"/>
  </r>
  <r>
    <m/>
    <m/>
    <x v="1"/>
    <s v="74280289001001"/>
    <n v="-0.2"/>
    <n v="8"/>
    <n v="1"/>
    <n v="1"/>
  </r>
  <r>
    <m/>
    <m/>
    <x v="1"/>
    <s v="74374771001005"/>
    <n v="-20.38"/>
    <n v="832"/>
    <n v="1"/>
    <n v="1"/>
  </r>
  <r>
    <m/>
    <m/>
    <x v="1"/>
    <s v="74556668001006"/>
    <n v="-2.21"/>
    <n v="90"/>
    <n v="1"/>
    <n v="1"/>
  </r>
  <r>
    <m/>
    <m/>
    <x v="1"/>
    <s v="75013681001001"/>
    <n v="-5.76"/>
    <n v="235"/>
    <n v="1"/>
    <n v="1"/>
  </r>
  <r>
    <m/>
    <m/>
    <x v="1"/>
    <s v="75119924001006"/>
    <n v="-0.32"/>
    <n v="13"/>
    <n v="1"/>
    <n v="1"/>
  </r>
  <r>
    <m/>
    <m/>
    <x v="1"/>
    <s v="75149375001006"/>
    <n v="-14.95"/>
    <n v="610"/>
    <n v="1"/>
    <n v="1"/>
  </r>
  <r>
    <m/>
    <m/>
    <x v="1"/>
    <s v="75149880001001"/>
    <n v="-52.9"/>
    <n v="2159"/>
    <n v="1"/>
    <n v="1"/>
  </r>
  <r>
    <m/>
    <m/>
    <x v="1"/>
    <s v="75544198001002"/>
    <n v="-0.32"/>
    <n v="13"/>
    <n v="1"/>
    <n v="1"/>
  </r>
  <r>
    <m/>
    <m/>
    <x v="1"/>
    <s v="76017664001001"/>
    <n v="-1.52"/>
    <n v="62"/>
    <n v="1"/>
    <n v="1"/>
  </r>
  <r>
    <m/>
    <m/>
    <x v="1"/>
    <s v="76615869001006"/>
    <n v="-13.16"/>
    <n v="537"/>
    <n v="1"/>
    <n v="1"/>
  </r>
  <r>
    <m/>
    <m/>
    <x v="1"/>
    <s v="76670454001001"/>
    <n v="-31.16"/>
    <n v="1272"/>
    <n v="1"/>
    <n v="1"/>
  </r>
  <r>
    <m/>
    <m/>
    <x v="1"/>
    <s v="76795463001003"/>
    <n v="-2.6"/>
    <n v="106"/>
    <n v="1"/>
    <n v="1"/>
  </r>
  <r>
    <m/>
    <m/>
    <x v="1"/>
    <s v="76935539003007"/>
    <n v="-0.37"/>
    <n v="15"/>
    <n v="1"/>
    <n v="1"/>
  </r>
  <r>
    <m/>
    <m/>
    <x v="1"/>
    <s v="77297374001003"/>
    <n v="-5.49"/>
    <n v="224"/>
    <n v="1"/>
    <n v="1"/>
  </r>
  <r>
    <m/>
    <m/>
    <x v="1"/>
    <s v="77319670001005"/>
    <n v="-1.76"/>
    <n v="72"/>
    <n v="1"/>
    <n v="1"/>
  </r>
  <r>
    <m/>
    <m/>
    <x v="1"/>
    <s v="77414176001005"/>
    <n v="-31.21"/>
    <n v="1274"/>
    <n v="1"/>
    <n v="1"/>
  </r>
  <r>
    <m/>
    <m/>
    <x v="1"/>
    <s v="77482495003001"/>
    <n v="-2.6"/>
    <n v="106"/>
    <n v="1"/>
    <n v="1"/>
  </r>
  <r>
    <m/>
    <m/>
    <x v="1"/>
    <s v="77922884001002"/>
    <n v="-5.83"/>
    <n v="238"/>
    <n v="1"/>
    <n v="1"/>
  </r>
  <r>
    <m/>
    <m/>
    <x v="1"/>
    <s v="77926272001001"/>
    <n v="-4.26"/>
    <n v="174"/>
    <n v="1"/>
    <n v="1"/>
  </r>
  <r>
    <m/>
    <m/>
    <x v="1"/>
    <s v="78054222001007"/>
    <n v="-15.34"/>
    <n v="626"/>
    <n v="1"/>
    <n v="1"/>
  </r>
  <r>
    <m/>
    <m/>
    <x v="1"/>
    <s v="78067360001002"/>
    <n v="-9.4600000000000009"/>
    <n v="386"/>
    <n v="1"/>
    <n v="1"/>
  </r>
  <r>
    <m/>
    <m/>
    <x v="1"/>
    <s v="78160402001001"/>
    <n v="-0.64"/>
    <n v="26"/>
    <n v="1"/>
    <n v="1"/>
  </r>
  <r>
    <m/>
    <m/>
    <x v="1"/>
    <s v="78347555001002"/>
    <n v="-18.079999999999998"/>
    <n v="738"/>
    <n v="1"/>
    <n v="1"/>
  </r>
  <r>
    <m/>
    <m/>
    <x v="1"/>
    <s v="78605639001001"/>
    <n v="-2.4"/>
    <n v="98"/>
    <n v="1"/>
    <n v="1"/>
  </r>
  <r>
    <m/>
    <m/>
    <x v="1"/>
    <s v="79283500001002"/>
    <n v="-7.74"/>
    <n v="316"/>
    <n v="1"/>
    <n v="1"/>
  </r>
  <r>
    <m/>
    <m/>
    <x v="1"/>
    <s v="79553358002001"/>
    <n v="-1.91"/>
    <n v="78"/>
    <n v="1"/>
    <n v="1"/>
  </r>
  <r>
    <m/>
    <m/>
    <x v="1"/>
    <s v="79889636001005"/>
    <n v="-28.42"/>
    <n v="1160"/>
    <n v="1"/>
    <n v="1"/>
  </r>
  <r>
    <m/>
    <m/>
    <x v="1"/>
    <s v="79989931001001"/>
    <n v="-2.25"/>
    <n v="92"/>
    <n v="1"/>
    <n v="1"/>
  </r>
  <r>
    <m/>
    <m/>
    <x v="1"/>
    <s v="80164416001009"/>
    <n v="-4.41"/>
    <n v="180"/>
    <n v="1"/>
    <n v="1"/>
  </r>
  <r>
    <m/>
    <m/>
    <x v="1"/>
    <s v="80519163003001"/>
    <n v="-32.880000000000003"/>
    <n v="1342"/>
    <n v="1"/>
    <n v="1"/>
  </r>
  <r>
    <m/>
    <m/>
    <x v="1"/>
    <s v="80546282001001"/>
    <n v="-17.170000000000002"/>
    <n v="701"/>
    <n v="1"/>
    <n v="1"/>
  </r>
  <r>
    <m/>
    <m/>
    <x v="1"/>
    <s v="80624981001003"/>
    <n v="-9.36"/>
    <n v="382"/>
    <n v="1"/>
    <n v="1"/>
  </r>
  <r>
    <m/>
    <m/>
    <x v="1"/>
    <s v="80867382002003"/>
    <n v="-20.07"/>
    <n v="819"/>
    <n v="1"/>
    <n v="1"/>
  </r>
  <r>
    <m/>
    <m/>
    <x v="1"/>
    <s v="80918426001002"/>
    <n v="-9.33"/>
    <n v="381"/>
    <n v="1"/>
    <n v="1"/>
  </r>
  <r>
    <m/>
    <m/>
    <x v="1"/>
    <s v="81097028001001"/>
    <n v="-17.690000000000001"/>
    <n v="722"/>
    <n v="1"/>
    <n v="1"/>
  </r>
  <r>
    <m/>
    <m/>
    <x v="1"/>
    <s v="81117422001006"/>
    <n v="-12.2"/>
    <n v="498"/>
    <n v="1"/>
    <n v="1"/>
  </r>
  <r>
    <m/>
    <m/>
    <x v="1"/>
    <s v="81182109001003"/>
    <n v="-16.190000000000001"/>
    <n v="661"/>
    <n v="1"/>
    <n v="1"/>
  </r>
  <r>
    <m/>
    <m/>
    <x v="1"/>
    <s v="81298475001001"/>
    <n v="-5.17"/>
    <n v="211"/>
    <n v="1"/>
    <n v="1"/>
  </r>
  <r>
    <m/>
    <m/>
    <x v="1"/>
    <s v="81454274001001"/>
    <n v="-2.23"/>
    <n v="91"/>
    <n v="1"/>
    <n v="1"/>
  </r>
  <r>
    <m/>
    <m/>
    <x v="1"/>
    <s v="81475200001005"/>
    <n v="-3.14"/>
    <n v="128"/>
    <n v="1"/>
    <n v="1"/>
  </r>
  <r>
    <m/>
    <m/>
    <x v="1"/>
    <s v="81489053002003"/>
    <n v="-29.11"/>
    <n v="1188"/>
    <n v="1"/>
    <n v="1"/>
  </r>
  <r>
    <m/>
    <m/>
    <x v="1"/>
    <s v="81964610001003"/>
    <n v="-14.87"/>
    <n v="607"/>
    <n v="1"/>
    <n v="1"/>
  </r>
  <r>
    <m/>
    <m/>
    <x v="1"/>
    <s v="82041298001001"/>
    <n v="-29.35"/>
    <n v="1198"/>
    <n v="1"/>
    <n v="1"/>
  </r>
  <r>
    <m/>
    <m/>
    <x v="1"/>
    <s v="82043401001001"/>
    <n v="-10.49"/>
    <n v="428"/>
    <n v="1"/>
    <n v="1"/>
  </r>
  <r>
    <m/>
    <m/>
    <x v="1"/>
    <s v="82082422001001"/>
    <n v="-23.54"/>
    <n v="961"/>
    <n v="1"/>
    <n v="1"/>
  </r>
  <r>
    <m/>
    <m/>
    <x v="1"/>
    <s v="82322990001001"/>
    <n v="-11.49"/>
    <n v="469"/>
    <n v="1"/>
    <n v="1"/>
  </r>
  <r>
    <m/>
    <m/>
    <x v="1"/>
    <s v="82389671001001"/>
    <n v="-18.329999999999998"/>
    <n v="748"/>
    <n v="1"/>
    <n v="1"/>
  </r>
  <r>
    <m/>
    <m/>
    <x v="1"/>
    <s v="82697231001002"/>
    <n v="-9.09"/>
    <n v="371"/>
    <n v="1"/>
    <n v="1"/>
  </r>
  <r>
    <m/>
    <m/>
    <x v="1"/>
    <s v="82804369003001"/>
    <n v="-3.16"/>
    <n v="129"/>
    <n v="1"/>
    <n v="1"/>
  </r>
  <r>
    <m/>
    <m/>
    <x v="1"/>
    <s v="82876457001003"/>
    <n v="-0.98"/>
    <n v="40"/>
    <n v="1"/>
    <n v="1"/>
  </r>
  <r>
    <m/>
    <m/>
    <x v="1"/>
    <s v="83012772001001"/>
    <n v="-15.21"/>
    <n v="621"/>
    <n v="1"/>
    <n v="1"/>
  </r>
  <r>
    <m/>
    <m/>
    <x v="1"/>
    <s v="83232170001001"/>
    <n v="-42.34"/>
    <n v="1728"/>
    <n v="1"/>
    <n v="1"/>
  </r>
  <r>
    <m/>
    <m/>
    <x v="1"/>
    <s v="83363898001002"/>
    <n v="-19.55"/>
    <n v="798"/>
    <n v="1"/>
    <n v="1"/>
  </r>
  <r>
    <m/>
    <m/>
    <x v="1"/>
    <s v="83365022001002"/>
    <n v="-5.9"/>
    <n v="241"/>
    <n v="1"/>
    <n v="1"/>
  </r>
  <r>
    <m/>
    <m/>
    <x v="1"/>
    <s v="83430858001001"/>
    <n v="-3.45"/>
    <n v="141"/>
    <n v="1"/>
    <n v="1"/>
  </r>
  <r>
    <m/>
    <m/>
    <x v="1"/>
    <s v="83589580001001"/>
    <n v="-24.45"/>
    <n v="998"/>
    <n v="1"/>
    <n v="1"/>
  </r>
  <r>
    <m/>
    <m/>
    <x v="1"/>
    <s v="83981500001003"/>
    <n v="-1.4"/>
    <n v="57"/>
    <n v="1"/>
    <n v="1"/>
  </r>
  <r>
    <m/>
    <m/>
    <x v="1"/>
    <s v="84160982001001"/>
    <n v="-5.44"/>
    <n v="222"/>
    <n v="1"/>
    <n v="1"/>
  </r>
  <r>
    <m/>
    <m/>
    <x v="1"/>
    <s v="84270072001001"/>
    <n v="-3.72"/>
    <n v="152"/>
    <n v="1"/>
    <n v="1"/>
  </r>
  <r>
    <m/>
    <m/>
    <x v="1"/>
    <s v="84296270001001"/>
    <n v="-13.99"/>
    <n v="571"/>
    <n v="1"/>
    <n v="1"/>
  </r>
  <r>
    <m/>
    <m/>
    <x v="1"/>
    <s v="84431263001001"/>
    <n v="-8.26"/>
    <n v="337"/>
    <n v="1"/>
    <n v="1"/>
  </r>
  <r>
    <m/>
    <m/>
    <x v="1"/>
    <s v="84503562001003"/>
    <n v="-21.49"/>
    <n v="877"/>
    <n v="1"/>
    <n v="1"/>
  </r>
  <r>
    <m/>
    <m/>
    <x v="1"/>
    <s v="84767508001007"/>
    <n v="-2.99"/>
    <n v="122"/>
    <n v="1"/>
    <n v="1"/>
  </r>
  <r>
    <m/>
    <m/>
    <x v="1"/>
    <s v="84854567001007"/>
    <n v="-30.48"/>
    <n v="1244"/>
    <n v="1"/>
    <n v="1"/>
  </r>
  <r>
    <m/>
    <m/>
    <x v="1"/>
    <s v="84929826001001"/>
    <n v="-0.76"/>
    <n v="31"/>
    <n v="1"/>
    <n v="1"/>
  </r>
  <r>
    <m/>
    <m/>
    <x v="1"/>
    <s v="84938068001001"/>
    <n v="-13.16"/>
    <n v="537"/>
    <n v="1"/>
    <n v="1"/>
  </r>
  <r>
    <m/>
    <m/>
    <x v="1"/>
    <s v="85042047001001"/>
    <n v="-8.2100000000000009"/>
    <n v="335"/>
    <n v="1"/>
    <n v="1"/>
  </r>
  <r>
    <m/>
    <m/>
    <x v="1"/>
    <s v="85218753001001"/>
    <n v="-5.73"/>
    <n v="234"/>
    <n v="1"/>
    <n v="1"/>
  </r>
  <r>
    <m/>
    <m/>
    <x v="1"/>
    <s v="85220903001004"/>
    <n v="-7.01"/>
    <n v="286"/>
    <n v="1"/>
    <n v="1"/>
  </r>
  <r>
    <m/>
    <m/>
    <x v="1"/>
    <s v="85464036001001"/>
    <n v="-9.9"/>
    <n v="404"/>
    <n v="1"/>
    <n v="1"/>
  </r>
  <r>
    <m/>
    <m/>
    <x v="1"/>
    <s v="85530270001005"/>
    <n v="-11.69"/>
    <n v="477"/>
    <n v="1"/>
    <n v="1"/>
  </r>
  <r>
    <m/>
    <m/>
    <x v="1"/>
    <s v="85986593003001"/>
    <n v="-8.8699999999999992"/>
    <n v="362"/>
    <n v="1"/>
    <n v="1"/>
  </r>
  <r>
    <m/>
    <m/>
    <x v="1"/>
    <s v="86574879001008"/>
    <n v="-40.96"/>
    <n v="1672"/>
    <n v="1"/>
    <n v="1"/>
  </r>
  <r>
    <m/>
    <m/>
    <x v="1"/>
    <s v="86808270001005"/>
    <n v="-6.1"/>
    <n v="249"/>
    <n v="1"/>
    <n v="1"/>
  </r>
  <r>
    <m/>
    <m/>
    <x v="1"/>
    <s v="86974765001001"/>
    <n v="-9.24"/>
    <n v="377"/>
    <n v="1"/>
    <n v="1"/>
  </r>
  <r>
    <m/>
    <m/>
    <x v="1"/>
    <s v="87090986001001"/>
    <n v="-2.82"/>
    <n v="115"/>
    <n v="1"/>
    <n v="1"/>
  </r>
  <r>
    <m/>
    <m/>
    <x v="1"/>
    <s v="87157714001003"/>
    <n v="-1.4"/>
    <n v="57"/>
    <n v="1"/>
    <n v="1"/>
  </r>
  <r>
    <m/>
    <m/>
    <x v="1"/>
    <s v="87298950001009"/>
    <n v="-0.32"/>
    <n v="13"/>
    <n v="1"/>
    <n v="1"/>
  </r>
  <r>
    <m/>
    <m/>
    <x v="1"/>
    <s v="87496184001004"/>
    <n v="-0.49"/>
    <n v="20"/>
    <n v="1"/>
    <n v="1"/>
  </r>
  <r>
    <m/>
    <m/>
    <x v="1"/>
    <s v="87567739001004"/>
    <n v="-5.66"/>
    <n v="231"/>
    <n v="1"/>
    <n v="1"/>
  </r>
  <r>
    <m/>
    <m/>
    <x v="1"/>
    <s v="87986176002001"/>
    <n v="-26.8"/>
    <n v="1094"/>
    <n v="1"/>
    <n v="1"/>
  </r>
  <r>
    <m/>
    <m/>
    <x v="1"/>
    <s v="88075199001001"/>
    <n v="-5.98"/>
    <n v="244"/>
    <n v="1"/>
    <n v="1"/>
  </r>
  <r>
    <m/>
    <m/>
    <x v="1"/>
    <s v="88446829001001"/>
    <n v="-7.67"/>
    <n v="313"/>
    <n v="1"/>
    <n v="1"/>
  </r>
  <r>
    <m/>
    <m/>
    <x v="1"/>
    <s v="88674501001001"/>
    <n v="-2.4700000000000002"/>
    <n v="101"/>
    <n v="1"/>
    <n v="1"/>
  </r>
  <r>
    <m/>
    <m/>
    <x v="1"/>
    <s v="88716719002003"/>
    <n v="-14.46"/>
    <n v="590"/>
    <n v="1"/>
    <n v="1"/>
  </r>
  <r>
    <m/>
    <m/>
    <x v="1"/>
    <s v="88795471002001"/>
    <n v="-4.8499999999999996"/>
    <n v="198"/>
    <n v="1"/>
    <n v="1"/>
  </r>
  <r>
    <m/>
    <m/>
    <x v="1"/>
    <s v="88847370001001"/>
    <n v="-0.22"/>
    <n v="9"/>
    <n v="1"/>
    <n v="1"/>
  </r>
  <r>
    <m/>
    <m/>
    <x v="1"/>
    <s v="89115051002001"/>
    <n v="-11.98"/>
    <n v="489"/>
    <n v="1"/>
    <n v="1"/>
  </r>
  <r>
    <m/>
    <m/>
    <x v="1"/>
    <s v="89435607001002"/>
    <n v="-10.14"/>
    <n v="414"/>
    <n v="1"/>
    <n v="1"/>
  </r>
  <r>
    <m/>
    <m/>
    <x v="1"/>
    <s v="89520809001009"/>
    <n v="-17.760000000000002"/>
    <n v="725"/>
    <n v="1"/>
    <n v="1"/>
  </r>
  <r>
    <m/>
    <m/>
    <x v="1"/>
    <s v="90452230001004"/>
    <n v="-5.51"/>
    <n v="225"/>
    <n v="1"/>
    <n v="1"/>
  </r>
  <r>
    <m/>
    <m/>
    <x v="1"/>
    <s v="90466455001004"/>
    <n v="-10.220000000000001"/>
    <n v="417"/>
    <n v="1"/>
    <n v="1"/>
  </r>
  <r>
    <m/>
    <m/>
    <x v="1"/>
    <s v="91610458001002"/>
    <n v="-8.8699999999999992"/>
    <n v="362"/>
    <n v="1"/>
    <n v="1"/>
  </r>
  <r>
    <m/>
    <m/>
    <x v="1"/>
    <s v="91666691002003"/>
    <n v="-37.24"/>
    <n v="1520"/>
    <n v="1"/>
    <n v="1"/>
  </r>
  <r>
    <m/>
    <m/>
    <x v="1"/>
    <s v="91700255001001"/>
    <n v="-15.85"/>
    <n v="647"/>
    <n v="1"/>
    <n v="1"/>
  </r>
  <r>
    <m/>
    <m/>
    <x v="1"/>
    <s v="91727388001001"/>
    <n v="-1.91"/>
    <n v="78"/>
    <n v="1"/>
    <n v="1"/>
  </r>
  <r>
    <m/>
    <m/>
    <x v="1"/>
    <s v="92284333001003"/>
    <n v="-4.7"/>
    <n v="192"/>
    <n v="1"/>
    <n v="1"/>
  </r>
  <r>
    <m/>
    <m/>
    <x v="1"/>
    <s v="92517163002004"/>
    <n v="-14.21"/>
    <n v="580"/>
    <n v="1"/>
    <n v="1"/>
  </r>
  <r>
    <m/>
    <m/>
    <x v="1"/>
    <s v="92602233001001"/>
    <n v="-22.32"/>
    <n v="911"/>
    <n v="1"/>
    <n v="1"/>
  </r>
  <r>
    <m/>
    <m/>
    <x v="1"/>
    <s v="92631033001005"/>
    <n v="-12.67"/>
    <n v="517"/>
    <n v="2"/>
    <n v="1"/>
  </r>
  <r>
    <m/>
    <m/>
    <x v="1"/>
    <s v="93107160001010"/>
    <n v="-6.69"/>
    <n v="273"/>
    <n v="1"/>
    <n v="1"/>
  </r>
  <r>
    <m/>
    <m/>
    <x v="1"/>
    <s v="93146187001002"/>
    <n v="-12.18"/>
    <n v="497"/>
    <n v="1"/>
    <n v="1"/>
  </r>
  <r>
    <m/>
    <m/>
    <x v="1"/>
    <s v="93316698001001"/>
    <n v="-4.1900000000000004"/>
    <n v="171"/>
    <n v="1"/>
    <n v="1"/>
  </r>
  <r>
    <m/>
    <m/>
    <x v="1"/>
    <s v="93525219001001"/>
    <n v="-13.33"/>
    <n v="544"/>
    <n v="1"/>
    <n v="1"/>
  </r>
  <r>
    <m/>
    <m/>
    <x v="1"/>
    <s v="94120500001002"/>
    <n v="-13.62"/>
    <n v="556"/>
    <n v="1"/>
    <n v="1"/>
  </r>
  <r>
    <m/>
    <m/>
    <x v="1"/>
    <s v="94290441002001"/>
    <n v="-7.77"/>
    <n v="317"/>
    <n v="1"/>
    <n v="1"/>
  </r>
  <r>
    <m/>
    <m/>
    <x v="1"/>
    <s v="94513633001005"/>
    <n v="-4.51"/>
    <n v="184"/>
    <n v="1"/>
    <n v="1"/>
  </r>
  <r>
    <m/>
    <m/>
    <x v="1"/>
    <s v="94908251002001"/>
    <n v="-27.98"/>
    <n v="1142"/>
    <n v="1"/>
    <n v="1"/>
  </r>
  <r>
    <m/>
    <m/>
    <x v="1"/>
    <s v="94963671001001"/>
    <n v="-19.010000000000002"/>
    <n v="776"/>
    <n v="1"/>
    <n v="1"/>
  </r>
  <r>
    <m/>
    <m/>
    <x v="1"/>
    <s v="95092911001001"/>
    <n v="-6.66"/>
    <n v="272"/>
    <n v="1"/>
    <n v="1"/>
  </r>
  <r>
    <m/>
    <m/>
    <x v="1"/>
    <s v="95227952004001"/>
    <n v="-12.64"/>
    <n v="516"/>
    <n v="1"/>
    <n v="1"/>
  </r>
  <r>
    <m/>
    <m/>
    <x v="1"/>
    <s v="95229231001002"/>
    <n v="-6.13"/>
    <n v="250"/>
    <n v="1"/>
    <n v="1"/>
  </r>
  <r>
    <m/>
    <m/>
    <x v="1"/>
    <s v="95311280001001"/>
    <n v="-1.42"/>
    <n v="58"/>
    <n v="1"/>
    <n v="1"/>
  </r>
  <r>
    <m/>
    <m/>
    <x v="1"/>
    <s v="95431402002004"/>
    <n v="-0.51"/>
    <n v="21"/>
    <n v="1"/>
    <n v="1"/>
  </r>
  <r>
    <m/>
    <m/>
    <x v="1"/>
    <s v="95972381001002"/>
    <n v="-8.6"/>
    <n v="351"/>
    <n v="1"/>
    <n v="1"/>
  </r>
  <r>
    <m/>
    <m/>
    <x v="1"/>
    <s v="96052911001001"/>
    <n v="-8.94"/>
    <n v="365"/>
    <n v="1"/>
    <n v="1"/>
  </r>
  <r>
    <m/>
    <m/>
    <x v="1"/>
    <s v="96171891001007"/>
    <n v="-21.07"/>
    <n v="860"/>
    <n v="1"/>
    <n v="1"/>
  </r>
  <r>
    <m/>
    <m/>
    <x v="1"/>
    <s v="96258552001004"/>
    <n v="-3.58"/>
    <n v="146"/>
    <n v="1"/>
    <n v="1"/>
  </r>
  <r>
    <m/>
    <m/>
    <x v="1"/>
    <s v="96989595001001"/>
    <n v="-24.21"/>
    <n v="988"/>
    <n v="1"/>
    <n v="1"/>
  </r>
  <r>
    <m/>
    <m/>
    <x v="1"/>
    <s v="97019963001004"/>
    <n v="-2.08"/>
    <n v="85"/>
    <n v="1"/>
    <n v="1"/>
  </r>
  <r>
    <m/>
    <m/>
    <x v="1"/>
    <s v="97033053001001"/>
    <n v="-19.62"/>
    <n v="801"/>
    <n v="1"/>
    <n v="1"/>
  </r>
  <r>
    <m/>
    <m/>
    <x v="1"/>
    <s v="97517408001003"/>
    <n v="-0.49"/>
    <n v="20"/>
    <n v="1"/>
    <n v="1"/>
  </r>
  <r>
    <m/>
    <m/>
    <x v="1"/>
    <s v="98110040001001"/>
    <n v="-6.49"/>
    <n v="265"/>
    <n v="1"/>
    <n v="1"/>
  </r>
  <r>
    <m/>
    <m/>
    <x v="1"/>
    <s v="98185698003001"/>
    <n v="-13.72"/>
    <n v="560"/>
    <n v="1"/>
    <n v="1"/>
  </r>
  <r>
    <m/>
    <m/>
    <x v="1"/>
    <s v="98198597001001"/>
    <n v="-0.71"/>
    <n v="29"/>
    <n v="1"/>
    <n v="1"/>
  </r>
  <r>
    <m/>
    <m/>
    <x v="1"/>
    <s v="98361540001003"/>
    <n v="-1.37"/>
    <n v="56"/>
    <n v="1"/>
    <n v="1"/>
  </r>
  <r>
    <m/>
    <m/>
    <x v="1"/>
    <s v="99609771001001"/>
    <n v="-10.49"/>
    <n v="428"/>
    <n v="1"/>
    <n v="1"/>
  </r>
  <r>
    <m/>
    <m/>
    <x v="1"/>
    <s v="99689334001002"/>
    <n v="-20.260000000000002"/>
    <n v="827"/>
    <n v="1"/>
    <n v="1"/>
  </r>
  <r>
    <m/>
    <m/>
    <x v="1"/>
    <s v="99789909001001"/>
    <n v="-1.1299999999999999"/>
    <n v="46"/>
    <n v="1"/>
    <n v="1"/>
  </r>
  <r>
    <m/>
    <m/>
    <x v="1"/>
    <s v="99831171002001"/>
    <n v="-25.82"/>
    <n v="1054"/>
    <n v="1"/>
    <n v="1"/>
  </r>
  <r>
    <m/>
    <m/>
    <x v="2"/>
    <m/>
    <n v="-7987.0399999999991"/>
    <n v="325998"/>
    <n v="723"/>
    <n v="721"/>
  </r>
  <r>
    <m/>
    <m/>
    <x v="3"/>
    <s v="00251568001001"/>
    <n v="-3.18"/>
    <n v="81"/>
    <n v="1"/>
    <n v="1"/>
  </r>
  <r>
    <m/>
    <m/>
    <x v="1"/>
    <s v="00416718001001"/>
    <n v="-4.63"/>
    <n v="118"/>
    <n v="1"/>
    <n v="1"/>
  </r>
  <r>
    <m/>
    <m/>
    <x v="1"/>
    <s v="00615047002001"/>
    <n v="-10.16"/>
    <n v="259"/>
    <n v="1"/>
    <n v="1"/>
  </r>
  <r>
    <m/>
    <m/>
    <x v="1"/>
    <s v="00620929001002"/>
    <n v="-2.2000000000000002"/>
    <n v="56"/>
    <n v="1"/>
    <n v="1"/>
  </r>
  <r>
    <m/>
    <m/>
    <x v="1"/>
    <s v="01028343001005"/>
    <n v="-39.369999999999997"/>
    <n v="1004"/>
    <n v="1"/>
    <n v="1"/>
  </r>
  <r>
    <m/>
    <m/>
    <x v="1"/>
    <s v="01519525001005"/>
    <n v="-5.0999999999999996"/>
    <n v="130"/>
    <n v="1"/>
    <n v="1"/>
  </r>
  <r>
    <m/>
    <m/>
    <x v="1"/>
    <s v="01727666001002"/>
    <n v="-8.6999999999999993"/>
    <n v="222"/>
    <n v="1"/>
    <n v="1"/>
  </r>
  <r>
    <m/>
    <m/>
    <x v="1"/>
    <s v="01858972001001"/>
    <n v="-10.59"/>
    <n v="270"/>
    <n v="1"/>
    <n v="1"/>
  </r>
  <r>
    <m/>
    <m/>
    <x v="1"/>
    <s v="02367690001003"/>
    <n v="-4.08"/>
    <n v="104"/>
    <n v="1"/>
    <n v="1"/>
  </r>
  <r>
    <m/>
    <m/>
    <x v="1"/>
    <s v="02382323002001"/>
    <n v="-14.98"/>
    <n v="382"/>
    <n v="1"/>
    <n v="1"/>
  </r>
  <r>
    <m/>
    <m/>
    <x v="1"/>
    <s v="02761318001001"/>
    <n v="-26.31"/>
    <n v="671"/>
    <n v="1"/>
    <n v="1"/>
  </r>
  <r>
    <m/>
    <m/>
    <x v="1"/>
    <s v="02792185008003"/>
    <n v="-3.8"/>
    <n v="97"/>
    <n v="1"/>
    <n v="1"/>
  </r>
  <r>
    <m/>
    <m/>
    <x v="1"/>
    <s v="02848483001001"/>
    <n v="-3.65"/>
    <n v="93"/>
    <n v="1"/>
    <n v="1"/>
  </r>
  <r>
    <m/>
    <m/>
    <x v="1"/>
    <s v="03276788001006"/>
    <n v="-4.67"/>
    <n v="119"/>
    <n v="1"/>
    <n v="1"/>
  </r>
  <r>
    <m/>
    <m/>
    <x v="1"/>
    <s v="03425988001004"/>
    <n v="-18.940000000000001"/>
    <n v="483"/>
    <n v="1"/>
    <n v="1"/>
  </r>
  <r>
    <m/>
    <m/>
    <x v="1"/>
    <s v="03428866001003"/>
    <n v="-18.190000000000001"/>
    <n v="464"/>
    <n v="1"/>
    <n v="1"/>
  </r>
  <r>
    <m/>
    <m/>
    <x v="1"/>
    <s v="04365606001002"/>
    <n v="-54.38"/>
    <n v="1387"/>
    <n v="1"/>
    <n v="1"/>
  </r>
  <r>
    <m/>
    <m/>
    <x v="1"/>
    <s v="04707114001003"/>
    <n v="-50.78"/>
    <n v="1295"/>
    <n v="1"/>
    <n v="1"/>
  </r>
  <r>
    <m/>
    <m/>
    <x v="1"/>
    <s v="04758207001001"/>
    <n v="-36.619999999999997"/>
    <n v="934"/>
    <n v="1"/>
    <n v="1"/>
  </r>
  <r>
    <m/>
    <m/>
    <x v="1"/>
    <s v="04759970003001"/>
    <n v="-32.619999999999997"/>
    <n v="832"/>
    <n v="1"/>
    <n v="1"/>
  </r>
  <r>
    <m/>
    <m/>
    <x v="1"/>
    <s v="04813613001001"/>
    <n v="-15.14"/>
    <n v="386"/>
    <n v="1"/>
    <n v="1"/>
  </r>
  <r>
    <m/>
    <m/>
    <x v="1"/>
    <s v="05077769001001"/>
    <n v="-3.45"/>
    <n v="88"/>
    <n v="1"/>
    <n v="1"/>
  </r>
  <r>
    <m/>
    <m/>
    <x v="1"/>
    <s v="05266292001004"/>
    <n v="-8.67"/>
    <n v="221"/>
    <n v="1"/>
    <n v="1"/>
  </r>
  <r>
    <m/>
    <m/>
    <x v="1"/>
    <s v="05608094001001"/>
    <n v="-2.08"/>
    <n v="53"/>
    <n v="1"/>
    <n v="1"/>
  </r>
  <r>
    <m/>
    <m/>
    <x v="1"/>
    <s v="05803986001003"/>
    <n v="-41.84"/>
    <n v="1067"/>
    <n v="1"/>
    <n v="1"/>
  </r>
  <r>
    <m/>
    <m/>
    <x v="1"/>
    <s v="06815394001001"/>
    <n v="-8.19"/>
    <n v="209"/>
    <n v="1"/>
    <n v="1"/>
  </r>
  <r>
    <m/>
    <m/>
    <x v="1"/>
    <s v="06870862001003"/>
    <n v="-5.33"/>
    <n v="136"/>
    <n v="1"/>
    <n v="1"/>
  </r>
  <r>
    <m/>
    <m/>
    <x v="1"/>
    <s v="07561969008001"/>
    <n v="-16.27"/>
    <n v="415"/>
    <n v="1"/>
    <n v="1"/>
  </r>
  <r>
    <m/>
    <m/>
    <x v="1"/>
    <s v="07573474001004"/>
    <n v="-0.78"/>
    <n v="20"/>
    <n v="1"/>
    <n v="1"/>
  </r>
  <r>
    <m/>
    <m/>
    <x v="1"/>
    <s v="08233163001005"/>
    <n v="-65.83"/>
    <n v="1679"/>
    <n v="1"/>
    <n v="1"/>
  </r>
  <r>
    <m/>
    <m/>
    <x v="1"/>
    <s v="08355466001007"/>
    <n v="-52.03"/>
    <n v="1327"/>
    <n v="1"/>
    <n v="1"/>
  </r>
  <r>
    <m/>
    <m/>
    <x v="1"/>
    <s v="08544021001001"/>
    <n v="-16.39"/>
    <n v="418"/>
    <n v="1"/>
    <n v="1"/>
  </r>
  <r>
    <m/>
    <m/>
    <x v="1"/>
    <s v="08765056001005"/>
    <n v="-9.57"/>
    <n v="244"/>
    <n v="1"/>
    <n v="1"/>
  </r>
  <r>
    <m/>
    <m/>
    <x v="1"/>
    <s v="08897151001004"/>
    <n v="-7.02"/>
    <n v="179"/>
    <n v="1"/>
    <n v="1"/>
  </r>
  <r>
    <m/>
    <m/>
    <x v="1"/>
    <s v="08951802001002"/>
    <n v="-24.15"/>
    <n v="616"/>
    <n v="1"/>
    <n v="1"/>
  </r>
  <r>
    <m/>
    <m/>
    <x v="1"/>
    <s v="08985850001001"/>
    <n v="-1.06"/>
    <n v="27"/>
    <n v="1"/>
    <n v="1"/>
  </r>
  <r>
    <m/>
    <m/>
    <x v="1"/>
    <s v="09032815001002"/>
    <n v="-53.52"/>
    <n v="1365"/>
    <n v="1"/>
    <n v="1"/>
  </r>
  <r>
    <m/>
    <m/>
    <x v="1"/>
    <s v="09089643001002"/>
    <n v="-18.899999999999999"/>
    <n v="482"/>
    <n v="1"/>
    <n v="1"/>
  </r>
  <r>
    <m/>
    <m/>
    <x v="1"/>
    <s v="09353338001001"/>
    <n v="-13.37"/>
    <n v="341"/>
    <n v="1"/>
    <n v="1"/>
  </r>
  <r>
    <m/>
    <m/>
    <x v="1"/>
    <s v="09433245001005"/>
    <n v="-8.51"/>
    <n v="217"/>
    <n v="1"/>
    <n v="1"/>
  </r>
  <r>
    <m/>
    <m/>
    <x v="1"/>
    <s v="09510965001001"/>
    <n v="-48.54"/>
    <n v="1238"/>
    <n v="1"/>
    <n v="1"/>
  </r>
  <r>
    <m/>
    <m/>
    <x v="1"/>
    <s v="09777774001001"/>
    <n v="-10.67"/>
    <n v="272"/>
    <n v="1"/>
    <n v="1"/>
  </r>
  <r>
    <m/>
    <m/>
    <x v="1"/>
    <s v="09951231001001"/>
    <n v="-32.15"/>
    <n v="820"/>
    <n v="1"/>
    <n v="1"/>
  </r>
  <r>
    <m/>
    <m/>
    <x v="1"/>
    <s v="10427012001001"/>
    <n v="-11.21"/>
    <n v="286"/>
    <n v="1"/>
    <n v="1"/>
  </r>
  <r>
    <m/>
    <m/>
    <x v="1"/>
    <s v="10650049001003"/>
    <n v="-1.29"/>
    <n v="33"/>
    <n v="1"/>
    <n v="1"/>
  </r>
  <r>
    <m/>
    <m/>
    <x v="1"/>
    <s v="10769950001001"/>
    <n v="-20.7"/>
    <n v="528"/>
    <n v="1"/>
    <n v="1"/>
  </r>
  <r>
    <m/>
    <m/>
    <x v="1"/>
    <s v="11181273001011"/>
    <n v="-40.5"/>
    <n v="1033"/>
    <n v="1"/>
    <n v="1"/>
  </r>
  <r>
    <m/>
    <m/>
    <x v="1"/>
    <s v="11284469001003"/>
    <n v="-11.37"/>
    <n v="290"/>
    <n v="1"/>
    <n v="1"/>
  </r>
  <r>
    <m/>
    <m/>
    <x v="1"/>
    <s v="11498623002001"/>
    <n v="-41.37"/>
    <n v="1055"/>
    <n v="1"/>
    <n v="1"/>
  </r>
  <r>
    <m/>
    <m/>
    <x v="1"/>
    <s v="11558237001001"/>
    <n v="-31.76"/>
    <n v="810"/>
    <n v="1"/>
    <n v="1"/>
  </r>
  <r>
    <m/>
    <m/>
    <x v="1"/>
    <s v="11762846001001"/>
    <n v="-1.29"/>
    <n v="33"/>
    <n v="1"/>
    <n v="1"/>
  </r>
  <r>
    <m/>
    <m/>
    <x v="1"/>
    <s v="11913025001002"/>
    <n v="-34.700000000000003"/>
    <n v="885"/>
    <n v="1"/>
    <n v="1"/>
  </r>
  <r>
    <m/>
    <m/>
    <x v="1"/>
    <s v="11918881001001"/>
    <n v="-1.69"/>
    <n v="43"/>
    <n v="1"/>
    <n v="1"/>
  </r>
  <r>
    <m/>
    <m/>
    <x v="1"/>
    <s v="11968828001003"/>
    <n v="-8.43"/>
    <n v="215"/>
    <n v="1"/>
    <n v="1"/>
  </r>
  <r>
    <m/>
    <m/>
    <x v="1"/>
    <s v="12190639001002"/>
    <n v="-7.8"/>
    <n v="199"/>
    <n v="1"/>
    <n v="1"/>
  </r>
  <r>
    <m/>
    <m/>
    <x v="1"/>
    <s v="12591289001004"/>
    <n v="-11.41"/>
    <n v="291"/>
    <n v="1"/>
    <n v="1"/>
  </r>
  <r>
    <m/>
    <m/>
    <x v="1"/>
    <s v="12818134001004"/>
    <n v="-7.53"/>
    <n v="192"/>
    <n v="1"/>
    <n v="1"/>
  </r>
  <r>
    <m/>
    <m/>
    <x v="1"/>
    <s v="13203269001001"/>
    <n v="-32.51"/>
    <n v="829"/>
    <n v="1"/>
    <n v="1"/>
  </r>
  <r>
    <m/>
    <m/>
    <x v="1"/>
    <s v="13255124001001"/>
    <n v="-17.61"/>
    <n v="449"/>
    <n v="1"/>
    <n v="1"/>
  </r>
  <r>
    <m/>
    <m/>
    <x v="1"/>
    <s v="13653453001001"/>
    <n v="-8.94"/>
    <n v="228"/>
    <n v="1"/>
    <n v="1"/>
  </r>
  <r>
    <m/>
    <m/>
    <x v="1"/>
    <s v="13794916004003"/>
    <n v="-21.64"/>
    <n v="552"/>
    <n v="1"/>
    <n v="1"/>
  </r>
  <r>
    <m/>
    <m/>
    <x v="1"/>
    <s v="14250991001001"/>
    <n v="-8.35"/>
    <n v="213"/>
    <n v="1"/>
    <n v="1"/>
  </r>
  <r>
    <m/>
    <m/>
    <x v="1"/>
    <s v="14612915001001"/>
    <n v="-4.04"/>
    <n v="103"/>
    <n v="1"/>
    <n v="1"/>
  </r>
  <r>
    <m/>
    <m/>
    <x v="1"/>
    <s v="14884998001013"/>
    <n v="-30.66"/>
    <n v="782"/>
    <n v="1"/>
    <n v="1"/>
  </r>
  <r>
    <m/>
    <m/>
    <x v="1"/>
    <s v="15120810001001"/>
    <n v="-4.78"/>
    <n v="122"/>
    <n v="1"/>
    <n v="1"/>
  </r>
  <r>
    <m/>
    <m/>
    <x v="1"/>
    <s v="15197163001001"/>
    <n v="-31.13"/>
    <n v="794"/>
    <n v="1"/>
    <n v="1"/>
  </r>
  <r>
    <m/>
    <m/>
    <x v="1"/>
    <s v="15210168001005"/>
    <n v="-19.059999999999999"/>
    <n v="486"/>
    <n v="1"/>
    <n v="1"/>
  </r>
  <r>
    <m/>
    <m/>
    <x v="1"/>
    <s v="15429562002003"/>
    <n v="-9.92"/>
    <n v="253"/>
    <n v="1"/>
    <n v="1"/>
  </r>
  <r>
    <m/>
    <m/>
    <x v="1"/>
    <s v="15475885001003"/>
    <n v="-36.39"/>
    <n v="928"/>
    <n v="1"/>
    <n v="1"/>
  </r>
  <r>
    <m/>
    <m/>
    <x v="1"/>
    <s v="15522534001001"/>
    <n v="-0.9"/>
    <n v="23"/>
    <n v="1"/>
    <n v="1"/>
  </r>
  <r>
    <m/>
    <m/>
    <x v="1"/>
    <s v="15964327001009"/>
    <n v="-14.31"/>
    <n v="365"/>
    <n v="1"/>
    <n v="1"/>
  </r>
  <r>
    <m/>
    <m/>
    <x v="1"/>
    <s v="16027128001001"/>
    <n v="-0.78"/>
    <n v="20"/>
    <n v="1"/>
    <n v="1"/>
  </r>
  <r>
    <m/>
    <m/>
    <x v="1"/>
    <s v="16212832003001"/>
    <n v="-34.78"/>
    <n v="887"/>
    <n v="1"/>
    <n v="1"/>
  </r>
  <r>
    <m/>
    <m/>
    <x v="1"/>
    <s v="16268790001003"/>
    <n v="-47.44"/>
    <n v="1210"/>
    <n v="1"/>
    <n v="1"/>
  </r>
  <r>
    <m/>
    <m/>
    <x v="1"/>
    <s v="16343113001003"/>
    <n v="-7.18"/>
    <n v="183"/>
    <n v="1"/>
    <n v="1"/>
  </r>
  <r>
    <m/>
    <m/>
    <x v="1"/>
    <s v="16414586003001"/>
    <n v="-30.9"/>
    <n v="788"/>
    <n v="1"/>
    <n v="1"/>
  </r>
  <r>
    <m/>
    <m/>
    <x v="1"/>
    <s v="16474562001006"/>
    <n v="-8"/>
    <n v="204"/>
    <n v="1"/>
    <n v="1"/>
  </r>
  <r>
    <m/>
    <m/>
    <x v="1"/>
    <s v="16578645001005"/>
    <n v="-27.68"/>
    <n v="706"/>
    <n v="1"/>
    <n v="1"/>
  </r>
  <r>
    <m/>
    <m/>
    <x v="1"/>
    <s v="16614801002003"/>
    <n v="-32.31"/>
    <n v="824"/>
    <n v="1"/>
    <n v="1"/>
  </r>
  <r>
    <m/>
    <m/>
    <x v="1"/>
    <s v="16709268001002"/>
    <n v="-2.31"/>
    <n v="59"/>
    <n v="1"/>
    <n v="1"/>
  </r>
  <r>
    <m/>
    <m/>
    <x v="1"/>
    <s v="17120760002004"/>
    <n v="-15.1"/>
    <n v="385"/>
    <n v="1"/>
    <n v="1"/>
  </r>
  <r>
    <m/>
    <m/>
    <x v="1"/>
    <s v="17143195002001"/>
    <n v="-45.13"/>
    <n v="1151"/>
    <n v="1"/>
    <n v="1"/>
  </r>
  <r>
    <m/>
    <m/>
    <x v="1"/>
    <s v="17146839001001"/>
    <n v="-0.59"/>
    <n v="15"/>
    <n v="1"/>
    <n v="1"/>
  </r>
  <r>
    <m/>
    <m/>
    <x v="1"/>
    <s v="17156447001001"/>
    <n v="-17.53"/>
    <n v="447"/>
    <n v="1"/>
    <n v="1"/>
  </r>
  <r>
    <m/>
    <m/>
    <x v="1"/>
    <s v="17226786001001"/>
    <n v="-22.78"/>
    <n v="581"/>
    <n v="1"/>
    <n v="1"/>
  </r>
  <r>
    <m/>
    <m/>
    <x v="1"/>
    <s v="17479759004002"/>
    <n v="-1.65"/>
    <n v="42"/>
    <n v="1"/>
    <n v="1"/>
  </r>
  <r>
    <m/>
    <m/>
    <x v="1"/>
    <s v="17540542001001"/>
    <n v="-60.85"/>
    <n v="1552"/>
    <n v="1"/>
    <n v="1"/>
  </r>
  <r>
    <m/>
    <m/>
    <x v="1"/>
    <s v="17724609001006"/>
    <n v="-3.02"/>
    <n v="77"/>
    <n v="1"/>
    <n v="1"/>
  </r>
  <r>
    <m/>
    <m/>
    <x v="1"/>
    <s v="17773522002001"/>
    <n v="-2.08"/>
    <n v="53"/>
    <n v="1"/>
    <n v="1"/>
  </r>
  <r>
    <m/>
    <m/>
    <x v="1"/>
    <s v="18046704001003"/>
    <n v="-2.94"/>
    <n v="75"/>
    <n v="1"/>
    <n v="1"/>
  </r>
  <r>
    <m/>
    <m/>
    <x v="1"/>
    <s v="18557213001004"/>
    <n v="-6.12"/>
    <n v="156"/>
    <n v="1"/>
    <n v="1"/>
  </r>
  <r>
    <m/>
    <m/>
    <x v="1"/>
    <s v="18634519001001"/>
    <n v="-4.2"/>
    <n v="107"/>
    <n v="1"/>
    <n v="1"/>
  </r>
  <r>
    <m/>
    <m/>
    <x v="1"/>
    <s v="18802755001007"/>
    <n v="-1.18"/>
    <n v="30"/>
    <n v="1"/>
    <n v="1"/>
  </r>
  <r>
    <m/>
    <m/>
    <x v="1"/>
    <s v="18996093002001"/>
    <n v="-31.64"/>
    <n v="807"/>
    <n v="1"/>
    <n v="1"/>
  </r>
  <r>
    <m/>
    <m/>
    <x v="1"/>
    <s v="19009803001003"/>
    <n v="-5.69"/>
    <n v="145"/>
    <n v="1"/>
    <n v="1"/>
  </r>
  <r>
    <m/>
    <m/>
    <x v="1"/>
    <s v="19283696002001"/>
    <n v="-25.37"/>
    <n v="647"/>
    <n v="1"/>
    <n v="1"/>
  </r>
  <r>
    <m/>
    <m/>
    <x v="1"/>
    <s v="19345185001001"/>
    <n v="-56.89"/>
    <n v="1451"/>
    <n v="1"/>
    <n v="1"/>
  </r>
  <r>
    <m/>
    <m/>
    <x v="1"/>
    <s v="19672904001001"/>
    <n v="-5.96"/>
    <n v="152"/>
    <n v="1"/>
    <n v="1"/>
  </r>
  <r>
    <m/>
    <m/>
    <x v="1"/>
    <s v="19748155001005"/>
    <n v="-12"/>
    <n v="306"/>
    <n v="1"/>
    <n v="1"/>
  </r>
  <r>
    <m/>
    <m/>
    <x v="1"/>
    <s v="19857581001001"/>
    <n v="-4.55"/>
    <n v="116"/>
    <n v="1"/>
    <n v="1"/>
  </r>
  <r>
    <m/>
    <m/>
    <x v="1"/>
    <s v="19922627001001"/>
    <n v="-11.96"/>
    <n v="305"/>
    <n v="1"/>
    <n v="1"/>
  </r>
  <r>
    <m/>
    <m/>
    <x v="1"/>
    <s v="20021948002001"/>
    <n v="-16.43"/>
    <n v="419"/>
    <n v="1"/>
    <n v="1"/>
  </r>
  <r>
    <m/>
    <m/>
    <x v="1"/>
    <s v="20135004001001"/>
    <n v="-4.2699999999999996"/>
    <n v="109"/>
    <n v="1"/>
    <n v="1"/>
  </r>
  <r>
    <m/>
    <m/>
    <x v="1"/>
    <s v="20373554001003"/>
    <n v="-15.33"/>
    <n v="391"/>
    <n v="1"/>
    <n v="1"/>
  </r>
  <r>
    <m/>
    <m/>
    <x v="1"/>
    <s v="20635148001001"/>
    <n v="-1.33"/>
    <n v="34"/>
    <n v="1"/>
    <n v="1"/>
  </r>
  <r>
    <m/>
    <m/>
    <x v="1"/>
    <s v="20643460001006"/>
    <n v="-21.49"/>
    <n v="548"/>
    <n v="1"/>
    <n v="1"/>
  </r>
  <r>
    <m/>
    <m/>
    <x v="1"/>
    <s v="20683934001002"/>
    <n v="-58.5"/>
    <n v="1492"/>
    <n v="1"/>
    <n v="1"/>
  </r>
  <r>
    <m/>
    <m/>
    <x v="1"/>
    <s v="20806802001001"/>
    <n v="-23.49"/>
    <n v="599"/>
    <n v="1"/>
    <n v="1"/>
  </r>
  <r>
    <m/>
    <m/>
    <x v="1"/>
    <s v="20890010002001"/>
    <n v="-0.63"/>
    <n v="16"/>
    <n v="1"/>
    <n v="1"/>
  </r>
  <r>
    <m/>
    <m/>
    <x v="1"/>
    <s v="21033205001006"/>
    <n v="-0.86"/>
    <n v="22"/>
    <n v="1"/>
    <n v="1"/>
  </r>
  <r>
    <m/>
    <m/>
    <x v="1"/>
    <s v="21046205001001"/>
    <n v="-0.16"/>
    <n v="4"/>
    <n v="1"/>
    <n v="1"/>
  </r>
  <r>
    <m/>
    <m/>
    <x v="1"/>
    <s v="21219326001001"/>
    <n v="-8.16"/>
    <n v="208"/>
    <n v="1"/>
    <n v="1"/>
  </r>
  <r>
    <m/>
    <m/>
    <x v="1"/>
    <s v="21995120001004"/>
    <n v="-8.0399999999999991"/>
    <n v="205"/>
    <n v="1"/>
    <n v="1"/>
  </r>
  <r>
    <m/>
    <m/>
    <x v="1"/>
    <s v="22050356001004"/>
    <n v="-3.06"/>
    <n v="78"/>
    <n v="1"/>
    <n v="1"/>
  </r>
  <r>
    <m/>
    <m/>
    <x v="1"/>
    <s v="22154055001001"/>
    <n v="-6.04"/>
    <n v="154"/>
    <n v="1"/>
    <n v="1"/>
  </r>
  <r>
    <m/>
    <m/>
    <x v="1"/>
    <s v="22305793001002"/>
    <n v="-50.11"/>
    <n v="1278"/>
    <n v="1"/>
    <n v="1"/>
  </r>
  <r>
    <m/>
    <m/>
    <x v="1"/>
    <s v="22368801002001"/>
    <n v="-21.92"/>
    <n v="559"/>
    <n v="1"/>
    <n v="1"/>
  </r>
  <r>
    <m/>
    <m/>
    <x v="1"/>
    <s v="22380133001001"/>
    <n v="-3.02"/>
    <n v="77"/>
    <n v="1"/>
    <n v="1"/>
  </r>
  <r>
    <m/>
    <m/>
    <x v="1"/>
    <s v="22617306001001"/>
    <n v="-7.18"/>
    <n v="183"/>
    <n v="1"/>
    <n v="1"/>
  </r>
  <r>
    <m/>
    <m/>
    <x v="1"/>
    <s v="22675655001001"/>
    <n v="-24"/>
    <n v="612"/>
    <n v="1"/>
    <n v="1"/>
  </r>
  <r>
    <m/>
    <m/>
    <x v="1"/>
    <s v="23045379001003"/>
    <n v="-10.9"/>
    <n v="278"/>
    <n v="1"/>
    <n v="1"/>
  </r>
  <r>
    <m/>
    <m/>
    <x v="1"/>
    <s v="23227062001002"/>
    <n v="-0.9"/>
    <n v="23"/>
    <n v="1"/>
    <n v="1"/>
  </r>
  <r>
    <m/>
    <m/>
    <x v="1"/>
    <s v="23403071001003"/>
    <n v="-5.14"/>
    <n v="131"/>
    <n v="1"/>
    <n v="1"/>
  </r>
  <r>
    <m/>
    <m/>
    <x v="1"/>
    <s v="23427190001001"/>
    <n v="-8.5500000000000007"/>
    <n v="218"/>
    <n v="1"/>
    <n v="1"/>
  </r>
  <r>
    <m/>
    <m/>
    <x v="1"/>
    <s v="23460849001003"/>
    <n v="-2.5099999999999998"/>
    <n v="64"/>
    <n v="1"/>
    <n v="1"/>
  </r>
  <r>
    <m/>
    <m/>
    <x v="1"/>
    <s v="23600074001001"/>
    <n v="-14.55"/>
    <n v="371"/>
    <n v="1"/>
    <n v="1"/>
  </r>
  <r>
    <m/>
    <m/>
    <x v="1"/>
    <s v="23857343001001"/>
    <n v="-7.92"/>
    <n v="202"/>
    <n v="1"/>
    <n v="1"/>
  </r>
  <r>
    <m/>
    <m/>
    <x v="1"/>
    <s v="23890949001001"/>
    <n v="-4.47"/>
    <n v="114"/>
    <n v="1"/>
    <n v="1"/>
  </r>
  <r>
    <m/>
    <m/>
    <x v="1"/>
    <s v="24288214001007"/>
    <n v="-70.03"/>
    <n v="1786"/>
    <n v="1"/>
    <n v="1"/>
  </r>
  <r>
    <m/>
    <m/>
    <x v="1"/>
    <s v="24291697001001"/>
    <n v="-4.12"/>
    <n v="105"/>
    <n v="1"/>
    <n v="1"/>
  </r>
  <r>
    <m/>
    <m/>
    <x v="1"/>
    <s v="24471043001004"/>
    <n v="-11.88"/>
    <n v="303"/>
    <n v="1"/>
    <n v="1"/>
  </r>
  <r>
    <m/>
    <m/>
    <x v="1"/>
    <s v="24488041001003"/>
    <n v="-2.23"/>
    <n v="57"/>
    <n v="1"/>
    <n v="1"/>
  </r>
  <r>
    <m/>
    <m/>
    <x v="1"/>
    <s v="24516542001001"/>
    <n v="-31.13"/>
    <n v="794"/>
    <n v="1"/>
    <n v="1"/>
  </r>
  <r>
    <m/>
    <m/>
    <x v="1"/>
    <s v="24596484001001"/>
    <n v="-2.74"/>
    <n v="70"/>
    <n v="1"/>
    <n v="1"/>
  </r>
  <r>
    <m/>
    <m/>
    <x v="1"/>
    <s v="24743896001001"/>
    <n v="-9.3699999999999992"/>
    <n v="239"/>
    <n v="1"/>
    <n v="1"/>
  </r>
  <r>
    <m/>
    <m/>
    <x v="1"/>
    <s v="24785101001002"/>
    <n v="-18.47"/>
    <n v="471"/>
    <n v="1"/>
    <n v="1"/>
  </r>
  <r>
    <m/>
    <m/>
    <x v="1"/>
    <s v="24901880001001"/>
    <n v="-47.21"/>
    <n v="1204"/>
    <n v="1"/>
    <n v="1"/>
  </r>
  <r>
    <m/>
    <m/>
    <x v="1"/>
    <s v="25026606001003"/>
    <n v="-8.08"/>
    <n v="206"/>
    <n v="1"/>
    <n v="1"/>
  </r>
  <r>
    <m/>
    <m/>
    <x v="1"/>
    <s v="25212072001001"/>
    <n v="-6.74"/>
    <n v="172"/>
    <n v="1"/>
    <n v="1"/>
  </r>
  <r>
    <m/>
    <m/>
    <x v="1"/>
    <s v="25266054001002"/>
    <n v="-12.23"/>
    <n v="312"/>
    <n v="1"/>
    <n v="1"/>
  </r>
  <r>
    <m/>
    <m/>
    <x v="1"/>
    <s v="25302590001001"/>
    <n v="-14.63"/>
    <n v="373"/>
    <n v="1"/>
    <n v="1"/>
  </r>
  <r>
    <m/>
    <m/>
    <x v="1"/>
    <s v="25577769001001"/>
    <n v="-16.78"/>
    <n v="428"/>
    <n v="1"/>
    <n v="1"/>
  </r>
  <r>
    <m/>
    <m/>
    <x v="1"/>
    <s v="25612446001001"/>
    <n v="-42.46"/>
    <n v="1083"/>
    <n v="1"/>
    <n v="1"/>
  </r>
  <r>
    <m/>
    <m/>
    <x v="1"/>
    <s v="25681918009001"/>
    <n v="-22.94"/>
    <n v="585"/>
    <n v="1"/>
    <n v="1"/>
  </r>
  <r>
    <m/>
    <m/>
    <x v="1"/>
    <s v="26449890001003"/>
    <n v="-1.45"/>
    <n v="37"/>
    <n v="1"/>
    <n v="1"/>
  </r>
  <r>
    <m/>
    <m/>
    <x v="1"/>
    <s v="26574451002003"/>
    <n v="-63.64"/>
    <n v="1623"/>
    <n v="1"/>
    <n v="1"/>
  </r>
  <r>
    <m/>
    <m/>
    <x v="1"/>
    <s v="26826704001001"/>
    <n v="-67.680000000000007"/>
    <n v="1726"/>
    <n v="1"/>
    <n v="1"/>
  </r>
  <r>
    <m/>
    <m/>
    <x v="1"/>
    <s v="26832624001007"/>
    <n v="-10.16"/>
    <n v="259"/>
    <n v="1"/>
    <n v="1"/>
  </r>
  <r>
    <m/>
    <m/>
    <x v="1"/>
    <s v="26917575001001"/>
    <n v="-14.98"/>
    <n v="382"/>
    <n v="1"/>
    <n v="1"/>
  </r>
  <r>
    <m/>
    <m/>
    <x v="1"/>
    <s v="27356342001008"/>
    <n v="-3.14"/>
    <n v="80"/>
    <n v="1"/>
    <n v="1"/>
  </r>
  <r>
    <m/>
    <m/>
    <x v="1"/>
    <s v="27943716001001"/>
    <n v="-5.49"/>
    <n v="140"/>
    <n v="1"/>
    <n v="1"/>
  </r>
  <r>
    <m/>
    <m/>
    <x v="1"/>
    <s v="28065736001006"/>
    <n v="-38.82"/>
    <n v="990"/>
    <n v="1"/>
    <n v="1"/>
  </r>
  <r>
    <m/>
    <m/>
    <x v="1"/>
    <s v="28085146002003"/>
    <n v="-10.51"/>
    <n v="268"/>
    <n v="1"/>
    <n v="1"/>
  </r>
  <r>
    <m/>
    <m/>
    <x v="1"/>
    <s v="28197867001005"/>
    <n v="-8.31"/>
    <n v="212"/>
    <n v="1"/>
    <n v="1"/>
  </r>
  <r>
    <m/>
    <m/>
    <x v="1"/>
    <s v="28330708001001"/>
    <n v="-54.89"/>
    <n v="1400"/>
    <n v="1"/>
    <n v="1"/>
  </r>
  <r>
    <m/>
    <m/>
    <x v="1"/>
    <s v="28344987001011"/>
    <n v="-21.09"/>
    <n v="538"/>
    <n v="1"/>
    <n v="1"/>
  </r>
  <r>
    <m/>
    <m/>
    <x v="1"/>
    <s v="28645126001006"/>
    <n v="-23.68"/>
    <n v="604"/>
    <n v="1"/>
    <n v="1"/>
  </r>
  <r>
    <m/>
    <m/>
    <x v="1"/>
    <s v="28758621002008"/>
    <n v="-82.3"/>
    <n v="2099"/>
    <n v="1"/>
    <n v="1"/>
  </r>
  <r>
    <m/>
    <m/>
    <x v="1"/>
    <s v="28950576001002"/>
    <n v="-1.8"/>
    <n v="46"/>
    <n v="1"/>
    <n v="1"/>
  </r>
  <r>
    <m/>
    <m/>
    <x v="1"/>
    <s v="29092463001007"/>
    <n v="-1.22"/>
    <n v="31"/>
    <n v="1"/>
    <n v="1"/>
  </r>
  <r>
    <m/>
    <m/>
    <x v="1"/>
    <s v="29196761001004"/>
    <n v="-31.33"/>
    <n v="799"/>
    <n v="1"/>
    <n v="1"/>
  </r>
  <r>
    <m/>
    <m/>
    <x v="1"/>
    <s v="29284082001003"/>
    <n v="-6.16"/>
    <n v="157"/>
    <n v="1"/>
    <n v="1"/>
  </r>
  <r>
    <m/>
    <m/>
    <x v="1"/>
    <s v="29403974001002"/>
    <n v="-2"/>
    <n v="51"/>
    <n v="1"/>
    <n v="1"/>
  </r>
  <r>
    <m/>
    <m/>
    <x v="1"/>
    <s v="29448259001002"/>
    <n v="-8.6999999999999993"/>
    <n v="222"/>
    <n v="1"/>
    <n v="1"/>
  </r>
  <r>
    <m/>
    <m/>
    <x v="1"/>
    <s v="29952151007001"/>
    <n v="-77.709999999999994"/>
    <n v="1982"/>
    <n v="1"/>
    <n v="1"/>
  </r>
  <r>
    <m/>
    <m/>
    <x v="1"/>
    <s v="30240552001001"/>
    <n v="-1.53"/>
    <n v="39"/>
    <n v="1"/>
    <n v="1"/>
  </r>
  <r>
    <m/>
    <m/>
    <x v="1"/>
    <s v="30370464002001"/>
    <n v="-22.9"/>
    <n v="584"/>
    <n v="1"/>
    <n v="1"/>
  </r>
  <r>
    <m/>
    <m/>
    <x v="1"/>
    <s v="30390482001001"/>
    <n v="-35.06"/>
    <n v="894"/>
    <n v="2"/>
    <n v="1"/>
  </r>
  <r>
    <m/>
    <m/>
    <x v="1"/>
    <s v="30684952001001"/>
    <n v="-8.6999999999999993"/>
    <n v="222"/>
    <n v="1"/>
    <n v="1"/>
  </r>
  <r>
    <m/>
    <m/>
    <x v="1"/>
    <s v="30757590002002"/>
    <n v="-77.64"/>
    <n v="1980"/>
    <n v="1"/>
    <n v="1"/>
  </r>
  <r>
    <m/>
    <m/>
    <x v="1"/>
    <s v="30816545001001"/>
    <n v="-4.51"/>
    <n v="115"/>
    <n v="1"/>
    <n v="1"/>
  </r>
  <r>
    <m/>
    <m/>
    <x v="1"/>
    <s v="31347134001001"/>
    <n v="-16.079999999999998"/>
    <n v="410"/>
    <n v="1"/>
    <n v="1"/>
  </r>
  <r>
    <m/>
    <m/>
    <x v="1"/>
    <s v="31555689001001"/>
    <n v="-2.94"/>
    <n v="75"/>
    <n v="1"/>
    <n v="1"/>
  </r>
  <r>
    <m/>
    <m/>
    <x v="1"/>
    <s v="31608000001004"/>
    <n v="-23.6"/>
    <n v="602"/>
    <n v="1"/>
    <n v="1"/>
  </r>
  <r>
    <m/>
    <m/>
    <x v="1"/>
    <s v="31641990001004"/>
    <n v="-18.47"/>
    <n v="471"/>
    <n v="1"/>
    <n v="1"/>
  </r>
  <r>
    <m/>
    <m/>
    <x v="1"/>
    <s v="31833646004004"/>
    <n v="-3.65"/>
    <n v="93"/>
    <n v="1"/>
    <n v="1"/>
  </r>
  <r>
    <m/>
    <m/>
    <x v="1"/>
    <s v="31861613001001"/>
    <n v="-51.13"/>
    <n v="1304"/>
    <n v="1"/>
    <n v="1"/>
  </r>
  <r>
    <m/>
    <m/>
    <x v="1"/>
    <s v="32202242001001"/>
    <n v="-0.94"/>
    <n v="24"/>
    <n v="1"/>
    <n v="1"/>
  </r>
  <r>
    <m/>
    <m/>
    <x v="1"/>
    <s v="32401108001005"/>
    <n v="-0.43"/>
    <n v="11"/>
    <n v="1"/>
    <n v="1"/>
  </r>
  <r>
    <m/>
    <m/>
    <x v="1"/>
    <s v="32750874002001"/>
    <n v="-8.19"/>
    <n v="209"/>
    <n v="1"/>
    <n v="1"/>
  </r>
  <r>
    <m/>
    <m/>
    <x v="1"/>
    <s v="33639506001003"/>
    <n v="-2.31"/>
    <n v="59"/>
    <n v="1"/>
    <n v="1"/>
  </r>
  <r>
    <m/>
    <m/>
    <x v="1"/>
    <s v="33642246001005"/>
    <n v="-11.14"/>
    <n v="284"/>
    <n v="1"/>
    <n v="1"/>
  </r>
  <r>
    <m/>
    <m/>
    <x v="1"/>
    <s v="33674854001001"/>
    <n v="-8.59"/>
    <n v="219"/>
    <n v="1"/>
    <n v="1"/>
  </r>
  <r>
    <m/>
    <m/>
    <x v="1"/>
    <s v="33687453001001"/>
    <n v="-5.49"/>
    <n v="140"/>
    <n v="1"/>
    <n v="1"/>
  </r>
  <r>
    <m/>
    <m/>
    <x v="1"/>
    <s v="33829956002003"/>
    <n v="-12.19"/>
    <n v="311"/>
    <n v="1"/>
    <n v="1"/>
  </r>
  <r>
    <m/>
    <m/>
    <x v="1"/>
    <s v="33910067001003"/>
    <n v="-3.45"/>
    <n v="88"/>
    <n v="1"/>
    <n v="1"/>
  </r>
  <r>
    <m/>
    <m/>
    <x v="1"/>
    <s v="33988440001002"/>
    <n v="-63.48"/>
    <n v="1619"/>
    <n v="1"/>
    <n v="1"/>
  </r>
  <r>
    <m/>
    <m/>
    <x v="1"/>
    <s v="34394848001001"/>
    <n v="-39.090000000000003"/>
    <n v="997"/>
    <n v="1"/>
    <n v="1"/>
  </r>
  <r>
    <m/>
    <m/>
    <x v="1"/>
    <s v="34683105001001"/>
    <n v="-8.51"/>
    <n v="217"/>
    <n v="1"/>
    <n v="1"/>
  </r>
  <r>
    <m/>
    <m/>
    <x v="1"/>
    <s v="34758238001001"/>
    <n v="-1.1000000000000001"/>
    <n v="28"/>
    <n v="1"/>
    <n v="1"/>
  </r>
  <r>
    <m/>
    <m/>
    <x v="1"/>
    <s v="34874155001002"/>
    <n v="-2.82"/>
    <n v="72"/>
    <n v="1"/>
    <n v="1"/>
  </r>
  <r>
    <m/>
    <m/>
    <x v="1"/>
    <s v="35004270001003"/>
    <n v="-66.42"/>
    <n v="1694"/>
    <n v="1"/>
    <n v="1"/>
  </r>
  <r>
    <m/>
    <m/>
    <x v="1"/>
    <s v="35260727001006"/>
    <n v="-9.2899999999999991"/>
    <n v="237"/>
    <n v="1"/>
    <n v="1"/>
  </r>
  <r>
    <m/>
    <m/>
    <x v="1"/>
    <s v="35268541002002"/>
    <n v="-8.74"/>
    <n v="223"/>
    <n v="1"/>
    <n v="1"/>
  </r>
  <r>
    <m/>
    <m/>
    <x v="1"/>
    <s v="35545855003001"/>
    <n v="-25.68"/>
    <n v="655"/>
    <n v="1"/>
    <n v="1"/>
  </r>
  <r>
    <m/>
    <m/>
    <x v="1"/>
    <s v="35571209001001"/>
    <n v="-2.5099999999999998"/>
    <n v="64"/>
    <n v="1"/>
    <n v="1"/>
  </r>
  <r>
    <m/>
    <m/>
    <x v="1"/>
    <s v="35958850001005"/>
    <n v="-1.69"/>
    <n v="43"/>
    <n v="1"/>
    <n v="1"/>
  </r>
  <r>
    <m/>
    <m/>
    <x v="1"/>
    <s v="35962874001004"/>
    <n v="-4.3499999999999996"/>
    <n v="111"/>
    <n v="1"/>
    <n v="1"/>
  </r>
  <r>
    <m/>
    <m/>
    <x v="1"/>
    <s v="35983383001007"/>
    <n v="-5.14"/>
    <n v="131"/>
    <n v="1"/>
    <n v="1"/>
  </r>
  <r>
    <m/>
    <m/>
    <x v="1"/>
    <s v="36046479001001"/>
    <n v="-13.45"/>
    <n v="343"/>
    <n v="1"/>
    <n v="1"/>
  </r>
  <r>
    <m/>
    <m/>
    <x v="1"/>
    <s v="36052702001001"/>
    <n v="-0.47"/>
    <n v="12"/>
    <n v="1"/>
    <n v="1"/>
  </r>
  <r>
    <m/>
    <m/>
    <x v="1"/>
    <s v="36340954001005"/>
    <n v="-0.74"/>
    <n v="19"/>
    <n v="1"/>
    <n v="1"/>
  </r>
  <r>
    <m/>
    <m/>
    <x v="1"/>
    <s v="36404328001001"/>
    <n v="-21.92"/>
    <n v="559"/>
    <n v="1"/>
    <n v="1"/>
  </r>
  <r>
    <m/>
    <m/>
    <x v="1"/>
    <s v="36405485001001"/>
    <n v="-0.47"/>
    <n v="12"/>
    <n v="1"/>
    <n v="1"/>
  </r>
  <r>
    <m/>
    <m/>
    <x v="1"/>
    <s v="36445725001001"/>
    <n v="-15.06"/>
    <n v="384"/>
    <n v="1"/>
    <n v="1"/>
  </r>
  <r>
    <m/>
    <m/>
    <x v="1"/>
    <s v="36617800001001"/>
    <n v="-2.04"/>
    <n v="52"/>
    <n v="1"/>
    <n v="1"/>
  </r>
  <r>
    <m/>
    <m/>
    <x v="1"/>
    <s v="36872264001001"/>
    <n v="-33.409999999999997"/>
    <n v="852"/>
    <n v="1"/>
    <n v="1"/>
  </r>
  <r>
    <m/>
    <m/>
    <x v="1"/>
    <s v="36931062001008"/>
    <n v="-10.47"/>
    <n v="267"/>
    <n v="1"/>
    <n v="1"/>
  </r>
  <r>
    <m/>
    <m/>
    <x v="1"/>
    <s v="37014491001001"/>
    <n v="-37.049999999999997"/>
    <n v="945"/>
    <n v="1"/>
    <n v="1"/>
  </r>
  <r>
    <m/>
    <m/>
    <x v="1"/>
    <s v="37230806001004"/>
    <n v="-22.31"/>
    <n v="569"/>
    <n v="1"/>
    <n v="1"/>
  </r>
  <r>
    <m/>
    <m/>
    <x v="1"/>
    <s v="37387403001001"/>
    <n v="-29.96"/>
    <n v="764"/>
    <n v="1"/>
    <n v="1"/>
  </r>
  <r>
    <m/>
    <m/>
    <x v="1"/>
    <s v="37477159001001"/>
    <n v="-8.08"/>
    <n v="206"/>
    <n v="1"/>
    <n v="1"/>
  </r>
  <r>
    <m/>
    <m/>
    <x v="1"/>
    <s v="37518547001003"/>
    <n v="-5.14"/>
    <n v="131"/>
    <n v="1"/>
    <n v="1"/>
  </r>
  <r>
    <m/>
    <m/>
    <x v="1"/>
    <s v="37694672001008"/>
    <n v="-6.74"/>
    <n v="172"/>
    <n v="1"/>
    <n v="1"/>
  </r>
  <r>
    <m/>
    <m/>
    <x v="1"/>
    <s v="38003358004003"/>
    <n v="-2.59"/>
    <n v="66"/>
    <n v="1"/>
    <n v="1"/>
  </r>
  <r>
    <m/>
    <m/>
    <x v="1"/>
    <s v="38159601001012"/>
    <n v="-40.15"/>
    <n v="1024"/>
    <n v="1"/>
    <n v="1"/>
  </r>
  <r>
    <m/>
    <m/>
    <x v="1"/>
    <s v="38245625004008"/>
    <n v="-11.68"/>
    <n v="298"/>
    <n v="2"/>
    <n v="1"/>
  </r>
  <r>
    <m/>
    <m/>
    <x v="1"/>
    <s v="38371635001001"/>
    <n v="-7.21"/>
    <n v="184"/>
    <n v="1"/>
    <n v="1"/>
  </r>
  <r>
    <m/>
    <m/>
    <x v="1"/>
    <s v="38785566001001"/>
    <n v="-6.9"/>
    <n v="176"/>
    <n v="1"/>
    <n v="1"/>
  </r>
  <r>
    <m/>
    <m/>
    <x v="1"/>
    <s v="39210794002001"/>
    <n v="-7.65"/>
    <n v="195"/>
    <n v="1"/>
    <n v="1"/>
  </r>
  <r>
    <m/>
    <m/>
    <x v="1"/>
    <s v="39250671001002"/>
    <n v="-4.71"/>
    <n v="120"/>
    <n v="1"/>
    <n v="1"/>
  </r>
  <r>
    <m/>
    <m/>
    <x v="1"/>
    <s v="39862438001001"/>
    <n v="-19.57"/>
    <n v="499"/>
    <n v="1"/>
    <n v="1"/>
  </r>
  <r>
    <m/>
    <m/>
    <x v="1"/>
    <s v="40009788001009"/>
    <n v="-34.35"/>
    <n v="876"/>
    <n v="1"/>
    <n v="1"/>
  </r>
  <r>
    <m/>
    <m/>
    <x v="1"/>
    <s v="40187844001001"/>
    <n v="-0.82"/>
    <n v="21"/>
    <n v="1"/>
    <n v="1"/>
  </r>
  <r>
    <m/>
    <m/>
    <x v="1"/>
    <s v="40302520001002"/>
    <n v="-0.86"/>
    <n v="22"/>
    <n v="1"/>
    <n v="1"/>
  </r>
  <r>
    <m/>
    <m/>
    <x v="1"/>
    <s v="40396125001001"/>
    <n v="-5.8"/>
    <n v="148"/>
    <n v="1"/>
    <n v="1"/>
  </r>
  <r>
    <m/>
    <m/>
    <x v="1"/>
    <s v="40575106001004"/>
    <n v="-29.49"/>
    <n v="752"/>
    <n v="1"/>
    <n v="1"/>
  </r>
  <r>
    <m/>
    <m/>
    <x v="1"/>
    <s v="40755745001007"/>
    <n v="-31.21"/>
    <n v="796"/>
    <n v="1"/>
    <n v="1"/>
  </r>
  <r>
    <m/>
    <m/>
    <x v="1"/>
    <s v="40799378002001"/>
    <n v="-17.29"/>
    <n v="441"/>
    <n v="1"/>
    <n v="1"/>
  </r>
  <r>
    <m/>
    <m/>
    <x v="1"/>
    <s v="40821361002007"/>
    <n v="-1.37"/>
    <n v="35"/>
    <n v="1"/>
    <n v="1"/>
  </r>
  <r>
    <m/>
    <m/>
    <x v="1"/>
    <s v="40940003001003"/>
    <n v="-4.71"/>
    <n v="120"/>
    <n v="1"/>
    <n v="1"/>
  </r>
  <r>
    <m/>
    <m/>
    <x v="1"/>
    <s v="41095400001001"/>
    <n v="-2.39"/>
    <n v="61"/>
    <n v="1"/>
    <n v="1"/>
  </r>
  <r>
    <m/>
    <m/>
    <x v="1"/>
    <s v="41102044001001"/>
    <n v="-7.18"/>
    <n v="183"/>
    <n v="1"/>
    <n v="1"/>
  </r>
  <r>
    <m/>
    <m/>
    <x v="1"/>
    <s v="41202707001001"/>
    <n v="-0.08"/>
    <n v="2"/>
    <n v="1"/>
    <n v="1"/>
  </r>
  <r>
    <m/>
    <m/>
    <x v="1"/>
    <s v="41426603001001"/>
    <n v="-5.53"/>
    <n v="141"/>
    <n v="1"/>
    <n v="1"/>
  </r>
  <r>
    <m/>
    <m/>
    <x v="1"/>
    <s v="41547810001001"/>
    <n v="-46.66"/>
    <n v="1190"/>
    <n v="1"/>
    <n v="1"/>
  </r>
  <r>
    <m/>
    <m/>
    <x v="1"/>
    <s v="41809389001005"/>
    <n v="-1.49"/>
    <n v="38"/>
    <n v="1"/>
    <n v="1"/>
  </r>
  <r>
    <m/>
    <m/>
    <x v="1"/>
    <s v="41921625002001"/>
    <n v="-83.99"/>
    <n v="2142"/>
    <n v="1"/>
    <n v="1"/>
  </r>
  <r>
    <m/>
    <m/>
    <x v="1"/>
    <s v="42046814001001"/>
    <n v="-4.51"/>
    <n v="115"/>
    <n v="1"/>
    <n v="1"/>
  </r>
  <r>
    <m/>
    <m/>
    <x v="1"/>
    <s v="42066880001001"/>
    <n v="-4.12"/>
    <n v="105"/>
    <n v="1"/>
    <n v="1"/>
  </r>
  <r>
    <m/>
    <m/>
    <x v="1"/>
    <s v="42281329001011"/>
    <n v="-17.37"/>
    <n v="443"/>
    <n v="1"/>
    <n v="1"/>
  </r>
  <r>
    <m/>
    <m/>
    <x v="1"/>
    <s v="42338999003001"/>
    <n v="-1.49"/>
    <n v="38"/>
    <n v="1"/>
    <n v="1"/>
  </r>
  <r>
    <m/>
    <m/>
    <x v="1"/>
    <s v="42453517001001"/>
    <n v="-6.82"/>
    <n v="174"/>
    <n v="1"/>
    <n v="1"/>
  </r>
  <r>
    <m/>
    <m/>
    <x v="1"/>
    <s v="42502321001005"/>
    <n v="-3.06"/>
    <n v="78"/>
    <n v="1"/>
    <n v="1"/>
  </r>
  <r>
    <m/>
    <m/>
    <x v="1"/>
    <s v="42507081005002"/>
    <n v="-6.63"/>
    <n v="169"/>
    <n v="1"/>
    <n v="1"/>
  </r>
  <r>
    <m/>
    <m/>
    <x v="1"/>
    <s v="42523746002001"/>
    <n v="-9.8000000000000007"/>
    <n v="250"/>
    <n v="1"/>
    <n v="1"/>
  </r>
  <r>
    <m/>
    <m/>
    <x v="1"/>
    <s v="42539421001001"/>
    <n v="-2.16"/>
    <n v="55"/>
    <n v="1"/>
    <n v="1"/>
  </r>
  <r>
    <m/>
    <m/>
    <x v="1"/>
    <s v="42543901001001"/>
    <n v="-8.0399999999999991"/>
    <n v="205"/>
    <n v="1"/>
    <n v="1"/>
  </r>
  <r>
    <m/>
    <m/>
    <x v="1"/>
    <s v="42577291003003"/>
    <n v="-0.27"/>
    <n v="7"/>
    <n v="1"/>
    <n v="1"/>
  </r>
  <r>
    <m/>
    <m/>
    <x v="1"/>
    <s v="42637141001007"/>
    <n v="-10.43"/>
    <n v="266"/>
    <n v="1"/>
    <n v="1"/>
  </r>
  <r>
    <m/>
    <m/>
    <x v="1"/>
    <s v="42640711003001"/>
    <n v="-17.68"/>
    <n v="451"/>
    <n v="1"/>
    <n v="1"/>
  </r>
  <r>
    <m/>
    <m/>
    <x v="1"/>
    <s v="42646171001006"/>
    <n v="-0.24"/>
    <n v="6"/>
    <n v="1"/>
    <n v="1"/>
  </r>
  <r>
    <m/>
    <m/>
    <x v="1"/>
    <s v="42653661001001"/>
    <n v="-1.06"/>
    <n v="27"/>
    <n v="1"/>
    <n v="1"/>
  </r>
  <r>
    <m/>
    <m/>
    <x v="1"/>
    <s v="42653801001002"/>
    <n v="-4.59"/>
    <n v="117"/>
    <n v="1"/>
    <n v="1"/>
  </r>
  <r>
    <m/>
    <m/>
    <x v="1"/>
    <s v="42657021001001"/>
    <n v="-4.2"/>
    <n v="107"/>
    <n v="1"/>
    <n v="1"/>
  </r>
  <r>
    <m/>
    <m/>
    <x v="1"/>
    <s v="42661291001001"/>
    <n v="-0.24"/>
    <n v="6"/>
    <n v="1"/>
    <n v="1"/>
  </r>
  <r>
    <m/>
    <m/>
    <x v="1"/>
    <s v="42662971001011"/>
    <n v="-9.65"/>
    <n v="246"/>
    <n v="1"/>
    <n v="1"/>
  </r>
  <r>
    <m/>
    <m/>
    <x v="1"/>
    <s v="42689921004001"/>
    <n v="-4.16"/>
    <n v="106"/>
    <n v="1"/>
    <n v="1"/>
  </r>
  <r>
    <m/>
    <m/>
    <x v="1"/>
    <s v="42717921001003"/>
    <n v="-11.45"/>
    <n v="292"/>
    <n v="1"/>
    <n v="1"/>
  </r>
  <r>
    <m/>
    <m/>
    <x v="1"/>
    <s v="42753761003001"/>
    <n v="-7.45"/>
    <n v="190"/>
    <n v="1"/>
    <n v="1"/>
  </r>
  <r>
    <m/>
    <m/>
    <x v="1"/>
    <s v="42804301001002"/>
    <n v="-0.94"/>
    <n v="24"/>
    <n v="1"/>
    <n v="1"/>
  </r>
  <r>
    <m/>
    <m/>
    <x v="1"/>
    <s v="42837271004001"/>
    <n v="-5.76"/>
    <n v="147"/>
    <n v="1"/>
    <n v="1"/>
  </r>
  <r>
    <m/>
    <m/>
    <x v="1"/>
    <s v="42972931001004"/>
    <n v="-7.1"/>
    <n v="181"/>
    <n v="1"/>
    <n v="1"/>
  </r>
  <r>
    <m/>
    <m/>
    <x v="1"/>
    <s v="43024731003001"/>
    <n v="-0.35"/>
    <n v="9"/>
    <n v="1"/>
    <n v="1"/>
  </r>
  <r>
    <m/>
    <m/>
    <x v="1"/>
    <s v="43103551001002"/>
    <n v="-1.29"/>
    <n v="33"/>
    <n v="1"/>
    <n v="1"/>
  </r>
  <r>
    <m/>
    <m/>
    <x v="1"/>
    <s v="43122241004005"/>
    <n v="-0.78"/>
    <n v="20"/>
    <n v="1"/>
    <n v="1"/>
  </r>
  <r>
    <m/>
    <m/>
    <x v="1"/>
    <s v="43233574002001"/>
    <n v="-0.35"/>
    <n v="9"/>
    <n v="1"/>
    <n v="1"/>
  </r>
  <r>
    <m/>
    <m/>
    <x v="1"/>
    <s v="43239421002001"/>
    <n v="-14.19"/>
    <n v="362"/>
    <n v="1"/>
    <n v="1"/>
  </r>
  <r>
    <m/>
    <m/>
    <x v="1"/>
    <s v="43243411001002"/>
    <n v="-5.37"/>
    <n v="137"/>
    <n v="1"/>
    <n v="1"/>
  </r>
  <r>
    <m/>
    <m/>
    <x v="1"/>
    <s v="43262451002003"/>
    <n v="-3.41"/>
    <n v="87"/>
    <n v="1"/>
    <n v="1"/>
  </r>
  <r>
    <m/>
    <m/>
    <x v="1"/>
    <s v="43285971001002"/>
    <n v="-2.12"/>
    <n v="54"/>
    <n v="1"/>
    <n v="1"/>
  </r>
  <r>
    <m/>
    <m/>
    <x v="1"/>
    <s v="43330105002001"/>
    <n v="-29.13"/>
    <n v="743"/>
    <n v="1"/>
    <n v="1"/>
  </r>
  <r>
    <m/>
    <m/>
    <x v="1"/>
    <s v="43334201001001"/>
    <n v="-3.25"/>
    <n v="83"/>
    <n v="1"/>
    <n v="1"/>
  </r>
  <r>
    <m/>
    <m/>
    <x v="1"/>
    <s v="43386911002002"/>
    <n v="-7.33"/>
    <n v="187"/>
    <n v="1"/>
    <n v="1"/>
  </r>
  <r>
    <m/>
    <m/>
    <x v="1"/>
    <s v="43415471005001"/>
    <n v="-9.65"/>
    <n v="246"/>
    <n v="1"/>
    <n v="1"/>
  </r>
  <r>
    <m/>
    <m/>
    <x v="1"/>
    <s v="43571221002003"/>
    <n v="-0.74"/>
    <n v="19"/>
    <n v="1"/>
    <n v="1"/>
  </r>
  <r>
    <m/>
    <m/>
    <x v="1"/>
    <s v="43665824001005"/>
    <n v="-12.55"/>
    <n v="320"/>
    <n v="1"/>
    <n v="1"/>
  </r>
  <r>
    <m/>
    <m/>
    <x v="1"/>
    <s v="43688479001001"/>
    <n v="-15.84"/>
    <n v="404"/>
    <n v="1"/>
    <n v="1"/>
  </r>
  <r>
    <m/>
    <m/>
    <x v="1"/>
    <s v="43721161001001"/>
    <n v="-3.14"/>
    <n v="80"/>
    <n v="1"/>
    <n v="1"/>
  </r>
  <r>
    <m/>
    <m/>
    <x v="1"/>
    <s v="43736211001004"/>
    <n v="-2.27"/>
    <n v="58"/>
    <n v="1"/>
    <n v="1"/>
  </r>
  <r>
    <m/>
    <m/>
    <x v="1"/>
    <s v="43784132001001"/>
    <n v="-9.41"/>
    <n v="240"/>
    <n v="1"/>
    <n v="1"/>
  </r>
  <r>
    <m/>
    <m/>
    <x v="1"/>
    <s v="43784151001001"/>
    <n v="-1.1399999999999999"/>
    <n v="29"/>
    <n v="1"/>
    <n v="1"/>
  </r>
  <r>
    <m/>
    <m/>
    <x v="1"/>
    <s v="43801381001001"/>
    <n v="-0.74"/>
    <n v="19"/>
    <n v="1"/>
    <n v="1"/>
  </r>
  <r>
    <m/>
    <m/>
    <x v="1"/>
    <s v="43823991001001"/>
    <n v="-3.14"/>
    <n v="80"/>
    <n v="1"/>
    <n v="1"/>
  </r>
  <r>
    <m/>
    <m/>
    <x v="1"/>
    <s v="43924371003001"/>
    <n v="-6.94"/>
    <n v="177"/>
    <n v="1"/>
    <n v="1"/>
  </r>
  <r>
    <m/>
    <m/>
    <x v="1"/>
    <s v="43928151001002"/>
    <n v="-6.47"/>
    <n v="165"/>
    <n v="1"/>
    <n v="1"/>
  </r>
  <r>
    <m/>
    <m/>
    <x v="1"/>
    <s v="43953794001001"/>
    <n v="-16.23"/>
    <n v="414"/>
    <n v="1"/>
    <n v="1"/>
  </r>
  <r>
    <m/>
    <m/>
    <x v="1"/>
    <s v="43991683002001"/>
    <n v="-8.16"/>
    <n v="208"/>
    <n v="1"/>
    <n v="1"/>
  </r>
  <r>
    <m/>
    <m/>
    <x v="1"/>
    <s v="44030154001001"/>
    <n v="-9.02"/>
    <n v="230"/>
    <n v="1"/>
    <n v="1"/>
  </r>
  <r>
    <m/>
    <m/>
    <x v="1"/>
    <s v="44035671002001"/>
    <n v="-2.12"/>
    <n v="54"/>
    <n v="1"/>
    <n v="1"/>
  </r>
  <r>
    <m/>
    <m/>
    <x v="1"/>
    <s v="44070041001001"/>
    <n v="-67.44"/>
    <n v="1720"/>
    <n v="1"/>
    <n v="1"/>
  </r>
  <r>
    <m/>
    <m/>
    <x v="1"/>
    <s v="44095871001001"/>
    <n v="-67.36"/>
    <n v="1718"/>
    <n v="1"/>
    <n v="1"/>
  </r>
  <r>
    <m/>
    <m/>
    <x v="1"/>
    <s v="44133601001001"/>
    <n v="-66.849999999999994"/>
    <n v="1705"/>
    <n v="1"/>
    <n v="1"/>
  </r>
  <r>
    <m/>
    <m/>
    <x v="1"/>
    <s v="44172520001001"/>
    <n v="-19.64"/>
    <n v="501"/>
    <n v="1"/>
    <n v="1"/>
  </r>
  <r>
    <m/>
    <m/>
    <x v="1"/>
    <s v="44198701001002"/>
    <n v="-14.86"/>
    <n v="379"/>
    <n v="1"/>
    <n v="1"/>
  </r>
  <r>
    <m/>
    <m/>
    <x v="1"/>
    <s v="44200871001010"/>
    <n v="-2.4700000000000002"/>
    <n v="63"/>
    <n v="1"/>
    <n v="1"/>
  </r>
  <r>
    <m/>
    <m/>
    <x v="1"/>
    <s v="44237551001002"/>
    <n v="-2.59"/>
    <n v="66"/>
    <n v="1"/>
    <n v="1"/>
  </r>
  <r>
    <m/>
    <m/>
    <x v="1"/>
    <s v="44286551002002"/>
    <n v="-25.13"/>
    <n v="641"/>
    <n v="1"/>
    <n v="1"/>
  </r>
  <r>
    <m/>
    <m/>
    <x v="1"/>
    <s v="44293551003001"/>
    <n v="-21.64"/>
    <n v="552"/>
    <n v="1"/>
    <n v="1"/>
  </r>
  <r>
    <m/>
    <m/>
    <x v="1"/>
    <s v="44318891001003"/>
    <n v="-2.12"/>
    <n v="54"/>
    <n v="1"/>
    <n v="1"/>
  </r>
  <r>
    <m/>
    <m/>
    <x v="1"/>
    <s v="44327781001003"/>
    <n v="-4.3499999999999996"/>
    <n v="111"/>
    <n v="1"/>
    <n v="1"/>
  </r>
  <r>
    <m/>
    <m/>
    <x v="1"/>
    <s v="44340381001001"/>
    <n v="-34.47"/>
    <n v="879"/>
    <n v="1"/>
    <n v="1"/>
  </r>
  <r>
    <m/>
    <m/>
    <x v="1"/>
    <s v="44365721001001"/>
    <n v="-41.52"/>
    <n v="1059"/>
    <n v="1"/>
    <n v="1"/>
  </r>
  <r>
    <m/>
    <m/>
    <x v="1"/>
    <s v="44389521001001"/>
    <n v="-22.98"/>
    <n v="586"/>
    <n v="1"/>
    <n v="1"/>
  </r>
  <r>
    <m/>
    <m/>
    <x v="1"/>
    <s v="44423891001003"/>
    <n v="-0.43"/>
    <n v="11"/>
    <n v="1"/>
    <n v="1"/>
  </r>
  <r>
    <m/>
    <m/>
    <x v="1"/>
    <s v="44437261002001"/>
    <n v="-13.37"/>
    <n v="341"/>
    <n v="1"/>
    <n v="1"/>
  </r>
  <r>
    <m/>
    <m/>
    <x v="1"/>
    <s v="44442320001003"/>
    <n v="-14.74"/>
    <n v="376"/>
    <n v="1"/>
    <n v="1"/>
  </r>
  <r>
    <m/>
    <m/>
    <x v="1"/>
    <s v="44445801002001"/>
    <n v="-7.1000000000000005"/>
    <n v="181"/>
    <n v="2"/>
    <n v="1"/>
  </r>
  <r>
    <m/>
    <m/>
    <x v="1"/>
    <s v="44484511001002"/>
    <n v="-5.21"/>
    <n v="133"/>
    <n v="1"/>
    <n v="1"/>
  </r>
  <r>
    <m/>
    <m/>
    <x v="1"/>
    <s v="44490601001001"/>
    <n v="-3.84"/>
    <n v="98"/>
    <n v="1"/>
    <n v="1"/>
  </r>
  <r>
    <m/>
    <m/>
    <x v="1"/>
    <s v="44502641001003"/>
    <n v="-9.61"/>
    <n v="245"/>
    <n v="1"/>
    <n v="1"/>
  </r>
  <r>
    <m/>
    <m/>
    <x v="1"/>
    <s v="44525601001001"/>
    <n v="-8.16"/>
    <n v="208"/>
    <n v="1"/>
    <n v="1"/>
  </r>
  <r>
    <m/>
    <m/>
    <x v="1"/>
    <s v="44528121001001"/>
    <n v="-5.76"/>
    <n v="147"/>
    <n v="1"/>
    <n v="1"/>
  </r>
  <r>
    <m/>
    <m/>
    <x v="1"/>
    <s v="44543521001001"/>
    <n v="-18"/>
    <n v="459"/>
    <n v="1"/>
    <n v="1"/>
  </r>
  <r>
    <m/>
    <m/>
    <x v="1"/>
    <s v="44545061002001"/>
    <n v="-6.04"/>
    <n v="154"/>
    <n v="1"/>
    <n v="1"/>
  </r>
  <r>
    <m/>
    <m/>
    <x v="1"/>
    <s v="44560811001004"/>
    <n v="-7.45"/>
    <n v="190"/>
    <n v="1"/>
    <n v="1"/>
  </r>
  <r>
    <m/>
    <m/>
    <x v="1"/>
    <s v="44574881001005"/>
    <n v="-10.039999999999999"/>
    <n v="256"/>
    <n v="1"/>
    <n v="1"/>
  </r>
  <r>
    <m/>
    <m/>
    <x v="1"/>
    <s v="44617161001001"/>
    <n v="-12.27"/>
    <n v="313"/>
    <n v="1"/>
    <n v="1"/>
  </r>
  <r>
    <m/>
    <m/>
    <x v="1"/>
    <s v="44617721001003"/>
    <n v="-4.67"/>
    <n v="119"/>
    <n v="1"/>
    <n v="1"/>
  </r>
  <r>
    <m/>
    <m/>
    <x v="1"/>
    <s v="44628151002001"/>
    <n v="-10.35"/>
    <n v="264"/>
    <n v="1"/>
    <n v="1"/>
  </r>
  <r>
    <m/>
    <m/>
    <x v="1"/>
    <s v="44686531002001"/>
    <n v="-4.12"/>
    <n v="105"/>
    <n v="1"/>
    <n v="1"/>
  </r>
  <r>
    <m/>
    <m/>
    <x v="1"/>
    <s v="44688351001001"/>
    <n v="-1.29"/>
    <n v="33"/>
    <n v="1"/>
    <n v="1"/>
  </r>
  <r>
    <m/>
    <m/>
    <x v="1"/>
    <s v="44688771001005"/>
    <n v="-16.43"/>
    <n v="419"/>
    <n v="1"/>
    <n v="1"/>
  </r>
  <r>
    <m/>
    <m/>
    <x v="1"/>
    <s v="44706621001001"/>
    <n v="-12.39"/>
    <n v="316"/>
    <n v="1"/>
    <n v="1"/>
  </r>
  <r>
    <m/>
    <m/>
    <x v="1"/>
    <s v="44717821001014"/>
    <n v="-0.39"/>
    <n v="10"/>
    <n v="1"/>
    <n v="1"/>
  </r>
  <r>
    <m/>
    <m/>
    <x v="1"/>
    <s v="44773681001001"/>
    <n v="-24.39"/>
    <n v="622"/>
    <n v="1"/>
    <n v="1"/>
  </r>
  <r>
    <m/>
    <m/>
    <x v="1"/>
    <s v="44774521001002"/>
    <n v="-12.31"/>
    <n v="314"/>
    <n v="1"/>
    <n v="1"/>
  </r>
  <r>
    <m/>
    <m/>
    <x v="1"/>
    <s v="44781521001003"/>
    <n v="-20.62"/>
    <n v="526"/>
    <n v="1"/>
    <n v="1"/>
  </r>
  <r>
    <m/>
    <m/>
    <x v="1"/>
    <s v="44789781001001"/>
    <n v="-11.88"/>
    <n v="303"/>
    <n v="1"/>
    <n v="1"/>
  </r>
  <r>
    <m/>
    <m/>
    <x v="1"/>
    <s v="44810291001002"/>
    <n v="-4.04"/>
    <n v="103"/>
    <n v="1"/>
    <n v="1"/>
  </r>
  <r>
    <m/>
    <m/>
    <x v="1"/>
    <s v="44819842001003"/>
    <n v="-64.62"/>
    <n v="1648"/>
    <n v="1"/>
    <n v="1"/>
  </r>
  <r>
    <m/>
    <m/>
    <x v="1"/>
    <s v="44841161002001"/>
    <n v="-3.22"/>
    <n v="82"/>
    <n v="1"/>
    <n v="1"/>
  </r>
  <r>
    <m/>
    <m/>
    <x v="1"/>
    <s v="44843401002001"/>
    <n v="-11.02"/>
    <n v="281"/>
    <n v="1"/>
    <n v="1"/>
  </r>
  <r>
    <m/>
    <m/>
    <x v="1"/>
    <s v="44861671002001"/>
    <n v="-4.82"/>
    <n v="123"/>
    <n v="1"/>
    <n v="1"/>
  </r>
  <r>
    <m/>
    <m/>
    <x v="1"/>
    <s v="44875461001001"/>
    <n v="-4.63"/>
    <n v="118"/>
    <n v="1"/>
    <n v="1"/>
  </r>
  <r>
    <m/>
    <m/>
    <x v="1"/>
    <s v="44881201001001"/>
    <n v="-13.53"/>
    <n v="345"/>
    <n v="1"/>
    <n v="1"/>
  </r>
  <r>
    <m/>
    <m/>
    <x v="1"/>
    <s v="44885681001001"/>
    <n v="-13.96"/>
    <n v="356"/>
    <n v="1"/>
    <n v="1"/>
  </r>
  <r>
    <m/>
    <m/>
    <x v="1"/>
    <s v="44893521001001"/>
    <n v="-1.18"/>
    <n v="30"/>
    <n v="1"/>
    <n v="1"/>
  </r>
  <r>
    <m/>
    <m/>
    <x v="1"/>
    <s v="44896251001001"/>
    <n v="-13.17"/>
    <n v="336"/>
    <n v="1"/>
    <n v="1"/>
  </r>
  <r>
    <m/>
    <m/>
    <x v="1"/>
    <s v="44898351001001"/>
    <n v="-41.17"/>
    <n v="1050"/>
    <n v="1"/>
    <n v="1"/>
  </r>
  <r>
    <m/>
    <m/>
    <x v="1"/>
    <s v="44902061004004"/>
    <n v="-32.15"/>
    <n v="820"/>
    <n v="1"/>
    <n v="1"/>
  </r>
  <r>
    <m/>
    <m/>
    <x v="1"/>
    <s v="44906681002005"/>
    <n v="-9.33"/>
    <n v="238"/>
    <n v="1"/>
    <n v="1"/>
  </r>
  <r>
    <m/>
    <m/>
    <x v="1"/>
    <s v="44935424001005"/>
    <n v="-6.51"/>
    <n v="166"/>
    <n v="1"/>
    <n v="1"/>
  </r>
  <r>
    <m/>
    <m/>
    <x v="1"/>
    <s v="44955261001002"/>
    <n v="-12.63"/>
    <n v="322"/>
    <n v="1"/>
    <n v="1"/>
  </r>
  <r>
    <m/>
    <m/>
    <x v="1"/>
    <s v="44959251002002"/>
    <n v="-17.64"/>
    <n v="450"/>
    <n v="1"/>
    <n v="1"/>
  </r>
  <r>
    <m/>
    <m/>
    <x v="1"/>
    <s v="44983051001001"/>
    <n v="-16.12"/>
    <n v="411"/>
    <n v="1"/>
    <n v="1"/>
  </r>
  <r>
    <m/>
    <m/>
    <x v="1"/>
    <s v="45016581002001"/>
    <n v="-22.04"/>
    <n v="562"/>
    <n v="1"/>
    <n v="1"/>
  </r>
  <r>
    <m/>
    <m/>
    <x v="1"/>
    <s v="45028411001001"/>
    <n v="-11.68"/>
    <n v="298"/>
    <n v="1"/>
    <n v="1"/>
  </r>
  <r>
    <m/>
    <m/>
    <x v="1"/>
    <s v="45036951004011"/>
    <n v="-7.8"/>
    <n v="199"/>
    <n v="1"/>
    <n v="1"/>
  </r>
  <r>
    <m/>
    <m/>
    <x v="1"/>
    <s v="45047591003001"/>
    <n v="-22.27"/>
    <n v="568"/>
    <n v="1"/>
    <n v="1"/>
  </r>
  <r>
    <m/>
    <m/>
    <x v="1"/>
    <s v="45058021001005"/>
    <n v="-18.510000000000002"/>
    <n v="472"/>
    <n v="1"/>
    <n v="1"/>
  </r>
  <r>
    <m/>
    <m/>
    <x v="1"/>
    <s v="45064181002001"/>
    <n v="-3.49"/>
    <n v="89"/>
    <n v="1"/>
    <n v="1"/>
  </r>
  <r>
    <m/>
    <m/>
    <x v="1"/>
    <s v="45064461001001"/>
    <n v="-20.23"/>
    <n v="516"/>
    <n v="1"/>
    <n v="1"/>
  </r>
  <r>
    <m/>
    <m/>
    <x v="1"/>
    <s v="45064531001001"/>
    <n v="-10.7"/>
    <n v="273"/>
    <n v="1"/>
    <n v="1"/>
  </r>
  <r>
    <m/>
    <m/>
    <x v="1"/>
    <s v="45064881001001"/>
    <n v="-51.72"/>
    <n v="1319"/>
    <n v="1"/>
    <n v="1"/>
  </r>
  <r>
    <m/>
    <m/>
    <x v="1"/>
    <s v="45073281001004"/>
    <n v="-22"/>
    <n v="561"/>
    <n v="1"/>
    <n v="1"/>
  </r>
  <r>
    <m/>
    <m/>
    <x v="1"/>
    <s v="45077271001001"/>
    <n v="-4.3099999999999996"/>
    <n v="110"/>
    <n v="1"/>
    <n v="1"/>
  </r>
  <r>
    <m/>
    <m/>
    <x v="1"/>
    <s v="45081471001002"/>
    <n v="-21.21"/>
    <n v="541"/>
    <n v="1"/>
    <n v="1"/>
  </r>
  <r>
    <m/>
    <m/>
    <x v="1"/>
    <s v="45098621007001"/>
    <n v="-24.23"/>
    <n v="618"/>
    <n v="1"/>
    <n v="1"/>
  </r>
  <r>
    <m/>
    <m/>
    <x v="1"/>
    <s v="45101911002002"/>
    <n v="-8.5500000000000007"/>
    <n v="218"/>
    <n v="1"/>
    <n v="1"/>
  </r>
  <r>
    <m/>
    <m/>
    <x v="1"/>
    <s v="45119621001001"/>
    <n v="-5.21"/>
    <n v="133"/>
    <n v="1"/>
    <n v="1"/>
  </r>
  <r>
    <m/>
    <m/>
    <x v="1"/>
    <s v="45124731002005"/>
    <n v="-6.27"/>
    <n v="160"/>
    <n v="1"/>
    <n v="1"/>
  </r>
  <r>
    <m/>
    <m/>
    <x v="1"/>
    <s v="45126411001001"/>
    <n v="-18.350000000000001"/>
    <n v="468"/>
    <n v="1"/>
    <n v="1"/>
  </r>
  <r>
    <m/>
    <m/>
    <x v="1"/>
    <s v="45128441001005"/>
    <n v="-10.27"/>
    <n v="262"/>
    <n v="1"/>
    <n v="1"/>
  </r>
  <r>
    <m/>
    <m/>
    <x v="1"/>
    <s v="45128931001001"/>
    <n v="-19.25"/>
    <n v="491"/>
    <n v="1"/>
    <n v="1"/>
  </r>
  <r>
    <m/>
    <m/>
    <x v="1"/>
    <s v="45133320001001"/>
    <n v="-0.98"/>
    <n v="25"/>
    <n v="1"/>
    <n v="1"/>
  </r>
  <r>
    <m/>
    <m/>
    <x v="1"/>
    <s v="45136421001001"/>
    <n v="-8.35"/>
    <n v="213"/>
    <n v="1"/>
    <n v="1"/>
  </r>
  <r>
    <m/>
    <m/>
    <x v="1"/>
    <s v="45143631001001"/>
    <n v="-0.94"/>
    <n v="24"/>
    <n v="1"/>
    <n v="1"/>
  </r>
  <r>
    <m/>
    <m/>
    <x v="1"/>
    <s v="45162468001001"/>
    <n v="-18.510000000000002"/>
    <n v="472"/>
    <n v="1"/>
    <n v="1"/>
  </r>
  <r>
    <m/>
    <m/>
    <x v="1"/>
    <s v="45181641011001"/>
    <n v="-34.35"/>
    <n v="876"/>
    <n v="1"/>
    <n v="1"/>
  </r>
  <r>
    <m/>
    <m/>
    <x v="1"/>
    <s v="45191721001004"/>
    <n v="-9.25"/>
    <n v="236"/>
    <n v="1"/>
    <n v="1"/>
  </r>
  <r>
    <m/>
    <m/>
    <x v="1"/>
    <s v="45196412001001"/>
    <n v="-13.1"/>
    <n v="334"/>
    <n v="1"/>
    <n v="1"/>
  </r>
  <r>
    <m/>
    <m/>
    <x v="1"/>
    <s v="45204881002001"/>
    <n v="-1.73"/>
    <n v="44"/>
    <n v="1"/>
    <n v="1"/>
  </r>
  <r>
    <m/>
    <m/>
    <x v="1"/>
    <s v="45206841001001"/>
    <n v="-7.57"/>
    <n v="193"/>
    <n v="1"/>
    <n v="1"/>
  </r>
  <r>
    <m/>
    <m/>
    <x v="1"/>
    <s v="45233441001001"/>
    <n v="-0.74"/>
    <n v="19"/>
    <n v="1"/>
    <n v="1"/>
  </r>
  <r>
    <m/>
    <m/>
    <x v="1"/>
    <s v="45241140001003"/>
    <n v="-1.41"/>
    <n v="36"/>
    <n v="1"/>
    <n v="1"/>
  </r>
  <r>
    <m/>
    <m/>
    <x v="1"/>
    <s v="45259201001001"/>
    <n v="-4.16"/>
    <n v="106"/>
    <n v="1"/>
    <n v="1"/>
  </r>
  <r>
    <m/>
    <m/>
    <x v="1"/>
    <s v="45353841001001"/>
    <n v="-0.12"/>
    <n v="3"/>
    <n v="1"/>
    <n v="1"/>
  </r>
  <r>
    <m/>
    <m/>
    <x v="1"/>
    <s v="45356641001001"/>
    <n v="-8.1199999999999992"/>
    <n v="207"/>
    <n v="1"/>
    <n v="1"/>
  </r>
  <r>
    <m/>
    <m/>
    <x v="1"/>
    <s v="45382121001001"/>
    <n v="-2.78"/>
    <n v="71"/>
    <n v="1"/>
    <n v="1"/>
  </r>
  <r>
    <m/>
    <m/>
    <x v="1"/>
    <s v="45384361001001"/>
    <n v="-4.59"/>
    <n v="117"/>
    <n v="1"/>
    <n v="1"/>
  </r>
  <r>
    <m/>
    <m/>
    <x v="1"/>
    <s v="45390801001001"/>
    <n v="-4.59"/>
    <n v="117"/>
    <n v="1"/>
    <n v="1"/>
  </r>
  <r>
    <m/>
    <m/>
    <x v="1"/>
    <s v="45395421001001"/>
    <n v="-4.2300000000000004"/>
    <n v="108"/>
    <n v="1"/>
    <n v="1"/>
  </r>
  <r>
    <m/>
    <m/>
    <x v="1"/>
    <s v="45559221007005"/>
    <n v="-40.9"/>
    <n v="1043"/>
    <n v="1"/>
    <n v="1"/>
  </r>
  <r>
    <m/>
    <m/>
    <x v="1"/>
    <s v="45644831001001"/>
    <n v="-20.39"/>
    <n v="520"/>
    <n v="1"/>
    <n v="1"/>
  </r>
  <r>
    <m/>
    <m/>
    <x v="1"/>
    <s v="45645881001002"/>
    <n v="-122.3"/>
    <n v="3119"/>
    <n v="1"/>
    <n v="1"/>
  </r>
  <r>
    <m/>
    <m/>
    <x v="1"/>
    <s v="45725261001001"/>
    <n v="-73.95"/>
    <n v="1886"/>
    <n v="1"/>
    <n v="1"/>
  </r>
  <r>
    <m/>
    <m/>
    <x v="1"/>
    <s v="45742621001001"/>
    <n v="-61.79"/>
    <n v="1576"/>
    <n v="1"/>
    <n v="1"/>
  </r>
  <r>
    <m/>
    <m/>
    <x v="1"/>
    <s v="45751371001001"/>
    <n v="-11.02"/>
    <n v="281"/>
    <n v="1"/>
    <n v="1"/>
  </r>
  <r>
    <m/>
    <m/>
    <x v="1"/>
    <s v="45751441001001"/>
    <n v="-68.77"/>
    <n v="1754"/>
    <n v="1"/>
    <n v="1"/>
  </r>
  <r>
    <m/>
    <m/>
    <x v="1"/>
    <s v="45755851001001"/>
    <n v="-33.92"/>
    <n v="865"/>
    <n v="1"/>
    <n v="1"/>
  </r>
  <r>
    <m/>
    <m/>
    <x v="1"/>
    <s v="45757897001005"/>
    <n v="-10.86"/>
    <n v="277"/>
    <n v="1"/>
    <n v="1"/>
  </r>
  <r>
    <m/>
    <m/>
    <x v="1"/>
    <s v="45768031001001"/>
    <n v="-24.82"/>
    <n v="633"/>
    <n v="1"/>
    <n v="1"/>
  </r>
  <r>
    <m/>
    <m/>
    <x v="1"/>
    <s v="45771181001001"/>
    <n v="-48.31"/>
    <n v="1232"/>
    <n v="1"/>
    <n v="1"/>
  </r>
  <r>
    <m/>
    <m/>
    <x v="1"/>
    <s v="45785601001001"/>
    <n v="-22.78"/>
    <n v="581"/>
    <n v="1"/>
    <n v="1"/>
  </r>
  <r>
    <m/>
    <m/>
    <x v="1"/>
    <s v="45786091001001"/>
    <n v="-49.88"/>
    <n v="1272"/>
    <n v="1"/>
    <n v="1"/>
  </r>
  <r>
    <m/>
    <m/>
    <x v="1"/>
    <s v="45787701001001"/>
    <n v="-18.510000000000002"/>
    <n v="472"/>
    <n v="1"/>
    <n v="1"/>
  </r>
  <r>
    <m/>
    <m/>
    <x v="1"/>
    <s v="45799741001002"/>
    <n v="-93.63"/>
    <n v="2388"/>
    <n v="1"/>
    <n v="1"/>
  </r>
  <r>
    <m/>
    <m/>
    <x v="1"/>
    <s v="45885065001001"/>
    <n v="-55.76"/>
    <n v="1422"/>
    <n v="1"/>
    <n v="1"/>
  </r>
  <r>
    <m/>
    <m/>
    <x v="1"/>
    <s v="45898663001009"/>
    <n v="-9.41"/>
    <n v="240"/>
    <n v="1"/>
    <n v="1"/>
  </r>
  <r>
    <m/>
    <m/>
    <x v="1"/>
    <s v="45931061001003"/>
    <n v="-20.43"/>
    <n v="521"/>
    <n v="1"/>
    <n v="1"/>
  </r>
  <r>
    <m/>
    <m/>
    <x v="1"/>
    <s v="45943591002001"/>
    <n v="-6.94"/>
    <n v="177"/>
    <n v="1"/>
    <n v="1"/>
  </r>
  <r>
    <m/>
    <m/>
    <x v="1"/>
    <s v="45986501004003"/>
    <n v="-13.8"/>
    <n v="352"/>
    <n v="1"/>
    <n v="1"/>
  </r>
  <r>
    <m/>
    <m/>
    <x v="1"/>
    <s v="45996931001002"/>
    <n v="-12.12"/>
    <n v="309"/>
    <n v="1"/>
    <n v="1"/>
  </r>
  <r>
    <m/>
    <m/>
    <x v="1"/>
    <s v="46002181001004"/>
    <n v="-36.39"/>
    <n v="928"/>
    <n v="1"/>
    <n v="1"/>
  </r>
  <r>
    <m/>
    <m/>
    <x v="1"/>
    <s v="46014571002003"/>
    <n v="-20.94"/>
    <n v="534"/>
    <n v="1"/>
    <n v="1"/>
  </r>
  <r>
    <m/>
    <m/>
    <x v="1"/>
    <s v="46074210001001"/>
    <n v="-3.61"/>
    <n v="92"/>
    <n v="1"/>
    <n v="1"/>
  </r>
  <r>
    <m/>
    <m/>
    <x v="1"/>
    <s v="46133151002005"/>
    <n v="-16.59"/>
    <n v="423"/>
    <n v="1"/>
    <n v="1"/>
  </r>
  <r>
    <m/>
    <m/>
    <x v="1"/>
    <s v="46178853001001"/>
    <n v="-0.43"/>
    <n v="11"/>
    <n v="1"/>
    <n v="1"/>
  </r>
  <r>
    <m/>
    <m/>
    <x v="1"/>
    <s v="46246869001009"/>
    <n v="-4.3099999999999996"/>
    <n v="110"/>
    <n v="1"/>
    <n v="1"/>
  </r>
  <r>
    <m/>
    <m/>
    <x v="1"/>
    <s v="46255143001001"/>
    <n v="-5.0199999999999996"/>
    <n v="128"/>
    <n v="1"/>
    <n v="1"/>
  </r>
  <r>
    <m/>
    <m/>
    <x v="1"/>
    <s v="46289951001001"/>
    <n v="-33.369999999999997"/>
    <n v="851"/>
    <n v="1"/>
    <n v="1"/>
  </r>
  <r>
    <m/>
    <m/>
    <x v="1"/>
    <s v="46327821002001"/>
    <n v="-8"/>
    <n v="204"/>
    <n v="1"/>
    <n v="1"/>
  </r>
  <r>
    <m/>
    <m/>
    <x v="1"/>
    <s v="46421145001001"/>
    <n v="-0.9"/>
    <n v="23"/>
    <n v="1"/>
    <n v="1"/>
  </r>
  <r>
    <m/>
    <m/>
    <x v="1"/>
    <s v="46482661001005"/>
    <n v="-78.150000000000006"/>
    <n v="1993"/>
    <n v="1"/>
    <n v="1"/>
  </r>
  <r>
    <m/>
    <m/>
    <x v="1"/>
    <s v="46488681001003"/>
    <n v="-35.450000000000003"/>
    <n v="904"/>
    <n v="1"/>
    <n v="1"/>
  </r>
  <r>
    <m/>
    <m/>
    <x v="1"/>
    <s v="46504501001001"/>
    <n v="-7.02"/>
    <n v="179"/>
    <n v="1"/>
    <n v="1"/>
  </r>
  <r>
    <m/>
    <m/>
    <x v="1"/>
    <s v="46578701001001"/>
    <n v="-4.12"/>
    <n v="105"/>
    <n v="1"/>
    <n v="1"/>
  </r>
  <r>
    <m/>
    <m/>
    <x v="1"/>
    <s v="46581641003003"/>
    <n v="-16.43"/>
    <n v="419"/>
    <n v="1"/>
    <n v="1"/>
  </r>
  <r>
    <m/>
    <m/>
    <x v="1"/>
    <s v="46613701001001"/>
    <n v="-26.04"/>
    <n v="664"/>
    <n v="1"/>
    <n v="1"/>
  </r>
  <r>
    <m/>
    <m/>
    <x v="1"/>
    <s v="46763571002001"/>
    <n v="-2.2000000000000002"/>
    <n v="56"/>
    <n v="1"/>
    <n v="1"/>
  </r>
  <r>
    <m/>
    <m/>
    <x v="1"/>
    <s v="46858841001004"/>
    <n v="-2.08"/>
    <n v="53"/>
    <n v="1"/>
    <n v="1"/>
  </r>
  <r>
    <m/>
    <m/>
    <x v="1"/>
    <s v="46867241001005"/>
    <n v="-7.06"/>
    <n v="180"/>
    <n v="1"/>
    <n v="1"/>
  </r>
  <r>
    <m/>
    <m/>
    <x v="1"/>
    <s v="46912138001001"/>
    <n v="-28.66"/>
    <n v="731"/>
    <n v="1"/>
    <n v="1"/>
  </r>
  <r>
    <m/>
    <m/>
    <x v="1"/>
    <s v="46913740001001"/>
    <n v="-15.02"/>
    <n v="383"/>
    <n v="1"/>
    <n v="1"/>
  </r>
  <r>
    <m/>
    <m/>
    <x v="1"/>
    <s v="46948371001001"/>
    <n v="-2.16"/>
    <n v="55"/>
    <n v="1"/>
    <n v="1"/>
  </r>
  <r>
    <m/>
    <m/>
    <x v="1"/>
    <s v="46955931001002"/>
    <n v="-2.16"/>
    <n v="55"/>
    <n v="1"/>
    <n v="1"/>
  </r>
  <r>
    <m/>
    <m/>
    <x v="1"/>
    <s v="46962301001002"/>
    <n v="-2.86"/>
    <n v="73"/>
    <n v="1"/>
    <n v="1"/>
  </r>
  <r>
    <m/>
    <m/>
    <x v="1"/>
    <s v="46966151001003"/>
    <n v="-19.61"/>
    <n v="500"/>
    <n v="1"/>
    <n v="1"/>
  </r>
  <r>
    <m/>
    <m/>
    <x v="1"/>
    <s v="47139891001002"/>
    <n v="-15.45"/>
    <n v="394"/>
    <n v="1"/>
    <n v="1"/>
  </r>
  <r>
    <m/>
    <m/>
    <x v="1"/>
    <s v="47142481001004"/>
    <n v="-0.74"/>
    <n v="19"/>
    <n v="1"/>
    <n v="1"/>
  </r>
  <r>
    <m/>
    <m/>
    <x v="1"/>
    <s v="47180631003001"/>
    <n v="-0.51"/>
    <n v="13"/>
    <n v="1"/>
    <n v="1"/>
  </r>
  <r>
    <m/>
    <m/>
    <x v="1"/>
    <s v="47194351001001"/>
    <n v="-1.84"/>
    <n v="47"/>
    <n v="1"/>
    <n v="1"/>
  </r>
  <r>
    <m/>
    <m/>
    <x v="1"/>
    <s v="47198691002001"/>
    <n v="-24.04"/>
    <n v="613"/>
    <n v="1"/>
    <n v="1"/>
  </r>
  <r>
    <m/>
    <m/>
    <x v="1"/>
    <s v="47228301003001"/>
    <n v="-1.57"/>
    <n v="40"/>
    <n v="1"/>
    <n v="1"/>
  </r>
  <r>
    <m/>
    <m/>
    <x v="1"/>
    <s v="47231801001002"/>
    <n v="-11.65"/>
    <n v="297"/>
    <n v="1"/>
    <n v="1"/>
  </r>
  <r>
    <m/>
    <m/>
    <x v="1"/>
    <s v="47256425001001"/>
    <n v="-21.96"/>
    <n v="560"/>
    <n v="1"/>
    <n v="1"/>
  </r>
  <r>
    <m/>
    <m/>
    <x v="1"/>
    <s v="47311671002002"/>
    <n v="-15.1"/>
    <n v="385"/>
    <n v="1"/>
    <n v="1"/>
  </r>
  <r>
    <m/>
    <m/>
    <x v="1"/>
    <s v="47321401005001"/>
    <n v="-2.74"/>
    <n v="70"/>
    <n v="1"/>
    <n v="1"/>
  </r>
  <r>
    <m/>
    <m/>
    <x v="1"/>
    <s v="47327071005001"/>
    <n v="-29.92"/>
    <n v="763"/>
    <n v="1"/>
    <n v="1"/>
  </r>
  <r>
    <m/>
    <m/>
    <x v="1"/>
    <s v="47328821001007"/>
    <n v="-15.72"/>
    <n v="401"/>
    <n v="1"/>
    <n v="1"/>
  </r>
  <r>
    <m/>
    <m/>
    <x v="1"/>
    <s v="47345201001003"/>
    <n v="-5.21"/>
    <n v="133"/>
    <n v="1"/>
    <n v="1"/>
  </r>
  <r>
    <m/>
    <m/>
    <x v="1"/>
    <s v="47345831001004"/>
    <n v="-1.25"/>
    <n v="32"/>
    <n v="1"/>
    <n v="1"/>
  </r>
  <r>
    <m/>
    <m/>
    <x v="1"/>
    <s v="47354861004001"/>
    <n v="-3.18"/>
    <n v="81"/>
    <n v="1"/>
    <n v="1"/>
  </r>
  <r>
    <m/>
    <m/>
    <x v="1"/>
    <s v="47363051001001"/>
    <n v="-2.67"/>
    <n v="68"/>
    <n v="1"/>
    <n v="1"/>
  </r>
  <r>
    <m/>
    <m/>
    <x v="1"/>
    <s v="47406740001003"/>
    <n v="-23.45"/>
    <n v="598"/>
    <n v="1"/>
    <n v="1"/>
  </r>
  <r>
    <m/>
    <m/>
    <x v="1"/>
    <s v="47445167002001"/>
    <n v="-14.63"/>
    <n v="373"/>
    <n v="1"/>
    <n v="1"/>
  </r>
  <r>
    <m/>
    <m/>
    <x v="1"/>
    <s v="47456402001001"/>
    <n v="-5.72"/>
    <n v="146"/>
    <n v="1"/>
    <n v="1"/>
  </r>
  <r>
    <m/>
    <m/>
    <x v="1"/>
    <s v="47467911001002"/>
    <n v="-1.06"/>
    <n v="27"/>
    <n v="1"/>
    <n v="1"/>
  </r>
  <r>
    <m/>
    <m/>
    <x v="1"/>
    <s v="47541901001001"/>
    <n v="-14.78"/>
    <n v="377"/>
    <n v="1"/>
    <n v="1"/>
  </r>
  <r>
    <m/>
    <m/>
    <x v="1"/>
    <s v="47552611001001"/>
    <n v="-28.11"/>
    <n v="717"/>
    <n v="1"/>
    <n v="1"/>
  </r>
  <r>
    <m/>
    <m/>
    <x v="1"/>
    <s v="47555411002001"/>
    <n v="-14.12"/>
    <n v="360"/>
    <n v="1"/>
    <n v="1"/>
  </r>
  <r>
    <m/>
    <m/>
    <x v="1"/>
    <s v="47562061007001"/>
    <n v="-7.1"/>
    <n v="181"/>
    <n v="1"/>
    <n v="1"/>
  </r>
  <r>
    <m/>
    <m/>
    <x v="1"/>
    <s v="47674271002001"/>
    <n v="-2.4700000000000002"/>
    <n v="63"/>
    <n v="1"/>
    <n v="1"/>
  </r>
  <r>
    <m/>
    <m/>
    <x v="1"/>
    <s v="47760721004001"/>
    <n v="-6.16"/>
    <n v="157"/>
    <n v="1"/>
    <n v="1"/>
  </r>
  <r>
    <m/>
    <m/>
    <x v="1"/>
    <s v="47770451001002"/>
    <n v="-9.02"/>
    <n v="230"/>
    <n v="1"/>
    <n v="1"/>
  </r>
  <r>
    <m/>
    <m/>
    <x v="1"/>
    <s v="47837581001001"/>
    <n v="-4.51"/>
    <n v="115"/>
    <n v="1"/>
    <n v="1"/>
  </r>
  <r>
    <m/>
    <m/>
    <x v="1"/>
    <s v="47854171001002"/>
    <n v="-27.25"/>
    <n v="695"/>
    <n v="1"/>
    <n v="1"/>
  </r>
  <r>
    <m/>
    <m/>
    <x v="1"/>
    <s v="47876291003003"/>
    <n v="-3.14"/>
    <n v="80"/>
    <n v="1"/>
    <n v="1"/>
  </r>
  <r>
    <m/>
    <m/>
    <x v="1"/>
    <s v="47907161002002"/>
    <n v="-11.72"/>
    <n v="299"/>
    <n v="1"/>
    <n v="1"/>
  </r>
  <r>
    <m/>
    <m/>
    <x v="1"/>
    <s v="47909401001001"/>
    <n v="-4.9000000000000004"/>
    <n v="125"/>
    <n v="1"/>
    <n v="1"/>
  </r>
  <r>
    <m/>
    <m/>
    <x v="1"/>
    <s v="47943771006001"/>
    <n v="-68.849999999999994"/>
    <n v="1756"/>
    <n v="1"/>
    <n v="1"/>
  </r>
  <r>
    <m/>
    <m/>
    <x v="1"/>
    <s v="47943981001003"/>
    <n v="-40.229999999999997"/>
    <n v="1026"/>
    <n v="1"/>
    <n v="1"/>
  </r>
  <r>
    <m/>
    <m/>
    <x v="1"/>
    <s v="47971841001005"/>
    <n v="-19.57"/>
    <n v="499"/>
    <n v="1"/>
    <n v="1"/>
  </r>
  <r>
    <m/>
    <m/>
    <x v="1"/>
    <s v="47972121001009"/>
    <n v="-6.16"/>
    <n v="157"/>
    <n v="1"/>
    <n v="1"/>
  </r>
  <r>
    <m/>
    <m/>
    <x v="1"/>
    <s v="48036521001001"/>
    <n v="-15.17"/>
    <n v="387"/>
    <n v="1"/>
    <n v="1"/>
  </r>
  <r>
    <m/>
    <m/>
    <x v="1"/>
    <s v="48037431004001"/>
    <n v="-108.22"/>
    <n v="2760"/>
    <n v="1"/>
    <n v="1"/>
  </r>
  <r>
    <m/>
    <m/>
    <x v="1"/>
    <s v="48037781003001"/>
    <n v="-13.53"/>
    <n v="345"/>
    <n v="1"/>
    <n v="1"/>
  </r>
  <r>
    <m/>
    <m/>
    <x v="1"/>
    <s v="48048211001001"/>
    <n v="-14"/>
    <n v="357"/>
    <n v="1"/>
    <n v="1"/>
  </r>
  <r>
    <m/>
    <m/>
    <x v="1"/>
    <s v="48058431001001"/>
    <n v="-24.04"/>
    <n v="613"/>
    <n v="1"/>
    <n v="1"/>
  </r>
  <r>
    <m/>
    <m/>
    <x v="1"/>
    <s v="48115691001003"/>
    <n v="-1.53"/>
    <n v="39"/>
    <n v="1"/>
    <n v="1"/>
  </r>
  <r>
    <m/>
    <m/>
    <x v="1"/>
    <s v="48124752001001"/>
    <n v="-6.74"/>
    <n v="172"/>
    <n v="1"/>
    <n v="1"/>
  </r>
  <r>
    <m/>
    <m/>
    <x v="1"/>
    <s v="48168055001001"/>
    <n v="-3.22"/>
    <n v="82"/>
    <n v="1"/>
    <n v="1"/>
  </r>
  <r>
    <m/>
    <m/>
    <x v="1"/>
    <s v="48182681001001"/>
    <n v="-25.6"/>
    <n v="653"/>
    <n v="1"/>
    <n v="1"/>
  </r>
  <r>
    <m/>
    <m/>
    <x v="1"/>
    <s v="48188701001001"/>
    <n v="-27.76"/>
    <n v="708"/>
    <n v="1"/>
    <n v="1"/>
  </r>
  <r>
    <m/>
    <m/>
    <x v="1"/>
    <s v="48194791003001"/>
    <n v="-81.44"/>
    <n v="2077"/>
    <n v="1"/>
    <n v="1"/>
  </r>
  <r>
    <m/>
    <m/>
    <x v="1"/>
    <s v="48219833001001"/>
    <n v="-4.2699999999999996"/>
    <n v="109"/>
    <n v="1"/>
    <n v="1"/>
  </r>
  <r>
    <m/>
    <m/>
    <x v="1"/>
    <s v="48221391002003"/>
    <n v="-9.06"/>
    <n v="231"/>
    <n v="1"/>
    <n v="1"/>
  </r>
  <r>
    <m/>
    <m/>
    <x v="1"/>
    <s v="48278021001002"/>
    <n v="-3.29"/>
    <n v="84"/>
    <n v="1"/>
    <n v="1"/>
  </r>
  <r>
    <m/>
    <m/>
    <x v="1"/>
    <s v="48367273001004"/>
    <n v="-2.82"/>
    <n v="72"/>
    <n v="1"/>
    <n v="1"/>
  </r>
  <r>
    <m/>
    <m/>
    <x v="1"/>
    <s v="48368531001006"/>
    <n v="-20.94"/>
    <n v="534"/>
    <n v="1"/>
    <n v="1"/>
  </r>
  <r>
    <m/>
    <m/>
    <x v="1"/>
    <s v="48398584006001"/>
    <n v="-6.31"/>
    <n v="161"/>
    <n v="1"/>
    <n v="1"/>
  </r>
  <r>
    <m/>
    <m/>
    <x v="1"/>
    <s v="48401751001001"/>
    <n v="-33.01"/>
    <n v="842"/>
    <n v="1"/>
    <n v="1"/>
  </r>
  <r>
    <m/>
    <m/>
    <x v="1"/>
    <s v="48438811004001"/>
    <n v="-5.65"/>
    <n v="144"/>
    <n v="1"/>
    <n v="1"/>
  </r>
  <r>
    <m/>
    <m/>
    <x v="1"/>
    <s v="48551861002001"/>
    <n v="-1.41"/>
    <n v="36"/>
    <n v="1"/>
    <n v="1"/>
  </r>
  <r>
    <m/>
    <m/>
    <x v="1"/>
    <s v="48581489001001"/>
    <n v="-6.27"/>
    <n v="160"/>
    <n v="1"/>
    <n v="1"/>
  </r>
  <r>
    <m/>
    <m/>
    <x v="1"/>
    <s v="48622948001002"/>
    <n v="-5.0999999999999996"/>
    <n v="130"/>
    <n v="1"/>
    <n v="1"/>
  </r>
  <r>
    <m/>
    <m/>
    <x v="1"/>
    <s v="48629818001001"/>
    <n v="-16.7"/>
    <n v="426"/>
    <n v="1"/>
    <n v="1"/>
  </r>
  <r>
    <m/>
    <m/>
    <x v="1"/>
    <s v="48660341001001"/>
    <n v="-0.82"/>
    <n v="21"/>
    <n v="1"/>
    <n v="1"/>
  </r>
  <r>
    <m/>
    <m/>
    <x v="1"/>
    <s v="48684021001001"/>
    <n v="-12.12"/>
    <n v="309"/>
    <n v="1"/>
    <n v="1"/>
  </r>
  <r>
    <m/>
    <m/>
    <x v="1"/>
    <s v="48752136001002"/>
    <n v="-0.24"/>
    <n v="6"/>
    <n v="1"/>
    <n v="1"/>
  </r>
  <r>
    <m/>
    <m/>
    <x v="1"/>
    <s v="48762278001001"/>
    <n v="-11.21"/>
    <n v="286"/>
    <n v="1"/>
    <n v="1"/>
  </r>
  <r>
    <m/>
    <m/>
    <x v="1"/>
    <s v="48813381002001"/>
    <n v="-65.28"/>
    <n v="1665"/>
    <n v="1"/>
    <n v="1"/>
  </r>
  <r>
    <m/>
    <m/>
    <x v="1"/>
    <s v="48834171001003"/>
    <n v="-13.72"/>
    <n v="350"/>
    <n v="1"/>
    <n v="1"/>
  </r>
  <r>
    <m/>
    <m/>
    <x v="1"/>
    <s v="48845721001001"/>
    <n v="-14.63"/>
    <n v="373"/>
    <n v="1"/>
    <n v="1"/>
  </r>
  <r>
    <m/>
    <m/>
    <x v="1"/>
    <s v="49153651002001"/>
    <n v="-0.16"/>
    <n v="4"/>
    <n v="1"/>
    <n v="1"/>
  </r>
  <r>
    <m/>
    <m/>
    <x v="1"/>
    <s v="49166301001001"/>
    <n v="-0.71"/>
    <n v="18"/>
    <n v="1"/>
    <n v="1"/>
  </r>
  <r>
    <m/>
    <m/>
    <x v="1"/>
    <s v="49177241002001"/>
    <n v="-3.65"/>
    <n v="93"/>
    <n v="1"/>
    <n v="1"/>
  </r>
  <r>
    <m/>
    <m/>
    <x v="1"/>
    <s v="49187126001001"/>
    <n v="-18.82"/>
    <n v="480"/>
    <n v="1"/>
    <n v="1"/>
  </r>
  <r>
    <m/>
    <m/>
    <x v="1"/>
    <s v="49267961004003"/>
    <n v="-16.86"/>
    <n v="430"/>
    <n v="1"/>
    <n v="1"/>
  </r>
  <r>
    <m/>
    <m/>
    <x v="1"/>
    <s v="49301721001001"/>
    <n v="-13.33"/>
    <n v="340"/>
    <n v="1"/>
    <n v="1"/>
  </r>
  <r>
    <m/>
    <m/>
    <x v="1"/>
    <s v="49320041001002"/>
    <n v="-19.96"/>
    <n v="509"/>
    <n v="1"/>
    <n v="1"/>
  </r>
  <r>
    <m/>
    <m/>
    <x v="1"/>
    <s v="49326370001005"/>
    <n v="-45.01"/>
    <n v="1148"/>
    <n v="1"/>
    <n v="1"/>
  </r>
  <r>
    <m/>
    <m/>
    <x v="1"/>
    <s v="49436870001001"/>
    <n v="-5.37"/>
    <n v="137"/>
    <n v="1"/>
    <n v="1"/>
  </r>
  <r>
    <m/>
    <m/>
    <x v="1"/>
    <s v="49554261003001"/>
    <n v="-51.09"/>
    <n v="1303"/>
    <n v="1"/>
    <n v="1"/>
  </r>
  <r>
    <m/>
    <m/>
    <x v="1"/>
    <s v="49557855001003"/>
    <n v="-21.84"/>
    <n v="557"/>
    <n v="1"/>
    <n v="1"/>
  </r>
  <r>
    <m/>
    <m/>
    <x v="1"/>
    <s v="49570081001002"/>
    <n v="-20.04"/>
    <n v="511"/>
    <n v="1"/>
    <n v="1"/>
  </r>
  <r>
    <m/>
    <m/>
    <x v="1"/>
    <s v="49581631001005"/>
    <n v="-39.68"/>
    <n v="1012"/>
    <n v="1"/>
    <n v="1"/>
  </r>
  <r>
    <m/>
    <m/>
    <x v="1"/>
    <s v="49591431001003"/>
    <n v="-5.0199999999999996"/>
    <n v="128"/>
    <n v="1"/>
    <n v="1"/>
  </r>
  <r>
    <m/>
    <m/>
    <x v="1"/>
    <s v="49600181003002"/>
    <n v="-62.46"/>
    <n v="1593"/>
    <n v="1"/>
    <n v="1"/>
  </r>
  <r>
    <m/>
    <m/>
    <x v="1"/>
    <s v="49602561001001"/>
    <n v="-32.74"/>
    <n v="835"/>
    <n v="1"/>
    <n v="1"/>
  </r>
  <r>
    <m/>
    <m/>
    <x v="1"/>
    <s v="49608231003009"/>
    <n v="-60.03"/>
    <n v="1531"/>
    <n v="1"/>
    <n v="1"/>
  </r>
  <r>
    <m/>
    <m/>
    <x v="1"/>
    <s v="49693491002008"/>
    <n v="-3.29"/>
    <n v="84"/>
    <n v="1"/>
    <n v="1"/>
  </r>
  <r>
    <m/>
    <m/>
    <x v="1"/>
    <s v="49717151001001"/>
    <n v="-55.17"/>
    <n v="1407"/>
    <n v="1"/>
    <n v="1"/>
  </r>
  <r>
    <m/>
    <m/>
    <x v="1"/>
    <s v="49735399001001"/>
    <n v="-2.86"/>
    <n v="73"/>
    <n v="1"/>
    <n v="1"/>
  </r>
  <r>
    <m/>
    <m/>
    <x v="1"/>
    <s v="49761531001001"/>
    <n v="-3.92"/>
    <n v="100"/>
    <n v="1"/>
    <n v="1"/>
  </r>
  <r>
    <m/>
    <m/>
    <x v="1"/>
    <s v="49762441001002"/>
    <n v="-0.47"/>
    <n v="12"/>
    <n v="1"/>
    <n v="1"/>
  </r>
  <r>
    <m/>
    <m/>
    <x v="1"/>
    <s v="49774436001006"/>
    <n v="-17.8"/>
    <n v="454"/>
    <n v="1"/>
    <n v="1"/>
  </r>
  <r>
    <m/>
    <m/>
    <x v="1"/>
    <s v="49828031002004"/>
    <n v="-5.37"/>
    <n v="137"/>
    <n v="1"/>
    <n v="1"/>
  </r>
  <r>
    <m/>
    <m/>
    <x v="1"/>
    <s v="49836221003001"/>
    <n v="-3.45"/>
    <n v="88"/>
    <n v="1"/>
    <n v="1"/>
  </r>
  <r>
    <m/>
    <m/>
    <x v="1"/>
    <s v="49841331001004"/>
    <n v="-10.47"/>
    <n v="267"/>
    <n v="1"/>
    <n v="1"/>
  </r>
  <r>
    <m/>
    <m/>
    <x v="1"/>
    <s v="49866391001002"/>
    <n v="-12.16"/>
    <n v="310"/>
    <n v="1"/>
    <n v="1"/>
  </r>
  <r>
    <m/>
    <m/>
    <x v="1"/>
    <s v="49916861001001"/>
    <n v="-21.37"/>
    <n v="545"/>
    <n v="1"/>
    <n v="1"/>
  </r>
  <r>
    <m/>
    <m/>
    <x v="1"/>
    <s v="49929881001003"/>
    <n v="-59.68"/>
    <n v="1522"/>
    <n v="1"/>
    <n v="1"/>
  </r>
  <r>
    <m/>
    <m/>
    <x v="1"/>
    <s v="49930301001001"/>
    <n v="-29.29"/>
    <n v="747"/>
    <n v="1"/>
    <n v="1"/>
  </r>
  <r>
    <m/>
    <m/>
    <x v="1"/>
    <s v="49951931001004"/>
    <n v="-13.8"/>
    <n v="352"/>
    <n v="1"/>
    <n v="1"/>
  </r>
  <r>
    <m/>
    <m/>
    <x v="1"/>
    <s v="49965791001003"/>
    <n v="-0.51"/>
    <n v="13"/>
    <n v="1"/>
    <n v="1"/>
  </r>
  <r>
    <m/>
    <m/>
    <x v="1"/>
    <s v="50011086001001"/>
    <n v="-3.76"/>
    <n v="96"/>
    <n v="1"/>
    <n v="1"/>
  </r>
  <r>
    <m/>
    <m/>
    <x v="1"/>
    <s v="50043981001003"/>
    <n v="-3.72"/>
    <n v="95"/>
    <n v="1"/>
    <n v="1"/>
  </r>
  <r>
    <m/>
    <m/>
    <x v="1"/>
    <s v="50047513001001"/>
    <n v="-3.18"/>
    <n v="81"/>
    <n v="1"/>
    <n v="1"/>
  </r>
  <r>
    <m/>
    <m/>
    <x v="1"/>
    <s v="50071631001001"/>
    <n v="-2.2000000000000002"/>
    <n v="56"/>
    <n v="1"/>
    <n v="1"/>
  </r>
  <r>
    <m/>
    <m/>
    <x v="1"/>
    <s v="50095781001001"/>
    <n v="-25.17"/>
    <n v="642"/>
    <n v="1"/>
    <n v="1"/>
  </r>
  <r>
    <m/>
    <m/>
    <x v="1"/>
    <s v="50159341001001"/>
    <n v="-9.1"/>
    <n v="232"/>
    <n v="1"/>
    <n v="1"/>
  </r>
  <r>
    <m/>
    <m/>
    <x v="1"/>
    <s v="50181601002005"/>
    <n v="-21.72"/>
    <n v="554"/>
    <n v="1"/>
    <n v="1"/>
  </r>
  <r>
    <m/>
    <m/>
    <x v="1"/>
    <s v="50249641001001"/>
    <n v="-1.45"/>
    <n v="37"/>
    <n v="1"/>
    <n v="1"/>
  </r>
  <r>
    <m/>
    <m/>
    <x v="1"/>
    <s v="50254821001001"/>
    <n v="-1.8"/>
    <n v="46"/>
    <n v="1"/>
    <n v="1"/>
  </r>
  <r>
    <m/>
    <m/>
    <x v="1"/>
    <s v="50305221001001"/>
    <n v="-0.78"/>
    <n v="20"/>
    <n v="1"/>
    <n v="1"/>
  </r>
  <r>
    <m/>
    <m/>
    <x v="1"/>
    <s v="50306876001004"/>
    <n v="-6.04"/>
    <n v="154"/>
    <n v="1"/>
    <n v="1"/>
  </r>
  <r>
    <m/>
    <m/>
    <x v="1"/>
    <s v="50314391002005"/>
    <n v="-34.58"/>
    <n v="882"/>
    <n v="1"/>
    <n v="1"/>
  </r>
  <r>
    <m/>
    <m/>
    <x v="1"/>
    <s v="50412391001001"/>
    <n v="-9.65"/>
    <n v="246"/>
    <n v="1"/>
    <n v="1"/>
  </r>
  <r>
    <m/>
    <m/>
    <x v="1"/>
    <s v="50425271002004"/>
    <n v="-3.57"/>
    <n v="91"/>
    <n v="1"/>
    <n v="1"/>
  </r>
  <r>
    <m/>
    <m/>
    <x v="1"/>
    <s v="50587853001001"/>
    <n v="-22.39"/>
    <n v="571"/>
    <n v="1"/>
    <n v="1"/>
  </r>
  <r>
    <m/>
    <m/>
    <x v="1"/>
    <s v="50695261001002"/>
    <n v="-2.5099999999999998"/>
    <n v="64"/>
    <n v="1"/>
    <n v="1"/>
  </r>
  <r>
    <m/>
    <m/>
    <x v="1"/>
    <s v="50725151001007"/>
    <n v="-7.8"/>
    <n v="199"/>
    <n v="1"/>
    <n v="1"/>
  </r>
  <r>
    <m/>
    <m/>
    <x v="1"/>
    <s v="50737681001001"/>
    <n v="-12.08"/>
    <n v="308"/>
    <n v="1"/>
    <n v="1"/>
  </r>
  <r>
    <m/>
    <m/>
    <x v="1"/>
    <s v="50740761001001"/>
    <n v="-100.93"/>
    <n v="2574"/>
    <n v="1"/>
    <n v="1"/>
  </r>
  <r>
    <m/>
    <m/>
    <x v="1"/>
    <s v="50756231001002"/>
    <n v="-4.12"/>
    <n v="105"/>
    <n v="1"/>
    <n v="1"/>
  </r>
  <r>
    <m/>
    <m/>
    <x v="1"/>
    <s v="50768201001001"/>
    <n v="-14.94"/>
    <n v="381"/>
    <n v="1"/>
    <n v="1"/>
  </r>
  <r>
    <m/>
    <m/>
    <x v="1"/>
    <s v="50775761001001"/>
    <n v="-21.02"/>
    <n v="536"/>
    <n v="1"/>
    <n v="1"/>
  </r>
  <r>
    <m/>
    <m/>
    <x v="1"/>
    <s v="50782131001001"/>
    <n v="-9.49"/>
    <n v="242"/>
    <n v="1"/>
    <n v="1"/>
  </r>
  <r>
    <m/>
    <m/>
    <x v="1"/>
    <s v="50787241001001"/>
    <n v="-18.39"/>
    <n v="469"/>
    <n v="1"/>
    <n v="1"/>
  </r>
  <r>
    <m/>
    <m/>
    <x v="1"/>
    <s v="50790601001001"/>
    <n v="-18.86"/>
    <n v="481"/>
    <n v="1"/>
    <n v="1"/>
  </r>
  <r>
    <m/>
    <m/>
    <x v="1"/>
    <s v="50808591001001"/>
    <n v="-47.91"/>
    <n v="1222"/>
    <n v="1"/>
    <n v="1"/>
  </r>
  <r>
    <m/>
    <m/>
    <x v="1"/>
    <s v="50809571001001"/>
    <n v="-33.25"/>
    <n v="848"/>
    <n v="1"/>
    <n v="1"/>
  </r>
  <r>
    <m/>
    <m/>
    <x v="1"/>
    <s v="50823431001001"/>
    <n v="-28.23"/>
    <n v="720"/>
    <n v="1"/>
    <n v="1"/>
  </r>
  <r>
    <m/>
    <m/>
    <x v="1"/>
    <s v="50831971001002"/>
    <n v="-6.08"/>
    <n v="155"/>
    <n v="1"/>
    <n v="1"/>
  </r>
  <r>
    <m/>
    <m/>
    <x v="1"/>
    <s v="50858361001001"/>
    <n v="-16.350000000000001"/>
    <n v="417"/>
    <n v="1"/>
    <n v="1"/>
  </r>
  <r>
    <m/>
    <m/>
    <x v="1"/>
    <s v="50870401001001"/>
    <n v="-4.9000000000000004"/>
    <n v="125"/>
    <n v="1"/>
    <n v="1"/>
  </r>
  <r>
    <m/>
    <m/>
    <x v="1"/>
    <s v="50901131002004"/>
    <n v="-20.66"/>
    <n v="527"/>
    <n v="1"/>
    <n v="1"/>
  </r>
  <r>
    <m/>
    <m/>
    <x v="1"/>
    <s v="50919121001001"/>
    <n v="-28.74"/>
    <n v="733"/>
    <n v="1"/>
    <n v="1"/>
  </r>
  <r>
    <m/>
    <m/>
    <x v="1"/>
    <s v="50940891001005"/>
    <n v="-11.14"/>
    <n v="284"/>
    <n v="1"/>
    <n v="1"/>
  </r>
  <r>
    <m/>
    <m/>
    <x v="1"/>
    <s v="50990101002001"/>
    <n v="-33.049999999999997"/>
    <n v="843"/>
    <n v="1"/>
    <n v="1"/>
  </r>
  <r>
    <m/>
    <m/>
    <x v="1"/>
    <s v="50997311003001"/>
    <n v="-9.84"/>
    <n v="251"/>
    <n v="1"/>
    <n v="1"/>
  </r>
  <r>
    <m/>
    <m/>
    <x v="1"/>
    <s v="51005151001001"/>
    <n v="-1.22"/>
    <n v="31"/>
    <n v="1"/>
    <n v="1"/>
  </r>
  <r>
    <m/>
    <m/>
    <x v="1"/>
    <s v="51006481001002"/>
    <n v="-4.04"/>
    <n v="103"/>
    <n v="1"/>
    <n v="1"/>
  </r>
  <r>
    <m/>
    <m/>
    <x v="1"/>
    <s v="51009071001001"/>
    <n v="-39.33"/>
    <n v="1003"/>
    <n v="1"/>
    <n v="1"/>
  </r>
  <r>
    <m/>
    <m/>
    <x v="1"/>
    <s v="51010891001001"/>
    <n v="-16.899999999999999"/>
    <n v="431"/>
    <n v="1"/>
    <n v="1"/>
  </r>
  <r>
    <m/>
    <m/>
    <x v="1"/>
    <s v="51011661001002"/>
    <n v="-0.39"/>
    <n v="10"/>
    <n v="1"/>
    <n v="1"/>
  </r>
  <r>
    <m/>
    <m/>
    <x v="1"/>
    <s v="51027411002001"/>
    <n v="-7.45"/>
    <n v="190"/>
    <n v="1"/>
    <n v="1"/>
  </r>
  <r>
    <m/>
    <m/>
    <x v="1"/>
    <s v="51045961001001"/>
    <n v="-47.4"/>
    <n v="1209"/>
    <n v="1"/>
    <n v="1"/>
  </r>
  <r>
    <m/>
    <m/>
    <x v="1"/>
    <s v="51051071001005"/>
    <n v="-2.27"/>
    <n v="58"/>
    <n v="1"/>
    <n v="1"/>
  </r>
  <r>
    <m/>
    <m/>
    <x v="1"/>
    <s v="51060731009001"/>
    <n v="-50.97"/>
    <n v="1300"/>
    <n v="1"/>
    <n v="1"/>
  </r>
  <r>
    <m/>
    <m/>
    <x v="1"/>
    <s v="51082221002003"/>
    <n v="-56.74"/>
    <n v="1447"/>
    <n v="1"/>
    <n v="1"/>
  </r>
  <r>
    <m/>
    <m/>
    <x v="1"/>
    <s v="51097131003001"/>
    <n v="-20.04"/>
    <n v="511"/>
    <n v="1"/>
    <n v="1"/>
  </r>
  <r>
    <m/>
    <m/>
    <x v="1"/>
    <s v="51098181001001"/>
    <n v="-2.74"/>
    <n v="70"/>
    <n v="1"/>
    <n v="1"/>
  </r>
  <r>
    <m/>
    <m/>
    <x v="1"/>
    <s v="51105531001004"/>
    <n v="-42.19"/>
    <n v="1076"/>
    <n v="1"/>
    <n v="1"/>
  </r>
  <r>
    <m/>
    <m/>
    <x v="1"/>
    <s v="51108261002001"/>
    <n v="-15.92"/>
    <n v="406"/>
    <n v="1"/>
    <n v="1"/>
  </r>
  <r>
    <m/>
    <m/>
    <x v="1"/>
    <s v="51112391001008"/>
    <n v="-42.9"/>
    <n v="1094"/>
    <n v="1"/>
    <n v="1"/>
  </r>
  <r>
    <m/>
    <m/>
    <x v="1"/>
    <s v="51123241001002"/>
    <n v="-62.46"/>
    <n v="1593"/>
    <n v="1"/>
    <n v="1"/>
  </r>
  <r>
    <m/>
    <m/>
    <x v="1"/>
    <s v="51125341001001"/>
    <n v="-10.16"/>
    <n v="259"/>
    <n v="1"/>
    <n v="1"/>
  </r>
  <r>
    <m/>
    <m/>
    <x v="1"/>
    <s v="51130731001001"/>
    <n v="-5.0999999999999996"/>
    <n v="130"/>
    <n v="1"/>
    <n v="1"/>
  </r>
  <r>
    <m/>
    <m/>
    <x v="1"/>
    <s v="51138571001004"/>
    <n v="-34.47"/>
    <n v="879"/>
    <n v="1"/>
    <n v="1"/>
  </r>
  <r>
    <m/>
    <m/>
    <x v="1"/>
    <s v="51140951005005"/>
    <n v="-42.97"/>
    <n v="1096"/>
    <n v="1"/>
    <n v="1"/>
  </r>
  <r>
    <m/>
    <m/>
    <x v="1"/>
    <s v="51151311001002"/>
    <n v="-35.01"/>
    <n v="893"/>
    <n v="1"/>
    <n v="1"/>
  </r>
  <r>
    <m/>
    <m/>
    <x v="1"/>
    <s v="51155161001001"/>
    <n v="-13.21"/>
    <n v="337"/>
    <n v="1"/>
    <n v="1"/>
  </r>
  <r>
    <m/>
    <m/>
    <x v="1"/>
    <s v="51155231001001"/>
    <n v="-40.78"/>
    <n v="1040"/>
    <n v="1"/>
    <n v="1"/>
  </r>
  <r>
    <m/>
    <m/>
    <x v="1"/>
    <s v="51159641001002"/>
    <n v="-7.45"/>
    <n v="190"/>
    <n v="1"/>
    <n v="1"/>
  </r>
  <r>
    <m/>
    <m/>
    <x v="1"/>
    <s v="51163841001002"/>
    <n v="-23.6"/>
    <n v="602"/>
    <n v="1"/>
    <n v="1"/>
  </r>
  <r>
    <m/>
    <m/>
    <x v="1"/>
    <s v="51166641001002"/>
    <n v="-52.7"/>
    <n v="1344"/>
    <n v="1"/>
    <n v="1"/>
  </r>
  <r>
    <m/>
    <m/>
    <x v="1"/>
    <s v="51175111003001"/>
    <n v="-17.170000000000002"/>
    <n v="438"/>
    <n v="1"/>
    <n v="1"/>
  </r>
  <r>
    <m/>
    <m/>
    <x v="1"/>
    <s v="51193044001001"/>
    <n v="-5.96"/>
    <n v="152"/>
    <n v="1"/>
    <n v="1"/>
  </r>
  <r>
    <m/>
    <m/>
    <x v="1"/>
    <s v="51198211001002"/>
    <n v="-11.68"/>
    <n v="298"/>
    <n v="1"/>
    <n v="1"/>
  </r>
  <r>
    <m/>
    <m/>
    <x v="1"/>
    <s v="51208991001001"/>
    <n v="-20.98"/>
    <n v="535"/>
    <n v="1"/>
    <n v="1"/>
  </r>
  <r>
    <m/>
    <m/>
    <x v="1"/>
    <s v="51213051001002"/>
    <n v="-10.39"/>
    <n v="265"/>
    <n v="1"/>
    <n v="1"/>
  </r>
  <r>
    <m/>
    <m/>
    <x v="1"/>
    <s v="51225161002001"/>
    <n v="-40.659999999999997"/>
    <n v="1037"/>
    <n v="1"/>
    <n v="1"/>
  </r>
  <r>
    <m/>
    <m/>
    <x v="1"/>
    <s v="51230691001002"/>
    <n v="-48.39"/>
    <n v="1234"/>
    <n v="1"/>
    <n v="1"/>
  </r>
  <r>
    <m/>
    <m/>
    <x v="1"/>
    <s v="51231111001004"/>
    <n v="-40.9"/>
    <n v="1043"/>
    <n v="1"/>
    <n v="1"/>
  </r>
  <r>
    <m/>
    <m/>
    <x v="1"/>
    <s v="51286568001001"/>
    <n v="-31.02"/>
    <n v="791"/>
    <n v="1"/>
    <n v="1"/>
  </r>
  <r>
    <m/>
    <m/>
    <x v="1"/>
    <s v="51320291002008"/>
    <n v="-1.29"/>
    <n v="33"/>
    <n v="1"/>
    <n v="1"/>
  </r>
  <r>
    <m/>
    <m/>
    <x v="1"/>
    <s v="51344791001003"/>
    <n v="-3.72"/>
    <n v="95"/>
    <n v="1"/>
    <n v="1"/>
  </r>
  <r>
    <m/>
    <m/>
    <x v="1"/>
    <s v="51356061003003"/>
    <n v="-6"/>
    <n v="153"/>
    <n v="1"/>
    <n v="1"/>
  </r>
  <r>
    <m/>
    <m/>
    <x v="1"/>
    <s v="51370831001001"/>
    <n v="-8.86"/>
    <n v="226"/>
    <n v="1"/>
    <n v="1"/>
  </r>
  <r>
    <m/>
    <m/>
    <x v="1"/>
    <s v="51381611003002"/>
    <n v="-3.53"/>
    <n v="90"/>
    <n v="1"/>
    <n v="1"/>
  </r>
  <r>
    <m/>
    <m/>
    <x v="1"/>
    <s v="51395961001001"/>
    <n v="-5.69"/>
    <n v="145"/>
    <n v="1"/>
    <n v="1"/>
  </r>
  <r>
    <m/>
    <m/>
    <x v="1"/>
    <s v="51405271001001"/>
    <n v="-4.71"/>
    <n v="120"/>
    <n v="1"/>
    <n v="1"/>
  </r>
  <r>
    <m/>
    <m/>
    <x v="1"/>
    <s v="51411291004004"/>
    <n v="-4.82"/>
    <n v="123"/>
    <n v="1"/>
    <n v="1"/>
  </r>
  <r>
    <m/>
    <m/>
    <x v="1"/>
    <s v="51416681001001"/>
    <n v="-18.27"/>
    <n v="466"/>
    <n v="1"/>
    <n v="1"/>
  </r>
  <r>
    <m/>
    <m/>
    <x v="1"/>
    <s v="51442161002001"/>
    <n v="-0.9"/>
    <n v="23"/>
    <n v="1"/>
    <n v="1"/>
  </r>
  <r>
    <m/>
    <m/>
    <x v="1"/>
    <s v="51489621001002"/>
    <n v="-8.6999999999999993"/>
    <n v="222"/>
    <n v="1"/>
    <n v="1"/>
  </r>
  <r>
    <m/>
    <m/>
    <x v="1"/>
    <s v="51514051001001"/>
    <n v="-1.61"/>
    <n v="41"/>
    <n v="1"/>
    <n v="1"/>
  </r>
  <r>
    <m/>
    <m/>
    <x v="1"/>
    <s v="51514331001001"/>
    <n v="-5.49"/>
    <n v="140"/>
    <n v="1"/>
    <n v="1"/>
  </r>
  <r>
    <m/>
    <m/>
    <x v="1"/>
    <s v="51519832001003"/>
    <n v="-1.73"/>
    <n v="44"/>
    <n v="1"/>
    <n v="1"/>
  </r>
  <r>
    <m/>
    <m/>
    <x v="1"/>
    <s v="51525601001002"/>
    <n v="-2.39"/>
    <n v="61"/>
    <n v="1"/>
    <n v="1"/>
  </r>
  <r>
    <m/>
    <m/>
    <x v="1"/>
    <s v="51531201001002"/>
    <n v="-1.45"/>
    <n v="37"/>
    <n v="1"/>
    <n v="1"/>
  </r>
  <r>
    <m/>
    <m/>
    <x v="1"/>
    <s v="51549471001001"/>
    <n v="-4.67"/>
    <n v="119"/>
    <n v="1"/>
    <n v="1"/>
  </r>
  <r>
    <m/>
    <m/>
    <x v="1"/>
    <s v="51555701001005"/>
    <n v="-7.33"/>
    <n v="187"/>
    <n v="1"/>
    <n v="1"/>
  </r>
  <r>
    <m/>
    <m/>
    <x v="1"/>
    <s v="51557311001010"/>
    <n v="-35.520000000000003"/>
    <n v="906"/>
    <n v="1"/>
    <n v="1"/>
  </r>
  <r>
    <m/>
    <m/>
    <x v="1"/>
    <s v="51578031001001"/>
    <n v="-10.19"/>
    <n v="260"/>
    <n v="1"/>
    <n v="1"/>
  </r>
  <r>
    <m/>
    <m/>
    <x v="1"/>
    <s v="51593221002002"/>
    <n v="-19.45"/>
    <n v="496"/>
    <n v="1"/>
    <n v="1"/>
  </r>
  <r>
    <m/>
    <m/>
    <x v="1"/>
    <s v="51593291002001"/>
    <n v="-10.08"/>
    <n v="257"/>
    <n v="1"/>
    <n v="1"/>
  </r>
  <r>
    <m/>
    <m/>
    <x v="1"/>
    <s v="51593431001001"/>
    <n v="-32.07"/>
    <n v="818"/>
    <n v="1"/>
    <n v="1"/>
  </r>
  <r>
    <m/>
    <m/>
    <x v="1"/>
    <s v="51597701001005"/>
    <n v="-3.14"/>
    <n v="80"/>
    <n v="1"/>
    <n v="1"/>
  </r>
  <r>
    <m/>
    <m/>
    <x v="1"/>
    <s v="51618981001001"/>
    <n v="-19.41"/>
    <n v="495"/>
    <n v="1"/>
    <n v="1"/>
  </r>
  <r>
    <m/>
    <m/>
    <x v="1"/>
    <s v="51622411001006"/>
    <n v="-17.920000000000002"/>
    <n v="457"/>
    <n v="1"/>
    <n v="1"/>
  </r>
  <r>
    <m/>
    <m/>
    <x v="1"/>
    <s v="51625911001001"/>
    <n v="-19.84"/>
    <n v="506"/>
    <n v="1"/>
    <n v="1"/>
  </r>
  <r>
    <m/>
    <m/>
    <x v="1"/>
    <s v="52072198001016"/>
    <n v="-10.27"/>
    <n v="262"/>
    <n v="1"/>
    <n v="1"/>
  </r>
  <r>
    <m/>
    <m/>
    <x v="1"/>
    <s v="52219018001001"/>
    <n v="-25.02"/>
    <n v="638"/>
    <n v="1"/>
    <n v="1"/>
  </r>
  <r>
    <m/>
    <m/>
    <x v="1"/>
    <s v="52439752001001"/>
    <n v="-2.74"/>
    <n v="70"/>
    <n v="1"/>
    <n v="1"/>
  </r>
  <r>
    <m/>
    <m/>
    <x v="1"/>
    <s v="52553675001011"/>
    <n v="-22.39"/>
    <n v="571"/>
    <n v="1"/>
    <n v="1"/>
  </r>
  <r>
    <m/>
    <m/>
    <x v="1"/>
    <s v="52896992001002"/>
    <n v="-6"/>
    <n v="153"/>
    <n v="1"/>
    <n v="1"/>
  </r>
  <r>
    <m/>
    <m/>
    <x v="1"/>
    <s v="52978478001001"/>
    <n v="-4.63"/>
    <n v="118"/>
    <n v="1"/>
    <n v="1"/>
  </r>
  <r>
    <m/>
    <m/>
    <x v="1"/>
    <s v="52981742001003"/>
    <n v="-8.16"/>
    <n v="208"/>
    <n v="1"/>
    <n v="1"/>
  </r>
  <r>
    <m/>
    <m/>
    <x v="1"/>
    <s v="53059671003001"/>
    <n v="-5.0199999999999996"/>
    <n v="128"/>
    <n v="1"/>
    <n v="1"/>
  </r>
  <r>
    <m/>
    <m/>
    <x v="1"/>
    <s v="53090223001005"/>
    <n v="-36.94"/>
    <n v="942"/>
    <n v="1"/>
    <n v="1"/>
  </r>
  <r>
    <m/>
    <m/>
    <x v="1"/>
    <s v="53097867002001"/>
    <n v="-23.88"/>
    <n v="609"/>
    <n v="1"/>
    <n v="1"/>
  </r>
  <r>
    <m/>
    <m/>
    <x v="1"/>
    <s v="53108976001002"/>
    <n v="-2.59"/>
    <n v="66"/>
    <n v="1"/>
    <n v="1"/>
  </r>
  <r>
    <m/>
    <m/>
    <x v="1"/>
    <s v="53180045001003"/>
    <n v="-4.47"/>
    <n v="114"/>
    <n v="1"/>
    <n v="1"/>
  </r>
  <r>
    <m/>
    <m/>
    <x v="1"/>
    <s v="53205742001003"/>
    <n v="-22.9"/>
    <n v="584"/>
    <n v="1"/>
    <n v="1"/>
  </r>
  <r>
    <m/>
    <m/>
    <x v="1"/>
    <s v="53287877001001"/>
    <n v="-7.84"/>
    <n v="200"/>
    <n v="1"/>
    <n v="1"/>
  </r>
  <r>
    <m/>
    <m/>
    <x v="1"/>
    <s v="53296048001001"/>
    <n v="-5.0199999999999996"/>
    <n v="128"/>
    <n v="1"/>
    <n v="1"/>
  </r>
  <r>
    <m/>
    <m/>
    <x v="1"/>
    <s v="53425442001001"/>
    <n v="-13.8"/>
    <n v="352"/>
    <n v="1"/>
    <n v="1"/>
  </r>
  <r>
    <m/>
    <m/>
    <x v="1"/>
    <s v="53697250001001"/>
    <n v="-13.57"/>
    <n v="346"/>
    <n v="1"/>
    <n v="1"/>
  </r>
  <r>
    <m/>
    <m/>
    <x v="1"/>
    <s v="53713362001003"/>
    <n v="-0.51"/>
    <n v="13"/>
    <n v="1"/>
    <n v="1"/>
  </r>
  <r>
    <m/>
    <m/>
    <x v="1"/>
    <s v="53848555001002"/>
    <n v="-3.18"/>
    <n v="81"/>
    <n v="1"/>
    <n v="1"/>
  </r>
  <r>
    <m/>
    <m/>
    <x v="1"/>
    <s v="53915118004001"/>
    <n v="-12.43"/>
    <n v="317"/>
    <n v="1"/>
    <n v="1"/>
  </r>
  <r>
    <m/>
    <m/>
    <x v="1"/>
    <s v="54155574001001"/>
    <n v="-22.58"/>
    <n v="576"/>
    <n v="1"/>
    <n v="1"/>
  </r>
  <r>
    <m/>
    <m/>
    <x v="1"/>
    <s v="54555658001004"/>
    <n v="-2"/>
    <n v="51"/>
    <n v="1"/>
    <n v="1"/>
  </r>
  <r>
    <m/>
    <m/>
    <x v="1"/>
    <s v="54768692001002"/>
    <n v="-17.68"/>
    <n v="451"/>
    <n v="1"/>
    <n v="1"/>
  </r>
  <r>
    <m/>
    <m/>
    <x v="1"/>
    <s v="54781310001002"/>
    <n v="-8.82"/>
    <n v="225"/>
    <n v="1"/>
    <n v="1"/>
  </r>
  <r>
    <m/>
    <m/>
    <x v="1"/>
    <s v="54807945001001"/>
    <n v="-11.14"/>
    <n v="284"/>
    <n v="1"/>
    <n v="1"/>
  </r>
  <r>
    <m/>
    <m/>
    <x v="1"/>
    <s v="55036747001002"/>
    <n v="-37.409999999999997"/>
    <n v="954"/>
    <n v="1"/>
    <n v="1"/>
  </r>
  <r>
    <m/>
    <m/>
    <x v="1"/>
    <s v="55208319002001"/>
    <n v="-61.6"/>
    <n v="1571"/>
    <n v="1"/>
    <n v="1"/>
  </r>
  <r>
    <m/>
    <m/>
    <x v="1"/>
    <s v="55250557001001"/>
    <n v="-15.33"/>
    <n v="391"/>
    <n v="1"/>
    <n v="1"/>
  </r>
  <r>
    <m/>
    <m/>
    <x v="1"/>
    <s v="55598081001003"/>
    <n v="-16.079999999999998"/>
    <n v="410"/>
    <n v="1"/>
    <n v="1"/>
  </r>
  <r>
    <m/>
    <m/>
    <x v="1"/>
    <s v="55776761001013"/>
    <n v="-17.8"/>
    <n v="454"/>
    <n v="1"/>
    <n v="1"/>
  </r>
  <r>
    <m/>
    <m/>
    <x v="1"/>
    <s v="55791936001001"/>
    <n v="-0.47"/>
    <n v="12"/>
    <n v="1"/>
    <n v="1"/>
  </r>
  <r>
    <m/>
    <m/>
    <x v="1"/>
    <s v="55852549001005"/>
    <n v="-9.02"/>
    <n v="230"/>
    <n v="1"/>
    <n v="1"/>
  </r>
  <r>
    <m/>
    <m/>
    <x v="1"/>
    <s v="55986304001005"/>
    <n v="-2.35"/>
    <n v="60"/>
    <n v="1"/>
    <n v="1"/>
  </r>
  <r>
    <m/>
    <m/>
    <x v="1"/>
    <s v="56031482001004"/>
    <n v="-37.049999999999997"/>
    <n v="945"/>
    <n v="1"/>
    <n v="1"/>
  </r>
  <r>
    <m/>
    <m/>
    <x v="1"/>
    <s v="56072830001006"/>
    <n v="-6.2"/>
    <n v="158"/>
    <n v="1"/>
    <n v="1"/>
  </r>
  <r>
    <m/>
    <m/>
    <x v="1"/>
    <s v="56367091002003"/>
    <n v="-10.08"/>
    <n v="257"/>
    <n v="1"/>
    <n v="1"/>
  </r>
  <r>
    <m/>
    <m/>
    <x v="1"/>
    <s v="56726418001010"/>
    <n v="-27.84"/>
    <n v="710"/>
    <n v="1"/>
    <n v="1"/>
  </r>
  <r>
    <m/>
    <m/>
    <x v="1"/>
    <s v="56745375001001"/>
    <n v="-0.2"/>
    <n v="5"/>
    <n v="1"/>
    <n v="1"/>
  </r>
  <r>
    <m/>
    <m/>
    <x v="1"/>
    <s v="56979825001002"/>
    <n v="-2.98"/>
    <n v="76"/>
    <n v="1"/>
    <n v="1"/>
  </r>
  <r>
    <m/>
    <m/>
    <x v="1"/>
    <s v="57425690001002"/>
    <n v="-14.74"/>
    <n v="376"/>
    <n v="1"/>
    <n v="1"/>
  </r>
  <r>
    <m/>
    <m/>
    <x v="1"/>
    <s v="57455935001001"/>
    <n v="-21.29"/>
    <n v="543"/>
    <n v="1"/>
    <n v="1"/>
  </r>
  <r>
    <m/>
    <m/>
    <x v="1"/>
    <s v="57629831001001"/>
    <n v="-53.44"/>
    <n v="1363"/>
    <n v="1"/>
    <n v="1"/>
  </r>
  <r>
    <m/>
    <m/>
    <x v="1"/>
    <s v="57810254001002"/>
    <n v="-17.37"/>
    <n v="443"/>
    <n v="1"/>
    <n v="1"/>
  </r>
  <r>
    <m/>
    <m/>
    <x v="1"/>
    <s v="58035525001001"/>
    <n v="-8.31"/>
    <n v="212"/>
    <n v="1"/>
    <n v="1"/>
  </r>
  <r>
    <m/>
    <m/>
    <x v="1"/>
    <s v="58195945001003"/>
    <n v="-9.5299999999999994"/>
    <n v="243"/>
    <n v="1"/>
    <n v="1"/>
  </r>
  <r>
    <m/>
    <m/>
    <x v="1"/>
    <s v="58413059001001"/>
    <n v="-28.54"/>
    <n v="728"/>
    <n v="1"/>
    <n v="1"/>
  </r>
  <r>
    <m/>
    <m/>
    <x v="1"/>
    <s v="58584299001003"/>
    <n v="-22.9"/>
    <n v="584"/>
    <n v="1"/>
    <n v="1"/>
  </r>
  <r>
    <m/>
    <m/>
    <x v="1"/>
    <s v="58619499001001"/>
    <n v="-7.21"/>
    <n v="184"/>
    <n v="1"/>
    <n v="1"/>
  </r>
  <r>
    <m/>
    <m/>
    <x v="1"/>
    <s v="58743642001003"/>
    <n v="-67.400000000000006"/>
    <n v="1719"/>
    <n v="1"/>
    <n v="1"/>
  </r>
  <r>
    <m/>
    <m/>
    <x v="1"/>
    <s v="58876732001003"/>
    <n v="-19.61"/>
    <n v="500"/>
    <n v="1"/>
    <n v="1"/>
  </r>
  <r>
    <m/>
    <m/>
    <x v="1"/>
    <s v="59053011001001"/>
    <n v="-50.35"/>
    <n v="1284"/>
    <n v="1"/>
    <n v="1"/>
  </r>
  <r>
    <m/>
    <m/>
    <x v="1"/>
    <s v="59095470005001"/>
    <n v="-25.72"/>
    <n v="656"/>
    <n v="1"/>
    <n v="1"/>
  </r>
  <r>
    <m/>
    <m/>
    <x v="1"/>
    <s v="59136213001001"/>
    <n v="-8.67"/>
    <n v="221"/>
    <n v="1"/>
    <n v="1"/>
  </r>
  <r>
    <m/>
    <m/>
    <x v="1"/>
    <s v="59368767004001"/>
    <n v="-7.41"/>
    <n v="189"/>
    <n v="1"/>
    <n v="1"/>
  </r>
  <r>
    <m/>
    <m/>
    <x v="1"/>
    <s v="59437259001001"/>
    <n v="-6.27"/>
    <n v="160"/>
    <n v="1"/>
    <n v="1"/>
  </r>
  <r>
    <m/>
    <m/>
    <x v="1"/>
    <s v="59553713001001"/>
    <n v="-9.8800000000000008"/>
    <n v="252"/>
    <n v="1"/>
    <n v="1"/>
  </r>
  <r>
    <m/>
    <m/>
    <x v="1"/>
    <s v="59657734001001"/>
    <n v="-4.51"/>
    <n v="115"/>
    <n v="1"/>
    <n v="1"/>
  </r>
  <r>
    <m/>
    <m/>
    <x v="1"/>
    <s v="59739422001001"/>
    <n v="-27.68"/>
    <n v="706"/>
    <n v="1"/>
    <n v="1"/>
  </r>
  <r>
    <m/>
    <m/>
    <x v="1"/>
    <s v="60000842001003"/>
    <n v="-35.72"/>
    <n v="911"/>
    <n v="1"/>
    <n v="1"/>
  </r>
  <r>
    <m/>
    <m/>
    <x v="1"/>
    <s v="60130241001001"/>
    <n v="-4.12"/>
    <n v="105"/>
    <n v="1"/>
    <n v="1"/>
  </r>
  <r>
    <m/>
    <m/>
    <x v="1"/>
    <s v="60176479001001"/>
    <n v="-28.86"/>
    <n v="736"/>
    <n v="1"/>
    <n v="1"/>
  </r>
  <r>
    <m/>
    <m/>
    <x v="1"/>
    <s v="60327049001006"/>
    <n v="-2.31"/>
    <n v="59"/>
    <n v="1"/>
    <n v="1"/>
  </r>
  <r>
    <m/>
    <m/>
    <x v="1"/>
    <s v="60412950001001"/>
    <n v="-21.21"/>
    <n v="541"/>
    <n v="1"/>
    <n v="1"/>
  </r>
  <r>
    <m/>
    <m/>
    <x v="1"/>
    <s v="60460345001001"/>
    <n v="-9.84"/>
    <n v="251"/>
    <n v="1"/>
    <n v="1"/>
  </r>
  <r>
    <m/>
    <m/>
    <x v="1"/>
    <s v="60503071001008"/>
    <n v="-23.72"/>
    <n v="605"/>
    <n v="1"/>
    <n v="1"/>
  </r>
  <r>
    <m/>
    <m/>
    <x v="1"/>
    <s v="60536331001001"/>
    <n v="-28.86"/>
    <n v="736"/>
    <n v="1"/>
    <n v="1"/>
  </r>
  <r>
    <m/>
    <m/>
    <x v="1"/>
    <s v="60623325001001"/>
    <n v="-26.23"/>
    <n v="669"/>
    <n v="1"/>
    <n v="1"/>
  </r>
  <r>
    <m/>
    <m/>
    <x v="1"/>
    <s v="60784386002004"/>
    <n v="-7.76"/>
    <n v="198"/>
    <n v="1"/>
    <n v="1"/>
  </r>
  <r>
    <m/>
    <m/>
    <x v="1"/>
    <s v="60790565001008"/>
    <n v="-3.88"/>
    <n v="99"/>
    <n v="1"/>
    <n v="1"/>
  </r>
  <r>
    <m/>
    <m/>
    <x v="1"/>
    <s v="61054450003001"/>
    <n v="-7.92"/>
    <n v="202"/>
    <n v="1"/>
    <n v="1"/>
  </r>
  <r>
    <m/>
    <m/>
    <x v="1"/>
    <s v="61239947002001"/>
    <n v="-12.66"/>
    <n v="323"/>
    <n v="1"/>
    <n v="1"/>
  </r>
  <r>
    <m/>
    <m/>
    <x v="1"/>
    <s v="61308081001001"/>
    <n v="-4.2"/>
    <n v="107"/>
    <n v="1"/>
    <n v="1"/>
  </r>
  <r>
    <m/>
    <m/>
    <x v="1"/>
    <s v="61432189003001"/>
    <n v="-1.88"/>
    <n v="48"/>
    <n v="1"/>
    <n v="1"/>
  </r>
  <r>
    <m/>
    <m/>
    <x v="1"/>
    <s v="61959666001001"/>
    <n v="-9.25"/>
    <n v="236"/>
    <n v="1"/>
    <n v="1"/>
  </r>
  <r>
    <m/>
    <m/>
    <x v="1"/>
    <s v="61995118001001"/>
    <n v="-18"/>
    <n v="459"/>
    <n v="1"/>
    <n v="1"/>
  </r>
  <r>
    <m/>
    <m/>
    <x v="1"/>
    <s v="62003086001001"/>
    <n v="-2.74"/>
    <n v="70"/>
    <n v="1"/>
    <n v="1"/>
  </r>
  <r>
    <m/>
    <m/>
    <x v="1"/>
    <s v="62093075001007"/>
    <n v="-7.45"/>
    <n v="190"/>
    <n v="1"/>
    <n v="1"/>
  </r>
  <r>
    <m/>
    <m/>
    <x v="1"/>
    <s v="62108607001005"/>
    <n v="-5.29"/>
    <n v="135"/>
    <n v="1"/>
    <n v="1"/>
  </r>
  <r>
    <m/>
    <m/>
    <x v="1"/>
    <s v="62305746001001"/>
    <n v="-7.69"/>
    <n v="196"/>
    <n v="1"/>
    <n v="1"/>
  </r>
  <r>
    <m/>
    <m/>
    <x v="1"/>
    <s v="62447696001001"/>
    <n v="-1.41"/>
    <n v="36"/>
    <n v="1"/>
    <n v="1"/>
  </r>
  <r>
    <m/>
    <m/>
    <x v="1"/>
    <s v="63123242001001"/>
    <n v="-52.5"/>
    <n v="1339"/>
    <n v="1"/>
    <n v="1"/>
  </r>
  <r>
    <m/>
    <m/>
    <x v="1"/>
    <s v="63263435001001"/>
    <n v="-16.78"/>
    <n v="428"/>
    <n v="1"/>
    <n v="1"/>
  </r>
  <r>
    <m/>
    <m/>
    <x v="1"/>
    <s v="63278864002003"/>
    <n v="-19.25"/>
    <n v="491"/>
    <n v="1"/>
    <n v="1"/>
  </r>
  <r>
    <m/>
    <m/>
    <x v="1"/>
    <s v="63412267001001"/>
    <n v="-4.16"/>
    <n v="106"/>
    <n v="1"/>
    <n v="1"/>
  </r>
  <r>
    <m/>
    <m/>
    <x v="1"/>
    <s v="63473427001003"/>
    <n v="-18.43"/>
    <n v="470"/>
    <n v="1"/>
    <n v="1"/>
  </r>
  <r>
    <m/>
    <m/>
    <x v="1"/>
    <s v="63586086001002"/>
    <n v="-7.06"/>
    <n v="180"/>
    <n v="1"/>
    <n v="1"/>
  </r>
  <r>
    <m/>
    <m/>
    <x v="1"/>
    <s v="63681093001001"/>
    <n v="-27.49"/>
    <n v="701"/>
    <n v="1"/>
    <n v="1"/>
  </r>
  <r>
    <m/>
    <m/>
    <x v="1"/>
    <s v="63875460001002"/>
    <n v="-20.7"/>
    <n v="528"/>
    <n v="1"/>
    <n v="1"/>
  </r>
  <r>
    <m/>
    <m/>
    <x v="1"/>
    <s v="63898256001003"/>
    <n v="-3.84"/>
    <n v="98"/>
    <n v="1"/>
    <n v="1"/>
  </r>
  <r>
    <m/>
    <m/>
    <x v="1"/>
    <s v="64243621001001"/>
    <n v="-5.7200000000000006"/>
    <n v="146"/>
    <n v="2"/>
    <n v="1"/>
  </r>
  <r>
    <m/>
    <m/>
    <x v="1"/>
    <s v="64287131001001"/>
    <n v="-10.67"/>
    <n v="272"/>
    <n v="1"/>
    <n v="1"/>
  </r>
  <r>
    <m/>
    <m/>
    <x v="1"/>
    <s v="64306926001001"/>
    <n v="-77.56"/>
    <n v="1978"/>
    <n v="1"/>
    <n v="1"/>
  </r>
  <r>
    <m/>
    <m/>
    <x v="1"/>
    <s v="64587795001002"/>
    <n v="-8.67"/>
    <n v="221"/>
    <n v="1"/>
    <n v="1"/>
  </r>
  <r>
    <m/>
    <m/>
    <x v="1"/>
    <s v="64826160001001"/>
    <n v="-39.049999999999997"/>
    <n v="996"/>
    <n v="1"/>
    <n v="1"/>
  </r>
  <r>
    <m/>
    <m/>
    <x v="1"/>
    <s v="65270935001002"/>
    <n v="-17.02"/>
    <n v="434"/>
    <n v="1"/>
    <n v="1"/>
  </r>
  <r>
    <m/>
    <m/>
    <x v="1"/>
    <s v="65413433002003"/>
    <n v="-3.57"/>
    <n v="91"/>
    <n v="1"/>
    <n v="1"/>
  </r>
  <r>
    <m/>
    <m/>
    <x v="1"/>
    <s v="65474469002008"/>
    <n v="-5.8"/>
    <n v="148"/>
    <n v="1"/>
    <n v="1"/>
  </r>
  <r>
    <m/>
    <m/>
    <x v="1"/>
    <s v="65818545001003"/>
    <n v="-16.12"/>
    <n v="411"/>
    <n v="1"/>
    <n v="1"/>
  </r>
  <r>
    <m/>
    <m/>
    <x v="1"/>
    <s v="65819822001006"/>
    <n v="-5.76"/>
    <n v="147"/>
    <n v="1"/>
    <n v="1"/>
  </r>
  <r>
    <m/>
    <m/>
    <x v="1"/>
    <s v="66219418001001"/>
    <n v="-0.16"/>
    <n v="4"/>
    <n v="1"/>
    <n v="1"/>
  </r>
  <r>
    <m/>
    <m/>
    <x v="1"/>
    <s v="66682187001003"/>
    <n v="-0.74"/>
    <n v="19"/>
    <n v="1"/>
    <n v="1"/>
  </r>
  <r>
    <m/>
    <m/>
    <x v="1"/>
    <s v="66809061002005"/>
    <n v="-4.71"/>
    <n v="120"/>
    <n v="1"/>
    <n v="1"/>
  </r>
  <r>
    <m/>
    <m/>
    <x v="1"/>
    <s v="66942119001003"/>
    <n v="-11.53"/>
    <n v="294"/>
    <n v="1"/>
    <n v="1"/>
  </r>
  <r>
    <m/>
    <m/>
    <x v="1"/>
    <s v="67062475004001"/>
    <n v="-8.51"/>
    <n v="217"/>
    <n v="1"/>
    <n v="1"/>
  </r>
  <r>
    <m/>
    <m/>
    <x v="1"/>
    <s v="67267992001001"/>
    <n v="-6.59"/>
    <n v="168"/>
    <n v="1"/>
    <n v="1"/>
  </r>
  <r>
    <m/>
    <m/>
    <x v="1"/>
    <s v="67361765001002"/>
    <n v="-56.62"/>
    <n v="1444"/>
    <n v="1"/>
    <n v="1"/>
  </r>
  <r>
    <m/>
    <m/>
    <x v="1"/>
    <s v="67580955001002"/>
    <n v="-38.58"/>
    <n v="984"/>
    <n v="1"/>
    <n v="1"/>
  </r>
  <r>
    <m/>
    <m/>
    <x v="1"/>
    <s v="68120904001001"/>
    <n v="-21.02"/>
    <n v="536"/>
    <n v="1"/>
    <n v="1"/>
  </r>
  <r>
    <m/>
    <m/>
    <x v="1"/>
    <s v="68146157001004"/>
    <n v="-3.14"/>
    <n v="80"/>
    <n v="1"/>
    <n v="1"/>
  </r>
  <r>
    <m/>
    <m/>
    <x v="1"/>
    <s v="68156471001004"/>
    <n v="-2.86"/>
    <n v="73"/>
    <n v="1"/>
    <n v="1"/>
  </r>
  <r>
    <m/>
    <m/>
    <x v="1"/>
    <s v="68338933001001"/>
    <n v="-14.08"/>
    <n v="359"/>
    <n v="1"/>
    <n v="1"/>
  </r>
  <r>
    <m/>
    <m/>
    <x v="1"/>
    <s v="68453365001003"/>
    <n v="-31.17"/>
    <n v="795"/>
    <n v="1"/>
    <n v="1"/>
  </r>
  <r>
    <m/>
    <m/>
    <x v="1"/>
    <s v="68616474001006"/>
    <n v="-45.52"/>
    <n v="1161"/>
    <n v="1"/>
    <n v="1"/>
  </r>
  <r>
    <m/>
    <m/>
    <x v="1"/>
    <s v="68653088002001"/>
    <n v="-2.98"/>
    <n v="76"/>
    <n v="1"/>
    <n v="1"/>
  </r>
  <r>
    <m/>
    <m/>
    <x v="1"/>
    <s v="68711288001003"/>
    <n v="-80.34"/>
    <n v="2049"/>
    <n v="1"/>
    <n v="1"/>
  </r>
  <r>
    <m/>
    <m/>
    <x v="1"/>
    <s v="68769952001001"/>
    <n v="-11.8"/>
    <n v="301"/>
    <n v="1"/>
    <n v="1"/>
  </r>
  <r>
    <m/>
    <m/>
    <x v="1"/>
    <s v="69170739001001"/>
    <n v="-5.88"/>
    <n v="150"/>
    <n v="1"/>
    <n v="1"/>
  </r>
  <r>
    <m/>
    <m/>
    <x v="1"/>
    <s v="69182870001007"/>
    <n v="-21.41"/>
    <n v="546"/>
    <n v="1"/>
    <n v="1"/>
  </r>
  <r>
    <m/>
    <m/>
    <x v="1"/>
    <s v="69208025001001"/>
    <n v="-3.25"/>
    <n v="83"/>
    <n v="1"/>
    <n v="1"/>
  </r>
  <r>
    <m/>
    <m/>
    <x v="1"/>
    <s v="69340720001002"/>
    <n v="-25.37"/>
    <n v="647"/>
    <n v="1"/>
    <n v="1"/>
  </r>
  <r>
    <m/>
    <m/>
    <x v="1"/>
    <s v="69343800002003"/>
    <n v="-15.02"/>
    <n v="383"/>
    <n v="1"/>
    <n v="1"/>
  </r>
  <r>
    <m/>
    <m/>
    <x v="1"/>
    <s v="69443775003001"/>
    <n v="-50.78"/>
    <n v="1295"/>
    <n v="1"/>
    <n v="1"/>
  </r>
  <r>
    <m/>
    <m/>
    <x v="1"/>
    <s v="69503872001003"/>
    <n v="-20.78"/>
    <n v="530"/>
    <n v="1"/>
    <n v="1"/>
  </r>
  <r>
    <m/>
    <m/>
    <x v="1"/>
    <s v="69542400001002"/>
    <n v="-27.84"/>
    <n v="710"/>
    <n v="1"/>
    <n v="1"/>
  </r>
  <r>
    <m/>
    <m/>
    <x v="1"/>
    <s v="69596317004001"/>
    <n v="-17.57"/>
    <n v="448"/>
    <n v="1"/>
    <n v="1"/>
  </r>
  <r>
    <m/>
    <m/>
    <x v="1"/>
    <s v="69795270001001"/>
    <n v="-12.82"/>
    <n v="327"/>
    <n v="1"/>
    <n v="1"/>
  </r>
  <r>
    <m/>
    <m/>
    <x v="1"/>
    <s v="69851222003003"/>
    <n v="-12.12"/>
    <n v="309"/>
    <n v="1"/>
    <n v="1"/>
  </r>
  <r>
    <m/>
    <m/>
    <x v="1"/>
    <s v="69906946003001"/>
    <n v="-0.67"/>
    <n v="17"/>
    <n v="1"/>
    <n v="1"/>
  </r>
  <r>
    <m/>
    <m/>
    <x v="1"/>
    <s v="70508523001001"/>
    <n v="-24.51"/>
    <n v="625"/>
    <n v="1"/>
    <n v="1"/>
  </r>
  <r>
    <m/>
    <m/>
    <x v="1"/>
    <s v="70566844001001"/>
    <n v="-2.98"/>
    <n v="76"/>
    <n v="1"/>
    <n v="1"/>
  </r>
  <r>
    <m/>
    <m/>
    <x v="1"/>
    <s v="70587997002003"/>
    <n v="-20.47"/>
    <n v="522"/>
    <n v="1"/>
    <n v="1"/>
  </r>
  <r>
    <m/>
    <m/>
    <x v="1"/>
    <s v="70783863001001"/>
    <n v="-37.450000000000003"/>
    <n v="955"/>
    <n v="1"/>
    <n v="1"/>
  </r>
  <r>
    <m/>
    <m/>
    <x v="1"/>
    <s v="70863501002003"/>
    <n v="-24"/>
    <n v="612"/>
    <n v="1"/>
    <n v="1"/>
  </r>
  <r>
    <m/>
    <m/>
    <x v="1"/>
    <s v="70912414004001"/>
    <n v="-13.21"/>
    <n v="337"/>
    <n v="1"/>
    <n v="1"/>
  </r>
  <r>
    <m/>
    <m/>
    <x v="1"/>
    <s v="70915951001003"/>
    <n v="-5.0199999999999996"/>
    <n v="128"/>
    <n v="1"/>
    <n v="1"/>
  </r>
  <r>
    <m/>
    <m/>
    <x v="1"/>
    <s v="70944177001002"/>
    <n v="-9.84"/>
    <n v="251"/>
    <n v="1"/>
    <n v="1"/>
  </r>
  <r>
    <m/>
    <m/>
    <x v="1"/>
    <s v="71348793001001"/>
    <n v="-11.76"/>
    <n v="300"/>
    <n v="1"/>
    <n v="1"/>
  </r>
  <r>
    <m/>
    <m/>
    <x v="1"/>
    <s v="71499386001002"/>
    <n v="-9.4499999999999993"/>
    <n v="241"/>
    <n v="1"/>
    <n v="1"/>
  </r>
  <r>
    <m/>
    <m/>
    <x v="1"/>
    <s v="71625176001001"/>
    <n v="-3.25"/>
    <n v="83"/>
    <n v="1"/>
    <n v="1"/>
  </r>
  <r>
    <m/>
    <m/>
    <x v="1"/>
    <s v="71710035001001"/>
    <n v="-8.5500000000000007"/>
    <n v="218"/>
    <n v="1"/>
    <n v="1"/>
  </r>
  <r>
    <m/>
    <m/>
    <x v="1"/>
    <s v="71771733001003"/>
    <n v="-4.8600000000000003"/>
    <n v="124"/>
    <n v="1"/>
    <n v="1"/>
  </r>
  <r>
    <m/>
    <m/>
    <x v="1"/>
    <s v="71822800001001"/>
    <n v="-33.56"/>
    <n v="856"/>
    <n v="1"/>
    <n v="1"/>
  </r>
  <r>
    <m/>
    <m/>
    <x v="1"/>
    <s v="71835065001003"/>
    <n v="-2.74"/>
    <n v="70"/>
    <n v="1"/>
    <n v="1"/>
  </r>
  <r>
    <m/>
    <m/>
    <x v="1"/>
    <s v="71915406001006"/>
    <n v="-9.65"/>
    <n v="246"/>
    <n v="1"/>
    <n v="1"/>
  </r>
  <r>
    <m/>
    <m/>
    <x v="1"/>
    <s v="71968164001001"/>
    <n v="-51.8"/>
    <n v="1321"/>
    <n v="1"/>
    <n v="1"/>
  </r>
  <r>
    <m/>
    <m/>
    <x v="1"/>
    <s v="71983541001003"/>
    <n v="-35.520000000000003"/>
    <n v="906"/>
    <n v="1"/>
    <n v="1"/>
  </r>
  <r>
    <m/>
    <m/>
    <x v="1"/>
    <s v="72476489001001"/>
    <n v="-23.76"/>
    <n v="606"/>
    <n v="1"/>
    <n v="1"/>
  </r>
  <r>
    <m/>
    <m/>
    <x v="1"/>
    <s v="72632373002001"/>
    <n v="-65.599999999999994"/>
    <n v="1673"/>
    <n v="1"/>
    <n v="1"/>
  </r>
  <r>
    <m/>
    <m/>
    <x v="1"/>
    <s v="73183338001003"/>
    <n v="-35.76"/>
    <n v="912"/>
    <n v="1"/>
    <n v="1"/>
  </r>
  <r>
    <m/>
    <m/>
    <x v="1"/>
    <s v="73241290002003"/>
    <n v="-2.35"/>
    <n v="60"/>
    <n v="1"/>
    <n v="1"/>
  </r>
  <r>
    <m/>
    <m/>
    <x v="1"/>
    <s v="73587213002004"/>
    <n v="-26.23"/>
    <n v="669"/>
    <n v="1"/>
    <n v="1"/>
  </r>
  <r>
    <m/>
    <m/>
    <x v="1"/>
    <s v="73758151001001"/>
    <n v="-7.18"/>
    <n v="183"/>
    <n v="1"/>
    <n v="1"/>
  </r>
  <r>
    <m/>
    <m/>
    <x v="1"/>
    <s v="73949590004003"/>
    <n v="-1.1399999999999999"/>
    <n v="29"/>
    <n v="1"/>
    <n v="1"/>
  </r>
  <r>
    <m/>
    <m/>
    <x v="1"/>
    <s v="74187446001006"/>
    <n v="-25.76"/>
    <n v="657"/>
    <n v="1"/>
    <n v="1"/>
  </r>
  <r>
    <m/>
    <m/>
    <x v="1"/>
    <s v="74657239001002"/>
    <n v="-0.86"/>
    <n v="22"/>
    <n v="1"/>
    <n v="1"/>
  </r>
  <r>
    <m/>
    <m/>
    <x v="1"/>
    <s v="74739829001009"/>
    <n v="-24.11"/>
    <n v="615"/>
    <n v="1"/>
    <n v="1"/>
  </r>
  <r>
    <m/>
    <m/>
    <x v="1"/>
    <s v="74790154001001"/>
    <n v="-7.65"/>
    <n v="195"/>
    <n v="1"/>
    <n v="1"/>
  </r>
  <r>
    <m/>
    <m/>
    <x v="1"/>
    <s v="74844196001001"/>
    <n v="-5.65"/>
    <n v="144"/>
    <n v="1"/>
    <n v="1"/>
  </r>
  <r>
    <m/>
    <m/>
    <x v="1"/>
    <s v="74925966001001"/>
    <n v="-17.53"/>
    <n v="447"/>
    <n v="1"/>
    <n v="1"/>
  </r>
  <r>
    <m/>
    <m/>
    <x v="1"/>
    <s v="74962988001001"/>
    <n v="-25.84"/>
    <n v="659"/>
    <n v="1"/>
    <n v="1"/>
  </r>
  <r>
    <m/>
    <m/>
    <x v="1"/>
    <s v="75279636002003"/>
    <n v="-1.25"/>
    <n v="32"/>
    <n v="1"/>
    <n v="1"/>
  </r>
  <r>
    <m/>
    <m/>
    <x v="1"/>
    <s v="75448417001001"/>
    <n v="-5.33"/>
    <n v="136"/>
    <n v="1"/>
    <n v="1"/>
  </r>
  <r>
    <m/>
    <m/>
    <x v="1"/>
    <s v="75962811001001"/>
    <n v="-19.41"/>
    <n v="495"/>
    <n v="1"/>
    <n v="1"/>
  </r>
  <r>
    <m/>
    <m/>
    <x v="1"/>
    <s v="77034079001001"/>
    <n v="-2.08"/>
    <n v="53"/>
    <n v="1"/>
    <n v="1"/>
  </r>
  <r>
    <m/>
    <m/>
    <x v="1"/>
    <s v="77431809001004"/>
    <n v="-52.58"/>
    <n v="1341"/>
    <n v="1"/>
    <n v="1"/>
  </r>
  <r>
    <m/>
    <m/>
    <x v="1"/>
    <s v="77456701001001"/>
    <n v="-29.49"/>
    <n v="752"/>
    <n v="1"/>
    <n v="1"/>
  </r>
  <r>
    <m/>
    <m/>
    <x v="1"/>
    <s v="77469310001005"/>
    <n v="-4.63"/>
    <n v="118"/>
    <n v="1"/>
    <n v="1"/>
  </r>
  <r>
    <m/>
    <m/>
    <x v="1"/>
    <s v="77473209001001"/>
    <n v="-31.41"/>
    <n v="801"/>
    <n v="1"/>
    <n v="1"/>
  </r>
  <r>
    <m/>
    <m/>
    <x v="1"/>
    <s v="77538150006001"/>
    <n v="-2.4300000000000002"/>
    <n v="62"/>
    <n v="1"/>
    <n v="1"/>
  </r>
  <r>
    <m/>
    <m/>
    <x v="1"/>
    <s v="78107039001001"/>
    <n v="-0.59"/>
    <n v="15"/>
    <n v="1"/>
    <n v="1"/>
  </r>
  <r>
    <m/>
    <m/>
    <x v="1"/>
    <s v="78257483004003"/>
    <n v="-15.88"/>
    <n v="405"/>
    <n v="1"/>
    <n v="1"/>
  </r>
  <r>
    <m/>
    <m/>
    <x v="1"/>
    <s v="78305476001002"/>
    <n v="-8.39"/>
    <n v="214"/>
    <n v="1"/>
    <n v="1"/>
  </r>
  <r>
    <m/>
    <m/>
    <x v="1"/>
    <s v="78360766001001"/>
    <n v="-16.7"/>
    <n v="426"/>
    <n v="1"/>
    <n v="1"/>
  </r>
  <r>
    <m/>
    <m/>
    <x v="1"/>
    <s v="78415920003009"/>
    <n v="-3.72"/>
    <n v="95"/>
    <n v="1"/>
    <n v="1"/>
  </r>
  <r>
    <m/>
    <m/>
    <x v="1"/>
    <s v="78441896001007"/>
    <n v="-8.59"/>
    <n v="219"/>
    <n v="1"/>
    <n v="1"/>
  </r>
  <r>
    <m/>
    <m/>
    <x v="1"/>
    <s v="78610741003005"/>
    <n v="-34.9"/>
    <n v="890"/>
    <n v="1"/>
    <n v="1"/>
  </r>
  <r>
    <m/>
    <m/>
    <x v="1"/>
    <s v="79262329001005"/>
    <n v="-22.62"/>
    <n v="577"/>
    <n v="1"/>
    <n v="1"/>
  </r>
  <r>
    <m/>
    <m/>
    <x v="1"/>
    <s v="79543609001001"/>
    <n v="-18.12"/>
    <n v="462"/>
    <n v="1"/>
    <n v="1"/>
  </r>
  <r>
    <m/>
    <m/>
    <x v="1"/>
    <s v="79582962007001"/>
    <n v="-5.76"/>
    <n v="147"/>
    <n v="1"/>
    <n v="1"/>
  </r>
  <r>
    <m/>
    <m/>
    <x v="1"/>
    <s v="79888927001001"/>
    <n v="-54.7"/>
    <n v="1395"/>
    <n v="1"/>
    <n v="1"/>
  </r>
  <r>
    <m/>
    <m/>
    <x v="1"/>
    <s v="80040145002003"/>
    <n v="-43.88"/>
    <n v="1119"/>
    <n v="1"/>
    <n v="1"/>
  </r>
  <r>
    <m/>
    <m/>
    <x v="1"/>
    <s v="80579052001003"/>
    <n v="-5.88"/>
    <n v="150"/>
    <n v="1"/>
    <n v="1"/>
  </r>
  <r>
    <m/>
    <m/>
    <x v="1"/>
    <s v="80583516001005"/>
    <n v="-47.48"/>
    <n v="1211"/>
    <n v="1"/>
    <n v="1"/>
  </r>
  <r>
    <m/>
    <m/>
    <x v="1"/>
    <s v="80600490002003"/>
    <n v="-13.25"/>
    <n v="338"/>
    <n v="1"/>
    <n v="1"/>
  </r>
  <r>
    <m/>
    <m/>
    <x v="1"/>
    <s v="80927139001003"/>
    <n v="-12.39"/>
    <n v="316"/>
    <n v="1"/>
    <n v="1"/>
  </r>
  <r>
    <m/>
    <m/>
    <x v="1"/>
    <s v="81092601001005"/>
    <n v="-8.98"/>
    <n v="229"/>
    <n v="1"/>
    <n v="1"/>
  </r>
  <r>
    <m/>
    <m/>
    <x v="1"/>
    <s v="81113647002001"/>
    <n v="-12.16"/>
    <n v="310"/>
    <n v="1"/>
    <n v="1"/>
  </r>
  <r>
    <m/>
    <m/>
    <x v="1"/>
    <s v="81304932001001"/>
    <n v="-9.61"/>
    <n v="245"/>
    <n v="1"/>
    <n v="1"/>
  </r>
  <r>
    <m/>
    <m/>
    <x v="1"/>
    <s v="81337996001001"/>
    <n v="-50.62"/>
    <n v="1291"/>
    <n v="1"/>
    <n v="1"/>
  </r>
  <r>
    <m/>
    <m/>
    <x v="1"/>
    <s v="81392055002006"/>
    <n v="-17.41"/>
    <n v="444"/>
    <n v="1"/>
    <n v="1"/>
  </r>
  <r>
    <m/>
    <m/>
    <x v="1"/>
    <s v="81404769001001"/>
    <n v="-0.2"/>
    <n v="5"/>
    <n v="1"/>
    <n v="1"/>
  </r>
  <r>
    <m/>
    <m/>
    <x v="1"/>
    <s v="81416667001004"/>
    <n v="-1.1000000000000001"/>
    <n v="28"/>
    <n v="1"/>
    <n v="1"/>
  </r>
  <r>
    <m/>
    <m/>
    <x v="1"/>
    <s v="81678039001001"/>
    <n v="-2.71"/>
    <n v="69"/>
    <n v="1"/>
    <n v="1"/>
  </r>
  <r>
    <m/>
    <m/>
    <x v="1"/>
    <s v="81905257001001"/>
    <n v="-4.12"/>
    <n v="105"/>
    <n v="1"/>
    <n v="1"/>
  </r>
  <r>
    <m/>
    <m/>
    <x v="1"/>
    <s v="82090212005001"/>
    <n v="-24.51"/>
    <n v="625"/>
    <n v="1"/>
    <n v="1"/>
  </r>
  <r>
    <m/>
    <m/>
    <x v="1"/>
    <s v="82211799001002"/>
    <n v="-22"/>
    <n v="561"/>
    <n v="1"/>
    <n v="1"/>
  </r>
  <r>
    <m/>
    <m/>
    <x v="1"/>
    <s v="82239948003003"/>
    <n v="-54.11"/>
    <n v="1380"/>
    <n v="1"/>
    <n v="1"/>
  </r>
  <r>
    <m/>
    <m/>
    <x v="1"/>
    <s v="82431247001001"/>
    <n v="-13.72"/>
    <n v="350"/>
    <n v="1"/>
    <n v="1"/>
  </r>
  <r>
    <m/>
    <m/>
    <x v="1"/>
    <s v="82440956001001"/>
    <n v="-54.19"/>
    <n v="1382"/>
    <n v="1"/>
    <n v="1"/>
  </r>
  <r>
    <m/>
    <m/>
    <x v="1"/>
    <s v="82467652003001"/>
    <n v="-2.59"/>
    <n v="66"/>
    <n v="1"/>
    <n v="1"/>
  </r>
  <r>
    <m/>
    <m/>
    <x v="1"/>
    <s v="82658174001006"/>
    <n v="-2"/>
    <n v="51"/>
    <n v="1"/>
    <n v="1"/>
  </r>
  <r>
    <m/>
    <m/>
    <x v="1"/>
    <s v="82800086001001"/>
    <n v="-23.64"/>
    <n v="603"/>
    <n v="1"/>
    <n v="1"/>
  </r>
  <r>
    <m/>
    <m/>
    <x v="1"/>
    <s v="83641533002004"/>
    <n v="-19.760000000000002"/>
    <n v="504"/>
    <n v="1"/>
    <n v="1"/>
  </r>
  <r>
    <m/>
    <m/>
    <x v="1"/>
    <s v="83648881001001"/>
    <n v="-34.5"/>
    <n v="880"/>
    <n v="1"/>
    <n v="1"/>
  </r>
  <r>
    <m/>
    <m/>
    <x v="1"/>
    <s v="83800275002001"/>
    <n v="-5.14"/>
    <n v="131"/>
    <n v="1"/>
    <n v="1"/>
  </r>
  <r>
    <m/>
    <m/>
    <x v="1"/>
    <s v="84610177001005"/>
    <n v="-8.9"/>
    <n v="227"/>
    <n v="1"/>
    <n v="1"/>
  </r>
  <r>
    <m/>
    <m/>
    <x v="1"/>
    <s v="85023046001005"/>
    <n v="-12"/>
    <n v="306"/>
    <n v="1"/>
    <n v="1"/>
  </r>
  <r>
    <m/>
    <m/>
    <x v="1"/>
    <s v="85052617001010"/>
    <n v="-20.78"/>
    <n v="530"/>
    <n v="1"/>
    <n v="1"/>
  </r>
  <r>
    <m/>
    <m/>
    <x v="1"/>
    <s v="85108950001001"/>
    <n v="-7.61"/>
    <n v="194"/>
    <n v="1"/>
    <n v="1"/>
  </r>
  <r>
    <m/>
    <m/>
    <x v="1"/>
    <s v="85155127001002"/>
    <n v="-13.68"/>
    <n v="349"/>
    <n v="1"/>
    <n v="1"/>
  </r>
  <r>
    <m/>
    <m/>
    <x v="1"/>
    <s v="85307300001016"/>
    <n v="-12.08"/>
    <n v="308"/>
    <n v="1"/>
    <n v="1"/>
  </r>
  <r>
    <m/>
    <m/>
    <x v="1"/>
    <s v="85590751001003"/>
    <n v="-38.86"/>
    <n v="991"/>
    <n v="1"/>
    <n v="1"/>
  </r>
  <r>
    <m/>
    <m/>
    <x v="1"/>
    <s v="85648933001001"/>
    <n v="-46.93"/>
    <n v="1197"/>
    <n v="1"/>
    <n v="1"/>
  </r>
  <r>
    <m/>
    <m/>
    <x v="1"/>
    <s v="85663723001011"/>
    <n v="-58.78"/>
    <n v="1499"/>
    <n v="1"/>
    <n v="1"/>
  </r>
  <r>
    <m/>
    <m/>
    <x v="1"/>
    <s v="85758200001003"/>
    <n v="-13.33"/>
    <n v="340"/>
    <n v="1"/>
    <n v="1"/>
  </r>
  <r>
    <m/>
    <m/>
    <x v="1"/>
    <s v="85995109001001"/>
    <n v="-13.06"/>
    <n v="333"/>
    <n v="1"/>
    <n v="1"/>
  </r>
  <r>
    <m/>
    <m/>
    <x v="1"/>
    <s v="86166400001001"/>
    <n v="-48.58"/>
    <n v="1239"/>
    <n v="1"/>
    <n v="1"/>
  </r>
  <r>
    <m/>
    <m/>
    <x v="1"/>
    <s v="86223556001003"/>
    <n v="-14.15"/>
    <n v="361"/>
    <n v="1"/>
    <n v="1"/>
  </r>
  <r>
    <m/>
    <m/>
    <x v="1"/>
    <s v="86307411001003"/>
    <n v="-3.96"/>
    <n v="101"/>
    <n v="1"/>
    <n v="1"/>
  </r>
  <r>
    <m/>
    <m/>
    <x v="1"/>
    <s v="86651596001003"/>
    <n v="-3.25"/>
    <n v="83"/>
    <n v="1"/>
    <n v="1"/>
  </r>
  <r>
    <m/>
    <m/>
    <x v="1"/>
    <s v="86709161001013"/>
    <n v="-1.92"/>
    <n v="49"/>
    <n v="1"/>
    <n v="1"/>
  </r>
  <r>
    <m/>
    <m/>
    <x v="1"/>
    <s v="86993697001006"/>
    <n v="-6.82"/>
    <n v="174"/>
    <n v="1"/>
    <n v="1"/>
  </r>
  <r>
    <m/>
    <m/>
    <x v="1"/>
    <s v="87114513002001"/>
    <n v="-10.19"/>
    <n v="260"/>
    <n v="1"/>
    <n v="1"/>
  </r>
  <r>
    <m/>
    <m/>
    <x v="1"/>
    <s v="87885809001004"/>
    <n v="-12.04"/>
    <n v="307"/>
    <n v="1"/>
    <n v="1"/>
  </r>
  <r>
    <m/>
    <m/>
    <x v="1"/>
    <s v="87984399001003"/>
    <n v="-75.599999999999994"/>
    <n v="1928"/>
    <n v="1"/>
    <n v="1"/>
  </r>
  <r>
    <m/>
    <m/>
    <x v="1"/>
    <s v="88063060001002"/>
    <n v="-9.76"/>
    <n v="249"/>
    <n v="1"/>
    <n v="1"/>
  </r>
  <r>
    <m/>
    <m/>
    <x v="1"/>
    <s v="88142806002001"/>
    <n v="-7.8"/>
    <n v="199"/>
    <n v="1"/>
    <n v="1"/>
  </r>
  <r>
    <m/>
    <m/>
    <x v="1"/>
    <s v="88243401001003"/>
    <n v="-10.35"/>
    <n v="264"/>
    <n v="1"/>
    <n v="1"/>
  </r>
  <r>
    <m/>
    <m/>
    <x v="1"/>
    <s v="88484707001005"/>
    <n v="-8.35"/>
    <n v="213"/>
    <n v="1"/>
    <n v="1"/>
  </r>
  <r>
    <m/>
    <m/>
    <x v="1"/>
    <s v="88908327001003"/>
    <n v="-13.72"/>
    <n v="350"/>
    <n v="1"/>
    <n v="1"/>
  </r>
  <r>
    <m/>
    <m/>
    <x v="1"/>
    <s v="88935508001003"/>
    <n v="-12.55"/>
    <n v="320"/>
    <n v="1"/>
    <n v="1"/>
  </r>
  <r>
    <m/>
    <m/>
    <x v="1"/>
    <s v="88983549001001"/>
    <n v="-21.84"/>
    <n v="557"/>
    <n v="1"/>
    <n v="1"/>
  </r>
  <r>
    <m/>
    <m/>
    <x v="1"/>
    <s v="89067112002001"/>
    <n v="-9.76"/>
    <n v="249"/>
    <n v="1"/>
    <n v="1"/>
  </r>
  <r>
    <m/>
    <m/>
    <x v="1"/>
    <s v="89128471001009"/>
    <n v="-1.41"/>
    <n v="36"/>
    <n v="1"/>
    <n v="1"/>
  </r>
  <r>
    <m/>
    <m/>
    <x v="1"/>
    <s v="89366347001001"/>
    <n v="-78.66"/>
    <n v="2006"/>
    <n v="1"/>
    <n v="1"/>
  </r>
  <r>
    <m/>
    <m/>
    <x v="1"/>
    <s v="89416711001001"/>
    <n v="-6.55"/>
    <n v="167"/>
    <n v="1"/>
    <n v="1"/>
  </r>
  <r>
    <m/>
    <m/>
    <x v="1"/>
    <s v="89768877001001"/>
    <n v="-6.94"/>
    <n v="177"/>
    <n v="1"/>
    <n v="1"/>
  </r>
  <r>
    <m/>
    <m/>
    <x v="1"/>
    <s v="89864539001001"/>
    <n v="-59.29"/>
    <n v="1512"/>
    <n v="1"/>
    <n v="1"/>
  </r>
  <r>
    <m/>
    <m/>
    <x v="1"/>
    <s v="89971157001001"/>
    <n v="-4.2699999999999996"/>
    <n v="109"/>
    <n v="1"/>
    <n v="1"/>
  </r>
  <r>
    <m/>
    <m/>
    <x v="1"/>
    <s v="90452668002001"/>
    <n v="-7.57"/>
    <n v="193"/>
    <n v="1"/>
    <n v="1"/>
  </r>
  <r>
    <m/>
    <m/>
    <x v="1"/>
    <s v="90517503001001"/>
    <n v="-7.96"/>
    <n v="203"/>
    <n v="1"/>
    <n v="1"/>
  </r>
  <r>
    <m/>
    <m/>
    <x v="1"/>
    <s v="90821226001006"/>
    <n v="-18.78"/>
    <n v="479"/>
    <n v="1"/>
    <n v="1"/>
  </r>
  <r>
    <m/>
    <m/>
    <x v="1"/>
    <s v="90876636001005"/>
    <n v="-0.78"/>
    <n v="20"/>
    <n v="1"/>
    <n v="1"/>
  </r>
  <r>
    <m/>
    <m/>
    <x v="1"/>
    <s v="91039711003001"/>
    <n v="-49.37"/>
    <n v="1259"/>
    <n v="1"/>
    <n v="1"/>
  </r>
  <r>
    <m/>
    <m/>
    <x v="1"/>
    <s v="91081109001003"/>
    <n v="-3.53"/>
    <n v="90"/>
    <n v="1"/>
    <n v="1"/>
  </r>
  <r>
    <m/>
    <m/>
    <x v="1"/>
    <s v="91233206001001"/>
    <n v="-11.45"/>
    <n v="292"/>
    <n v="1"/>
    <n v="1"/>
  </r>
  <r>
    <m/>
    <m/>
    <x v="1"/>
    <s v="91284866005001"/>
    <n v="-60.85"/>
    <n v="1552"/>
    <n v="1"/>
    <n v="1"/>
  </r>
  <r>
    <m/>
    <m/>
    <x v="1"/>
    <s v="91686493001001"/>
    <n v="-0.55000000000000004"/>
    <n v="14"/>
    <n v="1"/>
    <n v="1"/>
  </r>
  <r>
    <m/>
    <m/>
    <x v="1"/>
    <s v="91911316001004"/>
    <n v="-14.9"/>
    <n v="380"/>
    <n v="1"/>
    <n v="1"/>
  </r>
  <r>
    <m/>
    <m/>
    <x v="1"/>
    <s v="92061113001004"/>
    <n v="-3.49"/>
    <n v="89"/>
    <n v="1"/>
    <n v="1"/>
  </r>
  <r>
    <m/>
    <m/>
    <x v="1"/>
    <s v="92775127001001"/>
    <n v="-6.9"/>
    <n v="176"/>
    <n v="1"/>
    <n v="1"/>
  </r>
  <r>
    <m/>
    <m/>
    <x v="1"/>
    <s v="92950853001005"/>
    <n v="-23.84"/>
    <n v="608"/>
    <n v="1"/>
    <n v="1"/>
  </r>
  <r>
    <m/>
    <m/>
    <x v="1"/>
    <s v="92960404001001"/>
    <n v="-7.41"/>
    <n v="189"/>
    <n v="1"/>
    <n v="1"/>
  </r>
  <r>
    <m/>
    <m/>
    <x v="1"/>
    <s v="93295699001010"/>
    <n v="-25.17"/>
    <n v="642"/>
    <n v="1"/>
    <n v="1"/>
  </r>
  <r>
    <m/>
    <m/>
    <x v="1"/>
    <s v="93416826004001"/>
    <n v="-0.47"/>
    <n v="12"/>
    <n v="1"/>
    <n v="1"/>
  </r>
  <r>
    <m/>
    <m/>
    <x v="1"/>
    <s v="93447974001001"/>
    <n v="-15.17"/>
    <n v="387"/>
    <n v="1"/>
    <n v="1"/>
  </r>
  <r>
    <m/>
    <m/>
    <x v="1"/>
    <s v="93549993001001"/>
    <n v="-20.149999999999999"/>
    <n v="514"/>
    <n v="1"/>
    <n v="1"/>
  </r>
  <r>
    <m/>
    <m/>
    <x v="1"/>
    <s v="93630806001006"/>
    <n v="-5.84"/>
    <n v="149"/>
    <n v="1"/>
    <n v="1"/>
  </r>
  <r>
    <m/>
    <m/>
    <x v="1"/>
    <s v="93645499001014"/>
    <n v="-5.18"/>
    <n v="132"/>
    <n v="1"/>
    <n v="1"/>
  </r>
  <r>
    <m/>
    <m/>
    <x v="1"/>
    <s v="93853061001004"/>
    <n v="-2.35"/>
    <n v="60"/>
    <n v="1"/>
    <n v="1"/>
  </r>
  <r>
    <m/>
    <m/>
    <x v="1"/>
    <s v="94384624001001"/>
    <n v="-7.45"/>
    <n v="190"/>
    <n v="1"/>
    <n v="1"/>
  </r>
  <r>
    <m/>
    <m/>
    <x v="1"/>
    <s v="94506465001003"/>
    <n v="-4.12"/>
    <n v="105"/>
    <n v="1"/>
    <n v="1"/>
  </r>
  <r>
    <m/>
    <m/>
    <x v="1"/>
    <s v="94703589005001"/>
    <n v="-8.51"/>
    <n v="217"/>
    <n v="1"/>
    <n v="1"/>
  </r>
  <r>
    <m/>
    <m/>
    <x v="1"/>
    <s v="94789690001001"/>
    <n v="-6.98"/>
    <n v="178"/>
    <n v="1"/>
    <n v="1"/>
  </r>
  <r>
    <m/>
    <m/>
    <x v="1"/>
    <s v="94860723001003"/>
    <n v="-11.84"/>
    <n v="302"/>
    <n v="1"/>
    <n v="1"/>
  </r>
  <r>
    <m/>
    <m/>
    <x v="1"/>
    <s v="94938062001001"/>
    <n v="-11.76"/>
    <n v="300"/>
    <n v="1"/>
    <n v="1"/>
  </r>
  <r>
    <m/>
    <m/>
    <x v="1"/>
    <s v="95066278001003"/>
    <n v="-28.9"/>
    <n v="737"/>
    <n v="1"/>
    <n v="1"/>
  </r>
  <r>
    <m/>
    <m/>
    <x v="1"/>
    <s v="95131113006001"/>
    <n v="-55.13"/>
    <n v="1406"/>
    <n v="1"/>
    <n v="1"/>
  </r>
  <r>
    <m/>
    <m/>
    <x v="1"/>
    <s v="95161570001005"/>
    <n v="-0.08"/>
    <n v="2"/>
    <n v="1"/>
    <n v="1"/>
  </r>
  <r>
    <m/>
    <m/>
    <x v="1"/>
    <s v="95180699001001"/>
    <n v="-23.92"/>
    <n v="610"/>
    <n v="1"/>
    <n v="1"/>
  </r>
  <r>
    <m/>
    <m/>
    <x v="1"/>
    <s v="95347210001001"/>
    <n v="-8"/>
    <n v="204"/>
    <n v="1"/>
    <n v="1"/>
  </r>
  <r>
    <m/>
    <m/>
    <x v="1"/>
    <s v="95697123001001"/>
    <n v="-3.92"/>
    <n v="100"/>
    <n v="1"/>
    <n v="1"/>
  </r>
  <r>
    <m/>
    <m/>
    <x v="1"/>
    <s v="95916401001001"/>
    <n v="-2.31"/>
    <n v="59"/>
    <n v="1"/>
    <n v="1"/>
  </r>
  <r>
    <m/>
    <m/>
    <x v="1"/>
    <s v="96226382001001"/>
    <n v="-1.96"/>
    <n v="50"/>
    <n v="1"/>
    <n v="1"/>
  </r>
  <r>
    <m/>
    <m/>
    <x v="1"/>
    <s v="96678659001003"/>
    <n v="-13.45"/>
    <n v="343"/>
    <n v="1"/>
    <n v="1"/>
  </r>
  <r>
    <m/>
    <m/>
    <x v="1"/>
    <s v="96743423001001"/>
    <n v="-2.9"/>
    <n v="74"/>
    <n v="1"/>
    <n v="1"/>
  </r>
  <r>
    <m/>
    <m/>
    <x v="1"/>
    <s v="97148101001003"/>
    <n v="-36.5"/>
    <n v="931"/>
    <n v="1"/>
    <n v="1"/>
  </r>
  <r>
    <m/>
    <m/>
    <x v="1"/>
    <s v="97323566001003"/>
    <n v="-8.6300000000000008"/>
    <n v="220"/>
    <n v="1"/>
    <n v="1"/>
  </r>
  <r>
    <m/>
    <m/>
    <x v="1"/>
    <s v="97343902002001"/>
    <n v="-9.1"/>
    <n v="232"/>
    <n v="1"/>
    <n v="1"/>
  </r>
  <r>
    <m/>
    <m/>
    <x v="1"/>
    <s v="97473613001004"/>
    <n v="-15.64"/>
    <n v="399"/>
    <n v="1"/>
    <n v="1"/>
  </r>
  <r>
    <m/>
    <m/>
    <x v="1"/>
    <s v="97521847001002"/>
    <n v="-9.4499999999999993"/>
    <n v="241"/>
    <n v="1"/>
    <n v="1"/>
  </r>
  <r>
    <m/>
    <m/>
    <x v="1"/>
    <s v="97630178001001"/>
    <n v="-0.74"/>
    <n v="19"/>
    <n v="1"/>
    <n v="1"/>
  </r>
  <r>
    <m/>
    <m/>
    <x v="1"/>
    <s v="97655232002004"/>
    <n v="-8.9"/>
    <n v="227"/>
    <n v="1"/>
    <n v="1"/>
  </r>
  <r>
    <m/>
    <m/>
    <x v="1"/>
    <s v="97919016001004"/>
    <n v="-44.86"/>
    <n v="1144"/>
    <n v="1"/>
    <n v="1"/>
  </r>
  <r>
    <m/>
    <m/>
    <x v="1"/>
    <s v="97943952002001"/>
    <n v="-8.59"/>
    <n v="219"/>
    <n v="1"/>
    <n v="1"/>
  </r>
  <r>
    <m/>
    <m/>
    <x v="1"/>
    <s v="98004963001002"/>
    <n v="-14.86"/>
    <n v="379"/>
    <n v="1"/>
    <n v="1"/>
  </r>
  <r>
    <m/>
    <m/>
    <x v="1"/>
    <s v="98396921001007"/>
    <n v="-9.5299999999999994"/>
    <n v="243"/>
    <n v="1"/>
    <n v="1"/>
  </r>
  <r>
    <m/>
    <m/>
    <x v="1"/>
    <s v="98525309002001"/>
    <n v="-58.03"/>
    <n v="1480"/>
    <n v="1"/>
    <n v="1"/>
  </r>
  <r>
    <m/>
    <m/>
    <x v="1"/>
    <s v="98568936001003"/>
    <n v="-32.78"/>
    <n v="836"/>
    <n v="1"/>
    <n v="1"/>
  </r>
  <r>
    <m/>
    <m/>
    <x v="1"/>
    <s v="98573702001003"/>
    <n v="-5.8"/>
    <n v="148"/>
    <n v="1"/>
    <n v="1"/>
  </r>
  <r>
    <m/>
    <m/>
    <x v="1"/>
    <s v="98706279001001"/>
    <n v="-0.31"/>
    <n v="8"/>
    <n v="1"/>
    <n v="1"/>
  </r>
  <r>
    <m/>
    <m/>
    <x v="1"/>
    <s v="98841325001003"/>
    <n v="-20.43"/>
    <n v="521"/>
    <n v="1"/>
    <n v="1"/>
  </r>
  <r>
    <m/>
    <m/>
    <x v="1"/>
    <s v="99162209001001"/>
    <n v="-100.42"/>
    <n v="2561"/>
    <n v="1"/>
    <n v="1"/>
  </r>
  <r>
    <m/>
    <m/>
    <x v="1"/>
    <s v="99181573002001"/>
    <n v="-1.84"/>
    <n v="47"/>
    <n v="1"/>
    <n v="1"/>
  </r>
  <r>
    <m/>
    <m/>
    <x v="1"/>
    <s v="99427689006001"/>
    <n v="-9.92"/>
    <n v="253"/>
    <n v="1"/>
    <n v="1"/>
  </r>
  <r>
    <m/>
    <m/>
    <x v="1"/>
    <s v="99435304001001"/>
    <n v="-2.63"/>
    <n v="67"/>
    <n v="1"/>
    <n v="1"/>
  </r>
  <r>
    <m/>
    <m/>
    <x v="1"/>
    <s v="99770512001001"/>
    <n v="-6.82"/>
    <n v="174"/>
    <n v="1"/>
    <n v="1"/>
  </r>
  <r>
    <m/>
    <m/>
    <x v="1"/>
    <s v="99885170001001"/>
    <n v="-23.53"/>
    <n v="600"/>
    <n v="1"/>
    <n v="1"/>
  </r>
  <r>
    <m/>
    <m/>
    <x v="4"/>
    <m/>
    <n v="-15564.110000000013"/>
    <n v="396939"/>
    <n v="927"/>
    <n v="923"/>
  </r>
  <r>
    <m/>
    <m/>
    <x v="5"/>
    <s v="00148726001003"/>
    <n v="-28.15"/>
    <n v="483"/>
    <n v="1"/>
    <n v="1"/>
  </r>
  <r>
    <m/>
    <m/>
    <x v="1"/>
    <s v="00259343010001"/>
    <n v="-21.27"/>
    <n v="365"/>
    <n v="1"/>
    <n v="1"/>
  </r>
  <r>
    <m/>
    <m/>
    <x v="1"/>
    <s v="00319594001001"/>
    <n v="-2.27"/>
    <n v="39"/>
    <n v="1"/>
    <n v="1"/>
  </r>
  <r>
    <m/>
    <m/>
    <x v="1"/>
    <s v="00329225001005"/>
    <n v="-3.26"/>
    <n v="56"/>
    <n v="1"/>
    <n v="1"/>
  </r>
  <r>
    <m/>
    <m/>
    <x v="1"/>
    <s v="00382666001003"/>
    <n v="-15.56"/>
    <n v="267"/>
    <n v="1"/>
    <n v="1"/>
  </r>
  <r>
    <m/>
    <m/>
    <x v="1"/>
    <s v="00435186001001"/>
    <n v="-5.89"/>
    <n v="101"/>
    <n v="1"/>
    <n v="1"/>
  </r>
  <r>
    <m/>
    <m/>
    <x v="1"/>
    <s v="00447035006001"/>
    <n v="-71.099999999999994"/>
    <n v="1220"/>
    <n v="1"/>
    <n v="1"/>
  </r>
  <r>
    <m/>
    <m/>
    <x v="1"/>
    <s v="00477416001005"/>
    <n v="-3.61"/>
    <n v="62"/>
    <n v="1"/>
    <n v="1"/>
  </r>
  <r>
    <m/>
    <m/>
    <x v="1"/>
    <s v="00689227001008"/>
    <n v="-17.95"/>
    <n v="308"/>
    <n v="1"/>
    <n v="1"/>
  </r>
  <r>
    <m/>
    <m/>
    <x v="1"/>
    <s v="00722915001001"/>
    <n v="-10.14"/>
    <n v="174"/>
    <n v="1"/>
    <n v="1"/>
  </r>
  <r>
    <m/>
    <m/>
    <x v="1"/>
    <s v="00730907001001"/>
    <n v="-10.26"/>
    <n v="176"/>
    <n v="1"/>
    <n v="1"/>
  </r>
  <r>
    <m/>
    <m/>
    <x v="1"/>
    <s v="00779681001001"/>
    <n v="-78.040000000000006"/>
    <n v="1339"/>
    <n v="1"/>
    <n v="1"/>
  </r>
  <r>
    <m/>
    <m/>
    <x v="1"/>
    <s v="00787390005001"/>
    <n v="-6.99"/>
    <n v="120"/>
    <n v="1"/>
    <n v="1"/>
  </r>
  <r>
    <m/>
    <m/>
    <x v="1"/>
    <s v="00809273002003"/>
    <n v="-32.229999999999997"/>
    <n v="553"/>
    <n v="1"/>
    <n v="1"/>
  </r>
  <r>
    <m/>
    <m/>
    <x v="1"/>
    <s v="00906029001008"/>
    <n v="-9.27"/>
    <n v="159"/>
    <n v="1"/>
    <n v="1"/>
  </r>
  <r>
    <m/>
    <m/>
    <x v="1"/>
    <s v="01058313001005"/>
    <n v="-5.54"/>
    <n v="95"/>
    <n v="1"/>
    <n v="1"/>
  </r>
  <r>
    <m/>
    <m/>
    <x v="1"/>
    <s v="01092252001001"/>
    <n v="-2.39"/>
    <n v="41"/>
    <n v="1"/>
    <n v="1"/>
  </r>
  <r>
    <m/>
    <m/>
    <x v="1"/>
    <s v="01105041001001"/>
    <n v="-24.94"/>
    <n v="428"/>
    <n v="1"/>
    <n v="1"/>
  </r>
  <r>
    <m/>
    <m/>
    <x v="1"/>
    <s v="01252370002003"/>
    <n v="-14.16"/>
    <n v="243"/>
    <n v="1"/>
    <n v="1"/>
  </r>
  <r>
    <m/>
    <m/>
    <x v="1"/>
    <s v="01312177001001"/>
    <n v="-4.08"/>
    <n v="70"/>
    <n v="1"/>
    <n v="1"/>
  </r>
  <r>
    <m/>
    <m/>
    <x v="1"/>
    <s v="01335294001005"/>
    <n v="-12.94"/>
    <n v="222"/>
    <n v="1"/>
    <n v="1"/>
  </r>
  <r>
    <m/>
    <m/>
    <x v="1"/>
    <s v="01403700005001"/>
    <n v="-20.34"/>
    <n v="349"/>
    <n v="1"/>
    <n v="1"/>
  </r>
  <r>
    <m/>
    <m/>
    <x v="1"/>
    <s v="01570655003001"/>
    <n v="-20.28"/>
    <n v="348"/>
    <n v="1"/>
    <n v="1"/>
  </r>
  <r>
    <m/>
    <m/>
    <x v="1"/>
    <s v="01701580001001"/>
    <n v="-24.89"/>
    <n v="427"/>
    <n v="1"/>
    <n v="1"/>
  </r>
  <r>
    <m/>
    <m/>
    <x v="1"/>
    <s v="01752705001001"/>
    <n v="-80.37"/>
    <n v="1379"/>
    <n v="1"/>
    <n v="1"/>
  </r>
  <r>
    <m/>
    <m/>
    <x v="1"/>
    <s v="01958139001005"/>
    <n v="-1.34"/>
    <n v="23"/>
    <n v="1"/>
    <n v="1"/>
  </r>
  <r>
    <m/>
    <m/>
    <x v="1"/>
    <s v="02179705001007"/>
    <n v="-41.61"/>
    <n v="714"/>
    <n v="1"/>
    <n v="1"/>
  </r>
  <r>
    <m/>
    <m/>
    <x v="1"/>
    <s v="02232792001001"/>
    <n v="-8.16"/>
    <n v="140"/>
    <n v="1"/>
    <n v="1"/>
  </r>
  <r>
    <m/>
    <m/>
    <x v="1"/>
    <s v="02342104001006"/>
    <n v="-7.98"/>
    <n v="137"/>
    <n v="1"/>
    <n v="1"/>
  </r>
  <r>
    <m/>
    <m/>
    <x v="1"/>
    <s v="02380352002001"/>
    <n v="-38.64"/>
    <n v="663"/>
    <n v="1"/>
    <n v="1"/>
  </r>
  <r>
    <m/>
    <m/>
    <x v="1"/>
    <s v="02412878001003"/>
    <n v="-7.93"/>
    <n v="136"/>
    <n v="1"/>
    <n v="1"/>
  </r>
  <r>
    <m/>
    <m/>
    <x v="1"/>
    <s v="02425825002002"/>
    <n v="-17.48"/>
    <n v="300"/>
    <n v="1"/>
    <n v="1"/>
  </r>
  <r>
    <m/>
    <m/>
    <x v="1"/>
    <s v="02447419003012"/>
    <n v="-53.5"/>
    <n v="918"/>
    <n v="1"/>
    <n v="1"/>
  </r>
  <r>
    <m/>
    <m/>
    <x v="1"/>
    <s v="02461328001010"/>
    <n v="-0.35"/>
    <n v="6"/>
    <n v="1"/>
    <n v="1"/>
  </r>
  <r>
    <m/>
    <m/>
    <x v="1"/>
    <s v="02464003001001"/>
    <n v="-2.86"/>
    <n v="49"/>
    <n v="1"/>
    <n v="1"/>
  </r>
  <r>
    <m/>
    <m/>
    <x v="1"/>
    <s v="02514781001007"/>
    <n v="-15.44"/>
    <n v="265"/>
    <n v="1"/>
    <n v="1"/>
  </r>
  <r>
    <m/>
    <m/>
    <x v="1"/>
    <s v="02622939006001"/>
    <n v="-14.86"/>
    <n v="255"/>
    <n v="1"/>
    <n v="1"/>
  </r>
  <r>
    <m/>
    <m/>
    <x v="1"/>
    <s v="02683413001001"/>
    <n v="-69.94"/>
    <n v="1200"/>
    <n v="1"/>
    <n v="1"/>
  </r>
  <r>
    <m/>
    <m/>
    <x v="1"/>
    <s v="02704694001001"/>
    <n v="-35.96"/>
    <n v="617"/>
    <n v="1"/>
    <n v="1"/>
  </r>
  <r>
    <m/>
    <m/>
    <x v="1"/>
    <s v="02796106001001"/>
    <n v="-22.15"/>
    <n v="380"/>
    <n v="1"/>
    <n v="1"/>
  </r>
  <r>
    <m/>
    <m/>
    <x v="1"/>
    <s v="02884496001010"/>
    <n v="-104.44"/>
    <n v="1792"/>
    <n v="1"/>
    <n v="1"/>
  </r>
  <r>
    <m/>
    <m/>
    <x v="1"/>
    <s v="03018483004001"/>
    <n v="-71.39"/>
    <n v="1225"/>
    <n v="1"/>
    <n v="1"/>
  </r>
  <r>
    <m/>
    <m/>
    <x v="1"/>
    <s v="03051677001003"/>
    <n v="-25.93"/>
    <n v="445"/>
    <n v="1"/>
    <n v="1"/>
  </r>
  <r>
    <m/>
    <m/>
    <x v="1"/>
    <s v="03088248001005"/>
    <n v="-16.43"/>
    <n v="282"/>
    <n v="1"/>
    <n v="1"/>
  </r>
  <r>
    <m/>
    <m/>
    <x v="1"/>
    <s v="03107202002001"/>
    <n v="-11.42"/>
    <n v="196"/>
    <n v="1"/>
    <n v="1"/>
  </r>
  <r>
    <m/>
    <m/>
    <x v="1"/>
    <s v="03330463001002"/>
    <n v="-24.13"/>
    <n v="414"/>
    <n v="1"/>
    <n v="1"/>
  </r>
  <r>
    <m/>
    <m/>
    <x v="1"/>
    <s v="03476916002003"/>
    <n v="-1.92"/>
    <n v="33"/>
    <n v="1"/>
    <n v="1"/>
  </r>
  <r>
    <m/>
    <m/>
    <x v="1"/>
    <s v="03494646001004"/>
    <n v="-5.25"/>
    <n v="90"/>
    <n v="1"/>
    <n v="1"/>
  </r>
  <r>
    <m/>
    <m/>
    <x v="1"/>
    <s v="03722115001001"/>
    <n v="-11.77"/>
    <n v="202"/>
    <n v="1"/>
    <n v="1"/>
  </r>
  <r>
    <m/>
    <m/>
    <x v="1"/>
    <s v="03739009003001"/>
    <n v="-40.1"/>
    <n v="688"/>
    <n v="1"/>
    <n v="1"/>
  </r>
  <r>
    <m/>
    <m/>
    <x v="1"/>
    <s v="03799095002001"/>
    <n v="-60.55"/>
    <n v="1039"/>
    <n v="1"/>
    <n v="1"/>
  </r>
  <r>
    <m/>
    <m/>
    <x v="1"/>
    <s v="03953360002003"/>
    <n v="-4.5999999999999996"/>
    <n v="79"/>
    <n v="1"/>
    <n v="1"/>
  </r>
  <r>
    <m/>
    <m/>
    <x v="1"/>
    <s v="04022663001001"/>
    <n v="-10.26"/>
    <n v="176"/>
    <n v="1"/>
    <n v="1"/>
  </r>
  <r>
    <m/>
    <m/>
    <x v="1"/>
    <s v="04195526001007"/>
    <n v="-21.74"/>
    <n v="373"/>
    <n v="1"/>
    <n v="1"/>
  </r>
  <r>
    <m/>
    <m/>
    <x v="1"/>
    <s v="04587647002001"/>
    <n v="-21.45"/>
    <n v="368"/>
    <n v="1"/>
    <n v="1"/>
  </r>
  <r>
    <m/>
    <m/>
    <x v="1"/>
    <s v="04639874001001"/>
    <n v="-0.28999999999999998"/>
    <n v="5"/>
    <n v="1"/>
    <n v="1"/>
  </r>
  <r>
    <m/>
    <m/>
    <x v="1"/>
    <s v="04681150001001"/>
    <n v="-10.72"/>
    <n v="184"/>
    <n v="1"/>
    <n v="1"/>
  </r>
  <r>
    <m/>
    <m/>
    <x v="1"/>
    <s v="04731425001001"/>
    <n v="-50.47"/>
    <n v="866"/>
    <n v="1"/>
    <n v="1"/>
  </r>
  <r>
    <m/>
    <m/>
    <x v="1"/>
    <s v="04740604011001"/>
    <n v="-17.95"/>
    <n v="308"/>
    <n v="1"/>
    <n v="1"/>
  </r>
  <r>
    <m/>
    <m/>
    <x v="1"/>
    <s v="04805152001005"/>
    <n v="-3.15"/>
    <n v="54"/>
    <n v="1"/>
    <n v="1"/>
  </r>
  <r>
    <m/>
    <m/>
    <x v="1"/>
    <s v="04914620002001"/>
    <n v="-55.25"/>
    <n v="948"/>
    <n v="1"/>
    <n v="1"/>
  </r>
  <r>
    <m/>
    <m/>
    <x v="1"/>
    <s v="05055558001001"/>
    <n v="-0.35"/>
    <n v="6"/>
    <n v="1"/>
    <n v="1"/>
  </r>
  <r>
    <m/>
    <m/>
    <x v="1"/>
    <s v="05112776001003"/>
    <n v="-19.93"/>
    <n v="342"/>
    <n v="1"/>
    <n v="1"/>
  </r>
  <r>
    <m/>
    <m/>
    <x v="1"/>
    <s v="05222943001009"/>
    <n v="-27.92"/>
    <n v="479"/>
    <n v="1"/>
    <n v="1"/>
  </r>
  <r>
    <m/>
    <m/>
    <x v="1"/>
    <s v="05707361001002"/>
    <n v="-33.28"/>
    <n v="571"/>
    <n v="1"/>
    <n v="1"/>
  </r>
  <r>
    <m/>
    <m/>
    <x v="1"/>
    <s v="05860137001003"/>
    <n v="-2.62"/>
    <n v="45"/>
    <n v="1"/>
    <n v="1"/>
  </r>
  <r>
    <m/>
    <m/>
    <x v="1"/>
    <s v="05933255001001"/>
    <n v="-0.64"/>
    <n v="11"/>
    <n v="1"/>
    <n v="1"/>
  </r>
  <r>
    <m/>
    <m/>
    <x v="1"/>
    <s v="05953974001003"/>
    <n v="-0.7"/>
    <n v="12"/>
    <n v="1"/>
    <n v="1"/>
  </r>
  <r>
    <m/>
    <m/>
    <x v="1"/>
    <s v="06200267001003"/>
    <n v="-6"/>
    <n v="103"/>
    <n v="1"/>
    <n v="1"/>
  </r>
  <r>
    <m/>
    <m/>
    <x v="1"/>
    <s v="06309819004001"/>
    <n v="-20.16"/>
    <n v="346"/>
    <n v="1"/>
    <n v="1"/>
  </r>
  <r>
    <m/>
    <m/>
    <x v="1"/>
    <s v="06359444001001"/>
    <n v="-11.25"/>
    <n v="193"/>
    <n v="1"/>
    <n v="1"/>
  </r>
  <r>
    <m/>
    <m/>
    <x v="1"/>
    <s v="06382830001001"/>
    <n v="-36.72"/>
    <n v="630"/>
    <n v="1"/>
    <n v="1"/>
  </r>
  <r>
    <m/>
    <m/>
    <x v="1"/>
    <s v="06414889001004"/>
    <n v="-78.790000000000006"/>
    <n v="1352"/>
    <n v="1"/>
    <n v="1"/>
  </r>
  <r>
    <m/>
    <m/>
    <x v="1"/>
    <s v="06440891001007"/>
    <n v="-20.51"/>
    <n v="352"/>
    <n v="1"/>
    <n v="1"/>
  </r>
  <r>
    <m/>
    <m/>
    <x v="1"/>
    <s v="06580144002011"/>
    <n v="-1.57"/>
    <n v="27"/>
    <n v="1"/>
    <n v="1"/>
  </r>
  <r>
    <m/>
    <m/>
    <x v="1"/>
    <s v="06590959001001"/>
    <n v="-55.02"/>
    <n v="944"/>
    <n v="1"/>
    <n v="1"/>
  </r>
  <r>
    <m/>
    <m/>
    <x v="1"/>
    <s v="06650635001001"/>
    <n v="-38.229999999999997"/>
    <n v="656"/>
    <n v="1"/>
    <n v="1"/>
  </r>
  <r>
    <m/>
    <m/>
    <x v="1"/>
    <s v="06651048001002"/>
    <n v="-20.51"/>
    <n v="352"/>
    <n v="1"/>
    <n v="1"/>
  </r>
  <r>
    <m/>
    <m/>
    <x v="1"/>
    <s v="06670399001005"/>
    <n v="-98.49"/>
    <n v="1690"/>
    <n v="1"/>
    <n v="1"/>
  </r>
  <r>
    <m/>
    <m/>
    <x v="1"/>
    <s v="06751249001005"/>
    <n v="-44"/>
    <n v="755"/>
    <n v="1"/>
    <n v="1"/>
  </r>
  <r>
    <m/>
    <m/>
    <x v="1"/>
    <s v="06761853001001"/>
    <n v="-23.72"/>
    <n v="407"/>
    <n v="1"/>
    <n v="1"/>
  </r>
  <r>
    <m/>
    <m/>
    <x v="1"/>
    <s v="06797083002002"/>
    <n v="-20.57"/>
    <n v="353"/>
    <n v="1"/>
    <n v="1"/>
  </r>
  <r>
    <m/>
    <m/>
    <x v="1"/>
    <s v="06840429001005"/>
    <n v="-4.84"/>
    <n v="83"/>
    <n v="1"/>
    <n v="1"/>
  </r>
  <r>
    <m/>
    <m/>
    <x v="1"/>
    <s v="06934010001008"/>
    <n v="-10.32"/>
    <n v="177"/>
    <n v="1"/>
    <n v="1"/>
  </r>
  <r>
    <m/>
    <m/>
    <x v="1"/>
    <s v="06956115001001"/>
    <n v="-16.73"/>
    <n v="287"/>
    <n v="1"/>
    <n v="1"/>
  </r>
  <r>
    <m/>
    <m/>
    <x v="1"/>
    <s v="07188065003001"/>
    <n v="-18.47"/>
    <n v="317"/>
    <n v="1"/>
    <n v="1"/>
  </r>
  <r>
    <m/>
    <m/>
    <x v="1"/>
    <s v="07219889001001"/>
    <n v="-5.83"/>
    <n v="100"/>
    <n v="1"/>
    <n v="1"/>
  </r>
  <r>
    <m/>
    <m/>
    <x v="1"/>
    <s v="07248551001001"/>
    <n v="-51.05"/>
    <n v="876"/>
    <n v="1"/>
    <n v="1"/>
  </r>
  <r>
    <m/>
    <m/>
    <x v="1"/>
    <s v="07343513002001"/>
    <n v="-29.02"/>
    <n v="498"/>
    <n v="1"/>
    <n v="1"/>
  </r>
  <r>
    <m/>
    <m/>
    <x v="1"/>
    <s v="07753575001007"/>
    <n v="-53.79"/>
    <n v="923"/>
    <n v="1"/>
    <n v="1"/>
  </r>
  <r>
    <m/>
    <m/>
    <x v="1"/>
    <s v="07790450003001"/>
    <n v="-1.28"/>
    <n v="22"/>
    <n v="1"/>
    <n v="1"/>
  </r>
  <r>
    <m/>
    <m/>
    <x v="1"/>
    <s v="08007689001001"/>
    <n v="-105.37"/>
    <n v="1808"/>
    <n v="1"/>
    <n v="1"/>
  </r>
  <r>
    <m/>
    <m/>
    <x v="1"/>
    <s v="08016256001003"/>
    <n v="-6.35"/>
    <n v="109"/>
    <n v="1"/>
    <n v="1"/>
  </r>
  <r>
    <m/>
    <m/>
    <x v="1"/>
    <s v="08047179002001"/>
    <n v="-35.49"/>
    <n v="609"/>
    <n v="1"/>
    <n v="1"/>
  </r>
  <r>
    <m/>
    <m/>
    <x v="1"/>
    <s v="08155953001003"/>
    <n v="-10.55"/>
    <n v="181"/>
    <n v="1"/>
    <n v="1"/>
  </r>
  <r>
    <m/>
    <m/>
    <x v="1"/>
    <s v="08205707001003"/>
    <n v="-13.17"/>
    <n v="226"/>
    <n v="1"/>
    <n v="1"/>
  </r>
  <r>
    <m/>
    <m/>
    <x v="1"/>
    <s v="08228077001003"/>
    <n v="-2.33"/>
    <n v="40"/>
    <n v="1"/>
    <n v="1"/>
  </r>
  <r>
    <m/>
    <m/>
    <x v="1"/>
    <s v="08291880001007"/>
    <n v="-11.19"/>
    <n v="192"/>
    <n v="1"/>
    <n v="1"/>
  </r>
  <r>
    <m/>
    <m/>
    <x v="1"/>
    <s v="08293744002001"/>
    <n v="-46.39"/>
    <n v="796"/>
    <n v="1"/>
    <n v="1"/>
  </r>
  <r>
    <m/>
    <m/>
    <x v="1"/>
    <s v="08341079003003"/>
    <n v="-17.309999999999999"/>
    <n v="297"/>
    <n v="1"/>
    <n v="1"/>
  </r>
  <r>
    <m/>
    <m/>
    <x v="1"/>
    <s v="08395040001001"/>
    <n v="-23.49"/>
    <n v="403"/>
    <n v="1"/>
    <n v="1"/>
  </r>
  <r>
    <m/>
    <m/>
    <x v="1"/>
    <s v="08422119001005"/>
    <n v="-34.270000000000003"/>
    <n v="588"/>
    <n v="1"/>
    <n v="1"/>
  </r>
  <r>
    <m/>
    <m/>
    <x v="1"/>
    <s v="08612150001001"/>
    <n v="-20.63"/>
    <n v="354"/>
    <n v="1"/>
    <n v="1"/>
  </r>
  <r>
    <m/>
    <m/>
    <x v="1"/>
    <s v="08657953002001"/>
    <n v="-13.64"/>
    <n v="234"/>
    <n v="1"/>
    <n v="1"/>
  </r>
  <r>
    <m/>
    <m/>
    <x v="1"/>
    <s v="08694261001001"/>
    <n v="-73.319999999999993"/>
    <n v="1258"/>
    <n v="1"/>
    <n v="1"/>
  </r>
  <r>
    <m/>
    <m/>
    <x v="1"/>
    <s v="08733004003005"/>
    <n v="-9.3800000000000008"/>
    <n v="161"/>
    <n v="1"/>
    <n v="1"/>
  </r>
  <r>
    <m/>
    <m/>
    <x v="1"/>
    <s v="08947024001001"/>
    <n v="-12.18"/>
    <n v="209"/>
    <n v="1"/>
    <n v="1"/>
  </r>
  <r>
    <m/>
    <m/>
    <x v="1"/>
    <s v="09062578001001"/>
    <n v="-37.590000000000003"/>
    <n v="645"/>
    <n v="1"/>
    <n v="1"/>
  </r>
  <r>
    <m/>
    <m/>
    <x v="1"/>
    <s v="09084610002003"/>
    <n v="-3.03"/>
    <n v="52"/>
    <n v="1"/>
    <n v="1"/>
  </r>
  <r>
    <m/>
    <m/>
    <x v="1"/>
    <s v="09146355001001"/>
    <n v="-3.09"/>
    <n v="53"/>
    <n v="1"/>
    <n v="1"/>
  </r>
  <r>
    <m/>
    <m/>
    <x v="1"/>
    <s v="09315806002001"/>
    <n v="-1.57"/>
    <n v="27"/>
    <n v="1"/>
    <n v="1"/>
  </r>
  <r>
    <m/>
    <m/>
    <x v="1"/>
    <s v="09318796001003"/>
    <n v="-29.9"/>
    <n v="513"/>
    <n v="1"/>
    <n v="1"/>
  </r>
  <r>
    <m/>
    <m/>
    <x v="1"/>
    <s v="09410352001003"/>
    <n v="-10.14"/>
    <n v="174"/>
    <n v="1"/>
    <n v="1"/>
  </r>
  <r>
    <m/>
    <m/>
    <x v="1"/>
    <s v="09448617003001"/>
    <n v="-57.46"/>
    <n v="986"/>
    <n v="1"/>
    <n v="1"/>
  </r>
  <r>
    <m/>
    <m/>
    <x v="1"/>
    <s v="09541206010001"/>
    <n v="-38.700000000000003"/>
    <n v="664"/>
    <n v="1"/>
    <n v="1"/>
  </r>
  <r>
    <m/>
    <m/>
    <x v="1"/>
    <s v="09718241001001"/>
    <n v="-14.28"/>
    <n v="245"/>
    <n v="1"/>
    <n v="1"/>
  </r>
  <r>
    <m/>
    <m/>
    <x v="1"/>
    <s v="09742133005001"/>
    <n v="-45.46"/>
    <n v="780"/>
    <n v="1"/>
    <n v="1"/>
  </r>
  <r>
    <m/>
    <m/>
    <x v="1"/>
    <s v="09771064001005"/>
    <n v="-29.96"/>
    <n v="514"/>
    <n v="1"/>
    <n v="1"/>
  </r>
  <r>
    <m/>
    <m/>
    <x v="1"/>
    <s v="09956672001005"/>
    <n v="-6.88"/>
    <n v="118"/>
    <n v="1"/>
    <n v="1"/>
  </r>
  <r>
    <m/>
    <m/>
    <x v="1"/>
    <s v="10000443001001"/>
    <n v="-22.61"/>
    <n v="388"/>
    <n v="1"/>
    <n v="1"/>
  </r>
  <r>
    <m/>
    <m/>
    <x v="1"/>
    <s v="10032544001001"/>
    <n v="-8.1"/>
    <n v="139"/>
    <n v="1"/>
    <n v="1"/>
  </r>
  <r>
    <m/>
    <m/>
    <x v="1"/>
    <s v="10044758001004"/>
    <n v="-3.44"/>
    <n v="59"/>
    <n v="1"/>
    <n v="1"/>
  </r>
  <r>
    <m/>
    <m/>
    <x v="1"/>
    <s v="10059606001005"/>
    <n v="-65.27"/>
    <n v="1120"/>
    <n v="1"/>
    <n v="1"/>
  </r>
  <r>
    <m/>
    <m/>
    <x v="1"/>
    <s v="10291136001005"/>
    <n v="-1.86"/>
    <n v="32"/>
    <n v="1"/>
    <n v="1"/>
  </r>
  <r>
    <m/>
    <m/>
    <x v="1"/>
    <s v="10414127001001"/>
    <n v="-30.31"/>
    <n v="520"/>
    <n v="1"/>
    <n v="1"/>
  </r>
  <r>
    <m/>
    <m/>
    <x v="1"/>
    <s v="10447712003007"/>
    <n v="-48.72"/>
    <n v="836"/>
    <n v="1"/>
    <n v="1"/>
  </r>
  <r>
    <m/>
    <m/>
    <x v="1"/>
    <s v="10506768001003"/>
    <n v="-54.43"/>
    <n v="934"/>
    <n v="1"/>
    <n v="1"/>
  </r>
  <r>
    <m/>
    <m/>
    <x v="1"/>
    <s v="10532169002004"/>
    <n v="-14.57"/>
    <n v="250"/>
    <n v="1"/>
    <n v="1"/>
  </r>
  <r>
    <m/>
    <m/>
    <x v="1"/>
    <s v="10584250001001"/>
    <n v="-15.97"/>
    <n v="274"/>
    <n v="1"/>
    <n v="1"/>
  </r>
  <r>
    <m/>
    <m/>
    <x v="1"/>
    <s v="10792246001002"/>
    <n v="-11.48"/>
    <n v="197"/>
    <n v="1"/>
    <n v="1"/>
  </r>
  <r>
    <m/>
    <m/>
    <x v="1"/>
    <s v="11152661004001"/>
    <n v="-8.4499999999999993"/>
    <n v="145"/>
    <n v="1"/>
    <n v="1"/>
  </r>
  <r>
    <m/>
    <m/>
    <x v="1"/>
    <s v="11199375001001"/>
    <n v="-37.01"/>
    <n v="635"/>
    <n v="1"/>
    <n v="1"/>
  </r>
  <r>
    <m/>
    <m/>
    <x v="1"/>
    <s v="11307499001004"/>
    <n v="-2.8"/>
    <n v="48"/>
    <n v="1"/>
    <n v="1"/>
  </r>
  <r>
    <m/>
    <m/>
    <x v="1"/>
    <s v="11381042002003"/>
    <n v="-93.07"/>
    <n v="1597"/>
    <n v="1"/>
    <n v="1"/>
  </r>
  <r>
    <m/>
    <m/>
    <x v="1"/>
    <s v="11675325001001"/>
    <n v="-13.64"/>
    <n v="234"/>
    <n v="1"/>
    <n v="1"/>
  </r>
  <r>
    <m/>
    <m/>
    <x v="1"/>
    <s v="11865542001003"/>
    <n v="-9.32"/>
    <n v="160"/>
    <n v="1"/>
    <n v="1"/>
  </r>
  <r>
    <m/>
    <m/>
    <x v="1"/>
    <s v="12076406001002"/>
    <n v="-18.3"/>
    <n v="314"/>
    <n v="1"/>
    <n v="1"/>
  </r>
  <r>
    <m/>
    <m/>
    <x v="1"/>
    <s v="12178408001003"/>
    <n v="-2.86"/>
    <n v="49"/>
    <n v="1"/>
    <n v="1"/>
  </r>
  <r>
    <m/>
    <m/>
    <x v="1"/>
    <s v="12199696001001"/>
    <n v="-84.8"/>
    <n v="1455"/>
    <n v="1"/>
    <n v="1"/>
  </r>
  <r>
    <m/>
    <m/>
    <x v="1"/>
    <s v="12522130001001"/>
    <n v="-5.19"/>
    <n v="89"/>
    <n v="1"/>
    <n v="1"/>
  </r>
  <r>
    <m/>
    <m/>
    <x v="1"/>
    <s v="12750086001005"/>
    <n v="-29.49"/>
    <n v="506"/>
    <n v="1"/>
    <n v="1"/>
  </r>
  <r>
    <m/>
    <m/>
    <x v="1"/>
    <s v="12843580001005"/>
    <n v="-4.66"/>
    <n v="80"/>
    <n v="1"/>
    <n v="1"/>
  </r>
  <r>
    <m/>
    <m/>
    <x v="1"/>
    <s v="12887725001001"/>
    <n v="-15.56"/>
    <n v="267"/>
    <n v="1"/>
    <n v="1"/>
  </r>
  <r>
    <m/>
    <m/>
    <x v="1"/>
    <s v="12890384003001"/>
    <n v="-26.34"/>
    <n v="452"/>
    <n v="1"/>
    <n v="1"/>
  </r>
  <r>
    <m/>
    <m/>
    <x v="1"/>
    <s v="12923934001001"/>
    <n v="-0.57999999999999996"/>
    <n v="10"/>
    <n v="1"/>
    <n v="1"/>
  </r>
  <r>
    <m/>
    <m/>
    <x v="1"/>
    <s v="12968693001002"/>
    <n v="-16.03"/>
    <n v="275"/>
    <n v="1"/>
    <n v="1"/>
  </r>
  <r>
    <m/>
    <m/>
    <x v="1"/>
    <s v="12998199001002"/>
    <n v="-82.12"/>
    <n v="1409"/>
    <n v="1"/>
    <n v="1"/>
  </r>
  <r>
    <m/>
    <m/>
    <x v="1"/>
    <s v="13120231001014"/>
    <n v="-19.29"/>
    <n v="331"/>
    <n v="1"/>
    <n v="1"/>
  </r>
  <r>
    <m/>
    <m/>
    <x v="1"/>
    <s v="13319972001001"/>
    <n v="-2.91"/>
    <n v="50"/>
    <n v="1"/>
    <n v="1"/>
  </r>
  <r>
    <m/>
    <m/>
    <x v="1"/>
    <s v="13623153001006"/>
    <n v="-45.11"/>
    <n v="774"/>
    <n v="1"/>
    <n v="1"/>
  </r>
  <r>
    <m/>
    <m/>
    <x v="1"/>
    <s v="13664271001001"/>
    <n v="-18.71"/>
    <n v="321"/>
    <n v="1"/>
    <n v="1"/>
  </r>
  <r>
    <m/>
    <m/>
    <x v="1"/>
    <s v="13666615002003"/>
    <n v="-15.21"/>
    <n v="261"/>
    <n v="1"/>
    <n v="1"/>
  </r>
  <r>
    <m/>
    <m/>
    <x v="1"/>
    <s v="13973102001007"/>
    <n v="-1.05"/>
    <n v="18"/>
    <n v="1"/>
    <n v="1"/>
  </r>
  <r>
    <m/>
    <m/>
    <x v="1"/>
    <s v="14105636001003"/>
    <n v="-45.46"/>
    <n v="780"/>
    <n v="1"/>
    <n v="1"/>
  </r>
  <r>
    <m/>
    <m/>
    <x v="1"/>
    <s v="14171251001006"/>
    <n v="-8.57"/>
    <n v="147"/>
    <n v="1"/>
    <n v="1"/>
  </r>
  <r>
    <m/>
    <m/>
    <x v="1"/>
    <s v="14364355001001"/>
    <n v="-12.41"/>
    <n v="213"/>
    <n v="1"/>
    <n v="1"/>
  </r>
  <r>
    <m/>
    <m/>
    <x v="1"/>
    <s v="14544335001001"/>
    <n v="-35.380000000000003"/>
    <n v="607"/>
    <n v="1"/>
    <n v="1"/>
  </r>
  <r>
    <m/>
    <m/>
    <x v="1"/>
    <s v="14664113001003"/>
    <n v="-5.71"/>
    <n v="98"/>
    <n v="1"/>
    <n v="1"/>
  </r>
  <r>
    <m/>
    <m/>
    <x v="1"/>
    <s v="14679367001004"/>
    <n v="-16.489999999999998"/>
    <n v="283"/>
    <n v="1"/>
    <n v="1"/>
  </r>
  <r>
    <m/>
    <m/>
    <x v="1"/>
    <s v="14809005001008"/>
    <n v="-17.54"/>
    <n v="301"/>
    <n v="1"/>
    <n v="1"/>
  </r>
  <r>
    <m/>
    <m/>
    <x v="1"/>
    <s v="14916764001003"/>
    <n v="-0.47"/>
    <n v="8"/>
    <n v="1"/>
    <n v="1"/>
  </r>
  <r>
    <m/>
    <m/>
    <x v="1"/>
    <s v="14932788004002"/>
    <n v="-9.44"/>
    <n v="162"/>
    <n v="1"/>
    <n v="1"/>
  </r>
  <r>
    <m/>
    <m/>
    <x v="1"/>
    <s v="15241993001001"/>
    <n v="-10.55"/>
    <n v="181"/>
    <n v="1"/>
    <n v="1"/>
  </r>
  <r>
    <m/>
    <m/>
    <x v="1"/>
    <s v="15264531001003"/>
    <n v="-30.13"/>
    <n v="517"/>
    <n v="1"/>
    <n v="1"/>
  </r>
  <r>
    <m/>
    <m/>
    <x v="1"/>
    <s v="15399217001007"/>
    <n v="-11.71"/>
    <n v="201"/>
    <n v="1"/>
    <n v="1"/>
  </r>
  <r>
    <m/>
    <m/>
    <x v="1"/>
    <s v="15511956001001"/>
    <n v="-7.29"/>
    <n v="125"/>
    <n v="1"/>
    <n v="1"/>
  </r>
  <r>
    <m/>
    <m/>
    <x v="1"/>
    <s v="15544695002003"/>
    <n v="-0.35"/>
    <n v="6"/>
    <n v="1"/>
    <n v="1"/>
  </r>
  <r>
    <m/>
    <m/>
    <x v="1"/>
    <s v="15649996001004"/>
    <n v="-8.0399999999999991"/>
    <n v="138"/>
    <n v="1"/>
    <n v="1"/>
  </r>
  <r>
    <m/>
    <m/>
    <x v="1"/>
    <s v="15718240001002"/>
    <n v="-2.4500000000000002"/>
    <n v="42"/>
    <n v="1"/>
    <n v="1"/>
  </r>
  <r>
    <m/>
    <m/>
    <x v="1"/>
    <s v="15728259001001"/>
    <n v="-56.47"/>
    <n v="969"/>
    <n v="1"/>
    <n v="1"/>
  </r>
  <r>
    <m/>
    <m/>
    <x v="1"/>
    <s v="15745592001001"/>
    <n v="-41.2"/>
    <n v="707"/>
    <n v="1"/>
    <n v="1"/>
  </r>
  <r>
    <m/>
    <m/>
    <x v="1"/>
    <s v="15908468001001"/>
    <n v="-25.82"/>
    <n v="443"/>
    <n v="1"/>
    <n v="1"/>
  </r>
  <r>
    <m/>
    <m/>
    <x v="1"/>
    <s v="16060701001001"/>
    <n v="-91.85"/>
    <n v="1576"/>
    <n v="1"/>
    <n v="1"/>
  </r>
  <r>
    <m/>
    <m/>
    <x v="1"/>
    <s v="16127640001003"/>
    <n v="-0.82"/>
    <n v="14"/>
    <n v="1"/>
    <n v="1"/>
  </r>
  <r>
    <m/>
    <m/>
    <x v="1"/>
    <s v="16174085001001"/>
    <n v="-16.78"/>
    <n v="288"/>
    <n v="1"/>
    <n v="1"/>
  </r>
  <r>
    <m/>
    <m/>
    <x v="1"/>
    <s v="16175755001003"/>
    <n v="-21.45"/>
    <n v="368"/>
    <n v="1"/>
    <n v="1"/>
  </r>
  <r>
    <m/>
    <m/>
    <x v="1"/>
    <s v="16450177001001"/>
    <n v="-101.64"/>
    <n v="1744"/>
    <n v="1"/>
    <n v="1"/>
  </r>
  <r>
    <m/>
    <m/>
    <x v="1"/>
    <s v="16540072001009"/>
    <n v="-29.9"/>
    <n v="513"/>
    <n v="1"/>
    <n v="1"/>
  </r>
  <r>
    <m/>
    <m/>
    <x v="1"/>
    <s v="16580528001001"/>
    <n v="-77.510000000000005"/>
    <n v="1330"/>
    <n v="1"/>
    <n v="1"/>
  </r>
  <r>
    <m/>
    <m/>
    <x v="1"/>
    <s v="16766325001001"/>
    <n v="-6"/>
    <n v="103"/>
    <n v="1"/>
    <n v="1"/>
  </r>
  <r>
    <m/>
    <m/>
    <x v="1"/>
    <s v="16821471001003"/>
    <n v="-12.06"/>
    <n v="207"/>
    <n v="1"/>
    <n v="1"/>
  </r>
  <r>
    <m/>
    <m/>
    <x v="1"/>
    <s v="16940606001001"/>
    <n v="-113.18"/>
    <n v="1942"/>
    <n v="1"/>
    <n v="1"/>
  </r>
  <r>
    <m/>
    <m/>
    <x v="1"/>
    <s v="16946064001004"/>
    <n v="-5.19"/>
    <n v="89"/>
    <n v="1"/>
    <n v="1"/>
  </r>
  <r>
    <m/>
    <m/>
    <x v="1"/>
    <s v="17053300001004"/>
    <n v="-52.51"/>
    <n v="901"/>
    <n v="1"/>
    <n v="1"/>
  </r>
  <r>
    <m/>
    <m/>
    <x v="1"/>
    <s v="17064549001001"/>
    <n v="-87.07"/>
    <n v="1494"/>
    <n v="1"/>
    <n v="1"/>
  </r>
  <r>
    <m/>
    <m/>
    <x v="1"/>
    <s v="17196615001005"/>
    <n v="-8.1"/>
    <n v="139"/>
    <n v="1"/>
    <n v="1"/>
  </r>
  <r>
    <m/>
    <m/>
    <x v="1"/>
    <s v="17439100001001"/>
    <n v="-14.8"/>
    <n v="254"/>
    <n v="1"/>
    <n v="1"/>
  </r>
  <r>
    <m/>
    <m/>
    <x v="1"/>
    <s v="17581646001002"/>
    <n v="-24.65"/>
    <n v="423"/>
    <n v="1"/>
    <n v="1"/>
  </r>
  <r>
    <m/>
    <m/>
    <x v="1"/>
    <s v="17606006001001"/>
    <n v="-22.2"/>
    <n v="381"/>
    <n v="1"/>
    <n v="1"/>
  </r>
  <r>
    <m/>
    <m/>
    <x v="1"/>
    <s v="17704374001008"/>
    <n v="-5.36"/>
    <n v="92"/>
    <n v="1"/>
    <n v="1"/>
  </r>
  <r>
    <m/>
    <m/>
    <x v="1"/>
    <s v="17847574002001"/>
    <n v="-22.5"/>
    <n v="386"/>
    <n v="1"/>
    <n v="1"/>
  </r>
  <r>
    <m/>
    <m/>
    <x v="1"/>
    <s v="17888039002001"/>
    <n v="-15.56"/>
    <n v="267"/>
    <n v="1"/>
    <n v="1"/>
  </r>
  <r>
    <m/>
    <m/>
    <x v="1"/>
    <s v="18064895001005"/>
    <n v="-10.49"/>
    <n v="180"/>
    <n v="1"/>
    <n v="1"/>
  </r>
  <r>
    <m/>
    <m/>
    <x v="1"/>
    <s v="18093249001001"/>
    <n v="-54.43"/>
    <n v="934"/>
    <n v="1"/>
    <n v="1"/>
  </r>
  <r>
    <m/>
    <m/>
    <x v="1"/>
    <s v="18390546001003"/>
    <n v="-12.47"/>
    <n v="214"/>
    <n v="1"/>
    <n v="1"/>
  </r>
  <r>
    <m/>
    <m/>
    <x v="1"/>
    <s v="18558909001002"/>
    <n v="-115.8"/>
    <n v="1987"/>
    <n v="1"/>
    <n v="1"/>
  </r>
  <r>
    <m/>
    <m/>
    <x v="1"/>
    <s v="18573993001002"/>
    <n v="-5.71"/>
    <n v="98"/>
    <n v="1"/>
    <n v="1"/>
  </r>
  <r>
    <m/>
    <m/>
    <x v="1"/>
    <s v="18598550001006"/>
    <n v="-21.21"/>
    <n v="364"/>
    <n v="1"/>
    <n v="1"/>
  </r>
  <r>
    <m/>
    <m/>
    <x v="1"/>
    <s v="18608253001009"/>
    <n v="-9.91"/>
    <n v="170"/>
    <n v="1"/>
    <n v="1"/>
  </r>
  <r>
    <m/>
    <m/>
    <x v="1"/>
    <s v="18898892001005"/>
    <n v="-3.44"/>
    <n v="59"/>
    <n v="1"/>
    <n v="1"/>
  </r>
  <r>
    <m/>
    <m/>
    <x v="1"/>
    <s v="19027224008001"/>
    <n v="-37.18"/>
    <n v="638"/>
    <n v="1"/>
    <n v="1"/>
  </r>
  <r>
    <m/>
    <m/>
    <x v="1"/>
    <s v="19435050001006"/>
    <n v="-156.94999999999999"/>
    <n v="2693"/>
    <n v="1"/>
    <n v="1"/>
  </r>
  <r>
    <m/>
    <m/>
    <x v="1"/>
    <s v="19444287001003"/>
    <n v="-1.92"/>
    <n v="33"/>
    <n v="1"/>
    <n v="1"/>
  </r>
  <r>
    <m/>
    <m/>
    <x v="1"/>
    <s v="19496026001002"/>
    <n v="-1.69"/>
    <n v="29"/>
    <n v="1"/>
    <n v="1"/>
  </r>
  <r>
    <m/>
    <m/>
    <x v="1"/>
    <s v="19649729001001"/>
    <n v="-34.68"/>
    <n v="595"/>
    <n v="1"/>
    <n v="1"/>
  </r>
  <r>
    <m/>
    <m/>
    <x v="1"/>
    <s v="19655093001001"/>
    <n v="-21.21"/>
    <n v="364"/>
    <n v="1"/>
    <n v="1"/>
  </r>
  <r>
    <m/>
    <m/>
    <x v="1"/>
    <s v="19760888001002"/>
    <n v="-4.78"/>
    <n v="82"/>
    <n v="1"/>
    <n v="1"/>
  </r>
  <r>
    <m/>
    <m/>
    <x v="1"/>
    <s v="19984502001006"/>
    <n v="-13.87"/>
    <n v="238"/>
    <n v="1"/>
    <n v="1"/>
  </r>
  <r>
    <m/>
    <m/>
    <x v="1"/>
    <s v="20109404001004"/>
    <n v="-32.700000000000003"/>
    <n v="561"/>
    <n v="1"/>
    <n v="1"/>
  </r>
  <r>
    <m/>
    <m/>
    <x v="1"/>
    <s v="20111439001001"/>
    <n v="-7.58"/>
    <n v="130"/>
    <n v="1"/>
    <n v="1"/>
  </r>
  <r>
    <m/>
    <m/>
    <x v="1"/>
    <s v="20180489001004"/>
    <n v="-3.09"/>
    <n v="53"/>
    <n v="1"/>
    <n v="1"/>
  </r>
  <r>
    <m/>
    <m/>
    <x v="1"/>
    <s v="20263571001001"/>
    <n v="-21.97"/>
    <n v="377"/>
    <n v="1"/>
    <n v="1"/>
  </r>
  <r>
    <m/>
    <m/>
    <x v="1"/>
    <s v="20394809001002"/>
    <n v="-3.9"/>
    <n v="67"/>
    <n v="1"/>
    <n v="1"/>
  </r>
  <r>
    <m/>
    <m/>
    <x v="1"/>
    <s v="20661619001004"/>
    <n v="-92.08"/>
    <n v="1580"/>
    <n v="1"/>
    <n v="1"/>
  </r>
  <r>
    <m/>
    <m/>
    <x v="1"/>
    <s v="20667329001003"/>
    <n v="-4.25"/>
    <n v="73"/>
    <n v="1"/>
    <n v="1"/>
  </r>
  <r>
    <m/>
    <m/>
    <x v="1"/>
    <s v="20988421001001"/>
    <n v="-4.3099999999999996"/>
    <n v="74"/>
    <n v="1"/>
    <n v="1"/>
  </r>
  <r>
    <m/>
    <m/>
    <x v="1"/>
    <s v="21000703003001"/>
    <n v="-40.68"/>
    <n v="698"/>
    <n v="1"/>
    <n v="1"/>
  </r>
  <r>
    <m/>
    <m/>
    <x v="1"/>
    <s v="21227003001003"/>
    <n v="-16.84"/>
    <n v="289"/>
    <n v="1"/>
    <n v="1"/>
  </r>
  <r>
    <m/>
    <m/>
    <x v="1"/>
    <s v="21238291001001"/>
    <n v="-27.33"/>
    <n v="469"/>
    <n v="1"/>
    <n v="1"/>
  </r>
  <r>
    <m/>
    <m/>
    <x v="1"/>
    <s v="21262148002004"/>
    <n v="-35.61"/>
    <n v="611"/>
    <n v="1"/>
    <n v="1"/>
  </r>
  <r>
    <m/>
    <m/>
    <x v="1"/>
    <s v="21404658001001"/>
    <n v="-0.41"/>
    <n v="7"/>
    <n v="1"/>
    <n v="1"/>
  </r>
  <r>
    <m/>
    <m/>
    <x v="1"/>
    <s v="21428566001001"/>
    <n v="-48.96"/>
    <n v="840"/>
    <n v="1"/>
    <n v="1"/>
  </r>
  <r>
    <m/>
    <m/>
    <x v="1"/>
    <s v="21525125003001"/>
    <n v="-0.35"/>
    <n v="6"/>
    <n v="1"/>
    <n v="1"/>
  </r>
  <r>
    <m/>
    <m/>
    <x v="1"/>
    <s v="21645618001001"/>
    <n v="-22.38"/>
    <n v="384"/>
    <n v="1"/>
    <n v="1"/>
  </r>
  <r>
    <m/>
    <m/>
    <x v="1"/>
    <s v="21694077001003"/>
    <n v="-4.0199999999999996"/>
    <n v="69"/>
    <n v="1"/>
    <n v="1"/>
  </r>
  <r>
    <m/>
    <m/>
    <x v="1"/>
    <s v="21820617001003"/>
    <n v="-9.15"/>
    <n v="157"/>
    <n v="1"/>
    <n v="1"/>
  </r>
  <r>
    <m/>
    <m/>
    <x v="1"/>
    <s v="21953308001001"/>
    <n v="-5.77"/>
    <n v="99"/>
    <n v="1"/>
    <n v="1"/>
  </r>
  <r>
    <m/>
    <m/>
    <x v="1"/>
    <s v="22010468001003"/>
    <n v="-34.79"/>
    <n v="597"/>
    <n v="1"/>
    <n v="1"/>
  </r>
  <r>
    <m/>
    <m/>
    <x v="1"/>
    <s v="22036738002001"/>
    <n v="-1.28"/>
    <n v="22"/>
    <n v="1"/>
    <n v="1"/>
  </r>
  <r>
    <m/>
    <m/>
    <x v="1"/>
    <s v="22038843001001"/>
    <n v="-0.87"/>
    <n v="15"/>
    <n v="1"/>
    <n v="1"/>
  </r>
  <r>
    <m/>
    <m/>
    <x v="1"/>
    <s v="22102529001010"/>
    <n v="-6.82"/>
    <n v="117"/>
    <n v="1"/>
    <n v="1"/>
  </r>
  <r>
    <m/>
    <m/>
    <x v="1"/>
    <s v="22186059001001"/>
    <n v="-27.86"/>
    <n v="478"/>
    <n v="1"/>
    <n v="1"/>
  </r>
  <r>
    <m/>
    <m/>
    <x v="1"/>
    <s v="22203493001001"/>
    <n v="-20.34"/>
    <n v="349"/>
    <n v="1"/>
    <n v="1"/>
  </r>
  <r>
    <m/>
    <m/>
    <x v="1"/>
    <s v="22318296001001"/>
    <n v="-1.05"/>
    <n v="18"/>
    <n v="1"/>
    <n v="1"/>
  </r>
  <r>
    <m/>
    <m/>
    <x v="1"/>
    <s v="22424413001003"/>
    <n v="-28.44"/>
    <n v="488"/>
    <n v="1"/>
    <n v="1"/>
  </r>
  <r>
    <m/>
    <m/>
    <x v="1"/>
    <s v="22448306001009"/>
    <n v="-5.13"/>
    <n v="88"/>
    <n v="1"/>
    <n v="1"/>
  </r>
  <r>
    <m/>
    <m/>
    <x v="1"/>
    <s v="22537776001001"/>
    <n v="-18.59"/>
    <n v="319"/>
    <n v="1"/>
    <n v="1"/>
  </r>
  <r>
    <m/>
    <m/>
    <x v="1"/>
    <s v="22661816001004"/>
    <n v="-13.81"/>
    <n v="237"/>
    <n v="1"/>
    <n v="1"/>
  </r>
  <r>
    <m/>
    <m/>
    <x v="1"/>
    <s v="22697285001003"/>
    <n v="-12.47"/>
    <n v="214"/>
    <n v="1"/>
    <n v="1"/>
  </r>
  <r>
    <m/>
    <m/>
    <x v="1"/>
    <s v="22843975001009"/>
    <n v="-20.92"/>
    <n v="359"/>
    <n v="1"/>
    <n v="1"/>
  </r>
  <r>
    <m/>
    <m/>
    <x v="1"/>
    <s v="22849605002001"/>
    <n v="-43.19"/>
    <n v="741"/>
    <n v="1"/>
    <n v="1"/>
  </r>
  <r>
    <m/>
    <m/>
    <x v="1"/>
    <s v="22970260001002"/>
    <n v="-29.9"/>
    <n v="513"/>
    <n v="1"/>
    <n v="1"/>
  </r>
  <r>
    <m/>
    <m/>
    <x v="1"/>
    <s v="23103586001001"/>
    <n v="-7.63"/>
    <n v="131"/>
    <n v="1"/>
    <n v="1"/>
  </r>
  <r>
    <m/>
    <m/>
    <x v="1"/>
    <s v="23143876001001"/>
    <n v="-67.37"/>
    <n v="1156"/>
    <n v="1"/>
    <n v="1"/>
  </r>
  <r>
    <m/>
    <m/>
    <x v="1"/>
    <s v="23634903001001"/>
    <n v="-5.07"/>
    <n v="87"/>
    <n v="1"/>
    <n v="1"/>
  </r>
  <r>
    <m/>
    <m/>
    <x v="1"/>
    <s v="23714586001003"/>
    <n v="-10.72"/>
    <n v="184"/>
    <n v="1"/>
    <n v="1"/>
  </r>
  <r>
    <m/>
    <m/>
    <x v="1"/>
    <s v="23863133002001"/>
    <n v="-30.25"/>
    <n v="519"/>
    <n v="1"/>
    <n v="1"/>
  </r>
  <r>
    <m/>
    <m/>
    <x v="1"/>
    <s v="23937121001001"/>
    <n v="-2.91"/>
    <n v="50"/>
    <n v="1"/>
    <n v="1"/>
  </r>
  <r>
    <m/>
    <m/>
    <x v="1"/>
    <s v="23975539001003"/>
    <n v="-12.82"/>
    <n v="220"/>
    <n v="1"/>
    <n v="1"/>
  </r>
  <r>
    <m/>
    <m/>
    <x v="1"/>
    <s v="24047839001001"/>
    <n v="-9.91"/>
    <n v="170"/>
    <n v="1"/>
    <n v="1"/>
  </r>
  <r>
    <m/>
    <m/>
    <x v="1"/>
    <s v="24336943003005"/>
    <n v="-3.73"/>
    <n v="64"/>
    <n v="1"/>
    <n v="1"/>
  </r>
  <r>
    <m/>
    <m/>
    <x v="1"/>
    <s v="24504553001005"/>
    <n v="-9.15"/>
    <n v="157"/>
    <n v="1"/>
    <n v="1"/>
  </r>
  <r>
    <m/>
    <m/>
    <x v="1"/>
    <s v="24505066002001"/>
    <n v="-21.91"/>
    <n v="376"/>
    <n v="1"/>
    <n v="1"/>
  </r>
  <r>
    <m/>
    <m/>
    <x v="1"/>
    <s v="24678131004001"/>
    <n v="-45.4"/>
    <n v="779"/>
    <n v="1"/>
    <n v="1"/>
  </r>
  <r>
    <m/>
    <m/>
    <x v="1"/>
    <s v="24715679001001"/>
    <n v="-4.78"/>
    <n v="82"/>
    <n v="1"/>
    <n v="1"/>
  </r>
  <r>
    <m/>
    <m/>
    <x v="1"/>
    <s v="24751934001001"/>
    <n v="-34.21"/>
    <n v="587"/>
    <n v="1"/>
    <n v="1"/>
  </r>
  <r>
    <m/>
    <m/>
    <x v="1"/>
    <s v="24806438001006"/>
    <n v="-16.03"/>
    <n v="275"/>
    <n v="1"/>
    <n v="1"/>
  </r>
  <r>
    <m/>
    <m/>
    <x v="1"/>
    <s v="25096011001001"/>
    <n v="-28.91"/>
    <n v="496"/>
    <n v="1"/>
    <n v="1"/>
  </r>
  <r>
    <m/>
    <m/>
    <x v="1"/>
    <s v="25160457004003"/>
    <n v="-19.23"/>
    <n v="330"/>
    <n v="1"/>
    <n v="1"/>
  </r>
  <r>
    <m/>
    <m/>
    <x v="1"/>
    <s v="25187391001001"/>
    <n v="-35.96"/>
    <n v="617"/>
    <n v="1"/>
    <n v="1"/>
  </r>
  <r>
    <m/>
    <m/>
    <x v="1"/>
    <s v="25409324002005"/>
    <n v="-14.34"/>
    <n v="246"/>
    <n v="1"/>
    <n v="1"/>
  </r>
  <r>
    <m/>
    <m/>
    <x v="1"/>
    <s v="25425228001001"/>
    <n v="-26.4"/>
    <n v="453"/>
    <n v="1"/>
    <n v="1"/>
  </r>
  <r>
    <m/>
    <m/>
    <x v="1"/>
    <s v="25428167001001"/>
    <n v="-1.1100000000000001"/>
    <n v="19"/>
    <n v="1"/>
    <n v="1"/>
  </r>
  <r>
    <m/>
    <m/>
    <x v="1"/>
    <s v="25442253001005"/>
    <n v="-9.7899999999999991"/>
    <n v="168"/>
    <n v="2"/>
    <n v="1"/>
  </r>
  <r>
    <m/>
    <m/>
    <x v="1"/>
    <s v="25549425001001"/>
    <n v="-16.38"/>
    <n v="281"/>
    <n v="1"/>
    <n v="1"/>
  </r>
  <r>
    <m/>
    <m/>
    <x v="1"/>
    <s v="25584708001005"/>
    <n v="-7.93"/>
    <n v="136"/>
    <n v="1"/>
    <n v="1"/>
  </r>
  <r>
    <m/>
    <m/>
    <x v="1"/>
    <s v="25735411001001"/>
    <n v="-2.21"/>
    <n v="38"/>
    <n v="1"/>
    <n v="1"/>
  </r>
  <r>
    <m/>
    <m/>
    <x v="1"/>
    <s v="25783482001001"/>
    <n v="-84.1"/>
    <n v="1443"/>
    <n v="1"/>
    <n v="1"/>
  </r>
  <r>
    <m/>
    <m/>
    <x v="1"/>
    <s v="25816610001008"/>
    <n v="-32.229999999999997"/>
    <n v="553"/>
    <n v="1"/>
    <n v="1"/>
  </r>
  <r>
    <m/>
    <m/>
    <x v="1"/>
    <s v="25851963001001"/>
    <n v="-3.9"/>
    <n v="67"/>
    <n v="1"/>
    <n v="1"/>
  </r>
  <r>
    <m/>
    <m/>
    <x v="1"/>
    <s v="25915661001001"/>
    <n v="-28.5"/>
    <n v="489"/>
    <n v="1"/>
    <n v="1"/>
  </r>
  <r>
    <m/>
    <m/>
    <x v="1"/>
    <s v="26360288004003"/>
    <n v="-50.47"/>
    <n v="866"/>
    <n v="1"/>
    <n v="1"/>
  </r>
  <r>
    <m/>
    <m/>
    <x v="1"/>
    <s v="26400210001001"/>
    <n v="-5.65"/>
    <n v="97"/>
    <n v="1"/>
    <n v="1"/>
  </r>
  <r>
    <m/>
    <m/>
    <x v="1"/>
    <s v="26537288001001"/>
    <n v="-8.8000000000000007"/>
    <n v="151"/>
    <n v="1"/>
    <n v="1"/>
  </r>
  <r>
    <m/>
    <m/>
    <x v="1"/>
    <s v="26902722002003"/>
    <n v="-48.02"/>
    <n v="824"/>
    <n v="1"/>
    <n v="1"/>
  </r>
  <r>
    <m/>
    <m/>
    <x v="1"/>
    <s v="27004406002001"/>
    <n v="-33.799999999999997"/>
    <n v="580"/>
    <n v="1"/>
    <n v="1"/>
  </r>
  <r>
    <m/>
    <m/>
    <x v="1"/>
    <s v="27069473001005"/>
    <n v="-22.96"/>
    <n v="394"/>
    <n v="1"/>
    <n v="1"/>
  </r>
  <r>
    <m/>
    <m/>
    <x v="1"/>
    <s v="27104996002014"/>
    <n v="-21.1"/>
    <n v="362"/>
    <n v="1"/>
    <n v="1"/>
  </r>
  <r>
    <m/>
    <m/>
    <x v="1"/>
    <s v="27362591001003"/>
    <n v="-23.2"/>
    <n v="398"/>
    <n v="1"/>
    <n v="1"/>
  </r>
  <r>
    <m/>
    <m/>
    <x v="1"/>
    <s v="27612583002003"/>
    <n v="-105.14"/>
    <n v="1804"/>
    <n v="1"/>
    <n v="1"/>
  </r>
  <r>
    <m/>
    <m/>
    <x v="1"/>
    <s v="27670002001006"/>
    <n v="-14.8"/>
    <n v="254"/>
    <n v="1"/>
    <n v="1"/>
  </r>
  <r>
    <m/>
    <m/>
    <x v="1"/>
    <s v="27894235001001"/>
    <n v="-23.89"/>
    <n v="410"/>
    <n v="1"/>
    <n v="1"/>
  </r>
  <r>
    <m/>
    <m/>
    <x v="1"/>
    <s v="28059627001003"/>
    <n v="-6.12"/>
    <n v="105"/>
    <n v="1"/>
    <n v="1"/>
  </r>
  <r>
    <m/>
    <m/>
    <x v="1"/>
    <s v="28099179001009"/>
    <n v="-20.92"/>
    <n v="359"/>
    <n v="1"/>
    <n v="1"/>
  </r>
  <r>
    <m/>
    <m/>
    <x v="1"/>
    <s v="28184432001001"/>
    <n v="-6.41"/>
    <n v="110"/>
    <n v="1"/>
    <n v="1"/>
  </r>
  <r>
    <m/>
    <m/>
    <x v="1"/>
    <s v="28204362001001"/>
    <n v="-5.54"/>
    <n v="95"/>
    <n v="1"/>
    <n v="1"/>
  </r>
  <r>
    <m/>
    <m/>
    <x v="1"/>
    <s v="28592432001002"/>
    <n v="-26.93"/>
    <n v="462"/>
    <n v="1"/>
    <n v="1"/>
  </r>
  <r>
    <m/>
    <m/>
    <x v="1"/>
    <s v="28597966001001"/>
    <n v="-18.88"/>
    <n v="324"/>
    <n v="1"/>
    <n v="1"/>
  </r>
  <r>
    <m/>
    <m/>
    <x v="1"/>
    <s v="28647586001001"/>
    <n v="-9.6199999999999992"/>
    <n v="165"/>
    <n v="1"/>
    <n v="1"/>
  </r>
  <r>
    <m/>
    <m/>
    <x v="1"/>
    <s v="28804615002003"/>
    <n v="-7.23"/>
    <n v="124"/>
    <n v="1"/>
    <n v="1"/>
  </r>
  <r>
    <m/>
    <m/>
    <x v="1"/>
    <s v="29121023001001"/>
    <n v="-17.079999999999998"/>
    <n v="293"/>
    <n v="1"/>
    <n v="1"/>
  </r>
  <r>
    <m/>
    <m/>
    <x v="1"/>
    <s v="29195239002003"/>
    <n v="-29.84"/>
    <n v="512"/>
    <n v="1"/>
    <n v="1"/>
  </r>
  <r>
    <m/>
    <m/>
    <x v="1"/>
    <s v="29197433001003"/>
    <n v="-25.12"/>
    <n v="431"/>
    <n v="1"/>
    <n v="1"/>
  </r>
  <r>
    <m/>
    <m/>
    <x v="1"/>
    <s v="29219744003001"/>
    <n v="-2.16"/>
    <n v="37"/>
    <n v="1"/>
    <n v="1"/>
  </r>
  <r>
    <m/>
    <m/>
    <x v="1"/>
    <s v="29381580002001"/>
    <n v="-25.18"/>
    <n v="432"/>
    <n v="1"/>
    <n v="1"/>
  </r>
  <r>
    <m/>
    <m/>
    <x v="1"/>
    <s v="29492327001001"/>
    <n v="-2.56"/>
    <n v="44"/>
    <n v="1"/>
    <n v="1"/>
  </r>
  <r>
    <m/>
    <m/>
    <x v="1"/>
    <s v="29526110001003"/>
    <n v="-42.54"/>
    <n v="730"/>
    <n v="1"/>
    <n v="1"/>
  </r>
  <r>
    <m/>
    <m/>
    <x v="1"/>
    <s v="29528919001003"/>
    <n v="-30.42"/>
    <n v="522"/>
    <n v="1"/>
    <n v="1"/>
  </r>
  <r>
    <m/>
    <m/>
    <x v="1"/>
    <s v="29786462001001"/>
    <n v="-19.7"/>
    <n v="338"/>
    <n v="1"/>
    <n v="1"/>
  </r>
  <r>
    <m/>
    <m/>
    <x v="1"/>
    <s v="29879754001001"/>
    <n v="-11.66"/>
    <n v="200"/>
    <n v="1"/>
    <n v="1"/>
  </r>
  <r>
    <m/>
    <m/>
    <x v="1"/>
    <s v="30002964001001"/>
    <n v="-1.34"/>
    <n v="23"/>
    <n v="1"/>
    <n v="1"/>
  </r>
  <r>
    <m/>
    <m/>
    <x v="1"/>
    <s v="30102676002001"/>
    <n v="-26.4"/>
    <n v="453"/>
    <n v="1"/>
    <n v="1"/>
  </r>
  <r>
    <m/>
    <m/>
    <x v="1"/>
    <s v="30204189001003"/>
    <n v="-6.99"/>
    <n v="120"/>
    <n v="1"/>
    <n v="1"/>
  </r>
  <r>
    <m/>
    <m/>
    <x v="1"/>
    <s v="30267414002001"/>
    <n v="-32.229999999999997"/>
    <n v="553"/>
    <n v="1"/>
    <n v="1"/>
  </r>
  <r>
    <m/>
    <m/>
    <x v="1"/>
    <s v="30338555001001"/>
    <n v="-1.22"/>
    <n v="21"/>
    <n v="1"/>
    <n v="1"/>
  </r>
  <r>
    <m/>
    <m/>
    <x v="1"/>
    <s v="30360605008001"/>
    <n v="-65.680000000000007"/>
    <n v="1127"/>
    <n v="1"/>
    <n v="1"/>
  </r>
  <r>
    <m/>
    <m/>
    <x v="1"/>
    <s v="30897668001002"/>
    <n v="-13.93"/>
    <n v="239"/>
    <n v="1"/>
    <n v="1"/>
  </r>
  <r>
    <m/>
    <m/>
    <x v="1"/>
    <s v="30947723001004"/>
    <n v="-6.59"/>
    <n v="113"/>
    <n v="1"/>
    <n v="1"/>
  </r>
  <r>
    <m/>
    <m/>
    <x v="1"/>
    <s v="31016219002001"/>
    <n v="-5.71"/>
    <n v="98"/>
    <n v="1"/>
    <n v="1"/>
  </r>
  <r>
    <m/>
    <m/>
    <x v="1"/>
    <s v="31043707001001"/>
    <n v="-7.52"/>
    <n v="129"/>
    <n v="1"/>
    <n v="1"/>
  </r>
  <r>
    <m/>
    <m/>
    <x v="1"/>
    <s v="31363659001003"/>
    <n v="-0.87"/>
    <n v="15"/>
    <n v="1"/>
    <n v="1"/>
  </r>
  <r>
    <m/>
    <m/>
    <x v="1"/>
    <s v="31387702001003"/>
    <n v="-5.01"/>
    <n v="86"/>
    <n v="1"/>
    <n v="1"/>
  </r>
  <r>
    <m/>
    <m/>
    <x v="1"/>
    <s v="31987952001001"/>
    <n v="-13"/>
    <n v="223"/>
    <n v="1"/>
    <n v="1"/>
  </r>
  <r>
    <m/>
    <m/>
    <x v="1"/>
    <s v="32149793001004"/>
    <n v="-5.25"/>
    <n v="90"/>
    <n v="1"/>
    <n v="1"/>
  </r>
  <r>
    <m/>
    <m/>
    <x v="1"/>
    <s v="32517568005001"/>
    <n v="-14.69"/>
    <n v="252"/>
    <n v="1"/>
    <n v="1"/>
  </r>
  <r>
    <m/>
    <m/>
    <x v="1"/>
    <s v="32519917001004"/>
    <n v="-7.4"/>
    <n v="127"/>
    <n v="1"/>
    <n v="1"/>
  </r>
  <r>
    <m/>
    <m/>
    <x v="1"/>
    <s v="32720886001003"/>
    <n v="-14.16"/>
    <n v="243"/>
    <n v="1"/>
    <n v="1"/>
  </r>
  <r>
    <m/>
    <m/>
    <x v="1"/>
    <s v="32767929001001"/>
    <n v="-22.73"/>
    <n v="390"/>
    <n v="1"/>
    <n v="1"/>
  </r>
  <r>
    <m/>
    <m/>
    <x v="1"/>
    <s v="32848896002001"/>
    <n v="-7.87"/>
    <n v="135"/>
    <n v="1"/>
    <n v="1"/>
  </r>
  <r>
    <m/>
    <m/>
    <x v="1"/>
    <s v="33084675002001"/>
    <n v="-0.52"/>
    <n v="9"/>
    <n v="1"/>
    <n v="1"/>
  </r>
  <r>
    <m/>
    <m/>
    <x v="1"/>
    <s v="33292898001002"/>
    <n v="-44.76"/>
    <n v="768"/>
    <n v="1"/>
    <n v="1"/>
  </r>
  <r>
    <m/>
    <m/>
    <x v="1"/>
    <s v="33293530001001"/>
    <n v="-14.57"/>
    <n v="250"/>
    <n v="1"/>
    <n v="1"/>
  </r>
  <r>
    <m/>
    <m/>
    <x v="1"/>
    <s v="33524631002001"/>
    <n v="-11.89"/>
    <n v="204"/>
    <n v="1"/>
    <n v="1"/>
  </r>
  <r>
    <m/>
    <m/>
    <x v="1"/>
    <s v="33533745001003"/>
    <n v="-51.87"/>
    <n v="890"/>
    <n v="1"/>
    <n v="1"/>
  </r>
  <r>
    <m/>
    <m/>
    <x v="1"/>
    <s v="33538106001001"/>
    <n v="-24.36"/>
    <n v="418"/>
    <n v="1"/>
    <n v="1"/>
  </r>
  <r>
    <m/>
    <m/>
    <x v="1"/>
    <s v="33559246001001"/>
    <n v="-39.340000000000003"/>
    <n v="675"/>
    <n v="1"/>
    <n v="1"/>
  </r>
  <r>
    <m/>
    <m/>
    <x v="1"/>
    <s v="33652204001001"/>
    <n v="-6"/>
    <n v="103"/>
    <n v="1"/>
    <n v="1"/>
  </r>
  <r>
    <m/>
    <m/>
    <x v="1"/>
    <s v="33705370001001"/>
    <n v="-22.9"/>
    <n v="393"/>
    <n v="1"/>
    <n v="1"/>
  </r>
  <r>
    <m/>
    <m/>
    <x v="1"/>
    <s v="33857521001001"/>
    <n v="-16.73"/>
    <n v="287"/>
    <n v="1"/>
    <n v="1"/>
  </r>
  <r>
    <m/>
    <m/>
    <x v="1"/>
    <s v="33915238004001"/>
    <n v="-17.78"/>
    <n v="305"/>
    <n v="1"/>
    <n v="1"/>
  </r>
  <r>
    <m/>
    <m/>
    <x v="1"/>
    <s v="34080235001002"/>
    <n v="-20.11"/>
    <n v="345"/>
    <n v="1"/>
    <n v="1"/>
  </r>
  <r>
    <m/>
    <m/>
    <x v="1"/>
    <s v="34473759002001"/>
    <n v="-1.05"/>
    <n v="18"/>
    <n v="1"/>
    <n v="1"/>
  </r>
  <r>
    <m/>
    <m/>
    <x v="1"/>
    <s v="34623165001003"/>
    <n v="-9.2100000000000009"/>
    <n v="158"/>
    <n v="1"/>
    <n v="1"/>
  </r>
  <r>
    <m/>
    <m/>
    <x v="1"/>
    <s v="34717698001005"/>
    <n v="-47.44"/>
    <n v="814"/>
    <n v="1"/>
    <n v="1"/>
  </r>
  <r>
    <m/>
    <m/>
    <x v="1"/>
    <s v="34902092001003"/>
    <n v="-18.82"/>
    <n v="323"/>
    <n v="1"/>
    <n v="1"/>
  </r>
  <r>
    <m/>
    <m/>
    <x v="1"/>
    <s v="35012953001002"/>
    <n v="-26.87"/>
    <n v="461"/>
    <n v="1"/>
    <n v="1"/>
  </r>
  <r>
    <m/>
    <m/>
    <x v="1"/>
    <s v="35172600002001"/>
    <n v="-85.15"/>
    <n v="1461"/>
    <n v="1"/>
    <n v="1"/>
  </r>
  <r>
    <m/>
    <m/>
    <x v="1"/>
    <s v="35225739001001"/>
    <n v="-39.159999999999997"/>
    <n v="672"/>
    <n v="1"/>
    <n v="1"/>
  </r>
  <r>
    <m/>
    <m/>
    <x v="1"/>
    <s v="35251550001001"/>
    <n v="-65.510000000000005"/>
    <n v="1124"/>
    <n v="1"/>
    <n v="1"/>
  </r>
  <r>
    <m/>
    <m/>
    <x v="1"/>
    <s v="35490120001003"/>
    <n v="-28.56"/>
    <n v="490"/>
    <n v="1"/>
    <n v="1"/>
  </r>
  <r>
    <m/>
    <m/>
    <x v="1"/>
    <s v="35504902001001"/>
    <n v="-19.350000000000001"/>
    <n v="332"/>
    <n v="1"/>
    <n v="1"/>
  </r>
  <r>
    <m/>
    <m/>
    <x v="1"/>
    <s v="35735102001001"/>
    <n v="-22.85"/>
    <n v="392"/>
    <n v="1"/>
    <n v="1"/>
  </r>
  <r>
    <m/>
    <m/>
    <x v="1"/>
    <s v="35861191001002"/>
    <n v="-3.09"/>
    <n v="53"/>
    <n v="1"/>
    <n v="1"/>
  </r>
  <r>
    <m/>
    <m/>
    <x v="1"/>
    <s v="35882527001002"/>
    <n v="-17.66"/>
    <n v="303"/>
    <n v="1"/>
    <n v="1"/>
  </r>
  <r>
    <m/>
    <m/>
    <x v="1"/>
    <s v="36103245002011"/>
    <n v="-46.04"/>
    <n v="790"/>
    <n v="1"/>
    <n v="1"/>
  </r>
  <r>
    <m/>
    <m/>
    <x v="1"/>
    <s v="36152719003003"/>
    <n v="-3.26"/>
    <n v="56"/>
    <n v="1"/>
    <n v="1"/>
  </r>
  <r>
    <m/>
    <m/>
    <x v="1"/>
    <s v="36181263001002"/>
    <n v="-19.52"/>
    <n v="335"/>
    <n v="1"/>
    <n v="1"/>
  </r>
  <r>
    <m/>
    <m/>
    <x v="1"/>
    <s v="36193790001003"/>
    <n v="-12.24"/>
    <n v="210"/>
    <n v="1"/>
    <n v="1"/>
  </r>
  <r>
    <m/>
    <m/>
    <x v="1"/>
    <s v="36599941001001"/>
    <n v="-0.47"/>
    <n v="8"/>
    <n v="1"/>
    <n v="1"/>
  </r>
  <r>
    <m/>
    <m/>
    <x v="1"/>
    <s v="36698749001001"/>
    <n v="-6.53"/>
    <n v="112"/>
    <n v="1"/>
    <n v="1"/>
  </r>
  <r>
    <m/>
    <m/>
    <x v="1"/>
    <s v="36836870001005"/>
    <n v="-14.16"/>
    <n v="243"/>
    <n v="1"/>
    <n v="1"/>
  </r>
  <r>
    <m/>
    <m/>
    <x v="1"/>
    <s v="37060503001007"/>
    <n v="-4.84"/>
    <n v="83"/>
    <n v="1"/>
    <n v="1"/>
  </r>
  <r>
    <m/>
    <m/>
    <x v="1"/>
    <s v="37250462001001"/>
    <n v="-31"/>
    <n v="532"/>
    <n v="1"/>
    <n v="1"/>
  </r>
  <r>
    <m/>
    <m/>
    <x v="1"/>
    <s v="37267176001001"/>
    <n v="-9.27"/>
    <n v="159"/>
    <n v="1"/>
    <n v="1"/>
  </r>
  <r>
    <m/>
    <m/>
    <x v="1"/>
    <s v="37494438002001"/>
    <n v="-3.9"/>
    <n v="67"/>
    <n v="1"/>
    <n v="1"/>
  </r>
  <r>
    <m/>
    <m/>
    <x v="1"/>
    <s v="37502144001001"/>
    <n v="-18.13"/>
    <n v="311"/>
    <n v="1"/>
    <n v="1"/>
  </r>
  <r>
    <m/>
    <m/>
    <x v="1"/>
    <s v="37524139001001"/>
    <n v="-3.09"/>
    <n v="53"/>
    <n v="1"/>
    <n v="1"/>
  </r>
  <r>
    <m/>
    <m/>
    <x v="1"/>
    <s v="37644296001002"/>
    <n v="-10.199999999999999"/>
    <n v="175"/>
    <n v="1"/>
    <n v="1"/>
  </r>
  <r>
    <m/>
    <m/>
    <x v="1"/>
    <s v="38026902001003"/>
    <n v="-6.64"/>
    <n v="114"/>
    <n v="1"/>
    <n v="1"/>
  </r>
  <r>
    <m/>
    <m/>
    <x v="1"/>
    <s v="38031459001001"/>
    <n v="-6"/>
    <n v="103"/>
    <n v="1"/>
    <n v="1"/>
  </r>
  <r>
    <m/>
    <m/>
    <x v="1"/>
    <s v="38237955003004"/>
    <n v="-22.2"/>
    <n v="381"/>
    <n v="1"/>
    <n v="1"/>
  </r>
  <r>
    <m/>
    <m/>
    <x v="1"/>
    <s v="38272305001003"/>
    <n v="-2.5099999999999998"/>
    <n v="43"/>
    <n v="1"/>
    <n v="1"/>
  </r>
  <r>
    <m/>
    <m/>
    <x v="1"/>
    <s v="38424727001004"/>
    <n v="-0.52"/>
    <n v="9"/>
    <n v="1"/>
    <n v="1"/>
  </r>
  <r>
    <m/>
    <m/>
    <x v="1"/>
    <s v="38499863001004"/>
    <n v="-86.14"/>
    <n v="1478"/>
    <n v="1"/>
    <n v="1"/>
  </r>
  <r>
    <m/>
    <m/>
    <x v="1"/>
    <s v="38540989001007"/>
    <n v="-34.79"/>
    <n v="597"/>
    <n v="1"/>
    <n v="1"/>
  </r>
  <r>
    <m/>
    <m/>
    <x v="1"/>
    <s v="38611961001001"/>
    <n v="-244.19"/>
    <n v="4190"/>
    <n v="1"/>
    <n v="1"/>
  </r>
  <r>
    <m/>
    <m/>
    <x v="1"/>
    <s v="38666511001005"/>
    <n v="-35.26"/>
    <n v="605"/>
    <n v="1"/>
    <n v="1"/>
  </r>
  <r>
    <m/>
    <m/>
    <x v="1"/>
    <s v="38774008001001"/>
    <n v="-1.69"/>
    <n v="29"/>
    <n v="1"/>
    <n v="1"/>
  </r>
  <r>
    <m/>
    <m/>
    <x v="1"/>
    <s v="38778095001001"/>
    <n v="-21.68"/>
    <n v="372"/>
    <n v="1"/>
    <n v="1"/>
  </r>
  <r>
    <m/>
    <m/>
    <x v="1"/>
    <s v="38838346002005"/>
    <n v="-18.07"/>
    <n v="310"/>
    <n v="1"/>
    <n v="1"/>
  </r>
  <r>
    <m/>
    <m/>
    <x v="1"/>
    <s v="38964048001003"/>
    <n v="-8.4499999999999993"/>
    <n v="145"/>
    <n v="1"/>
    <n v="1"/>
  </r>
  <r>
    <m/>
    <m/>
    <x v="1"/>
    <s v="39075374001002"/>
    <n v="-17.66"/>
    <n v="303"/>
    <n v="1"/>
    <n v="1"/>
  </r>
  <r>
    <m/>
    <m/>
    <x v="1"/>
    <s v="39105361003001"/>
    <n v="-19.47"/>
    <n v="334"/>
    <n v="1"/>
    <n v="1"/>
  </r>
  <r>
    <m/>
    <m/>
    <x v="1"/>
    <s v="39197222001001"/>
    <n v="-15.09"/>
    <n v="259"/>
    <n v="1"/>
    <n v="1"/>
  </r>
  <r>
    <m/>
    <m/>
    <x v="1"/>
    <s v="39272181001001"/>
    <n v="-0.41"/>
    <n v="7"/>
    <n v="1"/>
    <n v="1"/>
  </r>
  <r>
    <m/>
    <m/>
    <x v="1"/>
    <s v="39421231001001"/>
    <n v="-0.41"/>
    <n v="7"/>
    <n v="1"/>
    <n v="1"/>
  </r>
  <r>
    <m/>
    <m/>
    <x v="1"/>
    <s v="39509588001002"/>
    <n v="-5.01"/>
    <n v="86"/>
    <n v="1"/>
    <n v="1"/>
  </r>
  <r>
    <m/>
    <m/>
    <x v="1"/>
    <s v="39523212004008"/>
    <n v="-1.4"/>
    <n v="24"/>
    <n v="1"/>
    <n v="1"/>
  </r>
  <r>
    <m/>
    <m/>
    <x v="1"/>
    <s v="39525577001001"/>
    <n v="-34.270000000000003"/>
    <n v="588"/>
    <n v="1"/>
    <n v="1"/>
  </r>
  <r>
    <m/>
    <m/>
    <x v="1"/>
    <s v="39758083001001"/>
    <n v="-7.98"/>
    <n v="137"/>
    <n v="1"/>
    <n v="1"/>
  </r>
  <r>
    <m/>
    <m/>
    <x v="1"/>
    <s v="39773816002001"/>
    <n v="-5.54"/>
    <n v="95"/>
    <n v="1"/>
    <n v="1"/>
  </r>
  <r>
    <m/>
    <m/>
    <x v="1"/>
    <s v="39857500001003"/>
    <n v="-4.72"/>
    <n v="81"/>
    <n v="1"/>
    <n v="1"/>
  </r>
  <r>
    <m/>
    <m/>
    <x v="1"/>
    <s v="39904885001002"/>
    <n v="-24.83"/>
    <n v="426"/>
    <n v="1"/>
    <n v="1"/>
  </r>
  <r>
    <m/>
    <m/>
    <x v="1"/>
    <s v="39991003001001"/>
    <n v="-6.18"/>
    <n v="106"/>
    <n v="1"/>
    <n v="1"/>
  </r>
  <r>
    <m/>
    <m/>
    <x v="1"/>
    <s v="40195770001001"/>
    <n v="-38.29"/>
    <n v="657"/>
    <n v="1"/>
    <n v="1"/>
  </r>
  <r>
    <m/>
    <m/>
    <x v="1"/>
    <s v="40254052001001"/>
    <n v="-9.09"/>
    <n v="156"/>
    <n v="1"/>
    <n v="1"/>
  </r>
  <r>
    <m/>
    <m/>
    <x v="1"/>
    <s v="40354936001001"/>
    <n v="-13"/>
    <n v="223"/>
    <n v="1"/>
    <n v="1"/>
  </r>
  <r>
    <m/>
    <m/>
    <x v="1"/>
    <s v="40428864001001"/>
    <n v="-30.77"/>
    <n v="528"/>
    <n v="1"/>
    <n v="1"/>
  </r>
  <r>
    <m/>
    <m/>
    <x v="1"/>
    <s v="40647033004003"/>
    <n v="-12.3"/>
    <n v="211"/>
    <n v="1"/>
    <n v="1"/>
  </r>
  <r>
    <m/>
    <m/>
    <x v="1"/>
    <s v="40680887001001"/>
    <n v="-10.199999999999999"/>
    <n v="175"/>
    <n v="1"/>
    <n v="1"/>
  </r>
  <r>
    <m/>
    <m/>
    <x v="1"/>
    <s v="40765169001004"/>
    <n v="-0.17"/>
    <n v="3"/>
    <n v="1"/>
    <n v="1"/>
  </r>
  <r>
    <m/>
    <m/>
    <x v="1"/>
    <s v="40810644001009"/>
    <n v="-2.91"/>
    <n v="50"/>
    <n v="1"/>
    <n v="1"/>
  </r>
  <r>
    <m/>
    <m/>
    <x v="1"/>
    <s v="40811850001003"/>
    <n v="-51.23"/>
    <n v="879"/>
    <n v="1"/>
    <n v="1"/>
  </r>
  <r>
    <m/>
    <m/>
    <x v="1"/>
    <s v="40849252002005"/>
    <n v="-13.29"/>
    <n v="228"/>
    <n v="1"/>
    <n v="1"/>
  </r>
  <r>
    <m/>
    <m/>
    <x v="1"/>
    <s v="41212065001001"/>
    <n v="-16.670000000000002"/>
    <n v="286"/>
    <n v="1"/>
    <n v="1"/>
  </r>
  <r>
    <m/>
    <m/>
    <x v="1"/>
    <s v="41254471001004"/>
    <n v="-7.46"/>
    <n v="128"/>
    <n v="1"/>
    <n v="1"/>
  </r>
  <r>
    <m/>
    <m/>
    <x v="1"/>
    <s v="41261705001002"/>
    <n v="-11.31"/>
    <n v="194"/>
    <n v="1"/>
    <n v="1"/>
  </r>
  <r>
    <m/>
    <m/>
    <x v="1"/>
    <s v="41291991001001"/>
    <n v="-10.49"/>
    <n v="180"/>
    <n v="1"/>
    <n v="1"/>
  </r>
  <r>
    <m/>
    <m/>
    <x v="1"/>
    <s v="41302242001001"/>
    <n v="-20.98"/>
    <n v="360"/>
    <n v="1"/>
    <n v="1"/>
  </r>
  <r>
    <m/>
    <m/>
    <x v="1"/>
    <s v="41401860001002"/>
    <n v="-12.18"/>
    <n v="209"/>
    <n v="1"/>
    <n v="1"/>
  </r>
  <r>
    <m/>
    <m/>
    <x v="1"/>
    <s v="41650115001005"/>
    <n v="-2.68"/>
    <n v="46"/>
    <n v="1"/>
    <n v="1"/>
  </r>
  <r>
    <m/>
    <m/>
    <x v="1"/>
    <s v="41731451001005"/>
    <n v="-3.21"/>
    <n v="55"/>
    <n v="1"/>
    <n v="1"/>
  </r>
  <r>
    <m/>
    <m/>
    <x v="1"/>
    <s v="41850336001002"/>
    <n v="-12.76"/>
    <n v="219"/>
    <n v="1"/>
    <n v="1"/>
  </r>
  <r>
    <m/>
    <m/>
    <x v="1"/>
    <s v="41878216001003"/>
    <n v="-21.16"/>
    <n v="363"/>
    <n v="1"/>
    <n v="1"/>
  </r>
  <r>
    <m/>
    <m/>
    <x v="1"/>
    <s v="41892227002002"/>
    <n v="-1.57"/>
    <n v="27"/>
    <n v="1"/>
    <n v="1"/>
  </r>
  <r>
    <m/>
    <m/>
    <x v="1"/>
    <s v="41978051001003"/>
    <n v="-99.19"/>
    <n v="1702"/>
    <n v="1"/>
    <n v="1"/>
  </r>
  <r>
    <m/>
    <m/>
    <x v="1"/>
    <s v="42185507001001"/>
    <n v="-3.9"/>
    <n v="67"/>
    <n v="1"/>
    <n v="1"/>
  </r>
  <r>
    <m/>
    <m/>
    <x v="1"/>
    <s v="42244289002003"/>
    <n v="-5.83"/>
    <n v="100"/>
    <n v="1"/>
    <n v="1"/>
  </r>
  <r>
    <m/>
    <m/>
    <x v="1"/>
    <s v="42270867001005"/>
    <n v="-57.06"/>
    <n v="979"/>
    <n v="1"/>
    <n v="1"/>
  </r>
  <r>
    <m/>
    <m/>
    <x v="1"/>
    <s v="42284086002001"/>
    <n v="-3.32"/>
    <n v="57"/>
    <n v="1"/>
    <n v="1"/>
  </r>
  <r>
    <m/>
    <m/>
    <x v="1"/>
    <s v="42343001003004"/>
    <n v="-116.27"/>
    <n v="1995"/>
    <n v="2"/>
    <n v="1"/>
  </r>
  <r>
    <m/>
    <m/>
    <x v="1"/>
    <s v="42367522001001"/>
    <n v="-32.64"/>
    <n v="560"/>
    <n v="1"/>
    <n v="1"/>
  </r>
  <r>
    <m/>
    <m/>
    <x v="1"/>
    <s v="42433691001006"/>
    <n v="-46.74"/>
    <n v="802"/>
    <n v="1"/>
    <n v="1"/>
  </r>
  <r>
    <m/>
    <m/>
    <x v="1"/>
    <s v="42472921002002"/>
    <n v="-33.1"/>
    <n v="568"/>
    <n v="1"/>
    <n v="1"/>
  </r>
  <r>
    <m/>
    <m/>
    <x v="1"/>
    <s v="42504631004001"/>
    <n v="-1.05"/>
    <n v="18"/>
    <n v="1"/>
    <n v="1"/>
  </r>
  <r>
    <m/>
    <m/>
    <x v="1"/>
    <s v="42531581001002"/>
    <n v="-10.72"/>
    <n v="184"/>
    <n v="1"/>
    <n v="1"/>
  </r>
  <r>
    <m/>
    <m/>
    <x v="1"/>
    <s v="42535431005001"/>
    <n v="-16.78"/>
    <n v="288"/>
    <n v="1"/>
    <n v="1"/>
  </r>
  <r>
    <m/>
    <m/>
    <x v="1"/>
    <s v="42577991002002"/>
    <n v="-8.39"/>
    <n v="144"/>
    <n v="1"/>
    <n v="1"/>
  </r>
  <r>
    <m/>
    <m/>
    <x v="1"/>
    <s v="42593181002003"/>
    <n v="-53.38"/>
    <n v="916"/>
    <n v="1"/>
    <n v="1"/>
  </r>
  <r>
    <m/>
    <m/>
    <x v="1"/>
    <s v="42595211001004"/>
    <n v="-13"/>
    <n v="223"/>
    <n v="1"/>
    <n v="1"/>
  </r>
  <r>
    <m/>
    <m/>
    <x v="1"/>
    <s v="42595561007001"/>
    <n v="-90.39"/>
    <n v="1551"/>
    <n v="1"/>
    <n v="1"/>
  </r>
  <r>
    <m/>
    <m/>
    <x v="1"/>
    <s v="42766435002003"/>
    <n v="-22.67"/>
    <n v="389"/>
    <n v="1"/>
    <n v="1"/>
  </r>
  <r>
    <m/>
    <m/>
    <x v="1"/>
    <s v="42878921002001"/>
    <n v="-2.86"/>
    <n v="49"/>
    <n v="1"/>
    <n v="1"/>
  </r>
  <r>
    <m/>
    <m/>
    <x v="1"/>
    <s v="43233471004001"/>
    <n v="-3.56"/>
    <n v="61"/>
    <n v="1"/>
    <n v="1"/>
  </r>
  <r>
    <m/>
    <m/>
    <x v="1"/>
    <s v="43335559001001"/>
    <n v="-9.3800000000000008"/>
    <n v="161"/>
    <n v="1"/>
    <n v="1"/>
  </r>
  <r>
    <m/>
    <m/>
    <x v="1"/>
    <s v="43350301003001"/>
    <n v="-29.43"/>
    <n v="505"/>
    <n v="1"/>
    <n v="1"/>
  </r>
  <r>
    <m/>
    <m/>
    <x v="1"/>
    <s v="43482671001001"/>
    <n v="-2.62"/>
    <n v="45"/>
    <n v="1"/>
    <n v="1"/>
  </r>
  <r>
    <m/>
    <m/>
    <x v="1"/>
    <s v="43530621001001"/>
    <n v="-17.54"/>
    <n v="301"/>
    <n v="1"/>
    <n v="1"/>
  </r>
  <r>
    <m/>
    <m/>
    <x v="1"/>
    <s v="43691761001001"/>
    <n v="-46.45"/>
    <n v="797"/>
    <n v="1"/>
    <n v="1"/>
  </r>
  <r>
    <m/>
    <m/>
    <x v="1"/>
    <s v="43720585001001"/>
    <n v="-30.89"/>
    <n v="530"/>
    <n v="1"/>
    <n v="1"/>
  </r>
  <r>
    <m/>
    <m/>
    <x v="1"/>
    <s v="43930309006001"/>
    <n v="-48.2"/>
    <n v="827"/>
    <n v="1"/>
    <n v="1"/>
  </r>
  <r>
    <m/>
    <m/>
    <x v="1"/>
    <s v="43931231001001"/>
    <n v="-3.03"/>
    <n v="52"/>
    <n v="1"/>
    <n v="1"/>
  </r>
  <r>
    <m/>
    <m/>
    <x v="1"/>
    <s v="43991291001001"/>
    <n v="-36.479999999999997"/>
    <n v="626"/>
    <n v="1"/>
    <n v="1"/>
  </r>
  <r>
    <m/>
    <m/>
    <x v="1"/>
    <s v="43995090001012"/>
    <n v="-6"/>
    <n v="103"/>
    <n v="1"/>
    <n v="1"/>
  </r>
  <r>
    <m/>
    <m/>
    <x v="1"/>
    <s v="44027831001002"/>
    <n v="-6.7"/>
    <n v="115"/>
    <n v="1"/>
    <n v="1"/>
  </r>
  <r>
    <m/>
    <m/>
    <x v="1"/>
    <s v="44132341001001"/>
    <n v="-73.319999999999993"/>
    <n v="1258"/>
    <n v="1"/>
    <n v="1"/>
  </r>
  <r>
    <m/>
    <m/>
    <x v="1"/>
    <s v="44235381001002"/>
    <n v="-3.96"/>
    <n v="68"/>
    <n v="1"/>
    <n v="1"/>
  </r>
  <r>
    <m/>
    <m/>
    <x v="1"/>
    <s v="44289141002001"/>
    <n v="-2.56"/>
    <n v="44"/>
    <n v="1"/>
    <n v="1"/>
  </r>
  <r>
    <m/>
    <m/>
    <x v="1"/>
    <s v="44295021002002"/>
    <n v="-23.72"/>
    <n v="407"/>
    <n v="1"/>
    <n v="1"/>
  </r>
  <r>
    <m/>
    <m/>
    <x v="1"/>
    <s v="44341151001001"/>
    <n v="-32.75"/>
    <n v="562"/>
    <n v="1"/>
    <n v="1"/>
  </r>
  <r>
    <m/>
    <m/>
    <x v="1"/>
    <s v="44346821001002"/>
    <n v="-37.94"/>
    <n v="651"/>
    <n v="1"/>
    <n v="1"/>
  </r>
  <r>
    <m/>
    <m/>
    <x v="1"/>
    <s v="44348711012001"/>
    <n v="-12.76"/>
    <n v="219"/>
    <n v="1"/>
    <n v="1"/>
  </r>
  <r>
    <m/>
    <m/>
    <x v="1"/>
    <s v="44350671002005"/>
    <n v="-53.97"/>
    <n v="926"/>
    <n v="1"/>
    <n v="1"/>
  </r>
  <r>
    <m/>
    <m/>
    <x v="1"/>
    <s v="44371461001006"/>
    <n v="-45.23"/>
    <n v="776"/>
    <n v="1"/>
    <n v="1"/>
  </r>
  <r>
    <m/>
    <m/>
    <x v="1"/>
    <s v="44380071003003"/>
    <n v="-24.94"/>
    <n v="428"/>
    <n v="1"/>
    <n v="1"/>
  </r>
  <r>
    <m/>
    <m/>
    <x v="1"/>
    <s v="44389693001001"/>
    <n v="-15.62"/>
    <n v="268"/>
    <n v="1"/>
    <n v="1"/>
  </r>
  <r>
    <m/>
    <m/>
    <x v="1"/>
    <s v="44400231001002"/>
    <n v="-6.59"/>
    <n v="113"/>
    <n v="1"/>
    <n v="1"/>
  </r>
  <r>
    <m/>
    <m/>
    <x v="1"/>
    <s v="44437541001001"/>
    <n v="-22.03"/>
    <n v="378"/>
    <n v="1"/>
    <n v="1"/>
  </r>
  <r>
    <m/>
    <m/>
    <x v="1"/>
    <s v="44470529001003"/>
    <n v="-10.14"/>
    <n v="174"/>
    <n v="1"/>
    <n v="1"/>
  </r>
  <r>
    <m/>
    <m/>
    <x v="1"/>
    <s v="44494451001004"/>
    <n v="-16.670000000000002"/>
    <n v="286"/>
    <n v="1"/>
    <n v="1"/>
  </r>
  <r>
    <m/>
    <m/>
    <x v="1"/>
    <s v="44510481001001"/>
    <n v="-29.08"/>
    <n v="499"/>
    <n v="1"/>
    <n v="1"/>
  </r>
  <r>
    <m/>
    <m/>
    <x v="1"/>
    <s v="44510901001001"/>
    <n v="-16.84"/>
    <n v="289"/>
    <n v="1"/>
    <n v="1"/>
  </r>
  <r>
    <m/>
    <m/>
    <x v="1"/>
    <s v="44512971001001"/>
    <n v="-6.82"/>
    <n v="117"/>
    <n v="1"/>
    <n v="1"/>
  </r>
  <r>
    <m/>
    <m/>
    <x v="1"/>
    <s v="44517723001001"/>
    <n v="-5.71"/>
    <n v="98"/>
    <n v="1"/>
    <n v="1"/>
  </r>
  <r>
    <m/>
    <m/>
    <x v="1"/>
    <s v="44522381001001"/>
    <n v="-26.75"/>
    <n v="459"/>
    <n v="1"/>
    <n v="1"/>
  </r>
  <r>
    <m/>
    <m/>
    <x v="1"/>
    <s v="44524481001001"/>
    <n v="-33.630000000000003"/>
    <n v="577"/>
    <n v="1"/>
    <n v="1"/>
  </r>
  <r>
    <m/>
    <m/>
    <x v="1"/>
    <s v="44533511002002"/>
    <n v="-16.84"/>
    <n v="289"/>
    <n v="1"/>
    <n v="1"/>
  </r>
  <r>
    <m/>
    <m/>
    <x v="1"/>
    <s v="44536031001002"/>
    <n v="-0.93"/>
    <n v="16"/>
    <n v="1"/>
    <n v="1"/>
  </r>
  <r>
    <m/>
    <m/>
    <x v="1"/>
    <s v="44570056001005"/>
    <n v="-10.55"/>
    <n v="181"/>
    <n v="1"/>
    <n v="1"/>
  </r>
  <r>
    <m/>
    <m/>
    <x v="1"/>
    <s v="44577611002002"/>
    <n v="-4.49"/>
    <n v="77"/>
    <n v="1"/>
    <n v="1"/>
  </r>
  <r>
    <m/>
    <m/>
    <x v="1"/>
    <s v="44580411001002"/>
    <n v="-8.16"/>
    <n v="140"/>
    <n v="1"/>
    <n v="1"/>
  </r>
  <r>
    <m/>
    <m/>
    <x v="1"/>
    <s v="44581251003001"/>
    <n v="-13.75"/>
    <n v="236"/>
    <n v="1"/>
    <n v="1"/>
  </r>
  <r>
    <m/>
    <m/>
    <x v="1"/>
    <s v="44596091002001"/>
    <n v="-1.1100000000000001"/>
    <n v="19"/>
    <n v="1"/>
    <n v="1"/>
  </r>
  <r>
    <m/>
    <m/>
    <x v="1"/>
    <s v="44613171001010"/>
    <n v="-20.86"/>
    <n v="358"/>
    <n v="1"/>
    <n v="1"/>
  </r>
  <r>
    <m/>
    <m/>
    <x v="1"/>
    <s v="44613941001001"/>
    <n v="-12.06"/>
    <n v="207"/>
    <n v="1"/>
    <n v="1"/>
  </r>
  <r>
    <m/>
    <m/>
    <x v="1"/>
    <s v="44625701002001"/>
    <n v="-28.97"/>
    <n v="497"/>
    <n v="1"/>
    <n v="1"/>
  </r>
  <r>
    <m/>
    <m/>
    <x v="1"/>
    <s v="44638931001005"/>
    <n v="-10.84"/>
    <n v="186"/>
    <n v="1"/>
    <n v="1"/>
  </r>
  <r>
    <m/>
    <m/>
    <x v="1"/>
    <s v="44639981001001"/>
    <n v="-7.17"/>
    <n v="123"/>
    <n v="1"/>
    <n v="1"/>
  </r>
  <r>
    <m/>
    <m/>
    <x v="1"/>
    <s v="44694441001003"/>
    <n v="-29.14"/>
    <n v="500"/>
    <n v="1"/>
    <n v="1"/>
  </r>
  <r>
    <m/>
    <m/>
    <x v="1"/>
    <s v="44698571001002"/>
    <n v="-8.0399999999999991"/>
    <n v="138"/>
    <n v="1"/>
    <n v="1"/>
  </r>
  <r>
    <m/>
    <m/>
    <x v="1"/>
    <s v="44710891001001"/>
    <n v="-14.1"/>
    <n v="242"/>
    <n v="1"/>
    <n v="1"/>
  </r>
  <r>
    <m/>
    <m/>
    <x v="1"/>
    <s v="44718731001004"/>
    <n v="-7.98"/>
    <n v="137"/>
    <n v="1"/>
    <n v="1"/>
  </r>
  <r>
    <m/>
    <m/>
    <x v="1"/>
    <s v="44753381001001"/>
    <n v="-4.84"/>
    <n v="83"/>
    <n v="1"/>
    <n v="1"/>
  </r>
  <r>
    <m/>
    <m/>
    <x v="1"/>
    <s v="44761361002003"/>
    <n v="-20.05"/>
    <n v="344"/>
    <n v="1"/>
    <n v="1"/>
  </r>
  <r>
    <m/>
    <m/>
    <x v="1"/>
    <s v="44769271002004"/>
    <n v="-39.51"/>
    <n v="678"/>
    <n v="1"/>
    <n v="1"/>
  </r>
  <r>
    <m/>
    <m/>
    <x v="1"/>
    <s v="44808191002003"/>
    <n v="-83.81"/>
    <n v="1438"/>
    <n v="1"/>
    <n v="1"/>
  </r>
  <r>
    <m/>
    <m/>
    <x v="1"/>
    <s v="44817781001005"/>
    <n v="-12.3"/>
    <n v="211"/>
    <n v="1"/>
    <n v="1"/>
  </r>
  <r>
    <m/>
    <m/>
    <x v="1"/>
    <s v="44837782002001"/>
    <n v="-50.82"/>
    <n v="872"/>
    <n v="1"/>
    <n v="1"/>
  </r>
  <r>
    <m/>
    <m/>
    <x v="1"/>
    <s v="44863491001001"/>
    <n v="-15.91"/>
    <n v="273"/>
    <n v="1"/>
    <n v="1"/>
  </r>
  <r>
    <m/>
    <m/>
    <x v="1"/>
    <s v="44881481002002"/>
    <n v="-33.799999999999997"/>
    <n v="580"/>
    <n v="1"/>
    <n v="1"/>
  </r>
  <r>
    <m/>
    <m/>
    <x v="1"/>
    <s v="44881621001001"/>
    <n v="-27.16"/>
    <n v="466"/>
    <n v="1"/>
    <n v="1"/>
  </r>
  <r>
    <m/>
    <m/>
    <x v="1"/>
    <s v="44905001001001"/>
    <n v="-18.53"/>
    <n v="318"/>
    <n v="1"/>
    <n v="1"/>
  </r>
  <r>
    <m/>
    <m/>
    <x v="1"/>
    <s v="44956311001001"/>
    <n v="-22.67"/>
    <n v="389"/>
    <n v="1"/>
    <n v="1"/>
  </r>
  <r>
    <m/>
    <m/>
    <x v="1"/>
    <s v="44962961004001"/>
    <n v="-10.72"/>
    <n v="184"/>
    <n v="1"/>
    <n v="1"/>
  </r>
  <r>
    <m/>
    <m/>
    <x v="1"/>
    <s v="44967161001001"/>
    <n v="-53.27"/>
    <n v="914"/>
    <n v="1"/>
    <n v="1"/>
  </r>
  <r>
    <m/>
    <m/>
    <x v="1"/>
    <s v="44975911017001"/>
    <n v="-16.03"/>
    <n v="275"/>
    <n v="1"/>
    <n v="1"/>
  </r>
  <r>
    <m/>
    <m/>
    <x v="1"/>
    <s v="44987391001001"/>
    <n v="-25.06"/>
    <n v="430"/>
    <n v="1"/>
    <n v="1"/>
  </r>
  <r>
    <m/>
    <m/>
    <x v="1"/>
    <s v="44990541001001"/>
    <n v="-12.76"/>
    <n v="219"/>
    <n v="1"/>
    <n v="1"/>
  </r>
  <r>
    <m/>
    <m/>
    <x v="1"/>
    <s v="45035075001001"/>
    <n v="-102.51"/>
    <n v="1759"/>
    <n v="1"/>
    <n v="1"/>
  </r>
  <r>
    <m/>
    <m/>
    <x v="1"/>
    <s v="45041431001002"/>
    <n v="-48.66"/>
    <n v="835"/>
    <n v="1"/>
    <n v="1"/>
  </r>
  <r>
    <m/>
    <m/>
    <x v="1"/>
    <s v="45047731002001"/>
    <n v="-63.18"/>
    <n v="1084"/>
    <n v="1"/>
    <n v="1"/>
  </r>
  <r>
    <m/>
    <m/>
    <x v="1"/>
    <s v="45050391007001"/>
    <n v="-44"/>
    <n v="755"/>
    <n v="1"/>
    <n v="1"/>
  </r>
  <r>
    <m/>
    <m/>
    <x v="1"/>
    <s v="45052631001002"/>
    <n v="-31.24"/>
    <n v="536"/>
    <n v="1"/>
    <n v="1"/>
  </r>
  <r>
    <m/>
    <m/>
    <x v="1"/>
    <s v="45055431001001"/>
    <n v="-25.99"/>
    <n v="446"/>
    <n v="1"/>
    <n v="1"/>
  </r>
  <r>
    <m/>
    <m/>
    <x v="1"/>
    <s v="45055711001001"/>
    <n v="-63.35"/>
    <n v="1087"/>
    <n v="1"/>
    <n v="1"/>
  </r>
  <r>
    <m/>
    <m/>
    <x v="1"/>
    <s v="45070971001001"/>
    <n v="-27.51"/>
    <n v="472"/>
    <n v="1"/>
    <n v="1"/>
  </r>
  <r>
    <m/>
    <m/>
    <x v="1"/>
    <s v="45074541002003"/>
    <n v="-25.82"/>
    <n v="443"/>
    <n v="1"/>
    <n v="1"/>
  </r>
  <r>
    <m/>
    <m/>
    <x v="1"/>
    <s v="45079791002001"/>
    <n v="-28.03"/>
    <n v="481"/>
    <n v="1"/>
    <n v="1"/>
  </r>
  <r>
    <m/>
    <m/>
    <x v="1"/>
    <s v="45081401001004"/>
    <n v="-22.38"/>
    <n v="384"/>
    <n v="1"/>
    <n v="1"/>
  </r>
  <r>
    <m/>
    <m/>
    <x v="1"/>
    <s v="45091654002003"/>
    <n v="-36.43"/>
    <n v="625"/>
    <n v="1"/>
    <n v="1"/>
  </r>
  <r>
    <m/>
    <m/>
    <x v="1"/>
    <s v="45099461003003"/>
    <n v="-58.45"/>
    <n v="1003"/>
    <n v="1"/>
    <n v="1"/>
  </r>
  <r>
    <m/>
    <m/>
    <x v="1"/>
    <s v="45126691002004"/>
    <n v="-36.25"/>
    <n v="622"/>
    <n v="1"/>
    <n v="1"/>
  </r>
  <r>
    <m/>
    <m/>
    <x v="1"/>
    <s v="45131871004001"/>
    <n v="-10.61"/>
    <n v="182"/>
    <n v="1"/>
    <n v="1"/>
  </r>
  <r>
    <m/>
    <m/>
    <x v="1"/>
    <s v="45132711001002"/>
    <n v="-15.91"/>
    <n v="273"/>
    <n v="1"/>
    <n v="1"/>
  </r>
  <r>
    <m/>
    <m/>
    <x v="1"/>
    <s v="45137261001001"/>
    <n v="-13.35"/>
    <n v="229"/>
    <n v="1"/>
    <n v="1"/>
  </r>
  <r>
    <m/>
    <m/>
    <x v="1"/>
    <s v="45170842001005"/>
    <n v="-3.9"/>
    <n v="67"/>
    <n v="1"/>
    <n v="1"/>
  </r>
  <r>
    <m/>
    <m/>
    <x v="1"/>
    <s v="45230011001003"/>
    <n v="-6.29"/>
    <n v="108"/>
    <n v="1"/>
    <n v="1"/>
  </r>
  <r>
    <m/>
    <m/>
    <x v="1"/>
    <s v="45242051001003"/>
    <n v="-14.45"/>
    <n v="248"/>
    <n v="1"/>
    <n v="1"/>
  </r>
  <r>
    <m/>
    <m/>
    <x v="1"/>
    <s v="45253671001001"/>
    <n v="-5.59"/>
    <n v="96"/>
    <n v="1"/>
    <n v="1"/>
  </r>
  <r>
    <m/>
    <m/>
    <x v="1"/>
    <s v="45338080004001"/>
    <n v="-87.94"/>
    <n v="1509"/>
    <n v="1"/>
    <n v="1"/>
  </r>
  <r>
    <m/>
    <m/>
    <x v="1"/>
    <s v="45362871001003"/>
    <n v="-61.49"/>
    <n v="1055"/>
    <n v="1"/>
    <n v="1"/>
  </r>
  <r>
    <m/>
    <m/>
    <x v="1"/>
    <s v="45379041001001"/>
    <n v="-5.3"/>
    <n v="91"/>
    <n v="1"/>
    <n v="1"/>
  </r>
  <r>
    <m/>
    <m/>
    <x v="1"/>
    <s v="45379531001002"/>
    <n v="-4.08"/>
    <n v="70"/>
    <n v="1"/>
    <n v="1"/>
  </r>
  <r>
    <m/>
    <m/>
    <x v="1"/>
    <s v="45407555001001"/>
    <n v="-33.69"/>
    <n v="578"/>
    <n v="1"/>
    <n v="1"/>
  </r>
  <r>
    <m/>
    <m/>
    <x v="1"/>
    <s v="45408608002003"/>
    <n v="-8.2799999999999994"/>
    <n v="142"/>
    <n v="1"/>
    <n v="1"/>
  </r>
  <r>
    <m/>
    <m/>
    <x v="1"/>
    <s v="45420831002002"/>
    <n v="-2.4500000000000002"/>
    <n v="42"/>
    <n v="1"/>
    <n v="1"/>
  </r>
  <r>
    <m/>
    <m/>
    <x v="1"/>
    <s v="45452652002011"/>
    <n v="-22.67"/>
    <n v="389"/>
    <n v="1"/>
    <n v="1"/>
  </r>
  <r>
    <m/>
    <m/>
    <x v="1"/>
    <s v="45523171024001"/>
    <n v="-11.42"/>
    <n v="196"/>
    <n v="1"/>
    <n v="1"/>
  </r>
  <r>
    <m/>
    <m/>
    <x v="1"/>
    <s v="45575065001005"/>
    <n v="-55.25"/>
    <n v="948"/>
    <n v="1"/>
    <n v="1"/>
  </r>
  <r>
    <m/>
    <m/>
    <x v="1"/>
    <s v="45615361005001"/>
    <n v="-32.58"/>
    <n v="559"/>
    <n v="1"/>
    <n v="1"/>
  </r>
  <r>
    <m/>
    <m/>
    <x v="1"/>
    <s v="45622851001009"/>
    <n v="-5.48"/>
    <n v="94"/>
    <n v="1"/>
    <n v="1"/>
  </r>
  <r>
    <m/>
    <m/>
    <x v="1"/>
    <s v="45764531001001"/>
    <n v="-53.73"/>
    <n v="922"/>
    <n v="1"/>
    <n v="1"/>
  </r>
  <r>
    <m/>
    <m/>
    <x v="1"/>
    <s v="45765441001002"/>
    <n v="-10.14"/>
    <n v="174"/>
    <n v="1"/>
    <n v="1"/>
  </r>
  <r>
    <m/>
    <m/>
    <x v="1"/>
    <s v="45767422001001"/>
    <n v="-11.95"/>
    <n v="205"/>
    <n v="1"/>
    <n v="1"/>
  </r>
  <r>
    <m/>
    <m/>
    <x v="1"/>
    <s v="45861201001008"/>
    <n v="-51.4"/>
    <n v="882"/>
    <n v="1"/>
    <n v="1"/>
  </r>
  <r>
    <m/>
    <m/>
    <x v="1"/>
    <s v="45906912002001"/>
    <n v="-17.829999999999998"/>
    <n v="306"/>
    <n v="1"/>
    <n v="1"/>
  </r>
  <r>
    <m/>
    <m/>
    <x v="1"/>
    <s v="45930081004001"/>
    <n v="-17.78"/>
    <n v="305"/>
    <n v="1"/>
    <n v="1"/>
  </r>
  <r>
    <m/>
    <m/>
    <x v="1"/>
    <s v="45956311001001"/>
    <n v="-0.64"/>
    <n v="11"/>
    <n v="1"/>
    <n v="1"/>
  </r>
  <r>
    <m/>
    <m/>
    <x v="1"/>
    <s v="45979501004001"/>
    <n v="-25.35"/>
    <n v="435"/>
    <n v="1"/>
    <n v="1"/>
  </r>
  <r>
    <m/>
    <m/>
    <x v="1"/>
    <s v="45987934001001"/>
    <n v="-62.59"/>
    <n v="1074"/>
    <n v="1"/>
    <n v="1"/>
  </r>
  <r>
    <m/>
    <m/>
    <x v="1"/>
    <s v="46058267004001"/>
    <n v="-24.77"/>
    <n v="425"/>
    <n v="1"/>
    <n v="1"/>
  </r>
  <r>
    <m/>
    <m/>
    <x v="1"/>
    <s v="46122371006001"/>
    <n v="-41.79"/>
    <n v="717"/>
    <n v="1"/>
    <n v="1"/>
  </r>
  <r>
    <m/>
    <m/>
    <x v="1"/>
    <s v="46195241001002"/>
    <n v="-5.19"/>
    <n v="89"/>
    <n v="1"/>
    <n v="1"/>
  </r>
  <r>
    <m/>
    <m/>
    <x v="1"/>
    <s v="46242001001004"/>
    <n v="-15.33"/>
    <n v="263"/>
    <n v="1"/>
    <n v="1"/>
  </r>
  <r>
    <m/>
    <m/>
    <x v="1"/>
    <s v="46248581001001"/>
    <n v="-96.69"/>
    <n v="1659"/>
    <n v="1"/>
    <n v="1"/>
  </r>
  <r>
    <m/>
    <m/>
    <x v="1"/>
    <s v="46290511001002"/>
    <n v="-73.430000000000007"/>
    <n v="1260"/>
    <n v="1"/>
    <n v="1"/>
  </r>
  <r>
    <m/>
    <m/>
    <x v="1"/>
    <s v="46352741003004"/>
    <n v="-19.12"/>
    <n v="328"/>
    <n v="1"/>
    <n v="1"/>
  </r>
  <r>
    <m/>
    <m/>
    <x v="1"/>
    <s v="46398591003001"/>
    <n v="-43.71"/>
    <n v="750"/>
    <n v="1"/>
    <n v="1"/>
  </r>
  <r>
    <m/>
    <m/>
    <x v="1"/>
    <s v="46412521001006"/>
    <n v="-2.68"/>
    <n v="46"/>
    <n v="1"/>
    <n v="1"/>
  </r>
  <r>
    <m/>
    <m/>
    <x v="1"/>
    <s v="46429881006001"/>
    <n v="-21.74"/>
    <n v="373"/>
    <n v="1"/>
    <n v="1"/>
  </r>
  <r>
    <m/>
    <m/>
    <x v="1"/>
    <s v="46440861001007"/>
    <n v="-2.8"/>
    <n v="48"/>
    <n v="1"/>
    <n v="1"/>
  </r>
  <r>
    <m/>
    <m/>
    <x v="1"/>
    <s v="46477551003001"/>
    <n v="-6.18"/>
    <n v="106"/>
    <n v="1"/>
    <n v="1"/>
  </r>
  <r>
    <m/>
    <m/>
    <x v="1"/>
    <s v="46486763001003"/>
    <n v="-0.23"/>
    <n v="4"/>
    <n v="1"/>
    <n v="1"/>
  </r>
  <r>
    <m/>
    <m/>
    <x v="1"/>
    <s v="46539265001001"/>
    <n v="-11.6"/>
    <n v="199"/>
    <n v="1"/>
    <n v="1"/>
  </r>
  <r>
    <m/>
    <m/>
    <x v="1"/>
    <s v="46666481001001"/>
    <n v="-40.270000000000003"/>
    <n v="691"/>
    <n v="1"/>
    <n v="1"/>
  </r>
  <r>
    <m/>
    <m/>
    <x v="1"/>
    <s v="46684121001001"/>
    <n v="-56.59"/>
    <n v="971"/>
    <n v="1"/>
    <n v="1"/>
  </r>
  <r>
    <m/>
    <m/>
    <x v="1"/>
    <s v="46713395001002"/>
    <n v="-7.58"/>
    <n v="130"/>
    <n v="1"/>
    <n v="1"/>
  </r>
  <r>
    <m/>
    <m/>
    <x v="1"/>
    <s v="46767001003001"/>
    <n v="-18.18"/>
    <n v="312"/>
    <n v="1"/>
    <n v="1"/>
  </r>
  <r>
    <m/>
    <m/>
    <x v="1"/>
    <s v="46767211003001"/>
    <n v="-49.6"/>
    <n v="851"/>
    <n v="1"/>
    <n v="1"/>
  </r>
  <r>
    <m/>
    <m/>
    <x v="1"/>
    <s v="46772111002005"/>
    <n v="-67.37"/>
    <n v="1156"/>
    <n v="1"/>
    <n v="1"/>
  </r>
  <r>
    <m/>
    <m/>
    <x v="1"/>
    <s v="46778971002001"/>
    <n v="-1.34"/>
    <n v="23"/>
    <n v="1"/>
    <n v="1"/>
  </r>
  <r>
    <m/>
    <m/>
    <x v="1"/>
    <s v="46825208001001"/>
    <n v="-8.92"/>
    <n v="153"/>
    <n v="1"/>
    <n v="1"/>
  </r>
  <r>
    <m/>
    <m/>
    <x v="1"/>
    <s v="46844491002002"/>
    <n v="-99.72"/>
    <n v="1711"/>
    <n v="1"/>
    <n v="1"/>
  </r>
  <r>
    <m/>
    <m/>
    <x v="1"/>
    <s v="46855629001001"/>
    <n v="-5.48"/>
    <n v="94"/>
    <n v="1"/>
    <n v="1"/>
  </r>
  <r>
    <m/>
    <m/>
    <x v="1"/>
    <s v="46866331001002"/>
    <n v="-88.99"/>
    <n v="1527"/>
    <n v="1"/>
    <n v="1"/>
  </r>
  <r>
    <m/>
    <m/>
    <x v="1"/>
    <s v="46962021001002"/>
    <n v="-2.5099999999999998"/>
    <n v="43"/>
    <n v="1"/>
    <n v="1"/>
  </r>
  <r>
    <m/>
    <m/>
    <x v="1"/>
    <s v="46967818003001"/>
    <n v="-84.74"/>
    <n v="1454"/>
    <n v="1"/>
    <n v="1"/>
  </r>
  <r>
    <m/>
    <m/>
    <x v="1"/>
    <s v="47124400001003"/>
    <n v="-6.47"/>
    <n v="111"/>
    <n v="1"/>
    <n v="1"/>
  </r>
  <r>
    <m/>
    <m/>
    <x v="1"/>
    <s v="47135971001002"/>
    <n v="-0.99"/>
    <n v="17"/>
    <n v="1"/>
    <n v="1"/>
  </r>
  <r>
    <m/>
    <m/>
    <x v="1"/>
    <s v="47154521003001"/>
    <n v="-13.81"/>
    <n v="237"/>
    <n v="1"/>
    <n v="1"/>
  </r>
  <r>
    <m/>
    <m/>
    <x v="1"/>
    <s v="47164321003004"/>
    <n v="-18.82"/>
    <n v="323"/>
    <n v="1"/>
    <n v="1"/>
  </r>
  <r>
    <m/>
    <m/>
    <x v="1"/>
    <s v="47179931001007"/>
    <n v="-36.130000000000003"/>
    <n v="620"/>
    <n v="1"/>
    <n v="1"/>
  </r>
  <r>
    <m/>
    <m/>
    <x v="1"/>
    <s v="47233131004002"/>
    <n v="-88.41"/>
    <n v="1517"/>
    <n v="1"/>
    <n v="1"/>
  </r>
  <r>
    <m/>
    <m/>
    <x v="1"/>
    <s v="47275061002003"/>
    <n v="-6.18"/>
    <n v="106"/>
    <n v="1"/>
    <n v="1"/>
  </r>
  <r>
    <m/>
    <m/>
    <x v="1"/>
    <s v="47341211003001"/>
    <n v="-4.43"/>
    <n v="76"/>
    <n v="1"/>
    <n v="1"/>
  </r>
  <r>
    <m/>
    <m/>
    <x v="1"/>
    <s v="47343796001001"/>
    <n v="-23.14"/>
    <n v="397"/>
    <n v="1"/>
    <n v="1"/>
  </r>
  <r>
    <m/>
    <m/>
    <x v="1"/>
    <s v="47356261001002"/>
    <n v="-8.0399999999999991"/>
    <n v="138"/>
    <n v="1"/>
    <n v="1"/>
  </r>
  <r>
    <m/>
    <m/>
    <x v="1"/>
    <s v="47375581005013"/>
    <n v="-5.3"/>
    <n v="91"/>
    <n v="1"/>
    <n v="1"/>
  </r>
  <r>
    <m/>
    <m/>
    <x v="1"/>
    <s v="47377611003002"/>
    <n v="-1.92"/>
    <n v="33"/>
    <n v="1"/>
    <n v="1"/>
  </r>
  <r>
    <m/>
    <m/>
    <x v="1"/>
    <s v="47382721001001"/>
    <n v="-5.83"/>
    <n v="100"/>
    <n v="1"/>
    <n v="1"/>
  </r>
  <r>
    <m/>
    <m/>
    <x v="1"/>
    <s v="47385801001001"/>
    <n v="-4.2"/>
    <n v="72"/>
    <n v="1"/>
    <n v="1"/>
  </r>
  <r>
    <m/>
    <m/>
    <x v="1"/>
    <s v="47388041001006"/>
    <n v="-22.03"/>
    <n v="378"/>
    <n v="1"/>
    <n v="1"/>
  </r>
  <r>
    <m/>
    <m/>
    <x v="1"/>
    <s v="47403091001002"/>
    <n v="-56.07"/>
    <n v="962"/>
    <n v="1"/>
    <n v="1"/>
  </r>
  <r>
    <m/>
    <m/>
    <x v="1"/>
    <s v="47406521002002"/>
    <n v="-30.19"/>
    <n v="518"/>
    <n v="1"/>
    <n v="1"/>
  </r>
  <r>
    <m/>
    <m/>
    <x v="1"/>
    <s v="47431160001002"/>
    <n v="-29.14"/>
    <n v="500"/>
    <n v="1"/>
    <n v="1"/>
  </r>
  <r>
    <m/>
    <m/>
    <x v="1"/>
    <s v="47463011003001"/>
    <n v="-45.4"/>
    <n v="779"/>
    <n v="1"/>
    <n v="1"/>
  </r>
  <r>
    <m/>
    <m/>
    <x v="1"/>
    <s v="47480441007001"/>
    <n v="-73.78"/>
    <n v="1266"/>
    <n v="1"/>
    <n v="1"/>
  </r>
  <r>
    <m/>
    <m/>
    <x v="1"/>
    <s v="47487561001003"/>
    <n v="-0.35"/>
    <n v="6"/>
    <n v="1"/>
    <n v="1"/>
  </r>
  <r>
    <m/>
    <m/>
    <x v="1"/>
    <s v="47600631003001"/>
    <n v="-15.33"/>
    <n v="263"/>
    <n v="1"/>
    <n v="1"/>
  </r>
  <r>
    <m/>
    <m/>
    <x v="1"/>
    <s v="47723831004003"/>
    <n v="-3.56"/>
    <n v="61"/>
    <n v="1"/>
    <n v="1"/>
  </r>
  <r>
    <m/>
    <m/>
    <x v="1"/>
    <s v="47755961001002"/>
    <n v="-39.159999999999997"/>
    <n v="672"/>
    <n v="1"/>
    <n v="1"/>
  </r>
  <r>
    <m/>
    <m/>
    <x v="1"/>
    <s v="47756941004003"/>
    <n v="-34.090000000000003"/>
    <n v="585"/>
    <n v="1"/>
    <n v="1"/>
  </r>
  <r>
    <m/>
    <m/>
    <x v="1"/>
    <s v="47762681005001"/>
    <n v="-64.400000000000006"/>
    <n v="1105"/>
    <n v="1"/>
    <n v="1"/>
  </r>
  <r>
    <m/>
    <m/>
    <x v="1"/>
    <s v="47842819001009"/>
    <n v="-0.41"/>
    <n v="7"/>
    <n v="1"/>
    <n v="1"/>
  </r>
  <r>
    <m/>
    <m/>
    <x v="1"/>
    <s v="47866841003004"/>
    <n v="-7.17"/>
    <n v="123"/>
    <n v="1"/>
    <n v="1"/>
  </r>
  <r>
    <m/>
    <m/>
    <x v="1"/>
    <s v="47927671001001"/>
    <n v="-6.94"/>
    <n v="119"/>
    <n v="1"/>
    <n v="1"/>
  </r>
  <r>
    <m/>
    <m/>
    <x v="1"/>
    <s v="47932305003001"/>
    <n v="-18.649999999999999"/>
    <n v="320"/>
    <n v="1"/>
    <n v="1"/>
  </r>
  <r>
    <m/>
    <m/>
    <x v="1"/>
    <s v="47948181001002"/>
    <n v="-13.58"/>
    <n v="233"/>
    <n v="1"/>
    <n v="1"/>
  </r>
  <r>
    <m/>
    <m/>
    <x v="1"/>
    <s v="47967501001004"/>
    <n v="-48.9"/>
    <n v="839"/>
    <n v="1"/>
    <n v="1"/>
  </r>
  <r>
    <m/>
    <m/>
    <x v="1"/>
    <s v="47981781001001"/>
    <n v="-36.6"/>
    <n v="628"/>
    <n v="1"/>
    <n v="1"/>
  </r>
  <r>
    <m/>
    <m/>
    <x v="1"/>
    <s v="48036574003001"/>
    <n v="-2.1"/>
    <n v="36"/>
    <n v="1"/>
    <n v="1"/>
  </r>
  <r>
    <m/>
    <m/>
    <x v="1"/>
    <s v="48065577001006"/>
    <n v="-0.76"/>
    <n v="13"/>
    <n v="1"/>
    <n v="1"/>
  </r>
  <r>
    <m/>
    <m/>
    <x v="1"/>
    <s v="48076533001001"/>
    <n v="-55.72"/>
    <n v="956"/>
    <n v="1"/>
    <n v="1"/>
  </r>
  <r>
    <m/>
    <m/>
    <x v="1"/>
    <s v="48182191001001"/>
    <n v="-98.61"/>
    <n v="1692"/>
    <n v="1"/>
    <n v="1"/>
  </r>
  <r>
    <m/>
    <m/>
    <x v="1"/>
    <s v="48214181001001"/>
    <n v="-29.55"/>
    <n v="507"/>
    <n v="1"/>
    <n v="1"/>
  </r>
  <r>
    <m/>
    <m/>
    <x v="1"/>
    <s v="48474794001001"/>
    <n v="-38.93"/>
    <n v="668"/>
    <n v="1"/>
    <n v="1"/>
  </r>
  <r>
    <m/>
    <m/>
    <x v="1"/>
    <s v="48488730001001"/>
    <n v="-35.43"/>
    <n v="608"/>
    <n v="1"/>
    <n v="1"/>
  </r>
  <r>
    <m/>
    <m/>
    <x v="1"/>
    <s v="48518541001001"/>
    <n v="-6.59"/>
    <n v="113"/>
    <n v="1"/>
    <n v="1"/>
  </r>
  <r>
    <m/>
    <m/>
    <x v="1"/>
    <s v="48671160001004"/>
    <n v="-93.13"/>
    <n v="1598"/>
    <n v="1"/>
    <n v="1"/>
  </r>
  <r>
    <m/>
    <m/>
    <x v="1"/>
    <s v="48771464001005"/>
    <n v="-6.35"/>
    <n v="109"/>
    <n v="1"/>
    <n v="1"/>
  </r>
  <r>
    <m/>
    <m/>
    <x v="1"/>
    <s v="48790307001001"/>
    <n v="-52.92"/>
    <n v="908"/>
    <n v="1"/>
    <n v="1"/>
  </r>
  <r>
    <m/>
    <m/>
    <x v="1"/>
    <s v="48843876001001"/>
    <n v="-0.99"/>
    <n v="17"/>
    <n v="1"/>
    <n v="1"/>
  </r>
  <r>
    <m/>
    <m/>
    <x v="1"/>
    <s v="48867586002009"/>
    <n v="-10.55"/>
    <n v="181"/>
    <n v="1"/>
    <n v="1"/>
  </r>
  <r>
    <m/>
    <m/>
    <x v="1"/>
    <s v="48925661001005"/>
    <n v="-9.73"/>
    <n v="167"/>
    <n v="1"/>
    <n v="1"/>
  </r>
  <r>
    <m/>
    <m/>
    <x v="1"/>
    <s v="48930701001003"/>
    <n v="-5.25"/>
    <n v="90"/>
    <n v="1"/>
    <n v="1"/>
  </r>
  <r>
    <m/>
    <m/>
    <x v="1"/>
    <s v="49059747001011"/>
    <n v="-0.76"/>
    <n v="13"/>
    <n v="1"/>
    <n v="1"/>
  </r>
  <r>
    <m/>
    <m/>
    <x v="1"/>
    <s v="49069822001001"/>
    <n v="-2.04"/>
    <n v="35"/>
    <n v="1"/>
    <n v="1"/>
  </r>
  <r>
    <m/>
    <m/>
    <x v="1"/>
    <s v="49114661001002"/>
    <n v="-50.59"/>
    <n v="868"/>
    <n v="1"/>
    <n v="1"/>
  </r>
  <r>
    <m/>
    <m/>
    <x v="1"/>
    <s v="49146371004001"/>
    <n v="-25.82"/>
    <n v="443"/>
    <n v="1"/>
    <n v="1"/>
  </r>
  <r>
    <m/>
    <m/>
    <x v="1"/>
    <s v="49200673001001"/>
    <n v="-4.2"/>
    <n v="72"/>
    <n v="1"/>
    <n v="1"/>
  </r>
  <r>
    <m/>
    <m/>
    <x v="1"/>
    <s v="49295866001005"/>
    <n v="-43.24"/>
    <n v="742"/>
    <n v="1"/>
    <n v="1"/>
  </r>
  <r>
    <m/>
    <m/>
    <x v="1"/>
    <s v="49472851001001"/>
    <n v="-4.08"/>
    <n v="70"/>
    <n v="1"/>
    <n v="1"/>
  </r>
  <r>
    <m/>
    <m/>
    <x v="1"/>
    <s v="49520699001005"/>
    <n v="-0.76"/>
    <n v="13"/>
    <n v="1"/>
    <n v="1"/>
  </r>
  <r>
    <m/>
    <m/>
    <x v="1"/>
    <s v="49542291001001"/>
    <n v="-88"/>
    <n v="1510"/>
    <n v="1"/>
    <n v="1"/>
  </r>
  <r>
    <m/>
    <m/>
    <x v="1"/>
    <s v="49549801001003"/>
    <n v="-81.53"/>
    <n v="1399"/>
    <n v="1"/>
    <n v="1"/>
  </r>
  <r>
    <m/>
    <m/>
    <x v="1"/>
    <s v="49586951001001"/>
    <n v="-31.76"/>
    <n v="545"/>
    <n v="1"/>
    <n v="1"/>
  </r>
  <r>
    <m/>
    <m/>
    <x v="1"/>
    <s v="49622441001001"/>
    <n v="-62.36"/>
    <n v="1070"/>
    <n v="1"/>
    <n v="1"/>
  </r>
  <r>
    <m/>
    <m/>
    <x v="1"/>
    <s v="49632381001008"/>
    <n v="-76.87"/>
    <n v="1319"/>
    <n v="1"/>
    <n v="1"/>
  </r>
  <r>
    <m/>
    <m/>
    <x v="1"/>
    <s v="49743471001001"/>
    <n v="-76.75"/>
    <n v="1317"/>
    <n v="1"/>
    <n v="1"/>
  </r>
  <r>
    <m/>
    <m/>
    <x v="1"/>
    <s v="49808641003001"/>
    <n v="-14.34"/>
    <n v="246"/>
    <n v="1"/>
    <n v="1"/>
  </r>
  <r>
    <m/>
    <m/>
    <x v="1"/>
    <s v="49809621001004"/>
    <n v="-0.17"/>
    <n v="3"/>
    <n v="1"/>
    <n v="1"/>
  </r>
  <r>
    <m/>
    <m/>
    <x v="1"/>
    <s v="49903001001002"/>
    <n v="-14.1"/>
    <n v="242"/>
    <n v="1"/>
    <n v="1"/>
  </r>
  <r>
    <m/>
    <m/>
    <x v="1"/>
    <s v="49944272001001"/>
    <n v="-16.09"/>
    <n v="276"/>
    <n v="1"/>
    <n v="1"/>
  </r>
  <r>
    <m/>
    <m/>
    <x v="1"/>
    <s v="49953330001004"/>
    <n v="-1.92"/>
    <n v="33"/>
    <n v="1"/>
    <n v="1"/>
  </r>
  <r>
    <m/>
    <m/>
    <x v="1"/>
    <s v="49960891003001"/>
    <n v="-21.1"/>
    <n v="362"/>
    <n v="1"/>
    <n v="1"/>
  </r>
  <r>
    <m/>
    <m/>
    <x v="1"/>
    <s v="50119791001001"/>
    <n v="-15.27"/>
    <n v="262"/>
    <n v="1"/>
    <n v="1"/>
  </r>
  <r>
    <m/>
    <m/>
    <x v="1"/>
    <s v="50146181002001"/>
    <n v="-28.85"/>
    <n v="495"/>
    <n v="1"/>
    <n v="1"/>
  </r>
  <r>
    <m/>
    <m/>
    <x v="1"/>
    <s v="50146531001002"/>
    <n v="-4.84"/>
    <n v="83"/>
    <n v="1"/>
    <n v="1"/>
  </r>
  <r>
    <m/>
    <m/>
    <x v="1"/>
    <s v="50218504001005"/>
    <n v="-19.059999999999999"/>
    <n v="327"/>
    <n v="1"/>
    <n v="1"/>
  </r>
  <r>
    <m/>
    <m/>
    <x v="1"/>
    <s v="50245081001005"/>
    <n v="-28.44"/>
    <n v="488"/>
    <n v="1"/>
    <n v="1"/>
  </r>
  <r>
    <m/>
    <m/>
    <x v="1"/>
    <s v="50271551003001"/>
    <n v="-17.43"/>
    <n v="299"/>
    <n v="1"/>
    <n v="1"/>
  </r>
  <r>
    <m/>
    <m/>
    <x v="1"/>
    <s v="50363741006001"/>
    <n v="-2.5099999999999998"/>
    <n v="43"/>
    <n v="1"/>
    <n v="1"/>
  </r>
  <r>
    <m/>
    <m/>
    <x v="1"/>
    <s v="50395403001001"/>
    <n v="-11.31"/>
    <n v="194"/>
    <n v="1"/>
    <n v="1"/>
  </r>
  <r>
    <m/>
    <m/>
    <x v="1"/>
    <s v="50448812001001"/>
    <n v="-23.2"/>
    <n v="398"/>
    <n v="1"/>
    <n v="1"/>
  </r>
  <r>
    <m/>
    <m/>
    <x v="1"/>
    <s v="50559645001001"/>
    <n v="-0.12"/>
    <n v="2"/>
    <n v="1"/>
    <n v="1"/>
  </r>
  <r>
    <m/>
    <m/>
    <x v="1"/>
    <s v="50575121001001"/>
    <n v="-5.3"/>
    <n v="91"/>
    <n v="1"/>
    <n v="1"/>
  </r>
  <r>
    <m/>
    <m/>
    <x v="1"/>
    <s v="50577986002006"/>
    <n v="-11.95"/>
    <n v="205"/>
    <n v="1"/>
    <n v="1"/>
  </r>
  <r>
    <m/>
    <m/>
    <x v="1"/>
    <s v="50578291001002"/>
    <n v="-1.75"/>
    <n v="30"/>
    <n v="1"/>
    <n v="1"/>
  </r>
  <r>
    <m/>
    <m/>
    <x v="1"/>
    <s v="50583810001001"/>
    <n v="-35.32"/>
    <n v="606"/>
    <n v="1"/>
    <n v="1"/>
  </r>
  <r>
    <m/>
    <m/>
    <x v="1"/>
    <s v="50632541001006"/>
    <n v="-5.83"/>
    <n v="100"/>
    <n v="1"/>
    <n v="1"/>
  </r>
  <r>
    <m/>
    <m/>
    <x v="1"/>
    <s v="50634081002001"/>
    <n v="-7.63"/>
    <n v="131"/>
    <n v="1"/>
    <n v="1"/>
  </r>
  <r>
    <m/>
    <m/>
    <x v="1"/>
    <s v="50757351002006"/>
    <n v="-53.44"/>
    <n v="917"/>
    <n v="1"/>
    <n v="1"/>
  </r>
  <r>
    <m/>
    <m/>
    <x v="1"/>
    <s v="50861231003003"/>
    <n v="-25.12"/>
    <n v="431"/>
    <n v="1"/>
    <n v="1"/>
  </r>
  <r>
    <m/>
    <m/>
    <x v="1"/>
    <s v="50867741001001"/>
    <n v="-9.2100000000000009"/>
    <n v="158"/>
    <n v="1"/>
    <n v="1"/>
  </r>
  <r>
    <m/>
    <m/>
    <x v="1"/>
    <s v="50891821006005"/>
    <n v="-18.59"/>
    <n v="319"/>
    <n v="1"/>
    <n v="1"/>
  </r>
  <r>
    <m/>
    <m/>
    <x v="1"/>
    <s v="50892241001002"/>
    <n v="-29.31"/>
    <n v="503"/>
    <n v="1"/>
    <n v="1"/>
  </r>
  <r>
    <m/>
    <m/>
    <x v="1"/>
    <s v="50907501002001"/>
    <n v="-13.75"/>
    <n v="236"/>
    <n v="1"/>
    <n v="1"/>
  </r>
  <r>
    <m/>
    <m/>
    <x v="1"/>
    <s v="50955251001001"/>
    <n v="-4.95"/>
    <n v="85"/>
    <n v="1"/>
    <n v="1"/>
  </r>
  <r>
    <m/>
    <m/>
    <x v="1"/>
    <s v="50972811001001"/>
    <n v="-17.78"/>
    <n v="305"/>
    <n v="1"/>
    <n v="1"/>
  </r>
  <r>
    <m/>
    <m/>
    <x v="1"/>
    <s v="50980185001006"/>
    <n v="-30.89"/>
    <n v="530"/>
    <n v="1"/>
    <n v="1"/>
  </r>
  <r>
    <m/>
    <m/>
    <x v="1"/>
    <s v="50980301002006"/>
    <n v="-105.78"/>
    <n v="1815"/>
    <n v="1"/>
    <n v="1"/>
  </r>
  <r>
    <m/>
    <m/>
    <x v="1"/>
    <s v="50982891003001"/>
    <n v="-17.02"/>
    <n v="292"/>
    <n v="1"/>
    <n v="1"/>
  </r>
  <r>
    <m/>
    <m/>
    <x v="1"/>
    <s v="51002981005001"/>
    <n v="-23.25"/>
    <n v="399"/>
    <n v="1"/>
    <n v="1"/>
  </r>
  <r>
    <m/>
    <m/>
    <x v="1"/>
    <s v="51011101001001"/>
    <n v="-54.26"/>
    <n v="931"/>
    <n v="1"/>
    <n v="1"/>
  </r>
  <r>
    <m/>
    <m/>
    <x v="1"/>
    <s v="51026361001001"/>
    <n v="-101.29"/>
    <n v="1738"/>
    <n v="1"/>
    <n v="1"/>
  </r>
  <r>
    <m/>
    <m/>
    <x v="1"/>
    <s v="51027691001003"/>
    <n v="-57.52"/>
    <n v="987"/>
    <n v="1"/>
    <n v="1"/>
  </r>
  <r>
    <m/>
    <m/>
    <x v="1"/>
    <s v="51040151001001"/>
    <n v="-39.22"/>
    <n v="673"/>
    <n v="1"/>
    <n v="1"/>
  </r>
  <r>
    <m/>
    <m/>
    <x v="1"/>
    <s v="51053871001001"/>
    <n v="-30.01"/>
    <n v="515"/>
    <n v="1"/>
    <n v="1"/>
  </r>
  <r>
    <m/>
    <m/>
    <x v="1"/>
    <s v="51057441001003"/>
    <n v="-77.75"/>
    <n v="1334"/>
    <n v="1"/>
    <n v="1"/>
  </r>
  <r>
    <m/>
    <m/>
    <x v="1"/>
    <s v="51073821001002"/>
    <n v="-9.5"/>
    <n v="163"/>
    <n v="1"/>
    <n v="1"/>
  </r>
  <r>
    <m/>
    <m/>
    <x v="1"/>
    <s v="51104901004003"/>
    <n v="-51.75"/>
    <n v="888"/>
    <n v="1"/>
    <n v="1"/>
  </r>
  <r>
    <m/>
    <m/>
    <x v="1"/>
    <s v="51106511001005"/>
    <n v="-47.38"/>
    <n v="813"/>
    <n v="1"/>
    <n v="1"/>
  </r>
  <r>
    <m/>
    <m/>
    <x v="1"/>
    <s v="51126041002002"/>
    <n v="-84.97"/>
    <n v="1458"/>
    <n v="1"/>
    <n v="1"/>
  </r>
  <r>
    <m/>
    <m/>
    <x v="1"/>
    <s v="51127017001002"/>
    <n v="-10.78"/>
    <n v="185"/>
    <n v="1"/>
    <n v="1"/>
  </r>
  <r>
    <m/>
    <m/>
    <x v="1"/>
    <s v="51133531001002"/>
    <n v="-54.78"/>
    <n v="940"/>
    <n v="1"/>
    <n v="1"/>
  </r>
  <r>
    <m/>
    <m/>
    <x v="1"/>
    <s v="51138081002001"/>
    <n v="-96.92"/>
    <n v="1663"/>
    <n v="1"/>
    <n v="1"/>
  </r>
  <r>
    <m/>
    <m/>
    <x v="1"/>
    <s v="51142701001001"/>
    <n v="-52.63"/>
    <n v="903"/>
    <n v="1"/>
    <n v="1"/>
  </r>
  <r>
    <m/>
    <m/>
    <x v="1"/>
    <s v="51159081001001"/>
    <n v="-32.64"/>
    <n v="560"/>
    <n v="1"/>
    <n v="1"/>
  </r>
  <r>
    <m/>
    <m/>
    <x v="1"/>
    <s v="51159431001001"/>
    <n v="-53.85"/>
    <n v="924"/>
    <n v="1"/>
    <n v="1"/>
  </r>
  <r>
    <m/>
    <m/>
    <x v="1"/>
    <s v="51165871003001"/>
    <n v="-63"/>
    <n v="1081"/>
    <n v="1"/>
    <n v="1"/>
  </r>
  <r>
    <m/>
    <m/>
    <x v="1"/>
    <s v="51180361001001"/>
    <n v="-6.82"/>
    <n v="117"/>
    <n v="1"/>
    <n v="1"/>
  </r>
  <r>
    <m/>
    <m/>
    <x v="1"/>
    <s v="51184281006001"/>
    <n v="-63.64"/>
    <n v="1092"/>
    <n v="1"/>
    <n v="1"/>
  </r>
  <r>
    <m/>
    <m/>
    <x v="1"/>
    <s v="51222851001001"/>
    <n v="-17.95"/>
    <n v="308"/>
    <n v="1"/>
    <n v="1"/>
  </r>
  <r>
    <m/>
    <m/>
    <x v="1"/>
    <s v="51227611001003"/>
    <n v="-53.73"/>
    <n v="922"/>
    <n v="1"/>
    <n v="1"/>
  </r>
  <r>
    <m/>
    <m/>
    <x v="1"/>
    <s v="51237341002006"/>
    <n v="-42.95"/>
    <n v="737"/>
    <n v="1"/>
    <n v="1"/>
  </r>
  <r>
    <m/>
    <m/>
    <x v="1"/>
    <s v="51237411001001"/>
    <n v="-55.25"/>
    <n v="948"/>
    <n v="1"/>
    <n v="1"/>
  </r>
  <r>
    <m/>
    <m/>
    <x v="1"/>
    <s v="51241523001003"/>
    <n v="-20.86"/>
    <n v="358"/>
    <n v="1"/>
    <n v="1"/>
  </r>
  <r>
    <m/>
    <m/>
    <x v="1"/>
    <s v="51315674001002"/>
    <n v="-7.69"/>
    <n v="132"/>
    <n v="1"/>
    <n v="1"/>
  </r>
  <r>
    <m/>
    <m/>
    <x v="1"/>
    <s v="51315811004001"/>
    <n v="-48.9"/>
    <n v="839"/>
    <n v="1"/>
    <n v="1"/>
  </r>
  <r>
    <m/>
    <m/>
    <x v="1"/>
    <s v="51396381005001"/>
    <n v="-36.950000000000003"/>
    <n v="634"/>
    <n v="1"/>
    <n v="1"/>
  </r>
  <r>
    <m/>
    <m/>
    <x v="1"/>
    <s v="51424031004001"/>
    <n v="-6.29"/>
    <n v="108"/>
    <n v="1"/>
    <n v="1"/>
  </r>
  <r>
    <m/>
    <m/>
    <x v="1"/>
    <s v="51441601002001"/>
    <n v="-14.86"/>
    <n v="255"/>
    <n v="1"/>
    <n v="1"/>
  </r>
  <r>
    <m/>
    <m/>
    <x v="1"/>
    <s v="51456371002001"/>
    <n v="-36.659999999999997"/>
    <n v="629"/>
    <n v="1"/>
    <n v="1"/>
  </r>
  <r>
    <m/>
    <m/>
    <x v="1"/>
    <s v="51467250001001"/>
    <n v="-6.64"/>
    <n v="114"/>
    <n v="1"/>
    <n v="1"/>
  </r>
  <r>
    <m/>
    <m/>
    <x v="1"/>
    <s v="51469191001009"/>
    <n v="-20.34"/>
    <n v="349"/>
    <n v="1"/>
    <n v="1"/>
  </r>
  <r>
    <m/>
    <m/>
    <x v="1"/>
    <s v="51516081001002"/>
    <n v="-16.670000000000002"/>
    <n v="286"/>
    <n v="1"/>
    <n v="1"/>
  </r>
  <r>
    <m/>
    <m/>
    <x v="1"/>
    <s v="51528401002002"/>
    <n v="-23.89"/>
    <n v="410"/>
    <n v="1"/>
    <n v="1"/>
  </r>
  <r>
    <m/>
    <m/>
    <x v="1"/>
    <s v="51528681001002"/>
    <n v="-0.7"/>
    <n v="12"/>
    <n v="1"/>
    <n v="1"/>
  </r>
  <r>
    <m/>
    <m/>
    <x v="1"/>
    <s v="51542891001003"/>
    <n v="-18.47"/>
    <n v="317"/>
    <n v="1"/>
    <n v="1"/>
  </r>
  <r>
    <m/>
    <m/>
    <x v="1"/>
    <s v="51543731002001"/>
    <n v="-28.15"/>
    <n v="483"/>
    <n v="1"/>
    <n v="1"/>
  </r>
  <r>
    <m/>
    <m/>
    <x v="1"/>
    <s v="51554091001001"/>
    <n v="-42.6"/>
    <n v="731"/>
    <n v="1"/>
    <n v="1"/>
  </r>
  <r>
    <m/>
    <m/>
    <x v="1"/>
    <s v="51556121001002"/>
    <n v="-16.09"/>
    <n v="276"/>
    <n v="1"/>
    <n v="1"/>
  </r>
  <r>
    <m/>
    <m/>
    <x v="1"/>
    <s v="51557381001002"/>
    <n v="-5.71"/>
    <n v="98"/>
    <n v="1"/>
    <n v="1"/>
  </r>
  <r>
    <m/>
    <m/>
    <x v="1"/>
    <s v="51568021003009"/>
    <n v="-8.74"/>
    <n v="150"/>
    <n v="1"/>
    <n v="1"/>
  </r>
  <r>
    <m/>
    <m/>
    <x v="1"/>
    <s v="51572011001005"/>
    <n v="-86.2"/>
    <n v="1479"/>
    <n v="1"/>
    <n v="1"/>
  </r>
  <r>
    <m/>
    <m/>
    <x v="1"/>
    <s v="51588111004001"/>
    <n v="-20.86"/>
    <n v="358"/>
    <n v="1"/>
    <n v="1"/>
  </r>
  <r>
    <m/>
    <m/>
    <x v="1"/>
    <s v="51589096001005"/>
    <n v="-15.33"/>
    <n v="263"/>
    <n v="1"/>
    <n v="1"/>
  </r>
  <r>
    <m/>
    <m/>
    <x v="1"/>
    <s v="51591471001001"/>
    <n v="-12.36"/>
    <n v="212"/>
    <n v="1"/>
    <n v="1"/>
  </r>
  <r>
    <m/>
    <m/>
    <x v="1"/>
    <s v="51595951001005"/>
    <n v="-28.91"/>
    <n v="496"/>
    <n v="1"/>
    <n v="1"/>
  </r>
  <r>
    <m/>
    <m/>
    <x v="1"/>
    <s v="51603441001001"/>
    <n v="-24.65"/>
    <n v="423"/>
    <n v="1"/>
    <n v="1"/>
  </r>
  <r>
    <m/>
    <m/>
    <x v="1"/>
    <s v="51609181001001"/>
    <n v="-23.08"/>
    <n v="396"/>
    <n v="1"/>
    <n v="1"/>
  </r>
  <r>
    <m/>
    <m/>
    <x v="1"/>
    <s v="51610791002001"/>
    <n v="-11.42"/>
    <n v="196"/>
    <n v="1"/>
    <n v="1"/>
  </r>
  <r>
    <m/>
    <m/>
    <x v="1"/>
    <s v="51615411001001"/>
    <n v="-22.85"/>
    <n v="392"/>
    <n v="1"/>
    <n v="1"/>
  </r>
  <r>
    <m/>
    <m/>
    <x v="1"/>
    <s v="51615551001001"/>
    <n v="-26.17"/>
    <n v="449"/>
    <n v="1"/>
    <n v="1"/>
  </r>
  <r>
    <m/>
    <m/>
    <x v="1"/>
    <s v="51618911002001"/>
    <n v="-12.24"/>
    <n v="210"/>
    <n v="1"/>
    <n v="1"/>
  </r>
  <r>
    <m/>
    <m/>
    <x v="1"/>
    <s v="51619110002001"/>
    <n v="-26.28"/>
    <n v="451"/>
    <n v="1"/>
    <n v="1"/>
  </r>
  <r>
    <m/>
    <m/>
    <x v="1"/>
    <s v="51627031001001"/>
    <n v="-6.94"/>
    <n v="119"/>
    <n v="1"/>
    <n v="1"/>
  </r>
  <r>
    <m/>
    <m/>
    <x v="1"/>
    <s v="51682390003003"/>
    <n v="-40.97"/>
    <n v="703"/>
    <n v="1"/>
    <n v="1"/>
  </r>
  <r>
    <m/>
    <m/>
    <x v="1"/>
    <s v="51719592001003"/>
    <n v="-4.84"/>
    <n v="83"/>
    <n v="1"/>
    <n v="1"/>
  </r>
  <r>
    <m/>
    <m/>
    <x v="1"/>
    <s v="51777409002001"/>
    <n v="-79.73"/>
    <n v="1368"/>
    <n v="1"/>
    <n v="1"/>
  </r>
  <r>
    <m/>
    <m/>
    <x v="1"/>
    <s v="51910701001010"/>
    <n v="-27.51"/>
    <n v="472"/>
    <n v="1"/>
    <n v="1"/>
  </r>
  <r>
    <m/>
    <m/>
    <x v="1"/>
    <s v="52042325001004"/>
    <n v="-21.27"/>
    <n v="365"/>
    <n v="1"/>
    <n v="1"/>
  </r>
  <r>
    <m/>
    <m/>
    <x v="1"/>
    <s v="52117368002001"/>
    <n v="-5.01"/>
    <n v="86"/>
    <n v="1"/>
    <n v="1"/>
  </r>
  <r>
    <m/>
    <m/>
    <x v="1"/>
    <s v="52175886001002"/>
    <n v="-5.36"/>
    <n v="92"/>
    <n v="1"/>
    <n v="1"/>
  </r>
  <r>
    <m/>
    <m/>
    <x v="1"/>
    <s v="52231893001002"/>
    <n v="-23.6"/>
    <n v="405"/>
    <n v="1"/>
    <n v="1"/>
  </r>
  <r>
    <m/>
    <m/>
    <x v="1"/>
    <s v="52236917004003"/>
    <n v="-6.12"/>
    <n v="105"/>
    <n v="1"/>
    <n v="1"/>
  </r>
  <r>
    <m/>
    <m/>
    <x v="1"/>
    <s v="52259109001002"/>
    <n v="-15.74"/>
    <n v="270"/>
    <n v="1"/>
    <n v="1"/>
  </r>
  <r>
    <m/>
    <m/>
    <x v="1"/>
    <s v="52419352004001"/>
    <n v="-38.81"/>
    <n v="666"/>
    <n v="1"/>
    <n v="1"/>
  </r>
  <r>
    <m/>
    <m/>
    <x v="1"/>
    <s v="52440246001003"/>
    <n v="-35.49"/>
    <n v="609"/>
    <n v="1"/>
    <n v="1"/>
  </r>
  <r>
    <m/>
    <m/>
    <x v="1"/>
    <s v="52557185001003"/>
    <n v="-28.97"/>
    <n v="497"/>
    <n v="1"/>
    <n v="1"/>
  </r>
  <r>
    <m/>
    <m/>
    <x v="1"/>
    <s v="52650916001001"/>
    <n v="-42.72"/>
    <n v="733"/>
    <n v="1"/>
    <n v="1"/>
  </r>
  <r>
    <m/>
    <m/>
    <x v="1"/>
    <s v="52742616001001"/>
    <n v="-193.66"/>
    <n v="3323"/>
    <n v="1"/>
    <n v="1"/>
  </r>
  <r>
    <m/>
    <m/>
    <x v="1"/>
    <s v="52942632001005"/>
    <n v="-33.51"/>
    <n v="575"/>
    <n v="1"/>
    <n v="1"/>
  </r>
  <r>
    <m/>
    <m/>
    <x v="1"/>
    <s v="53040645001004"/>
    <n v="-13.58"/>
    <n v="233"/>
    <n v="1"/>
    <n v="1"/>
  </r>
  <r>
    <m/>
    <m/>
    <x v="1"/>
    <s v="53087879001001"/>
    <n v="-19.29"/>
    <n v="331"/>
    <n v="1"/>
    <n v="1"/>
  </r>
  <r>
    <m/>
    <m/>
    <x v="1"/>
    <s v="53096079004003"/>
    <n v="-16.14"/>
    <n v="277"/>
    <n v="1"/>
    <n v="1"/>
  </r>
  <r>
    <m/>
    <m/>
    <x v="1"/>
    <s v="53124174001010"/>
    <n v="-11.31"/>
    <n v="194"/>
    <n v="1"/>
    <n v="1"/>
  </r>
  <r>
    <m/>
    <m/>
    <x v="1"/>
    <s v="53276260002001"/>
    <n v="-22.2"/>
    <n v="381"/>
    <n v="1"/>
    <n v="1"/>
  </r>
  <r>
    <m/>
    <m/>
    <x v="1"/>
    <s v="53287108001001"/>
    <n v="-0.47"/>
    <n v="8"/>
    <n v="1"/>
    <n v="1"/>
  </r>
  <r>
    <m/>
    <m/>
    <x v="1"/>
    <s v="53333677003005"/>
    <n v="-66.849999999999994"/>
    <n v="1147"/>
    <n v="1"/>
    <n v="1"/>
  </r>
  <r>
    <m/>
    <m/>
    <x v="1"/>
    <s v="53355064001008"/>
    <n v="-15.33"/>
    <n v="263"/>
    <n v="1"/>
    <n v="1"/>
  </r>
  <r>
    <m/>
    <m/>
    <x v="1"/>
    <s v="53512067001011"/>
    <n v="-35.03"/>
    <n v="601"/>
    <n v="1"/>
    <n v="1"/>
  </r>
  <r>
    <m/>
    <m/>
    <x v="1"/>
    <s v="53586339001001"/>
    <n v="-0.52"/>
    <n v="9"/>
    <n v="1"/>
    <n v="1"/>
  </r>
  <r>
    <m/>
    <m/>
    <x v="1"/>
    <s v="53629812002001"/>
    <n v="-9.91"/>
    <n v="170"/>
    <n v="1"/>
    <n v="1"/>
  </r>
  <r>
    <m/>
    <m/>
    <x v="1"/>
    <s v="53707529001003"/>
    <n v="-4.95"/>
    <n v="85"/>
    <n v="1"/>
    <n v="1"/>
  </r>
  <r>
    <m/>
    <m/>
    <x v="1"/>
    <s v="53812406001002"/>
    <n v="-1.22"/>
    <n v="21"/>
    <n v="1"/>
    <n v="1"/>
  </r>
  <r>
    <m/>
    <m/>
    <x v="1"/>
    <s v="53826705002009"/>
    <n v="-2.62"/>
    <n v="45"/>
    <n v="1"/>
    <n v="1"/>
  </r>
  <r>
    <m/>
    <m/>
    <x v="1"/>
    <s v="54306064004001"/>
    <n v="-43.13"/>
    <n v="740"/>
    <n v="1"/>
    <n v="1"/>
  </r>
  <r>
    <m/>
    <m/>
    <x v="1"/>
    <s v="54329736005001"/>
    <n v="-4.78"/>
    <n v="82"/>
    <n v="1"/>
    <n v="1"/>
  </r>
  <r>
    <m/>
    <m/>
    <x v="1"/>
    <s v="54362749001005"/>
    <n v="-27.1"/>
    <n v="465"/>
    <n v="1"/>
    <n v="1"/>
  </r>
  <r>
    <m/>
    <m/>
    <x v="1"/>
    <s v="54419366001001"/>
    <n v="-3.56"/>
    <n v="61"/>
    <n v="1"/>
    <n v="1"/>
  </r>
  <r>
    <m/>
    <m/>
    <x v="1"/>
    <s v="54425586002001"/>
    <n v="-0.06"/>
    <n v="1"/>
    <n v="1"/>
    <n v="1"/>
  </r>
  <r>
    <m/>
    <m/>
    <x v="1"/>
    <s v="54523601001001"/>
    <n v="-37.299999999999997"/>
    <n v="640"/>
    <n v="1"/>
    <n v="1"/>
  </r>
  <r>
    <m/>
    <m/>
    <x v="1"/>
    <s v="54870440001001"/>
    <n v="-62.13"/>
    <n v="1066"/>
    <n v="1"/>
    <n v="1"/>
  </r>
  <r>
    <m/>
    <m/>
    <x v="1"/>
    <s v="54978920001003"/>
    <n v="-15.04"/>
    <n v="258"/>
    <n v="1"/>
    <n v="1"/>
  </r>
  <r>
    <m/>
    <m/>
    <x v="1"/>
    <s v="55059572001001"/>
    <n v="-20.16"/>
    <n v="346"/>
    <n v="1"/>
    <n v="1"/>
  </r>
  <r>
    <m/>
    <m/>
    <x v="1"/>
    <s v="55126085001004"/>
    <n v="-19.350000000000001"/>
    <n v="332"/>
    <n v="1"/>
    <n v="1"/>
  </r>
  <r>
    <m/>
    <m/>
    <x v="1"/>
    <s v="55194605001001"/>
    <n v="-2.5099999999999998"/>
    <n v="43"/>
    <n v="1"/>
    <n v="1"/>
  </r>
  <r>
    <m/>
    <m/>
    <x v="1"/>
    <s v="55258972001003"/>
    <n v="-13.93"/>
    <n v="239"/>
    <n v="1"/>
    <n v="1"/>
  </r>
  <r>
    <m/>
    <m/>
    <x v="1"/>
    <s v="55356091006001"/>
    <n v="-23.02"/>
    <n v="395"/>
    <n v="1"/>
    <n v="1"/>
  </r>
  <r>
    <m/>
    <m/>
    <x v="1"/>
    <s v="55524078001001"/>
    <n v="-63.7"/>
    <n v="1093"/>
    <n v="1"/>
    <n v="1"/>
  </r>
  <r>
    <m/>
    <m/>
    <x v="1"/>
    <s v="55527314001004"/>
    <n v="-15.85"/>
    <n v="272"/>
    <n v="1"/>
    <n v="1"/>
  </r>
  <r>
    <m/>
    <m/>
    <x v="1"/>
    <s v="55536729004001"/>
    <n v="-25.99"/>
    <n v="446"/>
    <n v="1"/>
    <n v="1"/>
  </r>
  <r>
    <m/>
    <m/>
    <x v="1"/>
    <s v="55537391001001"/>
    <n v="-5.3"/>
    <n v="91"/>
    <n v="1"/>
    <n v="1"/>
  </r>
  <r>
    <m/>
    <m/>
    <x v="1"/>
    <s v="55693754001001"/>
    <n v="-53.38"/>
    <n v="916"/>
    <n v="1"/>
    <n v="1"/>
  </r>
  <r>
    <m/>
    <m/>
    <x v="1"/>
    <s v="55781832001008"/>
    <n v="-35.08"/>
    <n v="602"/>
    <n v="1"/>
    <n v="1"/>
  </r>
  <r>
    <m/>
    <m/>
    <x v="1"/>
    <s v="55971351001005"/>
    <n v="-22.09"/>
    <n v="379"/>
    <n v="1"/>
    <n v="1"/>
  </r>
  <r>
    <m/>
    <m/>
    <x v="1"/>
    <s v="56079112001004"/>
    <n v="-13.29"/>
    <n v="228"/>
    <n v="1"/>
    <n v="1"/>
  </r>
  <r>
    <m/>
    <m/>
    <x v="1"/>
    <s v="56087752002005"/>
    <n v="-2.33"/>
    <n v="40"/>
    <n v="1"/>
    <n v="1"/>
  </r>
  <r>
    <m/>
    <m/>
    <x v="1"/>
    <s v="56095941001001"/>
    <n v="-133.46"/>
    <n v="2290"/>
    <n v="1"/>
    <n v="1"/>
  </r>
  <r>
    <m/>
    <m/>
    <x v="1"/>
    <s v="56213971001003"/>
    <n v="-88.24"/>
    <n v="1514"/>
    <n v="1"/>
    <n v="1"/>
  </r>
  <r>
    <m/>
    <m/>
    <x v="1"/>
    <s v="56215841001001"/>
    <n v="-19.52"/>
    <n v="335"/>
    <n v="1"/>
    <n v="1"/>
  </r>
  <r>
    <m/>
    <m/>
    <x v="1"/>
    <s v="56272890001001"/>
    <n v="-21.51"/>
    <n v="369"/>
    <n v="1"/>
    <n v="1"/>
  </r>
  <r>
    <m/>
    <m/>
    <x v="1"/>
    <s v="56386327001003"/>
    <n v="-9.91"/>
    <n v="170"/>
    <n v="1"/>
    <n v="1"/>
  </r>
  <r>
    <m/>
    <m/>
    <x v="1"/>
    <s v="56404144001004"/>
    <n v="-5.19"/>
    <n v="89"/>
    <n v="1"/>
    <n v="1"/>
  </r>
  <r>
    <m/>
    <m/>
    <x v="1"/>
    <s v="56463265001003"/>
    <n v="-53.85"/>
    <n v="924"/>
    <n v="1"/>
    <n v="1"/>
  </r>
  <r>
    <m/>
    <m/>
    <x v="1"/>
    <s v="56511566004001"/>
    <n v="-23.49"/>
    <n v="403"/>
    <n v="1"/>
    <n v="1"/>
  </r>
  <r>
    <m/>
    <m/>
    <x v="1"/>
    <s v="56604939001001"/>
    <n v="-45.92"/>
    <n v="788"/>
    <n v="1"/>
    <n v="1"/>
  </r>
  <r>
    <m/>
    <m/>
    <x v="1"/>
    <s v="56947002001001"/>
    <n v="-19.82"/>
    <n v="340"/>
    <n v="1"/>
    <n v="1"/>
  </r>
  <r>
    <m/>
    <m/>
    <x v="1"/>
    <s v="56973669001001"/>
    <n v="-2.68"/>
    <n v="46"/>
    <n v="1"/>
    <n v="1"/>
  </r>
  <r>
    <m/>
    <m/>
    <x v="1"/>
    <s v="57050305002003"/>
    <n v="-11.66"/>
    <n v="200"/>
    <n v="1"/>
    <n v="1"/>
  </r>
  <r>
    <m/>
    <m/>
    <x v="1"/>
    <s v="57422963001002"/>
    <n v="-30.6"/>
    <n v="525"/>
    <n v="1"/>
    <n v="1"/>
  </r>
  <r>
    <m/>
    <m/>
    <x v="1"/>
    <s v="57596110001001"/>
    <n v="-13.05"/>
    <n v="224"/>
    <n v="1"/>
    <n v="1"/>
  </r>
  <r>
    <m/>
    <m/>
    <x v="1"/>
    <s v="57631181001002"/>
    <n v="-3.61"/>
    <n v="62"/>
    <n v="1"/>
    <n v="1"/>
  </r>
  <r>
    <m/>
    <m/>
    <x v="1"/>
    <s v="57869500001003"/>
    <n v="-2.62"/>
    <n v="45"/>
    <n v="1"/>
    <n v="1"/>
  </r>
  <r>
    <m/>
    <m/>
    <x v="1"/>
    <s v="57946557001001"/>
    <n v="-13.29"/>
    <n v="228"/>
    <n v="1"/>
    <n v="1"/>
  </r>
  <r>
    <m/>
    <m/>
    <x v="1"/>
    <s v="58070087003005"/>
    <n v="-76.349999999999994"/>
    <n v="1310"/>
    <n v="1"/>
    <n v="1"/>
  </r>
  <r>
    <m/>
    <m/>
    <x v="1"/>
    <s v="58383494001001"/>
    <n v="-40.97"/>
    <n v="703"/>
    <n v="1"/>
    <n v="1"/>
  </r>
  <r>
    <m/>
    <m/>
    <x v="1"/>
    <s v="58476662001005"/>
    <n v="-19.7"/>
    <n v="338"/>
    <n v="1"/>
    <n v="1"/>
  </r>
  <r>
    <m/>
    <m/>
    <x v="1"/>
    <s v="58549564001001"/>
    <n v="-56.24"/>
    <n v="965"/>
    <n v="1"/>
    <n v="1"/>
  </r>
  <r>
    <m/>
    <m/>
    <x v="1"/>
    <s v="58719680001003"/>
    <n v="-19.989999999999998"/>
    <n v="343"/>
    <n v="1"/>
    <n v="1"/>
  </r>
  <r>
    <m/>
    <m/>
    <x v="1"/>
    <s v="59145811001005"/>
    <n v="-0.76"/>
    <n v="13"/>
    <n v="1"/>
    <n v="1"/>
  </r>
  <r>
    <m/>
    <m/>
    <x v="1"/>
    <s v="59207015002003"/>
    <n v="-30.36"/>
    <n v="521"/>
    <n v="1"/>
    <n v="1"/>
  </r>
  <r>
    <m/>
    <m/>
    <x v="1"/>
    <s v="59243405001001"/>
    <n v="-48.55"/>
    <n v="833"/>
    <n v="1"/>
    <n v="1"/>
  </r>
  <r>
    <m/>
    <m/>
    <x v="1"/>
    <s v="59547463005003"/>
    <n v="-115.86"/>
    <n v="1988"/>
    <n v="1"/>
    <n v="1"/>
  </r>
  <r>
    <m/>
    <m/>
    <x v="1"/>
    <s v="59582257003001"/>
    <n v="-22.26"/>
    <n v="382"/>
    <n v="1"/>
    <n v="1"/>
  </r>
  <r>
    <m/>
    <m/>
    <x v="1"/>
    <s v="59782518001001"/>
    <n v="-13.05"/>
    <n v="224"/>
    <n v="1"/>
    <n v="1"/>
  </r>
  <r>
    <m/>
    <m/>
    <x v="1"/>
    <s v="59795907001001"/>
    <n v="-0.28999999999999998"/>
    <n v="5"/>
    <n v="1"/>
    <n v="1"/>
  </r>
  <r>
    <m/>
    <m/>
    <x v="1"/>
    <s v="59904249001001"/>
    <n v="-15.79"/>
    <n v="271"/>
    <n v="1"/>
    <n v="1"/>
  </r>
  <r>
    <m/>
    <m/>
    <x v="1"/>
    <s v="59919753001001"/>
    <n v="-6.64"/>
    <n v="114"/>
    <n v="1"/>
    <n v="1"/>
  </r>
  <r>
    <m/>
    <m/>
    <x v="1"/>
    <s v="60063354001001"/>
    <n v="-111.37"/>
    <n v="1911"/>
    <n v="1"/>
    <n v="1"/>
  </r>
  <r>
    <m/>
    <m/>
    <x v="1"/>
    <s v="60068702001008"/>
    <n v="-6.76"/>
    <n v="116"/>
    <n v="1"/>
    <n v="1"/>
  </r>
  <r>
    <m/>
    <m/>
    <x v="1"/>
    <s v="60237712001011"/>
    <n v="-13.99"/>
    <n v="240"/>
    <n v="1"/>
    <n v="1"/>
  </r>
  <r>
    <m/>
    <m/>
    <x v="1"/>
    <s v="60262385001001"/>
    <n v="-87.94"/>
    <n v="1509"/>
    <n v="1"/>
    <n v="1"/>
  </r>
  <r>
    <m/>
    <m/>
    <x v="1"/>
    <s v="60270707001007"/>
    <n v="-10.14"/>
    <n v="174"/>
    <n v="1"/>
    <n v="1"/>
  </r>
  <r>
    <m/>
    <m/>
    <x v="1"/>
    <s v="60311880001002"/>
    <n v="-26.17"/>
    <n v="449"/>
    <n v="1"/>
    <n v="1"/>
  </r>
  <r>
    <m/>
    <m/>
    <x v="1"/>
    <s v="60537211009001"/>
    <n v="-5.54"/>
    <n v="95"/>
    <n v="1"/>
    <n v="1"/>
  </r>
  <r>
    <m/>
    <m/>
    <x v="1"/>
    <s v="60626334001001"/>
    <n v="-3.56"/>
    <n v="61"/>
    <n v="1"/>
    <n v="1"/>
  </r>
  <r>
    <m/>
    <m/>
    <x v="1"/>
    <s v="60885859001001"/>
    <n v="-18.13"/>
    <n v="311"/>
    <n v="1"/>
    <n v="1"/>
  </r>
  <r>
    <m/>
    <m/>
    <x v="1"/>
    <s v="60942818001007"/>
    <n v="-19.760000000000002"/>
    <n v="339"/>
    <n v="1"/>
    <n v="1"/>
  </r>
  <r>
    <m/>
    <m/>
    <x v="1"/>
    <s v="61094059001003"/>
    <n v="-29.96"/>
    <n v="514"/>
    <n v="1"/>
    <n v="1"/>
  </r>
  <r>
    <m/>
    <m/>
    <x v="1"/>
    <s v="61096024001009"/>
    <n v="-38.17"/>
    <n v="655"/>
    <n v="1"/>
    <n v="1"/>
  </r>
  <r>
    <m/>
    <m/>
    <x v="1"/>
    <s v="61201741003001"/>
    <n v="-26.93"/>
    <n v="462"/>
    <n v="1"/>
    <n v="1"/>
  </r>
  <r>
    <m/>
    <m/>
    <x v="1"/>
    <s v="61254120001004"/>
    <n v="-0.41"/>
    <n v="7"/>
    <n v="1"/>
    <n v="1"/>
  </r>
  <r>
    <m/>
    <m/>
    <x v="1"/>
    <s v="61408607001001"/>
    <n v="-40.450000000000003"/>
    <n v="694"/>
    <n v="1"/>
    <n v="1"/>
  </r>
  <r>
    <m/>
    <m/>
    <x v="1"/>
    <s v="61725151001005"/>
    <n v="-25.24"/>
    <n v="433"/>
    <n v="1"/>
    <n v="1"/>
  </r>
  <r>
    <m/>
    <m/>
    <x v="1"/>
    <s v="61837291001001"/>
    <n v="-24.94"/>
    <n v="428"/>
    <n v="1"/>
    <n v="1"/>
  </r>
  <r>
    <m/>
    <m/>
    <x v="1"/>
    <s v="61919998001001"/>
    <n v="-74.95"/>
    <n v="1286"/>
    <n v="1"/>
    <n v="1"/>
  </r>
  <r>
    <m/>
    <m/>
    <x v="1"/>
    <s v="61935568001001"/>
    <n v="-31.35"/>
    <n v="538"/>
    <n v="1"/>
    <n v="1"/>
  </r>
  <r>
    <m/>
    <m/>
    <x v="1"/>
    <s v="62148084003001"/>
    <n v="-8.2200000000000006"/>
    <n v="141"/>
    <n v="1"/>
    <n v="1"/>
  </r>
  <r>
    <m/>
    <m/>
    <x v="1"/>
    <s v="62296705003003"/>
    <n v="-144.88"/>
    <n v="2486"/>
    <n v="1"/>
    <n v="1"/>
  </r>
  <r>
    <m/>
    <m/>
    <x v="1"/>
    <s v="62351203003001"/>
    <n v="-27.74"/>
    <n v="476"/>
    <n v="1"/>
    <n v="1"/>
  </r>
  <r>
    <m/>
    <m/>
    <x v="1"/>
    <s v="62483712001004"/>
    <n v="-3.38"/>
    <n v="58"/>
    <n v="1"/>
    <n v="1"/>
  </r>
  <r>
    <m/>
    <m/>
    <x v="1"/>
    <s v="62610781001004"/>
    <n v="-3.85"/>
    <n v="66"/>
    <n v="1"/>
    <n v="1"/>
  </r>
  <r>
    <m/>
    <m/>
    <x v="1"/>
    <s v="62615155002001"/>
    <n v="-18.649999999999999"/>
    <n v="320"/>
    <n v="1"/>
    <n v="1"/>
  </r>
  <r>
    <m/>
    <m/>
    <x v="1"/>
    <s v="62712929001001"/>
    <n v="-20.28"/>
    <n v="348"/>
    <n v="1"/>
    <n v="1"/>
  </r>
  <r>
    <m/>
    <m/>
    <x v="1"/>
    <s v="62746326001001"/>
    <n v="-26.98"/>
    <n v="463"/>
    <n v="1"/>
    <n v="1"/>
  </r>
  <r>
    <m/>
    <m/>
    <x v="1"/>
    <s v="62780064001001"/>
    <n v="-24.71"/>
    <n v="424"/>
    <n v="1"/>
    <n v="1"/>
  </r>
  <r>
    <m/>
    <m/>
    <x v="1"/>
    <s v="63254923002001"/>
    <n v="-16.260000000000002"/>
    <n v="279"/>
    <n v="1"/>
    <n v="1"/>
  </r>
  <r>
    <m/>
    <m/>
    <x v="1"/>
    <s v="63257498001003"/>
    <n v="-38.93"/>
    <n v="668"/>
    <n v="1"/>
    <n v="1"/>
  </r>
  <r>
    <m/>
    <m/>
    <x v="1"/>
    <s v="63473902002001"/>
    <n v="-7.05"/>
    <n v="121"/>
    <n v="1"/>
    <n v="1"/>
  </r>
  <r>
    <m/>
    <m/>
    <x v="1"/>
    <s v="63974376001003"/>
    <n v="-31.18"/>
    <n v="535"/>
    <n v="1"/>
    <n v="1"/>
  </r>
  <r>
    <m/>
    <m/>
    <x v="1"/>
    <s v="64133260001001"/>
    <n v="-6.06"/>
    <n v="104"/>
    <n v="1"/>
    <n v="1"/>
  </r>
  <r>
    <m/>
    <m/>
    <x v="1"/>
    <s v="64277366004001"/>
    <n v="-8.2799999999999994"/>
    <n v="142"/>
    <n v="1"/>
    <n v="1"/>
  </r>
  <r>
    <m/>
    <m/>
    <x v="1"/>
    <s v="64727466001007"/>
    <n v="-21.97"/>
    <n v="377"/>
    <n v="1"/>
    <n v="1"/>
  </r>
  <r>
    <m/>
    <m/>
    <x v="1"/>
    <s v="64762963002001"/>
    <n v="-26.87"/>
    <n v="461"/>
    <n v="1"/>
    <n v="1"/>
  </r>
  <r>
    <m/>
    <m/>
    <x v="1"/>
    <s v="65047530001001"/>
    <n v="-11.42"/>
    <n v="196"/>
    <n v="1"/>
    <n v="1"/>
  </r>
  <r>
    <m/>
    <m/>
    <x v="1"/>
    <s v="65303114002001"/>
    <n v="-10.67"/>
    <n v="183"/>
    <n v="1"/>
    <n v="1"/>
  </r>
  <r>
    <m/>
    <m/>
    <x v="1"/>
    <s v="65509711001003"/>
    <n v="-71.16"/>
    <n v="1221"/>
    <n v="1"/>
    <n v="1"/>
  </r>
  <r>
    <m/>
    <m/>
    <x v="1"/>
    <s v="66052105002003"/>
    <n v="-23.49"/>
    <n v="403"/>
    <n v="1"/>
    <n v="1"/>
  </r>
  <r>
    <m/>
    <m/>
    <x v="1"/>
    <s v="66083905003006"/>
    <n v="-10.72"/>
    <n v="184"/>
    <n v="1"/>
    <n v="1"/>
  </r>
  <r>
    <m/>
    <m/>
    <x v="1"/>
    <s v="66166298003001"/>
    <n v="-8.33"/>
    <n v="143"/>
    <n v="1"/>
    <n v="1"/>
  </r>
  <r>
    <m/>
    <m/>
    <x v="1"/>
    <s v="66310272001003"/>
    <n v="-1.28"/>
    <n v="22"/>
    <n v="1"/>
    <n v="1"/>
  </r>
  <r>
    <m/>
    <m/>
    <x v="1"/>
    <s v="66322585001001"/>
    <n v="-13.87"/>
    <n v="238"/>
    <n v="1"/>
    <n v="1"/>
  </r>
  <r>
    <m/>
    <m/>
    <x v="1"/>
    <s v="66421133001001"/>
    <n v="-8.33"/>
    <n v="143"/>
    <n v="1"/>
    <n v="1"/>
  </r>
  <r>
    <m/>
    <m/>
    <x v="1"/>
    <s v="66438713001009"/>
    <n v="-16.260000000000002"/>
    <n v="279"/>
    <n v="1"/>
    <n v="1"/>
  </r>
  <r>
    <m/>
    <m/>
    <x v="1"/>
    <s v="66455859001001"/>
    <n v="-22.44"/>
    <n v="385"/>
    <n v="1"/>
    <n v="1"/>
  </r>
  <r>
    <m/>
    <m/>
    <x v="1"/>
    <s v="66541721002006"/>
    <n v="-18.53"/>
    <n v="318"/>
    <n v="1"/>
    <n v="1"/>
  </r>
  <r>
    <m/>
    <m/>
    <x v="1"/>
    <s v="66777400001001"/>
    <n v="-0.87"/>
    <n v="15"/>
    <n v="1"/>
    <n v="1"/>
  </r>
  <r>
    <m/>
    <m/>
    <x v="1"/>
    <s v="66842259001003"/>
    <n v="-29.72"/>
    <n v="510"/>
    <n v="1"/>
    <n v="1"/>
  </r>
  <r>
    <m/>
    <m/>
    <x v="1"/>
    <s v="66923121001005"/>
    <n v="-130.72"/>
    <n v="2243"/>
    <n v="1"/>
    <n v="1"/>
  </r>
  <r>
    <m/>
    <m/>
    <x v="1"/>
    <s v="66970135001001"/>
    <n v="-2.5099999999999998"/>
    <n v="43"/>
    <n v="1"/>
    <n v="1"/>
  </r>
  <r>
    <m/>
    <m/>
    <x v="1"/>
    <s v="67012711004001"/>
    <n v="-0.57999999999999996"/>
    <n v="10"/>
    <n v="1"/>
    <n v="1"/>
  </r>
  <r>
    <m/>
    <m/>
    <x v="1"/>
    <s v="67052660001005"/>
    <n v="-100.77"/>
    <n v="1729"/>
    <n v="1"/>
    <n v="1"/>
  </r>
  <r>
    <m/>
    <m/>
    <x v="1"/>
    <s v="67271689001007"/>
    <n v="-39.92"/>
    <n v="685"/>
    <n v="1"/>
    <n v="1"/>
  </r>
  <r>
    <m/>
    <m/>
    <x v="1"/>
    <s v="67553373001003"/>
    <n v="-5.89"/>
    <n v="101"/>
    <n v="1"/>
    <n v="1"/>
  </r>
  <r>
    <m/>
    <m/>
    <x v="1"/>
    <s v="67667059003001"/>
    <n v="-1.05"/>
    <n v="18"/>
    <n v="1"/>
    <n v="1"/>
  </r>
  <r>
    <m/>
    <m/>
    <x v="1"/>
    <s v="67774002001001"/>
    <n v="-24.07"/>
    <n v="413"/>
    <n v="1"/>
    <n v="1"/>
  </r>
  <r>
    <m/>
    <m/>
    <x v="1"/>
    <s v="67994603001007"/>
    <n v="-12.3"/>
    <n v="211"/>
    <n v="1"/>
    <n v="1"/>
  </r>
  <r>
    <m/>
    <m/>
    <x v="1"/>
    <s v="68032163003005"/>
    <n v="-28.21"/>
    <n v="484"/>
    <n v="1"/>
    <n v="1"/>
  </r>
  <r>
    <m/>
    <m/>
    <x v="1"/>
    <s v="68039419001001"/>
    <n v="-5.48"/>
    <n v="94"/>
    <n v="1"/>
    <n v="1"/>
  </r>
  <r>
    <m/>
    <m/>
    <x v="1"/>
    <s v="68329341001003"/>
    <n v="-16.61"/>
    <n v="285"/>
    <n v="1"/>
    <n v="1"/>
  </r>
  <r>
    <m/>
    <m/>
    <x v="1"/>
    <s v="68468118001001"/>
    <n v="-12.06"/>
    <n v="207"/>
    <n v="1"/>
    <n v="1"/>
  </r>
  <r>
    <m/>
    <m/>
    <x v="1"/>
    <s v="68497807001010"/>
    <n v="-50.41"/>
    <n v="865"/>
    <n v="1"/>
    <n v="1"/>
  </r>
  <r>
    <m/>
    <m/>
    <x v="1"/>
    <s v="68520131001002"/>
    <n v="-31.35"/>
    <n v="538"/>
    <n v="1"/>
    <n v="1"/>
  </r>
  <r>
    <m/>
    <m/>
    <x v="1"/>
    <s v="68803965001003"/>
    <n v="-36.89"/>
    <n v="633"/>
    <n v="1"/>
    <n v="1"/>
  </r>
  <r>
    <m/>
    <m/>
    <x v="1"/>
    <s v="68928083001002"/>
    <n v="-127.52"/>
    <n v="2188"/>
    <n v="1"/>
    <n v="1"/>
  </r>
  <r>
    <m/>
    <m/>
    <x v="1"/>
    <s v="68940427001001"/>
    <n v="-11.31"/>
    <n v="194"/>
    <n v="1"/>
    <n v="1"/>
  </r>
  <r>
    <m/>
    <m/>
    <x v="1"/>
    <s v="69227176002002"/>
    <n v="-14.8"/>
    <n v="254"/>
    <n v="1"/>
    <n v="1"/>
  </r>
  <r>
    <m/>
    <m/>
    <x v="1"/>
    <s v="69358446001002"/>
    <n v="-7.29"/>
    <n v="125"/>
    <n v="1"/>
    <n v="1"/>
  </r>
  <r>
    <m/>
    <m/>
    <x v="1"/>
    <s v="69359447001001"/>
    <n v="-18.420000000000002"/>
    <n v="316"/>
    <n v="1"/>
    <n v="1"/>
  </r>
  <r>
    <m/>
    <m/>
    <x v="1"/>
    <s v="69455470002001"/>
    <n v="-2.56"/>
    <n v="44"/>
    <n v="1"/>
    <n v="1"/>
  </r>
  <r>
    <m/>
    <m/>
    <x v="1"/>
    <s v="69512047001001"/>
    <n v="-10.9"/>
    <n v="187"/>
    <n v="1"/>
    <n v="1"/>
  </r>
  <r>
    <m/>
    <m/>
    <x v="1"/>
    <s v="69726976003004"/>
    <n v="-0.93"/>
    <n v="16"/>
    <n v="1"/>
    <n v="1"/>
  </r>
  <r>
    <m/>
    <m/>
    <x v="1"/>
    <s v="69764802001002"/>
    <n v="-9.32"/>
    <n v="160"/>
    <n v="1"/>
    <n v="1"/>
  </r>
  <r>
    <m/>
    <m/>
    <x v="1"/>
    <s v="69778160001001"/>
    <n v="-50.94"/>
    <n v="874"/>
    <n v="1"/>
    <n v="1"/>
  </r>
  <r>
    <m/>
    <m/>
    <x v="1"/>
    <s v="69860350001005"/>
    <n v="-14.92"/>
    <n v="256"/>
    <n v="1"/>
    <n v="1"/>
  </r>
  <r>
    <m/>
    <m/>
    <x v="1"/>
    <s v="69970331001001"/>
    <n v="-11.25"/>
    <n v="193"/>
    <n v="1"/>
    <n v="1"/>
  </r>
  <r>
    <m/>
    <m/>
    <x v="1"/>
    <s v="69991566001003"/>
    <n v="-2.21"/>
    <n v="38"/>
    <n v="1"/>
    <n v="1"/>
  </r>
  <r>
    <m/>
    <m/>
    <x v="1"/>
    <s v="70280362001003"/>
    <n v="-4.55"/>
    <n v="78"/>
    <n v="1"/>
    <n v="1"/>
  </r>
  <r>
    <m/>
    <m/>
    <x v="1"/>
    <s v="70376367001003"/>
    <n v="-13.75"/>
    <n v="236"/>
    <n v="1"/>
    <n v="1"/>
  </r>
  <r>
    <m/>
    <m/>
    <x v="1"/>
    <s v="70472062001001"/>
    <n v="-0.17"/>
    <n v="3"/>
    <n v="1"/>
    <n v="1"/>
  </r>
  <r>
    <m/>
    <m/>
    <x v="1"/>
    <s v="70593073001001"/>
    <n v="-59.74"/>
    <n v="1025"/>
    <n v="1"/>
    <n v="1"/>
  </r>
  <r>
    <m/>
    <m/>
    <x v="1"/>
    <s v="70761570001001"/>
    <n v="-2.4500000000000002"/>
    <n v="42"/>
    <n v="1"/>
    <n v="1"/>
  </r>
  <r>
    <m/>
    <m/>
    <x v="1"/>
    <s v="70804751001005"/>
    <n v="-3.96"/>
    <n v="68"/>
    <n v="1"/>
    <n v="1"/>
  </r>
  <r>
    <m/>
    <m/>
    <x v="1"/>
    <s v="71087812006003"/>
    <n v="-7.69"/>
    <n v="132"/>
    <n v="1"/>
    <n v="1"/>
  </r>
  <r>
    <m/>
    <m/>
    <x v="1"/>
    <s v="71274320003001"/>
    <n v="-13.11"/>
    <n v="225"/>
    <n v="1"/>
    <n v="1"/>
  </r>
  <r>
    <m/>
    <m/>
    <x v="1"/>
    <s v="71278625001004"/>
    <n v="-17.13"/>
    <n v="294"/>
    <n v="1"/>
    <n v="1"/>
  </r>
  <r>
    <m/>
    <m/>
    <x v="1"/>
    <s v="71313506002001"/>
    <n v="-0.12"/>
    <n v="2"/>
    <n v="1"/>
    <n v="1"/>
  </r>
  <r>
    <m/>
    <m/>
    <x v="1"/>
    <s v="71391581006001"/>
    <n v="-64.92"/>
    <n v="1114"/>
    <n v="1"/>
    <n v="1"/>
  </r>
  <r>
    <m/>
    <m/>
    <x v="1"/>
    <s v="71669535001005"/>
    <n v="-57"/>
    <n v="978"/>
    <n v="1"/>
    <n v="1"/>
  </r>
  <r>
    <m/>
    <m/>
    <x v="1"/>
    <s v="71769014004002"/>
    <n v="-39.51"/>
    <n v="678"/>
    <n v="1"/>
    <n v="1"/>
  </r>
  <r>
    <m/>
    <m/>
    <x v="1"/>
    <s v="71787084002001"/>
    <n v="-0.7"/>
    <n v="12"/>
    <n v="1"/>
    <n v="1"/>
  </r>
  <r>
    <m/>
    <m/>
    <x v="1"/>
    <s v="71997040001001"/>
    <n v="-24.65"/>
    <n v="423"/>
    <n v="1"/>
    <n v="1"/>
  </r>
  <r>
    <m/>
    <m/>
    <x v="1"/>
    <s v="72261639001001"/>
    <n v="-33.1"/>
    <n v="568"/>
    <n v="1"/>
    <n v="1"/>
  </r>
  <r>
    <m/>
    <m/>
    <x v="1"/>
    <s v="72489193001001"/>
    <n v="-92.67"/>
    <n v="1590"/>
    <n v="1"/>
    <n v="1"/>
  </r>
  <r>
    <m/>
    <m/>
    <x v="1"/>
    <s v="72621276001001"/>
    <n v="-30.71"/>
    <n v="527"/>
    <n v="1"/>
    <n v="1"/>
  </r>
  <r>
    <m/>
    <m/>
    <x v="1"/>
    <s v="72648295001001"/>
    <n v="-33.340000000000003"/>
    <n v="572"/>
    <n v="1"/>
    <n v="1"/>
  </r>
  <r>
    <m/>
    <m/>
    <x v="1"/>
    <s v="72649617001013"/>
    <n v="-8.51"/>
    <n v="146"/>
    <n v="1"/>
    <n v="1"/>
  </r>
  <r>
    <m/>
    <m/>
    <x v="1"/>
    <s v="72677651002001"/>
    <n v="-62.01"/>
    <n v="1064"/>
    <n v="1"/>
    <n v="1"/>
  </r>
  <r>
    <m/>
    <m/>
    <x v="1"/>
    <s v="72706959001001"/>
    <n v="-0.52"/>
    <n v="9"/>
    <n v="1"/>
    <n v="1"/>
  </r>
  <r>
    <m/>
    <m/>
    <x v="1"/>
    <s v="73047819001006"/>
    <n v="-7.46"/>
    <n v="128"/>
    <n v="1"/>
    <n v="1"/>
  </r>
  <r>
    <m/>
    <m/>
    <x v="1"/>
    <s v="73088070001002"/>
    <n v="-25.41"/>
    <n v="436"/>
    <n v="1"/>
    <n v="1"/>
  </r>
  <r>
    <m/>
    <m/>
    <x v="1"/>
    <s v="73099039001001"/>
    <n v="-3.15"/>
    <n v="54"/>
    <n v="1"/>
    <n v="1"/>
  </r>
  <r>
    <m/>
    <m/>
    <x v="1"/>
    <s v="73114048001002"/>
    <n v="-14.8"/>
    <n v="254"/>
    <n v="1"/>
    <n v="1"/>
  </r>
  <r>
    <m/>
    <m/>
    <x v="1"/>
    <s v="73173555001001"/>
    <n v="-21.62"/>
    <n v="371"/>
    <n v="1"/>
    <n v="1"/>
  </r>
  <r>
    <m/>
    <m/>
    <x v="1"/>
    <s v="73174806002005"/>
    <n v="-2.16"/>
    <n v="37"/>
    <n v="1"/>
    <n v="1"/>
  </r>
  <r>
    <m/>
    <m/>
    <x v="1"/>
    <s v="73571632001001"/>
    <n v="-4.49"/>
    <n v="77"/>
    <n v="1"/>
    <n v="1"/>
  </r>
  <r>
    <m/>
    <m/>
    <x v="1"/>
    <s v="73775929001005"/>
    <n v="-9.85"/>
    <n v="169"/>
    <n v="1"/>
    <n v="1"/>
  </r>
  <r>
    <m/>
    <m/>
    <x v="1"/>
    <s v="73931125002001"/>
    <n v="-6.47"/>
    <n v="111"/>
    <n v="1"/>
    <n v="1"/>
  </r>
  <r>
    <m/>
    <m/>
    <x v="1"/>
    <s v="73935992001002"/>
    <n v="-2.8"/>
    <n v="48"/>
    <n v="1"/>
    <n v="1"/>
  </r>
  <r>
    <m/>
    <m/>
    <x v="1"/>
    <s v="74022126002001"/>
    <n v="-13.58"/>
    <n v="233"/>
    <n v="1"/>
    <n v="1"/>
  </r>
  <r>
    <m/>
    <m/>
    <x v="1"/>
    <s v="74055933001001"/>
    <n v="-172.22"/>
    <n v="2955"/>
    <n v="1"/>
    <n v="1"/>
  </r>
  <r>
    <m/>
    <m/>
    <x v="1"/>
    <s v="74122617001001"/>
    <n v="-0.47"/>
    <n v="8"/>
    <n v="1"/>
    <n v="1"/>
  </r>
  <r>
    <m/>
    <m/>
    <x v="1"/>
    <s v="74210621001001"/>
    <n v="-3.21"/>
    <n v="55"/>
    <n v="1"/>
    <n v="1"/>
  </r>
  <r>
    <m/>
    <m/>
    <x v="1"/>
    <s v="74369035001007"/>
    <n v="-53.79"/>
    <n v="923"/>
    <n v="1"/>
    <n v="1"/>
  </r>
  <r>
    <m/>
    <m/>
    <x v="1"/>
    <s v="74386329001002"/>
    <n v="-14.51"/>
    <n v="249"/>
    <n v="1"/>
    <n v="1"/>
  </r>
  <r>
    <m/>
    <m/>
    <x v="1"/>
    <s v="74440719001001"/>
    <n v="-15.56"/>
    <n v="267"/>
    <n v="1"/>
    <n v="1"/>
  </r>
  <r>
    <m/>
    <m/>
    <x v="1"/>
    <s v="74467874001005"/>
    <n v="-1.63"/>
    <n v="28"/>
    <n v="1"/>
    <n v="1"/>
  </r>
  <r>
    <m/>
    <m/>
    <x v="1"/>
    <s v="74501144001003"/>
    <n v="-2.86"/>
    <n v="49"/>
    <n v="1"/>
    <n v="1"/>
  </r>
  <r>
    <m/>
    <m/>
    <x v="1"/>
    <s v="74613378001005"/>
    <n v="-20.63"/>
    <n v="354"/>
    <n v="1"/>
    <n v="1"/>
  </r>
  <r>
    <m/>
    <m/>
    <x v="1"/>
    <s v="74881596001006"/>
    <n v="-0.41"/>
    <n v="7"/>
    <n v="1"/>
    <n v="1"/>
  </r>
  <r>
    <m/>
    <m/>
    <x v="1"/>
    <s v="74897585001003"/>
    <n v="-0.82"/>
    <n v="14"/>
    <n v="1"/>
    <n v="1"/>
  </r>
  <r>
    <m/>
    <m/>
    <x v="1"/>
    <s v="74921730001003"/>
    <n v="-32.81"/>
    <n v="563"/>
    <n v="1"/>
    <n v="1"/>
  </r>
  <r>
    <m/>
    <m/>
    <x v="1"/>
    <s v="74965108005007"/>
    <n v="-1.05"/>
    <n v="18"/>
    <n v="1"/>
    <n v="1"/>
  </r>
  <r>
    <m/>
    <m/>
    <x v="1"/>
    <s v="74967292001001"/>
    <n v="-5.25"/>
    <n v="90"/>
    <n v="1"/>
    <n v="1"/>
  </r>
  <r>
    <m/>
    <m/>
    <x v="1"/>
    <s v="75076089001006"/>
    <n v="-23.49"/>
    <n v="403"/>
    <n v="1"/>
    <n v="1"/>
  </r>
  <r>
    <m/>
    <m/>
    <x v="1"/>
    <s v="75089608004003"/>
    <n v="-8.39"/>
    <n v="144"/>
    <n v="1"/>
    <n v="1"/>
  </r>
  <r>
    <m/>
    <m/>
    <x v="1"/>
    <s v="75197573001001"/>
    <n v="-0.7"/>
    <n v="12"/>
    <n v="1"/>
    <n v="1"/>
  </r>
  <r>
    <m/>
    <m/>
    <x v="1"/>
    <s v="75290016001010"/>
    <n v="-11.01"/>
    <n v="189"/>
    <n v="1"/>
    <n v="1"/>
  </r>
  <r>
    <m/>
    <m/>
    <x v="1"/>
    <s v="75321301001004"/>
    <n v="-0.52"/>
    <n v="9"/>
    <n v="1"/>
    <n v="1"/>
  </r>
  <r>
    <m/>
    <m/>
    <x v="1"/>
    <s v="75599421001001"/>
    <n v="-16.84"/>
    <n v="289"/>
    <n v="1"/>
    <n v="1"/>
  </r>
  <r>
    <m/>
    <m/>
    <x v="1"/>
    <s v="75620479001003"/>
    <n v="-37.53"/>
    <n v="644"/>
    <n v="1"/>
    <n v="1"/>
  </r>
  <r>
    <m/>
    <m/>
    <x v="1"/>
    <s v="75708984001003"/>
    <n v="-17.37"/>
    <n v="298"/>
    <n v="1"/>
    <n v="1"/>
  </r>
  <r>
    <m/>
    <m/>
    <x v="1"/>
    <s v="76033198001011"/>
    <n v="-17.66"/>
    <n v="303"/>
    <n v="1"/>
    <n v="1"/>
  </r>
  <r>
    <m/>
    <m/>
    <x v="1"/>
    <s v="76035247001002"/>
    <n v="-9.85"/>
    <n v="169"/>
    <n v="1"/>
    <n v="1"/>
  </r>
  <r>
    <m/>
    <m/>
    <x v="1"/>
    <s v="76090392001001"/>
    <n v="-35.840000000000003"/>
    <n v="615"/>
    <n v="1"/>
    <n v="1"/>
  </r>
  <r>
    <m/>
    <m/>
    <x v="1"/>
    <s v="76204778001006"/>
    <n v="-7.52"/>
    <n v="129"/>
    <n v="1"/>
    <n v="1"/>
  </r>
  <r>
    <m/>
    <m/>
    <x v="1"/>
    <s v="76207699003001"/>
    <n v="-15.04"/>
    <n v="258"/>
    <n v="1"/>
    <n v="1"/>
  </r>
  <r>
    <m/>
    <m/>
    <x v="1"/>
    <s v="76645220002001"/>
    <n v="-37.65"/>
    <n v="646"/>
    <n v="1"/>
    <n v="1"/>
  </r>
  <r>
    <m/>
    <m/>
    <x v="1"/>
    <s v="76652020001010"/>
    <n v="-6.12"/>
    <n v="105"/>
    <n v="1"/>
    <n v="1"/>
  </r>
  <r>
    <m/>
    <m/>
    <x v="1"/>
    <s v="76662020001001"/>
    <n v="-12.36"/>
    <n v="212"/>
    <n v="1"/>
    <n v="1"/>
  </r>
  <r>
    <m/>
    <m/>
    <x v="1"/>
    <s v="76757615001002"/>
    <n v="-22.61"/>
    <n v="388"/>
    <n v="1"/>
    <n v="1"/>
  </r>
  <r>
    <m/>
    <m/>
    <x v="1"/>
    <s v="76812372003003"/>
    <n v="-1.28"/>
    <n v="22"/>
    <n v="1"/>
    <n v="1"/>
  </r>
  <r>
    <m/>
    <m/>
    <x v="1"/>
    <s v="76821093007001"/>
    <n v="-5.83"/>
    <n v="100"/>
    <n v="1"/>
    <n v="1"/>
  </r>
  <r>
    <m/>
    <m/>
    <x v="1"/>
    <s v="77007576005003"/>
    <n v="-4.43"/>
    <n v="76"/>
    <n v="1"/>
    <n v="1"/>
  </r>
  <r>
    <m/>
    <m/>
    <x v="1"/>
    <s v="77028105003004"/>
    <n v="-84.39"/>
    <n v="1448"/>
    <n v="1"/>
    <n v="1"/>
  </r>
  <r>
    <m/>
    <m/>
    <x v="1"/>
    <s v="77267562001006"/>
    <n v="-4.9000000000000004"/>
    <n v="84"/>
    <n v="1"/>
    <n v="1"/>
  </r>
  <r>
    <m/>
    <m/>
    <x v="1"/>
    <s v="77468238001005"/>
    <n v="-4.3099999999999996"/>
    <n v="74"/>
    <n v="1"/>
    <n v="1"/>
  </r>
  <r>
    <m/>
    <m/>
    <x v="1"/>
    <s v="77524629001001"/>
    <n v="-39.69"/>
    <n v="681"/>
    <n v="1"/>
    <n v="1"/>
  </r>
  <r>
    <m/>
    <m/>
    <x v="1"/>
    <s v="77650352001001"/>
    <n v="-6.47"/>
    <n v="111"/>
    <n v="1"/>
    <n v="1"/>
  </r>
  <r>
    <m/>
    <m/>
    <x v="1"/>
    <s v="77671725001005"/>
    <n v="-7.63"/>
    <n v="131"/>
    <n v="1"/>
    <n v="1"/>
  </r>
  <r>
    <m/>
    <m/>
    <x v="1"/>
    <s v="77834930001003"/>
    <n v="-31.65"/>
    <n v="543"/>
    <n v="1"/>
    <n v="1"/>
  </r>
  <r>
    <m/>
    <m/>
    <x v="1"/>
    <s v="77914917002001"/>
    <n v="-19.23"/>
    <n v="330"/>
    <n v="1"/>
    <n v="1"/>
  </r>
  <r>
    <m/>
    <m/>
    <x v="1"/>
    <s v="77965715001003"/>
    <n v="-1.17"/>
    <n v="20"/>
    <n v="1"/>
    <n v="1"/>
  </r>
  <r>
    <m/>
    <m/>
    <x v="1"/>
    <s v="78085945002003"/>
    <n v="-47.27"/>
    <n v="811"/>
    <n v="1"/>
    <n v="1"/>
  </r>
  <r>
    <m/>
    <m/>
    <x v="1"/>
    <s v="78102550001004"/>
    <n v="-28.38"/>
    <n v="487"/>
    <n v="1"/>
    <n v="1"/>
  </r>
  <r>
    <m/>
    <m/>
    <x v="1"/>
    <s v="78319567001011"/>
    <n v="-40.15"/>
    <n v="689"/>
    <n v="1"/>
    <n v="1"/>
  </r>
  <r>
    <m/>
    <m/>
    <x v="1"/>
    <s v="78378527001001"/>
    <n v="-15.97"/>
    <n v="274"/>
    <n v="1"/>
    <n v="1"/>
  </r>
  <r>
    <m/>
    <m/>
    <x v="1"/>
    <s v="78487633001001"/>
    <n v="-17.54"/>
    <n v="301"/>
    <n v="1"/>
    <n v="1"/>
  </r>
  <r>
    <m/>
    <m/>
    <x v="1"/>
    <s v="78673057003001"/>
    <n v="-10.08"/>
    <n v="173"/>
    <n v="1"/>
    <n v="1"/>
  </r>
  <r>
    <m/>
    <m/>
    <x v="1"/>
    <s v="78695215001003"/>
    <n v="-0.57999999999999996"/>
    <n v="10"/>
    <n v="1"/>
    <n v="1"/>
  </r>
  <r>
    <m/>
    <m/>
    <x v="1"/>
    <s v="78695278001005"/>
    <n v="-0.28999999999999998"/>
    <n v="5"/>
    <n v="1"/>
    <n v="1"/>
  </r>
  <r>
    <m/>
    <m/>
    <x v="1"/>
    <s v="78724028001003"/>
    <n v="-41.79"/>
    <n v="717"/>
    <n v="1"/>
    <n v="1"/>
  </r>
  <r>
    <m/>
    <m/>
    <x v="1"/>
    <s v="78902898001016"/>
    <n v="-7.46"/>
    <n v="128"/>
    <n v="1"/>
    <n v="1"/>
  </r>
  <r>
    <m/>
    <m/>
    <x v="1"/>
    <s v="79041940001001"/>
    <n v="-3.44"/>
    <n v="59"/>
    <n v="1"/>
    <n v="1"/>
  </r>
  <r>
    <m/>
    <m/>
    <x v="1"/>
    <s v="79143940001001"/>
    <n v="-12.82"/>
    <n v="220"/>
    <n v="1"/>
    <n v="1"/>
  </r>
  <r>
    <m/>
    <m/>
    <x v="1"/>
    <s v="79306812001001"/>
    <n v="-18.07"/>
    <n v="310"/>
    <n v="1"/>
    <n v="1"/>
  </r>
  <r>
    <m/>
    <m/>
    <x v="1"/>
    <s v="79495965001004"/>
    <n v="-0.23"/>
    <n v="4"/>
    <n v="1"/>
    <n v="1"/>
  </r>
  <r>
    <m/>
    <m/>
    <x v="1"/>
    <s v="79691093001003"/>
    <n v="-29.43"/>
    <n v="505"/>
    <n v="1"/>
    <n v="1"/>
  </r>
  <r>
    <m/>
    <m/>
    <x v="1"/>
    <s v="79804496001003"/>
    <n v="-3.09"/>
    <n v="53"/>
    <n v="1"/>
    <n v="1"/>
  </r>
  <r>
    <m/>
    <m/>
    <x v="1"/>
    <s v="79932201001006"/>
    <n v="-6.64"/>
    <n v="114"/>
    <n v="1"/>
    <n v="1"/>
  </r>
  <r>
    <m/>
    <m/>
    <x v="1"/>
    <s v="80525911001014"/>
    <n v="-66.91"/>
    <n v="1148"/>
    <n v="1"/>
    <n v="1"/>
  </r>
  <r>
    <m/>
    <m/>
    <x v="1"/>
    <s v="80534796005001"/>
    <n v="-60.55"/>
    <n v="1039"/>
    <n v="1"/>
    <n v="1"/>
  </r>
  <r>
    <m/>
    <m/>
    <x v="1"/>
    <s v="80668896002003"/>
    <n v="-22.2"/>
    <n v="381"/>
    <n v="1"/>
    <n v="1"/>
  </r>
  <r>
    <m/>
    <m/>
    <x v="1"/>
    <s v="80690359001001"/>
    <n v="-11.36"/>
    <n v="195"/>
    <n v="1"/>
    <n v="1"/>
  </r>
  <r>
    <m/>
    <m/>
    <x v="1"/>
    <s v="80926951003001"/>
    <n v="-6.35"/>
    <n v="109"/>
    <n v="1"/>
    <n v="1"/>
  </r>
  <r>
    <m/>
    <m/>
    <x v="1"/>
    <s v="80965084001001"/>
    <n v="-24.48"/>
    <n v="420"/>
    <n v="1"/>
    <n v="1"/>
  </r>
  <r>
    <m/>
    <m/>
    <x v="1"/>
    <s v="81012464001003"/>
    <n v="-26.58"/>
    <n v="456"/>
    <n v="1"/>
    <n v="1"/>
  </r>
  <r>
    <m/>
    <m/>
    <x v="1"/>
    <s v="81058312001001"/>
    <n v="-27.74"/>
    <n v="476"/>
    <n v="1"/>
    <n v="1"/>
  </r>
  <r>
    <m/>
    <m/>
    <x v="1"/>
    <s v="81118246001009"/>
    <n v="-15.97"/>
    <n v="274"/>
    <n v="1"/>
    <n v="1"/>
  </r>
  <r>
    <m/>
    <m/>
    <x v="1"/>
    <s v="81197766002001"/>
    <n v="-8.33"/>
    <n v="143"/>
    <n v="1"/>
    <n v="1"/>
  </r>
  <r>
    <m/>
    <m/>
    <x v="1"/>
    <s v="81390168001001"/>
    <n v="-14.8"/>
    <n v="254"/>
    <n v="1"/>
    <n v="1"/>
  </r>
  <r>
    <m/>
    <m/>
    <x v="1"/>
    <s v="81396136002004"/>
    <n v="-0.87"/>
    <n v="15"/>
    <n v="1"/>
    <n v="1"/>
  </r>
  <r>
    <m/>
    <m/>
    <x v="1"/>
    <s v="81473774001001"/>
    <n v="-15.44"/>
    <n v="265"/>
    <n v="1"/>
    <n v="1"/>
  </r>
  <r>
    <m/>
    <m/>
    <x v="1"/>
    <s v="81498585001005"/>
    <n v="-4.43"/>
    <n v="76"/>
    <n v="1"/>
    <n v="1"/>
  </r>
  <r>
    <m/>
    <m/>
    <x v="1"/>
    <s v="81908653002007"/>
    <n v="-19.41"/>
    <n v="333"/>
    <n v="1"/>
    <n v="1"/>
  </r>
  <r>
    <m/>
    <m/>
    <x v="1"/>
    <s v="81910607001001"/>
    <n v="-37.01"/>
    <n v="635"/>
    <n v="1"/>
    <n v="1"/>
  </r>
  <r>
    <m/>
    <m/>
    <x v="1"/>
    <s v="81956135001004"/>
    <n v="-80.37"/>
    <n v="1379"/>
    <n v="1"/>
    <n v="1"/>
  </r>
  <r>
    <m/>
    <m/>
    <x v="1"/>
    <s v="82045096001001"/>
    <n v="-5.77"/>
    <n v="99"/>
    <n v="1"/>
    <n v="1"/>
  </r>
  <r>
    <m/>
    <m/>
    <x v="1"/>
    <s v="82108870001003"/>
    <n v="-7.81"/>
    <n v="134"/>
    <n v="1"/>
    <n v="1"/>
  </r>
  <r>
    <m/>
    <m/>
    <x v="1"/>
    <s v="82216737013001"/>
    <n v="-32.4"/>
    <n v="556"/>
    <n v="1"/>
    <n v="1"/>
  </r>
  <r>
    <m/>
    <m/>
    <x v="1"/>
    <s v="82225464001008"/>
    <n v="-10.61"/>
    <n v="182"/>
    <n v="1"/>
    <n v="1"/>
  </r>
  <r>
    <m/>
    <m/>
    <x v="1"/>
    <s v="82233435001002"/>
    <n v="-7.29"/>
    <n v="125"/>
    <n v="1"/>
    <n v="1"/>
  </r>
  <r>
    <m/>
    <m/>
    <x v="1"/>
    <s v="82314056001001"/>
    <n v="-13.58"/>
    <n v="233"/>
    <n v="1"/>
    <n v="1"/>
  </r>
  <r>
    <m/>
    <m/>
    <x v="1"/>
    <s v="82385356001001"/>
    <n v="-6.82"/>
    <n v="117"/>
    <n v="1"/>
    <n v="1"/>
  </r>
  <r>
    <m/>
    <m/>
    <x v="1"/>
    <s v="82551362001003"/>
    <n v="-24.71"/>
    <n v="424"/>
    <n v="1"/>
    <n v="1"/>
  </r>
  <r>
    <m/>
    <m/>
    <x v="1"/>
    <s v="82713739001005"/>
    <n v="-0.7"/>
    <n v="12"/>
    <n v="1"/>
    <n v="1"/>
  </r>
  <r>
    <m/>
    <m/>
    <x v="1"/>
    <s v="82834571001003"/>
    <n v="-88.64"/>
    <n v="1521"/>
    <n v="1"/>
    <n v="1"/>
  </r>
  <r>
    <m/>
    <m/>
    <x v="1"/>
    <s v="82980447003001"/>
    <n v="-6.7"/>
    <n v="115"/>
    <n v="1"/>
    <n v="1"/>
  </r>
  <r>
    <m/>
    <m/>
    <x v="1"/>
    <s v="83166675001001"/>
    <n v="-9.56"/>
    <n v="164"/>
    <n v="1"/>
    <n v="1"/>
  </r>
  <r>
    <m/>
    <m/>
    <x v="1"/>
    <s v="83341239005003"/>
    <n v="-2.8"/>
    <n v="48"/>
    <n v="1"/>
    <n v="1"/>
  </r>
  <r>
    <m/>
    <m/>
    <x v="1"/>
    <s v="83345985001001"/>
    <n v="-6.41"/>
    <n v="110"/>
    <n v="1"/>
    <n v="1"/>
  </r>
  <r>
    <m/>
    <m/>
    <x v="1"/>
    <s v="83389146001010"/>
    <n v="-57.99"/>
    <n v="995"/>
    <n v="1"/>
    <n v="1"/>
  </r>
  <r>
    <m/>
    <m/>
    <x v="1"/>
    <s v="83464000001003"/>
    <n v="-12.12"/>
    <n v="208"/>
    <n v="1"/>
    <n v="1"/>
  </r>
  <r>
    <m/>
    <m/>
    <x v="1"/>
    <s v="83488906003011"/>
    <n v="-13.52"/>
    <n v="232"/>
    <n v="1"/>
    <n v="1"/>
  </r>
  <r>
    <m/>
    <m/>
    <x v="1"/>
    <s v="83489581005001"/>
    <n v="-9.2100000000000009"/>
    <n v="158"/>
    <n v="1"/>
    <n v="1"/>
  </r>
  <r>
    <m/>
    <m/>
    <x v="1"/>
    <s v="83534984001009"/>
    <n v="-20.51"/>
    <n v="352"/>
    <n v="1"/>
    <n v="1"/>
  </r>
  <r>
    <m/>
    <m/>
    <x v="1"/>
    <s v="83665512001003"/>
    <n v="-8.68"/>
    <n v="149"/>
    <n v="1"/>
    <n v="1"/>
  </r>
  <r>
    <m/>
    <m/>
    <x v="1"/>
    <s v="83801335001007"/>
    <n v="-100.88"/>
    <n v="1731"/>
    <n v="1"/>
    <n v="1"/>
  </r>
  <r>
    <m/>
    <m/>
    <x v="1"/>
    <s v="83824088001011"/>
    <n v="-9.5"/>
    <n v="163"/>
    <n v="1"/>
    <n v="1"/>
  </r>
  <r>
    <m/>
    <m/>
    <x v="1"/>
    <s v="83899589001014"/>
    <n v="-74.069999999999993"/>
    <n v="1271"/>
    <n v="1"/>
    <n v="1"/>
  </r>
  <r>
    <m/>
    <m/>
    <x v="1"/>
    <s v="83940883001001"/>
    <n v="-7.75"/>
    <n v="133"/>
    <n v="1"/>
    <n v="1"/>
  </r>
  <r>
    <m/>
    <m/>
    <x v="1"/>
    <s v="84108570003004"/>
    <n v="-2.16"/>
    <n v="37"/>
    <n v="1"/>
    <n v="1"/>
  </r>
  <r>
    <m/>
    <m/>
    <x v="1"/>
    <s v="84291714001001"/>
    <n v="-0.28999999999999998"/>
    <n v="5"/>
    <n v="1"/>
    <n v="1"/>
  </r>
  <r>
    <m/>
    <m/>
    <x v="1"/>
    <s v="84652678001001"/>
    <n v="-4.3099999999999996"/>
    <n v="74"/>
    <n v="1"/>
    <n v="1"/>
  </r>
  <r>
    <m/>
    <m/>
    <x v="1"/>
    <s v="84749539001001"/>
    <n v="-14.74"/>
    <n v="253"/>
    <n v="1"/>
    <n v="1"/>
  </r>
  <r>
    <m/>
    <m/>
    <x v="1"/>
    <s v="84968906001001"/>
    <n v="-17.48"/>
    <n v="300"/>
    <n v="1"/>
    <n v="1"/>
  </r>
  <r>
    <m/>
    <m/>
    <x v="1"/>
    <s v="85004567002010"/>
    <n v="-10.199999999999999"/>
    <n v="175"/>
    <n v="1"/>
    <n v="1"/>
  </r>
  <r>
    <m/>
    <m/>
    <x v="1"/>
    <s v="85036880003001"/>
    <n v="-4.49"/>
    <n v="77"/>
    <n v="1"/>
    <n v="1"/>
  </r>
  <r>
    <m/>
    <m/>
    <x v="1"/>
    <s v="85194732001005"/>
    <n v="-52.45"/>
    <n v="900"/>
    <n v="1"/>
    <n v="1"/>
  </r>
  <r>
    <m/>
    <m/>
    <x v="1"/>
    <s v="85278184001006"/>
    <n v="-14.98"/>
    <n v="257"/>
    <n v="1"/>
    <n v="1"/>
  </r>
  <r>
    <m/>
    <m/>
    <x v="1"/>
    <s v="85292110001006"/>
    <n v="-64.63"/>
    <n v="1109"/>
    <n v="1"/>
    <n v="1"/>
  </r>
  <r>
    <m/>
    <m/>
    <x v="1"/>
    <s v="85313155001006"/>
    <n v="-5.07"/>
    <n v="87"/>
    <n v="1"/>
    <n v="1"/>
  </r>
  <r>
    <m/>
    <m/>
    <x v="1"/>
    <s v="86028893001003"/>
    <n v="-40.33"/>
    <n v="692"/>
    <n v="1"/>
    <n v="1"/>
  </r>
  <r>
    <m/>
    <m/>
    <x v="1"/>
    <s v="86131823008001"/>
    <n v="-101.06"/>
    <n v="1734"/>
    <n v="1"/>
    <n v="1"/>
  </r>
  <r>
    <m/>
    <m/>
    <x v="1"/>
    <s v="86306802001001"/>
    <n v="-50.94"/>
    <n v="874"/>
    <n v="1"/>
    <n v="1"/>
  </r>
  <r>
    <m/>
    <m/>
    <x v="1"/>
    <s v="86342190001003"/>
    <n v="-11.95"/>
    <n v="205"/>
    <n v="1"/>
    <n v="1"/>
  </r>
  <r>
    <m/>
    <m/>
    <x v="1"/>
    <s v="86390002001003"/>
    <n v="-47.5"/>
    <n v="815"/>
    <n v="1"/>
    <n v="1"/>
  </r>
  <r>
    <m/>
    <m/>
    <x v="1"/>
    <s v="86557042001001"/>
    <n v="-5.42"/>
    <n v="93"/>
    <n v="1"/>
    <n v="1"/>
  </r>
  <r>
    <m/>
    <m/>
    <x v="1"/>
    <s v="86649855002001"/>
    <n v="-28.67"/>
    <n v="492"/>
    <n v="1"/>
    <n v="1"/>
  </r>
  <r>
    <m/>
    <m/>
    <x v="1"/>
    <s v="86773366001001"/>
    <n v="-89.93"/>
    <n v="1543"/>
    <n v="1"/>
    <n v="1"/>
  </r>
  <r>
    <m/>
    <m/>
    <x v="1"/>
    <s v="86988920001001"/>
    <n v="-10.199999999999999"/>
    <n v="175"/>
    <n v="1"/>
    <n v="1"/>
  </r>
  <r>
    <m/>
    <m/>
    <x v="1"/>
    <s v="87014077001006"/>
    <n v="-13.99"/>
    <n v="240"/>
    <n v="1"/>
    <n v="1"/>
  </r>
  <r>
    <m/>
    <m/>
    <x v="1"/>
    <s v="87016911001003"/>
    <n v="-3.03"/>
    <n v="52"/>
    <n v="1"/>
    <n v="1"/>
  </r>
  <r>
    <m/>
    <m/>
    <x v="1"/>
    <s v="87361385001003"/>
    <n v="-6"/>
    <n v="103"/>
    <n v="1"/>
    <n v="1"/>
  </r>
  <r>
    <m/>
    <m/>
    <x v="1"/>
    <s v="87380869001001"/>
    <n v="-19.23"/>
    <n v="330"/>
    <n v="1"/>
    <n v="1"/>
  </r>
  <r>
    <m/>
    <m/>
    <x v="1"/>
    <s v="87418750001001"/>
    <n v="-15.85"/>
    <n v="272"/>
    <n v="1"/>
    <n v="1"/>
  </r>
  <r>
    <m/>
    <m/>
    <x v="1"/>
    <s v="87544588001002"/>
    <n v="-7.52"/>
    <n v="129"/>
    <n v="1"/>
    <n v="1"/>
  </r>
  <r>
    <m/>
    <m/>
    <x v="1"/>
    <s v="87551644002001"/>
    <n v="-50.47"/>
    <n v="866"/>
    <n v="1"/>
    <n v="1"/>
  </r>
  <r>
    <m/>
    <m/>
    <x v="1"/>
    <s v="87604227002002"/>
    <n v="-24.83"/>
    <n v="426"/>
    <n v="1"/>
    <n v="1"/>
  </r>
  <r>
    <m/>
    <m/>
    <x v="1"/>
    <s v="87791029001001"/>
    <n v="-14.86"/>
    <n v="255"/>
    <n v="1"/>
    <n v="1"/>
  </r>
  <r>
    <m/>
    <m/>
    <x v="1"/>
    <s v="87810851004003"/>
    <n v="-81.069999999999993"/>
    <n v="1391"/>
    <n v="1"/>
    <n v="1"/>
  </r>
  <r>
    <m/>
    <m/>
    <x v="1"/>
    <s v="87815744002003"/>
    <n v="-42.72"/>
    <n v="733"/>
    <n v="1"/>
    <n v="1"/>
  </r>
  <r>
    <m/>
    <m/>
    <x v="1"/>
    <s v="88059297001001"/>
    <n v="-1.57"/>
    <n v="27"/>
    <n v="1"/>
    <n v="1"/>
  </r>
  <r>
    <m/>
    <m/>
    <x v="1"/>
    <s v="88298279001006"/>
    <n v="-4.2"/>
    <n v="72"/>
    <n v="1"/>
    <n v="1"/>
  </r>
  <r>
    <m/>
    <m/>
    <x v="1"/>
    <s v="88386366001006"/>
    <n v="-31.12"/>
    <n v="534"/>
    <n v="1"/>
    <n v="1"/>
  </r>
  <r>
    <m/>
    <m/>
    <x v="1"/>
    <s v="88531575001003"/>
    <n v="-21.56"/>
    <n v="370"/>
    <n v="1"/>
    <n v="1"/>
  </r>
  <r>
    <m/>
    <m/>
    <x v="1"/>
    <s v="88585974001001"/>
    <n v="-2.04"/>
    <n v="35"/>
    <n v="1"/>
    <n v="1"/>
  </r>
  <r>
    <m/>
    <m/>
    <x v="1"/>
    <s v="88587941001003"/>
    <n v="-14.98"/>
    <n v="257"/>
    <n v="1"/>
    <n v="1"/>
  </r>
  <r>
    <m/>
    <m/>
    <x v="1"/>
    <s v="88706120001001"/>
    <n v="-9.56"/>
    <n v="164"/>
    <n v="1"/>
    <n v="1"/>
  </r>
  <r>
    <m/>
    <m/>
    <x v="1"/>
    <s v="88756758002012"/>
    <n v="-7.69"/>
    <n v="132"/>
    <n v="1"/>
    <n v="1"/>
  </r>
  <r>
    <m/>
    <m/>
    <x v="1"/>
    <s v="88774653001009"/>
    <n v="-31.06"/>
    <n v="533"/>
    <n v="1"/>
    <n v="1"/>
  </r>
  <r>
    <m/>
    <m/>
    <x v="1"/>
    <s v="88891691002011"/>
    <n v="-29.61"/>
    <n v="508"/>
    <n v="1"/>
    <n v="1"/>
  </r>
  <r>
    <m/>
    <m/>
    <x v="1"/>
    <s v="88998446001001"/>
    <n v="-7.4"/>
    <n v="127"/>
    <n v="1"/>
    <n v="1"/>
  </r>
  <r>
    <m/>
    <m/>
    <x v="1"/>
    <s v="89037466001001"/>
    <n v="-0.52"/>
    <n v="9"/>
    <n v="1"/>
    <n v="1"/>
  </r>
  <r>
    <m/>
    <m/>
    <x v="1"/>
    <s v="89105915001001"/>
    <n v="-21.16"/>
    <n v="363"/>
    <n v="1"/>
    <n v="1"/>
  </r>
  <r>
    <m/>
    <m/>
    <x v="1"/>
    <s v="89128925001003"/>
    <n v="-7.17"/>
    <n v="123"/>
    <n v="1"/>
    <n v="1"/>
  </r>
  <r>
    <m/>
    <m/>
    <x v="1"/>
    <s v="89214483001001"/>
    <n v="-0.35"/>
    <n v="6"/>
    <n v="1"/>
    <n v="1"/>
  </r>
  <r>
    <m/>
    <m/>
    <x v="1"/>
    <s v="89456905001003"/>
    <n v="-11.95"/>
    <n v="205"/>
    <n v="1"/>
    <n v="1"/>
  </r>
  <r>
    <m/>
    <m/>
    <x v="1"/>
    <s v="89712565001005"/>
    <n v="-12.47"/>
    <n v="214"/>
    <n v="1"/>
    <n v="1"/>
  </r>
  <r>
    <m/>
    <m/>
    <x v="1"/>
    <s v="89747832004001"/>
    <n v="-86.84"/>
    <n v="1490"/>
    <n v="1"/>
    <n v="1"/>
  </r>
  <r>
    <m/>
    <m/>
    <x v="1"/>
    <s v="89769832001004"/>
    <n v="-12.47"/>
    <n v="214"/>
    <n v="1"/>
    <n v="1"/>
  </r>
  <r>
    <m/>
    <m/>
    <x v="1"/>
    <s v="89805136001001"/>
    <n v="-13.75"/>
    <n v="236"/>
    <n v="1"/>
    <n v="1"/>
  </r>
  <r>
    <m/>
    <m/>
    <x v="1"/>
    <s v="89843398001002"/>
    <n v="-53.09"/>
    <n v="911"/>
    <n v="1"/>
    <n v="1"/>
  </r>
  <r>
    <m/>
    <m/>
    <x v="1"/>
    <s v="89887026001003"/>
    <n v="-58.4"/>
    <n v="1002"/>
    <n v="1"/>
    <n v="1"/>
  </r>
  <r>
    <m/>
    <m/>
    <x v="1"/>
    <s v="89900422001003"/>
    <n v="-3.15"/>
    <n v="54"/>
    <n v="1"/>
    <n v="1"/>
  </r>
  <r>
    <m/>
    <m/>
    <x v="1"/>
    <s v="90167563001003"/>
    <n v="-29.72"/>
    <n v="510"/>
    <n v="1"/>
    <n v="1"/>
  </r>
  <r>
    <m/>
    <m/>
    <x v="1"/>
    <s v="90223411001018"/>
    <n v="-0.28999999999999998"/>
    <n v="5"/>
    <n v="1"/>
    <n v="1"/>
  </r>
  <r>
    <m/>
    <m/>
    <x v="1"/>
    <s v="90376961001005"/>
    <n v="-65.510000000000005"/>
    <n v="1124"/>
    <n v="1"/>
    <n v="1"/>
  </r>
  <r>
    <m/>
    <m/>
    <x v="1"/>
    <s v="90718040001001"/>
    <n v="-32.58"/>
    <n v="559"/>
    <n v="1"/>
    <n v="1"/>
  </r>
  <r>
    <m/>
    <m/>
    <x v="1"/>
    <s v="90740546001001"/>
    <n v="-15.5"/>
    <n v="266"/>
    <n v="1"/>
    <n v="1"/>
  </r>
  <r>
    <m/>
    <m/>
    <x v="1"/>
    <s v="90803817001003"/>
    <n v="-18.18"/>
    <n v="312"/>
    <n v="1"/>
    <n v="1"/>
  </r>
  <r>
    <m/>
    <m/>
    <x v="1"/>
    <s v="90805481002003"/>
    <n v="-55.37"/>
    <n v="950"/>
    <n v="1"/>
    <n v="1"/>
  </r>
  <r>
    <m/>
    <m/>
    <x v="1"/>
    <s v="90822240011001"/>
    <n v="-16.09"/>
    <n v="276"/>
    <n v="1"/>
    <n v="1"/>
  </r>
  <r>
    <m/>
    <m/>
    <x v="1"/>
    <s v="90875802001001"/>
    <n v="-1.57"/>
    <n v="27"/>
    <n v="1"/>
    <n v="1"/>
  </r>
  <r>
    <m/>
    <m/>
    <x v="1"/>
    <s v="91428706001001"/>
    <n v="-30.6"/>
    <n v="525"/>
    <n v="1"/>
    <n v="1"/>
  </r>
  <r>
    <m/>
    <m/>
    <x v="1"/>
    <s v="91750195001001"/>
    <n v="-1.98"/>
    <n v="34"/>
    <n v="1"/>
    <n v="1"/>
  </r>
  <r>
    <m/>
    <m/>
    <x v="1"/>
    <s v="91808671001002"/>
    <n v="-109.04"/>
    <n v="1871"/>
    <n v="1"/>
    <n v="1"/>
  </r>
  <r>
    <m/>
    <m/>
    <x v="1"/>
    <s v="91847159001001"/>
    <n v="-17.600000000000001"/>
    <n v="302"/>
    <n v="1"/>
    <n v="1"/>
  </r>
  <r>
    <m/>
    <m/>
    <x v="1"/>
    <s v="91947072001002"/>
    <n v="-3.85"/>
    <n v="66"/>
    <n v="1"/>
    <n v="1"/>
  </r>
  <r>
    <m/>
    <m/>
    <x v="1"/>
    <s v="92016111001005"/>
    <n v="-7.46"/>
    <n v="128"/>
    <n v="1"/>
    <n v="1"/>
  </r>
  <r>
    <m/>
    <m/>
    <x v="1"/>
    <s v="92139692001003"/>
    <n v="-35.9"/>
    <n v="616"/>
    <n v="1"/>
    <n v="1"/>
  </r>
  <r>
    <m/>
    <m/>
    <x v="1"/>
    <s v="92297397002002"/>
    <n v="-15.09"/>
    <n v="259"/>
    <n v="1"/>
    <n v="1"/>
  </r>
  <r>
    <m/>
    <m/>
    <x v="1"/>
    <s v="92399017001001"/>
    <n v="-0.76"/>
    <n v="13"/>
    <n v="1"/>
    <n v="1"/>
  </r>
  <r>
    <m/>
    <m/>
    <x v="1"/>
    <s v="92474314001001"/>
    <n v="-2.21"/>
    <n v="38"/>
    <n v="1"/>
    <n v="1"/>
  </r>
  <r>
    <m/>
    <m/>
    <x v="1"/>
    <s v="92612665001005"/>
    <n v="-29.96"/>
    <n v="514"/>
    <n v="1"/>
    <n v="1"/>
  </r>
  <r>
    <m/>
    <m/>
    <x v="1"/>
    <s v="92643112001001"/>
    <n v="-0.28999999999999998"/>
    <n v="5"/>
    <n v="1"/>
    <n v="1"/>
  </r>
  <r>
    <m/>
    <m/>
    <x v="1"/>
    <s v="92749025001003"/>
    <n v="-53.38"/>
    <n v="916"/>
    <n v="1"/>
    <n v="1"/>
  </r>
  <r>
    <m/>
    <m/>
    <x v="1"/>
    <s v="92784824002001"/>
    <n v="-13.87"/>
    <n v="238"/>
    <n v="1"/>
    <n v="1"/>
  </r>
  <r>
    <m/>
    <m/>
    <x v="1"/>
    <s v="92873766001005"/>
    <n v="-4.78"/>
    <n v="82"/>
    <n v="1"/>
    <n v="1"/>
  </r>
  <r>
    <m/>
    <m/>
    <x v="1"/>
    <s v="92883803001003"/>
    <n v="-15.62"/>
    <n v="268"/>
    <n v="1"/>
    <n v="1"/>
  </r>
  <r>
    <m/>
    <m/>
    <x v="1"/>
    <s v="92911654001007"/>
    <n v="-16.32"/>
    <n v="280"/>
    <n v="1"/>
    <n v="1"/>
  </r>
  <r>
    <m/>
    <m/>
    <x v="1"/>
    <s v="92962587001001"/>
    <n v="-34.44"/>
    <n v="591"/>
    <n v="1"/>
    <n v="1"/>
  </r>
  <r>
    <m/>
    <m/>
    <x v="1"/>
    <s v="92992711003001"/>
    <n v="-9.85"/>
    <n v="169"/>
    <n v="1"/>
    <n v="1"/>
  </r>
  <r>
    <m/>
    <m/>
    <x v="1"/>
    <s v="93109578002001"/>
    <n v="-13.11"/>
    <n v="225"/>
    <n v="1"/>
    <n v="1"/>
  </r>
  <r>
    <m/>
    <m/>
    <x v="1"/>
    <s v="93304243002003"/>
    <n v="-29.2"/>
    <n v="501"/>
    <n v="1"/>
    <n v="1"/>
  </r>
  <r>
    <m/>
    <m/>
    <x v="1"/>
    <s v="93368775001001"/>
    <n v="-2.56"/>
    <n v="44"/>
    <n v="1"/>
    <n v="1"/>
  </r>
  <r>
    <m/>
    <m/>
    <x v="1"/>
    <s v="93737043001001"/>
    <n v="-3.09"/>
    <n v="53"/>
    <n v="1"/>
    <n v="1"/>
  </r>
  <r>
    <m/>
    <m/>
    <x v="1"/>
    <s v="93981586001007"/>
    <n v="-29.66"/>
    <n v="509"/>
    <n v="1"/>
    <n v="1"/>
  </r>
  <r>
    <m/>
    <m/>
    <x v="1"/>
    <s v="94241438001002"/>
    <n v="-56.24"/>
    <n v="965"/>
    <n v="1"/>
    <n v="1"/>
  </r>
  <r>
    <m/>
    <m/>
    <x v="1"/>
    <s v="94338453002003"/>
    <n v="-9.91"/>
    <n v="170"/>
    <n v="1"/>
    <n v="1"/>
  </r>
  <r>
    <m/>
    <m/>
    <x v="1"/>
    <s v="94464191001001"/>
    <n v="-2.62"/>
    <n v="45"/>
    <n v="1"/>
    <n v="1"/>
  </r>
  <r>
    <m/>
    <m/>
    <x v="1"/>
    <s v="94495822001011"/>
    <n v="-16.03"/>
    <n v="275"/>
    <n v="1"/>
    <n v="1"/>
  </r>
  <r>
    <m/>
    <m/>
    <x v="1"/>
    <s v="94648149001003"/>
    <n v="-1.63"/>
    <n v="28"/>
    <n v="1"/>
    <n v="1"/>
  </r>
  <r>
    <m/>
    <m/>
    <x v="1"/>
    <s v="94900294001001"/>
    <n v="-11.66"/>
    <n v="200"/>
    <n v="1"/>
    <n v="1"/>
  </r>
  <r>
    <m/>
    <m/>
    <x v="1"/>
    <s v="95016897001001"/>
    <n v="-7.58"/>
    <n v="130"/>
    <n v="1"/>
    <n v="1"/>
  </r>
  <r>
    <m/>
    <m/>
    <x v="1"/>
    <s v="95073619001007"/>
    <n v="-4.66"/>
    <n v="80"/>
    <n v="1"/>
    <n v="1"/>
  </r>
  <r>
    <m/>
    <m/>
    <x v="1"/>
    <s v="95273141001001"/>
    <n v="-72.790000000000006"/>
    <n v="1249"/>
    <n v="1"/>
    <n v="1"/>
  </r>
  <r>
    <m/>
    <m/>
    <x v="1"/>
    <s v="95442300001013"/>
    <n v="-4.0199999999999996"/>
    <n v="69"/>
    <n v="1"/>
    <n v="1"/>
  </r>
  <r>
    <m/>
    <m/>
    <x v="1"/>
    <s v="95581312001002"/>
    <n v="-6.12"/>
    <n v="105"/>
    <n v="1"/>
    <n v="1"/>
  </r>
  <r>
    <m/>
    <m/>
    <x v="1"/>
    <s v="95983524001002"/>
    <n v="-69.59"/>
    <n v="1194"/>
    <n v="1"/>
    <n v="1"/>
  </r>
  <r>
    <m/>
    <m/>
    <x v="1"/>
    <s v="96029566001003"/>
    <n v="-11.31"/>
    <n v="194"/>
    <n v="1"/>
    <n v="1"/>
  </r>
  <r>
    <m/>
    <m/>
    <x v="1"/>
    <s v="96145942001001"/>
    <n v="-0.47"/>
    <n v="8"/>
    <n v="1"/>
    <n v="1"/>
  </r>
  <r>
    <m/>
    <m/>
    <x v="1"/>
    <s v="96156710001003"/>
    <n v="-4.78"/>
    <n v="82"/>
    <n v="1"/>
    <n v="1"/>
  </r>
  <r>
    <m/>
    <m/>
    <x v="1"/>
    <s v="96197510001001"/>
    <n v="-1.28"/>
    <n v="22"/>
    <n v="1"/>
    <n v="1"/>
  </r>
  <r>
    <m/>
    <m/>
    <x v="1"/>
    <s v="96206602001003"/>
    <n v="-3.15"/>
    <n v="54"/>
    <n v="1"/>
    <n v="1"/>
  </r>
  <r>
    <m/>
    <m/>
    <x v="1"/>
    <s v="96258332001001"/>
    <n v="-4.2"/>
    <n v="72"/>
    <n v="1"/>
    <n v="1"/>
  </r>
  <r>
    <m/>
    <m/>
    <x v="1"/>
    <s v="96526669001001"/>
    <n v="-6.7"/>
    <n v="115"/>
    <n v="1"/>
    <n v="1"/>
  </r>
  <r>
    <m/>
    <m/>
    <x v="1"/>
    <s v="96577802001001"/>
    <n v="-34.79"/>
    <n v="597"/>
    <n v="1"/>
    <n v="1"/>
  </r>
  <r>
    <m/>
    <m/>
    <x v="1"/>
    <s v="96609922001004"/>
    <n v="-7.93"/>
    <n v="136"/>
    <n v="1"/>
    <n v="1"/>
  </r>
  <r>
    <m/>
    <m/>
    <x v="1"/>
    <s v="96660241001001"/>
    <n v="-10.67"/>
    <n v="183"/>
    <n v="1"/>
    <n v="1"/>
  </r>
  <r>
    <m/>
    <m/>
    <x v="1"/>
    <s v="96664201001004"/>
    <n v="-13.99"/>
    <n v="240"/>
    <n v="1"/>
    <n v="1"/>
  </r>
  <r>
    <m/>
    <m/>
    <x v="1"/>
    <s v="96696838001001"/>
    <n v="-53.38"/>
    <n v="916"/>
    <n v="1"/>
    <n v="1"/>
  </r>
  <r>
    <m/>
    <m/>
    <x v="1"/>
    <s v="96746681001003"/>
    <n v="-10.61"/>
    <n v="182"/>
    <n v="1"/>
    <n v="1"/>
  </r>
  <r>
    <m/>
    <m/>
    <x v="1"/>
    <s v="96958659001002"/>
    <n v="-9.73"/>
    <n v="167"/>
    <n v="1"/>
    <n v="1"/>
  </r>
  <r>
    <m/>
    <m/>
    <x v="1"/>
    <s v="97107286005003"/>
    <n v="-72.150000000000006"/>
    <n v="1238"/>
    <n v="1"/>
    <n v="1"/>
  </r>
  <r>
    <m/>
    <m/>
    <x v="1"/>
    <s v="97231261001003"/>
    <n v="-13.99"/>
    <n v="240"/>
    <n v="1"/>
    <n v="1"/>
  </r>
  <r>
    <m/>
    <m/>
    <x v="1"/>
    <s v="97385680002001"/>
    <n v="-110.38"/>
    <n v="1894"/>
    <n v="1"/>
    <n v="1"/>
  </r>
  <r>
    <m/>
    <m/>
    <x v="1"/>
    <s v="97555489002002"/>
    <n v="-1.4"/>
    <n v="24"/>
    <n v="1"/>
    <n v="1"/>
  </r>
  <r>
    <m/>
    <m/>
    <x v="1"/>
    <s v="97678050001005"/>
    <n v="-7.98"/>
    <n v="137"/>
    <n v="1"/>
    <n v="1"/>
  </r>
  <r>
    <m/>
    <m/>
    <x v="1"/>
    <s v="97778274001003"/>
    <n v="-23.95"/>
    <n v="411"/>
    <n v="1"/>
    <n v="1"/>
  </r>
  <r>
    <m/>
    <m/>
    <x v="1"/>
    <s v="97914163001004"/>
    <n v="-39.75"/>
    <n v="682"/>
    <n v="1"/>
    <n v="1"/>
  </r>
  <r>
    <m/>
    <m/>
    <x v="1"/>
    <s v="97968796004005"/>
    <n v="-0.64"/>
    <n v="11"/>
    <n v="1"/>
    <n v="1"/>
  </r>
  <r>
    <m/>
    <m/>
    <x v="1"/>
    <s v="98090991003001"/>
    <n v="-39.28"/>
    <n v="674"/>
    <n v="1"/>
    <n v="1"/>
  </r>
  <r>
    <m/>
    <m/>
    <x v="1"/>
    <s v="98140968004001"/>
    <n v="-22.2"/>
    <n v="381"/>
    <n v="1"/>
    <n v="1"/>
  </r>
  <r>
    <m/>
    <m/>
    <x v="1"/>
    <s v="98317810002005"/>
    <n v="-65.22"/>
    <n v="1119"/>
    <n v="1"/>
    <n v="1"/>
  </r>
  <r>
    <m/>
    <m/>
    <x v="1"/>
    <s v="98374511001001"/>
    <n v="-2.33"/>
    <n v="40"/>
    <n v="1"/>
    <n v="1"/>
  </r>
  <r>
    <m/>
    <m/>
    <x v="1"/>
    <s v="98578986001002"/>
    <n v="-35.729999999999997"/>
    <n v="613"/>
    <n v="1"/>
    <n v="1"/>
  </r>
  <r>
    <m/>
    <m/>
    <x v="1"/>
    <s v="98657291002001"/>
    <n v="-46.86"/>
    <n v="804"/>
    <n v="1"/>
    <n v="1"/>
  </r>
  <r>
    <m/>
    <m/>
    <x v="1"/>
    <s v="98734416001003"/>
    <n v="-25.58"/>
    <n v="439"/>
    <n v="1"/>
    <n v="1"/>
  </r>
  <r>
    <m/>
    <m/>
    <x v="1"/>
    <s v="98785545001005"/>
    <n v="-17.43"/>
    <n v="299"/>
    <n v="1"/>
    <n v="1"/>
  </r>
  <r>
    <m/>
    <m/>
    <x v="1"/>
    <s v="98925007001003"/>
    <n v="-4.0199999999999996"/>
    <n v="69"/>
    <n v="1"/>
    <n v="1"/>
  </r>
  <r>
    <m/>
    <m/>
    <x v="1"/>
    <s v="98962968001003"/>
    <n v="-10.9"/>
    <n v="187"/>
    <n v="1"/>
    <n v="1"/>
  </r>
  <r>
    <m/>
    <m/>
    <x v="1"/>
    <s v="98982821001003"/>
    <n v="-19.7"/>
    <n v="338"/>
    <n v="1"/>
    <n v="1"/>
  </r>
  <r>
    <m/>
    <m/>
    <x v="1"/>
    <s v="99107518001001"/>
    <n v="-17.89"/>
    <n v="307"/>
    <n v="1"/>
    <n v="1"/>
  </r>
  <r>
    <m/>
    <m/>
    <x v="1"/>
    <s v="99409206001002"/>
    <n v="-170.64"/>
    <n v="2928"/>
    <n v="1"/>
    <n v="1"/>
  </r>
  <r>
    <m/>
    <m/>
    <x v="1"/>
    <s v="99456731002005"/>
    <n v="-38.76"/>
    <n v="665"/>
    <n v="1"/>
    <n v="1"/>
  </r>
  <r>
    <m/>
    <m/>
    <x v="1"/>
    <s v="99477084001003"/>
    <n v="-28.5"/>
    <n v="489"/>
    <n v="1"/>
    <n v="1"/>
  </r>
  <r>
    <m/>
    <m/>
    <x v="1"/>
    <s v="99576705001002"/>
    <n v="-0.64"/>
    <n v="11"/>
    <n v="1"/>
    <n v="1"/>
  </r>
  <r>
    <m/>
    <m/>
    <x v="1"/>
    <s v="99632972002001"/>
    <n v="-63.23"/>
    <n v="1085"/>
    <n v="1"/>
    <n v="1"/>
  </r>
  <r>
    <m/>
    <m/>
    <x v="1"/>
    <s v="99635117002001"/>
    <n v="-4.0199999999999996"/>
    <n v="69"/>
    <n v="1"/>
    <n v="1"/>
  </r>
  <r>
    <m/>
    <m/>
    <x v="1"/>
    <s v="99662318001001"/>
    <n v="-22.2"/>
    <n v="381"/>
    <n v="1"/>
    <n v="1"/>
  </r>
  <r>
    <m/>
    <m/>
    <x v="1"/>
    <s v="99752520001007"/>
    <n v="-77.69"/>
    <n v="1333"/>
    <n v="1"/>
    <n v="1"/>
  </r>
  <r>
    <m/>
    <m/>
    <x v="6"/>
    <m/>
    <n v="-28195.310000000038"/>
    <n v="483792"/>
    <n v="1146"/>
    <n v="1144"/>
  </r>
  <r>
    <m/>
    <s v="201312"/>
    <x v="0"/>
    <s v="00006596001003"/>
    <n v="-32.92"/>
    <n v="1331"/>
    <n v="2"/>
    <n v="1"/>
  </r>
  <r>
    <m/>
    <m/>
    <x v="1"/>
    <s v="00641841001003"/>
    <n v="-81.449999999999989"/>
    <n v="3257"/>
    <n v="2"/>
    <n v="1"/>
  </r>
  <r>
    <m/>
    <m/>
    <x v="1"/>
    <s v="00973908002001"/>
    <n v="-72.2"/>
    <n v="2857"/>
    <n v="2"/>
    <n v="1"/>
  </r>
  <r>
    <m/>
    <m/>
    <x v="1"/>
    <s v="01063383001003"/>
    <n v="-75.14"/>
    <n v="3067"/>
    <n v="1"/>
    <n v="1"/>
  </r>
  <r>
    <m/>
    <m/>
    <x v="1"/>
    <s v="01147160001001"/>
    <n v="-71.009999999999991"/>
    <n v="2882"/>
    <n v="2"/>
    <n v="1"/>
  </r>
  <r>
    <m/>
    <m/>
    <x v="1"/>
    <s v="01423270002001"/>
    <n v="-63.36"/>
    <n v="2571"/>
    <n v="2"/>
    <n v="1"/>
  </r>
  <r>
    <m/>
    <m/>
    <x v="1"/>
    <s v="01799883001001"/>
    <n v="-71.17"/>
    <n v="2905"/>
    <n v="1"/>
    <n v="1"/>
  </r>
  <r>
    <m/>
    <m/>
    <x v="1"/>
    <s v="01883451001001"/>
    <n v="-61.76"/>
    <n v="2521"/>
    <n v="1"/>
    <n v="1"/>
  </r>
  <r>
    <m/>
    <m/>
    <x v="1"/>
    <s v="01982876002001"/>
    <n v="-67.489999999999995"/>
    <n v="2691"/>
    <n v="2"/>
    <n v="1"/>
  </r>
  <r>
    <m/>
    <m/>
    <x v="1"/>
    <s v="02021843001003"/>
    <n v="-52.07"/>
    <n v="2010"/>
    <n v="2"/>
    <n v="1"/>
  </r>
  <r>
    <m/>
    <m/>
    <x v="1"/>
    <s v="02486188001001"/>
    <n v="-40.69"/>
    <n v="1661"/>
    <n v="1"/>
    <n v="1"/>
  </r>
  <r>
    <m/>
    <m/>
    <x v="1"/>
    <s v="02819465001001"/>
    <n v="-58.09"/>
    <n v="2236"/>
    <n v="2"/>
    <n v="1"/>
  </r>
  <r>
    <m/>
    <m/>
    <x v="1"/>
    <s v="02947249002001"/>
    <n v="-42.82"/>
    <n v="1653"/>
    <n v="2"/>
    <n v="1"/>
  </r>
  <r>
    <m/>
    <m/>
    <x v="1"/>
    <s v="03033781001001"/>
    <n v="-8.6"/>
    <n v="344"/>
    <n v="2"/>
    <n v="1"/>
  </r>
  <r>
    <m/>
    <m/>
    <x v="1"/>
    <s v="03043958001002"/>
    <n v="-30.16"/>
    <n v="1231"/>
    <n v="1"/>
    <n v="1"/>
  </r>
  <r>
    <m/>
    <m/>
    <x v="1"/>
    <s v="03268055001001"/>
    <n v="-85.84"/>
    <n v="3397"/>
    <n v="2"/>
    <n v="1"/>
  </r>
  <r>
    <m/>
    <m/>
    <x v="1"/>
    <s v="03324156001002"/>
    <n v="-56.4"/>
    <n v="2249"/>
    <n v="2"/>
    <n v="1"/>
  </r>
  <r>
    <m/>
    <m/>
    <x v="1"/>
    <s v="03344382001003"/>
    <n v="-30.33"/>
    <n v="1238"/>
    <n v="1"/>
    <n v="1"/>
  </r>
  <r>
    <m/>
    <m/>
    <x v="1"/>
    <s v="03556592002007"/>
    <n v="-14.26"/>
    <n v="582"/>
    <n v="1"/>
    <n v="1"/>
  </r>
  <r>
    <m/>
    <m/>
    <x v="1"/>
    <s v="03563664001001"/>
    <n v="-32.74"/>
    <n v="1309"/>
    <n v="2"/>
    <n v="1"/>
  </r>
  <r>
    <m/>
    <m/>
    <x v="1"/>
    <s v="03566581001003"/>
    <n v="-78.319999999999993"/>
    <n v="3132"/>
    <n v="2"/>
    <n v="1"/>
  </r>
  <r>
    <m/>
    <m/>
    <x v="1"/>
    <s v="03650699001006"/>
    <n v="-46"/>
    <n v="1785"/>
    <n v="2"/>
    <n v="1"/>
  </r>
  <r>
    <m/>
    <m/>
    <x v="1"/>
    <s v="03893404001001"/>
    <n v="-73.8"/>
    <n v="2864"/>
    <n v="2"/>
    <n v="1"/>
  </r>
  <r>
    <m/>
    <m/>
    <x v="1"/>
    <s v="03959055001007"/>
    <n v="-53.02"/>
    <n v="2164"/>
    <n v="1"/>
    <n v="1"/>
  </r>
  <r>
    <m/>
    <m/>
    <x v="1"/>
    <s v="04205533001001"/>
    <n v="-44.15"/>
    <n v="1802"/>
    <n v="1"/>
    <n v="1"/>
  </r>
  <r>
    <m/>
    <m/>
    <x v="1"/>
    <s v="04226268001001"/>
    <n v="-3.77"/>
    <n v="154"/>
    <n v="1"/>
    <n v="1"/>
  </r>
  <r>
    <m/>
    <m/>
    <x v="1"/>
    <s v="04316925001003"/>
    <n v="-36.770000000000003"/>
    <n v="1501"/>
    <n v="1"/>
    <n v="1"/>
  </r>
  <r>
    <m/>
    <m/>
    <x v="1"/>
    <s v="04330395001006"/>
    <n v="-33.25"/>
    <n v="1357"/>
    <n v="1"/>
    <n v="1"/>
  </r>
  <r>
    <m/>
    <m/>
    <x v="1"/>
    <s v="04763856001008"/>
    <n v="-44.84"/>
    <n v="1830"/>
    <n v="1"/>
    <n v="1"/>
  </r>
  <r>
    <m/>
    <m/>
    <x v="1"/>
    <s v="04891223001003"/>
    <n v="-35.86"/>
    <n v="1384"/>
    <n v="2"/>
    <n v="1"/>
  </r>
  <r>
    <m/>
    <m/>
    <x v="1"/>
    <s v="05056696001001"/>
    <n v="-55.15"/>
    <n v="2199"/>
    <n v="2"/>
    <n v="1"/>
  </r>
  <r>
    <m/>
    <m/>
    <x v="1"/>
    <s v="05135552001001"/>
    <n v="-75.460000000000008"/>
    <n v="2913"/>
    <n v="2"/>
    <n v="1"/>
  </r>
  <r>
    <m/>
    <m/>
    <x v="1"/>
    <s v="05169515001001"/>
    <n v="-23.83"/>
    <n v="934"/>
    <n v="2"/>
    <n v="1"/>
  </r>
  <r>
    <m/>
    <m/>
    <x v="1"/>
    <s v="05495875001001"/>
    <n v="-70.070000000000007"/>
    <n v="2781"/>
    <n v="2"/>
    <n v="1"/>
  </r>
  <r>
    <m/>
    <m/>
    <x v="1"/>
    <s v="05626141001003"/>
    <n v="-66.739999999999995"/>
    <n v="2641"/>
    <n v="2"/>
    <n v="1"/>
  </r>
  <r>
    <m/>
    <m/>
    <x v="1"/>
    <s v="05631665002001"/>
    <n v="-21.49"/>
    <n v="877"/>
    <n v="1"/>
    <n v="1"/>
  </r>
  <r>
    <m/>
    <m/>
    <x v="1"/>
    <s v="05776636001001"/>
    <n v="-82.99"/>
    <n v="3195"/>
    <n v="2"/>
    <n v="1"/>
  </r>
  <r>
    <m/>
    <m/>
    <x v="1"/>
    <s v="05793654001003"/>
    <n v="-2.94"/>
    <n v="120"/>
    <n v="1"/>
    <n v="1"/>
  </r>
  <r>
    <m/>
    <m/>
    <x v="1"/>
    <s v="05867332001001"/>
    <n v="-48.269999999999996"/>
    <n v="1959"/>
    <n v="2"/>
    <n v="1"/>
  </r>
  <r>
    <m/>
    <m/>
    <x v="1"/>
    <s v="05950340001002"/>
    <n v="-63.7"/>
    <n v="2540"/>
    <n v="2"/>
    <n v="1"/>
  </r>
  <r>
    <m/>
    <m/>
    <x v="1"/>
    <s v="06087532001006"/>
    <n v="-36.409999999999997"/>
    <n v="1486"/>
    <n v="1"/>
    <n v="1"/>
  </r>
  <r>
    <m/>
    <m/>
    <x v="1"/>
    <s v="06259861001001"/>
    <n v="-5.14"/>
    <n v="205"/>
    <n v="2"/>
    <n v="1"/>
  </r>
  <r>
    <m/>
    <m/>
    <x v="1"/>
    <s v="06367818001001"/>
    <n v="-47.82"/>
    <n v="1872"/>
    <n v="2"/>
    <n v="1"/>
  </r>
  <r>
    <m/>
    <m/>
    <x v="1"/>
    <s v="06462432001001"/>
    <n v="-61.19"/>
    <n v="2362"/>
    <n v="2"/>
    <n v="1"/>
  </r>
  <r>
    <m/>
    <m/>
    <x v="1"/>
    <s v="06525325001005"/>
    <n v="-44.64"/>
    <n v="1790"/>
    <n v="2"/>
    <n v="1"/>
  </r>
  <r>
    <m/>
    <m/>
    <x v="1"/>
    <s v="06618747003005"/>
    <n v="-70.77"/>
    <n v="2838"/>
    <n v="2"/>
    <n v="1"/>
  </r>
  <r>
    <m/>
    <m/>
    <x v="1"/>
    <s v="06670399001005"/>
    <n v="-93.11"/>
    <n v="3594"/>
    <n v="2"/>
    <n v="1"/>
  </r>
  <r>
    <m/>
    <m/>
    <x v="1"/>
    <s v="06836429001001"/>
    <n v="-10.54"/>
    <n v="430"/>
    <n v="1"/>
    <n v="1"/>
  </r>
  <r>
    <m/>
    <m/>
    <x v="1"/>
    <s v="06910038001001"/>
    <n v="-13.350000000000001"/>
    <n v="521"/>
    <n v="2"/>
    <n v="1"/>
  </r>
  <r>
    <m/>
    <m/>
    <x v="1"/>
    <s v="06998048001001"/>
    <n v="-31.7"/>
    <n v="1272"/>
    <n v="2"/>
    <n v="1"/>
  </r>
  <r>
    <m/>
    <m/>
    <x v="1"/>
    <s v="07371395001001"/>
    <n v="-67.58"/>
    <n v="2712"/>
    <n v="2"/>
    <n v="1"/>
  </r>
  <r>
    <m/>
    <m/>
    <x v="1"/>
    <s v="07444293001002"/>
    <n v="-90.19"/>
    <n v="3472"/>
    <n v="2"/>
    <n v="1"/>
  </r>
  <r>
    <m/>
    <m/>
    <x v="1"/>
    <s v="07642562002001"/>
    <n v="-94.06"/>
    <n v="3621"/>
    <n v="2"/>
    <n v="1"/>
  </r>
  <r>
    <m/>
    <m/>
    <x v="1"/>
    <s v="07866347005003"/>
    <n v="-42.03"/>
    <n v="1676"/>
    <n v="2"/>
    <n v="1"/>
  </r>
  <r>
    <m/>
    <m/>
    <x v="1"/>
    <s v="07894781001001"/>
    <n v="-40.450000000000003"/>
    <n v="1613"/>
    <n v="2"/>
    <n v="1"/>
  </r>
  <r>
    <m/>
    <m/>
    <x v="1"/>
    <s v="07946368001003"/>
    <n v="-58.68"/>
    <n v="2290"/>
    <n v="2"/>
    <n v="1"/>
  </r>
  <r>
    <m/>
    <m/>
    <x v="1"/>
    <s v="08001690001004"/>
    <n v="-39.739999999999995"/>
    <n v="1562"/>
    <n v="2"/>
    <n v="1"/>
  </r>
  <r>
    <m/>
    <m/>
    <x v="1"/>
    <s v="08005911001002"/>
    <n v="-58.870000000000005"/>
    <n v="2354"/>
    <n v="2"/>
    <n v="1"/>
  </r>
  <r>
    <m/>
    <m/>
    <x v="1"/>
    <s v="08046015005003"/>
    <n v="-91.99"/>
    <n v="3570"/>
    <n v="2"/>
    <n v="1"/>
  </r>
  <r>
    <m/>
    <m/>
    <x v="1"/>
    <s v="08070610002001"/>
    <n v="-42.75"/>
    <n v="1745"/>
    <n v="1"/>
    <n v="1"/>
  </r>
  <r>
    <m/>
    <m/>
    <x v="1"/>
    <s v="08074271001001"/>
    <n v="-37.869999999999997"/>
    <n v="1458"/>
    <n v="2"/>
    <n v="1"/>
  </r>
  <r>
    <m/>
    <m/>
    <x v="1"/>
    <s v="08747776001001"/>
    <n v="-32.22"/>
    <n v="1315"/>
    <n v="1"/>
    <n v="1"/>
  </r>
  <r>
    <m/>
    <m/>
    <x v="1"/>
    <s v="08937879001001"/>
    <n v="-0.96"/>
    <n v="39"/>
    <n v="1"/>
    <n v="1"/>
  </r>
  <r>
    <m/>
    <m/>
    <x v="1"/>
    <s v="09136354002001"/>
    <n v="-23.93"/>
    <n v="947"/>
    <n v="2"/>
    <n v="1"/>
  </r>
  <r>
    <m/>
    <m/>
    <x v="1"/>
    <s v="09292149001001"/>
    <n v="-12.57"/>
    <n v="513"/>
    <n v="1"/>
    <n v="1"/>
  </r>
  <r>
    <m/>
    <m/>
    <x v="1"/>
    <s v="09301778001001"/>
    <n v="-83.539999999999992"/>
    <n v="3216"/>
    <n v="2"/>
    <n v="1"/>
  </r>
  <r>
    <m/>
    <m/>
    <x v="1"/>
    <s v="09889543002003"/>
    <n v="-23.89"/>
    <n v="939"/>
    <n v="2"/>
    <n v="1"/>
  </r>
  <r>
    <m/>
    <m/>
    <x v="1"/>
    <s v="10045212001003"/>
    <n v="-40.22"/>
    <n v="1614"/>
    <n v="2"/>
    <n v="1"/>
  </r>
  <r>
    <m/>
    <m/>
    <x v="1"/>
    <s v="10153548001001"/>
    <n v="-51.15"/>
    <n v="1985"/>
    <n v="2"/>
    <n v="1"/>
  </r>
  <r>
    <m/>
    <m/>
    <x v="1"/>
    <s v="10196138001001"/>
    <n v="-62.03"/>
    <n v="2532"/>
    <n v="1"/>
    <n v="1"/>
  </r>
  <r>
    <m/>
    <m/>
    <x v="1"/>
    <s v="10336485001005"/>
    <n v="-2.4"/>
    <n v="98"/>
    <n v="1"/>
    <n v="1"/>
  </r>
  <r>
    <m/>
    <m/>
    <x v="1"/>
    <s v="10356260001001"/>
    <n v="-58.82"/>
    <n v="2401"/>
    <n v="1"/>
    <n v="1"/>
  </r>
  <r>
    <m/>
    <m/>
    <x v="1"/>
    <s v="10489329001002"/>
    <n v="-74.45"/>
    <n v="2874"/>
    <n v="2"/>
    <n v="1"/>
  </r>
  <r>
    <m/>
    <m/>
    <x v="1"/>
    <s v="11039539002001"/>
    <n v="-52.14"/>
    <n v="2079"/>
    <n v="2"/>
    <n v="1"/>
  </r>
  <r>
    <m/>
    <m/>
    <x v="1"/>
    <s v="11144829001001"/>
    <n v="-51.6"/>
    <n v="2106"/>
    <n v="1"/>
    <n v="1"/>
  </r>
  <r>
    <m/>
    <m/>
    <x v="1"/>
    <s v="11242576001001"/>
    <n v="-51.79"/>
    <n v="2114"/>
    <n v="1"/>
    <n v="1"/>
  </r>
  <r>
    <m/>
    <m/>
    <x v="1"/>
    <s v="11263199001003"/>
    <n v="-48.6"/>
    <n v="1965"/>
    <n v="2"/>
    <n v="1"/>
  </r>
  <r>
    <m/>
    <m/>
    <x v="1"/>
    <s v="11296202003001"/>
    <n v="-48.19"/>
    <n v="1855"/>
    <n v="2"/>
    <n v="1"/>
  </r>
  <r>
    <m/>
    <m/>
    <x v="1"/>
    <s v="11373197001002"/>
    <n v="-13.25"/>
    <n v="510"/>
    <n v="2"/>
    <n v="1"/>
  </r>
  <r>
    <m/>
    <m/>
    <x v="1"/>
    <s v="11397922002001"/>
    <n v="-51.23"/>
    <n v="2091"/>
    <n v="1"/>
    <n v="1"/>
  </r>
  <r>
    <m/>
    <m/>
    <x v="1"/>
    <s v="11417944001001"/>
    <n v="-2.84"/>
    <n v="116"/>
    <n v="1"/>
    <n v="1"/>
  </r>
  <r>
    <m/>
    <m/>
    <x v="1"/>
    <s v="11542543001001"/>
    <n v="-2.0100000000000002"/>
    <n v="81"/>
    <n v="2"/>
    <n v="1"/>
  </r>
  <r>
    <m/>
    <m/>
    <x v="1"/>
    <s v="11646801001004"/>
    <n v="-36.19"/>
    <n v="1432"/>
    <n v="2"/>
    <n v="1"/>
  </r>
  <r>
    <m/>
    <m/>
    <x v="1"/>
    <s v="11957483001007"/>
    <n v="-36.440000000000005"/>
    <n v="1473"/>
    <n v="2"/>
    <n v="1"/>
  </r>
  <r>
    <m/>
    <m/>
    <x v="1"/>
    <s v="12013270001001"/>
    <n v="-8.92"/>
    <n v="364"/>
    <n v="1"/>
    <n v="1"/>
  </r>
  <r>
    <m/>
    <m/>
    <x v="1"/>
    <s v="12190744001001"/>
    <n v="-6.91"/>
    <n v="276"/>
    <n v="2"/>
    <n v="1"/>
  </r>
  <r>
    <m/>
    <m/>
    <x v="1"/>
    <s v="12393193001003"/>
    <n v="-35.31"/>
    <n v="1416"/>
    <n v="2"/>
    <n v="1"/>
  </r>
  <r>
    <m/>
    <m/>
    <x v="1"/>
    <s v="12667965001001"/>
    <n v="-22.69"/>
    <n v="926"/>
    <n v="1"/>
    <n v="1"/>
  </r>
  <r>
    <m/>
    <m/>
    <x v="1"/>
    <s v="12738000001001"/>
    <n v="-47.19"/>
    <n v="1926"/>
    <n v="1"/>
    <n v="1"/>
  </r>
  <r>
    <m/>
    <m/>
    <x v="1"/>
    <s v="12738579001003"/>
    <n v="-58.129999999999995"/>
    <n v="2238"/>
    <n v="2"/>
    <n v="1"/>
  </r>
  <r>
    <m/>
    <m/>
    <x v="1"/>
    <s v="13116014001003"/>
    <n v="-29.39"/>
    <n v="1163"/>
    <n v="2"/>
    <n v="1"/>
  </r>
  <r>
    <m/>
    <m/>
    <x v="1"/>
    <s v="13147069001001"/>
    <n v="-32"/>
    <n v="1306"/>
    <n v="1"/>
    <n v="1"/>
  </r>
  <r>
    <m/>
    <m/>
    <x v="1"/>
    <s v="13190298001005"/>
    <n v="-4.63"/>
    <n v="189"/>
    <n v="1"/>
    <n v="1"/>
  </r>
  <r>
    <m/>
    <m/>
    <x v="1"/>
    <s v="13296630001003"/>
    <n v="-12.01"/>
    <n v="490"/>
    <n v="1"/>
    <n v="1"/>
  </r>
  <r>
    <m/>
    <m/>
    <x v="1"/>
    <s v="13302962002001"/>
    <n v="-71.930000000000007"/>
    <n v="2827"/>
    <n v="2"/>
    <n v="1"/>
  </r>
  <r>
    <m/>
    <m/>
    <x v="1"/>
    <s v="13553619001001"/>
    <n v="-3.87"/>
    <n v="158"/>
    <n v="1"/>
    <n v="1"/>
  </r>
  <r>
    <m/>
    <m/>
    <x v="1"/>
    <s v="13655275002001"/>
    <n v="-31.11"/>
    <n v="1244"/>
    <n v="2"/>
    <n v="1"/>
  </r>
  <r>
    <m/>
    <m/>
    <x v="1"/>
    <s v="13812990001010"/>
    <n v="-44.33"/>
    <n v="1799"/>
    <n v="2"/>
    <n v="1"/>
  </r>
  <r>
    <m/>
    <m/>
    <x v="1"/>
    <s v="13854832004003"/>
    <n v="-16.57"/>
    <n v="643"/>
    <n v="2"/>
    <n v="1"/>
  </r>
  <r>
    <m/>
    <m/>
    <x v="1"/>
    <s v="13898780002006"/>
    <n v="-38.130000000000003"/>
    <n v="1525"/>
    <n v="2"/>
    <n v="1"/>
  </r>
  <r>
    <m/>
    <m/>
    <x v="1"/>
    <s v="13899655001008"/>
    <n v="-40.980000000000004"/>
    <n v="1582"/>
    <n v="2"/>
    <n v="1"/>
  </r>
  <r>
    <m/>
    <m/>
    <x v="1"/>
    <s v="14057368001006"/>
    <n v="-38.369999999999997"/>
    <n v="1566"/>
    <n v="1"/>
    <n v="1"/>
  </r>
  <r>
    <m/>
    <m/>
    <x v="1"/>
    <s v="14276797001005"/>
    <n v="-48.71"/>
    <n v="1875"/>
    <n v="2"/>
    <n v="1"/>
  </r>
  <r>
    <m/>
    <m/>
    <x v="1"/>
    <s v="14546711001003"/>
    <n v="-30.85"/>
    <n v="1259"/>
    <n v="1"/>
    <n v="1"/>
  </r>
  <r>
    <m/>
    <m/>
    <x v="1"/>
    <s v="14663014001002"/>
    <n v="-33.81"/>
    <n v="1338"/>
    <n v="2"/>
    <n v="1"/>
  </r>
  <r>
    <m/>
    <m/>
    <x v="1"/>
    <s v="14780962002001"/>
    <n v="-27.83"/>
    <n v="1136"/>
    <n v="1"/>
    <n v="1"/>
  </r>
  <r>
    <m/>
    <m/>
    <x v="1"/>
    <s v="14783592001004"/>
    <n v="-40.03"/>
    <n v="1634"/>
    <n v="1"/>
    <n v="1"/>
  </r>
  <r>
    <m/>
    <m/>
    <x v="1"/>
    <s v="14994182001007"/>
    <n v="-46.4"/>
    <n v="1894"/>
    <n v="1"/>
    <n v="1"/>
  </r>
  <r>
    <m/>
    <m/>
    <x v="1"/>
    <s v="15018083001001"/>
    <n v="-101.59"/>
    <n v="4020"/>
    <n v="2"/>
    <n v="1"/>
  </r>
  <r>
    <m/>
    <m/>
    <x v="1"/>
    <s v="15481002004001"/>
    <n v="-43.900000000000006"/>
    <n v="1775"/>
    <n v="2"/>
    <n v="1"/>
  </r>
  <r>
    <m/>
    <m/>
    <x v="1"/>
    <s v="15868625001001"/>
    <n v="-48.03"/>
    <n v="1854"/>
    <n v="2"/>
    <n v="1"/>
  </r>
  <r>
    <m/>
    <m/>
    <x v="1"/>
    <s v="15889369001001"/>
    <n v="-62.81"/>
    <n v="2549"/>
    <n v="2"/>
    <n v="1"/>
  </r>
  <r>
    <m/>
    <m/>
    <x v="1"/>
    <s v="15896167001005"/>
    <n v="-47.73"/>
    <n v="1948"/>
    <n v="1"/>
    <n v="1"/>
  </r>
  <r>
    <m/>
    <m/>
    <x v="1"/>
    <s v="15931265001001"/>
    <n v="-6.3900000000000006"/>
    <n v="251"/>
    <n v="2"/>
    <n v="1"/>
  </r>
  <r>
    <m/>
    <m/>
    <x v="1"/>
    <s v="15945184001001"/>
    <n v="-21.45"/>
    <n v="849"/>
    <n v="2"/>
    <n v="1"/>
  </r>
  <r>
    <m/>
    <m/>
    <x v="1"/>
    <s v="15945413001003"/>
    <n v="-39.72"/>
    <n v="1572"/>
    <n v="2"/>
    <n v="1"/>
  </r>
  <r>
    <m/>
    <m/>
    <x v="1"/>
    <s v="15972551001005"/>
    <n v="-22.66"/>
    <n v="884"/>
    <n v="2"/>
    <n v="1"/>
  </r>
  <r>
    <m/>
    <m/>
    <x v="1"/>
    <s v="16146889001001"/>
    <n v="-65.959999999999994"/>
    <n v="2630"/>
    <n v="2"/>
    <n v="1"/>
  </r>
  <r>
    <m/>
    <m/>
    <x v="1"/>
    <s v="16192571001003"/>
    <n v="-18.82"/>
    <n v="768"/>
    <n v="1"/>
    <n v="1"/>
  </r>
  <r>
    <m/>
    <m/>
    <x v="1"/>
    <s v="16208723002001"/>
    <n v="-38.150000000000006"/>
    <n v="1548"/>
    <n v="2"/>
    <n v="1"/>
  </r>
  <r>
    <m/>
    <m/>
    <x v="1"/>
    <s v="16528693002001"/>
    <n v="-36.92"/>
    <n v="1507"/>
    <n v="1"/>
    <n v="1"/>
  </r>
  <r>
    <m/>
    <m/>
    <x v="1"/>
    <s v="16572947001005"/>
    <n v="-29.47"/>
    <n v="1203"/>
    <n v="1"/>
    <n v="1"/>
  </r>
  <r>
    <m/>
    <m/>
    <x v="1"/>
    <s v="16611124001003"/>
    <n v="-46.34"/>
    <n v="1853"/>
    <n v="2"/>
    <n v="1"/>
  </r>
  <r>
    <m/>
    <m/>
    <x v="1"/>
    <s v="16633653003003"/>
    <n v="-50.099999999999994"/>
    <n v="1955"/>
    <n v="2"/>
    <n v="1"/>
  </r>
  <r>
    <m/>
    <m/>
    <x v="1"/>
    <s v="16801512002002"/>
    <n v="-62.81"/>
    <n v="2418"/>
    <n v="2"/>
    <n v="1"/>
  </r>
  <r>
    <m/>
    <m/>
    <x v="1"/>
    <s v="16884109001002"/>
    <n v="-77.77"/>
    <n v="2994"/>
    <n v="2"/>
    <n v="1"/>
  </r>
  <r>
    <m/>
    <m/>
    <x v="1"/>
    <s v="17329177001003"/>
    <n v="-46.57"/>
    <n v="1890"/>
    <n v="2"/>
    <n v="1"/>
  </r>
  <r>
    <m/>
    <m/>
    <x v="1"/>
    <s v="17511025003001"/>
    <n v="-26.119999999999997"/>
    <n v="1008"/>
    <n v="2"/>
    <n v="1"/>
  </r>
  <r>
    <m/>
    <m/>
    <x v="1"/>
    <s v="17706944001001"/>
    <n v="-66.66"/>
    <n v="2675"/>
    <n v="2"/>
    <n v="1"/>
  </r>
  <r>
    <m/>
    <m/>
    <x v="1"/>
    <s v="17785645002001"/>
    <n v="-50.790000000000006"/>
    <n v="2031"/>
    <n v="2"/>
    <n v="1"/>
  </r>
  <r>
    <m/>
    <m/>
    <x v="1"/>
    <s v="17834267001002"/>
    <n v="-43.56"/>
    <n v="1742"/>
    <n v="2"/>
    <n v="1"/>
  </r>
  <r>
    <m/>
    <m/>
    <x v="1"/>
    <s v="17993993001003"/>
    <n v="-26.71"/>
    <n v="1028"/>
    <n v="2"/>
    <n v="1"/>
  </r>
  <r>
    <m/>
    <m/>
    <x v="1"/>
    <s v="18060662001003"/>
    <n v="-31.63"/>
    <n v="1291"/>
    <n v="1"/>
    <n v="1"/>
  </r>
  <r>
    <m/>
    <m/>
    <x v="1"/>
    <s v="18165838001002"/>
    <n v="-29.33"/>
    <n v="1197"/>
    <n v="1"/>
    <n v="1"/>
  </r>
  <r>
    <m/>
    <m/>
    <x v="1"/>
    <s v="18236879002001"/>
    <n v="-2.7"/>
    <n v="110"/>
    <n v="1"/>
    <n v="1"/>
  </r>
  <r>
    <m/>
    <m/>
    <x v="1"/>
    <s v="18699658001004"/>
    <n v="-80.489999999999995"/>
    <n v="3185"/>
    <n v="2"/>
    <n v="1"/>
  </r>
  <r>
    <m/>
    <m/>
    <x v="1"/>
    <s v="19130781001001"/>
    <n v="-54.32"/>
    <n v="2172"/>
    <n v="2"/>
    <n v="1"/>
  </r>
  <r>
    <m/>
    <m/>
    <x v="1"/>
    <s v="19497588001001"/>
    <n v="-64.81"/>
    <n v="2495"/>
    <n v="2"/>
    <n v="1"/>
  </r>
  <r>
    <m/>
    <m/>
    <x v="1"/>
    <s v="19505242001001"/>
    <n v="-40.08"/>
    <n v="1636"/>
    <n v="1"/>
    <n v="1"/>
  </r>
  <r>
    <m/>
    <m/>
    <x v="1"/>
    <s v="19508093004001"/>
    <n v="-46.019999999999996"/>
    <n v="1873"/>
    <n v="2"/>
    <n v="1"/>
  </r>
  <r>
    <m/>
    <m/>
    <x v="1"/>
    <s v="19605069001003"/>
    <n v="-55.25"/>
    <n v="2255"/>
    <n v="1"/>
    <n v="1"/>
  </r>
  <r>
    <m/>
    <m/>
    <x v="1"/>
    <s v="19678433003003"/>
    <n v="-1.48"/>
    <n v="57"/>
    <n v="2"/>
    <n v="1"/>
  </r>
  <r>
    <m/>
    <m/>
    <x v="1"/>
    <s v="20011333001001"/>
    <n v="-13.94"/>
    <n v="569"/>
    <n v="1"/>
    <n v="1"/>
  </r>
  <r>
    <m/>
    <m/>
    <x v="1"/>
    <s v="20283219003003"/>
    <n v="-68.59"/>
    <n v="2743"/>
    <n v="2"/>
    <n v="1"/>
  </r>
  <r>
    <m/>
    <m/>
    <x v="1"/>
    <s v="20375453005001"/>
    <n v="-49.42"/>
    <n v="2017"/>
    <n v="1"/>
    <n v="1"/>
  </r>
  <r>
    <m/>
    <m/>
    <x v="1"/>
    <s v="20379497001001"/>
    <n v="-46.03"/>
    <n v="1777"/>
    <n v="2"/>
    <n v="1"/>
  </r>
  <r>
    <m/>
    <m/>
    <x v="1"/>
    <s v="20410415001001"/>
    <n v="-1.79"/>
    <n v="71"/>
    <n v="2"/>
    <n v="1"/>
  </r>
  <r>
    <m/>
    <m/>
    <x v="1"/>
    <s v="20599268001003"/>
    <n v="-6.32"/>
    <n v="250"/>
    <n v="2"/>
    <n v="1"/>
  </r>
  <r>
    <m/>
    <m/>
    <x v="1"/>
    <s v="20622831001001"/>
    <n v="-25.61"/>
    <n v="1024"/>
    <n v="2"/>
    <n v="1"/>
  </r>
  <r>
    <m/>
    <m/>
    <x v="1"/>
    <s v="21045838003008"/>
    <n v="-48.93"/>
    <n v="1997"/>
    <n v="1"/>
    <n v="1"/>
  </r>
  <r>
    <m/>
    <m/>
    <x v="1"/>
    <s v="21046404001005"/>
    <n v="-28.91"/>
    <n v="1180"/>
    <n v="1"/>
    <n v="1"/>
  </r>
  <r>
    <m/>
    <m/>
    <x v="1"/>
    <s v="21504650001001"/>
    <n v="-65.930000000000007"/>
    <n v="2691"/>
    <n v="1"/>
    <n v="1"/>
  </r>
  <r>
    <m/>
    <m/>
    <x v="1"/>
    <s v="21528376001001"/>
    <n v="-10"/>
    <n v="408"/>
    <n v="1"/>
    <n v="1"/>
  </r>
  <r>
    <m/>
    <m/>
    <x v="1"/>
    <s v="21546259001005"/>
    <n v="-45.57"/>
    <n v="1860"/>
    <n v="1"/>
    <n v="1"/>
  </r>
  <r>
    <m/>
    <m/>
    <x v="1"/>
    <s v="22178371001001"/>
    <n v="-30.18"/>
    <n v="1165"/>
    <n v="2"/>
    <n v="1"/>
  </r>
  <r>
    <m/>
    <m/>
    <x v="1"/>
    <s v="22234236001007"/>
    <n v="-74.470000000000013"/>
    <n v="3022"/>
    <n v="2"/>
    <n v="1"/>
  </r>
  <r>
    <m/>
    <m/>
    <x v="1"/>
    <s v="22280876001009"/>
    <n v="-88.570000000000007"/>
    <n v="3552"/>
    <n v="2"/>
    <n v="1"/>
  </r>
  <r>
    <m/>
    <m/>
    <x v="1"/>
    <s v="22384711002002"/>
    <n v="-9.2899999999999991"/>
    <n v="379"/>
    <n v="1"/>
    <n v="1"/>
  </r>
  <r>
    <m/>
    <m/>
    <x v="1"/>
    <s v="22556911001001"/>
    <n v="-35.75"/>
    <n v="1459"/>
    <n v="1"/>
    <n v="1"/>
  </r>
  <r>
    <m/>
    <m/>
    <x v="1"/>
    <s v="22749652001001"/>
    <n v="-11.989999999999998"/>
    <n v="478"/>
    <n v="2"/>
    <n v="1"/>
  </r>
  <r>
    <m/>
    <m/>
    <x v="1"/>
    <s v="23207615004001"/>
    <n v="-194.66000000000003"/>
    <n v="7620"/>
    <n v="2"/>
    <n v="1"/>
  </r>
  <r>
    <m/>
    <m/>
    <x v="1"/>
    <s v="23478212002003"/>
    <n v="-22.36"/>
    <n v="894"/>
    <n v="2"/>
    <n v="1"/>
  </r>
  <r>
    <m/>
    <m/>
    <x v="1"/>
    <s v="23582904002001"/>
    <n v="-24.47"/>
    <n v="955"/>
    <n v="2"/>
    <n v="1"/>
  </r>
  <r>
    <m/>
    <m/>
    <x v="1"/>
    <s v="23628172002001"/>
    <n v="-71.94"/>
    <n v="2928"/>
    <n v="2"/>
    <n v="1"/>
  </r>
  <r>
    <m/>
    <m/>
    <x v="1"/>
    <s v="23815046001001"/>
    <n v="-69.53"/>
    <n v="2838"/>
    <n v="1"/>
    <n v="1"/>
  </r>
  <r>
    <m/>
    <m/>
    <x v="1"/>
    <s v="23976958001001"/>
    <n v="-21.76"/>
    <n v="888"/>
    <n v="1"/>
    <n v="1"/>
  </r>
  <r>
    <m/>
    <m/>
    <x v="1"/>
    <s v="24324136002006"/>
    <n v="-2.96"/>
    <n v="115"/>
    <n v="2"/>
    <n v="1"/>
  </r>
  <r>
    <m/>
    <m/>
    <x v="1"/>
    <s v="24367594001003"/>
    <n v="-69.31"/>
    <n v="2829"/>
    <n v="1"/>
    <n v="1"/>
  </r>
  <r>
    <m/>
    <m/>
    <x v="1"/>
    <s v="24434887002003"/>
    <n v="-13.74"/>
    <n v="561"/>
    <n v="1"/>
    <n v="1"/>
  </r>
  <r>
    <m/>
    <m/>
    <x v="1"/>
    <s v="24944686001001"/>
    <n v="-3.4299999999999997"/>
    <n v="137"/>
    <n v="2"/>
    <n v="1"/>
  </r>
  <r>
    <m/>
    <m/>
    <x v="1"/>
    <s v="24962922001001"/>
    <n v="-60.05"/>
    <n v="2451"/>
    <n v="1"/>
    <n v="1"/>
  </r>
  <r>
    <m/>
    <m/>
    <x v="1"/>
    <s v="25269969001001"/>
    <n v="-5.3999999999999995"/>
    <n v="219"/>
    <n v="2"/>
    <n v="1"/>
  </r>
  <r>
    <m/>
    <m/>
    <x v="1"/>
    <s v="25485938001001"/>
    <n v="-23.91"/>
    <n v="923"/>
    <n v="2"/>
    <n v="1"/>
  </r>
  <r>
    <m/>
    <m/>
    <x v="1"/>
    <s v="25664446001001"/>
    <n v="-50.57"/>
    <n v="2064"/>
    <n v="1"/>
    <n v="1"/>
  </r>
  <r>
    <m/>
    <m/>
    <x v="1"/>
    <s v="25818682001001"/>
    <n v="-14.09"/>
    <n v="575"/>
    <n v="1"/>
    <n v="1"/>
  </r>
  <r>
    <m/>
    <m/>
    <x v="1"/>
    <s v="25839879001001"/>
    <n v="-70.039999999999992"/>
    <n v="2718"/>
    <n v="2"/>
    <n v="1"/>
  </r>
  <r>
    <m/>
    <m/>
    <x v="1"/>
    <s v="26254990001003"/>
    <n v="-6.49"/>
    <n v="265"/>
    <n v="1"/>
    <n v="1"/>
  </r>
  <r>
    <m/>
    <m/>
    <x v="1"/>
    <s v="26278650001003"/>
    <n v="-38.21"/>
    <n v="1471"/>
    <n v="2"/>
    <n v="1"/>
  </r>
  <r>
    <m/>
    <m/>
    <x v="1"/>
    <s v="26811317001002"/>
    <n v="-41.18"/>
    <n v="1665"/>
    <n v="2"/>
    <n v="1"/>
  </r>
  <r>
    <m/>
    <m/>
    <x v="1"/>
    <s v="26835966001001"/>
    <n v="-26.24"/>
    <n v="1071"/>
    <n v="1"/>
    <n v="1"/>
  </r>
  <r>
    <m/>
    <m/>
    <x v="1"/>
    <s v="26874300001001"/>
    <n v="-41.48"/>
    <n v="1677"/>
    <n v="2"/>
    <n v="1"/>
  </r>
  <r>
    <m/>
    <m/>
    <x v="1"/>
    <s v="26874335001001"/>
    <n v="-31.04"/>
    <n v="1241"/>
    <n v="2"/>
    <n v="1"/>
  </r>
  <r>
    <m/>
    <m/>
    <x v="1"/>
    <s v="27108457001011"/>
    <n v="-98.12"/>
    <n v="3935"/>
    <n v="2"/>
    <n v="1"/>
  </r>
  <r>
    <m/>
    <m/>
    <x v="1"/>
    <s v="27126363001003"/>
    <n v="-45.18"/>
    <n v="1844"/>
    <n v="1"/>
    <n v="1"/>
  </r>
  <r>
    <m/>
    <m/>
    <x v="1"/>
    <s v="27141666001001"/>
    <n v="-30.23"/>
    <n v="1234"/>
    <n v="1"/>
    <n v="1"/>
  </r>
  <r>
    <m/>
    <m/>
    <x v="1"/>
    <s v="27553023001001"/>
    <n v="-32.28"/>
    <n v="1310"/>
    <n v="2"/>
    <n v="1"/>
  </r>
  <r>
    <m/>
    <m/>
    <x v="1"/>
    <s v="27608911002001"/>
    <n v="-0.69"/>
    <n v="28"/>
    <n v="1"/>
    <n v="1"/>
  </r>
  <r>
    <m/>
    <m/>
    <x v="1"/>
    <s v="27733480001001"/>
    <n v="-20.260000000000002"/>
    <n v="827"/>
    <n v="1"/>
    <n v="1"/>
  </r>
  <r>
    <m/>
    <m/>
    <x v="1"/>
    <s v="27759845001003"/>
    <n v="-74.010000000000005"/>
    <n v="2929"/>
    <n v="2"/>
    <n v="1"/>
  </r>
  <r>
    <m/>
    <m/>
    <x v="1"/>
    <s v="27883736001001"/>
    <n v="-54.83"/>
    <n v="2238"/>
    <n v="1"/>
    <n v="1"/>
  </r>
  <r>
    <m/>
    <m/>
    <x v="1"/>
    <s v="27977791001003"/>
    <n v="-3.04"/>
    <n v="124"/>
    <n v="1"/>
    <n v="1"/>
  </r>
  <r>
    <m/>
    <m/>
    <x v="1"/>
    <s v="27991196001001"/>
    <n v="-53.27"/>
    <n v="2124"/>
    <n v="2"/>
    <n v="1"/>
  </r>
  <r>
    <m/>
    <m/>
    <x v="1"/>
    <s v="28014351004010"/>
    <n v="-26.56"/>
    <n v="1078"/>
    <n v="2"/>
    <n v="1"/>
  </r>
  <r>
    <m/>
    <m/>
    <x v="1"/>
    <s v="28227700001002"/>
    <n v="-49.38"/>
    <n v="2004"/>
    <n v="2"/>
    <n v="1"/>
  </r>
  <r>
    <m/>
    <m/>
    <x v="1"/>
    <s v="28252202004001"/>
    <n v="-57.31"/>
    <n v="2339"/>
    <n v="1"/>
    <n v="1"/>
  </r>
  <r>
    <m/>
    <m/>
    <x v="1"/>
    <s v="28572819001001"/>
    <n v="-10.210000000000001"/>
    <n v="394"/>
    <n v="2"/>
    <n v="1"/>
  </r>
  <r>
    <m/>
    <m/>
    <x v="1"/>
    <s v="28626166001001"/>
    <n v="-14.68"/>
    <n v="599"/>
    <n v="1"/>
    <n v="1"/>
  </r>
  <r>
    <m/>
    <m/>
    <x v="1"/>
    <s v="28959951001001"/>
    <n v="-70.709999999999994"/>
    <n v="2886"/>
    <n v="1"/>
    <n v="1"/>
  </r>
  <r>
    <m/>
    <m/>
    <x v="1"/>
    <s v="29018645001003"/>
    <n v="-81.66"/>
    <n v="3144"/>
    <n v="2"/>
    <n v="1"/>
  </r>
  <r>
    <m/>
    <m/>
    <x v="1"/>
    <s v="29365356001002"/>
    <n v="-25.55"/>
    <n v="1043"/>
    <n v="1"/>
    <n v="1"/>
  </r>
  <r>
    <m/>
    <m/>
    <x v="1"/>
    <s v="29647367001002"/>
    <n v="-58.87"/>
    <n v="2361"/>
    <n v="2"/>
    <n v="1"/>
  </r>
  <r>
    <m/>
    <m/>
    <x v="1"/>
    <s v="29810873001003"/>
    <n v="-81.95"/>
    <n v="3345"/>
    <n v="1"/>
    <n v="1"/>
  </r>
  <r>
    <m/>
    <m/>
    <x v="1"/>
    <s v="30043368001001"/>
    <n v="-35.18"/>
    <n v="1436"/>
    <n v="1"/>
    <n v="1"/>
  </r>
  <r>
    <m/>
    <m/>
    <x v="1"/>
    <s v="30315366001001"/>
    <n v="-209.67"/>
    <n v="8558"/>
    <n v="1"/>
    <n v="1"/>
  </r>
  <r>
    <m/>
    <m/>
    <x v="1"/>
    <s v="30771636001001"/>
    <n v="-0.2"/>
    <n v="8"/>
    <n v="2"/>
    <n v="1"/>
  </r>
  <r>
    <m/>
    <m/>
    <x v="1"/>
    <s v="30786064001001"/>
    <n v="-0.47"/>
    <n v="19"/>
    <n v="1"/>
    <n v="1"/>
  </r>
  <r>
    <m/>
    <m/>
    <x v="1"/>
    <s v="30830675001003"/>
    <n v="-7.18"/>
    <n v="287"/>
    <n v="2"/>
    <n v="1"/>
  </r>
  <r>
    <m/>
    <m/>
    <x v="1"/>
    <s v="30975210001001"/>
    <n v="-43.83"/>
    <n v="1789"/>
    <n v="1"/>
    <n v="1"/>
  </r>
  <r>
    <m/>
    <m/>
    <x v="1"/>
    <s v="31130438001003"/>
    <n v="-31.48"/>
    <n v="1255"/>
    <n v="2"/>
    <n v="1"/>
  </r>
  <r>
    <m/>
    <m/>
    <x v="1"/>
    <s v="31419012001003"/>
    <n v="-72.02000000000001"/>
    <n v="2880"/>
    <n v="2"/>
    <n v="1"/>
  </r>
  <r>
    <m/>
    <m/>
    <x v="1"/>
    <s v="31589368001001"/>
    <n v="-46.370000000000005"/>
    <n v="1835"/>
    <n v="2"/>
    <n v="1"/>
  </r>
  <r>
    <m/>
    <m/>
    <x v="1"/>
    <s v="31849917001001"/>
    <n v="-29.67"/>
    <n v="1211"/>
    <n v="1"/>
    <n v="1"/>
  </r>
  <r>
    <m/>
    <m/>
    <x v="1"/>
    <s v="32112027001007"/>
    <n v="-80.89"/>
    <n v="3114"/>
    <n v="2"/>
    <n v="1"/>
  </r>
  <r>
    <m/>
    <m/>
    <x v="1"/>
    <s v="32321580001004"/>
    <n v="-45.57"/>
    <n v="1817"/>
    <n v="2"/>
    <n v="1"/>
  </r>
  <r>
    <m/>
    <m/>
    <x v="1"/>
    <s v="32372437001001"/>
    <n v="-68.44"/>
    <n v="2656"/>
    <n v="2"/>
    <n v="1"/>
  </r>
  <r>
    <m/>
    <m/>
    <x v="1"/>
    <s v="32568735001001"/>
    <n v="-57.77"/>
    <n v="2286"/>
    <n v="2"/>
    <n v="1"/>
  </r>
  <r>
    <m/>
    <m/>
    <x v="1"/>
    <s v="32701639002001"/>
    <n v="-38.58"/>
    <n v="1489"/>
    <n v="2"/>
    <n v="1"/>
  </r>
  <r>
    <m/>
    <m/>
    <x v="1"/>
    <s v="32754907004001"/>
    <n v="-92.4"/>
    <n v="3706"/>
    <n v="2"/>
    <n v="1"/>
  </r>
  <r>
    <m/>
    <m/>
    <x v="1"/>
    <s v="32971914002001"/>
    <n v="-21.51"/>
    <n v="878"/>
    <n v="1"/>
    <n v="1"/>
  </r>
  <r>
    <m/>
    <m/>
    <x v="1"/>
    <s v="33062190002001"/>
    <n v="-62.31"/>
    <n v="2405"/>
    <n v="2"/>
    <n v="1"/>
  </r>
  <r>
    <m/>
    <m/>
    <x v="1"/>
    <s v="33229599001001"/>
    <n v="-44.79"/>
    <n v="1786"/>
    <n v="2"/>
    <n v="1"/>
  </r>
  <r>
    <m/>
    <m/>
    <x v="1"/>
    <s v="33529078009001"/>
    <n v="-41.48"/>
    <n v="1601"/>
    <n v="2"/>
    <n v="1"/>
  </r>
  <r>
    <m/>
    <m/>
    <x v="1"/>
    <s v="33615369002001"/>
    <n v="-11.08"/>
    <n v="434"/>
    <n v="2"/>
    <n v="1"/>
  </r>
  <r>
    <m/>
    <m/>
    <x v="1"/>
    <s v="33633028001001"/>
    <n v="-32.74"/>
    <n v="1309"/>
    <n v="2"/>
    <n v="1"/>
  </r>
  <r>
    <m/>
    <m/>
    <x v="1"/>
    <s v="33887728001004"/>
    <n v="-59.039999999999992"/>
    <n v="2291"/>
    <n v="2"/>
    <n v="1"/>
  </r>
  <r>
    <m/>
    <m/>
    <x v="1"/>
    <s v="34024657002001"/>
    <n v="-33.44"/>
    <n v="1365"/>
    <n v="1"/>
    <n v="1"/>
  </r>
  <r>
    <m/>
    <m/>
    <x v="1"/>
    <s v="34099616001006"/>
    <n v="-36.630000000000003"/>
    <n v="1495"/>
    <n v="1"/>
    <n v="1"/>
  </r>
  <r>
    <m/>
    <m/>
    <x v="1"/>
    <s v="34160604001001"/>
    <n v="-51.97"/>
    <n v="2085"/>
    <n v="2"/>
    <n v="1"/>
  </r>
  <r>
    <m/>
    <m/>
    <x v="1"/>
    <s v="34181343001001"/>
    <n v="-41.11"/>
    <n v="1678"/>
    <n v="1"/>
    <n v="1"/>
  </r>
  <r>
    <m/>
    <m/>
    <x v="1"/>
    <s v="34197993001005"/>
    <n v="-14.19"/>
    <n v="579"/>
    <n v="1"/>
    <n v="1"/>
  </r>
  <r>
    <m/>
    <m/>
    <x v="1"/>
    <s v="34256010001004"/>
    <n v="-48.35"/>
    <n v="1928"/>
    <n v="2"/>
    <n v="1"/>
  </r>
  <r>
    <m/>
    <m/>
    <x v="1"/>
    <s v="34329415001002"/>
    <n v="-8.2799999999999994"/>
    <n v="330"/>
    <n v="2"/>
    <n v="1"/>
  </r>
  <r>
    <m/>
    <m/>
    <x v="1"/>
    <s v="34348453001007"/>
    <n v="-74.5"/>
    <n v="3041"/>
    <n v="1"/>
    <n v="1"/>
  </r>
  <r>
    <m/>
    <m/>
    <x v="1"/>
    <s v="34827216001001"/>
    <n v="-91.6"/>
    <n v="3536"/>
    <n v="2"/>
    <n v="1"/>
  </r>
  <r>
    <m/>
    <m/>
    <x v="1"/>
    <s v="34861184002001"/>
    <n v="-60.17"/>
    <n v="2456"/>
    <n v="1"/>
    <n v="1"/>
  </r>
  <r>
    <m/>
    <m/>
    <x v="1"/>
    <s v="35158442001001"/>
    <n v="-48.12"/>
    <n v="1964"/>
    <n v="1"/>
    <n v="1"/>
  </r>
  <r>
    <m/>
    <m/>
    <x v="1"/>
    <s v="35366207001001"/>
    <n v="-43.37"/>
    <n v="1770"/>
    <n v="1"/>
    <n v="1"/>
  </r>
  <r>
    <m/>
    <m/>
    <x v="1"/>
    <s v="35387208001001"/>
    <n v="-63.41"/>
    <n v="2588"/>
    <n v="1"/>
    <n v="1"/>
  </r>
  <r>
    <m/>
    <m/>
    <x v="1"/>
    <s v="35482082002001"/>
    <n v="-80.989999999999995"/>
    <n v="3118"/>
    <n v="2"/>
    <n v="1"/>
  </r>
  <r>
    <m/>
    <m/>
    <x v="1"/>
    <s v="35676008003003"/>
    <n v="-4.04"/>
    <n v="164"/>
    <n v="2"/>
    <n v="1"/>
  </r>
  <r>
    <m/>
    <m/>
    <x v="1"/>
    <s v="35872394002002"/>
    <n v="-31.17"/>
    <n v="1243"/>
    <n v="2"/>
    <n v="1"/>
  </r>
  <r>
    <m/>
    <m/>
    <x v="1"/>
    <s v="35880618001005"/>
    <n v="-20.7"/>
    <n v="845"/>
    <n v="1"/>
    <n v="1"/>
  </r>
  <r>
    <m/>
    <m/>
    <x v="1"/>
    <s v="36023502001013"/>
    <n v="-69.56"/>
    <n v="2791"/>
    <n v="2"/>
    <n v="1"/>
  </r>
  <r>
    <m/>
    <m/>
    <x v="1"/>
    <s v="36079563001001"/>
    <n v="-39.119999999999997"/>
    <n v="1582"/>
    <n v="2"/>
    <n v="1"/>
  </r>
  <r>
    <m/>
    <m/>
    <x v="1"/>
    <s v="36124097001002"/>
    <n v="-20.29"/>
    <n v="828"/>
    <n v="1"/>
    <n v="1"/>
  </r>
  <r>
    <m/>
    <m/>
    <x v="1"/>
    <s v="36195946001002"/>
    <n v="-6.12"/>
    <n v="243"/>
    <n v="2"/>
    <n v="1"/>
  </r>
  <r>
    <m/>
    <m/>
    <x v="1"/>
    <s v="36292176001002"/>
    <n v="-93.51"/>
    <n v="3629"/>
    <n v="2"/>
    <n v="1"/>
  </r>
  <r>
    <m/>
    <m/>
    <x v="1"/>
    <s v="36390708002001"/>
    <n v="-61.72"/>
    <n v="2461"/>
    <n v="2"/>
    <n v="1"/>
  </r>
  <r>
    <m/>
    <m/>
    <x v="1"/>
    <s v="37271824001007"/>
    <n v="-95.62"/>
    <n v="3691"/>
    <n v="2"/>
    <n v="1"/>
  </r>
  <r>
    <m/>
    <m/>
    <x v="1"/>
    <s v="37301319001001"/>
    <n v="-61.769999999999996"/>
    <n v="2470"/>
    <n v="2"/>
    <n v="1"/>
  </r>
  <r>
    <m/>
    <m/>
    <x v="1"/>
    <s v="37380947001001"/>
    <n v="-70.39"/>
    <n v="2815"/>
    <n v="2"/>
    <n v="1"/>
  </r>
  <r>
    <m/>
    <m/>
    <x v="1"/>
    <s v="38128452001004"/>
    <n v="-5.68"/>
    <n v="232"/>
    <n v="1"/>
    <n v="1"/>
  </r>
  <r>
    <m/>
    <m/>
    <x v="1"/>
    <s v="38493324002002"/>
    <n v="-22.56"/>
    <n v="902"/>
    <n v="2"/>
    <n v="1"/>
  </r>
  <r>
    <m/>
    <m/>
    <x v="1"/>
    <s v="38613622001005"/>
    <n v="-22.59"/>
    <n v="922"/>
    <n v="1"/>
    <n v="1"/>
  </r>
  <r>
    <m/>
    <m/>
    <x v="1"/>
    <s v="38645586001001"/>
    <n v="-24.89"/>
    <n v="1016"/>
    <n v="1"/>
    <n v="1"/>
  </r>
  <r>
    <m/>
    <m/>
    <x v="1"/>
    <s v="38860694001003"/>
    <n v="-85.929999999999993"/>
    <n v="3308"/>
    <n v="2"/>
    <n v="1"/>
  </r>
  <r>
    <m/>
    <m/>
    <x v="1"/>
    <s v="38911036001003"/>
    <n v="-41.81"/>
    <n v="1614"/>
    <n v="2"/>
    <n v="1"/>
  </r>
  <r>
    <m/>
    <m/>
    <x v="1"/>
    <s v="39281076001004"/>
    <n v="-60.2"/>
    <n v="2457"/>
    <n v="1"/>
    <n v="1"/>
  </r>
  <r>
    <m/>
    <m/>
    <x v="1"/>
    <s v="39314816001003"/>
    <n v="-42.59"/>
    <n v="1698"/>
    <n v="2"/>
    <n v="1"/>
  </r>
  <r>
    <m/>
    <m/>
    <x v="1"/>
    <s v="39458933001002"/>
    <n v="-9.24"/>
    <n v="377"/>
    <n v="1"/>
    <n v="1"/>
  </r>
  <r>
    <m/>
    <m/>
    <x v="1"/>
    <s v="39597196001001"/>
    <n v="-57.87"/>
    <n v="2355"/>
    <n v="2"/>
    <n v="1"/>
  </r>
  <r>
    <m/>
    <m/>
    <x v="1"/>
    <s v="39822134003009"/>
    <n v="-26.56"/>
    <n v="1084"/>
    <n v="1"/>
    <n v="1"/>
  </r>
  <r>
    <m/>
    <m/>
    <x v="1"/>
    <s v="39832575001004"/>
    <n v="-29.240000000000002"/>
    <n v="1190"/>
    <n v="2"/>
    <n v="1"/>
  </r>
  <r>
    <m/>
    <m/>
    <x v="1"/>
    <s v="39860007001003"/>
    <n v="-44.47"/>
    <n v="1815"/>
    <n v="1"/>
    <n v="1"/>
  </r>
  <r>
    <m/>
    <m/>
    <x v="1"/>
    <s v="40115604001006"/>
    <n v="-6.4"/>
    <n v="250"/>
    <n v="2"/>
    <n v="1"/>
  </r>
  <r>
    <m/>
    <m/>
    <x v="1"/>
    <s v="40288069002001"/>
    <n v="-67.89"/>
    <n v="2771"/>
    <n v="1"/>
    <n v="1"/>
  </r>
  <r>
    <m/>
    <m/>
    <x v="1"/>
    <s v="40458113001001"/>
    <n v="-44.26"/>
    <n v="1704"/>
    <n v="2"/>
    <n v="1"/>
  </r>
  <r>
    <m/>
    <m/>
    <x v="1"/>
    <s v="40512589001003"/>
    <n v="-19.240000000000002"/>
    <n v="772"/>
    <n v="2"/>
    <n v="1"/>
  </r>
  <r>
    <m/>
    <m/>
    <x v="1"/>
    <s v="40967389001003"/>
    <n v="-15.86"/>
    <n v="634"/>
    <n v="2"/>
    <n v="1"/>
  </r>
  <r>
    <m/>
    <m/>
    <x v="1"/>
    <s v="41195572002001"/>
    <n v="-46.25"/>
    <n v="1844"/>
    <n v="2"/>
    <n v="1"/>
  </r>
  <r>
    <m/>
    <m/>
    <x v="1"/>
    <s v="41383064001001"/>
    <n v="-49.1"/>
    <n v="2004"/>
    <n v="1"/>
    <n v="1"/>
  </r>
  <r>
    <m/>
    <m/>
    <x v="1"/>
    <s v="41410810001002"/>
    <n v="-60.870000000000005"/>
    <n v="2416"/>
    <n v="2"/>
    <n v="1"/>
  </r>
  <r>
    <m/>
    <m/>
    <x v="1"/>
    <s v="41439561001003"/>
    <n v="-30.74"/>
    <n v="1229"/>
    <n v="2"/>
    <n v="1"/>
  </r>
  <r>
    <m/>
    <m/>
    <x v="1"/>
    <s v="41496422001001"/>
    <n v="-21.36"/>
    <n v="872"/>
    <n v="1"/>
    <n v="1"/>
  </r>
  <r>
    <m/>
    <m/>
    <x v="1"/>
    <s v="41559231001003"/>
    <n v="-26.419999999999998"/>
    <n v="1020"/>
    <n v="2"/>
    <n v="1"/>
  </r>
  <r>
    <m/>
    <m/>
    <x v="1"/>
    <s v="41723520001001"/>
    <n v="-66.66"/>
    <n v="2721"/>
    <n v="1"/>
    <n v="1"/>
  </r>
  <r>
    <m/>
    <m/>
    <x v="1"/>
    <s v="41923203001003"/>
    <n v="-45.46"/>
    <n v="1774"/>
    <n v="2"/>
    <n v="1"/>
  </r>
  <r>
    <m/>
    <m/>
    <x v="1"/>
    <s v="42075427001001"/>
    <n v="-8.43"/>
    <n v="344"/>
    <n v="1"/>
    <n v="1"/>
  </r>
  <r>
    <m/>
    <m/>
    <x v="1"/>
    <s v="42203478001003"/>
    <n v="-35.92"/>
    <n v="1394"/>
    <n v="2"/>
    <n v="1"/>
  </r>
  <r>
    <m/>
    <m/>
    <x v="1"/>
    <s v="42491401001003"/>
    <n v="-39.64"/>
    <n v="1618"/>
    <n v="1"/>
    <n v="1"/>
  </r>
  <r>
    <m/>
    <m/>
    <x v="1"/>
    <s v="42509601002005"/>
    <n v="-2.96"/>
    <n v="121"/>
    <n v="1"/>
    <n v="1"/>
  </r>
  <r>
    <m/>
    <m/>
    <x v="1"/>
    <s v="42514151001004"/>
    <n v="-5.88"/>
    <n v="240"/>
    <n v="1"/>
    <n v="1"/>
  </r>
  <r>
    <m/>
    <m/>
    <x v="1"/>
    <s v="42514501001001"/>
    <n v="-26.04"/>
    <n v="1063"/>
    <n v="1"/>
    <n v="1"/>
  </r>
  <r>
    <m/>
    <m/>
    <x v="1"/>
    <s v="42524441001002"/>
    <n v="-45.77"/>
    <n v="1868"/>
    <n v="1"/>
    <n v="1"/>
  </r>
  <r>
    <m/>
    <m/>
    <x v="1"/>
    <s v="42528501001002"/>
    <n v="-29.99"/>
    <n v="1224"/>
    <n v="1"/>
    <n v="1"/>
  </r>
  <r>
    <m/>
    <m/>
    <x v="1"/>
    <s v="42536481001002"/>
    <n v="-67.94"/>
    <n v="2773"/>
    <n v="1"/>
    <n v="1"/>
  </r>
  <r>
    <m/>
    <m/>
    <x v="1"/>
    <s v="42540401001001"/>
    <n v="-2.44"/>
    <n v="99"/>
    <n v="2"/>
    <n v="1"/>
  </r>
  <r>
    <m/>
    <m/>
    <x v="1"/>
    <s v="42569591004003"/>
    <n v="-9.43"/>
    <n v="385"/>
    <n v="1"/>
    <n v="1"/>
  </r>
  <r>
    <m/>
    <m/>
    <x v="1"/>
    <s v="42586041004001"/>
    <n v="-33.049999999999997"/>
    <n v="1349"/>
    <n v="1"/>
    <n v="1"/>
  </r>
  <r>
    <m/>
    <m/>
    <x v="1"/>
    <s v="42620271001001"/>
    <n v="-23.13"/>
    <n v="944"/>
    <n v="1"/>
    <n v="1"/>
  </r>
  <r>
    <m/>
    <m/>
    <x v="1"/>
    <s v="42628881001001"/>
    <n v="-4.8499999999999996"/>
    <n v="198"/>
    <n v="1"/>
    <n v="1"/>
  </r>
  <r>
    <m/>
    <m/>
    <x v="1"/>
    <s v="42649321001001"/>
    <n v="-11.74"/>
    <n v="479"/>
    <n v="1"/>
    <n v="1"/>
  </r>
  <r>
    <m/>
    <m/>
    <x v="1"/>
    <s v="42659261001004"/>
    <n v="-15.88"/>
    <n v="648"/>
    <n v="1"/>
    <n v="1"/>
  </r>
  <r>
    <m/>
    <m/>
    <x v="1"/>
    <s v="42677111001001"/>
    <n v="-11.56"/>
    <n v="472"/>
    <n v="1"/>
    <n v="1"/>
  </r>
  <r>
    <m/>
    <m/>
    <x v="1"/>
    <s v="42734931001007"/>
    <n v="-22.03"/>
    <n v="899"/>
    <n v="1"/>
    <n v="1"/>
  </r>
  <r>
    <m/>
    <m/>
    <x v="1"/>
    <s v="42812561001002"/>
    <n v="-67.38"/>
    <n v="2750"/>
    <n v="1"/>
    <n v="1"/>
  </r>
  <r>
    <m/>
    <m/>
    <x v="1"/>
    <s v="42812881002001"/>
    <n v="-22.61"/>
    <n v="923"/>
    <n v="1"/>
    <n v="1"/>
  </r>
  <r>
    <m/>
    <m/>
    <x v="1"/>
    <s v="42851271004005"/>
    <n v="-54.68"/>
    <n v="2219"/>
    <n v="2"/>
    <n v="1"/>
  </r>
  <r>
    <m/>
    <m/>
    <x v="1"/>
    <s v="42890570001001"/>
    <n v="-77.400000000000006"/>
    <n v="3159"/>
    <n v="1"/>
    <n v="1"/>
  </r>
  <r>
    <m/>
    <m/>
    <x v="1"/>
    <s v="42898451001001"/>
    <n v="-7.35"/>
    <n v="300"/>
    <n v="1"/>
    <n v="1"/>
  </r>
  <r>
    <m/>
    <m/>
    <x v="1"/>
    <s v="42910351007001"/>
    <n v="-30.21"/>
    <n v="1233"/>
    <n v="1"/>
    <n v="1"/>
  </r>
  <r>
    <m/>
    <m/>
    <x v="1"/>
    <s v="42933730001003"/>
    <n v="-8.2100000000000009"/>
    <n v="335"/>
    <n v="1"/>
    <n v="1"/>
  </r>
  <r>
    <m/>
    <m/>
    <x v="1"/>
    <s v="42954661002001"/>
    <n v="-12.81"/>
    <n v="523"/>
    <n v="1"/>
    <n v="1"/>
  </r>
  <r>
    <m/>
    <m/>
    <x v="1"/>
    <s v="43033085001001"/>
    <n v="-22.62"/>
    <n v="918"/>
    <n v="2"/>
    <n v="1"/>
  </r>
  <r>
    <m/>
    <m/>
    <x v="1"/>
    <s v="43079401001005"/>
    <n v="-32.25"/>
    <n v="1309"/>
    <n v="2"/>
    <n v="1"/>
  </r>
  <r>
    <m/>
    <m/>
    <x v="1"/>
    <s v="43107121001001"/>
    <n v="-2.06"/>
    <n v="84"/>
    <n v="1"/>
    <n v="1"/>
  </r>
  <r>
    <m/>
    <m/>
    <x v="1"/>
    <s v="43124621001001"/>
    <n v="-17.809999999999999"/>
    <n v="727"/>
    <n v="1"/>
    <n v="1"/>
  </r>
  <r>
    <m/>
    <m/>
    <x v="1"/>
    <s v="43137151001001"/>
    <n v="-34.18"/>
    <n v="1395"/>
    <n v="1"/>
    <n v="1"/>
  </r>
  <r>
    <m/>
    <m/>
    <x v="1"/>
    <s v="43234101001001"/>
    <n v="-23.94"/>
    <n v="977"/>
    <n v="1"/>
    <n v="1"/>
  </r>
  <r>
    <m/>
    <m/>
    <x v="1"/>
    <s v="43254471002001"/>
    <n v="-60.339999999999996"/>
    <n v="2449"/>
    <n v="2"/>
    <n v="1"/>
  </r>
  <r>
    <m/>
    <m/>
    <x v="1"/>
    <s v="43278341001001"/>
    <n v="-3.4699999999999998"/>
    <n v="141"/>
    <n v="2"/>
    <n v="1"/>
  </r>
  <r>
    <m/>
    <m/>
    <x v="1"/>
    <s v="43288421001001"/>
    <n v="-34.25"/>
    <n v="1390"/>
    <n v="2"/>
    <n v="1"/>
  </r>
  <r>
    <m/>
    <m/>
    <x v="1"/>
    <s v="43297591001002"/>
    <n v="-66.830000000000013"/>
    <n v="2720"/>
    <n v="2"/>
    <n v="1"/>
  </r>
  <r>
    <m/>
    <m/>
    <x v="1"/>
    <s v="43301371002001"/>
    <n v="-36.479999999999997"/>
    <n v="1489"/>
    <n v="1"/>
    <n v="1"/>
  </r>
  <r>
    <m/>
    <m/>
    <x v="1"/>
    <s v="43325521001002"/>
    <n v="-30.380000000000003"/>
    <n v="1233"/>
    <n v="2"/>
    <n v="1"/>
  </r>
  <r>
    <m/>
    <m/>
    <x v="1"/>
    <s v="43333711001002"/>
    <n v="-13.55"/>
    <n v="553"/>
    <n v="1"/>
    <n v="1"/>
  </r>
  <r>
    <m/>
    <m/>
    <x v="1"/>
    <s v="43347711001001"/>
    <n v="-47.9"/>
    <n v="1955"/>
    <n v="1"/>
    <n v="1"/>
  </r>
  <r>
    <m/>
    <m/>
    <x v="1"/>
    <s v="43363111001003"/>
    <n v="-91.12"/>
    <n v="3719"/>
    <n v="1"/>
    <n v="1"/>
  </r>
  <r>
    <m/>
    <m/>
    <x v="1"/>
    <s v="43399301001004"/>
    <n v="-55.05"/>
    <n v="2247"/>
    <n v="1"/>
    <n v="1"/>
  </r>
  <r>
    <m/>
    <m/>
    <x v="1"/>
    <s v="43675801001005"/>
    <n v="-2.96"/>
    <n v="121"/>
    <n v="1"/>
    <n v="1"/>
  </r>
  <r>
    <m/>
    <m/>
    <x v="1"/>
    <s v="43676781001004"/>
    <n v="-15.08"/>
    <n v="612"/>
    <n v="2"/>
    <n v="1"/>
  </r>
  <r>
    <m/>
    <m/>
    <x v="1"/>
    <s v="43684761001003"/>
    <n v="-15.57"/>
    <n v="624"/>
    <n v="2"/>
    <n v="1"/>
  </r>
  <r>
    <m/>
    <m/>
    <x v="1"/>
    <s v="43686651002002"/>
    <n v="-69.05"/>
    <n v="2802"/>
    <n v="2"/>
    <n v="1"/>
  </r>
  <r>
    <m/>
    <m/>
    <x v="1"/>
    <s v="43692811001002"/>
    <n v="-54.44"/>
    <n v="2222"/>
    <n v="1"/>
    <n v="1"/>
  </r>
  <r>
    <m/>
    <m/>
    <x v="1"/>
    <s v="43717941001003"/>
    <n v="-35.770000000000003"/>
    <n v="1460"/>
    <n v="1"/>
    <n v="1"/>
  </r>
  <r>
    <m/>
    <m/>
    <x v="1"/>
    <s v="43726551002001"/>
    <n v="-35.04"/>
    <n v="1430"/>
    <n v="1"/>
    <n v="1"/>
  </r>
  <r>
    <m/>
    <m/>
    <x v="1"/>
    <s v="43736981001001"/>
    <n v="-5.77"/>
    <n v="234"/>
    <n v="2"/>
    <n v="1"/>
  </r>
  <r>
    <m/>
    <m/>
    <x v="1"/>
    <s v="43746361001003"/>
    <n v="-1.74"/>
    <n v="71"/>
    <n v="1"/>
    <n v="1"/>
  </r>
  <r>
    <m/>
    <m/>
    <x v="1"/>
    <s v="43764561001002"/>
    <n v="-51.28"/>
    <n v="2093"/>
    <n v="1"/>
    <n v="1"/>
  </r>
  <r>
    <m/>
    <m/>
    <x v="1"/>
    <s v="43822311002001"/>
    <n v="-10.73"/>
    <n v="438"/>
    <n v="1"/>
    <n v="1"/>
  </r>
  <r>
    <m/>
    <m/>
    <x v="1"/>
    <s v="43829871002001"/>
    <n v="-42.63"/>
    <n v="1740"/>
    <n v="1"/>
    <n v="1"/>
  </r>
  <r>
    <m/>
    <m/>
    <x v="1"/>
    <s v="43881111001003"/>
    <n v="-19.72"/>
    <n v="805"/>
    <n v="1"/>
    <n v="1"/>
  </r>
  <r>
    <m/>
    <m/>
    <x v="1"/>
    <s v="43883841001001"/>
    <n v="-11.47"/>
    <n v="468"/>
    <n v="1"/>
    <n v="1"/>
  </r>
  <r>
    <m/>
    <m/>
    <x v="1"/>
    <s v="43901831002001"/>
    <n v="-46.6"/>
    <n v="1902"/>
    <n v="1"/>
    <n v="1"/>
  </r>
  <r>
    <m/>
    <m/>
    <x v="1"/>
    <s v="43903791001001"/>
    <n v="-2.06"/>
    <n v="84"/>
    <n v="1"/>
    <n v="1"/>
  </r>
  <r>
    <m/>
    <m/>
    <x v="1"/>
    <s v="43918351001003"/>
    <n v="-30.65"/>
    <n v="1251"/>
    <n v="1"/>
    <n v="1"/>
  </r>
  <r>
    <m/>
    <m/>
    <x v="1"/>
    <s v="43920871001009"/>
    <n v="-21.310000000000002"/>
    <n v="865"/>
    <n v="2"/>
    <n v="1"/>
  </r>
  <r>
    <m/>
    <m/>
    <x v="1"/>
    <s v="43956630001003"/>
    <n v="-1"/>
    <n v="40"/>
    <n v="2"/>
    <n v="1"/>
  </r>
  <r>
    <m/>
    <m/>
    <x v="1"/>
    <s v="43990381001002"/>
    <n v="-26.31"/>
    <n v="1074"/>
    <n v="1"/>
    <n v="1"/>
  </r>
  <r>
    <m/>
    <m/>
    <x v="1"/>
    <s v="43992272001007"/>
    <n v="-26.56"/>
    <n v="1084"/>
    <n v="1"/>
    <n v="1"/>
  </r>
  <r>
    <m/>
    <m/>
    <x v="1"/>
    <s v="44017138001001"/>
    <n v="-20.9"/>
    <n v="853"/>
    <n v="1"/>
    <n v="1"/>
  </r>
  <r>
    <m/>
    <m/>
    <x v="1"/>
    <s v="44032521001001"/>
    <n v="-23.900000000000002"/>
    <n v="970"/>
    <n v="2"/>
    <n v="1"/>
  </r>
  <r>
    <m/>
    <m/>
    <x v="1"/>
    <s v="44141337001005"/>
    <n v="-27.49"/>
    <n v="1122"/>
    <n v="1"/>
    <n v="1"/>
  </r>
  <r>
    <m/>
    <m/>
    <x v="1"/>
    <s v="44169062001003"/>
    <n v="-28.74"/>
    <n v="1173"/>
    <n v="1"/>
    <n v="1"/>
  </r>
  <r>
    <m/>
    <m/>
    <x v="1"/>
    <s v="44225511001001"/>
    <n v="-92.259999999999991"/>
    <n v="3755"/>
    <n v="2"/>
    <n v="1"/>
  </r>
  <r>
    <m/>
    <m/>
    <x v="1"/>
    <s v="44254071001001"/>
    <n v="-39.82"/>
    <n v="1621"/>
    <n v="2"/>
    <n v="1"/>
  </r>
  <r>
    <m/>
    <m/>
    <x v="1"/>
    <s v="44271711001001"/>
    <n v="-6.79"/>
    <n v="267"/>
    <n v="2"/>
    <n v="1"/>
  </r>
  <r>
    <m/>
    <m/>
    <x v="1"/>
    <s v="44301741001003"/>
    <n v="-100.81"/>
    <n v="4103"/>
    <n v="2"/>
    <n v="1"/>
  </r>
  <r>
    <m/>
    <m/>
    <x v="1"/>
    <s v="44339401001001"/>
    <n v="-56.540000000000006"/>
    <n v="2216"/>
    <n v="2"/>
    <n v="1"/>
  </r>
  <r>
    <m/>
    <m/>
    <x v="1"/>
    <s v="44353961001003"/>
    <n v="-67.25"/>
    <n v="2636"/>
    <n v="2"/>
    <n v="1"/>
  </r>
  <r>
    <m/>
    <m/>
    <x v="1"/>
    <s v="44355501001004"/>
    <n v="-54.7"/>
    <n v="2144"/>
    <n v="2"/>
    <n v="1"/>
  </r>
  <r>
    <m/>
    <m/>
    <x v="1"/>
    <s v="44378391001002"/>
    <n v="-34.83"/>
    <n v="1365"/>
    <n v="2"/>
    <n v="1"/>
  </r>
  <r>
    <m/>
    <m/>
    <x v="1"/>
    <s v="44389941003003"/>
    <n v="-6.3"/>
    <n v="257"/>
    <n v="1"/>
    <n v="1"/>
  </r>
  <r>
    <m/>
    <m/>
    <x v="1"/>
    <s v="44413951001005"/>
    <n v="-13.6"/>
    <n v="555"/>
    <n v="1"/>
    <n v="1"/>
  </r>
  <r>
    <m/>
    <m/>
    <x v="1"/>
    <s v="44431101001001"/>
    <n v="-34.96"/>
    <n v="1427"/>
    <n v="1"/>
    <n v="1"/>
  </r>
  <r>
    <m/>
    <m/>
    <x v="1"/>
    <s v="44431591001001"/>
    <n v="-10.19"/>
    <n v="416"/>
    <n v="1"/>
    <n v="1"/>
  </r>
  <r>
    <m/>
    <m/>
    <x v="1"/>
    <s v="44449861003001"/>
    <n v="-88.25"/>
    <n v="3602"/>
    <n v="1"/>
    <n v="1"/>
  </r>
  <r>
    <m/>
    <m/>
    <x v="1"/>
    <s v="44450771001001"/>
    <n v="-10.49"/>
    <n v="428"/>
    <n v="1"/>
    <n v="1"/>
  </r>
  <r>
    <m/>
    <m/>
    <x v="1"/>
    <s v="44453291001002"/>
    <n v="-13.5"/>
    <n v="551"/>
    <n v="1"/>
    <n v="1"/>
  </r>
  <r>
    <m/>
    <m/>
    <x v="1"/>
    <s v="44468901001002"/>
    <n v="-38.81"/>
    <n v="1584"/>
    <n v="1"/>
    <n v="1"/>
  </r>
  <r>
    <m/>
    <m/>
    <x v="1"/>
    <s v="44485551001001"/>
    <n v="-51.08"/>
    <n v="2085"/>
    <n v="1"/>
    <n v="1"/>
  </r>
  <r>
    <m/>
    <m/>
    <x v="1"/>
    <s v="44487731001001"/>
    <n v="-20.6"/>
    <n v="836"/>
    <n v="2"/>
    <n v="1"/>
  </r>
  <r>
    <m/>
    <m/>
    <x v="1"/>
    <s v="44500471002001"/>
    <n v="-66.2"/>
    <n v="2702"/>
    <n v="1"/>
    <n v="1"/>
  </r>
  <r>
    <m/>
    <m/>
    <x v="1"/>
    <s v="44524271001003"/>
    <n v="-10.809999999999999"/>
    <n v="434"/>
    <n v="2"/>
    <n v="1"/>
  </r>
  <r>
    <m/>
    <m/>
    <x v="1"/>
    <s v="44530221003001"/>
    <n v="-28.71"/>
    <n v="1136"/>
    <n v="2"/>
    <n v="1"/>
  </r>
  <r>
    <m/>
    <m/>
    <x v="1"/>
    <s v="44551221001001"/>
    <n v="-37.24"/>
    <n v="1494"/>
    <n v="2"/>
    <n v="1"/>
  </r>
  <r>
    <m/>
    <m/>
    <x v="1"/>
    <s v="44562771002003"/>
    <n v="-33.06"/>
    <n v="1326"/>
    <n v="2"/>
    <n v="1"/>
  </r>
  <r>
    <m/>
    <m/>
    <x v="1"/>
    <s v="44588111004001"/>
    <n v="-85.5"/>
    <n v="3429"/>
    <n v="2"/>
    <n v="1"/>
  </r>
  <r>
    <m/>
    <m/>
    <x v="1"/>
    <s v="44636061001001"/>
    <n v="-64.31"/>
    <n v="2610"/>
    <n v="2"/>
    <n v="1"/>
  </r>
  <r>
    <m/>
    <m/>
    <x v="1"/>
    <s v="44697801002002"/>
    <n v="-68.399999999999991"/>
    <n v="2735"/>
    <n v="2"/>
    <n v="1"/>
  </r>
  <r>
    <m/>
    <m/>
    <x v="1"/>
    <s v="44702792001004"/>
    <n v="-24.5"/>
    <n v="980"/>
    <n v="2"/>
    <n v="1"/>
  </r>
  <r>
    <m/>
    <m/>
    <x v="1"/>
    <s v="44711031001001"/>
    <n v="-37.24"/>
    <n v="1494"/>
    <n v="2"/>
    <n v="1"/>
  </r>
  <r>
    <m/>
    <m/>
    <x v="1"/>
    <s v="44711381004001"/>
    <n v="-17.47"/>
    <n v="713"/>
    <n v="1"/>
    <n v="1"/>
  </r>
  <r>
    <m/>
    <m/>
    <x v="1"/>
    <s v="44711731001005"/>
    <n v="-40.229999999999997"/>
    <n v="1642"/>
    <n v="1"/>
    <n v="1"/>
  </r>
  <r>
    <m/>
    <m/>
    <x v="1"/>
    <s v="44716981001002"/>
    <n v="-70.459999999999994"/>
    <n v="2827"/>
    <n v="2"/>
    <n v="1"/>
  </r>
  <r>
    <m/>
    <m/>
    <x v="1"/>
    <s v="44717961001001"/>
    <n v="-11.09"/>
    <n v="445"/>
    <n v="2"/>
    <n v="1"/>
  </r>
  <r>
    <m/>
    <m/>
    <x v="1"/>
    <s v="44719431001001"/>
    <n v="-34.260000000000005"/>
    <n v="1370"/>
    <n v="2"/>
    <n v="1"/>
  </r>
  <r>
    <m/>
    <m/>
    <x v="1"/>
    <s v="44726851001001"/>
    <n v="-92.49"/>
    <n v="3775"/>
    <n v="1"/>
    <n v="1"/>
  </r>
  <r>
    <m/>
    <m/>
    <x v="1"/>
    <s v="44752516001001"/>
    <n v="-12.74"/>
    <n v="520"/>
    <n v="1"/>
    <n v="1"/>
  </r>
  <r>
    <m/>
    <m/>
    <x v="1"/>
    <s v="44760031004001"/>
    <n v="-70.199999999999989"/>
    <n v="2724"/>
    <n v="2"/>
    <n v="1"/>
  </r>
  <r>
    <m/>
    <m/>
    <x v="1"/>
    <s v="44789081002003"/>
    <n v="-34.369999999999997"/>
    <n v="1403"/>
    <n v="1"/>
    <n v="1"/>
  </r>
  <r>
    <m/>
    <m/>
    <x v="1"/>
    <s v="44805881002002"/>
    <n v="-81.290000000000006"/>
    <n v="3251"/>
    <n v="2"/>
    <n v="1"/>
  </r>
  <r>
    <m/>
    <m/>
    <x v="1"/>
    <s v="44811481003005"/>
    <n v="-42.7"/>
    <n v="1733"/>
    <n v="2"/>
    <n v="1"/>
  </r>
  <r>
    <m/>
    <m/>
    <x v="1"/>
    <s v="44813091001002"/>
    <n v="-47.47"/>
    <n v="1898"/>
    <n v="2"/>
    <n v="1"/>
  </r>
  <r>
    <m/>
    <m/>
    <x v="1"/>
    <s v="44847951001001"/>
    <n v="-89.61"/>
    <n v="3573"/>
    <n v="2"/>
    <n v="1"/>
  </r>
  <r>
    <m/>
    <m/>
    <x v="1"/>
    <s v="44848161001001"/>
    <n v="-65.3"/>
    <n v="2604"/>
    <n v="2"/>
    <n v="1"/>
  </r>
  <r>
    <m/>
    <m/>
    <x v="1"/>
    <s v="44860061010001"/>
    <n v="-91.14"/>
    <n v="3699"/>
    <n v="2"/>
    <n v="1"/>
  </r>
  <r>
    <m/>
    <m/>
    <x v="1"/>
    <s v="44876721001002"/>
    <n v="-91.350000000000009"/>
    <n v="3653"/>
    <n v="2"/>
    <n v="1"/>
  </r>
  <r>
    <m/>
    <m/>
    <x v="1"/>
    <s v="44882082003001"/>
    <n v="-31.25"/>
    <n v="1203"/>
    <n v="2"/>
    <n v="1"/>
  </r>
  <r>
    <m/>
    <m/>
    <x v="1"/>
    <s v="44883581001001"/>
    <n v="-52.86"/>
    <n v="2114"/>
    <n v="2"/>
    <n v="1"/>
  </r>
  <r>
    <m/>
    <m/>
    <x v="1"/>
    <s v="44884351001001"/>
    <n v="-3.08"/>
    <n v="123"/>
    <n v="2"/>
    <n v="1"/>
  </r>
  <r>
    <m/>
    <m/>
    <x v="1"/>
    <s v="44905351001002"/>
    <n v="-46.24"/>
    <n v="1849"/>
    <n v="2"/>
    <n v="1"/>
  </r>
  <r>
    <m/>
    <m/>
    <x v="1"/>
    <s v="44908641001004"/>
    <n v="-23.37"/>
    <n v="954"/>
    <n v="1"/>
    <n v="1"/>
  </r>
  <r>
    <m/>
    <m/>
    <x v="1"/>
    <s v="44908781005003"/>
    <n v="-18.04"/>
    <n v="724"/>
    <n v="2"/>
    <n v="1"/>
  </r>
  <r>
    <m/>
    <m/>
    <x v="1"/>
    <s v="44909201001001"/>
    <n v="-12.08"/>
    <n v="483"/>
    <n v="2"/>
    <n v="1"/>
  </r>
  <r>
    <m/>
    <m/>
    <x v="1"/>
    <s v="44943221001001"/>
    <n v="-64.45"/>
    <n v="2623"/>
    <n v="2"/>
    <n v="1"/>
  </r>
  <r>
    <m/>
    <m/>
    <x v="1"/>
    <s v="44983121001001"/>
    <n v="-46.559999999999995"/>
    <n v="1862"/>
    <n v="2"/>
    <n v="1"/>
  </r>
  <r>
    <m/>
    <m/>
    <x v="1"/>
    <s v="45026101001004"/>
    <n v="-6.72"/>
    <n v="266"/>
    <n v="2"/>
    <n v="1"/>
  </r>
  <r>
    <m/>
    <m/>
    <x v="1"/>
    <s v="45037931001001"/>
    <n v="-68.84"/>
    <n v="2724"/>
    <n v="2"/>
    <n v="1"/>
  </r>
  <r>
    <m/>
    <m/>
    <x v="1"/>
    <s v="45042901001001"/>
    <n v="-92.49"/>
    <n v="3660"/>
    <n v="2"/>
    <n v="1"/>
  </r>
  <r>
    <m/>
    <m/>
    <x v="1"/>
    <s v="45045911001001"/>
    <n v="-26.910000000000004"/>
    <n v="1065"/>
    <n v="2"/>
    <n v="1"/>
  </r>
  <r>
    <m/>
    <m/>
    <x v="1"/>
    <s v="45045981001003"/>
    <n v="-51.37"/>
    <n v="2033"/>
    <n v="2"/>
    <n v="1"/>
  </r>
  <r>
    <m/>
    <m/>
    <x v="1"/>
    <s v="45049061001001"/>
    <n v="-7.84"/>
    <n v="310"/>
    <n v="2"/>
    <n v="1"/>
  </r>
  <r>
    <m/>
    <m/>
    <x v="1"/>
    <s v="45051231004001"/>
    <n v="-44.66"/>
    <n v="1767"/>
    <n v="2"/>
    <n v="1"/>
  </r>
  <r>
    <m/>
    <m/>
    <x v="1"/>
    <s v="45060821001003"/>
    <n v="-74.98"/>
    <n v="3043"/>
    <n v="2"/>
    <n v="1"/>
  </r>
  <r>
    <m/>
    <m/>
    <x v="1"/>
    <s v="45072511001002"/>
    <n v="-46.42"/>
    <n v="1837"/>
    <n v="2"/>
    <n v="1"/>
  </r>
  <r>
    <m/>
    <m/>
    <x v="1"/>
    <s v="45087071001001"/>
    <n v="-97.41"/>
    <n v="3855"/>
    <n v="2"/>
    <n v="1"/>
  </r>
  <r>
    <m/>
    <m/>
    <x v="1"/>
    <s v="45114021001001"/>
    <n v="-59.01"/>
    <n v="2353"/>
    <n v="2"/>
    <n v="1"/>
  </r>
  <r>
    <m/>
    <m/>
    <x v="1"/>
    <s v="45128721001001"/>
    <n v="-4.74"/>
    <n v="188"/>
    <n v="2"/>
    <n v="1"/>
  </r>
  <r>
    <m/>
    <m/>
    <x v="1"/>
    <s v="45155461001001"/>
    <n v="-44"/>
    <n v="1796"/>
    <n v="1"/>
    <n v="1"/>
  </r>
  <r>
    <m/>
    <m/>
    <x v="1"/>
    <s v="45161551001001"/>
    <n v="-27.49"/>
    <n v="1122"/>
    <n v="1"/>
    <n v="1"/>
  </r>
  <r>
    <m/>
    <m/>
    <x v="1"/>
    <s v="45185561001003"/>
    <n v="-97.940000000000012"/>
    <n v="3986"/>
    <n v="2"/>
    <n v="1"/>
  </r>
  <r>
    <m/>
    <m/>
    <x v="1"/>
    <s v="45188011001001"/>
    <n v="-24.33"/>
    <n v="993"/>
    <n v="1"/>
    <n v="1"/>
  </r>
  <r>
    <m/>
    <m/>
    <x v="1"/>
    <s v="45191091001001"/>
    <n v="-23.15"/>
    <n v="945"/>
    <n v="1"/>
    <n v="1"/>
  </r>
  <r>
    <m/>
    <m/>
    <x v="1"/>
    <s v="45196412001001"/>
    <n v="-51.290000000000006"/>
    <n v="2051"/>
    <n v="2"/>
    <n v="1"/>
  </r>
  <r>
    <m/>
    <m/>
    <x v="1"/>
    <s v="45200191001001"/>
    <n v="-17.52"/>
    <n v="715"/>
    <n v="1"/>
    <n v="1"/>
  </r>
  <r>
    <m/>
    <m/>
    <x v="1"/>
    <s v="45200681004001"/>
    <n v="-36.19"/>
    <n v="1477"/>
    <n v="1"/>
    <n v="1"/>
  </r>
  <r>
    <m/>
    <m/>
    <x v="1"/>
    <s v="45253371002003"/>
    <n v="-56.47"/>
    <n v="2180"/>
    <n v="2"/>
    <n v="1"/>
  </r>
  <r>
    <m/>
    <m/>
    <x v="1"/>
    <s v="45259341001001"/>
    <n v="-25.87"/>
    <n v="1056"/>
    <n v="1"/>
    <n v="1"/>
  </r>
  <r>
    <m/>
    <m/>
    <x v="1"/>
    <s v="45272991001001"/>
    <n v="-8.8000000000000007"/>
    <n v="359"/>
    <n v="1"/>
    <n v="1"/>
  </r>
  <r>
    <m/>
    <m/>
    <x v="1"/>
    <s v="45311911001001"/>
    <n v="-100.84"/>
    <n v="4116"/>
    <n v="1"/>
    <n v="1"/>
  </r>
  <r>
    <m/>
    <m/>
    <x v="1"/>
    <s v="45329621001002"/>
    <n v="-75.73"/>
    <n v="3091"/>
    <n v="1"/>
    <n v="1"/>
  </r>
  <r>
    <m/>
    <m/>
    <x v="1"/>
    <s v="45356011003001"/>
    <n v="-25.73"/>
    <n v="1050"/>
    <n v="1"/>
    <n v="1"/>
  </r>
  <r>
    <m/>
    <m/>
    <x v="1"/>
    <s v="45363781001003"/>
    <n v="-63.38"/>
    <n v="2587"/>
    <n v="1"/>
    <n v="1"/>
  </r>
  <r>
    <m/>
    <m/>
    <x v="1"/>
    <s v="45382261001001"/>
    <n v="-47.68"/>
    <n v="1946"/>
    <n v="1"/>
    <n v="1"/>
  </r>
  <r>
    <m/>
    <m/>
    <x v="1"/>
    <s v="45384011001002"/>
    <n v="-77.27"/>
    <n v="3154"/>
    <n v="1"/>
    <n v="1"/>
  </r>
  <r>
    <m/>
    <m/>
    <x v="1"/>
    <s v="45435111001002"/>
    <n v="-17.350000000000001"/>
    <n v="708"/>
    <n v="1"/>
    <n v="1"/>
  </r>
  <r>
    <m/>
    <m/>
    <x v="1"/>
    <s v="45443161001003"/>
    <n v="-34.5"/>
    <n v="1408"/>
    <n v="1"/>
    <n v="1"/>
  </r>
  <r>
    <m/>
    <m/>
    <x v="1"/>
    <s v="45455716004001"/>
    <n v="-81.95"/>
    <n v="3335"/>
    <n v="2"/>
    <n v="1"/>
  </r>
  <r>
    <m/>
    <m/>
    <x v="1"/>
    <s v="45487611001002"/>
    <n v="-58.19"/>
    <n v="2327"/>
    <n v="2"/>
    <n v="1"/>
  </r>
  <r>
    <m/>
    <m/>
    <x v="1"/>
    <s v="45508261001001"/>
    <n v="-27.54"/>
    <n v="1124"/>
    <n v="1"/>
    <n v="1"/>
  </r>
  <r>
    <m/>
    <m/>
    <x v="1"/>
    <s v="45599751001003"/>
    <n v="-51.199999999999996"/>
    <n v="1971"/>
    <n v="2"/>
    <n v="1"/>
  </r>
  <r>
    <m/>
    <m/>
    <x v="1"/>
    <s v="45628101001001"/>
    <n v="-45.42"/>
    <n v="1854"/>
    <n v="1"/>
    <n v="1"/>
  </r>
  <r>
    <m/>
    <m/>
    <x v="1"/>
    <s v="45634593001005"/>
    <n v="-10.58"/>
    <n v="432"/>
    <n v="1"/>
    <n v="1"/>
  </r>
  <r>
    <m/>
    <m/>
    <x v="1"/>
    <s v="45692851001002"/>
    <n v="-87.46"/>
    <n v="3367"/>
    <n v="2"/>
    <n v="1"/>
  </r>
  <r>
    <m/>
    <m/>
    <x v="1"/>
    <s v="45755151003001"/>
    <n v="-61.58"/>
    <n v="2390"/>
    <n v="2"/>
    <n v="1"/>
  </r>
  <r>
    <m/>
    <m/>
    <x v="1"/>
    <s v="45765931005001"/>
    <n v="-82.51"/>
    <n v="3202"/>
    <n v="2"/>
    <n v="1"/>
  </r>
  <r>
    <m/>
    <m/>
    <x v="1"/>
    <s v="45788681002001"/>
    <n v="-24.29"/>
    <n v="948"/>
    <n v="2"/>
    <n v="1"/>
  </r>
  <r>
    <m/>
    <m/>
    <x v="1"/>
    <s v="45796661003006"/>
    <n v="-98.73"/>
    <n v="3948"/>
    <n v="2"/>
    <n v="1"/>
  </r>
  <r>
    <m/>
    <m/>
    <x v="1"/>
    <s v="45796731002001"/>
    <n v="-56.74"/>
    <n v="2202"/>
    <n v="2"/>
    <n v="1"/>
  </r>
  <r>
    <m/>
    <m/>
    <x v="1"/>
    <s v="45848321002005"/>
    <n v="-18.399999999999999"/>
    <n v="747"/>
    <n v="2"/>
    <n v="1"/>
  </r>
  <r>
    <m/>
    <m/>
    <x v="1"/>
    <s v="45851261001001"/>
    <n v="-41.43"/>
    <n v="1691"/>
    <n v="1"/>
    <n v="1"/>
  </r>
  <r>
    <m/>
    <m/>
    <x v="1"/>
    <s v="45861481003001"/>
    <n v="-19.399999999999999"/>
    <n v="792"/>
    <n v="1"/>
    <n v="1"/>
  </r>
  <r>
    <m/>
    <m/>
    <x v="1"/>
    <s v="45923431004001"/>
    <n v="-32.340000000000003"/>
    <n v="1320"/>
    <n v="1"/>
    <n v="1"/>
  </r>
  <r>
    <m/>
    <m/>
    <x v="1"/>
    <s v="45929941001001"/>
    <n v="-4.97"/>
    <n v="203"/>
    <n v="1"/>
    <n v="1"/>
  </r>
  <r>
    <m/>
    <m/>
    <x v="1"/>
    <s v="45955491001002"/>
    <n v="-72.34"/>
    <n v="2785"/>
    <n v="2"/>
    <n v="1"/>
  </r>
  <r>
    <m/>
    <m/>
    <x v="1"/>
    <s v="45981872001001"/>
    <n v="-2.94"/>
    <n v="120"/>
    <n v="1"/>
    <n v="1"/>
  </r>
  <r>
    <m/>
    <m/>
    <x v="1"/>
    <s v="46026754003007"/>
    <n v="-33.200000000000003"/>
    <n v="1355"/>
    <n v="1"/>
    <n v="1"/>
  </r>
  <r>
    <m/>
    <m/>
    <x v="1"/>
    <s v="46067776002003"/>
    <n v="-20.309999999999999"/>
    <n v="829"/>
    <n v="1"/>
    <n v="1"/>
  </r>
  <r>
    <m/>
    <m/>
    <x v="1"/>
    <s v="46087791001001"/>
    <n v="-90.14"/>
    <n v="3533"/>
    <n v="2"/>
    <n v="1"/>
  </r>
  <r>
    <m/>
    <m/>
    <x v="1"/>
    <s v="46096471001002"/>
    <n v="-21.47"/>
    <n v="861"/>
    <n v="2"/>
    <n v="1"/>
  </r>
  <r>
    <m/>
    <m/>
    <x v="1"/>
    <s v="46108706001003"/>
    <n v="-78"/>
    <n v="3003"/>
    <n v="2"/>
    <n v="1"/>
  </r>
  <r>
    <m/>
    <m/>
    <x v="1"/>
    <s v="46109911001006"/>
    <n v="-41.56"/>
    <n v="1662"/>
    <n v="2"/>
    <n v="1"/>
  </r>
  <r>
    <m/>
    <m/>
    <x v="1"/>
    <s v="46127621002001"/>
    <n v="-70.39"/>
    <n v="2873"/>
    <n v="1"/>
    <n v="1"/>
  </r>
  <r>
    <m/>
    <m/>
    <x v="1"/>
    <s v="46140781001002"/>
    <n v="-50.83"/>
    <n v="1962"/>
    <n v="2"/>
    <n v="1"/>
  </r>
  <r>
    <m/>
    <m/>
    <x v="1"/>
    <s v="46149881001005"/>
    <n v="-0.2"/>
    <n v="8"/>
    <n v="2"/>
    <n v="1"/>
  </r>
  <r>
    <m/>
    <m/>
    <x v="1"/>
    <s v="46208961001005"/>
    <n v="-68.61"/>
    <n v="2641"/>
    <n v="2"/>
    <n v="1"/>
  </r>
  <r>
    <m/>
    <m/>
    <x v="1"/>
    <s v="46227600003001"/>
    <n v="-28.68"/>
    <n v="1124"/>
    <n v="2"/>
    <n v="1"/>
  </r>
  <r>
    <m/>
    <m/>
    <x v="1"/>
    <s v="46228281001002"/>
    <n v="-73.72"/>
    <n v="2877"/>
    <n v="2"/>
    <n v="1"/>
  </r>
  <r>
    <m/>
    <m/>
    <x v="1"/>
    <s v="46253481001006"/>
    <n v="-44.7"/>
    <n v="1752"/>
    <n v="2"/>
    <n v="1"/>
  </r>
  <r>
    <m/>
    <m/>
    <x v="1"/>
    <s v="46289181005001"/>
    <n v="-52.41"/>
    <n v="2034"/>
    <n v="2"/>
    <n v="1"/>
  </r>
  <r>
    <m/>
    <m/>
    <x v="1"/>
    <s v="46322361003003"/>
    <n v="-73.23"/>
    <n v="2989"/>
    <n v="1"/>
    <n v="1"/>
  </r>
  <r>
    <m/>
    <m/>
    <x v="1"/>
    <s v="46333701006001"/>
    <n v="-30.6"/>
    <n v="1249"/>
    <n v="1"/>
    <n v="1"/>
  </r>
  <r>
    <m/>
    <m/>
    <x v="1"/>
    <s v="46350571001003"/>
    <n v="-34.26"/>
    <n v="1319"/>
    <n v="2"/>
    <n v="1"/>
  </r>
  <r>
    <m/>
    <m/>
    <x v="1"/>
    <s v="46392431004003"/>
    <n v="-52.97"/>
    <n v="2118"/>
    <n v="2"/>
    <n v="1"/>
  </r>
  <r>
    <m/>
    <m/>
    <x v="1"/>
    <s v="46447731001002"/>
    <n v="-43.71"/>
    <n v="1784"/>
    <n v="1"/>
    <n v="1"/>
  </r>
  <r>
    <m/>
    <m/>
    <x v="1"/>
    <s v="46459421003005"/>
    <n v="-46.41"/>
    <n v="1856"/>
    <n v="2"/>
    <n v="1"/>
  </r>
  <r>
    <m/>
    <m/>
    <x v="1"/>
    <s v="46461591002001"/>
    <n v="-40.06"/>
    <n v="1542"/>
    <n v="2"/>
    <n v="1"/>
  </r>
  <r>
    <m/>
    <m/>
    <x v="1"/>
    <s v="46484481001004"/>
    <n v="-99.77"/>
    <n v="3851"/>
    <n v="2"/>
    <n v="1"/>
  </r>
  <r>
    <m/>
    <m/>
    <x v="1"/>
    <s v="46562181001001"/>
    <n v="-61.58"/>
    <n v="2390"/>
    <n v="2"/>
    <n v="1"/>
  </r>
  <r>
    <m/>
    <m/>
    <x v="1"/>
    <s v="46684121001001"/>
    <n v="-83.04"/>
    <n v="3311"/>
    <n v="2"/>
    <n v="1"/>
  </r>
  <r>
    <m/>
    <m/>
    <x v="1"/>
    <s v="46689301001005"/>
    <n v="-65.31"/>
    <n v="2521"/>
    <n v="2"/>
    <n v="1"/>
  </r>
  <r>
    <m/>
    <m/>
    <x v="1"/>
    <s v="46747261004013"/>
    <n v="-10.09"/>
    <n v="412"/>
    <n v="1"/>
    <n v="1"/>
  </r>
  <r>
    <m/>
    <m/>
    <x v="1"/>
    <s v="46749431002001"/>
    <n v="-10.85"/>
    <n v="443"/>
    <n v="1"/>
    <n v="1"/>
  </r>
  <r>
    <m/>
    <m/>
    <x v="1"/>
    <s v="46752049002013"/>
    <n v="-80.64"/>
    <n v="3191"/>
    <n v="2"/>
    <n v="1"/>
  </r>
  <r>
    <m/>
    <m/>
    <x v="1"/>
    <s v="46773231008001"/>
    <n v="-19.82"/>
    <n v="809"/>
    <n v="1"/>
    <n v="1"/>
  </r>
  <r>
    <m/>
    <m/>
    <x v="1"/>
    <s v="46774841003005"/>
    <n v="-51.839999999999996"/>
    <n v="2073"/>
    <n v="2"/>
    <n v="1"/>
  </r>
  <r>
    <m/>
    <m/>
    <x v="1"/>
    <s v="46806971002001"/>
    <n v="-38.909999999999997"/>
    <n v="1588"/>
    <n v="1"/>
    <n v="1"/>
  </r>
  <r>
    <m/>
    <m/>
    <x v="1"/>
    <s v="46853523001007"/>
    <n v="-55.95"/>
    <n v="2154"/>
    <n v="2"/>
    <n v="1"/>
  </r>
  <r>
    <m/>
    <m/>
    <x v="1"/>
    <s v="46868991001001"/>
    <n v="-31.53"/>
    <n v="1287"/>
    <n v="1"/>
    <n v="1"/>
  </r>
  <r>
    <m/>
    <m/>
    <x v="1"/>
    <s v="46933740002005"/>
    <n v="-32.020000000000003"/>
    <n v="1233"/>
    <n v="2"/>
    <n v="1"/>
  </r>
  <r>
    <m/>
    <m/>
    <x v="1"/>
    <s v="47056381002002"/>
    <n v="-79.94"/>
    <n v="3133"/>
    <n v="2"/>
    <n v="1"/>
  </r>
  <r>
    <m/>
    <m/>
    <x v="1"/>
    <s v="47142060001003"/>
    <n v="-31.59"/>
    <n v="1263"/>
    <n v="2"/>
    <n v="1"/>
  </r>
  <r>
    <m/>
    <m/>
    <x v="1"/>
    <s v="47164607001003"/>
    <n v="-10.49"/>
    <n v="428"/>
    <n v="1"/>
    <n v="1"/>
  </r>
  <r>
    <m/>
    <m/>
    <x v="1"/>
    <s v="47167121008001"/>
    <n v="-79.38"/>
    <n v="3231"/>
    <n v="2"/>
    <n v="1"/>
  </r>
  <r>
    <m/>
    <m/>
    <x v="1"/>
    <s v="47184061008001"/>
    <n v="-6.76"/>
    <n v="276"/>
    <n v="1"/>
    <n v="1"/>
  </r>
  <r>
    <m/>
    <m/>
    <x v="1"/>
    <s v="47203101003001"/>
    <n v="-100.88"/>
    <n v="3954"/>
    <n v="2"/>
    <n v="1"/>
  </r>
  <r>
    <m/>
    <m/>
    <x v="1"/>
    <s v="47210031006001"/>
    <n v="-58.65"/>
    <n v="2394"/>
    <n v="1"/>
    <n v="1"/>
  </r>
  <r>
    <m/>
    <m/>
    <x v="1"/>
    <s v="47227107001005"/>
    <n v="-21.65"/>
    <n v="869"/>
    <n v="2"/>
    <n v="1"/>
  </r>
  <r>
    <m/>
    <m/>
    <x v="1"/>
    <s v="47234572001003"/>
    <n v="-7.5"/>
    <n v="306"/>
    <n v="1"/>
    <n v="1"/>
  </r>
  <r>
    <m/>
    <m/>
    <x v="1"/>
    <s v="47237681002003"/>
    <n v="-40.28"/>
    <n v="1594"/>
    <n v="2"/>
    <n v="1"/>
  </r>
  <r>
    <m/>
    <m/>
    <x v="1"/>
    <s v="47282621001001"/>
    <n v="-24.53"/>
    <n v="992"/>
    <n v="2"/>
    <n v="1"/>
  </r>
  <r>
    <m/>
    <m/>
    <x v="1"/>
    <s v="47309151001003"/>
    <n v="-13.07"/>
    <n v="521"/>
    <n v="2"/>
    <n v="1"/>
  </r>
  <r>
    <m/>
    <m/>
    <x v="1"/>
    <s v="47309291001002"/>
    <n v="-9.02"/>
    <n v="368"/>
    <n v="1"/>
    <n v="1"/>
  </r>
  <r>
    <m/>
    <m/>
    <x v="1"/>
    <s v="47315031001007"/>
    <n v="-13.48"/>
    <n v="519"/>
    <n v="2"/>
    <n v="1"/>
  </r>
  <r>
    <m/>
    <m/>
    <x v="1"/>
    <s v="47328121002001"/>
    <n v="-56.989999999999995"/>
    <n v="2279"/>
    <n v="2"/>
    <n v="1"/>
  </r>
  <r>
    <m/>
    <m/>
    <x v="1"/>
    <s v="47335261001008"/>
    <n v="-56.42"/>
    <n v="2172"/>
    <n v="2"/>
    <n v="1"/>
  </r>
  <r>
    <m/>
    <m/>
    <x v="1"/>
    <s v="47414851004001"/>
    <n v="-73.47"/>
    <n v="2971"/>
    <n v="2"/>
    <n v="1"/>
  </r>
  <r>
    <m/>
    <m/>
    <x v="1"/>
    <s v="47421501001004"/>
    <n v="-13.58"/>
    <n v="549"/>
    <n v="2"/>
    <n v="1"/>
  </r>
  <r>
    <m/>
    <m/>
    <x v="1"/>
    <s v="47484221001003"/>
    <n v="-13.99"/>
    <n v="571"/>
    <n v="1"/>
    <n v="1"/>
  </r>
  <r>
    <m/>
    <m/>
    <x v="1"/>
    <s v="47496751010001"/>
    <n v="-44.95"/>
    <n v="1792"/>
    <n v="2"/>
    <n v="1"/>
  </r>
  <r>
    <m/>
    <m/>
    <x v="1"/>
    <s v="47505992001004"/>
    <n v="-58.7"/>
    <n v="2396"/>
    <n v="1"/>
    <n v="1"/>
  </r>
  <r>
    <m/>
    <m/>
    <x v="1"/>
    <s v="47543441001004"/>
    <n v="-42.34"/>
    <n v="1712"/>
    <n v="2"/>
    <n v="1"/>
  </r>
  <r>
    <m/>
    <m/>
    <x v="1"/>
    <s v="47558607001001"/>
    <n v="-83.08"/>
    <n v="3256"/>
    <n v="2"/>
    <n v="1"/>
  </r>
  <r>
    <m/>
    <m/>
    <x v="1"/>
    <s v="47567311002006"/>
    <n v="-42.34"/>
    <n v="1728"/>
    <n v="1"/>
    <n v="1"/>
  </r>
  <r>
    <m/>
    <m/>
    <x v="1"/>
    <s v="47593271001001"/>
    <n v="-45.370000000000005"/>
    <n v="1778"/>
    <n v="2"/>
    <n v="1"/>
  </r>
  <r>
    <m/>
    <m/>
    <x v="1"/>
    <s v="47596151001005"/>
    <n v="-30.240000000000002"/>
    <n v="1213"/>
    <n v="2"/>
    <n v="1"/>
  </r>
  <r>
    <m/>
    <m/>
    <x v="1"/>
    <s v="47598881005001"/>
    <n v="-45.75"/>
    <n v="1862"/>
    <n v="2"/>
    <n v="1"/>
  </r>
  <r>
    <m/>
    <m/>
    <x v="1"/>
    <s v="47603221004001"/>
    <n v="-0.56000000000000005"/>
    <n v="23"/>
    <n v="1"/>
    <n v="1"/>
  </r>
  <r>
    <m/>
    <m/>
    <x v="1"/>
    <s v="47614561003007"/>
    <n v="-41.09"/>
    <n v="1626"/>
    <n v="2"/>
    <n v="1"/>
  </r>
  <r>
    <m/>
    <m/>
    <x v="1"/>
    <s v="47663211009005"/>
    <n v="-100.7"/>
    <n v="3877"/>
    <n v="2"/>
    <n v="1"/>
  </r>
  <r>
    <m/>
    <m/>
    <x v="1"/>
    <s v="47671401001005"/>
    <n v="-61.06"/>
    <n v="2416"/>
    <n v="2"/>
    <n v="1"/>
  </r>
  <r>
    <m/>
    <m/>
    <x v="1"/>
    <s v="47673221001005"/>
    <n v="-71.2"/>
    <n v="2763"/>
    <n v="2"/>
    <n v="1"/>
  </r>
  <r>
    <m/>
    <m/>
    <x v="1"/>
    <s v="47686731001002"/>
    <n v="-4.37"/>
    <n v="174"/>
    <n v="2"/>
    <n v="1"/>
  </r>
  <r>
    <m/>
    <m/>
    <x v="1"/>
    <s v="47696251001001"/>
    <n v="-59.13"/>
    <n v="2391"/>
    <n v="2"/>
    <n v="1"/>
  </r>
  <r>
    <m/>
    <m/>
    <x v="1"/>
    <s v="47707871002001"/>
    <n v="-51.6"/>
    <n v="2106"/>
    <n v="1"/>
    <n v="1"/>
  </r>
  <r>
    <m/>
    <m/>
    <x v="1"/>
    <s v="47758971002003"/>
    <n v="-29.169999999999998"/>
    <n v="1123"/>
    <n v="2"/>
    <n v="1"/>
  </r>
  <r>
    <m/>
    <m/>
    <x v="1"/>
    <s v="47762878002003"/>
    <n v="-39.840000000000003"/>
    <n v="1626"/>
    <n v="1"/>
    <n v="1"/>
  </r>
  <r>
    <m/>
    <m/>
    <x v="1"/>
    <s v="47778151001004"/>
    <n v="-88.98"/>
    <n v="3632"/>
    <n v="1"/>
    <n v="1"/>
  </r>
  <r>
    <m/>
    <m/>
    <x v="1"/>
    <s v="47795791001001"/>
    <n v="-55.24"/>
    <n v="2209"/>
    <n v="2"/>
    <n v="1"/>
  </r>
  <r>
    <m/>
    <m/>
    <x v="1"/>
    <s v="47863481003003"/>
    <n v="-54.37"/>
    <n v="2131"/>
    <n v="2"/>
    <n v="1"/>
  </r>
  <r>
    <m/>
    <m/>
    <x v="1"/>
    <s v="47865371001001"/>
    <n v="-56.569999999999993"/>
    <n v="2262"/>
    <n v="2"/>
    <n v="1"/>
  </r>
  <r>
    <m/>
    <m/>
    <x v="1"/>
    <s v="47871671002003"/>
    <n v="-53.209999999999994"/>
    <n v="2054"/>
    <n v="2"/>
    <n v="1"/>
  </r>
  <r>
    <m/>
    <m/>
    <x v="1"/>
    <s v="47874432001002"/>
    <n v="-71.86"/>
    <n v="2933"/>
    <n v="1"/>
    <n v="1"/>
  </r>
  <r>
    <m/>
    <m/>
    <x v="1"/>
    <s v="47902401001001"/>
    <n v="-80.77000000000001"/>
    <n v="3239"/>
    <n v="2"/>
    <n v="1"/>
  </r>
  <r>
    <m/>
    <m/>
    <x v="1"/>
    <s v="47907721006007"/>
    <n v="-35.150000000000006"/>
    <n v="1391"/>
    <n v="2"/>
    <n v="1"/>
  </r>
  <r>
    <m/>
    <m/>
    <x v="1"/>
    <s v="47919224001001"/>
    <n v="-19.18"/>
    <n v="783"/>
    <n v="1"/>
    <n v="1"/>
  </r>
  <r>
    <m/>
    <m/>
    <x v="1"/>
    <s v="48051781001007"/>
    <n v="-21.25"/>
    <n v="818"/>
    <n v="2"/>
    <n v="1"/>
  </r>
  <r>
    <m/>
    <m/>
    <x v="1"/>
    <s v="48066621001001"/>
    <n v="-4.09"/>
    <n v="164"/>
    <n v="2"/>
    <n v="1"/>
  </r>
  <r>
    <m/>
    <m/>
    <x v="1"/>
    <s v="48090281007001"/>
    <n v="-110.41"/>
    <n v="4415"/>
    <n v="2"/>
    <n v="1"/>
  </r>
  <r>
    <m/>
    <m/>
    <x v="1"/>
    <s v="48098261002004"/>
    <n v="-42.33"/>
    <n v="1693"/>
    <n v="2"/>
    <n v="1"/>
  </r>
  <r>
    <m/>
    <m/>
    <x v="1"/>
    <s v="48098490001001"/>
    <n v="-50.45"/>
    <n v="2059"/>
    <n v="1"/>
    <n v="1"/>
  </r>
  <r>
    <m/>
    <m/>
    <x v="1"/>
    <s v="48109251001002"/>
    <n v="-21.35"/>
    <n v="863"/>
    <n v="2"/>
    <n v="1"/>
  </r>
  <r>
    <m/>
    <m/>
    <x v="1"/>
    <s v="48121991001001"/>
    <n v="-52.68"/>
    <n v="2138"/>
    <n v="2"/>
    <n v="1"/>
  </r>
  <r>
    <m/>
    <m/>
    <x v="1"/>
    <s v="48201931003002"/>
    <n v="-49.81"/>
    <n v="2033"/>
    <n v="1"/>
    <n v="1"/>
  </r>
  <r>
    <m/>
    <m/>
    <x v="1"/>
    <s v="48227142001001"/>
    <n v="-28.89"/>
    <n v="1168"/>
    <n v="2"/>
    <n v="1"/>
  </r>
  <r>
    <m/>
    <m/>
    <x v="1"/>
    <s v="48244561001001"/>
    <n v="-61.6"/>
    <n v="2456"/>
    <n v="2"/>
    <n v="1"/>
  </r>
  <r>
    <m/>
    <m/>
    <x v="1"/>
    <s v="48270598001001"/>
    <n v="-84.63"/>
    <n v="3258"/>
    <n v="2"/>
    <n v="1"/>
  </r>
  <r>
    <m/>
    <m/>
    <x v="1"/>
    <s v="48320511001002"/>
    <n v="-16.3"/>
    <n v="659"/>
    <n v="2"/>
    <n v="1"/>
  </r>
  <r>
    <m/>
    <m/>
    <x v="1"/>
    <s v="48498657001001"/>
    <n v="-31.43"/>
    <n v="1244"/>
    <n v="2"/>
    <n v="1"/>
  </r>
  <r>
    <m/>
    <m/>
    <x v="1"/>
    <s v="48520235002004"/>
    <n v="-9.77"/>
    <n v="377"/>
    <n v="2"/>
    <n v="1"/>
  </r>
  <r>
    <m/>
    <m/>
    <x v="1"/>
    <s v="48617101001002"/>
    <n v="-43.17"/>
    <n v="1662"/>
    <n v="2"/>
    <n v="1"/>
  </r>
  <r>
    <m/>
    <m/>
    <x v="1"/>
    <s v="48676391001001"/>
    <n v="-43.42"/>
    <n v="1767"/>
    <n v="2"/>
    <n v="1"/>
  </r>
  <r>
    <m/>
    <m/>
    <x v="1"/>
    <s v="48751435001001"/>
    <n v="-43.34"/>
    <n v="1769"/>
    <n v="1"/>
    <n v="1"/>
  </r>
  <r>
    <m/>
    <m/>
    <x v="1"/>
    <s v="48925311003003"/>
    <n v="-39"/>
    <n v="1592"/>
    <n v="1"/>
    <n v="1"/>
  </r>
  <r>
    <m/>
    <m/>
    <x v="1"/>
    <s v="48926217001001"/>
    <n v="-37.46"/>
    <n v="1529"/>
    <n v="1"/>
    <n v="1"/>
  </r>
  <r>
    <m/>
    <m/>
    <x v="1"/>
    <s v="48937755001004"/>
    <n v="-4.09"/>
    <n v="158"/>
    <n v="2"/>
    <n v="1"/>
  </r>
  <r>
    <m/>
    <m/>
    <x v="1"/>
    <s v="48985511001001"/>
    <n v="-87.25"/>
    <n v="3368"/>
    <n v="2"/>
    <n v="1"/>
  </r>
  <r>
    <m/>
    <m/>
    <x v="1"/>
    <s v="49040181002004"/>
    <n v="-31.25"/>
    <n v="1203"/>
    <n v="2"/>
    <n v="1"/>
  </r>
  <r>
    <m/>
    <m/>
    <x v="1"/>
    <s v="49086895001007"/>
    <n v="-47.25"/>
    <n v="1852"/>
    <n v="2"/>
    <n v="1"/>
  </r>
  <r>
    <m/>
    <m/>
    <x v="1"/>
    <s v="49240871005001"/>
    <n v="-30.53"/>
    <n v="1200"/>
    <n v="2"/>
    <n v="1"/>
  </r>
  <r>
    <m/>
    <m/>
    <x v="1"/>
    <s v="49283851001002"/>
    <n v="-17"/>
    <n v="694"/>
    <n v="1"/>
    <n v="1"/>
  </r>
  <r>
    <m/>
    <m/>
    <x v="1"/>
    <s v="49311851001001"/>
    <n v="-3.09"/>
    <n v="119"/>
    <n v="2"/>
    <n v="1"/>
  </r>
  <r>
    <m/>
    <m/>
    <x v="1"/>
    <s v="49393121003003"/>
    <n v="-24.57"/>
    <n v="1003"/>
    <n v="1"/>
    <n v="1"/>
  </r>
  <r>
    <m/>
    <m/>
    <x v="1"/>
    <s v="49399211004004"/>
    <n v="-41.33"/>
    <n v="1687"/>
    <n v="1"/>
    <n v="1"/>
  </r>
  <r>
    <m/>
    <m/>
    <x v="1"/>
    <s v="49422279001002"/>
    <n v="-42.61"/>
    <n v="1739"/>
    <n v="1"/>
    <n v="1"/>
  </r>
  <r>
    <m/>
    <m/>
    <x v="1"/>
    <s v="49494020001001"/>
    <n v="-68.8"/>
    <n v="2782"/>
    <n v="2"/>
    <n v="1"/>
  </r>
  <r>
    <m/>
    <m/>
    <x v="1"/>
    <s v="49495461002007"/>
    <n v="-31.11"/>
    <n v="1244"/>
    <n v="2"/>
    <n v="1"/>
  </r>
  <r>
    <m/>
    <m/>
    <x v="1"/>
    <s v="49495741001001"/>
    <n v="-50.76"/>
    <n v="2072"/>
    <n v="1"/>
    <n v="1"/>
  </r>
  <r>
    <m/>
    <m/>
    <x v="1"/>
    <s v="49508621001001"/>
    <n v="-38.69"/>
    <n v="1579"/>
    <n v="1"/>
    <n v="1"/>
  </r>
  <r>
    <m/>
    <m/>
    <x v="1"/>
    <s v="49522201001002"/>
    <n v="-14.06"/>
    <n v="574"/>
    <n v="1"/>
    <n v="1"/>
  </r>
  <r>
    <m/>
    <m/>
    <x v="1"/>
    <s v="49524161003011"/>
    <n v="-38.69"/>
    <n v="1579"/>
    <n v="1"/>
    <n v="1"/>
  </r>
  <r>
    <m/>
    <m/>
    <x v="1"/>
    <s v="49538441007001"/>
    <n v="-62.87"/>
    <n v="2566"/>
    <n v="1"/>
    <n v="1"/>
  </r>
  <r>
    <m/>
    <m/>
    <x v="1"/>
    <s v="49541451001001"/>
    <n v="-9.35"/>
    <n v="360"/>
    <n v="2"/>
    <n v="1"/>
  </r>
  <r>
    <m/>
    <m/>
    <x v="1"/>
    <s v="49543901002001"/>
    <n v="-39.979999999999997"/>
    <n v="1632"/>
    <n v="1"/>
    <n v="1"/>
  </r>
  <r>
    <m/>
    <m/>
    <x v="1"/>
    <s v="49555941001005"/>
    <n v="-60.34"/>
    <n v="2463"/>
    <n v="1"/>
    <n v="1"/>
  </r>
  <r>
    <m/>
    <m/>
    <x v="1"/>
    <s v="49570221001004"/>
    <n v="-29.38"/>
    <n v="1175"/>
    <n v="2"/>
    <n v="1"/>
  </r>
  <r>
    <m/>
    <m/>
    <x v="1"/>
    <s v="49577991001002"/>
    <n v="-33.730000000000004"/>
    <n v="1345"/>
    <n v="2"/>
    <n v="1"/>
  </r>
  <r>
    <m/>
    <m/>
    <x v="1"/>
    <s v="49585614001003"/>
    <n v="-19.77"/>
    <n v="807"/>
    <n v="1"/>
    <n v="1"/>
  </r>
  <r>
    <m/>
    <m/>
    <x v="1"/>
    <s v="49608231003009"/>
    <n v="-90.57"/>
    <n v="3487"/>
    <n v="2"/>
    <n v="1"/>
  </r>
  <r>
    <m/>
    <m/>
    <x v="1"/>
    <s v="49656951001001"/>
    <n v="-74.37"/>
    <n v="2863"/>
    <n v="2"/>
    <n v="1"/>
  </r>
  <r>
    <m/>
    <m/>
    <x v="1"/>
    <s v="49663504001001"/>
    <n v="-10.14"/>
    <n v="414"/>
    <n v="1"/>
    <n v="1"/>
  </r>
  <r>
    <m/>
    <m/>
    <x v="1"/>
    <s v="49686351001004"/>
    <n v="-72.56"/>
    <n v="2793"/>
    <n v="2"/>
    <n v="1"/>
  </r>
  <r>
    <m/>
    <m/>
    <x v="1"/>
    <s v="49882561001006"/>
    <n v="-3.02"/>
    <n v="119"/>
    <n v="2"/>
    <n v="1"/>
  </r>
  <r>
    <m/>
    <m/>
    <x v="1"/>
    <s v="49885151001001"/>
    <n v="-63.72"/>
    <n v="2453"/>
    <n v="2"/>
    <n v="1"/>
  </r>
  <r>
    <m/>
    <m/>
    <x v="1"/>
    <s v="50047300001003"/>
    <n v="-71.239999999999995"/>
    <n v="2857"/>
    <n v="2"/>
    <n v="1"/>
  </r>
  <r>
    <m/>
    <m/>
    <x v="1"/>
    <s v="50087731002008"/>
    <n v="-37.700000000000003"/>
    <n v="1482"/>
    <n v="2"/>
    <n v="1"/>
  </r>
  <r>
    <m/>
    <m/>
    <x v="1"/>
    <s v="50104111006001"/>
    <n v="-5.9"/>
    <n v="241"/>
    <n v="1"/>
    <n v="1"/>
  </r>
  <r>
    <m/>
    <m/>
    <x v="1"/>
    <s v="50112547001005"/>
    <n v="-34.42"/>
    <n v="1405"/>
    <n v="1"/>
    <n v="1"/>
  </r>
  <r>
    <m/>
    <m/>
    <x v="1"/>
    <s v="50185311001007"/>
    <n v="-28"/>
    <n v="1143"/>
    <n v="1"/>
    <n v="1"/>
  </r>
  <r>
    <m/>
    <m/>
    <x v="1"/>
    <s v="50237638001001"/>
    <n v="-16.850000000000001"/>
    <n v="667"/>
    <n v="2"/>
    <n v="1"/>
  </r>
  <r>
    <m/>
    <m/>
    <x v="1"/>
    <s v="50379561001003"/>
    <n v="-33.229999999999997"/>
    <n v="1306"/>
    <n v="2"/>
    <n v="1"/>
  </r>
  <r>
    <m/>
    <m/>
    <x v="1"/>
    <s v="50402241001002"/>
    <n v="-50.26"/>
    <n v="2004"/>
    <n v="2"/>
    <n v="1"/>
  </r>
  <r>
    <m/>
    <m/>
    <x v="1"/>
    <s v="50442211002001"/>
    <n v="-49.49"/>
    <n v="2020"/>
    <n v="1"/>
    <n v="1"/>
  </r>
  <r>
    <m/>
    <m/>
    <x v="1"/>
    <s v="50446617005005"/>
    <n v="-16.86"/>
    <n v="688"/>
    <n v="1"/>
    <n v="1"/>
  </r>
  <r>
    <m/>
    <m/>
    <x v="1"/>
    <s v="50448651006001"/>
    <n v="-50.35"/>
    <n v="2055"/>
    <n v="1"/>
    <n v="1"/>
  </r>
  <r>
    <m/>
    <m/>
    <x v="1"/>
    <s v="50499961001001"/>
    <n v="-39.1"/>
    <n v="1596"/>
    <n v="1"/>
    <n v="1"/>
  </r>
  <r>
    <m/>
    <m/>
    <x v="1"/>
    <s v="50535031003001"/>
    <n v="-42.43"/>
    <n v="1732"/>
    <n v="1"/>
    <n v="1"/>
  </r>
  <r>
    <m/>
    <m/>
    <x v="1"/>
    <s v="50570311001001"/>
    <n v="-61.33"/>
    <n v="2427"/>
    <n v="2"/>
    <n v="1"/>
  </r>
  <r>
    <m/>
    <m/>
    <x v="1"/>
    <s v="50603564001001"/>
    <n v="-36.020000000000003"/>
    <n v="1470"/>
    <n v="1"/>
    <n v="1"/>
  </r>
  <r>
    <m/>
    <m/>
    <x v="1"/>
    <s v="50633661001004"/>
    <n v="-18.37"/>
    <n v="727"/>
    <n v="2"/>
    <n v="1"/>
  </r>
  <r>
    <m/>
    <m/>
    <x v="1"/>
    <s v="50645281001001"/>
    <n v="-45.739999999999995"/>
    <n v="1810"/>
    <n v="2"/>
    <n v="1"/>
  </r>
  <r>
    <m/>
    <m/>
    <x v="1"/>
    <s v="50683991001002"/>
    <n v="-41.18"/>
    <n v="1612"/>
    <n v="2"/>
    <n v="1"/>
  </r>
  <r>
    <m/>
    <m/>
    <x v="1"/>
    <s v="50707021001003"/>
    <n v="-56.6"/>
    <n v="2310"/>
    <n v="1"/>
    <n v="1"/>
  </r>
  <r>
    <m/>
    <m/>
    <x v="1"/>
    <s v="50739464001001"/>
    <n v="-48.91"/>
    <n v="1888"/>
    <n v="2"/>
    <n v="1"/>
  </r>
  <r>
    <m/>
    <m/>
    <x v="1"/>
    <s v="50750548001001"/>
    <n v="-35.18"/>
    <n v="1436"/>
    <n v="1"/>
    <n v="1"/>
  </r>
  <r>
    <m/>
    <m/>
    <x v="1"/>
    <s v="50774501001001"/>
    <n v="-69.050000000000011"/>
    <n v="2658"/>
    <n v="2"/>
    <n v="1"/>
  </r>
  <r>
    <m/>
    <m/>
    <x v="1"/>
    <s v="50780031003003"/>
    <n v="-29.59"/>
    <n v="1171"/>
    <n v="2"/>
    <n v="1"/>
  </r>
  <r>
    <m/>
    <m/>
    <x v="1"/>
    <s v="50791371001002"/>
    <n v="-23.78"/>
    <n v="918"/>
    <n v="2"/>
    <n v="1"/>
  </r>
  <r>
    <m/>
    <m/>
    <x v="1"/>
    <s v="50806272001001"/>
    <n v="-47.63"/>
    <n v="1944"/>
    <n v="1"/>
    <n v="1"/>
  </r>
  <r>
    <m/>
    <m/>
    <x v="1"/>
    <s v="50839041006001"/>
    <n v="-60.1"/>
    <n v="2332"/>
    <n v="2"/>
    <n v="1"/>
  </r>
  <r>
    <m/>
    <m/>
    <x v="1"/>
    <s v="50841762002002"/>
    <n v="-37.090000000000003"/>
    <n v="1514"/>
    <n v="1"/>
    <n v="1"/>
  </r>
  <r>
    <m/>
    <m/>
    <x v="1"/>
    <s v="50841911003002"/>
    <n v="-45.64"/>
    <n v="1771"/>
    <n v="2"/>
    <n v="1"/>
  </r>
  <r>
    <m/>
    <m/>
    <x v="1"/>
    <s v="50852621001002"/>
    <n v="-17.09"/>
    <n v="667"/>
    <n v="2"/>
    <n v="1"/>
  </r>
  <r>
    <m/>
    <m/>
    <x v="1"/>
    <s v="50860461001005"/>
    <n v="-35.72"/>
    <n v="1394"/>
    <n v="2"/>
    <n v="1"/>
  </r>
  <r>
    <m/>
    <m/>
    <x v="1"/>
    <s v="50866831006001"/>
    <n v="-107.35"/>
    <n v="4189"/>
    <n v="2"/>
    <n v="1"/>
  </r>
  <r>
    <m/>
    <m/>
    <x v="1"/>
    <s v="50892661002004"/>
    <n v="-18.43"/>
    <n v="735"/>
    <n v="2"/>
    <n v="1"/>
  </r>
  <r>
    <m/>
    <m/>
    <x v="1"/>
    <s v="50924581001001"/>
    <n v="-80.7"/>
    <n v="3172"/>
    <n v="2"/>
    <n v="1"/>
  </r>
  <r>
    <m/>
    <m/>
    <x v="1"/>
    <s v="50950411001003"/>
    <n v="-28.4"/>
    <n v="1108"/>
    <n v="2"/>
    <n v="1"/>
  </r>
  <r>
    <m/>
    <m/>
    <x v="1"/>
    <s v="50978201001001"/>
    <n v="-62.07"/>
    <n v="2482"/>
    <n v="2"/>
    <n v="1"/>
  </r>
  <r>
    <m/>
    <m/>
    <x v="1"/>
    <s v="50996471001001"/>
    <n v="-32.72"/>
    <n v="1308"/>
    <n v="2"/>
    <n v="1"/>
  </r>
  <r>
    <m/>
    <m/>
    <x v="1"/>
    <s v="50996751002001"/>
    <n v="-103.05000000000001"/>
    <n v="3978"/>
    <n v="2"/>
    <n v="1"/>
  </r>
  <r>
    <m/>
    <m/>
    <x v="1"/>
    <s v="51004521001001"/>
    <n v="-56.22"/>
    <n v="2248"/>
    <n v="2"/>
    <n v="1"/>
  </r>
  <r>
    <m/>
    <m/>
    <x v="1"/>
    <s v="51010961001001"/>
    <n v="-0.58000000000000007"/>
    <n v="23"/>
    <n v="2"/>
    <n v="1"/>
  </r>
  <r>
    <m/>
    <m/>
    <x v="1"/>
    <s v="51018171004001"/>
    <n v="-45.15"/>
    <n v="1762"/>
    <n v="2"/>
    <n v="1"/>
  </r>
  <r>
    <m/>
    <m/>
    <x v="1"/>
    <s v="51040081001001"/>
    <n v="-56.78"/>
    <n v="2192"/>
    <n v="2"/>
    <n v="1"/>
  </r>
  <r>
    <m/>
    <m/>
    <x v="1"/>
    <s v="51048061001001"/>
    <n v="-8.99"/>
    <n v="347"/>
    <n v="2"/>
    <n v="1"/>
  </r>
  <r>
    <m/>
    <m/>
    <x v="1"/>
    <s v="51068641001003"/>
    <n v="-85.15"/>
    <n v="3287"/>
    <n v="2"/>
    <n v="1"/>
  </r>
  <r>
    <m/>
    <m/>
    <x v="1"/>
    <s v="51088381003005"/>
    <n v="-23.47"/>
    <n v="916"/>
    <n v="2"/>
    <n v="1"/>
  </r>
  <r>
    <m/>
    <m/>
    <x v="1"/>
    <s v="51094611001002"/>
    <n v="-27.799999999999997"/>
    <n v="1073"/>
    <n v="2"/>
    <n v="1"/>
  </r>
  <r>
    <m/>
    <m/>
    <x v="1"/>
    <s v="51118901001001"/>
    <n v="-33.35"/>
    <n v="1284"/>
    <n v="2"/>
    <n v="1"/>
  </r>
  <r>
    <m/>
    <m/>
    <x v="1"/>
    <s v="51122891005001"/>
    <n v="-25.169999999999998"/>
    <n v="969"/>
    <n v="2"/>
    <n v="1"/>
  </r>
  <r>
    <m/>
    <m/>
    <x v="1"/>
    <s v="51123890001005"/>
    <n v="-26.17"/>
    <n v="1068"/>
    <n v="1"/>
    <n v="1"/>
  </r>
  <r>
    <m/>
    <m/>
    <x v="1"/>
    <s v="51130381001001"/>
    <n v="-33.46"/>
    <n v="1288"/>
    <n v="2"/>
    <n v="1"/>
  </r>
  <r>
    <m/>
    <m/>
    <x v="1"/>
    <s v="51130521001001"/>
    <n v="-55.099999999999994"/>
    <n v="2121"/>
    <n v="2"/>
    <n v="1"/>
  </r>
  <r>
    <m/>
    <m/>
    <x v="1"/>
    <s v="51132481001002"/>
    <n v="-7.63"/>
    <n v="296"/>
    <n v="2"/>
    <n v="1"/>
  </r>
  <r>
    <m/>
    <m/>
    <x v="1"/>
    <s v="51136541001001"/>
    <n v="-70.27"/>
    <n v="2705"/>
    <n v="2"/>
    <n v="1"/>
  </r>
  <r>
    <m/>
    <m/>
    <x v="1"/>
    <s v="51154671002001"/>
    <n v="-30.67"/>
    <n v="1240"/>
    <n v="2"/>
    <n v="1"/>
  </r>
  <r>
    <m/>
    <m/>
    <x v="1"/>
    <s v="51157051002006"/>
    <n v="-63.97"/>
    <n v="2558"/>
    <n v="2"/>
    <n v="1"/>
  </r>
  <r>
    <m/>
    <m/>
    <x v="1"/>
    <s v="51159921001001"/>
    <n v="-23.92"/>
    <n v="928"/>
    <n v="2"/>
    <n v="1"/>
  </r>
  <r>
    <m/>
    <m/>
    <x v="1"/>
    <s v="51163211002005"/>
    <n v="-91.35"/>
    <n v="3576"/>
    <n v="2"/>
    <n v="1"/>
  </r>
  <r>
    <m/>
    <m/>
    <x v="1"/>
    <s v="51165241001003"/>
    <n v="-18.689999999999998"/>
    <n v="732"/>
    <n v="2"/>
    <n v="1"/>
  </r>
  <r>
    <m/>
    <m/>
    <x v="1"/>
    <s v="51172101004001"/>
    <n v="-61.339999999999996"/>
    <n v="2453"/>
    <n v="2"/>
    <n v="1"/>
  </r>
  <r>
    <m/>
    <m/>
    <x v="1"/>
    <s v="51175041001001"/>
    <n v="-5.0199999999999996"/>
    <n v="195"/>
    <n v="2"/>
    <n v="1"/>
  </r>
  <r>
    <m/>
    <m/>
    <x v="1"/>
    <s v="51183651001001"/>
    <n v="-42.9"/>
    <n v="1665"/>
    <n v="2"/>
    <n v="1"/>
  </r>
  <r>
    <m/>
    <m/>
    <x v="1"/>
    <s v="51185331001003"/>
    <n v="-106.89"/>
    <n v="4115"/>
    <n v="2"/>
    <n v="1"/>
  </r>
  <r>
    <m/>
    <m/>
    <x v="1"/>
    <s v="51193241002001"/>
    <n v="-56.03"/>
    <n v="2157"/>
    <n v="2"/>
    <n v="1"/>
  </r>
  <r>
    <m/>
    <m/>
    <x v="1"/>
    <s v="51201221016001"/>
    <n v="-57.349999999999994"/>
    <n v="2208"/>
    <n v="2"/>
    <n v="1"/>
  </r>
  <r>
    <m/>
    <m/>
    <x v="1"/>
    <s v="51206821003010"/>
    <n v="-65.25"/>
    <n v="2532"/>
    <n v="2"/>
    <n v="1"/>
  </r>
  <r>
    <m/>
    <m/>
    <x v="1"/>
    <s v="51206961001001"/>
    <n v="-51.05"/>
    <n v="1981"/>
    <n v="2"/>
    <n v="1"/>
  </r>
  <r>
    <m/>
    <m/>
    <x v="1"/>
    <s v="51225301005001"/>
    <n v="-138.22999999999999"/>
    <n v="5364"/>
    <n v="2"/>
    <n v="1"/>
  </r>
  <r>
    <m/>
    <m/>
    <x v="1"/>
    <s v="51297541001005"/>
    <n v="-95.94"/>
    <n v="3916"/>
    <n v="1"/>
    <n v="1"/>
  </r>
  <r>
    <m/>
    <m/>
    <x v="1"/>
    <s v="51312171001001"/>
    <n v="-6.71"/>
    <n v="274"/>
    <n v="1"/>
    <n v="1"/>
  </r>
  <r>
    <m/>
    <m/>
    <x v="1"/>
    <s v="51333171001001"/>
    <n v="-72.180000000000007"/>
    <n v="2946"/>
    <n v="1"/>
    <n v="1"/>
  </r>
  <r>
    <m/>
    <m/>
    <x v="1"/>
    <s v="51335971001001"/>
    <n v="-50.37"/>
    <n v="2056"/>
    <n v="1"/>
    <n v="1"/>
  </r>
  <r>
    <m/>
    <m/>
    <x v="1"/>
    <s v="51351441001005"/>
    <n v="-38.879999999999995"/>
    <n v="1501"/>
    <n v="2"/>
    <n v="1"/>
  </r>
  <r>
    <m/>
    <m/>
    <x v="1"/>
    <s v="51366841003001"/>
    <n v="-14.41"/>
    <n v="588"/>
    <n v="1"/>
    <n v="1"/>
  </r>
  <r>
    <m/>
    <m/>
    <x v="1"/>
    <s v="51386861002001"/>
    <n v="-33.22"/>
    <n v="1356"/>
    <n v="1"/>
    <n v="1"/>
  </r>
  <r>
    <m/>
    <m/>
    <x v="1"/>
    <s v="51462741002002"/>
    <n v="-37.659999999999997"/>
    <n v="1537"/>
    <n v="1"/>
    <n v="1"/>
  </r>
  <r>
    <m/>
    <m/>
    <x v="1"/>
    <s v="51493121002001"/>
    <n v="-88.84"/>
    <n v="3606"/>
    <n v="2"/>
    <n v="1"/>
  </r>
  <r>
    <m/>
    <m/>
    <x v="1"/>
    <s v="51513351001001"/>
    <n v="-47.43"/>
    <n v="1918"/>
    <n v="2"/>
    <n v="1"/>
  </r>
  <r>
    <m/>
    <m/>
    <x v="1"/>
    <s v="51518531001001"/>
    <n v="-9.67"/>
    <n v="391"/>
    <n v="2"/>
    <n v="1"/>
  </r>
  <r>
    <m/>
    <m/>
    <x v="1"/>
    <s v="51518881001001"/>
    <n v="-39.6"/>
    <n v="1601"/>
    <n v="2"/>
    <n v="1"/>
  </r>
  <r>
    <m/>
    <m/>
    <x v="1"/>
    <s v="51532811002001"/>
    <n v="-70.510000000000005"/>
    <n v="2851"/>
    <n v="2"/>
    <n v="1"/>
  </r>
  <r>
    <m/>
    <m/>
    <x v="1"/>
    <s v="51552831003002"/>
    <n v="-34.92"/>
    <n v="1412"/>
    <n v="2"/>
    <n v="1"/>
  </r>
  <r>
    <m/>
    <m/>
    <x v="1"/>
    <s v="51583981001001"/>
    <n v="-40.69"/>
    <n v="1645"/>
    <n v="2"/>
    <n v="1"/>
  </r>
  <r>
    <m/>
    <m/>
    <x v="1"/>
    <s v="51584751002008"/>
    <n v="-36.869999999999997"/>
    <n v="1505"/>
    <n v="1"/>
    <n v="1"/>
  </r>
  <r>
    <m/>
    <m/>
    <x v="1"/>
    <s v="51586004001001"/>
    <n v="-9.4"/>
    <n v="372"/>
    <n v="2"/>
    <n v="1"/>
  </r>
  <r>
    <m/>
    <m/>
    <x v="1"/>
    <s v="51593501001001"/>
    <n v="-44.980000000000004"/>
    <n v="1819"/>
    <n v="2"/>
    <n v="1"/>
  </r>
  <r>
    <m/>
    <m/>
    <x v="1"/>
    <s v="51593991001001"/>
    <n v="-21.02"/>
    <n v="850"/>
    <n v="2"/>
    <n v="1"/>
  </r>
  <r>
    <m/>
    <m/>
    <x v="1"/>
    <s v="51596441002007"/>
    <n v="-8.68"/>
    <n v="351"/>
    <n v="2"/>
    <n v="1"/>
  </r>
  <r>
    <m/>
    <m/>
    <x v="1"/>
    <s v="51607711002002"/>
    <n v="-37.200000000000003"/>
    <n v="1504"/>
    <n v="2"/>
    <n v="1"/>
  </r>
  <r>
    <m/>
    <m/>
    <x v="1"/>
    <s v="51609951002002"/>
    <n v="-67.39"/>
    <n v="2725"/>
    <n v="2"/>
    <n v="1"/>
  </r>
  <r>
    <m/>
    <m/>
    <x v="1"/>
    <s v="51613941001002"/>
    <n v="-43.199999999999996"/>
    <n v="1747"/>
    <n v="2"/>
    <n v="1"/>
  </r>
  <r>
    <m/>
    <m/>
    <x v="1"/>
    <s v="51614221001001"/>
    <n v="-71.25"/>
    <n v="2881"/>
    <n v="2"/>
    <n v="1"/>
  </r>
  <r>
    <m/>
    <m/>
    <x v="1"/>
    <s v="51626401001009"/>
    <n v="-3.11"/>
    <n v="126"/>
    <n v="2"/>
    <n v="1"/>
  </r>
  <r>
    <m/>
    <m/>
    <x v="1"/>
    <s v="51635711001002"/>
    <n v="-36.51"/>
    <n v="1476"/>
    <n v="2"/>
    <n v="1"/>
  </r>
  <r>
    <m/>
    <m/>
    <x v="1"/>
    <s v="51773839001001"/>
    <n v="-60.81"/>
    <n v="2406"/>
    <n v="2"/>
    <n v="1"/>
  </r>
  <r>
    <m/>
    <m/>
    <x v="1"/>
    <s v="52411414001001"/>
    <n v="-56.51"/>
    <n v="2253"/>
    <n v="2"/>
    <n v="1"/>
  </r>
  <r>
    <m/>
    <m/>
    <x v="1"/>
    <s v="52502488001003"/>
    <n v="-1.91"/>
    <n v="78"/>
    <n v="1"/>
    <n v="1"/>
  </r>
  <r>
    <m/>
    <m/>
    <x v="1"/>
    <s v="52743980001001"/>
    <n v="-53.87"/>
    <n v="2148"/>
    <n v="2"/>
    <n v="1"/>
  </r>
  <r>
    <m/>
    <m/>
    <x v="1"/>
    <s v="52987911001001"/>
    <n v="-34.369999999999997"/>
    <n v="1323"/>
    <n v="2"/>
    <n v="1"/>
  </r>
  <r>
    <m/>
    <m/>
    <x v="1"/>
    <s v="53001899001007"/>
    <n v="-82.91"/>
    <n v="3384"/>
    <n v="1"/>
    <n v="1"/>
  </r>
  <r>
    <m/>
    <m/>
    <x v="1"/>
    <s v="53060982001003"/>
    <n v="-22.79"/>
    <n v="911"/>
    <n v="2"/>
    <n v="1"/>
  </r>
  <r>
    <m/>
    <m/>
    <x v="1"/>
    <s v="53145339001003"/>
    <n v="-45.46"/>
    <n v="1823"/>
    <n v="2"/>
    <n v="1"/>
  </r>
  <r>
    <m/>
    <m/>
    <x v="1"/>
    <s v="53199928001001"/>
    <n v="-9.07"/>
    <n v="370"/>
    <n v="1"/>
    <n v="1"/>
  </r>
  <r>
    <m/>
    <m/>
    <x v="1"/>
    <s v="53233663001001"/>
    <n v="-29.95"/>
    <n v="1156"/>
    <n v="2"/>
    <n v="1"/>
  </r>
  <r>
    <m/>
    <m/>
    <x v="1"/>
    <s v="53541590001001"/>
    <n v="-11.2"/>
    <n v="457"/>
    <n v="1"/>
    <n v="1"/>
  </r>
  <r>
    <m/>
    <m/>
    <x v="1"/>
    <s v="53852271001001"/>
    <n v="-57.86"/>
    <n v="2258"/>
    <n v="2"/>
    <n v="1"/>
  </r>
  <r>
    <m/>
    <m/>
    <x v="1"/>
    <s v="53913484003002"/>
    <n v="-25.04"/>
    <n v="1022"/>
    <n v="1"/>
    <n v="1"/>
  </r>
  <r>
    <m/>
    <m/>
    <x v="1"/>
    <s v="53923746001001"/>
    <n v="-16.64"/>
    <n v="679"/>
    <n v="1"/>
    <n v="1"/>
  </r>
  <r>
    <m/>
    <m/>
    <x v="1"/>
    <s v="53931640001001"/>
    <n v="-37.68"/>
    <n v="1538"/>
    <n v="1"/>
    <n v="1"/>
  </r>
  <r>
    <m/>
    <m/>
    <x v="1"/>
    <s v="54011290001001"/>
    <n v="-51.37"/>
    <n v="2033"/>
    <n v="2"/>
    <n v="1"/>
  </r>
  <r>
    <m/>
    <m/>
    <x v="1"/>
    <s v="54099172001001"/>
    <n v="-26.68"/>
    <n v="1067"/>
    <n v="2"/>
    <n v="1"/>
  </r>
  <r>
    <m/>
    <m/>
    <x v="1"/>
    <s v="54146036001001"/>
    <n v="-74.260000000000005"/>
    <n v="2859"/>
    <n v="2"/>
    <n v="1"/>
  </r>
  <r>
    <m/>
    <m/>
    <x v="1"/>
    <s v="54213868001001"/>
    <n v="-214.17"/>
    <n v="8245"/>
    <n v="2"/>
    <n v="1"/>
  </r>
  <r>
    <m/>
    <m/>
    <x v="1"/>
    <s v="54291381001009"/>
    <n v="-41.28"/>
    <n v="1669"/>
    <n v="2"/>
    <n v="1"/>
  </r>
  <r>
    <m/>
    <m/>
    <x v="1"/>
    <s v="54382001002003"/>
    <n v="-26.759999999999998"/>
    <n v="1059"/>
    <n v="2"/>
    <n v="1"/>
  </r>
  <r>
    <m/>
    <m/>
    <x v="1"/>
    <s v="54626005001001"/>
    <n v="-17.25"/>
    <n v="704"/>
    <n v="1"/>
    <n v="1"/>
  </r>
  <r>
    <m/>
    <m/>
    <x v="1"/>
    <s v="54633989001003"/>
    <n v="-57.62"/>
    <n v="2312"/>
    <n v="2"/>
    <n v="1"/>
  </r>
  <r>
    <m/>
    <m/>
    <x v="1"/>
    <s v="55081968001003"/>
    <n v="-8.81"/>
    <n v="340"/>
    <n v="2"/>
    <n v="1"/>
  </r>
  <r>
    <m/>
    <m/>
    <x v="1"/>
    <s v="55096000001001"/>
    <n v="-27.740000000000002"/>
    <n v="1087"/>
    <n v="2"/>
    <n v="1"/>
  </r>
  <r>
    <m/>
    <m/>
    <x v="1"/>
    <s v="55185996001003"/>
    <n v="-42.09"/>
    <n v="1683"/>
    <n v="2"/>
    <n v="1"/>
  </r>
  <r>
    <m/>
    <m/>
    <x v="1"/>
    <s v="55441830002001"/>
    <n v="-28.310000000000002"/>
    <n v="1120"/>
    <n v="2"/>
    <n v="1"/>
  </r>
  <r>
    <m/>
    <m/>
    <x v="1"/>
    <s v="56055745002003"/>
    <n v="-38.03"/>
    <n v="1505"/>
    <n v="2"/>
    <n v="1"/>
  </r>
  <r>
    <m/>
    <m/>
    <x v="1"/>
    <s v="56815768003003"/>
    <n v="-58.839999999999996"/>
    <n v="2265"/>
    <n v="2"/>
    <n v="1"/>
  </r>
  <r>
    <m/>
    <m/>
    <x v="1"/>
    <s v="57165863001001"/>
    <n v="-21.57"/>
    <n v="860"/>
    <n v="2"/>
    <n v="1"/>
  </r>
  <r>
    <m/>
    <m/>
    <x v="1"/>
    <s v="57560991001007"/>
    <n v="-70.319999999999993"/>
    <n v="2707"/>
    <n v="2"/>
    <n v="1"/>
  </r>
  <r>
    <m/>
    <m/>
    <x v="1"/>
    <s v="57564327001001"/>
    <n v="-14.06"/>
    <n v="574"/>
    <n v="1"/>
    <n v="1"/>
  </r>
  <r>
    <m/>
    <m/>
    <x v="1"/>
    <s v="57778330001001"/>
    <n v="-31.060000000000002"/>
    <n v="1242"/>
    <n v="2"/>
    <n v="1"/>
  </r>
  <r>
    <m/>
    <m/>
    <x v="1"/>
    <s v="57834181001001"/>
    <n v="-48.16"/>
    <n v="1893"/>
    <n v="2"/>
    <n v="1"/>
  </r>
  <r>
    <m/>
    <m/>
    <x v="1"/>
    <s v="58010908001002"/>
    <n v="-49.49"/>
    <n v="2020"/>
    <n v="1"/>
    <n v="1"/>
  </r>
  <r>
    <m/>
    <m/>
    <x v="1"/>
    <s v="58027310005001"/>
    <n v="-37.299999999999997"/>
    <n v="1462"/>
    <n v="2"/>
    <n v="1"/>
  </r>
  <r>
    <m/>
    <m/>
    <x v="1"/>
    <s v="58157660001002"/>
    <n v="-49.88"/>
    <n v="2036"/>
    <n v="1"/>
    <n v="1"/>
  </r>
  <r>
    <m/>
    <m/>
    <x v="1"/>
    <s v="58340472001005"/>
    <n v="-12.26"/>
    <n v="476"/>
    <n v="2"/>
    <n v="1"/>
  </r>
  <r>
    <m/>
    <m/>
    <x v="1"/>
    <s v="58350317001001"/>
    <n v="-18.89"/>
    <n v="771"/>
    <n v="1"/>
    <n v="1"/>
  </r>
  <r>
    <m/>
    <m/>
    <x v="1"/>
    <s v="58433748001002"/>
    <n v="-36.75"/>
    <n v="1500"/>
    <n v="1"/>
    <n v="1"/>
  </r>
  <r>
    <m/>
    <m/>
    <x v="1"/>
    <s v="58524123001003"/>
    <n v="-34.64"/>
    <n v="1414"/>
    <n v="1"/>
    <n v="1"/>
  </r>
  <r>
    <m/>
    <m/>
    <x v="1"/>
    <s v="58730468001003"/>
    <n v="-7.4"/>
    <n v="302"/>
    <n v="1"/>
    <n v="1"/>
  </r>
  <r>
    <m/>
    <m/>
    <x v="1"/>
    <s v="58784949001003"/>
    <n v="-39.67"/>
    <n v="1531"/>
    <n v="2"/>
    <n v="1"/>
  </r>
  <r>
    <m/>
    <m/>
    <x v="1"/>
    <s v="59431046001003"/>
    <n v="-37.17"/>
    <n v="1431"/>
    <n v="2"/>
    <n v="1"/>
  </r>
  <r>
    <m/>
    <m/>
    <x v="1"/>
    <s v="59498637001004"/>
    <n v="-42.07"/>
    <n v="1717"/>
    <n v="1"/>
    <n v="1"/>
  </r>
  <r>
    <m/>
    <m/>
    <x v="1"/>
    <s v="59524591001003"/>
    <n v="-3.38"/>
    <n v="135"/>
    <n v="2"/>
    <n v="1"/>
  </r>
  <r>
    <m/>
    <m/>
    <x v="1"/>
    <s v="59766724001001"/>
    <n v="-38.24"/>
    <n v="1561"/>
    <n v="1"/>
    <n v="1"/>
  </r>
  <r>
    <m/>
    <m/>
    <x v="1"/>
    <s v="59801546001007"/>
    <n v="-24.21"/>
    <n v="968"/>
    <n v="2"/>
    <n v="1"/>
  </r>
  <r>
    <m/>
    <m/>
    <x v="1"/>
    <s v="59807684001002"/>
    <n v="-7.13"/>
    <n v="285"/>
    <n v="2"/>
    <n v="1"/>
  </r>
  <r>
    <m/>
    <m/>
    <x v="1"/>
    <s v="59857982001002"/>
    <n v="-8.9400000000000013"/>
    <n v="347"/>
    <n v="2"/>
    <n v="1"/>
  </r>
  <r>
    <m/>
    <m/>
    <x v="1"/>
    <s v="59901721001001"/>
    <n v="-76.63"/>
    <n v="2958"/>
    <n v="2"/>
    <n v="1"/>
  </r>
  <r>
    <m/>
    <m/>
    <x v="1"/>
    <s v="60053306001001"/>
    <n v="-30.6"/>
    <n v="1249"/>
    <n v="1"/>
    <n v="1"/>
  </r>
  <r>
    <m/>
    <m/>
    <x v="1"/>
    <s v="60216914001002"/>
    <n v="-1.23"/>
    <n v="50"/>
    <n v="2"/>
    <n v="1"/>
  </r>
  <r>
    <m/>
    <m/>
    <x v="1"/>
    <s v="60239588001006"/>
    <n v="-38.07"/>
    <n v="1554"/>
    <n v="1"/>
    <n v="1"/>
  </r>
  <r>
    <m/>
    <m/>
    <x v="1"/>
    <s v="60362120001002"/>
    <n v="-37.53"/>
    <n v="1485"/>
    <n v="2"/>
    <n v="1"/>
  </r>
  <r>
    <m/>
    <m/>
    <x v="1"/>
    <s v="60756030001002"/>
    <n v="-67.180000000000007"/>
    <n v="2593"/>
    <n v="2"/>
    <n v="1"/>
  </r>
  <r>
    <m/>
    <m/>
    <x v="1"/>
    <s v="60842999001005"/>
    <n v="-48.01"/>
    <n v="1920"/>
    <n v="2"/>
    <n v="1"/>
  </r>
  <r>
    <m/>
    <m/>
    <x v="1"/>
    <s v="60850163002001"/>
    <n v="-32.08"/>
    <n v="1297"/>
    <n v="2"/>
    <n v="1"/>
  </r>
  <r>
    <m/>
    <m/>
    <x v="1"/>
    <s v="61176690001001"/>
    <n v="-20.56"/>
    <n v="839"/>
    <n v="1"/>
    <n v="1"/>
  </r>
  <r>
    <m/>
    <m/>
    <x v="1"/>
    <s v="61294997001002"/>
    <n v="-44.37"/>
    <n v="1811"/>
    <n v="1"/>
    <n v="1"/>
  </r>
  <r>
    <m/>
    <m/>
    <x v="1"/>
    <s v="61402284001001"/>
    <n v="-21.49"/>
    <n v="877"/>
    <n v="1"/>
    <n v="1"/>
  </r>
  <r>
    <m/>
    <m/>
    <x v="1"/>
    <s v="61759982001001"/>
    <n v="-33.68"/>
    <n v="1337"/>
    <n v="2"/>
    <n v="1"/>
  </r>
  <r>
    <m/>
    <m/>
    <x v="1"/>
    <s v="61779550001001"/>
    <n v="-87.2"/>
    <n v="3549"/>
    <n v="2"/>
    <n v="1"/>
  </r>
  <r>
    <m/>
    <m/>
    <x v="1"/>
    <s v="62035416001001"/>
    <n v="-50.99"/>
    <n v="2039"/>
    <n v="2"/>
    <n v="1"/>
  </r>
  <r>
    <m/>
    <m/>
    <x v="1"/>
    <s v="62038452002001"/>
    <n v="-73.98"/>
    <n v="2958"/>
    <n v="2"/>
    <n v="1"/>
  </r>
  <r>
    <m/>
    <m/>
    <x v="1"/>
    <s v="62111926001007"/>
    <n v="-28.15"/>
    <n v="1149"/>
    <n v="1"/>
    <n v="1"/>
  </r>
  <r>
    <m/>
    <m/>
    <x v="1"/>
    <s v="62125470001002"/>
    <n v="-51.879999999999995"/>
    <n v="1997"/>
    <n v="2"/>
    <n v="1"/>
  </r>
  <r>
    <m/>
    <m/>
    <x v="1"/>
    <s v="62139312001006"/>
    <n v="-15.75"/>
    <n v="630"/>
    <n v="2"/>
    <n v="1"/>
  </r>
  <r>
    <m/>
    <m/>
    <x v="1"/>
    <s v="62166846001001"/>
    <n v="-33.19"/>
    <n v="1281"/>
    <n v="2"/>
    <n v="1"/>
  </r>
  <r>
    <m/>
    <m/>
    <x v="1"/>
    <s v="62244159001003"/>
    <n v="-71.27"/>
    <n v="2850"/>
    <n v="2"/>
    <n v="1"/>
  </r>
  <r>
    <m/>
    <m/>
    <x v="1"/>
    <s v="62620561001002"/>
    <n v="-39.86"/>
    <n v="1618"/>
    <n v="2"/>
    <n v="1"/>
  </r>
  <r>
    <m/>
    <m/>
    <x v="1"/>
    <s v="62878804001007"/>
    <n v="-117.22"/>
    <n v="4771"/>
    <n v="2"/>
    <n v="1"/>
  </r>
  <r>
    <m/>
    <m/>
    <x v="1"/>
    <s v="63054171001001"/>
    <n v="-81.12"/>
    <n v="3311"/>
    <n v="1"/>
    <n v="1"/>
  </r>
  <r>
    <m/>
    <m/>
    <x v="1"/>
    <s v="63150661001001"/>
    <n v="-14.649999999999999"/>
    <n v="586"/>
    <n v="2"/>
    <n v="1"/>
  </r>
  <r>
    <m/>
    <m/>
    <x v="1"/>
    <s v="63184485001003"/>
    <n v="-3.43"/>
    <n v="140"/>
    <n v="1"/>
    <n v="1"/>
  </r>
  <r>
    <m/>
    <m/>
    <x v="1"/>
    <s v="63189646005005"/>
    <n v="-35.06"/>
    <n v="1431"/>
    <n v="1"/>
    <n v="1"/>
  </r>
  <r>
    <m/>
    <m/>
    <x v="1"/>
    <s v="63415000003005"/>
    <n v="-37.019999999999996"/>
    <n v="1465"/>
    <n v="2"/>
    <n v="1"/>
  </r>
  <r>
    <m/>
    <m/>
    <x v="1"/>
    <s v="63462936001004"/>
    <n v="-43.62"/>
    <n v="1731"/>
    <n v="2"/>
    <n v="1"/>
  </r>
  <r>
    <m/>
    <m/>
    <x v="1"/>
    <s v="63578652001001"/>
    <n v="-26.12"/>
    <n v="1066"/>
    <n v="1"/>
    <n v="1"/>
  </r>
  <r>
    <m/>
    <m/>
    <x v="1"/>
    <s v="63952309001001"/>
    <n v="-47.14"/>
    <n v="1924"/>
    <n v="1"/>
    <n v="1"/>
  </r>
  <r>
    <m/>
    <m/>
    <x v="1"/>
    <s v="64061605002004"/>
    <n v="-68.34"/>
    <n v="2652"/>
    <n v="2"/>
    <n v="1"/>
  </r>
  <r>
    <m/>
    <m/>
    <x v="1"/>
    <s v="64113638001003"/>
    <n v="-46.709999999999994"/>
    <n v="1836"/>
    <n v="2"/>
    <n v="1"/>
  </r>
  <r>
    <m/>
    <m/>
    <x v="1"/>
    <s v="64168501001010"/>
    <n v="-87.7"/>
    <n v="3376"/>
    <n v="2"/>
    <n v="1"/>
  </r>
  <r>
    <m/>
    <m/>
    <x v="1"/>
    <s v="64597306001001"/>
    <n v="-79.849999999999994"/>
    <n v="3259"/>
    <n v="1"/>
    <n v="1"/>
  </r>
  <r>
    <m/>
    <m/>
    <x v="1"/>
    <s v="64700335001001"/>
    <n v="-26.78"/>
    <n v="1093"/>
    <n v="1"/>
    <n v="1"/>
  </r>
  <r>
    <m/>
    <m/>
    <x v="1"/>
    <s v="65001066001001"/>
    <n v="-24.71"/>
    <n v="988"/>
    <n v="2"/>
    <n v="1"/>
  </r>
  <r>
    <m/>
    <m/>
    <x v="1"/>
    <s v="65005121001001"/>
    <n v="-61.61"/>
    <n v="2438"/>
    <n v="2"/>
    <n v="1"/>
  </r>
  <r>
    <m/>
    <m/>
    <x v="1"/>
    <s v="65042878001001"/>
    <n v="-5.28"/>
    <n v="211"/>
    <n v="2"/>
    <n v="1"/>
  </r>
  <r>
    <m/>
    <m/>
    <x v="1"/>
    <s v="65242015001001"/>
    <n v="-30.21"/>
    <n v="1166"/>
    <n v="2"/>
    <n v="1"/>
  </r>
  <r>
    <m/>
    <m/>
    <x v="1"/>
    <s v="65368514001004"/>
    <n v="-52.429999999999993"/>
    <n v="2103"/>
    <n v="2"/>
    <n v="1"/>
  </r>
  <r>
    <m/>
    <m/>
    <x v="1"/>
    <s v="65509206001003"/>
    <n v="-44.88"/>
    <n v="1800"/>
    <n v="2"/>
    <n v="1"/>
  </r>
  <r>
    <m/>
    <m/>
    <x v="1"/>
    <s v="65715070001005"/>
    <n v="-77.36"/>
    <n v="3032"/>
    <n v="2"/>
    <n v="1"/>
  </r>
  <r>
    <m/>
    <m/>
    <x v="1"/>
    <s v="65734956001007"/>
    <n v="-45.15"/>
    <n v="1843"/>
    <n v="1"/>
    <n v="1"/>
  </r>
  <r>
    <m/>
    <m/>
    <x v="1"/>
    <s v="65903595001005"/>
    <n v="-42.87"/>
    <n v="1714"/>
    <n v="2"/>
    <n v="1"/>
  </r>
  <r>
    <m/>
    <m/>
    <x v="1"/>
    <s v="66136740002001"/>
    <n v="-63.97"/>
    <n v="2539"/>
    <n v="2"/>
    <n v="1"/>
  </r>
  <r>
    <m/>
    <m/>
    <x v="1"/>
    <s v="66308224001001"/>
    <n v="-27.24"/>
    <n v="1112"/>
    <n v="1"/>
    <n v="1"/>
  </r>
  <r>
    <m/>
    <m/>
    <x v="1"/>
    <s v="66322585001001"/>
    <n v="-37.94"/>
    <n v="1517"/>
    <n v="2"/>
    <n v="1"/>
  </r>
  <r>
    <m/>
    <m/>
    <x v="1"/>
    <s v="66851187001007"/>
    <n v="-49.379999999999995"/>
    <n v="1901"/>
    <n v="2"/>
    <n v="1"/>
  </r>
  <r>
    <m/>
    <m/>
    <x v="1"/>
    <s v="66953942002008"/>
    <n v="-79.180000000000007"/>
    <n v="3232"/>
    <n v="1"/>
    <n v="1"/>
  </r>
  <r>
    <m/>
    <m/>
    <x v="1"/>
    <s v="66997780001001"/>
    <n v="-69.289999999999992"/>
    <n v="2812"/>
    <n v="2"/>
    <n v="1"/>
  </r>
  <r>
    <m/>
    <m/>
    <x v="1"/>
    <s v="67053287002001"/>
    <n v="-21.93"/>
    <n v="895"/>
    <n v="1"/>
    <n v="1"/>
  </r>
  <r>
    <m/>
    <m/>
    <x v="1"/>
    <s v="67059049001004"/>
    <n v="-50.54"/>
    <n v="2051"/>
    <n v="2"/>
    <n v="1"/>
  </r>
  <r>
    <m/>
    <m/>
    <x v="1"/>
    <s v="67116312001003"/>
    <n v="-30"/>
    <n v="1155"/>
    <n v="2"/>
    <n v="1"/>
  </r>
  <r>
    <m/>
    <m/>
    <x v="1"/>
    <s v="67565406001001"/>
    <n v="-68.960000000000008"/>
    <n v="2807"/>
    <n v="2"/>
    <n v="1"/>
  </r>
  <r>
    <m/>
    <m/>
    <x v="1"/>
    <s v="67575902001005"/>
    <n v="-12.85"/>
    <n v="510"/>
    <n v="2"/>
    <n v="1"/>
  </r>
  <r>
    <m/>
    <m/>
    <x v="1"/>
    <s v="67587226001001"/>
    <n v="-58.54"/>
    <n v="2376"/>
    <n v="2"/>
    <n v="1"/>
  </r>
  <r>
    <m/>
    <m/>
    <x v="1"/>
    <s v="68088779001001"/>
    <n v="-15.43"/>
    <n v="624"/>
    <n v="2"/>
    <n v="1"/>
  </r>
  <r>
    <m/>
    <m/>
    <x v="1"/>
    <s v="68322478003001"/>
    <n v="-39.57"/>
    <n v="1615"/>
    <n v="1"/>
    <n v="1"/>
  </r>
  <r>
    <m/>
    <m/>
    <x v="1"/>
    <s v="68439076001001"/>
    <n v="-61.11"/>
    <n v="2359"/>
    <n v="2"/>
    <n v="1"/>
  </r>
  <r>
    <m/>
    <m/>
    <x v="1"/>
    <s v="68512232001001"/>
    <n v="-132.55000000000001"/>
    <n v="5316"/>
    <n v="2"/>
    <n v="1"/>
  </r>
  <r>
    <m/>
    <m/>
    <x v="1"/>
    <s v="68624650001002"/>
    <n v="-39.379999999999995"/>
    <n v="1575"/>
    <n v="2"/>
    <n v="1"/>
  </r>
  <r>
    <m/>
    <m/>
    <x v="1"/>
    <s v="68639459001005"/>
    <n v="-106.6"/>
    <n v="4115"/>
    <n v="2"/>
    <n v="1"/>
  </r>
  <r>
    <m/>
    <m/>
    <x v="1"/>
    <s v="68813978001003"/>
    <n v="-42.12"/>
    <n v="1719"/>
    <n v="1"/>
    <n v="1"/>
  </r>
  <r>
    <m/>
    <m/>
    <x v="1"/>
    <s v="69000077001002"/>
    <n v="-52.7"/>
    <n v="2151"/>
    <n v="1"/>
    <n v="1"/>
  </r>
  <r>
    <m/>
    <m/>
    <x v="1"/>
    <s v="69060183003015"/>
    <n v="-17.71"/>
    <n v="723"/>
    <n v="1"/>
    <n v="1"/>
  </r>
  <r>
    <m/>
    <m/>
    <x v="1"/>
    <s v="69172909001002"/>
    <n v="-25.92"/>
    <n v="1058"/>
    <n v="1"/>
    <n v="1"/>
  </r>
  <r>
    <m/>
    <m/>
    <x v="1"/>
    <s v="69212535001003"/>
    <n v="-50.07"/>
    <n v="1943"/>
    <n v="2"/>
    <n v="1"/>
  </r>
  <r>
    <m/>
    <m/>
    <x v="1"/>
    <s v="69243847003001"/>
    <n v="-52.39"/>
    <n v="2017"/>
    <n v="2"/>
    <n v="1"/>
  </r>
  <r>
    <m/>
    <m/>
    <x v="1"/>
    <s v="69278841002001"/>
    <n v="-12.4"/>
    <n v="506"/>
    <n v="1"/>
    <n v="1"/>
  </r>
  <r>
    <m/>
    <m/>
    <x v="1"/>
    <s v="69589294001001"/>
    <n v="-31.880000000000003"/>
    <n v="1237"/>
    <n v="2"/>
    <n v="1"/>
  </r>
  <r>
    <m/>
    <m/>
    <x v="1"/>
    <s v="69662874001004"/>
    <n v="-50.19"/>
    <n v="2007"/>
    <n v="2"/>
    <n v="1"/>
  </r>
  <r>
    <m/>
    <m/>
    <x v="1"/>
    <s v="69697436003002"/>
    <n v="-5.16"/>
    <n v="206"/>
    <n v="2"/>
    <n v="1"/>
  </r>
  <r>
    <m/>
    <m/>
    <x v="1"/>
    <s v="69851222003003"/>
    <n v="-53.68"/>
    <n v="2154"/>
    <n v="2"/>
    <n v="1"/>
  </r>
  <r>
    <m/>
    <m/>
    <x v="1"/>
    <s v="69938123001005"/>
    <n v="-30.65"/>
    <n v="1251"/>
    <n v="1"/>
    <n v="1"/>
  </r>
  <r>
    <m/>
    <m/>
    <x v="1"/>
    <s v="69998675005001"/>
    <n v="-25.7"/>
    <n v="1049"/>
    <n v="1"/>
    <n v="1"/>
  </r>
  <r>
    <m/>
    <m/>
    <x v="1"/>
    <s v="70221164001005"/>
    <n v="-1.18"/>
    <n v="48"/>
    <n v="1"/>
    <n v="1"/>
  </r>
  <r>
    <m/>
    <m/>
    <x v="1"/>
    <s v="70498831001001"/>
    <n v="-53.58"/>
    <n v="2120"/>
    <n v="2"/>
    <n v="1"/>
  </r>
  <r>
    <m/>
    <m/>
    <x v="1"/>
    <s v="70517135001001"/>
    <n v="-37.31"/>
    <n v="1492"/>
    <n v="2"/>
    <n v="1"/>
  </r>
  <r>
    <m/>
    <m/>
    <x v="1"/>
    <s v="70518336001001"/>
    <n v="-84.53"/>
    <n v="3440"/>
    <n v="2"/>
    <n v="1"/>
  </r>
  <r>
    <m/>
    <m/>
    <x v="1"/>
    <s v="70572154001001"/>
    <n v="-65.709999999999994"/>
    <n v="2682"/>
    <n v="1"/>
    <n v="1"/>
  </r>
  <r>
    <m/>
    <m/>
    <x v="1"/>
    <s v="70671225001001"/>
    <n v="-6.81"/>
    <n v="278"/>
    <n v="1"/>
    <n v="1"/>
  </r>
  <r>
    <m/>
    <m/>
    <x v="1"/>
    <s v="70925378002003"/>
    <n v="-55.97"/>
    <n v="2215"/>
    <n v="2"/>
    <n v="1"/>
  </r>
  <r>
    <m/>
    <m/>
    <x v="1"/>
    <s v="70934025001005"/>
    <n v="-19.18"/>
    <n v="783"/>
    <n v="1"/>
    <n v="1"/>
  </r>
  <r>
    <m/>
    <m/>
    <x v="1"/>
    <s v="70953596001001"/>
    <n v="-70.94"/>
    <n v="2807"/>
    <n v="2"/>
    <n v="1"/>
  </r>
  <r>
    <m/>
    <m/>
    <x v="1"/>
    <s v="71047342001002"/>
    <n v="-35.28"/>
    <n v="1440"/>
    <n v="1"/>
    <n v="1"/>
  </r>
  <r>
    <m/>
    <m/>
    <x v="1"/>
    <s v="71339719006001"/>
    <n v="-63.78"/>
    <n v="2455"/>
    <n v="2"/>
    <n v="1"/>
  </r>
  <r>
    <m/>
    <m/>
    <x v="1"/>
    <s v="71508543001001"/>
    <n v="-10.42"/>
    <n v="423"/>
    <n v="2"/>
    <n v="1"/>
  </r>
  <r>
    <m/>
    <m/>
    <x v="1"/>
    <s v="72013535003003"/>
    <n v="-22.21"/>
    <n v="888"/>
    <n v="2"/>
    <n v="1"/>
  </r>
  <r>
    <m/>
    <m/>
    <x v="1"/>
    <s v="72421015001001"/>
    <n v="-3.3400000000000003"/>
    <n v="135"/>
    <n v="2"/>
    <n v="1"/>
  </r>
  <r>
    <m/>
    <m/>
    <x v="1"/>
    <s v="72680010001001"/>
    <n v="-30.89"/>
    <n v="1261"/>
    <n v="1"/>
    <n v="1"/>
  </r>
  <r>
    <m/>
    <m/>
    <x v="1"/>
    <s v="72769540001001"/>
    <n v="-7.7100000000000009"/>
    <n v="306"/>
    <n v="2"/>
    <n v="1"/>
  </r>
  <r>
    <m/>
    <m/>
    <x v="1"/>
    <s v="72796289004001"/>
    <n v="-16.5"/>
    <n v="637"/>
    <n v="2"/>
    <n v="1"/>
  </r>
  <r>
    <m/>
    <m/>
    <x v="1"/>
    <s v="72889636001003"/>
    <n v="-69.87"/>
    <n v="2765"/>
    <n v="2"/>
    <n v="1"/>
  </r>
  <r>
    <m/>
    <m/>
    <x v="1"/>
    <s v="72971361001006"/>
    <n v="-83.15"/>
    <n v="3325"/>
    <n v="2"/>
    <n v="1"/>
  </r>
  <r>
    <m/>
    <m/>
    <x v="1"/>
    <s v="73413066001003"/>
    <n v="-26.29"/>
    <n v="1012"/>
    <n v="2"/>
    <n v="1"/>
  </r>
  <r>
    <m/>
    <m/>
    <x v="1"/>
    <s v="73439615001001"/>
    <n v="-46.47"/>
    <n v="1853"/>
    <n v="2"/>
    <n v="1"/>
  </r>
  <r>
    <m/>
    <m/>
    <x v="1"/>
    <s v="73630920001004"/>
    <n v="-31.689999999999998"/>
    <n v="1286"/>
    <n v="2"/>
    <n v="1"/>
  </r>
  <r>
    <m/>
    <m/>
    <x v="1"/>
    <s v="73656211001009"/>
    <n v="-6.93"/>
    <n v="283"/>
    <n v="1"/>
    <n v="1"/>
  </r>
  <r>
    <m/>
    <m/>
    <x v="1"/>
    <s v="73718834002001"/>
    <n v="-53.39"/>
    <n v="2179"/>
    <n v="1"/>
    <n v="1"/>
  </r>
  <r>
    <m/>
    <m/>
    <x v="1"/>
    <s v="73822565001003"/>
    <n v="-38.08"/>
    <n v="1470"/>
    <n v="2"/>
    <n v="1"/>
  </r>
  <r>
    <m/>
    <m/>
    <x v="1"/>
    <s v="73969695001003"/>
    <n v="-23.65"/>
    <n v="946"/>
    <n v="2"/>
    <n v="1"/>
  </r>
  <r>
    <m/>
    <m/>
    <x v="1"/>
    <s v="74280289001001"/>
    <n v="-6.44"/>
    <n v="263"/>
    <n v="1"/>
    <n v="1"/>
  </r>
  <r>
    <m/>
    <m/>
    <x v="1"/>
    <s v="74347722001002"/>
    <n v="-1.69"/>
    <n v="69"/>
    <n v="1"/>
    <n v="1"/>
  </r>
  <r>
    <m/>
    <m/>
    <x v="1"/>
    <s v="74374771001005"/>
    <n v="-57.33"/>
    <n v="2237"/>
    <n v="2"/>
    <n v="1"/>
  </r>
  <r>
    <m/>
    <m/>
    <x v="1"/>
    <s v="74556668001006"/>
    <n v="-26.51"/>
    <n v="1082"/>
    <n v="1"/>
    <n v="1"/>
  </r>
  <r>
    <m/>
    <m/>
    <x v="1"/>
    <s v="74849102001003"/>
    <n v="-62.43"/>
    <n v="2548"/>
    <n v="1"/>
    <n v="1"/>
  </r>
  <r>
    <m/>
    <m/>
    <x v="1"/>
    <s v="75013681001001"/>
    <n v="-29.92"/>
    <n v="1184"/>
    <n v="2"/>
    <n v="1"/>
  </r>
  <r>
    <m/>
    <m/>
    <x v="1"/>
    <s v="75119924001006"/>
    <n v="-10.14"/>
    <n v="404"/>
    <n v="2"/>
    <n v="1"/>
  </r>
  <r>
    <m/>
    <m/>
    <x v="1"/>
    <s v="75149880001001"/>
    <n v="-114.4"/>
    <n v="4404"/>
    <n v="2"/>
    <n v="1"/>
  </r>
  <r>
    <m/>
    <m/>
    <x v="1"/>
    <s v="75150285002001"/>
    <n v="-11.709999999999999"/>
    <n v="468"/>
    <n v="2"/>
    <n v="1"/>
  </r>
  <r>
    <m/>
    <m/>
    <x v="1"/>
    <s v="75178826001001"/>
    <n v="-8.5299999999999994"/>
    <n v="340"/>
    <n v="2"/>
    <n v="1"/>
  </r>
  <r>
    <m/>
    <m/>
    <x v="1"/>
    <s v="75544198001002"/>
    <n v="-28.89"/>
    <n v="1179"/>
    <n v="1"/>
    <n v="1"/>
  </r>
  <r>
    <m/>
    <m/>
    <x v="1"/>
    <s v="75558866002001"/>
    <n v="-43.98"/>
    <n v="1795"/>
    <n v="1"/>
    <n v="1"/>
  </r>
  <r>
    <m/>
    <m/>
    <x v="1"/>
    <s v="75743118001001"/>
    <n v="-26.34"/>
    <n v="1075"/>
    <n v="1"/>
    <n v="1"/>
  </r>
  <r>
    <m/>
    <m/>
    <x v="1"/>
    <s v="75814877002001"/>
    <n v="-75.36"/>
    <n v="3076"/>
    <n v="1"/>
    <n v="1"/>
  </r>
  <r>
    <m/>
    <m/>
    <x v="1"/>
    <s v="75838799001004"/>
    <n v="-27.98"/>
    <n v="1142"/>
    <n v="1"/>
    <n v="1"/>
  </r>
  <r>
    <m/>
    <m/>
    <x v="1"/>
    <s v="76017664001001"/>
    <n v="-31.22"/>
    <n v="1267"/>
    <n v="2"/>
    <n v="1"/>
  </r>
  <r>
    <m/>
    <m/>
    <x v="1"/>
    <s v="76557994001004"/>
    <n v="-1.47"/>
    <n v="60"/>
    <n v="1"/>
    <n v="1"/>
  </r>
  <r>
    <m/>
    <m/>
    <x v="1"/>
    <s v="76583620001001"/>
    <n v="-3.98"/>
    <n v="161"/>
    <n v="2"/>
    <n v="1"/>
  </r>
  <r>
    <m/>
    <m/>
    <x v="1"/>
    <s v="76588944001003"/>
    <n v="-11.32"/>
    <n v="462"/>
    <n v="1"/>
    <n v="1"/>
  </r>
  <r>
    <m/>
    <m/>
    <x v="1"/>
    <s v="76614777003003"/>
    <n v="-74.650000000000006"/>
    <n v="3047"/>
    <n v="1"/>
    <n v="1"/>
  </r>
  <r>
    <m/>
    <m/>
    <x v="1"/>
    <s v="76615869001006"/>
    <n v="-81.27"/>
    <n v="3259"/>
    <n v="2"/>
    <n v="1"/>
  </r>
  <r>
    <m/>
    <m/>
    <x v="1"/>
    <s v="76670454001001"/>
    <n v="-88.490000000000009"/>
    <n v="3468"/>
    <n v="2"/>
    <n v="1"/>
  </r>
  <r>
    <m/>
    <m/>
    <x v="1"/>
    <s v="76795463001003"/>
    <n v="-39.76"/>
    <n v="1623"/>
    <n v="1"/>
    <n v="1"/>
  </r>
  <r>
    <m/>
    <m/>
    <x v="1"/>
    <s v="76854949001003"/>
    <n v="-72.349999999999994"/>
    <n v="2953"/>
    <n v="1"/>
    <n v="1"/>
  </r>
  <r>
    <m/>
    <m/>
    <x v="1"/>
    <s v="76935539003007"/>
    <n v="-29.419999999999998"/>
    <n v="1194"/>
    <n v="2"/>
    <n v="1"/>
  </r>
  <r>
    <m/>
    <m/>
    <x v="1"/>
    <s v="77104713001006"/>
    <n v="-41.09"/>
    <n v="1677"/>
    <n v="1"/>
    <n v="1"/>
  </r>
  <r>
    <m/>
    <m/>
    <x v="1"/>
    <s v="77297374001003"/>
    <n v="-23.200000000000003"/>
    <n v="893"/>
    <n v="2"/>
    <n v="1"/>
  </r>
  <r>
    <m/>
    <m/>
    <x v="1"/>
    <s v="77319670001005"/>
    <n v="-20.399999999999999"/>
    <n v="816"/>
    <n v="2"/>
    <n v="1"/>
  </r>
  <r>
    <m/>
    <m/>
    <x v="1"/>
    <s v="77414176001005"/>
    <n v="-79.25"/>
    <n v="3051"/>
    <n v="2"/>
    <n v="1"/>
  </r>
  <r>
    <m/>
    <m/>
    <x v="1"/>
    <s v="77482495003001"/>
    <n v="-14.12"/>
    <n v="563"/>
    <n v="2"/>
    <n v="1"/>
  </r>
  <r>
    <m/>
    <m/>
    <x v="1"/>
    <s v="77745389002003"/>
    <n v="-14.7"/>
    <n v="600"/>
    <n v="1"/>
    <n v="1"/>
  </r>
  <r>
    <m/>
    <m/>
    <x v="1"/>
    <s v="77922884001002"/>
    <n v="-37.89"/>
    <n v="1515"/>
    <n v="2"/>
    <n v="1"/>
  </r>
  <r>
    <m/>
    <m/>
    <x v="1"/>
    <s v="77926272001001"/>
    <n v="-76.27"/>
    <n v="3113"/>
    <n v="1"/>
    <n v="1"/>
  </r>
  <r>
    <m/>
    <m/>
    <x v="1"/>
    <s v="77931356002006"/>
    <n v="-37.75"/>
    <n v="1541"/>
    <n v="1"/>
    <n v="1"/>
  </r>
  <r>
    <m/>
    <m/>
    <x v="1"/>
    <s v="78054222001007"/>
    <n v="-16.919999999999998"/>
    <n v="663"/>
    <n v="2"/>
    <n v="1"/>
  </r>
  <r>
    <m/>
    <m/>
    <x v="1"/>
    <s v="78067360001002"/>
    <n v="-50.02"/>
    <n v="2000"/>
    <n v="2"/>
    <n v="1"/>
  </r>
  <r>
    <m/>
    <m/>
    <x v="1"/>
    <s v="78160402001001"/>
    <n v="-20.02"/>
    <n v="817"/>
    <n v="1"/>
    <n v="1"/>
  </r>
  <r>
    <m/>
    <m/>
    <x v="1"/>
    <s v="78347555001002"/>
    <n v="-48.47"/>
    <n v="1881"/>
    <n v="2"/>
    <n v="1"/>
  </r>
  <r>
    <m/>
    <m/>
    <x v="1"/>
    <s v="78390859001002"/>
    <n v="-59.73"/>
    <n v="2438"/>
    <n v="1"/>
    <n v="1"/>
  </r>
  <r>
    <m/>
    <m/>
    <x v="1"/>
    <s v="78605639001001"/>
    <n v="-36.33"/>
    <n v="1458"/>
    <n v="2"/>
    <n v="1"/>
  </r>
  <r>
    <m/>
    <m/>
    <x v="1"/>
    <s v="79283500001002"/>
    <n v="-72.210000000000008"/>
    <n v="2939"/>
    <n v="2"/>
    <n v="1"/>
  </r>
  <r>
    <m/>
    <m/>
    <x v="1"/>
    <s v="79553358002001"/>
    <n v="-23.220000000000002"/>
    <n v="926"/>
    <n v="2"/>
    <n v="1"/>
  </r>
  <r>
    <m/>
    <m/>
    <x v="1"/>
    <s v="79559262001005"/>
    <n v="-17.03"/>
    <n v="691"/>
    <n v="2"/>
    <n v="1"/>
  </r>
  <r>
    <m/>
    <m/>
    <x v="1"/>
    <s v="79713989002001"/>
    <n v="-59.88"/>
    <n v="2444"/>
    <n v="1"/>
    <n v="1"/>
  </r>
  <r>
    <m/>
    <m/>
    <x v="1"/>
    <s v="79889636001005"/>
    <n v="-61.040000000000006"/>
    <n v="2356"/>
    <n v="2"/>
    <n v="1"/>
  </r>
  <r>
    <m/>
    <m/>
    <x v="1"/>
    <s v="79989931001001"/>
    <n v="-10.94"/>
    <n v="442"/>
    <n v="2"/>
    <n v="1"/>
  </r>
  <r>
    <m/>
    <m/>
    <x v="1"/>
    <s v="80164416001009"/>
    <n v="-63.49"/>
    <n v="2567"/>
    <n v="2"/>
    <n v="1"/>
  </r>
  <r>
    <m/>
    <m/>
    <x v="1"/>
    <s v="80519163003001"/>
    <n v="-68.72999999999999"/>
    <n v="2646"/>
    <n v="2"/>
    <n v="1"/>
  </r>
  <r>
    <m/>
    <m/>
    <x v="1"/>
    <s v="80546282001001"/>
    <n v="-54.84"/>
    <n v="2128"/>
    <n v="2"/>
    <n v="1"/>
  </r>
  <r>
    <m/>
    <m/>
    <x v="1"/>
    <s v="80624981001003"/>
    <n v="-50.010000000000005"/>
    <n v="1979"/>
    <n v="2"/>
    <n v="1"/>
  </r>
  <r>
    <m/>
    <m/>
    <x v="1"/>
    <s v="80725718001001"/>
    <n v="-5.16"/>
    <n v="207"/>
    <n v="2"/>
    <n v="1"/>
  </r>
  <r>
    <m/>
    <m/>
    <x v="1"/>
    <s v="80805937001003"/>
    <n v="-47.38"/>
    <n v="1934"/>
    <n v="1"/>
    <n v="1"/>
  </r>
  <r>
    <m/>
    <m/>
    <x v="1"/>
    <s v="80867382002003"/>
    <n v="-53.129999999999995"/>
    <n v="2051"/>
    <n v="2"/>
    <n v="1"/>
  </r>
  <r>
    <m/>
    <m/>
    <x v="1"/>
    <s v="80918426001002"/>
    <n v="-44.37"/>
    <n v="1794"/>
    <n v="2"/>
    <n v="1"/>
  </r>
  <r>
    <m/>
    <m/>
    <x v="1"/>
    <s v="81097028001001"/>
    <n v="-26.38"/>
    <n v="1018"/>
    <n v="2"/>
    <n v="1"/>
  </r>
  <r>
    <m/>
    <m/>
    <x v="1"/>
    <s v="81117422001006"/>
    <n v="-64.009999999999991"/>
    <n v="2533"/>
    <n v="2"/>
    <n v="1"/>
  </r>
  <r>
    <m/>
    <m/>
    <x v="1"/>
    <s v="81182109001003"/>
    <n v="-32.92"/>
    <n v="1271"/>
    <n v="2"/>
    <n v="1"/>
  </r>
  <r>
    <m/>
    <m/>
    <x v="1"/>
    <s v="81298475001001"/>
    <n v="-33.840000000000003"/>
    <n v="1353"/>
    <n v="2"/>
    <n v="1"/>
  </r>
  <r>
    <m/>
    <m/>
    <x v="1"/>
    <s v="81454274001001"/>
    <n v="-33.96"/>
    <n v="1378"/>
    <n v="2"/>
    <n v="1"/>
  </r>
  <r>
    <m/>
    <m/>
    <x v="1"/>
    <s v="81475200001005"/>
    <n v="-53.29"/>
    <n v="2175"/>
    <n v="1"/>
    <n v="1"/>
  </r>
  <r>
    <m/>
    <m/>
    <x v="1"/>
    <s v="81489053002003"/>
    <n v="-82.43"/>
    <n v="3231"/>
    <n v="2"/>
    <n v="1"/>
  </r>
  <r>
    <m/>
    <m/>
    <x v="1"/>
    <s v="81851563001001"/>
    <n v="-20.92"/>
    <n v="854"/>
    <n v="1"/>
    <n v="1"/>
  </r>
  <r>
    <m/>
    <m/>
    <x v="1"/>
    <s v="81964610001003"/>
    <n v="-57.54"/>
    <n v="2255"/>
    <n v="2"/>
    <n v="1"/>
  </r>
  <r>
    <m/>
    <m/>
    <x v="1"/>
    <s v="81978497001003"/>
    <n v="-5.23"/>
    <n v="202"/>
    <n v="2"/>
    <n v="1"/>
  </r>
  <r>
    <m/>
    <m/>
    <x v="1"/>
    <s v="82041298001001"/>
    <n v="-102.34"/>
    <n v="4011"/>
    <n v="2"/>
    <n v="1"/>
  </r>
  <r>
    <m/>
    <m/>
    <x v="1"/>
    <s v="82043401001001"/>
    <n v="-37.83"/>
    <n v="1487"/>
    <n v="2"/>
    <n v="1"/>
  </r>
  <r>
    <m/>
    <m/>
    <x v="1"/>
    <s v="82082422001001"/>
    <n v="-56.81"/>
    <n v="2193"/>
    <n v="2"/>
    <n v="1"/>
  </r>
  <r>
    <m/>
    <m/>
    <x v="1"/>
    <s v="82322990001001"/>
    <n v="-89.02"/>
    <n v="3572"/>
    <n v="2"/>
    <n v="1"/>
  </r>
  <r>
    <m/>
    <m/>
    <x v="1"/>
    <s v="82324042001001"/>
    <n v="-3.0300000000000002"/>
    <n v="119"/>
    <n v="2"/>
    <n v="1"/>
  </r>
  <r>
    <m/>
    <m/>
    <x v="1"/>
    <s v="82389671001001"/>
    <n v="-48.2"/>
    <n v="1913"/>
    <n v="2"/>
    <n v="1"/>
  </r>
  <r>
    <m/>
    <m/>
    <x v="1"/>
    <s v="82549973001001"/>
    <n v="-9.33"/>
    <n v="372"/>
    <n v="2"/>
    <n v="1"/>
  </r>
  <r>
    <m/>
    <m/>
    <x v="1"/>
    <s v="82697231001002"/>
    <n v="-25.810000000000002"/>
    <n v="1007"/>
    <n v="2"/>
    <n v="1"/>
  </r>
  <r>
    <m/>
    <m/>
    <x v="1"/>
    <s v="82804369003001"/>
    <n v="-8.1300000000000008"/>
    <n v="313"/>
    <n v="2"/>
    <n v="1"/>
  </r>
  <r>
    <m/>
    <m/>
    <x v="1"/>
    <s v="82876457001003"/>
    <n v="-25.24"/>
    <n v="1030"/>
    <n v="1"/>
    <n v="1"/>
  </r>
  <r>
    <m/>
    <m/>
    <x v="1"/>
    <s v="83012772001001"/>
    <n v="-53.22"/>
    <n v="2106"/>
    <n v="2"/>
    <n v="1"/>
  </r>
  <r>
    <m/>
    <m/>
    <x v="1"/>
    <s v="83058315001004"/>
    <n v="-32.51"/>
    <n v="1327"/>
    <n v="1"/>
    <n v="1"/>
  </r>
  <r>
    <m/>
    <m/>
    <x v="1"/>
    <s v="83232170001001"/>
    <n v="-79.37"/>
    <n v="3080"/>
    <n v="2"/>
    <n v="1"/>
  </r>
  <r>
    <m/>
    <m/>
    <x v="1"/>
    <s v="83363898001002"/>
    <n v="-38.449999999999996"/>
    <n v="1480"/>
    <n v="2"/>
    <n v="1"/>
  </r>
  <r>
    <m/>
    <m/>
    <x v="1"/>
    <s v="83365022001002"/>
    <n v="-47.92"/>
    <n v="1922"/>
    <n v="2"/>
    <n v="1"/>
  </r>
  <r>
    <m/>
    <m/>
    <x v="1"/>
    <s v="83430858001001"/>
    <n v="-59.95"/>
    <n v="2447"/>
    <n v="1"/>
    <n v="1"/>
  </r>
  <r>
    <m/>
    <m/>
    <x v="1"/>
    <s v="83589580001001"/>
    <n v="-53.230000000000004"/>
    <n v="2049"/>
    <n v="2"/>
    <n v="1"/>
  </r>
  <r>
    <m/>
    <m/>
    <x v="1"/>
    <s v="83701204001002"/>
    <n v="-2.12"/>
    <n v="84"/>
    <n v="2"/>
    <n v="1"/>
  </r>
  <r>
    <m/>
    <m/>
    <x v="1"/>
    <s v="83981500001003"/>
    <n v="-32.020000000000003"/>
    <n v="1307"/>
    <n v="1"/>
    <n v="1"/>
  </r>
  <r>
    <m/>
    <m/>
    <x v="1"/>
    <s v="84147592002001"/>
    <n v="-29.72"/>
    <n v="1213"/>
    <n v="1"/>
    <n v="1"/>
  </r>
  <r>
    <m/>
    <m/>
    <x v="1"/>
    <s v="84160982001001"/>
    <n v="-23.33"/>
    <n v="898"/>
    <n v="2"/>
    <n v="1"/>
  </r>
  <r>
    <m/>
    <m/>
    <x v="1"/>
    <s v="84270072001001"/>
    <n v="-43.07"/>
    <n v="1748"/>
    <n v="2"/>
    <n v="1"/>
  </r>
  <r>
    <m/>
    <m/>
    <x v="1"/>
    <s v="84296270001001"/>
    <n v="-39.71"/>
    <n v="1533"/>
    <n v="2"/>
    <n v="1"/>
  </r>
  <r>
    <m/>
    <m/>
    <x v="1"/>
    <s v="84341077001001"/>
    <n v="-42.19"/>
    <n v="1722"/>
    <n v="1"/>
    <n v="1"/>
  </r>
  <r>
    <m/>
    <m/>
    <x v="1"/>
    <s v="84431263001001"/>
    <n v="-39.31"/>
    <n v="1545"/>
    <n v="2"/>
    <n v="1"/>
  </r>
  <r>
    <m/>
    <m/>
    <x v="1"/>
    <s v="84503562001003"/>
    <n v="-36.630000000000003"/>
    <n v="1414"/>
    <n v="2"/>
    <n v="1"/>
  </r>
  <r>
    <m/>
    <m/>
    <x v="1"/>
    <s v="84505506001001"/>
    <n v="-7.15"/>
    <n v="292"/>
    <n v="1"/>
    <n v="1"/>
  </r>
  <r>
    <m/>
    <m/>
    <x v="1"/>
    <s v="84649205001001"/>
    <n v="-33.39"/>
    <n v="1363"/>
    <n v="1"/>
    <n v="1"/>
  </r>
  <r>
    <m/>
    <m/>
    <x v="1"/>
    <s v="84767508001007"/>
    <n v="-15.559999999999999"/>
    <n v="599"/>
    <n v="2"/>
    <n v="1"/>
  </r>
  <r>
    <m/>
    <m/>
    <x v="1"/>
    <s v="84854567001007"/>
    <n v="-86.11"/>
    <n v="3324"/>
    <n v="2"/>
    <n v="1"/>
  </r>
  <r>
    <m/>
    <m/>
    <x v="1"/>
    <s v="84929826001001"/>
    <n v="-17.93"/>
    <n v="732"/>
    <n v="1"/>
    <n v="1"/>
  </r>
  <r>
    <m/>
    <m/>
    <x v="1"/>
    <s v="84938068001001"/>
    <n v="-37.340000000000003"/>
    <n v="1457"/>
    <n v="2"/>
    <n v="1"/>
  </r>
  <r>
    <m/>
    <m/>
    <x v="1"/>
    <s v="85042047001001"/>
    <n v="-30.31"/>
    <n v="1167"/>
    <n v="2"/>
    <n v="1"/>
  </r>
  <r>
    <m/>
    <m/>
    <x v="1"/>
    <s v="85218753001001"/>
    <n v="-57.15"/>
    <n v="2326"/>
    <n v="2"/>
    <n v="1"/>
  </r>
  <r>
    <m/>
    <m/>
    <x v="1"/>
    <s v="85220903001004"/>
    <n v="-24.130000000000003"/>
    <n v="929"/>
    <n v="2"/>
    <n v="1"/>
  </r>
  <r>
    <m/>
    <m/>
    <x v="1"/>
    <s v="85464036001001"/>
    <n v="-57.06"/>
    <n v="2307"/>
    <n v="2"/>
    <n v="1"/>
  </r>
  <r>
    <m/>
    <m/>
    <x v="1"/>
    <s v="85530270001005"/>
    <n v="-29.43"/>
    <n v="1142"/>
    <n v="2"/>
    <n v="1"/>
  </r>
  <r>
    <m/>
    <m/>
    <x v="1"/>
    <s v="85607457001003"/>
    <n v="-9.24"/>
    <n v="377"/>
    <n v="1"/>
    <n v="1"/>
  </r>
  <r>
    <m/>
    <m/>
    <x v="1"/>
    <s v="85972728001001"/>
    <n v="-8.77"/>
    <n v="358"/>
    <n v="1"/>
    <n v="1"/>
  </r>
  <r>
    <m/>
    <m/>
    <x v="1"/>
    <s v="85986593003001"/>
    <n v="-63.56"/>
    <n v="2542"/>
    <n v="2"/>
    <n v="1"/>
  </r>
  <r>
    <m/>
    <m/>
    <x v="1"/>
    <s v="86420880001004"/>
    <n v="-82.12"/>
    <n v="3352"/>
    <n v="1"/>
    <n v="1"/>
  </r>
  <r>
    <m/>
    <m/>
    <x v="1"/>
    <s v="86574879001008"/>
    <n v="-97.59"/>
    <n v="3787"/>
    <n v="2"/>
    <n v="1"/>
  </r>
  <r>
    <m/>
    <m/>
    <x v="1"/>
    <s v="86799046001002"/>
    <n v="-44.32"/>
    <n v="1809"/>
    <n v="1"/>
    <n v="1"/>
  </r>
  <r>
    <m/>
    <m/>
    <x v="1"/>
    <s v="86808270001005"/>
    <n v="-32.4"/>
    <n v="1296"/>
    <n v="2"/>
    <n v="1"/>
  </r>
  <r>
    <m/>
    <m/>
    <x v="1"/>
    <s v="86974765001001"/>
    <n v="-60.36"/>
    <n v="2407"/>
    <n v="2"/>
    <n v="1"/>
  </r>
  <r>
    <m/>
    <m/>
    <x v="1"/>
    <s v="87090986001001"/>
    <n v="-45.68"/>
    <n v="1854"/>
    <n v="2"/>
    <n v="1"/>
  </r>
  <r>
    <m/>
    <m/>
    <x v="1"/>
    <s v="87157714001003"/>
    <n v="-22.27"/>
    <n v="909"/>
    <n v="1"/>
    <n v="1"/>
  </r>
  <r>
    <m/>
    <m/>
    <x v="1"/>
    <s v="87298950001009"/>
    <n v="-5.8000000000000007"/>
    <n v="232"/>
    <n v="2"/>
    <n v="1"/>
  </r>
  <r>
    <m/>
    <m/>
    <x v="1"/>
    <s v="87402995001003"/>
    <n v="-30.53"/>
    <n v="1246"/>
    <n v="1"/>
    <n v="1"/>
  </r>
  <r>
    <m/>
    <m/>
    <x v="1"/>
    <s v="87436901001001"/>
    <n v="-31.68"/>
    <n v="1293"/>
    <n v="1"/>
    <n v="1"/>
  </r>
  <r>
    <m/>
    <m/>
    <x v="1"/>
    <s v="87452134001003"/>
    <n v="-50.57"/>
    <n v="2064"/>
    <n v="1"/>
    <n v="1"/>
  </r>
  <r>
    <m/>
    <m/>
    <x v="1"/>
    <s v="87496184001004"/>
    <n v="-17.170000000000002"/>
    <n v="701"/>
    <n v="1"/>
    <n v="1"/>
  </r>
  <r>
    <m/>
    <m/>
    <x v="1"/>
    <s v="87567739001004"/>
    <n v="-81.02000000000001"/>
    <n v="3251"/>
    <n v="2"/>
    <n v="1"/>
  </r>
  <r>
    <m/>
    <m/>
    <x v="1"/>
    <s v="87970646001002"/>
    <n v="-21.81"/>
    <n v="890"/>
    <n v="1"/>
    <n v="1"/>
  </r>
  <r>
    <m/>
    <m/>
    <x v="1"/>
    <s v="87986176002001"/>
    <n v="-119.14"/>
    <n v="4764"/>
    <n v="2"/>
    <n v="1"/>
  </r>
  <r>
    <m/>
    <m/>
    <x v="1"/>
    <s v="88075199001001"/>
    <n v="-9.6999999999999993"/>
    <n v="385"/>
    <n v="2"/>
    <n v="1"/>
  </r>
  <r>
    <m/>
    <m/>
    <x v="1"/>
    <s v="88446829001001"/>
    <n v="-52.65"/>
    <n v="2099"/>
    <n v="2"/>
    <n v="1"/>
  </r>
  <r>
    <m/>
    <m/>
    <x v="1"/>
    <s v="88600796001001"/>
    <n v="-20.38"/>
    <n v="832"/>
    <n v="1"/>
    <n v="1"/>
  </r>
  <r>
    <m/>
    <m/>
    <x v="1"/>
    <s v="88674501001001"/>
    <n v="-17.86"/>
    <n v="716"/>
    <n v="2"/>
    <n v="1"/>
  </r>
  <r>
    <m/>
    <m/>
    <x v="1"/>
    <s v="88716719002003"/>
    <n v="-20.100000000000001"/>
    <n v="780"/>
    <n v="2"/>
    <n v="1"/>
  </r>
  <r>
    <m/>
    <m/>
    <x v="1"/>
    <s v="88795471002001"/>
    <n v="-33.17"/>
    <n v="1341"/>
    <n v="2"/>
    <n v="1"/>
  </r>
  <r>
    <m/>
    <m/>
    <x v="1"/>
    <s v="88847370001001"/>
    <n v="-14.2"/>
    <n v="568"/>
    <n v="2"/>
    <n v="1"/>
  </r>
  <r>
    <m/>
    <m/>
    <x v="1"/>
    <s v="89115051002001"/>
    <n v="-70.08"/>
    <n v="2844"/>
    <n v="2"/>
    <n v="1"/>
  </r>
  <r>
    <m/>
    <m/>
    <x v="1"/>
    <s v="89435607001002"/>
    <n v="-62.55"/>
    <n v="2529"/>
    <n v="2"/>
    <n v="1"/>
  </r>
  <r>
    <m/>
    <m/>
    <x v="1"/>
    <s v="89520809001009"/>
    <n v="-55.5"/>
    <n v="2196"/>
    <n v="2"/>
    <n v="1"/>
  </r>
  <r>
    <m/>
    <m/>
    <x v="1"/>
    <s v="89553934001001"/>
    <n v="-17.59"/>
    <n v="718"/>
    <n v="1"/>
    <n v="1"/>
  </r>
  <r>
    <m/>
    <m/>
    <x v="1"/>
    <s v="89987541001001"/>
    <n v="-11.07"/>
    <n v="452"/>
    <n v="1"/>
    <n v="1"/>
  </r>
  <r>
    <m/>
    <m/>
    <x v="1"/>
    <s v="90070067001013"/>
    <n v="-17.47"/>
    <n v="713"/>
    <n v="1"/>
    <n v="1"/>
  </r>
  <r>
    <m/>
    <m/>
    <x v="1"/>
    <s v="90452230001004"/>
    <n v="-44.050000000000004"/>
    <n v="1781"/>
    <n v="2"/>
    <n v="1"/>
  </r>
  <r>
    <m/>
    <m/>
    <x v="1"/>
    <s v="90466455001004"/>
    <n v="-73.819999999999993"/>
    <n v="2962"/>
    <n v="2"/>
    <n v="1"/>
  </r>
  <r>
    <m/>
    <m/>
    <x v="1"/>
    <s v="90593570008003"/>
    <n v="-44.54"/>
    <n v="1818"/>
    <n v="1"/>
    <n v="1"/>
  </r>
  <r>
    <m/>
    <m/>
    <x v="1"/>
    <s v="90642244003005"/>
    <n v="-54.17"/>
    <n v="2211"/>
    <n v="1"/>
    <n v="1"/>
  </r>
  <r>
    <m/>
    <m/>
    <x v="1"/>
    <s v="91266513001005"/>
    <n v="-23.69"/>
    <n v="967"/>
    <n v="1"/>
    <n v="1"/>
  </r>
  <r>
    <m/>
    <m/>
    <x v="1"/>
    <s v="91344047001008"/>
    <n v="-33.590000000000003"/>
    <n v="1371"/>
    <n v="1"/>
    <n v="1"/>
  </r>
  <r>
    <m/>
    <m/>
    <x v="1"/>
    <s v="91407065001007"/>
    <n v="-46.74"/>
    <n v="1824"/>
    <n v="2"/>
    <n v="1"/>
  </r>
  <r>
    <m/>
    <m/>
    <x v="1"/>
    <s v="91610458001002"/>
    <n v="-44.14"/>
    <n v="1785"/>
    <n v="2"/>
    <n v="1"/>
  </r>
  <r>
    <m/>
    <m/>
    <x v="1"/>
    <s v="91665901001001"/>
    <n v="-60.6"/>
    <n v="2375"/>
    <n v="2"/>
    <n v="1"/>
  </r>
  <r>
    <m/>
    <m/>
    <x v="1"/>
    <s v="91666691002003"/>
    <n v="-106.52"/>
    <n v="4175"/>
    <n v="2"/>
    <n v="1"/>
  </r>
  <r>
    <m/>
    <m/>
    <x v="1"/>
    <s v="91700255001001"/>
    <n v="-68.61"/>
    <n v="2736"/>
    <n v="2"/>
    <n v="1"/>
  </r>
  <r>
    <m/>
    <m/>
    <x v="1"/>
    <s v="91727388001001"/>
    <n v="-37.090000000000003"/>
    <n v="1514"/>
    <n v="1"/>
    <n v="1"/>
  </r>
  <r>
    <m/>
    <m/>
    <x v="1"/>
    <s v="92137278011001"/>
    <n v="-35.479999999999997"/>
    <n v="1448"/>
    <n v="1"/>
    <n v="1"/>
  </r>
  <r>
    <m/>
    <m/>
    <x v="1"/>
    <s v="92284333001003"/>
    <n v="-39.599999999999994"/>
    <n v="1588"/>
    <n v="2"/>
    <n v="1"/>
  </r>
  <r>
    <m/>
    <m/>
    <x v="1"/>
    <s v="92517163002004"/>
    <n v="-50.69"/>
    <n v="2033"/>
    <n v="2"/>
    <n v="1"/>
  </r>
  <r>
    <m/>
    <m/>
    <x v="1"/>
    <s v="92584422001001"/>
    <n v="-38.44"/>
    <n v="1569"/>
    <n v="1"/>
    <n v="1"/>
  </r>
  <r>
    <m/>
    <m/>
    <x v="1"/>
    <s v="92602233001001"/>
    <n v="-59.25"/>
    <n v="2281"/>
    <n v="2"/>
    <n v="1"/>
  </r>
  <r>
    <m/>
    <m/>
    <x v="1"/>
    <s v="93146187001002"/>
    <n v="-60.09"/>
    <n v="2403"/>
    <n v="2"/>
    <n v="1"/>
  </r>
  <r>
    <m/>
    <m/>
    <x v="1"/>
    <s v="93316698001001"/>
    <n v="-11.86"/>
    <n v="476"/>
    <n v="2"/>
    <n v="1"/>
  </r>
  <r>
    <m/>
    <m/>
    <x v="1"/>
    <s v="93387211001009"/>
    <n v="-51.57"/>
    <n v="2105"/>
    <n v="1"/>
    <n v="1"/>
  </r>
  <r>
    <m/>
    <m/>
    <x v="1"/>
    <s v="93499178002003"/>
    <n v="-9.9"/>
    <n v="404"/>
    <n v="1"/>
    <n v="1"/>
  </r>
  <r>
    <m/>
    <m/>
    <x v="1"/>
    <s v="93525219001001"/>
    <n v="-51.17"/>
    <n v="2025"/>
    <n v="2"/>
    <n v="1"/>
  </r>
  <r>
    <m/>
    <m/>
    <x v="1"/>
    <s v="94120500001002"/>
    <n v="-42.629999999999995"/>
    <n v="1641"/>
    <n v="2"/>
    <n v="1"/>
  </r>
  <r>
    <m/>
    <m/>
    <x v="1"/>
    <s v="94290441002001"/>
    <n v="-14.98"/>
    <n v="577"/>
    <n v="2"/>
    <n v="1"/>
  </r>
  <r>
    <m/>
    <m/>
    <x v="1"/>
    <s v="94513633001005"/>
    <n v="-44.78"/>
    <n v="1817"/>
    <n v="2"/>
    <n v="1"/>
  </r>
  <r>
    <m/>
    <m/>
    <x v="1"/>
    <s v="94624033001004"/>
    <n v="-0.36"/>
    <n v="14"/>
    <n v="2"/>
    <n v="1"/>
  </r>
  <r>
    <m/>
    <m/>
    <x v="1"/>
    <s v="94908251002001"/>
    <n v="-97.23"/>
    <n v="3811"/>
    <n v="2"/>
    <n v="1"/>
  </r>
  <r>
    <m/>
    <m/>
    <x v="1"/>
    <s v="94963671001001"/>
    <n v="-69.010000000000005"/>
    <n v="2678"/>
    <n v="2"/>
    <n v="1"/>
  </r>
  <r>
    <m/>
    <m/>
    <x v="1"/>
    <s v="95092911001001"/>
    <n v="-59.9"/>
    <n v="2445"/>
    <n v="1"/>
    <n v="1"/>
  </r>
  <r>
    <m/>
    <m/>
    <x v="1"/>
    <s v="95227952004001"/>
    <n v="-96.789999999999992"/>
    <n v="3928"/>
    <n v="2"/>
    <n v="1"/>
  </r>
  <r>
    <m/>
    <m/>
    <x v="1"/>
    <s v="95229231001002"/>
    <n v="-53.36"/>
    <n v="2134"/>
    <n v="2"/>
    <n v="1"/>
  </r>
  <r>
    <m/>
    <m/>
    <x v="1"/>
    <s v="95311280001001"/>
    <n v="-25.92"/>
    <n v="1058"/>
    <n v="1"/>
    <n v="1"/>
  </r>
  <r>
    <m/>
    <m/>
    <x v="1"/>
    <s v="95373261001005"/>
    <n v="-37.9"/>
    <n v="1547"/>
    <n v="1"/>
    <n v="1"/>
  </r>
  <r>
    <m/>
    <m/>
    <x v="1"/>
    <s v="95431402002004"/>
    <n v="-10.57"/>
    <n v="408"/>
    <n v="2"/>
    <n v="1"/>
  </r>
  <r>
    <m/>
    <m/>
    <x v="1"/>
    <s v="95448714001004"/>
    <n v="-1.63"/>
    <n v="65"/>
    <n v="2"/>
    <n v="1"/>
  </r>
  <r>
    <m/>
    <m/>
    <x v="1"/>
    <s v="95527245001004"/>
    <n v="-11.88"/>
    <n v="485"/>
    <n v="1"/>
    <n v="1"/>
  </r>
  <r>
    <m/>
    <m/>
    <x v="1"/>
    <s v="95972381001002"/>
    <n v="-55.61"/>
    <n v="2230"/>
    <n v="2"/>
    <n v="1"/>
  </r>
  <r>
    <m/>
    <m/>
    <x v="1"/>
    <s v="95974841004001"/>
    <n v="-24.38"/>
    <n v="995"/>
    <n v="1"/>
    <n v="1"/>
  </r>
  <r>
    <m/>
    <m/>
    <x v="1"/>
    <s v="96052911001001"/>
    <n v="-32.909999999999997"/>
    <n v="1277"/>
    <n v="2"/>
    <n v="1"/>
  </r>
  <r>
    <m/>
    <m/>
    <x v="1"/>
    <s v="96171891001007"/>
    <n v="-45.510000000000005"/>
    <n v="1752"/>
    <n v="2"/>
    <n v="1"/>
  </r>
  <r>
    <m/>
    <m/>
    <x v="1"/>
    <s v="96244044003001"/>
    <n v="-0.96"/>
    <n v="39"/>
    <n v="1"/>
    <n v="1"/>
  </r>
  <r>
    <m/>
    <m/>
    <x v="1"/>
    <s v="96258552001004"/>
    <n v="-8.44"/>
    <n v="334"/>
    <n v="2"/>
    <n v="1"/>
  </r>
  <r>
    <m/>
    <m/>
    <x v="1"/>
    <s v="96336668001003"/>
    <n v="-24.48"/>
    <n v="999"/>
    <n v="1"/>
    <n v="1"/>
  </r>
  <r>
    <m/>
    <m/>
    <x v="1"/>
    <s v="96369039001001"/>
    <n v="-60.22"/>
    <n v="2458"/>
    <n v="1"/>
    <n v="1"/>
  </r>
  <r>
    <m/>
    <m/>
    <x v="1"/>
    <s v="96989595001001"/>
    <n v="-49.67"/>
    <n v="1912"/>
    <n v="2"/>
    <n v="1"/>
  </r>
  <r>
    <m/>
    <m/>
    <x v="1"/>
    <s v="97019963001004"/>
    <n v="-41.87"/>
    <n v="1709"/>
    <n v="1"/>
    <n v="1"/>
  </r>
  <r>
    <m/>
    <m/>
    <x v="1"/>
    <s v="97033053001001"/>
    <n v="-26"/>
    <n v="1032"/>
    <n v="2"/>
    <n v="1"/>
  </r>
  <r>
    <m/>
    <m/>
    <x v="1"/>
    <s v="97149121001001"/>
    <n v="-0.25"/>
    <n v="10"/>
    <n v="1"/>
    <n v="1"/>
  </r>
  <r>
    <m/>
    <m/>
    <x v="1"/>
    <s v="97273784001001"/>
    <n v="-20.939999999999998"/>
    <n v="840"/>
    <n v="2"/>
    <n v="1"/>
  </r>
  <r>
    <m/>
    <m/>
    <x v="1"/>
    <s v="97345836001001"/>
    <n v="-31.8"/>
    <n v="1298"/>
    <n v="1"/>
    <n v="1"/>
  </r>
  <r>
    <m/>
    <m/>
    <x v="1"/>
    <s v="97402482001001"/>
    <n v="-47.92"/>
    <n v="1956"/>
    <n v="1"/>
    <n v="1"/>
  </r>
  <r>
    <m/>
    <m/>
    <x v="1"/>
    <s v="97517408001003"/>
    <n v="-12.81"/>
    <n v="523"/>
    <n v="1"/>
    <n v="1"/>
  </r>
  <r>
    <m/>
    <m/>
    <x v="1"/>
    <s v="97956025003003"/>
    <n v="-20.83"/>
    <n v="850"/>
    <n v="1"/>
    <n v="1"/>
  </r>
  <r>
    <m/>
    <m/>
    <x v="1"/>
    <s v="98015462001001"/>
    <n v="-46.13"/>
    <n v="1883"/>
    <n v="1"/>
    <n v="1"/>
  </r>
  <r>
    <m/>
    <m/>
    <x v="1"/>
    <s v="98110040001001"/>
    <n v="-35.56"/>
    <n v="1422"/>
    <n v="2"/>
    <n v="1"/>
  </r>
  <r>
    <m/>
    <m/>
    <x v="1"/>
    <s v="98185698003001"/>
    <n v="-76.02"/>
    <n v="3040"/>
    <n v="2"/>
    <n v="1"/>
  </r>
  <r>
    <m/>
    <m/>
    <x v="1"/>
    <s v="98198597001001"/>
    <n v="-9.6"/>
    <n v="385"/>
    <n v="2"/>
    <n v="1"/>
  </r>
  <r>
    <m/>
    <m/>
    <x v="1"/>
    <s v="98361540001003"/>
    <n v="-22.96"/>
    <n v="921"/>
    <n v="2"/>
    <n v="1"/>
  </r>
  <r>
    <m/>
    <m/>
    <x v="1"/>
    <s v="98859974001007"/>
    <n v="-22.49"/>
    <n v="918"/>
    <n v="1"/>
    <n v="1"/>
  </r>
  <r>
    <m/>
    <m/>
    <x v="1"/>
    <s v="99502106001001"/>
    <n v="-22.21"/>
    <n v="879"/>
    <n v="2"/>
    <n v="1"/>
  </r>
  <r>
    <m/>
    <m/>
    <x v="1"/>
    <s v="99547055001003"/>
    <n v="-37.659999999999997"/>
    <n v="1537"/>
    <n v="1"/>
    <n v="1"/>
  </r>
  <r>
    <m/>
    <m/>
    <x v="1"/>
    <s v="99605913001001"/>
    <n v="-9.8699999999999992"/>
    <n v="403"/>
    <n v="1"/>
    <n v="1"/>
  </r>
  <r>
    <m/>
    <m/>
    <x v="1"/>
    <s v="99609771001001"/>
    <n v="-44.3"/>
    <n v="1753"/>
    <n v="2"/>
    <n v="1"/>
  </r>
  <r>
    <m/>
    <m/>
    <x v="1"/>
    <s v="99689334001002"/>
    <n v="-31.53"/>
    <n v="1236"/>
    <n v="2"/>
    <n v="1"/>
  </r>
  <r>
    <m/>
    <m/>
    <x v="1"/>
    <s v="99831171002001"/>
    <n v="-100.50999999999999"/>
    <n v="4031"/>
    <n v="2"/>
    <n v="1"/>
  </r>
  <r>
    <m/>
    <m/>
    <x v="2"/>
    <m/>
    <n v="-42422.019999999939"/>
    <n v="1693142"/>
    <n v="1645"/>
    <n v="1015"/>
  </r>
  <r>
    <m/>
    <m/>
    <x v="3"/>
    <s v="00046637001001"/>
    <n v="-31.799999999999997"/>
    <n v="797"/>
    <n v="2"/>
    <n v="1"/>
  </r>
  <r>
    <m/>
    <m/>
    <x v="1"/>
    <s v="00251568001001"/>
    <n v="-42.480000000000004"/>
    <n v="1065"/>
    <n v="2"/>
    <n v="1"/>
  </r>
  <r>
    <m/>
    <m/>
    <x v="1"/>
    <s v="00416718001001"/>
    <n v="-100.61"/>
    <n v="2566"/>
    <n v="1"/>
    <n v="1"/>
  </r>
  <r>
    <m/>
    <m/>
    <x v="1"/>
    <s v="00438452001003"/>
    <n v="-1.02"/>
    <n v="26"/>
    <n v="1"/>
    <n v="1"/>
  </r>
  <r>
    <m/>
    <m/>
    <x v="1"/>
    <s v="00505142002001"/>
    <n v="-54.35"/>
    <n v="1386"/>
    <n v="1"/>
    <n v="1"/>
  </r>
  <r>
    <m/>
    <m/>
    <x v="1"/>
    <s v="00615047002001"/>
    <n v="-77.84"/>
    <n v="1945"/>
    <n v="2"/>
    <n v="1"/>
  </r>
  <r>
    <m/>
    <m/>
    <x v="1"/>
    <s v="00620929001002"/>
    <n v="-60.3"/>
    <n v="1538"/>
    <n v="1"/>
    <n v="1"/>
  </r>
  <r>
    <m/>
    <m/>
    <x v="1"/>
    <s v="00756296003001"/>
    <n v="-22.47"/>
    <n v="573"/>
    <n v="1"/>
    <n v="1"/>
  </r>
  <r>
    <m/>
    <m/>
    <x v="1"/>
    <s v="00785166001003"/>
    <n v="-19.579999999999998"/>
    <n v="489"/>
    <n v="2"/>
    <n v="1"/>
  </r>
  <r>
    <m/>
    <m/>
    <x v="1"/>
    <s v="00829036001001"/>
    <n v="-48.11"/>
    <n v="1227"/>
    <n v="1"/>
    <n v="1"/>
  </r>
  <r>
    <m/>
    <m/>
    <x v="1"/>
    <s v="01028343001005"/>
    <n v="-97.75"/>
    <n v="2358"/>
    <n v="2"/>
    <n v="1"/>
  </r>
  <r>
    <m/>
    <m/>
    <x v="1"/>
    <s v="01519525001005"/>
    <n v="-52.61"/>
    <n v="1301"/>
    <n v="2"/>
    <n v="1"/>
  </r>
  <r>
    <m/>
    <m/>
    <x v="1"/>
    <s v="01701580001001"/>
    <n v="-92.9"/>
    <n v="2297"/>
    <n v="2"/>
    <n v="1"/>
  </r>
  <r>
    <m/>
    <m/>
    <x v="1"/>
    <s v="01858972001001"/>
    <n v="-125.9"/>
    <n v="3202"/>
    <n v="2"/>
    <n v="1"/>
  </r>
  <r>
    <m/>
    <m/>
    <x v="1"/>
    <s v="01930076001001"/>
    <n v="-68.67"/>
    <n v="1716"/>
    <n v="2"/>
    <n v="1"/>
  </r>
  <r>
    <m/>
    <m/>
    <x v="1"/>
    <s v="02367690001003"/>
    <n v="-96.93"/>
    <n v="2472"/>
    <n v="1"/>
    <n v="1"/>
  </r>
  <r>
    <m/>
    <m/>
    <x v="1"/>
    <s v="02382323002001"/>
    <n v="-58.8"/>
    <n v="1465"/>
    <n v="2"/>
    <n v="1"/>
  </r>
  <r>
    <m/>
    <m/>
    <x v="1"/>
    <s v="02447419003012"/>
    <n v="-74"/>
    <n v="1785"/>
    <n v="2"/>
    <n v="1"/>
  </r>
  <r>
    <m/>
    <m/>
    <x v="1"/>
    <s v="02475445001006"/>
    <n v="-2.25"/>
    <n v="56"/>
    <n v="2"/>
    <n v="1"/>
  </r>
  <r>
    <m/>
    <m/>
    <x v="1"/>
    <s v="02495470002001"/>
    <n v="-36.11"/>
    <n v="921"/>
    <n v="1"/>
    <n v="1"/>
  </r>
  <r>
    <m/>
    <m/>
    <x v="1"/>
    <s v="02761318001001"/>
    <n v="-74.13"/>
    <n v="1833"/>
    <n v="2"/>
    <n v="1"/>
  </r>
  <r>
    <m/>
    <m/>
    <x v="1"/>
    <s v="02792185008003"/>
    <n v="-35.22"/>
    <n v="893"/>
    <n v="2"/>
    <n v="1"/>
  </r>
  <r>
    <m/>
    <m/>
    <x v="1"/>
    <s v="02848483001001"/>
    <n v="-27.29"/>
    <n v="696"/>
    <n v="1"/>
    <n v="1"/>
  </r>
  <r>
    <m/>
    <m/>
    <x v="1"/>
    <s v="02975140001002"/>
    <n v="-22.28"/>
    <n v="565"/>
    <n v="2"/>
    <n v="1"/>
  </r>
  <r>
    <m/>
    <m/>
    <x v="1"/>
    <s v="03018483004001"/>
    <n v="-112.18"/>
    <n v="2706"/>
    <n v="2"/>
    <n v="1"/>
  </r>
  <r>
    <m/>
    <m/>
    <x v="1"/>
    <s v="03276788001006"/>
    <n v="-62.46"/>
    <n v="1593"/>
    <n v="1"/>
    <n v="1"/>
  </r>
  <r>
    <m/>
    <m/>
    <x v="1"/>
    <s v="03303681001001"/>
    <n v="-59.13"/>
    <n v="1508"/>
    <n v="1"/>
    <n v="1"/>
  </r>
  <r>
    <m/>
    <m/>
    <x v="1"/>
    <s v="03425988001004"/>
    <n v="-38.07"/>
    <n v="935"/>
    <n v="2"/>
    <n v="1"/>
  </r>
  <r>
    <m/>
    <m/>
    <x v="1"/>
    <s v="03428866001003"/>
    <n v="-75.489999999999995"/>
    <n v="1881"/>
    <n v="2"/>
    <n v="1"/>
  </r>
  <r>
    <m/>
    <m/>
    <x v="1"/>
    <s v="03527986001008"/>
    <n v="-26.58"/>
    <n v="678"/>
    <n v="1"/>
    <n v="1"/>
  </r>
  <r>
    <m/>
    <m/>
    <x v="1"/>
    <s v="03678175001001"/>
    <n v="-21.21"/>
    <n v="541"/>
    <n v="1"/>
    <n v="1"/>
  </r>
  <r>
    <m/>
    <m/>
    <x v="1"/>
    <s v="04036291001005"/>
    <n v="-55.4"/>
    <n v="1413"/>
    <n v="1"/>
    <n v="1"/>
  </r>
  <r>
    <m/>
    <m/>
    <x v="1"/>
    <s v="04226765001005"/>
    <n v="-39.880000000000003"/>
    <n v="1017"/>
    <n v="1"/>
    <n v="1"/>
  </r>
  <r>
    <m/>
    <m/>
    <x v="1"/>
    <s v="04274208001003"/>
    <n v="-10.67"/>
    <n v="272"/>
    <n v="1"/>
    <n v="1"/>
  </r>
  <r>
    <m/>
    <m/>
    <x v="1"/>
    <s v="04365606001002"/>
    <n v="-133.36000000000001"/>
    <n v="3217"/>
    <n v="2"/>
    <n v="1"/>
  </r>
  <r>
    <m/>
    <m/>
    <x v="1"/>
    <s v="04707114001003"/>
    <n v="-133.69"/>
    <n v="3216"/>
    <n v="2"/>
    <n v="1"/>
  </r>
  <r>
    <m/>
    <m/>
    <x v="1"/>
    <s v="04758207001001"/>
    <n v="-80.56"/>
    <n v="1938"/>
    <n v="2"/>
    <n v="1"/>
  </r>
  <r>
    <m/>
    <m/>
    <x v="1"/>
    <s v="04759970003001"/>
    <n v="-48.78"/>
    <n v="1183"/>
    <n v="2"/>
    <n v="1"/>
  </r>
  <r>
    <m/>
    <m/>
    <x v="1"/>
    <s v="04813613001001"/>
    <n v="-128.74"/>
    <n v="3274"/>
    <n v="2"/>
    <n v="1"/>
  </r>
  <r>
    <m/>
    <m/>
    <x v="1"/>
    <s v="05077769001001"/>
    <n v="-42.3"/>
    <n v="1076"/>
    <n v="2"/>
    <n v="1"/>
  </r>
  <r>
    <m/>
    <m/>
    <x v="1"/>
    <s v="05185052001001"/>
    <n v="-16.940000000000001"/>
    <n v="432"/>
    <n v="1"/>
    <n v="1"/>
  </r>
  <r>
    <m/>
    <m/>
    <x v="1"/>
    <s v="05266292001004"/>
    <n v="-67.63"/>
    <n v="1685"/>
    <n v="2"/>
    <n v="1"/>
  </r>
  <r>
    <m/>
    <m/>
    <x v="1"/>
    <s v="05323562003001"/>
    <n v="-97.08"/>
    <n v="2354"/>
    <n v="2"/>
    <n v="1"/>
  </r>
  <r>
    <m/>
    <m/>
    <x v="1"/>
    <s v="05608094001001"/>
    <n v="-33.92"/>
    <n v="850"/>
    <n v="2"/>
    <n v="1"/>
  </r>
  <r>
    <m/>
    <m/>
    <x v="1"/>
    <s v="05767750001001"/>
    <n v="-83.95"/>
    <n v="2141"/>
    <n v="1"/>
    <n v="1"/>
  </r>
  <r>
    <m/>
    <m/>
    <x v="1"/>
    <s v="05803986001003"/>
    <n v="-41.2"/>
    <n v="1002"/>
    <n v="2"/>
    <n v="1"/>
  </r>
  <r>
    <m/>
    <m/>
    <x v="1"/>
    <s v="05876891001003"/>
    <n v="-4.17"/>
    <n v="104"/>
    <n v="2"/>
    <n v="1"/>
  </r>
  <r>
    <m/>
    <m/>
    <x v="1"/>
    <s v="06064406001001"/>
    <n v="-55.52"/>
    <n v="1416"/>
    <n v="1"/>
    <n v="1"/>
  </r>
  <r>
    <m/>
    <m/>
    <x v="1"/>
    <s v="06381309001002"/>
    <n v="-72.540000000000006"/>
    <n v="1850"/>
    <n v="1"/>
    <n v="1"/>
  </r>
  <r>
    <m/>
    <m/>
    <x v="1"/>
    <s v="06797994002001"/>
    <n v="-18.809999999999999"/>
    <n v="477"/>
    <n v="2"/>
    <n v="1"/>
  </r>
  <r>
    <m/>
    <m/>
    <x v="1"/>
    <s v="06815394001001"/>
    <n v="-28.2"/>
    <n v="707"/>
    <n v="2"/>
    <n v="1"/>
  </r>
  <r>
    <m/>
    <m/>
    <x v="1"/>
    <s v="06870862001003"/>
    <n v="-28.51"/>
    <n v="723"/>
    <n v="2"/>
    <n v="1"/>
  </r>
  <r>
    <m/>
    <m/>
    <x v="1"/>
    <s v="07188065003001"/>
    <n v="-35.590000000000003"/>
    <n v="880"/>
    <n v="2"/>
    <n v="1"/>
  </r>
  <r>
    <m/>
    <m/>
    <x v="1"/>
    <s v="07561969008001"/>
    <n v="-165.83"/>
    <n v="4217"/>
    <n v="2"/>
    <n v="1"/>
  </r>
  <r>
    <m/>
    <m/>
    <x v="1"/>
    <s v="07573474001004"/>
    <n v="-23.43"/>
    <n v="592"/>
    <n v="2"/>
    <n v="1"/>
  </r>
  <r>
    <m/>
    <m/>
    <x v="1"/>
    <s v="07775926001003"/>
    <n v="-57.91"/>
    <n v="1477"/>
    <n v="1"/>
    <n v="1"/>
  </r>
  <r>
    <m/>
    <m/>
    <x v="1"/>
    <s v="08067240001001"/>
    <n v="-14.9"/>
    <n v="380"/>
    <n v="1"/>
    <n v="1"/>
  </r>
  <r>
    <m/>
    <m/>
    <x v="1"/>
    <s v="08178543001001"/>
    <n v="-86.22"/>
    <n v="2199"/>
    <n v="1"/>
    <n v="1"/>
  </r>
  <r>
    <m/>
    <m/>
    <x v="1"/>
    <s v="08233163001005"/>
    <n v="-148.52000000000001"/>
    <n v="3573"/>
    <n v="2"/>
    <n v="1"/>
  </r>
  <r>
    <m/>
    <m/>
    <x v="1"/>
    <s v="08355466001007"/>
    <n v="-152.25"/>
    <n v="3692"/>
    <n v="2"/>
    <n v="1"/>
  </r>
  <r>
    <m/>
    <m/>
    <x v="1"/>
    <s v="08360608001002"/>
    <n v="-52.11"/>
    <n v="1329"/>
    <n v="1"/>
    <n v="1"/>
  </r>
  <r>
    <m/>
    <m/>
    <x v="1"/>
    <s v="08544021001001"/>
    <n v="-79.16"/>
    <n v="1978"/>
    <n v="2"/>
    <n v="1"/>
  </r>
  <r>
    <m/>
    <m/>
    <x v="1"/>
    <s v="08685884001001"/>
    <n v="-31.84"/>
    <n v="812"/>
    <n v="1"/>
    <n v="1"/>
  </r>
  <r>
    <m/>
    <m/>
    <x v="1"/>
    <s v="08688999005001"/>
    <n v="-16.55"/>
    <n v="422"/>
    <n v="1"/>
    <n v="1"/>
  </r>
  <r>
    <m/>
    <m/>
    <x v="1"/>
    <s v="08765056001005"/>
    <n v="-54.069999999999993"/>
    <n v="1355"/>
    <n v="2"/>
    <n v="1"/>
  </r>
  <r>
    <m/>
    <m/>
    <x v="1"/>
    <s v="08897151001004"/>
    <n v="-107.4"/>
    <n v="2739"/>
    <n v="1"/>
    <n v="1"/>
  </r>
  <r>
    <m/>
    <m/>
    <x v="1"/>
    <s v="08951802001002"/>
    <n v="-115.06"/>
    <n v="2875"/>
    <n v="2"/>
    <n v="1"/>
  </r>
  <r>
    <m/>
    <m/>
    <x v="1"/>
    <s v="08985850001001"/>
    <n v="-35.56"/>
    <n v="907"/>
    <n v="1"/>
    <n v="1"/>
  </r>
  <r>
    <m/>
    <m/>
    <x v="1"/>
    <s v="08994743001001"/>
    <n v="-61.6"/>
    <n v="1571"/>
    <n v="1"/>
    <n v="1"/>
  </r>
  <r>
    <m/>
    <m/>
    <x v="1"/>
    <s v="09032815001002"/>
    <n v="-117.44999999999999"/>
    <n v="2848"/>
    <n v="2"/>
    <n v="1"/>
  </r>
  <r>
    <m/>
    <m/>
    <x v="1"/>
    <s v="09089643001002"/>
    <n v="-62.69"/>
    <n v="1550"/>
    <n v="2"/>
    <n v="1"/>
  </r>
  <r>
    <m/>
    <m/>
    <x v="1"/>
    <s v="09159151001002"/>
    <n v="-77.989999999999995"/>
    <n v="1989"/>
    <n v="1"/>
    <n v="1"/>
  </r>
  <r>
    <m/>
    <m/>
    <x v="1"/>
    <s v="09353338001001"/>
    <n v="-68.91"/>
    <n v="1717"/>
    <n v="2"/>
    <n v="1"/>
  </r>
  <r>
    <m/>
    <m/>
    <x v="1"/>
    <s v="09433245001005"/>
    <n v="-43.51"/>
    <n v="1076"/>
    <n v="2"/>
    <n v="1"/>
  </r>
  <r>
    <m/>
    <m/>
    <x v="1"/>
    <s v="09510965001001"/>
    <n v="-115.55000000000001"/>
    <n v="2802"/>
    <n v="2"/>
    <n v="1"/>
  </r>
  <r>
    <m/>
    <m/>
    <x v="1"/>
    <s v="09777774001001"/>
    <n v="-87.11"/>
    <n v="2183"/>
    <n v="2"/>
    <n v="1"/>
  </r>
  <r>
    <m/>
    <m/>
    <x v="1"/>
    <s v="09951231001001"/>
    <n v="-69.41"/>
    <n v="1683"/>
    <n v="2"/>
    <n v="1"/>
  </r>
  <r>
    <m/>
    <m/>
    <x v="1"/>
    <s v="09982049002001"/>
    <n v="-38.54"/>
    <n v="983"/>
    <n v="1"/>
    <n v="1"/>
  </r>
  <r>
    <m/>
    <m/>
    <x v="1"/>
    <s v="10301176001001"/>
    <n v="-15.68"/>
    <n v="400"/>
    <n v="1"/>
    <n v="1"/>
  </r>
  <r>
    <m/>
    <m/>
    <x v="1"/>
    <s v="10427012001001"/>
    <n v="-72.75"/>
    <n v="1823"/>
    <n v="2"/>
    <n v="1"/>
  </r>
  <r>
    <m/>
    <m/>
    <x v="1"/>
    <s v="10486266001001"/>
    <n v="-81.790000000000006"/>
    <n v="2086"/>
    <n v="1"/>
    <n v="1"/>
  </r>
  <r>
    <m/>
    <m/>
    <x v="1"/>
    <s v="10650049001003"/>
    <n v="-18.739999999999998"/>
    <n v="478"/>
    <n v="1"/>
    <n v="1"/>
  </r>
  <r>
    <m/>
    <m/>
    <x v="1"/>
    <s v="10769950001001"/>
    <n v="-56.45"/>
    <n v="1369"/>
    <n v="2"/>
    <n v="1"/>
  </r>
  <r>
    <m/>
    <m/>
    <x v="1"/>
    <s v="10942986001001"/>
    <n v="-7.5"/>
    <n v="181"/>
    <n v="2"/>
    <n v="1"/>
  </r>
  <r>
    <m/>
    <m/>
    <x v="1"/>
    <s v="10998604001001"/>
    <n v="-5.34"/>
    <n v="133"/>
    <n v="2"/>
    <n v="1"/>
  </r>
  <r>
    <m/>
    <m/>
    <x v="1"/>
    <s v="11073517001005"/>
    <n v="-55.29"/>
    <n v="1410"/>
    <n v="1"/>
    <n v="1"/>
  </r>
  <r>
    <m/>
    <m/>
    <x v="1"/>
    <s v="11146195001002"/>
    <n v="-3.55"/>
    <n v="90"/>
    <n v="2"/>
    <n v="1"/>
  </r>
  <r>
    <m/>
    <m/>
    <x v="1"/>
    <s v="11181273001011"/>
    <n v="-91.75"/>
    <n v="2213"/>
    <n v="2"/>
    <n v="1"/>
  </r>
  <r>
    <m/>
    <m/>
    <x v="1"/>
    <s v="11284469001003"/>
    <n v="-81.690000000000012"/>
    <n v="2047"/>
    <n v="2"/>
    <n v="1"/>
  </r>
  <r>
    <m/>
    <m/>
    <x v="1"/>
    <s v="11380184001001"/>
    <n v="-12.94"/>
    <n v="330"/>
    <n v="1"/>
    <n v="1"/>
  </r>
  <r>
    <m/>
    <m/>
    <x v="1"/>
    <s v="11457839001001"/>
    <n v="-3.59"/>
    <n v="91"/>
    <n v="2"/>
    <n v="1"/>
  </r>
  <r>
    <m/>
    <m/>
    <x v="1"/>
    <s v="11498623002001"/>
    <n v="-146.22"/>
    <n v="3643"/>
    <n v="2"/>
    <n v="1"/>
  </r>
  <r>
    <m/>
    <m/>
    <x v="1"/>
    <s v="11502718002001"/>
    <n v="-79.83"/>
    <n v="2036"/>
    <n v="1"/>
    <n v="1"/>
  </r>
  <r>
    <m/>
    <m/>
    <x v="1"/>
    <s v="11542110001001"/>
    <n v="-23.61"/>
    <n v="590"/>
    <n v="2"/>
    <n v="1"/>
  </r>
  <r>
    <m/>
    <m/>
    <x v="1"/>
    <s v="11558237001001"/>
    <n v="-122.09"/>
    <n v="3019"/>
    <n v="2"/>
    <n v="1"/>
  </r>
  <r>
    <m/>
    <m/>
    <x v="1"/>
    <s v="11647392001003"/>
    <n v="-9.4499999999999993"/>
    <n v="241"/>
    <n v="1"/>
    <n v="1"/>
  </r>
  <r>
    <m/>
    <m/>
    <x v="1"/>
    <s v="11762846001001"/>
    <n v="-51.17"/>
    <n v="1305"/>
    <n v="1"/>
    <n v="1"/>
  </r>
  <r>
    <m/>
    <m/>
    <x v="1"/>
    <s v="11787709001001"/>
    <n v="-81.319999999999993"/>
    <n v="2074"/>
    <n v="1"/>
    <n v="1"/>
  </r>
  <r>
    <m/>
    <m/>
    <x v="1"/>
    <s v="11913025001002"/>
    <n v="-129.65"/>
    <n v="3206"/>
    <n v="2"/>
    <n v="1"/>
  </r>
  <r>
    <m/>
    <m/>
    <x v="1"/>
    <s v="11918881001001"/>
    <n v="-31.33"/>
    <n v="799"/>
    <n v="1"/>
    <n v="1"/>
  </r>
  <r>
    <m/>
    <m/>
    <x v="1"/>
    <s v="11968828001003"/>
    <n v="-54.83"/>
    <n v="1370"/>
    <n v="2"/>
    <n v="1"/>
  </r>
  <r>
    <m/>
    <m/>
    <x v="1"/>
    <s v="12157971001001"/>
    <n v="-29.33"/>
    <n v="748"/>
    <n v="1"/>
    <n v="1"/>
  </r>
  <r>
    <m/>
    <m/>
    <x v="1"/>
    <s v="12190639001002"/>
    <n v="-70.320000000000007"/>
    <n v="1757"/>
    <n v="2"/>
    <n v="1"/>
  </r>
  <r>
    <m/>
    <m/>
    <x v="1"/>
    <s v="12591289001004"/>
    <n v="-73.25"/>
    <n v="1825"/>
    <n v="2"/>
    <n v="1"/>
  </r>
  <r>
    <m/>
    <m/>
    <x v="1"/>
    <s v="12818134001004"/>
    <n v="-88.44"/>
    <n v="2249"/>
    <n v="2"/>
    <n v="1"/>
  </r>
  <r>
    <m/>
    <m/>
    <x v="1"/>
    <s v="12990985004003"/>
    <n v="-23.53"/>
    <n v="600"/>
    <n v="1"/>
    <n v="1"/>
  </r>
  <r>
    <m/>
    <m/>
    <x v="1"/>
    <s v="13033808001005"/>
    <n v="-18.079999999999998"/>
    <n v="461"/>
    <n v="1"/>
    <n v="1"/>
  </r>
  <r>
    <m/>
    <m/>
    <x v="1"/>
    <s v="13064786005010"/>
    <n v="-19.91"/>
    <n v="503"/>
    <n v="2"/>
    <n v="1"/>
  </r>
  <r>
    <m/>
    <m/>
    <x v="1"/>
    <s v="13074980001004"/>
    <n v="-22.21"/>
    <n v="555"/>
    <n v="2"/>
    <n v="1"/>
  </r>
  <r>
    <m/>
    <m/>
    <x v="1"/>
    <s v="13203269001001"/>
    <n v="-97.86"/>
    <n v="2420"/>
    <n v="2"/>
    <n v="1"/>
  </r>
  <r>
    <m/>
    <m/>
    <x v="1"/>
    <s v="13255124001001"/>
    <n v="-102.59"/>
    <n v="2556"/>
    <n v="2"/>
    <n v="1"/>
  </r>
  <r>
    <m/>
    <m/>
    <x v="1"/>
    <s v="13653453001001"/>
    <n v="-104.38"/>
    <n v="2608"/>
    <n v="2"/>
    <n v="1"/>
  </r>
  <r>
    <m/>
    <m/>
    <x v="1"/>
    <s v="13673984006001"/>
    <n v="-128.99"/>
    <n v="3103"/>
    <n v="2"/>
    <n v="1"/>
  </r>
  <r>
    <m/>
    <m/>
    <x v="1"/>
    <s v="13682962001007"/>
    <n v="-73.86"/>
    <n v="1809"/>
    <n v="2"/>
    <n v="1"/>
  </r>
  <r>
    <m/>
    <m/>
    <x v="1"/>
    <s v="13794916004003"/>
    <n v="-108.02"/>
    <n v="2699"/>
    <n v="2"/>
    <n v="1"/>
  </r>
  <r>
    <m/>
    <m/>
    <x v="1"/>
    <s v="14250991001001"/>
    <n v="-82.93"/>
    <n v="2109"/>
    <n v="2"/>
    <n v="1"/>
  </r>
  <r>
    <m/>
    <m/>
    <x v="1"/>
    <s v="14550816001001"/>
    <n v="-34.58"/>
    <n v="882"/>
    <n v="1"/>
    <n v="1"/>
  </r>
  <r>
    <m/>
    <m/>
    <x v="1"/>
    <s v="14612915001001"/>
    <n v="-64.97"/>
    <n v="1657"/>
    <n v="1"/>
    <n v="1"/>
  </r>
  <r>
    <m/>
    <m/>
    <x v="1"/>
    <s v="14884998001013"/>
    <n v="-70.87"/>
    <n v="1705"/>
    <n v="2"/>
    <n v="1"/>
  </r>
  <r>
    <m/>
    <m/>
    <x v="1"/>
    <s v="14969179001001"/>
    <n v="-6.27"/>
    <n v="160"/>
    <n v="1"/>
    <n v="1"/>
  </r>
  <r>
    <m/>
    <m/>
    <x v="1"/>
    <s v="14986800001003"/>
    <n v="-81.56"/>
    <n v="2080"/>
    <n v="1"/>
    <n v="1"/>
  </r>
  <r>
    <m/>
    <m/>
    <x v="1"/>
    <s v="15120810001001"/>
    <n v="-24.27"/>
    <n v="608"/>
    <n v="2"/>
    <n v="1"/>
  </r>
  <r>
    <m/>
    <m/>
    <x v="1"/>
    <s v="15197163001001"/>
    <n v="-77.490000000000009"/>
    <n v="1864"/>
    <n v="2"/>
    <n v="1"/>
  </r>
  <r>
    <m/>
    <m/>
    <x v="1"/>
    <s v="15210168001005"/>
    <n v="-114.52"/>
    <n v="2904"/>
    <n v="2"/>
    <n v="1"/>
  </r>
  <r>
    <m/>
    <m/>
    <x v="1"/>
    <s v="15429562002003"/>
    <n v="-96.85"/>
    <n v="2456"/>
    <n v="2"/>
    <n v="1"/>
  </r>
  <r>
    <m/>
    <m/>
    <x v="1"/>
    <s v="15475885001003"/>
    <n v="-76.91"/>
    <n v="1865"/>
    <n v="2"/>
    <n v="1"/>
  </r>
  <r>
    <m/>
    <m/>
    <x v="1"/>
    <s v="15522534001001"/>
    <n v="-29.92"/>
    <n v="763"/>
    <n v="1"/>
    <n v="1"/>
  </r>
  <r>
    <m/>
    <m/>
    <x v="1"/>
    <s v="15572981001001"/>
    <n v="-37.049999999999997"/>
    <n v="945"/>
    <n v="1"/>
    <n v="1"/>
  </r>
  <r>
    <m/>
    <m/>
    <x v="1"/>
    <s v="15908780001005"/>
    <n v="-64.7"/>
    <n v="1650"/>
    <n v="1"/>
    <n v="1"/>
  </r>
  <r>
    <m/>
    <m/>
    <x v="1"/>
    <s v="15964327001009"/>
    <n v="-44.519999999999996"/>
    <n v="1071"/>
    <n v="2"/>
    <n v="1"/>
  </r>
  <r>
    <m/>
    <m/>
    <x v="1"/>
    <s v="16141513003001"/>
    <n v="-42.58"/>
    <n v="1086"/>
    <n v="1"/>
    <n v="1"/>
  </r>
  <r>
    <m/>
    <m/>
    <x v="1"/>
    <s v="16212832003001"/>
    <n v="-101.34"/>
    <n v="2489"/>
    <n v="2"/>
    <n v="1"/>
  </r>
  <r>
    <m/>
    <m/>
    <x v="1"/>
    <s v="16268790001003"/>
    <n v="-104.3"/>
    <n v="2516"/>
    <n v="2"/>
    <n v="1"/>
  </r>
  <r>
    <m/>
    <m/>
    <x v="1"/>
    <s v="16343113001003"/>
    <n v="-71.399999999999991"/>
    <n v="1790"/>
    <n v="2"/>
    <n v="1"/>
  </r>
  <r>
    <m/>
    <m/>
    <x v="1"/>
    <s v="16414586003001"/>
    <n v="-77.03"/>
    <n v="1853"/>
    <n v="2"/>
    <n v="1"/>
  </r>
  <r>
    <m/>
    <m/>
    <x v="1"/>
    <s v="16474562001006"/>
    <n v="-54.629999999999995"/>
    <n v="1361"/>
    <n v="2"/>
    <n v="1"/>
  </r>
  <r>
    <m/>
    <m/>
    <x v="1"/>
    <s v="16483184001001"/>
    <n v="-18.190000000000001"/>
    <n v="464"/>
    <n v="1"/>
    <n v="1"/>
  </r>
  <r>
    <m/>
    <m/>
    <x v="1"/>
    <s v="16578645001005"/>
    <n v="-82.960000000000008"/>
    <n v="2001"/>
    <n v="2"/>
    <n v="1"/>
  </r>
  <r>
    <m/>
    <m/>
    <x v="1"/>
    <s v="16614801002003"/>
    <n v="-143.22999999999999"/>
    <n v="3579"/>
    <n v="2"/>
    <n v="1"/>
  </r>
  <r>
    <m/>
    <m/>
    <x v="1"/>
    <s v="16709268001002"/>
    <n v="-47.33"/>
    <n v="1207"/>
    <n v="1"/>
    <n v="1"/>
  </r>
  <r>
    <m/>
    <m/>
    <x v="1"/>
    <s v="17120760002004"/>
    <n v="-56.18"/>
    <n v="1389"/>
    <n v="2"/>
    <n v="1"/>
  </r>
  <r>
    <m/>
    <m/>
    <x v="1"/>
    <s v="17143195002001"/>
    <n v="-155.76"/>
    <n v="3815"/>
    <n v="2"/>
    <n v="1"/>
  </r>
  <r>
    <m/>
    <m/>
    <x v="1"/>
    <s v="17146839001001"/>
    <n v="-47.17"/>
    <n v="1203"/>
    <n v="1"/>
    <n v="1"/>
  </r>
  <r>
    <m/>
    <m/>
    <x v="1"/>
    <s v="17156447001001"/>
    <n v="-60.18"/>
    <n v="1474"/>
    <n v="2"/>
    <n v="1"/>
  </r>
  <r>
    <m/>
    <m/>
    <x v="1"/>
    <s v="17226786001001"/>
    <n v="-61.07"/>
    <n v="1469"/>
    <n v="2"/>
    <n v="1"/>
  </r>
  <r>
    <m/>
    <m/>
    <x v="1"/>
    <s v="17356524001001"/>
    <n v="-37.349999999999994"/>
    <n v="947"/>
    <n v="2"/>
    <n v="1"/>
  </r>
  <r>
    <m/>
    <m/>
    <x v="1"/>
    <s v="17479759004002"/>
    <n v="-109.51"/>
    <n v="2793"/>
    <n v="1"/>
    <n v="1"/>
  </r>
  <r>
    <m/>
    <m/>
    <x v="1"/>
    <s v="17540542001001"/>
    <n v="-152.75"/>
    <n v="3725"/>
    <n v="2"/>
    <n v="1"/>
  </r>
  <r>
    <m/>
    <m/>
    <x v="1"/>
    <s v="17724609001006"/>
    <n v="-71.05"/>
    <n v="1812"/>
    <n v="1"/>
    <n v="1"/>
  </r>
  <r>
    <m/>
    <m/>
    <x v="1"/>
    <s v="17773522002001"/>
    <n v="-79.44"/>
    <n v="2026"/>
    <n v="1"/>
    <n v="1"/>
  </r>
  <r>
    <m/>
    <m/>
    <x v="1"/>
    <s v="17939361003001"/>
    <n v="-9.06"/>
    <n v="231"/>
    <n v="1"/>
    <n v="1"/>
  </r>
  <r>
    <m/>
    <m/>
    <x v="1"/>
    <s v="18046704001003"/>
    <n v="-16.57"/>
    <n v="420"/>
    <n v="2"/>
    <n v="1"/>
  </r>
  <r>
    <m/>
    <m/>
    <x v="1"/>
    <s v="18165027004001"/>
    <n v="-44.7"/>
    <n v="1140"/>
    <n v="1"/>
    <n v="1"/>
  </r>
  <r>
    <m/>
    <m/>
    <x v="1"/>
    <s v="18510970001001"/>
    <n v="-76.680000000000007"/>
    <n v="1916"/>
    <n v="2"/>
    <n v="1"/>
  </r>
  <r>
    <m/>
    <m/>
    <x v="1"/>
    <s v="18557213001004"/>
    <n v="-66.210000000000008"/>
    <n v="1660"/>
    <n v="2"/>
    <n v="1"/>
  </r>
  <r>
    <m/>
    <m/>
    <x v="1"/>
    <s v="18634519001001"/>
    <n v="-77.14"/>
    <n v="1956"/>
    <n v="2"/>
    <n v="1"/>
  </r>
  <r>
    <m/>
    <m/>
    <x v="1"/>
    <s v="18686065001001"/>
    <n v="-126.86"/>
    <n v="3137"/>
    <n v="2"/>
    <n v="1"/>
  </r>
  <r>
    <m/>
    <m/>
    <x v="1"/>
    <s v="18802755001007"/>
    <n v="-36.58"/>
    <n v="933"/>
    <n v="1"/>
    <n v="1"/>
  </r>
  <r>
    <m/>
    <m/>
    <x v="1"/>
    <s v="18996093002001"/>
    <n v="-130.16999999999999"/>
    <n v="3289"/>
    <n v="2"/>
    <n v="1"/>
  </r>
  <r>
    <m/>
    <m/>
    <x v="1"/>
    <s v="19009803001003"/>
    <n v="-46.010000000000005"/>
    <n v="1130"/>
    <n v="2"/>
    <n v="1"/>
  </r>
  <r>
    <m/>
    <m/>
    <x v="1"/>
    <s v="19283696002001"/>
    <n v="-77.650000000000006"/>
    <n v="1920"/>
    <n v="2"/>
    <n v="1"/>
  </r>
  <r>
    <m/>
    <m/>
    <x v="1"/>
    <s v="19345185001001"/>
    <n v="-145.94999999999999"/>
    <n v="3511"/>
    <n v="2"/>
    <n v="1"/>
  </r>
  <r>
    <m/>
    <m/>
    <x v="1"/>
    <s v="19672904001001"/>
    <n v="-109.28"/>
    <n v="2787"/>
    <n v="1"/>
    <n v="1"/>
  </r>
  <r>
    <m/>
    <m/>
    <x v="1"/>
    <s v="19748155001005"/>
    <n v="-75.36"/>
    <n v="1883"/>
    <n v="2"/>
    <n v="1"/>
  </r>
  <r>
    <m/>
    <m/>
    <x v="1"/>
    <s v="19857581001001"/>
    <n v="-45.44"/>
    <n v="1159"/>
    <n v="1"/>
    <n v="1"/>
  </r>
  <r>
    <m/>
    <m/>
    <x v="1"/>
    <s v="19922627001001"/>
    <n v="-183.41"/>
    <n v="4495"/>
    <n v="3"/>
    <n v="1"/>
  </r>
  <r>
    <m/>
    <m/>
    <x v="1"/>
    <s v="20021948002001"/>
    <n v="-100.19"/>
    <n v="2496"/>
    <n v="2"/>
    <n v="1"/>
  </r>
  <r>
    <m/>
    <m/>
    <x v="1"/>
    <s v="20135004001001"/>
    <n v="-27.93"/>
    <n v="681"/>
    <n v="2"/>
    <n v="1"/>
  </r>
  <r>
    <m/>
    <m/>
    <x v="1"/>
    <s v="20242520001001"/>
    <n v="-11.17"/>
    <n v="285"/>
    <n v="1"/>
    <n v="1"/>
  </r>
  <r>
    <m/>
    <m/>
    <x v="1"/>
    <s v="20373554001003"/>
    <n v="-94.36"/>
    <n v="2366"/>
    <n v="2"/>
    <n v="1"/>
  </r>
  <r>
    <m/>
    <m/>
    <x v="1"/>
    <s v="20563492001001"/>
    <n v="-45.84"/>
    <n v="1169"/>
    <n v="1"/>
    <n v="1"/>
  </r>
  <r>
    <m/>
    <m/>
    <x v="1"/>
    <s v="20635148001001"/>
    <n v="-48.23"/>
    <n v="1230"/>
    <n v="1"/>
    <n v="1"/>
  </r>
  <r>
    <m/>
    <m/>
    <x v="1"/>
    <s v="20643460001006"/>
    <n v="-97.399999999999991"/>
    <n v="2461"/>
    <n v="2"/>
    <n v="1"/>
  </r>
  <r>
    <m/>
    <m/>
    <x v="1"/>
    <s v="20683934001002"/>
    <n v="-136.48000000000002"/>
    <n v="3292"/>
    <n v="2"/>
    <n v="1"/>
  </r>
  <r>
    <m/>
    <m/>
    <x v="1"/>
    <s v="20806802001001"/>
    <n v="-79.790000000000006"/>
    <n v="1973"/>
    <n v="2"/>
    <n v="1"/>
  </r>
  <r>
    <m/>
    <m/>
    <x v="1"/>
    <s v="20890010002001"/>
    <n v="-59.91"/>
    <n v="1528"/>
    <n v="1"/>
    <n v="1"/>
  </r>
  <r>
    <m/>
    <m/>
    <x v="1"/>
    <s v="21033205001006"/>
    <n v="-44.74"/>
    <n v="1141"/>
    <n v="1"/>
    <n v="1"/>
  </r>
  <r>
    <m/>
    <m/>
    <x v="1"/>
    <s v="21046205001001"/>
    <n v="-21.1"/>
    <n v="517"/>
    <n v="2"/>
    <n v="1"/>
  </r>
  <r>
    <m/>
    <m/>
    <x v="1"/>
    <s v="21219326001001"/>
    <n v="-85.71"/>
    <n v="2186"/>
    <n v="1"/>
    <n v="1"/>
  </r>
  <r>
    <m/>
    <m/>
    <x v="1"/>
    <s v="21429755001006"/>
    <n v="-18.62"/>
    <n v="475"/>
    <n v="1"/>
    <n v="1"/>
  </r>
  <r>
    <m/>
    <m/>
    <x v="1"/>
    <s v="21995120001004"/>
    <n v="-51.790000000000006"/>
    <n v="1263"/>
    <n v="2"/>
    <n v="1"/>
  </r>
  <r>
    <m/>
    <m/>
    <x v="1"/>
    <s v="22050356001004"/>
    <n v="-12.309999999999999"/>
    <n v="311"/>
    <n v="2"/>
    <n v="1"/>
  </r>
  <r>
    <m/>
    <m/>
    <x v="1"/>
    <s v="22154055001001"/>
    <n v="-88.66"/>
    <n v="2209"/>
    <n v="2"/>
    <n v="1"/>
  </r>
  <r>
    <m/>
    <m/>
    <x v="1"/>
    <s v="22305793001002"/>
    <n v="-123.75"/>
    <n v="2985"/>
    <n v="2"/>
    <n v="1"/>
  </r>
  <r>
    <m/>
    <m/>
    <x v="1"/>
    <s v="22368801002001"/>
    <n v="-143.71"/>
    <n v="3631"/>
    <n v="2"/>
    <n v="1"/>
  </r>
  <r>
    <m/>
    <m/>
    <x v="1"/>
    <s v="22380133001001"/>
    <n v="-70.97"/>
    <n v="1810"/>
    <n v="1"/>
    <n v="1"/>
  </r>
  <r>
    <m/>
    <m/>
    <x v="1"/>
    <s v="22617306001001"/>
    <n v="-62.27"/>
    <n v="1579"/>
    <n v="2"/>
    <n v="1"/>
  </r>
  <r>
    <m/>
    <m/>
    <x v="1"/>
    <s v="22675655001001"/>
    <n v="-65.510000000000005"/>
    <n v="1582"/>
    <n v="2"/>
    <n v="1"/>
  </r>
  <r>
    <m/>
    <m/>
    <x v="1"/>
    <s v="22703910001001"/>
    <n v="-18.190000000000001"/>
    <n v="464"/>
    <n v="1"/>
    <n v="1"/>
  </r>
  <r>
    <m/>
    <m/>
    <x v="1"/>
    <s v="22784555001001"/>
    <n v="-39.92"/>
    <n v="1018"/>
    <n v="1"/>
    <n v="1"/>
  </r>
  <r>
    <m/>
    <m/>
    <x v="1"/>
    <s v="23045379001003"/>
    <n v="-59.769999999999996"/>
    <n v="1478"/>
    <n v="2"/>
    <n v="1"/>
  </r>
  <r>
    <m/>
    <m/>
    <x v="1"/>
    <s v="23227062001002"/>
    <n v="-41.67"/>
    <n v="1044"/>
    <n v="2"/>
    <n v="1"/>
  </r>
  <r>
    <m/>
    <m/>
    <x v="1"/>
    <s v="23231303001004"/>
    <n v="-81.95"/>
    <n v="2090"/>
    <n v="1"/>
    <n v="1"/>
  </r>
  <r>
    <m/>
    <m/>
    <x v="1"/>
    <s v="23403071001003"/>
    <n v="-28.46"/>
    <n v="694"/>
    <n v="2"/>
    <n v="1"/>
  </r>
  <r>
    <m/>
    <m/>
    <x v="1"/>
    <s v="23407345001003"/>
    <n v="-30.74"/>
    <n v="784"/>
    <n v="1"/>
    <n v="1"/>
  </r>
  <r>
    <m/>
    <m/>
    <x v="1"/>
    <s v="23427190001001"/>
    <n v="-49"/>
    <n v="1238"/>
    <n v="2"/>
    <n v="1"/>
  </r>
  <r>
    <m/>
    <m/>
    <x v="1"/>
    <s v="23460450001003"/>
    <n v="-1.22"/>
    <n v="31"/>
    <n v="1"/>
    <n v="1"/>
  </r>
  <r>
    <m/>
    <m/>
    <x v="1"/>
    <s v="23460849001003"/>
    <n v="-58.66"/>
    <n v="1496"/>
    <n v="1"/>
    <n v="1"/>
  </r>
  <r>
    <m/>
    <m/>
    <x v="1"/>
    <s v="23478275001003"/>
    <n v="-29.88"/>
    <n v="762"/>
    <n v="1"/>
    <n v="1"/>
  </r>
  <r>
    <m/>
    <m/>
    <x v="1"/>
    <s v="23535049001001"/>
    <n v="-33.130000000000003"/>
    <n v="845"/>
    <n v="1"/>
    <n v="1"/>
  </r>
  <r>
    <m/>
    <m/>
    <x v="1"/>
    <s v="23600074001001"/>
    <n v="-68.92"/>
    <n v="1722"/>
    <n v="2"/>
    <n v="1"/>
  </r>
  <r>
    <m/>
    <m/>
    <x v="1"/>
    <s v="23857343001001"/>
    <n v="-57.95"/>
    <n v="1433"/>
    <n v="2"/>
    <n v="1"/>
  </r>
  <r>
    <m/>
    <m/>
    <x v="1"/>
    <s v="23890949001001"/>
    <n v="-24.229999999999997"/>
    <n v="595"/>
    <n v="2"/>
    <n v="1"/>
  </r>
  <r>
    <m/>
    <m/>
    <x v="1"/>
    <s v="23987341002003"/>
    <n v="-7.76"/>
    <n v="198"/>
    <n v="1"/>
    <n v="1"/>
  </r>
  <r>
    <m/>
    <m/>
    <x v="1"/>
    <s v="24116787001007"/>
    <n v="-35.450000000000003"/>
    <n v="904"/>
    <n v="1"/>
    <n v="1"/>
  </r>
  <r>
    <m/>
    <m/>
    <x v="1"/>
    <s v="24288214001007"/>
    <n v="-149.29000000000002"/>
    <n v="3620"/>
    <n v="2"/>
    <n v="1"/>
  </r>
  <r>
    <m/>
    <m/>
    <x v="1"/>
    <s v="24291697001001"/>
    <n v="-83.48"/>
    <n v="2129"/>
    <n v="1"/>
    <n v="1"/>
  </r>
  <r>
    <m/>
    <m/>
    <x v="1"/>
    <s v="24471043001004"/>
    <n v="-75.36"/>
    <n v="1883"/>
    <n v="2"/>
    <n v="1"/>
  </r>
  <r>
    <m/>
    <m/>
    <x v="1"/>
    <s v="24488041001003"/>
    <n v="-14.36"/>
    <n v="364"/>
    <n v="2"/>
    <n v="1"/>
  </r>
  <r>
    <m/>
    <m/>
    <x v="1"/>
    <s v="24504553002001"/>
    <n v="-52.75"/>
    <n v="1310"/>
    <n v="2"/>
    <n v="1"/>
  </r>
  <r>
    <m/>
    <m/>
    <x v="1"/>
    <s v="24516542001001"/>
    <n v="-37.980000000000004"/>
    <n v="921"/>
    <n v="2"/>
    <n v="1"/>
  </r>
  <r>
    <m/>
    <m/>
    <x v="1"/>
    <s v="24596484001001"/>
    <n v="-31.62"/>
    <n v="793"/>
    <n v="2"/>
    <n v="1"/>
  </r>
  <r>
    <m/>
    <m/>
    <x v="1"/>
    <s v="24743896001001"/>
    <n v="-70.77000000000001"/>
    <n v="1763"/>
    <n v="2"/>
    <n v="1"/>
  </r>
  <r>
    <m/>
    <m/>
    <x v="1"/>
    <s v="24785101001002"/>
    <n v="-78.72"/>
    <n v="1989"/>
    <n v="2"/>
    <n v="1"/>
  </r>
  <r>
    <m/>
    <m/>
    <x v="1"/>
    <s v="24901880001001"/>
    <n v="-128.13999999999999"/>
    <n v="3091"/>
    <n v="2"/>
    <n v="1"/>
  </r>
  <r>
    <m/>
    <m/>
    <x v="1"/>
    <s v="24925932002001"/>
    <n v="-134.05000000000001"/>
    <n v="3283"/>
    <n v="2"/>
    <n v="1"/>
  </r>
  <r>
    <m/>
    <m/>
    <x v="1"/>
    <s v="24992881001001"/>
    <n v="-70.97"/>
    <n v="1810"/>
    <n v="1"/>
    <n v="1"/>
  </r>
  <r>
    <m/>
    <m/>
    <x v="1"/>
    <s v="25026606001003"/>
    <n v="-40.879999999999995"/>
    <n v="997"/>
    <n v="2"/>
    <n v="1"/>
  </r>
  <r>
    <m/>
    <m/>
    <x v="1"/>
    <s v="25212072001001"/>
    <n v="-97.52"/>
    <n v="2473"/>
    <n v="2"/>
    <n v="1"/>
  </r>
  <r>
    <m/>
    <m/>
    <x v="1"/>
    <s v="25266054001002"/>
    <n v="-114.66"/>
    <n v="2916"/>
    <n v="2"/>
    <n v="1"/>
  </r>
  <r>
    <m/>
    <m/>
    <x v="1"/>
    <s v="25302590001001"/>
    <n v="-49.49"/>
    <n v="1255"/>
    <n v="2"/>
    <n v="1"/>
  </r>
  <r>
    <m/>
    <m/>
    <x v="1"/>
    <s v="25577769001001"/>
    <n v="-54.930000000000007"/>
    <n v="1325"/>
    <n v="2"/>
    <n v="1"/>
  </r>
  <r>
    <m/>
    <m/>
    <x v="1"/>
    <s v="25612446001001"/>
    <n v="-84.91"/>
    <n v="2059"/>
    <n v="2"/>
    <n v="1"/>
  </r>
  <r>
    <m/>
    <m/>
    <x v="1"/>
    <s v="25681918009001"/>
    <n v="-119.78"/>
    <n v="2993"/>
    <n v="2"/>
    <n v="1"/>
  </r>
  <r>
    <m/>
    <m/>
    <x v="1"/>
    <s v="25824653001001"/>
    <n v="-39.99"/>
    <n v="1020"/>
    <n v="1"/>
    <n v="1"/>
  </r>
  <r>
    <m/>
    <m/>
    <x v="1"/>
    <s v="26133946001003"/>
    <n v="-64.77"/>
    <n v="1652"/>
    <n v="1"/>
    <n v="1"/>
  </r>
  <r>
    <m/>
    <m/>
    <x v="1"/>
    <s v="26300310001002"/>
    <n v="-20.55"/>
    <n v="524"/>
    <n v="1"/>
    <n v="1"/>
  </r>
  <r>
    <m/>
    <m/>
    <x v="1"/>
    <s v="26406770002001"/>
    <n v="-66.150000000000006"/>
    <n v="1687"/>
    <n v="1"/>
    <n v="1"/>
  </r>
  <r>
    <m/>
    <m/>
    <x v="1"/>
    <s v="26449890001003"/>
    <n v="-37.81"/>
    <n v="928"/>
    <n v="3"/>
    <n v="1"/>
  </r>
  <r>
    <m/>
    <m/>
    <x v="1"/>
    <s v="26574451002003"/>
    <n v="-187.32999999999998"/>
    <n v="4646"/>
    <n v="2"/>
    <n v="1"/>
  </r>
  <r>
    <m/>
    <m/>
    <x v="1"/>
    <s v="26595520001001"/>
    <n v="-81.400000000000006"/>
    <n v="2076"/>
    <n v="1"/>
    <n v="1"/>
  </r>
  <r>
    <m/>
    <m/>
    <x v="1"/>
    <s v="26826704001001"/>
    <n v="-146.32999999999998"/>
    <n v="3520"/>
    <n v="2"/>
    <n v="1"/>
  </r>
  <r>
    <m/>
    <m/>
    <x v="1"/>
    <s v="26832624001007"/>
    <n v="-49.699999999999996"/>
    <n v="1229"/>
    <n v="2"/>
    <n v="1"/>
  </r>
  <r>
    <m/>
    <m/>
    <x v="1"/>
    <s v="26917575001001"/>
    <n v="-131.85"/>
    <n v="3353"/>
    <n v="2"/>
    <n v="1"/>
  </r>
  <r>
    <m/>
    <m/>
    <x v="1"/>
    <s v="27035079002007"/>
    <n v="-29.6"/>
    <n v="755"/>
    <n v="1"/>
    <n v="1"/>
  </r>
  <r>
    <m/>
    <m/>
    <x v="1"/>
    <s v="27356342001008"/>
    <n v="-51.98"/>
    <n v="1318"/>
    <n v="2"/>
    <n v="1"/>
  </r>
  <r>
    <m/>
    <m/>
    <x v="1"/>
    <s v="27370365001014"/>
    <n v="-25.37"/>
    <n v="647"/>
    <n v="1"/>
    <n v="1"/>
  </r>
  <r>
    <m/>
    <m/>
    <x v="1"/>
    <s v="27708255007001"/>
    <n v="-24.259999999999998"/>
    <n v="613"/>
    <n v="2"/>
    <n v="1"/>
  </r>
  <r>
    <m/>
    <m/>
    <x v="1"/>
    <s v="27943716001001"/>
    <n v="-15.12"/>
    <n v="382"/>
    <n v="2"/>
    <n v="1"/>
  </r>
  <r>
    <m/>
    <m/>
    <x v="1"/>
    <s v="28065736001006"/>
    <n v="-140.09"/>
    <n v="3464"/>
    <n v="2"/>
    <n v="1"/>
  </r>
  <r>
    <m/>
    <m/>
    <x v="1"/>
    <s v="28085146002003"/>
    <n v="-153.35"/>
    <n v="3911"/>
    <n v="1"/>
    <n v="1"/>
  </r>
  <r>
    <m/>
    <m/>
    <x v="1"/>
    <s v="28147908001001"/>
    <n v="-24.11"/>
    <n v="615"/>
    <n v="1"/>
    <n v="1"/>
  </r>
  <r>
    <m/>
    <m/>
    <x v="1"/>
    <s v="28197867001005"/>
    <n v="-57.309999999999995"/>
    <n v="1432"/>
    <n v="2"/>
    <n v="1"/>
  </r>
  <r>
    <m/>
    <m/>
    <x v="1"/>
    <s v="28330708001001"/>
    <n v="-138.85"/>
    <n v="3367"/>
    <n v="2"/>
    <n v="1"/>
  </r>
  <r>
    <m/>
    <m/>
    <x v="1"/>
    <s v="28344987001011"/>
    <n v="-50.1"/>
    <n v="1215"/>
    <n v="2"/>
    <n v="1"/>
  </r>
  <r>
    <m/>
    <m/>
    <x v="1"/>
    <s v="28430533001003"/>
    <n v="-40.769999999999996"/>
    <n v="1022"/>
    <n v="3"/>
    <n v="1"/>
  </r>
  <r>
    <m/>
    <m/>
    <x v="1"/>
    <s v="28452386002001"/>
    <n v="-36.229999999999997"/>
    <n v="924"/>
    <n v="1"/>
    <n v="1"/>
  </r>
  <r>
    <m/>
    <m/>
    <x v="1"/>
    <s v="28645126001006"/>
    <n v="-61.31"/>
    <n v="1475"/>
    <n v="2"/>
    <n v="1"/>
  </r>
  <r>
    <m/>
    <m/>
    <x v="1"/>
    <s v="28758621002008"/>
    <n v="-248.58"/>
    <n v="5996"/>
    <n v="2"/>
    <n v="1"/>
  </r>
  <r>
    <m/>
    <m/>
    <x v="1"/>
    <s v="28819742011001"/>
    <n v="-51.01"/>
    <n v="1301"/>
    <n v="1"/>
    <n v="1"/>
  </r>
  <r>
    <m/>
    <m/>
    <x v="1"/>
    <s v="28903097001004"/>
    <n v="-45.84"/>
    <n v="1169"/>
    <n v="1"/>
    <n v="1"/>
  </r>
  <r>
    <m/>
    <m/>
    <x v="1"/>
    <s v="28950576001002"/>
    <n v="-42.04"/>
    <n v="1066"/>
    <n v="2"/>
    <n v="1"/>
  </r>
  <r>
    <m/>
    <m/>
    <x v="1"/>
    <s v="29196761001004"/>
    <n v="-112.17999999999999"/>
    <n v="2774"/>
    <n v="2"/>
    <n v="1"/>
  </r>
  <r>
    <m/>
    <m/>
    <x v="1"/>
    <s v="29284082001003"/>
    <n v="-96.42"/>
    <n v="2459"/>
    <n v="1"/>
    <n v="1"/>
  </r>
  <r>
    <m/>
    <m/>
    <x v="1"/>
    <s v="29333477001003"/>
    <n v="-69.680000000000007"/>
    <n v="1777"/>
    <n v="1"/>
    <n v="1"/>
  </r>
  <r>
    <m/>
    <m/>
    <x v="1"/>
    <s v="29338916001003"/>
    <n v="-4.9800000000000004"/>
    <n v="127"/>
    <n v="1"/>
    <n v="1"/>
  </r>
  <r>
    <m/>
    <m/>
    <x v="1"/>
    <s v="29448259001002"/>
    <n v="-74.95"/>
    <n v="1878"/>
    <n v="2"/>
    <n v="1"/>
  </r>
  <r>
    <m/>
    <m/>
    <x v="1"/>
    <s v="29519438001001"/>
    <n v="-94.69"/>
    <n v="2415"/>
    <n v="1"/>
    <n v="1"/>
  </r>
  <r>
    <m/>
    <m/>
    <x v="1"/>
    <s v="29570002001001"/>
    <n v="-59.48"/>
    <n v="1517"/>
    <n v="1"/>
    <n v="1"/>
  </r>
  <r>
    <m/>
    <m/>
    <x v="1"/>
    <s v="29577821001001"/>
    <n v="-49.09"/>
    <n v="1252"/>
    <n v="1"/>
    <n v="1"/>
  </r>
  <r>
    <m/>
    <m/>
    <x v="1"/>
    <s v="29900541002001"/>
    <n v="-2.94"/>
    <n v="75"/>
    <n v="1"/>
    <n v="1"/>
  </r>
  <r>
    <m/>
    <m/>
    <x v="1"/>
    <s v="30240552001001"/>
    <n v="-53.05"/>
    <n v="1353"/>
    <n v="1"/>
    <n v="1"/>
  </r>
  <r>
    <m/>
    <m/>
    <x v="1"/>
    <s v="30370464002001"/>
    <n v="-303.33"/>
    <n v="7736"/>
    <n v="1"/>
    <n v="1"/>
  </r>
  <r>
    <m/>
    <m/>
    <x v="1"/>
    <s v="30684952001001"/>
    <n v="-66.59"/>
    <n v="1664"/>
    <n v="2"/>
    <n v="1"/>
  </r>
  <r>
    <m/>
    <m/>
    <x v="1"/>
    <s v="30757590002002"/>
    <n v="-189"/>
    <n v="4583"/>
    <n v="2"/>
    <n v="1"/>
  </r>
  <r>
    <m/>
    <m/>
    <x v="1"/>
    <s v="30816545001001"/>
    <n v="-114.19"/>
    <n v="2863"/>
    <n v="2"/>
    <n v="1"/>
  </r>
  <r>
    <m/>
    <m/>
    <x v="1"/>
    <s v="31347134001001"/>
    <n v="-45.36"/>
    <n v="1125"/>
    <n v="2"/>
    <n v="1"/>
  </r>
  <r>
    <m/>
    <m/>
    <x v="1"/>
    <s v="31555689001001"/>
    <n v="-37"/>
    <n v="909"/>
    <n v="2"/>
    <n v="1"/>
  </r>
  <r>
    <m/>
    <m/>
    <x v="1"/>
    <s v="31608000001004"/>
    <n v="-73.989999999999995"/>
    <n v="1794"/>
    <n v="2"/>
    <n v="1"/>
  </r>
  <r>
    <m/>
    <m/>
    <x v="1"/>
    <s v="31625004001001"/>
    <n v="-20.04"/>
    <n v="511"/>
    <n v="1"/>
    <n v="1"/>
  </r>
  <r>
    <m/>
    <m/>
    <x v="1"/>
    <s v="31641990001004"/>
    <n v="-136.51"/>
    <n v="3421"/>
    <n v="2"/>
    <n v="1"/>
  </r>
  <r>
    <m/>
    <m/>
    <x v="1"/>
    <s v="31685952001001"/>
    <n v="-118.18"/>
    <n v="3014"/>
    <n v="1"/>
    <n v="1"/>
  </r>
  <r>
    <m/>
    <m/>
    <x v="1"/>
    <s v="31781301001003"/>
    <n v="-149.74"/>
    <n v="3819"/>
    <n v="1"/>
    <n v="1"/>
  </r>
  <r>
    <m/>
    <m/>
    <x v="1"/>
    <s v="31791329002001"/>
    <n v="-37.72"/>
    <n v="962"/>
    <n v="1"/>
    <n v="1"/>
  </r>
  <r>
    <m/>
    <m/>
    <x v="1"/>
    <s v="31833646004004"/>
    <n v="-100.85"/>
    <n v="2572"/>
    <n v="1"/>
    <n v="1"/>
  </r>
  <r>
    <m/>
    <m/>
    <x v="1"/>
    <s v="31861613001001"/>
    <n v="-118.93"/>
    <n v="2884"/>
    <n v="2"/>
    <n v="1"/>
  </r>
  <r>
    <m/>
    <m/>
    <x v="1"/>
    <s v="32202242001001"/>
    <n v="-23.240000000000002"/>
    <n v="579"/>
    <n v="2"/>
    <n v="1"/>
  </r>
  <r>
    <m/>
    <m/>
    <x v="1"/>
    <s v="32750874002001"/>
    <n v="-101.51"/>
    <n v="2574"/>
    <n v="2"/>
    <n v="1"/>
  </r>
  <r>
    <m/>
    <m/>
    <x v="1"/>
    <s v="32757489001001"/>
    <n v="-16.34"/>
    <n v="407"/>
    <n v="2"/>
    <n v="1"/>
  </r>
  <r>
    <m/>
    <m/>
    <x v="1"/>
    <s v="33639506001003"/>
    <n v="-29.37"/>
    <n v="736"/>
    <n v="2"/>
    <n v="1"/>
  </r>
  <r>
    <m/>
    <m/>
    <x v="1"/>
    <s v="33642246001005"/>
    <n v="-74.62"/>
    <n v="1859"/>
    <n v="2"/>
    <n v="1"/>
  </r>
  <r>
    <m/>
    <m/>
    <x v="1"/>
    <s v="33674854001001"/>
    <n v="-42.11"/>
    <n v="1064"/>
    <n v="2"/>
    <n v="1"/>
  </r>
  <r>
    <m/>
    <m/>
    <x v="1"/>
    <s v="33687453001001"/>
    <n v="-101.48"/>
    <n v="2588"/>
    <n v="1"/>
    <n v="1"/>
  </r>
  <r>
    <m/>
    <m/>
    <x v="1"/>
    <s v="33755994001001"/>
    <n v="-20.57"/>
    <n v="523"/>
    <n v="2"/>
    <n v="1"/>
  </r>
  <r>
    <m/>
    <m/>
    <x v="1"/>
    <s v="33829956002003"/>
    <n v="-62.35"/>
    <n v="1558"/>
    <n v="2"/>
    <n v="1"/>
  </r>
  <r>
    <m/>
    <m/>
    <x v="1"/>
    <s v="33910067001003"/>
    <n v="-72.3"/>
    <n v="1844"/>
    <n v="1"/>
    <n v="1"/>
  </r>
  <r>
    <m/>
    <m/>
    <x v="1"/>
    <s v="33988440001002"/>
    <n v="-155.72"/>
    <n v="3746"/>
    <n v="2"/>
    <n v="1"/>
  </r>
  <r>
    <m/>
    <m/>
    <x v="1"/>
    <s v="34066684001005"/>
    <n v="-23.68"/>
    <n v="604"/>
    <n v="1"/>
    <n v="1"/>
  </r>
  <r>
    <m/>
    <m/>
    <x v="1"/>
    <s v="34394848001001"/>
    <n v="-96.53"/>
    <n v="2322"/>
    <n v="2"/>
    <n v="1"/>
  </r>
  <r>
    <m/>
    <m/>
    <x v="1"/>
    <s v="34571678001001"/>
    <n v="-32.47"/>
    <n v="828"/>
    <n v="1"/>
    <n v="1"/>
  </r>
  <r>
    <m/>
    <m/>
    <x v="1"/>
    <s v="34683105001001"/>
    <n v="-81.2"/>
    <n v="2023"/>
    <n v="2"/>
    <n v="1"/>
  </r>
  <r>
    <m/>
    <m/>
    <x v="1"/>
    <s v="34758238001001"/>
    <n v="-35.130000000000003"/>
    <n v="896"/>
    <n v="1"/>
    <n v="1"/>
  </r>
  <r>
    <m/>
    <m/>
    <x v="1"/>
    <s v="34795801001004"/>
    <n v="-9.06"/>
    <n v="231"/>
    <n v="1"/>
    <n v="1"/>
  </r>
  <r>
    <m/>
    <m/>
    <x v="1"/>
    <s v="34822690001003"/>
    <n v="-61.76"/>
    <n v="1575"/>
    <n v="1"/>
    <n v="1"/>
  </r>
  <r>
    <m/>
    <m/>
    <x v="1"/>
    <s v="34859648001001"/>
    <n v="-12.3"/>
    <n v="304"/>
    <n v="2"/>
    <n v="1"/>
  </r>
  <r>
    <m/>
    <m/>
    <x v="1"/>
    <s v="34874155001002"/>
    <n v="-35.22"/>
    <n v="893"/>
    <n v="2"/>
    <n v="1"/>
  </r>
  <r>
    <m/>
    <m/>
    <x v="1"/>
    <s v="35004270001003"/>
    <n v="-154.03"/>
    <n v="3735"/>
    <n v="2"/>
    <n v="1"/>
  </r>
  <r>
    <m/>
    <m/>
    <x v="1"/>
    <s v="35268541002002"/>
    <n v="-58.22"/>
    <n v="1459"/>
    <n v="2"/>
    <n v="1"/>
  </r>
  <r>
    <m/>
    <m/>
    <x v="1"/>
    <s v="35402111001001"/>
    <n v="-1.22"/>
    <n v="31"/>
    <n v="1"/>
    <n v="1"/>
  </r>
  <r>
    <m/>
    <m/>
    <x v="1"/>
    <s v="35508083001003"/>
    <n v="-2"/>
    <n v="51"/>
    <n v="1"/>
    <n v="1"/>
  </r>
  <r>
    <m/>
    <m/>
    <x v="1"/>
    <s v="35545855003001"/>
    <n v="-29.69"/>
    <n v="734"/>
    <n v="2"/>
    <n v="1"/>
  </r>
  <r>
    <m/>
    <m/>
    <x v="1"/>
    <s v="35571209001001"/>
    <n v="-43.01"/>
    <n v="1097"/>
    <n v="1"/>
    <n v="1"/>
  </r>
  <r>
    <m/>
    <m/>
    <x v="1"/>
    <s v="35861191001002"/>
    <n v="-36.22"/>
    <n v="905"/>
    <n v="2"/>
    <n v="1"/>
  </r>
  <r>
    <m/>
    <m/>
    <x v="1"/>
    <s v="35958850001005"/>
    <n v="-34.03"/>
    <n v="868"/>
    <n v="1"/>
    <n v="1"/>
  </r>
  <r>
    <m/>
    <m/>
    <x v="1"/>
    <s v="35962874001004"/>
    <n v="-80.209999999999994"/>
    <n v="2034"/>
    <n v="2"/>
    <n v="1"/>
  </r>
  <r>
    <m/>
    <m/>
    <x v="1"/>
    <s v="35983383001007"/>
    <n v="-43.7"/>
    <n v="1092"/>
    <n v="2"/>
    <n v="1"/>
  </r>
  <r>
    <m/>
    <m/>
    <x v="1"/>
    <s v="36046479001001"/>
    <n v="-125.33"/>
    <n v="3178"/>
    <n v="2"/>
    <n v="1"/>
  </r>
  <r>
    <m/>
    <m/>
    <x v="1"/>
    <s v="36052702001001"/>
    <n v="-38.9"/>
    <n v="992"/>
    <n v="1"/>
    <n v="1"/>
  </r>
  <r>
    <m/>
    <m/>
    <x v="1"/>
    <s v="36078864001001"/>
    <n v="-34.78"/>
    <n v="887"/>
    <n v="1"/>
    <n v="1"/>
  </r>
  <r>
    <m/>
    <m/>
    <x v="1"/>
    <s v="36264381001001"/>
    <n v="-49.91"/>
    <n v="1273"/>
    <n v="1"/>
    <n v="1"/>
  </r>
  <r>
    <m/>
    <m/>
    <x v="1"/>
    <s v="36265466001001"/>
    <n v="-66.459999999999994"/>
    <n v="1695"/>
    <n v="1"/>
    <n v="1"/>
  </r>
  <r>
    <m/>
    <m/>
    <x v="1"/>
    <s v="36340954001005"/>
    <n v="-24.259999999999998"/>
    <n v="613"/>
    <n v="2"/>
    <n v="1"/>
  </r>
  <r>
    <m/>
    <m/>
    <x v="1"/>
    <s v="36404328001001"/>
    <n v="-115.94"/>
    <n v="2897"/>
    <n v="2"/>
    <n v="1"/>
  </r>
  <r>
    <m/>
    <m/>
    <x v="1"/>
    <s v="36405485001001"/>
    <n v="-49.88"/>
    <n v="1272"/>
    <n v="1"/>
    <n v="1"/>
  </r>
  <r>
    <m/>
    <m/>
    <x v="1"/>
    <s v="36445725001001"/>
    <n v="-133.37"/>
    <n v="3344"/>
    <n v="2"/>
    <n v="1"/>
  </r>
  <r>
    <m/>
    <m/>
    <x v="1"/>
    <s v="36617800001001"/>
    <n v="-22.05"/>
    <n v="551"/>
    <n v="2"/>
    <n v="1"/>
  </r>
  <r>
    <m/>
    <m/>
    <x v="1"/>
    <s v="36872264001001"/>
    <n v="-85.210000000000008"/>
    <n v="2107"/>
    <n v="2"/>
    <n v="1"/>
  </r>
  <r>
    <m/>
    <m/>
    <x v="1"/>
    <s v="36931062001008"/>
    <n v="-69.509999999999991"/>
    <n v="1742"/>
    <n v="2"/>
    <n v="1"/>
  </r>
  <r>
    <m/>
    <m/>
    <x v="1"/>
    <s v="37014491001001"/>
    <n v="-136.15"/>
    <n v="3344"/>
    <n v="2"/>
    <n v="1"/>
  </r>
  <r>
    <m/>
    <m/>
    <x v="1"/>
    <s v="37103409003001"/>
    <n v="-16.59"/>
    <n v="423"/>
    <n v="1"/>
    <n v="1"/>
  </r>
  <r>
    <m/>
    <m/>
    <x v="1"/>
    <s v="37230806001004"/>
    <n v="-104.25"/>
    <n v="2634"/>
    <n v="2"/>
    <n v="1"/>
  </r>
  <r>
    <m/>
    <m/>
    <x v="1"/>
    <s v="37387403001001"/>
    <n v="-146.13999999999999"/>
    <n v="3641"/>
    <n v="2"/>
    <n v="1"/>
  </r>
  <r>
    <m/>
    <m/>
    <x v="1"/>
    <s v="37477159001001"/>
    <n v="-52.959999999999994"/>
    <n v="1338"/>
    <n v="2"/>
    <n v="1"/>
  </r>
  <r>
    <m/>
    <m/>
    <x v="1"/>
    <s v="37518547001003"/>
    <n v="-79.48"/>
    <n v="2027"/>
    <n v="1"/>
    <n v="1"/>
  </r>
  <r>
    <m/>
    <m/>
    <x v="1"/>
    <s v="37546855001001"/>
    <n v="-50.74"/>
    <n v="1294"/>
    <n v="1"/>
    <n v="1"/>
  </r>
  <r>
    <m/>
    <m/>
    <x v="1"/>
    <s v="37694672001008"/>
    <n v="-70.42"/>
    <n v="1725"/>
    <n v="2"/>
    <n v="1"/>
  </r>
  <r>
    <m/>
    <m/>
    <x v="1"/>
    <s v="38003358004003"/>
    <n v="-45.21"/>
    <n v="1153"/>
    <n v="1"/>
    <n v="1"/>
  </r>
  <r>
    <m/>
    <m/>
    <x v="1"/>
    <s v="38058429001003"/>
    <n v="-42.07"/>
    <n v="1073"/>
    <n v="1"/>
    <n v="1"/>
  </r>
  <r>
    <m/>
    <m/>
    <x v="1"/>
    <s v="38159601001012"/>
    <n v="-95.38"/>
    <n v="2313"/>
    <n v="2"/>
    <n v="1"/>
  </r>
  <r>
    <m/>
    <m/>
    <x v="1"/>
    <s v="38371635001001"/>
    <n v="-71.649999999999991"/>
    <n v="1817"/>
    <n v="2"/>
    <n v="1"/>
  </r>
  <r>
    <m/>
    <m/>
    <x v="1"/>
    <s v="38606746001003"/>
    <n v="-41.52"/>
    <n v="1059"/>
    <n v="1"/>
    <n v="1"/>
  </r>
  <r>
    <m/>
    <m/>
    <x v="1"/>
    <s v="38785566001003"/>
    <n v="-78.52000000000001"/>
    <n v="1933"/>
    <n v="2"/>
    <n v="1"/>
  </r>
  <r>
    <m/>
    <m/>
    <x v="1"/>
    <s v="39206681001007"/>
    <n v="-122.92"/>
    <n v="3135"/>
    <n v="1"/>
    <n v="1"/>
  </r>
  <r>
    <m/>
    <m/>
    <x v="1"/>
    <s v="39210794002001"/>
    <n v="-55.62"/>
    <n v="1390"/>
    <n v="2"/>
    <n v="1"/>
  </r>
  <r>
    <m/>
    <m/>
    <x v="1"/>
    <s v="39250671001002"/>
    <n v="-69.83"/>
    <n v="1781"/>
    <n v="1"/>
    <n v="1"/>
  </r>
  <r>
    <m/>
    <m/>
    <x v="1"/>
    <s v="39337225001001"/>
    <n v="-70.19"/>
    <n v="1790"/>
    <n v="1"/>
    <n v="1"/>
  </r>
  <r>
    <m/>
    <m/>
    <x v="1"/>
    <s v="39862438001001"/>
    <n v="-97.09"/>
    <n v="2426"/>
    <n v="2"/>
    <n v="1"/>
  </r>
  <r>
    <m/>
    <m/>
    <x v="1"/>
    <s v="40009788001009"/>
    <n v="-101.03"/>
    <n v="2450"/>
    <n v="2"/>
    <n v="1"/>
  </r>
  <r>
    <m/>
    <m/>
    <x v="1"/>
    <s v="40187844001001"/>
    <n v="-20.149999999999999"/>
    <n v="514"/>
    <n v="1"/>
    <n v="1"/>
  </r>
  <r>
    <m/>
    <m/>
    <x v="1"/>
    <s v="40302520001002"/>
    <n v="-14.7"/>
    <n v="375"/>
    <n v="1"/>
    <n v="1"/>
  </r>
  <r>
    <m/>
    <m/>
    <x v="1"/>
    <s v="40396125001001"/>
    <n v="-73.540000000000006"/>
    <n v="1870"/>
    <n v="2"/>
    <n v="1"/>
  </r>
  <r>
    <m/>
    <m/>
    <x v="1"/>
    <s v="40575106001004"/>
    <n v="-69.789999999999992"/>
    <n v="1679"/>
    <n v="2"/>
    <n v="1"/>
  </r>
  <r>
    <m/>
    <m/>
    <x v="1"/>
    <s v="40647134001006"/>
    <n v="-51.01"/>
    <n v="1301"/>
    <n v="1"/>
    <n v="1"/>
  </r>
  <r>
    <m/>
    <m/>
    <x v="1"/>
    <s v="40755745001007"/>
    <n v="-70.97"/>
    <n v="1721"/>
    <n v="2"/>
    <n v="1"/>
  </r>
  <r>
    <m/>
    <m/>
    <x v="1"/>
    <s v="40777686001001"/>
    <n v="-6.2"/>
    <n v="158"/>
    <n v="1"/>
    <n v="1"/>
  </r>
  <r>
    <m/>
    <m/>
    <x v="1"/>
    <s v="40799378002001"/>
    <n v="-119.94"/>
    <n v="2997"/>
    <n v="2"/>
    <n v="1"/>
  </r>
  <r>
    <m/>
    <m/>
    <x v="1"/>
    <s v="40819353001002"/>
    <n v="-28.9"/>
    <n v="737"/>
    <n v="1"/>
    <n v="1"/>
  </r>
  <r>
    <m/>
    <m/>
    <x v="1"/>
    <s v="40821361002007"/>
    <n v="-8.6199999999999992"/>
    <n v="218"/>
    <n v="2"/>
    <n v="1"/>
  </r>
  <r>
    <m/>
    <m/>
    <x v="1"/>
    <s v="40940003001003"/>
    <n v="-65.09"/>
    <n v="1660"/>
    <n v="1"/>
    <n v="1"/>
  </r>
  <r>
    <m/>
    <m/>
    <x v="1"/>
    <s v="41060119001003"/>
    <n v="-26.94"/>
    <n v="687"/>
    <n v="1"/>
    <n v="1"/>
  </r>
  <r>
    <m/>
    <m/>
    <x v="1"/>
    <s v="41095400001001"/>
    <n v="-4.72"/>
    <n v="114"/>
    <n v="2"/>
    <n v="1"/>
  </r>
  <r>
    <m/>
    <m/>
    <x v="1"/>
    <s v="41102044001001"/>
    <n v="-54.25"/>
    <n v="1360"/>
    <n v="2"/>
    <n v="1"/>
  </r>
  <r>
    <m/>
    <m/>
    <x v="1"/>
    <s v="41202707001001"/>
    <n v="-26"/>
    <n v="663"/>
    <n v="1"/>
    <n v="1"/>
  </r>
  <r>
    <m/>
    <m/>
    <x v="1"/>
    <s v="41343811001004"/>
    <n v="-19.170000000000002"/>
    <n v="489"/>
    <n v="1"/>
    <n v="1"/>
  </r>
  <r>
    <m/>
    <m/>
    <x v="1"/>
    <s v="41426603001001"/>
    <n v="-44.39"/>
    <n v="1132"/>
    <n v="1"/>
    <n v="1"/>
  </r>
  <r>
    <m/>
    <m/>
    <x v="1"/>
    <s v="41547810001001"/>
    <n v="-64.3"/>
    <n v="1575"/>
    <n v="2"/>
    <n v="1"/>
  </r>
  <r>
    <m/>
    <m/>
    <x v="1"/>
    <s v="41568295001001"/>
    <n v="-101"/>
    <n v="2576"/>
    <n v="1"/>
    <n v="1"/>
  </r>
  <r>
    <m/>
    <m/>
    <x v="1"/>
    <s v="41690888001001"/>
    <n v="-5.18"/>
    <n v="132"/>
    <n v="1"/>
    <n v="1"/>
  </r>
  <r>
    <m/>
    <m/>
    <x v="1"/>
    <s v="41809389001005"/>
    <n v="-55.4"/>
    <n v="1413"/>
    <n v="1"/>
    <n v="1"/>
  </r>
  <r>
    <m/>
    <m/>
    <x v="1"/>
    <s v="41836630001003"/>
    <n v="-49.95"/>
    <n v="1274"/>
    <n v="1"/>
    <n v="1"/>
  </r>
  <r>
    <m/>
    <m/>
    <x v="1"/>
    <s v="41921625002001"/>
    <n v="-192.75"/>
    <n v="4674"/>
    <n v="2"/>
    <n v="1"/>
  </r>
  <r>
    <m/>
    <m/>
    <x v="1"/>
    <s v="42046814001001"/>
    <n v="-51.64"/>
    <n v="1317"/>
    <n v="1"/>
    <n v="1"/>
  </r>
  <r>
    <m/>
    <m/>
    <x v="1"/>
    <s v="42066880001001"/>
    <n v="-27.18"/>
    <n v="679"/>
    <n v="2"/>
    <n v="1"/>
  </r>
  <r>
    <m/>
    <m/>
    <x v="1"/>
    <s v="42281329001011"/>
    <n v="-103.66"/>
    <n v="2590"/>
    <n v="2"/>
    <n v="1"/>
  </r>
  <r>
    <m/>
    <m/>
    <x v="1"/>
    <s v="42338999003001"/>
    <n v="-101.4"/>
    <n v="2586"/>
    <n v="1"/>
    <n v="1"/>
  </r>
  <r>
    <m/>
    <m/>
    <x v="1"/>
    <s v="42453517001001"/>
    <n v="-70.820000000000007"/>
    <n v="1801"/>
    <n v="2"/>
    <n v="1"/>
  </r>
  <r>
    <m/>
    <m/>
    <x v="1"/>
    <s v="42490701001001"/>
    <n v="-13.53"/>
    <n v="345"/>
    <n v="1"/>
    <n v="1"/>
  </r>
  <r>
    <m/>
    <m/>
    <x v="1"/>
    <s v="42502321001005"/>
    <n v="-22.36"/>
    <n v="567"/>
    <n v="2"/>
    <n v="1"/>
  </r>
  <r>
    <m/>
    <m/>
    <x v="1"/>
    <s v="42503651001002"/>
    <n v="-50.93"/>
    <n v="1299"/>
    <n v="1"/>
    <n v="1"/>
  </r>
  <r>
    <m/>
    <m/>
    <x v="1"/>
    <s v="42507081005002"/>
    <n v="-80.73"/>
    <n v="2059"/>
    <n v="1"/>
    <n v="1"/>
  </r>
  <r>
    <m/>
    <m/>
    <x v="1"/>
    <s v="42523746002001"/>
    <n v="-82.490000000000009"/>
    <n v="2098"/>
    <n v="2"/>
    <n v="1"/>
  </r>
  <r>
    <m/>
    <m/>
    <x v="1"/>
    <s v="42533821001001"/>
    <n v="-40.07"/>
    <n v="1022"/>
    <n v="1"/>
    <n v="1"/>
  </r>
  <r>
    <m/>
    <m/>
    <x v="1"/>
    <s v="42535011001002"/>
    <n v="-10.16"/>
    <n v="259"/>
    <n v="1"/>
    <n v="1"/>
  </r>
  <r>
    <m/>
    <m/>
    <x v="1"/>
    <s v="42538861001001"/>
    <n v="-1.37"/>
    <n v="35"/>
    <n v="1"/>
    <n v="1"/>
  </r>
  <r>
    <m/>
    <m/>
    <x v="1"/>
    <s v="42539421001001"/>
    <n v="-56.39"/>
    <n v="1430"/>
    <n v="2"/>
    <n v="1"/>
  </r>
  <r>
    <m/>
    <m/>
    <x v="1"/>
    <s v="42543901001001"/>
    <n v="-82.220000000000013"/>
    <n v="2085"/>
    <n v="2"/>
    <n v="1"/>
  </r>
  <r>
    <m/>
    <m/>
    <x v="1"/>
    <s v="42577291003003"/>
    <n v="-30"/>
    <n v="765"/>
    <n v="1"/>
    <n v="1"/>
  </r>
  <r>
    <m/>
    <m/>
    <x v="1"/>
    <s v="42591011001001"/>
    <n v="-43.29"/>
    <n v="1104"/>
    <n v="1"/>
    <n v="1"/>
  </r>
  <r>
    <m/>
    <m/>
    <x v="1"/>
    <s v="42599481001004"/>
    <n v="-17.059999999999999"/>
    <n v="435"/>
    <n v="1"/>
    <n v="1"/>
  </r>
  <r>
    <m/>
    <m/>
    <x v="1"/>
    <s v="42627831001003"/>
    <n v="-6.63"/>
    <n v="169"/>
    <n v="1"/>
    <n v="1"/>
  </r>
  <r>
    <m/>
    <m/>
    <x v="1"/>
    <s v="42637141001007"/>
    <n v="-74.610000000000014"/>
    <n v="1892"/>
    <n v="2"/>
    <n v="1"/>
  </r>
  <r>
    <m/>
    <m/>
    <x v="1"/>
    <s v="42640641001001"/>
    <n v="-88.77"/>
    <n v="2264"/>
    <n v="1"/>
    <n v="1"/>
  </r>
  <r>
    <m/>
    <m/>
    <x v="1"/>
    <s v="42640711003001"/>
    <n v="-68.45"/>
    <n v="1681"/>
    <n v="2"/>
    <n v="1"/>
  </r>
  <r>
    <m/>
    <m/>
    <x v="1"/>
    <s v="42646171001006"/>
    <n v="-29.45"/>
    <n v="751"/>
    <n v="1"/>
    <n v="1"/>
  </r>
  <r>
    <m/>
    <m/>
    <x v="1"/>
    <s v="42653661001001"/>
    <n v="-20.59"/>
    <n v="525"/>
    <n v="1"/>
    <n v="1"/>
  </r>
  <r>
    <m/>
    <m/>
    <x v="1"/>
    <s v="42653801001002"/>
    <n v="-41.49"/>
    <n v="1052"/>
    <n v="2"/>
    <n v="1"/>
  </r>
  <r>
    <m/>
    <m/>
    <x v="1"/>
    <s v="42654081001004"/>
    <n v="-57.37"/>
    <n v="1405"/>
    <n v="2"/>
    <n v="1"/>
  </r>
  <r>
    <m/>
    <m/>
    <x v="1"/>
    <s v="42657021001001"/>
    <n v="-13.76"/>
    <n v="351"/>
    <n v="1"/>
    <n v="1"/>
  </r>
  <r>
    <m/>
    <m/>
    <x v="1"/>
    <s v="42661291001001"/>
    <n v="-6.78"/>
    <n v="173"/>
    <n v="1"/>
    <n v="1"/>
  </r>
  <r>
    <m/>
    <m/>
    <x v="1"/>
    <s v="42662971001011"/>
    <n v="-111.71"/>
    <n v="2841"/>
    <n v="2"/>
    <n v="1"/>
  </r>
  <r>
    <m/>
    <m/>
    <x v="1"/>
    <s v="42671651001004"/>
    <n v="-23.76"/>
    <n v="606"/>
    <n v="1"/>
    <n v="1"/>
  </r>
  <r>
    <m/>
    <m/>
    <x v="1"/>
    <s v="42673331002003"/>
    <n v="-84.03"/>
    <n v="2143"/>
    <n v="1"/>
    <n v="1"/>
  </r>
  <r>
    <m/>
    <m/>
    <x v="1"/>
    <s v="42689921004001"/>
    <n v="-63.72"/>
    <n v="1625"/>
    <n v="1"/>
    <n v="1"/>
  </r>
  <r>
    <m/>
    <m/>
    <x v="1"/>
    <s v="42717921001003"/>
    <n v="-127.47"/>
    <n v="3251"/>
    <n v="1"/>
    <n v="1"/>
  </r>
  <r>
    <m/>
    <m/>
    <x v="1"/>
    <s v="42740811001004"/>
    <n v="-28.94"/>
    <n v="738"/>
    <n v="1"/>
    <n v="1"/>
  </r>
  <r>
    <m/>
    <m/>
    <x v="1"/>
    <s v="42753761003001"/>
    <n v="-61.93"/>
    <n v="1575"/>
    <n v="2"/>
    <n v="1"/>
  </r>
  <r>
    <m/>
    <m/>
    <x v="1"/>
    <s v="42804301001002"/>
    <n v="-34.19"/>
    <n v="872"/>
    <n v="1"/>
    <n v="1"/>
  </r>
  <r>
    <m/>
    <m/>
    <x v="1"/>
    <s v="42811861001001"/>
    <n v="-90.61"/>
    <n v="2311"/>
    <n v="1"/>
    <n v="1"/>
  </r>
  <r>
    <m/>
    <m/>
    <x v="1"/>
    <s v="42829781003005"/>
    <n v="-5.41"/>
    <n v="138"/>
    <n v="1"/>
    <n v="1"/>
  </r>
  <r>
    <m/>
    <m/>
    <x v="1"/>
    <s v="42837271004001"/>
    <n v="-86.79"/>
    <n v="2201"/>
    <n v="2"/>
    <n v="1"/>
  </r>
  <r>
    <m/>
    <m/>
    <x v="1"/>
    <s v="42837831001001"/>
    <n v="-11.33"/>
    <n v="289"/>
    <n v="1"/>
    <n v="1"/>
  </r>
  <r>
    <m/>
    <m/>
    <x v="1"/>
    <s v="42846828002005"/>
    <n v="-15.49"/>
    <n v="395"/>
    <n v="1"/>
    <n v="1"/>
  </r>
  <r>
    <m/>
    <m/>
    <x v="1"/>
    <s v="42858901001003"/>
    <n v="-17.88"/>
    <n v="456"/>
    <n v="1"/>
    <n v="1"/>
  </r>
  <r>
    <m/>
    <m/>
    <x v="1"/>
    <s v="42862751002001"/>
    <n v="-21.57"/>
    <n v="550"/>
    <n v="1"/>
    <n v="1"/>
  </r>
  <r>
    <m/>
    <m/>
    <x v="1"/>
    <s v="42972931001004"/>
    <n v="-88.02000000000001"/>
    <n v="2232"/>
    <n v="2"/>
    <n v="1"/>
  </r>
  <r>
    <m/>
    <m/>
    <x v="1"/>
    <s v="43016751001009"/>
    <n v="-24"/>
    <n v="612"/>
    <n v="1"/>
    <n v="1"/>
  </r>
  <r>
    <m/>
    <m/>
    <x v="1"/>
    <s v="43023751003001"/>
    <n v="-68.38"/>
    <n v="1744"/>
    <n v="1"/>
    <n v="1"/>
  </r>
  <r>
    <m/>
    <m/>
    <x v="1"/>
    <s v="43024731003001"/>
    <n v="-35.6"/>
    <n v="908"/>
    <n v="1"/>
    <n v="1"/>
  </r>
  <r>
    <m/>
    <m/>
    <x v="1"/>
    <s v="43029771001001"/>
    <n v="-29.6"/>
    <n v="755"/>
    <n v="1"/>
    <n v="1"/>
  </r>
  <r>
    <m/>
    <m/>
    <x v="1"/>
    <s v="43067921001001"/>
    <n v="-50.5"/>
    <n v="1288"/>
    <n v="1"/>
    <n v="1"/>
  </r>
  <r>
    <m/>
    <m/>
    <x v="1"/>
    <s v="43084721006001"/>
    <n v="-6.27"/>
    <n v="160"/>
    <n v="1"/>
    <n v="1"/>
  </r>
  <r>
    <m/>
    <m/>
    <x v="1"/>
    <s v="43103551001002"/>
    <n v="-27.02"/>
    <n v="689"/>
    <n v="1"/>
    <n v="1"/>
  </r>
  <r>
    <m/>
    <m/>
    <x v="1"/>
    <s v="43122241004005"/>
    <n v="-65.760000000000005"/>
    <n v="1677"/>
    <n v="1"/>
    <n v="1"/>
  </r>
  <r>
    <m/>
    <m/>
    <x v="1"/>
    <s v="43210791001004"/>
    <n v="-12.82"/>
    <n v="327"/>
    <n v="1"/>
    <n v="1"/>
  </r>
  <r>
    <m/>
    <m/>
    <x v="1"/>
    <s v="43219471001003"/>
    <n v="-24.15"/>
    <n v="616"/>
    <n v="1"/>
    <n v="1"/>
  </r>
  <r>
    <m/>
    <m/>
    <x v="1"/>
    <s v="43225001001001"/>
    <n v="-71.64"/>
    <n v="1827"/>
    <n v="1"/>
    <n v="1"/>
  </r>
  <r>
    <m/>
    <m/>
    <x v="1"/>
    <s v="43233574002001"/>
    <n v="-30.98"/>
    <n v="790"/>
    <n v="1"/>
    <n v="1"/>
  </r>
  <r>
    <m/>
    <m/>
    <x v="1"/>
    <s v="43239421002001"/>
    <n v="-65.14"/>
    <n v="1600"/>
    <n v="2"/>
    <n v="1"/>
  </r>
  <r>
    <m/>
    <m/>
    <x v="1"/>
    <s v="43243411001002"/>
    <n v="-68.539999999999992"/>
    <n v="1738"/>
    <n v="2"/>
    <n v="1"/>
  </r>
  <r>
    <m/>
    <m/>
    <x v="1"/>
    <s v="43245091005003"/>
    <n v="-64.7"/>
    <n v="1650"/>
    <n v="1"/>
    <n v="1"/>
  </r>
  <r>
    <m/>
    <m/>
    <x v="1"/>
    <s v="43262451002003"/>
    <n v="-53.56"/>
    <n v="1366"/>
    <n v="1"/>
    <n v="1"/>
  </r>
  <r>
    <m/>
    <m/>
    <x v="1"/>
    <s v="43282051003001"/>
    <n v="-20.149999999999999"/>
    <n v="514"/>
    <n v="1"/>
    <n v="1"/>
  </r>
  <r>
    <m/>
    <m/>
    <x v="1"/>
    <s v="43285971001002"/>
    <n v="-11.41"/>
    <n v="291"/>
    <n v="1"/>
    <n v="1"/>
  </r>
  <r>
    <m/>
    <m/>
    <x v="1"/>
    <s v="43296891001001"/>
    <n v="-106.3"/>
    <n v="2711"/>
    <n v="1"/>
    <n v="1"/>
  </r>
  <r>
    <m/>
    <m/>
    <x v="1"/>
    <s v="43330105002001"/>
    <n v="-215.01"/>
    <n v="5391"/>
    <n v="2"/>
    <n v="1"/>
  </r>
  <r>
    <m/>
    <m/>
    <x v="1"/>
    <s v="43334201001001"/>
    <n v="-73.17"/>
    <n v="1866"/>
    <n v="1"/>
    <n v="1"/>
  </r>
  <r>
    <m/>
    <m/>
    <x v="1"/>
    <s v="43386911002002"/>
    <n v="-87.71"/>
    <n v="2237"/>
    <n v="1"/>
    <n v="1"/>
  </r>
  <r>
    <m/>
    <m/>
    <x v="1"/>
    <s v="43390341005001"/>
    <n v="-0.55000000000000004"/>
    <n v="14"/>
    <n v="1"/>
    <n v="1"/>
  </r>
  <r>
    <m/>
    <m/>
    <x v="1"/>
    <s v="43415471005001"/>
    <n v="-108.57"/>
    <n v="2769"/>
    <n v="1"/>
    <n v="1"/>
  </r>
  <r>
    <m/>
    <m/>
    <x v="1"/>
    <s v="43665824001005"/>
    <n v="-50.96"/>
    <n v="1260"/>
    <n v="2"/>
    <n v="1"/>
  </r>
  <r>
    <m/>
    <m/>
    <x v="1"/>
    <s v="43688479001001"/>
    <n v="-57.03"/>
    <n v="1397"/>
    <n v="2"/>
    <n v="1"/>
  </r>
  <r>
    <m/>
    <m/>
    <x v="1"/>
    <s v="43718571001006"/>
    <n v="-4.3899999999999997"/>
    <n v="112"/>
    <n v="1"/>
    <n v="1"/>
  </r>
  <r>
    <m/>
    <m/>
    <x v="1"/>
    <s v="43721161001001"/>
    <n v="-71.339999999999989"/>
    <n v="1809"/>
    <n v="2"/>
    <n v="1"/>
  </r>
  <r>
    <m/>
    <m/>
    <x v="1"/>
    <s v="43736211001004"/>
    <n v="-56.7"/>
    <n v="1446"/>
    <n v="1"/>
    <n v="1"/>
  </r>
  <r>
    <m/>
    <m/>
    <x v="1"/>
    <s v="43742651001007"/>
    <n v="-0.59"/>
    <n v="15"/>
    <n v="1"/>
    <n v="1"/>
  </r>
  <r>
    <m/>
    <m/>
    <x v="1"/>
    <s v="43784132001001"/>
    <n v="-125.77000000000001"/>
    <n v="3190"/>
    <n v="2"/>
    <n v="1"/>
  </r>
  <r>
    <m/>
    <m/>
    <x v="1"/>
    <s v="43784151001001"/>
    <n v="-34.07"/>
    <n v="869"/>
    <n v="1"/>
    <n v="1"/>
  </r>
  <r>
    <m/>
    <m/>
    <x v="1"/>
    <s v="43801381001001"/>
    <n v="-58.27"/>
    <n v="1486"/>
    <n v="1"/>
    <n v="1"/>
  </r>
  <r>
    <m/>
    <m/>
    <x v="1"/>
    <s v="43823991001001"/>
    <n v="-49.56"/>
    <n v="1264"/>
    <n v="1"/>
    <n v="1"/>
  </r>
  <r>
    <m/>
    <m/>
    <x v="1"/>
    <s v="43865752001004"/>
    <n v="-33.799999999999997"/>
    <n v="862"/>
    <n v="1"/>
    <n v="1"/>
  </r>
  <r>
    <m/>
    <m/>
    <x v="1"/>
    <s v="43924371003001"/>
    <n v="-59.95"/>
    <n v="1529"/>
    <n v="1"/>
    <n v="1"/>
  </r>
  <r>
    <m/>
    <m/>
    <x v="1"/>
    <s v="43928151001002"/>
    <n v="-59.95"/>
    <n v="1529"/>
    <n v="1"/>
    <n v="1"/>
  </r>
  <r>
    <m/>
    <m/>
    <x v="1"/>
    <s v="43953794001001"/>
    <n v="-127.25999999999999"/>
    <n v="3227"/>
    <n v="2"/>
    <n v="1"/>
  </r>
  <r>
    <m/>
    <m/>
    <x v="1"/>
    <s v="43991683002001"/>
    <n v="-90.31"/>
    <n v="2290"/>
    <n v="2"/>
    <n v="1"/>
  </r>
  <r>
    <m/>
    <m/>
    <x v="1"/>
    <s v="44030154001001"/>
    <n v="-19.5"/>
    <n v="473"/>
    <n v="2"/>
    <n v="1"/>
  </r>
  <r>
    <m/>
    <m/>
    <x v="1"/>
    <s v="44035671002001"/>
    <n v="-45.52"/>
    <n v="1161"/>
    <n v="1"/>
    <n v="1"/>
  </r>
  <r>
    <m/>
    <m/>
    <x v="1"/>
    <s v="44070041001001"/>
    <n v="-167.57999999999998"/>
    <n v="4042"/>
    <n v="2"/>
    <n v="1"/>
  </r>
  <r>
    <m/>
    <m/>
    <x v="1"/>
    <s v="44095871001001"/>
    <n v="-157.5"/>
    <n v="3819"/>
    <n v="2"/>
    <n v="1"/>
  </r>
  <r>
    <m/>
    <m/>
    <x v="1"/>
    <s v="44133601001001"/>
    <n v="-168.63"/>
    <n v="4089"/>
    <n v="2"/>
    <n v="1"/>
  </r>
  <r>
    <m/>
    <m/>
    <x v="1"/>
    <s v="44172520001001"/>
    <n v="-122.74"/>
    <n v="3076"/>
    <n v="2"/>
    <n v="1"/>
  </r>
  <r>
    <m/>
    <m/>
    <x v="1"/>
    <s v="44198701001002"/>
    <n v="-147.48999999999998"/>
    <n v="3751"/>
    <n v="2"/>
    <n v="1"/>
  </r>
  <r>
    <m/>
    <m/>
    <x v="1"/>
    <s v="44200871001010"/>
    <n v="-49.56"/>
    <n v="1264"/>
    <n v="1"/>
    <n v="1"/>
  </r>
  <r>
    <m/>
    <m/>
    <x v="1"/>
    <s v="44237551001002"/>
    <n v="-130.54"/>
    <n v="3320"/>
    <n v="2"/>
    <n v="1"/>
  </r>
  <r>
    <m/>
    <m/>
    <x v="1"/>
    <s v="44286551002002"/>
    <n v="-101.21000000000001"/>
    <n v="2479"/>
    <n v="2"/>
    <n v="1"/>
  </r>
  <r>
    <m/>
    <m/>
    <x v="1"/>
    <s v="44289141002001"/>
    <n v="-35.86"/>
    <n v="912"/>
    <n v="2"/>
    <n v="1"/>
  </r>
  <r>
    <m/>
    <m/>
    <x v="1"/>
    <s v="44293551003001"/>
    <n v="-87.169999999999987"/>
    <n v="2135"/>
    <n v="2"/>
    <n v="1"/>
  </r>
  <r>
    <m/>
    <m/>
    <x v="1"/>
    <s v="44318891001003"/>
    <n v="-6.81"/>
    <n v="167"/>
    <n v="2"/>
    <n v="1"/>
  </r>
  <r>
    <m/>
    <m/>
    <x v="1"/>
    <s v="44319801001012"/>
    <n v="-41.85"/>
    <n v="1025"/>
    <n v="2"/>
    <n v="1"/>
  </r>
  <r>
    <m/>
    <m/>
    <x v="1"/>
    <s v="44326171004002"/>
    <n v="-17.189999999999998"/>
    <n v="421"/>
    <n v="2"/>
    <n v="1"/>
  </r>
  <r>
    <m/>
    <m/>
    <x v="1"/>
    <s v="44327781001003"/>
    <n v="-27.32"/>
    <n v="669"/>
    <n v="2"/>
    <n v="1"/>
  </r>
  <r>
    <m/>
    <m/>
    <x v="1"/>
    <s v="44340381001001"/>
    <n v="-104.16"/>
    <n v="2551"/>
    <n v="2"/>
    <n v="1"/>
  </r>
  <r>
    <m/>
    <m/>
    <x v="1"/>
    <s v="44364881001001"/>
    <n v="-86.15"/>
    <n v="2110"/>
    <n v="2"/>
    <n v="1"/>
  </r>
  <r>
    <m/>
    <m/>
    <x v="1"/>
    <s v="44365721001001"/>
    <n v="-80.349999999999994"/>
    <n v="1968"/>
    <n v="2"/>
    <n v="1"/>
  </r>
  <r>
    <m/>
    <m/>
    <x v="1"/>
    <s v="44389521001001"/>
    <n v="-66.59"/>
    <n v="1631"/>
    <n v="2"/>
    <n v="1"/>
  </r>
  <r>
    <m/>
    <m/>
    <x v="1"/>
    <s v="44423891001003"/>
    <n v="-15.88"/>
    <n v="405"/>
    <n v="1"/>
    <n v="1"/>
  </r>
  <r>
    <m/>
    <m/>
    <x v="1"/>
    <s v="44437261002001"/>
    <n v="-126.73"/>
    <n v="3232"/>
    <n v="1"/>
    <n v="1"/>
  </r>
  <r>
    <m/>
    <m/>
    <x v="1"/>
    <s v="44442320001003"/>
    <n v="-89.649999999999991"/>
    <n v="2240"/>
    <n v="2"/>
    <n v="1"/>
  </r>
  <r>
    <m/>
    <m/>
    <x v="1"/>
    <s v="44453142001001"/>
    <n v="-15.799999999999999"/>
    <n v="395"/>
    <n v="2"/>
    <n v="1"/>
  </r>
  <r>
    <m/>
    <m/>
    <x v="1"/>
    <s v="44484511001002"/>
    <n v="-43.7"/>
    <n v="1092"/>
    <n v="2"/>
    <n v="1"/>
  </r>
  <r>
    <m/>
    <m/>
    <x v="1"/>
    <s v="44490601001001"/>
    <n v="-39.199999999999996"/>
    <n v="994"/>
    <n v="2"/>
    <n v="1"/>
  </r>
  <r>
    <m/>
    <m/>
    <x v="1"/>
    <s v="44500331001001"/>
    <n v="-2.93"/>
    <n v="74"/>
    <n v="2"/>
    <n v="1"/>
  </r>
  <r>
    <m/>
    <m/>
    <x v="1"/>
    <s v="44502641001003"/>
    <n v="-131.51"/>
    <n v="3354"/>
    <n v="1"/>
    <n v="1"/>
  </r>
  <r>
    <m/>
    <m/>
    <x v="1"/>
    <s v="44504601004006"/>
    <n v="-98.210000000000008"/>
    <n v="2461"/>
    <n v="2"/>
    <n v="1"/>
  </r>
  <r>
    <m/>
    <m/>
    <x v="1"/>
    <s v="44525601001001"/>
    <n v="-54.21"/>
    <n v="1359"/>
    <n v="2"/>
    <n v="1"/>
  </r>
  <r>
    <m/>
    <m/>
    <x v="1"/>
    <s v="44528121001001"/>
    <n v="-58.75"/>
    <n v="1473"/>
    <n v="2"/>
    <n v="1"/>
  </r>
  <r>
    <m/>
    <m/>
    <x v="1"/>
    <s v="44543521001001"/>
    <n v="-108.92"/>
    <n v="2731"/>
    <n v="2"/>
    <n v="1"/>
  </r>
  <r>
    <m/>
    <m/>
    <x v="1"/>
    <s v="44545061002001"/>
    <n v="-52.519999999999996"/>
    <n v="1317"/>
    <n v="2"/>
    <n v="1"/>
  </r>
  <r>
    <m/>
    <m/>
    <x v="1"/>
    <s v="44548175002001"/>
    <n v="-3.69"/>
    <n v="94"/>
    <n v="1"/>
    <n v="1"/>
  </r>
  <r>
    <m/>
    <m/>
    <x v="1"/>
    <s v="44560811001004"/>
    <n v="-62.040000000000006"/>
    <n v="1550"/>
    <n v="2"/>
    <n v="1"/>
  </r>
  <r>
    <m/>
    <m/>
    <x v="1"/>
    <s v="44574881001005"/>
    <n v="-93.600000000000009"/>
    <n v="2347"/>
    <n v="2"/>
    <n v="1"/>
  </r>
  <r>
    <m/>
    <m/>
    <x v="1"/>
    <s v="44617161001001"/>
    <n v="-94.76"/>
    <n v="2376"/>
    <n v="2"/>
    <n v="1"/>
  </r>
  <r>
    <m/>
    <m/>
    <x v="1"/>
    <s v="44617721001003"/>
    <n v="-39.6"/>
    <n v="993"/>
    <n v="2"/>
    <n v="1"/>
  </r>
  <r>
    <m/>
    <m/>
    <x v="1"/>
    <s v="44628151002001"/>
    <n v="-119.41999999999999"/>
    <n v="2953"/>
    <n v="2"/>
    <n v="1"/>
  </r>
  <r>
    <m/>
    <m/>
    <x v="1"/>
    <s v="44686531002001"/>
    <n v="-13.09"/>
    <n v="328"/>
    <n v="2"/>
    <n v="1"/>
  </r>
  <r>
    <m/>
    <m/>
    <x v="1"/>
    <s v="44688351001001"/>
    <n v="-24.74"/>
    <n v="620"/>
    <n v="2"/>
    <n v="1"/>
  </r>
  <r>
    <m/>
    <m/>
    <x v="1"/>
    <s v="44688771001005"/>
    <n v="-143.19"/>
    <n v="3631"/>
    <n v="2"/>
    <n v="1"/>
  </r>
  <r>
    <m/>
    <m/>
    <x v="1"/>
    <s v="44698781001001"/>
    <n v="-10.97"/>
    <n v="275"/>
    <n v="2"/>
    <n v="1"/>
  </r>
  <r>
    <m/>
    <m/>
    <x v="1"/>
    <s v="44702771001003"/>
    <n v="-87.83"/>
    <n v="2240"/>
    <n v="1"/>
    <n v="1"/>
  </r>
  <r>
    <m/>
    <m/>
    <x v="1"/>
    <s v="44706621001001"/>
    <n v="-37.57"/>
    <n v="942"/>
    <n v="2"/>
    <n v="1"/>
  </r>
  <r>
    <m/>
    <m/>
    <x v="1"/>
    <s v="44717821001014"/>
    <n v="-25.13"/>
    <n v="626"/>
    <n v="2"/>
    <n v="1"/>
  </r>
  <r>
    <m/>
    <m/>
    <x v="1"/>
    <s v="44736744001004"/>
    <n v="-12.78"/>
    <n v="326"/>
    <n v="1"/>
    <n v="1"/>
  </r>
  <r>
    <m/>
    <m/>
    <x v="1"/>
    <s v="44773681001001"/>
    <n v="-141.68"/>
    <n v="3530"/>
    <n v="2"/>
    <n v="1"/>
  </r>
  <r>
    <m/>
    <m/>
    <x v="1"/>
    <s v="44774521001002"/>
    <n v="-86.51"/>
    <n v="2168"/>
    <n v="2"/>
    <n v="1"/>
  </r>
  <r>
    <m/>
    <m/>
    <x v="1"/>
    <s v="44781521001003"/>
    <n v="-108.13"/>
    <n v="2694"/>
    <n v="2"/>
    <n v="1"/>
  </r>
  <r>
    <m/>
    <m/>
    <x v="1"/>
    <s v="44789781001001"/>
    <n v="-103.18"/>
    <n v="2624"/>
    <n v="2"/>
    <n v="1"/>
  </r>
  <r>
    <m/>
    <m/>
    <x v="1"/>
    <s v="44804971001001"/>
    <n v="-29.58"/>
    <n v="739"/>
    <n v="2"/>
    <n v="1"/>
  </r>
  <r>
    <m/>
    <m/>
    <x v="1"/>
    <s v="44810291001002"/>
    <n v="-43.54"/>
    <n v="1088"/>
    <n v="2"/>
    <n v="1"/>
  </r>
  <r>
    <m/>
    <m/>
    <x v="1"/>
    <s v="44819842001003"/>
    <n v="-71.13"/>
    <n v="1747"/>
    <n v="2"/>
    <n v="1"/>
  </r>
  <r>
    <m/>
    <m/>
    <x v="1"/>
    <s v="44841161002001"/>
    <n v="-15.4"/>
    <n v="386"/>
    <n v="2"/>
    <n v="1"/>
  </r>
  <r>
    <m/>
    <m/>
    <x v="1"/>
    <s v="44843401002001"/>
    <n v="-52.980000000000004"/>
    <n v="1320"/>
    <n v="2"/>
    <n v="1"/>
  </r>
  <r>
    <m/>
    <m/>
    <x v="1"/>
    <s v="44859011005003"/>
    <n v="-9.59"/>
    <n v="235"/>
    <n v="2"/>
    <n v="1"/>
  </r>
  <r>
    <m/>
    <m/>
    <x v="1"/>
    <s v="44863491001001"/>
    <n v="-95.39"/>
    <n v="2419"/>
    <n v="2"/>
    <n v="1"/>
  </r>
  <r>
    <m/>
    <m/>
    <x v="1"/>
    <s v="44875461001001"/>
    <n v="-48.06"/>
    <n v="1201"/>
    <n v="2"/>
    <n v="1"/>
  </r>
  <r>
    <m/>
    <m/>
    <x v="1"/>
    <s v="44881201001001"/>
    <n v="-70.84"/>
    <n v="1770"/>
    <n v="2"/>
    <n v="1"/>
  </r>
  <r>
    <m/>
    <m/>
    <x v="1"/>
    <s v="44881271001004"/>
    <n v="-110.14"/>
    <n v="2752"/>
    <n v="2"/>
    <n v="1"/>
  </r>
  <r>
    <m/>
    <m/>
    <x v="1"/>
    <s v="44885681001001"/>
    <n v="-72.84"/>
    <n v="1820"/>
    <n v="2"/>
    <n v="1"/>
  </r>
  <r>
    <m/>
    <m/>
    <x v="1"/>
    <s v="44893521001001"/>
    <n v="-10.29"/>
    <n v="257"/>
    <n v="2"/>
    <n v="1"/>
  </r>
  <r>
    <m/>
    <m/>
    <x v="1"/>
    <s v="44896251001001"/>
    <n v="-75.92"/>
    <n v="1897"/>
    <n v="2"/>
    <n v="1"/>
  </r>
  <r>
    <m/>
    <m/>
    <x v="1"/>
    <s v="44898351001001"/>
    <n v="-160.88"/>
    <n v="4020"/>
    <n v="2"/>
    <n v="1"/>
  </r>
  <r>
    <m/>
    <m/>
    <x v="1"/>
    <s v="44902061004004"/>
    <n v="-122.66"/>
    <n v="3056"/>
    <n v="2"/>
    <n v="1"/>
  </r>
  <r>
    <m/>
    <m/>
    <x v="1"/>
    <s v="44906681002005"/>
    <n v="-58.949999999999996"/>
    <n v="1473"/>
    <n v="2"/>
    <n v="1"/>
  </r>
  <r>
    <m/>
    <m/>
    <x v="1"/>
    <s v="44935424001005"/>
    <n v="-35.260000000000005"/>
    <n v="881"/>
    <n v="2"/>
    <n v="1"/>
  </r>
  <r>
    <m/>
    <m/>
    <x v="1"/>
    <s v="44955261001002"/>
    <n v="-160.1"/>
    <n v="4060"/>
    <n v="2"/>
    <n v="1"/>
  </r>
  <r>
    <m/>
    <m/>
    <x v="1"/>
    <s v="44959251002002"/>
    <n v="-88.539999999999992"/>
    <n v="2206"/>
    <n v="2"/>
    <n v="1"/>
  </r>
  <r>
    <m/>
    <m/>
    <x v="1"/>
    <s v="44976331003006"/>
    <n v="-22.11"/>
    <n v="564"/>
    <n v="1"/>
    <n v="1"/>
  </r>
  <r>
    <m/>
    <m/>
    <x v="1"/>
    <s v="44983051001001"/>
    <n v="-93.56"/>
    <n v="2338"/>
    <n v="2"/>
    <n v="1"/>
  </r>
  <r>
    <m/>
    <m/>
    <x v="1"/>
    <s v="44995807001001"/>
    <n v="-3.14"/>
    <n v="80"/>
    <n v="1"/>
    <n v="1"/>
  </r>
  <r>
    <m/>
    <m/>
    <x v="1"/>
    <s v="45016581002001"/>
    <n v="-62.18"/>
    <n v="1542"/>
    <n v="2"/>
    <n v="1"/>
  </r>
  <r>
    <m/>
    <m/>
    <x v="1"/>
    <s v="45022391001002"/>
    <n v="-1.62"/>
    <n v="40"/>
    <n v="2"/>
    <n v="1"/>
  </r>
  <r>
    <m/>
    <m/>
    <x v="1"/>
    <s v="45023091001001"/>
    <n v="-17.350000000000001"/>
    <n v="429"/>
    <n v="2"/>
    <n v="1"/>
  </r>
  <r>
    <m/>
    <m/>
    <x v="1"/>
    <s v="45028411001001"/>
    <n v="-50.22"/>
    <n v="1242"/>
    <n v="2"/>
    <n v="1"/>
  </r>
  <r>
    <m/>
    <m/>
    <x v="1"/>
    <s v="45036951004011"/>
    <n v="-39.75"/>
    <n v="983"/>
    <n v="2"/>
    <n v="1"/>
  </r>
  <r>
    <m/>
    <m/>
    <x v="1"/>
    <s v="45038491003003"/>
    <n v="-60.85"/>
    <n v="1552"/>
    <n v="1"/>
    <n v="1"/>
  </r>
  <r>
    <m/>
    <m/>
    <x v="1"/>
    <s v="45047591003001"/>
    <n v="-44.36"/>
    <n v="1097"/>
    <n v="2"/>
    <n v="1"/>
  </r>
  <r>
    <m/>
    <m/>
    <x v="1"/>
    <s v="45048081001001"/>
    <n v="-111.82000000000001"/>
    <n v="2765"/>
    <n v="2"/>
    <n v="1"/>
  </r>
  <r>
    <m/>
    <m/>
    <x v="1"/>
    <s v="45058021001005"/>
    <n v="-86.2"/>
    <n v="2154"/>
    <n v="2"/>
    <n v="1"/>
  </r>
  <r>
    <m/>
    <m/>
    <x v="1"/>
    <s v="45058426001008"/>
    <n v="-45.33"/>
    <n v="1156"/>
    <n v="1"/>
    <n v="1"/>
  </r>
  <r>
    <m/>
    <m/>
    <x v="1"/>
    <s v="45064181002001"/>
    <n v="-2.77"/>
    <n v="70"/>
    <n v="2"/>
    <n v="1"/>
  </r>
  <r>
    <m/>
    <m/>
    <x v="1"/>
    <s v="45064461001001"/>
    <n v="-79.83"/>
    <n v="1974"/>
    <n v="2"/>
    <n v="1"/>
  </r>
  <r>
    <m/>
    <m/>
    <x v="1"/>
    <s v="45064531001001"/>
    <n v="-53.99"/>
    <n v="1335"/>
    <n v="2"/>
    <n v="1"/>
  </r>
  <r>
    <m/>
    <m/>
    <x v="1"/>
    <s v="45064881001001"/>
    <n v="-141.66999999999999"/>
    <n v="3503"/>
    <n v="2"/>
    <n v="1"/>
  </r>
  <r>
    <m/>
    <m/>
    <x v="1"/>
    <s v="45073281001004"/>
    <n v="-91.65"/>
    <n v="2273"/>
    <n v="2"/>
    <n v="1"/>
  </r>
  <r>
    <m/>
    <m/>
    <x v="1"/>
    <s v="45077271001001"/>
    <n v="-11.969999999999999"/>
    <n v="297"/>
    <n v="2"/>
    <n v="1"/>
  </r>
  <r>
    <m/>
    <m/>
    <x v="1"/>
    <s v="45081471001002"/>
    <n v="-69.48"/>
    <n v="1718"/>
    <n v="2"/>
    <n v="1"/>
  </r>
  <r>
    <m/>
    <m/>
    <x v="1"/>
    <s v="45098621007001"/>
    <n v="-66.569999999999993"/>
    <n v="1635"/>
    <n v="2"/>
    <n v="1"/>
  </r>
  <r>
    <m/>
    <m/>
    <x v="1"/>
    <s v="45101911002002"/>
    <n v="-64.210000000000008"/>
    <n v="1610"/>
    <n v="2"/>
    <n v="1"/>
  </r>
  <r>
    <m/>
    <m/>
    <x v="1"/>
    <s v="45119621001001"/>
    <n v="-70.08"/>
    <n v="1777"/>
    <n v="2"/>
    <n v="1"/>
  </r>
  <r>
    <m/>
    <m/>
    <x v="1"/>
    <s v="45124731002005"/>
    <n v="-56.069999999999993"/>
    <n v="1405"/>
    <n v="2"/>
    <n v="1"/>
  </r>
  <r>
    <m/>
    <m/>
    <x v="1"/>
    <s v="45126411001001"/>
    <n v="-72.45"/>
    <n v="1797"/>
    <n v="2"/>
    <n v="1"/>
  </r>
  <r>
    <m/>
    <m/>
    <x v="1"/>
    <s v="45128441001005"/>
    <n v="-34.260000000000005"/>
    <n v="847"/>
    <n v="2"/>
    <n v="1"/>
  </r>
  <r>
    <m/>
    <m/>
    <x v="1"/>
    <s v="45128931001001"/>
    <n v="-72.569999999999993"/>
    <n v="1800"/>
    <n v="2"/>
    <n v="1"/>
  </r>
  <r>
    <m/>
    <m/>
    <x v="1"/>
    <s v="45133320001001"/>
    <n v="-96.42"/>
    <n v="2459"/>
    <n v="1"/>
    <n v="1"/>
  </r>
  <r>
    <m/>
    <m/>
    <x v="1"/>
    <s v="45136421001001"/>
    <n v="-116.34"/>
    <n v="2967"/>
    <n v="1"/>
    <n v="1"/>
  </r>
  <r>
    <m/>
    <m/>
    <x v="1"/>
    <s v="45143631001001"/>
    <n v="-12.47"/>
    <n v="318"/>
    <n v="1"/>
    <n v="1"/>
  </r>
  <r>
    <m/>
    <m/>
    <x v="1"/>
    <s v="45161201003001"/>
    <n v="-44.82"/>
    <n v="1143"/>
    <n v="1"/>
    <n v="1"/>
  </r>
  <r>
    <m/>
    <m/>
    <x v="1"/>
    <s v="45162468001001"/>
    <n v="-108.78"/>
    <n v="2718"/>
    <n v="2"/>
    <n v="1"/>
  </r>
  <r>
    <m/>
    <m/>
    <x v="1"/>
    <s v="45170721001001"/>
    <n v="-80.62"/>
    <n v="2056"/>
    <n v="1"/>
    <n v="1"/>
  </r>
  <r>
    <m/>
    <m/>
    <x v="1"/>
    <s v="45174711001002"/>
    <n v="-4.74"/>
    <n v="121"/>
    <n v="1"/>
    <n v="1"/>
  </r>
  <r>
    <m/>
    <m/>
    <x v="1"/>
    <s v="45181641011001"/>
    <n v="-184.64"/>
    <n v="4665"/>
    <n v="2"/>
    <n v="1"/>
  </r>
  <r>
    <m/>
    <m/>
    <x v="1"/>
    <s v="45188221002002"/>
    <n v="-63.09"/>
    <n v="1609"/>
    <n v="1"/>
    <n v="1"/>
  </r>
  <r>
    <m/>
    <m/>
    <x v="1"/>
    <s v="45190531001001"/>
    <n v="-15.17"/>
    <n v="387"/>
    <n v="1"/>
    <n v="1"/>
  </r>
  <r>
    <m/>
    <m/>
    <x v="1"/>
    <s v="45191721001004"/>
    <n v="-45.1"/>
    <n v="1127"/>
    <n v="2"/>
    <n v="1"/>
  </r>
  <r>
    <m/>
    <m/>
    <x v="1"/>
    <s v="45192001001001"/>
    <n v="-59.32"/>
    <n v="1513"/>
    <n v="1"/>
    <n v="1"/>
  </r>
  <r>
    <m/>
    <m/>
    <x v="1"/>
    <s v="45194661001001"/>
    <n v="-44.31"/>
    <n v="1130"/>
    <n v="1"/>
    <n v="1"/>
  </r>
  <r>
    <m/>
    <m/>
    <x v="1"/>
    <s v="45195221001002"/>
    <n v="-24.78"/>
    <n v="632"/>
    <n v="1"/>
    <n v="1"/>
  </r>
  <r>
    <m/>
    <m/>
    <x v="1"/>
    <s v="45195641001001"/>
    <n v="-76.069999999999993"/>
    <n v="1940"/>
    <n v="1"/>
    <n v="1"/>
  </r>
  <r>
    <m/>
    <m/>
    <x v="1"/>
    <s v="45196971002001"/>
    <n v="-44.97"/>
    <n v="1147"/>
    <n v="1"/>
    <n v="1"/>
  </r>
  <r>
    <m/>
    <m/>
    <x v="1"/>
    <s v="45197951006001"/>
    <n v="-12.47"/>
    <n v="318"/>
    <n v="1"/>
    <n v="1"/>
  </r>
  <r>
    <m/>
    <m/>
    <x v="1"/>
    <s v="45204881002001"/>
    <n v="-30.3"/>
    <n v="739"/>
    <n v="2"/>
    <n v="1"/>
  </r>
  <r>
    <m/>
    <m/>
    <x v="1"/>
    <s v="45206841001001"/>
    <n v="-97.99"/>
    <n v="2499"/>
    <n v="1"/>
    <n v="1"/>
  </r>
  <r>
    <m/>
    <m/>
    <x v="1"/>
    <s v="45222165001003"/>
    <n v="-50.97"/>
    <n v="1300"/>
    <n v="1"/>
    <n v="1"/>
  </r>
  <r>
    <m/>
    <m/>
    <x v="1"/>
    <s v="45233441001001"/>
    <n v="-67.91"/>
    <n v="1732"/>
    <n v="1"/>
    <n v="1"/>
  </r>
  <r>
    <m/>
    <m/>
    <x v="1"/>
    <s v="45241140001003"/>
    <n v="-33.71"/>
    <n v="813"/>
    <n v="2"/>
    <n v="1"/>
  </r>
  <r>
    <m/>
    <m/>
    <x v="1"/>
    <s v="45259201001001"/>
    <n v="-70.38"/>
    <n v="1795"/>
    <n v="1"/>
    <n v="1"/>
  </r>
  <r>
    <m/>
    <m/>
    <x v="1"/>
    <s v="45324791001001"/>
    <n v="-123.39"/>
    <n v="3147"/>
    <n v="1"/>
    <n v="1"/>
  </r>
  <r>
    <m/>
    <m/>
    <x v="1"/>
    <s v="45329411001001"/>
    <n v="-5.18"/>
    <n v="132"/>
    <n v="1"/>
    <n v="1"/>
  </r>
  <r>
    <m/>
    <m/>
    <x v="1"/>
    <s v="45350901001001"/>
    <n v="-8.43"/>
    <n v="215"/>
    <n v="1"/>
    <n v="1"/>
  </r>
  <r>
    <m/>
    <m/>
    <x v="1"/>
    <s v="45353841001001"/>
    <n v="-33.25"/>
    <n v="848"/>
    <n v="1"/>
    <n v="1"/>
  </r>
  <r>
    <m/>
    <m/>
    <x v="1"/>
    <s v="45356641001001"/>
    <n v="-94.1"/>
    <n v="2400"/>
    <n v="1"/>
    <n v="1"/>
  </r>
  <r>
    <m/>
    <m/>
    <x v="1"/>
    <s v="45372671002001"/>
    <n v="-52.15"/>
    <n v="1330"/>
    <n v="1"/>
    <n v="1"/>
  </r>
  <r>
    <m/>
    <m/>
    <x v="1"/>
    <s v="45382121001001"/>
    <n v="-65.95"/>
    <n v="1682"/>
    <n v="1"/>
    <n v="1"/>
  </r>
  <r>
    <m/>
    <m/>
    <x v="1"/>
    <s v="45384361001001"/>
    <n v="-81.790000000000006"/>
    <n v="2086"/>
    <n v="1"/>
    <n v="1"/>
  </r>
  <r>
    <m/>
    <m/>
    <x v="1"/>
    <s v="45389331002003"/>
    <n v="-17.87"/>
    <n v="448"/>
    <n v="2"/>
    <n v="1"/>
  </r>
  <r>
    <m/>
    <m/>
    <x v="1"/>
    <s v="45390801001001"/>
    <n v="-76.069999999999993"/>
    <n v="1940"/>
    <n v="1"/>
    <n v="1"/>
  </r>
  <r>
    <m/>
    <m/>
    <x v="1"/>
    <s v="45395421001001"/>
    <n v="-25.56"/>
    <n v="652"/>
    <n v="1"/>
    <n v="1"/>
  </r>
  <r>
    <m/>
    <m/>
    <x v="1"/>
    <s v="45433851004001"/>
    <n v="-42.03"/>
    <n v="1072"/>
    <n v="1"/>
    <n v="1"/>
  </r>
  <r>
    <m/>
    <m/>
    <x v="1"/>
    <s v="45446941001001"/>
    <n v="-117.24"/>
    <n v="2990"/>
    <n v="1"/>
    <n v="1"/>
  </r>
  <r>
    <m/>
    <m/>
    <x v="1"/>
    <s v="45454501002002"/>
    <n v="-43.44"/>
    <n v="1108"/>
    <n v="1"/>
    <n v="1"/>
  </r>
  <r>
    <m/>
    <m/>
    <x v="1"/>
    <s v="45466051001001"/>
    <n v="-45.56"/>
    <n v="1162"/>
    <n v="1"/>
    <n v="1"/>
  </r>
  <r>
    <m/>
    <m/>
    <x v="1"/>
    <s v="45468781001001"/>
    <n v="-59.52"/>
    <n v="1518"/>
    <n v="1"/>
    <n v="1"/>
  </r>
  <r>
    <m/>
    <m/>
    <x v="1"/>
    <s v="45472001001001"/>
    <n v="-38.9"/>
    <n v="992"/>
    <n v="1"/>
    <n v="1"/>
  </r>
  <r>
    <m/>
    <m/>
    <x v="1"/>
    <s v="45473261001002"/>
    <n v="-6.9"/>
    <n v="176"/>
    <n v="1"/>
    <n v="1"/>
  </r>
  <r>
    <m/>
    <m/>
    <x v="1"/>
    <s v="45491181001001"/>
    <n v="-9.41"/>
    <n v="240"/>
    <n v="1"/>
    <n v="1"/>
  </r>
  <r>
    <m/>
    <m/>
    <x v="1"/>
    <s v="45496921001002"/>
    <n v="-26.39"/>
    <n v="673"/>
    <n v="1"/>
    <n v="1"/>
  </r>
  <r>
    <m/>
    <m/>
    <x v="1"/>
    <s v="45503921006001"/>
    <n v="-46.35"/>
    <n v="1182"/>
    <n v="1"/>
    <n v="1"/>
  </r>
  <r>
    <m/>
    <m/>
    <x v="1"/>
    <s v="45512671001001"/>
    <n v="-91.12"/>
    <n v="2324"/>
    <n v="1"/>
    <n v="1"/>
  </r>
  <r>
    <m/>
    <m/>
    <x v="1"/>
    <s v="45513791001001"/>
    <n v="-55.48"/>
    <n v="1415"/>
    <n v="1"/>
    <n v="1"/>
  </r>
  <r>
    <m/>
    <m/>
    <x v="1"/>
    <s v="45529821001003"/>
    <n v="-0.47"/>
    <n v="12"/>
    <n v="1"/>
    <n v="1"/>
  </r>
  <r>
    <m/>
    <m/>
    <x v="1"/>
    <s v="45559221007005"/>
    <n v="-82.37"/>
    <n v="1987"/>
    <n v="2"/>
    <n v="1"/>
  </r>
  <r>
    <m/>
    <m/>
    <x v="1"/>
    <s v="45626771003001"/>
    <n v="-128.1"/>
    <n v="3267"/>
    <n v="1"/>
    <n v="1"/>
  </r>
  <r>
    <m/>
    <m/>
    <x v="1"/>
    <s v="45644831001001"/>
    <n v="-56.129999999999995"/>
    <n v="1354"/>
    <n v="2"/>
    <n v="1"/>
  </r>
  <r>
    <m/>
    <m/>
    <x v="1"/>
    <s v="45645881001002"/>
    <n v="-303.96000000000004"/>
    <n v="7332"/>
    <n v="2"/>
    <n v="1"/>
  </r>
  <r>
    <m/>
    <m/>
    <x v="1"/>
    <s v="45742621001001"/>
    <n v="-157.04"/>
    <n v="3808"/>
    <n v="2"/>
    <n v="1"/>
  </r>
  <r>
    <m/>
    <m/>
    <x v="1"/>
    <s v="45751371001001"/>
    <n v="-37.69"/>
    <n v="914"/>
    <n v="2"/>
    <n v="1"/>
  </r>
  <r>
    <m/>
    <m/>
    <x v="1"/>
    <s v="45751441001001"/>
    <n v="-123.3"/>
    <n v="2990"/>
    <n v="2"/>
    <n v="1"/>
  </r>
  <r>
    <m/>
    <m/>
    <x v="1"/>
    <s v="45755851001001"/>
    <n v="-86.39"/>
    <n v="2095"/>
    <n v="2"/>
    <n v="1"/>
  </r>
  <r>
    <m/>
    <m/>
    <x v="1"/>
    <s v="45757897001005"/>
    <n v="-71.55"/>
    <n v="1794"/>
    <n v="2"/>
    <n v="1"/>
  </r>
  <r>
    <m/>
    <m/>
    <x v="1"/>
    <s v="45768031001001"/>
    <n v="-68.91"/>
    <n v="1671"/>
    <n v="2"/>
    <n v="1"/>
  </r>
  <r>
    <m/>
    <m/>
    <x v="1"/>
    <s v="45771181001001"/>
    <n v="-119.22"/>
    <n v="2891"/>
    <n v="2"/>
    <n v="1"/>
  </r>
  <r>
    <m/>
    <m/>
    <x v="1"/>
    <s v="45785111001001"/>
    <n v="-20.67"/>
    <n v="504"/>
    <n v="2"/>
    <n v="1"/>
  </r>
  <r>
    <m/>
    <m/>
    <x v="1"/>
    <s v="45785601001001"/>
    <n v="-44.74"/>
    <n v="1091"/>
    <n v="2"/>
    <n v="1"/>
  </r>
  <r>
    <m/>
    <m/>
    <x v="1"/>
    <s v="45786091001001"/>
    <n v="-138.78"/>
    <n v="3384"/>
    <n v="2"/>
    <n v="1"/>
  </r>
  <r>
    <m/>
    <m/>
    <x v="1"/>
    <s v="45787701001001"/>
    <n v="-72.63"/>
    <n v="1771"/>
    <n v="2"/>
    <n v="1"/>
  </r>
  <r>
    <m/>
    <m/>
    <x v="1"/>
    <s v="45799741001002"/>
    <n v="-175.38"/>
    <n v="4253"/>
    <n v="2"/>
    <n v="1"/>
  </r>
  <r>
    <m/>
    <m/>
    <x v="1"/>
    <s v="45846991001001"/>
    <n v="-102.46"/>
    <n v="2613"/>
    <n v="1"/>
    <n v="1"/>
  </r>
  <r>
    <m/>
    <m/>
    <x v="1"/>
    <s v="45848041001001"/>
    <n v="-108.53"/>
    <n v="2768"/>
    <n v="1"/>
    <n v="1"/>
  </r>
  <r>
    <m/>
    <m/>
    <x v="1"/>
    <s v="45878001001001"/>
    <n v="-41.33"/>
    <n v="1054"/>
    <n v="1"/>
    <n v="1"/>
  </r>
  <r>
    <m/>
    <m/>
    <x v="1"/>
    <s v="45884231001001"/>
    <n v="-103.2"/>
    <n v="2632"/>
    <n v="1"/>
    <n v="1"/>
  </r>
  <r>
    <m/>
    <m/>
    <x v="1"/>
    <s v="45885065001001"/>
    <n v="-190.96"/>
    <n v="4722"/>
    <n v="2"/>
    <n v="1"/>
  </r>
  <r>
    <m/>
    <m/>
    <x v="1"/>
    <s v="45896761002001"/>
    <n v="-40.61"/>
    <n v="1030"/>
    <n v="2"/>
    <n v="1"/>
  </r>
  <r>
    <m/>
    <m/>
    <x v="1"/>
    <s v="45898663001009"/>
    <n v="-54.38"/>
    <n v="1387"/>
    <n v="1"/>
    <n v="1"/>
  </r>
  <r>
    <m/>
    <m/>
    <x v="1"/>
    <s v="45900611001001"/>
    <n v="-50.7"/>
    <n v="1293"/>
    <n v="1"/>
    <n v="1"/>
  </r>
  <r>
    <m/>
    <m/>
    <x v="1"/>
    <s v="45918951003002"/>
    <n v="-40.86"/>
    <n v="1042"/>
    <n v="1"/>
    <n v="1"/>
  </r>
  <r>
    <m/>
    <m/>
    <x v="1"/>
    <s v="45931061001003"/>
    <n v="-106.94"/>
    <n v="2672"/>
    <n v="2"/>
    <n v="1"/>
  </r>
  <r>
    <m/>
    <m/>
    <x v="1"/>
    <s v="45934211002001"/>
    <n v="-65.44"/>
    <n v="1669"/>
    <n v="1"/>
    <n v="1"/>
  </r>
  <r>
    <m/>
    <m/>
    <x v="1"/>
    <s v="45986501004003"/>
    <n v="-96.02000000000001"/>
    <n v="2406"/>
    <n v="2"/>
    <n v="1"/>
  </r>
  <r>
    <m/>
    <m/>
    <x v="1"/>
    <s v="45996931001002"/>
    <n v="-45.94"/>
    <n v="1114"/>
    <n v="2"/>
    <n v="1"/>
  </r>
  <r>
    <m/>
    <m/>
    <x v="1"/>
    <s v="46002181001004"/>
    <n v="-98.68"/>
    <n v="2374"/>
    <n v="2"/>
    <n v="1"/>
  </r>
  <r>
    <m/>
    <m/>
    <x v="1"/>
    <s v="46014571002003"/>
    <n v="-62.74"/>
    <n v="1530"/>
    <n v="2"/>
    <n v="1"/>
  </r>
  <r>
    <m/>
    <m/>
    <x v="1"/>
    <s v="46074210001001"/>
    <n v="-42.5"/>
    <n v="1084"/>
    <n v="1"/>
    <n v="1"/>
  </r>
  <r>
    <m/>
    <m/>
    <x v="1"/>
    <s v="46120971001001"/>
    <n v="-9.4499999999999993"/>
    <n v="241"/>
    <n v="1"/>
    <n v="1"/>
  </r>
  <r>
    <m/>
    <m/>
    <x v="1"/>
    <s v="46133151002005"/>
    <n v="-95.210000000000008"/>
    <n v="2379"/>
    <n v="2"/>
    <n v="1"/>
  </r>
  <r>
    <m/>
    <m/>
    <x v="1"/>
    <s v="46135041001002"/>
    <n v="-91.91"/>
    <n v="2344"/>
    <n v="1"/>
    <n v="1"/>
  </r>
  <r>
    <m/>
    <m/>
    <x v="1"/>
    <s v="46135601001001"/>
    <n v="-49.52"/>
    <n v="1263"/>
    <n v="1"/>
    <n v="1"/>
  </r>
  <r>
    <m/>
    <m/>
    <x v="1"/>
    <s v="46146381001003"/>
    <n v="-85.44"/>
    <n v="2179"/>
    <n v="1"/>
    <n v="1"/>
  </r>
  <r>
    <m/>
    <m/>
    <x v="1"/>
    <s v="46176053001002"/>
    <n v="-82.07"/>
    <n v="2093"/>
    <n v="1"/>
    <n v="1"/>
  </r>
  <r>
    <m/>
    <m/>
    <x v="1"/>
    <s v="46178853001001"/>
    <n v="-8.0500000000000007"/>
    <n v="194"/>
    <n v="2"/>
    <n v="1"/>
  </r>
  <r>
    <m/>
    <m/>
    <x v="1"/>
    <s v="46246869001009"/>
    <n v="-64.16"/>
    <n v="1627"/>
    <n v="2"/>
    <n v="1"/>
  </r>
  <r>
    <m/>
    <m/>
    <x v="1"/>
    <s v="46255143001001"/>
    <n v="-49.45"/>
    <n v="1240"/>
    <n v="2"/>
    <n v="1"/>
  </r>
  <r>
    <m/>
    <m/>
    <x v="1"/>
    <s v="46279591001002"/>
    <n v="-63.44"/>
    <n v="1618"/>
    <n v="1"/>
    <n v="1"/>
  </r>
  <r>
    <m/>
    <m/>
    <x v="1"/>
    <s v="46289951001001"/>
    <n v="-91.18"/>
    <n v="2211"/>
    <n v="2"/>
    <n v="1"/>
  </r>
  <r>
    <m/>
    <m/>
    <x v="1"/>
    <s v="46327821002001"/>
    <n v="-133.66999999999999"/>
    <n v="3409"/>
    <n v="1"/>
    <n v="1"/>
  </r>
  <r>
    <m/>
    <m/>
    <x v="1"/>
    <s v="46341891001007"/>
    <n v="-45.99"/>
    <n v="1173"/>
    <n v="1"/>
    <n v="1"/>
  </r>
  <r>
    <m/>
    <m/>
    <x v="1"/>
    <s v="46367511001007"/>
    <n v="-7.41"/>
    <n v="189"/>
    <n v="1"/>
    <n v="1"/>
  </r>
  <r>
    <m/>
    <m/>
    <x v="1"/>
    <s v="46370031001001"/>
    <n v="-57.33"/>
    <n v="1462"/>
    <n v="1"/>
    <n v="1"/>
  </r>
  <r>
    <m/>
    <m/>
    <x v="1"/>
    <s v="46400411001001"/>
    <n v="-23.21"/>
    <n v="592"/>
    <n v="1"/>
    <n v="1"/>
  </r>
  <r>
    <m/>
    <m/>
    <x v="1"/>
    <s v="46421145001001"/>
    <n v="-57.99"/>
    <n v="1479"/>
    <n v="1"/>
    <n v="1"/>
  </r>
  <r>
    <m/>
    <m/>
    <x v="1"/>
    <s v="46430371001002"/>
    <n v="-36.54"/>
    <n v="932"/>
    <n v="1"/>
    <n v="1"/>
  </r>
  <r>
    <m/>
    <m/>
    <x v="1"/>
    <s v="46458791001003"/>
    <n v="-39.950000000000003"/>
    <n v="1019"/>
    <n v="1"/>
    <n v="1"/>
  </r>
  <r>
    <m/>
    <m/>
    <x v="1"/>
    <s v="46475241001003"/>
    <n v="-62.03"/>
    <n v="1582"/>
    <n v="1"/>
    <n v="1"/>
  </r>
  <r>
    <m/>
    <m/>
    <x v="1"/>
    <s v="46482661001005"/>
    <n v="-151.38999999999999"/>
    <n v="3642"/>
    <n v="2"/>
    <n v="1"/>
  </r>
  <r>
    <m/>
    <m/>
    <x v="1"/>
    <s v="46488681001003"/>
    <n v="-142.19999999999999"/>
    <n v="3543"/>
    <n v="2"/>
    <n v="1"/>
  </r>
  <r>
    <m/>
    <m/>
    <x v="1"/>
    <s v="46504501001001"/>
    <n v="-55.930000000000007"/>
    <n v="1383"/>
    <n v="2"/>
    <n v="1"/>
  </r>
  <r>
    <m/>
    <m/>
    <x v="1"/>
    <s v="46541956001001"/>
    <n v="-24.37"/>
    <n v="607"/>
    <n v="2"/>
    <n v="1"/>
  </r>
  <r>
    <m/>
    <m/>
    <x v="1"/>
    <s v="46578701001001"/>
    <n v="-48.86"/>
    <n v="1200"/>
    <n v="2"/>
    <n v="1"/>
  </r>
  <r>
    <m/>
    <m/>
    <x v="1"/>
    <s v="46581641003003"/>
    <n v="-52.8"/>
    <n v="1270"/>
    <n v="2"/>
    <n v="1"/>
  </r>
  <r>
    <m/>
    <m/>
    <x v="1"/>
    <s v="46613701001001"/>
    <n v="-95.990000000000009"/>
    <n v="2381"/>
    <n v="2"/>
    <n v="1"/>
  </r>
  <r>
    <m/>
    <m/>
    <x v="1"/>
    <s v="46748171001002"/>
    <n v="-133.47"/>
    <n v="3404"/>
    <n v="1"/>
    <n v="1"/>
  </r>
  <r>
    <m/>
    <m/>
    <x v="1"/>
    <s v="46763571002001"/>
    <n v="-14.25"/>
    <n v="356"/>
    <n v="2"/>
    <n v="1"/>
  </r>
  <r>
    <m/>
    <m/>
    <x v="1"/>
    <s v="46769241002001"/>
    <n v="-71.44"/>
    <n v="1822"/>
    <n v="1"/>
    <n v="1"/>
  </r>
  <r>
    <m/>
    <m/>
    <x v="1"/>
    <s v="46791361001012"/>
    <n v="-14.67"/>
    <n v="341"/>
    <n v="1"/>
    <n v="1"/>
  </r>
  <r>
    <m/>
    <m/>
    <x v="1"/>
    <s v="46829091001001"/>
    <n v="-38.19"/>
    <n v="974"/>
    <n v="1"/>
    <n v="1"/>
  </r>
  <r>
    <m/>
    <m/>
    <x v="1"/>
    <s v="46831051002001"/>
    <n v="-77.48"/>
    <n v="1976"/>
    <n v="1"/>
    <n v="1"/>
  </r>
  <r>
    <m/>
    <m/>
    <x v="1"/>
    <s v="46858841001004"/>
    <n v="-149.27000000000001"/>
    <n v="3807"/>
    <n v="1"/>
    <n v="1"/>
  </r>
  <r>
    <m/>
    <m/>
    <x v="1"/>
    <s v="46867241001005"/>
    <n v="-46.06"/>
    <n v="1151"/>
    <n v="2"/>
    <n v="1"/>
  </r>
  <r>
    <m/>
    <m/>
    <x v="1"/>
    <s v="46883740001002"/>
    <n v="-56.07"/>
    <n v="1430"/>
    <n v="1"/>
    <n v="1"/>
  </r>
  <r>
    <m/>
    <m/>
    <x v="1"/>
    <s v="46885231001001"/>
    <n v="-57.589999999999996"/>
    <n v="1435"/>
    <n v="2"/>
    <n v="1"/>
  </r>
  <r>
    <m/>
    <m/>
    <x v="1"/>
    <s v="46905092001001"/>
    <n v="-46.27"/>
    <n v="1180"/>
    <n v="1"/>
    <n v="1"/>
  </r>
  <r>
    <m/>
    <m/>
    <x v="1"/>
    <s v="46912138001001"/>
    <n v="-128.35"/>
    <n v="3130"/>
    <n v="2"/>
    <n v="1"/>
  </r>
  <r>
    <m/>
    <m/>
    <x v="1"/>
    <s v="46913740001001"/>
    <n v="-19.29"/>
    <n v="492"/>
    <n v="1"/>
    <n v="1"/>
  </r>
  <r>
    <m/>
    <m/>
    <x v="1"/>
    <s v="46948371001001"/>
    <n v="-25.86"/>
    <n v="644"/>
    <n v="2"/>
    <n v="1"/>
  </r>
  <r>
    <m/>
    <m/>
    <x v="1"/>
    <s v="46950121002001"/>
    <n v="-29.380000000000003"/>
    <n v="732"/>
    <n v="2"/>
    <n v="1"/>
  </r>
  <r>
    <m/>
    <m/>
    <x v="1"/>
    <s v="46950191001002"/>
    <n v="-13.08"/>
    <n v="326"/>
    <n v="2"/>
    <n v="1"/>
  </r>
  <r>
    <m/>
    <m/>
    <x v="1"/>
    <s v="46955931001002"/>
    <n v="-26.05"/>
    <n v="649"/>
    <n v="2"/>
    <n v="1"/>
  </r>
  <r>
    <m/>
    <m/>
    <x v="1"/>
    <s v="46962301001002"/>
    <n v="-27.18"/>
    <n v="677"/>
    <n v="2"/>
    <n v="1"/>
  </r>
  <r>
    <m/>
    <m/>
    <x v="1"/>
    <s v="46966151001003"/>
    <n v="-63.56"/>
    <n v="1529"/>
    <n v="2"/>
    <n v="1"/>
  </r>
  <r>
    <m/>
    <m/>
    <x v="1"/>
    <s v="46969161001001"/>
    <n v="-5.38"/>
    <n v="134"/>
    <n v="2"/>
    <n v="1"/>
  </r>
  <r>
    <m/>
    <m/>
    <x v="1"/>
    <s v="47001382001001"/>
    <n v="-111.24"/>
    <n v="2837"/>
    <n v="1"/>
    <n v="1"/>
  </r>
  <r>
    <m/>
    <m/>
    <x v="1"/>
    <s v="47139891001002"/>
    <n v="-14.12"/>
    <n v="360"/>
    <n v="1"/>
    <n v="1"/>
  </r>
  <r>
    <m/>
    <m/>
    <x v="1"/>
    <s v="47140101001006"/>
    <n v="-34.07"/>
    <n v="869"/>
    <n v="1"/>
    <n v="1"/>
  </r>
  <r>
    <m/>
    <m/>
    <x v="1"/>
    <s v="47142481001004"/>
    <n v="-5.72"/>
    <n v="146"/>
    <n v="1"/>
    <n v="1"/>
  </r>
  <r>
    <m/>
    <m/>
    <x v="1"/>
    <s v="47180631003001"/>
    <n v="-42.35"/>
    <n v="1080"/>
    <n v="1"/>
    <n v="1"/>
  </r>
  <r>
    <m/>
    <m/>
    <x v="1"/>
    <s v="47194351001001"/>
    <n v="-38.39"/>
    <n v="979"/>
    <n v="1"/>
    <n v="1"/>
  </r>
  <r>
    <m/>
    <m/>
    <x v="1"/>
    <s v="47198691002001"/>
    <n v="-112.10000000000001"/>
    <n v="2801"/>
    <n v="2"/>
    <n v="1"/>
  </r>
  <r>
    <m/>
    <m/>
    <x v="1"/>
    <s v="47228301003001"/>
    <n v="-43.29"/>
    <n v="1104"/>
    <n v="1"/>
    <n v="1"/>
  </r>
  <r>
    <m/>
    <m/>
    <x v="1"/>
    <s v="47231801001002"/>
    <n v="-12.94"/>
    <n v="330"/>
    <n v="1"/>
    <n v="1"/>
  </r>
  <r>
    <m/>
    <m/>
    <x v="1"/>
    <s v="47256425001001"/>
    <n v="-63.730000000000004"/>
    <n v="1533"/>
    <n v="2"/>
    <n v="1"/>
  </r>
  <r>
    <m/>
    <m/>
    <x v="1"/>
    <s v="47311671002002"/>
    <n v="-91.27"/>
    <n v="2274"/>
    <n v="2"/>
    <n v="1"/>
  </r>
  <r>
    <m/>
    <m/>
    <x v="1"/>
    <s v="47321401005001"/>
    <n v="-75.52"/>
    <n v="1926"/>
    <n v="1"/>
    <n v="1"/>
  </r>
  <r>
    <m/>
    <m/>
    <x v="1"/>
    <s v="47327071005001"/>
    <n v="-72.14"/>
    <n v="1784"/>
    <n v="2"/>
    <n v="1"/>
  </r>
  <r>
    <m/>
    <m/>
    <x v="1"/>
    <s v="47328821001007"/>
    <n v="-87.320000000000007"/>
    <n v="2182"/>
    <n v="2"/>
    <n v="1"/>
  </r>
  <r>
    <m/>
    <m/>
    <x v="1"/>
    <s v="47345201001003"/>
    <n v="-94.460000000000008"/>
    <n v="2320"/>
    <n v="2"/>
    <n v="1"/>
  </r>
  <r>
    <m/>
    <m/>
    <x v="1"/>
    <s v="47345831001004"/>
    <n v="-36.35"/>
    <n v="927"/>
    <n v="1"/>
    <n v="1"/>
  </r>
  <r>
    <m/>
    <m/>
    <x v="1"/>
    <s v="47354441001003"/>
    <n v="-91.12"/>
    <n v="2324"/>
    <n v="1"/>
    <n v="1"/>
  </r>
  <r>
    <m/>
    <m/>
    <x v="1"/>
    <s v="47354861004001"/>
    <n v="-18.37"/>
    <n v="459"/>
    <n v="2"/>
    <n v="1"/>
  </r>
  <r>
    <m/>
    <m/>
    <x v="1"/>
    <s v="47363051001001"/>
    <n v="-58.58"/>
    <n v="1494"/>
    <n v="1"/>
    <n v="1"/>
  </r>
  <r>
    <m/>
    <m/>
    <x v="1"/>
    <s v="47375581005013"/>
    <n v="-63.76"/>
    <n v="1626"/>
    <n v="1"/>
    <n v="1"/>
  </r>
  <r>
    <m/>
    <m/>
    <x v="1"/>
    <s v="47382371002004"/>
    <n v="-23.39"/>
    <n v="580"/>
    <n v="2"/>
    <n v="1"/>
  </r>
  <r>
    <m/>
    <m/>
    <x v="1"/>
    <s v="47406740001003"/>
    <n v="-128.34"/>
    <n v="3207"/>
    <n v="2"/>
    <n v="1"/>
  </r>
  <r>
    <m/>
    <m/>
    <x v="1"/>
    <s v="47445167002001"/>
    <n v="-66.849999999999994"/>
    <n v="1653"/>
    <n v="2"/>
    <n v="1"/>
  </r>
  <r>
    <m/>
    <m/>
    <x v="1"/>
    <s v="47456402001001"/>
    <n v="-47.5"/>
    <n v="1187"/>
    <n v="2"/>
    <n v="1"/>
  </r>
  <r>
    <m/>
    <m/>
    <x v="1"/>
    <s v="47467482001001"/>
    <n v="-5.0599999999999996"/>
    <n v="129"/>
    <n v="1"/>
    <n v="1"/>
  </r>
  <r>
    <m/>
    <m/>
    <x v="1"/>
    <s v="47467911001002"/>
    <n v="-25.17"/>
    <n v="642"/>
    <n v="1"/>
    <n v="1"/>
  </r>
  <r>
    <m/>
    <m/>
    <x v="1"/>
    <s v="47541901001001"/>
    <n v="-82.52"/>
    <n v="2085"/>
    <n v="2"/>
    <n v="1"/>
  </r>
  <r>
    <m/>
    <m/>
    <x v="1"/>
    <s v="47552611001001"/>
    <n v="-126.62"/>
    <n v="3199"/>
    <n v="2"/>
    <n v="1"/>
  </r>
  <r>
    <m/>
    <m/>
    <x v="1"/>
    <s v="47555411002001"/>
    <n v="-84.9"/>
    <n v="2145"/>
    <n v="2"/>
    <n v="1"/>
  </r>
  <r>
    <m/>
    <m/>
    <x v="1"/>
    <s v="47562061007001"/>
    <n v="-64.710000000000008"/>
    <n v="1617"/>
    <n v="2"/>
    <n v="1"/>
  </r>
  <r>
    <m/>
    <m/>
    <x v="1"/>
    <s v="47583201001004"/>
    <n v="-22.23"/>
    <n v="567"/>
    <n v="1"/>
    <n v="1"/>
  </r>
  <r>
    <m/>
    <m/>
    <x v="1"/>
    <s v="47585534001003"/>
    <n v="-20.04"/>
    <n v="511"/>
    <n v="1"/>
    <n v="1"/>
  </r>
  <r>
    <m/>
    <m/>
    <x v="1"/>
    <s v="47605461003004"/>
    <n v="-54.54"/>
    <n v="1391"/>
    <n v="1"/>
    <n v="1"/>
  </r>
  <r>
    <m/>
    <m/>
    <x v="1"/>
    <s v="47674271002001"/>
    <n v="-50.89"/>
    <n v="1298"/>
    <n v="1"/>
    <n v="1"/>
  </r>
  <r>
    <m/>
    <m/>
    <x v="1"/>
    <s v="47741191001001"/>
    <n v="-3.4"/>
    <n v="85"/>
    <n v="2"/>
    <n v="1"/>
  </r>
  <r>
    <m/>
    <m/>
    <x v="1"/>
    <s v="47760721004001"/>
    <n v="-60.949999999999996"/>
    <n v="1523"/>
    <n v="2"/>
    <n v="1"/>
  </r>
  <r>
    <m/>
    <m/>
    <x v="1"/>
    <s v="47770451001002"/>
    <n v="-70.12"/>
    <n v="1752"/>
    <n v="2"/>
    <n v="1"/>
  </r>
  <r>
    <m/>
    <m/>
    <x v="1"/>
    <s v="47837581001001"/>
    <n v="-83.81"/>
    <n v="2094"/>
    <n v="2"/>
    <n v="1"/>
  </r>
  <r>
    <m/>
    <m/>
    <x v="1"/>
    <s v="47854171001002"/>
    <n v="-116.78"/>
    <n v="2918"/>
    <n v="2"/>
    <n v="1"/>
  </r>
  <r>
    <m/>
    <m/>
    <x v="1"/>
    <s v="47868171002001"/>
    <n v="-19.920000000000002"/>
    <n v="508"/>
    <n v="1"/>
    <n v="1"/>
  </r>
  <r>
    <m/>
    <m/>
    <x v="1"/>
    <s v="47876291003003"/>
    <n v="-40.46"/>
    <n v="1032"/>
    <n v="1"/>
    <n v="1"/>
  </r>
  <r>
    <m/>
    <m/>
    <x v="1"/>
    <s v="47907161002002"/>
    <n v="-60.28"/>
    <n v="1523"/>
    <n v="2"/>
    <n v="1"/>
  </r>
  <r>
    <m/>
    <m/>
    <x v="1"/>
    <s v="47909401001001"/>
    <n v="-13.18"/>
    <n v="333"/>
    <n v="2"/>
    <n v="1"/>
  </r>
  <r>
    <m/>
    <m/>
    <x v="1"/>
    <s v="47912897001001"/>
    <n v="-18.7"/>
    <n v="477"/>
    <n v="1"/>
    <n v="1"/>
  </r>
  <r>
    <m/>
    <m/>
    <x v="1"/>
    <s v="47943771006001"/>
    <n v="-157.13"/>
    <n v="3780"/>
    <n v="2"/>
    <n v="1"/>
  </r>
  <r>
    <m/>
    <m/>
    <x v="1"/>
    <s v="47943981001003"/>
    <n v="-76.650000000000006"/>
    <n v="1844"/>
    <n v="2"/>
    <n v="1"/>
  </r>
  <r>
    <m/>
    <m/>
    <x v="1"/>
    <s v="47971841001005"/>
    <n v="-94.59"/>
    <n v="2339"/>
    <n v="2"/>
    <n v="1"/>
  </r>
  <r>
    <m/>
    <m/>
    <x v="1"/>
    <s v="47972121001009"/>
    <n v="-41.16"/>
    <n v="1018"/>
    <n v="2"/>
    <n v="1"/>
  </r>
  <r>
    <m/>
    <m/>
    <x v="1"/>
    <s v="48036521001001"/>
    <n v="-105.55"/>
    <n v="2645"/>
    <n v="2"/>
    <n v="1"/>
  </r>
  <r>
    <m/>
    <m/>
    <x v="1"/>
    <s v="48037431004001"/>
    <n v="-207.58999999999997"/>
    <n v="4994"/>
    <n v="2"/>
    <n v="1"/>
  </r>
  <r>
    <m/>
    <m/>
    <x v="1"/>
    <s v="48037781003001"/>
    <n v="-84.52000000000001"/>
    <n v="2118"/>
    <n v="2"/>
    <n v="1"/>
  </r>
  <r>
    <m/>
    <m/>
    <x v="1"/>
    <s v="48041139001001"/>
    <n v="-30.86"/>
    <n v="787"/>
    <n v="1"/>
    <n v="1"/>
  </r>
  <r>
    <m/>
    <m/>
    <x v="1"/>
    <s v="48048211001001"/>
    <n v="-89.19"/>
    <n v="2235"/>
    <n v="2"/>
    <n v="1"/>
  </r>
  <r>
    <m/>
    <m/>
    <x v="1"/>
    <s v="48058431001001"/>
    <n v="-128.63"/>
    <n v="3205"/>
    <n v="2"/>
    <n v="1"/>
  </r>
  <r>
    <m/>
    <m/>
    <x v="1"/>
    <s v="48115551001002"/>
    <n v="-14.79"/>
    <n v="375"/>
    <n v="2"/>
    <n v="1"/>
  </r>
  <r>
    <m/>
    <m/>
    <x v="1"/>
    <s v="48115691001003"/>
    <n v="-36.909999999999997"/>
    <n v="936"/>
    <n v="2"/>
    <n v="1"/>
  </r>
  <r>
    <m/>
    <m/>
    <x v="1"/>
    <s v="48124752001001"/>
    <n v="-112.7"/>
    <n v="2858"/>
    <n v="2"/>
    <n v="1"/>
  </r>
  <r>
    <m/>
    <m/>
    <x v="1"/>
    <s v="48168055001001"/>
    <n v="-73.13"/>
    <n v="1865"/>
    <n v="1"/>
    <n v="1"/>
  </r>
  <r>
    <m/>
    <m/>
    <x v="1"/>
    <s v="48182681001001"/>
    <n v="-63.27"/>
    <n v="1522"/>
    <n v="2"/>
    <n v="1"/>
  </r>
  <r>
    <m/>
    <m/>
    <x v="1"/>
    <s v="48188701001001"/>
    <n v="-100.97999999999999"/>
    <n v="2429"/>
    <n v="2"/>
    <n v="1"/>
  </r>
  <r>
    <m/>
    <m/>
    <x v="1"/>
    <s v="48194791003001"/>
    <n v="-108.53999999999999"/>
    <n v="2618"/>
    <n v="2"/>
    <n v="1"/>
  </r>
  <r>
    <m/>
    <m/>
    <x v="1"/>
    <s v="48219833001001"/>
    <n v="-105.63"/>
    <n v="2694"/>
    <n v="1"/>
    <n v="1"/>
  </r>
  <r>
    <m/>
    <m/>
    <x v="1"/>
    <s v="48221391002003"/>
    <n v="-52.08"/>
    <n v="1305"/>
    <n v="2"/>
    <n v="1"/>
  </r>
  <r>
    <m/>
    <m/>
    <x v="1"/>
    <s v="48278021001002"/>
    <n v="-34.549999999999997"/>
    <n v="861"/>
    <n v="2"/>
    <n v="1"/>
  </r>
  <r>
    <m/>
    <m/>
    <x v="1"/>
    <s v="48367273001004"/>
    <n v="-42.400000000000006"/>
    <n v="1063"/>
    <n v="2"/>
    <n v="1"/>
  </r>
  <r>
    <m/>
    <m/>
    <x v="1"/>
    <s v="48368531001006"/>
    <n v="-77"/>
    <n v="1904"/>
    <n v="2"/>
    <n v="1"/>
  </r>
  <r>
    <m/>
    <m/>
    <x v="1"/>
    <s v="48398584006001"/>
    <n v="-78.02"/>
    <n v="1984"/>
    <n v="2"/>
    <n v="1"/>
  </r>
  <r>
    <m/>
    <m/>
    <x v="1"/>
    <s v="48401751001001"/>
    <n v="-76.539999999999992"/>
    <n v="1856"/>
    <n v="2"/>
    <n v="1"/>
  </r>
  <r>
    <m/>
    <m/>
    <x v="1"/>
    <s v="48438811004001"/>
    <n v="-79.36"/>
    <n v="2024"/>
    <n v="1"/>
    <n v="1"/>
  </r>
  <r>
    <m/>
    <m/>
    <x v="1"/>
    <s v="48551861002001"/>
    <n v="-33.68"/>
    <n v="833"/>
    <n v="2"/>
    <n v="1"/>
  </r>
  <r>
    <m/>
    <m/>
    <x v="1"/>
    <s v="48581489001001"/>
    <n v="-104.89"/>
    <n v="2675"/>
    <n v="1"/>
    <n v="1"/>
  </r>
  <r>
    <m/>
    <m/>
    <x v="1"/>
    <s v="48622948001002"/>
    <n v="-66.61"/>
    <n v="1694"/>
    <n v="2"/>
    <n v="1"/>
  </r>
  <r>
    <m/>
    <m/>
    <x v="1"/>
    <s v="48629818001001"/>
    <n v="-74.27000000000001"/>
    <n v="1819"/>
    <n v="2"/>
    <n v="1"/>
  </r>
  <r>
    <m/>
    <m/>
    <x v="1"/>
    <s v="48652923002003"/>
    <n v="-65.790000000000006"/>
    <n v="1678"/>
    <n v="1"/>
    <n v="1"/>
  </r>
  <r>
    <m/>
    <m/>
    <x v="1"/>
    <s v="48660341001001"/>
    <n v="-28.01"/>
    <n v="700"/>
    <n v="2"/>
    <n v="1"/>
  </r>
  <r>
    <m/>
    <m/>
    <x v="1"/>
    <s v="48684021001001"/>
    <n v="-84.929999999999993"/>
    <n v="2160"/>
    <n v="2"/>
    <n v="1"/>
  </r>
  <r>
    <m/>
    <m/>
    <x v="1"/>
    <s v="48752136001002"/>
    <n v="-22.66"/>
    <n v="578"/>
    <n v="1"/>
    <n v="1"/>
  </r>
  <r>
    <m/>
    <m/>
    <x v="1"/>
    <s v="48762278001001"/>
    <n v="-59.33"/>
    <n v="1478"/>
    <n v="2"/>
    <n v="1"/>
  </r>
  <r>
    <m/>
    <m/>
    <x v="1"/>
    <s v="48798498001001"/>
    <n v="-99.97"/>
    <n v="2472"/>
    <n v="2"/>
    <n v="1"/>
  </r>
  <r>
    <m/>
    <m/>
    <x v="1"/>
    <s v="48804422001006"/>
    <n v="-20.51"/>
    <n v="523"/>
    <n v="1"/>
    <n v="1"/>
  </r>
  <r>
    <m/>
    <m/>
    <x v="1"/>
    <s v="48813381002001"/>
    <n v="-143.57999999999998"/>
    <n v="3454"/>
    <n v="2"/>
    <n v="1"/>
  </r>
  <r>
    <m/>
    <m/>
    <x v="1"/>
    <s v="48826277001001"/>
    <n v="-92.65"/>
    <n v="2363"/>
    <n v="1"/>
    <n v="1"/>
  </r>
  <r>
    <m/>
    <m/>
    <x v="1"/>
    <s v="48834171001003"/>
    <n v="-101.88"/>
    <n v="2553"/>
    <n v="2"/>
    <n v="1"/>
  </r>
  <r>
    <m/>
    <m/>
    <x v="1"/>
    <s v="48845721001001"/>
    <n v="-41.53"/>
    <n v="1020"/>
    <n v="2"/>
    <n v="1"/>
  </r>
  <r>
    <m/>
    <m/>
    <x v="1"/>
    <s v="48909880001001"/>
    <n v="-0.16"/>
    <n v="4"/>
    <n v="1"/>
    <n v="1"/>
  </r>
  <r>
    <m/>
    <m/>
    <x v="1"/>
    <s v="49025411001001"/>
    <n v="-1.75"/>
    <n v="43"/>
    <n v="2"/>
    <n v="1"/>
  </r>
  <r>
    <m/>
    <m/>
    <x v="1"/>
    <s v="49078891001002"/>
    <n v="-18.02"/>
    <n v="449"/>
    <n v="2"/>
    <n v="1"/>
  </r>
  <r>
    <m/>
    <m/>
    <x v="1"/>
    <s v="49166301001001"/>
    <n v="-32.78"/>
    <n v="836"/>
    <n v="1"/>
    <n v="1"/>
  </r>
  <r>
    <m/>
    <m/>
    <x v="1"/>
    <s v="49177241002001"/>
    <n v="-89.79"/>
    <n v="2290"/>
    <n v="1"/>
    <n v="1"/>
  </r>
  <r>
    <m/>
    <m/>
    <x v="1"/>
    <s v="49180461001001"/>
    <n v="-29.92"/>
    <n v="763"/>
    <n v="1"/>
    <n v="1"/>
  </r>
  <r>
    <m/>
    <m/>
    <x v="1"/>
    <s v="49187126001001"/>
    <n v="-91.82"/>
    <n v="2320"/>
    <n v="2"/>
    <n v="1"/>
  </r>
  <r>
    <m/>
    <m/>
    <x v="1"/>
    <s v="49200673001001"/>
    <n v="-29.53"/>
    <n v="749"/>
    <n v="2"/>
    <n v="1"/>
  </r>
  <r>
    <m/>
    <m/>
    <x v="1"/>
    <s v="49267961004003"/>
    <n v="-50.870000000000005"/>
    <n v="1227"/>
    <n v="2"/>
    <n v="1"/>
  </r>
  <r>
    <m/>
    <m/>
    <x v="1"/>
    <s v="49301721001001"/>
    <n v="-87.990000000000009"/>
    <n v="2205"/>
    <n v="2"/>
    <n v="1"/>
  </r>
  <r>
    <m/>
    <m/>
    <x v="1"/>
    <s v="49315865001001"/>
    <n v="-15.57"/>
    <n v="397"/>
    <n v="1"/>
    <n v="1"/>
  </r>
  <r>
    <m/>
    <m/>
    <x v="1"/>
    <s v="49320041001002"/>
    <n v="-55.46"/>
    <n v="1334"/>
    <n v="2"/>
    <n v="1"/>
  </r>
  <r>
    <m/>
    <m/>
    <x v="1"/>
    <s v="49326370001005"/>
    <n v="-122.41"/>
    <n v="2998"/>
    <n v="2"/>
    <n v="1"/>
  </r>
  <r>
    <m/>
    <m/>
    <x v="1"/>
    <s v="49371491001002"/>
    <n v="-100.02"/>
    <n v="2551"/>
    <n v="1"/>
    <n v="1"/>
  </r>
  <r>
    <m/>
    <m/>
    <x v="1"/>
    <s v="49436870001001"/>
    <n v="-68.540000000000006"/>
    <n v="1748"/>
    <n v="1"/>
    <n v="1"/>
  </r>
  <r>
    <m/>
    <m/>
    <x v="1"/>
    <s v="49554261003001"/>
    <n v="-115.77000000000001"/>
    <n v="2785"/>
    <n v="2"/>
    <n v="1"/>
  </r>
  <r>
    <m/>
    <m/>
    <x v="1"/>
    <s v="49557855001003"/>
    <n v="-93.789999999999992"/>
    <n v="2319"/>
    <n v="2"/>
    <n v="1"/>
  </r>
  <r>
    <m/>
    <m/>
    <x v="1"/>
    <s v="49570081001002"/>
    <n v="-68.09"/>
    <n v="1651"/>
    <n v="2"/>
    <n v="1"/>
  </r>
  <r>
    <m/>
    <m/>
    <x v="1"/>
    <s v="49581631001005"/>
    <n v="-89.37"/>
    <n v="2150"/>
    <n v="2"/>
    <n v="1"/>
  </r>
  <r>
    <m/>
    <m/>
    <x v="1"/>
    <s v="49588001001001"/>
    <n v="-50.29"/>
    <n v="1210"/>
    <n v="2"/>
    <n v="1"/>
  </r>
  <r>
    <m/>
    <m/>
    <x v="1"/>
    <s v="49591431001003"/>
    <n v="-52.8"/>
    <n v="1270"/>
    <n v="2"/>
    <n v="1"/>
  </r>
  <r>
    <m/>
    <m/>
    <x v="1"/>
    <s v="49600181003002"/>
    <n v="-137.88999999999999"/>
    <n v="3317"/>
    <n v="2"/>
    <n v="1"/>
  </r>
  <r>
    <m/>
    <m/>
    <x v="1"/>
    <s v="49602561001001"/>
    <n v="-100.64"/>
    <n v="2421"/>
    <n v="2"/>
    <n v="1"/>
  </r>
  <r>
    <m/>
    <m/>
    <x v="1"/>
    <s v="49649391002003"/>
    <n v="-67.680000000000007"/>
    <n v="1726"/>
    <n v="1"/>
    <n v="1"/>
  </r>
  <r>
    <m/>
    <m/>
    <x v="1"/>
    <s v="49702654001002"/>
    <n v="-52.49"/>
    <n v="1303"/>
    <n v="3"/>
    <n v="1"/>
  </r>
  <r>
    <m/>
    <m/>
    <x v="1"/>
    <s v="49716043001002"/>
    <n v="-15.02"/>
    <n v="383"/>
    <n v="1"/>
    <n v="1"/>
  </r>
  <r>
    <m/>
    <m/>
    <x v="1"/>
    <s v="49717151001001"/>
    <n v="-137.47"/>
    <n v="3307"/>
    <n v="2"/>
    <n v="1"/>
  </r>
  <r>
    <m/>
    <m/>
    <x v="1"/>
    <s v="49735399001001"/>
    <n v="-40.07"/>
    <n v="1001"/>
    <n v="2"/>
    <n v="1"/>
  </r>
  <r>
    <m/>
    <m/>
    <x v="1"/>
    <s v="49761531001001"/>
    <n v="-65.52"/>
    <n v="1671"/>
    <n v="1"/>
    <n v="1"/>
  </r>
  <r>
    <m/>
    <m/>
    <x v="1"/>
    <s v="49774436001006"/>
    <n v="-40.21"/>
    <n v="970"/>
    <n v="2"/>
    <n v="1"/>
  </r>
  <r>
    <m/>
    <m/>
    <x v="1"/>
    <s v="49828031002004"/>
    <n v="-89.99"/>
    <n v="2295"/>
    <n v="1"/>
    <n v="1"/>
  </r>
  <r>
    <m/>
    <m/>
    <x v="1"/>
    <s v="49836221003001"/>
    <n v="-142.96"/>
    <n v="3646"/>
    <n v="1"/>
    <n v="1"/>
  </r>
  <r>
    <m/>
    <m/>
    <x v="1"/>
    <s v="49841331001004"/>
    <n v="-62.230000000000004"/>
    <n v="1555"/>
    <n v="2"/>
    <n v="1"/>
  </r>
  <r>
    <m/>
    <m/>
    <x v="1"/>
    <s v="49866391001002"/>
    <n v="-36.33"/>
    <n v="874"/>
    <n v="2"/>
    <n v="1"/>
  </r>
  <r>
    <m/>
    <m/>
    <x v="1"/>
    <s v="49916861001001"/>
    <n v="-81.28"/>
    <n v="2010"/>
    <n v="2"/>
    <n v="1"/>
  </r>
  <r>
    <m/>
    <m/>
    <x v="1"/>
    <s v="49929881001003"/>
    <n v="-132.29"/>
    <n v="3191"/>
    <n v="2"/>
    <n v="1"/>
  </r>
  <r>
    <m/>
    <m/>
    <x v="1"/>
    <s v="49930301001001"/>
    <n v="-80.16"/>
    <n v="1982"/>
    <n v="2"/>
    <n v="1"/>
  </r>
  <r>
    <m/>
    <m/>
    <x v="1"/>
    <s v="49949551002003"/>
    <n v="-15.809999999999999"/>
    <n v="394"/>
    <n v="2"/>
    <n v="1"/>
  </r>
  <r>
    <m/>
    <m/>
    <x v="1"/>
    <s v="49951931001004"/>
    <n v="-29.189999999999998"/>
    <n v="724"/>
    <n v="2"/>
    <n v="1"/>
  </r>
  <r>
    <m/>
    <m/>
    <x v="1"/>
    <s v="49965791001003"/>
    <n v="-25.94"/>
    <n v="648"/>
    <n v="2"/>
    <n v="1"/>
  </r>
  <r>
    <m/>
    <m/>
    <x v="1"/>
    <s v="50011086001001"/>
    <n v="-59.03"/>
    <n v="1475"/>
    <n v="2"/>
    <n v="1"/>
  </r>
  <r>
    <m/>
    <m/>
    <x v="1"/>
    <s v="50043981001003"/>
    <n v="-60.66"/>
    <n v="1547"/>
    <n v="1"/>
    <n v="1"/>
  </r>
  <r>
    <m/>
    <m/>
    <x v="1"/>
    <s v="50047513001001"/>
    <n v="-27.360000000000003"/>
    <n v="694"/>
    <n v="2"/>
    <n v="1"/>
  </r>
  <r>
    <m/>
    <m/>
    <x v="1"/>
    <s v="50069630001004"/>
    <n v="-23.92"/>
    <n v="610"/>
    <n v="1"/>
    <n v="1"/>
  </r>
  <r>
    <m/>
    <m/>
    <x v="1"/>
    <s v="50071631001001"/>
    <n v="-56.7"/>
    <n v="1446"/>
    <n v="1"/>
    <n v="1"/>
  </r>
  <r>
    <m/>
    <m/>
    <x v="1"/>
    <s v="50095781001001"/>
    <n v="-45.980000000000004"/>
    <n v="1137"/>
    <n v="2"/>
    <n v="1"/>
  </r>
  <r>
    <m/>
    <m/>
    <x v="1"/>
    <s v="50159341001001"/>
    <n v="-48.239999999999995"/>
    <n v="1193"/>
    <n v="2"/>
    <n v="1"/>
  </r>
  <r>
    <m/>
    <m/>
    <x v="1"/>
    <s v="50181601002005"/>
    <n v="-62.97"/>
    <n v="1515"/>
    <n v="2"/>
    <n v="1"/>
  </r>
  <r>
    <m/>
    <m/>
    <x v="1"/>
    <s v="50186781001001"/>
    <n v="-82.03"/>
    <n v="2092"/>
    <n v="1"/>
    <n v="1"/>
  </r>
  <r>
    <m/>
    <m/>
    <x v="1"/>
    <s v="50193571001001"/>
    <n v="-51.64"/>
    <n v="1317"/>
    <n v="1"/>
    <n v="1"/>
  </r>
  <r>
    <m/>
    <m/>
    <x v="1"/>
    <s v="50198191001001"/>
    <n v="-89.16"/>
    <n v="2274"/>
    <n v="1"/>
    <n v="1"/>
  </r>
  <r>
    <m/>
    <m/>
    <x v="1"/>
    <s v="50249641001001"/>
    <n v="-89.83"/>
    <n v="2291"/>
    <n v="1"/>
    <n v="1"/>
  </r>
  <r>
    <m/>
    <m/>
    <x v="1"/>
    <s v="50254821001001"/>
    <n v="-126.02"/>
    <n v="3214"/>
    <n v="1"/>
    <n v="1"/>
  </r>
  <r>
    <m/>
    <m/>
    <x v="1"/>
    <s v="50305221001001"/>
    <n v="-80.540000000000006"/>
    <n v="2054"/>
    <n v="1"/>
    <n v="1"/>
  </r>
  <r>
    <m/>
    <m/>
    <x v="1"/>
    <s v="50306876001004"/>
    <n v="-74.789999999999992"/>
    <n v="1902"/>
    <n v="2"/>
    <n v="1"/>
  </r>
  <r>
    <m/>
    <m/>
    <x v="1"/>
    <s v="50314391002005"/>
    <n v="-125.38"/>
    <n v="3142"/>
    <n v="2"/>
    <n v="1"/>
  </r>
  <r>
    <m/>
    <m/>
    <x v="1"/>
    <s v="50412391001001"/>
    <n v="-18.080000000000002"/>
    <n v="447"/>
    <n v="2"/>
    <n v="1"/>
  </r>
  <r>
    <m/>
    <m/>
    <x v="1"/>
    <s v="50425271002004"/>
    <n v="-11.45"/>
    <n v="281"/>
    <n v="2"/>
    <n v="1"/>
  </r>
  <r>
    <m/>
    <m/>
    <x v="1"/>
    <s v="50587853001001"/>
    <n v="-65.06"/>
    <n v="1565"/>
    <n v="2"/>
    <n v="1"/>
  </r>
  <r>
    <m/>
    <m/>
    <x v="1"/>
    <s v="50695261001002"/>
    <n v="-20.5"/>
    <n v="502"/>
    <n v="2"/>
    <n v="1"/>
  </r>
  <r>
    <m/>
    <m/>
    <x v="1"/>
    <s v="50704851001003"/>
    <n v="-51.25"/>
    <n v="1307"/>
    <n v="1"/>
    <n v="1"/>
  </r>
  <r>
    <m/>
    <m/>
    <x v="1"/>
    <s v="50718011001001"/>
    <n v="-142.88"/>
    <n v="3644"/>
    <n v="1"/>
    <n v="1"/>
  </r>
  <r>
    <m/>
    <m/>
    <x v="1"/>
    <s v="50725151001007"/>
    <n v="-48.7"/>
    <n v="1217"/>
    <n v="2"/>
    <n v="1"/>
  </r>
  <r>
    <m/>
    <m/>
    <x v="1"/>
    <s v="50737681001001"/>
    <n v="-75.12"/>
    <n v="1840"/>
    <n v="2"/>
    <n v="1"/>
  </r>
  <r>
    <m/>
    <m/>
    <x v="1"/>
    <s v="50740761001001"/>
    <n v="-247.29000000000002"/>
    <n v="5949"/>
    <n v="2"/>
    <n v="1"/>
  </r>
  <r>
    <m/>
    <m/>
    <x v="1"/>
    <s v="50756231001002"/>
    <n v="-29.57"/>
    <n v="747"/>
    <n v="2"/>
    <n v="1"/>
  </r>
  <r>
    <m/>
    <m/>
    <x v="1"/>
    <s v="50768201001001"/>
    <n v="-61.11"/>
    <n v="1470"/>
    <n v="2"/>
    <n v="1"/>
  </r>
  <r>
    <m/>
    <m/>
    <x v="1"/>
    <s v="50775761001001"/>
    <n v="-43.480000000000004"/>
    <n v="1046"/>
    <n v="2"/>
    <n v="1"/>
  </r>
  <r>
    <m/>
    <m/>
    <x v="1"/>
    <s v="50782131001001"/>
    <n v="-33.71"/>
    <n v="813"/>
    <n v="2"/>
    <n v="1"/>
  </r>
  <r>
    <m/>
    <m/>
    <x v="1"/>
    <s v="50787241001001"/>
    <n v="-29.560000000000002"/>
    <n v="711"/>
    <n v="2"/>
    <n v="1"/>
  </r>
  <r>
    <m/>
    <m/>
    <x v="1"/>
    <s v="50790601001001"/>
    <n v="-28.28"/>
    <n v="682"/>
    <n v="2"/>
    <n v="1"/>
  </r>
  <r>
    <m/>
    <m/>
    <x v="1"/>
    <s v="50808591001001"/>
    <n v="-145.58000000000001"/>
    <n v="3550"/>
    <n v="2"/>
    <n v="1"/>
  </r>
  <r>
    <m/>
    <m/>
    <x v="1"/>
    <s v="50809571001001"/>
    <n v="-105.50999999999999"/>
    <n v="2573"/>
    <n v="2"/>
    <n v="1"/>
  </r>
  <r>
    <m/>
    <m/>
    <x v="1"/>
    <s v="50823431001001"/>
    <n v="-89.84"/>
    <n v="2191"/>
    <n v="2"/>
    <n v="1"/>
  </r>
  <r>
    <m/>
    <m/>
    <x v="1"/>
    <s v="50831971001002"/>
    <n v="-35.06"/>
    <n v="855"/>
    <n v="2"/>
    <n v="1"/>
  </r>
  <r>
    <m/>
    <m/>
    <x v="1"/>
    <s v="50841646001007"/>
    <n v="-41.86"/>
    <n v="1049"/>
    <n v="2"/>
    <n v="1"/>
  </r>
  <r>
    <m/>
    <m/>
    <x v="1"/>
    <s v="50849401001002"/>
    <n v="-85.05"/>
    <n v="2169"/>
    <n v="1"/>
    <n v="1"/>
  </r>
  <r>
    <m/>
    <m/>
    <x v="1"/>
    <s v="50858361001001"/>
    <n v="-61.879999999999995"/>
    <n v="1509"/>
    <n v="2"/>
    <n v="1"/>
  </r>
  <r>
    <m/>
    <m/>
    <x v="1"/>
    <s v="50870401001001"/>
    <n v="-15.91"/>
    <n v="389"/>
    <n v="2"/>
    <n v="1"/>
  </r>
  <r>
    <m/>
    <m/>
    <x v="1"/>
    <s v="50901131002004"/>
    <n v="-85.85"/>
    <n v="2123"/>
    <n v="2"/>
    <n v="1"/>
  </r>
  <r>
    <m/>
    <m/>
    <x v="1"/>
    <s v="50919121001001"/>
    <n v="-109.6"/>
    <n v="2692"/>
    <n v="2"/>
    <n v="1"/>
  </r>
  <r>
    <m/>
    <m/>
    <x v="1"/>
    <s v="50940891001005"/>
    <n v="-39.900000000000006"/>
    <n v="976"/>
    <n v="2"/>
    <n v="1"/>
  </r>
  <r>
    <m/>
    <m/>
    <x v="1"/>
    <s v="50988281001004"/>
    <n v="-5.32"/>
    <n v="133"/>
    <n v="2"/>
    <n v="1"/>
  </r>
  <r>
    <m/>
    <m/>
    <x v="1"/>
    <s v="50990101002001"/>
    <n v="-99.06"/>
    <n v="2457"/>
    <n v="2"/>
    <n v="1"/>
  </r>
  <r>
    <m/>
    <m/>
    <x v="1"/>
    <s v="50997031001001"/>
    <n v="-1.5699999999999998"/>
    <n v="39"/>
    <n v="2"/>
    <n v="1"/>
  </r>
  <r>
    <m/>
    <m/>
    <x v="1"/>
    <s v="50997311003001"/>
    <n v="-66.44"/>
    <n v="1660"/>
    <n v="2"/>
    <n v="1"/>
  </r>
  <r>
    <m/>
    <m/>
    <x v="1"/>
    <s v="51005151001001"/>
    <n v="-17.850000000000001"/>
    <n v="446"/>
    <n v="2"/>
    <n v="1"/>
  </r>
  <r>
    <m/>
    <m/>
    <x v="1"/>
    <s v="51006481001002"/>
    <n v="-27.52"/>
    <n v="664"/>
    <n v="2"/>
    <n v="1"/>
  </r>
  <r>
    <m/>
    <m/>
    <x v="1"/>
    <s v="51009071001001"/>
    <n v="-119.85"/>
    <n v="2891"/>
    <n v="2"/>
    <n v="1"/>
  </r>
  <r>
    <m/>
    <m/>
    <x v="1"/>
    <s v="51010891001001"/>
    <n v="-52.67"/>
    <n v="1290"/>
    <n v="2"/>
    <n v="1"/>
  </r>
  <r>
    <m/>
    <m/>
    <x v="1"/>
    <s v="51011661001002"/>
    <n v="-19.45"/>
    <n v="496"/>
    <n v="1"/>
    <n v="1"/>
  </r>
  <r>
    <m/>
    <m/>
    <x v="1"/>
    <s v="51027411002001"/>
    <n v="-18.48"/>
    <n v="446"/>
    <n v="2"/>
    <n v="1"/>
  </r>
  <r>
    <m/>
    <m/>
    <x v="1"/>
    <s v="51045961001001"/>
    <n v="-108.62"/>
    <n v="2620"/>
    <n v="2"/>
    <n v="1"/>
  </r>
  <r>
    <m/>
    <m/>
    <x v="1"/>
    <s v="51051071001005"/>
    <n v="-8.3000000000000007"/>
    <n v="200"/>
    <n v="2"/>
    <n v="1"/>
  </r>
  <r>
    <m/>
    <m/>
    <x v="1"/>
    <s v="51053941001001"/>
    <n v="-16.16"/>
    <n v="390"/>
    <n v="2"/>
    <n v="1"/>
  </r>
  <r>
    <m/>
    <m/>
    <x v="1"/>
    <s v="51060731009001"/>
    <n v="-100.91"/>
    <n v="2434"/>
    <n v="2"/>
    <n v="1"/>
  </r>
  <r>
    <m/>
    <m/>
    <x v="1"/>
    <s v="51082221002003"/>
    <n v="-135.69"/>
    <n v="3273"/>
    <n v="2"/>
    <n v="1"/>
  </r>
  <r>
    <m/>
    <m/>
    <x v="1"/>
    <s v="51084811002002"/>
    <n v="-67.209999999999994"/>
    <n v="1714"/>
    <n v="1"/>
    <n v="1"/>
  </r>
  <r>
    <m/>
    <m/>
    <x v="1"/>
    <s v="51088927001007"/>
    <n v="-22.85"/>
    <n v="571"/>
    <n v="2"/>
    <n v="1"/>
  </r>
  <r>
    <m/>
    <m/>
    <x v="1"/>
    <s v="51097131003001"/>
    <n v="-102.28999999999999"/>
    <n v="2556"/>
    <n v="2"/>
    <n v="1"/>
  </r>
  <r>
    <m/>
    <m/>
    <x v="1"/>
    <s v="51098181001001"/>
    <n v="-21.740000000000002"/>
    <n v="523"/>
    <n v="2"/>
    <n v="1"/>
  </r>
  <r>
    <m/>
    <m/>
    <x v="1"/>
    <s v="51105531001004"/>
    <n v="-103.80000000000001"/>
    <n v="2517"/>
    <n v="2"/>
    <n v="1"/>
  </r>
  <r>
    <m/>
    <m/>
    <x v="1"/>
    <s v="51108261002001"/>
    <n v="-33"/>
    <n v="794"/>
    <n v="2"/>
    <n v="1"/>
  </r>
  <r>
    <m/>
    <m/>
    <x v="1"/>
    <s v="51112391001008"/>
    <n v="-67.240000000000009"/>
    <n v="1647"/>
    <n v="2"/>
    <n v="1"/>
  </r>
  <r>
    <m/>
    <m/>
    <x v="1"/>
    <s v="51123241001002"/>
    <n v="-125.78999999999999"/>
    <n v="3026"/>
    <n v="2"/>
    <n v="1"/>
  </r>
  <r>
    <m/>
    <m/>
    <x v="1"/>
    <s v="51125341001001"/>
    <n v="-44.230000000000004"/>
    <n v="1064"/>
    <n v="2"/>
    <n v="1"/>
  </r>
  <r>
    <m/>
    <m/>
    <x v="1"/>
    <s v="51138571001004"/>
    <n v="-94.86"/>
    <n v="2282"/>
    <n v="2"/>
    <n v="1"/>
  </r>
  <r>
    <m/>
    <m/>
    <x v="1"/>
    <s v="51140951005005"/>
    <n v="-97.199999999999989"/>
    <n v="2357"/>
    <n v="2"/>
    <n v="1"/>
  </r>
  <r>
    <m/>
    <m/>
    <x v="1"/>
    <s v="51151311001002"/>
    <n v="-88.460000000000008"/>
    <n v="2145"/>
    <n v="2"/>
    <n v="1"/>
  </r>
  <r>
    <m/>
    <m/>
    <x v="1"/>
    <s v="51155161001001"/>
    <n v="-28.66"/>
    <n v="695"/>
    <n v="2"/>
    <n v="1"/>
  </r>
  <r>
    <m/>
    <m/>
    <x v="1"/>
    <s v="51155231001001"/>
    <n v="-62.400000000000006"/>
    <n v="1513"/>
    <n v="2"/>
    <n v="1"/>
  </r>
  <r>
    <m/>
    <m/>
    <x v="1"/>
    <s v="51158731001003"/>
    <n v="-14.27"/>
    <n v="346"/>
    <n v="2"/>
    <n v="1"/>
  </r>
  <r>
    <m/>
    <m/>
    <x v="1"/>
    <s v="51159641001002"/>
    <n v="-28.25"/>
    <n v="685"/>
    <n v="2"/>
    <n v="1"/>
  </r>
  <r>
    <m/>
    <m/>
    <x v="1"/>
    <s v="51163841001002"/>
    <n v="-95.509999999999991"/>
    <n v="2339"/>
    <n v="2"/>
    <n v="1"/>
  </r>
  <r>
    <m/>
    <m/>
    <x v="1"/>
    <s v="51166641001002"/>
    <n v="-139.43"/>
    <n v="3381"/>
    <n v="2"/>
    <n v="1"/>
  </r>
  <r>
    <m/>
    <m/>
    <x v="1"/>
    <s v="51175111003001"/>
    <n v="-60.09"/>
    <n v="1457"/>
    <n v="2"/>
    <n v="1"/>
  </r>
  <r>
    <m/>
    <m/>
    <x v="1"/>
    <s v="51193044001001"/>
    <n v="-54.59"/>
    <n v="1360"/>
    <n v="2"/>
    <n v="1"/>
  </r>
  <r>
    <m/>
    <m/>
    <x v="1"/>
    <s v="51198211001002"/>
    <n v="-48.22"/>
    <n v="1160"/>
    <n v="2"/>
    <n v="1"/>
  </r>
  <r>
    <m/>
    <m/>
    <x v="1"/>
    <s v="51208991001001"/>
    <n v="-55.260000000000005"/>
    <n v="1340"/>
    <n v="2"/>
    <n v="1"/>
  </r>
  <r>
    <m/>
    <m/>
    <x v="1"/>
    <s v="51213051001002"/>
    <n v="-34.93"/>
    <n v="847"/>
    <n v="2"/>
    <n v="1"/>
  </r>
  <r>
    <m/>
    <m/>
    <x v="1"/>
    <s v="51225161002001"/>
    <n v="-128.5"/>
    <n v="3116"/>
    <n v="2"/>
    <n v="1"/>
  </r>
  <r>
    <m/>
    <m/>
    <x v="1"/>
    <s v="51230691001002"/>
    <n v="-106.39"/>
    <n v="2580"/>
    <n v="2"/>
    <n v="1"/>
  </r>
  <r>
    <m/>
    <m/>
    <x v="1"/>
    <s v="51231111001004"/>
    <n v="-119.95"/>
    <n v="2925"/>
    <n v="2"/>
    <n v="1"/>
  </r>
  <r>
    <m/>
    <m/>
    <x v="1"/>
    <s v="51286341001003"/>
    <n v="-77.05"/>
    <n v="1965"/>
    <n v="1"/>
    <n v="1"/>
  </r>
  <r>
    <m/>
    <m/>
    <x v="1"/>
    <s v="51286568001001"/>
    <n v="-59.430000000000007"/>
    <n v="1441"/>
    <n v="2"/>
    <n v="1"/>
  </r>
  <r>
    <m/>
    <m/>
    <x v="1"/>
    <s v="51286691001002"/>
    <n v="-39.99"/>
    <n v="1020"/>
    <n v="1"/>
    <n v="1"/>
  </r>
  <r>
    <m/>
    <m/>
    <x v="1"/>
    <s v="51293341001001"/>
    <n v="-77.75"/>
    <n v="1983"/>
    <n v="1"/>
    <n v="1"/>
  </r>
  <r>
    <m/>
    <m/>
    <x v="1"/>
    <s v="51309651001001"/>
    <n v="-124.45"/>
    <n v="3174"/>
    <n v="1"/>
    <n v="1"/>
  </r>
  <r>
    <m/>
    <m/>
    <x v="1"/>
    <s v="51309721001001"/>
    <n v="-146.68"/>
    <n v="3741"/>
    <n v="1"/>
    <n v="1"/>
  </r>
  <r>
    <m/>
    <m/>
    <x v="1"/>
    <s v="51316301003004"/>
    <n v="-44.03"/>
    <n v="1123"/>
    <n v="1"/>
    <n v="1"/>
  </r>
  <r>
    <m/>
    <m/>
    <x v="1"/>
    <s v="51320291002008"/>
    <n v="-23.39"/>
    <n v="591"/>
    <n v="2"/>
    <n v="1"/>
  </r>
  <r>
    <m/>
    <m/>
    <x v="1"/>
    <s v="51323511001002"/>
    <n v="-42.35"/>
    <n v="1080"/>
    <n v="1"/>
    <n v="1"/>
  </r>
  <r>
    <m/>
    <m/>
    <x v="1"/>
    <s v="51324911001001"/>
    <n v="-66.19"/>
    <n v="1688"/>
    <n v="1"/>
    <n v="1"/>
  </r>
  <r>
    <m/>
    <m/>
    <x v="1"/>
    <s v="51344861001001"/>
    <n v="-67.52"/>
    <n v="1722"/>
    <n v="1"/>
    <n v="1"/>
  </r>
  <r>
    <m/>
    <m/>
    <x v="1"/>
    <s v="51356061003003"/>
    <n v="-32.19"/>
    <n v="821"/>
    <n v="1"/>
    <n v="1"/>
  </r>
  <r>
    <m/>
    <m/>
    <x v="1"/>
    <s v="51370831001001"/>
    <n v="-123.47"/>
    <n v="3149"/>
    <n v="1"/>
    <n v="1"/>
  </r>
  <r>
    <m/>
    <m/>
    <x v="1"/>
    <s v="51377341001001"/>
    <n v="-3.02"/>
    <n v="77"/>
    <n v="1"/>
    <n v="1"/>
  </r>
  <r>
    <m/>
    <m/>
    <x v="1"/>
    <s v="51381611003002"/>
    <n v="-52.35"/>
    <n v="1335"/>
    <n v="1"/>
    <n v="1"/>
  </r>
  <r>
    <m/>
    <m/>
    <x v="1"/>
    <s v="51395961001001"/>
    <n v="-127.12"/>
    <n v="3242"/>
    <n v="1"/>
    <n v="1"/>
  </r>
  <r>
    <m/>
    <m/>
    <x v="1"/>
    <s v="51405271001001"/>
    <n v="-81.38"/>
    <n v="2064"/>
    <n v="2"/>
    <n v="1"/>
  </r>
  <r>
    <m/>
    <m/>
    <x v="1"/>
    <s v="51411291004004"/>
    <n v="-82.77"/>
    <n v="2062"/>
    <n v="2"/>
    <n v="1"/>
  </r>
  <r>
    <m/>
    <m/>
    <x v="1"/>
    <s v="51416681001001"/>
    <n v="-71.91"/>
    <n v="1802"/>
    <n v="2"/>
    <n v="1"/>
  </r>
  <r>
    <m/>
    <m/>
    <x v="1"/>
    <s v="51442161002001"/>
    <n v="-29.77"/>
    <n v="718"/>
    <n v="2"/>
    <n v="1"/>
  </r>
  <r>
    <m/>
    <m/>
    <x v="1"/>
    <s v="51450421001005"/>
    <n v="-86.89"/>
    <n v="2216"/>
    <n v="1"/>
    <n v="1"/>
  </r>
  <r>
    <m/>
    <m/>
    <x v="1"/>
    <s v="51489621001002"/>
    <n v="-75.069999999999993"/>
    <n v="1882"/>
    <n v="2"/>
    <n v="1"/>
  </r>
  <r>
    <m/>
    <m/>
    <x v="1"/>
    <s v="51514051001001"/>
    <n v="-15.83"/>
    <n v="400"/>
    <n v="2"/>
    <n v="1"/>
  </r>
  <r>
    <m/>
    <m/>
    <x v="1"/>
    <s v="51514331001001"/>
    <n v="-20.619999999999997"/>
    <n v="521"/>
    <n v="2"/>
    <n v="1"/>
  </r>
  <r>
    <m/>
    <m/>
    <x v="1"/>
    <s v="51525601001002"/>
    <n v="-23.67"/>
    <n v="598"/>
    <n v="2"/>
    <n v="1"/>
  </r>
  <r>
    <m/>
    <m/>
    <x v="1"/>
    <s v="51526511001002"/>
    <n v="-13.14"/>
    <n v="335"/>
    <n v="1"/>
    <n v="1"/>
  </r>
  <r>
    <m/>
    <m/>
    <x v="1"/>
    <s v="51531201001002"/>
    <n v="-99.95"/>
    <n v="2549"/>
    <n v="1"/>
    <n v="1"/>
  </r>
  <r>
    <m/>
    <m/>
    <x v="1"/>
    <s v="51549471001001"/>
    <n v="-18.72"/>
    <n v="473"/>
    <n v="2"/>
    <n v="1"/>
  </r>
  <r>
    <m/>
    <m/>
    <x v="1"/>
    <s v="51555701001005"/>
    <n v="-89.19"/>
    <n v="2262"/>
    <n v="2"/>
    <n v="1"/>
  </r>
  <r>
    <m/>
    <m/>
    <x v="1"/>
    <s v="51557311001010"/>
    <n v="-57.820000000000007"/>
    <n v="1402"/>
    <n v="2"/>
    <n v="1"/>
  </r>
  <r>
    <m/>
    <m/>
    <x v="1"/>
    <s v="51578031001001"/>
    <n v="-79.52"/>
    <n v="2009"/>
    <n v="2"/>
    <n v="1"/>
  </r>
  <r>
    <m/>
    <m/>
    <x v="1"/>
    <s v="51593221002002"/>
    <n v="-121.19"/>
    <n v="3062"/>
    <n v="2"/>
    <n v="1"/>
  </r>
  <r>
    <m/>
    <m/>
    <x v="1"/>
    <s v="51593291002001"/>
    <n v="-77.259999999999991"/>
    <n v="1952"/>
    <n v="2"/>
    <n v="1"/>
  </r>
  <r>
    <m/>
    <m/>
    <x v="1"/>
    <s v="51593431001001"/>
    <n v="-159.9"/>
    <n v="4040"/>
    <n v="2"/>
    <n v="1"/>
  </r>
  <r>
    <m/>
    <m/>
    <x v="1"/>
    <s v="51595741001001"/>
    <n v="-15.2"/>
    <n v="384"/>
    <n v="2"/>
    <n v="1"/>
  </r>
  <r>
    <m/>
    <m/>
    <x v="1"/>
    <s v="51597701001005"/>
    <n v="-30.91"/>
    <n v="781"/>
    <n v="2"/>
    <n v="1"/>
  </r>
  <r>
    <m/>
    <m/>
    <x v="1"/>
    <s v="51601341001003"/>
    <n v="-10.43"/>
    <n v="266"/>
    <n v="1"/>
    <n v="1"/>
  </r>
  <r>
    <m/>
    <m/>
    <x v="1"/>
    <s v="51604071001005"/>
    <n v="-7.1"/>
    <n v="177"/>
    <n v="2"/>
    <n v="1"/>
  </r>
  <r>
    <m/>
    <m/>
    <x v="1"/>
    <s v="51618981001001"/>
    <n v="-104.25"/>
    <n v="2634"/>
    <n v="2"/>
    <n v="1"/>
  </r>
  <r>
    <m/>
    <m/>
    <x v="1"/>
    <s v="51622411001006"/>
    <n v="-67.63"/>
    <n v="1661"/>
    <n v="2"/>
    <n v="1"/>
  </r>
  <r>
    <m/>
    <m/>
    <x v="1"/>
    <s v="51625911001001"/>
    <n v="-81.180000000000007"/>
    <n v="2051"/>
    <n v="2"/>
    <n v="1"/>
  </r>
  <r>
    <m/>
    <m/>
    <x v="1"/>
    <s v="51742237001005"/>
    <n v="-179.88"/>
    <n v="4339"/>
    <n v="2"/>
    <n v="1"/>
  </r>
  <r>
    <m/>
    <m/>
    <x v="1"/>
    <s v="51957591005001"/>
    <n v="-29.21"/>
    <n v="745"/>
    <n v="1"/>
    <n v="1"/>
  </r>
  <r>
    <m/>
    <m/>
    <x v="1"/>
    <s v="52072198001016"/>
    <n v="-40.28"/>
    <n v="996"/>
    <n v="2"/>
    <n v="1"/>
  </r>
  <r>
    <m/>
    <m/>
    <x v="1"/>
    <s v="52136223001005"/>
    <n v="-1.64"/>
    <n v="40"/>
    <n v="2"/>
    <n v="1"/>
  </r>
  <r>
    <m/>
    <m/>
    <x v="1"/>
    <s v="52219018001001"/>
    <n v="-63.22"/>
    <n v="1525"/>
    <n v="2"/>
    <n v="1"/>
  </r>
  <r>
    <m/>
    <m/>
    <x v="1"/>
    <s v="52439752001001"/>
    <n v="-26.47"/>
    <n v="675"/>
    <n v="1"/>
    <n v="1"/>
  </r>
  <r>
    <m/>
    <m/>
    <x v="1"/>
    <s v="52507741001001"/>
    <n v="-69.87"/>
    <n v="1782"/>
    <n v="1"/>
    <n v="1"/>
  </r>
  <r>
    <m/>
    <m/>
    <x v="1"/>
    <s v="52553675001011"/>
    <n v="-80.45"/>
    <n v="1976"/>
    <n v="2"/>
    <n v="1"/>
  </r>
  <r>
    <m/>
    <m/>
    <x v="1"/>
    <s v="52724555001001"/>
    <n v="-86.89"/>
    <n v="2216"/>
    <n v="1"/>
    <n v="1"/>
  </r>
  <r>
    <m/>
    <m/>
    <x v="1"/>
    <s v="52815374001001"/>
    <n v="-29.25"/>
    <n v="746"/>
    <n v="1"/>
    <n v="1"/>
  </r>
  <r>
    <m/>
    <m/>
    <x v="1"/>
    <s v="52896992001002"/>
    <n v="-58.980000000000004"/>
    <n v="1500"/>
    <n v="2"/>
    <n v="1"/>
  </r>
  <r>
    <m/>
    <m/>
    <x v="1"/>
    <s v="52978478001001"/>
    <n v="-40.959999999999994"/>
    <n v="1035"/>
    <n v="2"/>
    <n v="1"/>
  </r>
  <r>
    <m/>
    <m/>
    <x v="1"/>
    <s v="52981742001003"/>
    <n v="-41.010000000000005"/>
    <n v="1014"/>
    <n v="2"/>
    <n v="1"/>
  </r>
  <r>
    <m/>
    <m/>
    <x v="1"/>
    <s v="53059671003001"/>
    <n v="-33.33"/>
    <n v="850"/>
    <n v="1"/>
    <n v="1"/>
  </r>
  <r>
    <m/>
    <m/>
    <x v="1"/>
    <s v="53077277001001"/>
    <n v="-35.130000000000003"/>
    <n v="896"/>
    <n v="1"/>
    <n v="1"/>
  </r>
  <r>
    <m/>
    <m/>
    <x v="1"/>
    <s v="53090223001005"/>
    <n v="-102.81"/>
    <n v="2480"/>
    <n v="2"/>
    <n v="1"/>
  </r>
  <r>
    <m/>
    <m/>
    <x v="1"/>
    <s v="53097867002001"/>
    <n v="-109.61"/>
    <n v="2673"/>
    <n v="2"/>
    <n v="1"/>
  </r>
  <r>
    <m/>
    <m/>
    <x v="1"/>
    <s v="53108976001002"/>
    <n v="-51.33"/>
    <n v="1309"/>
    <n v="1"/>
    <n v="1"/>
  </r>
  <r>
    <m/>
    <m/>
    <x v="1"/>
    <s v="53180045001003"/>
    <n v="-67.56"/>
    <n v="1723"/>
    <n v="1"/>
    <n v="1"/>
  </r>
  <r>
    <m/>
    <m/>
    <x v="1"/>
    <s v="53205742001003"/>
    <n v="-99.07"/>
    <n v="2484"/>
    <n v="2"/>
    <n v="1"/>
  </r>
  <r>
    <m/>
    <m/>
    <x v="1"/>
    <s v="53287877001001"/>
    <n v="-102.81"/>
    <n v="2607"/>
    <n v="2"/>
    <n v="1"/>
  </r>
  <r>
    <m/>
    <m/>
    <x v="1"/>
    <s v="53296048001001"/>
    <n v="-49.769999999999996"/>
    <n v="1262"/>
    <n v="2"/>
    <n v="1"/>
  </r>
  <r>
    <m/>
    <m/>
    <x v="1"/>
    <s v="53425442001001"/>
    <n v="-77.33"/>
    <n v="1912"/>
    <n v="2"/>
    <n v="1"/>
  </r>
  <r>
    <m/>
    <m/>
    <x v="1"/>
    <s v="53697250001001"/>
    <n v="-93.97"/>
    <n v="2356"/>
    <n v="2"/>
    <n v="1"/>
  </r>
  <r>
    <m/>
    <m/>
    <x v="1"/>
    <s v="53713362001003"/>
    <n v="-15.669999999999998"/>
    <n v="384"/>
    <n v="2"/>
    <n v="1"/>
  </r>
  <r>
    <m/>
    <m/>
    <x v="1"/>
    <s v="53848555001002"/>
    <n v="-90.81"/>
    <n v="2316"/>
    <n v="1"/>
    <n v="1"/>
  </r>
  <r>
    <m/>
    <m/>
    <x v="1"/>
    <s v="53915118004001"/>
    <n v="-131.38999999999999"/>
    <n v="3351"/>
    <n v="1"/>
    <n v="1"/>
  </r>
  <r>
    <m/>
    <m/>
    <x v="1"/>
    <s v="54019982001004"/>
    <n v="-99.36"/>
    <n v="2534"/>
    <n v="1"/>
    <n v="1"/>
  </r>
  <r>
    <m/>
    <m/>
    <x v="1"/>
    <s v="54155574001001"/>
    <n v="-42.75"/>
    <n v="1068"/>
    <n v="2"/>
    <n v="1"/>
  </r>
  <r>
    <m/>
    <m/>
    <x v="1"/>
    <s v="54555658001004"/>
    <n v="-134.49"/>
    <n v="3430"/>
    <n v="1"/>
    <n v="1"/>
  </r>
  <r>
    <m/>
    <m/>
    <x v="1"/>
    <s v="54604589002003"/>
    <n v="-23.73"/>
    <n v="595"/>
    <n v="2"/>
    <n v="1"/>
  </r>
  <r>
    <m/>
    <m/>
    <x v="1"/>
    <s v="54768692001002"/>
    <n v="-168.42"/>
    <n v="4283"/>
    <n v="2"/>
    <n v="1"/>
  </r>
  <r>
    <m/>
    <m/>
    <x v="1"/>
    <s v="54781310001002"/>
    <n v="-103.75"/>
    <n v="2646"/>
    <n v="1"/>
    <n v="1"/>
  </r>
  <r>
    <m/>
    <m/>
    <x v="1"/>
    <s v="54807945001001"/>
    <n v="-53.79"/>
    <n v="1330"/>
    <n v="2"/>
    <n v="1"/>
  </r>
  <r>
    <m/>
    <m/>
    <x v="1"/>
    <s v="55036747001002"/>
    <n v="-99.26"/>
    <n v="2407"/>
    <n v="2"/>
    <n v="1"/>
  </r>
  <r>
    <m/>
    <m/>
    <x v="1"/>
    <s v="55116401001003"/>
    <n v="-46.86"/>
    <n v="1195"/>
    <n v="1"/>
    <n v="1"/>
  </r>
  <r>
    <m/>
    <m/>
    <x v="1"/>
    <s v="55208319002001"/>
    <n v="-138.44"/>
    <n v="3357"/>
    <n v="2"/>
    <n v="1"/>
  </r>
  <r>
    <m/>
    <m/>
    <x v="1"/>
    <s v="55250557001001"/>
    <n v="-40.24"/>
    <n v="968"/>
    <n v="2"/>
    <n v="1"/>
  </r>
  <r>
    <m/>
    <m/>
    <x v="1"/>
    <s v="55476730001005"/>
    <n v="-55.09"/>
    <n v="1405"/>
    <n v="1"/>
    <n v="1"/>
  </r>
  <r>
    <m/>
    <m/>
    <x v="1"/>
    <s v="55514801001013"/>
    <n v="-37.049999999999997"/>
    <n v="945"/>
    <n v="1"/>
    <n v="1"/>
  </r>
  <r>
    <m/>
    <m/>
    <x v="1"/>
    <s v="55598081001003"/>
    <n v="-58.400000000000006"/>
    <n v="1444"/>
    <n v="2"/>
    <n v="1"/>
  </r>
  <r>
    <m/>
    <m/>
    <x v="1"/>
    <s v="55776761001013"/>
    <n v="-96.17"/>
    <n v="2403"/>
    <n v="2"/>
    <n v="1"/>
  </r>
  <r>
    <m/>
    <m/>
    <x v="1"/>
    <s v="55791936001001"/>
    <n v="-37.409999999999997"/>
    <n v="954"/>
    <n v="1"/>
    <n v="1"/>
  </r>
  <r>
    <m/>
    <m/>
    <x v="1"/>
    <s v="55852549001005"/>
    <n v="-106.3"/>
    <n v="2711"/>
    <n v="1"/>
    <n v="1"/>
  </r>
  <r>
    <m/>
    <m/>
    <x v="1"/>
    <s v="55956687002003"/>
    <n v="-145.86000000000001"/>
    <n v="3557"/>
    <n v="2"/>
    <n v="1"/>
  </r>
  <r>
    <m/>
    <m/>
    <x v="1"/>
    <s v="55986304001005"/>
    <n v="-54.78"/>
    <n v="1397"/>
    <n v="1"/>
    <n v="1"/>
  </r>
  <r>
    <m/>
    <m/>
    <x v="1"/>
    <s v="56031482001004"/>
    <n v="-184.73"/>
    <n v="4484"/>
    <n v="3"/>
    <n v="1"/>
  </r>
  <r>
    <m/>
    <m/>
    <x v="1"/>
    <s v="56072830001006"/>
    <n v="-39.71"/>
    <n v="982"/>
    <n v="2"/>
    <n v="1"/>
  </r>
  <r>
    <m/>
    <m/>
    <x v="1"/>
    <s v="56202136001004"/>
    <n v="-14.37"/>
    <n v="359"/>
    <n v="2"/>
    <n v="1"/>
  </r>
  <r>
    <m/>
    <m/>
    <x v="1"/>
    <s v="56308644001003"/>
    <n v="-78.22"/>
    <n v="1995"/>
    <n v="1"/>
    <n v="1"/>
  </r>
  <r>
    <m/>
    <m/>
    <x v="1"/>
    <s v="56315778001004"/>
    <n v="-97.52"/>
    <n v="2487"/>
    <n v="1"/>
    <n v="1"/>
  </r>
  <r>
    <m/>
    <m/>
    <x v="1"/>
    <s v="56367091002003"/>
    <n v="-41.4"/>
    <n v="1027"/>
    <n v="2"/>
    <n v="1"/>
  </r>
  <r>
    <m/>
    <m/>
    <x v="1"/>
    <s v="56726418001010"/>
    <n v="-74.23"/>
    <n v="1800"/>
    <n v="2"/>
    <n v="1"/>
  </r>
  <r>
    <m/>
    <m/>
    <x v="1"/>
    <s v="56745375001001"/>
    <n v="-21.09"/>
    <n v="538"/>
    <n v="1"/>
    <n v="1"/>
  </r>
  <r>
    <m/>
    <m/>
    <x v="1"/>
    <s v="56940246001005"/>
    <n v="-30.23"/>
    <n v="771"/>
    <n v="1"/>
    <n v="1"/>
  </r>
  <r>
    <m/>
    <m/>
    <x v="1"/>
    <s v="56979825001002"/>
    <n v="-28.01"/>
    <n v="700"/>
    <n v="2"/>
    <n v="1"/>
  </r>
  <r>
    <m/>
    <m/>
    <x v="1"/>
    <s v="57425690001002"/>
    <n v="-85.85"/>
    <n v="2123"/>
    <n v="2"/>
    <n v="1"/>
  </r>
  <r>
    <m/>
    <m/>
    <x v="1"/>
    <s v="57455935001001"/>
    <n v="-115.96"/>
    <n v="2906"/>
    <n v="2"/>
    <n v="1"/>
  </r>
  <r>
    <m/>
    <m/>
    <x v="1"/>
    <s v="57493127001001"/>
    <n v="-9.83"/>
    <n v="249"/>
    <n v="2"/>
    <n v="1"/>
  </r>
  <r>
    <m/>
    <m/>
    <x v="1"/>
    <s v="57629831001001"/>
    <n v="-129.47"/>
    <n v="3123"/>
    <n v="2"/>
    <n v="1"/>
  </r>
  <r>
    <m/>
    <m/>
    <x v="1"/>
    <s v="57767872001003"/>
    <n v="-83.95"/>
    <n v="2141"/>
    <n v="1"/>
    <n v="1"/>
  </r>
  <r>
    <m/>
    <m/>
    <x v="1"/>
    <s v="57810254001002"/>
    <n v="-101.97"/>
    <n v="2548"/>
    <n v="2"/>
    <n v="1"/>
  </r>
  <r>
    <m/>
    <m/>
    <x v="1"/>
    <s v="58035525001001"/>
    <n v="-42.66"/>
    <n v="1066"/>
    <n v="2"/>
    <n v="1"/>
  </r>
  <r>
    <m/>
    <m/>
    <x v="1"/>
    <s v="58195945001003"/>
    <n v="-151.15"/>
    <n v="3855"/>
    <n v="1"/>
    <n v="1"/>
  </r>
  <r>
    <m/>
    <m/>
    <x v="1"/>
    <s v="58214487001002"/>
    <n v="-1.3800000000000001"/>
    <n v="35"/>
    <n v="2"/>
    <n v="1"/>
  </r>
  <r>
    <m/>
    <m/>
    <x v="1"/>
    <s v="58413059001001"/>
    <n v="-57.769999999999996"/>
    <n v="1401"/>
    <n v="2"/>
    <n v="1"/>
  </r>
  <r>
    <m/>
    <m/>
    <x v="1"/>
    <s v="58496743001008"/>
    <n v="-7.49"/>
    <n v="191"/>
    <n v="1"/>
    <n v="1"/>
  </r>
  <r>
    <m/>
    <m/>
    <x v="1"/>
    <s v="58584299001003"/>
    <n v="-28.35"/>
    <n v="682"/>
    <n v="2"/>
    <n v="1"/>
  </r>
  <r>
    <m/>
    <m/>
    <x v="1"/>
    <s v="58619499001001"/>
    <n v="-117.63"/>
    <n v="3000"/>
    <n v="1"/>
    <n v="1"/>
  </r>
  <r>
    <m/>
    <m/>
    <x v="1"/>
    <s v="58704052001001"/>
    <n v="-13.17"/>
    <n v="336"/>
    <n v="1"/>
    <n v="1"/>
  </r>
  <r>
    <m/>
    <m/>
    <x v="1"/>
    <s v="58743642001003"/>
    <n v="-173.70999999999998"/>
    <n v="4190"/>
    <n v="2"/>
    <n v="1"/>
  </r>
  <r>
    <m/>
    <m/>
    <x v="1"/>
    <s v="58785514001003"/>
    <n v="-33.92"/>
    <n v="865"/>
    <n v="1"/>
    <n v="1"/>
  </r>
  <r>
    <m/>
    <m/>
    <x v="1"/>
    <s v="58876732001003"/>
    <n v="-118.99000000000001"/>
    <n v="2982"/>
    <n v="2"/>
    <n v="1"/>
  </r>
  <r>
    <m/>
    <m/>
    <x v="1"/>
    <s v="58961407001001"/>
    <n v="-10.78"/>
    <n v="275"/>
    <n v="1"/>
    <n v="1"/>
  </r>
  <r>
    <m/>
    <m/>
    <x v="1"/>
    <s v="59053011001001"/>
    <n v="-85.17"/>
    <n v="2049"/>
    <n v="2"/>
    <n v="1"/>
  </r>
  <r>
    <m/>
    <m/>
    <x v="1"/>
    <s v="59095470005001"/>
    <n v="-115.1"/>
    <n v="2874"/>
    <n v="2"/>
    <n v="1"/>
  </r>
  <r>
    <m/>
    <m/>
    <x v="1"/>
    <s v="59136213001001"/>
    <n v="-79.16"/>
    <n v="2000"/>
    <n v="2"/>
    <n v="1"/>
  </r>
  <r>
    <m/>
    <m/>
    <x v="1"/>
    <s v="59246761001003"/>
    <n v="-16.149999999999999"/>
    <n v="408"/>
    <n v="2"/>
    <n v="1"/>
  </r>
  <r>
    <m/>
    <m/>
    <x v="1"/>
    <s v="59368767004001"/>
    <n v="-50.67"/>
    <n v="1285"/>
    <n v="2"/>
    <n v="1"/>
  </r>
  <r>
    <m/>
    <m/>
    <x v="1"/>
    <s v="59437259001001"/>
    <n v="-115.51"/>
    <n v="2946"/>
    <n v="1"/>
    <n v="1"/>
  </r>
  <r>
    <m/>
    <m/>
    <x v="1"/>
    <s v="59553713001001"/>
    <n v="-92.990000000000009"/>
    <n v="2358"/>
    <n v="2"/>
    <n v="1"/>
  </r>
  <r>
    <m/>
    <m/>
    <x v="1"/>
    <s v="59657734001001"/>
    <n v="-67.36"/>
    <n v="1718"/>
    <n v="1"/>
    <n v="1"/>
  </r>
  <r>
    <m/>
    <m/>
    <x v="1"/>
    <s v="59739422001001"/>
    <n v="-87.169999999999987"/>
    <n v="2135"/>
    <n v="2"/>
    <n v="1"/>
  </r>
  <r>
    <m/>
    <m/>
    <x v="1"/>
    <s v="59766552006003"/>
    <n v="-18.78"/>
    <n v="479"/>
    <n v="1"/>
    <n v="1"/>
  </r>
  <r>
    <m/>
    <m/>
    <x v="1"/>
    <s v="60000842001003"/>
    <n v="-92.240000000000009"/>
    <n v="2219"/>
    <n v="2"/>
    <n v="1"/>
  </r>
  <r>
    <m/>
    <m/>
    <x v="1"/>
    <s v="60130241001001"/>
    <n v="-51.34"/>
    <n v="1302"/>
    <n v="2"/>
    <n v="1"/>
  </r>
  <r>
    <m/>
    <m/>
    <x v="1"/>
    <s v="60176479001001"/>
    <n v="-75.38"/>
    <n v="1828"/>
    <n v="2"/>
    <n v="1"/>
  </r>
  <r>
    <m/>
    <m/>
    <x v="1"/>
    <s v="60324948001003"/>
    <n v="-24.86"/>
    <n v="634"/>
    <n v="1"/>
    <n v="1"/>
  </r>
  <r>
    <m/>
    <m/>
    <x v="1"/>
    <s v="60327049001006"/>
    <n v="-49.72"/>
    <n v="1268"/>
    <n v="1"/>
    <n v="1"/>
  </r>
  <r>
    <m/>
    <m/>
    <x v="1"/>
    <s v="60412950001001"/>
    <n v="-118.97"/>
    <n v="2964"/>
    <n v="2"/>
    <n v="1"/>
  </r>
  <r>
    <m/>
    <m/>
    <x v="1"/>
    <s v="60460345001001"/>
    <n v="-47.81"/>
    <n v="1166"/>
    <n v="2"/>
    <n v="1"/>
  </r>
  <r>
    <m/>
    <m/>
    <x v="1"/>
    <s v="60503071001008"/>
    <n v="-79.34"/>
    <n v="1962"/>
    <n v="2"/>
    <n v="1"/>
  </r>
  <r>
    <m/>
    <m/>
    <x v="1"/>
    <s v="60536331001001"/>
    <n v="-89.740000000000009"/>
    <n v="2198"/>
    <n v="2"/>
    <n v="1"/>
  </r>
  <r>
    <m/>
    <m/>
    <x v="1"/>
    <s v="60623325001001"/>
    <n v="-70.56"/>
    <n v="1711"/>
    <n v="2"/>
    <n v="1"/>
  </r>
  <r>
    <m/>
    <m/>
    <x v="1"/>
    <s v="60626334001001"/>
    <n v="-19.88"/>
    <n v="507"/>
    <n v="1"/>
    <n v="1"/>
  </r>
  <r>
    <m/>
    <m/>
    <x v="1"/>
    <s v="60708476001002"/>
    <n v="-78.97"/>
    <n v="2014"/>
    <n v="1"/>
    <n v="1"/>
  </r>
  <r>
    <m/>
    <m/>
    <x v="1"/>
    <s v="60784386002004"/>
    <n v="-88.44"/>
    <n v="2249"/>
    <n v="2"/>
    <n v="1"/>
  </r>
  <r>
    <m/>
    <m/>
    <x v="1"/>
    <s v="60790565001008"/>
    <n v="-82.97"/>
    <n v="2116"/>
    <n v="1"/>
    <n v="1"/>
  </r>
  <r>
    <m/>
    <m/>
    <x v="1"/>
    <s v="61054450003001"/>
    <n v="-65.650000000000006"/>
    <n v="1645"/>
    <n v="2"/>
    <n v="1"/>
  </r>
  <r>
    <m/>
    <m/>
    <x v="1"/>
    <s v="61237473001001"/>
    <n v="-47.13"/>
    <n v="1202"/>
    <n v="1"/>
    <n v="1"/>
  </r>
  <r>
    <m/>
    <m/>
    <x v="1"/>
    <s v="61239947002001"/>
    <n v="-62.849999999999994"/>
    <n v="1554"/>
    <n v="2"/>
    <n v="1"/>
  </r>
  <r>
    <m/>
    <m/>
    <x v="1"/>
    <s v="61308081001001"/>
    <n v="-82.46"/>
    <n v="2103"/>
    <n v="1"/>
    <n v="1"/>
  </r>
  <r>
    <m/>
    <m/>
    <x v="1"/>
    <s v="61432189003001"/>
    <n v="-33.68"/>
    <n v="859"/>
    <n v="1"/>
    <n v="1"/>
  </r>
  <r>
    <m/>
    <m/>
    <x v="1"/>
    <s v="61690664001003"/>
    <n v="-11.88"/>
    <n v="303"/>
    <n v="1"/>
    <n v="1"/>
  </r>
  <r>
    <m/>
    <m/>
    <x v="1"/>
    <s v="61831600002001"/>
    <n v="-76.69"/>
    <n v="1956"/>
    <n v="1"/>
    <n v="1"/>
  </r>
  <r>
    <m/>
    <m/>
    <x v="1"/>
    <s v="61959666001001"/>
    <n v="-90.31"/>
    <n v="2290"/>
    <n v="2"/>
    <n v="1"/>
  </r>
  <r>
    <m/>
    <m/>
    <x v="1"/>
    <s v="61995118001001"/>
    <n v="-91.199999999999989"/>
    <n v="2304"/>
    <n v="2"/>
    <n v="1"/>
  </r>
  <r>
    <m/>
    <m/>
    <x v="1"/>
    <s v="62003086001001"/>
    <n v="-61.01"/>
    <n v="1556"/>
    <n v="1"/>
    <n v="1"/>
  </r>
  <r>
    <m/>
    <m/>
    <x v="1"/>
    <s v="62093075001007"/>
    <n v="-42.11"/>
    <n v="1052"/>
    <n v="2"/>
    <n v="1"/>
  </r>
  <r>
    <m/>
    <m/>
    <x v="1"/>
    <s v="62108607001005"/>
    <n v="-45.44"/>
    <n v="1159"/>
    <n v="1"/>
    <n v="1"/>
  </r>
  <r>
    <m/>
    <m/>
    <x v="1"/>
    <s v="62305746001001"/>
    <n v="-76.64"/>
    <n v="1949"/>
    <n v="2"/>
    <n v="1"/>
  </r>
  <r>
    <m/>
    <m/>
    <x v="1"/>
    <s v="62350475002006"/>
    <n v="-71.489999999999995"/>
    <n v="1813"/>
    <n v="2"/>
    <n v="1"/>
  </r>
  <r>
    <m/>
    <m/>
    <x v="1"/>
    <s v="63123242001001"/>
    <n v="-116.82"/>
    <n v="2818"/>
    <n v="2"/>
    <n v="1"/>
  </r>
  <r>
    <m/>
    <m/>
    <x v="1"/>
    <s v="63172903002001"/>
    <n v="-29.76"/>
    <n v="759"/>
    <n v="1"/>
    <n v="1"/>
  </r>
  <r>
    <m/>
    <m/>
    <x v="1"/>
    <s v="63263435001001"/>
    <n v="-67.38"/>
    <n v="1666"/>
    <n v="2"/>
    <n v="1"/>
  </r>
  <r>
    <m/>
    <m/>
    <x v="1"/>
    <s v="63278864002003"/>
    <n v="-1.49"/>
    <n v="38"/>
    <n v="1"/>
    <n v="1"/>
  </r>
  <r>
    <m/>
    <m/>
    <x v="1"/>
    <s v="63412267001001"/>
    <n v="-50.279999999999994"/>
    <n v="1275"/>
    <n v="2"/>
    <n v="1"/>
  </r>
  <r>
    <m/>
    <m/>
    <x v="1"/>
    <s v="63451251001005"/>
    <n v="-41.56"/>
    <n v="1060"/>
    <n v="1"/>
    <n v="1"/>
  </r>
  <r>
    <m/>
    <m/>
    <x v="1"/>
    <s v="63473427001003"/>
    <n v="-66.19"/>
    <n v="1654"/>
    <n v="2"/>
    <n v="1"/>
  </r>
  <r>
    <m/>
    <m/>
    <x v="1"/>
    <s v="63586086001002"/>
    <n v="-37.25"/>
    <n v="896"/>
    <n v="2"/>
    <n v="1"/>
  </r>
  <r>
    <m/>
    <m/>
    <x v="1"/>
    <s v="63681093001001"/>
    <n v="-133.82"/>
    <n v="3309"/>
    <n v="2"/>
    <n v="1"/>
  </r>
  <r>
    <m/>
    <m/>
    <x v="1"/>
    <s v="63875460001002"/>
    <n v="-60.21"/>
    <n v="1460"/>
    <n v="2"/>
    <n v="1"/>
  </r>
  <r>
    <m/>
    <m/>
    <x v="1"/>
    <s v="63898256001003"/>
    <n v="-33.299999999999997"/>
    <n v="832"/>
    <n v="2"/>
    <n v="1"/>
  </r>
  <r>
    <m/>
    <m/>
    <x v="1"/>
    <s v="64200388001006"/>
    <n v="-72.34"/>
    <n v="1845"/>
    <n v="1"/>
    <n v="1"/>
  </r>
  <r>
    <m/>
    <m/>
    <x v="1"/>
    <s v="64287131001001"/>
    <n v="-68.47999999999999"/>
    <n v="1717"/>
    <n v="2"/>
    <n v="1"/>
  </r>
  <r>
    <m/>
    <m/>
    <x v="1"/>
    <s v="64306926001001"/>
    <n v="-228.08"/>
    <n v="5579"/>
    <n v="2"/>
    <n v="1"/>
  </r>
  <r>
    <m/>
    <m/>
    <x v="1"/>
    <s v="64490982003003"/>
    <n v="-10.16"/>
    <n v="259"/>
    <n v="1"/>
    <n v="1"/>
  </r>
  <r>
    <m/>
    <m/>
    <x v="1"/>
    <s v="64587795001002"/>
    <n v="-79.690000000000012"/>
    <n v="1998"/>
    <n v="2"/>
    <n v="1"/>
  </r>
  <r>
    <m/>
    <m/>
    <x v="1"/>
    <s v="64815090001001"/>
    <n v="-19.61"/>
    <n v="500"/>
    <n v="1"/>
    <n v="1"/>
  </r>
  <r>
    <m/>
    <m/>
    <x v="1"/>
    <s v="64826160001001"/>
    <n v="-95.28"/>
    <n v="2292"/>
    <n v="2"/>
    <n v="1"/>
  </r>
  <r>
    <m/>
    <m/>
    <x v="1"/>
    <s v="65039500002003"/>
    <n v="-24.58"/>
    <n v="627"/>
    <n v="1"/>
    <n v="1"/>
  </r>
  <r>
    <m/>
    <m/>
    <x v="1"/>
    <s v="65270935001002"/>
    <n v="-86.289999999999992"/>
    <n v="2156"/>
    <n v="2"/>
    <n v="1"/>
  </r>
  <r>
    <m/>
    <m/>
    <x v="1"/>
    <s v="65288119001003"/>
    <n v="-2.94"/>
    <n v="75"/>
    <n v="1"/>
    <n v="1"/>
  </r>
  <r>
    <m/>
    <m/>
    <x v="1"/>
    <s v="65413433002003"/>
    <n v="-34.49"/>
    <n v="862"/>
    <n v="2"/>
    <n v="1"/>
  </r>
  <r>
    <m/>
    <m/>
    <x v="1"/>
    <s v="65474469002008"/>
    <n v="-37.36"/>
    <n v="931"/>
    <n v="2"/>
    <n v="1"/>
  </r>
  <r>
    <m/>
    <m/>
    <x v="1"/>
    <s v="65818545001003"/>
    <n v="-100.42999999999999"/>
    <n v="2518"/>
    <n v="2"/>
    <n v="1"/>
  </r>
  <r>
    <m/>
    <m/>
    <x v="1"/>
    <s v="65819822001006"/>
    <n v="-82.11"/>
    <n v="2094"/>
    <n v="1"/>
    <n v="1"/>
  </r>
  <r>
    <m/>
    <m/>
    <x v="1"/>
    <s v="66031728002001"/>
    <n v="-23.57"/>
    <n v="601"/>
    <n v="1"/>
    <n v="1"/>
  </r>
  <r>
    <m/>
    <m/>
    <x v="1"/>
    <s v="66122783001004"/>
    <n v="-9.49"/>
    <n v="242"/>
    <n v="1"/>
    <n v="1"/>
  </r>
  <r>
    <m/>
    <m/>
    <x v="1"/>
    <s v="66154595001001"/>
    <n v="-19.8"/>
    <n v="505"/>
    <n v="1"/>
    <n v="1"/>
  </r>
  <r>
    <m/>
    <m/>
    <x v="1"/>
    <s v="66262731001005"/>
    <n v="-53.64"/>
    <n v="1368"/>
    <n v="1"/>
    <n v="1"/>
  </r>
  <r>
    <m/>
    <m/>
    <x v="1"/>
    <s v="66526766001001"/>
    <n v="-1.22"/>
    <n v="31"/>
    <n v="1"/>
    <n v="1"/>
  </r>
  <r>
    <m/>
    <m/>
    <x v="1"/>
    <s v="66682187001003"/>
    <n v="-73.52"/>
    <n v="1875"/>
    <n v="1"/>
    <n v="1"/>
  </r>
  <r>
    <m/>
    <m/>
    <x v="1"/>
    <s v="66758040001002"/>
    <n v="-0.25"/>
    <n v="6"/>
    <n v="2"/>
    <n v="1"/>
  </r>
  <r>
    <m/>
    <m/>
    <x v="1"/>
    <s v="66809061002005"/>
    <n v="-40.839999999999996"/>
    <n v="1032"/>
    <n v="2"/>
    <n v="1"/>
  </r>
  <r>
    <m/>
    <m/>
    <x v="1"/>
    <s v="66877116001001"/>
    <n v="-8.2899999999999991"/>
    <n v="203"/>
    <n v="2"/>
    <n v="1"/>
  </r>
  <r>
    <m/>
    <m/>
    <x v="1"/>
    <s v="66942119001003"/>
    <n v="-6.8"/>
    <n v="164"/>
    <n v="2"/>
    <n v="1"/>
  </r>
  <r>
    <m/>
    <m/>
    <x v="1"/>
    <s v="67062475004001"/>
    <n v="-108.81"/>
    <n v="2775"/>
    <n v="1"/>
    <n v="1"/>
  </r>
  <r>
    <m/>
    <m/>
    <x v="1"/>
    <s v="67068181001001"/>
    <n v="-36.15"/>
    <n v="872"/>
    <n v="2"/>
    <n v="1"/>
  </r>
  <r>
    <m/>
    <m/>
    <x v="1"/>
    <s v="67267992001001"/>
    <n v="-79.34"/>
    <n v="2012"/>
    <n v="2"/>
    <n v="1"/>
  </r>
  <r>
    <m/>
    <m/>
    <x v="1"/>
    <s v="67361765001002"/>
    <n v="-144.63999999999999"/>
    <n v="3527"/>
    <n v="2"/>
    <n v="1"/>
  </r>
  <r>
    <m/>
    <m/>
    <x v="1"/>
    <s v="67563007001003"/>
    <n v="-97.91"/>
    <n v="2497"/>
    <n v="1"/>
    <n v="1"/>
  </r>
  <r>
    <m/>
    <m/>
    <x v="1"/>
    <s v="67580955001002"/>
    <n v="-95.97"/>
    <n v="2327"/>
    <n v="2"/>
    <n v="1"/>
  </r>
  <r>
    <m/>
    <m/>
    <x v="1"/>
    <s v="67683314001002"/>
    <n v="-4.63"/>
    <n v="118"/>
    <n v="1"/>
    <n v="1"/>
  </r>
  <r>
    <m/>
    <m/>
    <x v="1"/>
    <s v="68120904001001"/>
    <n v="-40.199999999999996"/>
    <n v="996"/>
    <n v="2"/>
    <n v="1"/>
  </r>
  <r>
    <m/>
    <m/>
    <x v="1"/>
    <s v="68146157001004"/>
    <n v="-26.07"/>
    <n v="661"/>
    <n v="2"/>
    <n v="1"/>
  </r>
  <r>
    <m/>
    <m/>
    <x v="1"/>
    <s v="68338933001001"/>
    <n v="-105.31"/>
    <n v="2678"/>
    <n v="2"/>
    <n v="1"/>
  </r>
  <r>
    <m/>
    <m/>
    <x v="1"/>
    <s v="68453365001003"/>
    <n v="-83.929999999999993"/>
    <n v="2019"/>
    <n v="2"/>
    <n v="1"/>
  </r>
  <r>
    <m/>
    <m/>
    <x v="1"/>
    <s v="68471539001001"/>
    <n v="-4.43"/>
    <n v="113"/>
    <n v="1"/>
    <n v="1"/>
  </r>
  <r>
    <m/>
    <m/>
    <x v="1"/>
    <s v="68562129001001"/>
    <n v="-70.34"/>
    <n v="1794"/>
    <n v="1"/>
    <n v="1"/>
  </r>
  <r>
    <m/>
    <m/>
    <x v="1"/>
    <s v="68616474001006"/>
    <n v="-102.19"/>
    <n v="2465"/>
    <n v="2"/>
    <n v="1"/>
  </r>
  <r>
    <m/>
    <m/>
    <x v="1"/>
    <s v="68653088002001"/>
    <n v="-62.62"/>
    <n v="1597"/>
    <n v="1"/>
    <n v="1"/>
  </r>
  <r>
    <m/>
    <m/>
    <x v="1"/>
    <s v="68711288001003"/>
    <n v="-177.42000000000002"/>
    <n v="4268"/>
    <n v="2"/>
    <n v="1"/>
  </r>
  <r>
    <m/>
    <m/>
    <x v="1"/>
    <s v="68769952001001"/>
    <n v="-33.379999999999995"/>
    <n v="803"/>
    <n v="2"/>
    <n v="1"/>
  </r>
  <r>
    <m/>
    <m/>
    <x v="1"/>
    <s v="68894705001001"/>
    <n v="-24.78"/>
    <n v="632"/>
    <n v="1"/>
    <n v="1"/>
  </r>
  <r>
    <m/>
    <m/>
    <x v="1"/>
    <s v="68970693005001"/>
    <n v="-66.849999999999994"/>
    <n v="1705"/>
    <n v="1"/>
    <n v="1"/>
  </r>
  <r>
    <m/>
    <m/>
    <x v="1"/>
    <s v="69060497001001"/>
    <n v="-26.51"/>
    <n v="676"/>
    <n v="1"/>
    <n v="1"/>
  </r>
  <r>
    <m/>
    <m/>
    <x v="1"/>
    <s v="69170739001001"/>
    <n v="-34.479999999999997"/>
    <n v="859"/>
    <n v="2"/>
    <n v="1"/>
  </r>
  <r>
    <m/>
    <m/>
    <x v="1"/>
    <s v="69182870001007"/>
    <n v="-104.5"/>
    <n v="2640"/>
    <n v="2"/>
    <n v="1"/>
  </r>
  <r>
    <m/>
    <m/>
    <x v="1"/>
    <s v="69208025001001"/>
    <n v="-71.239999999999995"/>
    <n v="1817"/>
    <n v="1"/>
    <n v="1"/>
  </r>
  <r>
    <m/>
    <m/>
    <x v="1"/>
    <s v="69340720001002"/>
    <n v="-88.240000000000009"/>
    <n v="2182"/>
    <n v="2"/>
    <n v="1"/>
  </r>
  <r>
    <m/>
    <m/>
    <x v="1"/>
    <s v="69343800002003"/>
    <n v="-109.98"/>
    <n v="2748"/>
    <n v="2"/>
    <n v="1"/>
  </r>
  <r>
    <m/>
    <m/>
    <x v="1"/>
    <s v="69443775003001"/>
    <n v="-109.91"/>
    <n v="2644"/>
    <n v="2"/>
    <n v="1"/>
  </r>
  <r>
    <m/>
    <m/>
    <x v="1"/>
    <s v="69503872001003"/>
    <n v="-52.7"/>
    <n v="1271"/>
    <n v="2"/>
    <n v="1"/>
  </r>
  <r>
    <m/>
    <m/>
    <x v="1"/>
    <s v="69542400001002"/>
    <n v="-119.57"/>
    <n v="2979"/>
    <n v="2"/>
    <n v="1"/>
  </r>
  <r>
    <m/>
    <m/>
    <x v="1"/>
    <s v="69596317004001"/>
    <n v="-77.919999999999987"/>
    <n v="1914"/>
    <n v="2"/>
    <n v="1"/>
  </r>
  <r>
    <m/>
    <m/>
    <x v="1"/>
    <s v="69704870003001"/>
    <n v="-137.47"/>
    <n v="3506"/>
    <n v="1"/>
    <n v="1"/>
  </r>
  <r>
    <m/>
    <m/>
    <x v="1"/>
    <s v="69795270001001"/>
    <n v="-49.53"/>
    <n v="1234"/>
    <n v="2"/>
    <n v="1"/>
  </r>
  <r>
    <m/>
    <m/>
    <x v="1"/>
    <s v="69863694002001"/>
    <n v="-24.330000000000002"/>
    <n v="608"/>
    <n v="2"/>
    <n v="1"/>
  </r>
  <r>
    <m/>
    <m/>
    <x v="1"/>
    <s v="69878059001003"/>
    <n v="-13.49"/>
    <n v="329"/>
    <n v="2"/>
    <n v="1"/>
  </r>
  <r>
    <m/>
    <m/>
    <x v="1"/>
    <s v="69906946003001"/>
    <n v="-25.36"/>
    <n v="643"/>
    <n v="2"/>
    <n v="1"/>
  </r>
  <r>
    <m/>
    <m/>
    <x v="1"/>
    <s v="70012470001004"/>
    <n v="-140.38999999999999"/>
    <n v="3518"/>
    <n v="2"/>
    <n v="1"/>
  </r>
  <r>
    <m/>
    <m/>
    <x v="1"/>
    <s v="70272425001001"/>
    <n v="-25.84"/>
    <n v="659"/>
    <n v="1"/>
    <n v="1"/>
  </r>
  <r>
    <m/>
    <m/>
    <x v="1"/>
    <s v="70350989002001"/>
    <n v="-14.57"/>
    <n v="363"/>
    <n v="2"/>
    <n v="1"/>
  </r>
  <r>
    <m/>
    <m/>
    <x v="1"/>
    <s v="70508523001001"/>
    <n v="-62.19"/>
    <n v="1508"/>
    <n v="2"/>
    <n v="1"/>
  </r>
  <r>
    <m/>
    <m/>
    <x v="1"/>
    <s v="70566844001001"/>
    <n v="-63.68"/>
    <n v="1624"/>
    <n v="1"/>
    <n v="1"/>
  </r>
  <r>
    <m/>
    <m/>
    <x v="1"/>
    <s v="70587997002003"/>
    <n v="-85.38"/>
    <n v="2091"/>
    <n v="2"/>
    <n v="1"/>
  </r>
  <r>
    <m/>
    <m/>
    <x v="1"/>
    <s v="70783863001001"/>
    <n v="-155.47999999999999"/>
    <n v="3885"/>
    <n v="2"/>
    <n v="1"/>
  </r>
  <r>
    <m/>
    <m/>
    <x v="1"/>
    <s v="70863501002003"/>
    <n v="-141.26"/>
    <n v="3569"/>
    <n v="2"/>
    <n v="1"/>
  </r>
  <r>
    <m/>
    <m/>
    <x v="1"/>
    <s v="70868156001002"/>
    <n v="-22.04"/>
    <n v="562"/>
    <n v="1"/>
    <n v="1"/>
  </r>
  <r>
    <m/>
    <m/>
    <x v="1"/>
    <s v="70912414004001"/>
    <n v="-153.08000000000001"/>
    <n v="3904"/>
    <n v="1"/>
    <n v="1"/>
  </r>
  <r>
    <m/>
    <m/>
    <x v="1"/>
    <s v="70915951001003"/>
    <n v="-35.729999999999997"/>
    <n v="906"/>
    <n v="2"/>
    <n v="1"/>
  </r>
  <r>
    <m/>
    <m/>
    <x v="1"/>
    <s v="70944177001002"/>
    <n v="-58.01"/>
    <n v="1421"/>
    <n v="2"/>
    <n v="1"/>
  </r>
  <r>
    <m/>
    <m/>
    <x v="1"/>
    <s v="71069064001004"/>
    <n v="-55.33"/>
    <n v="1411"/>
    <n v="1"/>
    <n v="1"/>
  </r>
  <r>
    <m/>
    <m/>
    <x v="1"/>
    <s v="71222085003001"/>
    <n v="-53.25"/>
    <n v="1358"/>
    <n v="1"/>
    <n v="1"/>
  </r>
  <r>
    <m/>
    <m/>
    <x v="1"/>
    <s v="71348793001001"/>
    <n v="-58.44"/>
    <n v="1456"/>
    <n v="2"/>
    <n v="1"/>
  </r>
  <r>
    <m/>
    <m/>
    <x v="1"/>
    <s v="71499386001002"/>
    <n v="-68.099999999999994"/>
    <n v="1732"/>
    <n v="2"/>
    <n v="1"/>
  </r>
  <r>
    <m/>
    <m/>
    <x v="1"/>
    <s v="71625176001001"/>
    <n v="-51.7"/>
    <n v="1311"/>
    <n v="2"/>
    <n v="1"/>
  </r>
  <r>
    <m/>
    <m/>
    <x v="1"/>
    <s v="71710035001001"/>
    <n v="-129.19999999999999"/>
    <n v="3295"/>
    <n v="1"/>
    <n v="1"/>
  </r>
  <r>
    <m/>
    <m/>
    <x v="1"/>
    <s v="71822800001001"/>
    <n v="-144.01"/>
    <n v="3561"/>
    <n v="2"/>
    <n v="1"/>
  </r>
  <r>
    <m/>
    <m/>
    <x v="1"/>
    <s v="71835065001003"/>
    <n v="-48.7"/>
    <n v="1242"/>
    <n v="1"/>
    <n v="1"/>
  </r>
  <r>
    <m/>
    <m/>
    <x v="1"/>
    <s v="71915406001006"/>
    <n v="-41.510000000000005"/>
    <n v="1012"/>
    <n v="2"/>
    <n v="1"/>
  </r>
  <r>
    <m/>
    <m/>
    <x v="1"/>
    <s v="71968164001001"/>
    <n v="-79.180000000000007"/>
    <n v="1931"/>
    <n v="2"/>
    <n v="1"/>
  </r>
  <r>
    <m/>
    <m/>
    <x v="1"/>
    <s v="71983541001003"/>
    <n v="-89.039999999999992"/>
    <n v="2142"/>
    <n v="2"/>
    <n v="1"/>
  </r>
  <r>
    <m/>
    <m/>
    <x v="1"/>
    <s v="72281719002001"/>
    <n v="-28.9"/>
    <n v="737"/>
    <n v="1"/>
    <n v="1"/>
  </r>
  <r>
    <m/>
    <m/>
    <x v="1"/>
    <s v="72349625001002"/>
    <n v="-16.29"/>
    <n v="407"/>
    <n v="2"/>
    <n v="1"/>
  </r>
  <r>
    <m/>
    <m/>
    <x v="1"/>
    <s v="72395550003001"/>
    <n v="-46.93"/>
    <n v="1197"/>
    <n v="1"/>
    <n v="1"/>
  </r>
  <r>
    <m/>
    <m/>
    <x v="1"/>
    <s v="72476489001001"/>
    <n v="-120.78999999999999"/>
    <n v="3052"/>
    <n v="2"/>
    <n v="1"/>
  </r>
  <r>
    <m/>
    <m/>
    <x v="1"/>
    <s v="72632373002001"/>
    <n v="-141.32"/>
    <n v="3427"/>
    <n v="2"/>
    <n v="1"/>
  </r>
  <r>
    <m/>
    <m/>
    <x v="1"/>
    <s v="72851181001001"/>
    <n v="-96.46"/>
    <n v="2460"/>
    <n v="1"/>
    <n v="1"/>
  </r>
  <r>
    <m/>
    <m/>
    <x v="1"/>
    <s v="73073162002001"/>
    <n v="-11.96"/>
    <n v="305"/>
    <n v="1"/>
    <n v="1"/>
  </r>
  <r>
    <m/>
    <m/>
    <x v="1"/>
    <s v="73183338001003"/>
    <n v="-84.8"/>
    <n v="2040"/>
    <n v="2"/>
    <n v="1"/>
  </r>
  <r>
    <m/>
    <m/>
    <x v="1"/>
    <s v="73183610001001"/>
    <n v="-39.68"/>
    <n v="1012"/>
    <n v="1"/>
    <n v="1"/>
  </r>
  <r>
    <m/>
    <m/>
    <x v="1"/>
    <s v="73241290002003"/>
    <n v="-35.33"/>
    <n v="901"/>
    <n v="1"/>
    <n v="1"/>
  </r>
  <r>
    <m/>
    <m/>
    <x v="1"/>
    <s v="73496965001001"/>
    <n v="-64.849999999999994"/>
    <n v="1654"/>
    <n v="1"/>
    <n v="1"/>
  </r>
  <r>
    <m/>
    <m/>
    <x v="1"/>
    <s v="73587213002004"/>
    <n v="-124.5"/>
    <n v="3120"/>
    <n v="2"/>
    <n v="1"/>
  </r>
  <r>
    <m/>
    <m/>
    <x v="1"/>
    <s v="73758151001001"/>
    <n v="-69.449999999999989"/>
    <n v="1766"/>
    <n v="2"/>
    <n v="1"/>
  </r>
  <r>
    <m/>
    <m/>
    <x v="1"/>
    <s v="73783764001001"/>
    <n v="-14.35"/>
    <n v="366"/>
    <n v="1"/>
    <n v="1"/>
  </r>
  <r>
    <m/>
    <m/>
    <x v="1"/>
    <s v="73901287001007"/>
    <n v="-4.6499999999999995"/>
    <n v="118"/>
    <n v="2"/>
    <n v="1"/>
  </r>
  <r>
    <m/>
    <m/>
    <x v="1"/>
    <s v="73949590004003"/>
    <n v="-49.72"/>
    <n v="1268"/>
    <n v="1"/>
    <n v="1"/>
  </r>
  <r>
    <m/>
    <m/>
    <x v="1"/>
    <s v="74321348001004"/>
    <n v="-77.790000000000006"/>
    <n v="1984"/>
    <n v="1"/>
    <n v="1"/>
  </r>
  <r>
    <m/>
    <m/>
    <x v="1"/>
    <s v="74446426001001"/>
    <n v="-90.26"/>
    <n v="2302"/>
    <n v="1"/>
    <n v="1"/>
  </r>
  <r>
    <m/>
    <m/>
    <x v="1"/>
    <s v="74657239001002"/>
    <n v="-20.55"/>
    <n v="515"/>
    <n v="2"/>
    <n v="1"/>
  </r>
  <r>
    <m/>
    <m/>
    <x v="1"/>
    <s v="74739829001009"/>
    <n v="-81.05"/>
    <n v="2004"/>
    <n v="2"/>
    <n v="1"/>
  </r>
  <r>
    <m/>
    <m/>
    <x v="1"/>
    <s v="74790154001001"/>
    <n v="-68.33"/>
    <n v="1713"/>
    <n v="2"/>
    <n v="1"/>
  </r>
  <r>
    <m/>
    <m/>
    <x v="1"/>
    <s v="74844196001001"/>
    <n v="-94.3"/>
    <n v="2405"/>
    <n v="1"/>
    <n v="1"/>
  </r>
  <r>
    <m/>
    <m/>
    <x v="1"/>
    <s v="74925966001001"/>
    <n v="-66.63"/>
    <n v="1660"/>
    <n v="2"/>
    <n v="1"/>
  </r>
  <r>
    <m/>
    <m/>
    <x v="1"/>
    <s v="74962988001001"/>
    <n v="-113.00999999999999"/>
    <n v="2824"/>
    <n v="2"/>
    <n v="1"/>
  </r>
  <r>
    <m/>
    <m/>
    <x v="1"/>
    <s v="75012621001001"/>
    <n v="-34"/>
    <n v="852"/>
    <n v="2"/>
    <n v="1"/>
  </r>
  <r>
    <m/>
    <m/>
    <x v="1"/>
    <s v="75279636002003"/>
    <n v="-92.54"/>
    <n v="2360"/>
    <n v="1"/>
    <n v="1"/>
  </r>
  <r>
    <m/>
    <m/>
    <x v="1"/>
    <s v="75379491002001"/>
    <n v="-35.130000000000003"/>
    <n v="896"/>
    <n v="1"/>
    <n v="1"/>
  </r>
  <r>
    <m/>
    <m/>
    <x v="1"/>
    <s v="75448417001001"/>
    <n v="-20.91"/>
    <n v="524"/>
    <n v="2"/>
    <n v="1"/>
  </r>
  <r>
    <m/>
    <m/>
    <x v="1"/>
    <s v="75487883001003"/>
    <n v="-38.07"/>
    <n v="971"/>
    <n v="1"/>
    <n v="1"/>
  </r>
  <r>
    <m/>
    <m/>
    <x v="1"/>
    <s v="75962811001001"/>
    <n v="-66.77"/>
    <n v="1619"/>
    <n v="2"/>
    <n v="1"/>
  </r>
  <r>
    <m/>
    <m/>
    <x v="1"/>
    <s v="75990063001006"/>
    <n v="-7.37"/>
    <n v="188"/>
    <n v="1"/>
    <n v="1"/>
  </r>
  <r>
    <m/>
    <m/>
    <x v="1"/>
    <s v="76834821003003"/>
    <n v="-26.38"/>
    <n v="669"/>
    <n v="2"/>
    <n v="1"/>
  </r>
  <r>
    <m/>
    <m/>
    <x v="1"/>
    <s v="76842120001001"/>
    <n v="-62.51"/>
    <n v="1531"/>
    <n v="2"/>
    <n v="1"/>
  </r>
  <r>
    <m/>
    <m/>
    <x v="1"/>
    <s v="77034079001001"/>
    <n v="-50.38"/>
    <n v="1285"/>
    <n v="1"/>
    <n v="1"/>
  </r>
  <r>
    <m/>
    <m/>
    <x v="1"/>
    <s v="77431809001004"/>
    <n v="-124.82999999999998"/>
    <n v="3011"/>
    <n v="2"/>
    <n v="1"/>
  </r>
  <r>
    <m/>
    <m/>
    <x v="1"/>
    <s v="77456701001001"/>
    <n v="-79.75"/>
    <n v="1972"/>
    <n v="2"/>
    <n v="1"/>
  </r>
  <r>
    <m/>
    <m/>
    <x v="1"/>
    <s v="77469310001005"/>
    <n v="-78.34"/>
    <n v="1998"/>
    <n v="1"/>
    <n v="1"/>
  </r>
  <r>
    <m/>
    <m/>
    <x v="1"/>
    <s v="77473209001001"/>
    <n v="-74.739999999999995"/>
    <n v="1798"/>
    <n v="2"/>
    <n v="1"/>
  </r>
  <r>
    <m/>
    <m/>
    <x v="1"/>
    <s v="77538150006001"/>
    <n v="-41.44"/>
    <n v="1057"/>
    <n v="1"/>
    <n v="1"/>
  </r>
  <r>
    <m/>
    <m/>
    <x v="1"/>
    <s v="77603630004001"/>
    <n v="-65.83"/>
    <n v="1679"/>
    <n v="1"/>
    <n v="1"/>
  </r>
  <r>
    <m/>
    <m/>
    <x v="1"/>
    <s v="77813221001001"/>
    <n v="-5.8199999999999994"/>
    <n v="145"/>
    <n v="2"/>
    <n v="1"/>
  </r>
  <r>
    <m/>
    <m/>
    <x v="1"/>
    <s v="77860128001001"/>
    <n v="-70.3"/>
    <n v="1793"/>
    <n v="1"/>
    <n v="1"/>
  </r>
  <r>
    <m/>
    <m/>
    <x v="1"/>
    <s v="78107039001001"/>
    <n v="-9.9700000000000006"/>
    <n v="249"/>
    <n v="2"/>
    <n v="1"/>
  </r>
  <r>
    <m/>
    <m/>
    <x v="1"/>
    <s v="78257483004003"/>
    <n v="-99.46"/>
    <n v="2478"/>
    <n v="2"/>
    <n v="1"/>
  </r>
  <r>
    <m/>
    <m/>
    <x v="1"/>
    <s v="78305476001002"/>
    <n v="-71.319999999999993"/>
    <n v="1782"/>
    <n v="2"/>
    <n v="1"/>
  </r>
  <r>
    <m/>
    <m/>
    <x v="1"/>
    <s v="78360766001001"/>
    <n v="-190.01"/>
    <n v="4846"/>
    <n v="1"/>
    <n v="1"/>
  </r>
  <r>
    <m/>
    <m/>
    <x v="1"/>
    <s v="78415920003009"/>
    <n v="-51.14"/>
    <n v="1278"/>
    <n v="2"/>
    <n v="1"/>
  </r>
  <r>
    <m/>
    <m/>
    <x v="1"/>
    <s v="78441896001007"/>
    <n v="-39.700000000000003"/>
    <n v="968"/>
    <n v="2"/>
    <n v="1"/>
  </r>
  <r>
    <m/>
    <m/>
    <x v="1"/>
    <s v="78484256001001"/>
    <n v="-0.31"/>
    <n v="8"/>
    <n v="2"/>
    <n v="1"/>
  </r>
  <r>
    <m/>
    <m/>
    <x v="1"/>
    <s v="78534949001001"/>
    <n v="-7.14"/>
    <n v="182"/>
    <n v="1"/>
    <n v="1"/>
  </r>
  <r>
    <m/>
    <m/>
    <x v="1"/>
    <s v="78610741003005"/>
    <n v="-166.66"/>
    <n v="4121"/>
    <n v="2"/>
    <n v="1"/>
  </r>
  <r>
    <m/>
    <m/>
    <x v="1"/>
    <s v="78764555001002"/>
    <n v="-65.87"/>
    <n v="1680"/>
    <n v="1"/>
    <n v="1"/>
  </r>
  <r>
    <m/>
    <m/>
    <x v="1"/>
    <s v="78941352001001"/>
    <n v="-14.959999999999999"/>
    <n v="361"/>
    <n v="2"/>
    <n v="1"/>
  </r>
  <r>
    <m/>
    <m/>
    <x v="1"/>
    <s v="78981033002001"/>
    <n v="-102.93"/>
    <n v="2625"/>
    <n v="1"/>
    <n v="1"/>
  </r>
  <r>
    <m/>
    <m/>
    <x v="1"/>
    <s v="79262329001005"/>
    <n v="-67.010000000000005"/>
    <n v="1625"/>
    <n v="2"/>
    <n v="1"/>
  </r>
  <r>
    <m/>
    <m/>
    <x v="1"/>
    <s v="79543609001001"/>
    <n v="-93.71"/>
    <n v="2324"/>
    <n v="2"/>
    <n v="1"/>
  </r>
  <r>
    <m/>
    <m/>
    <x v="1"/>
    <s v="79582962007001"/>
    <n v="-80.38"/>
    <n v="2050"/>
    <n v="1"/>
    <n v="1"/>
  </r>
  <r>
    <m/>
    <m/>
    <x v="1"/>
    <s v="79876400001001"/>
    <n v="-40.94"/>
    <n v="1044"/>
    <n v="1"/>
    <n v="1"/>
  </r>
  <r>
    <m/>
    <m/>
    <x v="1"/>
    <s v="79888927001001"/>
    <n v="-142.44"/>
    <n v="3436"/>
    <n v="2"/>
    <n v="1"/>
  </r>
  <r>
    <m/>
    <m/>
    <x v="1"/>
    <s v="80040145002003"/>
    <n v="-144.11000000000001"/>
    <n v="3476"/>
    <n v="2"/>
    <n v="1"/>
  </r>
  <r>
    <m/>
    <m/>
    <x v="1"/>
    <s v="80230379001001"/>
    <n v="-4.08"/>
    <n v="104"/>
    <n v="1"/>
    <n v="1"/>
  </r>
  <r>
    <m/>
    <m/>
    <x v="1"/>
    <s v="80579052001003"/>
    <n v="-54.26"/>
    <n v="1371"/>
    <n v="2"/>
    <n v="1"/>
  </r>
  <r>
    <m/>
    <m/>
    <x v="1"/>
    <s v="80583516001005"/>
    <n v="-197.19"/>
    <n v="4913"/>
    <n v="2"/>
    <n v="1"/>
  </r>
  <r>
    <m/>
    <m/>
    <x v="1"/>
    <s v="80600490002003"/>
    <n v="-132.72999999999999"/>
    <n v="3385"/>
    <n v="1"/>
    <n v="1"/>
  </r>
  <r>
    <m/>
    <m/>
    <x v="1"/>
    <s v="80927139001003"/>
    <n v="-50.45"/>
    <n v="1217"/>
    <n v="2"/>
    <n v="1"/>
  </r>
  <r>
    <m/>
    <m/>
    <x v="1"/>
    <s v="81092601001005"/>
    <n v="-105.71"/>
    <n v="2696"/>
    <n v="1"/>
    <n v="1"/>
  </r>
  <r>
    <m/>
    <m/>
    <x v="1"/>
    <s v="81113647002001"/>
    <n v="-91.410000000000011"/>
    <n v="2284"/>
    <n v="2"/>
    <n v="1"/>
  </r>
  <r>
    <m/>
    <m/>
    <x v="1"/>
    <s v="81283750001001"/>
    <n v="-34.35"/>
    <n v="876"/>
    <n v="1"/>
    <n v="1"/>
  </r>
  <r>
    <m/>
    <m/>
    <x v="1"/>
    <s v="81304932001001"/>
    <n v="-77.009999999999991"/>
    <n v="1930"/>
    <n v="2"/>
    <n v="1"/>
  </r>
  <r>
    <m/>
    <m/>
    <x v="1"/>
    <s v="81337996001001"/>
    <n v="-138.42000000000002"/>
    <n v="3339"/>
    <n v="2"/>
    <n v="1"/>
  </r>
  <r>
    <m/>
    <m/>
    <x v="1"/>
    <s v="81392055002006"/>
    <n v="-61.51"/>
    <n v="1537"/>
    <n v="2"/>
    <n v="1"/>
  </r>
  <r>
    <m/>
    <m/>
    <x v="1"/>
    <s v="81404769001001"/>
    <n v="-12.969999999999999"/>
    <n v="325"/>
    <n v="2"/>
    <n v="1"/>
  </r>
  <r>
    <m/>
    <m/>
    <x v="1"/>
    <s v="81416667001004"/>
    <n v="-44.82"/>
    <n v="1093"/>
    <n v="2"/>
    <n v="1"/>
  </r>
  <r>
    <m/>
    <m/>
    <x v="1"/>
    <s v="81515835001001"/>
    <n v="-23.5"/>
    <n v="581"/>
    <n v="2"/>
    <n v="1"/>
  </r>
  <r>
    <m/>
    <m/>
    <x v="1"/>
    <s v="81678039001001"/>
    <n v="-100.04"/>
    <n v="2537"/>
    <n v="2"/>
    <n v="1"/>
  </r>
  <r>
    <m/>
    <m/>
    <x v="1"/>
    <s v="81870119001003"/>
    <n v="-16.27"/>
    <n v="415"/>
    <n v="1"/>
    <n v="1"/>
  </r>
  <r>
    <m/>
    <m/>
    <x v="1"/>
    <s v="81905257001001"/>
    <n v="-66.930000000000007"/>
    <n v="1707"/>
    <n v="1"/>
    <n v="1"/>
  </r>
  <r>
    <m/>
    <m/>
    <x v="1"/>
    <s v="82061210002003"/>
    <n v="-75.400000000000006"/>
    <n v="1923"/>
    <n v="1"/>
    <n v="1"/>
  </r>
  <r>
    <m/>
    <m/>
    <x v="1"/>
    <s v="82090212005001"/>
    <n v="-73.44"/>
    <n v="1816"/>
    <n v="2"/>
    <n v="1"/>
  </r>
  <r>
    <m/>
    <m/>
    <x v="1"/>
    <s v="82211799001002"/>
    <n v="-53.260000000000005"/>
    <n v="1321"/>
    <n v="2"/>
    <n v="1"/>
  </r>
  <r>
    <m/>
    <m/>
    <x v="1"/>
    <s v="82239948003003"/>
    <n v="-109.53"/>
    <n v="2635"/>
    <n v="2"/>
    <n v="1"/>
  </r>
  <r>
    <m/>
    <m/>
    <x v="1"/>
    <s v="82301770001003"/>
    <n v="-48.03"/>
    <n v="1225"/>
    <n v="1"/>
    <n v="1"/>
  </r>
  <r>
    <m/>
    <m/>
    <x v="1"/>
    <s v="82431247001001"/>
    <n v="-49.3"/>
    <n v="1219"/>
    <n v="2"/>
    <n v="1"/>
  </r>
  <r>
    <m/>
    <m/>
    <x v="1"/>
    <s v="82440956001001"/>
    <n v="-119.34"/>
    <n v="2871"/>
    <n v="2"/>
    <n v="1"/>
  </r>
  <r>
    <m/>
    <m/>
    <x v="1"/>
    <s v="82467652003001"/>
    <n v="-52.15"/>
    <n v="1330"/>
    <n v="1"/>
    <n v="1"/>
  </r>
  <r>
    <m/>
    <m/>
    <x v="1"/>
    <s v="82658174001006"/>
    <n v="-110.4"/>
    <n v="2768"/>
    <n v="2"/>
    <n v="1"/>
  </r>
  <r>
    <m/>
    <m/>
    <x v="1"/>
    <s v="82877362001001"/>
    <n v="-30.98"/>
    <n v="790"/>
    <n v="1"/>
    <n v="1"/>
  </r>
  <r>
    <m/>
    <m/>
    <x v="1"/>
    <s v="83648881001001"/>
    <n v="-101.88"/>
    <n v="2451"/>
    <n v="2"/>
    <n v="1"/>
  </r>
  <r>
    <m/>
    <m/>
    <x v="1"/>
    <s v="83800275002001"/>
    <n v="-13.89"/>
    <n v="335"/>
    <n v="2"/>
    <n v="1"/>
  </r>
  <r>
    <m/>
    <m/>
    <x v="1"/>
    <s v="83981932001002"/>
    <n v="-15.14"/>
    <n v="386"/>
    <n v="1"/>
    <n v="1"/>
  </r>
  <r>
    <m/>
    <m/>
    <x v="1"/>
    <s v="84463982001001"/>
    <n v="-42.19"/>
    <n v="1076"/>
    <n v="1"/>
    <n v="1"/>
  </r>
  <r>
    <m/>
    <m/>
    <x v="1"/>
    <s v="84539713001002"/>
    <n v="-15.600000000000001"/>
    <n v="394"/>
    <n v="2"/>
    <n v="1"/>
  </r>
  <r>
    <m/>
    <m/>
    <x v="1"/>
    <s v="84610177001005"/>
    <n v="-36.82"/>
    <n v="939"/>
    <n v="1"/>
    <n v="1"/>
  </r>
  <r>
    <m/>
    <m/>
    <x v="1"/>
    <s v="84644192001003"/>
    <n v="-5.33"/>
    <n v="136"/>
    <n v="1"/>
    <n v="1"/>
  </r>
  <r>
    <m/>
    <m/>
    <x v="1"/>
    <s v="84938511001001"/>
    <n v="-30.54"/>
    <n v="761"/>
    <n v="2"/>
    <n v="1"/>
  </r>
  <r>
    <m/>
    <m/>
    <x v="1"/>
    <s v="85023046001005"/>
    <n v="-76.849999999999994"/>
    <n v="1926"/>
    <n v="2"/>
    <n v="1"/>
  </r>
  <r>
    <m/>
    <m/>
    <x v="1"/>
    <s v="85052617001010"/>
    <n v="-23.240000000000002"/>
    <n v="559"/>
    <n v="2"/>
    <n v="1"/>
  </r>
  <r>
    <m/>
    <m/>
    <x v="1"/>
    <s v="85155127001002"/>
    <n v="-88.41"/>
    <n v="2209"/>
    <n v="2"/>
    <n v="1"/>
  </r>
  <r>
    <m/>
    <m/>
    <x v="1"/>
    <s v="85242909001001"/>
    <n v="-39.6"/>
    <n v="1010"/>
    <n v="1"/>
    <n v="1"/>
  </r>
  <r>
    <m/>
    <m/>
    <x v="1"/>
    <s v="85316731004002"/>
    <n v="-191.11"/>
    <n v="4874"/>
    <n v="1"/>
    <n v="1"/>
  </r>
  <r>
    <m/>
    <m/>
    <x v="1"/>
    <s v="85427033007001"/>
    <n v="-56.58"/>
    <n v="1443"/>
    <n v="1"/>
    <n v="1"/>
  </r>
  <r>
    <m/>
    <m/>
    <x v="1"/>
    <s v="85581255001001"/>
    <n v="-15.45"/>
    <n v="394"/>
    <n v="1"/>
    <n v="1"/>
  </r>
  <r>
    <m/>
    <m/>
    <x v="1"/>
    <s v="85590751001003"/>
    <n v="-95.77"/>
    <n v="2304"/>
    <n v="2"/>
    <n v="1"/>
  </r>
  <r>
    <m/>
    <m/>
    <x v="1"/>
    <s v="85648933001001"/>
    <n v="-113.56"/>
    <n v="2732"/>
    <n v="2"/>
    <n v="1"/>
  </r>
  <r>
    <m/>
    <m/>
    <x v="1"/>
    <s v="85663723001011"/>
    <n v="-132.53"/>
    <n v="3188"/>
    <n v="2"/>
    <n v="1"/>
  </r>
  <r>
    <m/>
    <m/>
    <x v="1"/>
    <s v="85758200001003"/>
    <n v="-48.76"/>
    <n v="1173"/>
    <n v="2"/>
    <n v="1"/>
  </r>
  <r>
    <m/>
    <m/>
    <x v="1"/>
    <s v="85809881001003"/>
    <n v="-17.93"/>
    <n v="448"/>
    <n v="2"/>
    <n v="1"/>
  </r>
  <r>
    <m/>
    <m/>
    <x v="1"/>
    <s v="85865787001003"/>
    <n v="-24.330000000000002"/>
    <n v="608"/>
    <n v="2"/>
    <n v="1"/>
  </r>
  <r>
    <m/>
    <m/>
    <x v="1"/>
    <s v="85995109001001"/>
    <n v="-54.56"/>
    <n v="1349"/>
    <n v="2"/>
    <n v="1"/>
  </r>
  <r>
    <m/>
    <m/>
    <x v="1"/>
    <s v="86090490001001"/>
    <n v="-95.12"/>
    <n v="2426"/>
    <n v="1"/>
    <n v="1"/>
  </r>
  <r>
    <m/>
    <m/>
    <x v="1"/>
    <s v="86166400001001"/>
    <n v="-181.06"/>
    <n v="4477"/>
    <n v="2"/>
    <n v="1"/>
  </r>
  <r>
    <m/>
    <m/>
    <x v="1"/>
    <s v="86223556001003"/>
    <n v="-96.210000000000008"/>
    <n v="2404"/>
    <n v="2"/>
    <n v="1"/>
  </r>
  <r>
    <m/>
    <m/>
    <x v="1"/>
    <s v="86306065001001"/>
    <n v="-16.47"/>
    <n v="420"/>
    <n v="1"/>
    <n v="1"/>
  </r>
  <r>
    <m/>
    <m/>
    <x v="1"/>
    <s v="86307010001002"/>
    <n v="-66.81"/>
    <n v="1704"/>
    <n v="1"/>
    <n v="1"/>
  </r>
  <r>
    <m/>
    <m/>
    <x v="1"/>
    <s v="86307411001003"/>
    <n v="-72.400000000000006"/>
    <n v="1836"/>
    <n v="2"/>
    <n v="1"/>
  </r>
  <r>
    <m/>
    <m/>
    <x v="1"/>
    <s v="86651596001003"/>
    <n v="-61.29"/>
    <n v="1554"/>
    <n v="2"/>
    <n v="1"/>
  </r>
  <r>
    <m/>
    <m/>
    <x v="1"/>
    <s v="86709161001013"/>
    <n v="-52.91"/>
    <n v="1322"/>
    <n v="2"/>
    <n v="1"/>
  </r>
  <r>
    <m/>
    <m/>
    <x v="1"/>
    <s v="86861748001005"/>
    <n v="-46.46"/>
    <n v="1185"/>
    <n v="1"/>
    <n v="1"/>
  </r>
  <r>
    <m/>
    <m/>
    <x v="1"/>
    <s v="86965244003001"/>
    <n v="-48.39"/>
    <n v="1234"/>
    <n v="1"/>
    <n v="1"/>
  </r>
  <r>
    <m/>
    <m/>
    <x v="1"/>
    <s v="86993697001006"/>
    <n v="-64.83"/>
    <n v="1620"/>
    <n v="2"/>
    <n v="1"/>
  </r>
  <r>
    <m/>
    <m/>
    <x v="1"/>
    <s v="87070196001003"/>
    <n v="-16.98"/>
    <n v="433"/>
    <n v="1"/>
    <n v="1"/>
  </r>
  <r>
    <m/>
    <m/>
    <x v="1"/>
    <s v="87114513002001"/>
    <n v="-67.47"/>
    <n v="1686"/>
    <n v="2"/>
    <n v="1"/>
  </r>
  <r>
    <m/>
    <m/>
    <x v="1"/>
    <s v="87486491001002"/>
    <n v="-10.59"/>
    <n v="270"/>
    <n v="1"/>
    <n v="1"/>
  </r>
  <r>
    <m/>
    <m/>
    <x v="1"/>
    <s v="87498972001001"/>
    <n v="-64.66"/>
    <n v="1649"/>
    <n v="1"/>
    <n v="1"/>
  </r>
  <r>
    <m/>
    <m/>
    <x v="1"/>
    <s v="87885809001004"/>
    <n v="-41.97"/>
    <n v="1038"/>
    <n v="2"/>
    <n v="1"/>
  </r>
  <r>
    <m/>
    <m/>
    <x v="1"/>
    <s v="87984399001003"/>
    <n v="-168.68"/>
    <n v="4058"/>
    <n v="2"/>
    <n v="1"/>
  </r>
  <r>
    <m/>
    <m/>
    <x v="1"/>
    <s v="88037259002004"/>
    <n v="-129.24"/>
    <n v="3296"/>
    <n v="1"/>
    <n v="1"/>
  </r>
  <r>
    <m/>
    <m/>
    <x v="1"/>
    <s v="88060410001002"/>
    <n v="-16.36"/>
    <n v="399"/>
    <n v="2"/>
    <n v="1"/>
  </r>
  <r>
    <m/>
    <m/>
    <x v="1"/>
    <s v="88063060001002"/>
    <n v="-129"/>
    <n v="3290"/>
    <n v="1"/>
    <n v="1"/>
  </r>
  <r>
    <m/>
    <m/>
    <x v="1"/>
    <s v="88142714001001"/>
    <n v="-86.81"/>
    <n v="2214"/>
    <n v="1"/>
    <n v="1"/>
  </r>
  <r>
    <m/>
    <m/>
    <x v="1"/>
    <s v="88142806002001"/>
    <n v="-96.73"/>
    <n v="2467"/>
    <n v="1"/>
    <n v="1"/>
  </r>
  <r>
    <m/>
    <m/>
    <x v="1"/>
    <s v="88182721001002"/>
    <n v="-10.51"/>
    <n v="268"/>
    <n v="1"/>
    <n v="1"/>
  </r>
  <r>
    <m/>
    <m/>
    <x v="1"/>
    <s v="88243401001003"/>
    <n v="-101.37"/>
    <n v="2578"/>
    <n v="2"/>
    <n v="1"/>
  </r>
  <r>
    <m/>
    <m/>
    <x v="1"/>
    <s v="88484707001005"/>
    <n v="-49.4"/>
    <n v="1248"/>
    <n v="2"/>
    <n v="1"/>
  </r>
  <r>
    <m/>
    <m/>
    <x v="1"/>
    <s v="88822809002001"/>
    <n v="-29.22"/>
    <n v="741"/>
    <n v="2"/>
    <n v="1"/>
  </r>
  <r>
    <m/>
    <m/>
    <x v="1"/>
    <s v="88908327001003"/>
    <n v="-70.2"/>
    <n v="1754"/>
    <n v="2"/>
    <n v="1"/>
  </r>
  <r>
    <m/>
    <m/>
    <x v="1"/>
    <s v="88915775001003"/>
    <n v="-18.080000000000002"/>
    <n v="457"/>
    <n v="2"/>
    <n v="1"/>
  </r>
  <r>
    <m/>
    <m/>
    <x v="1"/>
    <s v="88935508001003"/>
    <n v="-81.37"/>
    <n v="2056"/>
    <n v="2"/>
    <n v="1"/>
  </r>
  <r>
    <m/>
    <m/>
    <x v="1"/>
    <s v="88983549001001"/>
    <n v="-109.32"/>
    <n v="2762"/>
    <n v="2"/>
    <n v="1"/>
  </r>
  <r>
    <m/>
    <m/>
    <x v="1"/>
    <s v="89067112002001"/>
    <n v="-103.17"/>
    <n v="2616"/>
    <n v="2"/>
    <n v="1"/>
  </r>
  <r>
    <m/>
    <m/>
    <x v="1"/>
    <s v="89128471001009"/>
    <n v="-96.26"/>
    <n v="2455"/>
    <n v="1"/>
    <n v="1"/>
  </r>
  <r>
    <m/>
    <m/>
    <x v="1"/>
    <s v="89366347001001"/>
    <n v="-198.7"/>
    <n v="4793"/>
    <n v="2"/>
    <n v="1"/>
  </r>
  <r>
    <m/>
    <m/>
    <x v="1"/>
    <s v="89416711001001"/>
    <n v="-71.05"/>
    <n v="1812"/>
    <n v="1"/>
    <n v="1"/>
  </r>
  <r>
    <m/>
    <m/>
    <x v="1"/>
    <s v="89599726001001"/>
    <n v="-39.950000000000003"/>
    <n v="1019"/>
    <n v="1"/>
    <n v="1"/>
  </r>
  <r>
    <m/>
    <m/>
    <x v="1"/>
    <s v="89768877001001"/>
    <n v="-92.5"/>
    <n v="2359"/>
    <n v="1"/>
    <n v="1"/>
  </r>
  <r>
    <m/>
    <m/>
    <x v="1"/>
    <s v="89864539001001"/>
    <n v="-131.10999999999999"/>
    <n v="3154"/>
    <n v="2"/>
    <n v="1"/>
  </r>
  <r>
    <m/>
    <m/>
    <x v="1"/>
    <s v="89885742002001"/>
    <n v="-77.400000000000006"/>
    <n v="1974"/>
    <n v="1"/>
    <n v="1"/>
  </r>
  <r>
    <m/>
    <m/>
    <x v="1"/>
    <s v="89953012002004"/>
    <n v="-29.02"/>
    <n v="740"/>
    <n v="1"/>
    <n v="1"/>
  </r>
  <r>
    <m/>
    <m/>
    <x v="1"/>
    <s v="89971157001001"/>
    <n v="-81.44"/>
    <n v="2077"/>
    <n v="1"/>
    <n v="1"/>
  </r>
  <r>
    <m/>
    <m/>
    <x v="1"/>
    <s v="90452668002001"/>
    <n v="-55.31"/>
    <n v="1382"/>
    <n v="2"/>
    <n v="1"/>
  </r>
  <r>
    <m/>
    <m/>
    <x v="1"/>
    <s v="90517503001001"/>
    <n v="-34.340000000000003"/>
    <n v="861"/>
    <n v="2"/>
    <n v="1"/>
  </r>
  <r>
    <m/>
    <m/>
    <x v="1"/>
    <s v="90673462003003"/>
    <n v="-88.35"/>
    <n v="2170"/>
    <n v="2"/>
    <n v="1"/>
  </r>
  <r>
    <m/>
    <m/>
    <x v="1"/>
    <s v="90821226001006"/>
    <n v="-101.89999999999999"/>
    <n v="2546"/>
    <n v="2"/>
    <n v="1"/>
  </r>
  <r>
    <m/>
    <m/>
    <x v="1"/>
    <s v="90822925001006"/>
    <n v="-79.13"/>
    <n v="2018"/>
    <n v="1"/>
    <n v="1"/>
  </r>
  <r>
    <m/>
    <m/>
    <x v="1"/>
    <s v="90876636001005"/>
    <n v="-41.33"/>
    <n v="1048"/>
    <n v="2"/>
    <n v="1"/>
  </r>
  <r>
    <m/>
    <m/>
    <x v="1"/>
    <s v="91039711003001"/>
    <n v="-119.55000000000001"/>
    <n v="2876"/>
    <n v="2"/>
    <n v="1"/>
  </r>
  <r>
    <m/>
    <m/>
    <x v="1"/>
    <s v="91081109001003"/>
    <n v="-38.950000000000003"/>
    <n v="988"/>
    <n v="2"/>
    <n v="1"/>
  </r>
  <r>
    <m/>
    <m/>
    <x v="1"/>
    <s v="91086693001001"/>
    <n v="-40.659999999999997"/>
    <n v="1037"/>
    <n v="1"/>
    <n v="1"/>
  </r>
  <r>
    <m/>
    <m/>
    <x v="1"/>
    <s v="91233206001001"/>
    <n v="-65.59"/>
    <n v="1639"/>
    <n v="2"/>
    <n v="1"/>
  </r>
  <r>
    <m/>
    <m/>
    <x v="1"/>
    <s v="91284866005001"/>
    <n v="-152.15"/>
    <n v="3670"/>
    <n v="2"/>
    <n v="1"/>
  </r>
  <r>
    <m/>
    <m/>
    <x v="1"/>
    <s v="91441748001001"/>
    <n v="-56.62"/>
    <n v="1444"/>
    <n v="1"/>
    <n v="1"/>
  </r>
  <r>
    <m/>
    <m/>
    <x v="1"/>
    <s v="91686493001001"/>
    <n v="-47.37"/>
    <n v="1208"/>
    <n v="1"/>
    <n v="1"/>
  </r>
  <r>
    <m/>
    <m/>
    <x v="1"/>
    <s v="91789984001002"/>
    <n v="-13.66"/>
    <n v="333"/>
    <n v="2"/>
    <n v="1"/>
  </r>
  <r>
    <m/>
    <m/>
    <x v="1"/>
    <s v="91911316001004"/>
    <n v="-84.31"/>
    <n v="2113"/>
    <n v="2"/>
    <n v="1"/>
  </r>
  <r>
    <m/>
    <m/>
    <x v="1"/>
    <s v="92061113001004"/>
    <n v="-24.11"/>
    <n v="609"/>
    <n v="2"/>
    <n v="1"/>
  </r>
  <r>
    <m/>
    <m/>
    <x v="1"/>
    <s v="92602736003007"/>
    <n v="-21.13"/>
    <n v="539"/>
    <n v="1"/>
    <n v="1"/>
  </r>
  <r>
    <m/>
    <m/>
    <x v="1"/>
    <s v="92711390001001"/>
    <n v="-55.59"/>
    <n v="1385"/>
    <n v="2"/>
    <n v="1"/>
  </r>
  <r>
    <m/>
    <m/>
    <x v="1"/>
    <s v="92775127001001"/>
    <n v="-82.740000000000009"/>
    <n v="2098"/>
    <n v="2"/>
    <n v="1"/>
  </r>
  <r>
    <m/>
    <m/>
    <x v="1"/>
    <s v="92950853001005"/>
    <n v="-65.569999999999993"/>
    <n v="1590"/>
    <n v="2"/>
    <n v="1"/>
  </r>
  <r>
    <m/>
    <m/>
    <x v="1"/>
    <s v="92960404001001"/>
    <n v="-82.22"/>
    <n v="2097"/>
    <n v="1"/>
    <n v="1"/>
  </r>
  <r>
    <m/>
    <m/>
    <x v="1"/>
    <s v="93072496001001"/>
    <n v="-4"/>
    <n v="102"/>
    <n v="1"/>
    <n v="1"/>
  </r>
  <r>
    <m/>
    <m/>
    <x v="1"/>
    <s v="93280654001004"/>
    <n v="-46.78"/>
    <n v="1193"/>
    <n v="1"/>
    <n v="1"/>
  </r>
  <r>
    <m/>
    <m/>
    <x v="1"/>
    <s v="93295699001010"/>
    <n v="-101.51"/>
    <n v="2510"/>
    <n v="2"/>
    <n v="1"/>
  </r>
  <r>
    <m/>
    <m/>
    <x v="1"/>
    <s v="93332324001001"/>
    <n v="-19.45"/>
    <n v="496"/>
    <n v="1"/>
    <n v="1"/>
  </r>
  <r>
    <m/>
    <m/>
    <x v="1"/>
    <s v="93416826004001"/>
    <n v="-36.68"/>
    <n v="933"/>
    <n v="2"/>
    <n v="1"/>
  </r>
  <r>
    <m/>
    <m/>
    <x v="1"/>
    <s v="93447974001001"/>
    <n v="-94.88"/>
    <n v="2371"/>
    <n v="2"/>
    <n v="1"/>
  </r>
  <r>
    <m/>
    <m/>
    <x v="1"/>
    <s v="93549993001001"/>
    <n v="-130.17000000000002"/>
    <n v="3262"/>
    <n v="2"/>
    <n v="1"/>
  </r>
  <r>
    <m/>
    <m/>
    <x v="1"/>
    <s v="93630806001006"/>
    <n v="-46.790000000000006"/>
    <n v="1173"/>
    <n v="2"/>
    <n v="1"/>
  </r>
  <r>
    <m/>
    <m/>
    <x v="1"/>
    <s v="93645499001014"/>
    <n v="-60.169999999999995"/>
    <n v="1530"/>
    <n v="2"/>
    <n v="1"/>
  </r>
  <r>
    <m/>
    <m/>
    <x v="1"/>
    <s v="93710321001003"/>
    <n v="-17.61"/>
    <n v="449"/>
    <n v="1"/>
    <n v="1"/>
  </r>
  <r>
    <m/>
    <m/>
    <x v="1"/>
    <s v="93853061001004"/>
    <n v="-55.599999999999994"/>
    <n v="1413"/>
    <n v="3"/>
    <n v="1"/>
  </r>
  <r>
    <m/>
    <m/>
    <x v="1"/>
    <s v="94027788001002"/>
    <n v="-61.68"/>
    <n v="1573"/>
    <n v="1"/>
    <n v="1"/>
  </r>
  <r>
    <m/>
    <m/>
    <x v="1"/>
    <s v="94384624001001"/>
    <n v="-44.9"/>
    <n v="1122"/>
    <n v="2"/>
    <n v="1"/>
  </r>
  <r>
    <m/>
    <m/>
    <x v="1"/>
    <s v="94506465001003"/>
    <n v="-44.15"/>
    <n v="1126"/>
    <n v="1"/>
    <n v="1"/>
  </r>
  <r>
    <m/>
    <m/>
    <x v="1"/>
    <s v="94703589005001"/>
    <n v="-69.44"/>
    <n v="1735"/>
    <n v="2"/>
    <n v="1"/>
  </r>
  <r>
    <m/>
    <m/>
    <x v="1"/>
    <s v="94789690001001"/>
    <n v="-35.92"/>
    <n v="891"/>
    <n v="2"/>
    <n v="1"/>
  </r>
  <r>
    <m/>
    <m/>
    <x v="1"/>
    <s v="94860723001003"/>
    <n v="-40.010000000000005"/>
    <n v="997"/>
    <n v="2"/>
    <n v="1"/>
  </r>
  <r>
    <m/>
    <m/>
    <x v="1"/>
    <s v="94938062001001"/>
    <n v="-96.919999999999987"/>
    <n v="2430"/>
    <n v="2"/>
    <n v="1"/>
  </r>
  <r>
    <m/>
    <m/>
    <x v="1"/>
    <s v="95066278001003"/>
    <n v="-136.02000000000001"/>
    <n v="3389"/>
    <n v="2"/>
    <n v="1"/>
  </r>
  <r>
    <m/>
    <m/>
    <x v="1"/>
    <s v="95131113006001"/>
    <n v="-106.34"/>
    <n v="2558"/>
    <n v="2"/>
    <n v="1"/>
  </r>
  <r>
    <m/>
    <m/>
    <x v="1"/>
    <s v="95161570001005"/>
    <n v="-15.41"/>
    <n v="393"/>
    <n v="1"/>
    <n v="1"/>
  </r>
  <r>
    <m/>
    <m/>
    <x v="1"/>
    <s v="95180699001001"/>
    <n v="-40.090000000000003"/>
    <n v="967"/>
    <n v="2"/>
    <n v="1"/>
  </r>
  <r>
    <m/>
    <m/>
    <x v="1"/>
    <s v="95238953001001"/>
    <n v="-86.3"/>
    <n v="2201"/>
    <n v="1"/>
    <n v="1"/>
  </r>
  <r>
    <m/>
    <m/>
    <x v="1"/>
    <s v="95275266001003"/>
    <n v="-46.82"/>
    <n v="1194"/>
    <n v="1"/>
    <n v="1"/>
  </r>
  <r>
    <m/>
    <m/>
    <x v="1"/>
    <s v="95347210001001"/>
    <n v="-68.23"/>
    <n v="1700"/>
    <n v="2"/>
    <n v="1"/>
  </r>
  <r>
    <m/>
    <m/>
    <x v="1"/>
    <s v="95429454001002"/>
    <n v="-8.9"/>
    <n v="227"/>
    <n v="1"/>
    <n v="1"/>
  </r>
  <r>
    <m/>
    <m/>
    <x v="1"/>
    <s v="95697123001001"/>
    <n v="-68.72999999999999"/>
    <n v="1743"/>
    <n v="2"/>
    <n v="1"/>
  </r>
  <r>
    <m/>
    <m/>
    <x v="1"/>
    <s v="95833151003001"/>
    <n v="-30.62"/>
    <n v="781"/>
    <n v="1"/>
    <n v="1"/>
  </r>
  <r>
    <m/>
    <m/>
    <x v="1"/>
    <s v="95916401001001"/>
    <n v="-34.07"/>
    <n v="869"/>
    <n v="1"/>
    <n v="1"/>
  </r>
  <r>
    <m/>
    <m/>
    <x v="1"/>
    <s v="96226382001001"/>
    <n v="-29.169999999999998"/>
    <n v="737"/>
    <n v="2"/>
    <n v="1"/>
  </r>
  <r>
    <m/>
    <m/>
    <x v="1"/>
    <s v="96235725001005"/>
    <n v="-127.84"/>
    <n v="3131"/>
    <n v="2"/>
    <n v="1"/>
  </r>
  <r>
    <m/>
    <m/>
    <x v="1"/>
    <s v="96305704001001"/>
    <n v="-53.81"/>
    <n v="1318"/>
    <n v="2"/>
    <n v="1"/>
  </r>
  <r>
    <m/>
    <m/>
    <x v="1"/>
    <s v="96386777001002"/>
    <n v="-72.62"/>
    <n v="1852"/>
    <n v="1"/>
    <n v="1"/>
  </r>
  <r>
    <m/>
    <m/>
    <x v="1"/>
    <s v="96396802004003"/>
    <n v="-81.89"/>
    <n v="2069"/>
    <n v="2"/>
    <n v="1"/>
  </r>
  <r>
    <m/>
    <m/>
    <x v="1"/>
    <s v="96656563001001"/>
    <n v="-19.21"/>
    <n v="490"/>
    <n v="1"/>
    <n v="1"/>
  </r>
  <r>
    <m/>
    <m/>
    <x v="1"/>
    <s v="96678659001003"/>
    <n v="-91.74"/>
    <n v="2299"/>
    <n v="2"/>
    <n v="1"/>
  </r>
  <r>
    <m/>
    <m/>
    <x v="1"/>
    <s v="96743423001001"/>
    <n v="-17.470000000000002"/>
    <n v="443"/>
    <n v="2"/>
    <n v="1"/>
  </r>
  <r>
    <m/>
    <m/>
    <x v="1"/>
    <s v="96816452001001"/>
    <n v="-17.64"/>
    <n v="450"/>
    <n v="1"/>
    <n v="1"/>
  </r>
  <r>
    <m/>
    <m/>
    <x v="1"/>
    <s v="97148101001003"/>
    <n v="-109.03"/>
    <n v="2630"/>
    <n v="2"/>
    <n v="1"/>
  </r>
  <r>
    <m/>
    <m/>
    <x v="1"/>
    <s v="97323566001003"/>
    <n v="-57.71"/>
    <n v="1458"/>
    <n v="2"/>
    <n v="1"/>
  </r>
  <r>
    <m/>
    <m/>
    <x v="1"/>
    <s v="97343902002001"/>
    <n v="-75.709999999999994"/>
    <n v="1920"/>
    <n v="2"/>
    <n v="1"/>
  </r>
  <r>
    <m/>
    <m/>
    <x v="1"/>
    <s v="97378614002001"/>
    <n v="-72.5"/>
    <n v="1849"/>
    <n v="1"/>
    <n v="1"/>
  </r>
  <r>
    <m/>
    <m/>
    <x v="1"/>
    <s v="97389502001003"/>
    <n v="-36.479999999999997"/>
    <n v="925"/>
    <n v="2"/>
    <n v="1"/>
  </r>
  <r>
    <m/>
    <m/>
    <x v="1"/>
    <s v="97473613001004"/>
    <n v="-63.47"/>
    <n v="1539"/>
    <n v="2"/>
    <n v="1"/>
  </r>
  <r>
    <m/>
    <m/>
    <x v="1"/>
    <s v="97521847001002"/>
    <n v="-81.62"/>
    <n v="2062"/>
    <n v="2"/>
    <n v="1"/>
  </r>
  <r>
    <m/>
    <m/>
    <x v="1"/>
    <s v="97630178001001"/>
    <n v="-9.7200000000000006"/>
    <n v="248"/>
    <n v="1"/>
    <n v="1"/>
  </r>
  <r>
    <m/>
    <m/>
    <x v="1"/>
    <s v="97655232002004"/>
    <n v="-72.31"/>
    <n v="1788"/>
    <n v="2"/>
    <n v="1"/>
  </r>
  <r>
    <m/>
    <m/>
    <x v="1"/>
    <s v="97919016001004"/>
    <n v="-105.1"/>
    <n v="2535"/>
    <n v="2"/>
    <n v="1"/>
  </r>
  <r>
    <m/>
    <m/>
    <x v="1"/>
    <s v="98004963001002"/>
    <n v="-91.45"/>
    <n v="2285"/>
    <n v="2"/>
    <n v="1"/>
  </r>
  <r>
    <m/>
    <m/>
    <x v="1"/>
    <s v="98091521001001"/>
    <n v="-22.55"/>
    <n v="565"/>
    <n v="2"/>
    <n v="1"/>
  </r>
  <r>
    <m/>
    <m/>
    <x v="1"/>
    <s v="98323580001002"/>
    <n v="-28.35"/>
    <n v="723"/>
    <n v="1"/>
    <n v="1"/>
  </r>
  <r>
    <m/>
    <m/>
    <x v="1"/>
    <s v="98330301001001"/>
    <n v="-58.78"/>
    <n v="1499"/>
    <n v="1"/>
    <n v="1"/>
  </r>
  <r>
    <m/>
    <m/>
    <x v="1"/>
    <s v="98396921001007"/>
    <n v="-57.17"/>
    <n v="1404"/>
    <n v="2"/>
    <n v="1"/>
  </r>
  <r>
    <m/>
    <m/>
    <x v="1"/>
    <s v="98478092001001"/>
    <n v="-51.32"/>
    <n v="1269"/>
    <n v="2"/>
    <n v="1"/>
  </r>
  <r>
    <m/>
    <m/>
    <x v="1"/>
    <s v="98525309002001"/>
    <n v="-118.72"/>
    <n v="2879"/>
    <n v="2"/>
    <n v="1"/>
  </r>
  <r>
    <m/>
    <m/>
    <x v="1"/>
    <s v="98568936001003"/>
    <n v="-139.05000000000001"/>
    <n v="3354"/>
    <n v="2"/>
    <n v="1"/>
  </r>
  <r>
    <m/>
    <m/>
    <x v="1"/>
    <s v="98573702001003"/>
    <n v="-43.31"/>
    <n v="1042"/>
    <n v="2"/>
    <n v="1"/>
  </r>
  <r>
    <m/>
    <m/>
    <x v="1"/>
    <s v="98841325001003"/>
    <n v="-142.85999999999999"/>
    <n v="3580"/>
    <n v="2"/>
    <n v="1"/>
  </r>
  <r>
    <m/>
    <m/>
    <x v="1"/>
    <s v="99162209001001"/>
    <n v="-222.56"/>
    <n v="5354"/>
    <n v="2"/>
    <n v="1"/>
  </r>
  <r>
    <m/>
    <m/>
    <x v="1"/>
    <s v="99181573002001"/>
    <n v="-23.09"/>
    <n v="577"/>
    <n v="2"/>
    <n v="1"/>
  </r>
  <r>
    <m/>
    <m/>
    <x v="1"/>
    <s v="99207126001001"/>
    <n v="-105.55"/>
    <n v="2692"/>
    <n v="1"/>
    <n v="1"/>
  </r>
  <r>
    <m/>
    <m/>
    <x v="1"/>
    <s v="99427689006001"/>
    <n v="-68.16"/>
    <n v="1708"/>
    <n v="2"/>
    <n v="1"/>
  </r>
  <r>
    <m/>
    <m/>
    <x v="1"/>
    <s v="99435304001001"/>
    <n v="-46.07"/>
    <n v="1175"/>
    <n v="1"/>
    <n v="1"/>
  </r>
  <r>
    <m/>
    <m/>
    <x v="1"/>
    <s v="99770512001001"/>
    <n v="-73.84"/>
    <n v="1845"/>
    <n v="2"/>
    <n v="1"/>
  </r>
  <r>
    <m/>
    <m/>
    <x v="1"/>
    <s v="99885170001001"/>
    <n v="-111.98"/>
    <n v="2798"/>
    <n v="2"/>
    <n v="1"/>
  </r>
  <r>
    <m/>
    <m/>
    <x v="4"/>
    <m/>
    <n v="-88749.289999999921"/>
    <n v="2216062"/>
    <n v="2173"/>
    <n v="1354"/>
  </r>
  <r>
    <m/>
    <m/>
    <x v="5"/>
    <s v="00148726001003"/>
    <n v="-124.07000000000001"/>
    <n v="2024"/>
    <n v="2"/>
    <n v="1"/>
  </r>
  <r>
    <m/>
    <m/>
    <x v="1"/>
    <s v="00168787003001"/>
    <n v="-96.22"/>
    <n v="1651"/>
    <n v="1"/>
    <n v="1"/>
  </r>
  <r>
    <m/>
    <m/>
    <x v="1"/>
    <s v="00259343010001"/>
    <n v="-49.99"/>
    <n v="809"/>
    <n v="2"/>
    <n v="1"/>
  </r>
  <r>
    <m/>
    <m/>
    <x v="1"/>
    <s v="00319594001001"/>
    <n v="-40.1"/>
    <n v="688"/>
    <n v="1"/>
    <n v="1"/>
  </r>
  <r>
    <m/>
    <m/>
    <x v="1"/>
    <s v="00329225001005"/>
    <n v="-48.550000000000004"/>
    <n v="819"/>
    <n v="2"/>
    <n v="1"/>
  </r>
  <r>
    <m/>
    <m/>
    <x v="1"/>
    <s v="00382666001003"/>
    <n v="-92.5"/>
    <n v="1555"/>
    <n v="2"/>
    <n v="1"/>
  </r>
  <r>
    <m/>
    <m/>
    <x v="1"/>
    <s v="00435186001001"/>
    <n v="-54.91"/>
    <n v="923"/>
    <n v="2"/>
    <n v="1"/>
  </r>
  <r>
    <m/>
    <m/>
    <x v="1"/>
    <s v="00447035006001"/>
    <n v="-229.20999999999998"/>
    <n v="3813"/>
    <n v="2"/>
    <n v="1"/>
  </r>
  <r>
    <m/>
    <m/>
    <x v="1"/>
    <s v="00477416001005"/>
    <n v="-236.44"/>
    <n v="4057"/>
    <n v="1"/>
    <n v="1"/>
  </r>
  <r>
    <m/>
    <m/>
    <x v="1"/>
    <s v="00689227001008"/>
    <n v="-70.27"/>
    <n v="1169"/>
    <n v="2"/>
    <n v="1"/>
  </r>
  <r>
    <m/>
    <m/>
    <x v="1"/>
    <s v="00722915001001"/>
    <n v="-41.71"/>
    <n v="696"/>
    <n v="2"/>
    <n v="1"/>
  </r>
  <r>
    <m/>
    <m/>
    <x v="1"/>
    <s v="00730907001001"/>
    <n v="-39.14"/>
    <n v="658"/>
    <n v="2"/>
    <n v="1"/>
  </r>
  <r>
    <m/>
    <m/>
    <x v="1"/>
    <s v="00749818001003"/>
    <n v="-88.82"/>
    <n v="1524"/>
    <n v="1"/>
    <n v="1"/>
  </r>
  <r>
    <m/>
    <m/>
    <x v="1"/>
    <s v="00779681001001"/>
    <n v="-239.55"/>
    <n v="3877"/>
    <n v="2"/>
    <n v="1"/>
  </r>
  <r>
    <m/>
    <m/>
    <x v="1"/>
    <s v="00787390005001"/>
    <n v="-65.73"/>
    <n v="1105"/>
    <n v="2"/>
    <n v="1"/>
  </r>
  <r>
    <m/>
    <m/>
    <x v="1"/>
    <s v="00809273002003"/>
    <n v="-163.28"/>
    <n v="2737"/>
    <n v="2"/>
    <n v="1"/>
  </r>
  <r>
    <m/>
    <m/>
    <x v="1"/>
    <s v="00906029001008"/>
    <n v="-78.099999999999994"/>
    <n v="1313"/>
    <n v="2"/>
    <n v="1"/>
  </r>
  <r>
    <m/>
    <m/>
    <x v="1"/>
    <s v="00997290001003"/>
    <n v="-71.47999999999999"/>
    <n v="1160"/>
    <n v="2"/>
    <n v="1"/>
  </r>
  <r>
    <m/>
    <m/>
    <x v="1"/>
    <s v="01058313001005"/>
    <n v="-133.75"/>
    <n v="2295"/>
    <n v="1"/>
    <n v="1"/>
  </r>
  <r>
    <m/>
    <m/>
    <x v="1"/>
    <s v="01092252001001"/>
    <n v="-87.13"/>
    <n v="1495"/>
    <n v="1"/>
    <n v="1"/>
  </r>
  <r>
    <m/>
    <m/>
    <x v="1"/>
    <s v="01105041001001"/>
    <n v="-72.02"/>
    <n v="1175"/>
    <n v="2"/>
    <n v="1"/>
  </r>
  <r>
    <m/>
    <m/>
    <x v="1"/>
    <s v="01252370002003"/>
    <n v="-66.569999999999993"/>
    <n v="1092"/>
    <n v="2"/>
    <n v="1"/>
  </r>
  <r>
    <m/>
    <m/>
    <x v="1"/>
    <s v="01312177001001"/>
    <n v="-34.449999999999996"/>
    <n v="579"/>
    <n v="2"/>
    <n v="1"/>
  </r>
  <r>
    <m/>
    <m/>
    <x v="1"/>
    <s v="01335294001005"/>
    <n v="-72.989999999999995"/>
    <n v="1227"/>
    <n v="2"/>
    <n v="1"/>
  </r>
  <r>
    <m/>
    <m/>
    <x v="1"/>
    <s v="01403700005001"/>
    <n v="-75.98"/>
    <n v="1252"/>
    <n v="2"/>
    <n v="1"/>
  </r>
  <r>
    <m/>
    <m/>
    <x v="1"/>
    <s v="01570655003001"/>
    <n v="-143.72"/>
    <n v="2416"/>
    <n v="2"/>
    <n v="1"/>
  </r>
  <r>
    <m/>
    <m/>
    <x v="1"/>
    <s v="01583481001001"/>
    <n v="-38.229999999999997"/>
    <n v="656"/>
    <n v="1"/>
    <n v="1"/>
  </r>
  <r>
    <m/>
    <m/>
    <x v="1"/>
    <s v="01698859001001"/>
    <n v="-48.96"/>
    <n v="840"/>
    <n v="1"/>
    <n v="1"/>
  </r>
  <r>
    <m/>
    <m/>
    <x v="1"/>
    <s v="01752705001001"/>
    <n v="-209.43"/>
    <n v="3484"/>
    <n v="2"/>
    <n v="1"/>
  </r>
  <r>
    <m/>
    <m/>
    <x v="1"/>
    <s v="01775038001002"/>
    <n v="-115.63"/>
    <n v="1984"/>
    <n v="1"/>
    <n v="1"/>
  </r>
  <r>
    <m/>
    <m/>
    <x v="1"/>
    <s v="01948293001001"/>
    <n v="-24.69"/>
    <n v="405"/>
    <n v="2"/>
    <n v="1"/>
  </r>
  <r>
    <m/>
    <m/>
    <x v="1"/>
    <s v="01958139001005"/>
    <n v="-33.270000000000003"/>
    <n v="558"/>
    <n v="2"/>
    <n v="1"/>
  </r>
  <r>
    <m/>
    <m/>
    <x v="1"/>
    <s v="02050383001001"/>
    <n v="-65.91"/>
    <n v="1131"/>
    <n v="1"/>
    <n v="1"/>
  </r>
  <r>
    <m/>
    <m/>
    <x v="1"/>
    <s v="02179705001007"/>
    <n v="-130.74"/>
    <n v="2175"/>
    <n v="2"/>
    <n v="1"/>
  </r>
  <r>
    <m/>
    <m/>
    <x v="1"/>
    <s v="02232792001001"/>
    <n v="-108.58"/>
    <n v="1863"/>
    <n v="1"/>
    <n v="1"/>
  </r>
  <r>
    <m/>
    <m/>
    <x v="1"/>
    <s v="02342104001006"/>
    <n v="-53.24"/>
    <n v="895"/>
    <n v="2"/>
    <n v="1"/>
  </r>
  <r>
    <m/>
    <m/>
    <x v="1"/>
    <s v="02380352002001"/>
    <n v="-128.91"/>
    <n v="2092"/>
    <n v="2"/>
    <n v="1"/>
  </r>
  <r>
    <m/>
    <m/>
    <x v="1"/>
    <s v="02412878001003"/>
    <n v="-113.17"/>
    <n v="1908"/>
    <n v="2"/>
    <n v="1"/>
  </r>
  <r>
    <m/>
    <m/>
    <x v="1"/>
    <s v="02425825002002"/>
    <n v="-99.86999999999999"/>
    <n v="1679"/>
    <n v="2"/>
    <n v="1"/>
  </r>
  <r>
    <m/>
    <m/>
    <x v="1"/>
    <s v="02434713001004"/>
    <n v="-4.21"/>
    <n v="68"/>
    <n v="2"/>
    <n v="1"/>
  </r>
  <r>
    <m/>
    <m/>
    <x v="1"/>
    <s v="02461328001010"/>
    <n v="-63.17"/>
    <n v="1065"/>
    <n v="2"/>
    <n v="1"/>
  </r>
  <r>
    <m/>
    <m/>
    <x v="1"/>
    <s v="02464003001001"/>
    <n v="-37.770000000000003"/>
    <n v="648"/>
    <n v="1"/>
    <n v="1"/>
  </r>
  <r>
    <m/>
    <m/>
    <x v="1"/>
    <s v="02480369001001"/>
    <n v="-12.12"/>
    <n v="208"/>
    <n v="1"/>
    <n v="1"/>
  </r>
  <r>
    <m/>
    <m/>
    <x v="1"/>
    <s v="02514781001007"/>
    <n v="-46.03"/>
    <n v="751"/>
    <n v="2"/>
    <n v="1"/>
  </r>
  <r>
    <m/>
    <m/>
    <x v="1"/>
    <s v="02622939006001"/>
    <n v="-102.13"/>
    <n v="1712"/>
    <n v="2"/>
    <n v="1"/>
  </r>
  <r>
    <m/>
    <m/>
    <x v="1"/>
    <s v="02683413001001"/>
    <n v="-138.94999999999999"/>
    <n v="2255"/>
    <n v="2"/>
    <n v="1"/>
  </r>
  <r>
    <m/>
    <m/>
    <x v="1"/>
    <s v="02796106001001"/>
    <n v="-133.20999999999998"/>
    <n v="2247"/>
    <n v="2"/>
    <n v="1"/>
  </r>
  <r>
    <m/>
    <m/>
    <x v="1"/>
    <s v="02884496001010"/>
    <n v="-174.73000000000002"/>
    <n v="2828"/>
    <n v="2"/>
    <n v="1"/>
  </r>
  <r>
    <m/>
    <m/>
    <x v="1"/>
    <s v="02989847001001"/>
    <n v="-273.45"/>
    <n v="4500"/>
    <n v="2"/>
    <n v="1"/>
  </r>
  <r>
    <m/>
    <m/>
    <x v="1"/>
    <s v="03030126001004"/>
    <n v="-4.55"/>
    <n v="78"/>
    <n v="1"/>
    <n v="1"/>
  </r>
  <r>
    <m/>
    <m/>
    <x v="1"/>
    <s v="03040052001003"/>
    <n v="-136.43"/>
    <n v="2341"/>
    <n v="1"/>
    <n v="1"/>
  </r>
  <r>
    <m/>
    <m/>
    <x v="1"/>
    <s v="03051677001003"/>
    <n v="-151.92999999999998"/>
    <n v="2592"/>
    <n v="2"/>
    <n v="1"/>
  </r>
  <r>
    <m/>
    <m/>
    <x v="1"/>
    <s v="03088248001005"/>
    <n v="-79.7"/>
    <n v="1326"/>
    <n v="2"/>
    <n v="1"/>
  </r>
  <r>
    <m/>
    <m/>
    <x v="1"/>
    <s v="03107202002001"/>
    <n v="-76.010000000000005"/>
    <n v="1292"/>
    <n v="2"/>
    <n v="1"/>
  </r>
  <r>
    <m/>
    <m/>
    <x v="1"/>
    <s v="03276385001001"/>
    <n v="-1.98"/>
    <n v="34"/>
    <n v="2"/>
    <n v="1"/>
  </r>
  <r>
    <m/>
    <m/>
    <x v="1"/>
    <s v="03308022002001"/>
    <n v="-120.46"/>
    <n v="2067"/>
    <n v="1"/>
    <n v="1"/>
  </r>
  <r>
    <m/>
    <m/>
    <x v="1"/>
    <s v="03330463001002"/>
    <n v="-167.98"/>
    <n v="2824"/>
    <n v="2"/>
    <n v="1"/>
  </r>
  <r>
    <m/>
    <m/>
    <x v="1"/>
    <s v="03366536001005"/>
    <n v="-26.98"/>
    <n v="463"/>
    <n v="1"/>
    <n v="1"/>
  </r>
  <r>
    <m/>
    <m/>
    <x v="1"/>
    <s v="03379746001001"/>
    <n v="-96.51"/>
    <n v="1656"/>
    <n v="1"/>
    <n v="1"/>
  </r>
  <r>
    <m/>
    <m/>
    <x v="1"/>
    <s v="03476916002003"/>
    <n v="-51.309999999999995"/>
    <n v="860"/>
    <n v="2"/>
    <n v="1"/>
  </r>
  <r>
    <m/>
    <m/>
    <x v="1"/>
    <s v="03494646001004"/>
    <n v="-62.24"/>
    <n v="1068"/>
    <n v="1"/>
    <n v="1"/>
  </r>
  <r>
    <m/>
    <m/>
    <x v="1"/>
    <s v="03499851001005"/>
    <n v="-101.93"/>
    <n v="1749"/>
    <n v="1"/>
    <n v="1"/>
  </r>
  <r>
    <m/>
    <m/>
    <x v="1"/>
    <s v="03722115001001"/>
    <n v="-151.59"/>
    <n v="2601"/>
    <n v="1"/>
    <n v="1"/>
  </r>
  <r>
    <m/>
    <m/>
    <x v="1"/>
    <s v="03739009003001"/>
    <n v="-159.88"/>
    <n v="2680"/>
    <n v="2"/>
    <n v="1"/>
  </r>
  <r>
    <m/>
    <m/>
    <x v="1"/>
    <s v="03799095002001"/>
    <n v="-135.28"/>
    <n v="2207"/>
    <n v="2"/>
    <n v="1"/>
  </r>
  <r>
    <m/>
    <m/>
    <x v="1"/>
    <s v="03800540001008"/>
    <n v="-24.48"/>
    <n v="420"/>
    <n v="1"/>
    <n v="1"/>
  </r>
  <r>
    <m/>
    <m/>
    <x v="1"/>
    <s v="03953360002003"/>
    <n v="-43.07"/>
    <n v="724"/>
    <n v="2"/>
    <n v="1"/>
  </r>
  <r>
    <m/>
    <m/>
    <x v="1"/>
    <s v="03978374002001"/>
    <n v="-42.769999999999996"/>
    <n v="727"/>
    <n v="2"/>
    <n v="1"/>
  </r>
  <r>
    <m/>
    <m/>
    <x v="1"/>
    <s v="03983250001004"/>
    <n v="-197.74"/>
    <n v="3393"/>
    <n v="1"/>
    <n v="1"/>
  </r>
  <r>
    <m/>
    <m/>
    <x v="1"/>
    <s v="04022663001001"/>
    <n v="-34.4"/>
    <n v="574"/>
    <n v="2"/>
    <n v="1"/>
  </r>
  <r>
    <m/>
    <m/>
    <x v="1"/>
    <s v="04195526001007"/>
    <n v="-95.460000000000008"/>
    <n v="1588"/>
    <n v="2"/>
    <n v="1"/>
  </r>
  <r>
    <m/>
    <m/>
    <x v="1"/>
    <s v="04587647002001"/>
    <n v="-78.55"/>
    <n v="1344"/>
    <n v="2"/>
    <n v="1"/>
  </r>
  <r>
    <m/>
    <m/>
    <x v="1"/>
    <s v="04615660011001"/>
    <n v="-38.229999999999997"/>
    <n v="656"/>
    <n v="1"/>
    <n v="1"/>
  </r>
  <r>
    <m/>
    <m/>
    <x v="1"/>
    <s v="04639874001001"/>
    <n v="-111.05"/>
    <n v="1900"/>
    <n v="2"/>
    <n v="1"/>
  </r>
  <r>
    <m/>
    <m/>
    <x v="1"/>
    <s v="04681150001001"/>
    <n v="-143.78"/>
    <n v="2467"/>
    <n v="1"/>
    <n v="1"/>
  </r>
  <r>
    <m/>
    <m/>
    <x v="1"/>
    <s v="04731425001001"/>
    <n v="-144.72999999999999"/>
    <n v="2361"/>
    <n v="2"/>
    <n v="1"/>
  </r>
  <r>
    <m/>
    <m/>
    <x v="1"/>
    <s v="04740604011001"/>
    <n v="-41.49"/>
    <n v="677"/>
    <n v="2"/>
    <n v="1"/>
  </r>
  <r>
    <m/>
    <m/>
    <x v="1"/>
    <s v="04805152001005"/>
    <n v="-193.37"/>
    <n v="3318"/>
    <n v="1"/>
    <n v="1"/>
  </r>
  <r>
    <m/>
    <m/>
    <x v="1"/>
    <s v="04914620002001"/>
    <n v="-154.29"/>
    <n v="2497"/>
    <n v="2"/>
    <n v="1"/>
  </r>
  <r>
    <m/>
    <m/>
    <x v="1"/>
    <s v="05055558001001"/>
    <n v="-34.270000000000003"/>
    <n v="588"/>
    <n v="1"/>
    <n v="1"/>
  </r>
  <r>
    <m/>
    <m/>
    <x v="1"/>
    <s v="05077001002001"/>
    <n v="-46.099999999999994"/>
    <n v="775"/>
    <n v="2"/>
    <n v="1"/>
  </r>
  <r>
    <m/>
    <m/>
    <x v="1"/>
    <s v="05112776001003"/>
    <n v="-178.20000000000002"/>
    <n v="2987"/>
    <n v="2"/>
    <n v="1"/>
  </r>
  <r>
    <m/>
    <m/>
    <x v="1"/>
    <s v="05149737001007"/>
    <n v="-120.58"/>
    <n v="2069"/>
    <n v="1"/>
    <n v="1"/>
  </r>
  <r>
    <m/>
    <m/>
    <x v="1"/>
    <s v="05178218001003"/>
    <n v="-132.06"/>
    <n v="2266"/>
    <n v="1"/>
    <n v="1"/>
  </r>
  <r>
    <m/>
    <m/>
    <x v="1"/>
    <s v="05222943001009"/>
    <n v="-87.13000000000001"/>
    <n v="1481"/>
    <n v="2"/>
    <n v="1"/>
  </r>
  <r>
    <m/>
    <m/>
    <x v="1"/>
    <s v="05499075001003"/>
    <n v="-38.17"/>
    <n v="655"/>
    <n v="1"/>
    <n v="1"/>
  </r>
  <r>
    <m/>
    <m/>
    <x v="1"/>
    <s v="05707361001002"/>
    <n v="-116.19999999999999"/>
    <n v="1933"/>
    <n v="2"/>
    <n v="1"/>
  </r>
  <r>
    <m/>
    <m/>
    <x v="1"/>
    <s v="05729807001001"/>
    <n v="-15.09"/>
    <n v="259"/>
    <n v="1"/>
    <n v="1"/>
  </r>
  <r>
    <m/>
    <m/>
    <x v="1"/>
    <s v="05860137001003"/>
    <n v="-72.5"/>
    <n v="1244"/>
    <n v="1"/>
    <n v="1"/>
  </r>
  <r>
    <m/>
    <m/>
    <x v="1"/>
    <s v="05933255001001"/>
    <n v="-61.33"/>
    <n v="1031"/>
    <n v="2"/>
    <n v="1"/>
  </r>
  <r>
    <m/>
    <m/>
    <x v="1"/>
    <s v="05953974001003"/>
    <n v="-33.79"/>
    <n v="568"/>
    <n v="2"/>
    <n v="1"/>
  </r>
  <r>
    <m/>
    <m/>
    <x v="1"/>
    <s v="06200267001003"/>
    <n v="-77.02"/>
    <n v="1314"/>
    <n v="2"/>
    <n v="1"/>
  </r>
  <r>
    <m/>
    <m/>
    <x v="1"/>
    <s v="06309819004001"/>
    <n v="-129.79000000000002"/>
    <n v="2182"/>
    <n v="2"/>
    <n v="1"/>
  </r>
  <r>
    <m/>
    <m/>
    <x v="1"/>
    <s v="06359444001001"/>
    <n v="-149.02000000000001"/>
    <n v="2557"/>
    <n v="1"/>
    <n v="1"/>
  </r>
  <r>
    <m/>
    <m/>
    <x v="1"/>
    <s v="06382830001001"/>
    <n v="-230.09"/>
    <n v="3868"/>
    <n v="2"/>
    <n v="1"/>
  </r>
  <r>
    <m/>
    <m/>
    <x v="1"/>
    <s v="06414889001004"/>
    <n v="-177.02"/>
    <n v="2865"/>
    <n v="2"/>
    <n v="1"/>
  </r>
  <r>
    <m/>
    <m/>
    <x v="1"/>
    <s v="06440891001007"/>
    <n v="-119.74000000000001"/>
    <n v="2007"/>
    <n v="2"/>
    <n v="1"/>
  </r>
  <r>
    <m/>
    <m/>
    <x v="1"/>
    <s v="06483393001005"/>
    <n v="-53.79"/>
    <n v="923"/>
    <n v="1"/>
    <n v="1"/>
  </r>
  <r>
    <m/>
    <m/>
    <x v="1"/>
    <s v="06497744001004"/>
    <n v="-2.6500000000000004"/>
    <n v="45"/>
    <n v="2"/>
    <n v="1"/>
  </r>
  <r>
    <m/>
    <m/>
    <x v="1"/>
    <s v="06543425001011"/>
    <n v="-176.53"/>
    <n v="3029"/>
    <n v="1"/>
    <n v="1"/>
  </r>
  <r>
    <m/>
    <m/>
    <x v="1"/>
    <s v="06563369001001"/>
    <n v="-150.25"/>
    <n v="2578"/>
    <n v="1"/>
    <n v="1"/>
  </r>
  <r>
    <m/>
    <m/>
    <x v="1"/>
    <s v="06590959001001"/>
    <n v="-199.62"/>
    <n v="3331"/>
    <n v="2"/>
    <n v="1"/>
  </r>
  <r>
    <m/>
    <m/>
    <x v="1"/>
    <s v="06650635001001"/>
    <n v="-128.72999999999999"/>
    <n v="2100"/>
    <n v="2"/>
    <n v="1"/>
  </r>
  <r>
    <m/>
    <m/>
    <x v="1"/>
    <s v="06651048001002"/>
    <n v="-132.09"/>
    <n v="2260"/>
    <n v="2"/>
    <n v="1"/>
  </r>
  <r>
    <m/>
    <m/>
    <x v="1"/>
    <s v="06751249001005"/>
    <n v="-86.99"/>
    <n v="1408"/>
    <n v="2"/>
    <n v="1"/>
  </r>
  <r>
    <m/>
    <m/>
    <x v="1"/>
    <s v="06761853001001"/>
    <n v="-120.13"/>
    <n v="2042"/>
    <n v="2"/>
    <n v="1"/>
  </r>
  <r>
    <m/>
    <m/>
    <x v="1"/>
    <s v="06766417001003"/>
    <n v="-9.8000000000000007"/>
    <n v="161"/>
    <n v="2"/>
    <n v="1"/>
  </r>
  <r>
    <m/>
    <m/>
    <x v="1"/>
    <s v="06797083002002"/>
    <n v="-111.63"/>
    <n v="1857"/>
    <n v="2"/>
    <n v="1"/>
  </r>
  <r>
    <m/>
    <m/>
    <x v="1"/>
    <s v="06840429001005"/>
    <n v="-62.599999999999994"/>
    <n v="1064"/>
    <n v="2"/>
    <n v="1"/>
  </r>
  <r>
    <m/>
    <m/>
    <x v="1"/>
    <s v="06850200002007"/>
    <n v="-17.600000000000001"/>
    <n v="302"/>
    <n v="1"/>
    <n v="1"/>
  </r>
  <r>
    <m/>
    <m/>
    <x v="1"/>
    <s v="06909023001010"/>
    <n v="-44.26"/>
    <n v="744"/>
    <n v="2"/>
    <n v="1"/>
  </r>
  <r>
    <m/>
    <m/>
    <x v="1"/>
    <s v="06934010001008"/>
    <n v="-65.91"/>
    <n v="1108"/>
    <n v="2"/>
    <n v="1"/>
  </r>
  <r>
    <m/>
    <m/>
    <x v="1"/>
    <s v="06956115001001"/>
    <n v="-192.67"/>
    <n v="3287"/>
    <n v="2"/>
    <n v="1"/>
  </r>
  <r>
    <m/>
    <m/>
    <x v="1"/>
    <s v="07122450001004"/>
    <n v="-27.57"/>
    <n v="473"/>
    <n v="1"/>
    <n v="1"/>
  </r>
  <r>
    <m/>
    <m/>
    <x v="1"/>
    <s v="07219889001001"/>
    <n v="-90.45"/>
    <n v="1552"/>
    <n v="1"/>
    <n v="1"/>
  </r>
  <r>
    <m/>
    <m/>
    <x v="1"/>
    <s v="07248551001001"/>
    <n v="-131.75"/>
    <n v="2138"/>
    <n v="2"/>
    <n v="1"/>
  </r>
  <r>
    <m/>
    <m/>
    <x v="1"/>
    <s v="07343513002001"/>
    <n v="-281.83999999999997"/>
    <n v="4836"/>
    <n v="1"/>
    <n v="1"/>
  </r>
  <r>
    <m/>
    <m/>
    <x v="1"/>
    <s v="07424854003003"/>
    <n v="-110.5"/>
    <n v="1896"/>
    <n v="1"/>
    <n v="1"/>
  </r>
  <r>
    <m/>
    <m/>
    <x v="1"/>
    <s v="07692401004003"/>
    <n v="-80.37"/>
    <n v="1379"/>
    <n v="1"/>
    <n v="1"/>
  </r>
  <r>
    <m/>
    <m/>
    <x v="1"/>
    <s v="07753575001007"/>
    <n v="-87.300000000000011"/>
    <n v="1413"/>
    <n v="2"/>
    <n v="1"/>
  </r>
  <r>
    <m/>
    <m/>
    <x v="1"/>
    <s v="07790450003001"/>
    <n v="-127.98"/>
    <n v="2196"/>
    <n v="1"/>
    <n v="1"/>
  </r>
  <r>
    <m/>
    <m/>
    <x v="1"/>
    <s v="08007689001001"/>
    <n v="-328.04999999999995"/>
    <n v="5474"/>
    <n v="2"/>
    <n v="1"/>
  </r>
  <r>
    <m/>
    <m/>
    <x v="1"/>
    <s v="08016256001003"/>
    <n v="-105.84"/>
    <n v="1816"/>
    <n v="1"/>
    <n v="1"/>
  </r>
  <r>
    <m/>
    <m/>
    <x v="1"/>
    <s v="08047179002001"/>
    <n v="-135.49"/>
    <n v="2254"/>
    <n v="2"/>
    <n v="1"/>
  </r>
  <r>
    <m/>
    <m/>
    <x v="1"/>
    <s v="08155953001003"/>
    <n v="-63.41"/>
    <n v="1078"/>
    <n v="2"/>
    <n v="1"/>
  </r>
  <r>
    <m/>
    <m/>
    <x v="1"/>
    <s v="08204722005001"/>
    <n v="-4.72"/>
    <n v="81"/>
    <n v="1"/>
    <n v="1"/>
  </r>
  <r>
    <m/>
    <m/>
    <x v="1"/>
    <s v="08205707001003"/>
    <n v="-49.86"/>
    <n v="807"/>
    <n v="2"/>
    <n v="1"/>
  </r>
  <r>
    <m/>
    <m/>
    <x v="1"/>
    <s v="08228077001003"/>
    <n v="-43.89"/>
    <n v="740"/>
    <n v="2"/>
    <n v="1"/>
  </r>
  <r>
    <m/>
    <m/>
    <x v="1"/>
    <s v="08291880001007"/>
    <n v="-122.95"/>
    <n v="2074"/>
    <n v="2"/>
    <n v="1"/>
  </r>
  <r>
    <m/>
    <m/>
    <x v="1"/>
    <s v="08293744002001"/>
    <n v="-138.07"/>
    <n v="2297"/>
    <n v="2"/>
    <n v="1"/>
  </r>
  <r>
    <m/>
    <m/>
    <x v="1"/>
    <s v="08341079003003"/>
    <n v="-96.25"/>
    <n v="1618"/>
    <n v="2"/>
    <n v="1"/>
  </r>
  <r>
    <m/>
    <m/>
    <x v="1"/>
    <s v="08395040001001"/>
    <n v="-180.14000000000001"/>
    <n v="3037"/>
    <n v="2"/>
    <n v="1"/>
  </r>
  <r>
    <m/>
    <m/>
    <x v="1"/>
    <s v="08422119001005"/>
    <n v="-144.82"/>
    <n v="2393"/>
    <n v="2"/>
    <n v="1"/>
  </r>
  <r>
    <m/>
    <m/>
    <x v="1"/>
    <s v="08504635004007"/>
    <n v="-55.07"/>
    <n v="945"/>
    <n v="1"/>
    <n v="1"/>
  </r>
  <r>
    <m/>
    <m/>
    <x v="1"/>
    <s v="08612150001001"/>
    <n v="-118.45"/>
    <n v="1997"/>
    <n v="2"/>
    <n v="1"/>
  </r>
  <r>
    <m/>
    <m/>
    <x v="1"/>
    <s v="08657953002001"/>
    <n v="-102.43"/>
    <n v="1717"/>
    <n v="2"/>
    <n v="1"/>
  </r>
  <r>
    <m/>
    <m/>
    <x v="1"/>
    <s v="08662234001004"/>
    <n v="-24.71"/>
    <n v="424"/>
    <n v="1"/>
    <n v="1"/>
  </r>
  <r>
    <m/>
    <m/>
    <x v="1"/>
    <s v="08694261001001"/>
    <n v="-169.54"/>
    <n v="2744"/>
    <n v="2"/>
    <n v="1"/>
  </r>
  <r>
    <m/>
    <m/>
    <x v="1"/>
    <s v="08733004003005"/>
    <n v="-124.61"/>
    <n v="2132"/>
    <n v="2"/>
    <n v="1"/>
  </r>
  <r>
    <m/>
    <m/>
    <x v="1"/>
    <s v="08885109001001"/>
    <n v="-11.649999999999999"/>
    <n v="192"/>
    <n v="2"/>
    <n v="1"/>
  </r>
  <r>
    <m/>
    <m/>
    <x v="1"/>
    <s v="08947024001001"/>
    <n v="-131.35"/>
    <n v="2241"/>
    <n v="2"/>
    <n v="1"/>
  </r>
  <r>
    <m/>
    <m/>
    <x v="1"/>
    <s v="09062578001001"/>
    <n v="-31.47"/>
    <n v="540"/>
    <n v="1"/>
    <n v="1"/>
  </r>
  <r>
    <m/>
    <m/>
    <x v="1"/>
    <s v="09084610002003"/>
    <n v="-7.34"/>
    <n v="126"/>
    <n v="1"/>
    <n v="1"/>
  </r>
  <r>
    <m/>
    <m/>
    <x v="1"/>
    <s v="09146355001001"/>
    <n v="-75.960000000000008"/>
    <n v="1296"/>
    <n v="2"/>
    <n v="1"/>
  </r>
  <r>
    <m/>
    <m/>
    <x v="1"/>
    <s v="09315806002001"/>
    <n v="-49.36"/>
    <n v="847"/>
    <n v="1"/>
    <n v="1"/>
  </r>
  <r>
    <m/>
    <m/>
    <x v="1"/>
    <s v="09318796001003"/>
    <n v="-109.07"/>
    <n v="1820"/>
    <n v="2"/>
    <n v="1"/>
  </r>
  <r>
    <m/>
    <m/>
    <x v="1"/>
    <s v="09410352001003"/>
    <n v="-77.510000000000005"/>
    <n v="1330"/>
    <n v="1"/>
    <n v="1"/>
  </r>
  <r>
    <m/>
    <m/>
    <x v="1"/>
    <s v="09448617003001"/>
    <n v="-221.2"/>
    <n v="3629"/>
    <n v="2"/>
    <n v="1"/>
  </r>
  <r>
    <m/>
    <m/>
    <x v="1"/>
    <s v="09541206010001"/>
    <n v="-130.80000000000001"/>
    <n v="2176"/>
    <n v="2"/>
    <n v="1"/>
  </r>
  <r>
    <m/>
    <m/>
    <x v="1"/>
    <s v="09717335001001"/>
    <n v="-114.7"/>
    <n v="1968"/>
    <n v="1"/>
    <n v="1"/>
  </r>
  <r>
    <m/>
    <m/>
    <x v="1"/>
    <s v="09718241001001"/>
    <n v="-41.769999999999996"/>
    <n v="710"/>
    <n v="2"/>
    <n v="1"/>
  </r>
  <r>
    <m/>
    <m/>
    <x v="1"/>
    <s v="09719202001001"/>
    <n v="-37.24"/>
    <n v="639"/>
    <n v="1"/>
    <n v="1"/>
  </r>
  <r>
    <m/>
    <m/>
    <x v="1"/>
    <s v="09742133005001"/>
    <n v="-109.25"/>
    <n v="1773"/>
    <n v="2"/>
    <n v="1"/>
  </r>
  <r>
    <m/>
    <m/>
    <x v="1"/>
    <s v="09759208001008"/>
    <n v="-13.64"/>
    <n v="234"/>
    <n v="1"/>
    <n v="1"/>
  </r>
  <r>
    <m/>
    <m/>
    <x v="1"/>
    <s v="09771064001005"/>
    <n v="-197.13"/>
    <n v="3351"/>
    <n v="2"/>
    <n v="1"/>
  </r>
  <r>
    <m/>
    <m/>
    <x v="1"/>
    <s v="09830097001003"/>
    <n v="-70.290000000000006"/>
    <n v="1206"/>
    <n v="1"/>
    <n v="1"/>
  </r>
  <r>
    <m/>
    <m/>
    <x v="1"/>
    <s v="09956672001005"/>
    <n v="-106.71"/>
    <n v="1831"/>
    <n v="1"/>
    <n v="1"/>
  </r>
  <r>
    <m/>
    <m/>
    <x v="1"/>
    <s v="10000443001001"/>
    <n v="-178.46"/>
    <n v="3000"/>
    <n v="2"/>
    <n v="1"/>
  </r>
  <r>
    <m/>
    <m/>
    <x v="1"/>
    <s v="10032544001001"/>
    <n v="-95.99"/>
    <n v="1647"/>
    <n v="1"/>
    <n v="1"/>
  </r>
  <r>
    <m/>
    <m/>
    <x v="1"/>
    <s v="10044758001004"/>
    <n v="-105.95"/>
    <n v="1818"/>
    <n v="1"/>
    <n v="1"/>
  </r>
  <r>
    <m/>
    <m/>
    <x v="1"/>
    <s v="10059606001005"/>
    <n v="-122.63999999999999"/>
    <n v="1985"/>
    <n v="2"/>
    <n v="1"/>
  </r>
  <r>
    <m/>
    <m/>
    <x v="1"/>
    <s v="10135376001003"/>
    <n v="-18.59"/>
    <n v="319"/>
    <n v="1"/>
    <n v="1"/>
  </r>
  <r>
    <m/>
    <m/>
    <x v="1"/>
    <s v="10291136001005"/>
    <n v="-128.51"/>
    <n v="2205"/>
    <n v="1"/>
    <n v="1"/>
  </r>
  <r>
    <m/>
    <m/>
    <x v="1"/>
    <s v="10342020001001"/>
    <n v="-81.010000000000005"/>
    <n v="1390"/>
    <n v="1"/>
    <n v="1"/>
  </r>
  <r>
    <m/>
    <m/>
    <x v="1"/>
    <s v="10344859001004"/>
    <n v="-59.85"/>
    <n v="1027"/>
    <n v="1"/>
    <n v="1"/>
  </r>
  <r>
    <m/>
    <m/>
    <x v="1"/>
    <s v="10414127001001"/>
    <n v="-155.28"/>
    <n v="2618"/>
    <n v="2"/>
    <n v="1"/>
  </r>
  <r>
    <m/>
    <m/>
    <x v="1"/>
    <s v="10447712003007"/>
    <n v="-133.64000000000001"/>
    <n v="2202"/>
    <n v="2"/>
    <n v="1"/>
  </r>
  <r>
    <m/>
    <m/>
    <x v="1"/>
    <s v="10505818002001"/>
    <n v="-158.69999999999999"/>
    <n v="2723"/>
    <n v="1"/>
    <n v="1"/>
  </r>
  <r>
    <m/>
    <m/>
    <x v="1"/>
    <s v="10506768001003"/>
    <n v="-171.92"/>
    <n v="2790"/>
    <n v="2"/>
    <n v="1"/>
  </r>
  <r>
    <m/>
    <m/>
    <x v="1"/>
    <s v="10532169002004"/>
    <n v="-133.58000000000001"/>
    <n v="2279"/>
    <n v="2"/>
    <n v="1"/>
  </r>
  <r>
    <m/>
    <m/>
    <x v="1"/>
    <s v="10584250001001"/>
    <n v="-84.65"/>
    <n v="1423"/>
    <n v="2"/>
    <n v="1"/>
  </r>
  <r>
    <m/>
    <m/>
    <x v="1"/>
    <s v="10602704001001"/>
    <n v="-56.3"/>
    <n v="966"/>
    <n v="1"/>
    <n v="1"/>
  </r>
  <r>
    <m/>
    <m/>
    <x v="1"/>
    <s v="10792246001002"/>
    <n v="-133.87"/>
    <n v="2297"/>
    <n v="1"/>
    <n v="1"/>
  </r>
  <r>
    <m/>
    <m/>
    <x v="1"/>
    <s v="10827202001001"/>
    <n v="-72.73"/>
    <n v="1248"/>
    <n v="1"/>
    <n v="1"/>
  </r>
  <r>
    <m/>
    <m/>
    <x v="1"/>
    <s v="10865475001001"/>
    <n v="-98.61"/>
    <n v="1692"/>
    <n v="1"/>
    <n v="1"/>
  </r>
  <r>
    <m/>
    <m/>
    <x v="1"/>
    <s v="11007593001001"/>
    <n v="-57.81"/>
    <n v="992"/>
    <n v="1"/>
    <n v="1"/>
  </r>
  <r>
    <m/>
    <m/>
    <x v="1"/>
    <s v="11044266002005"/>
    <n v="-59.5"/>
    <n v="1021"/>
    <n v="1"/>
    <n v="1"/>
  </r>
  <r>
    <m/>
    <m/>
    <x v="1"/>
    <s v="11152661004001"/>
    <n v="-102.64"/>
    <n v="1751"/>
    <n v="2"/>
    <n v="1"/>
  </r>
  <r>
    <m/>
    <m/>
    <x v="1"/>
    <s v="11199375001001"/>
    <n v="-108.49"/>
    <n v="1770"/>
    <n v="2"/>
    <n v="1"/>
  </r>
  <r>
    <m/>
    <m/>
    <x v="1"/>
    <s v="11266870001001"/>
    <n v="-20.63"/>
    <n v="354"/>
    <n v="1"/>
    <n v="1"/>
  </r>
  <r>
    <m/>
    <m/>
    <x v="1"/>
    <s v="11307499001004"/>
    <n v="-95.29"/>
    <n v="1635"/>
    <n v="1"/>
    <n v="1"/>
  </r>
  <r>
    <m/>
    <m/>
    <x v="1"/>
    <s v="11381042002003"/>
    <n v="-201.11"/>
    <n v="3281"/>
    <n v="2"/>
    <n v="1"/>
  </r>
  <r>
    <m/>
    <m/>
    <x v="1"/>
    <s v="11675325001001"/>
    <n v="-165.11"/>
    <n v="2833"/>
    <n v="1"/>
    <n v="1"/>
  </r>
  <r>
    <m/>
    <m/>
    <x v="1"/>
    <s v="11726814001001"/>
    <n v="-49.13"/>
    <n v="843"/>
    <n v="1"/>
    <n v="1"/>
  </r>
  <r>
    <m/>
    <m/>
    <x v="1"/>
    <s v="11865542001003"/>
    <n v="-75.47"/>
    <n v="1265"/>
    <n v="2"/>
    <n v="1"/>
  </r>
  <r>
    <m/>
    <m/>
    <x v="1"/>
    <s v="12076406001002"/>
    <n v="-188.51999999999998"/>
    <n v="3180"/>
    <n v="2"/>
    <n v="1"/>
  </r>
  <r>
    <m/>
    <m/>
    <x v="1"/>
    <s v="12081707001007"/>
    <n v="-94.01"/>
    <n v="1613"/>
    <n v="1"/>
    <n v="1"/>
  </r>
  <r>
    <m/>
    <m/>
    <x v="1"/>
    <s v="12161900001001"/>
    <n v="-67.08"/>
    <n v="1151"/>
    <n v="1"/>
    <n v="1"/>
  </r>
  <r>
    <m/>
    <m/>
    <x v="1"/>
    <s v="12178408001003"/>
    <n v="-31.939999999999998"/>
    <n v="537"/>
    <n v="2"/>
    <n v="1"/>
  </r>
  <r>
    <m/>
    <m/>
    <x v="1"/>
    <s v="12199696001001"/>
    <n v="-194.31"/>
    <n v="3170"/>
    <n v="2"/>
    <n v="1"/>
  </r>
  <r>
    <m/>
    <m/>
    <x v="1"/>
    <s v="12325069001003"/>
    <n v="-42.95"/>
    <n v="737"/>
    <n v="1"/>
    <n v="1"/>
  </r>
  <r>
    <m/>
    <m/>
    <x v="1"/>
    <s v="12522130001001"/>
    <n v="-74.37"/>
    <n v="1276"/>
    <n v="1"/>
    <n v="1"/>
  </r>
  <r>
    <m/>
    <m/>
    <x v="1"/>
    <s v="12538348002001"/>
    <n v="-105.2"/>
    <n v="1805"/>
    <n v="1"/>
    <n v="1"/>
  </r>
  <r>
    <m/>
    <m/>
    <x v="1"/>
    <s v="12750086001005"/>
    <n v="-149.10999999999999"/>
    <n v="2514"/>
    <n v="2"/>
    <n v="1"/>
  </r>
  <r>
    <m/>
    <m/>
    <x v="1"/>
    <s v="12843580001005"/>
    <n v="-79.11"/>
    <n v="1316"/>
    <n v="2"/>
    <n v="1"/>
  </r>
  <r>
    <m/>
    <m/>
    <x v="1"/>
    <s v="12887725001001"/>
    <n v="-107.19000000000001"/>
    <n v="1822"/>
    <n v="2"/>
    <n v="1"/>
  </r>
  <r>
    <m/>
    <m/>
    <x v="1"/>
    <s v="12890384003001"/>
    <n v="-140.42000000000002"/>
    <n v="2387"/>
    <n v="2"/>
    <n v="1"/>
  </r>
  <r>
    <m/>
    <m/>
    <x v="1"/>
    <s v="12923934001001"/>
    <n v="-44.84"/>
    <n v="765"/>
    <n v="2"/>
    <n v="1"/>
  </r>
  <r>
    <m/>
    <m/>
    <x v="1"/>
    <s v="12968693001002"/>
    <n v="-86.2"/>
    <n v="1449"/>
    <n v="2"/>
    <n v="1"/>
  </r>
  <r>
    <m/>
    <m/>
    <x v="1"/>
    <s v="12974703001005"/>
    <n v="-95"/>
    <n v="1630"/>
    <n v="1"/>
    <n v="1"/>
  </r>
  <r>
    <m/>
    <m/>
    <x v="1"/>
    <s v="12998199001002"/>
    <n v="-181.23000000000002"/>
    <n v="2941"/>
    <n v="2"/>
    <n v="1"/>
  </r>
  <r>
    <m/>
    <m/>
    <x v="1"/>
    <s v="13056536001001"/>
    <n v="-75.819999999999993"/>
    <n v="1301"/>
    <n v="1"/>
    <n v="1"/>
  </r>
  <r>
    <m/>
    <m/>
    <x v="1"/>
    <s v="13120231001014"/>
    <n v="-123.98"/>
    <n v="2034"/>
    <n v="2"/>
    <n v="1"/>
  </r>
  <r>
    <m/>
    <m/>
    <x v="1"/>
    <s v="13219544001001"/>
    <n v="-205.15"/>
    <n v="3520"/>
    <n v="1"/>
    <n v="1"/>
  </r>
  <r>
    <m/>
    <m/>
    <x v="1"/>
    <s v="13319972001001"/>
    <n v="-25.939999999999998"/>
    <n v="436"/>
    <n v="2"/>
    <n v="1"/>
  </r>
  <r>
    <m/>
    <m/>
    <x v="1"/>
    <s v="13584754001005"/>
    <n v="-35.03"/>
    <n v="601"/>
    <n v="1"/>
    <n v="1"/>
  </r>
  <r>
    <m/>
    <m/>
    <x v="1"/>
    <s v="13623153001006"/>
    <n v="-227.95"/>
    <n v="3821"/>
    <n v="2"/>
    <n v="1"/>
  </r>
  <r>
    <m/>
    <m/>
    <x v="1"/>
    <s v="13664271001001"/>
    <n v="-92.69"/>
    <n v="1542"/>
    <n v="2"/>
    <n v="1"/>
  </r>
  <r>
    <m/>
    <m/>
    <x v="1"/>
    <s v="13666615002003"/>
    <n v="-85.44"/>
    <n v="1432"/>
    <n v="2"/>
    <n v="1"/>
  </r>
  <r>
    <m/>
    <m/>
    <x v="1"/>
    <s v="13731146001001"/>
    <n v="-30.01"/>
    <n v="515"/>
    <n v="1"/>
    <n v="1"/>
  </r>
  <r>
    <m/>
    <m/>
    <x v="1"/>
    <s v="13950661003001"/>
    <n v="-34.739999999999995"/>
    <n v="584"/>
    <n v="2"/>
    <n v="1"/>
  </r>
  <r>
    <m/>
    <m/>
    <x v="1"/>
    <s v="13973102001007"/>
    <n v="-30.95"/>
    <n v="531"/>
    <n v="1"/>
    <n v="1"/>
  </r>
  <r>
    <m/>
    <m/>
    <x v="1"/>
    <s v="14105636001003"/>
    <n v="-208.08999999999997"/>
    <n v="3488"/>
    <n v="2"/>
    <n v="1"/>
  </r>
  <r>
    <m/>
    <m/>
    <x v="1"/>
    <s v="14122852001003"/>
    <n v="-47.79"/>
    <n v="820"/>
    <n v="1"/>
    <n v="1"/>
  </r>
  <r>
    <m/>
    <m/>
    <x v="1"/>
    <s v="14123583001011"/>
    <n v="-25.18"/>
    <n v="432"/>
    <n v="1"/>
    <n v="1"/>
  </r>
  <r>
    <m/>
    <m/>
    <x v="1"/>
    <s v="14125814001005"/>
    <n v="-37.299999999999997"/>
    <n v="640"/>
    <n v="1"/>
    <n v="1"/>
  </r>
  <r>
    <m/>
    <m/>
    <x v="1"/>
    <s v="14158880001001"/>
    <n v="-83.52"/>
    <n v="1433"/>
    <n v="1"/>
    <n v="1"/>
  </r>
  <r>
    <m/>
    <m/>
    <x v="1"/>
    <s v="14171251001006"/>
    <n v="-61.15"/>
    <n v="1028"/>
    <n v="2"/>
    <n v="1"/>
  </r>
  <r>
    <m/>
    <m/>
    <x v="1"/>
    <s v="14201594001002"/>
    <n v="-29.37"/>
    <n v="504"/>
    <n v="1"/>
    <n v="1"/>
  </r>
  <r>
    <m/>
    <m/>
    <x v="1"/>
    <s v="14280190001003"/>
    <n v="-79.540000000000006"/>
    <n v="1357"/>
    <n v="2"/>
    <n v="1"/>
  </r>
  <r>
    <m/>
    <m/>
    <x v="1"/>
    <s v="14364355001001"/>
    <n v="-137.02000000000001"/>
    <n v="2351"/>
    <n v="1"/>
    <n v="1"/>
  </r>
  <r>
    <m/>
    <m/>
    <x v="1"/>
    <s v="14414244001001"/>
    <n v="-188.42"/>
    <n v="3233"/>
    <n v="1"/>
    <n v="1"/>
  </r>
  <r>
    <m/>
    <m/>
    <x v="1"/>
    <s v="14544335001001"/>
    <n v="-101.94"/>
    <n v="1663"/>
    <n v="2"/>
    <n v="1"/>
  </r>
  <r>
    <m/>
    <m/>
    <x v="1"/>
    <s v="14664113001003"/>
    <n v="-20.89"/>
    <n v="351"/>
    <n v="2"/>
    <n v="1"/>
  </r>
  <r>
    <m/>
    <m/>
    <x v="1"/>
    <s v="14679367001004"/>
    <n v="-43.57"/>
    <n v="718"/>
    <n v="2"/>
    <n v="1"/>
  </r>
  <r>
    <m/>
    <m/>
    <x v="1"/>
    <s v="14767126002001"/>
    <n v="-213.3"/>
    <n v="3660"/>
    <n v="2"/>
    <n v="1"/>
  </r>
  <r>
    <m/>
    <m/>
    <x v="1"/>
    <s v="14916764001003"/>
    <n v="-24.77"/>
    <n v="425"/>
    <n v="1"/>
    <n v="1"/>
  </r>
  <r>
    <m/>
    <m/>
    <x v="1"/>
    <s v="14932788004002"/>
    <n v="-86.34"/>
    <n v="1473"/>
    <n v="2"/>
    <n v="1"/>
  </r>
  <r>
    <m/>
    <m/>
    <x v="1"/>
    <s v="14988573003007"/>
    <n v="-23.31"/>
    <n v="400"/>
    <n v="1"/>
    <n v="1"/>
  </r>
  <r>
    <m/>
    <m/>
    <x v="1"/>
    <s v="15024480001003"/>
    <n v="-102.75"/>
    <n v="1763"/>
    <n v="1"/>
    <n v="1"/>
  </r>
  <r>
    <m/>
    <m/>
    <x v="1"/>
    <s v="15241993001001"/>
    <n v="-56.82"/>
    <n v="975"/>
    <n v="1"/>
    <n v="1"/>
  </r>
  <r>
    <m/>
    <m/>
    <x v="1"/>
    <s v="15264531001003"/>
    <n v="-63.27"/>
    <n v="1024"/>
    <n v="2"/>
    <n v="1"/>
  </r>
  <r>
    <m/>
    <m/>
    <x v="1"/>
    <s v="15327433006001"/>
    <n v="-141.68"/>
    <n v="2431"/>
    <n v="1"/>
    <n v="1"/>
  </r>
  <r>
    <m/>
    <m/>
    <x v="1"/>
    <s v="15335726001008"/>
    <n v="-28.09"/>
    <n v="482"/>
    <n v="1"/>
    <n v="1"/>
  </r>
  <r>
    <m/>
    <m/>
    <x v="1"/>
    <s v="15371962001008"/>
    <n v="-9.0299999999999994"/>
    <n v="155"/>
    <n v="1"/>
    <n v="1"/>
  </r>
  <r>
    <m/>
    <m/>
    <x v="1"/>
    <s v="15399217001007"/>
    <n v="-118.83"/>
    <n v="2039"/>
    <n v="1"/>
    <n v="1"/>
  </r>
  <r>
    <m/>
    <m/>
    <x v="1"/>
    <s v="15433507001001"/>
    <n v="-25.84"/>
    <n v="423"/>
    <n v="3"/>
    <n v="1"/>
  </r>
  <r>
    <m/>
    <m/>
    <x v="1"/>
    <s v="15497150001007"/>
    <n v="-52.74"/>
    <n v="905"/>
    <n v="1"/>
    <n v="1"/>
  </r>
  <r>
    <m/>
    <m/>
    <x v="1"/>
    <s v="15511956001001"/>
    <n v="-121.34"/>
    <n v="2082"/>
    <n v="1"/>
    <n v="1"/>
  </r>
  <r>
    <m/>
    <m/>
    <x v="1"/>
    <s v="15544695002003"/>
    <n v="-74.37"/>
    <n v="1276"/>
    <n v="1"/>
    <n v="1"/>
  </r>
  <r>
    <m/>
    <m/>
    <x v="1"/>
    <s v="15639686001001"/>
    <n v="-13.8"/>
    <n v="232"/>
    <n v="2"/>
    <n v="1"/>
  </r>
  <r>
    <m/>
    <m/>
    <x v="1"/>
    <s v="15649996001004"/>
    <n v="-64.19"/>
    <n v="1079"/>
    <n v="2"/>
    <n v="1"/>
  </r>
  <r>
    <m/>
    <m/>
    <x v="1"/>
    <s v="15663487001001"/>
    <n v="-43.77"/>
    <n v="751"/>
    <n v="1"/>
    <n v="1"/>
  </r>
  <r>
    <m/>
    <m/>
    <x v="1"/>
    <s v="15718240001002"/>
    <n v="-91.44"/>
    <n v="1569"/>
    <n v="1"/>
    <n v="1"/>
  </r>
  <r>
    <m/>
    <m/>
    <x v="1"/>
    <s v="15728259001001"/>
    <n v="-273.99"/>
    <n v="4606"/>
    <n v="2"/>
    <n v="1"/>
  </r>
  <r>
    <m/>
    <m/>
    <x v="1"/>
    <s v="15745592001001"/>
    <n v="-174.10999999999999"/>
    <n v="2927"/>
    <n v="2"/>
    <n v="1"/>
  </r>
  <r>
    <m/>
    <m/>
    <x v="1"/>
    <s v="15845348001003"/>
    <n v="-44.93"/>
    <n v="771"/>
    <n v="1"/>
    <n v="1"/>
  </r>
  <r>
    <m/>
    <m/>
    <x v="1"/>
    <s v="15908468001001"/>
    <n v="-133.43"/>
    <n v="2268"/>
    <n v="2"/>
    <n v="1"/>
  </r>
  <r>
    <m/>
    <m/>
    <x v="1"/>
    <s v="15925995001001"/>
    <n v="-48.55"/>
    <n v="833"/>
    <n v="1"/>
    <n v="1"/>
  </r>
  <r>
    <m/>
    <m/>
    <x v="1"/>
    <s v="16060701001001"/>
    <n v="-199.84"/>
    <n v="3243"/>
    <n v="2"/>
    <n v="1"/>
  </r>
  <r>
    <m/>
    <m/>
    <x v="1"/>
    <s v="16066827003001"/>
    <n v="-87.42"/>
    <n v="1500"/>
    <n v="1"/>
    <n v="1"/>
  </r>
  <r>
    <m/>
    <m/>
    <x v="1"/>
    <s v="16098772001001"/>
    <n v="-6.64"/>
    <n v="114"/>
    <n v="1"/>
    <n v="1"/>
  </r>
  <r>
    <m/>
    <m/>
    <x v="1"/>
    <s v="16127640001003"/>
    <n v="-111.07"/>
    <n v="1895"/>
    <n v="2"/>
    <n v="1"/>
  </r>
  <r>
    <m/>
    <m/>
    <x v="1"/>
    <s v="16174085001001"/>
    <n v="-108.89"/>
    <n v="1851"/>
    <n v="2"/>
    <n v="1"/>
  </r>
  <r>
    <m/>
    <m/>
    <x v="1"/>
    <s v="16175755001003"/>
    <n v="-66.240000000000009"/>
    <n v="1075"/>
    <n v="2"/>
    <n v="1"/>
  </r>
  <r>
    <m/>
    <m/>
    <x v="1"/>
    <s v="16222691001005"/>
    <n v="-82.93"/>
    <n v="1423"/>
    <n v="1"/>
    <n v="1"/>
  </r>
  <r>
    <m/>
    <m/>
    <x v="1"/>
    <s v="16309419001005"/>
    <n v="-39.340000000000003"/>
    <n v="675"/>
    <n v="1"/>
    <n v="1"/>
  </r>
  <r>
    <m/>
    <m/>
    <x v="1"/>
    <s v="16324942001001"/>
    <n v="-63.11"/>
    <n v="1061"/>
    <n v="2"/>
    <n v="1"/>
  </r>
  <r>
    <m/>
    <m/>
    <x v="1"/>
    <s v="16428953002001"/>
    <n v="-12.06"/>
    <n v="207"/>
    <n v="1"/>
    <n v="1"/>
  </r>
  <r>
    <m/>
    <m/>
    <x v="1"/>
    <s v="16450177001001"/>
    <n v="-200.87"/>
    <n v="3277"/>
    <n v="2"/>
    <n v="1"/>
  </r>
  <r>
    <m/>
    <m/>
    <x v="1"/>
    <s v="16540072001009"/>
    <n v="-129.07"/>
    <n v="2176"/>
    <n v="2"/>
    <n v="1"/>
  </r>
  <r>
    <m/>
    <m/>
    <x v="1"/>
    <s v="16568578002001"/>
    <n v="-1.86"/>
    <n v="32"/>
    <n v="1"/>
    <n v="1"/>
  </r>
  <r>
    <m/>
    <m/>
    <x v="1"/>
    <s v="16580528001001"/>
    <n v="-208.22"/>
    <n v="3370"/>
    <n v="2"/>
    <n v="1"/>
  </r>
  <r>
    <m/>
    <m/>
    <x v="1"/>
    <s v="16616380001003"/>
    <n v="-57.87"/>
    <n v="993"/>
    <n v="1"/>
    <n v="1"/>
  </r>
  <r>
    <m/>
    <m/>
    <x v="1"/>
    <s v="16766325001001"/>
    <n v="-56.22"/>
    <n v="945"/>
    <n v="2"/>
    <n v="1"/>
  </r>
  <r>
    <m/>
    <m/>
    <x v="1"/>
    <s v="16821471001003"/>
    <n v="-80.36"/>
    <n v="1347"/>
    <n v="2"/>
    <n v="1"/>
  </r>
  <r>
    <m/>
    <m/>
    <x v="1"/>
    <s v="16865540003001"/>
    <n v="-28.79"/>
    <n v="494"/>
    <n v="1"/>
    <n v="1"/>
  </r>
  <r>
    <m/>
    <m/>
    <x v="1"/>
    <s v="16940606001001"/>
    <n v="-257.09000000000003"/>
    <n v="4172"/>
    <n v="2"/>
    <n v="1"/>
  </r>
  <r>
    <m/>
    <m/>
    <x v="1"/>
    <s v="16946064001004"/>
    <n v="-18.559999999999999"/>
    <n v="312"/>
    <n v="2"/>
    <n v="1"/>
  </r>
  <r>
    <m/>
    <m/>
    <x v="1"/>
    <s v="17053300001004"/>
    <n v="-115.53999999999999"/>
    <n v="1885"/>
    <n v="2"/>
    <n v="1"/>
  </r>
  <r>
    <m/>
    <m/>
    <x v="1"/>
    <s v="17064549001001"/>
    <n v="-179.79000000000002"/>
    <n v="2933"/>
    <n v="2"/>
    <n v="1"/>
  </r>
  <r>
    <m/>
    <m/>
    <x v="1"/>
    <s v="17175636001003"/>
    <n v="-42.94"/>
    <n v="724"/>
    <n v="2"/>
    <n v="1"/>
  </r>
  <r>
    <m/>
    <m/>
    <x v="1"/>
    <s v="17196615001005"/>
    <n v="-49.83"/>
    <n v="813"/>
    <n v="2"/>
    <n v="1"/>
  </r>
  <r>
    <m/>
    <m/>
    <x v="1"/>
    <s v="17236061001003"/>
    <n v="-60.9"/>
    <n v="1045"/>
    <n v="1"/>
    <n v="1"/>
  </r>
  <r>
    <m/>
    <m/>
    <x v="1"/>
    <s v="17439100001001"/>
    <n v="-79.41"/>
    <n v="1331"/>
    <n v="2"/>
    <n v="1"/>
  </r>
  <r>
    <m/>
    <m/>
    <x v="1"/>
    <s v="17581646001002"/>
    <n v="-129.96"/>
    <n v="2209"/>
    <n v="2"/>
    <n v="1"/>
  </r>
  <r>
    <m/>
    <m/>
    <x v="1"/>
    <s v="17606006001001"/>
    <n v="-162.13999999999999"/>
    <n v="2735"/>
    <n v="2"/>
    <n v="1"/>
  </r>
  <r>
    <m/>
    <m/>
    <x v="1"/>
    <s v="17704374001008"/>
    <n v="-19.600000000000001"/>
    <n v="326"/>
    <n v="2"/>
    <n v="1"/>
  </r>
  <r>
    <m/>
    <m/>
    <x v="1"/>
    <s v="17847574002001"/>
    <n v="-195.91"/>
    <n v="3352"/>
    <n v="2"/>
    <n v="1"/>
  </r>
  <r>
    <m/>
    <m/>
    <x v="1"/>
    <s v="17860325001001"/>
    <n v="-16.38"/>
    <n v="281"/>
    <n v="1"/>
    <n v="1"/>
  </r>
  <r>
    <m/>
    <m/>
    <x v="1"/>
    <s v="17888039002001"/>
    <n v="-156.15"/>
    <n v="2664"/>
    <n v="2"/>
    <n v="1"/>
  </r>
  <r>
    <m/>
    <m/>
    <x v="1"/>
    <s v="17953283002001"/>
    <n v="-4.49"/>
    <n v="77"/>
    <n v="1"/>
    <n v="1"/>
  </r>
  <r>
    <m/>
    <m/>
    <x v="1"/>
    <s v="18064895001005"/>
    <n v="-117"/>
    <n v="1996"/>
    <n v="2"/>
    <n v="1"/>
  </r>
  <r>
    <m/>
    <m/>
    <x v="1"/>
    <s v="18093249001001"/>
    <n v="-192.91000000000003"/>
    <n v="3219"/>
    <n v="2"/>
    <n v="1"/>
  </r>
  <r>
    <m/>
    <m/>
    <x v="1"/>
    <s v="18203462003005"/>
    <n v="-36.950000000000003"/>
    <n v="634"/>
    <n v="1"/>
    <n v="1"/>
  </r>
  <r>
    <m/>
    <m/>
    <x v="1"/>
    <s v="18390546001003"/>
    <n v="-73.150000000000006"/>
    <n v="1184"/>
    <n v="2"/>
    <n v="1"/>
  </r>
  <r>
    <m/>
    <m/>
    <x v="1"/>
    <s v="18558909001002"/>
    <n v="-283.96999999999997"/>
    <n v="4679"/>
    <n v="2"/>
    <n v="1"/>
  </r>
  <r>
    <m/>
    <m/>
    <x v="1"/>
    <s v="18567772004001"/>
    <n v="-26.09"/>
    <n v="430"/>
    <n v="2"/>
    <n v="1"/>
  </r>
  <r>
    <m/>
    <m/>
    <x v="1"/>
    <s v="18573993001002"/>
    <n v="-47.489999999999995"/>
    <n v="790"/>
    <n v="2"/>
    <n v="1"/>
  </r>
  <r>
    <m/>
    <m/>
    <x v="1"/>
    <s v="18598550001006"/>
    <n v="-83.080000000000013"/>
    <n v="1363"/>
    <n v="2"/>
    <n v="1"/>
  </r>
  <r>
    <m/>
    <m/>
    <x v="1"/>
    <s v="18608253001009"/>
    <n v="-154.15"/>
    <n v="2645"/>
    <n v="1"/>
    <n v="1"/>
  </r>
  <r>
    <m/>
    <m/>
    <x v="1"/>
    <s v="18699890007001"/>
    <n v="-26.52"/>
    <n v="455"/>
    <n v="1"/>
    <n v="1"/>
  </r>
  <r>
    <m/>
    <m/>
    <x v="1"/>
    <s v="18882101006001"/>
    <n v="-180.73"/>
    <n v="3101"/>
    <n v="1"/>
    <n v="1"/>
  </r>
  <r>
    <m/>
    <m/>
    <x v="1"/>
    <s v="18896376002001"/>
    <n v="-253.52"/>
    <n v="4350"/>
    <n v="1"/>
    <n v="1"/>
  </r>
  <r>
    <m/>
    <m/>
    <x v="1"/>
    <s v="18898892001005"/>
    <n v="-92.08"/>
    <n v="1580"/>
    <n v="1"/>
    <n v="1"/>
  </r>
  <r>
    <m/>
    <m/>
    <x v="1"/>
    <s v="18964849002005"/>
    <n v="-63.480000000000004"/>
    <n v="1067"/>
    <n v="2"/>
    <n v="1"/>
  </r>
  <r>
    <m/>
    <m/>
    <x v="1"/>
    <s v="19027224008001"/>
    <n v="-96.64"/>
    <n v="1564"/>
    <n v="2"/>
    <n v="1"/>
  </r>
  <r>
    <m/>
    <m/>
    <x v="1"/>
    <s v="19066582001001"/>
    <n v="-77.569999999999993"/>
    <n v="1331"/>
    <n v="1"/>
    <n v="1"/>
  </r>
  <r>
    <m/>
    <m/>
    <x v="1"/>
    <s v="19112010001001"/>
    <n v="-43.54"/>
    <n v="747"/>
    <n v="1"/>
    <n v="1"/>
  </r>
  <r>
    <m/>
    <m/>
    <x v="1"/>
    <s v="19435050001006"/>
    <n v="-321.36"/>
    <n v="5201"/>
    <n v="2"/>
    <n v="1"/>
  </r>
  <r>
    <m/>
    <m/>
    <x v="1"/>
    <s v="19444287001003"/>
    <n v="-53.769999999999996"/>
    <n v="914"/>
    <n v="2"/>
    <n v="1"/>
  </r>
  <r>
    <m/>
    <m/>
    <x v="1"/>
    <s v="19496026001002"/>
    <n v="-49.48"/>
    <n v="849"/>
    <n v="1"/>
    <n v="1"/>
  </r>
  <r>
    <m/>
    <m/>
    <x v="1"/>
    <s v="19532482001001"/>
    <n v="-13.64"/>
    <n v="234"/>
    <n v="1"/>
    <n v="1"/>
  </r>
  <r>
    <m/>
    <m/>
    <x v="1"/>
    <s v="19649729001001"/>
    <n v="-117.28"/>
    <n v="1951"/>
    <n v="2"/>
    <n v="1"/>
  </r>
  <r>
    <m/>
    <m/>
    <x v="1"/>
    <s v="19655093001001"/>
    <n v="-96.77"/>
    <n v="1622"/>
    <n v="2"/>
    <n v="1"/>
  </r>
  <r>
    <m/>
    <m/>
    <x v="1"/>
    <s v="19672934001001"/>
    <n v="-43.07"/>
    <n v="739"/>
    <n v="1"/>
    <n v="1"/>
  </r>
  <r>
    <m/>
    <m/>
    <x v="1"/>
    <s v="19734861001001"/>
    <n v="-69.53"/>
    <n v="1193"/>
    <n v="1"/>
    <n v="1"/>
  </r>
  <r>
    <m/>
    <m/>
    <x v="1"/>
    <s v="19760888001002"/>
    <n v="-11.21"/>
    <n v="182"/>
    <n v="2"/>
    <n v="1"/>
  </r>
  <r>
    <m/>
    <m/>
    <x v="1"/>
    <s v="19844787001003"/>
    <n v="-41.09"/>
    <n v="705"/>
    <n v="1"/>
    <n v="1"/>
  </r>
  <r>
    <m/>
    <m/>
    <x v="1"/>
    <s v="19858663001009"/>
    <n v="-60.49"/>
    <n v="1038"/>
    <n v="1"/>
    <n v="1"/>
  </r>
  <r>
    <m/>
    <m/>
    <x v="1"/>
    <s v="19984502001006"/>
    <n v="-129.07"/>
    <n v="2202"/>
    <n v="2"/>
    <n v="1"/>
  </r>
  <r>
    <m/>
    <m/>
    <x v="1"/>
    <s v="20017970001001"/>
    <n v="-35.43"/>
    <n v="608"/>
    <n v="1"/>
    <n v="1"/>
  </r>
  <r>
    <m/>
    <m/>
    <x v="1"/>
    <s v="20109404001004"/>
    <n v="-86.02"/>
    <n v="1396"/>
    <n v="2"/>
    <n v="1"/>
  </r>
  <r>
    <m/>
    <m/>
    <x v="1"/>
    <s v="20111439001001"/>
    <n v="-16.55"/>
    <n v="284"/>
    <n v="1"/>
    <n v="1"/>
  </r>
  <r>
    <m/>
    <m/>
    <x v="1"/>
    <s v="20180489001004"/>
    <n v="-5.94"/>
    <n v="102"/>
    <n v="1"/>
    <n v="1"/>
  </r>
  <r>
    <m/>
    <m/>
    <x v="1"/>
    <s v="20263571001001"/>
    <n v="-64.88"/>
    <n v="1050"/>
    <n v="2"/>
    <n v="1"/>
  </r>
  <r>
    <m/>
    <m/>
    <x v="1"/>
    <s v="20346784001001"/>
    <n v="-89.28"/>
    <n v="1532"/>
    <n v="1"/>
    <n v="1"/>
  </r>
  <r>
    <m/>
    <m/>
    <x v="1"/>
    <s v="20353719002001"/>
    <n v="-19.170000000000002"/>
    <n v="329"/>
    <n v="1"/>
    <n v="1"/>
  </r>
  <r>
    <m/>
    <m/>
    <x v="1"/>
    <s v="20394809001002"/>
    <n v="-110.62"/>
    <n v="1898"/>
    <n v="1"/>
    <n v="1"/>
  </r>
  <r>
    <m/>
    <m/>
    <x v="1"/>
    <s v="20531435001001"/>
    <n v="-65.62"/>
    <n v="1126"/>
    <n v="1"/>
    <n v="1"/>
  </r>
  <r>
    <m/>
    <m/>
    <x v="1"/>
    <s v="20661619001004"/>
    <n v="-144.44"/>
    <n v="2380"/>
    <n v="2"/>
    <n v="1"/>
  </r>
  <r>
    <m/>
    <m/>
    <x v="1"/>
    <s v="20667329001003"/>
    <n v="-81.3"/>
    <n v="1395"/>
    <n v="1"/>
    <n v="1"/>
  </r>
  <r>
    <m/>
    <m/>
    <x v="1"/>
    <s v="20724059001003"/>
    <n v="-63.47"/>
    <n v="1089"/>
    <n v="1"/>
    <n v="1"/>
  </r>
  <r>
    <m/>
    <m/>
    <x v="1"/>
    <s v="20921653002001"/>
    <n v="-36.699999999999996"/>
    <n v="626"/>
    <n v="2"/>
    <n v="1"/>
  </r>
  <r>
    <m/>
    <m/>
    <x v="1"/>
    <s v="20984096001001"/>
    <n v="-34.659999999999997"/>
    <n v="581"/>
    <n v="2"/>
    <n v="1"/>
  </r>
  <r>
    <m/>
    <m/>
    <x v="1"/>
    <s v="20988421001001"/>
    <n v="-74.81"/>
    <n v="1280"/>
    <n v="2"/>
    <n v="1"/>
  </r>
  <r>
    <m/>
    <m/>
    <x v="1"/>
    <s v="21000703003001"/>
    <n v="-93.47999999999999"/>
    <n v="1517"/>
    <n v="2"/>
    <n v="1"/>
  </r>
  <r>
    <m/>
    <m/>
    <x v="1"/>
    <s v="21014172001007"/>
    <n v="-55.89"/>
    <n v="959"/>
    <n v="1"/>
    <n v="1"/>
  </r>
  <r>
    <m/>
    <m/>
    <x v="1"/>
    <s v="21211434001004"/>
    <n v="-133.63999999999999"/>
    <n v="2293"/>
    <n v="1"/>
    <n v="1"/>
  </r>
  <r>
    <m/>
    <m/>
    <x v="1"/>
    <s v="21227003001003"/>
    <n v="-136.53"/>
    <n v="2336"/>
    <n v="2"/>
    <n v="1"/>
  </r>
  <r>
    <m/>
    <m/>
    <x v="1"/>
    <s v="21238291001001"/>
    <n v="-52.519999999999996"/>
    <n v="850"/>
    <n v="2"/>
    <n v="1"/>
  </r>
  <r>
    <m/>
    <m/>
    <x v="1"/>
    <s v="21262148002004"/>
    <n v="-113.95"/>
    <n v="1859"/>
    <n v="2"/>
    <n v="1"/>
  </r>
  <r>
    <m/>
    <m/>
    <x v="1"/>
    <s v="21356759001002"/>
    <n v="-39.11"/>
    <n v="671"/>
    <n v="1"/>
    <n v="1"/>
  </r>
  <r>
    <m/>
    <m/>
    <x v="1"/>
    <s v="21404658001001"/>
    <n v="-23.02"/>
    <n v="395"/>
    <n v="1"/>
    <n v="1"/>
  </r>
  <r>
    <m/>
    <m/>
    <x v="1"/>
    <s v="21428566001001"/>
    <n v="-126.22"/>
    <n v="2043"/>
    <n v="2"/>
    <n v="1"/>
  </r>
  <r>
    <m/>
    <m/>
    <x v="1"/>
    <s v="21469093001007"/>
    <n v="-26.11"/>
    <n v="448"/>
    <n v="1"/>
    <n v="1"/>
  </r>
  <r>
    <m/>
    <m/>
    <x v="1"/>
    <s v="21525125003001"/>
    <n v="-32.93"/>
    <n v="565"/>
    <n v="1"/>
    <n v="1"/>
  </r>
  <r>
    <m/>
    <m/>
    <x v="1"/>
    <s v="21530313001003"/>
    <n v="-34.270000000000003"/>
    <n v="588"/>
    <n v="1"/>
    <n v="1"/>
  </r>
  <r>
    <m/>
    <m/>
    <x v="1"/>
    <s v="21594867001004"/>
    <n v="-107.7"/>
    <n v="1848"/>
    <n v="1"/>
    <n v="1"/>
  </r>
  <r>
    <m/>
    <m/>
    <x v="1"/>
    <s v="21633111003003"/>
    <n v="-0.93"/>
    <n v="16"/>
    <n v="1"/>
    <n v="1"/>
  </r>
  <r>
    <m/>
    <m/>
    <x v="1"/>
    <s v="21645618001001"/>
    <n v="-127.88999999999999"/>
    <n v="2174"/>
    <n v="2"/>
    <n v="1"/>
  </r>
  <r>
    <m/>
    <m/>
    <x v="1"/>
    <s v="21653812001006"/>
    <n v="-75.650000000000006"/>
    <n v="1298"/>
    <n v="1"/>
    <n v="1"/>
  </r>
  <r>
    <m/>
    <m/>
    <x v="1"/>
    <s v="21694077001003"/>
    <n v="-61.49"/>
    <n v="1055"/>
    <n v="1"/>
    <n v="1"/>
  </r>
  <r>
    <m/>
    <m/>
    <x v="1"/>
    <s v="21746032001007"/>
    <n v="-8.77"/>
    <n v="142"/>
    <n v="2"/>
    <n v="1"/>
  </r>
  <r>
    <m/>
    <m/>
    <x v="1"/>
    <s v="21758771003001"/>
    <n v="-94.35"/>
    <n v="1527"/>
    <n v="2"/>
    <n v="1"/>
  </r>
  <r>
    <m/>
    <m/>
    <x v="1"/>
    <s v="21807371001001"/>
    <n v="-48.2"/>
    <n v="827"/>
    <n v="1"/>
    <n v="1"/>
  </r>
  <r>
    <m/>
    <m/>
    <x v="1"/>
    <s v="21820617001003"/>
    <n v="-74.650000000000006"/>
    <n v="1255"/>
    <n v="2"/>
    <n v="1"/>
  </r>
  <r>
    <m/>
    <m/>
    <x v="1"/>
    <s v="21855033001004"/>
    <n v="-63.58"/>
    <n v="1091"/>
    <n v="1"/>
    <n v="1"/>
  </r>
  <r>
    <m/>
    <m/>
    <x v="1"/>
    <s v="22010468001003"/>
    <n v="-90.830000000000013"/>
    <n v="1474"/>
    <n v="2"/>
    <n v="1"/>
  </r>
  <r>
    <m/>
    <m/>
    <x v="1"/>
    <s v="22036738002001"/>
    <n v="-4.37"/>
    <n v="75"/>
    <n v="1"/>
    <n v="1"/>
  </r>
  <r>
    <m/>
    <m/>
    <x v="1"/>
    <s v="22038843001001"/>
    <n v="-67.36"/>
    <n v="1145"/>
    <n v="2"/>
    <n v="1"/>
  </r>
  <r>
    <m/>
    <m/>
    <x v="1"/>
    <s v="22102529001010"/>
    <n v="-65.5"/>
    <n v="1101"/>
    <n v="2"/>
    <n v="1"/>
  </r>
  <r>
    <m/>
    <m/>
    <x v="1"/>
    <s v="22107625002001"/>
    <n v="-84.91"/>
    <n v="1457"/>
    <n v="1"/>
    <n v="1"/>
  </r>
  <r>
    <m/>
    <m/>
    <x v="1"/>
    <s v="22186059001001"/>
    <n v="-133.46"/>
    <n v="2237"/>
    <n v="2"/>
    <n v="1"/>
  </r>
  <r>
    <m/>
    <m/>
    <x v="1"/>
    <s v="22203493001001"/>
    <n v="-53.65"/>
    <n v="884"/>
    <n v="2"/>
    <n v="1"/>
  </r>
  <r>
    <m/>
    <m/>
    <x v="1"/>
    <s v="22318296001001"/>
    <n v="-48.84"/>
    <n v="838"/>
    <n v="1"/>
    <n v="1"/>
  </r>
  <r>
    <m/>
    <m/>
    <x v="1"/>
    <s v="22361013001001"/>
    <n v="-142.03"/>
    <n v="2437"/>
    <n v="1"/>
    <n v="1"/>
  </r>
  <r>
    <m/>
    <m/>
    <x v="1"/>
    <s v="22424413001003"/>
    <n v="-119.63999999999999"/>
    <n v="1969"/>
    <n v="2"/>
    <n v="1"/>
  </r>
  <r>
    <m/>
    <m/>
    <x v="1"/>
    <s v="22448306001009"/>
    <n v="-82.93"/>
    <n v="1423"/>
    <n v="1"/>
    <n v="1"/>
  </r>
  <r>
    <m/>
    <m/>
    <x v="1"/>
    <s v="22461172001010"/>
    <n v="-40.1"/>
    <n v="688"/>
    <n v="1"/>
    <n v="1"/>
  </r>
  <r>
    <m/>
    <m/>
    <x v="1"/>
    <s v="22537776001001"/>
    <n v="-140.74"/>
    <n v="2366"/>
    <n v="2"/>
    <n v="1"/>
  </r>
  <r>
    <m/>
    <m/>
    <x v="1"/>
    <s v="22661816001004"/>
    <n v="-80.959999999999994"/>
    <n v="1365"/>
    <n v="2"/>
    <n v="1"/>
  </r>
  <r>
    <m/>
    <m/>
    <x v="1"/>
    <s v="22697285001003"/>
    <n v="-89.05"/>
    <n v="1497"/>
    <n v="2"/>
    <n v="1"/>
  </r>
  <r>
    <m/>
    <m/>
    <x v="1"/>
    <s v="22816970001003"/>
    <n v="-102.81"/>
    <n v="1764"/>
    <n v="1"/>
    <n v="1"/>
  </r>
  <r>
    <m/>
    <m/>
    <x v="1"/>
    <s v="22843975001009"/>
    <n v="-128.16999999999999"/>
    <n v="2162"/>
    <n v="2"/>
    <n v="1"/>
  </r>
  <r>
    <m/>
    <m/>
    <x v="1"/>
    <s v="22849605002001"/>
    <n v="-61.87"/>
    <n v="1004"/>
    <n v="2"/>
    <n v="1"/>
  </r>
  <r>
    <m/>
    <m/>
    <x v="1"/>
    <s v="22903668001001"/>
    <n v="-0.12"/>
    <n v="2"/>
    <n v="1"/>
    <n v="1"/>
  </r>
  <r>
    <m/>
    <m/>
    <x v="1"/>
    <s v="22970260001002"/>
    <n v="-99.13"/>
    <n v="1638"/>
    <n v="2"/>
    <n v="1"/>
  </r>
  <r>
    <m/>
    <m/>
    <x v="1"/>
    <s v="23056711001001"/>
    <n v="-102.16"/>
    <n v="1753"/>
    <n v="1"/>
    <n v="1"/>
  </r>
  <r>
    <m/>
    <m/>
    <x v="1"/>
    <s v="23103586001001"/>
    <n v="-51.599999999999994"/>
    <n v="877"/>
    <n v="2"/>
    <n v="1"/>
  </r>
  <r>
    <m/>
    <m/>
    <x v="1"/>
    <s v="23143876001001"/>
    <n v="-193.25"/>
    <n v="3136"/>
    <n v="2"/>
    <n v="1"/>
  </r>
  <r>
    <m/>
    <m/>
    <x v="1"/>
    <s v="23207064001009"/>
    <n v="-19.989999999999998"/>
    <n v="343"/>
    <n v="1"/>
    <n v="1"/>
  </r>
  <r>
    <m/>
    <m/>
    <x v="1"/>
    <s v="23396729002001"/>
    <n v="-85.67"/>
    <n v="1470"/>
    <n v="1"/>
    <n v="1"/>
  </r>
  <r>
    <m/>
    <m/>
    <x v="1"/>
    <s v="23468135001004"/>
    <n v="-33.200000000000003"/>
    <n v="547"/>
    <n v="2"/>
    <n v="1"/>
  </r>
  <r>
    <m/>
    <m/>
    <x v="1"/>
    <s v="23478229001001"/>
    <n v="-29.630000000000003"/>
    <n v="498"/>
    <n v="2"/>
    <n v="1"/>
  </r>
  <r>
    <m/>
    <m/>
    <x v="1"/>
    <s v="23634903001001"/>
    <n v="-46.05"/>
    <n v="788"/>
    <n v="2"/>
    <n v="1"/>
  </r>
  <r>
    <m/>
    <m/>
    <x v="1"/>
    <s v="23714586001003"/>
    <n v="-77.52"/>
    <n v="1307"/>
    <n v="2"/>
    <n v="1"/>
  </r>
  <r>
    <m/>
    <m/>
    <x v="1"/>
    <s v="23784674001004"/>
    <n v="-47.56"/>
    <n v="816"/>
    <n v="1"/>
    <n v="1"/>
  </r>
  <r>
    <m/>
    <m/>
    <x v="1"/>
    <s v="23852854002001"/>
    <n v="-46.68"/>
    <n v="801"/>
    <n v="1"/>
    <n v="1"/>
  </r>
  <r>
    <m/>
    <m/>
    <x v="1"/>
    <s v="23863133002001"/>
    <n v="-97.710000000000008"/>
    <n v="1594"/>
    <n v="2"/>
    <n v="1"/>
  </r>
  <r>
    <m/>
    <m/>
    <x v="1"/>
    <s v="23910663001003"/>
    <n v="-16.169999999999998"/>
    <n v="271"/>
    <n v="2"/>
    <n v="1"/>
  </r>
  <r>
    <m/>
    <m/>
    <x v="1"/>
    <s v="23937121001001"/>
    <n v="-59.03"/>
    <n v="1007"/>
    <n v="2"/>
    <n v="1"/>
  </r>
  <r>
    <m/>
    <m/>
    <x v="1"/>
    <s v="23975539001003"/>
    <n v="-175.66"/>
    <n v="3014"/>
    <n v="1"/>
    <n v="1"/>
  </r>
  <r>
    <m/>
    <m/>
    <x v="1"/>
    <s v="24047839001001"/>
    <n v="-152.05000000000001"/>
    <n v="2609"/>
    <n v="1"/>
    <n v="1"/>
  </r>
  <r>
    <m/>
    <m/>
    <x v="1"/>
    <s v="24336943003005"/>
    <n v="-202.35"/>
    <n v="3472"/>
    <n v="1"/>
    <n v="1"/>
  </r>
  <r>
    <m/>
    <m/>
    <x v="1"/>
    <s v="24503591001001"/>
    <n v="-66.03"/>
    <n v="1133"/>
    <n v="1"/>
    <n v="1"/>
  </r>
  <r>
    <m/>
    <m/>
    <x v="1"/>
    <s v="24505066002001"/>
    <n v="-127.9"/>
    <n v="2150"/>
    <n v="2"/>
    <n v="1"/>
  </r>
  <r>
    <m/>
    <m/>
    <x v="1"/>
    <s v="24678131004001"/>
    <n v="-207.87"/>
    <n v="3458"/>
    <n v="2"/>
    <n v="1"/>
  </r>
  <r>
    <m/>
    <m/>
    <x v="1"/>
    <s v="24715679001001"/>
    <n v="-57.33"/>
    <n v="978"/>
    <n v="2"/>
    <n v="1"/>
  </r>
  <r>
    <m/>
    <m/>
    <x v="1"/>
    <s v="24751934001001"/>
    <n v="-112.85"/>
    <n v="1841"/>
    <n v="2"/>
    <n v="1"/>
  </r>
  <r>
    <m/>
    <m/>
    <x v="1"/>
    <s v="24806438001006"/>
    <n v="-109.28999999999999"/>
    <n v="1832"/>
    <n v="2"/>
    <n v="1"/>
  </r>
  <r>
    <m/>
    <m/>
    <x v="1"/>
    <s v="25096011001001"/>
    <n v="-93.5"/>
    <n v="1534"/>
    <n v="2"/>
    <n v="1"/>
  </r>
  <r>
    <m/>
    <m/>
    <x v="1"/>
    <s v="25187391001001"/>
    <n v="-153.47"/>
    <n v="2580"/>
    <n v="2"/>
    <n v="1"/>
  </r>
  <r>
    <m/>
    <m/>
    <x v="1"/>
    <s v="25306802001004"/>
    <n v="-87.89"/>
    <n v="1508"/>
    <n v="1"/>
    <n v="1"/>
  </r>
  <r>
    <m/>
    <m/>
    <x v="1"/>
    <s v="25339323002001"/>
    <n v="-90.1"/>
    <n v="1546"/>
    <n v="1"/>
    <n v="1"/>
  </r>
  <r>
    <m/>
    <m/>
    <x v="1"/>
    <s v="25409324002005"/>
    <n v="-63.7"/>
    <n v="1063"/>
    <n v="2"/>
    <n v="1"/>
  </r>
  <r>
    <m/>
    <m/>
    <x v="1"/>
    <s v="25425228001001"/>
    <n v="-94.26"/>
    <n v="1580"/>
    <n v="2"/>
    <n v="1"/>
  </r>
  <r>
    <m/>
    <m/>
    <x v="1"/>
    <s v="25428167001001"/>
    <n v="-36.989999999999995"/>
    <n v="620"/>
    <n v="2"/>
    <n v="1"/>
  </r>
  <r>
    <m/>
    <m/>
    <x v="1"/>
    <s v="25549425001001"/>
    <n v="-232.34"/>
    <n v="3964"/>
    <n v="2"/>
    <n v="1"/>
  </r>
  <r>
    <m/>
    <m/>
    <x v="1"/>
    <s v="25580805001001"/>
    <n v="-33.340000000000003"/>
    <n v="572"/>
    <n v="1"/>
    <n v="1"/>
  </r>
  <r>
    <m/>
    <m/>
    <x v="1"/>
    <s v="25584708001005"/>
    <n v="-138.41999999999999"/>
    <n v="2375"/>
    <n v="1"/>
    <n v="1"/>
  </r>
  <r>
    <m/>
    <m/>
    <x v="1"/>
    <s v="25611864001004"/>
    <n v="-57.41"/>
    <n v="985"/>
    <n v="1"/>
    <n v="1"/>
  </r>
  <r>
    <m/>
    <m/>
    <x v="1"/>
    <s v="25644209001001"/>
    <n v="-17.13"/>
    <n v="294"/>
    <n v="1"/>
    <n v="1"/>
  </r>
  <r>
    <m/>
    <m/>
    <x v="1"/>
    <s v="25783482001001"/>
    <n v="-227.27999999999997"/>
    <n v="3745"/>
    <n v="2"/>
    <n v="1"/>
  </r>
  <r>
    <m/>
    <m/>
    <x v="1"/>
    <s v="25810340001001"/>
    <n v="-73.84"/>
    <n v="1267"/>
    <n v="1"/>
    <n v="1"/>
  </r>
  <r>
    <m/>
    <m/>
    <x v="1"/>
    <s v="25816610001008"/>
    <n v="-152.78"/>
    <n v="2561"/>
    <n v="2"/>
    <n v="1"/>
  </r>
  <r>
    <m/>
    <m/>
    <x v="1"/>
    <s v="25851963001001"/>
    <n v="-117.38"/>
    <n v="2014"/>
    <n v="1"/>
    <n v="1"/>
  </r>
  <r>
    <m/>
    <m/>
    <x v="1"/>
    <s v="25915661001001"/>
    <n v="-159.72999999999999"/>
    <n v="2693"/>
    <n v="2"/>
    <n v="1"/>
  </r>
  <r>
    <m/>
    <m/>
    <x v="1"/>
    <s v="26354790004003"/>
    <n v="-187.68"/>
    <n v="3155"/>
    <n v="2"/>
    <n v="1"/>
  </r>
  <r>
    <m/>
    <m/>
    <x v="1"/>
    <s v="26360288004003"/>
    <n v="-117.82999999999998"/>
    <n v="1912"/>
    <n v="2"/>
    <n v="1"/>
  </r>
  <r>
    <m/>
    <m/>
    <x v="1"/>
    <s v="26366881003001"/>
    <n v="-72.97"/>
    <n v="1252"/>
    <n v="1"/>
    <n v="1"/>
  </r>
  <r>
    <m/>
    <m/>
    <x v="1"/>
    <s v="26400210001001"/>
    <n v="-55.25"/>
    <n v="948"/>
    <n v="1"/>
    <n v="1"/>
  </r>
  <r>
    <m/>
    <m/>
    <x v="1"/>
    <s v="26537288001001"/>
    <n v="-41.769999999999996"/>
    <n v="710"/>
    <n v="2"/>
    <n v="1"/>
  </r>
  <r>
    <m/>
    <m/>
    <x v="1"/>
    <s v="26545623004004"/>
    <n v="-86.25"/>
    <n v="1480"/>
    <n v="1"/>
    <n v="1"/>
  </r>
  <r>
    <m/>
    <m/>
    <x v="1"/>
    <s v="26685293001003"/>
    <n v="-96.74"/>
    <n v="1660"/>
    <n v="1"/>
    <n v="1"/>
  </r>
  <r>
    <m/>
    <m/>
    <x v="1"/>
    <s v="26705660001002"/>
    <n v="-2.5"/>
    <n v="42"/>
    <n v="2"/>
    <n v="1"/>
  </r>
  <r>
    <m/>
    <m/>
    <x v="1"/>
    <s v="26902722002003"/>
    <n v="-121.06"/>
    <n v="1975"/>
    <n v="2"/>
    <n v="1"/>
  </r>
  <r>
    <m/>
    <m/>
    <x v="1"/>
    <s v="27004406002001"/>
    <n v="-121.28"/>
    <n v="1968"/>
    <n v="2"/>
    <n v="1"/>
  </r>
  <r>
    <m/>
    <m/>
    <x v="1"/>
    <s v="27057981001001"/>
    <n v="-37.71"/>
    <n v="647"/>
    <n v="1"/>
    <n v="1"/>
  </r>
  <r>
    <m/>
    <m/>
    <x v="1"/>
    <s v="27069473001005"/>
    <n v="-137.91"/>
    <n v="2325"/>
    <n v="2"/>
    <n v="1"/>
  </r>
  <r>
    <m/>
    <m/>
    <x v="1"/>
    <s v="27104996002014"/>
    <n v="-130.63"/>
    <n v="2196"/>
    <n v="2"/>
    <n v="1"/>
  </r>
  <r>
    <m/>
    <m/>
    <x v="1"/>
    <s v="27362591001003"/>
    <n v="-154.61000000000001"/>
    <n v="2608"/>
    <n v="2"/>
    <n v="1"/>
  </r>
  <r>
    <m/>
    <m/>
    <x v="1"/>
    <s v="27612583002003"/>
    <n v="-331.73"/>
    <n v="5466"/>
    <n v="2"/>
    <n v="1"/>
  </r>
  <r>
    <m/>
    <m/>
    <x v="1"/>
    <s v="27614236002001"/>
    <n v="-40.270000000000003"/>
    <n v="691"/>
    <n v="1"/>
    <n v="1"/>
  </r>
  <r>
    <m/>
    <m/>
    <x v="1"/>
    <s v="27629352001002"/>
    <n v="-140.22"/>
    <n v="2406"/>
    <n v="1"/>
    <n v="1"/>
  </r>
  <r>
    <m/>
    <m/>
    <x v="1"/>
    <s v="27670002001006"/>
    <n v="-142.72999999999999"/>
    <n v="2449"/>
    <n v="1"/>
    <n v="1"/>
  </r>
  <r>
    <m/>
    <m/>
    <x v="1"/>
    <s v="27691065001006"/>
    <n v="-74.540000000000006"/>
    <n v="1279"/>
    <n v="1"/>
    <n v="1"/>
  </r>
  <r>
    <m/>
    <m/>
    <x v="1"/>
    <s v="27803535001001"/>
    <n v="-55.13"/>
    <n v="946"/>
    <n v="1"/>
    <n v="1"/>
  </r>
  <r>
    <m/>
    <m/>
    <x v="1"/>
    <s v="27894235001001"/>
    <n v="-159.59"/>
    <n v="2683"/>
    <n v="2"/>
    <n v="1"/>
  </r>
  <r>
    <m/>
    <m/>
    <x v="1"/>
    <s v="28034215003001"/>
    <n v="-62.61"/>
    <n v="1027"/>
    <n v="2"/>
    <n v="1"/>
  </r>
  <r>
    <m/>
    <m/>
    <x v="1"/>
    <s v="28059627001003"/>
    <n v="-63.290000000000006"/>
    <n v="1064"/>
    <n v="2"/>
    <n v="1"/>
  </r>
  <r>
    <m/>
    <m/>
    <x v="1"/>
    <s v="28099179001009"/>
    <n v="-128.37"/>
    <n v="2182"/>
    <n v="2"/>
    <n v="1"/>
  </r>
  <r>
    <m/>
    <m/>
    <x v="1"/>
    <s v="28164675001001"/>
    <n v="-62.3"/>
    <n v="1069"/>
    <n v="1"/>
    <n v="1"/>
  </r>
  <r>
    <m/>
    <m/>
    <x v="1"/>
    <s v="28184432001001"/>
    <n v="-123.83"/>
    <n v="2060"/>
    <n v="2"/>
    <n v="1"/>
  </r>
  <r>
    <m/>
    <m/>
    <x v="1"/>
    <s v="28204362001001"/>
    <n v="-56.57"/>
    <n v="951"/>
    <n v="2"/>
    <n v="1"/>
  </r>
  <r>
    <m/>
    <m/>
    <x v="1"/>
    <s v="28251269002005"/>
    <n v="-60.14"/>
    <n v="1032"/>
    <n v="1"/>
    <n v="1"/>
  </r>
  <r>
    <m/>
    <m/>
    <x v="1"/>
    <s v="28269797001003"/>
    <n v="-38.119999999999997"/>
    <n v="654"/>
    <n v="1"/>
    <n v="1"/>
  </r>
  <r>
    <m/>
    <m/>
    <x v="1"/>
    <s v="28349379001003"/>
    <n v="-141.68"/>
    <n v="2431"/>
    <n v="1"/>
    <n v="1"/>
  </r>
  <r>
    <m/>
    <m/>
    <x v="1"/>
    <s v="28416675003005"/>
    <n v="-28.15"/>
    <n v="483"/>
    <n v="1"/>
    <n v="1"/>
  </r>
  <r>
    <m/>
    <m/>
    <x v="1"/>
    <s v="28477040001006"/>
    <n v="-38.520000000000003"/>
    <n v="661"/>
    <n v="1"/>
    <n v="1"/>
  </r>
  <r>
    <m/>
    <m/>
    <x v="1"/>
    <s v="28584427001011"/>
    <n v="-26.11"/>
    <n v="448"/>
    <n v="1"/>
    <n v="1"/>
  </r>
  <r>
    <m/>
    <m/>
    <x v="1"/>
    <s v="28592432001002"/>
    <n v="-132.25"/>
    <n v="2200"/>
    <n v="2"/>
    <n v="1"/>
  </r>
  <r>
    <m/>
    <m/>
    <x v="1"/>
    <s v="28597966001001"/>
    <n v="-160.66000000000003"/>
    <n v="2741"/>
    <n v="2"/>
    <n v="1"/>
  </r>
  <r>
    <m/>
    <m/>
    <x v="1"/>
    <s v="28647586001001"/>
    <n v="-75.360000000000014"/>
    <n v="1281"/>
    <n v="2"/>
    <n v="1"/>
  </r>
  <r>
    <m/>
    <m/>
    <x v="1"/>
    <s v="28704245001001"/>
    <n v="-137.41999999999999"/>
    <n v="2358"/>
    <n v="1"/>
    <n v="1"/>
  </r>
  <r>
    <m/>
    <m/>
    <x v="1"/>
    <s v="28722691001003"/>
    <n v="-86.25"/>
    <n v="1480"/>
    <n v="1"/>
    <n v="1"/>
  </r>
  <r>
    <m/>
    <m/>
    <x v="1"/>
    <s v="28804615002003"/>
    <n v="-51.769999999999996"/>
    <n v="880"/>
    <n v="2"/>
    <n v="1"/>
  </r>
  <r>
    <m/>
    <m/>
    <x v="1"/>
    <s v="28899342003001"/>
    <n v="-36.82"/>
    <n v="619"/>
    <n v="2"/>
    <n v="1"/>
  </r>
  <r>
    <m/>
    <m/>
    <x v="1"/>
    <s v="29000608001001"/>
    <n v="-44.12"/>
    <n v="757"/>
    <n v="1"/>
    <n v="1"/>
  </r>
  <r>
    <m/>
    <m/>
    <x v="1"/>
    <s v="29018357001001"/>
    <n v="-43.77"/>
    <n v="751"/>
    <n v="1"/>
    <n v="1"/>
  </r>
  <r>
    <m/>
    <m/>
    <x v="1"/>
    <s v="29121023001001"/>
    <n v="-103.33000000000001"/>
    <n v="1737"/>
    <n v="2"/>
    <n v="1"/>
  </r>
  <r>
    <m/>
    <m/>
    <x v="1"/>
    <s v="29195239002003"/>
    <n v="-78.63"/>
    <n v="1276"/>
    <n v="2"/>
    <n v="1"/>
  </r>
  <r>
    <m/>
    <m/>
    <x v="1"/>
    <s v="29197433001003"/>
    <n v="-141.63"/>
    <n v="2374"/>
    <n v="2"/>
    <n v="1"/>
  </r>
  <r>
    <m/>
    <m/>
    <x v="1"/>
    <s v="29219744003001"/>
    <n v="-50.53"/>
    <n v="867"/>
    <n v="1"/>
    <n v="1"/>
  </r>
  <r>
    <m/>
    <m/>
    <x v="1"/>
    <s v="29381580002001"/>
    <n v="-165.75"/>
    <n v="2796"/>
    <n v="2"/>
    <n v="1"/>
  </r>
  <r>
    <m/>
    <m/>
    <x v="1"/>
    <s v="29435988001007"/>
    <n v="-36.08"/>
    <n v="619"/>
    <n v="1"/>
    <n v="1"/>
  </r>
  <r>
    <m/>
    <m/>
    <x v="1"/>
    <s v="29492327001001"/>
    <n v="-68.05"/>
    <n v="1161"/>
    <n v="2"/>
    <n v="1"/>
  </r>
  <r>
    <m/>
    <m/>
    <x v="1"/>
    <s v="29526110001003"/>
    <n v="-111.65"/>
    <n v="1807"/>
    <n v="2"/>
    <n v="1"/>
  </r>
  <r>
    <m/>
    <m/>
    <x v="1"/>
    <s v="29528919001003"/>
    <n v="-173.42000000000002"/>
    <n v="2907"/>
    <n v="2"/>
    <n v="1"/>
  </r>
  <r>
    <m/>
    <m/>
    <x v="1"/>
    <s v="29786462001001"/>
    <n v="-95.460000000000008"/>
    <n v="1588"/>
    <n v="2"/>
    <n v="1"/>
  </r>
  <r>
    <m/>
    <m/>
    <x v="1"/>
    <s v="29879754001001"/>
    <n v="-148.54"/>
    <n v="2497"/>
    <n v="2"/>
    <n v="1"/>
  </r>
  <r>
    <m/>
    <m/>
    <x v="1"/>
    <s v="29893344002001"/>
    <n v="-82.41"/>
    <n v="1414"/>
    <n v="1"/>
    <n v="1"/>
  </r>
  <r>
    <m/>
    <m/>
    <x v="1"/>
    <s v="30002964001001"/>
    <n v="-69.06"/>
    <n v="1185"/>
    <n v="1"/>
    <n v="1"/>
  </r>
  <r>
    <m/>
    <m/>
    <x v="1"/>
    <s v="30102676002001"/>
    <n v="-170.31"/>
    <n v="2863"/>
    <n v="2"/>
    <n v="1"/>
  </r>
  <r>
    <m/>
    <m/>
    <x v="1"/>
    <s v="30204189001003"/>
    <n v="-148.03"/>
    <n v="2526"/>
    <n v="2"/>
    <n v="1"/>
  </r>
  <r>
    <m/>
    <m/>
    <x v="1"/>
    <s v="30267414002001"/>
    <n v="-214.72"/>
    <n v="3622"/>
    <n v="2"/>
    <n v="1"/>
  </r>
  <r>
    <m/>
    <m/>
    <x v="1"/>
    <s v="30319002002003"/>
    <n v="-72.09"/>
    <n v="1237"/>
    <n v="1"/>
    <n v="1"/>
  </r>
  <r>
    <m/>
    <m/>
    <x v="1"/>
    <s v="30338555001001"/>
    <n v="-24.42"/>
    <n v="419"/>
    <n v="1"/>
    <n v="1"/>
  </r>
  <r>
    <m/>
    <m/>
    <x v="1"/>
    <s v="30360605008001"/>
    <n v="-169.51999999999998"/>
    <n v="2751"/>
    <n v="2"/>
    <n v="1"/>
  </r>
  <r>
    <m/>
    <m/>
    <x v="1"/>
    <s v="30407005001001"/>
    <n v="-77.92"/>
    <n v="1337"/>
    <n v="1"/>
    <n v="1"/>
  </r>
  <r>
    <m/>
    <m/>
    <x v="1"/>
    <s v="30897668001002"/>
    <n v="-101.59"/>
    <n v="1690"/>
    <n v="2"/>
    <n v="1"/>
  </r>
  <r>
    <m/>
    <m/>
    <x v="1"/>
    <s v="30947723001004"/>
    <n v="-151.57"/>
    <n v="2586"/>
    <n v="2"/>
    <n v="1"/>
  </r>
  <r>
    <m/>
    <m/>
    <x v="1"/>
    <s v="30965089001001"/>
    <n v="-41.67"/>
    <n v="715"/>
    <n v="1"/>
    <n v="1"/>
  </r>
  <r>
    <m/>
    <m/>
    <x v="1"/>
    <s v="31016219002001"/>
    <n v="-19.21"/>
    <n v="323"/>
    <n v="2"/>
    <n v="1"/>
  </r>
  <r>
    <m/>
    <m/>
    <x v="1"/>
    <s v="31043707001001"/>
    <n v="-123.21"/>
    <n v="2108"/>
    <n v="2"/>
    <n v="1"/>
  </r>
  <r>
    <m/>
    <m/>
    <x v="1"/>
    <s v="31263952001004"/>
    <n v="-118.83"/>
    <n v="2039"/>
    <n v="1"/>
    <n v="1"/>
  </r>
  <r>
    <m/>
    <m/>
    <x v="1"/>
    <s v="31283347001004"/>
    <n v="-102.11"/>
    <n v="1752"/>
    <n v="1"/>
    <n v="1"/>
  </r>
  <r>
    <m/>
    <m/>
    <x v="1"/>
    <s v="31363659001003"/>
    <n v="-13.85"/>
    <n v="232"/>
    <n v="2"/>
    <n v="1"/>
  </r>
  <r>
    <m/>
    <m/>
    <x v="1"/>
    <s v="31387702001003"/>
    <n v="-29.26"/>
    <n v="502"/>
    <n v="1"/>
    <n v="1"/>
  </r>
  <r>
    <m/>
    <m/>
    <x v="1"/>
    <s v="31702243001003"/>
    <n v="-31.7"/>
    <n v="544"/>
    <n v="1"/>
    <n v="1"/>
  </r>
  <r>
    <m/>
    <m/>
    <x v="1"/>
    <s v="31762542004001"/>
    <n v="-338.84"/>
    <n v="5484"/>
    <n v="2"/>
    <n v="1"/>
  </r>
  <r>
    <m/>
    <m/>
    <x v="1"/>
    <s v="31817682001003"/>
    <n v="-9.7899999999999991"/>
    <n v="168"/>
    <n v="1"/>
    <n v="1"/>
  </r>
  <r>
    <m/>
    <m/>
    <x v="1"/>
    <s v="31954446001001"/>
    <n v="-15.629999999999999"/>
    <n v="262"/>
    <n v="2"/>
    <n v="1"/>
  </r>
  <r>
    <m/>
    <m/>
    <x v="1"/>
    <s v="31987952001001"/>
    <n v="-67"/>
    <n v="1104"/>
    <n v="2"/>
    <n v="1"/>
  </r>
  <r>
    <m/>
    <m/>
    <x v="1"/>
    <s v="31999957005001"/>
    <n v="-64.34"/>
    <n v="1104"/>
    <n v="1"/>
    <n v="1"/>
  </r>
  <r>
    <m/>
    <m/>
    <x v="1"/>
    <s v="32149793001004"/>
    <n v="-41.38"/>
    <n v="710"/>
    <n v="1"/>
    <n v="1"/>
  </r>
  <r>
    <m/>
    <m/>
    <x v="1"/>
    <s v="32401108001005"/>
    <n v="-20.34"/>
    <n v="349"/>
    <n v="1"/>
    <n v="1"/>
  </r>
  <r>
    <m/>
    <m/>
    <x v="1"/>
    <s v="32412801002002"/>
    <n v="-92.08"/>
    <n v="1580"/>
    <n v="1"/>
    <n v="1"/>
  </r>
  <r>
    <m/>
    <m/>
    <x v="1"/>
    <s v="32447778001001"/>
    <n v="-73.489999999999995"/>
    <n v="1261"/>
    <n v="1"/>
    <n v="1"/>
  </r>
  <r>
    <m/>
    <m/>
    <x v="1"/>
    <s v="32517568005001"/>
    <n v="-21.39"/>
    <n v="356"/>
    <n v="2"/>
    <n v="1"/>
  </r>
  <r>
    <m/>
    <m/>
    <x v="1"/>
    <s v="32519917001004"/>
    <n v="-106.36"/>
    <n v="1788"/>
    <n v="2"/>
    <n v="1"/>
  </r>
  <r>
    <m/>
    <m/>
    <x v="1"/>
    <s v="32577639001001"/>
    <n v="-79.260000000000005"/>
    <n v="1360"/>
    <n v="1"/>
    <n v="1"/>
  </r>
  <r>
    <m/>
    <m/>
    <x v="1"/>
    <s v="32720886001003"/>
    <n v="-75.900000000000006"/>
    <n v="1290"/>
    <n v="2"/>
    <n v="1"/>
  </r>
  <r>
    <m/>
    <m/>
    <x v="1"/>
    <s v="32740450002001"/>
    <n v="-34.33"/>
    <n v="589"/>
    <n v="1"/>
    <n v="1"/>
  </r>
  <r>
    <m/>
    <m/>
    <x v="1"/>
    <s v="32767929001001"/>
    <n v="-91.210000000000008"/>
    <n v="1488"/>
    <n v="2"/>
    <n v="1"/>
  </r>
  <r>
    <m/>
    <m/>
    <x v="1"/>
    <s v="32845641001003"/>
    <n v="-203.11"/>
    <n v="3485"/>
    <n v="1"/>
    <n v="1"/>
  </r>
  <r>
    <m/>
    <m/>
    <x v="1"/>
    <s v="32848896002001"/>
    <n v="-117.73"/>
    <n v="2020"/>
    <n v="1"/>
    <n v="1"/>
  </r>
  <r>
    <m/>
    <m/>
    <x v="1"/>
    <s v="33003317001001"/>
    <n v="-71.739999999999995"/>
    <n v="1231"/>
    <n v="1"/>
    <n v="1"/>
  </r>
  <r>
    <m/>
    <m/>
    <x v="1"/>
    <s v="33084675002001"/>
    <n v="-47.379999999999995"/>
    <n v="767"/>
    <n v="2"/>
    <n v="1"/>
  </r>
  <r>
    <m/>
    <m/>
    <x v="1"/>
    <s v="33218089001003"/>
    <n v="-90.1"/>
    <n v="1546"/>
    <n v="1"/>
    <n v="1"/>
  </r>
  <r>
    <m/>
    <m/>
    <x v="1"/>
    <s v="33292898001002"/>
    <n v="-153.62"/>
    <n v="2493"/>
    <n v="2"/>
    <n v="1"/>
  </r>
  <r>
    <m/>
    <m/>
    <x v="1"/>
    <s v="33293530001001"/>
    <n v="-136.58000000000001"/>
    <n v="2296"/>
    <n v="2"/>
    <n v="1"/>
  </r>
  <r>
    <m/>
    <m/>
    <x v="1"/>
    <s v="33459488001004"/>
    <n v="-50.3"/>
    <n v="863"/>
    <n v="1"/>
    <n v="1"/>
  </r>
  <r>
    <m/>
    <m/>
    <x v="1"/>
    <s v="33524631002001"/>
    <n v="-150.19"/>
    <n v="2577"/>
    <n v="1"/>
    <n v="1"/>
  </r>
  <r>
    <m/>
    <m/>
    <x v="1"/>
    <s v="33529526001001"/>
    <n v="-92.84"/>
    <n v="1593"/>
    <n v="1"/>
    <n v="1"/>
  </r>
  <r>
    <m/>
    <m/>
    <x v="1"/>
    <s v="33533745001003"/>
    <n v="-140.44"/>
    <n v="2279"/>
    <n v="2"/>
    <n v="1"/>
  </r>
  <r>
    <m/>
    <m/>
    <x v="1"/>
    <s v="33538106001001"/>
    <n v="-157.81"/>
    <n v="2662"/>
    <n v="2"/>
    <n v="1"/>
  </r>
  <r>
    <m/>
    <m/>
    <x v="1"/>
    <s v="33559246001001"/>
    <n v="-142.69999999999999"/>
    <n v="2374"/>
    <n v="2"/>
    <n v="1"/>
  </r>
  <r>
    <m/>
    <m/>
    <x v="1"/>
    <s v="33608449001001"/>
    <n v="-17.25"/>
    <n v="296"/>
    <n v="1"/>
    <n v="1"/>
  </r>
  <r>
    <m/>
    <m/>
    <x v="1"/>
    <s v="33652204001001"/>
    <n v="-58.77"/>
    <n v="988"/>
    <n v="2"/>
    <n v="1"/>
  </r>
  <r>
    <m/>
    <m/>
    <x v="1"/>
    <s v="33705370001001"/>
    <n v="-145.66999999999999"/>
    <n v="2456"/>
    <n v="2"/>
    <n v="1"/>
  </r>
  <r>
    <m/>
    <m/>
    <x v="1"/>
    <s v="33808192001001"/>
    <n v="-84.45"/>
    <n v="1449"/>
    <n v="1"/>
    <n v="1"/>
  </r>
  <r>
    <m/>
    <m/>
    <x v="1"/>
    <s v="33824960001005"/>
    <n v="-50.65"/>
    <n v="869"/>
    <n v="1"/>
    <n v="1"/>
  </r>
  <r>
    <m/>
    <m/>
    <x v="1"/>
    <s v="33857521001001"/>
    <n v="-124.03"/>
    <n v="2085"/>
    <n v="2"/>
    <n v="1"/>
  </r>
  <r>
    <m/>
    <m/>
    <x v="1"/>
    <s v="33915238004001"/>
    <n v="-137.45000000000002"/>
    <n v="2345"/>
    <n v="2"/>
    <n v="1"/>
  </r>
  <r>
    <m/>
    <m/>
    <x v="1"/>
    <s v="34080235001002"/>
    <n v="-72.38"/>
    <n v="1204"/>
    <n v="2"/>
    <n v="1"/>
  </r>
  <r>
    <m/>
    <m/>
    <x v="1"/>
    <s v="34473759002001"/>
    <n v="-93.25"/>
    <n v="1600"/>
    <n v="1"/>
    <n v="1"/>
  </r>
  <r>
    <m/>
    <m/>
    <x v="1"/>
    <s v="34567726001004"/>
    <n v="-7.85"/>
    <n v="132"/>
    <n v="2"/>
    <n v="1"/>
  </r>
  <r>
    <m/>
    <m/>
    <x v="1"/>
    <s v="34623165001003"/>
    <n v="-45.63"/>
    <n v="767"/>
    <n v="2"/>
    <n v="1"/>
  </r>
  <r>
    <m/>
    <m/>
    <x v="1"/>
    <s v="34717698001005"/>
    <n v="-92.06"/>
    <n v="1494"/>
    <n v="2"/>
    <n v="1"/>
  </r>
  <r>
    <m/>
    <m/>
    <x v="1"/>
    <s v="34902092001003"/>
    <n v="-93.53"/>
    <n v="1596"/>
    <n v="2"/>
    <n v="1"/>
  </r>
  <r>
    <m/>
    <m/>
    <x v="1"/>
    <s v="35012953001002"/>
    <n v="-131.49"/>
    <n v="2204"/>
    <n v="2"/>
    <n v="1"/>
  </r>
  <r>
    <m/>
    <m/>
    <x v="1"/>
    <s v="35060732007005"/>
    <n v="-12.36"/>
    <n v="212"/>
    <n v="1"/>
    <n v="1"/>
  </r>
  <r>
    <m/>
    <m/>
    <x v="1"/>
    <s v="35119209001001"/>
    <n v="-1.08"/>
    <n v="18"/>
    <n v="2"/>
    <n v="1"/>
  </r>
  <r>
    <m/>
    <m/>
    <x v="1"/>
    <s v="35150603002003"/>
    <n v="-29.66"/>
    <n v="509"/>
    <n v="1"/>
    <n v="1"/>
  </r>
  <r>
    <m/>
    <m/>
    <x v="1"/>
    <s v="35172600002001"/>
    <n v="-304.68"/>
    <n v="5122"/>
    <n v="2"/>
    <n v="1"/>
  </r>
  <r>
    <m/>
    <m/>
    <x v="1"/>
    <s v="35225739001001"/>
    <n v="-115.85"/>
    <n v="1909"/>
    <n v="2"/>
    <n v="1"/>
  </r>
  <r>
    <m/>
    <m/>
    <x v="1"/>
    <s v="35251550001001"/>
    <n v="-199.06"/>
    <n v="3280"/>
    <n v="2"/>
    <n v="1"/>
  </r>
  <r>
    <m/>
    <m/>
    <x v="1"/>
    <s v="35260727001006"/>
    <n v="-34.51"/>
    <n v="566"/>
    <n v="2"/>
    <n v="1"/>
  </r>
  <r>
    <m/>
    <m/>
    <x v="1"/>
    <s v="35296076001001"/>
    <n v="-26.58"/>
    <n v="456"/>
    <n v="1"/>
    <n v="1"/>
  </r>
  <r>
    <m/>
    <m/>
    <x v="1"/>
    <s v="35325747002003"/>
    <n v="-131.30000000000001"/>
    <n v="2253"/>
    <n v="1"/>
    <n v="1"/>
  </r>
  <r>
    <m/>
    <m/>
    <x v="1"/>
    <s v="35490120001003"/>
    <n v="-43.16"/>
    <n v="714"/>
    <n v="2"/>
    <n v="1"/>
  </r>
  <r>
    <m/>
    <m/>
    <x v="1"/>
    <s v="35504902001001"/>
    <n v="-129.44"/>
    <n v="2176"/>
    <n v="2"/>
    <n v="1"/>
  </r>
  <r>
    <m/>
    <m/>
    <x v="1"/>
    <s v="35691353001006"/>
    <n v="-108.87"/>
    <n v="1868"/>
    <n v="1"/>
    <n v="1"/>
  </r>
  <r>
    <m/>
    <m/>
    <x v="1"/>
    <s v="35696004001002"/>
    <n v="-100.65"/>
    <n v="1727"/>
    <n v="1"/>
    <n v="1"/>
  </r>
  <r>
    <m/>
    <m/>
    <x v="1"/>
    <s v="35735102001001"/>
    <n v="-124.91"/>
    <n v="2107"/>
    <n v="2"/>
    <n v="1"/>
  </r>
  <r>
    <m/>
    <m/>
    <x v="1"/>
    <s v="35784461001001"/>
    <n v="-31.06"/>
    <n v="533"/>
    <n v="1"/>
    <n v="1"/>
  </r>
  <r>
    <m/>
    <m/>
    <x v="1"/>
    <s v="35882527001002"/>
    <n v="-94.28"/>
    <n v="1585"/>
    <n v="2"/>
    <n v="1"/>
  </r>
  <r>
    <m/>
    <m/>
    <x v="1"/>
    <s v="36084052001001"/>
    <n v="-0.36"/>
    <n v="6"/>
    <n v="2"/>
    <n v="1"/>
  </r>
  <r>
    <m/>
    <m/>
    <x v="1"/>
    <s v="36103245002011"/>
    <n v="-221.29000000000002"/>
    <n v="3731"/>
    <n v="2"/>
    <n v="1"/>
  </r>
  <r>
    <m/>
    <m/>
    <x v="1"/>
    <s v="36124591001001"/>
    <n v="-48.31"/>
    <n v="829"/>
    <n v="1"/>
    <n v="1"/>
  </r>
  <r>
    <m/>
    <m/>
    <x v="1"/>
    <s v="36152719003003"/>
    <n v="-32.99"/>
    <n v="566"/>
    <n v="1"/>
    <n v="1"/>
  </r>
  <r>
    <m/>
    <m/>
    <x v="1"/>
    <s v="36181263001002"/>
    <n v="-132.12"/>
    <n v="2221"/>
    <n v="2"/>
    <n v="1"/>
  </r>
  <r>
    <m/>
    <m/>
    <x v="1"/>
    <s v="36193790001003"/>
    <n v="-71.05"/>
    <n v="1182"/>
    <n v="2"/>
    <n v="1"/>
  </r>
  <r>
    <m/>
    <m/>
    <x v="1"/>
    <s v="36599941001001"/>
    <n v="-39.31"/>
    <n v="661"/>
    <n v="2"/>
    <n v="1"/>
  </r>
  <r>
    <m/>
    <m/>
    <x v="1"/>
    <s v="36618779001001"/>
    <n v="-59.15"/>
    <n v="1015"/>
    <n v="1"/>
    <n v="1"/>
  </r>
  <r>
    <m/>
    <m/>
    <x v="1"/>
    <s v="36686919001003"/>
    <n v="-53.21"/>
    <n v="913"/>
    <n v="1"/>
    <n v="1"/>
  </r>
  <r>
    <m/>
    <m/>
    <x v="1"/>
    <s v="36698749001001"/>
    <n v="-99.54"/>
    <n v="1708"/>
    <n v="1"/>
    <n v="1"/>
  </r>
  <r>
    <m/>
    <m/>
    <x v="1"/>
    <s v="36829904002003"/>
    <n v="-105.66"/>
    <n v="1813"/>
    <n v="1"/>
    <n v="1"/>
  </r>
  <r>
    <m/>
    <m/>
    <x v="1"/>
    <s v="36836870001005"/>
    <n v="-100.89"/>
    <n v="1696"/>
    <n v="2"/>
    <n v="1"/>
  </r>
  <r>
    <m/>
    <m/>
    <x v="1"/>
    <s v="37060503001007"/>
    <n v="-90.33"/>
    <n v="1550"/>
    <n v="1"/>
    <n v="1"/>
  </r>
  <r>
    <m/>
    <m/>
    <x v="1"/>
    <s v="37127745001006"/>
    <n v="-123.39"/>
    <n v="2111"/>
    <n v="2"/>
    <n v="1"/>
  </r>
  <r>
    <m/>
    <m/>
    <x v="1"/>
    <s v="37250462001001"/>
    <n v="-184.70000000000002"/>
    <n v="3105"/>
    <n v="2"/>
    <n v="1"/>
  </r>
  <r>
    <m/>
    <m/>
    <x v="1"/>
    <s v="37267176001001"/>
    <n v="-95.99"/>
    <n v="1647"/>
    <n v="1"/>
    <n v="1"/>
  </r>
  <r>
    <m/>
    <m/>
    <x v="1"/>
    <s v="37486921001001"/>
    <n v="-24.3"/>
    <n v="417"/>
    <n v="1"/>
    <n v="1"/>
  </r>
  <r>
    <m/>
    <m/>
    <x v="1"/>
    <s v="37494438002001"/>
    <n v="-123.2"/>
    <n v="2114"/>
    <n v="1"/>
    <n v="1"/>
  </r>
  <r>
    <m/>
    <m/>
    <x v="1"/>
    <s v="37502144001001"/>
    <n v="-237.96"/>
    <n v="4083"/>
    <n v="1"/>
    <n v="1"/>
  </r>
  <r>
    <m/>
    <m/>
    <x v="1"/>
    <s v="37524139001001"/>
    <n v="-34.200000000000003"/>
    <n v="555"/>
    <n v="2"/>
    <n v="1"/>
  </r>
  <r>
    <m/>
    <m/>
    <x v="1"/>
    <s v="37644296001002"/>
    <n v="-117.6"/>
    <n v="1977"/>
    <n v="2"/>
    <n v="1"/>
  </r>
  <r>
    <m/>
    <m/>
    <x v="1"/>
    <s v="37649110001001"/>
    <n v="-24.71"/>
    <n v="424"/>
    <n v="1"/>
    <n v="1"/>
  </r>
  <r>
    <m/>
    <m/>
    <x v="1"/>
    <s v="37689743001001"/>
    <n v="-5.3"/>
    <n v="91"/>
    <n v="1"/>
    <n v="1"/>
  </r>
  <r>
    <m/>
    <m/>
    <x v="1"/>
    <s v="37734979001001"/>
    <n v="-19.21"/>
    <n v="323"/>
    <n v="2"/>
    <n v="1"/>
  </r>
  <r>
    <m/>
    <m/>
    <x v="1"/>
    <s v="38026902001003"/>
    <n v="-70.960000000000008"/>
    <n v="1193"/>
    <n v="2"/>
    <n v="1"/>
  </r>
  <r>
    <m/>
    <m/>
    <x v="1"/>
    <s v="38031459001001"/>
    <n v="-55.22"/>
    <n v="942"/>
    <n v="2"/>
    <n v="1"/>
  </r>
  <r>
    <m/>
    <m/>
    <x v="1"/>
    <s v="38237955003004"/>
    <n v="-107.36"/>
    <n v="1786"/>
    <n v="2"/>
    <n v="1"/>
  </r>
  <r>
    <m/>
    <m/>
    <x v="1"/>
    <s v="38272305001003"/>
    <n v="-45.23"/>
    <n v="776"/>
    <n v="1"/>
    <n v="1"/>
  </r>
  <r>
    <m/>
    <m/>
    <x v="1"/>
    <s v="38424727001004"/>
    <n v="-74.039999999999992"/>
    <n v="1263"/>
    <n v="2"/>
    <n v="1"/>
  </r>
  <r>
    <m/>
    <m/>
    <x v="1"/>
    <s v="38499863001004"/>
    <n v="-223.67"/>
    <n v="3620"/>
    <n v="2"/>
    <n v="1"/>
  </r>
  <r>
    <m/>
    <m/>
    <x v="1"/>
    <s v="38540989001007"/>
    <n v="-70.12"/>
    <n v="1138"/>
    <n v="2"/>
    <n v="1"/>
  </r>
  <r>
    <m/>
    <m/>
    <x v="1"/>
    <s v="38611961001001"/>
    <n v="-510.9"/>
    <n v="8291"/>
    <n v="2"/>
    <n v="1"/>
  </r>
  <r>
    <m/>
    <m/>
    <x v="1"/>
    <s v="38656803001001"/>
    <n v="-88.53"/>
    <n v="1519"/>
    <n v="1"/>
    <n v="1"/>
  </r>
  <r>
    <m/>
    <m/>
    <x v="1"/>
    <s v="38666511001005"/>
    <n v="-187.14"/>
    <n v="3181"/>
    <n v="2"/>
    <n v="1"/>
  </r>
  <r>
    <m/>
    <m/>
    <x v="1"/>
    <s v="38774008001001"/>
    <n v="-24.54"/>
    <n v="421"/>
    <n v="1"/>
    <n v="1"/>
  </r>
  <r>
    <m/>
    <m/>
    <x v="1"/>
    <s v="38778095001001"/>
    <n v="-51.8"/>
    <n v="845"/>
    <n v="2"/>
    <n v="1"/>
  </r>
  <r>
    <m/>
    <m/>
    <x v="1"/>
    <s v="38838346002005"/>
    <n v="-119.22"/>
    <n v="1957"/>
    <n v="2"/>
    <n v="1"/>
  </r>
  <r>
    <m/>
    <m/>
    <x v="1"/>
    <s v="38964048001003"/>
    <n v="-117.73"/>
    <n v="2020"/>
    <n v="1"/>
    <n v="1"/>
  </r>
  <r>
    <m/>
    <m/>
    <x v="1"/>
    <s v="39075374001002"/>
    <n v="-118.56"/>
    <n v="1993"/>
    <n v="2"/>
    <n v="1"/>
  </r>
  <r>
    <m/>
    <m/>
    <x v="1"/>
    <s v="39105361003001"/>
    <n v="-69.789999999999992"/>
    <n v="1145"/>
    <n v="2"/>
    <n v="1"/>
  </r>
  <r>
    <m/>
    <m/>
    <x v="1"/>
    <s v="39197222001001"/>
    <n v="-75.260000000000005"/>
    <n v="1218"/>
    <n v="2"/>
    <n v="1"/>
  </r>
  <r>
    <m/>
    <m/>
    <x v="1"/>
    <s v="39269404001001"/>
    <n v="-24.31"/>
    <n v="410"/>
    <n v="2"/>
    <n v="1"/>
  </r>
  <r>
    <m/>
    <m/>
    <x v="1"/>
    <s v="39272181001001"/>
    <n v="-77.63"/>
    <n v="1332"/>
    <n v="1"/>
    <n v="1"/>
  </r>
  <r>
    <m/>
    <m/>
    <x v="1"/>
    <s v="39348289001001"/>
    <n v="-87.59"/>
    <n v="1503"/>
    <n v="1"/>
    <n v="1"/>
  </r>
  <r>
    <m/>
    <m/>
    <x v="1"/>
    <s v="39421231001001"/>
    <n v="-8.6300000000000008"/>
    <n v="148"/>
    <n v="1"/>
    <n v="1"/>
  </r>
  <r>
    <m/>
    <m/>
    <x v="1"/>
    <s v="39509588001002"/>
    <n v="-126.41"/>
    <n v="2169"/>
    <n v="1"/>
    <n v="1"/>
  </r>
  <r>
    <m/>
    <m/>
    <x v="1"/>
    <s v="39523212004008"/>
    <n v="-43.900000000000006"/>
    <n v="749"/>
    <n v="2"/>
    <n v="1"/>
  </r>
  <r>
    <m/>
    <m/>
    <x v="1"/>
    <s v="39525577001001"/>
    <n v="-105.19"/>
    <n v="1750"/>
    <n v="2"/>
    <n v="1"/>
  </r>
  <r>
    <m/>
    <m/>
    <x v="1"/>
    <s v="39758083001001"/>
    <n v="-86.78"/>
    <n v="1475"/>
    <n v="2"/>
    <n v="1"/>
  </r>
  <r>
    <m/>
    <m/>
    <x v="1"/>
    <s v="39773816002001"/>
    <n v="-113.88"/>
    <n v="1954"/>
    <n v="1"/>
    <n v="1"/>
  </r>
  <r>
    <m/>
    <m/>
    <x v="1"/>
    <s v="39857500001003"/>
    <n v="-84.06"/>
    <n v="1413"/>
    <n v="2"/>
    <n v="1"/>
  </r>
  <r>
    <m/>
    <m/>
    <x v="1"/>
    <s v="39904885001002"/>
    <n v="-85.830000000000013"/>
    <n v="1443"/>
    <n v="2"/>
    <n v="1"/>
  </r>
  <r>
    <m/>
    <m/>
    <x v="1"/>
    <s v="39991003001001"/>
    <n v="-20.88"/>
    <n v="345"/>
    <n v="2"/>
    <n v="1"/>
  </r>
  <r>
    <m/>
    <m/>
    <x v="1"/>
    <s v="40055909001004"/>
    <n v="-54.72"/>
    <n v="888"/>
    <n v="2"/>
    <n v="1"/>
  </r>
  <r>
    <m/>
    <m/>
    <x v="1"/>
    <s v="40186507001001"/>
    <n v="-9.56"/>
    <n v="164"/>
    <n v="1"/>
    <n v="1"/>
  </r>
  <r>
    <m/>
    <m/>
    <x v="1"/>
    <s v="40195770001001"/>
    <n v="-136.78"/>
    <n v="2260"/>
    <n v="2"/>
    <n v="1"/>
  </r>
  <r>
    <m/>
    <m/>
    <x v="1"/>
    <s v="40254052001001"/>
    <n v="-107.13"/>
    <n v="1801"/>
    <n v="2"/>
    <n v="1"/>
  </r>
  <r>
    <m/>
    <m/>
    <x v="1"/>
    <s v="40288788001001"/>
    <n v="-95.7"/>
    <n v="1642"/>
    <n v="1"/>
    <n v="1"/>
  </r>
  <r>
    <m/>
    <m/>
    <x v="1"/>
    <s v="40354936001001"/>
    <n v="-76.680000000000007"/>
    <n v="1289"/>
    <n v="2"/>
    <n v="1"/>
  </r>
  <r>
    <m/>
    <m/>
    <x v="1"/>
    <s v="40428864001001"/>
    <n v="-105.19"/>
    <n v="1707"/>
    <n v="2"/>
    <n v="1"/>
  </r>
  <r>
    <m/>
    <m/>
    <x v="1"/>
    <s v="40647033004003"/>
    <n v="-103.39"/>
    <n v="1774"/>
    <n v="1"/>
    <n v="1"/>
  </r>
  <r>
    <m/>
    <m/>
    <x v="1"/>
    <s v="40680887001001"/>
    <n v="-156.31"/>
    <n v="2682"/>
    <n v="1"/>
    <n v="1"/>
  </r>
  <r>
    <m/>
    <m/>
    <x v="1"/>
    <s v="40765169001004"/>
    <n v="-3.32"/>
    <n v="57"/>
    <n v="1"/>
    <n v="1"/>
  </r>
  <r>
    <m/>
    <m/>
    <x v="1"/>
    <s v="40810644001009"/>
    <n v="-68.95"/>
    <n v="1183"/>
    <n v="1"/>
    <n v="1"/>
  </r>
  <r>
    <m/>
    <m/>
    <x v="1"/>
    <s v="40811850001003"/>
    <n v="-126.63"/>
    <n v="2055"/>
    <n v="2"/>
    <n v="1"/>
  </r>
  <r>
    <m/>
    <m/>
    <x v="1"/>
    <s v="40849252002005"/>
    <n v="-71.11"/>
    <n v="1199"/>
    <n v="2"/>
    <n v="1"/>
  </r>
  <r>
    <m/>
    <m/>
    <x v="1"/>
    <s v="40922056004001"/>
    <n v="-110.73"/>
    <n v="1900"/>
    <n v="1"/>
    <n v="1"/>
  </r>
  <r>
    <m/>
    <m/>
    <x v="1"/>
    <s v="41212065001001"/>
    <n v="-148.07"/>
    <n v="2482"/>
    <n v="2"/>
    <n v="1"/>
  </r>
  <r>
    <m/>
    <m/>
    <x v="1"/>
    <s v="41221819001001"/>
    <n v="-8.39"/>
    <n v="144"/>
    <n v="1"/>
    <n v="1"/>
  </r>
  <r>
    <m/>
    <m/>
    <x v="1"/>
    <s v="41254471001004"/>
    <n v="-107.88"/>
    <n v="1851"/>
    <n v="1"/>
    <n v="1"/>
  </r>
  <r>
    <m/>
    <m/>
    <x v="1"/>
    <s v="41261705001002"/>
    <n v="-20.85"/>
    <n v="347"/>
    <n v="2"/>
    <n v="1"/>
  </r>
  <r>
    <m/>
    <m/>
    <x v="1"/>
    <s v="41291991001001"/>
    <n v="-128.37"/>
    <n v="2190"/>
    <n v="2"/>
    <n v="1"/>
  </r>
  <r>
    <m/>
    <m/>
    <x v="1"/>
    <s v="41302242001001"/>
    <n v="-45.730000000000004"/>
    <n v="763"/>
    <n v="2"/>
    <n v="1"/>
  </r>
  <r>
    <m/>
    <m/>
    <x v="1"/>
    <s v="41401860001002"/>
    <n v="-63.29"/>
    <n v="1082"/>
    <n v="2"/>
    <n v="1"/>
  </r>
  <r>
    <m/>
    <m/>
    <x v="1"/>
    <s v="41508622002001"/>
    <n v="-64.11"/>
    <n v="1100"/>
    <n v="1"/>
    <n v="1"/>
  </r>
  <r>
    <m/>
    <m/>
    <x v="1"/>
    <s v="41572109004001"/>
    <n v="-16.43"/>
    <n v="282"/>
    <n v="1"/>
    <n v="1"/>
  </r>
  <r>
    <m/>
    <m/>
    <x v="1"/>
    <s v="41579748001001"/>
    <n v="-81.36"/>
    <n v="1396"/>
    <n v="1"/>
    <n v="1"/>
  </r>
  <r>
    <m/>
    <m/>
    <x v="1"/>
    <s v="41650115001005"/>
    <n v="-39.46"/>
    <n v="677"/>
    <n v="1"/>
    <n v="1"/>
  </r>
  <r>
    <m/>
    <m/>
    <x v="1"/>
    <s v="41731451001005"/>
    <n v="-23.43"/>
    <n v="386"/>
    <n v="2"/>
    <n v="1"/>
  </r>
  <r>
    <m/>
    <m/>
    <x v="1"/>
    <s v="41850336001002"/>
    <n v="-62.05"/>
    <n v="1040"/>
    <n v="2"/>
    <n v="1"/>
  </r>
  <r>
    <m/>
    <m/>
    <x v="1"/>
    <s v="41878216001003"/>
    <n v="-109.78999999999999"/>
    <n v="1851"/>
    <n v="2"/>
    <n v="1"/>
  </r>
  <r>
    <m/>
    <m/>
    <x v="1"/>
    <s v="41892227002002"/>
    <n v="-83.86"/>
    <n v="1439"/>
    <n v="1"/>
    <n v="1"/>
  </r>
  <r>
    <m/>
    <m/>
    <x v="1"/>
    <s v="41978051001003"/>
    <n v="-135.63"/>
    <n v="2195"/>
    <n v="2"/>
    <n v="1"/>
  </r>
  <r>
    <m/>
    <m/>
    <x v="1"/>
    <s v="42029419001001"/>
    <n v="-31.94"/>
    <n v="548"/>
    <n v="1"/>
    <n v="1"/>
  </r>
  <r>
    <m/>
    <m/>
    <x v="1"/>
    <s v="42073484003001"/>
    <n v="-69.7"/>
    <n v="1196"/>
    <n v="1"/>
    <n v="1"/>
  </r>
  <r>
    <m/>
    <m/>
    <x v="1"/>
    <s v="42185507001001"/>
    <n v="-60.79"/>
    <n v="1043"/>
    <n v="1"/>
    <n v="1"/>
  </r>
  <r>
    <m/>
    <m/>
    <x v="1"/>
    <s v="42244289002003"/>
    <n v="-96.34"/>
    <n v="1653"/>
    <n v="1"/>
    <n v="1"/>
  </r>
  <r>
    <m/>
    <m/>
    <x v="1"/>
    <s v="42270867001005"/>
    <n v="-162.07"/>
    <n v="2630"/>
    <n v="2"/>
    <n v="1"/>
  </r>
  <r>
    <m/>
    <m/>
    <x v="1"/>
    <s v="42367522001001"/>
    <n v="-188.7"/>
    <n v="3183"/>
    <n v="2"/>
    <n v="1"/>
  </r>
  <r>
    <m/>
    <m/>
    <x v="1"/>
    <s v="42368415001001"/>
    <n v="-36.51"/>
    <n v="612"/>
    <n v="2"/>
    <n v="1"/>
  </r>
  <r>
    <m/>
    <m/>
    <x v="1"/>
    <s v="42433691001006"/>
    <n v="-127.89999999999999"/>
    <n v="2070"/>
    <n v="2"/>
    <n v="1"/>
  </r>
  <r>
    <m/>
    <m/>
    <x v="1"/>
    <s v="42468571002005"/>
    <n v="-69.53"/>
    <n v="1193"/>
    <n v="1"/>
    <n v="1"/>
  </r>
  <r>
    <m/>
    <m/>
    <x v="1"/>
    <s v="42472921002002"/>
    <n v="-226.95"/>
    <n v="3883"/>
    <n v="2"/>
    <n v="1"/>
  </r>
  <r>
    <m/>
    <m/>
    <x v="1"/>
    <s v="42488881004001"/>
    <n v="-26.05"/>
    <n v="447"/>
    <n v="1"/>
    <n v="1"/>
  </r>
  <r>
    <m/>
    <m/>
    <x v="1"/>
    <s v="42500151001003"/>
    <n v="-57.17"/>
    <n v="981"/>
    <n v="1"/>
    <n v="1"/>
  </r>
  <r>
    <m/>
    <m/>
    <x v="1"/>
    <s v="42503511001002"/>
    <n v="-58.790000000000006"/>
    <n v="1003"/>
    <n v="2"/>
    <n v="1"/>
  </r>
  <r>
    <m/>
    <m/>
    <x v="1"/>
    <s v="42504631004001"/>
    <n v="-51.17"/>
    <n v="878"/>
    <n v="1"/>
    <n v="1"/>
  </r>
  <r>
    <m/>
    <m/>
    <x v="1"/>
    <s v="42515551001013"/>
    <n v="-69.819999999999993"/>
    <n v="1198"/>
    <n v="1"/>
    <n v="1"/>
  </r>
  <r>
    <m/>
    <m/>
    <x v="1"/>
    <s v="42531581001002"/>
    <n v="-111.19"/>
    <n v="1897"/>
    <n v="2"/>
    <n v="1"/>
  </r>
  <r>
    <m/>
    <m/>
    <x v="1"/>
    <s v="42535431005001"/>
    <n v="-135.10999999999999"/>
    <n v="2305"/>
    <n v="2"/>
    <n v="1"/>
  </r>
  <r>
    <m/>
    <m/>
    <x v="1"/>
    <s v="42561606001009"/>
    <n v="-44.99"/>
    <n v="772"/>
    <n v="1"/>
    <n v="1"/>
  </r>
  <r>
    <m/>
    <m/>
    <x v="1"/>
    <s v="42577991002002"/>
    <n v="-138.82"/>
    <n v="2382"/>
    <n v="1"/>
    <n v="1"/>
  </r>
  <r>
    <m/>
    <m/>
    <x v="1"/>
    <s v="42593181002003"/>
    <n v="-153.66"/>
    <n v="2532"/>
    <n v="2"/>
    <n v="1"/>
  </r>
  <r>
    <m/>
    <m/>
    <x v="1"/>
    <s v="42595211001004"/>
    <n v="-156.52000000000001"/>
    <n v="2678"/>
    <n v="2"/>
    <n v="1"/>
  </r>
  <r>
    <m/>
    <m/>
    <x v="1"/>
    <s v="42595561007001"/>
    <n v="-312.97000000000003"/>
    <n v="5157"/>
    <n v="2"/>
    <n v="1"/>
  </r>
  <r>
    <m/>
    <m/>
    <x v="1"/>
    <s v="42633571002001"/>
    <n v="-43.24"/>
    <n v="742"/>
    <n v="1"/>
    <n v="1"/>
  </r>
  <r>
    <m/>
    <m/>
    <x v="1"/>
    <s v="42642951010001"/>
    <n v="-22.26"/>
    <n v="382"/>
    <n v="1"/>
    <n v="1"/>
  </r>
  <r>
    <m/>
    <m/>
    <x v="1"/>
    <s v="42675015004001"/>
    <n v="-102.75"/>
    <n v="1763"/>
    <n v="1"/>
    <n v="1"/>
  </r>
  <r>
    <m/>
    <m/>
    <x v="1"/>
    <s v="42686841002008"/>
    <n v="-24.83"/>
    <n v="426"/>
    <n v="1"/>
    <n v="1"/>
  </r>
  <r>
    <m/>
    <m/>
    <x v="1"/>
    <s v="42718551001001"/>
    <n v="-63.12"/>
    <n v="1083"/>
    <n v="1"/>
    <n v="1"/>
  </r>
  <r>
    <m/>
    <m/>
    <x v="1"/>
    <s v="42766435002003"/>
    <n v="-241.16"/>
    <n v="4138"/>
    <n v="1"/>
    <n v="1"/>
  </r>
  <r>
    <m/>
    <m/>
    <x v="1"/>
    <s v="42775461005001"/>
    <n v="-37.24"/>
    <n v="639"/>
    <n v="1"/>
    <n v="1"/>
  </r>
  <r>
    <m/>
    <m/>
    <x v="1"/>
    <s v="42783651002001"/>
    <n v="-100.88"/>
    <n v="1731"/>
    <n v="1"/>
    <n v="1"/>
  </r>
  <r>
    <m/>
    <m/>
    <x v="1"/>
    <s v="42875841001008"/>
    <n v="-4.95"/>
    <n v="85"/>
    <n v="1"/>
    <n v="1"/>
  </r>
  <r>
    <m/>
    <m/>
    <x v="1"/>
    <s v="42878921002001"/>
    <n v="-56.07"/>
    <n v="962"/>
    <n v="1"/>
    <n v="1"/>
  </r>
  <r>
    <m/>
    <m/>
    <x v="1"/>
    <s v="43037331002001"/>
    <n v="-89.81"/>
    <n v="1541"/>
    <n v="1"/>
    <n v="1"/>
  </r>
  <r>
    <m/>
    <m/>
    <x v="1"/>
    <s v="43104111001003"/>
    <n v="-33.799999999999997"/>
    <n v="580"/>
    <n v="1"/>
    <n v="1"/>
  </r>
  <r>
    <m/>
    <m/>
    <x v="1"/>
    <s v="43131201001002"/>
    <n v="-82.41"/>
    <n v="1414"/>
    <n v="1"/>
    <n v="1"/>
  </r>
  <r>
    <m/>
    <m/>
    <x v="1"/>
    <s v="43135692001003"/>
    <n v="-99.78"/>
    <n v="1712"/>
    <n v="1"/>
    <n v="1"/>
  </r>
  <r>
    <m/>
    <m/>
    <x v="1"/>
    <s v="43192521002006"/>
    <n v="-54.26"/>
    <n v="931"/>
    <n v="1"/>
    <n v="1"/>
  </r>
  <r>
    <m/>
    <m/>
    <x v="1"/>
    <s v="43195531002001"/>
    <n v="-45.57"/>
    <n v="782"/>
    <n v="1"/>
    <n v="1"/>
  </r>
  <r>
    <m/>
    <m/>
    <x v="1"/>
    <s v="43209041003007"/>
    <n v="-80.540000000000006"/>
    <n v="1382"/>
    <n v="1"/>
    <n v="1"/>
  </r>
  <r>
    <m/>
    <m/>
    <x v="1"/>
    <s v="43213661002005"/>
    <n v="-108.93"/>
    <n v="1869"/>
    <n v="1"/>
    <n v="1"/>
  </r>
  <r>
    <m/>
    <m/>
    <x v="1"/>
    <s v="43218351001006"/>
    <n v="-69.349999999999994"/>
    <n v="1190"/>
    <n v="1"/>
    <n v="1"/>
  </r>
  <r>
    <m/>
    <m/>
    <x v="1"/>
    <s v="43233471004001"/>
    <n v="-184.81"/>
    <n v="3171"/>
    <n v="1"/>
    <n v="1"/>
  </r>
  <r>
    <m/>
    <m/>
    <x v="1"/>
    <s v="43240401001003"/>
    <n v="-87.36"/>
    <n v="1499"/>
    <n v="1"/>
    <n v="1"/>
  </r>
  <r>
    <m/>
    <m/>
    <x v="1"/>
    <s v="43248661001005"/>
    <n v="-40.74"/>
    <n v="699"/>
    <n v="1"/>
    <n v="1"/>
  </r>
  <r>
    <m/>
    <m/>
    <x v="1"/>
    <s v="43251181001001"/>
    <n v="-28.27"/>
    <n v="485"/>
    <n v="1"/>
    <n v="1"/>
  </r>
  <r>
    <m/>
    <m/>
    <x v="1"/>
    <s v="43268821001001"/>
    <n v="-88.12"/>
    <n v="1512"/>
    <n v="1"/>
    <n v="1"/>
  </r>
  <r>
    <m/>
    <m/>
    <x v="1"/>
    <s v="43291711002001"/>
    <n v="-20.63"/>
    <n v="354"/>
    <n v="1"/>
    <n v="1"/>
  </r>
  <r>
    <m/>
    <m/>
    <x v="1"/>
    <s v="43302281004001"/>
    <n v="-97.15"/>
    <n v="1667"/>
    <n v="1"/>
    <n v="1"/>
  </r>
  <r>
    <m/>
    <m/>
    <x v="1"/>
    <s v="43335559001001"/>
    <n v="-49.86"/>
    <n v="807"/>
    <n v="2"/>
    <n v="1"/>
  </r>
  <r>
    <m/>
    <m/>
    <x v="1"/>
    <s v="43350301003001"/>
    <n v="-308.13"/>
    <n v="5287"/>
    <n v="1"/>
    <n v="1"/>
  </r>
  <r>
    <m/>
    <m/>
    <x v="1"/>
    <s v="43467282001001"/>
    <n v="-104.79"/>
    <n v="1798"/>
    <n v="1"/>
    <n v="1"/>
  </r>
  <r>
    <m/>
    <m/>
    <x v="1"/>
    <s v="43482671001001"/>
    <n v="-144.07"/>
    <n v="2472"/>
    <n v="1"/>
    <n v="1"/>
  </r>
  <r>
    <m/>
    <m/>
    <x v="1"/>
    <s v="43499657001001"/>
    <n v="-47.589999999999996"/>
    <n v="800"/>
    <n v="2"/>
    <n v="1"/>
  </r>
  <r>
    <m/>
    <m/>
    <x v="1"/>
    <s v="43530621001001"/>
    <n v="-282.82"/>
    <n v="4839"/>
    <n v="2"/>
    <n v="1"/>
  </r>
  <r>
    <m/>
    <m/>
    <x v="1"/>
    <s v="43627431002001"/>
    <n v="-1.49"/>
    <n v="25"/>
    <n v="2"/>
    <n v="1"/>
  </r>
  <r>
    <m/>
    <m/>
    <x v="1"/>
    <s v="43691761001001"/>
    <n v="-175.56"/>
    <n v="2960"/>
    <n v="2"/>
    <n v="1"/>
  </r>
  <r>
    <m/>
    <m/>
    <x v="1"/>
    <s v="43720585001001"/>
    <n v="-62.730000000000004"/>
    <n v="1018"/>
    <n v="2"/>
    <n v="1"/>
  </r>
  <r>
    <m/>
    <m/>
    <x v="1"/>
    <s v="43743281001003"/>
    <n v="-25.47"/>
    <n v="437"/>
    <n v="1"/>
    <n v="1"/>
  </r>
  <r>
    <m/>
    <m/>
    <x v="1"/>
    <s v="43761831009001"/>
    <n v="-305.45"/>
    <n v="5241"/>
    <n v="1"/>
    <n v="1"/>
  </r>
  <r>
    <m/>
    <m/>
    <x v="1"/>
    <s v="43843941001002"/>
    <n v="-212.9"/>
    <n v="3653"/>
    <n v="1"/>
    <n v="1"/>
  </r>
  <r>
    <m/>
    <m/>
    <x v="1"/>
    <s v="43848981006003"/>
    <n v="-125.59"/>
    <n v="2155"/>
    <n v="1"/>
    <n v="1"/>
  </r>
  <r>
    <m/>
    <m/>
    <x v="1"/>
    <s v="43908201002002"/>
    <n v="-21.8"/>
    <n v="374"/>
    <n v="1"/>
    <n v="1"/>
  </r>
  <r>
    <m/>
    <m/>
    <x v="1"/>
    <s v="43930309006001"/>
    <n v="-116.4"/>
    <n v="1889"/>
    <n v="2"/>
    <n v="1"/>
  </r>
  <r>
    <m/>
    <m/>
    <x v="1"/>
    <s v="43931231001001"/>
    <n v="-58.22"/>
    <n v="999"/>
    <n v="1"/>
    <n v="1"/>
  </r>
  <r>
    <m/>
    <m/>
    <x v="1"/>
    <s v="43991291001001"/>
    <n v="-276.48"/>
    <n v="4744"/>
    <n v="1"/>
    <n v="1"/>
  </r>
  <r>
    <m/>
    <m/>
    <x v="1"/>
    <s v="43995090001012"/>
    <n v="-68.83"/>
    <n v="1114"/>
    <n v="2"/>
    <n v="1"/>
  </r>
  <r>
    <m/>
    <m/>
    <x v="1"/>
    <s v="44027831001002"/>
    <n v="-76.06"/>
    <n v="1305"/>
    <n v="1"/>
    <n v="1"/>
  </r>
  <r>
    <m/>
    <m/>
    <x v="1"/>
    <s v="44052541001001"/>
    <n v="-20.05"/>
    <n v="329"/>
    <n v="2"/>
    <n v="1"/>
  </r>
  <r>
    <m/>
    <m/>
    <x v="1"/>
    <s v="44132341001001"/>
    <n v="-168.63"/>
    <n v="2751"/>
    <n v="2"/>
    <n v="1"/>
  </r>
  <r>
    <m/>
    <m/>
    <x v="1"/>
    <s v="44188240001003"/>
    <n v="-44.03"/>
    <n v="738"/>
    <n v="2"/>
    <n v="1"/>
  </r>
  <r>
    <m/>
    <m/>
    <x v="1"/>
    <s v="44233053001003"/>
    <n v="-115.69"/>
    <n v="1985"/>
    <n v="1"/>
    <n v="1"/>
  </r>
  <r>
    <m/>
    <m/>
    <x v="1"/>
    <s v="44235381001002"/>
    <n v="-98.88"/>
    <n v="1692"/>
    <n v="2"/>
    <n v="1"/>
  </r>
  <r>
    <m/>
    <m/>
    <x v="1"/>
    <s v="44269471001001"/>
    <n v="-82.669999999999987"/>
    <n v="1366"/>
    <n v="2"/>
    <n v="1"/>
  </r>
  <r>
    <m/>
    <m/>
    <x v="1"/>
    <s v="44271151005001"/>
    <n v="-17.47"/>
    <n v="288"/>
    <n v="2"/>
    <n v="1"/>
  </r>
  <r>
    <m/>
    <m/>
    <x v="1"/>
    <s v="44295021002002"/>
    <n v="-77.8"/>
    <n v="1282"/>
    <n v="2"/>
    <n v="1"/>
  </r>
  <r>
    <m/>
    <m/>
    <x v="1"/>
    <s v="44341151001001"/>
    <n v="-46.3"/>
    <n v="763"/>
    <n v="2"/>
    <n v="1"/>
  </r>
  <r>
    <m/>
    <m/>
    <x v="1"/>
    <s v="44346821001002"/>
    <n v="-152.26"/>
    <n v="2509"/>
    <n v="2"/>
    <n v="1"/>
  </r>
  <r>
    <m/>
    <m/>
    <x v="1"/>
    <s v="44348711012001"/>
    <n v="-60.09"/>
    <n v="1031"/>
    <n v="1"/>
    <n v="1"/>
  </r>
  <r>
    <m/>
    <m/>
    <x v="1"/>
    <s v="44350671002005"/>
    <n v="-127.09"/>
    <n v="2094"/>
    <n v="2"/>
    <n v="1"/>
  </r>
  <r>
    <m/>
    <m/>
    <x v="1"/>
    <s v="44365791001001"/>
    <n v="-9.83"/>
    <n v="162"/>
    <n v="2"/>
    <n v="1"/>
  </r>
  <r>
    <m/>
    <m/>
    <x v="1"/>
    <s v="44371461001006"/>
    <n v="-149.47"/>
    <n v="2463"/>
    <n v="2"/>
    <n v="1"/>
  </r>
  <r>
    <m/>
    <m/>
    <x v="1"/>
    <s v="44377901001003"/>
    <n v="-24.33"/>
    <n v="401"/>
    <n v="2"/>
    <n v="1"/>
  </r>
  <r>
    <m/>
    <m/>
    <x v="1"/>
    <s v="44380071003003"/>
    <n v="-96.32"/>
    <n v="1587"/>
    <n v="2"/>
    <n v="1"/>
  </r>
  <r>
    <m/>
    <m/>
    <x v="1"/>
    <s v="44389693001001"/>
    <n v="-66.92"/>
    <n v="1086"/>
    <n v="2"/>
    <n v="1"/>
  </r>
  <r>
    <m/>
    <m/>
    <x v="1"/>
    <s v="44400231001002"/>
    <n v="-91.85"/>
    <n v="1576"/>
    <n v="1"/>
    <n v="1"/>
  </r>
  <r>
    <m/>
    <m/>
    <x v="1"/>
    <s v="44437541001001"/>
    <n v="-262.08999999999997"/>
    <n v="4497"/>
    <n v="1"/>
    <n v="1"/>
  </r>
  <r>
    <m/>
    <m/>
    <x v="1"/>
    <s v="44470529001003"/>
    <n v="-67.239999999999995"/>
    <n v="1143"/>
    <n v="2"/>
    <n v="1"/>
  </r>
  <r>
    <m/>
    <m/>
    <x v="1"/>
    <s v="44476811004001"/>
    <n v="-50.65"/>
    <n v="869"/>
    <n v="1"/>
    <n v="1"/>
  </r>
  <r>
    <m/>
    <m/>
    <x v="1"/>
    <s v="44494451001004"/>
    <n v="-140.97"/>
    <n v="2363"/>
    <n v="2"/>
    <n v="1"/>
  </r>
  <r>
    <m/>
    <m/>
    <x v="1"/>
    <s v="44510481001001"/>
    <n v="-145.30000000000001"/>
    <n v="2451"/>
    <n v="2"/>
    <n v="1"/>
  </r>
  <r>
    <m/>
    <m/>
    <x v="1"/>
    <s v="44510901001001"/>
    <n v="-145.42000000000002"/>
    <n v="2453"/>
    <n v="2"/>
    <n v="1"/>
  </r>
  <r>
    <m/>
    <m/>
    <x v="1"/>
    <s v="44512971001001"/>
    <n v="-112.36"/>
    <n v="1928"/>
    <n v="1"/>
    <n v="1"/>
  </r>
  <r>
    <m/>
    <m/>
    <x v="1"/>
    <s v="44517723001001"/>
    <n v="-40.81"/>
    <n v="686"/>
    <n v="2"/>
    <n v="1"/>
  </r>
  <r>
    <m/>
    <m/>
    <x v="1"/>
    <s v="44522381001001"/>
    <n v="-168.01"/>
    <n v="2834"/>
    <n v="2"/>
    <n v="1"/>
  </r>
  <r>
    <m/>
    <m/>
    <x v="1"/>
    <s v="44524481001001"/>
    <n v="-230.38"/>
    <n v="3886"/>
    <n v="2"/>
    <n v="1"/>
  </r>
  <r>
    <m/>
    <m/>
    <x v="1"/>
    <s v="44533511002002"/>
    <n v="-116"/>
    <n v="1950"/>
    <n v="2"/>
    <n v="1"/>
  </r>
  <r>
    <m/>
    <m/>
    <x v="1"/>
    <s v="44535680001006"/>
    <n v="-0.99"/>
    <n v="17"/>
    <n v="1"/>
    <n v="1"/>
  </r>
  <r>
    <m/>
    <m/>
    <x v="1"/>
    <s v="44536031001002"/>
    <n v="-19.21"/>
    <n v="324"/>
    <n v="2"/>
    <n v="1"/>
  </r>
  <r>
    <m/>
    <m/>
    <x v="1"/>
    <s v="44570056001005"/>
    <n v="-76.349999999999994"/>
    <n v="1239"/>
    <n v="2"/>
    <n v="1"/>
  </r>
  <r>
    <m/>
    <m/>
    <x v="1"/>
    <s v="44577611002002"/>
    <n v="-78.88"/>
    <n v="1326"/>
    <n v="2"/>
    <n v="1"/>
  </r>
  <r>
    <m/>
    <m/>
    <x v="1"/>
    <s v="44580411001002"/>
    <n v="-87.610000000000014"/>
    <n v="1477"/>
    <n v="2"/>
    <n v="1"/>
  </r>
  <r>
    <m/>
    <m/>
    <x v="1"/>
    <s v="44581251003001"/>
    <n v="-75.680000000000007"/>
    <n v="1276"/>
    <n v="2"/>
    <n v="1"/>
  </r>
  <r>
    <m/>
    <m/>
    <x v="1"/>
    <s v="44596091002001"/>
    <n v="-60.14"/>
    <n v="1026"/>
    <n v="2"/>
    <n v="1"/>
  </r>
  <r>
    <m/>
    <m/>
    <x v="1"/>
    <s v="44613171001010"/>
    <n v="-155.26"/>
    <n v="2619"/>
    <n v="2"/>
    <n v="1"/>
  </r>
  <r>
    <m/>
    <m/>
    <x v="1"/>
    <s v="44613941001001"/>
    <n v="-149.16"/>
    <n v="2516"/>
    <n v="2"/>
    <n v="1"/>
  </r>
  <r>
    <m/>
    <m/>
    <x v="1"/>
    <s v="44621361001003"/>
    <n v="-1.9"/>
    <n v="32"/>
    <n v="2"/>
    <n v="1"/>
  </r>
  <r>
    <m/>
    <m/>
    <x v="1"/>
    <s v="44625701002001"/>
    <n v="-183.84"/>
    <n v="3101"/>
    <n v="2"/>
    <n v="1"/>
  </r>
  <r>
    <m/>
    <m/>
    <x v="1"/>
    <s v="44638931001005"/>
    <n v="-75.77"/>
    <n v="1270"/>
    <n v="2"/>
    <n v="1"/>
  </r>
  <r>
    <m/>
    <m/>
    <x v="1"/>
    <s v="44639981001001"/>
    <n v="-91.44"/>
    <n v="1560"/>
    <n v="2"/>
    <n v="1"/>
  </r>
  <r>
    <m/>
    <m/>
    <x v="1"/>
    <s v="44663409001001"/>
    <n v="-112.6"/>
    <n v="1932"/>
    <n v="1"/>
    <n v="1"/>
  </r>
  <r>
    <m/>
    <m/>
    <x v="1"/>
    <s v="44694441001003"/>
    <n v="-192.08"/>
    <n v="3240"/>
    <n v="2"/>
    <n v="1"/>
  </r>
  <r>
    <m/>
    <m/>
    <x v="1"/>
    <s v="44698571001002"/>
    <n v="-31.23"/>
    <n v="525"/>
    <n v="2"/>
    <n v="1"/>
  </r>
  <r>
    <m/>
    <m/>
    <x v="1"/>
    <s v="44710891001001"/>
    <n v="-108.6"/>
    <n v="1832"/>
    <n v="2"/>
    <n v="1"/>
  </r>
  <r>
    <m/>
    <m/>
    <x v="1"/>
    <s v="44718731001004"/>
    <n v="-69.210000000000008"/>
    <n v="1160"/>
    <n v="2"/>
    <n v="1"/>
  </r>
  <r>
    <m/>
    <m/>
    <x v="1"/>
    <s v="44749202008001"/>
    <n v="-201.18"/>
    <n v="3452"/>
    <n v="1"/>
    <n v="1"/>
  </r>
  <r>
    <m/>
    <m/>
    <x v="1"/>
    <s v="44753381001001"/>
    <n v="-85.96"/>
    <n v="1475"/>
    <n v="1"/>
    <n v="1"/>
  </r>
  <r>
    <m/>
    <m/>
    <x v="1"/>
    <s v="44761361002003"/>
    <n v="-261.44"/>
    <n v="4486"/>
    <n v="1"/>
    <n v="1"/>
  </r>
  <r>
    <m/>
    <m/>
    <x v="1"/>
    <s v="44769271002004"/>
    <n v="-207.37"/>
    <n v="3476"/>
    <n v="2"/>
    <n v="1"/>
  </r>
  <r>
    <m/>
    <m/>
    <x v="1"/>
    <s v="44784111001002"/>
    <n v="-31.939999999999998"/>
    <n v="537"/>
    <n v="2"/>
    <n v="1"/>
  </r>
  <r>
    <m/>
    <m/>
    <x v="1"/>
    <s v="44808191002003"/>
    <n v="-274.19"/>
    <n v="4596"/>
    <n v="2"/>
    <n v="1"/>
  </r>
  <r>
    <m/>
    <m/>
    <x v="1"/>
    <s v="44817781001005"/>
    <n v="-68.17"/>
    <n v="1150"/>
    <n v="2"/>
    <n v="1"/>
  </r>
  <r>
    <m/>
    <m/>
    <x v="1"/>
    <s v="44827301001001"/>
    <n v="-137.41999999999999"/>
    <n v="2358"/>
    <n v="1"/>
    <n v="1"/>
  </r>
  <r>
    <m/>
    <m/>
    <x v="1"/>
    <s v="44837782002001"/>
    <n v="-302.19"/>
    <n v="5080"/>
    <n v="2"/>
    <n v="1"/>
  </r>
  <r>
    <m/>
    <m/>
    <x v="1"/>
    <s v="44839691002002"/>
    <n v="-40.49"/>
    <n v="683"/>
    <n v="2"/>
    <n v="1"/>
  </r>
  <r>
    <m/>
    <m/>
    <x v="1"/>
    <s v="44860691002003"/>
    <n v="-211.38"/>
    <n v="3627"/>
    <n v="1"/>
    <n v="1"/>
  </r>
  <r>
    <m/>
    <m/>
    <x v="1"/>
    <s v="44861671002001"/>
    <n v="-30.409999999999997"/>
    <n v="513"/>
    <n v="2"/>
    <n v="1"/>
  </r>
  <r>
    <m/>
    <m/>
    <x v="1"/>
    <s v="44879529001001"/>
    <n v="-218.72"/>
    <n v="3753"/>
    <n v="1"/>
    <n v="1"/>
  </r>
  <r>
    <m/>
    <m/>
    <x v="1"/>
    <s v="44881481002002"/>
    <n v="-268.09999999999997"/>
    <n v="4507"/>
    <n v="2"/>
    <n v="1"/>
  </r>
  <r>
    <m/>
    <m/>
    <x v="1"/>
    <s v="44881621001001"/>
    <n v="-152.28"/>
    <n v="2560"/>
    <n v="2"/>
    <n v="1"/>
  </r>
  <r>
    <m/>
    <m/>
    <x v="1"/>
    <s v="44898175001005"/>
    <n v="-54.2"/>
    <n v="930"/>
    <n v="1"/>
    <n v="1"/>
  </r>
  <r>
    <m/>
    <m/>
    <x v="1"/>
    <s v="44905001001001"/>
    <n v="-112.25"/>
    <n v="1887"/>
    <n v="2"/>
    <n v="1"/>
  </r>
  <r>
    <m/>
    <m/>
    <x v="1"/>
    <s v="44930551001003"/>
    <n v="-77.63"/>
    <n v="1332"/>
    <n v="1"/>
    <n v="1"/>
  </r>
  <r>
    <m/>
    <m/>
    <x v="1"/>
    <s v="44956311001001"/>
    <n v="-124.81"/>
    <n v="2092"/>
    <n v="2"/>
    <n v="1"/>
  </r>
  <r>
    <m/>
    <m/>
    <x v="1"/>
    <s v="44962961004001"/>
    <n v="-106.85"/>
    <n v="1791"/>
    <n v="2"/>
    <n v="1"/>
  </r>
  <r>
    <m/>
    <m/>
    <x v="1"/>
    <s v="44967161001001"/>
    <n v="-235.06"/>
    <n v="3940"/>
    <n v="2"/>
    <n v="1"/>
  </r>
  <r>
    <m/>
    <m/>
    <x v="1"/>
    <s v="44987391001001"/>
    <n v="-150.28"/>
    <n v="2535"/>
    <n v="2"/>
    <n v="1"/>
  </r>
  <r>
    <m/>
    <m/>
    <x v="1"/>
    <s v="44990541001001"/>
    <n v="-33.349999999999994"/>
    <n v="559"/>
    <n v="2"/>
    <n v="1"/>
  </r>
  <r>
    <m/>
    <m/>
    <x v="1"/>
    <s v="45031958001001"/>
    <n v="-139.63999999999999"/>
    <n v="2396"/>
    <n v="1"/>
    <n v="1"/>
  </r>
  <r>
    <m/>
    <m/>
    <x v="1"/>
    <s v="45035075001001"/>
    <n v="-222.07999999999998"/>
    <n v="3623"/>
    <n v="2"/>
    <n v="1"/>
  </r>
  <r>
    <m/>
    <m/>
    <x v="1"/>
    <s v="45041431001002"/>
    <n v="-115.97"/>
    <n v="1935"/>
    <n v="2"/>
    <n v="1"/>
  </r>
  <r>
    <m/>
    <m/>
    <x v="1"/>
    <s v="45047731002001"/>
    <n v="-165"/>
    <n v="2745"/>
    <n v="2"/>
    <n v="1"/>
  </r>
  <r>
    <m/>
    <m/>
    <x v="1"/>
    <s v="45050391007001"/>
    <n v="-132"/>
    <n v="2196"/>
    <n v="2"/>
    <n v="1"/>
  </r>
  <r>
    <m/>
    <m/>
    <x v="1"/>
    <s v="45052631001002"/>
    <n v="-97.14"/>
    <n v="1616"/>
    <n v="2"/>
    <n v="1"/>
  </r>
  <r>
    <m/>
    <m/>
    <x v="1"/>
    <s v="45055431001001"/>
    <n v="-105.86"/>
    <n v="1761"/>
    <n v="2"/>
    <n v="1"/>
  </r>
  <r>
    <m/>
    <m/>
    <x v="1"/>
    <s v="45055711001001"/>
    <n v="-267.07"/>
    <n v="4443"/>
    <n v="2"/>
    <n v="1"/>
  </r>
  <r>
    <m/>
    <m/>
    <x v="1"/>
    <s v="45070411003003"/>
    <n v="-3.61"/>
    <n v="62"/>
    <n v="1"/>
    <n v="1"/>
  </r>
  <r>
    <m/>
    <m/>
    <x v="1"/>
    <s v="45070971001001"/>
    <n v="-132.72999999999999"/>
    <n v="2208"/>
    <n v="2"/>
    <n v="1"/>
  </r>
  <r>
    <m/>
    <m/>
    <x v="1"/>
    <s v="45072791003019"/>
    <n v="-96.74"/>
    <n v="1660"/>
    <n v="1"/>
    <n v="1"/>
  </r>
  <r>
    <m/>
    <m/>
    <x v="1"/>
    <s v="45074541002003"/>
    <n v="-89.56"/>
    <n v="1490"/>
    <n v="2"/>
    <n v="1"/>
  </r>
  <r>
    <m/>
    <m/>
    <x v="1"/>
    <s v="45074891004011"/>
    <n v="-47.09"/>
    <n v="808"/>
    <n v="1"/>
    <n v="1"/>
  </r>
  <r>
    <m/>
    <m/>
    <x v="1"/>
    <s v="45079791002001"/>
    <n v="-116.91"/>
    <n v="1918"/>
    <n v="2"/>
    <n v="1"/>
  </r>
  <r>
    <m/>
    <m/>
    <x v="1"/>
    <s v="45081401001004"/>
    <n v="-37.57"/>
    <n v="625"/>
    <n v="2"/>
    <n v="1"/>
  </r>
  <r>
    <m/>
    <m/>
    <x v="1"/>
    <s v="45091654002003"/>
    <n v="-167.7"/>
    <n v="2811"/>
    <n v="2"/>
    <n v="1"/>
  </r>
  <r>
    <m/>
    <m/>
    <x v="1"/>
    <s v="45099461003003"/>
    <n v="-448.22999999999996"/>
    <n v="7669"/>
    <n v="2"/>
    <n v="1"/>
  </r>
  <r>
    <m/>
    <m/>
    <x v="1"/>
    <s v="45126691002004"/>
    <n v="-139.86000000000001"/>
    <n v="2358"/>
    <n v="2"/>
    <n v="1"/>
  </r>
  <r>
    <m/>
    <m/>
    <x v="1"/>
    <s v="45131871004001"/>
    <n v="-150.94999999999999"/>
    <n v="2590"/>
    <n v="1"/>
    <n v="1"/>
  </r>
  <r>
    <m/>
    <m/>
    <x v="1"/>
    <s v="45132711001002"/>
    <n v="-195.53"/>
    <n v="3355"/>
    <n v="1"/>
    <n v="1"/>
  </r>
  <r>
    <m/>
    <m/>
    <x v="1"/>
    <s v="45137261001001"/>
    <n v="-254.45"/>
    <n v="4366"/>
    <n v="1"/>
    <n v="1"/>
  </r>
  <r>
    <m/>
    <m/>
    <x v="1"/>
    <s v="45153011001003"/>
    <n v="-89.34"/>
    <n v="1533"/>
    <n v="1"/>
    <n v="1"/>
  </r>
  <r>
    <m/>
    <m/>
    <x v="1"/>
    <s v="45156161001001"/>
    <n v="-59.1"/>
    <n v="1014"/>
    <n v="1"/>
    <n v="1"/>
  </r>
  <r>
    <m/>
    <m/>
    <x v="1"/>
    <s v="45160851001001"/>
    <n v="-75.94"/>
    <n v="1303"/>
    <n v="1"/>
    <n v="1"/>
  </r>
  <r>
    <m/>
    <m/>
    <x v="1"/>
    <s v="45160921001001"/>
    <n v="-69.7"/>
    <n v="1196"/>
    <n v="1"/>
    <n v="1"/>
  </r>
  <r>
    <m/>
    <m/>
    <x v="1"/>
    <s v="45170842001005"/>
    <n v="-52.230000000000004"/>
    <n v="878"/>
    <n v="2"/>
    <n v="1"/>
  </r>
  <r>
    <m/>
    <m/>
    <x v="1"/>
    <s v="45190811002001"/>
    <n v="-127.92"/>
    <n v="2195"/>
    <n v="1"/>
    <n v="1"/>
  </r>
  <r>
    <m/>
    <m/>
    <x v="1"/>
    <s v="45192841001001"/>
    <n v="-32.75"/>
    <n v="562"/>
    <n v="1"/>
    <n v="1"/>
  </r>
  <r>
    <m/>
    <m/>
    <x v="1"/>
    <s v="45195431001001"/>
    <n v="-78.150000000000006"/>
    <n v="1341"/>
    <n v="1"/>
    <n v="1"/>
  </r>
  <r>
    <m/>
    <m/>
    <x v="1"/>
    <s v="45208591002004"/>
    <n v="-32.29"/>
    <n v="554"/>
    <n v="1"/>
    <n v="1"/>
  </r>
  <r>
    <m/>
    <m/>
    <x v="1"/>
    <s v="45230011001003"/>
    <n v="-117.55"/>
    <n v="2017"/>
    <n v="1"/>
    <n v="1"/>
  </r>
  <r>
    <m/>
    <m/>
    <x v="1"/>
    <s v="45240016001003"/>
    <n v="-148.44"/>
    <n v="2547"/>
    <n v="1"/>
    <n v="1"/>
  </r>
  <r>
    <m/>
    <m/>
    <x v="1"/>
    <s v="45242051001003"/>
    <n v="-193.31"/>
    <n v="3317"/>
    <n v="1"/>
    <n v="1"/>
  </r>
  <r>
    <m/>
    <m/>
    <x v="1"/>
    <s v="45253671001001"/>
    <n v="-103.1"/>
    <n v="1769"/>
    <n v="1"/>
    <n v="1"/>
  </r>
  <r>
    <m/>
    <m/>
    <x v="1"/>
    <s v="45327311001001"/>
    <n v="-42.02"/>
    <n v="721"/>
    <n v="1"/>
    <n v="1"/>
  </r>
  <r>
    <m/>
    <m/>
    <x v="1"/>
    <s v="45338080004001"/>
    <n v="-185.54"/>
    <n v="3003"/>
    <n v="2"/>
    <n v="1"/>
  </r>
  <r>
    <m/>
    <m/>
    <x v="1"/>
    <s v="45362871001003"/>
    <n v="-224.19"/>
    <n v="3694"/>
    <n v="2"/>
    <n v="1"/>
  </r>
  <r>
    <m/>
    <m/>
    <x v="1"/>
    <s v="45379041001001"/>
    <n v="-135.03"/>
    <n v="2317"/>
    <n v="1"/>
    <n v="1"/>
  </r>
  <r>
    <m/>
    <m/>
    <x v="1"/>
    <s v="45379531001002"/>
    <n v="-103.16"/>
    <n v="1770"/>
    <n v="1"/>
    <n v="1"/>
  </r>
  <r>
    <m/>
    <m/>
    <x v="1"/>
    <s v="45407555001001"/>
    <n v="-106.09"/>
    <n v="1717"/>
    <n v="2"/>
    <n v="1"/>
  </r>
  <r>
    <m/>
    <m/>
    <x v="1"/>
    <s v="45408608002003"/>
    <n v="-102.51"/>
    <n v="1759"/>
    <n v="1"/>
    <n v="1"/>
  </r>
  <r>
    <m/>
    <m/>
    <x v="1"/>
    <s v="45412781001004"/>
    <n v="-101.47"/>
    <n v="1741"/>
    <n v="1"/>
    <n v="1"/>
  </r>
  <r>
    <m/>
    <m/>
    <x v="1"/>
    <s v="45413901003003"/>
    <n v="-67.02"/>
    <n v="1150"/>
    <n v="1"/>
    <n v="1"/>
  </r>
  <r>
    <m/>
    <m/>
    <x v="1"/>
    <s v="45420831002002"/>
    <n v="-213.01"/>
    <n v="3655"/>
    <n v="1"/>
    <n v="1"/>
  </r>
  <r>
    <m/>
    <m/>
    <x v="1"/>
    <s v="45447641001001"/>
    <n v="-23.95"/>
    <n v="411"/>
    <n v="1"/>
    <n v="1"/>
  </r>
  <r>
    <m/>
    <m/>
    <x v="1"/>
    <s v="45452652002011"/>
    <n v="-126.28999999999999"/>
    <n v="2123"/>
    <n v="2"/>
    <n v="1"/>
  </r>
  <r>
    <m/>
    <m/>
    <x v="1"/>
    <s v="45481311001001"/>
    <n v="-27.68"/>
    <n v="475"/>
    <n v="1"/>
    <n v="1"/>
  </r>
  <r>
    <m/>
    <m/>
    <x v="1"/>
    <s v="45500981001001"/>
    <n v="-95.93"/>
    <n v="1646"/>
    <n v="1"/>
    <n v="1"/>
  </r>
  <r>
    <m/>
    <m/>
    <x v="1"/>
    <s v="45504201001002"/>
    <n v="-91.38"/>
    <n v="1568"/>
    <n v="1"/>
    <n v="1"/>
  </r>
  <r>
    <m/>
    <m/>
    <x v="1"/>
    <s v="45517641003011"/>
    <n v="-61.02"/>
    <n v="1047"/>
    <n v="1"/>
    <n v="1"/>
  </r>
  <r>
    <m/>
    <m/>
    <x v="1"/>
    <s v="45519246001001"/>
    <n v="-127.11"/>
    <n v="2181"/>
    <n v="1"/>
    <n v="1"/>
  </r>
  <r>
    <m/>
    <m/>
    <x v="1"/>
    <s v="45523171024001"/>
    <n v="-76.02"/>
    <n v="1278"/>
    <n v="2"/>
    <n v="1"/>
  </r>
  <r>
    <m/>
    <m/>
    <x v="1"/>
    <s v="45528421001002"/>
    <n v="-90.63"/>
    <n v="1555"/>
    <n v="1"/>
    <n v="1"/>
  </r>
  <r>
    <m/>
    <m/>
    <x v="1"/>
    <s v="45532411001003"/>
    <n v="-35.03"/>
    <n v="601"/>
    <n v="1"/>
    <n v="1"/>
  </r>
  <r>
    <m/>
    <m/>
    <x v="1"/>
    <s v="45554531001005"/>
    <n v="-54.96"/>
    <n v="943"/>
    <n v="1"/>
    <n v="1"/>
  </r>
  <r>
    <m/>
    <m/>
    <x v="1"/>
    <s v="45575065001005"/>
    <n v="-142.16"/>
    <n v="2307"/>
    <n v="2"/>
    <n v="1"/>
  </r>
  <r>
    <m/>
    <m/>
    <x v="1"/>
    <s v="45615361005001"/>
    <n v="-296.02999999999997"/>
    <n v="5065"/>
    <n v="2"/>
    <n v="1"/>
  </r>
  <r>
    <m/>
    <m/>
    <x v="1"/>
    <s v="45622851001009"/>
    <n v="-87.15"/>
    <n v="1465"/>
    <n v="2"/>
    <n v="1"/>
  </r>
  <r>
    <m/>
    <m/>
    <x v="1"/>
    <s v="45764531001001"/>
    <n v="-43.879999999999995"/>
    <n v="716"/>
    <n v="2"/>
    <n v="1"/>
  </r>
  <r>
    <m/>
    <m/>
    <x v="1"/>
    <s v="45765441001002"/>
    <n v="-28.009999999999998"/>
    <n v="457"/>
    <n v="2"/>
    <n v="1"/>
  </r>
  <r>
    <m/>
    <m/>
    <x v="1"/>
    <s v="45767422001001"/>
    <n v="-87.96"/>
    <n v="1483"/>
    <n v="2"/>
    <n v="1"/>
  </r>
  <r>
    <m/>
    <m/>
    <x v="1"/>
    <s v="45794821001001"/>
    <n v="-19.52"/>
    <n v="328"/>
    <n v="2"/>
    <n v="1"/>
  </r>
  <r>
    <m/>
    <m/>
    <x v="1"/>
    <s v="45824016001003"/>
    <n v="-0.93"/>
    <n v="16"/>
    <n v="1"/>
    <n v="1"/>
  </r>
  <r>
    <m/>
    <m/>
    <x v="1"/>
    <s v="45861201001008"/>
    <n v="-134.44999999999999"/>
    <n v="2176"/>
    <n v="2"/>
    <n v="1"/>
  </r>
  <r>
    <m/>
    <m/>
    <x v="1"/>
    <s v="45906912002001"/>
    <n v="-111.56"/>
    <n v="1881"/>
    <n v="2"/>
    <n v="1"/>
  </r>
  <r>
    <m/>
    <m/>
    <x v="1"/>
    <s v="45908451004001"/>
    <n v="-103.74"/>
    <n v="1780"/>
    <n v="1"/>
    <n v="1"/>
  </r>
  <r>
    <m/>
    <m/>
    <x v="1"/>
    <s v="45930081004001"/>
    <n v="-53.180000000000007"/>
    <n v="863"/>
    <n v="2"/>
    <n v="1"/>
  </r>
  <r>
    <m/>
    <m/>
    <x v="1"/>
    <s v="45956311001001"/>
    <n v="-38.81"/>
    <n v="666"/>
    <n v="1"/>
    <n v="1"/>
  </r>
  <r>
    <m/>
    <m/>
    <x v="1"/>
    <s v="45979501004001"/>
    <n v="-112.17999999999999"/>
    <n v="1886"/>
    <n v="2"/>
    <n v="1"/>
  </r>
  <r>
    <m/>
    <m/>
    <x v="1"/>
    <s v="45987934001001"/>
    <n v="-218.51"/>
    <n v="3546"/>
    <n v="2"/>
    <n v="1"/>
  </r>
  <r>
    <m/>
    <m/>
    <x v="1"/>
    <s v="45999031007001"/>
    <n v="-47.27"/>
    <n v="811"/>
    <n v="1"/>
    <n v="1"/>
  </r>
  <r>
    <m/>
    <m/>
    <x v="1"/>
    <s v="46058267004001"/>
    <n v="-110.66"/>
    <n v="1881"/>
    <n v="2"/>
    <n v="1"/>
  </r>
  <r>
    <m/>
    <m/>
    <x v="1"/>
    <s v="46112501001001"/>
    <n v="-48.66"/>
    <n v="835"/>
    <n v="1"/>
    <n v="1"/>
  </r>
  <r>
    <m/>
    <m/>
    <x v="1"/>
    <s v="46122371006001"/>
    <n v="-119.25999999999999"/>
    <n v="1984"/>
    <n v="2"/>
    <n v="1"/>
  </r>
  <r>
    <m/>
    <m/>
    <x v="1"/>
    <s v="46161221003014"/>
    <n v="-112.07"/>
    <n v="1923"/>
    <n v="1"/>
    <n v="1"/>
  </r>
  <r>
    <m/>
    <m/>
    <x v="1"/>
    <s v="46195241001002"/>
    <n v="-103.91"/>
    <n v="1783"/>
    <n v="1"/>
    <n v="1"/>
  </r>
  <r>
    <m/>
    <m/>
    <x v="1"/>
    <s v="46210291002003"/>
    <n v="-104.73"/>
    <n v="1797"/>
    <n v="1"/>
    <n v="1"/>
  </r>
  <r>
    <m/>
    <m/>
    <x v="1"/>
    <s v="46217641006001"/>
    <n v="-4.43"/>
    <n v="76"/>
    <n v="1"/>
    <n v="1"/>
  </r>
  <r>
    <m/>
    <m/>
    <x v="1"/>
    <s v="46242001001004"/>
    <n v="-120.33"/>
    <n v="2017"/>
    <n v="2"/>
    <n v="1"/>
  </r>
  <r>
    <m/>
    <m/>
    <x v="1"/>
    <s v="46248581001001"/>
    <n v="-306.89999999999998"/>
    <n v="5057"/>
    <n v="2"/>
    <n v="1"/>
  </r>
  <r>
    <m/>
    <m/>
    <x v="1"/>
    <s v="46290511001002"/>
    <n v="-169.67000000000002"/>
    <n v="2768"/>
    <n v="2"/>
    <n v="1"/>
  </r>
  <r>
    <m/>
    <m/>
    <x v="1"/>
    <s v="46336781001001"/>
    <n v="-74.25"/>
    <n v="1274"/>
    <n v="1"/>
    <n v="1"/>
  </r>
  <r>
    <m/>
    <m/>
    <x v="1"/>
    <s v="46352741003004"/>
    <n v="-94.02000000000001"/>
    <n v="1564"/>
    <n v="2"/>
    <n v="1"/>
  </r>
  <r>
    <m/>
    <m/>
    <x v="1"/>
    <s v="46396071001002"/>
    <n v="-25.29"/>
    <n v="434"/>
    <n v="1"/>
    <n v="1"/>
  </r>
  <r>
    <m/>
    <m/>
    <x v="1"/>
    <s v="46398591003001"/>
    <n v="-150.32999999999998"/>
    <n v="2501"/>
    <n v="2"/>
    <n v="1"/>
  </r>
  <r>
    <m/>
    <m/>
    <x v="1"/>
    <s v="46402441001006"/>
    <n v="-29.2"/>
    <n v="501"/>
    <n v="1"/>
    <n v="1"/>
  </r>
  <r>
    <m/>
    <m/>
    <x v="1"/>
    <s v="46403981001002"/>
    <n v="-67.489999999999995"/>
    <n v="1158"/>
    <n v="1"/>
    <n v="1"/>
  </r>
  <r>
    <m/>
    <m/>
    <x v="1"/>
    <s v="46412521001006"/>
    <n v="-48.96"/>
    <n v="840"/>
    <n v="1"/>
    <n v="1"/>
  </r>
  <r>
    <m/>
    <m/>
    <x v="1"/>
    <s v="46429881006001"/>
    <n v="-28.38"/>
    <n v="487"/>
    <n v="1"/>
    <n v="1"/>
  </r>
  <r>
    <m/>
    <m/>
    <x v="1"/>
    <s v="46438981001002"/>
    <n v="-167.5"/>
    <n v="2874"/>
    <n v="1"/>
    <n v="1"/>
  </r>
  <r>
    <m/>
    <m/>
    <x v="1"/>
    <s v="46440861001007"/>
    <n v="-79.260000000000005"/>
    <n v="1360"/>
    <n v="1"/>
    <n v="1"/>
  </r>
  <r>
    <m/>
    <m/>
    <x v="1"/>
    <s v="46477551003001"/>
    <n v="-55.72"/>
    <n v="956"/>
    <n v="1"/>
    <n v="1"/>
  </r>
  <r>
    <m/>
    <m/>
    <x v="1"/>
    <s v="46478573003001"/>
    <n v="-128.1"/>
    <n v="2198"/>
    <n v="1"/>
    <n v="1"/>
  </r>
  <r>
    <m/>
    <m/>
    <x v="1"/>
    <s v="46486763001003"/>
    <n v="-58.559999999999995"/>
    <n v="961"/>
    <n v="3"/>
    <n v="1"/>
  </r>
  <r>
    <m/>
    <m/>
    <x v="1"/>
    <s v="46539265001001"/>
    <n v="-12.39"/>
    <n v="201"/>
    <n v="2"/>
    <n v="1"/>
  </r>
  <r>
    <m/>
    <m/>
    <x v="1"/>
    <s v="46649901001004"/>
    <n v="-26.58"/>
    <n v="456"/>
    <n v="1"/>
    <n v="1"/>
  </r>
  <r>
    <m/>
    <m/>
    <x v="1"/>
    <s v="46666481001001"/>
    <n v="-152.69999999999999"/>
    <n v="2548"/>
    <n v="2"/>
    <n v="1"/>
  </r>
  <r>
    <m/>
    <m/>
    <x v="1"/>
    <s v="46713395001002"/>
    <n v="-121.34"/>
    <n v="2082"/>
    <n v="1"/>
    <n v="1"/>
  </r>
  <r>
    <m/>
    <m/>
    <x v="1"/>
    <s v="46756921001006"/>
    <n v="-150.94999999999999"/>
    <n v="2590"/>
    <n v="1"/>
    <n v="1"/>
  </r>
  <r>
    <m/>
    <m/>
    <x v="1"/>
    <s v="46767001003001"/>
    <n v="-106.84"/>
    <n v="1796"/>
    <n v="2"/>
    <n v="1"/>
  </r>
  <r>
    <m/>
    <m/>
    <x v="1"/>
    <s v="46767211003001"/>
    <n v="-115.05"/>
    <n v="1862"/>
    <n v="2"/>
    <n v="1"/>
  </r>
  <r>
    <m/>
    <m/>
    <x v="1"/>
    <s v="46772111002005"/>
    <n v="-174.86"/>
    <n v="2830"/>
    <n v="2"/>
    <n v="1"/>
  </r>
  <r>
    <m/>
    <m/>
    <x v="1"/>
    <s v="46778971002001"/>
    <n v="-40.56"/>
    <n v="696"/>
    <n v="1"/>
    <n v="1"/>
  </r>
  <r>
    <m/>
    <m/>
    <x v="1"/>
    <s v="46779671001003"/>
    <n v="-57"/>
    <n v="978"/>
    <n v="1"/>
    <n v="1"/>
  </r>
  <r>
    <m/>
    <m/>
    <x v="1"/>
    <s v="46789961001001"/>
    <n v="-84.16"/>
    <n v="1444"/>
    <n v="1"/>
    <n v="1"/>
  </r>
  <r>
    <m/>
    <m/>
    <x v="1"/>
    <s v="46805081001003"/>
    <n v="-60.260000000000005"/>
    <n v="1034"/>
    <n v="2"/>
    <n v="1"/>
  </r>
  <r>
    <m/>
    <m/>
    <x v="1"/>
    <s v="46825208001001"/>
    <n v="-142.44"/>
    <n v="2444"/>
    <n v="1"/>
    <n v="1"/>
  </r>
  <r>
    <m/>
    <m/>
    <x v="1"/>
    <s v="46831191008001"/>
    <n v="-135.27000000000001"/>
    <n v="2321"/>
    <n v="1"/>
    <n v="1"/>
  </r>
  <r>
    <m/>
    <m/>
    <x v="1"/>
    <s v="46834341003003"/>
    <n v="-130.08000000000001"/>
    <n v="2232"/>
    <n v="1"/>
    <n v="1"/>
  </r>
  <r>
    <m/>
    <m/>
    <x v="1"/>
    <s v="46844491002002"/>
    <n v="-211.69"/>
    <n v="3426"/>
    <n v="2"/>
    <n v="1"/>
  </r>
  <r>
    <m/>
    <m/>
    <x v="1"/>
    <s v="46848061001005"/>
    <n v="-56.76"/>
    <n v="974"/>
    <n v="1"/>
    <n v="1"/>
  </r>
  <r>
    <m/>
    <m/>
    <x v="1"/>
    <s v="46855629001001"/>
    <n v="-40.65"/>
    <n v="667"/>
    <n v="2"/>
    <n v="1"/>
  </r>
  <r>
    <m/>
    <m/>
    <x v="1"/>
    <s v="46866331001002"/>
    <n v="-178.44"/>
    <n v="2888"/>
    <n v="2"/>
    <n v="1"/>
  </r>
  <r>
    <m/>
    <m/>
    <x v="1"/>
    <s v="46962021001002"/>
    <n v="-67.89"/>
    <n v="1138"/>
    <n v="2"/>
    <n v="1"/>
  </r>
  <r>
    <m/>
    <m/>
    <x v="1"/>
    <s v="46967818003001"/>
    <n v="-229.23000000000002"/>
    <n v="3710"/>
    <n v="2"/>
    <n v="1"/>
  </r>
  <r>
    <m/>
    <m/>
    <x v="1"/>
    <s v="47028499003001"/>
    <n v="-61.84"/>
    <n v="1061"/>
    <n v="1"/>
    <n v="1"/>
  </r>
  <r>
    <m/>
    <m/>
    <x v="1"/>
    <s v="47124400001003"/>
    <n v="-105.72"/>
    <n v="1814"/>
    <n v="1"/>
    <n v="1"/>
  </r>
  <r>
    <m/>
    <m/>
    <x v="1"/>
    <s v="47135971001002"/>
    <n v="-84.56"/>
    <n v="1451"/>
    <n v="1"/>
    <n v="1"/>
  </r>
  <r>
    <m/>
    <m/>
    <x v="1"/>
    <s v="47154521003001"/>
    <n v="-103.33000000000001"/>
    <n v="1737"/>
    <n v="2"/>
    <n v="1"/>
  </r>
  <r>
    <m/>
    <m/>
    <x v="1"/>
    <s v="47164321003004"/>
    <n v="-33"/>
    <n v="549"/>
    <n v="2"/>
    <n v="1"/>
  </r>
  <r>
    <m/>
    <m/>
    <x v="1"/>
    <s v="47176711002001"/>
    <n v="-57.64"/>
    <n v="956"/>
    <n v="3"/>
    <n v="1"/>
  </r>
  <r>
    <m/>
    <m/>
    <x v="1"/>
    <s v="47179931001007"/>
    <n v="-64.2"/>
    <n v="1039"/>
    <n v="2"/>
    <n v="1"/>
  </r>
  <r>
    <m/>
    <m/>
    <x v="1"/>
    <s v="47233131004002"/>
    <n v="-217.54000000000002"/>
    <n v="3549"/>
    <n v="2"/>
    <n v="1"/>
  </r>
  <r>
    <m/>
    <m/>
    <x v="1"/>
    <s v="47275061002003"/>
    <n v="-71.3"/>
    <n v="1220"/>
    <n v="2"/>
    <n v="1"/>
  </r>
  <r>
    <m/>
    <m/>
    <x v="1"/>
    <s v="47318111005003"/>
    <n v="-143.02000000000001"/>
    <n v="2454"/>
    <n v="1"/>
    <n v="1"/>
  </r>
  <r>
    <m/>
    <m/>
    <x v="1"/>
    <s v="47341211003001"/>
    <n v="-86.26"/>
    <n v="1450"/>
    <n v="2"/>
    <n v="1"/>
  </r>
  <r>
    <m/>
    <m/>
    <x v="1"/>
    <s v="47343796001001"/>
    <n v="-93.17"/>
    <n v="1550"/>
    <n v="2"/>
    <n v="1"/>
  </r>
  <r>
    <m/>
    <m/>
    <x v="1"/>
    <s v="47356261001002"/>
    <n v="-155.9"/>
    <n v="2675"/>
    <n v="1"/>
    <n v="1"/>
  </r>
  <r>
    <m/>
    <m/>
    <x v="1"/>
    <s v="47375861003003"/>
    <n v="-49.36"/>
    <n v="847"/>
    <n v="1"/>
    <n v="1"/>
  </r>
  <r>
    <m/>
    <m/>
    <x v="1"/>
    <s v="47377611003002"/>
    <n v="-43.01"/>
    <n v="738"/>
    <n v="1"/>
    <n v="1"/>
  </r>
  <r>
    <m/>
    <m/>
    <x v="1"/>
    <s v="47382721001001"/>
    <n v="-116.44"/>
    <n v="1998"/>
    <n v="1"/>
    <n v="1"/>
  </r>
  <r>
    <m/>
    <m/>
    <x v="1"/>
    <s v="47385801001001"/>
    <n v="-38.869999999999997"/>
    <n v="667"/>
    <n v="1"/>
    <n v="1"/>
  </r>
  <r>
    <m/>
    <m/>
    <x v="1"/>
    <s v="47386711001003"/>
    <n v="-109.16"/>
    <n v="1873"/>
    <n v="1"/>
    <n v="1"/>
  </r>
  <r>
    <m/>
    <m/>
    <x v="1"/>
    <s v="47388041001006"/>
    <n v="-157.79000000000002"/>
    <n v="2625"/>
    <n v="2"/>
    <n v="1"/>
  </r>
  <r>
    <m/>
    <m/>
    <x v="1"/>
    <s v="47403091001002"/>
    <n v="-121.84"/>
    <n v="1972"/>
    <n v="2"/>
    <n v="1"/>
  </r>
  <r>
    <m/>
    <m/>
    <x v="1"/>
    <s v="47406521002002"/>
    <n v="-131.72"/>
    <n v="2239"/>
    <n v="2"/>
    <n v="1"/>
  </r>
  <r>
    <m/>
    <m/>
    <x v="1"/>
    <s v="47431160001002"/>
    <n v="-154.91"/>
    <n v="2577"/>
    <n v="2"/>
    <n v="1"/>
  </r>
  <r>
    <m/>
    <m/>
    <x v="1"/>
    <s v="47463011003001"/>
    <n v="-158.57999999999998"/>
    <n v="2613"/>
    <n v="2"/>
    <n v="1"/>
  </r>
  <r>
    <m/>
    <m/>
    <x v="1"/>
    <s v="47480441007001"/>
    <n v="-276.86"/>
    <n v="4542"/>
    <n v="2"/>
    <n v="1"/>
  </r>
  <r>
    <m/>
    <m/>
    <x v="1"/>
    <s v="47487561001003"/>
    <n v="-16.670000000000002"/>
    <n v="286"/>
    <n v="1"/>
    <n v="1"/>
  </r>
  <r>
    <m/>
    <m/>
    <x v="1"/>
    <s v="47515391001003"/>
    <n v="-30.89"/>
    <n v="530"/>
    <n v="1"/>
    <n v="1"/>
  </r>
  <r>
    <m/>
    <m/>
    <x v="1"/>
    <s v="47600631003001"/>
    <n v="-122.3"/>
    <n v="2056"/>
    <n v="2"/>
    <n v="1"/>
  </r>
  <r>
    <m/>
    <m/>
    <x v="1"/>
    <s v="47606721001009"/>
    <n v="-51.52"/>
    <n v="884"/>
    <n v="1"/>
    <n v="1"/>
  </r>
  <r>
    <m/>
    <m/>
    <x v="1"/>
    <s v="47723831004003"/>
    <n v="-41.4"/>
    <n v="684"/>
    <n v="2"/>
    <n v="1"/>
  </r>
  <r>
    <m/>
    <m/>
    <x v="1"/>
    <s v="47755961001002"/>
    <n v="-187.73"/>
    <n v="3156"/>
    <n v="2"/>
    <n v="1"/>
  </r>
  <r>
    <m/>
    <m/>
    <x v="1"/>
    <s v="47756941004003"/>
    <n v="-232.81"/>
    <n v="3925"/>
    <n v="2"/>
    <n v="1"/>
  </r>
  <r>
    <m/>
    <m/>
    <x v="1"/>
    <s v="47762681005001"/>
    <n v="-250.07"/>
    <n v="4204"/>
    <n v="2"/>
    <n v="1"/>
  </r>
  <r>
    <m/>
    <m/>
    <x v="1"/>
    <s v="47772743001002"/>
    <n v="-18.3"/>
    <n v="314"/>
    <n v="1"/>
    <n v="1"/>
  </r>
  <r>
    <m/>
    <m/>
    <x v="1"/>
    <s v="47774834001001"/>
    <n v="-3.33"/>
    <n v="56"/>
    <n v="2"/>
    <n v="1"/>
  </r>
  <r>
    <m/>
    <m/>
    <x v="1"/>
    <s v="47792516002001"/>
    <n v="-126.58"/>
    <n v="2172"/>
    <n v="1"/>
    <n v="1"/>
  </r>
  <r>
    <m/>
    <m/>
    <x v="1"/>
    <s v="47821404001002"/>
    <n v="-17.829999999999998"/>
    <n v="306"/>
    <n v="1"/>
    <n v="1"/>
  </r>
  <r>
    <m/>
    <m/>
    <x v="1"/>
    <s v="47839821001002"/>
    <n v="-74.83"/>
    <n v="1284"/>
    <n v="1"/>
    <n v="1"/>
  </r>
  <r>
    <m/>
    <m/>
    <x v="1"/>
    <s v="47842819001009"/>
    <n v="-47.24"/>
    <n v="794"/>
    <n v="2"/>
    <n v="1"/>
  </r>
  <r>
    <m/>
    <m/>
    <x v="1"/>
    <s v="47866841003004"/>
    <n v="-31.23"/>
    <n v="525"/>
    <n v="2"/>
    <n v="1"/>
  </r>
  <r>
    <m/>
    <m/>
    <x v="1"/>
    <s v="47872982001001"/>
    <n v="-91.15"/>
    <n v="1564"/>
    <n v="1"/>
    <n v="1"/>
  </r>
  <r>
    <m/>
    <m/>
    <x v="1"/>
    <s v="47874541007001"/>
    <n v="-90.28"/>
    <n v="1549"/>
    <n v="1"/>
    <n v="1"/>
  </r>
  <r>
    <m/>
    <m/>
    <x v="1"/>
    <s v="47881813001003"/>
    <n v="-67.31"/>
    <n v="1155"/>
    <n v="1"/>
    <n v="1"/>
  </r>
  <r>
    <m/>
    <m/>
    <x v="1"/>
    <s v="47909696001001"/>
    <n v="-26.52"/>
    <n v="455"/>
    <n v="1"/>
    <n v="1"/>
  </r>
  <r>
    <m/>
    <m/>
    <x v="1"/>
    <s v="47927671001001"/>
    <n v="-60.08"/>
    <n v="1010"/>
    <n v="2"/>
    <n v="1"/>
  </r>
  <r>
    <m/>
    <m/>
    <x v="1"/>
    <s v="47932305003001"/>
    <n v="-139.37"/>
    <n v="2343"/>
    <n v="2"/>
    <n v="1"/>
  </r>
  <r>
    <m/>
    <m/>
    <x v="1"/>
    <s v="47948181001002"/>
    <n v="-102.02"/>
    <n v="1715"/>
    <n v="2"/>
    <n v="1"/>
  </r>
  <r>
    <m/>
    <m/>
    <x v="1"/>
    <s v="47951681001003"/>
    <n v="-66.67"/>
    <n v="1144"/>
    <n v="1"/>
    <n v="1"/>
  </r>
  <r>
    <m/>
    <m/>
    <x v="1"/>
    <s v="47966661006001"/>
    <n v="-37.880000000000003"/>
    <n v="635"/>
    <n v="2"/>
    <n v="1"/>
  </r>
  <r>
    <m/>
    <m/>
    <x v="1"/>
    <s v="47967501001004"/>
    <n v="-161.94"/>
    <n v="2694"/>
    <n v="2"/>
    <n v="1"/>
  </r>
  <r>
    <m/>
    <m/>
    <x v="1"/>
    <s v="47981781001001"/>
    <n v="-214.68"/>
    <n v="3609"/>
    <n v="2"/>
    <n v="1"/>
  </r>
  <r>
    <m/>
    <m/>
    <x v="1"/>
    <s v="48036574003001"/>
    <n v="-28.73"/>
    <n v="493"/>
    <n v="1"/>
    <n v="1"/>
  </r>
  <r>
    <m/>
    <m/>
    <x v="1"/>
    <s v="48040883001002"/>
    <n v="-39.159999999999997"/>
    <n v="672"/>
    <n v="1"/>
    <n v="1"/>
  </r>
  <r>
    <m/>
    <m/>
    <x v="1"/>
    <s v="48065577001006"/>
    <n v="-108.28"/>
    <n v="1858"/>
    <n v="1"/>
    <n v="1"/>
  </r>
  <r>
    <m/>
    <m/>
    <x v="1"/>
    <s v="48076533001001"/>
    <n v="-261.37"/>
    <n v="4288"/>
    <n v="2"/>
    <n v="1"/>
  </r>
  <r>
    <m/>
    <m/>
    <x v="1"/>
    <s v="48182191001001"/>
    <n v="-194.57"/>
    <n v="3149"/>
    <n v="2"/>
    <n v="1"/>
  </r>
  <r>
    <m/>
    <m/>
    <x v="1"/>
    <s v="48214181001001"/>
    <n v="-129.46"/>
    <n v="2170"/>
    <n v="2"/>
    <n v="1"/>
  </r>
  <r>
    <m/>
    <m/>
    <x v="1"/>
    <s v="48254983001001"/>
    <n v="-94.24"/>
    <n v="1617"/>
    <n v="1"/>
    <n v="1"/>
  </r>
  <r>
    <m/>
    <m/>
    <x v="1"/>
    <s v="48274801002002"/>
    <n v="-78.040000000000006"/>
    <n v="1339"/>
    <n v="1"/>
    <n v="1"/>
  </r>
  <r>
    <m/>
    <m/>
    <x v="1"/>
    <s v="48287655003001"/>
    <n v="-34.729999999999997"/>
    <n v="596"/>
    <n v="1"/>
    <n v="1"/>
  </r>
  <r>
    <m/>
    <m/>
    <x v="1"/>
    <s v="48366361004005"/>
    <n v="-6.76"/>
    <n v="116"/>
    <n v="1"/>
    <n v="1"/>
  </r>
  <r>
    <m/>
    <m/>
    <x v="1"/>
    <s v="48474794001001"/>
    <n v="-214.57999999999998"/>
    <n v="3533"/>
    <n v="3"/>
    <n v="1"/>
  </r>
  <r>
    <m/>
    <m/>
    <x v="1"/>
    <s v="48488730001001"/>
    <n v="-97.53"/>
    <n v="1591"/>
    <n v="2"/>
    <n v="1"/>
  </r>
  <r>
    <m/>
    <m/>
    <x v="1"/>
    <s v="48518541001001"/>
    <n v="-111.86"/>
    <n v="1914"/>
    <n v="2"/>
    <n v="1"/>
  </r>
  <r>
    <m/>
    <m/>
    <x v="1"/>
    <s v="48552561001006"/>
    <n v="-19.600000000000001"/>
    <n v="326"/>
    <n v="2"/>
    <n v="1"/>
  </r>
  <r>
    <m/>
    <m/>
    <x v="1"/>
    <s v="48671160001004"/>
    <n v="-175.29"/>
    <n v="2837"/>
    <n v="2"/>
    <n v="1"/>
  </r>
  <r>
    <m/>
    <m/>
    <x v="1"/>
    <s v="48704876001001"/>
    <n v="-75.36"/>
    <n v="1293"/>
    <n v="1"/>
    <n v="1"/>
  </r>
  <r>
    <m/>
    <m/>
    <x v="1"/>
    <s v="48771464001005"/>
    <n v="-51.269999999999996"/>
    <n v="862"/>
    <n v="2"/>
    <n v="1"/>
  </r>
  <r>
    <m/>
    <m/>
    <x v="1"/>
    <s v="48789559005001"/>
    <n v="-64.17"/>
    <n v="1101"/>
    <n v="1"/>
    <n v="1"/>
  </r>
  <r>
    <m/>
    <m/>
    <x v="1"/>
    <s v="48790307001001"/>
    <n v="-183.21"/>
    <n v="3071"/>
    <n v="2"/>
    <n v="1"/>
  </r>
  <r>
    <m/>
    <m/>
    <x v="1"/>
    <s v="48798510001003"/>
    <n v="-80.89"/>
    <n v="1388"/>
    <n v="1"/>
    <n v="1"/>
  </r>
  <r>
    <m/>
    <m/>
    <x v="1"/>
    <s v="48843876001001"/>
    <n v="-77.569999999999993"/>
    <n v="1331"/>
    <n v="1"/>
    <n v="1"/>
  </r>
  <r>
    <m/>
    <m/>
    <x v="1"/>
    <s v="48867586002009"/>
    <n v="-82.149999999999991"/>
    <n v="1381"/>
    <n v="2"/>
    <n v="1"/>
  </r>
  <r>
    <m/>
    <m/>
    <x v="1"/>
    <s v="48920787001001"/>
    <n v="-27.080000000000002"/>
    <n v="462"/>
    <n v="2"/>
    <n v="1"/>
  </r>
  <r>
    <m/>
    <m/>
    <x v="1"/>
    <s v="48925661001005"/>
    <n v="-81.55"/>
    <n v="1367"/>
    <n v="2"/>
    <n v="1"/>
  </r>
  <r>
    <m/>
    <m/>
    <x v="1"/>
    <s v="48930701001003"/>
    <n v="-79.14"/>
    <n v="1358"/>
    <n v="1"/>
    <n v="1"/>
  </r>
  <r>
    <m/>
    <m/>
    <x v="1"/>
    <s v="48996360001005"/>
    <n v="-118.36000000000001"/>
    <n v="1931"/>
    <n v="2"/>
    <n v="1"/>
  </r>
  <r>
    <m/>
    <m/>
    <x v="1"/>
    <s v="49059747001011"/>
    <n v="-26.02"/>
    <n v="433"/>
    <n v="2"/>
    <n v="1"/>
  </r>
  <r>
    <m/>
    <m/>
    <x v="1"/>
    <s v="49069822001001"/>
    <n v="-113.76"/>
    <n v="1952"/>
    <n v="1"/>
    <n v="1"/>
  </r>
  <r>
    <m/>
    <m/>
    <x v="1"/>
    <s v="49110279001004"/>
    <n v="-49.89"/>
    <n v="856"/>
    <n v="1"/>
    <n v="1"/>
  </r>
  <r>
    <m/>
    <m/>
    <x v="1"/>
    <s v="49114661001002"/>
    <n v="-135.75"/>
    <n v="2203"/>
    <n v="2"/>
    <n v="1"/>
  </r>
  <r>
    <m/>
    <m/>
    <x v="1"/>
    <s v="49146371004001"/>
    <n v="-57.1"/>
    <n v="950"/>
    <n v="2"/>
    <n v="1"/>
  </r>
  <r>
    <m/>
    <m/>
    <x v="1"/>
    <s v="49153651002001"/>
    <n v="-4.25"/>
    <n v="69"/>
    <n v="2"/>
    <n v="1"/>
  </r>
  <r>
    <m/>
    <m/>
    <x v="1"/>
    <s v="49214775001001"/>
    <n v="-38.409999999999997"/>
    <n v="659"/>
    <n v="1"/>
    <n v="1"/>
  </r>
  <r>
    <m/>
    <m/>
    <x v="1"/>
    <s v="49295866001005"/>
    <n v="-194.39"/>
    <n v="3268"/>
    <n v="2"/>
    <n v="1"/>
  </r>
  <r>
    <m/>
    <m/>
    <x v="1"/>
    <s v="49472851001001"/>
    <n v="-82.93"/>
    <n v="1423"/>
    <n v="1"/>
    <n v="1"/>
  </r>
  <r>
    <m/>
    <m/>
    <x v="1"/>
    <s v="49520699001005"/>
    <n v="-73.34"/>
    <n v="1220"/>
    <n v="2"/>
    <n v="1"/>
  </r>
  <r>
    <m/>
    <m/>
    <x v="1"/>
    <s v="49542291001001"/>
    <n v="-218.11"/>
    <n v="3530"/>
    <n v="2"/>
    <n v="1"/>
  </r>
  <r>
    <m/>
    <m/>
    <x v="1"/>
    <s v="49549801001003"/>
    <n v="-167.22000000000003"/>
    <n v="2728"/>
    <n v="2"/>
    <n v="1"/>
  </r>
  <r>
    <m/>
    <m/>
    <x v="1"/>
    <s v="49586951001001"/>
    <n v="-103.68"/>
    <n v="1678"/>
    <n v="2"/>
    <n v="1"/>
  </r>
  <r>
    <m/>
    <m/>
    <x v="1"/>
    <s v="49622441001001"/>
    <n v="-120.36"/>
    <n v="1948"/>
    <n v="2"/>
    <n v="1"/>
  </r>
  <r>
    <m/>
    <m/>
    <x v="1"/>
    <s v="49632381001008"/>
    <n v="-179.24"/>
    <n v="2901"/>
    <n v="2"/>
    <n v="1"/>
  </r>
  <r>
    <m/>
    <m/>
    <x v="1"/>
    <s v="49743471001001"/>
    <n v="-154.84"/>
    <n v="2506"/>
    <n v="2"/>
    <n v="1"/>
  </r>
  <r>
    <m/>
    <m/>
    <x v="1"/>
    <s v="49808641003001"/>
    <n v="-162.88999999999999"/>
    <n v="2795"/>
    <n v="1"/>
    <n v="1"/>
  </r>
  <r>
    <m/>
    <m/>
    <x v="1"/>
    <s v="49809621001004"/>
    <n v="-27.8"/>
    <n v="477"/>
    <n v="1"/>
    <n v="1"/>
  </r>
  <r>
    <m/>
    <m/>
    <x v="1"/>
    <s v="49903001001002"/>
    <n v="-157.41"/>
    <n v="2701"/>
    <n v="1"/>
    <n v="1"/>
  </r>
  <r>
    <m/>
    <m/>
    <x v="1"/>
    <s v="49944272001001"/>
    <n v="-128.07"/>
    <n v="2153"/>
    <n v="2"/>
    <n v="1"/>
  </r>
  <r>
    <m/>
    <m/>
    <x v="1"/>
    <s v="49953330001004"/>
    <n v="-69.989999999999995"/>
    <n v="1201"/>
    <n v="1"/>
    <n v="1"/>
  </r>
  <r>
    <m/>
    <m/>
    <x v="1"/>
    <s v="49960891003001"/>
    <n v="-148.96"/>
    <n v="2556"/>
    <n v="1"/>
    <n v="1"/>
  </r>
  <r>
    <m/>
    <m/>
    <x v="1"/>
    <s v="49963733001001"/>
    <n v="-66.56"/>
    <n v="1142"/>
    <n v="1"/>
    <n v="1"/>
  </r>
  <r>
    <m/>
    <m/>
    <x v="1"/>
    <s v="50042468003001"/>
    <n v="-11.13"/>
    <n v="191"/>
    <n v="1"/>
    <n v="1"/>
  </r>
  <r>
    <m/>
    <m/>
    <x v="1"/>
    <s v="50119791001001"/>
    <n v="-15.629999999999999"/>
    <n v="260"/>
    <n v="2"/>
    <n v="1"/>
  </r>
  <r>
    <m/>
    <m/>
    <x v="1"/>
    <s v="50146181002001"/>
    <n v="-125.08000000000001"/>
    <n v="2126"/>
    <n v="2"/>
    <n v="1"/>
  </r>
  <r>
    <m/>
    <m/>
    <x v="1"/>
    <s v="50146531001002"/>
    <n v="-30.090000000000003"/>
    <n v="487"/>
    <n v="2"/>
    <n v="1"/>
  </r>
  <r>
    <m/>
    <m/>
    <x v="1"/>
    <s v="50175157001008"/>
    <n v="-41.73"/>
    <n v="716"/>
    <n v="1"/>
    <n v="1"/>
  </r>
  <r>
    <m/>
    <m/>
    <x v="1"/>
    <s v="50218504001005"/>
    <n v="-68.55"/>
    <n v="1144"/>
    <n v="2"/>
    <n v="1"/>
  </r>
  <r>
    <m/>
    <m/>
    <x v="1"/>
    <s v="50234784001005"/>
    <n v="-114.17"/>
    <n v="1959"/>
    <n v="1"/>
    <n v="1"/>
  </r>
  <r>
    <m/>
    <m/>
    <x v="1"/>
    <s v="50245081001005"/>
    <n v="-134.01999999999998"/>
    <n v="2278"/>
    <n v="2"/>
    <n v="1"/>
  </r>
  <r>
    <m/>
    <m/>
    <x v="1"/>
    <s v="50271551003001"/>
    <n v="-118.57000000000001"/>
    <n v="1999"/>
    <n v="2"/>
    <n v="1"/>
  </r>
  <r>
    <m/>
    <m/>
    <x v="1"/>
    <s v="50363741006001"/>
    <n v="-44.18"/>
    <n v="758"/>
    <n v="1"/>
    <n v="1"/>
  </r>
  <r>
    <m/>
    <m/>
    <x v="1"/>
    <s v="50368711001001"/>
    <n v="-160.26"/>
    <n v="2666"/>
    <n v="2"/>
    <n v="1"/>
  </r>
  <r>
    <m/>
    <m/>
    <x v="1"/>
    <s v="50395403001001"/>
    <n v="-94.36"/>
    <n v="1604"/>
    <n v="2"/>
    <n v="1"/>
  </r>
  <r>
    <m/>
    <m/>
    <x v="1"/>
    <s v="50448812001001"/>
    <n v="-61.620000000000005"/>
    <n v="1000"/>
    <n v="2"/>
    <n v="1"/>
  </r>
  <r>
    <m/>
    <m/>
    <x v="1"/>
    <s v="50575121001001"/>
    <n v="-39.68"/>
    <n v="667"/>
    <n v="2"/>
    <n v="1"/>
  </r>
  <r>
    <m/>
    <m/>
    <x v="1"/>
    <s v="50577986002006"/>
    <n v="-114.96000000000001"/>
    <n v="1927"/>
    <n v="2"/>
    <n v="1"/>
  </r>
  <r>
    <m/>
    <m/>
    <x v="1"/>
    <s v="50578291001002"/>
    <n v="-72.150000000000006"/>
    <n v="1238"/>
    <n v="1"/>
    <n v="1"/>
  </r>
  <r>
    <m/>
    <m/>
    <x v="1"/>
    <s v="50583810001001"/>
    <n v="-265.84000000000003"/>
    <n v="4482"/>
    <n v="2"/>
    <n v="1"/>
  </r>
  <r>
    <m/>
    <m/>
    <x v="1"/>
    <s v="50632541001006"/>
    <n v="-129.27000000000001"/>
    <n v="2173"/>
    <n v="2"/>
    <n v="1"/>
  </r>
  <r>
    <m/>
    <m/>
    <x v="1"/>
    <s v="50634081002001"/>
    <n v="-55.5"/>
    <n v="917"/>
    <n v="2"/>
    <n v="1"/>
  </r>
  <r>
    <m/>
    <m/>
    <x v="1"/>
    <s v="50677761001001"/>
    <n v="-2.4500000000000002"/>
    <n v="42"/>
    <n v="1"/>
    <n v="1"/>
  </r>
  <r>
    <m/>
    <m/>
    <x v="1"/>
    <s v="50720811001003"/>
    <n v="-15.05"/>
    <n v="253"/>
    <n v="2"/>
    <n v="1"/>
  </r>
  <r>
    <m/>
    <m/>
    <x v="1"/>
    <s v="50745624002003"/>
    <n v="-61.25"/>
    <n v="1051"/>
    <n v="1"/>
    <n v="1"/>
  </r>
  <r>
    <m/>
    <m/>
    <x v="1"/>
    <s v="50757351002006"/>
    <n v="-115.41"/>
    <n v="1873"/>
    <n v="2"/>
    <n v="1"/>
  </r>
  <r>
    <m/>
    <m/>
    <x v="1"/>
    <s v="50802890001001"/>
    <n v="-10.02"/>
    <n v="172"/>
    <n v="1"/>
    <n v="1"/>
  </r>
  <r>
    <m/>
    <m/>
    <x v="1"/>
    <s v="50861231003003"/>
    <n v="-291.69"/>
    <n v="5005"/>
    <n v="1"/>
    <n v="1"/>
  </r>
  <r>
    <m/>
    <m/>
    <x v="1"/>
    <s v="50867741001001"/>
    <n v="-5.49"/>
    <n v="90"/>
    <n v="2"/>
    <n v="1"/>
  </r>
  <r>
    <m/>
    <m/>
    <x v="1"/>
    <s v="50873620001001"/>
    <n v="-165.98"/>
    <n v="2848"/>
    <n v="1"/>
    <n v="1"/>
  </r>
  <r>
    <m/>
    <m/>
    <x v="1"/>
    <s v="50874321001001"/>
    <n v="-16.350000000000001"/>
    <n v="269"/>
    <n v="2"/>
    <n v="1"/>
  </r>
  <r>
    <m/>
    <m/>
    <x v="1"/>
    <s v="50891821006005"/>
    <n v="-196.96"/>
    <n v="3370"/>
    <n v="2"/>
    <n v="1"/>
  </r>
  <r>
    <m/>
    <m/>
    <x v="1"/>
    <s v="50892241001002"/>
    <n v="-80.759999999999991"/>
    <n v="1325"/>
    <n v="2"/>
    <n v="1"/>
  </r>
  <r>
    <m/>
    <m/>
    <x v="1"/>
    <s v="50907501002001"/>
    <n v="-150.57"/>
    <n v="2488"/>
    <n v="2"/>
    <n v="1"/>
  </r>
  <r>
    <m/>
    <m/>
    <x v="1"/>
    <s v="50955251001001"/>
    <n v="-72.27000000000001"/>
    <n v="1215"/>
    <n v="2"/>
    <n v="1"/>
  </r>
  <r>
    <m/>
    <m/>
    <x v="1"/>
    <s v="50972811001001"/>
    <n v="-83.72999999999999"/>
    <n v="1397"/>
    <n v="2"/>
    <n v="1"/>
  </r>
  <r>
    <m/>
    <m/>
    <x v="1"/>
    <s v="50980185001006"/>
    <n v="-156.88"/>
    <n v="2645"/>
    <n v="2"/>
    <n v="1"/>
  </r>
  <r>
    <m/>
    <m/>
    <x v="1"/>
    <s v="50980301002006"/>
    <n v="-134.07999999999998"/>
    <n v="2170"/>
    <n v="2"/>
    <n v="1"/>
  </r>
  <r>
    <m/>
    <m/>
    <x v="1"/>
    <s v="50982891003001"/>
    <n v="-97.62"/>
    <n v="1624"/>
    <n v="2"/>
    <n v="1"/>
  </r>
  <r>
    <m/>
    <m/>
    <x v="1"/>
    <s v="50998792001004"/>
    <n v="-104.34"/>
    <n v="1780"/>
    <n v="2"/>
    <n v="1"/>
  </r>
  <r>
    <m/>
    <m/>
    <x v="1"/>
    <s v="51002981005001"/>
    <n v="-105.35"/>
    <n v="1771"/>
    <n v="2"/>
    <n v="1"/>
  </r>
  <r>
    <m/>
    <m/>
    <x v="1"/>
    <s v="51011101001001"/>
    <n v="-181.82"/>
    <n v="2996"/>
    <n v="2"/>
    <n v="1"/>
  </r>
  <r>
    <m/>
    <m/>
    <x v="1"/>
    <s v="51012360002001"/>
    <n v="-135.97"/>
    <n v="2333"/>
    <n v="1"/>
    <n v="1"/>
  </r>
  <r>
    <m/>
    <m/>
    <x v="1"/>
    <s v="51026361001001"/>
    <n v="-241.86"/>
    <n v="3925"/>
    <n v="2"/>
    <n v="1"/>
  </r>
  <r>
    <m/>
    <m/>
    <x v="1"/>
    <s v="51027691001003"/>
    <n v="-184.43"/>
    <n v="3039"/>
    <n v="2"/>
    <n v="1"/>
  </r>
  <r>
    <m/>
    <m/>
    <x v="1"/>
    <s v="51040151001001"/>
    <n v="-114.25"/>
    <n v="1854"/>
    <n v="2"/>
    <n v="1"/>
  </r>
  <r>
    <m/>
    <m/>
    <x v="1"/>
    <s v="51049671008001"/>
    <n v="-159.63"/>
    <n v="2739"/>
    <n v="1"/>
    <n v="1"/>
  </r>
  <r>
    <m/>
    <m/>
    <x v="1"/>
    <s v="51053381001002"/>
    <n v="-5.5500000000000007"/>
    <n v="90"/>
    <n v="2"/>
    <n v="1"/>
  </r>
  <r>
    <m/>
    <m/>
    <x v="1"/>
    <s v="51053871001001"/>
    <n v="-68.460000000000008"/>
    <n v="1111"/>
    <n v="2"/>
    <n v="1"/>
  </r>
  <r>
    <m/>
    <m/>
    <x v="1"/>
    <s v="51057441001003"/>
    <n v="-174.33"/>
    <n v="2829"/>
    <n v="2"/>
    <n v="1"/>
  </r>
  <r>
    <m/>
    <m/>
    <x v="1"/>
    <s v="51068361001002"/>
    <n v="-2.16"/>
    <n v="35"/>
    <n v="2"/>
    <n v="1"/>
  </r>
  <r>
    <m/>
    <m/>
    <x v="1"/>
    <s v="51073821001002"/>
    <n v="-34.54"/>
    <n v="559"/>
    <n v="2"/>
    <n v="1"/>
  </r>
  <r>
    <m/>
    <m/>
    <x v="1"/>
    <s v="51093652001008"/>
    <n v="-158.87"/>
    <n v="2726"/>
    <n v="1"/>
    <n v="1"/>
  </r>
  <r>
    <m/>
    <m/>
    <x v="1"/>
    <s v="51104901004003"/>
    <n v="-89.16"/>
    <n v="1443"/>
    <n v="2"/>
    <n v="1"/>
  </r>
  <r>
    <m/>
    <m/>
    <x v="1"/>
    <s v="51106511001005"/>
    <n v="-129.96"/>
    <n v="2109"/>
    <n v="2"/>
    <n v="1"/>
  </r>
  <r>
    <m/>
    <m/>
    <x v="1"/>
    <s v="51112531001001"/>
    <n v="-8.65"/>
    <n v="140"/>
    <n v="2"/>
    <n v="1"/>
  </r>
  <r>
    <m/>
    <m/>
    <x v="1"/>
    <s v="51126041002002"/>
    <n v="-286.44"/>
    <n v="4673"/>
    <n v="2"/>
    <n v="1"/>
  </r>
  <r>
    <m/>
    <m/>
    <x v="1"/>
    <s v="51127017001002"/>
    <n v="-48.96"/>
    <n v="823"/>
    <n v="2"/>
    <n v="1"/>
  </r>
  <r>
    <m/>
    <m/>
    <x v="1"/>
    <s v="51133531001002"/>
    <n v="-131.06"/>
    <n v="2127"/>
    <n v="2"/>
    <n v="1"/>
  </r>
  <r>
    <m/>
    <m/>
    <x v="1"/>
    <s v="51138081002001"/>
    <n v="-209.46"/>
    <n v="3390"/>
    <n v="2"/>
    <n v="1"/>
  </r>
  <r>
    <m/>
    <m/>
    <x v="1"/>
    <s v="51142701001001"/>
    <n v="-118.73"/>
    <n v="1937"/>
    <n v="2"/>
    <n v="1"/>
  </r>
  <r>
    <m/>
    <m/>
    <x v="1"/>
    <s v="51159081001001"/>
    <n v="-77.789999999999992"/>
    <n v="1269"/>
    <n v="2"/>
    <n v="1"/>
  </r>
  <r>
    <m/>
    <m/>
    <x v="1"/>
    <s v="51159431001001"/>
    <n v="-163.11000000000001"/>
    <n v="2661"/>
    <n v="2"/>
    <n v="1"/>
  </r>
  <r>
    <m/>
    <m/>
    <x v="1"/>
    <s v="51165871003001"/>
    <n v="-172.98"/>
    <n v="2822"/>
    <n v="2"/>
    <n v="1"/>
  </r>
  <r>
    <m/>
    <m/>
    <x v="1"/>
    <s v="51180361001001"/>
    <n v="-15.14"/>
    <n v="247"/>
    <n v="2"/>
    <n v="1"/>
  </r>
  <r>
    <m/>
    <m/>
    <x v="1"/>
    <s v="51182321003003"/>
    <n v="-87.65"/>
    <n v="1504"/>
    <n v="1"/>
    <n v="1"/>
  </r>
  <r>
    <m/>
    <m/>
    <x v="1"/>
    <s v="51184281006001"/>
    <n v="-150.6"/>
    <n v="2444"/>
    <n v="2"/>
    <n v="1"/>
  </r>
  <r>
    <m/>
    <m/>
    <x v="1"/>
    <s v="51216341012001"/>
    <n v="-134.07999999999998"/>
    <n v="2170"/>
    <n v="2"/>
    <n v="1"/>
  </r>
  <r>
    <m/>
    <m/>
    <x v="1"/>
    <s v="51222851001001"/>
    <n v="-73.990000000000009"/>
    <n v="1207"/>
    <n v="2"/>
    <n v="1"/>
  </r>
  <r>
    <m/>
    <m/>
    <x v="1"/>
    <s v="51227611001003"/>
    <n v="-112.73"/>
    <n v="1839"/>
    <n v="2"/>
    <n v="1"/>
  </r>
  <r>
    <m/>
    <m/>
    <x v="1"/>
    <s v="51233351001001"/>
    <n v="-3.7399999999999998"/>
    <n v="61"/>
    <n v="2"/>
    <n v="1"/>
  </r>
  <r>
    <m/>
    <m/>
    <x v="1"/>
    <s v="51237341002006"/>
    <n v="-155.56"/>
    <n v="2588"/>
    <n v="2"/>
    <n v="1"/>
  </r>
  <r>
    <m/>
    <m/>
    <x v="1"/>
    <s v="51237411001001"/>
    <n v="-83.92"/>
    <n v="1369"/>
    <n v="2"/>
    <n v="1"/>
  </r>
  <r>
    <m/>
    <m/>
    <x v="1"/>
    <s v="51315674001002"/>
    <n v="-82.3"/>
    <n v="1404"/>
    <n v="2"/>
    <n v="1"/>
  </r>
  <r>
    <m/>
    <m/>
    <x v="1"/>
    <s v="51315811004001"/>
    <n v="-209.68"/>
    <n v="3535"/>
    <n v="2"/>
    <n v="1"/>
  </r>
  <r>
    <m/>
    <m/>
    <x v="1"/>
    <s v="51396381005001"/>
    <n v="-230.49"/>
    <n v="3886"/>
    <n v="2"/>
    <n v="1"/>
  </r>
  <r>
    <m/>
    <m/>
    <x v="1"/>
    <s v="51412212003001"/>
    <n v="-193.11"/>
    <n v="3182"/>
    <n v="2"/>
    <n v="1"/>
  </r>
  <r>
    <m/>
    <m/>
    <x v="1"/>
    <s v="51424031004001"/>
    <n v="-124.42"/>
    <n v="2123"/>
    <n v="2"/>
    <n v="1"/>
  </r>
  <r>
    <m/>
    <m/>
    <x v="1"/>
    <s v="51441601002001"/>
    <n v="-197.67000000000002"/>
    <n v="3373"/>
    <n v="2"/>
    <n v="1"/>
  </r>
  <r>
    <m/>
    <m/>
    <x v="1"/>
    <s v="51456371002001"/>
    <n v="-100.98"/>
    <n v="1664"/>
    <n v="2"/>
    <n v="1"/>
  </r>
  <r>
    <m/>
    <m/>
    <x v="1"/>
    <s v="51461761001001"/>
    <n v="-55.95"/>
    <n v="960"/>
    <n v="1"/>
    <n v="1"/>
  </r>
  <r>
    <m/>
    <m/>
    <x v="1"/>
    <s v="51467250001001"/>
    <n v="-34.870000000000005"/>
    <n v="588"/>
    <n v="2"/>
    <n v="1"/>
  </r>
  <r>
    <m/>
    <m/>
    <x v="1"/>
    <s v="51469191001009"/>
    <n v="-37.44"/>
    <n v="606"/>
    <n v="2"/>
    <n v="1"/>
  </r>
  <r>
    <m/>
    <m/>
    <x v="1"/>
    <s v="51516081001002"/>
    <n v="-46.18"/>
    <n v="785"/>
    <n v="2"/>
    <n v="1"/>
  </r>
  <r>
    <m/>
    <m/>
    <x v="1"/>
    <s v="51528401002002"/>
    <n v="-157.54999999999998"/>
    <n v="2678"/>
    <n v="2"/>
    <n v="1"/>
  </r>
  <r>
    <m/>
    <m/>
    <x v="1"/>
    <s v="51528681001002"/>
    <n v="-17.82"/>
    <n v="303"/>
    <n v="2"/>
    <n v="1"/>
  </r>
  <r>
    <m/>
    <m/>
    <x v="1"/>
    <s v="51542891001003"/>
    <n v="-114.72"/>
    <n v="1950"/>
    <n v="2"/>
    <n v="1"/>
  </r>
  <r>
    <m/>
    <m/>
    <x v="1"/>
    <s v="51543731002001"/>
    <n v="-155.43"/>
    <n v="2642"/>
    <n v="2"/>
    <n v="1"/>
  </r>
  <r>
    <m/>
    <m/>
    <x v="1"/>
    <s v="51544151002001"/>
    <n v="-124.02"/>
    <n v="2128"/>
    <n v="1"/>
    <n v="1"/>
  </r>
  <r>
    <m/>
    <m/>
    <x v="1"/>
    <s v="51554091001001"/>
    <n v="-178.66000000000003"/>
    <n v="3037"/>
    <n v="2"/>
    <n v="1"/>
  </r>
  <r>
    <m/>
    <m/>
    <x v="1"/>
    <s v="51556121001002"/>
    <n v="-84.6"/>
    <n v="1438"/>
    <n v="2"/>
    <n v="1"/>
  </r>
  <r>
    <m/>
    <m/>
    <x v="1"/>
    <s v="51557381001002"/>
    <n v="-58.36"/>
    <n v="992"/>
    <n v="2"/>
    <n v="1"/>
  </r>
  <r>
    <m/>
    <m/>
    <x v="1"/>
    <s v="51568021003009"/>
    <n v="-80.13"/>
    <n v="1347"/>
    <n v="2"/>
    <n v="1"/>
  </r>
  <r>
    <m/>
    <m/>
    <x v="1"/>
    <s v="51572011001005"/>
    <n v="-180.57999999999998"/>
    <n v="2946"/>
    <n v="2"/>
    <n v="1"/>
  </r>
  <r>
    <m/>
    <m/>
    <x v="1"/>
    <s v="51588111004001"/>
    <n v="-131.37"/>
    <n v="2233"/>
    <n v="2"/>
    <n v="1"/>
  </r>
  <r>
    <m/>
    <m/>
    <x v="1"/>
    <s v="51589096001005"/>
    <n v="-65.95"/>
    <n v="1121"/>
    <n v="2"/>
    <n v="1"/>
  </r>
  <r>
    <m/>
    <m/>
    <x v="1"/>
    <s v="51591471001001"/>
    <n v="-81.010000000000005"/>
    <n v="1377"/>
    <n v="2"/>
    <n v="1"/>
  </r>
  <r>
    <m/>
    <m/>
    <x v="1"/>
    <s v="51595951001005"/>
    <n v="-78.64"/>
    <n v="1283"/>
    <n v="2"/>
    <n v="1"/>
  </r>
  <r>
    <m/>
    <m/>
    <x v="1"/>
    <s v="51603441001001"/>
    <n v="-112.6"/>
    <n v="1914"/>
    <n v="2"/>
    <n v="1"/>
  </r>
  <r>
    <m/>
    <m/>
    <x v="1"/>
    <s v="51609181001001"/>
    <n v="-126.07"/>
    <n v="2143"/>
    <n v="2"/>
    <n v="1"/>
  </r>
  <r>
    <m/>
    <m/>
    <x v="1"/>
    <s v="51610791002001"/>
    <n v="-69.600000000000009"/>
    <n v="1183"/>
    <n v="2"/>
    <n v="1"/>
  </r>
  <r>
    <m/>
    <m/>
    <x v="1"/>
    <s v="51615411001001"/>
    <n v="-106.13"/>
    <n v="1804"/>
    <n v="2"/>
    <n v="1"/>
  </r>
  <r>
    <m/>
    <m/>
    <x v="1"/>
    <s v="51615551001001"/>
    <n v="-159.72"/>
    <n v="2715"/>
    <n v="2"/>
    <n v="1"/>
  </r>
  <r>
    <m/>
    <m/>
    <x v="1"/>
    <s v="51618911002001"/>
    <n v="-155.6"/>
    <n v="2645"/>
    <n v="2"/>
    <n v="1"/>
  </r>
  <r>
    <m/>
    <m/>
    <x v="1"/>
    <s v="51619110002001"/>
    <n v="-167.25"/>
    <n v="2843"/>
    <n v="2"/>
    <n v="1"/>
  </r>
  <r>
    <m/>
    <m/>
    <x v="1"/>
    <s v="51627031001001"/>
    <n v="-39.540000000000006"/>
    <n v="672"/>
    <n v="2"/>
    <n v="1"/>
  </r>
  <r>
    <m/>
    <m/>
    <x v="1"/>
    <s v="51628011003001"/>
    <n v="-53.27"/>
    <n v="914"/>
    <n v="1"/>
    <n v="1"/>
  </r>
  <r>
    <m/>
    <m/>
    <x v="1"/>
    <s v="51682390003003"/>
    <n v="-189.04000000000002"/>
    <n v="3178"/>
    <n v="2"/>
    <n v="1"/>
  </r>
  <r>
    <m/>
    <m/>
    <x v="1"/>
    <s v="51719592001003"/>
    <n v="-83.28"/>
    <n v="1429"/>
    <n v="1"/>
    <n v="1"/>
  </r>
  <r>
    <m/>
    <m/>
    <x v="1"/>
    <s v="51772856006003"/>
    <n v="-109.51"/>
    <n v="1879"/>
    <n v="1"/>
    <n v="1"/>
  </r>
  <r>
    <m/>
    <m/>
    <x v="1"/>
    <s v="51777409002001"/>
    <n v="-141.54"/>
    <n v="2297"/>
    <n v="2"/>
    <n v="1"/>
  </r>
  <r>
    <m/>
    <m/>
    <x v="1"/>
    <s v="51790155001003"/>
    <n v="-39.340000000000003"/>
    <n v="675"/>
    <n v="1"/>
    <n v="1"/>
  </r>
  <r>
    <m/>
    <m/>
    <x v="1"/>
    <s v="51910701001010"/>
    <n v="-201.94"/>
    <n v="3385"/>
    <n v="2"/>
    <n v="1"/>
  </r>
  <r>
    <m/>
    <m/>
    <x v="1"/>
    <s v="51911437001003"/>
    <n v="-86.95"/>
    <n v="1492"/>
    <n v="1"/>
    <n v="1"/>
  </r>
  <r>
    <m/>
    <m/>
    <x v="1"/>
    <s v="51976041001003"/>
    <n v="-86.78"/>
    <n v="1489"/>
    <n v="1"/>
    <n v="1"/>
  </r>
  <r>
    <m/>
    <m/>
    <x v="1"/>
    <s v="51992068001001"/>
    <n v="-5.89"/>
    <n v="101"/>
    <n v="1"/>
    <n v="1"/>
  </r>
  <r>
    <m/>
    <m/>
    <x v="1"/>
    <s v="52042325001004"/>
    <n v="-154.97999999999999"/>
    <n v="2644"/>
    <n v="2"/>
    <n v="1"/>
  </r>
  <r>
    <m/>
    <m/>
    <x v="1"/>
    <s v="52117368002001"/>
    <n v="-60.54"/>
    <n v="1029"/>
    <n v="2"/>
    <n v="1"/>
  </r>
  <r>
    <m/>
    <m/>
    <x v="1"/>
    <s v="52175886001002"/>
    <n v="-90.33"/>
    <n v="1550"/>
    <n v="1"/>
    <n v="1"/>
  </r>
  <r>
    <m/>
    <m/>
    <x v="1"/>
    <s v="52231893001002"/>
    <n v="-96.509999999999991"/>
    <n v="1562"/>
    <n v="2"/>
    <n v="1"/>
  </r>
  <r>
    <m/>
    <m/>
    <x v="1"/>
    <s v="52259109001002"/>
    <n v="-95.13"/>
    <n v="1617"/>
    <n v="2"/>
    <n v="1"/>
  </r>
  <r>
    <m/>
    <m/>
    <x v="1"/>
    <s v="52383903001008"/>
    <n v="-77.63"/>
    <n v="1332"/>
    <n v="1"/>
    <n v="1"/>
  </r>
  <r>
    <m/>
    <m/>
    <x v="1"/>
    <s v="52419352004001"/>
    <n v="-71.92"/>
    <n v="1164"/>
    <n v="2"/>
    <n v="1"/>
  </r>
  <r>
    <m/>
    <m/>
    <x v="1"/>
    <s v="52440246001003"/>
    <n v="-180.22"/>
    <n v="3021"/>
    <n v="2"/>
    <n v="1"/>
  </r>
  <r>
    <m/>
    <m/>
    <x v="1"/>
    <s v="52507041001001"/>
    <n v="-55.6"/>
    <n v="954"/>
    <n v="1"/>
    <n v="1"/>
  </r>
  <r>
    <m/>
    <m/>
    <x v="1"/>
    <s v="52557185001003"/>
    <n v="-85.41"/>
    <n v="1386"/>
    <n v="2"/>
    <n v="1"/>
  </r>
  <r>
    <m/>
    <m/>
    <x v="1"/>
    <s v="52650916001001"/>
    <n v="-158.04"/>
    <n v="2629"/>
    <n v="2"/>
    <n v="1"/>
  </r>
  <r>
    <m/>
    <m/>
    <x v="1"/>
    <s v="52742616001001"/>
    <n v="-405.34000000000003"/>
    <n v="6578"/>
    <n v="2"/>
    <n v="1"/>
  </r>
  <r>
    <m/>
    <m/>
    <x v="1"/>
    <s v="52909254001001"/>
    <n v="-38.409999999999997"/>
    <n v="659"/>
    <n v="1"/>
    <n v="1"/>
  </r>
  <r>
    <m/>
    <m/>
    <x v="1"/>
    <s v="52942632001005"/>
    <n v="-92.06"/>
    <n v="1494"/>
    <n v="2"/>
    <n v="1"/>
  </r>
  <r>
    <m/>
    <m/>
    <x v="1"/>
    <s v="52973692001004"/>
    <n v="-27.74"/>
    <n v="476"/>
    <n v="1"/>
    <n v="1"/>
  </r>
  <r>
    <m/>
    <m/>
    <x v="1"/>
    <s v="53040645001004"/>
    <n v="-117.77"/>
    <n v="1974"/>
    <n v="2"/>
    <n v="1"/>
  </r>
  <r>
    <m/>
    <m/>
    <x v="1"/>
    <s v="53087879001001"/>
    <n v="-43.629999999999995"/>
    <n v="708"/>
    <n v="2"/>
    <n v="1"/>
  </r>
  <r>
    <m/>
    <m/>
    <x v="1"/>
    <s v="53096079004003"/>
    <n v="-83.22"/>
    <n v="1399"/>
    <n v="2"/>
    <n v="1"/>
  </r>
  <r>
    <m/>
    <m/>
    <x v="1"/>
    <s v="53124174001010"/>
    <n v="-36.75"/>
    <n v="616"/>
    <n v="2"/>
    <n v="1"/>
  </r>
  <r>
    <m/>
    <m/>
    <x v="1"/>
    <s v="53276260002001"/>
    <n v="-227.76"/>
    <n v="3840"/>
    <n v="2"/>
    <n v="1"/>
  </r>
  <r>
    <m/>
    <m/>
    <x v="1"/>
    <s v="53287108001001"/>
    <n v="-44.03"/>
    <n v="738"/>
    <n v="2"/>
    <n v="1"/>
  </r>
  <r>
    <m/>
    <m/>
    <x v="1"/>
    <s v="53333677003005"/>
    <n v="-131.42000000000002"/>
    <n v="2127"/>
    <n v="2"/>
    <n v="1"/>
  </r>
  <r>
    <m/>
    <m/>
    <x v="1"/>
    <s v="53355064001008"/>
    <n v="-116.66999999999999"/>
    <n v="1967"/>
    <n v="2"/>
    <n v="1"/>
  </r>
  <r>
    <m/>
    <m/>
    <x v="1"/>
    <s v="53390379003003"/>
    <n v="-54.26"/>
    <n v="931"/>
    <n v="1"/>
    <n v="1"/>
  </r>
  <r>
    <m/>
    <m/>
    <x v="1"/>
    <s v="53512067001011"/>
    <n v="-98.16"/>
    <n v="1633"/>
    <n v="2"/>
    <n v="1"/>
  </r>
  <r>
    <m/>
    <m/>
    <x v="1"/>
    <s v="53553898001001"/>
    <n v="-34.119999999999997"/>
    <n v="582"/>
    <n v="2"/>
    <n v="1"/>
  </r>
  <r>
    <m/>
    <m/>
    <x v="1"/>
    <s v="53586339001001"/>
    <n v="-26.17"/>
    <n v="449"/>
    <n v="1"/>
    <n v="1"/>
  </r>
  <r>
    <m/>
    <m/>
    <x v="1"/>
    <s v="53629812002001"/>
    <n v="-21.869999999999997"/>
    <n v="354"/>
    <n v="2"/>
    <n v="1"/>
  </r>
  <r>
    <m/>
    <m/>
    <x v="1"/>
    <s v="53707529001003"/>
    <n v="-38.42"/>
    <n v="646"/>
    <n v="2"/>
    <n v="1"/>
  </r>
  <r>
    <m/>
    <m/>
    <x v="1"/>
    <s v="53784070001007"/>
    <n v="-31.18"/>
    <n v="535"/>
    <n v="1"/>
    <n v="1"/>
  </r>
  <r>
    <m/>
    <m/>
    <x v="1"/>
    <s v="53812406001002"/>
    <n v="-49.77"/>
    <n v="854"/>
    <n v="1"/>
    <n v="1"/>
  </r>
  <r>
    <m/>
    <m/>
    <x v="1"/>
    <s v="53826705002009"/>
    <n v="-52.46"/>
    <n v="895"/>
    <n v="2"/>
    <n v="1"/>
  </r>
  <r>
    <m/>
    <m/>
    <x v="1"/>
    <s v="53861499001001"/>
    <n v="-118.89"/>
    <n v="2040"/>
    <n v="1"/>
    <n v="1"/>
  </r>
  <r>
    <m/>
    <m/>
    <x v="1"/>
    <s v="53911595001002"/>
    <n v="-59.21"/>
    <n v="1016"/>
    <n v="1"/>
    <n v="1"/>
  </r>
  <r>
    <m/>
    <m/>
    <x v="1"/>
    <s v="54268596001001"/>
    <n v="-6.0600000000000005"/>
    <n v="103"/>
    <n v="3"/>
    <n v="1"/>
  </r>
  <r>
    <m/>
    <m/>
    <x v="1"/>
    <s v="54306064004001"/>
    <n v="-156.68"/>
    <n v="2589"/>
    <n v="2"/>
    <n v="1"/>
  </r>
  <r>
    <m/>
    <m/>
    <x v="1"/>
    <s v="54329736005001"/>
    <n v="-65.25"/>
    <n v="1056"/>
    <n v="2"/>
    <n v="1"/>
  </r>
  <r>
    <m/>
    <m/>
    <x v="1"/>
    <s v="54362749001005"/>
    <n v="-93.78"/>
    <n v="1522"/>
    <n v="2"/>
    <n v="1"/>
  </r>
  <r>
    <m/>
    <m/>
    <x v="1"/>
    <s v="54395825001003"/>
    <n v="-53.79"/>
    <n v="923"/>
    <n v="1"/>
    <n v="1"/>
  </r>
  <r>
    <m/>
    <m/>
    <x v="1"/>
    <s v="54408477001001"/>
    <n v="-76.7"/>
    <n v="1316"/>
    <n v="1"/>
    <n v="1"/>
  </r>
  <r>
    <m/>
    <m/>
    <x v="1"/>
    <s v="54419366001001"/>
    <n v="-56.98"/>
    <n v="972"/>
    <n v="2"/>
    <n v="1"/>
  </r>
  <r>
    <m/>
    <m/>
    <x v="1"/>
    <s v="54425586002001"/>
    <n v="-18.940000000000001"/>
    <n v="325"/>
    <n v="1"/>
    <n v="1"/>
  </r>
  <r>
    <m/>
    <m/>
    <x v="1"/>
    <s v="54477932001004"/>
    <n v="-56.24"/>
    <n v="965"/>
    <n v="1"/>
    <n v="1"/>
  </r>
  <r>
    <m/>
    <m/>
    <x v="1"/>
    <s v="54503017001001"/>
    <n v="-4.28"/>
    <n v="73"/>
    <n v="2"/>
    <n v="1"/>
  </r>
  <r>
    <m/>
    <m/>
    <x v="1"/>
    <s v="54523601001001"/>
    <n v="-245.44"/>
    <n v="4172"/>
    <n v="2"/>
    <n v="1"/>
  </r>
  <r>
    <m/>
    <m/>
    <x v="1"/>
    <s v="54754288002005"/>
    <n v="-51.17"/>
    <n v="878"/>
    <n v="1"/>
    <n v="1"/>
  </r>
  <r>
    <m/>
    <m/>
    <x v="1"/>
    <s v="54870440001001"/>
    <n v="-188.68"/>
    <n v="3062"/>
    <n v="2"/>
    <n v="1"/>
  </r>
  <r>
    <m/>
    <m/>
    <x v="1"/>
    <s v="54951169001003"/>
    <n v="-79.14"/>
    <n v="1358"/>
    <n v="1"/>
    <n v="1"/>
  </r>
  <r>
    <m/>
    <m/>
    <x v="1"/>
    <s v="54978920001003"/>
    <n v="-108.49000000000001"/>
    <n v="1844"/>
    <n v="2"/>
    <n v="1"/>
  </r>
  <r>
    <m/>
    <m/>
    <x v="1"/>
    <s v="55059572001001"/>
    <n v="-56.63"/>
    <n v="919"/>
    <n v="2"/>
    <n v="1"/>
  </r>
  <r>
    <m/>
    <m/>
    <x v="1"/>
    <s v="55126085001004"/>
    <n v="-90"/>
    <n v="1513"/>
    <n v="2"/>
    <n v="1"/>
  </r>
  <r>
    <m/>
    <m/>
    <x v="1"/>
    <s v="55194605001001"/>
    <n v="-76.989999999999995"/>
    <n v="1321"/>
    <n v="1"/>
    <n v="1"/>
  </r>
  <r>
    <m/>
    <m/>
    <x v="1"/>
    <s v="55258972001003"/>
    <n v="-191.04"/>
    <n v="3278"/>
    <n v="1"/>
    <n v="1"/>
  </r>
  <r>
    <m/>
    <m/>
    <x v="1"/>
    <s v="55356091006001"/>
    <n v="-126.83000000000001"/>
    <n v="2126"/>
    <n v="3"/>
    <n v="1"/>
  </r>
  <r>
    <m/>
    <m/>
    <x v="1"/>
    <s v="55524078001001"/>
    <n v="-135.25"/>
    <n v="2189"/>
    <n v="2"/>
    <n v="1"/>
  </r>
  <r>
    <m/>
    <m/>
    <x v="1"/>
    <s v="55527314001004"/>
    <n v="-64.44"/>
    <n v="1072"/>
    <n v="2"/>
    <n v="1"/>
  </r>
  <r>
    <m/>
    <m/>
    <x v="1"/>
    <s v="55536729004001"/>
    <n v="-112.63999999999999"/>
    <n v="1823"/>
    <n v="2"/>
    <n v="1"/>
  </r>
  <r>
    <m/>
    <m/>
    <x v="1"/>
    <s v="55566255001003"/>
    <n v="-215.1"/>
    <n v="3616"/>
    <n v="2"/>
    <n v="1"/>
  </r>
  <r>
    <m/>
    <m/>
    <x v="1"/>
    <s v="55693754001001"/>
    <n v="-218.91"/>
    <n v="3607"/>
    <n v="2"/>
    <n v="1"/>
  </r>
  <r>
    <m/>
    <m/>
    <x v="1"/>
    <s v="55703490001004"/>
    <n v="-59.730000000000004"/>
    <n v="1019"/>
    <n v="2"/>
    <n v="1"/>
  </r>
  <r>
    <m/>
    <m/>
    <x v="1"/>
    <s v="55781832001008"/>
    <n v="-183.63"/>
    <n v="3078"/>
    <n v="2"/>
    <n v="1"/>
  </r>
  <r>
    <m/>
    <m/>
    <x v="1"/>
    <s v="55798886001003"/>
    <n v="-18.559999999999999"/>
    <n v="312"/>
    <n v="2"/>
    <n v="1"/>
  </r>
  <r>
    <m/>
    <m/>
    <x v="1"/>
    <s v="55971351001005"/>
    <n v="-68.03"/>
    <n v="1110"/>
    <n v="2"/>
    <n v="1"/>
  </r>
  <r>
    <m/>
    <m/>
    <x v="1"/>
    <s v="56079112001004"/>
    <n v="-130.61000000000001"/>
    <n v="2241"/>
    <n v="1"/>
    <n v="1"/>
  </r>
  <r>
    <m/>
    <m/>
    <x v="1"/>
    <s v="56087752002005"/>
    <n v="-56.65"/>
    <n v="972"/>
    <n v="1"/>
    <n v="1"/>
  </r>
  <r>
    <m/>
    <m/>
    <x v="1"/>
    <s v="56095941001001"/>
    <n v="-141.41"/>
    <n v="2307"/>
    <n v="2"/>
    <n v="1"/>
  </r>
  <r>
    <m/>
    <m/>
    <x v="1"/>
    <s v="56180731001001"/>
    <n v="-2.1"/>
    <n v="36"/>
    <n v="1"/>
    <n v="1"/>
  </r>
  <r>
    <m/>
    <m/>
    <x v="1"/>
    <s v="56213971001003"/>
    <n v="-195.96"/>
    <n v="3180"/>
    <n v="2"/>
    <n v="1"/>
  </r>
  <r>
    <m/>
    <m/>
    <x v="1"/>
    <s v="56215841001001"/>
    <n v="-141.04000000000002"/>
    <n v="2371"/>
    <n v="2"/>
    <n v="1"/>
  </r>
  <r>
    <m/>
    <m/>
    <x v="1"/>
    <s v="56272890001001"/>
    <n v="-58.68"/>
    <n v="967"/>
    <n v="2"/>
    <n v="1"/>
  </r>
  <r>
    <m/>
    <m/>
    <x v="1"/>
    <s v="56312823002001"/>
    <n v="-104.67"/>
    <n v="1796"/>
    <n v="1"/>
    <n v="1"/>
  </r>
  <r>
    <m/>
    <m/>
    <x v="1"/>
    <s v="56378536001001"/>
    <n v="-126.41"/>
    <n v="2169"/>
    <n v="1"/>
    <n v="1"/>
  </r>
  <r>
    <m/>
    <m/>
    <x v="1"/>
    <s v="56386327001003"/>
    <n v="-64.13"/>
    <n v="1090"/>
    <n v="2"/>
    <n v="1"/>
  </r>
  <r>
    <m/>
    <m/>
    <x v="1"/>
    <s v="56404144001004"/>
    <n v="-43.54"/>
    <n v="734"/>
    <n v="2"/>
    <n v="1"/>
  </r>
  <r>
    <m/>
    <m/>
    <x v="1"/>
    <s v="56463265001003"/>
    <n v="-135.07"/>
    <n v="2186"/>
    <n v="2"/>
    <n v="1"/>
  </r>
  <r>
    <m/>
    <m/>
    <x v="1"/>
    <s v="56511566004001"/>
    <n v="-140.05000000000001"/>
    <n v="2330"/>
    <n v="2"/>
    <n v="1"/>
  </r>
  <r>
    <m/>
    <m/>
    <x v="1"/>
    <s v="56604939001001"/>
    <n v="-224.74"/>
    <n v="3778"/>
    <n v="2"/>
    <n v="1"/>
  </r>
  <r>
    <m/>
    <m/>
    <x v="1"/>
    <s v="56634209003002"/>
    <n v="-25.93"/>
    <n v="445"/>
    <n v="1"/>
    <n v="1"/>
  </r>
  <r>
    <m/>
    <m/>
    <x v="1"/>
    <s v="56725042001004"/>
    <n v="-44.29"/>
    <n v="760"/>
    <n v="1"/>
    <n v="1"/>
  </r>
  <r>
    <m/>
    <m/>
    <x v="1"/>
    <s v="56947002001001"/>
    <n v="-118.24000000000001"/>
    <n v="1982"/>
    <n v="2"/>
    <n v="1"/>
  </r>
  <r>
    <m/>
    <m/>
    <x v="1"/>
    <s v="56973669001001"/>
    <n v="-77.28"/>
    <n v="1326"/>
    <n v="1"/>
    <n v="1"/>
  </r>
  <r>
    <m/>
    <m/>
    <x v="1"/>
    <s v="57000650001002"/>
    <n v="-56.12"/>
    <n v="963"/>
    <n v="1"/>
    <n v="1"/>
  </r>
  <r>
    <m/>
    <m/>
    <x v="1"/>
    <s v="57011783002003"/>
    <n v="-54.49"/>
    <n v="935"/>
    <n v="1"/>
    <n v="1"/>
  </r>
  <r>
    <m/>
    <m/>
    <x v="1"/>
    <s v="57050305002003"/>
    <n v="-78.3"/>
    <n v="1331"/>
    <n v="2"/>
    <n v="1"/>
  </r>
  <r>
    <m/>
    <m/>
    <x v="1"/>
    <s v="57053280001003"/>
    <n v="-284.51"/>
    <n v="4688"/>
    <n v="2"/>
    <n v="1"/>
  </r>
  <r>
    <m/>
    <m/>
    <x v="1"/>
    <s v="57157582001007"/>
    <n v="-104.44"/>
    <n v="1792"/>
    <n v="1"/>
    <n v="1"/>
  </r>
  <r>
    <m/>
    <m/>
    <x v="1"/>
    <s v="57314587001009"/>
    <n v="-15.91"/>
    <n v="273"/>
    <n v="1"/>
    <n v="1"/>
  </r>
  <r>
    <m/>
    <m/>
    <x v="1"/>
    <s v="57409186002001"/>
    <n v="-51.75"/>
    <n v="888"/>
    <n v="1"/>
    <n v="1"/>
  </r>
  <r>
    <m/>
    <m/>
    <x v="1"/>
    <s v="57422963001002"/>
    <n v="-110.72"/>
    <n v="1842"/>
    <n v="2"/>
    <n v="1"/>
  </r>
  <r>
    <m/>
    <m/>
    <x v="1"/>
    <s v="57504758001005"/>
    <n v="-79.61"/>
    <n v="1366"/>
    <n v="1"/>
    <n v="1"/>
  </r>
  <r>
    <m/>
    <m/>
    <x v="1"/>
    <s v="57596110001001"/>
    <n v="-97.7"/>
    <n v="1648"/>
    <n v="2"/>
    <n v="1"/>
  </r>
  <r>
    <m/>
    <m/>
    <x v="1"/>
    <s v="57631181001002"/>
    <n v="-56.59"/>
    <n v="971"/>
    <n v="1"/>
    <n v="1"/>
  </r>
  <r>
    <m/>
    <m/>
    <x v="1"/>
    <s v="57634785002001"/>
    <n v="-178.8"/>
    <n v="3068"/>
    <n v="1"/>
    <n v="1"/>
  </r>
  <r>
    <m/>
    <m/>
    <x v="1"/>
    <s v="57703524001001"/>
    <n v="-33.86"/>
    <n v="581"/>
    <n v="1"/>
    <n v="1"/>
  </r>
  <r>
    <m/>
    <m/>
    <x v="1"/>
    <s v="57785781001002"/>
    <n v="-100.53"/>
    <n v="1725"/>
    <n v="1"/>
    <n v="1"/>
  </r>
  <r>
    <m/>
    <m/>
    <x v="1"/>
    <s v="57869500001003"/>
    <n v="-96.86"/>
    <n v="1662"/>
    <n v="1"/>
    <n v="1"/>
  </r>
  <r>
    <m/>
    <m/>
    <x v="1"/>
    <s v="57946557001001"/>
    <n v="-88.37"/>
    <n v="1470"/>
    <n v="2"/>
    <n v="1"/>
  </r>
  <r>
    <m/>
    <m/>
    <x v="1"/>
    <s v="58070087003005"/>
    <n v="-244.51"/>
    <n v="3968"/>
    <n v="2"/>
    <n v="1"/>
  </r>
  <r>
    <m/>
    <m/>
    <x v="1"/>
    <s v="58238806001004"/>
    <n v="-18.149999999999999"/>
    <n v="305"/>
    <n v="2"/>
    <n v="1"/>
  </r>
  <r>
    <m/>
    <m/>
    <x v="1"/>
    <s v="58383494001001"/>
    <n v="-119.56"/>
    <n v="1935"/>
    <n v="2"/>
    <n v="1"/>
  </r>
  <r>
    <m/>
    <m/>
    <x v="1"/>
    <s v="58426355002001"/>
    <n v="-63.47"/>
    <n v="1089"/>
    <n v="1"/>
    <n v="1"/>
  </r>
  <r>
    <m/>
    <m/>
    <x v="1"/>
    <s v="58476662001005"/>
    <n v="-115.5"/>
    <n v="1936"/>
    <n v="2"/>
    <n v="1"/>
  </r>
  <r>
    <m/>
    <m/>
    <x v="1"/>
    <s v="58549564001001"/>
    <n v="-140.07"/>
    <n v="2267"/>
    <n v="2"/>
    <n v="1"/>
  </r>
  <r>
    <m/>
    <m/>
    <x v="1"/>
    <s v="58573146001001"/>
    <n v="-20.34"/>
    <n v="349"/>
    <n v="1"/>
    <n v="1"/>
  </r>
  <r>
    <m/>
    <m/>
    <x v="1"/>
    <s v="58719680001003"/>
    <n v="-120.74000000000001"/>
    <n v="2024"/>
    <n v="2"/>
    <n v="1"/>
  </r>
  <r>
    <m/>
    <m/>
    <x v="1"/>
    <s v="59145811001005"/>
    <n v="-27.47"/>
    <n v="467"/>
    <n v="2"/>
    <n v="1"/>
  </r>
  <r>
    <m/>
    <m/>
    <x v="1"/>
    <s v="59207015002003"/>
    <n v="-171.84"/>
    <n v="2921"/>
    <n v="2"/>
    <n v="1"/>
  </r>
  <r>
    <m/>
    <m/>
    <x v="1"/>
    <s v="59215955002003"/>
    <n v="-112.07"/>
    <n v="1923"/>
    <n v="1"/>
    <n v="1"/>
  </r>
  <r>
    <m/>
    <m/>
    <x v="1"/>
    <s v="59243405001001"/>
    <n v="-172.33"/>
    <n v="2897"/>
    <n v="2"/>
    <n v="1"/>
  </r>
  <r>
    <m/>
    <m/>
    <x v="1"/>
    <s v="59547463005003"/>
    <n v="-246.41"/>
    <n v="3988"/>
    <n v="2"/>
    <n v="1"/>
  </r>
  <r>
    <m/>
    <m/>
    <x v="1"/>
    <s v="59582257003001"/>
    <n v="-97.16"/>
    <n v="1601"/>
    <n v="2"/>
    <n v="1"/>
  </r>
  <r>
    <m/>
    <m/>
    <x v="1"/>
    <s v="59782518001001"/>
    <n v="-123.62"/>
    <n v="2109"/>
    <n v="2"/>
    <n v="1"/>
  </r>
  <r>
    <m/>
    <m/>
    <x v="1"/>
    <s v="59795907001001"/>
    <n v="-3.09"/>
    <n v="53"/>
    <n v="1"/>
    <n v="1"/>
  </r>
  <r>
    <m/>
    <m/>
    <x v="1"/>
    <s v="59904249001001"/>
    <n v="-148.07999999999998"/>
    <n v="2517"/>
    <n v="2"/>
    <n v="1"/>
  </r>
  <r>
    <m/>
    <m/>
    <x v="1"/>
    <s v="59919753001001"/>
    <n v="-60.68"/>
    <n v="1020"/>
    <n v="2"/>
    <n v="1"/>
  </r>
  <r>
    <m/>
    <m/>
    <x v="1"/>
    <s v="60063354001001"/>
    <n v="-292.02"/>
    <n v="4764"/>
    <n v="2"/>
    <n v="1"/>
  </r>
  <r>
    <m/>
    <m/>
    <x v="1"/>
    <s v="60068702001008"/>
    <n v="-95.44"/>
    <n v="1633"/>
    <n v="2"/>
    <n v="1"/>
  </r>
  <r>
    <m/>
    <m/>
    <x v="1"/>
    <s v="60103851002003"/>
    <n v="-32.869999999999997"/>
    <n v="564"/>
    <n v="1"/>
    <n v="1"/>
  </r>
  <r>
    <m/>
    <m/>
    <x v="1"/>
    <s v="60148123001001"/>
    <n v="-193"/>
    <n v="3235"/>
    <n v="2"/>
    <n v="1"/>
  </r>
  <r>
    <m/>
    <m/>
    <x v="1"/>
    <s v="60187351001001"/>
    <n v="-189"/>
    <n v="3243"/>
    <n v="1"/>
    <n v="1"/>
  </r>
  <r>
    <m/>
    <m/>
    <x v="1"/>
    <s v="60237712001011"/>
    <n v="-87.77000000000001"/>
    <n v="1492"/>
    <n v="2"/>
    <n v="1"/>
  </r>
  <r>
    <m/>
    <m/>
    <x v="1"/>
    <s v="60262385001001"/>
    <n v="-369.64"/>
    <n v="6214"/>
    <n v="2"/>
    <n v="1"/>
  </r>
  <r>
    <m/>
    <m/>
    <x v="1"/>
    <s v="60270707001007"/>
    <n v="-94.19"/>
    <n v="1588"/>
    <n v="2"/>
    <n v="1"/>
  </r>
  <r>
    <m/>
    <m/>
    <x v="1"/>
    <s v="60311235002003"/>
    <n v="-7.05"/>
    <n v="121"/>
    <n v="1"/>
    <n v="1"/>
  </r>
  <r>
    <m/>
    <m/>
    <x v="1"/>
    <s v="60311880001002"/>
    <n v="-296.12"/>
    <n v="5052"/>
    <n v="2"/>
    <n v="1"/>
  </r>
  <r>
    <m/>
    <m/>
    <x v="1"/>
    <s v="60469369001004"/>
    <n v="-50.69"/>
    <n v="852"/>
    <n v="2"/>
    <n v="1"/>
  </r>
  <r>
    <m/>
    <m/>
    <x v="1"/>
    <s v="60537211009001"/>
    <n v="-112.66"/>
    <n v="1933"/>
    <n v="1"/>
    <n v="1"/>
  </r>
  <r>
    <m/>
    <m/>
    <x v="1"/>
    <s v="60885859001001"/>
    <n v="-45.54"/>
    <n v="743"/>
    <n v="2"/>
    <n v="1"/>
  </r>
  <r>
    <m/>
    <m/>
    <x v="1"/>
    <s v="60891092001002"/>
    <n v="-112.19"/>
    <n v="1925"/>
    <n v="1"/>
    <n v="1"/>
  </r>
  <r>
    <m/>
    <m/>
    <x v="1"/>
    <s v="60933719008001"/>
    <n v="-119.01"/>
    <n v="2042"/>
    <n v="1"/>
    <n v="1"/>
  </r>
  <r>
    <m/>
    <m/>
    <x v="1"/>
    <s v="60942818001007"/>
    <n v="-116.11"/>
    <n v="1952"/>
    <n v="2"/>
    <n v="1"/>
  </r>
  <r>
    <m/>
    <m/>
    <x v="1"/>
    <s v="60952463002005"/>
    <n v="-7.05"/>
    <n v="121"/>
    <n v="1"/>
    <n v="1"/>
  </r>
  <r>
    <m/>
    <m/>
    <x v="1"/>
    <s v="61063646001001"/>
    <n v="-34.270000000000003"/>
    <n v="588"/>
    <n v="1"/>
    <n v="1"/>
  </r>
  <r>
    <m/>
    <m/>
    <x v="1"/>
    <s v="61094059001003"/>
    <n v="-30.89"/>
    <n v="530"/>
    <n v="1"/>
    <n v="1"/>
  </r>
  <r>
    <m/>
    <m/>
    <x v="1"/>
    <s v="61096024001009"/>
    <n v="-142.80000000000001"/>
    <n v="2353"/>
    <n v="2"/>
    <n v="1"/>
  </r>
  <r>
    <m/>
    <m/>
    <x v="1"/>
    <s v="61197491001001"/>
    <n v="-107.5"/>
    <n v="1834"/>
    <n v="2"/>
    <n v="1"/>
  </r>
  <r>
    <m/>
    <m/>
    <x v="1"/>
    <s v="61201741003001"/>
    <n v="-82.35"/>
    <n v="1370"/>
    <n v="2"/>
    <n v="1"/>
  </r>
  <r>
    <m/>
    <m/>
    <x v="1"/>
    <s v="61241854001001"/>
    <n v="-67.599999999999994"/>
    <n v="1160"/>
    <n v="1"/>
    <n v="1"/>
  </r>
  <r>
    <m/>
    <m/>
    <x v="1"/>
    <s v="61254120001004"/>
    <n v="-73.11"/>
    <n v="1229"/>
    <n v="2"/>
    <n v="1"/>
  </r>
  <r>
    <m/>
    <m/>
    <x v="1"/>
    <s v="61408607001001"/>
    <n v="-126.53999999999999"/>
    <n v="2076"/>
    <n v="2"/>
    <n v="1"/>
  </r>
  <r>
    <m/>
    <m/>
    <x v="1"/>
    <s v="61725151001005"/>
    <n v="-81.31"/>
    <n v="1316"/>
    <n v="2"/>
    <n v="1"/>
  </r>
  <r>
    <m/>
    <m/>
    <x v="1"/>
    <s v="61837291001001"/>
    <n v="-93.23"/>
    <n v="1551"/>
    <n v="2"/>
    <n v="1"/>
  </r>
  <r>
    <m/>
    <m/>
    <x v="1"/>
    <s v="61919998001001"/>
    <n v="-190.61"/>
    <n v="3085"/>
    <n v="2"/>
    <n v="1"/>
  </r>
  <r>
    <m/>
    <m/>
    <x v="1"/>
    <s v="61935568001001"/>
    <n v="-73.45"/>
    <n v="1205"/>
    <n v="2"/>
    <n v="1"/>
  </r>
  <r>
    <m/>
    <m/>
    <x v="1"/>
    <s v="62062811001010"/>
    <n v="-7.3800000000000008"/>
    <n v="124"/>
    <n v="2"/>
    <n v="1"/>
  </r>
  <r>
    <m/>
    <m/>
    <x v="1"/>
    <s v="62065609001001"/>
    <n v="-170.2"/>
    <n v="2853"/>
    <n v="2"/>
    <n v="1"/>
  </r>
  <r>
    <m/>
    <m/>
    <x v="1"/>
    <s v="62148084003001"/>
    <n v="-50.46"/>
    <n v="842"/>
    <n v="2"/>
    <n v="1"/>
  </r>
  <r>
    <m/>
    <m/>
    <x v="1"/>
    <s v="62235479001001"/>
    <n v="-26.63"/>
    <n v="457"/>
    <n v="1"/>
    <n v="1"/>
  </r>
  <r>
    <m/>
    <m/>
    <x v="1"/>
    <s v="62296705003003"/>
    <n v="-297.2"/>
    <n v="4810"/>
    <n v="2"/>
    <n v="1"/>
  </r>
  <r>
    <m/>
    <m/>
    <x v="1"/>
    <s v="62351203003001"/>
    <n v="-188.98000000000002"/>
    <n v="3177"/>
    <n v="2"/>
    <n v="1"/>
  </r>
  <r>
    <m/>
    <m/>
    <x v="1"/>
    <s v="62360104001003"/>
    <n v="-93.42"/>
    <n v="1603"/>
    <n v="1"/>
    <n v="1"/>
  </r>
  <r>
    <m/>
    <m/>
    <x v="1"/>
    <s v="62447696001001"/>
    <n v="-32.11"/>
    <n v="551"/>
    <n v="1"/>
    <n v="1"/>
  </r>
  <r>
    <m/>
    <m/>
    <x v="1"/>
    <s v="62483712001004"/>
    <n v="-76.87"/>
    <n v="1319"/>
    <n v="1"/>
    <n v="1"/>
  </r>
  <r>
    <m/>
    <m/>
    <x v="1"/>
    <s v="62495514001001"/>
    <n v="-68.48"/>
    <n v="1175"/>
    <n v="1"/>
    <n v="1"/>
  </r>
  <r>
    <m/>
    <m/>
    <x v="1"/>
    <s v="62610781001004"/>
    <n v="-86.02"/>
    <n v="1476"/>
    <n v="1"/>
    <n v="1"/>
  </r>
  <r>
    <m/>
    <m/>
    <x v="1"/>
    <s v="62615155002001"/>
    <n v="-108.53"/>
    <n v="1857"/>
    <n v="2"/>
    <n v="1"/>
  </r>
  <r>
    <m/>
    <m/>
    <x v="1"/>
    <s v="62682462001001"/>
    <n v="-203.28"/>
    <n v="3488"/>
    <n v="1"/>
    <n v="1"/>
  </r>
  <r>
    <m/>
    <m/>
    <x v="1"/>
    <s v="62712929001001"/>
    <n v="-79.2"/>
    <n v="1336"/>
    <n v="2"/>
    <n v="1"/>
  </r>
  <r>
    <m/>
    <m/>
    <x v="1"/>
    <s v="62746326001001"/>
    <n v="-64.63"/>
    <n v="1046"/>
    <n v="2"/>
    <n v="1"/>
  </r>
  <r>
    <m/>
    <m/>
    <x v="1"/>
    <s v="62780064001001"/>
    <n v="-103.98"/>
    <n v="1748"/>
    <n v="2"/>
    <n v="1"/>
  </r>
  <r>
    <m/>
    <m/>
    <x v="1"/>
    <s v="62820845001004"/>
    <n v="-86.08"/>
    <n v="1477"/>
    <n v="1"/>
    <n v="1"/>
  </r>
  <r>
    <m/>
    <m/>
    <x v="1"/>
    <s v="62852130001002"/>
    <n v="-7.81"/>
    <n v="134"/>
    <n v="1"/>
    <n v="1"/>
  </r>
  <r>
    <m/>
    <m/>
    <x v="1"/>
    <s v="62855144002003"/>
    <n v="-94.41"/>
    <n v="1620"/>
    <n v="1"/>
    <n v="1"/>
  </r>
  <r>
    <m/>
    <m/>
    <x v="1"/>
    <s v="62965041001001"/>
    <n v="-15.24"/>
    <n v="259"/>
    <n v="2"/>
    <n v="1"/>
  </r>
  <r>
    <m/>
    <m/>
    <x v="1"/>
    <s v="63178902001002"/>
    <n v="-30.01"/>
    <n v="515"/>
    <n v="1"/>
    <n v="1"/>
  </r>
  <r>
    <m/>
    <m/>
    <x v="1"/>
    <s v="63254923002001"/>
    <n v="-45.230000000000004"/>
    <n v="738"/>
    <n v="2"/>
    <n v="1"/>
  </r>
  <r>
    <m/>
    <m/>
    <x v="1"/>
    <s v="63257498001003"/>
    <n v="-141.45999999999998"/>
    <n v="2378"/>
    <n v="2"/>
    <n v="1"/>
  </r>
  <r>
    <m/>
    <m/>
    <x v="1"/>
    <s v="63329115001002"/>
    <n v="-37.82"/>
    <n v="649"/>
    <n v="1"/>
    <n v="1"/>
  </r>
  <r>
    <m/>
    <m/>
    <x v="1"/>
    <s v="63473902002001"/>
    <n v="-106.27000000000001"/>
    <n v="1813"/>
    <n v="2"/>
    <n v="1"/>
  </r>
  <r>
    <m/>
    <m/>
    <x v="1"/>
    <s v="63847291001002"/>
    <n v="-70.52"/>
    <n v="1210"/>
    <n v="1"/>
    <n v="1"/>
  </r>
  <r>
    <m/>
    <m/>
    <x v="1"/>
    <s v="63853276001005"/>
    <n v="-59.04"/>
    <n v="1013"/>
    <n v="1"/>
    <n v="1"/>
  </r>
  <r>
    <m/>
    <m/>
    <x v="1"/>
    <s v="63974376001003"/>
    <n v="-132.83000000000001"/>
    <n v="2233"/>
    <n v="2"/>
    <n v="1"/>
  </r>
  <r>
    <m/>
    <m/>
    <x v="1"/>
    <s v="64092233001001"/>
    <n v="-134.34"/>
    <n v="2305"/>
    <n v="1"/>
    <n v="1"/>
  </r>
  <r>
    <m/>
    <m/>
    <x v="1"/>
    <s v="64133260001001"/>
    <n v="-72.27"/>
    <n v="1240"/>
    <n v="1"/>
    <n v="1"/>
  </r>
  <r>
    <m/>
    <m/>
    <x v="1"/>
    <s v="64227891001003"/>
    <n v="-122.62"/>
    <n v="2104"/>
    <n v="1"/>
    <n v="1"/>
  </r>
  <r>
    <m/>
    <m/>
    <x v="1"/>
    <s v="64277366004001"/>
    <n v="-98.38"/>
    <n v="1688"/>
    <n v="1"/>
    <n v="1"/>
  </r>
  <r>
    <m/>
    <m/>
    <x v="1"/>
    <s v="64727466001007"/>
    <n v="-129.32"/>
    <n v="2174"/>
    <n v="2"/>
    <n v="1"/>
  </r>
  <r>
    <m/>
    <m/>
    <x v="1"/>
    <s v="64762963002001"/>
    <n v="-162.94"/>
    <n v="2747"/>
    <n v="2"/>
    <n v="1"/>
  </r>
  <r>
    <m/>
    <m/>
    <x v="1"/>
    <s v="64787221002001"/>
    <n v="-62.42"/>
    <n v="1071"/>
    <n v="1"/>
    <n v="1"/>
  </r>
  <r>
    <m/>
    <m/>
    <x v="1"/>
    <s v="64960542001013"/>
    <n v="-61.02"/>
    <n v="1047"/>
    <n v="1"/>
    <n v="1"/>
  </r>
  <r>
    <m/>
    <m/>
    <x v="1"/>
    <s v="64960637003001"/>
    <n v="-11.89"/>
    <n v="204"/>
    <n v="1"/>
    <n v="1"/>
  </r>
  <r>
    <m/>
    <m/>
    <x v="1"/>
    <s v="65041396001006"/>
    <n v="-1.24"/>
    <n v="20"/>
    <n v="2"/>
    <n v="1"/>
  </r>
  <r>
    <m/>
    <m/>
    <x v="1"/>
    <s v="65047530001001"/>
    <n v="-216.04"/>
    <n v="3707"/>
    <n v="1"/>
    <n v="1"/>
  </r>
  <r>
    <m/>
    <m/>
    <x v="1"/>
    <s v="65303114002001"/>
    <n v="-104.28"/>
    <n v="1779"/>
    <n v="2"/>
    <n v="1"/>
  </r>
  <r>
    <m/>
    <m/>
    <x v="1"/>
    <s v="65415525004001"/>
    <n v="-27.62"/>
    <n v="474"/>
    <n v="1"/>
    <n v="1"/>
  </r>
  <r>
    <m/>
    <m/>
    <x v="1"/>
    <s v="65447350001002"/>
    <n v="-38.99"/>
    <n v="669"/>
    <n v="1"/>
    <n v="1"/>
  </r>
  <r>
    <m/>
    <m/>
    <x v="1"/>
    <s v="65501585001005"/>
    <n v="-27.04"/>
    <n v="464"/>
    <n v="1"/>
    <n v="1"/>
  </r>
  <r>
    <m/>
    <m/>
    <x v="1"/>
    <s v="65509711001003"/>
    <n v="-166.17"/>
    <n v="2711"/>
    <n v="2"/>
    <n v="1"/>
  </r>
  <r>
    <m/>
    <m/>
    <x v="1"/>
    <s v="66052105002003"/>
    <n v="-206.55"/>
    <n v="3534"/>
    <n v="2"/>
    <n v="1"/>
  </r>
  <r>
    <m/>
    <m/>
    <x v="1"/>
    <s v="66083905003006"/>
    <n v="-40.54"/>
    <n v="658"/>
    <n v="2"/>
    <n v="1"/>
  </r>
  <r>
    <m/>
    <m/>
    <x v="1"/>
    <s v="66166298003001"/>
    <n v="-67.14"/>
    <n v="1152"/>
    <n v="1"/>
    <n v="1"/>
  </r>
  <r>
    <m/>
    <m/>
    <x v="1"/>
    <s v="66219418001001"/>
    <n v="-21.62"/>
    <n v="371"/>
    <n v="1"/>
    <n v="1"/>
  </r>
  <r>
    <m/>
    <m/>
    <x v="1"/>
    <s v="66310272001003"/>
    <n v="-103.74"/>
    <n v="1780"/>
    <n v="1"/>
    <n v="1"/>
  </r>
  <r>
    <m/>
    <m/>
    <x v="1"/>
    <s v="66411933001007"/>
    <n v="-29.79"/>
    <n v="486"/>
    <n v="2"/>
    <n v="1"/>
  </r>
  <r>
    <m/>
    <m/>
    <x v="1"/>
    <s v="66421133001001"/>
    <n v="-59.49"/>
    <n v="1003"/>
    <n v="2"/>
    <n v="1"/>
  </r>
  <r>
    <m/>
    <m/>
    <x v="1"/>
    <s v="66438713001009"/>
    <n v="-67.319999999999993"/>
    <n v="1120"/>
    <n v="2"/>
    <n v="1"/>
  </r>
  <r>
    <m/>
    <m/>
    <x v="1"/>
    <s v="66455859001001"/>
    <n v="-144.95999999999998"/>
    <n v="2464"/>
    <n v="2"/>
    <n v="1"/>
  </r>
  <r>
    <m/>
    <m/>
    <x v="1"/>
    <s v="66541721002006"/>
    <n v="-225.72"/>
    <n v="3873"/>
    <n v="1"/>
    <n v="1"/>
  </r>
  <r>
    <m/>
    <m/>
    <x v="1"/>
    <s v="66753430001001"/>
    <n v="-137.37"/>
    <n v="2357"/>
    <n v="1"/>
    <n v="1"/>
  </r>
  <r>
    <m/>
    <m/>
    <x v="1"/>
    <s v="66795559006001"/>
    <n v="-46.51"/>
    <n v="798"/>
    <n v="1"/>
    <n v="1"/>
  </r>
  <r>
    <m/>
    <m/>
    <x v="1"/>
    <s v="66842259001003"/>
    <n v="-151.19999999999999"/>
    <n v="2542"/>
    <n v="2"/>
    <n v="1"/>
  </r>
  <r>
    <m/>
    <m/>
    <x v="1"/>
    <s v="66923121001005"/>
    <n v="-160.58000000000001"/>
    <n v="2665"/>
    <n v="2"/>
    <n v="1"/>
  </r>
  <r>
    <m/>
    <m/>
    <x v="1"/>
    <s v="66970135001001"/>
    <n v="-68.53"/>
    <n v="1156"/>
    <n v="2"/>
    <n v="1"/>
  </r>
  <r>
    <m/>
    <m/>
    <x v="1"/>
    <s v="67012711004001"/>
    <n v="-18.03"/>
    <n v="303"/>
    <n v="2"/>
    <n v="1"/>
  </r>
  <r>
    <m/>
    <m/>
    <x v="1"/>
    <s v="67052660001005"/>
    <n v="-229.85000000000002"/>
    <n v="3730"/>
    <n v="2"/>
    <n v="1"/>
  </r>
  <r>
    <m/>
    <m/>
    <x v="1"/>
    <s v="67083125001001"/>
    <n v="-79.09"/>
    <n v="1357"/>
    <n v="1"/>
    <n v="1"/>
  </r>
  <r>
    <m/>
    <m/>
    <x v="1"/>
    <s v="67245717001001"/>
    <n v="-31.76"/>
    <n v="545"/>
    <n v="1"/>
    <n v="1"/>
  </r>
  <r>
    <m/>
    <m/>
    <x v="1"/>
    <s v="67271689001007"/>
    <n v="-206.78"/>
    <n v="3466"/>
    <n v="2"/>
    <n v="1"/>
  </r>
  <r>
    <m/>
    <m/>
    <x v="1"/>
    <s v="67456537001003"/>
    <n v="-4.63"/>
    <n v="78"/>
    <n v="2"/>
    <n v="1"/>
  </r>
  <r>
    <m/>
    <m/>
    <x v="1"/>
    <s v="67553373001003"/>
    <n v="-100.67"/>
    <n v="1698"/>
    <n v="2"/>
    <n v="1"/>
  </r>
  <r>
    <m/>
    <m/>
    <x v="1"/>
    <s v="67667059003001"/>
    <n v="-53.650000000000006"/>
    <n v="912"/>
    <n v="2"/>
    <n v="1"/>
  </r>
  <r>
    <m/>
    <m/>
    <x v="1"/>
    <s v="67774002001001"/>
    <n v="-92.06"/>
    <n v="1490"/>
    <n v="2"/>
    <n v="1"/>
  </r>
  <r>
    <m/>
    <m/>
    <x v="1"/>
    <s v="67844298001011"/>
    <n v="-24.28"/>
    <n v="407"/>
    <n v="2"/>
    <n v="1"/>
  </r>
  <r>
    <m/>
    <m/>
    <x v="1"/>
    <s v="67994603001007"/>
    <n v="-211.96"/>
    <n v="3637"/>
    <n v="1"/>
    <n v="1"/>
  </r>
  <r>
    <m/>
    <m/>
    <x v="1"/>
    <s v="68032163003005"/>
    <n v="-190.72"/>
    <n v="3197"/>
    <n v="2"/>
    <n v="1"/>
  </r>
  <r>
    <m/>
    <m/>
    <x v="1"/>
    <s v="68039419001001"/>
    <n v="-98.16"/>
    <n v="1675"/>
    <n v="2"/>
    <n v="1"/>
  </r>
  <r>
    <m/>
    <m/>
    <x v="1"/>
    <s v="68120686001002"/>
    <n v="-31.59"/>
    <n v="531"/>
    <n v="2"/>
    <n v="1"/>
  </r>
  <r>
    <m/>
    <m/>
    <x v="1"/>
    <s v="68121160001009"/>
    <n v="-37.299999999999997"/>
    <n v="640"/>
    <n v="1"/>
    <n v="1"/>
  </r>
  <r>
    <m/>
    <m/>
    <x v="1"/>
    <s v="68156471001004"/>
    <n v="-52.52"/>
    <n v="896"/>
    <n v="2"/>
    <n v="1"/>
  </r>
  <r>
    <m/>
    <m/>
    <x v="1"/>
    <s v="68181174001003"/>
    <n v="-129.66999999999999"/>
    <n v="2225"/>
    <n v="1"/>
    <n v="1"/>
  </r>
  <r>
    <m/>
    <m/>
    <x v="1"/>
    <s v="68329341001003"/>
    <n v="-111.03"/>
    <n v="1861"/>
    <n v="2"/>
    <n v="1"/>
  </r>
  <r>
    <m/>
    <m/>
    <x v="1"/>
    <s v="68379547003001"/>
    <n v="-110.27"/>
    <n v="1892"/>
    <n v="1"/>
    <n v="1"/>
  </r>
  <r>
    <m/>
    <m/>
    <x v="1"/>
    <s v="68408057001001"/>
    <n v="-116.09"/>
    <n v="1992"/>
    <n v="1"/>
    <n v="1"/>
  </r>
  <r>
    <m/>
    <m/>
    <x v="1"/>
    <s v="68441476001005"/>
    <n v="-87.77"/>
    <n v="1506"/>
    <n v="1"/>
    <n v="1"/>
  </r>
  <r>
    <m/>
    <m/>
    <x v="1"/>
    <s v="68468118001001"/>
    <n v="-149.45000000000002"/>
    <n v="2550"/>
    <n v="2"/>
    <n v="1"/>
  </r>
  <r>
    <m/>
    <m/>
    <x v="1"/>
    <s v="68497807001010"/>
    <n v="-114.68"/>
    <n v="1856"/>
    <n v="2"/>
    <n v="1"/>
  </r>
  <r>
    <m/>
    <m/>
    <x v="1"/>
    <s v="68520131001002"/>
    <n v="-77.02"/>
    <n v="1250"/>
    <n v="2"/>
    <n v="1"/>
  </r>
  <r>
    <m/>
    <m/>
    <x v="1"/>
    <s v="68540315001002"/>
    <n v="-104.61"/>
    <n v="1795"/>
    <n v="1"/>
    <n v="1"/>
  </r>
  <r>
    <m/>
    <m/>
    <x v="1"/>
    <s v="68561006001001"/>
    <n v="-103.97"/>
    <n v="1784"/>
    <n v="1"/>
    <n v="1"/>
  </r>
  <r>
    <m/>
    <m/>
    <x v="1"/>
    <s v="68620843001003"/>
    <n v="-14.68"/>
    <n v="246"/>
    <n v="2"/>
    <n v="1"/>
  </r>
  <r>
    <m/>
    <m/>
    <x v="1"/>
    <s v="68667346001005"/>
    <n v="-176.18"/>
    <n v="3023"/>
    <n v="1"/>
    <n v="1"/>
  </r>
  <r>
    <m/>
    <m/>
    <x v="1"/>
    <s v="68803965001003"/>
    <n v="-122.69999999999999"/>
    <n v="1986"/>
    <n v="2"/>
    <n v="1"/>
  </r>
  <r>
    <m/>
    <m/>
    <x v="1"/>
    <s v="68928083001002"/>
    <n v="-342.49"/>
    <n v="5619"/>
    <n v="2"/>
    <n v="1"/>
  </r>
  <r>
    <m/>
    <m/>
    <x v="1"/>
    <s v="68940427001001"/>
    <n v="-69.47"/>
    <n v="1192"/>
    <n v="1"/>
    <n v="1"/>
  </r>
  <r>
    <m/>
    <m/>
    <x v="1"/>
    <s v="69227176002002"/>
    <n v="-67.300000000000011"/>
    <n v="1128"/>
    <n v="2"/>
    <n v="1"/>
  </r>
  <r>
    <m/>
    <m/>
    <x v="1"/>
    <s v="69359447001001"/>
    <n v="-105.41"/>
    <n v="1772"/>
    <n v="2"/>
    <n v="1"/>
  </r>
  <r>
    <m/>
    <m/>
    <x v="1"/>
    <s v="69425844001001"/>
    <n v="-0.12"/>
    <n v="2"/>
    <n v="2"/>
    <n v="1"/>
  </r>
  <r>
    <m/>
    <m/>
    <x v="1"/>
    <s v="69455470002001"/>
    <n v="-126.93"/>
    <n v="2178"/>
    <n v="1"/>
    <n v="1"/>
  </r>
  <r>
    <m/>
    <m/>
    <x v="1"/>
    <s v="69499962002001"/>
    <n v="-88.29"/>
    <n v="1515"/>
    <n v="1"/>
    <n v="1"/>
  </r>
  <r>
    <m/>
    <m/>
    <x v="1"/>
    <s v="69512047001001"/>
    <n v="-32.300000000000004"/>
    <n v="543"/>
    <n v="2"/>
    <n v="1"/>
  </r>
  <r>
    <m/>
    <m/>
    <x v="1"/>
    <s v="69552058001004"/>
    <n v="-18.32"/>
    <n v="307"/>
    <n v="2"/>
    <n v="1"/>
  </r>
  <r>
    <m/>
    <m/>
    <x v="1"/>
    <s v="69726976003004"/>
    <n v="-32.99"/>
    <n v="566"/>
    <n v="1"/>
    <n v="1"/>
  </r>
  <r>
    <m/>
    <m/>
    <x v="1"/>
    <s v="69764802001002"/>
    <n v="-115.16"/>
    <n v="1976"/>
    <n v="1"/>
    <n v="1"/>
  </r>
  <r>
    <m/>
    <m/>
    <x v="1"/>
    <s v="69778160001001"/>
    <n v="-178.3"/>
    <n v="2938"/>
    <n v="2"/>
    <n v="1"/>
  </r>
  <r>
    <m/>
    <m/>
    <x v="1"/>
    <s v="69860350001005"/>
    <n v="-129.01"/>
    <n v="2193"/>
    <n v="2"/>
    <n v="1"/>
  </r>
  <r>
    <m/>
    <m/>
    <x v="1"/>
    <s v="69952866001005"/>
    <n v="-32.46"/>
    <n v="557"/>
    <n v="1"/>
    <n v="1"/>
  </r>
  <r>
    <m/>
    <m/>
    <x v="1"/>
    <s v="69970331001001"/>
    <n v="-58.39"/>
    <n v="962"/>
    <n v="2"/>
    <n v="1"/>
  </r>
  <r>
    <m/>
    <m/>
    <x v="1"/>
    <s v="69991566001003"/>
    <n v="-146.97999999999999"/>
    <n v="2522"/>
    <n v="1"/>
    <n v="1"/>
  </r>
  <r>
    <m/>
    <m/>
    <x v="1"/>
    <s v="69998683001001"/>
    <n v="-40.15"/>
    <n v="689"/>
    <n v="1"/>
    <n v="1"/>
  </r>
  <r>
    <m/>
    <m/>
    <x v="1"/>
    <s v="70196025004001"/>
    <n v="-65.45"/>
    <n v="1123"/>
    <n v="1"/>
    <n v="1"/>
  </r>
  <r>
    <m/>
    <m/>
    <x v="1"/>
    <s v="70201020001001"/>
    <n v="-48.37"/>
    <n v="830"/>
    <n v="1"/>
    <n v="1"/>
  </r>
  <r>
    <m/>
    <m/>
    <x v="1"/>
    <s v="70280362001003"/>
    <n v="-95.58"/>
    <n v="1631"/>
    <n v="2"/>
    <n v="1"/>
  </r>
  <r>
    <m/>
    <m/>
    <x v="1"/>
    <s v="70376367001003"/>
    <n v="-88.37"/>
    <n v="1490"/>
    <n v="2"/>
    <n v="1"/>
  </r>
  <r>
    <m/>
    <m/>
    <x v="1"/>
    <s v="70472062001001"/>
    <n v="-29.830000000000002"/>
    <n v="500"/>
    <n v="2"/>
    <n v="1"/>
  </r>
  <r>
    <m/>
    <m/>
    <x v="1"/>
    <s v="70483477001001"/>
    <n v="-122.68"/>
    <n v="2105"/>
    <n v="1"/>
    <n v="1"/>
  </r>
  <r>
    <m/>
    <m/>
    <x v="1"/>
    <s v="70581364003001"/>
    <n v="-103.44"/>
    <n v="1775"/>
    <n v="2"/>
    <n v="1"/>
  </r>
  <r>
    <m/>
    <m/>
    <x v="1"/>
    <s v="70593073001001"/>
    <n v="-143.17000000000002"/>
    <n v="2317"/>
    <n v="2"/>
    <n v="1"/>
  </r>
  <r>
    <m/>
    <m/>
    <x v="1"/>
    <s v="70655150003010"/>
    <n v="-153.1"/>
    <n v="2627"/>
    <n v="1"/>
    <n v="1"/>
  </r>
  <r>
    <m/>
    <m/>
    <x v="1"/>
    <s v="70761570001001"/>
    <n v="-74.42"/>
    <n v="1277"/>
    <n v="1"/>
    <n v="1"/>
  </r>
  <r>
    <m/>
    <m/>
    <x v="1"/>
    <s v="70804751001005"/>
    <n v="-56.59"/>
    <n v="971"/>
    <n v="1"/>
    <n v="1"/>
  </r>
  <r>
    <m/>
    <m/>
    <x v="1"/>
    <s v="71087812006003"/>
    <n v="-77.8"/>
    <n v="1282"/>
    <n v="2"/>
    <n v="1"/>
  </r>
  <r>
    <m/>
    <m/>
    <x v="1"/>
    <s v="71274320003001"/>
    <n v="-214"/>
    <n v="3672"/>
    <n v="1"/>
    <n v="1"/>
  </r>
  <r>
    <m/>
    <m/>
    <x v="1"/>
    <s v="71278625001004"/>
    <n v="-224.95999999999998"/>
    <n v="3838"/>
    <n v="2"/>
    <n v="1"/>
  </r>
  <r>
    <m/>
    <m/>
    <x v="1"/>
    <s v="71313506002001"/>
    <n v="-34.909999999999997"/>
    <n v="599"/>
    <n v="1"/>
    <n v="1"/>
  </r>
  <r>
    <m/>
    <m/>
    <x v="1"/>
    <s v="71391581006001"/>
    <n v="-215.37"/>
    <n v="3583"/>
    <n v="2"/>
    <n v="1"/>
  </r>
  <r>
    <m/>
    <m/>
    <x v="1"/>
    <s v="71502529002001"/>
    <n v="-2.91"/>
    <n v="50"/>
    <n v="1"/>
    <n v="1"/>
  </r>
  <r>
    <m/>
    <m/>
    <x v="1"/>
    <s v="71606835001001"/>
    <n v="-22.09"/>
    <n v="379"/>
    <n v="1"/>
    <n v="1"/>
  </r>
  <r>
    <m/>
    <m/>
    <x v="1"/>
    <s v="71669535001005"/>
    <n v="-149.47"/>
    <n v="2419"/>
    <n v="2"/>
    <n v="1"/>
  </r>
  <r>
    <m/>
    <m/>
    <x v="1"/>
    <s v="71769014004002"/>
    <n v="-181.6"/>
    <n v="3021"/>
    <n v="2"/>
    <n v="1"/>
  </r>
  <r>
    <m/>
    <m/>
    <x v="1"/>
    <s v="71771733001003"/>
    <n v="-110.62"/>
    <n v="1898"/>
    <n v="1"/>
    <n v="1"/>
  </r>
  <r>
    <m/>
    <m/>
    <x v="1"/>
    <s v="71787084002001"/>
    <n v="-66.87"/>
    <n v="1124"/>
    <n v="2"/>
    <n v="1"/>
  </r>
  <r>
    <m/>
    <m/>
    <x v="1"/>
    <s v="71796224001001"/>
    <n v="-71.040000000000006"/>
    <n v="1219"/>
    <n v="1"/>
    <n v="1"/>
  </r>
  <r>
    <m/>
    <m/>
    <x v="1"/>
    <s v="71997040001001"/>
    <n v="-115.28"/>
    <n v="1938"/>
    <n v="2"/>
    <n v="1"/>
  </r>
  <r>
    <m/>
    <m/>
    <x v="1"/>
    <s v="72054793001001"/>
    <n v="-51.29"/>
    <n v="875"/>
    <n v="2"/>
    <n v="1"/>
  </r>
  <r>
    <m/>
    <m/>
    <x v="1"/>
    <s v="72146811001001"/>
    <n v="-16.84"/>
    <n v="289"/>
    <n v="1"/>
    <n v="1"/>
  </r>
  <r>
    <m/>
    <m/>
    <x v="1"/>
    <s v="72209762001002"/>
    <n v="-14.28"/>
    <n v="245"/>
    <n v="1"/>
    <n v="1"/>
  </r>
  <r>
    <m/>
    <m/>
    <x v="1"/>
    <s v="72261639001001"/>
    <n v="-152.66000000000003"/>
    <n v="2595"/>
    <n v="2"/>
    <n v="1"/>
  </r>
  <r>
    <m/>
    <m/>
    <x v="1"/>
    <s v="72489193001001"/>
    <n v="-253.95000000000002"/>
    <n v="4110"/>
    <n v="2"/>
    <n v="1"/>
  </r>
  <r>
    <m/>
    <m/>
    <x v="1"/>
    <s v="72621276001001"/>
    <n v="-91.51"/>
    <n v="1485"/>
    <n v="2"/>
    <n v="1"/>
  </r>
  <r>
    <m/>
    <m/>
    <x v="1"/>
    <s v="72648295001001"/>
    <n v="-87.259999999999991"/>
    <n v="1416"/>
    <n v="2"/>
    <n v="1"/>
  </r>
  <r>
    <m/>
    <m/>
    <x v="1"/>
    <s v="72649617001013"/>
    <n v="-83.34"/>
    <n v="1401"/>
    <n v="2"/>
    <n v="1"/>
  </r>
  <r>
    <m/>
    <m/>
    <x v="1"/>
    <s v="72677651002001"/>
    <n v="-187.25"/>
    <n v="3072"/>
    <n v="2"/>
    <n v="1"/>
  </r>
  <r>
    <m/>
    <m/>
    <x v="1"/>
    <s v="72706959001001"/>
    <n v="-30.19"/>
    <n v="518"/>
    <n v="1"/>
    <n v="1"/>
  </r>
  <r>
    <m/>
    <m/>
    <x v="1"/>
    <s v="72814767001001"/>
    <n v="-144.77000000000001"/>
    <n v="2484"/>
    <n v="1"/>
    <n v="1"/>
  </r>
  <r>
    <m/>
    <m/>
    <x v="1"/>
    <s v="72827105002003"/>
    <n v="-63.7"/>
    <n v="1093"/>
    <n v="1"/>
    <n v="1"/>
  </r>
  <r>
    <m/>
    <m/>
    <x v="1"/>
    <s v="72979391001001"/>
    <n v="-11.3"/>
    <n v="190"/>
    <n v="2"/>
    <n v="1"/>
  </r>
  <r>
    <m/>
    <m/>
    <x v="1"/>
    <s v="73047819001006"/>
    <n v="-61.39"/>
    <n v="1032"/>
    <n v="2"/>
    <n v="1"/>
  </r>
  <r>
    <m/>
    <m/>
    <x v="1"/>
    <s v="73088070001002"/>
    <n v="-83.24"/>
    <n v="1358"/>
    <n v="2"/>
    <n v="1"/>
  </r>
  <r>
    <m/>
    <m/>
    <x v="1"/>
    <s v="73099039001001"/>
    <n v="-59.37"/>
    <n v="1001"/>
    <n v="2"/>
    <n v="1"/>
  </r>
  <r>
    <m/>
    <m/>
    <x v="1"/>
    <s v="73114048001002"/>
    <n v="-150.4"/>
    <n v="2537"/>
    <n v="2"/>
    <n v="1"/>
  </r>
  <r>
    <m/>
    <m/>
    <x v="1"/>
    <s v="73173555001001"/>
    <n v="-186.32"/>
    <n v="3197"/>
    <n v="1"/>
    <n v="1"/>
  </r>
  <r>
    <m/>
    <m/>
    <x v="1"/>
    <s v="73174806002005"/>
    <n v="-47.5"/>
    <n v="815"/>
    <n v="1"/>
    <n v="1"/>
  </r>
  <r>
    <m/>
    <m/>
    <x v="1"/>
    <s v="73206885003006"/>
    <n v="-13.7"/>
    <n v="235"/>
    <n v="1"/>
    <n v="1"/>
  </r>
  <r>
    <m/>
    <m/>
    <x v="1"/>
    <s v="73220801001001"/>
    <n v="-36.43"/>
    <n v="625"/>
    <n v="1"/>
    <n v="1"/>
  </r>
  <r>
    <m/>
    <m/>
    <x v="1"/>
    <s v="73258916001001"/>
    <n v="-223.35999999999999"/>
    <n v="3615"/>
    <n v="2"/>
    <n v="1"/>
  </r>
  <r>
    <m/>
    <m/>
    <x v="1"/>
    <s v="73287265003003"/>
    <n v="-9.91"/>
    <n v="170"/>
    <n v="1"/>
    <n v="1"/>
  </r>
  <r>
    <m/>
    <m/>
    <x v="1"/>
    <s v="73416515001001"/>
    <n v="-42.49"/>
    <n v="729"/>
    <n v="1"/>
    <n v="1"/>
  </r>
  <r>
    <m/>
    <m/>
    <x v="1"/>
    <s v="73558422001001"/>
    <n v="-26.52"/>
    <n v="455"/>
    <n v="1"/>
    <n v="1"/>
  </r>
  <r>
    <m/>
    <m/>
    <x v="1"/>
    <s v="73571632001001"/>
    <n v="-84.51"/>
    <n v="1450"/>
    <n v="1"/>
    <n v="1"/>
  </r>
  <r>
    <m/>
    <m/>
    <x v="1"/>
    <s v="73775929001005"/>
    <n v="-80.600000000000009"/>
    <n v="1370"/>
    <n v="2"/>
    <n v="1"/>
  </r>
  <r>
    <m/>
    <m/>
    <x v="1"/>
    <s v="73931125002001"/>
    <n v="-232.71"/>
    <n v="3993"/>
    <n v="1"/>
    <n v="1"/>
  </r>
  <r>
    <m/>
    <m/>
    <x v="1"/>
    <s v="73935992001002"/>
    <n v="-157.24"/>
    <n v="2698"/>
    <n v="1"/>
    <n v="1"/>
  </r>
  <r>
    <m/>
    <m/>
    <x v="1"/>
    <s v="74022126002001"/>
    <n v="-72.13"/>
    <n v="1209"/>
    <n v="2"/>
    <n v="1"/>
  </r>
  <r>
    <m/>
    <m/>
    <x v="1"/>
    <s v="74055933001001"/>
    <n v="-405.90999999999997"/>
    <n v="6587"/>
    <n v="2"/>
    <n v="1"/>
  </r>
  <r>
    <m/>
    <m/>
    <x v="1"/>
    <s v="74076340001005"/>
    <n v="-77.34"/>
    <n v="1327"/>
    <n v="1"/>
    <n v="1"/>
  </r>
  <r>
    <m/>
    <m/>
    <x v="1"/>
    <s v="74122617001001"/>
    <n v="-17.72"/>
    <n v="304"/>
    <n v="1"/>
    <n v="1"/>
  </r>
  <r>
    <m/>
    <m/>
    <x v="1"/>
    <s v="74145575001003"/>
    <n v="-23.21"/>
    <n v="389"/>
    <n v="2"/>
    <n v="1"/>
  </r>
  <r>
    <m/>
    <m/>
    <x v="1"/>
    <s v="74168786004008"/>
    <n v="-55.31"/>
    <n v="949"/>
    <n v="1"/>
    <n v="1"/>
  </r>
  <r>
    <m/>
    <m/>
    <x v="1"/>
    <s v="74210621001001"/>
    <n v="-67.84"/>
    <n v="1164"/>
    <n v="1"/>
    <n v="1"/>
  </r>
  <r>
    <m/>
    <m/>
    <x v="1"/>
    <s v="74334746001007"/>
    <n v="-77.63"/>
    <n v="1332"/>
    <n v="1"/>
    <n v="1"/>
  </r>
  <r>
    <m/>
    <m/>
    <x v="1"/>
    <s v="74369035001007"/>
    <n v="-87.93"/>
    <n v="1427"/>
    <n v="2"/>
    <n v="1"/>
  </r>
  <r>
    <m/>
    <m/>
    <x v="1"/>
    <s v="74380477001003"/>
    <n v="-37.880000000000003"/>
    <n v="650"/>
    <n v="1"/>
    <n v="1"/>
  </r>
  <r>
    <m/>
    <m/>
    <x v="1"/>
    <s v="74386329001002"/>
    <n v="-108.19"/>
    <n v="1751"/>
    <n v="2"/>
    <n v="1"/>
  </r>
  <r>
    <m/>
    <m/>
    <x v="1"/>
    <s v="74440719001001"/>
    <n v="-44.53"/>
    <n v="757"/>
    <n v="2"/>
    <n v="1"/>
  </r>
  <r>
    <m/>
    <m/>
    <x v="1"/>
    <s v="74467874001005"/>
    <n v="-45.52"/>
    <n v="781"/>
    <n v="1"/>
    <n v="1"/>
  </r>
  <r>
    <m/>
    <m/>
    <x v="1"/>
    <s v="74475975001005"/>
    <n v="-23.95"/>
    <n v="411"/>
    <n v="1"/>
    <n v="1"/>
  </r>
  <r>
    <m/>
    <m/>
    <x v="1"/>
    <s v="74501144001003"/>
    <n v="-61.67"/>
    <n v="1052"/>
    <n v="2"/>
    <n v="1"/>
  </r>
  <r>
    <m/>
    <m/>
    <x v="1"/>
    <s v="74567655004001"/>
    <n v="-41.9"/>
    <n v="719"/>
    <n v="1"/>
    <n v="1"/>
  </r>
  <r>
    <m/>
    <m/>
    <x v="1"/>
    <s v="74582659002001"/>
    <n v="-5.83"/>
    <n v="100"/>
    <n v="1"/>
    <n v="1"/>
  </r>
  <r>
    <m/>
    <m/>
    <x v="1"/>
    <s v="74613378001005"/>
    <n v="-123.56"/>
    <n v="2077"/>
    <n v="2"/>
    <n v="1"/>
  </r>
  <r>
    <m/>
    <m/>
    <x v="1"/>
    <s v="74802804001001"/>
    <n v="-100.59"/>
    <n v="1726"/>
    <n v="1"/>
    <n v="1"/>
  </r>
  <r>
    <m/>
    <m/>
    <x v="1"/>
    <s v="74881596001006"/>
    <n v="-35.630000000000003"/>
    <n v="599"/>
    <n v="2"/>
    <n v="1"/>
  </r>
  <r>
    <m/>
    <m/>
    <x v="1"/>
    <s v="74897585001003"/>
    <n v="-60.55"/>
    <n v="1039"/>
    <n v="1"/>
    <n v="1"/>
  </r>
  <r>
    <m/>
    <m/>
    <x v="1"/>
    <s v="74921730001003"/>
    <n v="-90.080000000000013"/>
    <n v="1458"/>
    <n v="2"/>
    <n v="1"/>
  </r>
  <r>
    <m/>
    <m/>
    <x v="1"/>
    <s v="74965108005007"/>
    <n v="-101.17"/>
    <n v="1736"/>
    <n v="1"/>
    <n v="1"/>
  </r>
  <r>
    <m/>
    <m/>
    <x v="1"/>
    <s v="74967292001001"/>
    <n v="-45.3"/>
    <n v="770"/>
    <n v="2"/>
    <n v="1"/>
  </r>
  <r>
    <m/>
    <m/>
    <x v="1"/>
    <s v="75076089001006"/>
    <n v="-44.599999999999994"/>
    <n v="742"/>
    <n v="2"/>
    <n v="1"/>
  </r>
  <r>
    <m/>
    <m/>
    <x v="1"/>
    <s v="75083574001001"/>
    <n v="-54.38"/>
    <n v="933"/>
    <n v="1"/>
    <n v="1"/>
  </r>
  <r>
    <m/>
    <m/>
    <x v="1"/>
    <s v="75089608004003"/>
    <n v="-82.63"/>
    <n v="1389"/>
    <n v="2"/>
    <n v="1"/>
  </r>
  <r>
    <m/>
    <m/>
    <x v="1"/>
    <s v="75149375001006"/>
    <n v="-90.34"/>
    <n v="1462"/>
    <n v="2"/>
    <n v="1"/>
  </r>
  <r>
    <m/>
    <m/>
    <x v="1"/>
    <s v="75197573001001"/>
    <n v="-52.940000000000005"/>
    <n v="900"/>
    <n v="2"/>
    <n v="1"/>
  </r>
  <r>
    <m/>
    <m/>
    <x v="1"/>
    <s v="75200298001001"/>
    <n v="-107.82"/>
    <n v="1850"/>
    <n v="1"/>
    <n v="1"/>
  </r>
  <r>
    <m/>
    <m/>
    <x v="1"/>
    <s v="75233768001001"/>
    <n v="-106.94999999999999"/>
    <n v="1798"/>
    <n v="2"/>
    <n v="1"/>
  </r>
  <r>
    <m/>
    <m/>
    <x v="1"/>
    <s v="75290016001010"/>
    <n v="-45.84"/>
    <n v="752"/>
    <n v="2"/>
    <n v="1"/>
  </r>
  <r>
    <m/>
    <m/>
    <x v="1"/>
    <s v="75321301001004"/>
    <n v="-78.33"/>
    <n v="1344"/>
    <n v="1"/>
    <n v="1"/>
  </r>
  <r>
    <m/>
    <m/>
    <x v="1"/>
    <s v="75518241003003"/>
    <n v="-6.76"/>
    <n v="116"/>
    <n v="1"/>
    <n v="1"/>
  </r>
  <r>
    <m/>
    <m/>
    <x v="1"/>
    <s v="75599421001001"/>
    <n v="-129.24"/>
    <n v="2205"/>
    <n v="2"/>
    <n v="1"/>
  </r>
  <r>
    <m/>
    <m/>
    <x v="1"/>
    <s v="75620479001003"/>
    <n v="-73.150000000000006"/>
    <n v="1184"/>
    <n v="2"/>
    <n v="1"/>
  </r>
  <r>
    <m/>
    <m/>
    <x v="1"/>
    <s v="75708984001003"/>
    <n v="-99.53"/>
    <n v="1679"/>
    <n v="2"/>
    <n v="1"/>
  </r>
  <r>
    <m/>
    <m/>
    <x v="1"/>
    <s v="75764971002001"/>
    <n v="-9.67"/>
    <n v="166"/>
    <n v="1"/>
    <n v="1"/>
  </r>
  <r>
    <m/>
    <m/>
    <x v="1"/>
    <s v="75854409001001"/>
    <n v="-113.06"/>
    <n v="1940"/>
    <n v="1"/>
    <n v="1"/>
  </r>
  <r>
    <m/>
    <m/>
    <x v="1"/>
    <s v="76005276001003"/>
    <n v="-147.39999999999998"/>
    <n v="2522"/>
    <n v="2"/>
    <n v="1"/>
  </r>
  <r>
    <m/>
    <m/>
    <x v="1"/>
    <s v="76033198001011"/>
    <n v="-104.27000000000001"/>
    <n v="1753"/>
    <n v="2"/>
    <n v="1"/>
  </r>
  <r>
    <m/>
    <m/>
    <x v="1"/>
    <s v="76035247001002"/>
    <n v="-102.97"/>
    <n v="1737"/>
    <n v="2"/>
    <n v="1"/>
  </r>
  <r>
    <m/>
    <m/>
    <x v="1"/>
    <s v="76090392001001"/>
    <n v="-94.66"/>
    <n v="1532"/>
    <n v="2"/>
    <n v="1"/>
  </r>
  <r>
    <m/>
    <m/>
    <x v="1"/>
    <s v="76165932001003"/>
    <n v="-13.75"/>
    <n v="236"/>
    <n v="1"/>
    <n v="1"/>
  </r>
  <r>
    <m/>
    <m/>
    <x v="1"/>
    <s v="76204778001006"/>
    <n v="-50.150000000000006"/>
    <n v="843"/>
    <n v="2"/>
    <n v="1"/>
  </r>
  <r>
    <m/>
    <m/>
    <x v="1"/>
    <s v="76207699003001"/>
    <n v="-129.18"/>
    <n v="2204"/>
    <n v="2"/>
    <n v="1"/>
  </r>
  <r>
    <m/>
    <m/>
    <x v="1"/>
    <s v="76288002001006"/>
    <n v="-57.64"/>
    <n v="989"/>
    <n v="1"/>
    <n v="1"/>
  </r>
  <r>
    <m/>
    <m/>
    <x v="1"/>
    <s v="76487590001001"/>
    <n v="-63.87"/>
    <n v="1096"/>
    <n v="1"/>
    <n v="1"/>
  </r>
  <r>
    <m/>
    <m/>
    <x v="1"/>
    <s v="76557416001001"/>
    <n v="-107.7"/>
    <n v="1848"/>
    <n v="1"/>
    <n v="1"/>
  </r>
  <r>
    <m/>
    <m/>
    <x v="1"/>
    <s v="76563942002004"/>
    <n v="-169.07"/>
    <n v="2901"/>
    <n v="1"/>
    <n v="1"/>
  </r>
  <r>
    <m/>
    <m/>
    <x v="1"/>
    <s v="76584057001003"/>
    <n v="-44.35"/>
    <n v="761"/>
    <n v="1"/>
    <n v="1"/>
  </r>
  <r>
    <m/>
    <m/>
    <x v="1"/>
    <s v="76645220002001"/>
    <n v="-169.72"/>
    <n v="2845"/>
    <n v="2"/>
    <n v="1"/>
  </r>
  <r>
    <m/>
    <m/>
    <x v="1"/>
    <s v="76652020001010"/>
    <n v="-65.67"/>
    <n v="1104"/>
    <n v="2"/>
    <n v="1"/>
  </r>
  <r>
    <m/>
    <m/>
    <x v="1"/>
    <s v="76662020001001"/>
    <n v="-78.83"/>
    <n v="1340"/>
    <n v="2"/>
    <n v="1"/>
  </r>
  <r>
    <m/>
    <m/>
    <x v="1"/>
    <s v="76680484002001"/>
    <n v="-63.76"/>
    <n v="1094"/>
    <n v="1"/>
    <n v="1"/>
  </r>
  <r>
    <m/>
    <m/>
    <x v="1"/>
    <s v="76681576002009"/>
    <n v="-20.98"/>
    <n v="360"/>
    <n v="1"/>
    <n v="1"/>
  </r>
  <r>
    <m/>
    <m/>
    <x v="1"/>
    <s v="76757615001002"/>
    <n v="-61.03"/>
    <n v="1023"/>
    <n v="2"/>
    <n v="1"/>
  </r>
  <r>
    <m/>
    <m/>
    <x v="1"/>
    <s v="76812372003003"/>
    <n v="-25.24"/>
    <n v="433"/>
    <n v="1"/>
    <n v="1"/>
  </r>
  <r>
    <m/>
    <m/>
    <x v="1"/>
    <s v="76821093007001"/>
    <n v="-96.16"/>
    <n v="1650"/>
    <n v="1"/>
    <n v="1"/>
  </r>
  <r>
    <m/>
    <m/>
    <x v="1"/>
    <s v="77007576005003"/>
    <n v="-90.45"/>
    <n v="1552"/>
    <n v="1"/>
    <n v="1"/>
  </r>
  <r>
    <m/>
    <m/>
    <x v="1"/>
    <s v="77028105003004"/>
    <n v="-225.46999999999997"/>
    <n v="3659"/>
    <n v="2"/>
    <n v="1"/>
  </r>
  <r>
    <m/>
    <m/>
    <x v="1"/>
    <s v="77267562001006"/>
    <n v="-36.900000000000006"/>
    <n v="608"/>
    <n v="2"/>
    <n v="1"/>
  </r>
  <r>
    <m/>
    <m/>
    <x v="1"/>
    <s v="77330718001007"/>
    <n v="-61.25"/>
    <n v="1051"/>
    <n v="1"/>
    <n v="1"/>
  </r>
  <r>
    <m/>
    <m/>
    <x v="1"/>
    <s v="77468238001005"/>
    <n v="-67.84"/>
    <n v="1164"/>
    <n v="1"/>
    <n v="1"/>
  </r>
  <r>
    <m/>
    <m/>
    <x v="1"/>
    <s v="77524629001001"/>
    <n v="-76.819999999999993"/>
    <n v="1278"/>
    <n v="2"/>
    <n v="1"/>
  </r>
  <r>
    <m/>
    <m/>
    <x v="1"/>
    <s v="77599753002003"/>
    <n v="-17.25"/>
    <n v="296"/>
    <n v="1"/>
    <n v="1"/>
  </r>
  <r>
    <m/>
    <m/>
    <x v="1"/>
    <s v="77650352001001"/>
    <n v="-46.7"/>
    <n v="785"/>
    <n v="2"/>
    <n v="1"/>
  </r>
  <r>
    <m/>
    <m/>
    <x v="1"/>
    <s v="77671725001005"/>
    <n v="-38.949999999999996"/>
    <n v="648"/>
    <n v="2"/>
    <n v="1"/>
  </r>
  <r>
    <m/>
    <m/>
    <x v="1"/>
    <s v="77810743001005"/>
    <n v="-91.5"/>
    <n v="1570"/>
    <n v="1"/>
    <n v="1"/>
  </r>
  <r>
    <m/>
    <m/>
    <x v="1"/>
    <s v="77834930001003"/>
    <n v="-121.52000000000001"/>
    <n v="2008"/>
    <n v="2"/>
    <n v="1"/>
  </r>
  <r>
    <m/>
    <m/>
    <x v="1"/>
    <s v="77914917002001"/>
    <n v="-112.78"/>
    <n v="1924"/>
    <n v="2"/>
    <n v="1"/>
  </r>
  <r>
    <m/>
    <m/>
    <x v="1"/>
    <s v="77965715001003"/>
    <n v="-43.42"/>
    <n v="745"/>
    <n v="1"/>
    <n v="1"/>
  </r>
  <r>
    <m/>
    <m/>
    <x v="1"/>
    <s v="77965745001001"/>
    <n v="-66.09"/>
    <n v="1134"/>
    <n v="1"/>
    <n v="1"/>
  </r>
  <r>
    <m/>
    <m/>
    <x v="1"/>
    <s v="78085945002003"/>
    <n v="-122.41"/>
    <n v="1997"/>
    <n v="2"/>
    <n v="1"/>
  </r>
  <r>
    <m/>
    <m/>
    <x v="1"/>
    <s v="78092750001001"/>
    <n v="-105.37"/>
    <n v="1808"/>
    <n v="1"/>
    <n v="1"/>
  </r>
  <r>
    <m/>
    <m/>
    <x v="1"/>
    <s v="78102550001004"/>
    <n v="-82.23"/>
    <n v="1355"/>
    <n v="2"/>
    <n v="1"/>
  </r>
  <r>
    <m/>
    <m/>
    <x v="1"/>
    <s v="78231851001001"/>
    <n v="-53.33"/>
    <n v="915"/>
    <n v="1"/>
    <n v="1"/>
  </r>
  <r>
    <m/>
    <m/>
    <x v="1"/>
    <s v="78319567001011"/>
    <n v="-159.59"/>
    <n v="2683"/>
    <n v="2"/>
    <n v="1"/>
  </r>
  <r>
    <m/>
    <m/>
    <x v="1"/>
    <s v="78378527001001"/>
    <n v="-115.46000000000001"/>
    <n v="1941"/>
    <n v="2"/>
    <n v="1"/>
  </r>
  <r>
    <m/>
    <m/>
    <x v="1"/>
    <s v="78465175004001"/>
    <n v="-65.22"/>
    <n v="1119"/>
    <n v="1"/>
    <n v="1"/>
  </r>
  <r>
    <m/>
    <m/>
    <x v="1"/>
    <s v="78487633001001"/>
    <n v="-143.47999999999999"/>
    <n v="2405"/>
    <n v="2"/>
    <n v="1"/>
  </r>
  <r>
    <m/>
    <m/>
    <x v="1"/>
    <s v="78621225002001"/>
    <n v="-91.32"/>
    <n v="1567"/>
    <n v="1"/>
    <n v="1"/>
  </r>
  <r>
    <m/>
    <m/>
    <x v="1"/>
    <s v="78663656001001"/>
    <n v="-17.61"/>
    <n v="296"/>
    <n v="2"/>
    <n v="1"/>
  </r>
  <r>
    <m/>
    <m/>
    <x v="1"/>
    <s v="78673057003001"/>
    <n v="-26.09"/>
    <n v="428"/>
    <n v="2"/>
    <n v="1"/>
  </r>
  <r>
    <m/>
    <m/>
    <x v="1"/>
    <s v="78695215001003"/>
    <n v="-53.56"/>
    <n v="919"/>
    <n v="1"/>
    <n v="1"/>
  </r>
  <r>
    <m/>
    <m/>
    <x v="1"/>
    <s v="78695278001005"/>
    <n v="-31.94"/>
    <n v="548"/>
    <n v="1"/>
    <n v="1"/>
  </r>
  <r>
    <m/>
    <m/>
    <x v="1"/>
    <s v="78724028001003"/>
    <n v="-125.78999999999999"/>
    <n v="2052"/>
    <n v="2"/>
    <n v="1"/>
  </r>
  <r>
    <m/>
    <m/>
    <x v="1"/>
    <s v="78902898001016"/>
    <n v="-64.13"/>
    <n v="1078"/>
    <n v="2"/>
    <n v="1"/>
  </r>
  <r>
    <m/>
    <m/>
    <x v="1"/>
    <s v="79030418001001"/>
    <n v="-69.760000000000005"/>
    <n v="1197"/>
    <n v="1"/>
    <n v="1"/>
  </r>
  <r>
    <m/>
    <m/>
    <x v="1"/>
    <s v="79041940001001"/>
    <n v="-35.18"/>
    <n v="593"/>
    <n v="2"/>
    <n v="1"/>
  </r>
  <r>
    <m/>
    <m/>
    <x v="1"/>
    <s v="79143940001001"/>
    <n v="-57.3"/>
    <n v="935"/>
    <n v="2"/>
    <n v="1"/>
  </r>
  <r>
    <m/>
    <m/>
    <x v="1"/>
    <s v="79219123001001"/>
    <n v="-32.35"/>
    <n v="555"/>
    <n v="1"/>
    <n v="1"/>
  </r>
  <r>
    <m/>
    <m/>
    <x v="1"/>
    <s v="79306812001001"/>
    <n v="-100.72"/>
    <n v="1712"/>
    <n v="2"/>
    <n v="1"/>
  </r>
  <r>
    <m/>
    <m/>
    <x v="1"/>
    <s v="79474986003003"/>
    <n v="-77.569999999999993"/>
    <n v="1331"/>
    <n v="1"/>
    <n v="1"/>
  </r>
  <r>
    <m/>
    <m/>
    <x v="1"/>
    <s v="79495965001004"/>
    <n v="-34.56"/>
    <n v="581"/>
    <n v="2"/>
    <n v="1"/>
  </r>
  <r>
    <m/>
    <m/>
    <x v="1"/>
    <s v="79691093001003"/>
    <n v="-114.75"/>
    <n v="1929"/>
    <n v="2"/>
    <n v="1"/>
  </r>
  <r>
    <m/>
    <m/>
    <x v="1"/>
    <s v="79804496001003"/>
    <n v="-44.92"/>
    <n v="729"/>
    <n v="2"/>
    <n v="1"/>
  </r>
  <r>
    <m/>
    <m/>
    <x v="1"/>
    <s v="79932201001006"/>
    <n v="-86.18"/>
    <n v="1453"/>
    <n v="2"/>
    <n v="1"/>
  </r>
  <r>
    <m/>
    <m/>
    <x v="1"/>
    <s v="79985097001001"/>
    <n v="-19.68"/>
    <n v="332"/>
    <n v="2"/>
    <n v="1"/>
  </r>
  <r>
    <m/>
    <m/>
    <x v="1"/>
    <s v="80231406001003"/>
    <n v="-100.13"/>
    <n v="1718"/>
    <n v="1"/>
    <n v="1"/>
  </r>
  <r>
    <m/>
    <m/>
    <x v="1"/>
    <s v="80461014001001"/>
    <n v="-39.980000000000004"/>
    <n v="670"/>
    <n v="2"/>
    <n v="1"/>
  </r>
  <r>
    <m/>
    <m/>
    <x v="1"/>
    <s v="80525911001014"/>
    <n v="-166.4"/>
    <n v="2693"/>
    <n v="2"/>
    <n v="1"/>
  </r>
  <r>
    <m/>
    <m/>
    <x v="1"/>
    <s v="80534796005001"/>
    <n v="-200.65"/>
    <n v="3338"/>
    <n v="2"/>
    <n v="1"/>
  </r>
  <r>
    <m/>
    <m/>
    <x v="1"/>
    <s v="80635643001001"/>
    <n v="-59.91"/>
    <n v="1028"/>
    <n v="1"/>
    <n v="1"/>
  </r>
  <r>
    <m/>
    <m/>
    <x v="1"/>
    <s v="80668896002003"/>
    <n v="-81.56"/>
    <n v="1320"/>
    <n v="2"/>
    <n v="1"/>
  </r>
  <r>
    <m/>
    <m/>
    <x v="1"/>
    <s v="80690359001001"/>
    <n v="-57.41"/>
    <n v="946"/>
    <n v="2"/>
    <n v="1"/>
  </r>
  <r>
    <m/>
    <m/>
    <x v="1"/>
    <s v="80695849001001"/>
    <n v="-10.379999999999999"/>
    <n v="174"/>
    <n v="2"/>
    <n v="1"/>
  </r>
  <r>
    <m/>
    <m/>
    <x v="1"/>
    <s v="80745753001001"/>
    <n v="-2.97"/>
    <n v="51"/>
    <n v="1"/>
    <n v="1"/>
  </r>
  <r>
    <m/>
    <m/>
    <x v="1"/>
    <s v="80926951003001"/>
    <n v="-90.85"/>
    <n v="1550"/>
    <n v="2"/>
    <n v="1"/>
  </r>
  <r>
    <m/>
    <m/>
    <x v="1"/>
    <s v="80965084001001"/>
    <n v="-143.35"/>
    <n v="2410"/>
    <n v="2"/>
    <n v="1"/>
  </r>
  <r>
    <m/>
    <m/>
    <x v="1"/>
    <s v="81012464001003"/>
    <n v="-114.74"/>
    <n v="1896"/>
    <n v="2"/>
    <n v="1"/>
  </r>
  <r>
    <m/>
    <m/>
    <x v="1"/>
    <s v="81058312001001"/>
    <n v="-254.26"/>
    <n v="4262"/>
    <n v="2"/>
    <n v="1"/>
  </r>
  <r>
    <m/>
    <m/>
    <x v="1"/>
    <s v="81118246001009"/>
    <n v="-140.07999999999998"/>
    <n v="2363"/>
    <n v="2"/>
    <n v="1"/>
  </r>
  <r>
    <m/>
    <m/>
    <x v="1"/>
    <s v="81197766002001"/>
    <n v="-79.7"/>
    <n v="1326"/>
    <n v="2"/>
    <n v="1"/>
  </r>
  <r>
    <m/>
    <m/>
    <x v="1"/>
    <s v="81236538001003"/>
    <n v="-52.87"/>
    <n v="902"/>
    <n v="2"/>
    <n v="1"/>
  </r>
  <r>
    <m/>
    <m/>
    <x v="1"/>
    <s v="81390168001001"/>
    <n v="-63.48"/>
    <n v="1056"/>
    <n v="2"/>
    <n v="1"/>
  </r>
  <r>
    <m/>
    <m/>
    <x v="1"/>
    <s v="81396136002004"/>
    <n v="-93.95"/>
    <n v="1612"/>
    <n v="1"/>
    <n v="1"/>
  </r>
  <r>
    <m/>
    <m/>
    <x v="1"/>
    <s v="81445174003001"/>
    <n v="-79.84"/>
    <n v="1370"/>
    <n v="1"/>
    <n v="1"/>
  </r>
  <r>
    <m/>
    <m/>
    <x v="1"/>
    <s v="81473774001001"/>
    <n v="-124.33000000000001"/>
    <n v="2090"/>
    <n v="2"/>
    <n v="1"/>
  </r>
  <r>
    <m/>
    <m/>
    <x v="1"/>
    <s v="81498585001005"/>
    <n v="-26.65"/>
    <n v="448"/>
    <n v="2"/>
    <n v="1"/>
  </r>
  <r>
    <m/>
    <m/>
    <x v="1"/>
    <s v="81652656001006"/>
    <n v="-79.61"/>
    <n v="1366"/>
    <n v="1"/>
    <n v="1"/>
  </r>
  <r>
    <m/>
    <m/>
    <x v="1"/>
    <s v="81793572001001"/>
    <n v="-29.66"/>
    <n v="509"/>
    <n v="1"/>
    <n v="1"/>
  </r>
  <r>
    <m/>
    <m/>
    <x v="1"/>
    <s v="81817071004001"/>
    <n v="-45.34"/>
    <n v="778"/>
    <n v="1"/>
    <n v="1"/>
  </r>
  <r>
    <m/>
    <m/>
    <x v="1"/>
    <s v="81908653002007"/>
    <n v="-98.25"/>
    <n v="1670"/>
    <n v="2"/>
    <n v="1"/>
  </r>
  <r>
    <m/>
    <m/>
    <x v="1"/>
    <s v="81910607001001"/>
    <n v="-125.57"/>
    <n v="2089"/>
    <n v="2"/>
    <n v="1"/>
  </r>
  <r>
    <m/>
    <m/>
    <x v="1"/>
    <s v="81944374001004"/>
    <n v="-79.260000000000005"/>
    <n v="1360"/>
    <n v="1"/>
    <n v="1"/>
  </r>
  <r>
    <m/>
    <m/>
    <x v="1"/>
    <s v="81956135001004"/>
    <n v="-160.21"/>
    <n v="2593"/>
    <n v="2"/>
    <n v="1"/>
  </r>
  <r>
    <m/>
    <m/>
    <x v="1"/>
    <s v="82045096001001"/>
    <n v="-47.13"/>
    <n v="801"/>
    <n v="2"/>
    <n v="1"/>
  </r>
  <r>
    <m/>
    <m/>
    <x v="1"/>
    <s v="82108870001003"/>
    <n v="-67.11"/>
    <n v="1089"/>
    <n v="2"/>
    <n v="1"/>
  </r>
  <r>
    <m/>
    <m/>
    <x v="1"/>
    <s v="82216737013001"/>
    <n v="-167.9"/>
    <n v="2854"/>
    <n v="2"/>
    <n v="1"/>
  </r>
  <r>
    <m/>
    <m/>
    <x v="1"/>
    <s v="82225464001008"/>
    <n v="-96.16"/>
    <n v="1650"/>
    <n v="1"/>
    <n v="1"/>
  </r>
  <r>
    <m/>
    <m/>
    <x v="1"/>
    <s v="82233435001002"/>
    <n v="-25.14"/>
    <n v="424"/>
    <n v="2"/>
    <n v="1"/>
  </r>
  <r>
    <m/>
    <m/>
    <x v="1"/>
    <s v="82314056001001"/>
    <n v="-95.050000000000011"/>
    <n v="1598"/>
    <n v="2"/>
    <n v="1"/>
  </r>
  <r>
    <m/>
    <m/>
    <x v="1"/>
    <s v="82385356001001"/>
    <n v="-112.42"/>
    <n v="1929"/>
    <n v="1"/>
    <n v="1"/>
  </r>
  <r>
    <m/>
    <m/>
    <x v="1"/>
    <s v="82411065001003"/>
    <n v="-0.35"/>
    <n v="6"/>
    <n v="1"/>
    <n v="1"/>
  </r>
  <r>
    <m/>
    <m/>
    <x v="1"/>
    <s v="82551362001003"/>
    <n v="-84.960000000000008"/>
    <n v="1400"/>
    <n v="2"/>
    <n v="1"/>
  </r>
  <r>
    <m/>
    <m/>
    <x v="1"/>
    <s v="82600106001003"/>
    <n v="-33.22"/>
    <n v="570"/>
    <n v="1"/>
    <n v="1"/>
  </r>
  <r>
    <m/>
    <m/>
    <x v="1"/>
    <s v="82713739001005"/>
    <n v="-38.93"/>
    <n v="668"/>
    <n v="1"/>
    <n v="1"/>
  </r>
  <r>
    <m/>
    <m/>
    <x v="1"/>
    <s v="82800086001001"/>
    <n v="-81.28"/>
    <n v="1319"/>
    <n v="2"/>
    <n v="1"/>
  </r>
  <r>
    <m/>
    <m/>
    <x v="1"/>
    <s v="82834571001003"/>
    <n v="-366.42999999999995"/>
    <n v="6160"/>
    <n v="2"/>
    <n v="1"/>
  </r>
  <r>
    <m/>
    <m/>
    <x v="1"/>
    <s v="82980447003001"/>
    <n v="-116.54"/>
    <n v="1959"/>
    <n v="2"/>
    <n v="1"/>
  </r>
  <r>
    <m/>
    <m/>
    <x v="1"/>
    <s v="83061885001003"/>
    <n v="-53.97"/>
    <n v="926"/>
    <n v="1"/>
    <n v="1"/>
  </r>
  <r>
    <m/>
    <m/>
    <x v="1"/>
    <s v="83079087001001"/>
    <n v="-132.01"/>
    <n v="2252"/>
    <n v="2"/>
    <n v="1"/>
  </r>
  <r>
    <m/>
    <m/>
    <x v="1"/>
    <s v="83166675001001"/>
    <n v="-134.04"/>
    <n v="2300"/>
    <n v="1"/>
    <n v="1"/>
  </r>
  <r>
    <m/>
    <m/>
    <x v="1"/>
    <s v="83341239005003"/>
    <n v="-38.67"/>
    <n v="650"/>
    <n v="2"/>
    <n v="1"/>
  </r>
  <r>
    <m/>
    <m/>
    <x v="1"/>
    <s v="83345985001001"/>
    <n v="-67.72"/>
    <n v="1099"/>
    <n v="2"/>
    <n v="1"/>
  </r>
  <r>
    <m/>
    <m/>
    <x v="1"/>
    <s v="83389146001010"/>
    <n v="-157.37"/>
    <n v="2593"/>
    <n v="2"/>
    <n v="1"/>
  </r>
  <r>
    <m/>
    <m/>
    <x v="1"/>
    <s v="83464000001003"/>
    <n v="-96.55"/>
    <n v="1652"/>
    <n v="2"/>
    <n v="1"/>
  </r>
  <r>
    <m/>
    <m/>
    <x v="1"/>
    <s v="83488906003011"/>
    <n v="-99.41"/>
    <n v="1671"/>
    <n v="2"/>
    <n v="1"/>
  </r>
  <r>
    <m/>
    <m/>
    <x v="1"/>
    <s v="83489581005001"/>
    <n v="-79.72"/>
    <n v="1340"/>
    <n v="2"/>
    <n v="1"/>
  </r>
  <r>
    <m/>
    <m/>
    <x v="1"/>
    <s v="83534984001009"/>
    <n v="-58.19"/>
    <n v="971"/>
    <n v="2"/>
    <n v="1"/>
  </r>
  <r>
    <m/>
    <m/>
    <x v="1"/>
    <s v="83588017002001"/>
    <n v="-47.38"/>
    <n v="813"/>
    <n v="1"/>
    <n v="1"/>
  </r>
  <r>
    <m/>
    <m/>
    <x v="1"/>
    <s v="83665512001003"/>
    <n v="-134.97999999999999"/>
    <n v="2316"/>
    <n v="1"/>
    <n v="1"/>
  </r>
  <r>
    <m/>
    <m/>
    <x v="1"/>
    <s v="83801335001007"/>
    <n v="-241.47"/>
    <n v="3908"/>
    <n v="2"/>
    <n v="1"/>
  </r>
  <r>
    <m/>
    <m/>
    <x v="1"/>
    <s v="83824088001011"/>
    <n v="-143.78"/>
    <n v="2467"/>
    <n v="1"/>
    <n v="1"/>
  </r>
  <r>
    <m/>
    <m/>
    <x v="1"/>
    <s v="83877686001001"/>
    <n v="-18.010000000000002"/>
    <n v="309"/>
    <n v="1"/>
    <n v="1"/>
  </r>
  <r>
    <m/>
    <m/>
    <x v="1"/>
    <s v="83899589001014"/>
    <n v="-207.61"/>
    <n v="3360"/>
    <n v="2"/>
    <n v="1"/>
  </r>
  <r>
    <m/>
    <m/>
    <x v="1"/>
    <s v="83940883001001"/>
    <n v="-120.86"/>
    <n v="2062"/>
    <n v="2"/>
    <n v="1"/>
  </r>
  <r>
    <m/>
    <m/>
    <x v="1"/>
    <s v="84108570003004"/>
    <n v="-41.76"/>
    <n v="700"/>
    <n v="2"/>
    <n v="1"/>
  </r>
  <r>
    <m/>
    <m/>
    <x v="1"/>
    <s v="84291714001001"/>
    <n v="-76.349999999999994"/>
    <n v="1310"/>
    <n v="1"/>
    <n v="1"/>
  </r>
  <r>
    <m/>
    <m/>
    <x v="1"/>
    <s v="84652678001001"/>
    <n v="-26.91"/>
    <n v="459"/>
    <n v="2"/>
    <n v="1"/>
  </r>
  <r>
    <m/>
    <m/>
    <x v="1"/>
    <s v="84749539001001"/>
    <n v="-92.199999999999989"/>
    <n v="1550"/>
    <n v="2"/>
    <n v="1"/>
  </r>
  <r>
    <m/>
    <m/>
    <x v="1"/>
    <s v="84955889001001"/>
    <n v="-1.69"/>
    <n v="29"/>
    <n v="1"/>
    <n v="1"/>
  </r>
  <r>
    <m/>
    <m/>
    <x v="1"/>
    <s v="84968906001001"/>
    <n v="-76.349999999999994"/>
    <n v="1239"/>
    <n v="2"/>
    <n v="1"/>
  </r>
  <r>
    <m/>
    <m/>
    <x v="1"/>
    <s v="85004567002010"/>
    <n v="-16.47"/>
    <n v="280"/>
    <n v="2"/>
    <n v="1"/>
  </r>
  <r>
    <m/>
    <m/>
    <x v="1"/>
    <s v="85036880003001"/>
    <n v="-44.15"/>
    <n v="742"/>
    <n v="2"/>
    <n v="1"/>
  </r>
  <r>
    <m/>
    <m/>
    <x v="1"/>
    <s v="85194732001005"/>
    <n v="-80.759999999999991"/>
    <n v="1307"/>
    <n v="2"/>
    <n v="1"/>
  </r>
  <r>
    <m/>
    <m/>
    <x v="1"/>
    <s v="85278184001006"/>
    <n v="-95.32"/>
    <n v="1608"/>
    <n v="2"/>
    <n v="1"/>
  </r>
  <r>
    <m/>
    <m/>
    <x v="1"/>
    <s v="85292110001006"/>
    <n v="-152.63999999999999"/>
    <n v="2477"/>
    <n v="2"/>
    <n v="1"/>
  </r>
  <r>
    <m/>
    <m/>
    <x v="1"/>
    <s v="85313155001006"/>
    <n v="-77.63"/>
    <n v="1332"/>
    <n v="1"/>
    <n v="1"/>
  </r>
  <r>
    <m/>
    <m/>
    <x v="1"/>
    <s v="85360992003005"/>
    <n v="-124.66"/>
    <n v="2139"/>
    <n v="1"/>
    <n v="1"/>
  </r>
  <r>
    <m/>
    <m/>
    <x v="1"/>
    <s v="85465302001001"/>
    <n v="-23.43"/>
    <n v="402"/>
    <n v="1"/>
    <n v="1"/>
  </r>
  <r>
    <m/>
    <m/>
    <x v="1"/>
    <s v="85553648001002"/>
    <n v="-70.11"/>
    <n v="1203"/>
    <n v="1"/>
    <n v="1"/>
  </r>
  <r>
    <m/>
    <m/>
    <x v="1"/>
    <s v="85767727002001"/>
    <n v="-109.62"/>
    <n v="1881"/>
    <n v="1"/>
    <n v="1"/>
  </r>
  <r>
    <m/>
    <m/>
    <x v="1"/>
    <s v="85854485001003"/>
    <n v="-26.46"/>
    <n v="454"/>
    <n v="1"/>
    <n v="1"/>
  </r>
  <r>
    <m/>
    <m/>
    <x v="1"/>
    <s v="86028893001003"/>
    <n v="-97.73"/>
    <n v="1586"/>
    <n v="2"/>
    <n v="1"/>
  </r>
  <r>
    <m/>
    <m/>
    <x v="1"/>
    <s v="86084151001010"/>
    <n v="-32.4"/>
    <n v="556"/>
    <n v="1"/>
    <n v="1"/>
  </r>
  <r>
    <m/>
    <m/>
    <x v="1"/>
    <s v="86090695001001"/>
    <n v="-102.63"/>
    <n v="1761"/>
    <n v="1"/>
    <n v="1"/>
  </r>
  <r>
    <m/>
    <m/>
    <x v="1"/>
    <s v="86131823008001"/>
    <n v="-266.54999999999995"/>
    <n v="4314"/>
    <n v="2"/>
    <n v="1"/>
  </r>
  <r>
    <m/>
    <m/>
    <x v="1"/>
    <s v="86306802001001"/>
    <n v="-141.61000000000001"/>
    <n v="2292"/>
    <n v="2"/>
    <n v="1"/>
  </r>
  <r>
    <m/>
    <m/>
    <x v="1"/>
    <s v="86342190001003"/>
    <n v="-95.94"/>
    <n v="1613"/>
    <n v="2"/>
    <n v="1"/>
  </r>
  <r>
    <m/>
    <m/>
    <x v="1"/>
    <s v="86390002001003"/>
    <n v="-108.75999999999999"/>
    <n v="1765"/>
    <n v="2"/>
    <n v="1"/>
  </r>
  <r>
    <m/>
    <m/>
    <x v="1"/>
    <s v="86437804001005"/>
    <n v="-27.16"/>
    <n v="466"/>
    <n v="1"/>
    <n v="1"/>
  </r>
  <r>
    <m/>
    <m/>
    <x v="1"/>
    <s v="86557042001001"/>
    <n v="-140.57"/>
    <n v="2412"/>
    <n v="1"/>
    <n v="1"/>
  </r>
  <r>
    <m/>
    <m/>
    <x v="1"/>
    <s v="86649855002001"/>
    <n v="-101.94999999999999"/>
    <n v="1709"/>
    <n v="2"/>
    <n v="1"/>
  </r>
  <r>
    <m/>
    <m/>
    <x v="1"/>
    <s v="86773366001001"/>
    <n v="-197.04"/>
    <n v="3189"/>
    <n v="2"/>
    <n v="1"/>
  </r>
  <r>
    <m/>
    <m/>
    <x v="1"/>
    <s v="86988920001001"/>
    <n v="-130.43"/>
    <n v="2238"/>
    <n v="1"/>
    <n v="1"/>
  </r>
  <r>
    <m/>
    <m/>
    <x v="1"/>
    <s v="87014077001006"/>
    <n v="-73.42"/>
    <n v="1248"/>
    <n v="2"/>
    <n v="1"/>
  </r>
  <r>
    <m/>
    <m/>
    <x v="1"/>
    <s v="87016911001003"/>
    <n v="-68.69"/>
    <n v="1172"/>
    <n v="2"/>
    <n v="1"/>
  </r>
  <r>
    <m/>
    <m/>
    <x v="1"/>
    <s v="87070925001002"/>
    <n v="-58.4"/>
    <n v="1002"/>
    <n v="1"/>
    <n v="1"/>
  </r>
  <r>
    <m/>
    <m/>
    <x v="1"/>
    <s v="87361385001003"/>
    <n v="-106.19"/>
    <n v="1822"/>
    <n v="1"/>
    <n v="1"/>
  </r>
  <r>
    <m/>
    <m/>
    <x v="1"/>
    <s v="87376731001001"/>
    <n v="-56.92"/>
    <n v="954"/>
    <n v="2"/>
    <n v="1"/>
  </r>
  <r>
    <m/>
    <m/>
    <x v="1"/>
    <s v="87380869001001"/>
    <n v="-131.57999999999998"/>
    <n v="2212"/>
    <n v="2"/>
    <n v="1"/>
  </r>
  <r>
    <m/>
    <m/>
    <x v="1"/>
    <s v="87544588001002"/>
    <n v="-53.58"/>
    <n v="894"/>
    <n v="2"/>
    <n v="1"/>
  </r>
  <r>
    <m/>
    <m/>
    <x v="1"/>
    <s v="87551644002001"/>
    <n v="-133.71"/>
    <n v="2164"/>
    <n v="2"/>
    <n v="1"/>
  </r>
  <r>
    <m/>
    <m/>
    <x v="1"/>
    <s v="87552682002001"/>
    <n v="-151.22"/>
    <n v="2580"/>
    <n v="2"/>
    <n v="1"/>
  </r>
  <r>
    <m/>
    <m/>
    <x v="1"/>
    <s v="87582546001007"/>
    <n v="-61.14"/>
    <n v="1049"/>
    <n v="1"/>
    <n v="1"/>
  </r>
  <r>
    <m/>
    <m/>
    <x v="1"/>
    <s v="87604227002002"/>
    <n v="-111.09"/>
    <n v="1848"/>
    <n v="2"/>
    <n v="1"/>
  </r>
  <r>
    <m/>
    <m/>
    <x v="1"/>
    <s v="87687840001001"/>
    <n v="-23.8"/>
    <n v="399"/>
    <n v="2"/>
    <n v="1"/>
  </r>
  <r>
    <m/>
    <m/>
    <x v="1"/>
    <s v="87707939001001"/>
    <n v="-1.63"/>
    <n v="28"/>
    <n v="1"/>
    <n v="1"/>
  </r>
  <r>
    <m/>
    <m/>
    <x v="1"/>
    <s v="87791029001001"/>
    <n v="-54.66"/>
    <n v="929"/>
    <n v="2"/>
    <n v="1"/>
  </r>
  <r>
    <m/>
    <m/>
    <x v="1"/>
    <s v="87810851004003"/>
    <n v="-239.06"/>
    <n v="3939"/>
    <n v="2"/>
    <n v="1"/>
  </r>
  <r>
    <m/>
    <m/>
    <x v="1"/>
    <s v="87815744002003"/>
    <n v="-113.31"/>
    <n v="1885"/>
    <n v="2"/>
    <n v="1"/>
  </r>
  <r>
    <m/>
    <m/>
    <x v="1"/>
    <s v="87958644001001"/>
    <n v="-101.64"/>
    <n v="1744"/>
    <n v="1"/>
    <n v="1"/>
  </r>
  <r>
    <m/>
    <m/>
    <x v="1"/>
    <s v="88025795001001"/>
    <n v="-96.4"/>
    <n v="1654"/>
    <n v="1"/>
    <n v="1"/>
  </r>
  <r>
    <m/>
    <m/>
    <x v="1"/>
    <s v="88059297001001"/>
    <n v="-62.94"/>
    <n v="1058"/>
    <n v="2"/>
    <n v="1"/>
  </r>
  <r>
    <m/>
    <m/>
    <x v="1"/>
    <s v="88083001001001"/>
    <n v="-205.69"/>
    <n v="3338"/>
    <n v="2"/>
    <n v="1"/>
  </r>
  <r>
    <m/>
    <m/>
    <x v="1"/>
    <s v="88129242004001"/>
    <n v="-145.18"/>
    <n v="2491"/>
    <n v="1"/>
    <n v="1"/>
  </r>
  <r>
    <m/>
    <m/>
    <x v="1"/>
    <s v="88269625001005"/>
    <n v="-57.46"/>
    <n v="966"/>
    <n v="2"/>
    <n v="1"/>
  </r>
  <r>
    <m/>
    <m/>
    <x v="1"/>
    <s v="88298279001006"/>
    <n v="-53.92"/>
    <n v="920"/>
    <n v="2"/>
    <n v="1"/>
  </r>
  <r>
    <m/>
    <m/>
    <x v="1"/>
    <s v="88386366001006"/>
    <n v="-46.03"/>
    <n v="751"/>
    <n v="2"/>
    <n v="1"/>
  </r>
  <r>
    <m/>
    <m/>
    <x v="1"/>
    <s v="88531575001003"/>
    <n v="-75.63"/>
    <n v="1224"/>
    <n v="2"/>
    <n v="1"/>
  </r>
  <r>
    <m/>
    <m/>
    <x v="1"/>
    <s v="88537204001001"/>
    <n v="-70.58"/>
    <n v="1211"/>
    <n v="1"/>
    <n v="1"/>
  </r>
  <r>
    <m/>
    <m/>
    <x v="1"/>
    <s v="88585974001001"/>
    <n v="-139.22999999999999"/>
    <n v="2389"/>
    <n v="1"/>
    <n v="1"/>
  </r>
  <r>
    <m/>
    <m/>
    <x v="1"/>
    <s v="88587941001003"/>
    <n v="-51.52"/>
    <n v="884"/>
    <n v="1"/>
    <n v="1"/>
  </r>
  <r>
    <m/>
    <m/>
    <x v="1"/>
    <s v="88689803002001"/>
    <n v="-69"/>
    <n v="1164"/>
    <n v="2"/>
    <n v="1"/>
  </r>
  <r>
    <m/>
    <m/>
    <x v="1"/>
    <s v="88695058001001"/>
    <n v="-119.36"/>
    <n v="2048"/>
    <n v="1"/>
    <n v="1"/>
  </r>
  <r>
    <m/>
    <m/>
    <x v="1"/>
    <s v="88706120001001"/>
    <n v="-103.27"/>
    <n v="1731"/>
    <n v="2"/>
    <n v="1"/>
  </r>
  <r>
    <m/>
    <m/>
    <x v="1"/>
    <s v="88756758002012"/>
    <n v="-40.159999999999997"/>
    <n v="650"/>
    <n v="2"/>
    <n v="1"/>
  </r>
  <r>
    <m/>
    <m/>
    <x v="1"/>
    <s v="88774653001009"/>
    <n v="-113.89000000000001"/>
    <n v="1936"/>
    <n v="2"/>
    <n v="1"/>
  </r>
  <r>
    <m/>
    <m/>
    <x v="1"/>
    <s v="88854433001001"/>
    <n v="-48.43"/>
    <n v="831"/>
    <n v="1"/>
    <n v="1"/>
  </r>
  <r>
    <m/>
    <m/>
    <x v="1"/>
    <s v="88891691002011"/>
    <n v="-450.16"/>
    <n v="7680"/>
    <n v="2"/>
    <n v="1"/>
  </r>
  <r>
    <m/>
    <m/>
    <x v="1"/>
    <s v="88998446001001"/>
    <n v="-110.32"/>
    <n v="1893"/>
    <n v="1"/>
    <n v="1"/>
  </r>
  <r>
    <m/>
    <m/>
    <x v="1"/>
    <s v="89037466001001"/>
    <n v="-38.869999999999997"/>
    <n v="667"/>
    <n v="1"/>
    <n v="1"/>
  </r>
  <r>
    <m/>
    <m/>
    <x v="1"/>
    <s v="89061811001001"/>
    <n v="-41.79"/>
    <n v="717"/>
    <n v="1"/>
    <n v="1"/>
  </r>
  <r>
    <m/>
    <m/>
    <x v="1"/>
    <s v="89105915001001"/>
    <n v="-271.06"/>
    <n v="4651"/>
    <n v="1"/>
    <n v="1"/>
  </r>
  <r>
    <m/>
    <m/>
    <x v="1"/>
    <s v="89128925001003"/>
    <n v="-70.45"/>
    <n v="1202"/>
    <n v="2"/>
    <n v="1"/>
  </r>
  <r>
    <m/>
    <m/>
    <x v="1"/>
    <s v="89214483001001"/>
    <n v="-24.33"/>
    <n v="401"/>
    <n v="2"/>
    <n v="1"/>
  </r>
  <r>
    <m/>
    <m/>
    <x v="1"/>
    <s v="89432491001006"/>
    <n v="-91.97"/>
    <n v="1578"/>
    <n v="1"/>
    <n v="1"/>
  </r>
  <r>
    <m/>
    <m/>
    <x v="1"/>
    <s v="89456905001003"/>
    <n v="-23.97"/>
    <n v="388"/>
    <n v="2"/>
    <n v="1"/>
  </r>
  <r>
    <m/>
    <m/>
    <x v="1"/>
    <s v="89636629004001"/>
    <n v="-41.55"/>
    <n v="713"/>
    <n v="1"/>
    <n v="1"/>
  </r>
  <r>
    <m/>
    <m/>
    <x v="1"/>
    <s v="89712565001005"/>
    <n v="-86.86"/>
    <n v="1456"/>
    <n v="2"/>
    <n v="1"/>
  </r>
  <r>
    <m/>
    <m/>
    <x v="1"/>
    <s v="89718018001006"/>
    <n v="-17.37"/>
    <n v="298"/>
    <n v="1"/>
    <n v="1"/>
  </r>
  <r>
    <m/>
    <m/>
    <x v="1"/>
    <s v="89747832004001"/>
    <n v="-202.86"/>
    <n v="3292"/>
    <n v="2"/>
    <n v="1"/>
  </r>
  <r>
    <m/>
    <m/>
    <x v="1"/>
    <s v="89769832001004"/>
    <n v="-64.08"/>
    <n v="1066"/>
    <n v="2"/>
    <n v="1"/>
  </r>
  <r>
    <m/>
    <m/>
    <x v="1"/>
    <s v="89805136001001"/>
    <n v="-188.36"/>
    <n v="3232"/>
    <n v="1"/>
    <n v="1"/>
  </r>
  <r>
    <m/>
    <m/>
    <x v="1"/>
    <s v="89843398001002"/>
    <n v="-170.3"/>
    <n v="2833"/>
    <n v="2"/>
    <n v="1"/>
  </r>
  <r>
    <m/>
    <m/>
    <x v="1"/>
    <s v="89887026001003"/>
    <n v="-149.4"/>
    <n v="2451"/>
    <n v="2"/>
    <n v="1"/>
  </r>
  <r>
    <m/>
    <m/>
    <x v="1"/>
    <s v="89900422001003"/>
    <n v="-50.89"/>
    <n v="865"/>
    <n v="2"/>
    <n v="1"/>
  </r>
  <r>
    <m/>
    <m/>
    <x v="1"/>
    <s v="89999378009001"/>
    <n v="-39.4"/>
    <n v="676"/>
    <n v="1"/>
    <n v="1"/>
  </r>
  <r>
    <m/>
    <m/>
    <x v="1"/>
    <s v="90167563001003"/>
    <n v="-87.72"/>
    <n v="1431"/>
    <n v="2"/>
    <n v="1"/>
  </r>
  <r>
    <m/>
    <m/>
    <x v="1"/>
    <s v="90223411001018"/>
    <n v="-45.52"/>
    <n v="781"/>
    <n v="1"/>
    <n v="1"/>
  </r>
  <r>
    <m/>
    <m/>
    <x v="1"/>
    <s v="90376961001005"/>
    <n v="-187"/>
    <n v="3111"/>
    <n v="2"/>
    <n v="1"/>
  </r>
  <r>
    <m/>
    <m/>
    <x v="1"/>
    <s v="90421000005001"/>
    <n v="-201.82"/>
    <n v="3463"/>
    <n v="1"/>
    <n v="1"/>
  </r>
  <r>
    <m/>
    <m/>
    <x v="1"/>
    <s v="90453061001001"/>
    <n v="-75.36"/>
    <n v="1293"/>
    <n v="1"/>
    <n v="1"/>
  </r>
  <r>
    <m/>
    <m/>
    <x v="1"/>
    <s v="90516824001003"/>
    <n v="-80.37"/>
    <n v="1379"/>
    <n v="1"/>
    <n v="1"/>
  </r>
  <r>
    <m/>
    <m/>
    <x v="1"/>
    <s v="90553398001002"/>
    <n v="-82.65"/>
    <n v="1375"/>
    <n v="2"/>
    <n v="1"/>
  </r>
  <r>
    <m/>
    <m/>
    <x v="1"/>
    <s v="90718040001001"/>
    <n v="-135.07"/>
    <n v="2232"/>
    <n v="2"/>
    <n v="1"/>
  </r>
  <r>
    <m/>
    <m/>
    <x v="1"/>
    <s v="90729873001001"/>
    <n v="-32.58"/>
    <n v="559"/>
    <n v="1"/>
    <n v="1"/>
  </r>
  <r>
    <m/>
    <m/>
    <x v="1"/>
    <s v="90740546001001"/>
    <n v="-116.72999999999999"/>
    <n v="1968"/>
    <n v="2"/>
    <n v="1"/>
  </r>
  <r>
    <m/>
    <m/>
    <x v="1"/>
    <s v="90803817001003"/>
    <n v="-222.92"/>
    <n v="3825"/>
    <n v="1"/>
    <n v="1"/>
  </r>
  <r>
    <m/>
    <m/>
    <x v="1"/>
    <s v="90805481002003"/>
    <n v="-189.96"/>
    <n v="3160"/>
    <n v="2"/>
    <n v="1"/>
  </r>
  <r>
    <m/>
    <m/>
    <x v="1"/>
    <s v="90822240011001"/>
    <n v="-206.61"/>
    <n v="3525"/>
    <n v="2"/>
    <n v="1"/>
  </r>
  <r>
    <m/>
    <m/>
    <x v="1"/>
    <s v="90875802001001"/>
    <n v="-54.61"/>
    <n v="918"/>
    <n v="2"/>
    <n v="1"/>
  </r>
  <r>
    <m/>
    <m/>
    <x v="1"/>
    <s v="91085873002001"/>
    <n v="-29.11"/>
    <n v="491"/>
    <n v="2"/>
    <n v="1"/>
  </r>
  <r>
    <m/>
    <m/>
    <x v="1"/>
    <s v="91428706001001"/>
    <n v="-107.14"/>
    <n v="1748"/>
    <n v="2"/>
    <n v="1"/>
  </r>
  <r>
    <m/>
    <m/>
    <x v="1"/>
    <s v="91441345001005"/>
    <n v="-140.28"/>
    <n v="2407"/>
    <n v="1"/>
    <n v="1"/>
  </r>
  <r>
    <m/>
    <m/>
    <x v="1"/>
    <s v="91659027002001"/>
    <n v="-81.239999999999995"/>
    <n v="1394"/>
    <n v="1"/>
    <n v="1"/>
  </r>
  <r>
    <m/>
    <m/>
    <x v="1"/>
    <s v="91694661001009"/>
    <n v="-36.89"/>
    <n v="633"/>
    <n v="1"/>
    <n v="1"/>
  </r>
  <r>
    <m/>
    <m/>
    <x v="1"/>
    <s v="91750195001001"/>
    <n v="-64.569999999999993"/>
    <n v="1108"/>
    <n v="1"/>
    <n v="1"/>
  </r>
  <r>
    <m/>
    <m/>
    <x v="1"/>
    <s v="91774675002002"/>
    <n v="-75.06"/>
    <n v="1288"/>
    <n v="1"/>
    <n v="1"/>
  </r>
  <r>
    <m/>
    <m/>
    <x v="1"/>
    <s v="91792182001002"/>
    <n v="-88.76"/>
    <n v="1523"/>
    <n v="1"/>
    <n v="1"/>
  </r>
  <r>
    <m/>
    <m/>
    <x v="1"/>
    <s v="91808671001002"/>
    <n v="-277.98"/>
    <n v="4499"/>
    <n v="2"/>
    <n v="1"/>
  </r>
  <r>
    <m/>
    <m/>
    <x v="1"/>
    <s v="91847159001001"/>
    <n v="-50.67"/>
    <n v="835"/>
    <n v="2"/>
    <n v="1"/>
  </r>
  <r>
    <m/>
    <m/>
    <x v="1"/>
    <s v="91947072001002"/>
    <n v="-74.25"/>
    <n v="1274"/>
    <n v="1"/>
    <n v="1"/>
  </r>
  <r>
    <m/>
    <m/>
    <x v="1"/>
    <s v="92016111001005"/>
    <n v="-132"/>
    <n v="2265"/>
    <n v="1"/>
    <n v="1"/>
  </r>
  <r>
    <m/>
    <m/>
    <x v="1"/>
    <s v="92041740001001"/>
    <n v="-53.62"/>
    <n v="920"/>
    <n v="1"/>
    <n v="1"/>
  </r>
  <r>
    <m/>
    <m/>
    <x v="1"/>
    <s v="92139692001003"/>
    <n v="-303.81"/>
    <n v="5213"/>
    <n v="1"/>
    <n v="1"/>
  </r>
  <r>
    <m/>
    <m/>
    <x v="1"/>
    <s v="92227325006001"/>
    <n v="-288.83999999999997"/>
    <n v="4956"/>
    <n v="1"/>
    <n v="1"/>
  </r>
  <r>
    <m/>
    <m/>
    <x v="1"/>
    <s v="92241449002001"/>
    <n v="-25.17"/>
    <n v="423"/>
    <n v="2"/>
    <n v="1"/>
  </r>
  <r>
    <m/>
    <m/>
    <x v="1"/>
    <s v="92297397002002"/>
    <n v="-148"/>
    <n v="2525"/>
    <n v="2"/>
    <n v="1"/>
  </r>
  <r>
    <m/>
    <m/>
    <x v="1"/>
    <s v="92326056001001"/>
    <n v="-48.78"/>
    <n v="837"/>
    <n v="1"/>
    <n v="1"/>
  </r>
  <r>
    <m/>
    <m/>
    <x v="1"/>
    <s v="92399017001001"/>
    <n v="-69.13"/>
    <n v="1162"/>
    <n v="2"/>
    <n v="1"/>
  </r>
  <r>
    <m/>
    <m/>
    <x v="1"/>
    <s v="92474314001001"/>
    <n v="-50.92"/>
    <n v="856"/>
    <n v="2"/>
    <n v="1"/>
  </r>
  <r>
    <m/>
    <m/>
    <x v="1"/>
    <s v="92487973001001"/>
    <n v="-53.56"/>
    <n v="919"/>
    <n v="1"/>
    <n v="1"/>
  </r>
  <r>
    <m/>
    <m/>
    <x v="1"/>
    <s v="92501844001012"/>
    <n v="-78.099999999999994"/>
    <n v="1340"/>
    <n v="1"/>
    <n v="1"/>
  </r>
  <r>
    <m/>
    <m/>
    <x v="1"/>
    <s v="92612665001005"/>
    <n v="-99.05"/>
    <n v="1603"/>
    <n v="2"/>
    <n v="1"/>
  </r>
  <r>
    <m/>
    <m/>
    <x v="1"/>
    <s v="92643112001001"/>
    <n v="-23.16"/>
    <n v="395"/>
    <n v="2"/>
    <n v="1"/>
  </r>
  <r>
    <m/>
    <m/>
    <x v="1"/>
    <s v="92665096001001"/>
    <n v="-105.08"/>
    <n v="1803"/>
    <n v="1"/>
    <n v="1"/>
  </r>
  <r>
    <m/>
    <m/>
    <x v="1"/>
    <s v="92749025001003"/>
    <n v="-152.14000000000001"/>
    <n v="2469"/>
    <n v="2"/>
    <n v="1"/>
  </r>
  <r>
    <m/>
    <m/>
    <x v="1"/>
    <s v="92784824002001"/>
    <n v="-108.7"/>
    <n v="1822"/>
    <n v="2"/>
    <n v="1"/>
  </r>
  <r>
    <m/>
    <m/>
    <x v="1"/>
    <s v="92873766001005"/>
    <n v="-97.09"/>
    <n v="1666"/>
    <n v="1"/>
    <n v="1"/>
  </r>
  <r>
    <m/>
    <m/>
    <x v="1"/>
    <s v="92883803001003"/>
    <n v="-152.31"/>
    <n v="2606"/>
    <n v="2"/>
    <n v="1"/>
  </r>
  <r>
    <m/>
    <m/>
    <x v="1"/>
    <s v="92911654001007"/>
    <n v="-113.32000000000001"/>
    <n v="1905"/>
    <n v="2"/>
    <n v="1"/>
  </r>
  <r>
    <m/>
    <m/>
    <x v="1"/>
    <s v="92962587001001"/>
    <n v="-219.27"/>
    <n v="3686"/>
    <n v="2"/>
    <n v="1"/>
  </r>
  <r>
    <m/>
    <m/>
    <x v="1"/>
    <s v="92992711003001"/>
    <n v="-89.36999999999999"/>
    <n v="1529"/>
    <n v="2"/>
    <n v="1"/>
  </r>
  <r>
    <m/>
    <m/>
    <x v="1"/>
    <s v="93109578002001"/>
    <n v="-66.78"/>
    <n v="1111"/>
    <n v="2"/>
    <n v="1"/>
  </r>
  <r>
    <m/>
    <m/>
    <x v="1"/>
    <s v="93164650004007"/>
    <n v="-71.22"/>
    <n v="1222"/>
    <n v="1"/>
    <n v="1"/>
  </r>
  <r>
    <m/>
    <m/>
    <x v="1"/>
    <s v="93304243002003"/>
    <n v="-309.47000000000003"/>
    <n v="5310"/>
    <n v="1"/>
    <n v="1"/>
  </r>
  <r>
    <m/>
    <m/>
    <x v="1"/>
    <s v="93368775001001"/>
    <n v="-53.89"/>
    <n v="916"/>
    <n v="2"/>
    <n v="1"/>
  </r>
  <r>
    <m/>
    <m/>
    <x v="1"/>
    <s v="93477594002001"/>
    <n v="-82.81"/>
    <n v="1351"/>
    <n v="2"/>
    <n v="1"/>
  </r>
  <r>
    <m/>
    <m/>
    <x v="1"/>
    <s v="93594305001005"/>
    <n v="-17.829999999999998"/>
    <n v="306"/>
    <n v="1"/>
    <n v="1"/>
  </r>
  <r>
    <m/>
    <m/>
    <x v="1"/>
    <s v="93737043001001"/>
    <n v="-77.319999999999993"/>
    <n v="1323"/>
    <n v="2"/>
    <n v="1"/>
  </r>
  <r>
    <m/>
    <m/>
    <x v="1"/>
    <s v="93813014002001"/>
    <n v="-245.67000000000002"/>
    <n v="4148"/>
    <n v="2"/>
    <n v="1"/>
  </r>
  <r>
    <m/>
    <m/>
    <x v="1"/>
    <s v="93981586001007"/>
    <n v="-61.43"/>
    <n v="1054"/>
    <n v="1"/>
    <n v="1"/>
  </r>
  <r>
    <m/>
    <m/>
    <x v="1"/>
    <s v="94006867004003"/>
    <n v="-77.05"/>
    <n v="1322"/>
    <n v="1"/>
    <n v="1"/>
  </r>
  <r>
    <m/>
    <m/>
    <x v="1"/>
    <s v="94072499001003"/>
    <n v="-134.1"/>
    <n v="2301"/>
    <n v="1"/>
    <n v="1"/>
  </r>
  <r>
    <m/>
    <m/>
    <x v="1"/>
    <s v="94236722001001"/>
    <n v="-95.35"/>
    <n v="1636"/>
    <n v="1"/>
    <n v="1"/>
  </r>
  <r>
    <m/>
    <m/>
    <x v="1"/>
    <s v="94241438001002"/>
    <n v="-147.41999999999999"/>
    <n v="2386"/>
    <n v="2"/>
    <n v="1"/>
  </r>
  <r>
    <m/>
    <m/>
    <x v="1"/>
    <s v="94290285002001"/>
    <n v="-72.97"/>
    <n v="1252"/>
    <n v="1"/>
    <n v="1"/>
  </r>
  <r>
    <m/>
    <m/>
    <x v="1"/>
    <s v="94338453002003"/>
    <n v="-135.33000000000001"/>
    <n v="2322"/>
    <n v="1"/>
    <n v="1"/>
  </r>
  <r>
    <m/>
    <m/>
    <x v="1"/>
    <s v="94462558005001"/>
    <n v="-3.7"/>
    <n v="61"/>
    <n v="2"/>
    <n v="1"/>
  </r>
  <r>
    <m/>
    <m/>
    <x v="1"/>
    <s v="94464191001001"/>
    <n v="-68.48"/>
    <n v="1175"/>
    <n v="1"/>
    <n v="1"/>
  </r>
  <r>
    <m/>
    <m/>
    <x v="1"/>
    <s v="94495822001011"/>
    <n v="-84.29"/>
    <n v="1417"/>
    <n v="2"/>
    <n v="1"/>
  </r>
  <r>
    <m/>
    <m/>
    <x v="1"/>
    <s v="94648149001003"/>
    <n v="-46.33"/>
    <n v="795"/>
    <n v="1"/>
    <n v="1"/>
  </r>
  <r>
    <m/>
    <m/>
    <x v="1"/>
    <s v="94900294001001"/>
    <n v="-213.89"/>
    <n v="3670"/>
    <n v="1"/>
    <n v="1"/>
  </r>
  <r>
    <m/>
    <m/>
    <x v="1"/>
    <s v="94903881001003"/>
    <n v="-91.44"/>
    <n v="1569"/>
    <n v="1"/>
    <n v="1"/>
  </r>
  <r>
    <m/>
    <m/>
    <x v="1"/>
    <s v="95016897001001"/>
    <n v="-67.7"/>
    <n v="1138"/>
    <n v="2"/>
    <n v="1"/>
  </r>
  <r>
    <m/>
    <m/>
    <x v="1"/>
    <s v="95018732001003"/>
    <n v="-36.950000000000003"/>
    <n v="634"/>
    <n v="1"/>
    <n v="1"/>
  </r>
  <r>
    <m/>
    <m/>
    <x v="1"/>
    <s v="95073619001007"/>
    <n v="-92.37"/>
    <n v="1585"/>
    <n v="1"/>
    <n v="1"/>
  </r>
  <r>
    <m/>
    <m/>
    <x v="1"/>
    <s v="95117315001002"/>
    <n v="-115.13999999999999"/>
    <n v="1930"/>
    <n v="2"/>
    <n v="1"/>
  </r>
  <r>
    <m/>
    <m/>
    <x v="1"/>
    <s v="95145975001001"/>
    <n v="-44.29"/>
    <n v="760"/>
    <n v="1"/>
    <n v="1"/>
  </r>
  <r>
    <m/>
    <m/>
    <x v="1"/>
    <s v="95197170001003"/>
    <n v="-29.08"/>
    <n v="499"/>
    <n v="1"/>
    <n v="1"/>
  </r>
  <r>
    <m/>
    <m/>
    <x v="1"/>
    <s v="95273141001001"/>
    <n v="-151.65"/>
    <n v="2461"/>
    <n v="2"/>
    <n v="1"/>
  </r>
  <r>
    <m/>
    <m/>
    <x v="1"/>
    <s v="95312653010001"/>
    <n v="-49.19"/>
    <n v="844"/>
    <n v="1"/>
    <n v="1"/>
  </r>
  <r>
    <m/>
    <m/>
    <x v="1"/>
    <s v="95315181001001"/>
    <n v="-17.89"/>
    <n v="307"/>
    <n v="1"/>
    <n v="1"/>
  </r>
  <r>
    <m/>
    <m/>
    <x v="1"/>
    <s v="95382413001005"/>
    <n v="-40.5"/>
    <n v="695"/>
    <n v="1"/>
    <n v="1"/>
  </r>
  <r>
    <m/>
    <m/>
    <x v="1"/>
    <s v="95438353001014"/>
    <n v="-48.14"/>
    <n v="826"/>
    <n v="1"/>
    <n v="1"/>
  </r>
  <r>
    <m/>
    <m/>
    <x v="1"/>
    <s v="95442300001013"/>
    <n v="-70.75"/>
    <n v="1214"/>
    <n v="1"/>
    <n v="1"/>
  </r>
  <r>
    <m/>
    <m/>
    <x v="1"/>
    <s v="95473504003001"/>
    <n v="-2.68"/>
    <n v="46"/>
    <n v="1"/>
    <n v="1"/>
  </r>
  <r>
    <m/>
    <m/>
    <x v="1"/>
    <s v="95486418002003"/>
    <n v="-212.12"/>
    <n v="3505"/>
    <n v="2"/>
    <n v="1"/>
  </r>
  <r>
    <m/>
    <m/>
    <x v="1"/>
    <s v="95526679001001"/>
    <n v="-3.94"/>
    <n v="65"/>
    <n v="2"/>
    <n v="1"/>
  </r>
  <r>
    <m/>
    <m/>
    <x v="1"/>
    <s v="95581312001002"/>
    <n v="-100.77"/>
    <n v="1729"/>
    <n v="1"/>
    <n v="1"/>
  </r>
  <r>
    <m/>
    <m/>
    <x v="1"/>
    <s v="95983524001002"/>
    <n v="-183.03"/>
    <n v="2986"/>
    <n v="2"/>
    <n v="1"/>
  </r>
  <r>
    <m/>
    <m/>
    <x v="1"/>
    <s v="95991168001001"/>
    <n v="-61.31"/>
    <n v="1052"/>
    <n v="1"/>
    <n v="1"/>
  </r>
  <r>
    <m/>
    <m/>
    <x v="1"/>
    <s v="96029566001003"/>
    <n v="-21.14"/>
    <n v="345"/>
    <n v="2"/>
    <n v="1"/>
  </r>
  <r>
    <m/>
    <m/>
    <x v="1"/>
    <s v="96145942001001"/>
    <n v="-26.69"/>
    <n v="458"/>
    <n v="1"/>
    <n v="1"/>
  </r>
  <r>
    <m/>
    <m/>
    <x v="1"/>
    <s v="96156710001003"/>
    <n v="-88.7"/>
    <n v="1522"/>
    <n v="1"/>
    <n v="1"/>
  </r>
  <r>
    <m/>
    <m/>
    <x v="1"/>
    <s v="96197510001001"/>
    <n v="-60.09"/>
    <n v="1031"/>
    <n v="1"/>
    <n v="1"/>
  </r>
  <r>
    <m/>
    <m/>
    <x v="1"/>
    <s v="96206602001003"/>
    <n v="-49.36"/>
    <n v="842"/>
    <n v="2"/>
    <n v="1"/>
  </r>
  <r>
    <m/>
    <m/>
    <x v="1"/>
    <s v="96258332001001"/>
    <n v="-69.070000000000007"/>
    <n v="1161"/>
    <n v="2"/>
    <n v="1"/>
  </r>
  <r>
    <m/>
    <m/>
    <x v="1"/>
    <s v="96360767002001"/>
    <n v="-40.450000000000003"/>
    <n v="694"/>
    <n v="1"/>
    <n v="1"/>
  </r>
  <r>
    <m/>
    <m/>
    <x v="1"/>
    <s v="96426781002003"/>
    <n v="-20.05"/>
    <n v="344"/>
    <n v="1"/>
    <n v="1"/>
  </r>
  <r>
    <m/>
    <m/>
    <x v="1"/>
    <s v="96526669001001"/>
    <n v="-23.47"/>
    <n v="383"/>
    <n v="2"/>
    <n v="1"/>
  </r>
  <r>
    <m/>
    <m/>
    <x v="1"/>
    <s v="96577802001001"/>
    <n v="-108.15"/>
    <n v="1782"/>
    <n v="2"/>
    <n v="1"/>
  </r>
  <r>
    <m/>
    <m/>
    <x v="1"/>
    <s v="96609922001004"/>
    <n v="-46.53"/>
    <n v="791"/>
    <n v="2"/>
    <n v="1"/>
  </r>
  <r>
    <m/>
    <m/>
    <x v="1"/>
    <s v="96626642003001"/>
    <n v="-5.59"/>
    <n v="96"/>
    <n v="1"/>
    <n v="1"/>
  </r>
  <r>
    <m/>
    <m/>
    <x v="1"/>
    <s v="96660241001001"/>
    <n v="-118.63"/>
    <n v="2024"/>
    <n v="2"/>
    <n v="1"/>
  </r>
  <r>
    <m/>
    <m/>
    <x v="1"/>
    <s v="96664201001004"/>
    <n v="-115.34"/>
    <n v="1939"/>
    <n v="2"/>
    <n v="1"/>
  </r>
  <r>
    <m/>
    <m/>
    <x v="1"/>
    <s v="96696838001001"/>
    <n v="-166.81"/>
    <n v="2775"/>
    <n v="2"/>
    <n v="1"/>
  </r>
  <r>
    <m/>
    <m/>
    <x v="1"/>
    <s v="96746681001003"/>
    <n v="-132.88999999999999"/>
    <n v="2234"/>
    <n v="2"/>
    <n v="1"/>
  </r>
  <r>
    <m/>
    <m/>
    <x v="1"/>
    <s v="96913407001002"/>
    <n v="-36.880000000000003"/>
    <n v="620"/>
    <n v="2"/>
    <n v="1"/>
  </r>
  <r>
    <m/>
    <m/>
    <x v="1"/>
    <s v="96956354001001"/>
    <n v="-157.53"/>
    <n v="2703"/>
    <n v="1"/>
    <n v="1"/>
  </r>
  <r>
    <m/>
    <m/>
    <x v="1"/>
    <s v="96958659001002"/>
    <n v="-99.62"/>
    <n v="1670"/>
    <n v="2"/>
    <n v="1"/>
  </r>
  <r>
    <m/>
    <m/>
    <x v="1"/>
    <s v="97107286005003"/>
    <n v="-258.70999999999998"/>
    <n v="4349"/>
    <n v="2"/>
    <n v="1"/>
  </r>
  <r>
    <m/>
    <m/>
    <x v="1"/>
    <s v="97203407001003"/>
    <n v="-75.709999999999994"/>
    <n v="1299"/>
    <n v="1"/>
    <n v="1"/>
  </r>
  <r>
    <m/>
    <m/>
    <x v="1"/>
    <s v="97231261001003"/>
    <n v="-139.01"/>
    <n v="2372"/>
    <n v="2"/>
    <n v="1"/>
  </r>
  <r>
    <m/>
    <m/>
    <x v="1"/>
    <s v="97385680002001"/>
    <n v="-220.09"/>
    <n v="3562"/>
    <n v="2"/>
    <n v="1"/>
  </r>
  <r>
    <m/>
    <m/>
    <x v="1"/>
    <s v="97407607001010"/>
    <n v="-16.61"/>
    <n v="285"/>
    <n v="1"/>
    <n v="1"/>
  </r>
  <r>
    <m/>
    <m/>
    <x v="1"/>
    <s v="97419061001003"/>
    <n v="-100.47"/>
    <n v="1724"/>
    <n v="1"/>
    <n v="1"/>
  </r>
  <r>
    <m/>
    <m/>
    <x v="1"/>
    <s v="97510292001002"/>
    <n v="-31.06"/>
    <n v="533"/>
    <n v="1"/>
    <n v="1"/>
  </r>
  <r>
    <m/>
    <m/>
    <x v="1"/>
    <s v="97555489002002"/>
    <n v="-68.599999999999994"/>
    <n v="1177"/>
    <n v="1"/>
    <n v="1"/>
  </r>
  <r>
    <m/>
    <m/>
    <x v="1"/>
    <s v="97610955001003"/>
    <n v="-12.440000000000001"/>
    <n v="209"/>
    <n v="2"/>
    <n v="1"/>
  </r>
  <r>
    <m/>
    <m/>
    <x v="1"/>
    <s v="97678050001005"/>
    <n v="-176.24"/>
    <n v="3024"/>
    <n v="1"/>
    <n v="1"/>
  </r>
  <r>
    <m/>
    <m/>
    <x v="1"/>
    <s v="97778274001003"/>
    <n v="-80.06"/>
    <n v="1306"/>
    <n v="2"/>
    <n v="1"/>
  </r>
  <r>
    <m/>
    <m/>
    <x v="1"/>
    <s v="97905025001001"/>
    <n v="-25.76"/>
    <n v="442"/>
    <n v="1"/>
    <n v="1"/>
  </r>
  <r>
    <m/>
    <m/>
    <x v="1"/>
    <s v="97914163001004"/>
    <n v="-175.86999999999998"/>
    <n v="2948"/>
    <n v="2"/>
    <n v="1"/>
  </r>
  <r>
    <m/>
    <m/>
    <x v="1"/>
    <s v="97943952002001"/>
    <n v="-175.71"/>
    <n v="3015"/>
    <n v="1"/>
    <n v="1"/>
  </r>
  <r>
    <m/>
    <m/>
    <x v="1"/>
    <s v="97968796004005"/>
    <n v="-47.56"/>
    <n v="816"/>
    <n v="1"/>
    <n v="1"/>
  </r>
  <r>
    <m/>
    <m/>
    <x v="1"/>
    <s v="98040575001001"/>
    <n v="-39.69"/>
    <n v="681"/>
    <n v="1"/>
    <n v="1"/>
  </r>
  <r>
    <m/>
    <m/>
    <x v="1"/>
    <s v="98090991003001"/>
    <n v="-64.36"/>
    <n v="1050"/>
    <n v="2"/>
    <n v="1"/>
  </r>
  <r>
    <m/>
    <m/>
    <x v="1"/>
    <s v="98140968004001"/>
    <n v="-63.28"/>
    <n v="1038"/>
    <n v="2"/>
    <n v="1"/>
  </r>
  <r>
    <m/>
    <m/>
    <x v="1"/>
    <s v="98243275001011"/>
    <n v="-35.49"/>
    <n v="609"/>
    <n v="1"/>
    <n v="1"/>
  </r>
  <r>
    <m/>
    <m/>
    <x v="1"/>
    <s v="98256974001001"/>
    <n v="-55.95"/>
    <n v="960"/>
    <n v="1"/>
    <n v="1"/>
  </r>
  <r>
    <m/>
    <m/>
    <x v="1"/>
    <s v="98317810002005"/>
    <n v="-152.98000000000002"/>
    <n v="2476"/>
    <n v="2"/>
    <n v="1"/>
  </r>
  <r>
    <m/>
    <m/>
    <x v="1"/>
    <s v="98374511001001"/>
    <n v="-71.98"/>
    <n v="1235"/>
    <n v="1"/>
    <n v="1"/>
  </r>
  <r>
    <m/>
    <m/>
    <x v="1"/>
    <s v="98578986001002"/>
    <n v="-153.83000000000001"/>
    <n v="2559"/>
    <n v="2"/>
    <n v="1"/>
  </r>
  <r>
    <m/>
    <m/>
    <x v="1"/>
    <s v="98657291002001"/>
    <n v="-176.91"/>
    <n v="2943"/>
    <n v="2"/>
    <n v="1"/>
  </r>
  <r>
    <m/>
    <m/>
    <x v="1"/>
    <s v="98734416001003"/>
    <n v="-157.66999999999999"/>
    <n v="2680"/>
    <n v="2"/>
    <n v="1"/>
  </r>
  <r>
    <m/>
    <m/>
    <x v="1"/>
    <s v="98785545001005"/>
    <n v="-159.42999999999998"/>
    <n v="2720"/>
    <n v="2"/>
    <n v="1"/>
  </r>
  <r>
    <m/>
    <m/>
    <x v="1"/>
    <s v="98925007001003"/>
    <n v="-69.930000000000007"/>
    <n v="1179"/>
    <n v="2"/>
    <n v="1"/>
  </r>
  <r>
    <m/>
    <m/>
    <x v="1"/>
    <s v="98962968001003"/>
    <n v="-208.12"/>
    <n v="3571"/>
    <n v="1"/>
    <n v="1"/>
  </r>
  <r>
    <m/>
    <m/>
    <x v="1"/>
    <s v="98982821001003"/>
    <n v="-107.11000000000001"/>
    <n v="1782"/>
    <n v="2"/>
    <n v="1"/>
  </r>
  <r>
    <m/>
    <m/>
    <x v="1"/>
    <s v="99107518001001"/>
    <n v="-61.5"/>
    <n v="1023"/>
    <n v="2"/>
    <n v="1"/>
  </r>
  <r>
    <m/>
    <m/>
    <x v="1"/>
    <s v="99141732001002"/>
    <n v="-14.83"/>
    <n v="250"/>
    <n v="2"/>
    <n v="1"/>
  </r>
  <r>
    <m/>
    <m/>
    <x v="1"/>
    <s v="99289538001005"/>
    <n v="-28.92"/>
    <n v="489"/>
    <n v="3"/>
    <n v="1"/>
  </r>
  <r>
    <m/>
    <m/>
    <x v="1"/>
    <s v="99409195002001"/>
    <n v="-64.11"/>
    <n v="1100"/>
    <n v="1"/>
    <n v="1"/>
  </r>
  <r>
    <m/>
    <m/>
    <x v="1"/>
    <s v="99409206001002"/>
    <n v="-255.91"/>
    <n v="4153"/>
    <n v="2"/>
    <n v="1"/>
  </r>
  <r>
    <m/>
    <m/>
    <x v="1"/>
    <s v="99442912002003"/>
    <n v="-112.42"/>
    <n v="1929"/>
    <n v="1"/>
    <n v="1"/>
  </r>
  <r>
    <m/>
    <m/>
    <x v="1"/>
    <s v="99456731002005"/>
    <n v="-55.599999999999994"/>
    <n v="907"/>
    <n v="2"/>
    <n v="1"/>
  </r>
  <r>
    <m/>
    <m/>
    <x v="1"/>
    <s v="99477084001003"/>
    <n v="-93.39"/>
    <n v="1539"/>
    <n v="2"/>
    <n v="1"/>
  </r>
  <r>
    <m/>
    <m/>
    <x v="1"/>
    <s v="99525954003001"/>
    <n v="-2.21"/>
    <n v="38"/>
    <n v="1"/>
    <n v="1"/>
  </r>
  <r>
    <m/>
    <m/>
    <x v="1"/>
    <s v="99576705001002"/>
    <n v="-44.99"/>
    <n v="772"/>
    <n v="1"/>
    <n v="1"/>
  </r>
  <r>
    <m/>
    <m/>
    <x v="1"/>
    <s v="99632972002001"/>
    <n v="-299.98"/>
    <n v="4943"/>
    <n v="2"/>
    <n v="1"/>
  </r>
  <r>
    <m/>
    <m/>
    <x v="1"/>
    <s v="99662318001001"/>
    <n v="-151.61000000000001"/>
    <n v="2577"/>
    <n v="2"/>
    <n v="1"/>
  </r>
  <r>
    <m/>
    <m/>
    <x v="1"/>
    <s v="99752520001007"/>
    <n v="-187.69"/>
    <n v="3062"/>
    <n v="2"/>
    <n v="1"/>
  </r>
  <r>
    <m/>
    <m/>
    <x v="6"/>
    <m/>
    <n v="-171804.6700000001"/>
    <n v="2890423"/>
    <n v="2785"/>
    <n v="1773"/>
  </r>
  <r>
    <m/>
    <s v="201401"/>
    <x v="0"/>
    <s v="31345337001005"/>
    <n v="-21.38"/>
    <n v="868"/>
    <n v="3"/>
    <n v="1"/>
  </r>
  <r>
    <m/>
    <m/>
    <x v="2"/>
    <m/>
    <n v="-21.38"/>
    <n v="868"/>
    <n v="3"/>
    <n v="1"/>
  </r>
  <r>
    <m/>
    <m/>
    <x v="3"/>
    <s v="45725261001001"/>
    <n v="-125.7"/>
    <n v="3048"/>
    <n v="2"/>
    <n v="1"/>
  </r>
  <r>
    <m/>
    <m/>
    <x v="1"/>
    <s v="95353647007003"/>
    <n v="-63.940000000000005"/>
    <n v="1599"/>
    <n v="3"/>
    <n v="1"/>
  </r>
  <r>
    <m/>
    <m/>
    <x v="4"/>
    <m/>
    <n v="-189.64000000000001"/>
    <n v="4647"/>
    <n v="5"/>
    <n v="2"/>
  </r>
  <r>
    <m/>
    <m/>
    <x v="5"/>
    <s v="88571262001001"/>
    <n v="-49.32"/>
    <n v="799"/>
    <n v="2"/>
    <n v="1"/>
  </r>
  <r>
    <m/>
    <m/>
    <x v="6"/>
    <m/>
    <n v="-49.32"/>
    <n v="799"/>
    <n v="2"/>
    <n v="1"/>
  </r>
  <r>
    <m/>
    <s v="201403"/>
    <x v="3"/>
    <s v="51130731001001"/>
    <n v="-13.55"/>
    <n v="326"/>
    <n v="2"/>
    <n v="1"/>
  </r>
  <r>
    <m/>
    <m/>
    <x v="4"/>
    <m/>
    <n v="-13.55"/>
    <n v="326"/>
    <n v="2"/>
    <n v="1"/>
  </r>
  <r>
    <s v="G Total"/>
    <m/>
    <x v="1"/>
    <m/>
    <n v="-1173978.299999997"/>
    <n v="26749914"/>
    <n v="28012"/>
    <n v="1"/>
  </r>
  <r>
    <s v="Grand Total"/>
    <m/>
    <x v="1"/>
    <m/>
    <n v="-1173978.299999997"/>
    <n v="26749914"/>
    <n v="28012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5:D10" firstHeaderRow="1" firstDataRow="2" firstDataCol="1"/>
  <pivotFields count="8">
    <pivotField compact="0" outline="0" showAll="0"/>
    <pivotField compact="0" outline="0" showAll="0"/>
    <pivotField axis="axisRow" compact="0" outline="0" showAll="0">
      <items count="8">
        <item h="1" x="0"/>
        <item h="1" x="3"/>
        <item h="1" x="5"/>
        <item x="2"/>
        <item x="4"/>
        <item x="6"/>
        <item h="1" x="1"/>
        <item t="default"/>
      </items>
    </pivotField>
    <pivotField compact="0" outline="0" showAll="0"/>
    <pivotField dataField="1" compact="0" numFmtId="7" outline="0" showAll="0"/>
    <pivotField dataField="1" compact="0" numFmtId="37" outline="0" showAll="0"/>
    <pivotField compact="0" outline="0" showAll="0"/>
    <pivotField dataField="1" compact="0" outline="0" showAll="0"/>
  </pivotFields>
  <rowFields count="1">
    <field x="2"/>
  </rowFields>
  <rowItems count="4">
    <i>
      <x v="3"/>
    </i>
    <i>
      <x v="4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Sum of Amount" fld="4" baseField="0" baseItem="0"/>
    <dataField name="Sum of Sum of Billing Quantity" fld="5" baseField="0" baseItem="0"/>
    <dataField name="Sum of Participa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44">
    <pageSetUpPr fitToPage="1"/>
  </sheetPr>
  <dimension ref="B1:AK59"/>
  <sheetViews>
    <sheetView view="pageBreakPreview" topLeftCell="B1" zoomScale="70" zoomScaleNormal="55" zoomScaleSheetLayoutView="70" workbookViewId="0">
      <selection activeCell="B1" sqref="B1"/>
    </sheetView>
  </sheetViews>
  <sheetFormatPr defaultColWidth="10.25" defaultRowHeight="15.75"/>
  <cols>
    <col min="1" max="1" width="0" style="155" hidden="1" customWidth="1"/>
    <col min="2" max="2" width="4.625" style="155" customWidth="1"/>
    <col min="3" max="3" width="2.125" style="155" customWidth="1"/>
    <col min="4" max="4" width="35.875" style="156" customWidth="1"/>
    <col min="5" max="5" width="2.125" style="156" customWidth="1"/>
    <col min="6" max="6" width="5.625" style="156" bestFit="1" customWidth="1"/>
    <col min="7" max="7" width="2.125" style="156" customWidth="1"/>
    <col min="8" max="8" width="9.25" style="155" hidden="1" customWidth="1"/>
    <col min="9" max="9" width="9.25" style="155" customWidth="1"/>
    <col min="10" max="10" width="2" style="155" customWidth="1"/>
    <col min="11" max="11" width="11" style="155" hidden="1" customWidth="1"/>
    <col min="12" max="12" width="11" style="155" bestFit="1" customWidth="1"/>
    <col min="13" max="13" width="2.875" style="155" customWidth="1"/>
    <col min="14" max="14" width="10.25" style="155" hidden="1" customWidth="1"/>
    <col min="15" max="15" width="12.625" style="155" bestFit="1" customWidth="1"/>
    <col min="16" max="16" width="2.75" style="155" customWidth="1"/>
    <col min="17" max="17" width="14.625" style="155" customWidth="1"/>
    <col min="18" max="18" width="2" style="155" hidden="1" customWidth="1"/>
    <col min="19" max="19" width="20.25" style="155" hidden="1" customWidth="1"/>
    <col min="20" max="20" width="2.625" style="155" customWidth="1"/>
    <col min="21" max="21" width="10.5" style="155" bestFit="1" customWidth="1"/>
    <col min="22" max="22" width="8.75" style="155" bestFit="1" customWidth="1"/>
    <col min="23" max="23" width="14.125" style="155" hidden="1" customWidth="1"/>
    <col min="24" max="24" width="8.75" style="155" hidden="1" customWidth="1"/>
    <col min="25" max="25" width="8.875" style="155" hidden="1" customWidth="1"/>
    <col min="26" max="26" width="7.75" style="155" hidden="1" customWidth="1"/>
    <col min="27" max="27" width="2.625" style="155" hidden="1" customWidth="1"/>
    <col min="28" max="28" width="11.5" style="155" hidden="1" customWidth="1"/>
    <col min="29" max="29" width="3.875" style="155" customWidth="1"/>
    <col min="30" max="30" width="11.75" style="155" bestFit="1" customWidth="1"/>
    <col min="31" max="31" width="2.125" style="155" customWidth="1"/>
    <col min="32" max="32" width="3.125" style="155" customWidth="1"/>
    <col min="33" max="33" width="7.25" style="155" customWidth="1"/>
    <col min="34" max="34" width="0.125" style="155" customWidth="1"/>
    <col min="35" max="35" width="10.25" style="155" customWidth="1"/>
    <col min="36" max="36" width="13.5" style="155" bestFit="1" customWidth="1"/>
    <col min="37" max="16384" width="10.25" style="155"/>
  </cols>
  <sheetData>
    <row r="1" spans="2:37" ht="18.75">
      <c r="C1" s="1149"/>
      <c r="D1" s="1150"/>
      <c r="Q1" s="157" t="s">
        <v>31</v>
      </c>
    </row>
    <row r="2" spans="2:37">
      <c r="B2" s="1716" t="s">
        <v>299</v>
      </c>
      <c r="C2" s="1716"/>
      <c r="D2" s="1716"/>
      <c r="E2" s="1716"/>
      <c r="F2" s="1716"/>
      <c r="G2" s="1716"/>
      <c r="H2" s="1716"/>
      <c r="I2" s="1716"/>
      <c r="J2" s="1716"/>
      <c r="K2" s="1716"/>
      <c r="L2" s="1716"/>
      <c r="M2" s="1716"/>
      <c r="N2" s="1716"/>
      <c r="O2" s="1716"/>
      <c r="P2" s="1716"/>
      <c r="Q2" s="1716"/>
      <c r="R2" s="1716"/>
      <c r="S2" s="1716"/>
      <c r="T2" s="1716"/>
      <c r="U2" s="1716"/>
      <c r="V2" s="1716"/>
      <c r="W2" s="161"/>
      <c r="X2" s="161"/>
      <c r="Y2" s="161"/>
      <c r="Z2" s="161"/>
      <c r="AA2" s="161"/>
      <c r="AB2" s="161"/>
      <c r="AC2" s="161"/>
      <c r="AD2" s="161"/>
      <c r="AE2" s="161"/>
    </row>
    <row r="3" spans="2:37">
      <c r="B3" s="1717" t="s">
        <v>185</v>
      </c>
      <c r="C3" s="1717"/>
      <c r="D3" s="1717"/>
      <c r="E3" s="1717"/>
      <c r="F3" s="1717"/>
      <c r="G3" s="1717"/>
      <c r="H3" s="1717"/>
      <c r="I3" s="1717"/>
      <c r="J3" s="1717"/>
      <c r="K3" s="1717"/>
      <c r="L3" s="1717"/>
      <c r="M3" s="1717"/>
      <c r="N3" s="1717"/>
      <c r="O3" s="1717"/>
      <c r="P3" s="1717"/>
      <c r="Q3" s="1717"/>
      <c r="R3" s="1717"/>
      <c r="S3" s="1717"/>
      <c r="T3" s="1717"/>
      <c r="U3" s="1717"/>
      <c r="V3" s="1717"/>
      <c r="W3" s="160"/>
      <c r="X3" s="160"/>
      <c r="Y3" s="160"/>
      <c r="Z3" s="160"/>
      <c r="AA3" s="160"/>
      <c r="AB3" s="160"/>
      <c r="AC3" s="160"/>
      <c r="AD3" s="160"/>
      <c r="AE3" s="160"/>
      <c r="AF3" s="160"/>
      <c r="AG3" s="160"/>
      <c r="AH3" s="160"/>
    </row>
    <row r="4" spans="2:37">
      <c r="B4" s="1717" t="s">
        <v>1052</v>
      </c>
      <c r="C4" s="1717"/>
      <c r="D4" s="1717"/>
      <c r="E4" s="1717"/>
      <c r="F4" s="1717"/>
      <c r="G4" s="1717"/>
      <c r="H4" s="1717"/>
      <c r="I4" s="1717"/>
      <c r="J4" s="1717"/>
      <c r="K4" s="1717"/>
      <c r="L4" s="1717"/>
      <c r="M4" s="1717"/>
      <c r="N4" s="1717"/>
      <c r="O4" s="1717"/>
      <c r="P4" s="1717"/>
      <c r="Q4" s="1717"/>
      <c r="R4" s="1717"/>
      <c r="S4" s="1717"/>
      <c r="T4" s="1717"/>
      <c r="U4" s="1717"/>
      <c r="V4" s="1717"/>
      <c r="W4" s="160"/>
      <c r="X4" s="160"/>
      <c r="Y4" s="160"/>
      <c r="Z4" s="160"/>
      <c r="AA4" s="160"/>
      <c r="AB4" s="160"/>
      <c r="AC4" s="160"/>
      <c r="AD4" s="160"/>
      <c r="AE4" s="160"/>
      <c r="AF4" s="160"/>
      <c r="AG4" s="160"/>
      <c r="AH4" s="160"/>
    </row>
    <row r="5" spans="2:37">
      <c r="B5" s="1717" t="s">
        <v>301</v>
      </c>
      <c r="C5" s="1717"/>
      <c r="D5" s="1717"/>
      <c r="E5" s="1717"/>
      <c r="F5" s="1717"/>
      <c r="G5" s="1717"/>
      <c r="H5" s="1717"/>
      <c r="I5" s="1717"/>
      <c r="J5" s="1717"/>
      <c r="K5" s="1717"/>
      <c r="L5" s="1717"/>
      <c r="M5" s="1717"/>
      <c r="N5" s="1717"/>
      <c r="O5" s="1717"/>
      <c r="P5" s="1717"/>
      <c r="Q5" s="1717"/>
      <c r="R5" s="1717"/>
      <c r="S5" s="1717"/>
      <c r="T5" s="1717"/>
      <c r="U5" s="1717"/>
      <c r="V5" s="1717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</row>
    <row r="6" spans="2:37">
      <c r="B6" s="1717" t="s">
        <v>302</v>
      </c>
      <c r="C6" s="1717"/>
      <c r="D6" s="1717"/>
      <c r="E6" s="1717"/>
      <c r="F6" s="1717"/>
      <c r="G6" s="1717"/>
      <c r="H6" s="1717"/>
      <c r="I6" s="1717"/>
      <c r="J6" s="1717"/>
      <c r="K6" s="1717"/>
      <c r="L6" s="1717"/>
      <c r="M6" s="1717"/>
      <c r="N6" s="1717"/>
      <c r="O6" s="1717"/>
      <c r="P6" s="1717"/>
      <c r="Q6" s="1717"/>
      <c r="R6" s="1717"/>
      <c r="S6" s="1717"/>
      <c r="T6" s="1717"/>
      <c r="U6" s="1717"/>
      <c r="V6" s="1717"/>
      <c r="W6" s="160"/>
      <c r="X6" s="160"/>
      <c r="Y6" s="160"/>
      <c r="Z6" s="160"/>
      <c r="AA6" s="160"/>
      <c r="AB6" s="160"/>
      <c r="AC6" s="160"/>
      <c r="AD6" s="160"/>
      <c r="AE6" s="160"/>
      <c r="AF6" s="160"/>
      <c r="AG6" s="160"/>
      <c r="AH6" s="160"/>
    </row>
    <row r="7" spans="2:37">
      <c r="B7" s="1716" t="s">
        <v>840</v>
      </c>
      <c r="C7" s="1716"/>
      <c r="D7" s="1716"/>
      <c r="E7" s="1716"/>
      <c r="F7" s="1716"/>
      <c r="G7" s="1716"/>
      <c r="H7" s="1716"/>
      <c r="I7" s="1716"/>
      <c r="J7" s="1716"/>
      <c r="K7" s="1716"/>
      <c r="L7" s="1716"/>
      <c r="M7" s="1716"/>
      <c r="N7" s="1716"/>
      <c r="O7" s="1716"/>
      <c r="P7" s="1716"/>
      <c r="Q7" s="1716"/>
      <c r="R7" s="1716"/>
      <c r="S7" s="1716"/>
      <c r="T7" s="1716"/>
      <c r="U7" s="1716"/>
      <c r="V7" s="1716"/>
      <c r="W7" s="161"/>
      <c r="X7" s="161"/>
      <c r="Y7" s="161"/>
      <c r="Z7" s="161"/>
      <c r="AA7" s="161"/>
      <c r="AB7" s="161"/>
      <c r="AC7" s="161"/>
      <c r="AD7" s="161"/>
      <c r="AE7" s="161"/>
      <c r="AF7" s="161"/>
      <c r="AG7" s="161"/>
      <c r="AH7" s="161"/>
    </row>
    <row r="8" spans="2:37">
      <c r="M8" s="162"/>
      <c r="N8" s="163"/>
      <c r="O8" s="163"/>
      <c r="P8" s="164"/>
      <c r="Q8" s="164"/>
      <c r="R8" s="163"/>
      <c r="S8" s="163"/>
      <c r="T8" s="163"/>
      <c r="U8" s="164"/>
      <c r="V8" s="164"/>
      <c r="W8" s="164"/>
      <c r="X8" s="164"/>
      <c r="Y8" s="164"/>
      <c r="Z8" s="164"/>
      <c r="AA8" s="164"/>
      <c r="AB8" s="1128" t="s">
        <v>1049</v>
      </c>
      <c r="AC8" s="164"/>
      <c r="AD8" s="164"/>
      <c r="AE8" s="164"/>
      <c r="AF8" s="164"/>
      <c r="AG8" s="164"/>
      <c r="AH8" s="164"/>
      <c r="AI8" s="162"/>
      <c r="AJ8" s="162"/>
      <c r="AK8" s="162"/>
    </row>
    <row r="9" spans="2:37">
      <c r="N9" s="166" t="s">
        <v>304</v>
      </c>
      <c r="O9" s="166" t="s">
        <v>197</v>
      </c>
      <c r="P9" s="167"/>
      <c r="Q9" s="1128" t="s">
        <v>305</v>
      </c>
      <c r="R9" s="1130"/>
      <c r="S9" s="1130"/>
      <c r="T9" s="168"/>
      <c r="AA9" s="167"/>
      <c r="AB9" s="153" t="s">
        <v>306</v>
      </c>
      <c r="AC9" s="167"/>
      <c r="AD9" s="165" t="s">
        <v>305</v>
      </c>
      <c r="AE9" s="167"/>
      <c r="AF9" s="167"/>
      <c r="AG9" s="167"/>
      <c r="AH9" s="167"/>
    </row>
    <row r="10" spans="2:37">
      <c r="F10" s="154" t="s">
        <v>308</v>
      </c>
      <c r="G10" s="154"/>
      <c r="H10" s="166" t="s">
        <v>309</v>
      </c>
      <c r="N10" s="165" t="s">
        <v>187</v>
      </c>
      <c r="O10" s="165" t="s">
        <v>187</v>
      </c>
      <c r="P10" s="169"/>
      <c r="Q10" s="1675" t="s">
        <v>187</v>
      </c>
      <c r="R10" s="165"/>
      <c r="S10" s="165" t="s">
        <v>201</v>
      </c>
      <c r="T10" s="165"/>
      <c r="U10" s="1670" t="s">
        <v>31</v>
      </c>
      <c r="V10" s="168"/>
      <c r="W10" s="1713" t="s">
        <v>171</v>
      </c>
      <c r="X10" s="1713"/>
      <c r="Y10" s="1713"/>
      <c r="Z10" s="1713"/>
      <c r="AA10" s="168"/>
      <c r="AB10" s="168"/>
      <c r="AC10" s="168"/>
      <c r="AD10" s="1128" t="s">
        <v>171</v>
      </c>
      <c r="AE10" s="168"/>
      <c r="AF10" s="171"/>
      <c r="AG10" s="168"/>
      <c r="AH10" s="171"/>
    </row>
    <row r="11" spans="2:37">
      <c r="B11" s="171" t="s">
        <v>186</v>
      </c>
      <c r="F11" s="154" t="s">
        <v>310</v>
      </c>
      <c r="G11" s="154"/>
      <c r="H11" s="166" t="s">
        <v>311</v>
      </c>
      <c r="I11" s="166" t="s">
        <v>309</v>
      </c>
      <c r="K11" s="166" t="s">
        <v>312</v>
      </c>
      <c r="N11" s="166" t="s">
        <v>37</v>
      </c>
      <c r="O11" s="166" t="s">
        <v>37</v>
      </c>
      <c r="P11" s="171"/>
      <c r="Q11" s="1131" t="s">
        <v>37</v>
      </c>
      <c r="R11" s="166"/>
      <c r="S11" s="166" t="s">
        <v>37</v>
      </c>
      <c r="T11" s="166"/>
      <c r="U11" s="172" t="s">
        <v>252</v>
      </c>
      <c r="V11" s="166" t="s">
        <v>187</v>
      </c>
      <c r="W11" s="172" t="s">
        <v>252</v>
      </c>
      <c r="X11" s="1671" t="s">
        <v>1049</v>
      </c>
      <c r="Y11" s="1133" t="s">
        <v>201</v>
      </c>
      <c r="Z11" s="166" t="s">
        <v>201</v>
      </c>
      <c r="AA11" s="171"/>
      <c r="AB11" s="171"/>
      <c r="AC11" s="171"/>
      <c r="AD11" s="166" t="s">
        <v>189</v>
      </c>
      <c r="AE11" s="171"/>
      <c r="AF11" s="171"/>
      <c r="AG11" s="165"/>
      <c r="AH11" s="173"/>
      <c r="AI11" s="162"/>
    </row>
    <row r="12" spans="2:37">
      <c r="B12" s="174" t="s">
        <v>188</v>
      </c>
      <c r="D12" s="175" t="s">
        <v>202</v>
      </c>
      <c r="F12" s="175" t="s">
        <v>188</v>
      </c>
      <c r="G12" s="176"/>
      <c r="H12" s="177" t="s">
        <v>304</v>
      </c>
      <c r="I12" s="153" t="s">
        <v>311</v>
      </c>
      <c r="K12" s="177" t="s">
        <v>304</v>
      </c>
      <c r="L12" s="153" t="s">
        <v>312</v>
      </c>
      <c r="N12" s="178" t="s">
        <v>198</v>
      </c>
      <c r="O12" s="178" t="s">
        <v>198</v>
      </c>
      <c r="P12" s="165"/>
      <c r="Q12" s="1132" t="s">
        <v>198</v>
      </c>
      <c r="R12" s="179"/>
      <c r="S12" s="178" t="s">
        <v>198</v>
      </c>
      <c r="T12" s="179"/>
      <c r="U12" s="180" t="s">
        <v>198</v>
      </c>
      <c r="V12" s="153" t="s">
        <v>315</v>
      </c>
      <c r="W12" s="180" t="s">
        <v>198</v>
      </c>
      <c r="X12" s="153" t="s">
        <v>315</v>
      </c>
      <c r="Y12" s="180" t="s">
        <v>198</v>
      </c>
      <c r="Z12" s="153" t="s">
        <v>315</v>
      </c>
      <c r="AA12" s="173"/>
      <c r="AB12" s="181" t="s">
        <v>316</v>
      </c>
      <c r="AC12" s="173"/>
      <c r="AD12" s="178" t="s">
        <v>316</v>
      </c>
      <c r="AE12" s="173"/>
      <c r="AF12" s="173"/>
      <c r="AG12" s="165"/>
      <c r="AH12" s="173"/>
      <c r="AI12" s="162"/>
    </row>
    <row r="13" spans="2:37">
      <c r="B13" s="182"/>
      <c r="D13" s="172" t="s">
        <v>317</v>
      </c>
      <c r="F13" s="172" t="s">
        <v>318</v>
      </c>
      <c r="G13" s="154"/>
      <c r="H13" s="172"/>
      <c r="I13" s="172" t="s">
        <v>319</v>
      </c>
      <c r="K13" s="172"/>
      <c r="L13" s="172" t="s">
        <v>320</v>
      </c>
      <c r="N13" s="172"/>
      <c r="O13" s="172" t="s">
        <v>321</v>
      </c>
      <c r="P13" s="172"/>
      <c r="Q13" s="1133" t="s">
        <v>322</v>
      </c>
      <c r="R13" s="172"/>
      <c r="S13" s="172"/>
      <c r="T13" s="172"/>
      <c r="U13" s="1133" t="s">
        <v>323</v>
      </c>
      <c r="V13" s="1133" t="s">
        <v>324</v>
      </c>
      <c r="W13" s="1133" t="s">
        <v>325</v>
      </c>
      <c r="X13" s="1133" t="s">
        <v>326</v>
      </c>
      <c r="Y13" s="1133" t="s">
        <v>829</v>
      </c>
      <c r="Z13" s="1133" t="s">
        <v>830</v>
      </c>
      <c r="AA13" s="172"/>
      <c r="AB13" s="172"/>
      <c r="AC13" s="172"/>
      <c r="AD13" s="1133" t="s">
        <v>325</v>
      </c>
      <c r="AE13" s="172"/>
      <c r="AF13" s="172"/>
      <c r="AG13" s="169"/>
      <c r="AH13" s="169"/>
      <c r="AI13" s="162"/>
    </row>
    <row r="14" spans="2:37">
      <c r="P14" s="172"/>
      <c r="Q14" s="1133" t="s">
        <v>31</v>
      </c>
      <c r="V14" s="1133" t="s">
        <v>328</v>
      </c>
      <c r="X14" s="1133" t="s">
        <v>31</v>
      </c>
      <c r="Y14" s="1133" t="s">
        <v>1050</v>
      </c>
      <c r="Z14" s="1133" t="s">
        <v>1051</v>
      </c>
      <c r="AD14" s="1133" t="s">
        <v>1084</v>
      </c>
      <c r="AG14" s="162"/>
      <c r="AH14" s="162"/>
      <c r="AI14" s="162"/>
    </row>
    <row r="15" spans="2:37">
      <c r="D15" s="183" t="s">
        <v>17</v>
      </c>
      <c r="AG15" s="162"/>
      <c r="AH15" s="162"/>
      <c r="AI15" s="162"/>
    </row>
    <row r="16" spans="2:37">
      <c r="B16" s="171">
        <v>1</v>
      </c>
      <c r="D16" s="156" t="s">
        <v>330</v>
      </c>
      <c r="F16" s="184" t="s">
        <v>833</v>
      </c>
      <c r="G16" s="184"/>
      <c r="H16" s="185">
        <v>101336.91666666667</v>
      </c>
      <c r="I16" s="185">
        <f>'Exh No.__(JRS-17) p1-10'!C89/12</f>
        <v>104635.09245519141</v>
      </c>
      <c r="J16" s="157"/>
      <c r="K16" s="185">
        <v>1569938.6044392167</v>
      </c>
      <c r="L16" s="185">
        <f>'Exh No.__(JRS-17) p1-10'!C101/1000</f>
        <v>1572834.8567787264</v>
      </c>
      <c r="N16" s="186">
        <v>102672.94442530281</v>
      </c>
      <c r="O16" s="186">
        <f>'Exh No.__(JRS-17) p1-10'!I101/1000</f>
        <v>140088.11881608813</v>
      </c>
      <c r="P16" s="187"/>
      <c r="Q16" s="186">
        <f ca="1">'Exh No.__(JRS-17) p1-10'!L101/1000</f>
        <v>155724.38775907914</v>
      </c>
      <c r="R16" s="186"/>
      <c r="S16" s="188">
        <f ca="1">Q16+W16</f>
        <v>158209.46683278953</v>
      </c>
      <c r="T16" s="186"/>
      <c r="U16" s="186">
        <f ca="1">('Rate Design Work'!L100-'Rate Design Work'!I100)/1000</f>
        <v>15636.268942990988</v>
      </c>
      <c r="V16" s="189">
        <f ca="1">U16/O16</f>
        <v>0.11161738108225117</v>
      </c>
      <c r="W16" s="186">
        <f ca="1">(AB16/100)*L16</f>
        <v>2485.079073710388</v>
      </c>
      <c r="X16" s="189">
        <f ca="1">W16/O16</f>
        <v>1.7739399277485295E-2</v>
      </c>
      <c r="Y16" s="186">
        <f ca="1">U16+W16</f>
        <v>18121.348016701377</v>
      </c>
      <c r="Z16" s="189">
        <f ca="1">Y16/O16</f>
        <v>0.12935678035973647</v>
      </c>
      <c r="AA16" s="187"/>
      <c r="AB16" s="190">
        <f ca="1">ROUND((((Q16/$Q$44)*$W$51)/L16)*100,3)</f>
        <v>0.158</v>
      </c>
      <c r="AC16" s="187"/>
      <c r="AD16" s="191">
        <f ca="1">Q16/L16*100</f>
        <v>9.9008733871789527</v>
      </c>
      <c r="AE16" s="187"/>
      <c r="AF16" s="187"/>
      <c r="AG16" s="193" t="s">
        <v>31</v>
      </c>
      <c r="AH16" s="194"/>
      <c r="AI16" s="195" t="s">
        <v>31</v>
      </c>
      <c r="AJ16" s="157" t="s">
        <v>31</v>
      </c>
    </row>
    <row r="17" spans="2:37">
      <c r="H17" s="196"/>
      <c r="I17" s="196"/>
      <c r="K17" s="196"/>
      <c r="L17" s="196"/>
      <c r="N17" s="196"/>
      <c r="O17" s="196"/>
      <c r="P17" s="162"/>
      <c r="Q17" s="196"/>
      <c r="R17" s="162"/>
      <c r="S17" s="197"/>
      <c r="T17" s="162"/>
      <c r="U17" s="196"/>
      <c r="V17" s="198"/>
      <c r="W17" s="196"/>
      <c r="X17" s="199"/>
      <c r="Y17" s="196"/>
      <c r="Z17" s="199"/>
      <c r="AA17" s="162"/>
      <c r="AB17" s="200"/>
      <c r="AC17" s="162"/>
      <c r="AD17" s="197"/>
      <c r="AE17" s="162"/>
      <c r="AF17" s="162"/>
      <c r="AG17" s="20"/>
      <c r="AH17" s="162"/>
      <c r="AI17" s="162"/>
    </row>
    <row r="18" spans="2:37">
      <c r="V18" s="202"/>
      <c r="X18" s="202"/>
      <c r="Z18" s="202"/>
      <c r="AB18" s="203"/>
      <c r="AG18" s="20"/>
      <c r="AH18" s="162"/>
      <c r="AI18" s="162"/>
    </row>
    <row r="19" spans="2:37">
      <c r="B19" s="86">
        <f>MAX(B$13:B18)+1</f>
        <v>2</v>
      </c>
      <c r="D19" s="183" t="s">
        <v>332</v>
      </c>
      <c r="H19" s="205">
        <f>SUM(H16:H16)</f>
        <v>101336.91666666667</v>
      </c>
      <c r="I19" s="205">
        <f>SUM(I16:I16)</f>
        <v>104635.09245519141</v>
      </c>
      <c r="K19" s="205">
        <f>SUM(K16:K16)</f>
        <v>1569938.6044392167</v>
      </c>
      <c r="L19" s="205">
        <f>SUM(L16:L16)</f>
        <v>1572834.8567787264</v>
      </c>
      <c r="M19" s="205"/>
      <c r="N19" s="206">
        <f>SUM(N16:N16)</f>
        <v>102672.94442530281</v>
      </c>
      <c r="O19" s="206">
        <f>SUM(O16:O16)</f>
        <v>140088.11881608813</v>
      </c>
      <c r="P19" s="187"/>
      <c r="Q19" s="206">
        <f ca="1">SUM(Q16:Q16)</f>
        <v>155724.38775907914</v>
      </c>
      <c r="R19" s="206"/>
      <c r="S19" s="206">
        <f ca="1">SUM(S16:S16)</f>
        <v>158209.46683278953</v>
      </c>
      <c r="T19" s="206"/>
      <c r="U19" s="186">
        <f ca="1">SUM(U16)</f>
        <v>15636.268942990988</v>
      </c>
      <c r="V19" s="189">
        <f ca="1">U19/O19</f>
        <v>0.11161738108225117</v>
      </c>
      <c r="W19" s="186">
        <f ca="1">SUM(W16)</f>
        <v>2485.079073710388</v>
      </c>
      <c r="X19" s="189">
        <f ca="1">W19/O19</f>
        <v>1.7739399277485295E-2</v>
      </c>
      <c r="Y19" s="186">
        <f ca="1">U19+W19</f>
        <v>18121.348016701377</v>
      </c>
      <c r="Z19" s="189">
        <f ca="1">Y19/O19</f>
        <v>0.12935678035973647</v>
      </c>
      <c r="AA19" s="187"/>
      <c r="AB19" s="207"/>
      <c r="AC19" s="187"/>
      <c r="AD19" s="191">
        <f ca="1">Q19/L19*100</f>
        <v>9.9008733871789527</v>
      </c>
      <c r="AE19" s="187"/>
      <c r="AF19" s="187"/>
      <c r="AG19" s="192"/>
      <c r="AH19" s="194"/>
      <c r="AI19" s="162"/>
    </row>
    <row r="20" spans="2:37">
      <c r="L20" s="1117" t="s">
        <v>31</v>
      </c>
      <c r="V20" s="202"/>
      <c r="X20" s="202"/>
      <c r="Z20" s="202"/>
      <c r="AB20" s="203"/>
      <c r="AG20" s="20"/>
      <c r="AH20" s="162"/>
      <c r="AI20" s="162"/>
    </row>
    <row r="21" spans="2:37">
      <c r="D21" s="183" t="s">
        <v>333</v>
      </c>
      <c r="H21" s="208"/>
      <c r="I21" s="208"/>
      <c r="V21" s="202"/>
      <c r="X21" s="202"/>
      <c r="Z21" s="202"/>
      <c r="AB21" s="203"/>
      <c r="AG21" s="20"/>
      <c r="AH21" s="162"/>
      <c r="AI21" s="162"/>
    </row>
    <row r="22" spans="2:37">
      <c r="B22" s="86">
        <f>MAX(B$13:B21)+1</f>
        <v>3</v>
      </c>
      <c r="D22" s="156" t="s">
        <v>334</v>
      </c>
      <c r="F22" s="154">
        <v>24</v>
      </c>
      <c r="G22" s="154"/>
      <c r="H22" s="185">
        <v>17306.416666666664</v>
      </c>
      <c r="I22" s="185">
        <f>'Exh No.__(JRS-17) p1-10'!C177/12</f>
        <v>18788.493749999969</v>
      </c>
      <c r="K22" s="185">
        <v>513041.74113523914</v>
      </c>
      <c r="L22" s="185">
        <f ca="1">'Exh No.__(JRS-17) p1-10'!C205/1000</f>
        <v>543201.5574379696</v>
      </c>
      <c r="N22" s="206">
        <v>33647.646251191611</v>
      </c>
      <c r="O22" s="186">
        <f ca="1">'Exh No.__(JRS-17) p1-10'!I205/1000</f>
        <v>48473.096458215186</v>
      </c>
      <c r="P22" s="187"/>
      <c r="Q22" s="186">
        <f ca="1">'Exh No.__(JRS-17) p1-10'!L205/1000</f>
        <v>50884.225458215187</v>
      </c>
      <c r="R22" s="186"/>
      <c r="S22" s="188">
        <f t="shared" ref="S22:S29" ca="1" si="0">Q22+W22</f>
        <v>51699.027794372145</v>
      </c>
      <c r="T22" s="186"/>
      <c r="U22" s="186">
        <f ca="1">('Rate Design Work'!L204-'Rate Design Work'!I204)/1000</f>
        <v>2411.1289999999999</v>
      </c>
      <c r="V22" s="189">
        <f ca="1">U22/O22</f>
        <v>4.974159226816556E-2</v>
      </c>
      <c r="W22" s="186">
        <f t="shared" ref="W22:W29" ca="1" si="1">(AB22/100)*L22</f>
        <v>814.80233615695442</v>
      </c>
      <c r="X22" s="189">
        <f ca="1">W22/O22</f>
        <v>1.6809372532231998E-2</v>
      </c>
      <c r="Y22" s="186">
        <f t="shared" ref="Y22:Y29" ca="1" si="2">U22+W22</f>
        <v>3225.9313361569543</v>
      </c>
      <c r="Z22" s="189">
        <f ca="1">Y22/O22</f>
        <v>6.6550964800397558E-2</v>
      </c>
      <c r="AA22" s="187"/>
      <c r="AB22" s="190">
        <f t="shared" ref="AB22:AB29" ca="1" si="3">ROUND((((Q22/$Q$44)*$W$51)/L22)*100,3)</f>
        <v>0.15</v>
      </c>
      <c r="AC22" s="187"/>
      <c r="AD22" s="191">
        <f ca="1">Q22/L22*100</f>
        <v>9.3674667830873926</v>
      </c>
      <c r="AE22" s="187"/>
      <c r="AF22" s="187"/>
      <c r="AG22" s="192"/>
      <c r="AH22" s="194"/>
      <c r="AI22" s="162"/>
      <c r="AJ22" s="209"/>
      <c r="AK22" s="14"/>
    </row>
    <row r="23" spans="2:37">
      <c r="B23" s="86">
        <f>MAX(B$13:B22)+1</f>
        <v>4</v>
      </c>
      <c r="D23" s="156" t="s">
        <v>335</v>
      </c>
      <c r="E23" s="52"/>
      <c r="F23" s="154">
        <v>33</v>
      </c>
      <c r="G23" s="154"/>
      <c r="H23" s="185">
        <v>0</v>
      </c>
      <c r="I23" s="185">
        <v>0</v>
      </c>
      <c r="K23" s="185">
        <v>0</v>
      </c>
      <c r="L23" s="185">
        <v>0</v>
      </c>
      <c r="N23" s="186">
        <v>0</v>
      </c>
      <c r="O23" s="186">
        <v>0</v>
      </c>
      <c r="P23" s="187"/>
      <c r="Q23" s="186">
        <f ca="1">'Exh No.__(JRS-17) p1-10'!L597/100</f>
        <v>0</v>
      </c>
      <c r="R23" s="186"/>
      <c r="S23" s="188">
        <f t="shared" ca="1" si="0"/>
        <v>0</v>
      </c>
      <c r="T23" s="186"/>
      <c r="U23" s="186">
        <f ca="1">('Rate Design Work'!L596-'Rate Design Work'!I596)/1000</f>
        <v>0</v>
      </c>
      <c r="V23" s="189">
        <f ca="1">V24</f>
        <v>0.1116095995374872</v>
      </c>
      <c r="W23" s="186">
        <f t="shared" ca="1" si="1"/>
        <v>0</v>
      </c>
      <c r="X23" s="189">
        <f ca="1">X24</f>
        <v>1.7832287842669822E-2</v>
      </c>
      <c r="Y23" s="186">
        <f t="shared" ca="1" si="2"/>
        <v>0</v>
      </c>
      <c r="Z23" s="189">
        <f ca="1">V23+X23</f>
        <v>0.12944188738015702</v>
      </c>
      <c r="AA23" s="187"/>
      <c r="AB23" s="190">
        <f ca="1">AB24</f>
        <v>0.13300000000000001</v>
      </c>
      <c r="AC23" s="187"/>
      <c r="AD23" s="191">
        <v>0</v>
      </c>
      <c r="AE23" s="187"/>
      <c r="AF23" s="187"/>
      <c r="AG23" s="192"/>
      <c r="AH23" s="194"/>
      <c r="AI23" s="162"/>
      <c r="AJ23" s="209"/>
      <c r="AK23" s="14"/>
    </row>
    <row r="24" spans="2:37">
      <c r="B24" s="86">
        <f>MAX(B$13:B23)+1</f>
        <v>5</v>
      </c>
      <c r="D24" s="156" t="s">
        <v>336</v>
      </c>
      <c r="F24" s="154">
        <v>36</v>
      </c>
      <c r="G24" s="154"/>
      <c r="H24" s="185">
        <v>1058.6666666666667</v>
      </c>
      <c r="I24" s="185">
        <f>'Exh No.__(JRS-17) p1-10'!C606/12</f>
        <v>1053.9138888888895</v>
      </c>
      <c r="K24" s="185">
        <v>901191.51506367233</v>
      </c>
      <c r="L24" s="185">
        <f ca="1">'Exh No.__(JRS-17) p1-10'!C637/1000</f>
        <v>895773.15120793856</v>
      </c>
      <c r="N24" s="206">
        <v>49005.26783999426</v>
      </c>
      <c r="O24" s="186">
        <f ca="1">'Exh No.__(JRS-17) p1-10'!I637/1000</f>
        <v>66810.176104031925</v>
      </c>
      <c r="P24" s="187"/>
      <c r="Q24" s="186">
        <f ca="1">'Exh No.__(JRS-17) p1-10'!L637/1000</f>
        <v>74266.833104031917</v>
      </c>
      <c r="R24" s="186"/>
      <c r="S24" s="188">
        <f t="shared" ca="1" si="0"/>
        <v>75458.211395138482</v>
      </c>
      <c r="T24" s="186"/>
      <c r="U24" s="186">
        <f ca="1">('Rate Design Work'!L636-'Rate Design Work'!I636)/1000</f>
        <v>7456.6570000000002</v>
      </c>
      <c r="V24" s="189">
        <f ca="1">U24/O24</f>
        <v>0.1116095995374872</v>
      </c>
      <c r="W24" s="186">
        <f t="shared" ca="1" si="1"/>
        <v>1191.3782911065582</v>
      </c>
      <c r="X24" s="189">
        <f t="shared" ref="X24:X29" ca="1" si="4">W24/O24</f>
        <v>1.7832287842669822E-2</v>
      </c>
      <c r="Y24" s="186">
        <f t="shared" ca="1" si="2"/>
        <v>8648.0352911065584</v>
      </c>
      <c r="Z24" s="189">
        <f t="shared" ref="Z24:Z29" ca="1" si="5">Y24/O24</f>
        <v>0.12944188738015702</v>
      </c>
      <c r="AA24" s="187"/>
      <c r="AB24" s="190">
        <f t="shared" ca="1" si="3"/>
        <v>0.13300000000000001</v>
      </c>
      <c r="AC24" s="187"/>
      <c r="AD24" s="191">
        <f ca="1">Q24/L24*100</f>
        <v>8.2908081140726377</v>
      </c>
      <c r="AE24" s="187"/>
      <c r="AF24" s="187"/>
      <c r="AG24" s="192"/>
      <c r="AH24" s="194"/>
      <c r="AI24" s="162"/>
      <c r="AJ24" s="209"/>
      <c r="AK24" s="14"/>
    </row>
    <row r="25" spans="2:37">
      <c r="B25" s="86">
        <f>MAX(B$13:B24)+1</f>
        <v>6</v>
      </c>
      <c r="D25" s="156" t="s">
        <v>196</v>
      </c>
      <c r="F25" s="154" t="s">
        <v>337</v>
      </c>
      <c r="G25" s="154"/>
      <c r="H25" s="185">
        <v>5259</v>
      </c>
      <c r="I25" s="185">
        <f>'Exh No.__(JRS-17) p1-10'!C726</f>
        <v>5247.0299819759166</v>
      </c>
      <c r="K25" s="185">
        <v>168033.04399999999</v>
      </c>
      <c r="L25" s="185">
        <f>'Exh No.__(JRS-17) p1-10'!C769/1000</f>
        <v>148533.3665584703</v>
      </c>
      <c r="N25" s="206">
        <v>10140.337</v>
      </c>
      <c r="O25" s="186">
        <f ca="1">'Exh No.__(JRS-17) p1-10'!I769/1000</f>
        <v>12666.289000000001</v>
      </c>
      <c r="P25" s="187"/>
      <c r="Q25" s="186">
        <f ca="1">'Exh No.__(JRS-17) p1-10'!L769/1000</f>
        <v>13296.050999999999</v>
      </c>
      <c r="R25" s="186"/>
      <c r="S25" s="188">
        <f t="shared" ca="1" si="0"/>
        <v>13508.453714178611</v>
      </c>
      <c r="T25" s="186"/>
      <c r="U25" s="186">
        <f ca="1">('Rate Design Work'!L768-'Rate Design Work'!I768)/1000</f>
        <v>629.76199999999994</v>
      </c>
      <c r="V25" s="189">
        <f ca="1">U25/O25</f>
        <v>4.9719535058768985E-2</v>
      </c>
      <c r="W25" s="186">
        <f t="shared" ca="1" si="1"/>
        <v>212.40271417861251</v>
      </c>
      <c r="X25" s="189">
        <f t="shared" ca="1" si="4"/>
        <v>1.6769135314898664E-2</v>
      </c>
      <c r="Y25" s="186">
        <f t="shared" ca="1" si="2"/>
        <v>842.16471417861248</v>
      </c>
      <c r="Z25" s="189">
        <f t="shared" ca="1" si="5"/>
        <v>6.6488670373667652E-2</v>
      </c>
      <c r="AA25" s="187"/>
      <c r="AB25" s="190">
        <f t="shared" ca="1" si="3"/>
        <v>0.14299999999999999</v>
      </c>
      <c r="AC25" s="187"/>
      <c r="AD25" s="191">
        <f ca="1">Q25/L25*100</f>
        <v>8.9515583656861359</v>
      </c>
      <c r="AE25" s="187"/>
      <c r="AF25" s="187"/>
      <c r="AG25" s="192"/>
      <c r="AH25" s="194"/>
      <c r="AI25" s="162"/>
    </row>
    <row r="26" spans="2:37">
      <c r="B26" s="86">
        <f>MAX(B$13:B25)+1</f>
        <v>7</v>
      </c>
      <c r="D26" s="156" t="s">
        <v>338</v>
      </c>
      <c r="F26" s="154">
        <v>47</v>
      </c>
      <c r="G26" s="154"/>
      <c r="H26" s="185">
        <v>1.0833333333333333</v>
      </c>
      <c r="I26" s="185">
        <f>'Exh No.__(JRS-17) p1-10'!C885/12</f>
        <v>1</v>
      </c>
      <c r="K26" s="185">
        <v>1616.6904507017675</v>
      </c>
      <c r="L26" s="185">
        <f ca="1">'Exh No.__(JRS-17) p1-10'!C899/1000</f>
        <v>1994.5324465218168</v>
      </c>
      <c r="N26" s="206">
        <v>165.62561725051643</v>
      </c>
      <c r="O26" s="186">
        <f ca="1">'Exh No.__(JRS-17) p1-10'!I899/1000</f>
        <v>292.12801280278654</v>
      </c>
      <c r="P26" s="187"/>
      <c r="Q26" s="186">
        <f ca="1">'Exh No.__(JRS-17) p1-10'!L899/1000</f>
        <v>324.86501280278657</v>
      </c>
      <c r="R26" s="186"/>
      <c r="S26" s="188">
        <f t="shared" ca="1" si="0"/>
        <v>330.07074248820851</v>
      </c>
      <c r="T26" s="186"/>
      <c r="U26" s="186">
        <f ca="1">('Rate Design Work'!L898-'Rate Design Work'!I898)/1000</f>
        <v>32.737000000000002</v>
      </c>
      <c r="V26" s="189">
        <f ca="1">U26/O26</f>
        <v>0.11206388489042476</v>
      </c>
      <c r="W26" s="186">
        <f t="shared" ca="1" si="1"/>
        <v>5.2057296854219421</v>
      </c>
      <c r="X26" s="189">
        <f t="shared" ca="1" si="4"/>
        <v>1.7820029087509289E-2</v>
      </c>
      <c r="Y26" s="186">
        <f t="shared" ca="1" si="2"/>
        <v>37.942729685421945</v>
      </c>
      <c r="Z26" s="189">
        <f t="shared" ca="1" si="5"/>
        <v>0.12988391397793406</v>
      </c>
      <c r="AA26" s="187"/>
      <c r="AB26" s="190">
        <f t="shared" ca="1" si="3"/>
        <v>0.26100000000000001</v>
      </c>
      <c r="AC26" s="187"/>
      <c r="AD26" s="191">
        <f ca="1">Q26/L26*100</f>
        <v>16.287777788188169</v>
      </c>
      <c r="AE26" s="187"/>
      <c r="AF26" s="187"/>
      <c r="AG26" s="192"/>
      <c r="AH26" s="194"/>
      <c r="AI26" s="162"/>
    </row>
    <row r="27" spans="2:37">
      <c r="B27" s="86">
        <f>MAX(B$13:B26)+1</f>
        <v>8</v>
      </c>
      <c r="D27" s="156" t="s">
        <v>339</v>
      </c>
      <c r="F27" s="154">
        <v>48</v>
      </c>
      <c r="G27" s="154"/>
      <c r="H27" s="185">
        <v>63.666666666666671</v>
      </c>
      <c r="I27" s="185">
        <f>('Exh No.__(JRS-17) p1-10'!C926+'Exh No.__(JRS-17) p1-10'!C1095)/12</f>
        <v>62.012626262626249</v>
      </c>
      <c r="K27" s="185">
        <v>856497.09877425549</v>
      </c>
      <c r="L27" s="185">
        <f ca="1">('Exh No.__(JRS-17) p1-10'!C936+'Exh No.__(JRS-17) p1-10'!C1106)/1000</f>
        <v>834884.0372572965</v>
      </c>
      <c r="N27" s="206">
        <v>38996.209349631463</v>
      </c>
      <c r="O27" s="186">
        <f ca="1">('Exh No.__(JRS-17) p1-10'!I936+'Exh No.__(JRS-17) p1-10'!I1106)/1000</f>
        <v>50976.274610443281</v>
      </c>
      <c r="P27" s="187"/>
      <c r="Q27" s="186">
        <f ca="1">'Exh No.__(JRS-17) p1-10'!L917/1000</f>
        <v>56665.980610443272</v>
      </c>
      <c r="R27" s="186"/>
      <c r="S27" s="188">
        <f t="shared" ca="1" si="0"/>
        <v>57576.004211053725</v>
      </c>
      <c r="T27" s="186"/>
      <c r="U27" s="186">
        <f ca="1">('Rate Design Work'!L935+'Rate Design Work'!L1104-'Rate Design Work'!I935-'Rate Design Work'!I1104)/1000</f>
        <v>5689.7060000000038</v>
      </c>
      <c r="V27" s="189">
        <f ca="1">U27/O27</f>
        <v>0.11161478635856177</v>
      </c>
      <c r="W27" s="186">
        <f t="shared" ca="1" si="1"/>
        <v>910.02360061045317</v>
      </c>
      <c r="X27" s="189">
        <f t="shared" ca="1" si="4"/>
        <v>1.7851904784427317E-2</v>
      </c>
      <c r="Y27" s="186">
        <f t="shared" ca="1" si="2"/>
        <v>6599.7296006104571</v>
      </c>
      <c r="Z27" s="189">
        <f t="shared" ca="1" si="5"/>
        <v>0.12946669114298909</v>
      </c>
      <c r="AA27" s="187"/>
      <c r="AB27" s="190">
        <f t="shared" ca="1" si="3"/>
        <v>0.109</v>
      </c>
      <c r="AC27" s="187"/>
      <c r="AD27" s="191">
        <f ca="1">Q27/L27*100</f>
        <v>6.7872875850637229</v>
      </c>
      <c r="AE27" s="187"/>
      <c r="AF27" s="187"/>
      <c r="AG27" s="192"/>
      <c r="AH27" s="194"/>
      <c r="AI27" s="162"/>
      <c r="AJ27" s="157" t="s">
        <v>31</v>
      </c>
    </row>
    <row r="28" spans="2:37" hidden="1">
      <c r="B28" s="86">
        <f>MAX(B$13:B26)+1</f>
        <v>8</v>
      </c>
      <c r="D28" s="156" t="s">
        <v>670</v>
      </c>
      <c r="F28" s="184" t="s">
        <v>671</v>
      </c>
      <c r="G28" s="154"/>
      <c r="H28" s="185">
        <v>63.666666666666671</v>
      </c>
      <c r="I28" s="185">
        <v>0</v>
      </c>
      <c r="K28" s="185">
        <v>856497.09877425549</v>
      </c>
      <c r="L28" s="185">
        <v>0</v>
      </c>
      <c r="N28" s="206">
        <v>38996.209349631463</v>
      </c>
      <c r="O28" s="186">
        <v>0</v>
      </c>
      <c r="P28" s="187"/>
      <c r="Q28" s="186">
        <v>0</v>
      </c>
      <c r="R28" s="186"/>
      <c r="S28" s="188">
        <f t="shared" si="0"/>
        <v>0</v>
      </c>
      <c r="T28" s="186"/>
      <c r="U28" s="186">
        <v>0</v>
      </c>
      <c r="V28" s="189">
        <v>0</v>
      </c>
      <c r="W28" s="186">
        <v>0</v>
      </c>
      <c r="X28" s="189">
        <v>0</v>
      </c>
      <c r="Y28" s="186">
        <f t="shared" si="2"/>
        <v>0</v>
      </c>
      <c r="Z28" s="189">
        <v>0</v>
      </c>
      <c r="AA28" s="187"/>
      <c r="AB28" s="190" t="e">
        <f t="shared" ca="1" si="3"/>
        <v>#DIV/0!</v>
      </c>
      <c r="AC28" s="187"/>
      <c r="AD28" s="191">
        <v>0</v>
      </c>
      <c r="AE28" s="187"/>
      <c r="AF28" s="187"/>
      <c r="AG28" s="192"/>
      <c r="AH28" s="194"/>
      <c r="AI28" s="162"/>
    </row>
    <row r="29" spans="2:37">
      <c r="B29" s="86">
        <f>MAX(B$13:B28)+1</f>
        <v>9</v>
      </c>
      <c r="D29" s="156" t="s">
        <v>192</v>
      </c>
      <c r="F29" s="154" t="s">
        <v>193</v>
      </c>
      <c r="G29" s="154"/>
      <c r="H29" s="185">
        <v>28</v>
      </c>
      <c r="I29" s="185">
        <f>'Exh No.__(JRS-17) p1-10'!C1226/12</f>
        <v>29.977777777777749</v>
      </c>
      <c r="K29" s="185">
        <v>233.86177246899351</v>
      </c>
      <c r="L29" s="185">
        <f>'Exh No.__(JRS-17) p1-10'!C1232/1000</f>
        <v>294.55045303791917</v>
      </c>
      <c r="N29" s="206">
        <v>18.659249899021408</v>
      </c>
      <c r="O29" s="186">
        <f>'Exh No.__(JRS-17) p1-10'!I1232/1000</f>
        <v>25.790024491772925</v>
      </c>
      <c r="P29" s="187"/>
      <c r="Q29" s="186">
        <f>'Exh No.__(JRS-17) p1-10'!L1232/1000</f>
        <v>27.072024491772925</v>
      </c>
      <c r="R29" s="186"/>
      <c r="S29" s="188">
        <f t="shared" ca="1" si="0"/>
        <v>27.505013657738665</v>
      </c>
      <c r="T29" s="186"/>
      <c r="U29" s="186">
        <f>('Rate Design Work'!L1226-'Rate Design Work'!I1226)/1000</f>
        <v>1.282</v>
      </c>
      <c r="V29" s="189">
        <f>U29/O29</f>
        <v>4.9709142401511128E-2</v>
      </c>
      <c r="W29" s="186">
        <f t="shared" ca="1" si="1"/>
        <v>0.43298916596574116</v>
      </c>
      <c r="X29" s="189">
        <f t="shared" ca="1" si="4"/>
        <v>1.6789017245945836E-2</v>
      </c>
      <c r="Y29" s="186">
        <f t="shared" ca="1" si="2"/>
        <v>1.7149891659657412</v>
      </c>
      <c r="Z29" s="189">
        <f t="shared" ca="1" si="5"/>
        <v>6.6498159647456964E-2</v>
      </c>
      <c r="AA29" s="187"/>
      <c r="AB29" s="190">
        <f t="shared" ca="1" si="3"/>
        <v>0.14699999999999999</v>
      </c>
      <c r="AC29" s="187"/>
      <c r="AD29" s="191">
        <f>Q29/L29*100</f>
        <v>9.1909634538188243</v>
      </c>
      <c r="AE29" s="187"/>
      <c r="AF29" s="187"/>
      <c r="AG29" s="192"/>
      <c r="AH29" s="194"/>
      <c r="AI29" s="162"/>
    </row>
    <row r="30" spans="2:37">
      <c r="B30" s="171"/>
      <c r="F30" s="154"/>
      <c r="G30" s="154"/>
      <c r="H30" s="196"/>
      <c r="I30" s="196"/>
      <c r="K30" s="196"/>
      <c r="L30" s="196"/>
      <c r="N30" s="196"/>
      <c r="O30" s="196"/>
      <c r="P30" s="162"/>
      <c r="Q30" s="196"/>
      <c r="R30" s="162"/>
      <c r="S30" s="197"/>
      <c r="T30" s="162"/>
      <c r="U30" s="196"/>
      <c r="V30" s="199"/>
      <c r="W30" s="196"/>
      <c r="X30" s="199"/>
      <c r="Y30" s="196"/>
      <c r="Z30" s="199"/>
      <c r="AA30" s="162"/>
      <c r="AB30" s="200"/>
      <c r="AC30" s="162"/>
      <c r="AD30" s="197"/>
      <c r="AE30" s="162"/>
      <c r="AF30" s="162"/>
      <c r="AG30" s="20"/>
      <c r="AH30" s="162"/>
      <c r="AI30" s="162"/>
    </row>
    <row r="31" spans="2:37">
      <c r="B31" s="171"/>
      <c r="V31" s="202"/>
      <c r="X31" s="202"/>
      <c r="Z31" s="202"/>
      <c r="AB31" s="203"/>
      <c r="AG31" s="20"/>
      <c r="AH31" s="162"/>
      <c r="AI31" s="162"/>
    </row>
    <row r="32" spans="2:37">
      <c r="B32" s="86">
        <f>MAX(B$13:B31)+1</f>
        <v>10</v>
      </c>
      <c r="D32" s="183" t="s">
        <v>340</v>
      </c>
      <c r="H32" s="205">
        <f>SUM(H22:H29)</f>
        <v>23780.5</v>
      </c>
      <c r="I32" s="205">
        <f>SUM(I22:I29)</f>
        <v>25182.428024905177</v>
      </c>
      <c r="K32" s="205">
        <f>SUM(K22:K29)</f>
        <v>3297111.0499705928</v>
      </c>
      <c r="L32" s="205">
        <f ca="1">SUM(L22:L29)</f>
        <v>2424681.1953612347</v>
      </c>
      <c r="M32" s="205"/>
      <c r="N32" s="186">
        <f>SUM(N22:N29)</f>
        <v>170969.95465759834</v>
      </c>
      <c r="O32" s="186">
        <f ca="1">SUM(O22:O29)</f>
        <v>179243.75420998497</v>
      </c>
      <c r="P32" s="187"/>
      <c r="Q32" s="186">
        <f ca="1">SUM(Q22:Q29)</f>
        <v>195465.02720998495</v>
      </c>
      <c r="R32" s="206"/>
      <c r="S32" s="188">
        <f ca="1">SUM(S22:S29)</f>
        <v>198599.27287088888</v>
      </c>
      <c r="T32" s="206"/>
      <c r="U32" s="186">
        <f ca="1">SUM(U22:U29)</f>
        <v>16221.273000000003</v>
      </c>
      <c r="V32" s="189">
        <f ca="1">U32/O32</f>
        <v>9.0498400189703121E-2</v>
      </c>
      <c r="W32" s="186">
        <f ca="1">SUM(W22:W29)</f>
        <v>3134.2456609039659</v>
      </c>
      <c r="X32" s="189">
        <f ca="1">W32/O32</f>
        <v>1.7485940721996825E-2</v>
      </c>
      <c r="Y32" s="186">
        <f ca="1">U32+W32</f>
        <v>19355.51866090397</v>
      </c>
      <c r="Z32" s="189"/>
      <c r="AA32" s="187"/>
      <c r="AB32" s="190"/>
      <c r="AC32" s="187"/>
      <c r="AD32" s="191">
        <f ca="1">Q32/L32*100</f>
        <v>8.0614733014772337</v>
      </c>
      <c r="AE32" s="187"/>
      <c r="AF32" s="187"/>
      <c r="AG32" s="192"/>
      <c r="AH32" s="194"/>
      <c r="AI32" s="162"/>
    </row>
    <row r="33" spans="2:36">
      <c r="B33" s="171"/>
      <c r="V33" s="202"/>
      <c r="X33" s="202"/>
      <c r="Z33" s="202"/>
      <c r="AB33" s="203"/>
      <c r="AG33" s="20"/>
      <c r="AH33" s="162"/>
      <c r="AI33" s="162"/>
    </row>
    <row r="34" spans="2:36">
      <c r="B34" s="171"/>
      <c r="D34" s="183" t="s">
        <v>194</v>
      </c>
      <c r="V34" s="202"/>
      <c r="X34" s="202"/>
      <c r="Z34" s="202"/>
      <c r="AB34" s="203"/>
      <c r="AG34" s="20"/>
      <c r="AH34" s="162"/>
      <c r="AI34" s="162"/>
    </row>
    <row r="35" spans="2:36">
      <c r="B35" s="86">
        <f>MAX(B$13:B34)+1</f>
        <v>11</v>
      </c>
      <c r="D35" s="156" t="s">
        <v>190</v>
      </c>
      <c r="F35" s="154" t="s">
        <v>191</v>
      </c>
      <c r="G35" s="154"/>
      <c r="H35" s="185">
        <v>2828</v>
      </c>
      <c r="I35" s="185">
        <f>'Exh No.__(JRS-17) p1-10'!C24/12</f>
        <v>2531.9166666666665</v>
      </c>
      <c r="K35" s="185">
        <v>3735.0893644456642</v>
      </c>
      <c r="L35" s="185">
        <f ca="1">'Exh No.__(JRS-17) p1-10'!C27/1000</f>
        <v>3355.2350684260427</v>
      </c>
      <c r="N35" s="206">
        <v>473.92026673033644</v>
      </c>
      <c r="O35" s="186">
        <f ca="1">'Exh No.__(JRS-17) p1-10'!I27/1000</f>
        <v>468.63441510785196</v>
      </c>
      <c r="P35" s="187"/>
      <c r="Q35" s="186">
        <f ca="1">'Exh No.__(JRS-17) p1-10'!L27/1000</f>
        <v>492.03146778386667</v>
      </c>
      <c r="R35" s="186"/>
      <c r="S35" s="188">
        <f ca="1">Q35+W35</f>
        <v>499.91627019466785</v>
      </c>
      <c r="T35" s="186"/>
      <c r="U35" s="186">
        <f ca="1">('Rate Design Work'!L27-'Rate Design Work'!I27)/1000</f>
        <v>23.39705267601472</v>
      </c>
      <c r="V35" s="189">
        <f ca="1">U35/O35</f>
        <v>4.9926023189376952E-2</v>
      </c>
      <c r="W35" s="186">
        <f ca="1">(AB35/100)*L35</f>
        <v>7.8848024108011989</v>
      </c>
      <c r="X35" s="189">
        <f ca="1">W35/O35</f>
        <v>1.6825060551702298E-2</v>
      </c>
      <c r="Y35" s="186">
        <f ca="1">U35+W35</f>
        <v>31.28185508681592</v>
      </c>
      <c r="Z35" s="189">
        <f ca="1">Y35/O35</f>
        <v>6.6751083741079242E-2</v>
      </c>
      <c r="AA35" s="187"/>
      <c r="AB35" s="190">
        <f t="shared" ref="AB35:AB39" ca="1" si="6">ROUND((((Q35/$Q$44)*$W$51)/L35)*100,3)</f>
        <v>0.23499999999999999</v>
      </c>
      <c r="AC35" s="187"/>
      <c r="AD35" s="191">
        <f ca="1">Q35/L35*100</f>
        <v>14.66459004360255</v>
      </c>
      <c r="AE35" s="187"/>
      <c r="AF35" s="187"/>
      <c r="AG35" s="192"/>
      <c r="AH35" s="194"/>
      <c r="AI35" s="162"/>
    </row>
    <row r="36" spans="2:36">
      <c r="B36" s="86">
        <f>MAX(B$13:B35)+1</f>
        <v>12</v>
      </c>
      <c r="D36" s="156" t="s">
        <v>341</v>
      </c>
      <c r="F36" s="154" t="s">
        <v>342</v>
      </c>
      <c r="G36" s="154"/>
      <c r="H36" s="185">
        <v>178</v>
      </c>
      <c r="I36" s="185">
        <f>'Exh No.__(JRS-17) p1-10'!C1137/12</f>
        <v>163</v>
      </c>
      <c r="K36" s="185">
        <v>2902.2385934150548</v>
      </c>
      <c r="L36" s="185">
        <f>'Exh No.__(JRS-17) p1-10'!C1141/1000</f>
        <v>3186.5956037362384</v>
      </c>
      <c r="N36" s="206">
        <v>522.31224201957195</v>
      </c>
      <c r="O36" s="186">
        <f>'Exh No.__(JRS-17) p1-10'!I1141/1000</f>
        <v>620.98089382532601</v>
      </c>
      <c r="P36" s="187"/>
      <c r="Q36" s="186">
        <f>'Exh No.__(JRS-17) p1-10'!L1141/1000</f>
        <v>652.13789382532605</v>
      </c>
      <c r="R36" s="186"/>
      <c r="S36" s="188">
        <f ca="1">Q36+W36</f>
        <v>662.58992740558085</v>
      </c>
      <c r="T36" s="186"/>
      <c r="U36" s="186">
        <f>('Rate Design Work'!L1139-'Rate Design Work'!I1139)/1000</f>
        <v>31.157</v>
      </c>
      <c r="V36" s="189">
        <f>U36/O36</f>
        <v>5.0173846425561795E-2</v>
      </c>
      <c r="W36" s="186">
        <f ca="1">(AB36/100)*L36</f>
        <v>10.452033580254861</v>
      </c>
      <c r="X36" s="189">
        <f ca="1">W36/O36</f>
        <v>1.6831489799740737E-2</v>
      </c>
      <c r="Y36" s="186">
        <f ca="1">U36+W36</f>
        <v>41.609033580254859</v>
      </c>
      <c r="Z36" s="189">
        <f ca="1">Y36/O36</f>
        <v>6.7005336225302525E-2</v>
      </c>
      <c r="AA36" s="187"/>
      <c r="AB36" s="190">
        <f t="shared" ca="1" si="6"/>
        <v>0.32800000000000001</v>
      </c>
      <c r="AC36" s="187"/>
      <c r="AD36" s="191">
        <f>Q36/L36*100</f>
        <v>20.465034630083075</v>
      </c>
      <c r="AE36" s="187"/>
      <c r="AF36" s="187"/>
      <c r="AG36" s="192"/>
      <c r="AH36" s="194"/>
      <c r="AI36" s="193" t="s">
        <v>31</v>
      </c>
    </row>
    <row r="37" spans="2:36">
      <c r="B37" s="86">
        <f>MAX(B$13:B36)+1</f>
        <v>13</v>
      </c>
      <c r="D37" s="156" t="s">
        <v>341</v>
      </c>
      <c r="F37" s="154">
        <v>52</v>
      </c>
      <c r="G37" s="154"/>
      <c r="H37" s="185">
        <v>30</v>
      </c>
      <c r="I37" s="185">
        <f>'Exh No.__(JRS-17) p1-10'!C1153/12</f>
        <v>15</v>
      </c>
      <c r="K37" s="185">
        <v>466.2387672357238</v>
      </c>
      <c r="L37" s="185">
        <f>'Exh No.__(JRS-17) p1-10'!C1158/1000</f>
        <v>198.34085987577339</v>
      </c>
      <c r="N37" s="206">
        <v>60.670270195709442</v>
      </c>
      <c r="O37" s="186">
        <f>'Exh No.__(JRS-17) p1-10'!I1158/1000</f>
        <v>33.511850718803466</v>
      </c>
      <c r="P37" s="187"/>
      <c r="Q37" s="186">
        <f>'Exh No.__(JRS-17) p1-10'!L1158/1000</f>
        <v>35.179850718803465</v>
      </c>
      <c r="R37" s="186"/>
      <c r="S37" s="188">
        <f ca="1">Q37+W37</f>
        <v>35.743138760850663</v>
      </c>
      <c r="T37" s="186"/>
      <c r="U37" s="186">
        <f>('Rate Design Work'!L1155-'Rate Design Work'!I1155)/1000</f>
        <v>1.6679999999999999</v>
      </c>
      <c r="V37" s="189">
        <f>U37/O37</f>
        <v>4.9773437283309657E-2</v>
      </c>
      <c r="W37" s="186">
        <f ca="1">(AB37/100)*L37</f>
        <v>0.5632880420471964</v>
      </c>
      <c r="X37" s="189">
        <f ca="1">W37/O37</f>
        <v>1.6808622322106968E-2</v>
      </c>
      <c r="Y37" s="186">
        <f ca="1">U37+W37</f>
        <v>2.2312880420471961</v>
      </c>
      <c r="Z37" s="189">
        <f ca="1">Y37/O37</f>
        <v>6.6582059605416619E-2</v>
      </c>
      <c r="AA37" s="187"/>
      <c r="AB37" s="190">
        <f t="shared" ca="1" si="6"/>
        <v>0.28399999999999997</v>
      </c>
      <c r="AC37" s="187"/>
      <c r="AD37" s="191">
        <f>Q37/L37*100</f>
        <v>17.737066755099086</v>
      </c>
      <c r="AE37" s="187"/>
      <c r="AF37" s="187"/>
      <c r="AG37" s="192"/>
      <c r="AH37" s="194"/>
      <c r="AI37" s="162"/>
    </row>
    <row r="38" spans="2:36">
      <c r="B38" s="86">
        <f>MAX(B$13:B37)+1</f>
        <v>14</v>
      </c>
      <c r="D38" s="156" t="s">
        <v>341</v>
      </c>
      <c r="F38" s="154">
        <v>53</v>
      </c>
      <c r="G38" s="154"/>
      <c r="H38" s="185">
        <v>272.33333333333337</v>
      </c>
      <c r="I38" s="185">
        <f>'Exh No.__(JRS-17) p1-10'!C1168/12</f>
        <v>217.08333333333334</v>
      </c>
      <c r="K38" s="185">
        <v>4499.9316487570059</v>
      </c>
      <c r="L38" s="185">
        <f>'Exh No.__(JRS-17) p1-10'!C1172/1000</f>
        <v>4161.9537848388163</v>
      </c>
      <c r="N38" s="185">
        <v>278.83306975907675</v>
      </c>
      <c r="O38" s="186">
        <f>'Exh No.__(JRS-17) p1-10'!I1172/1000</f>
        <v>286.22928702344217</v>
      </c>
      <c r="P38" s="187"/>
      <c r="Q38" s="186">
        <f>'Exh No.__(JRS-17) p1-10'!L1172/1000</f>
        <v>300.57122386920241</v>
      </c>
      <c r="R38" s="186"/>
      <c r="S38" s="188">
        <f ca="1">Q38+W38</f>
        <v>305.39909025961543</v>
      </c>
      <c r="T38" s="186"/>
      <c r="U38" s="186">
        <f>('Rate Design Work'!L1169-'Rate Design Work'!I1169)/1000</f>
        <v>14.341538543641567</v>
      </c>
      <c r="V38" s="189">
        <f>U38/O38</f>
        <v>5.0105070283974804E-2</v>
      </c>
      <c r="W38" s="186">
        <f ca="1">(AB38/100)*L38</f>
        <v>4.8278663904130266</v>
      </c>
      <c r="X38" s="189">
        <f ca="1">W38/O38</f>
        <v>1.6867129288616872E-2</v>
      </c>
      <c r="Y38" s="186">
        <f ca="1">U38+W38</f>
        <v>19.169404934054594</v>
      </c>
      <c r="Z38" s="189">
        <f ca="1">Y38/O38</f>
        <v>6.6972199572591679E-2</v>
      </c>
      <c r="AA38" s="187"/>
      <c r="AB38" s="190">
        <f t="shared" ca="1" si="6"/>
        <v>0.11600000000000001</v>
      </c>
      <c r="AC38" s="187"/>
      <c r="AD38" s="191">
        <f>Q38/L38*100</f>
        <v>7.2218779786581146</v>
      </c>
      <c r="AE38" s="187"/>
      <c r="AF38" s="187"/>
      <c r="AG38" s="192"/>
      <c r="AH38" s="194"/>
      <c r="AI38" s="162"/>
      <c r="AJ38" s="157" t="s">
        <v>31</v>
      </c>
    </row>
    <row r="39" spans="2:36">
      <c r="B39" s="86">
        <f>MAX(B$13:B38)+1</f>
        <v>15</v>
      </c>
      <c r="D39" s="156" t="s">
        <v>341</v>
      </c>
      <c r="F39" s="154">
        <v>57</v>
      </c>
      <c r="G39" s="154"/>
      <c r="H39" s="185">
        <v>50.666666666666664</v>
      </c>
      <c r="I39" s="185">
        <f>'Exh No.__(JRS-17) p1-10'!C1268/12</f>
        <v>33.916666666666664</v>
      </c>
      <c r="K39" s="185">
        <v>2174.0459905922153</v>
      </c>
      <c r="L39" s="185">
        <f>'Exh No.__(JRS-17) p1-10'!C1272/1000</f>
        <v>1743.2558167712143</v>
      </c>
      <c r="N39" s="185">
        <v>235.8029580256418</v>
      </c>
      <c r="O39" s="186">
        <f>'Exh No.__(JRS-17) p1-10'!I1272/1000</f>
        <v>212.91005677457667</v>
      </c>
      <c r="P39" s="187"/>
      <c r="Q39" s="186">
        <f>'Exh No.__(JRS-17) p1-10'!L1272/1000</f>
        <v>223.57305677457666</v>
      </c>
      <c r="R39" s="186"/>
      <c r="S39" s="188">
        <f ca="1">Q39+W39</f>
        <v>227.14673119895764</v>
      </c>
      <c r="T39" s="186"/>
      <c r="U39" s="186">
        <f>('Rate Design Work'!L1266-'Rate Design Work'!I1266)/1000</f>
        <v>10.663</v>
      </c>
      <c r="V39" s="189">
        <f>U39/O39</f>
        <v>5.0082180999508598E-2</v>
      </c>
      <c r="W39" s="186">
        <f ca="1">(AB39/100)*L39</f>
        <v>3.573674424380989</v>
      </c>
      <c r="X39" s="189">
        <f ca="1">W39/O39</f>
        <v>1.678490193708744E-2</v>
      </c>
      <c r="Y39" s="186">
        <f ca="1">U39+W39</f>
        <v>14.23667442438099</v>
      </c>
      <c r="Z39" s="189">
        <f ca="1">Y39/O39</f>
        <v>6.6867082936596045E-2</v>
      </c>
      <c r="AA39" s="187"/>
      <c r="AB39" s="190">
        <f t="shared" ca="1" si="6"/>
        <v>0.20499999999999999</v>
      </c>
      <c r="AC39" s="187"/>
      <c r="AD39" s="191">
        <f>Q39/L39*100</f>
        <v>12.825028582934509</v>
      </c>
      <c r="AE39" s="187"/>
      <c r="AF39" s="187"/>
      <c r="AG39" s="192"/>
      <c r="AH39" s="194"/>
      <c r="AI39" s="162"/>
    </row>
    <row r="40" spans="2:36">
      <c r="B40" s="171"/>
      <c r="H40" s="196"/>
      <c r="I40" s="196"/>
      <c r="K40" s="196"/>
      <c r="L40" s="196"/>
      <c r="N40" s="196"/>
      <c r="O40" s="196"/>
      <c r="P40" s="162"/>
      <c r="Q40" s="197"/>
      <c r="R40" s="162"/>
      <c r="S40" s="197"/>
      <c r="T40" s="162"/>
      <c r="U40" s="196"/>
      <c r="V40" s="199"/>
      <c r="W40" s="196"/>
      <c r="X40" s="199"/>
      <c r="Y40" s="196"/>
      <c r="Z40" s="199"/>
      <c r="AA40" s="162"/>
      <c r="AB40" s="200"/>
      <c r="AC40" s="162"/>
      <c r="AD40" s="197"/>
      <c r="AE40" s="162"/>
      <c r="AF40" s="162"/>
      <c r="AG40" s="20"/>
      <c r="AH40" s="162"/>
      <c r="AI40" s="162"/>
    </row>
    <row r="41" spans="2:36">
      <c r="B41" s="171"/>
      <c r="V41" s="202"/>
      <c r="X41" s="202"/>
      <c r="Z41" s="202"/>
      <c r="AB41" s="203"/>
      <c r="AG41" s="20"/>
      <c r="AH41" s="162"/>
      <c r="AI41" s="162"/>
    </row>
    <row r="42" spans="2:36">
      <c r="B42" s="86">
        <f>MAX(B$13:B41)+1</f>
        <v>16</v>
      </c>
      <c r="D42" s="183" t="s">
        <v>343</v>
      </c>
      <c r="H42" s="210">
        <f>SUM(H35:H39)</f>
        <v>3359</v>
      </c>
      <c r="I42" s="210">
        <f>SUM(I35:I39)</f>
        <v>2960.9166666666665</v>
      </c>
      <c r="K42" s="210">
        <f>SUM(K35:K39)</f>
        <v>13777.544364445665</v>
      </c>
      <c r="L42" s="210">
        <f ca="1">SUM(L35:L39)</f>
        <v>12645.381133648085</v>
      </c>
      <c r="M42" s="205"/>
      <c r="N42" s="211">
        <f>SUM(N35:N39)</f>
        <v>1571.5388067303365</v>
      </c>
      <c r="O42" s="211">
        <f ca="1">SUM(O35:O39)</f>
        <v>1622.2665034500001</v>
      </c>
      <c r="P42" s="194"/>
      <c r="Q42" s="211">
        <f ca="1">SUM(Q35:Q39)</f>
        <v>1703.4934929717751</v>
      </c>
      <c r="R42" s="212"/>
      <c r="S42" s="211">
        <f ca="1">SUM(S35:S39)</f>
        <v>1730.7951578196723</v>
      </c>
      <c r="T42" s="212"/>
      <c r="U42" s="211">
        <f ca="1">SUM(U35:U39)</f>
        <v>81.226591219656285</v>
      </c>
      <c r="V42" s="213">
        <f ca="1">U42/O42</f>
        <v>5.0069819630076444E-2</v>
      </c>
      <c r="W42" s="211">
        <f ca="1">SUM(W35:W39)</f>
        <v>27.301664847897271</v>
      </c>
      <c r="X42" s="213">
        <f ca="1">W42/O42</f>
        <v>1.6829334014994497E-2</v>
      </c>
      <c r="Y42" s="211">
        <f ca="1">U42+W42</f>
        <v>108.52825606755356</v>
      </c>
      <c r="Z42" s="213">
        <f ca="1">Y42/O42</f>
        <v>6.6899153645070944E-2</v>
      </c>
      <c r="AA42" s="194"/>
      <c r="AB42" s="190"/>
      <c r="AC42" s="194"/>
      <c r="AD42" s="214">
        <f ca="1">Q42/L42*100</f>
        <v>13.471270458103874</v>
      </c>
      <c r="AE42" s="194"/>
      <c r="AF42" s="194"/>
      <c r="AG42" s="216"/>
      <c r="AH42" s="194"/>
      <c r="AI42" s="162"/>
    </row>
    <row r="43" spans="2:36">
      <c r="B43" s="171"/>
      <c r="D43" s="183"/>
      <c r="H43" s="217"/>
      <c r="I43" s="217"/>
      <c r="K43" s="217"/>
      <c r="L43" s="217"/>
      <c r="M43" s="205"/>
      <c r="N43" s="212"/>
      <c r="O43" s="212"/>
      <c r="P43" s="212"/>
      <c r="Q43" s="212"/>
      <c r="R43" s="212"/>
      <c r="S43" s="212"/>
      <c r="T43" s="212"/>
      <c r="U43" s="212"/>
      <c r="V43" s="218"/>
      <c r="W43" s="212"/>
      <c r="X43" s="218"/>
      <c r="Y43" s="212"/>
      <c r="Z43" s="219"/>
      <c r="AA43" s="212"/>
      <c r="AB43" s="220"/>
      <c r="AC43" s="212"/>
      <c r="AD43" s="212"/>
      <c r="AE43" s="212"/>
      <c r="AF43" s="212"/>
      <c r="AG43" s="20"/>
      <c r="AH43" s="212"/>
      <c r="AI43" s="162"/>
    </row>
    <row r="44" spans="2:36" ht="16.5" thickBot="1">
      <c r="B44" s="86">
        <f>MAX(B$13:B43)+1</f>
        <v>17</v>
      </c>
      <c r="D44" s="222" t="s">
        <v>344</v>
      </c>
      <c r="H44" s="223">
        <f>H42+H32+H19</f>
        <v>128476.41666666667</v>
      </c>
      <c r="I44" s="223">
        <f>I42+I32+I19</f>
        <v>132778.43714676326</v>
      </c>
      <c r="K44" s="223">
        <f>K42+K32+K19</f>
        <v>4880827.1987742558</v>
      </c>
      <c r="L44" s="223">
        <f ca="1">L42+L32+L19</f>
        <v>4010161.4332736093</v>
      </c>
      <c r="N44" s="224">
        <f>N42+N32+N19</f>
        <v>275214.43788963149</v>
      </c>
      <c r="O44" s="224">
        <f ca="1">O42+O32+O19</f>
        <v>320954.13952952309</v>
      </c>
      <c r="P44" s="194"/>
      <c r="Q44" s="224">
        <f ca="1">Q42+Q32+Q19</f>
        <v>352892.90846203588</v>
      </c>
      <c r="R44" s="225"/>
      <c r="S44" s="224">
        <f ca="1">S42+S32+S19</f>
        <v>358539.53486149805</v>
      </c>
      <c r="T44" s="225"/>
      <c r="U44" s="224">
        <f ca="1">U42+U32+U19</f>
        <v>31938.768534210649</v>
      </c>
      <c r="V44" s="226">
        <f ca="1">U44/O44</f>
        <v>9.951193831314567E-2</v>
      </c>
      <c r="W44" s="224">
        <f ca="1">W42+W32+W19</f>
        <v>5646.6263994622514</v>
      </c>
      <c r="X44" s="226">
        <f ca="1">W44/O44</f>
        <v>1.7593249950723394E-2</v>
      </c>
      <c r="Y44" s="224">
        <f ca="1">U44+W44</f>
        <v>37585.394933672898</v>
      </c>
      <c r="Z44" s="226">
        <f ca="1">Y44/O44</f>
        <v>0.11710518826386905</v>
      </c>
      <c r="AA44" s="194"/>
      <c r="AB44" s="190">
        <f ca="1">ROUND((((Q44/$Q$44)*$W$51)/L44)*100,4)</f>
        <v>0.1409</v>
      </c>
      <c r="AC44" s="194"/>
      <c r="AD44" s="228">
        <f ca="1">Q44/L44*100</f>
        <v>8.799967640553545</v>
      </c>
      <c r="AE44" s="194"/>
      <c r="AF44" s="194"/>
      <c r="AG44" s="193" t="s">
        <v>31</v>
      </c>
      <c r="AH44" s="194"/>
      <c r="AI44" s="195" t="s">
        <v>31</v>
      </c>
    </row>
    <row r="45" spans="2:36" ht="16.5" thickTop="1">
      <c r="B45" s="1714" t="s">
        <v>31</v>
      </c>
      <c r="C45" s="1715"/>
      <c r="D45" s="1715"/>
      <c r="H45" s="229"/>
      <c r="I45" s="229"/>
      <c r="K45" s="229"/>
      <c r="L45" s="229"/>
      <c r="N45" s="225"/>
      <c r="O45" s="225"/>
      <c r="P45" s="194"/>
      <c r="Q45" s="225"/>
      <c r="R45" s="225"/>
      <c r="S45" s="225"/>
      <c r="T45" s="225"/>
      <c r="U45" s="225"/>
      <c r="V45" s="202"/>
      <c r="W45" s="225"/>
      <c r="X45" s="202"/>
      <c r="Y45" s="194"/>
      <c r="AA45" s="194"/>
      <c r="AB45" s="194"/>
      <c r="AC45" s="194"/>
      <c r="AD45" s="194"/>
      <c r="AE45" s="194"/>
      <c r="AF45" s="194"/>
      <c r="AG45" s="192"/>
      <c r="AH45" s="194"/>
      <c r="AI45" s="162"/>
    </row>
    <row r="46" spans="2:36">
      <c r="B46" s="86">
        <v>18</v>
      </c>
      <c r="D46" s="230" t="s">
        <v>345</v>
      </c>
      <c r="H46" s="229"/>
      <c r="I46" s="229"/>
      <c r="K46" s="229"/>
      <c r="L46" s="229"/>
      <c r="N46" s="225">
        <v>311.00673999999998</v>
      </c>
      <c r="O46" s="188">
        <f ca="1">'Exh No.__(JRS-17) p1-10'!I1279/1000</f>
        <v>651.51829000000009</v>
      </c>
      <c r="P46" s="231"/>
      <c r="Q46" s="188">
        <f ca="1">O46</f>
        <v>651.51829000000009</v>
      </c>
      <c r="R46" s="225"/>
      <c r="S46" s="188">
        <f ca="1">Q46</f>
        <v>651.51829000000009</v>
      </c>
      <c r="T46" s="225"/>
      <c r="U46" s="209"/>
      <c r="V46" s="189"/>
      <c r="W46" s="209"/>
      <c r="X46" s="189"/>
      <c r="Y46" s="194"/>
      <c r="AA46" s="194"/>
      <c r="AB46" s="194"/>
      <c r="AC46" s="194"/>
      <c r="AD46" s="191"/>
      <c r="AE46" s="187"/>
      <c r="AF46" s="194"/>
      <c r="AG46" s="192"/>
      <c r="AH46" s="194"/>
      <c r="AI46" s="162"/>
    </row>
    <row r="47" spans="2:36">
      <c r="B47" s="86"/>
      <c r="D47" s="230"/>
      <c r="H47" s="229"/>
      <c r="I47" s="229"/>
      <c r="K47" s="229"/>
      <c r="L47" s="229"/>
      <c r="N47" s="225"/>
      <c r="O47" s="225"/>
      <c r="P47" s="231"/>
      <c r="Q47" s="188"/>
      <c r="R47" s="225"/>
      <c r="S47" s="188"/>
      <c r="T47" s="225"/>
      <c r="U47" s="209"/>
      <c r="V47" s="189"/>
      <c r="W47" s="209"/>
      <c r="X47" s="189"/>
      <c r="Y47" s="194"/>
      <c r="AA47" s="194"/>
      <c r="AB47" s="194"/>
      <c r="AC47" s="194"/>
      <c r="AD47" s="191"/>
      <c r="AE47" s="187"/>
      <c r="AF47" s="194"/>
      <c r="AG47" s="192"/>
      <c r="AH47" s="194"/>
      <c r="AI47" s="162"/>
    </row>
    <row r="48" spans="2:36" ht="16.5" thickBot="1">
      <c r="B48" s="86">
        <v>19</v>
      </c>
      <c r="D48" s="87" t="s">
        <v>195</v>
      </c>
      <c r="H48" s="232">
        <f>SUM(H44:H46)</f>
        <v>128476.41666666667</v>
      </c>
      <c r="I48" s="232">
        <f>SUM(I44:I46)</f>
        <v>132778.43714676326</v>
      </c>
      <c r="K48" s="232">
        <f>SUM(K44:K46)</f>
        <v>4880827.1987742558</v>
      </c>
      <c r="L48" s="232">
        <f ca="1">SUM(L44:L46)</f>
        <v>4010161.4332736093</v>
      </c>
      <c r="N48" s="224">
        <f>SUM(N44:N46)</f>
        <v>275525.44462963147</v>
      </c>
      <c r="O48" s="224">
        <f ca="1">SUM(O44:O46)</f>
        <v>321605.65781952307</v>
      </c>
      <c r="Q48" s="233">
        <f ca="1">SUM(Q44:Q46)</f>
        <v>353544.42675203586</v>
      </c>
      <c r="R48" s="225"/>
      <c r="S48" s="233">
        <f ca="1">SUM(S44:S46)</f>
        <v>359191.05315149802</v>
      </c>
      <c r="T48" s="225"/>
      <c r="U48" s="224">
        <f ca="1">SUM(U44:U46)</f>
        <v>31938.768534210649</v>
      </c>
      <c r="V48" s="226">
        <f ca="1">U48/O48</f>
        <v>9.9310344074027071E-2</v>
      </c>
      <c r="W48" s="224">
        <f ca="1">SUM(W44:W46)</f>
        <v>5646.6263994622514</v>
      </c>
      <c r="X48" s="226">
        <f ca="1">W48/O48</f>
        <v>1.7557609022634157E-2</v>
      </c>
      <c r="AD48" s="228">
        <f ca="1">Q48/L48*100</f>
        <v>8.8162143254025427</v>
      </c>
      <c r="AE48" s="187"/>
      <c r="AG48" s="162"/>
      <c r="AH48" s="162"/>
      <c r="AI48" s="162"/>
    </row>
    <row r="49" spans="10:34" ht="18.75" customHeight="1" thickTop="1">
      <c r="J49" s="1117"/>
      <c r="U49" s="186" t="s">
        <v>31</v>
      </c>
      <c r="V49" s="234" t="s">
        <v>31</v>
      </c>
      <c r="X49" s="234" t="s">
        <v>31</v>
      </c>
    </row>
    <row r="50" spans="10:34" ht="18.75" customHeight="1">
      <c r="U50" s="1696" t="s">
        <v>31</v>
      </c>
      <c r="V50" s="1697" t="s">
        <v>31</v>
      </c>
      <c r="X50" s="234"/>
    </row>
    <row r="51" spans="10:34">
      <c r="N51" s="235"/>
      <c r="O51" s="235"/>
      <c r="P51" s="162"/>
      <c r="S51" s="209"/>
      <c r="U51" s="209"/>
      <c r="V51" s="236"/>
      <c r="W51" s="209">
        <v>5649.1189999999997</v>
      </c>
      <c r="X51" s="236"/>
      <c r="Y51" s="162"/>
      <c r="AA51" s="162"/>
      <c r="AB51" s="162"/>
      <c r="AC51" s="162"/>
      <c r="AD51" s="162"/>
      <c r="AE51" s="162"/>
      <c r="AF51" s="162"/>
      <c r="AG51" s="162"/>
      <c r="AH51" s="162"/>
    </row>
    <row r="52" spans="10:34">
      <c r="P52" s="162"/>
      <c r="U52" s="237"/>
      <c r="Y52" s="162"/>
      <c r="Z52" s="162"/>
      <c r="AA52" s="162"/>
      <c r="AB52" s="162"/>
      <c r="AC52" s="162"/>
      <c r="AD52" s="225"/>
      <c r="AE52" s="162"/>
      <c r="AF52" s="162"/>
      <c r="AG52" s="162"/>
      <c r="AH52" s="162"/>
    </row>
    <row r="53" spans="10:34">
      <c r="Q53" s="193"/>
      <c r="U53" s="238"/>
      <c r="V53" s="239"/>
      <c r="W53" s="238"/>
    </row>
    <row r="54" spans="10:34">
      <c r="Q54" s="162"/>
      <c r="U54" s="240"/>
      <c r="V54" s="241"/>
      <c r="W54" s="240"/>
    </row>
    <row r="55" spans="10:34">
      <c r="Q55" s="182"/>
      <c r="U55" s="242"/>
      <c r="V55" s="243"/>
      <c r="W55" s="242"/>
    </row>
    <row r="56" spans="10:34">
      <c r="Q56" s="244"/>
      <c r="V56" s="202"/>
    </row>
    <row r="57" spans="10:34">
      <c r="Q57" s="157"/>
      <c r="V57" s="245"/>
    </row>
    <row r="59" spans="10:34">
      <c r="Q59" s="182"/>
      <c r="X59" s="14"/>
    </row>
  </sheetData>
  <mergeCells count="8">
    <mergeCell ref="W10:Z10"/>
    <mergeCell ref="B45:D45"/>
    <mergeCell ref="B2:V2"/>
    <mergeCell ref="B3:V3"/>
    <mergeCell ref="B4:V4"/>
    <mergeCell ref="B5:V5"/>
    <mergeCell ref="B6:V6"/>
    <mergeCell ref="B7:V7"/>
  </mergeCells>
  <phoneticPr fontId="0" type="noConversion"/>
  <printOptions horizontalCentered="1"/>
  <pageMargins left="0.25" right="0.25" top="0.5" bottom="0.5" header="0.5" footer="0.25"/>
  <pageSetup scale="7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D48"/>
  <sheetViews>
    <sheetView tabSelected="1" view="pageBreakPreview" zoomScale="75" zoomScaleNormal="85" workbookViewId="0">
      <selection activeCell="B1" sqref="B1:T1"/>
    </sheetView>
  </sheetViews>
  <sheetFormatPr defaultColWidth="8.5" defaultRowHeight="15"/>
  <cols>
    <col min="1" max="1" width="1.5" style="480" customWidth="1"/>
    <col min="2" max="2" width="9.75" style="480" customWidth="1"/>
    <col min="3" max="3" width="2.875" style="480" customWidth="1"/>
    <col min="4" max="4" width="11.25" style="480" hidden="1" customWidth="1"/>
    <col min="5" max="5" width="7.625" style="480" bestFit="1" customWidth="1"/>
    <col min="6" max="6" width="3.375" style="480" customWidth="1"/>
    <col min="7" max="7" width="11" style="480" bestFit="1" customWidth="1"/>
    <col min="8" max="8" width="1.75" style="480" customWidth="1"/>
    <col min="9" max="9" width="11" style="480" bestFit="1" customWidth="1"/>
    <col min="10" max="10" width="6.125" style="480" bestFit="1" customWidth="1"/>
    <col min="11" max="11" width="11" style="480" bestFit="1" customWidth="1"/>
    <col min="12" max="12" width="2" style="480" customWidth="1"/>
    <col min="13" max="13" width="11" style="480" bestFit="1" customWidth="1"/>
    <col min="14" max="14" width="2.875" style="480" customWidth="1"/>
    <col min="15" max="15" width="10.25" style="480" hidden="1" customWidth="1"/>
    <col min="16" max="16" width="2" style="480" hidden="1" customWidth="1"/>
    <col min="17" max="17" width="10.25" style="480" hidden="1" customWidth="1"/>
    <col min="18" max="18" width="4.625" style="480" hidden="1" customWidth="1"/>
    <col min="19" max="19" width="11" style="480" bestFit="1" customWidth="1"/>
    <col min="20" max="20" width="2" style="480" customWidth="1"/>
    <col min="21" max="21" width="11" style="480" bestFit="1" customWidth="1"/>
    <col min="22" max="22" width="3.125" style="480" customWidth="1"/>
    <col min="23" max="23" width="12.5" style="480" customWidth="1"/>
    <col min="24" max="24" width="13.5" style="480" bestFit="1" customWidth="1"/>
    <col min="25" max="25" width="8.5" style="480"/>
    <col min="26" max="26" width="13.875" style="480" customWidth="1"/>
    <col min="27" max="27" width="12.75" style="480" bestFit="1" customWidth="1"/>
    <col min="28" max="28" width="8.5" style="480" customWidth="1"/>
    <col min="29" max="29" width="2.625" style="521" customWidth="1"/>
    <col min="30" max="16384" width="8.5" style="480"/>
  </cols>
  <sheetData>
    <row r="1" spans="1:30">
      <c r="A1" s="520"/>
      <c r="B1" s="520"/>
    </row>
    <row r="2" spans="1:30">
      <c r="A2" s="520"/>
      <c r="B2" s="520"/>
      <c r="C2" s="522"/>
      <c r="D2" s="522"/>
      <c r="E2" s="522"/>
      <c r="F2" s="522"/>
      <c r="G2" s="522"/>
      <c r="H2" s="522"/>
      <c r="I2" s="522"/>
      <c r="J2" s="522"/>
      <c r="K2" s="522"/>
      <c r="L2" s="522"/>
    </row>
    <row r="3" spans="1:30" ht="18.75">
      <c r="A3" s="520"/>
      <c r="B3" s="481"/>
      <c r="C3" s="523"/>
      <c r="D3" s="523"/>
      <c r="E3" s="523"/>
      <c r="F3" s="523"/>
      <c r="G3" s="523"/>
      <c r="H3" s="523"/>
      <c r="I3" s="523"/>
      <c r="J3" s="523"/>
      <c r="K3" s="523"/>
      <c r="L3" s="523"/>
      <c r="M3" s="482"/>
      <c r="N3" s="482"/>
      <c r="O3" s="482"/>
      <c r="P3" s="482"/>
      <c r="Q3" s="524"/>
      <c r="S3" s="482"/>
      <c r="T3" s="483" t="s">
        <v>31</v>
      </c>
      <c r="U3" s="524"/>
    </row>
    <row r="4" spans="1:30" ht="20.25">
      <c r="B4" s="525" t="s">
        <v>72</v>
      </c>
      <c r="C4" s="525"/>
      <c r="D4" s="525"/>
      <c r="E4" s="525"/>
      <c r="F4" s="525"/>
      <c r="G4" s="525"/>
      <c r="H4" s="525"/>
      <c r="I4" s="525"/>
      <c r="J4" s="525"/>
      <c r="K4" s="525"/>
      <c r="L4" s="525"/>
      <c r="M4" s="525"/>
      <c r="N4" s="525"/>
      <c r="O4" s="525"/>
      <c r="P4" s="525"/>
      <c r="Q4" s="525"/>
      <c r="R4" s="525"/>
      <c r="S4" s="525"/>
      <c r="T4" s="525"/>
      <c r="U4" s="525"/>
    </row>
    <row r="5" spans="1:30" ht="20.25">
      <c r="B5" s="525" t="s">
        <v>520</v>
      </c>
      <c r="C5" s="525"/>
      <c r="D5" s="525"/>
      <c r="E5" s="525"/>
      <c r="F5" s="525"/>
      <c r="G5" s="525"/>
      <c r="H5" s="525"/>
      <c r="I5" s="525"/>
      <c r="J5" s="525"/>
      <c r="K5" s="525"/>
      <c r="L5" s="525"/>
      <c r="M5" s="525"/>
      <c r="N5" s="525"/>
      <c r="O5" s="525"/>
      <c r="P5" s="525"/>
      <c r="Q5" s="525"/>
      <c r="R5" s="525"/>
      <c r="S5" s="525"/>
      <c r="T5" s="525"/>
      <c r="U5" s="525"/>
    </row>
    <row r="6" spans="1:30" ht="20.25">
      <c r="B6" s="525" t="s">
        <v>530</v>
      </c>
      <c r="C6" s="525"/>
      <c r="D6" s="525"/>
      <c r="E6" s="525"/>
      <c r="F6" s="525"/>
      <c r="G6" s="525"/>
      <c r="H6" s="525"/>
      <c r="I6" s="525"/>
      <c r="J6" s="525"/>
      <c r="K6" s="525"/>
      <c r="L6" s="525"/>
      <c r="M6" s="525"/>
      <c r="N6" s="525"/>
      <c r="O6" s="525"/>
      <c r="P6" s="525"/>
      <c r="Q6" s="525"/>
      <c r="R6" s="525"/>
      <c r="S6" s="525"/>
      <c r="T6" s="525"/>
      <c r="U6" s="525"/>
    </row>
    <row r="7" spans="1:30" ht="20.25">
      <c r="B7" s="526" t="s">
        <v>31</v>
      </c>
      <c r="C7" s="526"/>
      <c r="D7" s="526"/>
      <c r="E7" s="526"/>
      <c r="F7" s="526"/>
      <c r="G7" s="526"/>
      <c r="H7" s="526"/>
      <c r="I7" s="526"/>
      <c r="J7" s="526"/>
      <c r="K7" s="526"/>
      <c r="L7" s="526"/>
      <c r="M7" s="526"/>
      <c r="N7" s="526"/>
      <c r="O7" s="526"/>
      <c r="P7" s="526"/>
      <c r="Q7" s="526"/>
      <c r="R7" s="526"/>
      <c r="S7" s="526"/>
      <c r="T7" s="526"/>
      <c r="U7" s="526"/>
    </row>
    <row r="8" spans="1:30" ht="18.75">
      <c r="B8" s="527"/>
      <c r="C8" s="528"/>
      <c r="D8" s="528"/>
      <c r="E8" s="528"/>
      <c r="F8" s="528"/>
      <c r="G8" s="528"/>
      <c r="H8" s="528"/>
      <c r="I8" s="528"/>
      <c r="J8" s="528"/>
      <c r="K8" s="528"/>
      <c r="L8" s="528"/>
      <c r="M8" s="528"/>
      <c r="N8" s="528"/>
      <c r="O8" s="528"/>
      <c r="P8" s="528"/>
      <c r="Q8" s="529"/>
      <c r="S8" s="528"/>
      <c r="T8" s="528"/>
      <c r="U8" s="529"/>
    </row>
    <row r="9" spans="1:30">
      <c r="A9" s="522"/>
      <c r="B9" s="520"/>
    </row>
    <row r="10" spans="1:30" ht="15.75">
      <c r="A10" s="522"/>
      <c r="B10" s="530" t="s">
        <v>531</v>
      </c>
      <c r="C10" s="531"/>
      <c r="D10" s="531"/>
      <c r="E10" s="531"/>
      <c r="F10" s="531"/>
      <c r="G10" s="532" t="s">
        <v>532</v>
      </c>
      <c r="H10" s="532"/>
      <c r="I10" s="532"/>
      <c r="J10" s="532"/>
      <c r="K10" s="532"/>
      <c r="L10" s="532"/>
      <c r="M10" s="532"/>
      <c r="N10" s="531"/>
      <c r="O10" s="533" t="s">
        <v>533</v>
      </c>
      <c r="P10" s="533"/>
      <c r="Q10" s="533"/>
      <c r="R10" s="534"/>
      <c r="S10" s="533" t="s">
        <v>523</v>
      </c>
      <c r="T10" s="533"/>
      <c r="U10" s="533"/>
    </row>
    <row r="11" spans="1:30" ht="16.5" thickBot="1">
      <c r="A11" s="522"/>
      <c r="B11" s="535" t="s">
        <v>534</v>
      </c>
      <c r="C11" s="533"/>
      <c r="D11" s="530" t="s">
        <v>535</v>
      </c>
      <c r="E11" s="531"/>
      <c r="F11" s="531"/>
      <c r="G11" s="536" t="s">
        <v>536</v>
      </c>
      <c r="H11" s="536"/>
      <c r="I11" s="536"/>
      <c r="J11" s="537"/>
      <c r="K11" s="536" t="s">
        <v>621</v>
      </c>
      <c r="L11" s="536"/>
      <c r="M11" s="536"/>
      <c r="N11" s="531"/>
      <c r="O11" s="536" t="s">
        <v>263</v>
      </c>
      <c r="P11" s="536"/>
      <c r="Q11" s="536"/>
      <c r="R11" s="534"/>
      <c r="S11" s="536" t="s">
        <v>263</v>
      </c>
      <c r="T11" s="536"/>
      <c r="U11" s="536"/>
    </row>
    <row r="12" spans="1:30" ht="15.75">
      <c r="A12" s="522"/>
      <c r="B12" s="538" t="s">
        <v>406</v>
      </c>
      <c r="C12" s="539"/>
      <c r="D12" s="540" t="s">
        <v>537</v>
      </c>
      <c r="E12" s="538" t="s">
        <v>25</v>
      </c>
      <c r="F12" s="531"/>
      <c r="G12" s="541" t="s">
        <v>538</v>
      </c>
      <c r="H12" s="542"/>
      <c r="I12" s="541" t="s">
        <v>539</v>
      </c>
      <c r="J12" s="531"/>
      <c r="K12" s="541" t="s">
        <v>538</v>
      </c>
      <c r="L12" s="542"/>
      <c r="M12" s="541" t="s">
        <v>539</v>
      </c>
      <c r="N12" s="531"/>
      <c r="O12" s="541" t="s">
        <v>538</v>
      </c>
      <c r="P12" s="531"/>
      <c r="Q12" s="541" t="s">
        <v>539</v>
      </c>
      <c r="R12" s="534"/>
      <c r="S12" s="541" t="s">
        <v>538</v>
      </c>
      <c r="T12" s="531"/>
      <c r="U12" s="541" t="s">
        <v>539</v>
      </c>
      <c r="W12" s="543"/>
      <c r="X12" s="544" t="s">
        <v>524</v>
      </c>
      <c r="Y12" s="545"/>
      <c r="Z12" s="544"/>
      <c r="AA12" s="544" t="s">
        <v>525</v>
      </c>
      <c r="AB12" s="545"/>
    </row>
    <row r="13" spans="1:30" ht="15.75">
      <c r="A13" s="522"/>
      <c r="B13" s="531"/>
      <c r="C13" s="531"/>
      <c r="D13" s="531"/>
      <c r="E13" s="531"/>
      <c r="F13" s="531"/>
      <c r="G13" s="539"/>
      <c r="H13" s="539"/>
      <c r="I13" s="539"/>
      <c r="J13" s="539"/>
      <c r="K13" s="539"/>
      <c r="L13" s="539"/>
      <c r="M13" s="539"/>
      <c r="N13" s="534"/>
      <c r="O13" s="534"/>
      <c r="P13" s="534"/>
      <c r="Q13" s="534"/>
      <c r="R13" s="534"/>
      <c r="S13" s="534"/>
      <c r="T13" s="534"/>
      <c r="U13" s="534"/>
      <c r="W13" s="546" t="s">
        <v>404</v>
      </c>
      <c r="X13" s="510" t="s">
        <v>540</v>
      </c>
      <c r="Y13" s="547" t="s">
        <v>541</v>
      </c>
      <c r="Z13" s="510"/>
      <c r="AA13" s="510" t="s">
        <v>540</v>
      </c>
      <c r="AB13" s="547" t="s">
        <v>541</v>
      </c>
    </row>
    <row r="14" spans="1:30" ht="15.75">
      <c r="A14" s="522"/>
      <c r="B14" s="531">
        <v>15</v>
      </c>
      <c r="C14" s="531"/>
      <c r="D14" s="531">
        <v>100</v>
      </c>
      <c r="E14" s="548">
        <v>5000</v>
      </c>
      <c r="F14" s="549"/>
      <c r="G14" s="550">
        <f>ROUND($X$15+IF($E14&gt;1000,IF($E14&gt;9000,(1000*X$21/100)+(8000*X$22/100)+(($E14-(9000))*X$23/100),(1000*X$21/100)+(($E14-1000)*X$22/100)),($E14*$X$21)/100)+IF(B$14&gt;W$18,$X$18*($B$14-W$18),0)+IF(B$14&gt;W$20,$X$20*($B$14-W$20),0),2)+AA$29</f>
        <v>414.25</v>
      </c>
      <c r="H14" s="550"/>
      <c r="I14" s="550">
        <f>ROUND($Y$15+IF($E14&gt;1000,IF($E14&gt;9000,(1000*Y$21/100)+(8000*Y$22/100)+(($E14-(9000))*Y$23/100),(1000*Y$21/100)+(($E14-1000)*Y$22/100)),($E14*$Y$21)/100)+IF(B$14&gt;W$18,$Y$18*($B$14-W$18),0)+IF(B$14&gt;W$20,$Y$20*($B$14-W$20),0),2)+AA$29</f>
        <v>418.52</v>
      </c>
      <c r="J14" s="550"/>
      <c r="K14" s="550">
        <f ca="1">ROUND($AA$15+IF($E14&gt;1000,IF($E14&gt;9000,(1000*AA$21/100)+(8000*AA$22/100)+(($E14-9000)*AA$23/100),(1000*AA$21/100)+(($E14-1000)*AA$22/100)),($E14*$AA$21)/100)+IF(B$14&gt;Z$18,$AA$18*($B$14-Z$18),0)+IF(B$14&gt;Z$20,$AA$20*($B$14-Z$20),0),2)+AA30</f>
        <v>440.29</v>
      </c>
      <c r="L14" s="550"/>
      <c r="M14" s="550">
        <f ca="1">ROUND($AB$15+IF($E14&gt;1000,IF($E14&gt;9000,(1000*AB$21/100)+(8000*AB$22/100)+(($E14-9000)*AB$23/100),(1000*AB$21/100)+(($E14-1000)*AB$22/100)),($E14*$AB$21)/100)+IF(B$14&gt;Z$18,$AB$18*($B$14-Z$18),0)+IF(B$14&gt;Z$20,$AB$20*($B$14-Z$20),0),2)+AA30</f>
        <v>445.29</v>
      </c>
      <c r="N14" s="531"/>
      <c r="O14" s="550">
        <f ca="1">K14-G14</f>
        <v>26.04000000000002</v>
      </c>
      <c r="P14" s="550"/>
      <c r="Q14" s="550">
        <f ca="1">M14-I14</f>
        <v>26.770000000000039</v>
      </c>
      <c r="R14" s="534"/>
      <c r="S14" s="551">
        <f ca="1">ROUND(K14/G14-1,4)</f>
        <v>6.2899999999999998E-2</v>
      </c>
      <c r="T14" s="531"/>
      <c r="U14" s="551">
        <f ca="1">ROUND(M14/I14-1,4)</f>
        <v>6.4000000000000001E-2</v>
      </c>
      <c r="W14" s="546" t="s">
        <v>542</v>
      </c>
      <c r="X14" s="552">
        <f>'Exh No.__(JRS-17) p1-10'!G173</f>
        <v>8.7100000000000009</v>
      </c>
      <c r="Y14" s="497">
        <f>'Exh No.__(JRS-17) p1-10'!G174</f>
        <v>12.98</v>
      </c>
      <c r="Z14" s="553"/>
      <c r="AA14" s="552">
        <f>'Exh No.__(JRS-17) p1-10'!J214</f>
        <v>10</v>
      </c>
      <c r="AB14" s="497">
        <f>'Exh No.__(JRS-17) p1-10'!J215</f>
        <v>15</v>
      </c>
      <c r="AC14" s="554"/>
      <c r="AD14" s="504"/>
    </row>
    <row r="15" spans="1:30" ht="15.75">
      <c r="A15" s="522"/>
      <c r="B15" s="531"/>
      <c r="C15" s="531"/>
      <c r="D15" s="531">
        <v>200</v>
      </c>
      <c r="E15" s="548">
        <v>7500</v>
      </c>
      <c r="F15" s="549"/>
      <c r="G15" s="550">
        <f>ROUND($X$15+IF($E15&gt;1000,IF($E15&gt;9000,(1000*X$21/100)+(8000*X$22/100)+(($E15-(9000))*X$23/100),(1000*X$21/100)+(($E15-1000)*X$22/100)),($E15*$X$21)/100)+IF(B$14&gt;W$18,$X$18*($B$14-W$18),0)+IF(B$14&gt;W$20,$X$20*($B$14-W$20),0),2)+AA$29</f>
        <v>600.2299999999999</v>
      </c>
      <c r="H15" s="550"/>
      <c r="I15" s="550">
        <f>ROUND($Y$15+IF($E15&gt;1000,IF($E15&gt;9000,(1000*Y$21/100)+(8000*Y$22/100)+(($E15-(9000))*Y$23/100),(1000*Y$21/100)+(($E15-1000)*Y$22/100)),($E15*$Y$21)/100)+IF(B$14&gt;W$18,$Y$18*($B$14-W$18),0)+IF(B$14&gt;W$20,$Y$20*($B$14-W$20),0),2)+AA$29</f>
        <v>604.5</v>
      </c>
      <c r="J15" s="550"/>
      <c r="K15" s="550">
        <f ca="1">ROUND($AA$15+IF($E15&gt;1000,IF($E15&gt;9000,(1000*AA$21/100)+(8000*AA$22/100)+(($E15-9000)*AA$23/100),(1000*AA$21/100)+(($E15-1000)*AA$22/100)),($E15*$AA$21)/100)+IF(B$14&gt;Z$18,$AA$18*($B$14-Z$18),0)+IF(B$14&gt;Z$20,$AA$20*($B$14-Z$20),0),2)+AA30</f>
        <v>637.93999999999994</v>
      </c>
      <c r="L15" s="550"/>
      <c r="M15" s="550">
        <f ca="1">ROUND($AB$15+IF($E15&gt;1000,IF($E15&gt;9000,(1000*AB$21/100)+(8000*AB$22/100)+(($E15-9000)*AB$23/100),(1000*AB$21/100)+(($E15-1000)*AB$22/100)),($E15*$AB$21)/100)+IF(B$14&gt;Z$18,$AB$18*($B$14-Z$18),0)+IF(B$14&gt;Z$20,$AB$20*($B$14-Z$20),0),2)+AA30</f>
        <v>642.93999999999994</v>
      </c>
      <c r="N15" s="531"/>
      <c r="O15" s="550">
        <f ca="1">K15-G15</f>
        <v>37.710000000000036</v>
      </c>
      <c r="P15" s="550"/>
      <c r="Q15" s="550">
        <f ca="1">M15-I15</f>
        <v>38.439999999999941</v>
      </c>
      <c r="R15" s="534"/>
      <c r="S15" s="551">
        <f ca="1">ROUND(K15/G15-1,4)</f>
        <v>6.2799999999999995E-2</v>
      </c>
      <c r="T15" s="531"/>
      <c r="U15" s="551">
        <f ca="1">ROUND(M15/I15-1,4)</f>
        <v>6.3600000000000004E-2</v>
      </c>
      <c r="W15" s="546" t="s">
        <v>543</v>
      </c>
      <c r="X15" s="552">
        <f>X14</f>
        <v>8.7100000000000009</v>
      </c>
      <c r="Y15" s="497">
        <f>Y14</f>
        <v>12.98</v>
      </c>
      <c r="Z15" s="553"/>
      <c r="AA15" s="552">
        <f>AA14</f>
        <v>10</v>
      </c>
      <c r="AB15" s="497">
        <f>AB14</f>
        <v>15</v>
      </c>
    </row>
    <row r="16" spans="1:30" ht="15.75">
      <c r="A16" s="522"/>
      <c r="B16" s="531"/>
      <c r="C16" s="531"/>
      <c r="D16" s="531">
        <v>300</v>
      </c>
      <c r="E16" s="548">
        <v>10000</v>
      </c>
      <c r="F16" s="549"/>
      <c r="G16" s="550">
        <f>ROUND($X$15+IF($E16&gt;1000,IF($E16&gt;9000,(1000*X$21/100)+(8000*X$22/100)+(($E16-(9000))*X$23/100),(1000*X$21/100)+(($E16-1000)*X$22/100)),($E16*$X$21)/100)+IF(B$14&gt;W$18,$X$18*($B$14-W$18),0)+IF(B$14&gt;W$20,$X$20*($B$14-W$20),0),2)+AA$29</f>
        <v>776.3</v>
      </c>
      <c r="H16" s="550"/>
      <c r="I16" s="550">
        <f>ROUND($Y$15+IF($E16&gt;1000,IF($E16&gt;9000,(1000*Y$21/100)+(8000*Y$22/100)+(($E16-(9000))*Y$23/100),(1000*Y$21/100)+(($E16-1000)*Y$22/100)),($E16*$Y$21)/100)+IF(B$14&gt;W$18,$Y$18*($B$14-W$18),0)+IF(B$14&gt;W$20,$Y$20*($B$14-W$20),0),2)+AA$29</f>
        <v>780.56999999999994</v>
      </c>
      <c r="J16" s="550"/>
      <c r="K16" s="550">
        <f ca="1">ROUND($AA$15+IF($E16&gt;1000,IF($E16&gt;9000,(1000*AA$21/100)+(8000*AA$22/100)+(($E16-9000)*AA$23/100),(1000*AA$21/100)+(($E16-1000)*AA$22/100)),($E16*$AA$21)/100)+IF(B$14&gt;Z$18,$AA$18*($B$14-Z$18),0)+IF(B$14&gt;Z$20,$AA$20*($B$14-Z$20),0),2)+AA30</f>
        <v>825.26</v>
      </c>
      <c r="L16" s="550"/>
      <c r="M16" s="550">
        <f ca="1">ROUND($AB$15+IF($E16&gt;1000,IF($E16&gt;9000,(1000*AB$21/100)+(8000*AB$22/100)+(($E16-9000)*AB$23/100),(1000*AB$21/100)+(($E16-1000)*AB$22/100)),($E16*$AB$21)/100)+IF(B$14&gt;Z$18,$AB$18*($B$14-Z$18),0)+IF(B$14&gt;Z$20,$AB$20*($B$14-Z$20),0),2)+AA30</f>
        <v>830.26</v>
      </c>
      <c r="N16" s="531"/>
      <c r="O16" s="550">
        <f ca="1">K16-G16</f>
        <v>48.960000000000036</v>
      </c>
      <c r="P16" s="550"/>
      <c r="Q16" s="550">
        <f ca="1">M16-I16</f>
        <v>49.690000000000055</v>
      </c>
      <c r="R16" s="534"/>
      <c r="S16" s="551">
        <f ca="1">ROUND(K16/G16-1,4)</f>
        <v>6.3100000000000003E-2</v>
      </c>
      <c r="T16" s="531"/>
      <c r="U16" s="551">
        <f ca="1">ROUND(M16/I16-1,4)</f>
        <v>6.3700000000000007E-2</v>
      </c>
      <c r="W16" s="546"/>
      <c r="X16" s="510"/>
      <c r="Y16" s="547"/>
      <c r="Z16" s="510"/>
      <c r="AA16" s="552"/>
      <c r="AB16" s="497"/>
    </row>
    <row r="17" spans="1:30" ht="15.75">
      <c r="A17" s="522"/>
      <c r="B17" s="534"/>
      <c r="C17" s="534"/>
      <c r="D17" s="534"/>
      <c r="E17" s="534"/>
      <c r="F17" s="534"/>
      <c r="G17" s="534"/>
      <c r="H17" s="534"/>
      <c r="I17" s="534"/>
      <c r="J17" s="534"/>
      <c r="K17" s="534"/>
      <c r="L17" s="534"/>
      <c r="M17" s="534"/>
      <c r="N17" s="534"/>
      <c r="O17" s="534"/>
      <c r="P17" s="534"/>
      <c r="Q17" s="534"/>
      <c r="R17" s="534"/>
      <c r="S17" s="534"/>
      <c r="T17" s="534"/>
      <c r="U17" s="534"/>
      <c r="W17" s="546" t="s">
        <v>404</v>
      </c>
      <c r="X17" s="552"/>
      <c r="Y17" s="497"/>
      <c r="Z17" s="555" t="s">
        <v>404</v>
      </c>
      <c r="AA17" s="552"/>
      <c r="AB17" s="497"/>
    </row>
    <row r="18" spans="1:30" ht="15.75">
      <c r="A18" s="522"/>
      <c r="B18" s="531">
        <v>25</v>
      </c>
      <c r="C18" s="531"/>
      <c r="D18" s="531">
        <v>150</v>
      </c>
      <c r="E18" s="548">
        <f>ROUND((B$18*D18),0)</f>
        <v>3750</v>
      </c>
      <c r="F18" s="549"/>
      <c r="G18" s="550">
        <f>ROUND($X$15+IF($E18&gt;1000,IF($E18&gt;9000,(1000*X$21/100)+(8000*X$22/100)+(($E18-9000)*X$23/100),(1000*X$21/100)+(($E18-1000)*X$22/100)),($E18*$X$21)/100)+IF(B$18&gt;W$18,$X$18*($B$18-W$18),0)+IF(B$18&gt;W$20,$X$20*($B$18-W$20),0),2)+AA29</f>
        <v>366.56</v>
      </c>
      <c r="H18" s="550"/>
      <c r="I18" s="550">
        <f>ROUND($Y$15+IF($E18&gt;1000,IF($E18&gt;9000,(1000*Y$21/100)+(8000*Y$22/100)+(($E18-9000)*Y$23/100),(1000*Y$21/100)+(($E18-1000)*Y$22/100)),($E18*$Y$21)/100)+IF(B$18&gt;W$18,$Y$18*($B$18-W$18),0)+IF(B$18&gt;W$20,$Y$20*($B$18-W$20),0),2)+AA29</f>
        <v>370.83</v>
      </c>
      <c r="J18" s="550"/>
      <c r="K18" s="550">
        <f ca="1">ROUND($AA$15+IF($E18&gt;1000,IF($E18&gt;9000,(1000*AA$21/100)+(8000*AA$22/100)+(($E18-9000)*AA$23/100),(1000*AA$21/100)+(($E18-1000)*AA$22/100)),($E18*$AA$21)/100)+IF(B$18&gt;Z$18,$AA$18*($B$18-Z$18),0)+IF(B$18&gt;Z$20,$AA$20*($B$18-Z$20),0),2)+AA30</f>
        <v>389.17</v>
      </c>
      <c r="L18" s="550"/>
      <c r="M18" s="550">
        <f ca="1">ROUND($AB$15+IF($E18&gt;1000,IF($E18&gt;9000,(1000*AB$21/100)+(8000*AB$22/100)+(($E18-9000)*AB$23/100),(1000*AB$21/100)+(($E18-1000)*AB$22/100)),($E18*$AB$21)/100)+IF(B$18&gt;Z$18,$AB$18*($B$18-Z$18),0)+IF(B$18&gt;Z$20,$AB$20*($B$18-Z$20),0),2)+AA30</f>
        <v>394.17</v>
      </c>
      <c r="N18" s="531"/>
      <c r="O18" s="550">
        <f ca="1">K18-G18</f>
        <v>22.610000000000014</v>
      </c>
      <c r="P18" s="550"/>
      <c r="Q18" s="550">
        <f ca="1">M18-I18</f>
        <v>23.340000000000032</v>
      </c>
      <c r="R18" s="534"/>
      <c r="S18" s="551">
        <f ca="1">ROUND(K18/G18-1,4)</f>
        <v>6.1699999999999998E-2</v>
      </c>
      <c r="T18" s="531"/>
      <c r="U18" s="551">
        <f ca="1">ROUND(M18/I18-1,4)</f>
        <v>6.2899999999999998E-2</v>
      </c>
      <c r="W18" s="556">
        <v>15</v>
      </c>
      <c r="X18" s="552">
        <f>'Exh No.__(JRS-17) p1-10'!G175</f>
        <v>0.92</v>
      </c>
      <c r="Y18" s="497">
        <f>X18</f>
        <v>0.92</v>
      </c>
      <c r="Z18" s="557">
        <v>15</v>
      </c>
      <c r="AA18" s="552">
        <f>'Exh No.__(JRS-17) p1-10'!J216</f>
        <v>1</v>
      </c>
      <c r="AB18" s="497">
        <f>AA18</f>
        <v>1</v>
      </c>
      <c r="AD18" s="504"/>
    </row>
    <row r="19" spans="1:30" ht="15.75">
      <c r="A19" s="522"/>
      <c r="B19" s="531"/>
      <c r="C19" s="531"/>
      <c r="D19" s="531">
        <v>200</v>
      </c>
      <c r="E19" s="548">
        <f>ROUND((B$18*D19),0)</f>
        <v>5000</v>
      </c>
      <c r="F19" s="549"/>
      <c r="G19" s="550">
        <f>ROUND($X$15+IF($E19&gt;1000,IF($E19&gt;9000,(1000*X$21/100)+(8000*X$22/100)+(($E19-9000)*X$23/100),(1000*X$21/100)+(($E19-1000)*X$22/100)),($E19*$X$21)/100)+IF(B$18&gt;W$18,$X$18*($B$18-W$18),0)+IF(B$18&gt;W$20,$X$20*($B$18-W$20),0),2)+AA29</f>
        <v>459.55</v>
      </c>
      <c r="H19" s="550"/>
      <c r="I19" s="550">
        <f>ROUND($Y$15+IF($E19&gt;1000,IF($E19&gt;9000,(1000*Y$21/100)+(8000*Y$22/100)+(($E19-9000)*Y$23/100),(1000*Y$21/100)+(($E19-1000)*Y$22/100)),($E19*$Y$21)/100)+IF(B$18&gt;W$18,$Y$18*($B$18-W$18),0)+IF(B$18&gt;W$20,$Y$20*($B$18-W$20),0),2)+AA29</f>
        <v>463.82</v>
      </c>
      <c r="J19" s="550"/>
      <c r="K19" s="550">
        <f ca="1">ROUND($AA$15+IF($E19&gt;1000,IF($E19&gt;9000,(1000*AA$21/100)+(8000*AA$22/100)+(($E19-9000)*AA$23/100),(1000*AA$21/100)+(($E19-1000)*AA$22/100)),($E19*$AA$21)/100)+IF(B$18&gt;Z$18,$AA$18*($B$18-Z$18),0)+IF(B$18&gt;Z$20,$AA$20*($B$18-Z$20),0),2)+AA30</f>
        <v>487.99</v>
      </c>
      <c r="L19" s="550"/>
      <c r="M19" s="550">
        <f ca="1">ROUND($AB$15+IF($E19&gt;1000,IF($E19&gt;9000,(1000*AB$21/100)+(8000*AB$22/100)+(($E19-9000)*AB$23/100),(1000*AB$21/100)+(($E19-1000)*AB$22/100)),($E19*$AB$21)/100)+IF(B$18&gt;Z$18,$AB$18*($B$18-Z$18),0)+IF(B$18&gt;Z$20,$AB$20*($B$18-Z$20),0),2)+AA30</f>
        <v>492.99</v>
      </c>
      <c r="N19" s="531"/>
      <c r="O19" s="550">
        <f ca="1">K19-G19</f>
        <v>28.439999999999998</v>
      </c>
      <c r="P19" s="550"/>
      <c r="Q19" s="550">
        <f ca="1">M19-I19</f>
        <v>29.170000000000016</v>
      </c>
      <c r="R19" s="534"/>
      <c r="S19" s="551">
        <f ca="1">ROUND(K19/G19-1,4)</f>
        <v>6.1899999999999997E-2</v>
      </c>
      <c r="T19" s="531"/>
      <c r="U19" s="551">
        <f ca="1">ROUND(M19/I19-1,4)</f>
        <v>6.2899999999999998E-2</v>
      </c>
      <c r="W19" s="546" t="s">
        <v>406</v>
      </c>
      <c r="X19" s="510"/>
      <c r="Y19" s="558"/>
      <c r="Z19" s="510" t="s">
        <v>406</v>
      </c>
      <c r="AA19" s="552"/>
      <c r="AB19" s="497"/>
    </row>
    <row r="20" spans="1:30" ht="15.75">
      <c r="A20" s="522"/>
      <c r="B20" s="531"/>
      <c r="C20" s="531"/>
      <c r="D20" s="531">
        <v>400</v>
      </c>
      <c r="E20" s="548">
        <f>ROUND((B$18*D20),0)</f>
        <v>10000</v>
      </c>
      <c r="F20" s="549"/>
      <c r="G20" s="550">
        <f>ROUND($X$15+IF($E20&gt;1000,IF($E20&gt;9000,(1000*X$21/100)+(8000*X$22/100)+(($E20-9000)*X$23/100),(1000*X$21/100)+(($E20-1000)*X$22/100)),($E20*$X$21)/100)+IF(B$18&gt;W$18,$X$18*($B$18-W$18),0)+IF(B$18&gt;W$20,$X$20*($B$18-W$20),0),2)+AA29</f>
        <v>821.59999999999991</v>
      </c>
      <c r="H20" s="550"/>
      <c r="I20" s="550">
        <f>ROUND($Y$15+IF($E20&gt;1000,IF($E20&gt;9000,(1000*Y$21/100)+(8000*Y$22/100)+(($E20-9000)*Y$23/100),(1000*Y$21/100)+(($E20-1000)*Y$22/100)),($E20*$Y$21)/100)+IF(B$18&gt;W$18,$Y$18*($B$18-W$18),0)+IF(B$18&gt;W$20,$Y$20*($B$18-W$20),0),2)+AA29</f>
        <v>825.86999999999989</v>
      </c>
      <c r="J20" s="550"/>
      <c r="K20" s="550">
        <f ca="1">ROUND($AA$15+IF($E20&gt;1000,IF($E20&gt;9000,(1000*AA$21/100)+(8000*AA$22/100)+(($E20-9000)*AA$23/100),(1000*AA$21/100)+(($E20-1000)*AA$22/100)),($E20*$AA$21)/100)+IF(B$18&gt;Z$18,$AA$18*($B$18-Z$18),0)+IF(B$18&gt;Z$20,$AA$20*($B$18-Z$20),0),2)+AA30</f>
        <v>872.95999999999992</v>
      </c>
      <c r="L20" s="550"/>
      <c r="M20" s="550">
        <f ca="1">ROUND($AB$15+IF($E20&gt;1000,IF($E20&gt;9000,(1000*AB$21/100)+(8000*AB$22/100)+(($E20-9000)*AB$23/100),(1000*AB$21/100)+(($E20-1000)*AB$22/100)),($E20*$AB$21)/100)+IF(B$18&gt;Z$18,$AB$18*($B$18-Z$18),0)+IF(B$18&gt;Z$20,$AB$20*($B$18-Z$20),0),2)+AA30</f>
        <v>877.95999999999992</v>
      </c>
      <c r="N20" s="531"/>
      <c r="O20" s="550">
        <f ca="1">K20-G20</f>
        <v>51.360000000000014</v>
      </c>
      <c r="P20" s="550"/>
      <c r="Q20" s="550">
        <f ca="1">M20-I20</f>
        <v>52.090000000000032</v>
      </c>
      <c r="R20" s="534"/>
      <c r="S20" s="551">
        <f ca="1">ROUND(K20/G20-1,4)</f>
        <v>6.25E-2</v>
      </c>
      <c r="T20" s="531"/>
      <c r="U20" s="551">
        <f ca="1">ROUND(M20/I20-1,4)</f>
        <v>6.3100000000000003E-2</v>
      </c>
      <c r="W20" s="556">
        <v>15</v>
      </c>
      <c r="X20" s="552">
        <f>'Exh No.__(JRS-17) p1-10'!G178</f>
        <v>3.61</v>
      </c>
      <c r="Y20" s="497">
        <f>X20</f>
        <v>3.61</v>
      </c>
      <c r="Z20" s="559">
        <v>15</v>
      </c>
      <c r="AA20" s="552">
        <f ca="1">'Exh No.__(JRS-17) p1-10'!J218</f>
        <v>3.77</v>
      </c>
      <c r="AB20" s="497">
        <f ca="1">AA20</f>
        <v>3.77</v>
      </c>
      <c r="AD20" s="504"/>
    </row>
    <row r="21" spans="1:30" ht="15.75">
      <c r="A21" s="522"/>
      <c r="B21" s="534"/>
      <c r="C21" s="534"/>
      <c r="D21" s="534"/>
      <c r="E21" s="534"/>
      <c r="F21" s="549"/>
      <c r="G21" s="560"/>
      <c r="H21" s="560"/>
      <c r="I21" s="560"/>
      <c r="J21" s="560"/>
      <c r="K21" s="560"/>
      <c r="L21" s="560"/>
      <c r="M21" s="560"/>
      <c r="N21" s="534"/>
      <c r="O21" s="550"/>
      <c r="P21" s="550"/>
      <c r="Q21" s="550"/>
      <c r="R21" s="534"/>
      <c r="S21" s="551"/>
      <c r="T21" s="534"/>
      <c r="U21" s="534"/>
      <c r="W21" s="546" t="s">
        <v>544</v>
      </c>
      <c r="X21" s="561">
        <f>'Exh No.__(JRS-17) p1-10'!G179+AA25</f>
        <v>10.641999999999999</v>
      </c>
      <c r="Y21" s="499">
        <f>X21</f>
        <v>10.641999999999999</v>
      </c>
      <c r="Z21" s="510" t="s">
        <v>544</v>
      </c>
      <c r="AA21" s="561">
        <f ca="1">'Exh No.__(JRS-17) p1-10'!J219+'Exh No.__(JRS-17) p1-10'!J223+AA26+AA32</f>
        <v>11.248999999999999</v>
      </c>
      <c r="AB21" s="562">
        <f ca="1">AA21</f>
        <v>11.248999999999999</v>
      </c>
      <c r="AD21" s="501"/>
    </row>
    <row r="22" spans="1:30" ht="15.75">
      <c r="A22" s="522"/>
      <c r="B22" s="531">
        <v>50</v>
      </c>
      <c r="C22" s="531"/>
      <c r="D22" s="531">
        <f>D18</f>
        <v>150</v>
      </c>
      <c r="E22" s="548">
        <f>ROUND((B$22*D22),0)</f>
        <v>7500</v>
      </c>
      <c r="F22" s="549"/>
      <c r="G22" s="550">
        <f>ROUND($X$15+IF($E22&gt;1000,IF($E22&gt;9000,(1000*X$21/100)+(8000*X$22/100)+(($E22-9000)*X$23/100),(1000*X$21/100)+(($E22-1000)*X$22/100)),($E22*$X$21)/100)+IF(B$22&gt;W$18,$X$18*($B$22-W$18),0)+IF(B$22&gt;W$20,$X$20*($B$22-W$20),0),2)+AA29</f>
        <v>758.78</v>
      </c>
      <c r="H22" s="550"/>
      <c r="I22" s="550">
        <f>ROUND($Y$15+IF($E22&gt;1000,IF($E22&gt;9000,(1000*Y$21/100)+(8000*Y$22/100)+(($E22-9000)*Y$23/100),(1000*Y$21/100)+(($E22-1000)*Y$22/100)),($E22*$Y$21)/100)+IF(B$22&gt;W$18,$Y$18*($B$22-W$18),0)+IF(B$22&gt;W$20,$Y$20*($B$22-W$20),0),2)+AA29</f>
        <v>763.05</v>
      </c>
      <c r="J22" s="550"/>
      <c r="K22" s="550">
        <f ca="1">ROUND($AA$15+IF($E22&gt;1000,IF($E22&gt;9000,(1000*AA$21/100)+(8000*AA$22/100)+(($E22-9000)*AA$23/100),(1000*AA$21/100)+(($E22-1000)*AA$22/100)),($E22*$AA$21)/100)+IF(B$22&gt;Z$18,$AA$18*($B$22-Z$18),0)+IF(B$22&gt;Z$20,$AA$20*($B$22-Z$20),0),2)+AA30</f>
        <v>804.89</v>
      </c>
      <c r="L22" s="550"/>
      <c r="M22" s="550">
        <f ca="1">ROUND($AB$15+IF($E22&gt;1000,IF($E22&gt;9000,(1000*AB$21/100)+(8000*AB$22/100)+(($E22-9000)*AB$23/100),(1000*AB$21/100)+(($E22-1000)*AB$22/100)),($E22*$AB$21)/100)+IF(B$22&gt;Z$18,$AB$18*($B$22-Z$18),0)+IF(B$22&gt;Z$20,$AB$20*($B$22-Z$20),0),2)+AA30</f>
        <v>809.89</v>
      </c>
      <c r="N22" s="531"/>
      <c r="O22" s="550">
        <f ca="1">K22-G22</f>
        <v>46.110000000000014</v>
      </c>
      <c r="P22" s="550"/>
      <c r="Q22" s="550">
        <f ca="1">M22-I22</f>
        <v>46.840000000000032</v>
      </c>
      <c r="R22" s="534"/>
      <c r="S22" s="551">
        <f ca="1">ROUND(K22/G22-1,4)</f>
        <v>6.08E-2</v>
      </c>
      <c r="T22" s="531"/>
      <c r="U22" s="551">
        <f ca="1">ROUND(M22/I22-1,4)</f>
        <v>6.1400000000000003E-2</v>
      </c>
      <c r="W22" s="546" t="s">
        <v>545</v>
      </c>
      <c r="X22" s="561">
        <f>'Exh No.__(JRS-17) p1-10'!G180+AA25</f>
        <v>7.4390000000000001</v>
      </c>
      <c r="Y22" s="499">
        <f>X22</f>
        <v>7.4390000000000001</v>
      </c>
      <c r="Z22" s="546" t="s">
        <v>545</v>
      </c>
      <c r="AA22" s="561">
        <f ca="1">'Exh No.__(JRS-17) p1-10'!J220+'Exh No.__(JRS-17) p1-10'!J224+AA26+AA32</f>
        <v>7.9060000000000006</v>
      </c>
      <c r="AB22" s="562">
        <f ca="1">AA22</f>
        <v>7.9060000000000006</v>
      </c>
      <c r="AD22" s="501"/>
    </row>
    <row r="23" spans="1:30" ht="15.75">
      <c r="B23" s="531"/>
      <c r="C23" s="531"/>
      <c r="D23" s="531">
        <f>D19</f>
        <v>200</v>
      </c>
      <c r="E23" s="548">
        <f>ROUND((B$22*D23),0)</f>
        <v>10000</v>
      </c>
      <c r="F23" s="549"/>
      <c r="G23" s="550">
        <f>ROUND($X$15+IF($E23&gt;1000,IF($E23&gt;9000,(1000*X$21/100)+(8000*X$22/100)+(($E23-9000)*X$23/100),(1000*X$21/100)+(($E23-1000)*X$22/100)),($E23*$X$21)/100)+IF(B$22&gt;W$18,$X$18*($B$22-W$18),0)+IF(B$22&gt;W$20,$X$20*($B$22-W$20),0),2)+AA29</f>
        <v>934.84999999999991</v>
      </c>
      <c r="H23" s="550"/>
      <c r="I23" s="550">
        <f>ROUND($Y$15+IF($E23&gt;1000,IF($E23&gt;9000,(1000*Y$21/100)+(8000*Y$22/100)+(($E23-9000)*Y$23/100),(1000*Y$21/100)+(($E23-1000)*Y$22/100)),($E23*$Y$21)/100)+IF(B$22&gt;W$18,$Y$18*($B$22-W$18),0)+IF(B$22&gt;W$20,$Y$20*($B$22-W$20),0),2)+AA29</f>
        <v>939.11999999999989</v>
      </c>
      <c r="J23" s="550"/>
      <c r="K23" s="550">
        <f ca="1">ROUND($AA$15+IF($E23&gt;1000,IF($E23&gt;9000,(1000*AA$21/100)+(8000*AA$22/100)+(($E23-9000)*AA$23/100),(1000*AA$21/100)+(($E23-1000)*AA$22/100)),($E23*$AA$21)/100)+IF(B$22&gt;Z$18,$AA$18*($B$22-Z$18),0)+IF(B$22&gt;Z$20,$AA$20*($B$22-Z$20),0),2)+AA30</f>
        <v>992.20999999999992</v>
      </c>
      <c r="L23" s="550"/>
      <c r="M23" s="550">
        <f ca="1">ROUND($AB$15+IF($E23&gt;1000,IF($E23&gt;9000,(1000*AB$21/100)+(8000*AB$22/100)+(($E23-9000)*AB$23/100),(1000*AB$21/100)+(($E23-1000)*AB$22/100)),($E23*$AB$21)/100)+IF(B$22&gt;Z$18,$AB$18*($B$22-Z$18),0)+IF(B$22&gt;Z$20,$AB$20*($B$22-Z$20),0),2)+AA30</f>
        <v>997.20999999999992</v>
      </c>
      <c r="N23" s="531"/>
      <c r="O23" s="550">
        <f ca="1">K23-G23</f>
        <v>57.360000000000014</v>
      </c>
      <c r="P23" s="550"/>
      <c r="Q23" s="550">
        <f ca="1">M23-I23</f>
        <v>58.090000000000032</v>
      </c>
      <c r="R23" s="534"/>
      <c r="S23" s="551">
        <f ca="1">ROUND(K23/G23-1,4)</f>
        <v>6.1400000000000003E-2</v>
      </c>
      <c r="T23" s="531"/>
      <c r="U23" s="551">
        <f ca="1">ROUND(M23/I23-1,4)</f>
        <v>6.1899999999999997E-2</v>
      </c>
      <c r="W23" s="546" t="s">
        <v>546</v>
      </c>
      <c r="X23" s="561">
        <f>'Exh No.__(JRS-17) p1-10'!G181+AA25</f>
        <v>6.4490000000000007</v>
      </c>
      <c r="Y23" s="499">
        <f>X23</f>
        <v>6.4490000000000007</v>
      </c>
      <c r="Z23" s="546" t="s">
        <v>546</v>
      </c>
      <c r="AA23" s="561">
        <f ca="1">'Exh No.__(JRS-17) p1-10'!J221+'Exh No.__(JRS-17) p1-10'!J225+AA26+AA32</f>
        <v>6.8730000000000011</v>
      </c>
      <c r="AB23" s="562">
        <f ca="1">AA23</f>
        <v>6.8730000000000011</v>
      </c>
      <c r="AC23" s="554"/>
      <c r="AD23" s="504"/>
    </row>
    <row r="24" spans="1:30" ht="16.5" thickBot="1">
      <c r="A24" s="522"/>
      <c r="B24" s="531"/>
      <c r="C24" s="531"/>
      <c r="D24" s="531">
        <f>D20</f>
        <v>400</v>
      </c>
      <c r="E24" s="548">
        <f>ROUND((B$22*D24),0)</f>
        <v>20000</v>
      </c>
      <c r="F24" s="549"/>
      <c r="G24" s="550">
        <f>ROUND($X$15+IF($E24&gt;1000,IF($E24&gt;9000,(1000*X$21/100)+(8000*X$22/100)+(($E24-9000)*X$23/100),(1000*X$21/100)+(($E24-1000)*X$22/100)),($E24*$X$21)/100)+IF(B$22&gt;W$18,$X$18*($B$22-W$18),0)+IF(B$22&gt;W$20,$X$20*($B$22-W$20),0),2)+AA29</f>
        <v>1579.75</v>
      </c>
      <c r="H24" s="550"/>
      <c r="I24" s="550">
        <f>ROUND($Y$15+IF($E24&gt;1000,IF($E24&gt;9000,(1000*Y$21/100)+(8000*Y$22/100)+(($E24-9000)*Y$23/100),(1000*Y$21/100)+(($E24-1000)*Y$22/100)),($E24*$Y$21)/100)+IF(B$22&gt;W$18,$Y$18*($B$22-W$18),0)+IF(B$22&gt;W$20,$Y$20*($B$22-W$20),0),2)+AA29</f>
        <v>1584.02</v>
      </c>
      <c r="J24" s="550"/>
      <c r="K24" s="550">
        <f ca="1">ROUND($AA$15+IF($E24&gt;1000,IF($E24&gt;9000,(1000*AA$21/100)+(8000*AA$22/100)+(($E24-9000)*AA$23/100),(1000*AA$21/100)+(($E24-1000)*AA$22/100)),($E24*$AA$21)/100)+IF(B$22&gt;Z$18,$AA$18*($B$22-Z$18),0)+IF(B$22&gt;Z$20,$AA$20*($B$22-Z$20),0),2)+AA30</f>
        <v>1679.51</v>
      </c>
      <c r="L24" s="550"/>
      <c r="M24" s="550">
        <f ca="1">ROUND($AB$15+IF($E24&gt;1000,IF($E24&gt;9000,(1000*AB$21/100)+(8000*AB$22/100)+(($E24-9000)*AB$23/100),(1000*AB$21/100)+(($E24-1000)*AB$22/100)),($E24*$AB$21)/100)+IF(B$22&gt;Z$18,$AB$18*($B$22-Z$18),0)+IF(B$22&gt;Z$20,$AB$20*($B$22-Z$20),0),2)+AA30</f>
        <v>1684.51</v>
      </c>
      <c r="N24" s="531"/>
      <c r="O24" s="550">
        <f ca="1">K24-G24</f>
        <v>99.759999999999991</v>
      </c>
      <c r="P24" s="550"/>
      <c r="Q24" s="550">
        <f ca="1">M24-I24</f>
        <v>100.49000000000001</v>
      </c>
      <c r="R24" s="534"/>
      <c r="S24" s="551">
        <f ca="1">ROUND(K24/G24-1,4)</f>
        <v>6.3100000000000003E-2</v>
      </c>
      <c r="T24" s="531"/>
      <c r="U24" s="551">
        <f ca="1">ROUND(M24/I24-1,4)</f>
        <v>6.3399999999999998E-2</v>
      </c>
      <c r="W24" s="506" t="s">
        <v>31</v>
      </c>
      <c r="X24" s="563" t="s">
        <v>31</v>
      </c>
      <c r="Y24" s="564" t="s">
        <v>31</v>
      </c>
      <c r="Z24" s="506" t="s">
        <v>31</v>
      </c>
      <c r="AA24" s="563" t="s">
        <v>31</v>
      </c>
      <c r="AB24" s="564" t="s">
        <v>31</v>
      </c>
    </row>
    <row r="25" spans="1:30" ht="15.75">
      <c r="A25" s="522"/>
      <c r="B25" s="534"/>
      <c r="C25" s="534"/>
      <c r="D25" s="534"/>
      <c r="E25" s="534"/>
      <c r="F25" s="549"/>
      <c r="G25" s="560"/>
      <c r="H25" s="560"/>
      <c r="I25" s="560"/>
      <c r="J25" s="560"/>
      <c r="K25" s="560"/>
      <c r="L25" s="560"/>
      <c r="M25" s="560"/>
      <c r="N25" s="534"/>
      <c r="O25" s="550"/>
      <c r="P25" s="550"/>
      <c r="Q25" s="550"/>
      <c r="R25" s="534"/>
      <c r="S25" s="551"/>
      <c r="T25" s="534"/>
      <c r="U25" s="534"/>
      <c r="Y25" s="508" t="s">
        <v>200</v>
      </c>
      <c r="Z25" s="508"/>
      <c r="AA25" s="509">
        <v>0.28299999999999997</v>
      </c>
      <c r="AB25" s="565" t="s">
        <v>31</v>
      </c>
    </row>
    <row r="26" spans="1:30" ht="15.75">
      <c r="A26" s="522"/>
      <c r="B26" s="531">
        <v>75</v>
      </c>
      <c r="C26" s="531"/>
      <c r="D26" s="531">
        <v>333.33300000000003</v>
      </c>
      <c r="E26" s="548">
        <f>ROUND((B$26*D26),0)</f>
        <v>25000</v>
      </c>
      <c r="F26" s="566"/>
      <c r="G26" s="550">
        <f>ROUND($X$15+IF($E26&gt;1000,IF($E26&gt;9000,(1000*X$21/100)+(8000*X$22/100)+(($E26-9000)*X$23/100),(1000*X$21/100)+(($E26-1000)*X$22/100)),($E26*$X$21)/100)+IF(B$26&gt;W$18,$X$18*($B$26-W$18),0)+IF(B$26&gt;W$20,$X$20*($B$26-W$20),0),2)+AA29</f>
        <v>2015.45</v>
      </c>
      <c r="H26" s="550"/>
      <c r="I26" s="550">
        <f>ROUND($Y$15+IF($E26&gt;1000,IF($E26&gt;9000,(1000*Y$21/100)+(8000*Y$22/100)+(($E26-9000)*Y$23/100),(1000*Y$21/100)+(($E26-1000)*Y$22/100)),($E26*$Y$21)/100)+IF(B$26&gt;W$18,$Y$18*($B$26-W$18),0)+IF(B$26&gt;W$20,$Y$20*($B$26-W$20),0),2)+AA29</f>
        <v>2019.72</v>
      </c>
      <c r="J26" s="567"/>
      <c r="K26" s="550">
        <f ca="1">ROUND($AA$15+IF($E26&gt;1000,IF($E26&gt;9000,(1000*AA$21/100)+(8000*AA$22/100)+(($E26-9000)*AA$23/100),(1000*AA$21/100)+(($E26-1000)*AA$22/100)),($E26*$AA$21)/100)+IF(B$26&gt;Z$18,$AA$18*($B$26-Z$18),0)+IF(B$26&gt;Z$20,$AA$20*($B$26-Z$20),0),2)+AA30</f>
        <v>2142.41</v>
      </c>
      <c r="L26" s="550"/>
      <c r="M26" s="550">
        <f ca="1">ROUND($AB$15+IF($E26&gt;1000,IF($E26&gt;9000,(1000*AB$21/100)+(8000*AB$22/100)+(($E26-9000)*AB$23/100),(1000*AB$21/100)+(($E26-1000)*AB$22/100)),($E26*$AB$21)/100)+IF(B$26&gt;Z$18,$AB$18*($B$26-Z$18),0)+IF(B$26&gt;Z$20,$AB$20*($B$26-Z$20),0),2)+AA30</f>
        <v>2147.41</v>
      </c>
      <c r="N26" s="531"/>
      <c r="O26" s="550">
        <f ca="1">K26-G26</f>
        <v>126.95999999999981</v>
      </c>
      <c r="P26" s="550"/>
      <c r="Q26" s="550">
        <f ca="1">M26-I26</f>
        <v>127.68999999999983</v>
      </c>
      <c r="R26" s="534"/>
      <c r="S26" s="551">
        <f ca="1">ROUND(K26/G26-1,4)</f>
        <v>6.3E-2</v>
      </c>
      <c r="T26" s="531"/>
      <c r="U26" s="551">
        <f ca="1">ROUND(M26/I26-1,4)</f>
        <v>6.3200000000000006E-2</v>
      </c>
      <c r="Y26" s="508"/>
      <c r="Z26" s="508"/>
      <c r="AA26" s="509">
        <v>0.28299999999999997</v>
      </c>
      <c r="AB26" s="565" t="s">
        <v>31</v>
      </c>
    </row>
    <row r="27" spans="1:30" ht="15.75">
      <c r="B27" s="531"/>
      <c r="C27" s="531"/>
      <c r="D27" s="531">
        <v>500</v>
      </c>
      <c r="E27" s="548">
        <f>ROUND((B$26*D27),0)</f>
        <v>37500</v>
      </c>
      <c r="F27" s="566"/>
      <c r="G27" s="550">
        <f>ROUND($X$15+IF($E27&gt;1000,IF($E27&gt;9000,(1000*X$21/100)+(8000*X$22/100)+(($E27-9000)*X$23/100),(1000*X$21/100)+(($E27-1000)*X$22/100)),($E27*$X$21)/100)+IF(B$26&gt;W$18,$X$18*($B$26-W$18),0)+IF(B$26&gt;W$20,$X$20*($B$26-W$20),0),2)+AA29</f>
        <v>2821.58</v>
      </c>
      <c r="H27" s="550"/>
      <c r="I27" s="550">
        <f>ROUND($Y$15+IF($E27&gt;1000,IF($E27&gt;9000,(1000*Y$21/100)+(8000*Y$22/100)+(($E27-9000)*Y$23/100),(1000*Y$21/100)+(($E27-1000)*Y$22/100)),($E27*$Y$21)/100)+IF(B$26&gt;W$18,$Y$18*($B$26-W$18),0)+IF(B$26&gt;W$20,$Y$20*($B$26-W$20),0),2)+AA29</f>
        <v>2825.85</v>
      </c>
      <c r="J27" s="567"/>
      <c r="K27" s="550">
        <f ca="1">ROUND($AA$15+IF($E27&gt;1000,IF($E27&gt;9000,(1000*AA$21/100)+(8000*AA$22/100)+(($E27-9000)*AA$23/100),(1000*AA$21/100)+(($E27-1000)*AA$22/100)),($E27*$AA$21)/100)+IF(B$26&gt;Z$18,$AA$18*($B$26-Z$18),0)+IF(B$26&gt;Z$20,$AA$20*($B$26-Z$20),0),2)+AA30</f>
        <v>3001.54</v>
      </c>
      <c r="L27" s="550"/>
      <c r="M27" s="550">
        <f ca="1">ROUND($AB$15+IF($E27&gt;1000,IF($E27&gt;9000,(1000*AB$21/100)+(8000*AB$22/100)+(($E27-9000)*AB$23/100),(1000*AB$21/100)+(($E27-1000)*AB$22/100)),($E27*$AB$21)/100)+IF(B$26&gt;Z$18,$AB$18*($B$26-Z$18),0)+IF(B$26&gt;Z$20,$AB$20*($B$26-Z$20),0),2)+AA30</f>
        <v>3006.54</v>
      </c>
      <c r="N27" s="531"/>
      <c r="O27" s="550">
        <f ca="1">K27-G27</f>
        <v>179.96000000000004</v>
      </c>
      <c r="P27" s="550"/>
      <c r="Q27" s="550">
        <f ca="1">M27-I27</f>
        <v>180.69000000000005</v>
      </c>
      <c r="R27" s="534"/>
      <c r="S27" s="551">
        <f ca="1">ROUND(K27/G27-1,4)</f>
        <v>6.3799999999999996E-2</v>
      </c>
      <c r="T27" s="531"/>
      <c r="U27" s="551">
        <f ca="1">ROUND(M27/I27-1,4)</f>
        <v>6.3899999999999998E-2</v>
      </c>
      <c r="Y27" s="508"/>
      <c r="Z27" s="508"/>
      <c r="AA27" s="512"/>
    </row>
    <row r="28" spans="1:30" ht="15.75">
      <c r="A28" s="522"/>
      <c r="B28" s="531"/>
      <c r="C28" s="531"/>
      <c r="D28" s="531">
        <v>666.66600000000005</v>
      </c>
      <c r="E28" s="548">
        <f>ROUND((B$26*D28),0)</f>
        <v>50000</v>
      </c>
      <c r="F28" s="566"/>
      <c r="G28" s="550">
        <f>ROUND($X$15+IF($E28&gt;1000,IF($E28&gt;9000,(1000*X$21/100)+(8000*X$22/100)+(($E28-9000)*X$23/100),(1000*X$21/100)+(($E28-1000)*X$22/100)),($E28*$X$21)/100)+IF(B$26&gt;W$18,$X$18*($B$26-W$18),0)+IF(B$26&gt;W$20,$X$20*($B$26-W$20),0),2)+AA29</f>
        <v>3627.7</v>
      </c>
      <c r="H28" s="550"/>
      <c r="I28" s="550">
        <f>ROUND($Y$15+IF($E28&gt;1000,IF($E28&gt;9000,(1000*Y$21/100)+(8000*Y$22/100)+(($E28-9000)*Y$23/100),(1000*Y$21/100)+(($E28-1000)*Y$22/100)),($E28*$Y$21)/100)+IF(B$26&gt;W$18,$Y$18*($B$26-W$18),0)+IF(B$26&gt;W$20,$Y$20*($B$26-W$20),0),2)+AA29</f>
        <v>3631.97</v>
      </c>
      <c r="J28" s="567"/>
      <c r="K28" s="550">
        <f ca="1">ROUND($AA$15+IF($E28&gt;1000,IF($E28&gt;9000,(1000*AA$21/100)+(8000*AA$22/100)+(($E28-9000)*AA$23/100),(1000*AA$21/100)+(($E28-1000)*AA$22/100)),($E28*$AA$21)/100)+IF(B$26&gt;Z$18,$AA$18*($B$26-Z$18),0)+IF(B$26&gt;Z$20,$AA$20*($B$26-Z$20),0),2)+AA30</f>
        <v>3860.66</v>
      </c>
      <c r="L28" s="550"/>
      <c r="M28" s="550">
        <f ca="1">ROUND($AB$15+IF($E28&gt;1000,IF($E28&gt;9000,(1000*AB$21/100)+(8000*AB$22/100)+(($E28-9000)*AB$23/100),(1000*AB$21/100)+(($E28-1000)*AB$22/100)),($E28*$AB$21)/100)+IF(B$26&gt;Z$18,$AB$18*($B$26-Z$18),0)+IF(B$26&gt;Z$20,$AB$20*($B$26-Z$20),0),2)+AA30</f>
        <v>3865.66</v>
      </c>
      <c r="N28" s="531"/>
      <c r="O28" s="550">
        <f ca="1">K28-G28</f>
        <v>232.96000000000004</v>
      </c>
      <c r="P28" s="550"/>
      <c r="Q28" s="550">
        <f ca="1">M28-I28</f>
        <v>233.69000000000005</v>
      </c>
      <c r="R28" s="534"/>
      <c r="S28" s="551">
        <f ca="1">ROUND(K28/G28-1,4)</f>
        <v>6.4199999999999993E-2</v>
      </c>
      <c r="T28" s="531"/>
      <c r="U28" s="551">
        <f ca="1">ROUND(M28/I28-1,4)</f>
        <v>6.4299999999999996E-2</v>
      </c>
      <c r="Y28" s="480" t="s">
        <v>31</v>
      </c>
      <c r="AA28" s="480" t="s">
        <v>31</v>
      </c>
    </row>
    <row r="29" spans="1:30" ht="15.75">
      <c r="A29" s="522"/>
      <c r="B29" s="568"/>
      <c r="C29" s="568"/>
      <c r="D29" s="568"/>
      <c r="E29" s="568"/>
      <c r="F29" s="569"/>
      <c r="G29" s="568"/>
      <c r="H29" s="568"/>
      <c r="I29" s="568"/>
      <c r="J29" s="568"/>
      <c r="K29" s="568"/>
      <c r="L29" s="568"/>
      <c r="M29" s="568"/>
      <c r="N29" s="568"/>
      <c r="O29" s="568"/>
      <c r="P29" s="568"/>
      <c r="Q29" s="568"/>
      <c r="R29" s="568"/>
      <c r="S29" s="568"/>
      <c r="T29" s="568"/>
      <c r="U29" s="568"/>
      <c r="Y29" s="480" t="s">
        <v>666</v>
      </c>
      <c r="AA29" s="504">
        <f>'Exh No.__(JRS-17) p12'!D16</f>
        <v>1.56</v>
      </c>
      <c r="AB29" s="480" t="s">
        <v>31</v>
      </c>
    </row>
    <row r="30" spans="1:30" ht="15.75">
      <c r="A30" s="522"/>
      <c r="B30" s="531">
        <v>100</v>
      </c>
      <c r="C30" s="531"/>
      <c r="D30" s="531">
        <v>333.33300000000003</v>
      </c>
      <c r="E30" s="548">
        <f>ROUND((B$26*D30),0)</f>
        <v>25000</v>
      </c>
      <c r="F30" s="566"/>
      <c r="G30" s="550">
        <f>ROUND($X$15+IF($E30&gt;1000,IF($E30&gt;9000,(1000*X$21/100)+(8000*X$22/100)+(($E30-9000)*X$23/100),(1000*X$21/100)+(($E30-1000)*X$22/100)),($E30*$X$21)/100)+IF(B$30&gt;W$18,$X$18*($B$30-W$18),0)+IF(B$30&gt;W$20,$X$20*($B$30-W$20),0),2)+AA29</f>
        <v>2128.6999999999998</v>
      </c>
      <c r="H30" s="550"/>
      <c r="I30" s="550">
        <f>ROUND($Y$15+IF($E30&gt;1000,IF($E30&gt;9000,(1000*Y$21/100)+(8000*Y$22/100)+(($E30-9000)*Y$23/100),(1000*Y$21/100)+(($E30-1000)*Y$22/100)),($E30*$Y$21)/100)+IF(B$30&gt;W$18,$Y$18*($B$30-W$18),0)+IF(B$30&gt;W$20,$Y$20*($B$30-W$20),0),2)+AA29</f>
        <v>2132.9699999999998</v>
      </c>
      <c r="J30" s="567"/>
      <c r="K30" s="550">
        <f ca="1">ROUND($AA$15+IF($E30&gt;1000,IF($E30&gt;9000,(1000*AA$21/100)+(8000*AA$22/100)+(($E30-9000)*AA$23/100),(1000*AA$21/100)+(($E30-1000)*AA$22/100)),($E30*$AA$21)/100)+IF(B$30&gt;Z$18,$AA$18*($B$30-Z$18),0)+IF(B$30&gt;Z$20,$AA$20*($B$30-Z$20),0),2)+AA30</f>
        <v>2261.66</v>
      </c>
      <c r="L30" s="550"/>
      <c r="M30" s="550">
        <f ca="1">ROUND($AB$15+IF($E30&gt;1000,IF($E30&gt;9000,(1000*AB$21/100)+(8000*AB$22/100)+(($E30-9000)*AB$23/100),(1000*AB$21/100)+(($E30-1000)*AB$22/100)),($E30*$AB$21)/100)+IF(B$30&gt;Z$18,$AB$18*($B$30-Z$18),0)+IF(B$30&gt;Z$20,$AB$20*($B$30-Z$20),0),2)+AA30</f>
        <v>2266.66</v>
      </c>
      <c r="N30" s="531"/>
      <c r="O30" s="550">
        <f ca="1">K30-G30</f>
        <v>132.96000000000004</v>
      </c>
      <c r="P30" s="550"/>
      <c r="Q30" s="550">
        <f ca="1">M30-I30</f>
        <v>133.69000000000005</v>
      </c>
      <c r="R30" s="534"/>
      <c r="S30" s="551">
        <f ca="1">ROUND(K30/G30-1,4)</f>
        <v>6.25E-2</v>
      </c>
      <c r="T30" s="531"/>
      <c r="U30" s="551">
        <f ca="1">ROUND(M30/I30-1,4)</f>
        <v>6.2700000000000006E-2</v>
      </c>
      <c r="Y30" s="480" t="s">
        <v>668</v>
      </c>
      <c r="Z30" s="501"/>
      <c r="AA30" s="504">
        <f>AA29</f>
        <v>1.56</v>
      </c>
    </row>
    <row r="31" spans="1:30" ht="15.75">
      <c r="B31" s="531"/>
      <c r="C31" s="531"/>
      <c r="D31" s="531">
        <v>500</v>
      </c>
      <c r="E31" s="548">
        <f>ROUND((B$26*D31),0)</f>
        <v>37500</v>
      </c>
      <c r="F31" s="566"/>
      <c r="G31" s="550">
        <f>ROUND($X$15+IF($E31&gt;1000,IF($E31&gt;9000,(1000*X$21/100)+(8000*X$22/100)+(($E31-9000)*X$23/100),(1000*X$21/100)+(($E31-1000)*X$22/100)),($E31*$X$21)/100)+IF(B$30&gt;W$18,$X$18*($B$30-W$18),0)+IF(B$30&gt;W$20,$X$20*($B$30-W$20),0),2)+AA29</f>
        <v>2934.83</v>
      </c>
      <c r="H31" s="550"/>
      <c r="I31" s="550">
        <f>ROUND($Y$15+IF($E31&gt;1000,IF($E31&gt;9000,(1000*Y$21/100)+(8000*Y$22/100)+(($E31-9000)*Y$23/100),(1000*Y$21/100)+(($E31-1000)*Y$22/100)),($E31*$Y$21)/100)+IF(B$30&gt;W$18,$Y$18*($B$30-W$18),0)+IF(B$30&gt;W$20,$Y$20*($B$30-W$20),0),2)+AA29</f>
        <v>2939.1</v>
      </c>
      <c r="J31" s="567"/>
      <c r="K31" s="550">
        <f ca="1">ROUND($AA$15+IF($E31&gt;1000,IF($E31&gt;9000,(1000*AA$21/100)+(8000*AA$22/100)+(($E31-9000)*AA$23/100),(1000*AA$21/100)+(($E31-1000)*AA$22/100)),($E31*$AA$21)/100)+IF(B$30&gt;Z$18,$AA$18*($B$30-Z$18),0)+IF(B$30&gt;Z$20,$AA$20*($B$30-Z$20),0),2)+AA30</f>
        <v>3120.79</v>
      </c>
      <c r="L31" s="550"/>
      <c r="M31" s="550">
        <f ca="1">ROUND($AB$15+IF($E31&gt;1000,IF($E31&gt;9000,(1000*AB$21/100)+(8000*AB$22/100)+(($E31-9000)*AB$23/100),(1000*AB$21/100)+(($E31-1000)*AB$22/100)),($E31*$AB$21)/100)+IF(B$30&gt;Z$18,$AB$18*($B$30-Z$18),0)+IF(B$30&gt;Z$20,$AB$20*($B$30-Z$20),0),2)+AA30</f>
        <v>3125.79</v>
      </c>
      <c r="N31" s="531"/>
      <c r="O31" s="550">
        <f ca="1">K31-G31</f>
        <v>185.96000000000004</v>
      </c>
      <c r="P31" s="550"/>
      <c r="Q31" s="550">
        <f ca="1">M31-I31</f>
        <v>186.69000000000005</v>
      </c>
      <c r="R31" s="534"/>
      <c r="S31" s="551">
        <f ca="1">ROUND(K31/G31-1,4)</f>
        <v>6.3399999999999998E-2</v>
      </c>
      <c r="T31" s="531"/>
      <c r="U31" s="551">
        <f ca="1">ROUND(M31/I31-1,4)</f>
        <v>6.3500000000000001E-2</v>
      </c>
      <c r="Y31" s="504"/>
      <c r="Z31" s="504"/>
    </row>
    <row r="32" spans="1:30" ht="15.75">
      <c r="A32" s="522"/>
      <c r="B32" s="531"/>
      <c r="C32" s="531"/>
      <c r="D32" s="531">
        <v>666.66600000000005</v>
      </c>
      <c r="E32" s="548">
        <f>ROUND((B$26*D32),0)</f>
        <v>50000</v>
      </c>
      <c r="F32" s="566"/>
      <c r="G32" s="550">
        <f>ROUND($X$15+IF($E32&gt;1000,IF($E32&gt;9000,(1000*X$21/100)+(8000*X$22/100)+(($E32-9000)*X$23/100),(1000*X$21/100)+(($E32-1000)*X$22/100)),($E32*$X$21)/100)+IF(B$30&gt;W$18,$X$18*($B$30-W$18),0)+IF(B$30&gt;W$20,$X$20*($B$30-W$20),0),2)+AA29</f>
        <v>3740.95</v>
      </c>
      <c r="H32" s="550"/>
      <c r="I32" s="550">
        <f>ROUND($Y$15+IF($E32&gt;1000,IF($E32&gt;9000,(1000*Y$21/100)+(8000*Y$22/100)+(($E32-9000)*Y$23/100),(1000*Y$21/100)+(($E32-1000)*Y$22/100)),($E32*$Y$21)/100)+IF(B$30&gt;W$18,$Y$18*($B$30-W$18),0)+IF(B$30&gt;W$20,$Y$20*($B$30-W$20),0),2)+AA29</f>
        <v>3745.22</v>
      </c>
      <c r="J32" s="567"/>
      <c r="K32" s="550">
        <f ca="1">ROUND($AA$15+IF($E32&gt;1000,IF($E32&gt;9000,(1000*AA$21/100)+(8000*AA$22/100)+(($E32-9000)*AA$23/100),(1000*AA$21/100)+(($E32-1000)*AA$22/100)),($E32*$AA$21)/100)+IF(B$30&gt;Z$18,$AA$18*($B$30-Z$18),0)+IF(B$30&gt;Z$20,$AA$20*($B$30-Z$20),0),2)+AA30</f>
        <v>3979.91</v>
      </c>
      <c r="L32" s="550"/>
      <c r="M32" s="550">
        <f ca="1">ROUND($AB$15+IF($E32&gt;1000,IF($E32&gt;9000,(1000*AB$21/100)+(8000*AB$22/100)+(($E32-9000)*AB$23/100),(1000*AB$21/100)+(($E32-1000)*AB$22/100)),($E32*$AB$21)/100)+IF(B$30&gt;Z$18,$AB$18*($B$30-Z$18),0)+IF(B$30&gt;Z$20,$AB$20*($B$30-Z$20),0),2)+AA30</f>
        <v>3984.91</v>
      </c>
      <c r="N32" s="531"/>
      <c r="O32" s="550">
        <f ca="1">K32-G32</f>
        <v>238.96000000000004</v>
      </c>
      <c r="P32" s="550"/>
      <c r="Q32" s="550">
        <f ca="1">M32-I32</f>
        <v>239.69000000000005</v>
      </c>
      <c r="R32" s="534"/>
      <c r="S32" s="551">
        <f ca="1">ROUND(K32/G32-1,4)</f>
        <v>6.3899999999999998E-2</v>
      </c>
      <c r="T32" s="531"/>
      <c r="U32" s="551">
        <f ca="1">ROUND(M32/I32-1,4)</f>
        <v>6.4000000000000001E-2</v>
      </c>
      <c r="Y32" s="779" t="s">
        <v>313</v>
      </c>
      <c r="AA32" s="565">
        <f ca="1">'Exh No.__(JRS-16) Table B p2'!AB22</f>
        <v>0.155</v>
      </c>
    </row>
    <row r="33" spans="1:25" ht="15.75">
      <c r="A33" s="522"/>
      <c r="B33" s="534"/>
      <c r="C33" s="534"/>
      <c r="D33" s="534"/>
      <c r="E33" s="534"/>
      <c r="F33" s="549"/>
      <c r="G33" s="534"/>
      <c r="H33" s="534"/>
      <c r="I33" s="534"/>
      <c r="J33" s="534"/>
      <c r="K33" s="534"/>
      <c r="L33" s="534"/>
      <c r="M33" s="534"/>
      <c r="N33" s="534"/>
      <c r="O33" s="534"/>
      <c r="P33" s="534"/>
      <c r="Q33" s="534"/>
      <c r="R33" s="534"/>
      <c r="S33" s="534"/>
      <c r="T33" s="534"/>
      <c r="U33" s="534"/>
      <c r="Y33" s="779"/>
    </row>
    <row r="34" spans="1:25" ht="15.75">
      <c r="A34" s="522"/>
      <c r="B34" s="534" t="s">
        <v>529</v>
      </c>
      <c r="C34" s="534"/>
      <c r="D34" s="534"/>
      <c r="E34" s="534"/>
      <c r="F34" s="549"/>
      <c r="G34" s="534"/>
      <c r="H34" s="534"/>
      <c r="I34" s="534"/>
      <c r="J34" s="534"/>
      <c r="K34" s="534"/>
      <c r="L34" s="534"/>
      <c r="M34" s="534"/>
      <c r="N34" s="534"/>
      <c r="O34" s="534"/>
      <c r="P34" s="534"/>
      <c r="Q34" s="534"/>
      <c r="R34" s="534"/>
      <c r="S34" s="534"/>
      <c r="T34" s="534"/>
      <c r="U34" s="534"/>
      <c r="W34" s="741" t="s">
        <v>677</v>
      </c>
      <c r="X34" s="609">
        <f ca="1">'Exh No.__(JRS-16) Table C p3'!V22</f>
        <v>6.7111277218138629E-2</v>
      </c>
    </row>
    <row r="35" spans="1:25" ht="15.75">
      <c r="B35" s="570" t="s">
        <v>1058</v>
      </c>
      <c r="C35" s="534"/>
      <c r="D35" s="534"/>
      <c r="E35" s="534"/>
      <c r="F35" s="534"/>
      <c r="G35" s="534"/>
      <c r="H35" s="534"/>
      <c r="I35" s="534"/>
      <c r="J35" s="534"/>
      <c r="K35" s="534"/>
      <c r="L35" s="534"/>
      <c r="M35" s="534"/>
      <c r="N35" s="534"/>
      <c r="O35" s="534"/>
      <c r="P35" s="534"/>
      <c r="Q35" s="534"/>
      <c r="R35" s="534"/>
      <c r="S35" s="534"/>
      <c r="T35" s="534"/>
      <c r="U35" s="534"/>
      <c r="X35" s="1655">
        <f ca="1">'Exh No.__(JRS-16) Table C p3'!U22*1000</f>
        <v>3253091.4140288527</v>
      </c>
    </row>
    <row r="36" spans="1:25">
      <c r="A36" s="522"/>
    </row>
    <row r="37" spans="1:25">
      <c r="A37" s="522"/>
    </row>
    <row r="38" spans="1:25">
      <c r="A38" s="522"/>
    </row>
    <row r="40" spans="1:25">
      <c r="A40" s="522"/>
    </row>
    <row r="41" spans="1:25">
      <c r="A41" s="522"/>
    </row>
    <row r="42" spans="1:25">
      <c r="A42" s="522"/>
    </row>
    <row r="43" spans="1:25">
      <c r="A43" s="522"/>
    </row>
    <row r="44" spans="1:25">
      <c r="A44" s="522"/>
    </row>
    <row r="45" spans="1:25">
      <c r="A45" s="522"/>
    </row>
    <row r="46" spans="1:25">
      <c r="A46" s="522"/>
    </row>
    <row r="47" spans="1:25">
      <c r="A47" s="522"/>
    </row>
    <row r="48" spans="1:25">
      <c r="P48" s="519"/>
    </row>
  </sheetData>
  <phoneticPr fontId="0" type="noConversion"/>
  <printOptions horizontalCentered="1"/>
  <pageMargins left="0.5" right="0.5" top="0.5" bottom="0.5" header="0.5" footer="0.5"/>
  <pageSetup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U57"/>
  <sheetViews>
    <sheetView tabSelected="1" view="pageBreakPreview" zoomScale="75" zoomScaleNormal="100" zoomScaleSheetLayoutView="100" workbookViewId="0">
      <selection activeCell="B1" sqref="B1:T1"/>
    </sheetView>
  </sheetViews>
  <sheetFormatPr defaultColWidth="8.5" defaultRowHeight="15"/>
  <cols>
    <col min="1" max="1" width="1.625" style="480" customWidth="1"/>
    <col min="2" max="2" width="10.375" style="480" customWidth="1"/>
    <col min="3" max="3" width="2.375" style="480" customWidth="1"/>
    <col min="4" max="4" width="10.875" style="480" hidden="1" customWidth="1"/>
    <col min="5" max="5" width="9.375" style="480" customWidth="1"/>
    <col min="6" max="6" width="3.5" style="480" customWidth="1"/>
    <col min="7" max="7" width="11.75" style="480" bestFit="1" customWidth="1"/>
    <col min="8" max="8" width="3.625" style="480" customWidth="1"/>
    <col min="9" max="9" width="12.875" style="480" bestFit="1" customWidth="1"/>
    <col min="10" max="10" width="4.5" style="480" customWidth="1"/>
    <col min="11" max="11" width="12.375" style="480" customWidth="1"/>
    <col min="12" max="12" width="2.375" style="480" customWidth="1"/>
    <col min="13" max="13" width="3" style="480" customWidth="1"/>
    <col min="14" max="14" width="9.5" style="480" customWidth="1"/>
    <col min="15" max="15" width="13.5" style="480" bestFit="1" customWidth="1"/>
    <col min="16" max="16" width="15.25" style="480" customWidth="1"/>
    <col min="17" max="17" width="5.75" style="480" customWidth="1"/>
    <col min="18" max="18" width="8.5" style="480"/>
    <col min="19" max="19" width="7.75" style="480" customWidth="1"/>
    <col min="20" max="20" width="2.25" style="480" customWidth="1"/>
    <col min="21" max="16384" width="8.5" style="480"/>
  </cols>
  <sheetData>
    <row r="1" spans="1:19">
      <c r="A1" s="520"/>
      <c r="B1" s="520"/>
    </row>
    <row r="2" spans="1:19">
      <c r="A2" s="520"/>
      <c r="B2" s="520"/>
      <c r="C2" s="522"/>
      <c r="D2" s="522"/>
      <c r="E2" s="522"/>
      <c r="F2" s="522"/>
      <c r="G2" s="522"/>
      <c r="H2" s="522"/>
      <c r="I2" s="522"/>
    </row>
    <row r="3" spans="1:19" ht="18.75">
      <c r="A3" s="520"/>
      <c r="B3" s="481"/>
      <c r="C3" s="523"/>
      <c r="D3" s="523"/>
      <c r="E3" s="523"/>
      <c r="F3" s="523"/>
      <c r="G3" s="523"/>
      <c r="H3" s="523"/>
      <c r="I3" s="523"/>
      <c r="J3" s="483" t="s">
        <v>31</v>
      </c>
      <c r="K3" s="571"/>
    </row>
    <row r="4" spans="1:19" ht="20.25">
      <c r="B4" s="525" t="s">
        <v>72</v>
      </c>
      <c r="C4" s="525"/>
      <c r="D4" s="525"/>
      <c r="E4" s="525"/>
      <c r="F4" s="525"/>
      <c r="G4" s="525"/>
      <c r="H4" s="525"/>
      <c r="I4" s="525"/>
      <c r="J4" s="525"/>
      <c r="K4" s="525"/>
      <c r="L4" s="529"/>
      <c r="M4" s="529"/>
    </row>
    <row r="5" spans="1:19" ht="20.25">
      <c r="B5" s="525" t="s">
        <v>520</v>
      </c>
      <c r="C5" s="525"/>
      <c r="D5" s="525"/>
      <c r="E5" s="525"/>
      <c r="F5" s="525"/>
      <c r="G5" s="525"/>
      <c r="H5" s="525"/>
      <c r="I5" s="525"/>
      <c r="J5" s="525"/>
      <c r="K5" s="525"/>
      <c r="L5" s="529"/>
      <c r="M5" s="529"/>
    </row>
    <row r="6" spans="1:19" ht="20.25">
      <c r="B6" s="525" t="s">
        <v>547</v>
      </c>
      <c r="C6" s="525"/>
      <c r="D6" s="525"/>
      <c r="E6" s="525"/>
      <c r="F6" s="525"/>
      <c r="G6" s="525"/>
      <c r="H6" s="525"/>
      <c r="I6" s="525"/>
      <c r="J6" s="525"/>
      <c r="K6" s="525"/>
      <c r="L6" s="529"/>
      <c r="M6" s="529"/>
    </row>
    <row r="7" spans="1:19" ht="20.25">
      <c r="B7" s="525" t="s">
        <v>31</v>
      </c>
      <c r="C7" s="525"/>
      <c r="D7" s="525"/>
      <c r="E7" s="525"/>
      <c r="F7" s="525"/>
      <c r="G7" s="525"/>
      <c r="H7" s="525"/>
      <c r="I7" s="525"/>
      <c r="J7" s="525"/>
      <c r="K7" s="525"/>
      <c r="L7" s="529"/>
      <c r="M7" s="529"/>
    </row>
    <row r="8" spans="1:19" ht="18.75">
      <c r="A8" s="527"/>
      <c r="B8" s="528"/>
      <c r="C8" s="528"/>
      <c r="D8" s="528"/>
      <c r="E8" s="528"/>
      <c r="F8" s="528"/>
      <c r="G8" s="528"/>
      <c r="H8" s="528"/>
      <c r="I8" s="528"/>
      <c r="J8" s="528"/>
      <c r="K8" s="529"/>
      <c r="L8" s="528"/>
      <c r="M8" s="528"/>
    </row>
    <row r="9" spans="1:19">
      <c r="A9" s="522"/>
      <c r="B9" s="520"/>
    </row>
    <row r="10" spans="1:19" ht="15.75">
      <c r="A10" s="522"/>
      <c r="B10" s="530" t="s">
        <v>531</v>
      </c>
      <c r="C10" s="531"/>
      <c r="D10" s="531"/>
      <c r="E10" s="531"/>
      <c r="F10" s="531"/>
      <c r="G10" s="532" t="s">
        <v>532</v>
      </c>
      <c r="H10" s="532"/>
      <c r="I10" s="532"/>
      <c r="J10" s="531"/>
      <c r="K10" s="534"/>
      <c r="L10" s="522"/>
      <c r="M10" s="522"/>
    </row>
    <row r="11" spans="1:19" ht="16.5" thickBot="1">
      <c r="A11" s="522"/>
      <c r="B11" s="535" t="s">
        <v>534</v>
      </c>
      <c r="C11" s="533"/>
      <c r="D11" s="530" t="s">
        <v>535</v>
      </c>
      <c r="E11" s="531"/>
      <c r="F11" s="531"/>
      <c r="G11" s="572" t="s">
        <v>522</v>
      </c>
      <c r="H11" s="534"/>
      <c r="I11" s="572" t="s">
        <v>305</v>
      </c>
      <c r="J11" s="531"/>
      <c r="K11" s="533" t="s">
        <v>523</v>
      </c>
      <c r="L11" s="522"/>
      <c r="M11" s="522"/>
      <c r="O11" s="573"/>
    </row>
    <row r="12" spans="1:19" ht="15.75">
      <c r="A12" s="522"/>
      <c r="B12" s="538" t="s">
        <v>406</v>
      </c>
      <c r="C12" s="539"/>
      <c r="D12" s="540" t="s">
        <v>537</v>
      </c>
      <c r="E12" s="538" t="s">
        <v>25</v>
      </c>
      <c r="F12" s="531"/>
      <c r="G12" s="538" t="s">
        <v>68</v>
      </c>
      <c r="H12" s="574"/>
      <c r="I12" s="538" t="s">
        <v>548</v>
      </c>
      <c r="J12" s="531"/>
      <c r="K12" s="536" t="s">
        <v>263</v>
      </c>
      <c r="L12" s="522"/>
      <c r="M12" s="522"/>
      <c r="N12" s="575" t="s">
        <v>524</v>
      </c>
      <c r="P12" s="576"/>
      <c r="Q12" s="577"/>
      <c r="R12" s="576" t="s">
        <v>525</v>
      </c>
      <c r="S12" s="577"/>
    </row>
    <row r="13" spans="1:19" ht="15.75">
      <c r="A13" s="522"/>
      <c r="B13" s="531"/>
      <c r="C13" s="531"/>
      <c r="D13" s="531"/>
      <c r="E13" s="531"/>
      <c r="F13" s="531"/>
      <c r="G13" s="539"/>
      <c r="H13" s="539"/>
      <c r="I13" s="539"/>
      <c r="J13" s="534"/>
      <c r="K13" s="534"/>
      <c r="N13" s="546" t="s">
        <v>404</v>
      </c>
      <c r="O13" s="488" t="s">
        <v>187</v>
      </c>
      <c r="P13" s="488" t="s">
        <v>549</v>
      </c>
      <c r="Q13" s="547"/>
      <c r="R13" s="488" t="s">
        <v>187</v>
      </c>
      <c r="S13" s="578" t="s">
        <v>549</v>
      </c>
    </row>
    <row r="14" spans="1:19" ht="15.75">
      <c r="A14" s="522"/>
      <c r="B14" s="531">
        <v>100</v>
      </c>
      <c r="C14" s="531"/>
      <c r="D14" s="531">
        <v>300</v>
      </c>
      <c r="E14" s="548">
        <v>25000</v>
      </c>
      <c r="F14" s="531"/>
      <c r="G14" s="550">
        <f>ROUND(IF($E14&lt;40001,$E14*$O$19/100,40000*$O$19/100+($E14-40000)*$O$20/100)+MAX(100, $B$14)*$O$18+IF($B$14&lt;101,$O$14,IF($B$14&lt;301,$O$15+$B$14*$P$15,$O$16+$B$14*$P$16)),2)+R26</f>
        <v>2236.14</v>
      </c>
      <c r="H14" s="550"/>
      <c r="I14" s="550">
        <f ca="1">ROUND(IF($E14&lt;40001,$E14*$R$19/100,40000*$R$19/100+($E14-40000)*$R$20/100)+MAX(100, $B$14)*$R$18+IF($B$14&lt;101,$R$14,IF($B$14&lt;301,$R$15+$B$14*$S$15,$R$16+$B$14*$S$16)),2)+R27</f>
        <v>2501.64</v>
      </c>
      <c r="J14" s="531"/>
      <c r="K14" s="551">
        <f ca="1">ROUND(I14/G14-1,4)</f>
        <v>0.1187</v>
      </c>
      <c r="L14" s="522"/>
      <c r="M14" s="522"/>
      <c r="N14" s="546" t="s">
        <v>550</v>
      </c>
      <c r="O14" s="579">
        <f>'Exh No.__(JRS-17) p1-10'!G603</f>
        <v>259</v>
      </c>
      <c r="P14" s="553"/>
      <c r="Q14" s="547"/>
      <c r="R14" s="579">
        <f>'Exh No.__(JRS-17) p1-10'!J645</f>
        <v>259</v>
      </c>
      <c r="S14" s="558"/>
    </row>
    <row r="15" spans="1:19" ht="15.75">
      <c r="A15" s="522"/>
      <c r="B15" s="531"/>
      <c r="C15" s="531"/>
      <c r="D15" s="531">
        <v>500</v>
      </c>
      <c r="E15" s="548">
        <v>37500</v>
      </c>
      <c r="F15" s="531"/>
      <c r="G15" s="550">
        <f>ROUND(IF($E15&lt;40001,$E15*$O$19/100,40000*$O$19/100+($E15-40000)*$O$20/100)+MAX(100, $B$14)*$O$18+IF($B$14&lt;101,$O$14,IF($B$14&lt;301,$O$15+$B$14*$P$15,$O$16+$B$14*$P$16)),2)+R26</f>
        <v>2969.77</v>
      </c>
      <c r="H15" s="550"/>
      <c r="I15" s="550">
        <f ca="1">ROUND(IF($E15&lt;40001,$E15*$R$19/100,40000*$R$19/100+($E15-40000)*$R$20/100)+MAX(100, $B$14)*$R$18+IF($B$14&lt;101,$R$14,IF($B$14&lt;301,$R$15+$B$14*$S$15,$R$16+$B$14*$S$16)),2)+R27</f>
        <v>3310.52</v>
      </c>
      <c r="J15" s="531"/>
      <c r="K15" s="551">
        <f ca="1">ROUND(I15/G15-1,4)</f>
        <v>0.1147</v>
      </c>
      <c r="L15" s="522"/>
      <c r="M15" s="522"/>
      <c r="N15" s="546" t="s">
        <v>551</v>
      </c>
      <c r="O15" s="579">
        <f>'Exh No.__(JRS-17) p1-10'!G604</f>
        <v>96</v>
      </c>
      <c r="P15" s="552">
        <f>'Exh No.__(JRS-17) p1-10'!G607</f>
        <v>1.7</v>
      </c>
      <c r="Q15" s="578"/>
      <c r="R15" s="579">
        <f>'Exh No.__(JRS-17) p1-10'!J646</f>
        <v>96</v>
      </c>
      <c r="S15" s="497">
        <f ca="1">'Exh No.__(JRS-17) p1-10'!J649</f>
        <v>1.89</v>
      </c>
    </row>
    <row r="16" spans="1:19" ht="15.75">
      <c r="A16" s="522"/>
      <c r="B16" s="531"/>
      <c r="C16" s="531"/>
      <c r="D16" s="531">
        <v>700</v>
      </c>
      <c r="E16" s="548">
        <v>50000</v>
      </c>
      <c r="F16" s="531"/>
      <c r="G16" s="550">
        <f>ROUND(IF($E16&lt;40001,$E16*$O$19/100,40000*$O$19/100+($E16-40000)*$O$20/100)+MAX(100, $B$14)*$O$18+IF($B$14&lt;101,$O$14,IF($B$14&lt;301,$O$15+$B$14*$P$15,$O$16+$B$14*$P$16)),2)+R26</f>
        <v>3656.19</v>
      </c>
      <c r="H16" s="550"/>
      <c r="I16" s="550">
        <f ca="1">ROUND(IF($E16&lt;40001,$E16*$R$19/100,40000*$R$19/100+($E16-40000)*$R$20/100)+MAX(100, $B$14)*$R$18+IF($B$14&lt;101,$R$14,IF($B$14&lt;301,$R$15+$B$14*$S$15,$R$16+$B$14*$S$16)),2)+R27</f>
        <v>4068.39</v>
      </c>
      <c r="J16" s="531"/>
      <c r="K16" s="551">
        <f ca="1">ROUND(I16/G16-1,4)</f>
        <v>0.11269999999999999</v>
      </c>
      <c r="N16" s="546" t="s">
        <v>552</v>
      </c>
      <c r="O16" s="579">
        <f>'Exh No.__(JRS-17) p1-10'!G605</f>
        <v>192</v>
      </c>
      <c r="P16" s="552">
        <f>'Exh No.__(JRS-17) p1-10'!G608</f>
        <v>1.39</v>
      </c>
      <c r="Q16" s="547"/>
      <c r="R16" s="579">
        <f>'Rate Design Work'!J646</f>
        <v>192</v>
      </c>
      <c r="S16" s="497">
        <f ca="1">'Exh No.__(JRS-17) p1-10'!J650</f>
        <v>1.55</v>
      </c>
    </row>
    <row r="17" spans="1:21" ht="15.75">
      <c r="A17" s="522"/>
      <c r="B17" s="531"/>
      <c r="C17" s="531"/>
      <c r="D17" s="531"/>
      <c r="E17" s="531"/>
      <c r="F17" s="531"/>
      <c r="G17" s="550"/>
      <c r="H17" s="550"/>
      <c r="I17" s="550"/>
      <c r="J17" s="534"/>
      <c r="K17" s="551"/>
      <c r="L17" s="522"/>
      <c r="M17" s="522"/>
      <c r="N17" s="546"/>
      <c r="O17" s="553"/>
      <c r="P17" s="553"/>
      <c r="Q17" s="547"/>
      <c r="R17" s="553"/>
      <c r="S17" s="558"/>
    </row>
    <row r="18" spans="1:21" ht="15.75">
      <c r="A18" s="522"/>
      <c r="B18" s="531">
        <v>200</v>
      </c>
      <c r="C18" s="531"/>
      <c r="D18" s="531">
        <v>300</v>
      </c>
      <c r="E18" s="548">
        <f>ROUND((B$18*D18),0)</f>
        <v>60000</v>
      </c>
      <c r="F18" s="531"/>
      <c r="G18" s="550">
        <f>ROUND(IF($E18&lt;40001,$E18*$O$19/100,40000*$O$19/100+($E18-40000)*$O$20/100)+MAX(100, $B$18)*$O$18+IF($B$18&lt;101,$O$14,IF($B$18&lt;301,$O$15+$B$18*$P$15,$O$16+$B$18*$P$16)),2)+R26</f>
        <v>4844.8900000000003</v>
      </c>
      <c r="H18" s="550"/>
      <c r="I18" s="550">
        <f ca="1">ROUND(IF($E18&lt;40001,$E18*$R$19/100,40000*$R$19/100+($E18-40000)*$R$20/100)+MAX(100, $B$18)*$R$18+IF($B$18&lt;101,$R$14,IF($B$18&lt;301,$R$15+$B$18*$S$15,$R$16+$B$18*$S$16)),2)+R27</f>
        <v>5466.4900000000007</v>
      </c>
      <c r="J18" s="531"/>
      <c r="K18" s="551">
        <f ca="1">ROUND(I18/G18-1,4)</f>
        <v>0.1283</v>
      </c>
      <c r="L18" s="522"/>
      <c r="M18" s="522"/>
      <c r="N18" s="546" t="s">
        <v>406</v>
      </c>
      <c r="O18" s="552">
        <f>'Exh No.__(JRS-17) p1-10'!G610</f>
        <v>4.72</v>
      </c>
      <c r="P18" s="553"/>
      <c r="Q18" s="547"/>
      <c r="R18" s="552">
        <f ca="1">'Exh No.__(JRS-17) p1-10'!J652</f>
        <v>5.87</v>
      </c>
      <c r="S18" s="558"/>
      <c r="U18" s="1136">
        <f ca="1">(R18-O18)/O18</f>
        <v>0.24364406779661027</v>
      </c>
    </row>
    <row r="19" spans="1:21" ht="15.75">
      <c r="A19" s="522"/>
      <c r="B19" s="531"/>
      <c r="C19" s="531"/>
      <c r="D19" s="531">
        <v>500</v>
      </c>
      <c r="E19" s="548">
        <f>ROUND((B$18*D19),0)</f>
        <v>100000</v>
      </c>
      <c r="F19" s="531"/>
      <c r="G19" s="550">
        <f>ROUND(IF($E19&lt;40001,$E19*$O$19/100,40000*$O$19/100+($E19-40000)*$O$20/100)+MAX(100, $B$18)*$O$18+IF($B$18&lt;101,$O$14,IF($B$18&lt;301,$O$15+$B$18*$P$15,$O$16+$B$18*$P$16)),2)+R26</f>
        <v>7003.6900000000005</v>
      </c>
      <c r="H19" s="550"/>
      <c r="I19" s="550">
        <f ca="1">ROUND(IF($E19&lt;40001,$E19*$R$19/100,40000*$R$19/100+($E19-40000)*$R$20/100)+MAX(100, $B$18)*$R$18+IF($B$18&lt;101,$R$14,IF($B$18&lt;301,$R$15+$B$18*$S$15,$R$16+$B$18*$S$16)),2)+R27</f>
        <v>7850.89</v>
      </c>
      <c r="J19" s="531"/>
      <c r="K19" s="551">
        <f ca="1">ROUND(I19/G19-1,4)</f>
        <v>0.121</v>
      </c>
      <c r="L19" s="522"/>
      <c r="M19" s="522"/>
      <c r="N19" s="546" t="s">
        <v>553</v>
      </c>
      <c r="O19" s="580">
        <f>'Exh No.__(JRS-17) p1-10'!G613+R22</f>
        <v>5.8689999999999998</v>
      </c>
      <c r="P19" s="580"/>
      <c r="Q19" s="581"/>
      <c r="R19" s="580">
        <f ca="1">'Exh No.__(JRS-17) p1-10'!J655+'Exh No.__(JRS-17) p1-10'!J658+R23+R29</f>
        <v>6.4710000000000001</v>
      </c>
      <c r="S19" s="558"/>
      <c r="U19" s="1136">
        <f t="shared" ref="U19:U20" ca="1" si="0">(R19-O19)/O19</f>
        <v>0.10257284034758908</v>
      </c>
    </row>
    <row r="20" spans="1:21" ht="15.75">
      <c r="A20" s="522"/>
      <c r="B20" s="531"/>
      <c r="C20" s="531"/>
      <c r="D20" s="531">
        <v>700</v>
      </c>
      <c r="E20" s="548">
        <f>ROUND((B$18*D20),0)</f>
        <v>140000</v>
      </c>
      <c r="F20" s="531"/>
      <c r="G20" s="550">
        <f>ROUND(IF($E20&lt;40001,$E20*$O$19/100,40000*$O$19/100+($E20-40000)*$O$20/100)+MAX(100, $B$18)*$O$18+IF($B$18&lt;101,$O$14,IF($B$18&lt;301,$O$15+$B$18*$P$15,$O$16+$B$18*$P$16)),2)+R26</f>
        <v>9162.49</v>
      </c>
      <c r="H20" s="550"/>
      <c r="I20" s="550">
        <f ca="1">ROUND(IF($E20&lt;40001,$E20*$R$19/100,40000*$R$19/100+($E20-40000)*$R$20/100)+MAX(100, $B$18)*$R$18+IF($B$18&lt;101,$R$14,IF($B$18&lt;301,$R$15+$B$18*$S$15,$R$16+$B$18*$S$16)),2)+R27</f>
        <v>10235.289999999999</v>
      </c>
      <c r="J20" s="531"/>
      <c r="K20" s="551">
        <f ca="1">ROUND(I20/G20-1,4)</f>
        <v>0.1171</v>
      </c>
      <c r="N20" s="546" t="s">
        <v>554</v>
      </c>
      <c r="O20" s="580">
        <f>'Exh No.__(JRS-17) p1-10'!G614+R22</f>
        <v>5.3970000000000002</v>
      </c>
      <c r="P20" s="580"/>
      <c r="Q20" s="581"/>
      <c r="R20" s="580">
        <f ca="1">'Exh No.__(JRS-17) p1-10'!J656+'Exh No.__(JRS-17) p1-10'!J659+R23+R29</f>
        <v>5.9610000000000003</v>
      </c>
      <c r="S20" s="558"/>
      <c r="U20" s="1136">
        <f t="shared" ca="1" si="0"/>
        <v>0.10450250138966093</v>
      </c>
    </row>
    <row r="21" spans="1:21" ht="16.5" thickBot="1">
      <c r="A21" s="522"/>
      <c r="B21" s="531"/>
      <c r="C21" s="531"/>
      <c r="D21" s="531"/>
      <c r="E21" s="531"/>
      <c r="F21" s="531"/>
      <c r="G21" s="550"/>
      <c r="H21" s="550"/>
      <c r="I21" s="550"/>
      <c r="J21" s="534"/>
      <c r="K21" s="551"/>
      <c r="L21" s="522"/>
      <c r="M21" s="522"/>
      <c r="N21" s="582" t="s">
        <v>31</v>
      </c>
      <c r="O21" s="583" t="s">
        <v>31</v>
      </c>
      <c r="P21" s="563" t="s">
        <v>31</v>
      </c>
      <c r="Q21" s="564"/>
      <c r="R21" s="583" t="s">
        <v>31</v>
      </c>
      <c r="S21" s="584"/>
    </row>
    <row r="22" spans="1:21" ht="15.75">
      <c r="A22" s="522"/>
      <c r="B22" s="531">
        <v>300</v>
      </c>
      <c r="C22" s="531"/>
      <c r="D22" s="531">
        <v>300</v>
      </c>
      <c r="E22" s="548">
        <f>ROUND((B$22*D22),0)</f>
        <v>90000</v>
      </c>
      <c r="F22" s="531"/>
      <c r="G22" s="550">
        <f>ROUND(IF($E22&lt;40001,$E22*$O$19/100,40000*$O$19/100+($E22-40000)*$O$20/100)+MAX(100, $B$22)*$O$18+IF($B$22&lt;101,$O$14,IF($B$22&lt;301,$O$15+$B$22*$P$15,$O$16+$B$22*$P$16)),2)+R26</f>
        <v>7105.9900000000007</v>
      </c>
      <c r="H22" s="550"/>
      <c r="I22" s="550">
        <f ca="1">ROUND(IF($E22&lt;40001,$E22*$R$19/100,40000*$R$19/100+($E22-40000)*$R$20/100)+MAX(100, $B$22)*$R$18+IF($B$22&lt;101,$R$14,IF($B$22&lt;301,$R$15+$B$22*$S$15,$R$16+$B$22*$S$16)),2)+R27</f>
        <v>8030.79</v>
      </c>
      <c r="J22" s="531"/>
      <c r="K22" s="551">
        <f ca="1">ROUND(I22/G22-1,4)</f>
        <v>0.13009999999999999</v>
      </c>
      <c r="L22" s="522"/>
      <c r="M22" s="522"/>
      <c r="P22" s="508" t="s">
        <v>200</v>
      </c>
      <c r="Q22" s="508"/>
      <c r="R22" s="509">
        <v>0.24</v>
      </c>
      <c r="U22" s="779" t="s">
        <v>31</v>
      </c>
    </row>
    <row r="23" spans="1:21" ht="15.75">
      <c r="A23" s="522"/>
      <c r="B23" s="531"/>
      <c r="C23" s="531"/>
      <c r="D23" s="531">
        <v>500</v>
      </c>
      <c r="E23" s="548">
        <f>ROUND((B$22*D23),0)</f>
        <v>150000</v>
      </c>
      <c r="F23" s="531"/>
      <c r="G23" s="550">
        <f>ROUND(IF($E23&lt;40001,$E23*$O$19/100,40000*$O$19/100+($E23-40000)*$O$20/100)+MAX(100, $B$22)*$O$18+IF($B$22&lt;101,$O$14,IF($B$22&lt;301,$O$15+$B$22*$P$15,$O$16+$B$22*$P$16)),2)+R26</f>
        <v>10344.189999999999</v>
      </c>
      <c r="H23" s="550"/>
      <c r="I23" s="550">
        <f ca="1">ROUND(IF($E23&lt;40001,$E23*$R$19/100,40000*$R$19/100+($E23-40000)*$R$20/100)+MAX(100, $B$22)*$R$18+IF($B$22&lt;101,$R$14,IF($B$22&lt;301,$R$15+$B$22*$S$15,$R$16+$B$22*$S$16)),2)+R27</f>
        <v>11607.39</v>
      </c>
      <c r="J23" s="531"/>
      <c r="K23" s="551">
        <f ca="1">ROUND(I23/G23-1,4)</f>
        <v>0.1221</v>
      </c>
      <c r="L23" s="522"/>
      <c r="M23" s="522"/>
      <c r="P23" s="508"/>
      <c r="Q23" s="508"/>
      <c r="R23" s="509">
        <v>0.24</v>
      </c>
    </row>
    <row r="24" spans="1:21" ht="15.75">
      <c r="A24" s="522"/>
      <c r="B24" s="531"/>
      <c r="C24" s="531"/>
      <c r="D24" s="531">
        <v>700</v>
      </c>
      <c r="E24" s="548">
        <f>ROUND((B$22*D24),0)</f>
        <v>210000</v>
      </c>
      <c r="F24" s="531"/>
      <c r="G24" s="550">
        <f>ROUND(IF($E24&lt;40001,$E24*$O$19/100,40000*$O$19/100+($E24-40000)*$O$20/100)+MAX(100, $B$22)*$O$18+IF($B$22&lt;101,$O$14,IF($B$22&lt;301,$O$15+$B$22*$P$15,$O$16+$B$22*$P$16)),2)+R26</f>
        <v>13582.39</v>
      </c>
      <c r="H24" s="550"/>
      <c r="I24" s="550">
        <f ca="1">ROUND(IF($E24&lt;40001,$E24*$R$19/100,40000*$R$19/100+($E24-40000)*$R$20/100)+MAX(100, $B$22)*$R$18+IF($B$22&lt;101,$R$14,IF($B$22&lt;301,$R$15+$B$22*$S$15,$R$16+$B$22*$S$16)),2)+R27</f>
        <v>15183.99</v>
      </c>
      <c r="J24" s="531"/>
      <c r="K24" s="551">
        <f ca="1">ROUND(I24/G24-1,4)</f>
        <v>0.1179</v>
      </c>
      <c r="P24" s="508"/>
      <c r="Q24" s="508"/>
      <c r="R24" s="512"/>
    </row>
    <row r="25" spans="1:21" ht="15.75">
      <c r="A25" s="522"/>
      <c r="B25" s="531"/>
      <c r="C25" s="531"/>
      <c r="D25" s="531"/>
      <c r="E25" s="531"/>
      <c r="F25" s="531"/>
      <c r="G25" s="550"/>
      <c r="H25" s="550"/>
      <c r="I25" s="550"/>
      <c r="J25" s="534"/>
      <c r="K25" s="551"/>
      <c r="L25" s="522"/>
      <c r="M25" s="522"/>
      <c r="P25" s="480" t="s">
        <v>31</v>
      </c>
      <c r="Q25" s="480" t="s">
        <v>31</v>
      </c>
      <c r="R25" s="480" t="s">
        <v>31</v>
      </c>
    </row>
    <row r="26" spans="1:21" ht="15.75">
      <c r="A26" s="522"/>
      <c r="B26" s="531">
        <v>400</v>
      </c>
      <c r="C26" s="531"/>
      <c r="D26" s="531">
        <v>300</v>
      </c>
      <c r="E26" s="548">
        <f>ROUND((B$26*D26),0)</f>
        <v>120000</v>
      </c>
      <c r="F26" s="531"/>
      <c r="G26" s="550">
        <f>ROUND(IF($E26&lt;40001,$E26*$O$19/100,40000*$O$19/100+($E26-40000)*$O$20/100)+MAX(100, $B$26)*$O$18+IF($B$26&lt;101,$O$14,IF($B$26&lt;301,$O$15+$B$26*$P$15,$O$16+$B$26*$P$16)),2)+R26</f>
        <v>9339.09</v>
      </c>
      <c r="H26" s="550"/>
      <c r="I26" s="550">
        <f ca="1">ROUND(IF($E26&lt;40001,$E26*$R$19/100,40000*$R$19/100+($E26-40000)*$R$20/100)+MAX(100, $B$26)*$R$18+IF($B$26&lt;101,$R$14,IF($B$26&lt;301,$R$15+$B$26*$S$15,$R$16+$B$26*$S$16)),2)+R27</f>
        <v>10555.09</v>
      </c>
      <c r="J26" s="531"/>
      <c r="K26" s="551">
        <f ca="1">ROUND(I26/G26-1,4)</f>
        <v>0.13020000000000001</v>
      </c>
      <c r="L26" s="522"/>
      <c r="M26" s="522"/>
      <c r="P26" s="480" t="s">
        <v>669</v>
      </c>
      <c r="R26" s="554">
        <f>'Exh No.__(JRS-17) p12'!D18</f>
        <v>37.89</v>
      </c>
      <c r="S26" s="480" t="s">
        <v>31</v>
      </c>
    </row>
    <row r="27" spans="1:21" ht="15.75">
      <c r="A27" s="522"/>
      <c r="B27" s="531"/>
      <c r="C27" s="531"/>
      <c r="D27" s="531">
        <v>500</v>
      </c>
      <c r="E27" s="548">
        <f>ROUND((B$26*D27),0)</f>
        <v>200000</v>
      </c>
      <c r="F27" s="531"/>
      <c r="G27" s="550">
        <f>ROUND(IF($E27&lt;40001,$E27*$O$19/100,40000*$O$19/100+($E27-40000)*$O$20/100)+MAX(100, $B$26)*$O$18+IF($B$26&lt;101,$O$14,IF($B$26&lt;301,$O$15+$B$26*$P$15,$O$16+$B$26*$P$16)),2)+R26</f>
        <v>13656.689999999999</v>
      </c>
      <c r="H27" s="550"/>
      <c r="I27" s="550">
        <f ca="1">ROUND(IF($E27&lt;40001,$E27*$R$19/100,40000*$R$19/100+($E27-40000)*$R$20/100)+MAX(100, $B$26)*$R$18+IF($B$26&lt;101,$R$14,IF($B$26&lt;301,$R$15+$B$26*$S$15,$R$16+$B$26*$S$16)),2)+R27</f>
        <v>15323.89</v>
      </c>
      <c r="J27" s="531"/>
      <c r="K27" s="551">
        <f ca="1">ROUND(I27/G27-1,4)</f>
        <v>0.1221</v>
      </c>
      <c r="L27" s="522"/>
      <c r="M27" s="522"/>
      <c r="P27" s="480" t="s">
        <v>668</v>
      </c>
      <c r="R27" s="554">
        <f>R26</f>
        <v>37.89</v>
      </c>
    </row>
    <row r="28" spans="1:21" ht="15.75">
      <c r="A28" s="522"/>
      <c r="B28" s="531"/>
      <c r="C28" s="531"/>
      <c r="D28" s="531">
        <v>700</v>
      </c>
      <c r="E28" s="548">
        <f>ROUND((B$26*D28),0)</f>
        <v>280000</v>
      </c>
      <c r="F28" s="531"/>
      <c r="G28" s="550">
        <f>ROUND(IF($E28&lt;40001,$E28*$O$19/100,40000*$O$19/100+($E28-40000)*$O$20/100)+MAX(100, $B$26)*$O$18+IF($B$26&lt;101,$O$14,IF($B$26&lt;301,$O$15+$B$26*$P$15,$O$16+$B$26*$P$16)),2)+R26</f>
        <v>17974.29</v>
      </c>
      <c r="H28" s="550"/>
      <c r="I28" s="550">
        <f ca="1">ROUND(IF($E28&lt;40001,$E28*$R$19/100,40000*$R$19/100+($E28-40000)*$R$20/100)+MAX(100, $B$26)*$R$18+IF($B$26&lt;101,$R$14,IF($B$26&lt;301,$R$15+$B$26*$S$15,$R$16+$B$26*$S$16)),2)+R27</f>
        <v>20092.689999999999</v>
      </c>
      <c r="J28" s="531"/>
      <c r="K28" s="551">
        <f ca="1">ROUND(I28/G28-1,4)</f>
        <v>0.1179</v>
      </c>
    </row>
    <row r="29" spans="1:21" ht="15.75">
      <c r="A29" s="522"/>
      <c r="B29" s="531"/>
      <c r="C29" s="531"/>
      <c r="D29" s="531"/>
      <c r="E29" s="531"/>
      <c r="F29" s="531"/>
      <c r="G29" s="550"/>
      <c r="H29" s="550"/>
      <c r="I29" s="550"/>
      <c r="J29" s="534"/>
      <c r="K29" s="551"/>
      <c r="L29" s="522"/>
      <c r="M29" s="522"/>
      <c r="P29" s="779" t="s">
        <v>313</v>
      </c>
      <c r="R29" s="480">
        <f ca="1">'Exh No.__(JRS-16) Table B p2'!AB24</f>
        <v>0.13800000000000001</v>
      </c>
    </row>
    <row r="30" spans="1:21" ht="15.75">
      <c r="A30" s="522"/>
      <c r="B30" s="531">
        <v>600</v>
      </c>
      <c r="C30" s="531"/>
      <c r="D30" s="531">
        <v>300</v>
      </c>
      <c r="E30" s="548">
        <f>ROUND((B$30*D30),0)</f>
        <v>180000</v>
      </c>
      <c r="F30" s="531"/>
      <c r="G30" s="550">
        <f>ROUND(IF($E30&lt;40001,$E30*$O$19/100,40000*$O$19/100+($E30-40000)*$O$20/100)+MAX(100, $B$30)*$O$18+IF($B$30&lt;101,$O$14,IF($B$30&lt;301,$O$15+$B$30*$P$15,$O$16+$B$30*$P$16)),2)+R26</f>
        <v>13799.289999999999</v>
      </c>
      <c r="H30" s="550"/>
      <c r="I30" s="550">
        <f ca="1">ROUND(IF($E30&lt;40001,$E30*$R$19/100,40000*$R$19/100+($E30-40000)*$R$20/100)+MAX(100, $B$30)*$R$18+IF($B$30&lt;101,$R$14,IF($B$30&lt;301,$R$15+$B$30*$S$15,$R$16+$B$30*$S$16)),2)+R27</f>
        <v>15615.689999999999</v>
      </c>
      <c r="J30" s="531"/>
      <c r="K30" s="551">
        <f ca="1">ROUND(I30/G30-1,4)</f>
        <v>0.13159999999999999</v>
      </c>
      <c r="L30" s="522"/>
      <c r="M30" s="522"/>
      <c r="P30" s="779"/>
    </row>
    <row r="31" spans="1:21" ht="15.75">
      <c r="A31" s="522"/>
      <c r="B31" s="531"/>
      <c r="C31" s="531"/>
      <c r="D31" s="531">
        <v>500</v>
      </c>
      <c r="E31" s="548">
        <f>ROUND((B$30*D31),0)</f>
        <v>300000</v>
      </c>
      <c r="F31" s="531"/>
      <c r="G31" s="550">
        <f>ROUND(IF($E31&lt;40001,$E31*$O$19/100,40000*$O$19/100+($E31-40000)*$O$20/100)+MAX(100, $B$30)*$O$18+IF($B$30&lt;101,$O$14,IF($B$30&lt;301,$O$15+$B$30*$P$15,$O$16+$B$30*$P$16)),2)+R26</f>
        <v>20275.689999999999</v>
      </c>
      <c r="H31" s="550"/>
      <c r="I31" s="550">
        <f ca="1">ROUND(IF($E31&lt;40001,$E31*$R$19/100,40000*$R$19/100+($E31-40000)*$R$20/100)+MAX(100, $B$30)*$R$18+IF($B$30&lt;101,$R$14,IF($B$30&lt;301,$R$15+$B$30*$S$15,$R$16+$B$30*$S$16)),2)+R27</f>
        <v>22768.89</v>
      </c>
      <c r="J31" s="531"/>
      <c r="K31" s="551">
        <f ca="1">ROUND(I31/G31-1,4)</f>
        <v>0.123</v>
      </c>
      <c r="L31" s="522"/>
      <c r="M31" s="522"/>
    </row>
    <row r="32" spans="1:21" ht="15.75">
      <c r="A32" s="522"/>
      <c r="B32" s="531"/>
      <c r="C32" s="531"/>
      <c r="D32" s="531">
        <v>700</v>
      </c>
      <c r="E32" s="548">
        <f>ROUND((B$30*D32),0)</f>
        <v>420000</v>
      </c>
      <c r="F32" s="531"/>
      <c r="G32" s="550">
        <f>ROUND(IF($E32&lt;40001,$E32*$O$19/100,40000*$O$19/100+($E32-40000)*$O$20/100)+MAX(100, $B$30)*$O$18+IF($B$30&lt;101,$O$14,IF($B$30&lt;301,$O$15+$B$30*$P$15,$O$16+$B$30*$P$16)),2)+R26</f>
        <v>26752.09</v>
      </c>
      <c r="H32" s="550"/>
      <c r="I32" s="550">
        <f ca="1">ROUND(IF($E32&lt;40001,$E32*$R$19/100,40000*$R$19/100+($E32-40000)*$R$20/100)+MAX(100, $B$30)*$R$18+IF($B$30&lt;101,$R$14,IF($B$30&lt;301,$R$15+$B$30*$S$15,$R$16+$B$30*$S$16)),2)+R27</f>
        <v>29922.09</v>
      </c>
      <c r="J32" s="531"/>
      <c r="K32" s="551">
        <f ca="1">ROUND(I32/G32-1,4)</f>
        <v>0.11849999999999999</v>
      </c>
      <c r="N32" s="741" t="s">
        <v>677</v>
      </c>
      <c r="O32" s="1706">
        <f ca="1">'Exh No.__(JRS-16) Table C p3'!V24</f>
        <v>0.13011227414115964</v>
      </c>
    </row>
    <row r="33" spans="1:18" ht="15.75">
      <c r="A33" s="522"/>
      <c r="B33" s="531"/>
      <c r="C33" s="531"/>
      <c r="D33" s="531"/>
      <c r="E33" s="531"/>
      <c r="F33" s="531"/>
      <c r="G33" s="550"/>
      <c r="H33" s="550"/>
      <c r="I33" s="550"/>
      <c r="J33" s="534"/>
      <c r="K33" s="551"/>
      <c r="L33" s="522"/>
      <c r="M33" s="522"/>
      <c r="O33" s="1708">
        <f ca="1">'Exh No.__(JRS-16) Table C p3'!U24*1000</f>
        <v>8692823.9486669563</v>
      </c>
      <c r="R33" s="480" t="s">
        <v>31</v>
      </c>
    </row>
    <row r="34" spans="1:18" ht="15.75">
      <c r="A34" s="522"/>
      <c r="B34" s="531">
        <v>800</v>
      </c>
      <c r="C34" s="531"/>
      <c r="D34" s="531">
        <v>300</v>
      </c>
      <c r="E34" s="548">
        <f>ROUND((B$34*D34),0)</f>
        <v>240000</v>
      </c>
      <c r="F34" s="531"/>
      <c r="G34" s="550">
        <f>ROUND(IF($E34&lt;40001,$E34*$O$19/100,40000*$O$19/100+($E34-40000)*$O$20/100)+MAX(100, $B$34)*$O$18+IF($B$34&lt;101,$O$14,IF($B$34&lt;301,$O$15+$B$34*$P$15,$O$16+$B$34*$P$16)),2)+R26</f>
        <v>18259.489999999998</v>
      </c>
      <c r="H34" s="550"/>
      <c r="I34" s="550">
        <f ca="1">ROUND(IF($E34&lt;40001,$E34*$R$19/100,40000*$R$19/100+($E34-40000)*$R$20/100)+MAX(100, $B$34)*$R$18+IF($B$34&lt;101,$R$14,IF($B$34&lt;301,$R$15+$B$34*$S$15,$R$16+$B$34*$S$16)),2)+R27</f>
        <v>20676.29</v>
      </c>
      <c r="J34" s="531"/>
      <c r="K34" s="551">
        <f ca="1">ROUND(I34/G34-1,4)</f>
        <v>0.13239999999999999</v>
      </c>
      <c r="L34" s="522"/>
      <c r="M34" s="522"/>
    </row>
    <row r="35" spans="1:18" ht="15.75">
      <c r="A35" s="522"/>
      <c r="B35" s="531"/>
      <c r="C35" s="531"/>
      <c r="D35" s="531">
        <v>500</v>
      </c>
      <c r="E35" s="548">
        <f>ROUND((B$34*D35),0)</f>
        <v>400000</v>
      </c>
      <c r="F35" s="531"/>
      <c r="G35" s="550">
        <f>ROUND(IF($E35&lt;40001,$E35*$O$19/100,40000*$O$19/100+($E35-40000)*$O$20/100)+MAX(100, $B$34)*$O$18+IF($B$34&lt;101,$O$14,IF($B$34&lt;301,$O$15+$B$34*$P$15,$O$16+$B$34*$P$16)),2)+R26</f>
        <v>26894.69</v>
      </c>
      <c r="H35" s="550"/>
      <c r="I35" s="550">
        <f ca="1">ROUND(IF($E35&lt;40001,$E35*$R$19/100,40000*$R$19/100+($E35-40000)*$R$20/100)+MAX(100, $B$34)*$R$18+IF($B$34&lt;101,$R$14,IF($B$34&lt;301,$R$15+$B$34*$S$15,$R$16+$B$34*$S$16)),2)+R27</f>
        <v>30213.89</v>
      </c>
      <c r="J35" s="531"/>
      <c r="K35" s="551">
        <f ca="1">ROUND(I35/G35-1,4)</f>
        <v>0.1234</v>
      </c>
      <c r="L35" s="522"/>
      <c r="M35" s="522"/>
    </row>
    <row r="36" spans="1:18" ht="15.75">
      <c r="A36" s="522"/>
      <c r="B36" s="531"/>
      <c r="C36" s="531"/>
      <c r="D36" s="531">
        <v>700</v>
      </c>
      <c r="E36" s="548">
        <f>ROUND((B$34*D36),0)</f>
        <v>560000</v>
      </c>
      <c r="F36" s="531"/>
      <c r="G36" s="550">
        <f>ROUND(IF($E36&lt;40001,$E36*$O$19/100,40000*$O$19/100+($E36-40000)*$O$20/100)+MAX(100, $B$34)*$O$18+IF($B$34&lt;101,$O$14,IF($B$34&lt;301,$O$15+$B$34*$P$15,$O$16+$B$34*$P$16)),2)+R26</f>
        <v>35529.89</v>
      </c>
      <c r="H36" s="550"/>
      <c r="I36" s="550">
        <f ca="1">ROUND(IF($E36&lt;40001,$E36*$R$19/100,40000*$R$19/100+($E36-40000)*$R$20/100)+MAX(100, $B$34)*$R$18+IF($B$34&lt;101,$R$14,IF($B$34&lt;301,$R$15+$B$34*$S$15,$R$16+$B$34*$S$16)),2)+R27</f>
        <v>39751.49</v>
      </c>
      <c r="J36" s="531"/>
      <c r="K36" s="551">
        <f ca="1">ROUND(I36/G36-1,4)</f>
        <v>0.1188</v>
      </c>
    </row>
    <row r="37" spans="1:18" ht="15.75">
      <c r="A37" s="522"/>
      <c r="B37" s="531"/>
      <c r="C37" s="531"/>
      <c r="D37" s="531"/>
      <c r="E37" s="531"/>
      <c r="F37" s="531"/>
      <c r="G37" s="550"/>
      <c r="H37" s="550"/>
      <c r="I37" s="550"/>
      <c r="J37" s="534"/>
      <c r="K37" s="551"/>
      <c r="L37" s="522"/>
      <c r="M37" s="522"/>
    </row>
    <row r="38" spans="1:18" ht="15.75">
      <c r="A38" s="522"/>
      <c r="B38" s="531">
        <v>1000</v>
      </c>
      <c r="C38" s="531"/>
      <c r="D38" s="531">
        <v>300</v>
      </c>
      <c r="E38" s="548">
        <f>ROUND((B$38*D38),0)</f>
        <v>300000</v>
      </c>
      <c r="F38" s="531"/>
      <c r="G38" s="550">
        <f>ROUND(IF($E38&lt;40001,$E38*$O$19/100,40000*$O$19/100+($E38-40000)*$O$20/100)+MAX(100, $B$38)*$O$18+IF($B$38&lt;101,$O$14,IF($B$38&lt;301,$O$15+$B$38*$P$15,$O$16+$B$38*$P$16)),2)+R26</f>
        <v>22719.69</v>
      </c>
      <c r="H38" s="550"/>
      <c r="I38" s="550">
        <f ca="1">ROUND(IF($E38&lt;40001,$E38*$R$19/100,40000*$R$19/100+($E38-40000)*$R$20/100)+MAX(100, $B$38)*$R$18+IF($B$38&lt;101,$R$14,IF($B$38&lt;301,$R$15+$B$38*$S$15,$R$16+$B$38*$S$16)),2)+R27</f>
        <v>25736.89</v>
      </c>
      <c r="J38" s="531"/>
      <c r="K38" s="551">
        <f ca="1">ROUND(I38/G38-1,4)</f>
        <v>0.1328</v>
      </c>
      <c r="L38" s="522"/>
      <c r="M38" s="522"/>
    </row>
    <row r="39" spans="1:18" ht="15.75">
      <c r="A39" s="522"/>
      <c r="B39" s="531"/>
      <c r="C39" s="531"/>
      <c r="D39" s="531">
        <v>500</v>
      </c>
      <c r="E39" s="548">
        <f>ROUND((B$38*D39),0)</f>
        <v>500000</v>
      </c>
      <c r="F39" s="531"/>
      <c r="G39" s="550">
        <f>ROUND(IF($E39&lt;40001,$E39*$O$19/100,40000*$O$19/100+($E39-40000)*$O$20/100)+MAX(100, $B$38)*$O$18+IF($B$38&lt;101,$O$14,IF($B$38&lt;301,$O$15+$B$38*$P$15,$O$16+$B$38*$P$16)),2)+R26</f>
        <v>33513.69</v>
      </c>
      <c r="H39" s="550"/>
      <c r="I39" s="550">
        <f ca="1">ROUND(IF($E39&lt;40001,$E39*$R$19/100,40000*$R$19/100+($E39-40000)*$R$20/100)+MAX(100, $B$38)*$R$18+IF($B$38&lt;101,$R$14,IF($B$38&lt;301,$R$15+$B$38*$S$15,$R$16+$B$38*$S$16)),2)+R27</f>
        <v>37658.89</v>
      </c>
      <c r="J39" s="531"/>
      <c r="K39" s="551">
        <f ca="1">ROUND(I39/G39-1,4)</f>
        <v>0.1237</v>
      </c>
      <c r="L39" s="522"/>
      <c r="M39" s="522"/>
    </row>
    <row r="40" spans="1:18" ht="15.75">
      <c r="A40" s="522"/>
      <c r="B40" s="531"/>
      <c r="C40" s="531"/>
      <c r="D40" s="531">
        <v>700</v>
      </c>
      <c r="E40" s="548">
        <f>ROUND((B$38*D40),0)</f>
        <v>700000</v>
      </c>
      <c r="F40" s="531"/>
      <c r="G40" s="550">
        <f>ROUND(IF($E40&lt;40001,$E40*$O$19/100,40000*$O$19/100+($E40-40000)*$O$20/100)+MAX(100, $B$38)*$O$18+IF($B$38&lt;101,$O$14,IF($B$38&lt;301,$O$15+$B$38*$P$15,$O$16+$B$38*$P$16)),2)+R26</f>
        <v>44307.69</v>
      </c>
      <c r="H40" s="550"/>
      <c r="I40" s="550">
        <f ca="1">ROUND(IF($E40&lt;40001,$E40*$R$19/100,40000*$R$19/100+($E40-40000)*$R$20/100)+MAX(100, $B$38)*$R$18+IF($B$38&lt;101,$R$14,IF($B$38&lt;301,$R$15+$B$38*$S$15,$R$16+$B$38*$S$16)),2)+R27</f>
        <v>49580.89</v>
      </c>
      <c r="J40" s="531"/>
      <c r="K40" s="551">
        <f ca="1">ROUND(I40/G40-1,4)</f>
        <v>0.11899999999999999</v>
      </c>
    </row>
    <row r="41" spans="1:18" ht="15.75">
      <c r="A41" s="522"/>
      <c r="B41" s="585"/>
      <c r="C41" s="585"/>
      <c r="D41" s="585"/>
      <c r="E41" s="585"/>
      <c r="F41" s="585"/>
      <c r="G41" s="585"/>
      <c r="H41" s="585"/>
      <c r="I41" s="585"/>
      <c r="J41" s="586"/>
      <c r="K41" s="586"/>
      <c r="L41" s="522"/>
      <c r="M41" s="522"/>
    </row>
    <row r="42" spans="1:18" ht="15.75">
      <c r="A42" s="522"/>
      <c r="B42" s="534"/>
      <c r="C42" s="534"/>
      <c r="D42" s="534"/>
      <c r="E42" s="534"/>
      <c r="F42" s="534"/>
      <c r="G42" s="534"/>
      <c r="H42" s="534"/>
      <c r="I42" s="534"/>
      <c r="J42" s="534"/>
      <c r="K42" s="534"/>
      <c r="L42" s="522"/>
      <c r="M42" s="522"/>
    </row>
    <row r="43" spans="1:18" ht="15.75">
      <c r="A43" s="522"/>
      <c r="B43" s="534" t="s">
        <v>529</v>
      </c>
      <c r="C43" s="534"/>
      <c r="D43" s="534"/>
      <c r="E43" s="534"/>
      <c r="F43" s="534"/>
      <c r="G43" s="534"/>
      <c r="H43" s="534"/>
      <c r="I43" s="534"/>
      <c r="J43" s="534"/>
      <c r="K43" s="534"/>
      <c r="L43" s="522"/>
      <c r="M43" s="522"/>
    </row>
    <row r="44" spans="1:18" ht="15.75">
      <c r="A44" s="522"/>
      <c r="B44" s="570" t="s">
        <v>1058</v>
      </c>
      <c r="C44" s="534"/>
      <c r="D44" s="534"/>
      <c r="E44" s="534"/>
      <c r="F44" s="534"/>
      <c r="G44" s="534"/>
      <c r="H44" s="534"/>
      <c r="I44" s="534"/>
      <c r="J44" s="534"/>
      <c r="K44" s="534"/>
    </row>
    <row r="45" spans="1:18" ht="15.75">
      <c r="A45" s="522"/>
      <c r="B45" s="531"/>
      <c r="L45" s="522"/>
      <c r="M45" s="522"/>
    </row>
    <row r="46" spans="1:18" ht="15.75">
      <c r="A46" s="522"/>
      <c r="B46" s="531"/>
    </row>
    <row r="47" spans="1:18" ht="15.75">
      <c r="B47" s="531"/>
    </row>
    <row r="48" spans="1:18" ht="15.75">
      <c r="B48" s="531"/>
      <c r="P48" s="519"/>
    </row>
    <row r="49" spans="1:2" ht="15.75">
      <c r="A49" s="522"/>
      <c r="B49" s="531"/>
    </row>
    <row r="50" spans="1:2" ht="15.75">
      <c r="A50" s="522"/>
      <c r="B50" s="531"/>
    </row>
    <row r="51" spans="1:2">
      <c r="A51" s="522"/>
    </row>
    <row r="52" spans="1:2">
      <c r="A52" s="522"/>
    </row>
    <row r="53" spans="1:2">
      <c r="A53" s="522"/>
    </row>
    <row r="54" spans="1:2">
      <c r="A54" s="522"/>
    </row>
    <row r="55" spans="1:2">
      <c r="A55" s="522"/>
    </row>
    <row r="56" spans="1:2">
      <c r="A56" s="522"/>
    </row>
    <row r="57" spans="1:2">
      <c r="A57" s="522"/>
    </row>
  </sheetData>
  <phoneticPr fontId="0" type="noConversion"/>
  <printOptions horizontalCentered="1"/>
  <pageMargins left="0.5" right="0.5" top="0.5" bottom="0.5" header="0.5" footer="0.5"/>
  <pageSetup scale="82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B2:W51"/>
  <sheetViews>
    <sheetView tabSelected="1" view="pageBreakPreview" zoomScale="75" zoomScaleNormal="100" workbookViewId="0">
      <selection activeCell="B1" sqref="B1:T1"/>
    </sheetView>
  </sheetViews>
  <sheetFormatPr defaultColWidth="8.5" defaultRowHeight="15"/>
  <cols>
    <col min="1" max="1" width="1.875" style="480" customWidth="1"/>
    <col min="2" max="2" width="10.875" style="480" customWidth="1"/>
    <col min="3" max="3" width="1.75" style="480" customWidth="1"/>
    <col min="4" max="4" width="11.25" style="480" hidden="1" customWidth="1"/>
    <col min="5" max="5" width="8.25" style="480" bestFit="1" customWidth="1"/>
    <col min="6" max="6" width="3.25" style="480" customWidth="1"/>
    <col min="7" max="7" width="13.75" style="480" bestFit="1" customWidth="1"/>
    <col min="8" max="8" width="2.125" style="480" customWidth="1"/>
    <col min="9" max="9" width="8.5" style="480" bestFit="1" customWidth="1"/>
    <col min="10" max="10" width="2.125" style="480" customWidth="1"/>
    <col min="11" max="11" width="12.625" style="480" bestFit="1" customWidth="1"/>
    <col min="12" max="12" width="1.75" style="480" customWidth="1"/>
    <col min="13" max="13" width="8.5" style="480" bestFit="1" customWidth="1"/>
    <col min="14" max="14" width="2" style="480" customWidth="1"/>
    <col min="15" max="15" width="10.5" style="480" bestFit="1" customWidth="1"/>
    <col min="16" max="16" width="1.875" style="480" customWidth="1"/>
    <col min="17" max="17" width="8.5" style="480" bestFit="1" customWidth="1"/>
    <col min="18" max="18" width="3" style="480" customWidth="1"/>
    <col min="19" max="19" width="16.125" style="480" customWidth="1"/>
    <col min="20" max="20" width="13.25" style="480" customWidth="1"/>
    <col min="21" max="21" width="9.25" style="480" customWidth="1"/>
    <col min="22" max="22" width="8.375" style="480" customWidth="1"/>
    <col min="23" max="23" width="2.25" style="480" customWidth="1"/>
    <col min="24" max="16384" width="8.5" style="480"/>
  </cols>
  <sheetData>
    <row r="2" spans="2:22" ht="18.75">
      <c r="B2" s="487"/>
      <c r="C2" s="485"/>
      <c r="D2" s="485"/>
      <c r="E2" s="485"/>
      <c r="F2" s="485"/>
      <c r="G2" s="485"/>
      <c r="H2" s="485"/>
      <c r="I2" s="485"/>
      <c r="J2" s="485"/>
      <c r="K2" s="485"/>
      <c r="L2" s="485"/>
      <c r="M2" s="485"/>
      <c r="N2" s="485"/>
      <c r="O2" s="587"/>
      <c r="P2" s="483" t="s">
        <v>31</v>
      </c>
      <c r="Q2" s="587"/>
    </row>
    <row r="3" spans="2:22" ht="18.75">
      <c r="B3" s="484" t="s">
        <v>72</v>
      </c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</row>
    <row r="4" spans="2:22" ht="18.75">
      <c r="B4" s="484" t="s">
        <v>555</v>
      </c>
      <c r="C4" s="484"/>
      <c r="D4" s="484"/>
      <c r="E4" s="484"/>
      <c r="F4" s="484"/>
      <c r="G4" s="484"/>
      <c r="H4" s="484"/>
      <c r="I4" s="484"/>
      <c r="J4" s="484"/>
      <c r="K4" s="484"/>
      <c r="L4" s="484"/>
      <c r="M4" s="484"/>
      <c r="N4" s="484"/>
      <c r="O4" s="484"/>
      <c r="P4" s="484"/>
      <c r="Q4" s="484"/>
    </row>
    <row r="5" spans="2:22" ht="18.75">
      <c r="B5" s="484" t="s">
        <v>556</v>
      </c>
      <c r="C5" s="484"/>
      <c r="D5" s="484"/>
      <c r="E5" s="484"/>
      <c r="F5" s="484"/>
      <c r="G5" s="484"/>
      <c r="H5" s="484"/>
      <c r="I5" s="484"/>
      <c r="J5" s="484"/>
      <c r="K5" s="484"/>
      <c r="L5" s="484"/>
      <c r="M5" s="484"/>
      <c r="N5" s="484"/>
      <c r="O5" s="484"/>
      <c r="P5" s="484"/>
      <c r="Q5" s="484"/>
    </row>
    <row r="6" spans="2:22" ht="18.75">
      <c r="B6" s="484" t="s">
        <v>31</v>
      </c>
      <c r="C6" s="484"/>
      <c r="D6" s="484"/>
      <c r="E6" s="484"/>
      <c r="F6" s="484"/>
      <c r="G6" s="484"/>
      <c r="H6" s="484"/>
      <c r="I6" s="484"/>
      <c r="J6" s="484"/>
      <c r="K6" s="484"/>
      <c r="L6" s="484"/>
      <c r="M6" s="484"/>
      <c r="N6" s="484"/>
      <c r="O6" s="484"/>
      <c r="P6" s="484"/>
      <c r="Q6" s="484"/>
    </row>
    <row r="7" spans="2:22">
      <c r="B7" s="485"/>
      <c r="C7" s="485"/>
      <c r="D7" s="485"/>
      <c r="E7" s="485"/>
      <c r="F7" s="485"/>
      <c r="G7" s="485"/>
      <c r="H7" s="485"/>
      <c r="I7" s="485"/>
      <c r="J7" s="485"/>
      <c r="K7" s="485"/>
      <c r="L7" s="485"/>
      <c r="M7" s="485"/>
      <c r="N7" s="485"/>
      <c r="O7" s="485"/>
      <c r="P7" s="485"/>
      <c r="Q7" s="485"/>
    </row>
    <row r="8" spans="2:22">
      <c r="B8" s="487"/>
      <c r="C8" s="487"/>
      <c r="D8" s="487"/>
      <c r="E8" s="487"/>
      <c r="F8" s="487"/>
      <c r="G8" s="487"/>
      <c r="H8" s="487"/>
      <c r="I8" s="487"/>
      <c r="J8" s="487"/>
      <c r="K8" s="487"/>
      <c r="L8" s="487"/>
      <c r="M8" s="487"/>
    </row>
    <row r="9" spans="2:22">
      <c r="G9" s="487"/>
      <c r="H9" s="487"/>
      <c r="I9" s="487"/>
      <c r="J9" s="487"/>
      <c r="K9" s="487"/>
      <c r="L9" s="487"/>
      <c r="M9" s="487"/>
    </row>
    <row r="10" spans="2:22">
      <c r="B10" s="487"/>
      <c r="C10" s="487"/>
      <c r="D10" s="487"/>
      <c r="E10" s="487"/>
      <c r="G10" s="487"/>
      <c r="H10" s="487"/>
      <c r="I10" s="487"/>
      <c r="J10" s="487"/>
      <c r="K10" s="487"/>
      <c r="L10" s="487"/>
      <c r="M10" s="487"/>
    </row>
    <row r="11" spans="2:22">
      <c r="B11" s="487"/>
      <c r="C11" s="487"/>
      <c r="D11" s="487"/>
      <c r="E11" s="487"/>
      <c r="G11" s="489"/>
      <c r="H11" s="489"/>
      <c r="I11" s="489"/>
      <c r="J11" s="489"/>
      <c r="K11" s="489"/>
      <c r="L11" s="489"/>
      <c r="M11" s="489"/>
      <c r="O11" s="485"/>
      <c r="P11" s="485"/>
      <c r="Q11" s="485"/>
    </row>
    <row r="12" spans="2:22" ht="15.75" thickBot="1">
      <c r="G12" s="1729" t="s">
        <v>557</v>
      </c>
      <c r="H12" s="1729"/>
      <c r="I12" s="1729"/>
      <c r="K12" s="1729" t="s">
        <v>622</v>
      </c>
      <c r="L12" s="1729"/>
      <c r="M12" s="1729"/>
      <c r="O12" s="1729" t="s">
        <v>558</v>
      </c>
      <c r="P12" s="1729"/>
      <c r="Q12" s="1729"/>
    </row>
    <row r="13" spans="2:22">
      <c r="B13" s="588" t="s">
        <v>531</v>
      </c>
      <c r="G13" s="589" t="s">
        <v>522</v>
      </c>
      <c r="H13" s="488"/>
      <c r="I13" s="488" t="s">
        <v>559</v>
      </c>
      <c r="J13" s="498"/>
      <c r="K13" s="589" t="s">
        <v>305</v>
      </c>
      <c r="L13" s="488"/>
      <c r="M13" s="488" t="s">
        <v>559</v>
      </c>
      <c r="O13" s="488"/>
      <c r="P13" s="488"/>
      <c r="Q13" s="488" t="s">
        <v>559</v>
      </c>
      <c r="S13" s="590" t="s">
        <v>524</v>
      </c>
      <c r="T13" s="545"/>
      <c r="U13" s="544" t="s">
        <v>525</v>
      </c>
      <c r="V13" s="545"/>
    </row>
    <row r="14" spans="2:22">
      <c r="B14" s="591" t="s">
        <v>534</v>
      </c>
      <c r="C14" s="589"/>
      <c r="D14" s="589" t="s">
        <v>535</v>
      </c>
      <c r="G14" s="1683" t="s">
        <v>623</v>
      </c>
      <c r="H14" s="488" t="s">
        <v>31</v>
      </c>
      <c r="I14" s="488" t="s">
        <v>404</v>
      </c>
      <c r="J14" s="498"/>
      <c r="K14" s="592" t="s">
        <v>623</v>
      </c>
      <c r="L14" s="488" t="s">
        <v>31</v>
      </c>
      <c r="M14" s="488" t="s">
        <v>404</v>
      </c>
      <c r="O14" s="488" t="s">
        <v>624</v>
      </c>
      <c r="P14" s="488" t="s">
        <v>31</v>
      </c>
      <c r="Q14" s="488" t="s">
        <v>404</v>
      </c>
      <c r="S14" s="546" t="s">
        <v>560</v>
      </c>
      <c r="T14" s="499">
        <f>'Exh No.__(JRS-17) p1-10'!G741+V22</f>
        <v>7.085</v>
      </c>
      <c r="U14" s="553"/>
      <c r="V14" s="499">
        <f ca="1">'Exh No.__(JRS-17) p1-10'!J741+'Exh No.__(JRS-17) p1-10'!J743+V23+V30</f>
        <v>7.5730000000000004</v>
      </c>
    </row>
    <row r="15" spans="2:22">
      <c r="B15" s="592" t="s">
        <v>406</v>
      </c>
      <c r="C15" s="589"/>
      <c r="D15" s="593" t="s">
        <v>537</v>
      </c>
      <c r="E15" s="492" t="s">
        <v>25</v>
      </c>
      <c r="G15" s="492" t="s">
        <v>561</v>
      </c>
      <c r="H15" s="488"/>
      <c r="I15" s="492" t="s">
        <v>562</v>
      </c>
      <c r="J15" s="498"/>
      <c r="K15" s="492" t="s">
        <v>561</v>
      </c>
      <c r="L15" s="488"/>
      <c r="M15" s="492" t="s">
        <v>562</v>
      </c>
      <c r="O15" s="492" t="s">
        <v>563</v>
      </c>
      <c r="P15" s="488"/>
      <c r="Q15" s="492" t="s">
        <v>562</v>
      </c>
      <c r="S15" s="546" t="s">
        <v>31</v>
      </c>
      <c r="T15" s="594" t="s">
        <v>31</v>
      </c>
      <c r="U15" s="595" t="s">
        <v>31</v>
      </c>
      <c r="V15" s="594" t="s">
        <v>31</v>
      </c>
    </row>
    <row r="16" spans="2:22">
      <c r="B16" s="488"/>
      <c r="C16" s="589"/>
      <c r="D16" s="593"/>
      <c r="E16" s="488"/>
      <c r="G16" s="488"/>
      <c r="H16" s="488"/>
      <c r="I16" s="488"/>
      <c r="J16" s="498"/>
      <c r="K16" s="488"/>
      <c r="L16" s="488"/>
      <c r="M16" s="488"/>
      <c r="O16" s="488"/>
      <c r="P16" s="488"/>
      <c r="Q16" s="488"/>
      <c r="S16" s="596" t="s">
        <v>404</v>
      </c>
      <c r="T16" s="597"/>
      <c r="U16" s="597"/>
      <c r="V16" s="598"/>
    </row>
    <row r="17" spans="2:23">
      <c r="B17" s="599" t="s">
        <v>538</v>
      </c>
      <c r="C17" s="498"/>
      <c r="G17" s="498"/>
      <c r="H17" s="498"/>
      <c r="I17" s="498"/>
      <c r="J17" s="498"/>
      <c r="S17" s="600" t="s">
        <v>564</v>
      </c>
      <c r="T17" s="552">
        <f>'Exh No.__(JRS-17) p1-10'!G732</f>
        <v>25.171223609796559</v>
      </c>
      <c r="U17" s="553"/>
      <c r="V17" s="601">
        <f ca="1">'Exh No.__(JRS-17) p1-10'!J732</f>
        <v>26.414908186870086</v>
      </c>
    </row>
    <row r="18" spans="2:23">
      <c r="B18" s="480">
        <v>10</v>
      </c>
      <c r="D18" s="502">
        <v>200</v>
      </c>
      <c r="E18" s="502">
        <f>ROUND((B$18*D18),0)</f>
        <v>2000</v>
      </c>
      <c r="G18" s="602">
        <f>ROUND(((E18*$T$14/100))+(E18*$V$25/100),2)</f>
        <v>133.26</v>
      </c>
      <c r="H18" s="602"/>
      <c r="I18" s="602">
        <f>$B$18*$T$17+V27</f>
        <v>267.36223609796559</v>
      </c>
      <c r="J18" s="519"/>
      <c r="K18" s="602">
        <f ca="1">ROUND((($E18*$V$14/100))+(($E18*$V$26)/100),2)</f>
        <v>143.02000000000001</v>
      </c>
      <c r="L18" s="602"/>
      <c r="M18" s="602">
        <f ca="1">$B$18*$V$17+V28</f>
        <v>279.79908186870085</v>
      </c>
      <c r="O18" s="505">
        <f ca="1">ROUND((K18-G18)/G18,4)</f>
        <v>7.3200000000000001E-2</v>
      </c>
      <c r="P18" s="505"/>
      <c r="Q18" s="505">
        <f ca="1">ROUND((M18-I18)/I18,4)</f>
        <v>4.65E-2</v>
      </c>
      <c r="S18" s="600" t="s">
        <v>565</v>
      </c>
      <c r="T18" s="552">
        <f>'Exh No.__(JRS-17) p1-10'!G733</f>
        <v>17.5284179478029</v>
      </c>
      <c r="U18" s="553"/>
      <c r="V18" s="601">
        <f ca="1">'Exh No.__(JRS-17) p1-10'!J733</f>
        <v>18.401442937859667</v>
      </c>
    </row>
    <row r="19" spans="2:23">
      <c r="D19" s="502">
        <v>300</v>
      </c>
      <c r="E19" s="502">
        <f>ROUND((B$18*D19),0)</f>
        <v>3000</v>
      </c>
      <c r="G19" s="602">
        <f>ROUND(((E19*$T$14/100))+(E19*$V$25/100),2)</f>
        <v>199.89</v>
      </c>
      <c r="H19" s="602"/>
      <c r="I19" s="602">
        <f>$B$18*$T$17+V27</f>
        <v>267.36223609796559</v>
      </c>
      <c r="J19" s="519"/>
      <c r="K19" s="602">
        <f ca="1">ROUND((($E19*$V$14/100))+(($E19*$V$26)/100),2)</f>
        <v>214.53</v>
      </c>
      <c r="L19" s="602"/>
      <c r="M19" s="602">
        <f ca="1">$B$18*$V$17+V28</f>
        <v>279.79908186870085</v>
      </c>
      <c r="O19" s="505">
        <f ca="1">ROUND((K19-G19)/G19,4)</f>
        <v>7.3200000000000001E-2</v>
      </c>
      <c r="P19" s="505"/>
      <c r="Q19" s="505">
        <f ca="1">ROUND((M19-I19)/I19,4)</f>
        <v>4.65E-2</v>
      </c>
      <c r="S19" s="600" t="s">
        <v>566</v>
      </c>
      <c r="T19" s="552">
        <f>'Exh No.__(JRS-17) p1-10'!G734</f>
        <v>13.717892306976186</v>
      </c>
      <c r="U19" s="553"/>
      <c r="V19" s="601">
        <f ca="1">'Exh No.__(JRS-17) p1-10'!J734</f>
        <v>14.401129255716265</v>
      </c>
    </row>
    <row r="20" spans="2:23">
      <c r="D20" s="502">
        <v>500</v>
      </c>
      <c r="E20" s="502">
        <f>ROUND((B$18*D20),0)</f>
        <v>5000</v>
      </c>
      <c r="G20" s="602">
        <f>ROUND(((E20*$T$14/100))+(E20*$V$25/100),2)</f>
        <v>333.15</v>
      </c>
      <c r="H20" s="602"/>
      <c r="I20" s="602">
        <f>$B$18*$T$17+V27</f>
        <v>267.36223609796559</v>
      </c>
      <c r="J20" s="519"/>
      <c r="K20" s="602">
        <f ca="1">ROUND((($E20*$V$14/100))+(($E20*$V$26)/100),2)</f>
        <v>357.55</v>
      </c>
      <c r="L20" s="602"/>
      <c r="M20" s="602">
        <f ca="1">$B$18*$V$17+V28</f>
        <v>279.79908186870085</v>
      </c>
      <c r="O20" s="505">
        <f ca="1">ROUND((K20-G20)/G20,4)</f>
        <v>7.3200000000000001E-2</v>
      </c>
      <c r="P20" s="505"/>
      <c r="Q20" s="505">
        <f ca="1">ROUND((M20-I20)/I20,4)</f>
        <v>4.65E-2</v>
      </c>
      <c r="S20" s="600" t="s">
        <v>565</v>
      </c>
      <c r="T20" s="579">
        <f>'Exh No.__(JRS-17) p1-10'!G724</f>
        <v>357</v>
      </c>
      <c r="U20" s="553"/>
      <c r="V20" s="603">
        <f ca="1">'Exh No.__(JRS-17) p1-10'!J724</f>
        <v>375</v>
      </c>
    </row>
    <row r="21" spans="2:23">
      <c r="G21" s="602"/>
      <c r="H21" s="602"/>
      <c r="I21" s="602"/>
      <c r="J21" s="519"/>
      <c r="K21" s="602"/>
      <c r="L21" s="602"/>
      <c r="M21" s="602"/>
      <c r="S21" s="604" t="s">
        <v>566</v>
      </c>
      <c r="T21" s="605">
        <f>'Exh No.__(JRS-17) p1-10'!G725</f>
        <v>1457</v>
      </c>
      <c r="U21" s="606"/>
      <c r="V21" s="607">
        <f ca="1">'Exh No.__(JRS-17) p1-10'!J725</f>
        <v>1530</v>
      </c>
    </row>
    <row r="22" spans="2:23">
      <c r="B22" s="599" t="s">
        <v>539</v>
      </c>
      <c r="C22" s="498"/>
      <c r="G22" s="602"/>
      <c r="H22" s="602"/>
      <c r="I22" s="602"/>
      <c r="J22" s="519"/>
      <c r="K22" s="602"/>
      <c r="L22" s="602"/>
      <c r="M22" s="602"/>
      <c r="T22" s="508" t="s">
        <v>200</v>
      </c>
      <c r="U22" s="508"/>
      <c r="V22" s="509">
        <v>0.26900000000000002</v>
      </c>
    </row>
    <row r="23" spans="2:23">
      <c r="B23" s="480">
        <v>20</v>
      </c>
      <c r="D23" s="502">
        <v>200</v>
      </c>
      <c r="E23" s="502">
        <f>ROUND((B$23*D23),0)</f>
        <v>4000</v>
      </c>
      <c r="G23" s="602">
        <f>ROUND(((E23*$T$14/100))+(E23*$V$25/100),2)</f>
        <v>266.52</v>
      </c>
      <c r="H23" s="602"/>
      <c r="I23" s="602">
        <f>IF($B$23&lt;51,$B$23*$T$17,IF($B$23&lt;301,$B$23*$T$18+$T$20,$T$21+$T$19*$B$23))+V27</f>
        <v>519.07447219593121</v>
      </c>
      <c r="J23" s="519"/>
      <c r="K23" s="602">
        <f ca="1">ROUND((($E23*$V$14/100))+(($E23*$V$26)/100),2)</f>
        <v>286.04000000000002</v>
      </c>
      <c r="L23" s="602"/>
      <c r="M23" s="602">
        <f ca="1">IF($B$23&lt;51,$B$23*$V$17,IF($B$23&lt;301,$B$23*$V$18+$V$20,$V$21+$V$19*$B$23))+V28</f>
        <v>543.94816373740173</v>
      </c>
      <c r="O23" s="505">
        <f ca="1">ROUND((K23-G23)/G23,4)</f>
        <v>7.3200000000000001E-2</v>
      </c>
      <c r="P23" s="505"/>
      <c r="Q23" s="505">
        <f ca="1">ROUND((M23-I23)/I23,4)</f>
        <v>4.7899999999999998E-2</v>
      </c>
      <c r="T23" s="508"/>
      <c r="U23" s="508"/>
      <c r="V23" s="509">
        <v>0.26900000000000002</v>
      </c>
    </row>
    <row r="24" spans="2:23">
      <c r="D24" s="502">
        <v>300</v>
      </c>
      <c r="E24" s="502">
        <f>ROUND((B$23*D24),0)</f>
        <v>6000</v>
      </c>
      <c r="G24" s="602">
        <f>ROUND(((E24*$T$14/100))+(E24*$V$25/100),2)</f>
        <v>399.78</v>
      </c>
      <c r="H24" s="602"/>
      <c r="I24" s="602">
        <f>IF($B$23&lt;51,$B$23*$T$17,IF($B$23&lt;301,$B$23*$T$18+$T$20,$T$21+$T$19*$B$23))+V27</f>
        <v>519.07447219593121</v>
      </c>
      <c r="J24" s="519"/>
      <c r="K24" s="602">
        <f ca="1">ROUND((($E24*$V$14/100))+(($E24*$V$26)/100),2)</f>
        <v>429.06</v>
      </c>
      <c r="L24" s="602"/>
      <c r="M24" s="602">
        <f ca="1">IF($B$23&lt;51,$B$23*$V$17,IF($B$23&lt;301,$B$23*$V$18+$V$20,$V$21+$V$19*$B$23))+V28</f>
        <v>543.94816373740173</v>
      </c>
      <c r="O24" s="505">
        <f ca="1">ROUND((K24-G24)/G24,4)</f>
        <v>7.3200000000000001E-2</v>
      </c>
      <c r="P24" s="505"/>
      <c r="Q24" s="505">
        <f ca="1">ROUND((M24-I24)/I24,4)</f>
        <v>4.7899999999999998E-2</v>
      </c>
      <c r="T24" s="508"/>
      <c r="U24" s="508"/>
      <c r="V24" s="512"/>
    </row>
    <row r="25" spans="2:23">
      <c r="D25" s="502">
        <v>500</v>
      </c>
      <c r="E25" s="502">
        <f>ROUND((B$23*D25),0)</f>
        <v>10000</v>
      </c>
      <c r="G25" s="602">
        <f>ROUND(((E25*$T$14/100))+(E25*$V$25/100),2)</f>
        <v>666.3</v>
      </c>
      <c r="H25" s="602"/>
      <c r="I25" s="602">
        <f>IF($B$23&lt;51,$B$23*$T$17,IF($B$23&lt;301,$B$23*$T$18+$T$20,$T$21+$T$19*$B$23))+V27</f>
        <v>519.07447219593121</v>
      </c>
      <c r="J25" s="519"/>
      <c r="K25" s="602">
        <f ca="1">ROUND((($E25*$V$14/100))+(($E25*$V$26)/100),2)</f>
        <v>715.1</v>
      </c>
      <c r="L25" s="602"/>
      <c r="M25" s="602">
        <f ca="1">IF($B$23&lt;51,$B$23*$V$17,IF($B$23&lt;301,$B$23*$V$18+$V$20,$V$21+$V$19*$B$23))+V28</f>
        <v>543.94816373740173</v>
      </c>
      <c r="O25" s="505">
        <f ca="1">ROUND((K25-G25)/G25,4)</f>
        <v>7.3200000000000001E-2</v>
      </c>
      <c r="P25" s="505"/>
      <c r="Q25" s="505">
        <f ca="1">ROUND((M25-I25)/I25,4)</f>
        <v>4.7899999999999998E-2</v>
      </c>
      <c r="T25" s="508" t="s">
        <v>528</v>
      </c>
      <c r="U25" s="508"/>
      <c r="V25" s="509">
        <v>-0.42199999999999999</v>
      </c>
    </row>
    <row r="26" spans="2:23">
      <c r="G26" s="602"/>
      <c r="H26" s="602"/>
      <c r="I26" s="602"/>
      <c r="J26" s="519"/>
      <c r="K26" s="602"/>
      <c r="L26" s="602"/>
      <c r="M26" s="602"/>
      <c r="T26" s="480" t="s">
        <v>31</v>
      </c>
      <c r="U26" s="480" t="s">
        <v>31</v>
      </c>
      <c r="V26" s="565">
        <v>-0.42199999999999999</v>
      </c>
    </row>
    <row r="27" spans="2:23">
      <c r="B27" s="480">
        <v>100</v>
      </c>
      <c r="D27" s="502">
        <v>200</v>
      </c>
      <c r="E27" s="502">
        <f>ROUND((B$27*D27),0)</f>
        <v>20000</v>
      </c>
      <c r="G27" s="602">
        <f>ROUND(((E27*$T$14/100))+(E27*$V$25/100),2)</f>
        <v>1332.6</v>
      </c>
      <c r="H27" s="602"/>
      <c r="I27" s="602">
        <f>IF($B$27&lt;51,$B$27*$T$17,IF($B$27&lt;301,$B$27*$T$18+$T$20,$T$21+$T$19*$B$27))+V27</f>
        <v>2125.4917947802901</v>
      </c>
      <c r="J27" s="519"/>
      <c r="K27" s="602">
        <f ca="1">ROUND((($E27*$V$14/100))+(($E27*$V$26)/100),2)</f>
        <v>1430.2</v>
      </c>
      <c r="L27" s="602"/>
      <c r="M27" s="602">
        <f ca="1">IF($B$27&lt;51,$B$27*$V$17,IF($B$27&lt;301,$B$27*$V$18+$V$20,$V$21+$V$19*$B$27))+V28</f>
        <v>2230.7942937859666</v>
      </c>
      <c r="O27" s="505">
        <f ca="1">ROUND((K27-G27)/G27,4)</f>
        <v>7.3200000000000001E-2</v>
      </c>
      <c r="P27" s="505"/>
      <c r="Q27" s="505">
        <f ca="1">ROUND((M27-I27)/I27,4)</f>
        <v>4.9500000000000002E-2</v>
      </c>
      <c r="T27" s="480" t="s">
        <v>669</v>
      </c>
      <c r="V27" s="554">
        <f>'Exh No.__(JRS-17) p12'!D19</f>
        <v>15.65</v>
      </c>
      <c r="W27" s="480" t="s">
        <v>31</v>
      </c>
    </row>
    <row r="28" spans="2:23">
      <c r="D28" s="502">
        <v>300</v>
      </c>
      <c r="E28" s="502">
        <f>ROUND((B$27*D28),0)</f>
        <v>30000</v>
      </c>
      <c r="G28" s="602">
        <f>ROUND(((E28*$T$14/100))+(E28*$V$25/100),2)</f>
        <v>1998.9</v>
      </c>
      <c r="H28" s="602"/>
      <c r="I28" s="602">
        <f>IF($B$27&lt;51,$B$27*$T$17,IF($B$27&lt;301,$B$27*$T$18+$T$20,$T$21+$T$19*$B$27))+V27</f>
        <v>2125.4917947802901</v>
      </c>
      <c r="J28" s="519"/>
      <c r="K28" s="602">
        <f ca="1">ROUND((($E28*$V$14/100))+(($E28*$V$26)/100),2)</f>
        <v>2145.3000000000002</v>
      </c>
      <c r="L28" s="602"/>
      <c r="M28" s="602">
        <f ca="1">IF($B$27&lt;51,$B$27*$V$17,IF($B$27&lt;301,$B$27*$V$18+$V$20,$V$21+$V$19*$B$27))+V28</f>
        <v>2230.7942937859666</v>
      </c>
      <c r="O28" s="505">
        <f ca="1">ROUND((K28-G28)/G28,4)</f>
        <v>7.3200000000000001E-2</v>
      </c>
      <c r="P28" s="505"/>
      <c r="Q28" s="505">
        <f ca="1">ROUND((M28-I28)/I28,4)</f>
        <v>4.9500000000000002E-2</v>
      </c>
      <c r="T28" s="480" t="s">
        <v>668</v>
      </c>
      <c r="V28" s="554">
        <f>V27</f>
        <v>15.65</v>
      </c>
    </row>
    <row r="29" spans="2:23">
      <c r="D29" s="502">
        <v>500</v>
      </c>
      <c r="E29" s="502">
        <f>ROUND((B$27*D29),0)</f>
        <v>50000</v>
      </c>
      <c r="G29" s="602">
        <f>ROUND(((E29*$T$14/100))+(E29*$V$25/100),2)</f>
        <v>3331.5</v>
      </c>
      <c r="H29" s="602"/>
      <c r="I29" s="602">
        <f>IF($B$27&lt;51,$B$27*$T$17,IF($B$27&lt;301,$B$27*$T$18+$T$20,$T$21+$T$19*$B$27))+V27</f>
        <v>2125.4917947802901</v>
      </c>
      <c r="J29" s="519"/>
      <c r="K29" s="602">
        <f ca="1">ROUND((($E29*$V$14/100))+(($E29*$V$26)/100),2)</f>
        <v>3575.5</v>
      </c>
      <c r="L29" s="602"/>
      <c r="M29" s="602">
        <f ca="1">IF($B$27&lt;51,$B$27*$V$17,IF($B$27&lt;301,$B$27*$V$18+$V$20,$V$21+$V$19*$B$27))+V28</f>
        <v>2230.7942937859666</v>
      </c>
      <c r="O29" s="505">
        <f ca="1">ROUND((K29-G29)/G29,4)</f>
        <v>7.3200000000000001E-2</v>
      </c>
      <c r="P29" s="505"/>
      <c r="Q29" s="505">
        <f ca="1">ROUND((M29-I29)/I29,4)</f>
        <v>4.9500000000000002E-2</v>
      </c>
    </row>
    <row r="30" spans="2:23">
      <c r="G30" s="602"/>
      <c r="H30" s="602"/>
      <c r="I30" s="602"/>
      <c r="J30" s="519"/>
      <c r="K30" s="602"/>
      <c r="L30" s="602"/>
      <c r="M30" s="602"/>
      <c r="T30" s="779" t="s">
        <v>313</v>
      </c>
      <c r="V30" s="480">
        <f ca="1">'Exh No.__(JRS-16) Table B p2'!AB25</f>
        <v>0.14899999999999999</v>
      </c>
    </row>
    <row r="31" spans="2:23">
      <c r="B31" s="480">
        <v>300</v>
      </c>
      <c r="D31" s="502">
        <v>200</v>
      </c>
      <c r="E31" s="502">
        <f>ROUND((B$31*D31),0)</f>
        <v>60000</v>
      </c>
      <c r="G31" s="602">
        <f>ROUND(((E31*$T$14/100))+(E31*$V$25/100),2)</f>
        <v>3997.8</v>
      </c>
      <c r="H31" s="602"/>
      <c r="I31" s="602">
        <f>IF($B$31&lt;51,$B$31*$T$17,IF($B$31&lt;301,$B$31*$T$18+$T$20,$T$21+$T$19*$B$31))+V27</f>
        <v>5631.1753843408696</v>
      </c>
      <c r="J31" s="519"/>
      <c r="K31" s="602">
        <f ca="1">ROUND((($E31*$V$14/100))+(($E31*$V$26)/100),2)</f>
        <v>4290.6000000000004</v>
      </c>
      <c r="L31" s="602"/>
      <c r="M31" s="602">
        <f ca="1">IF($B$31&lt;51,$B$31*$V$17,IF($B$31&lt;301,$B$31*$V$18+$V$20,$V$21+$V$19*$B$31))+V28</f>
        <v>5911.0828813579001</v>
      </c>
      <c r="O31" s="505">
        <f ca="1">ROUND((K31-G31)/G31,4)</f>
        <v>7.3200000000000001E-2</v>
      </c>
      <c r="P31" s="505"/>
      <c r="Q31" s="505">
        <f ca="1">ROUND((M31-I31)/I31,4)</f>
        <v>4.9700000000000001E-2</v>
      </c>
      <c r="T31" s="779"/>
    </row>
    <row r="32" spans="2:23">
      <c r="D32" s="502">
        <v>300</v>
      </c>
      <c r="E32" s="502">
        <f>ROUND((B$31*D32),0)</f>
        <v>90000</v>
      </c>
      <c r="G32" s="602">
        <f>ROUND(((E32*$T$14/100))+(E32*$V$25/100),2)</f>
        <v>5996.7</v>
      </c>
      <c r="H32" s="602"/>
      <c r="I32" s="602">
        <f>IF($B$31&lt;51,$B$31*$T$17,IF($B$31&lt;301,$B$31*$T$18+$T$20,$T$21+$T$19*$B$31))+V27</f>
        <v>5631.1753843408696</v>
      </c>
      <c r="J32" s="519"/>
      <c r="K32" s="602">
        <f ca="1">ROUND((($E32*$V$14/100))+(($E32*$V$26)/100),2)</f>
        <v>6435.9</v>
      </c>
      <c r="L32" s="602"/>
      <c r="M32" s="602">
        <f ca="1">IF($B$31&lt;51,$B$31*$V$17,IF($B$31&lt;301,$B$31*$V$18+$V$20,$V$21+$V$19*$B$31))+V28</f>
        <v>5911.0828813579001</v>
      </c>
      <c r="O32" s="505">
        <f ca="1">ROUND((K32-G32)/G32,4)</f>
        <v>7.3200000000000001E-2</v>
      </c>
      <c r="P32" s="505"/>
      <c r="Q32" s="505">
        <f ca="1">ROUND((M32-I32)/I32,4)</f>
        <v>4.9700000000000001E-2</v>
      </c>
    </row>
    <row r="33" spans="2:20">
      <c r="D33" s="502">
        <v>500</v>
      </c>
      <c r="E33" s="502">
        <f>ROUND((B$31*D33),0)</f>
        <v>150000</v>
      </c>
      <c r="G33" s="602">
        <f>ROUND(((E33*$T$14/100))+(E33*$V$25/100),2)</f>
        <v>9994.5</v>
      </c>
      <c r="H33" s="602"/>
      <c r="I33" s="602">
        <f>IF($B$31&lt;51,$B$31*$T$17,IF($B$31&lt;301,$B$31*$T$18+$T$20,$T$21+$T$19*$B$31))+V27</f>
        <v>5631.1753843408696</v>
      </c>
      <c r="J33" s="519"/>
      <c r="K33" s="602">
        <f ca="1">ROUND((($E33*$V$14/100))+(($E33*$V$26)/100),2)</f>
        <v>10726.5</v>
      </c>
      <c r="L33" s="602"/>
      <c r="M33" s="602">
        <f ca="1">IF($B$31&lt;51,$B$31*$V$17,IF($B$31&lt;301,$B$31*$V$18+$V$20,$V$21+$V$19*$B$31))+V28</f>
        <v>5911.0828813579001</v>
      </c>
      <c r="O33" s="505">
        <f ca="1">ROUND((K33-G33)/G33,4)</f>
        <v>7.3200000000000001E-2</v>
      </c>
      <c r="P33" s="505"/>
      <c r="Q33" s="505">
        <f ca="1">ROUND((M33-I33)/I33,4)</f>
        <v>4.9700000000000001E-2</v>
      </c>
      <c r="S33" s="741" t="s">
        <v>677</v>
      </c>
      <c r="T33" s="609">
        <f ca="1">'Exh No.__(JRS-16) Table C p3'!V25</f>
        <v>6.7192270456810241E-2</v>
      </c>
    </row>
    <row r="34" spans="2:20">
      <c r="B34" s="495"/>
      <c r="C34" s="495"/>
      <c r="D34" s="495"/>
      <c r="E34" s="495"/>
      <c r="F34" s="495"/>
      <c r="G34" s="495"/>
      <c r="H34" s="495"/>
      <c r="I34" s="495"/>
      <c r="J34" s="495"/>
      <c r="K34" s="495"/>
      <c r="L34" s="495"/>
      <c r="M34" s="495"/>
      <c r="N34" s="495"/>
      <c r="O34" s="495"/>
      <c r="P34" s="495"/>
      <c r="Q34" s="495"/>
      <c r="T34" s="1708">
        <f ca="1">'Exh No.__(JRS-16) Table C p3'!U25*1000</f>
        <v>851076.71617212065</v>
      </c>
    </row>
    <row r="36" spans="2:20">
      <c r="C36" s="517"/>
    </row>
    <row r="37" spans="2:20">
      <c r="B37" s="480" t="s">
        <v>529</v>
      </c>
      <c r="C37" s="517"/>
    </row>
    <row r="38" spans="2:20">
      <c r="B38" s="608" t="s">
        <v>1059</v>
      </c>
      <c r="C38" s="517"/>
    </row>
    <row r="39" spans="2:20">
      <c r="B39" s="517" t="s">
        <v>798</v>
      </c>
      <c r="C39" s="517"/>
    </row>
    <row r="40" spans="2:20">
      <c r="B40" s="517"/>
      <c r="C40" s="517"/>
    </row>
    <row r="41" spans="2:20">
      <c r="B41" s="517"/>
      <c r="C41" s="517"/>
    </row>
    <row r="42" spans="2:20">
      <c r="B42" s="517"/>
      <c r="C42" s="517"/>
    </row>
    <row r="43" spans="2:20">
      <c r="B43" s="517"/>
      <c r="C43" s="517"/>
    </row>
    <row r="44" spans="2:20">
      <c r="B44" s="517"/>
      <c r="C44" s="517"/>
    </row>
    <row r="45" spans="2:20">
      <c r="B45" s="517"/>
      <c r="C45" s="517"/>
    </row>
    <row r="46" spans="2:20">
      <c r="B46" s="517"/>
      <c r="C46" s="517"/>
    </row>
    <row r="47" spans="2:20">
      <c r="B47" s="517"/>
      <c r="C47" s="517"/>
    </row>
    <row r="48" spans="2:20">
      <c r="B48" s="517"/>
      <c r="C48" s="517"/>
      <c r="P48" s="519"/>
    </row>
    <row r="49" spans="2:3">
      <c r="B49" s="517"/>
      <c r="C49" s="517"/>
    </row>
    <row r="50" spans="2:3">
      <c r="B50" s="517"/>
      <c r="C50" s="517"/>
    </row>
    <row r="51" spans="2:3">
      <c r="B51" s="517"/>
      <c r="C51" s="517"/>
    </row>
  </sheetData>
  <mergeCells count="3">
    <mergeCell ref="G12:I12"/>
    <mergeCell ref="K12:M12"/>
    <mergeCell ref="O12:Q12"/>
  </mergeCells>
  <phoneticPr fontId="0" type="noConversion"/>
  <printOptions horizontalCentered="1"/>
  <pageMargins left="0.5" right="0.5" top="0.5" bottom="0.5" header="0.5" footer="0.5"/>
  <pageSetup scale="9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2:T48"/>
  <sheetViews>
    <sheetView tabSelected="1" view="pageBreakPreview" zoomScale="60" zoomScaleNormal="100" workbookViewId="0">
      <selection activeCell="B1" sqref="B1:T1"/>
    </sheetView>
  </sheetViews>
  <sheetFormatPr defaultColWidth="8.5" defaultRowHeight="15"/>
  <cols>
    <col min="1" max="1" width="2" style="480" customWidth="1"/>
    <col min="2" max="2" width="8.5" style="480"/>
    <col min="3" max="3" width="8.5" style="480" hidden="1" customWidth="1"/>
    <col min="4" max="4" width="3.25" style="480" customWidth="1"/>
    <col min="5" max="5" width="9.75" style="480" customWidth="1"/>
    <col min="6" max="6" width="3.75" style="480" customWidth="1"/>
    <col min="7" max="7" width="19.875" style="480" customWidth="1"/>
    <col min="8" max="8" width="3.5" style="480" customWidth="1"/>
    <col min="9" max="9" width="19.5" style="480" customWidth="1"/>
    <col min="10" max="10" width="2.875" style="480" customWidth="1"/>
    <col min="11" max="11" width="12.125" style="480" customWidth="1"/>
    <col min="12" max="12" width="7.625" style="609" customWidth="1"/>
    <col min="13" max="13" width="19.75" style="480" customWidth="1"/>
    <col min="14" max="14" width="11" style="480" bestFit="1" customWidth="1"/>
    <col min="15" max="15" width="17.25" style="480" customWidth="1"/>
    <col min="16" max="16" width="5.25" style="480" customWidth="1"/>
    <col min="17" max="17" width="10.25" style="480" customWidth="1"/>
    <col min="18" max="18" width="7.375" style="480" customWidth="1"/>
    <col min="19" max="19" width="3.125" style="480" customWidth="1"/>
    <col min="20" max="16384" width="8.5" style="480"/>
  </cols>
  <sheetData>
    <row r="2" spans="1:18" ht="18.75">
      <c r="B2" s="487"/>
      <c r="C2" s="485"/>
      <c r="D2" s="485"/>
      <c r="E2" s="485"/>
      <c r="F2" s="485"/>
      <c r="G2" s="485"/>
      <c r="H2" s="485"/>
      <c r="I2" s="485"/>
      <c r="J2" s="483" t="s">
        <v>31</v>
      </c>
      <c r="K2" s="587"/>
    </row>
    <row r="3" spans="1:18" ht="18.75">
      <c r="B3" s="484" t="s">
        <v>72</v>
      </c>
      <c r="C3" s="484"/>
      <c r="D3" s="484"/>
      <c r="E3" s="484"/>
      <c r="F3" s="484"/>
      <c r="G3" s="484"/>
      <c r="H3" s="484"/>
      <c r="I3" s="484"/>
      <c r="J3" s="484"/>
      <c r="K3" s="484"/>
    </row>
    <row r="4" spans="1:18" ht="18.75">
      <c r="B4" s="484" t="s">
        <v>520</v>
      </c>
      <c r="C4" s="484"/>
      <c r="D4" s="484"/>
      <c r="E4" s="484"/>
      <c r="F4" s="484"/>
      <c r="G4" s="484"/>
      <c r="H4" s="484"/>
      <c r="I4" s="484"/>
      <c r="J4" s="484"/>
      <c r="K4" s="484"/>
    </row>
    <row r="5" spans="1:18" ht="18.75">
      <c r="B5" s="484" t="s">
        <v>567</v>
      </c>
      <c r="C5" s="484"/>
      <c r="D5" s="484"/>
      <c r="E5" s="484"/>
      <c r="F5" s="484"/>
      <c r="G5" s="484"/>
      <c r="H5" s="484"/>
      <c r="I5" s="484"/>
      <c r="J5" s="484"/>
      <c r="K5" s="484"/>
    </row>
    <row r="6" spans="1:18" ht="18.75">
      <c r="B6" s="484" t="s">
        <v>568</v>
      </c>
      <c r="C6" s="484"/>
      <c r="D6" s="484"/>
      <c r="E6" s="484"/>
      <c r="F6" s="484"/>
      <c r="G6" s="484"/>
      <c r="H6" s="484"/>
      <c r="I6" s="484"/>
      <c r="J6" s="484"/>
      <c r="K6" s="484"/>
    </row>
    <row r="7" spans="1:18" ht="18.75">
      <c r="B7" s="484" t="s">
        <v>31</v>
      </c>
      <c r="C7" s="484"/>
      <c r="D7" s="484"/>
      <c r="E7" s="484"/>
      <c r="F7" s="484"/>
      <c r="G7" s="484"/>
      <c r="H7" s="484"/>
      <c r="I7" s="484"/>
      <c r="J7" s="484"/>
      <c r="K7" s="484"/>
    </row>
    <row r="8" spans="1:18" ht="18.75">
      <c r="A8" s="610"/>
      <c r="B8" s="485"/>
      <c r="C8" s="485"/>
      <c r="D8" s="485"/>
      <c r="E8" s="485"/>
      <c r="F8" s="485"/>
      <c r="G8" s="485"/>
      <c r="H8" s="485"/>
      <c r="I8" s="485"/>
      <c r="J8" s="485"/>
    </row>
    <row r="9" spans="1:18" ht="18.75">
      <c r="A9" s="610"/>
      <c r="B9" s="485"/>
      <c r="C9" s="485"/>
      <c r="D9" s="485"/>
      <c r="E9" s="485"/>
      <c r="F9" s="485"/>
      <c r="G9" s="485"/>
      <c r="H9" s="485"/>
      <c r="I9" s="485"/>
      <c r="J9" s="485"/>
    </row>
    <row r="11" spans="1:18">
      <c r="B11" s="588" t="s">
        <v>531</v>
      </c>
      <c r="G11" s="493" t="s">
        <v>532</v>
      </c>
      <c r="H11" s="493"/>
      <c r="I11" s="493"/>
    </row>
    <row r="12" spans="1:18" ht="15.75" thickBot="1">
      <c r="B12" s="591" t="s">
        <v>534</v>
      </c>
      <c r="C12" s="589" t="s">
        <v>535</v>
      </c>
      <c r="G12" s="485" t="s">
        <v>197</v>
      </c>
      <c r="I12" s="485" t="s">
        <v>307</v>
      </c>
      <c r="K12" s="485" t="s">
        <v>523</v>
      </c>
    </row>
    <row r="13" spans="1:18">
      <c r="B13" s="592" t="s">
        <v>406</v>
      </c>
      <c r="C13" s="593" t="s">
        <v>537</v>
      </c>
      <c r="D13" s="498"/>
      <c r="E13" s="492" t="s">
        <v>25</v>
      </c>
      <c r="F13" s="498"/>
      <c r="G13" s="493" t="s">
        <v>569</v>
      </c>
      <c r="I13" s="493" t="s">
        <v>570</v>
      </c>
      <c r="K13" s="486" t="s">
        <v>263</v>
      </c>
      <c r="M13" s="611" t="s">
        <v>524</v>
      </c>
      <c r="N13" s="576"/>
      <c r="O13" s="577"/>
      <c r="P13" s="544"/>
      <c r="Q13" s="576" t="s">
        <v>525</v>
      </c>
      <c r="R13" s="577"/>
    </row>
    <row r="14" spans="1:18">
      <c r="G14" s="593"/>
      <c r="H14" s="498"/>
      <c r="I14" s="593"/>
      <c r="M14" s="546" t="s">
        <v>404</v>
      </c>
      <c r="N14" s="510"/>
      <c r="O14" s="547"/>
      <c r="P14" s="510"/>
      <c r="Q14" s="510"/>
      <c r="R14" s="547"/>
    </row>
    <row r="15" spans="1:18">
      <c r="B15" s="502">
        <v>1000</v>
      </c>
      <c r="C15" s="480">
        <v>300</v>
      </c>
      <c r="E15" s="502">
        <f>ROUND((B$15*C15),0)</f>
        <v>300000</v>
      </c>
      <c r="F15" s="502"/>
      <c r="G15" s="602">
        <f>ROUND($E15*N$18/100+$B$15*N$17+IF($B$15&lt;3001,$B$15*O$15+N$15,$B$15*O$16+N$16),2)+Q24</f>
        <v>24377.5</v>
      </c>
      <c r="H15" s="602"/>
      <c r="I15" s="602">
        <f ca="1">ROUND($E15*Q$18/100+$B$15*Q$17+IF($B$15&lt;3001,$B$15*R$15+Q$15,$B$15*R$16+Q$16),2)+Q25</f>
        <v>27278.5</v>
      </c>
      <c r="K15" s="505">
        <f ca="1">(I15-G15)/G15</f>
        <v>0.11900317916111168</v>
      </c>
      <c r="M15" s="546" t="s">
        <v>571</v>
      </c>
      <c r="N15" s="552">
        <f>'Exh No.__(JRS-17) p1-10'!G962</f>
        <v>1386</v>
      </c>
      <c r="O15" s="497">
        <f>'Exh No.__(JRS-17) p1-10'!G965</f>
        <v>1.06</v>
      </c>
      <c r="P15" s="553"/>
      <c r="Q15" s="552">
        <f>'Exh No.__(JRS-17) p1-10'!J962</f>
        <v>1386</v>
      </c>
      <c r="R15" s="497">
        <f ca="1">'Exh No.__(JRS-17) p1-10'!J965</f>
        <v>1.18</v>
      </c>
    </row>
    <row r="16" spans="1:18">
      <c r="C16" s="480">
        <v>500</v>
      </c>
      <c r="E16" s="502">
        <f>ROUND((B$15*C16),0)</f>
        <v>500000</v>
      </c>
      <c r="F16" s="502"/>
      <c r="G16" s="602">
        <f>ROUND($E16*N$18/100+$B$15*N$17+IF($B$15&lt;3001,$B$15*O$15+N$15,$B$15*O$16+N$16),2)+Q24</f>
        <v>33793.5</v>
      </c>
      <c r="H16" s="602"/>
      <c r="I16" s="602">
        <f ca="1">ROUND($E16*Q$18/100+$B$15*Q$17+IF($B$15&lt;3001,$B$15*R$15+Q$15,$B$15*R$16+Q$16),2)+Q25</f>
        <v>37928.5</v>
      </c>
      <c r="K16" s="505">
        <f ca="1">(I16-G16)/G16</f>
        <v>0.1223608090313226</v>
      </c>
      <c r="M16" s="546" t="s">
        <v>572</v>
      </c>
      <c r="N16" s="552">
        <f>'Exh No.__(JRS-17) p1-10'!G963</f>
        <v>1675</v>
      </c>
      <c r="O16" s="497">
        <f>'Exh No.__(JRS-17) p1-10'!G966</f>
        <v>0.96</v>
      </c>
      <c r="P16" s="553"/>
      <c r="Q16" s="552">
        <f>'Exh No.__(JRS-17) p1-10'!J963</f>
        <v>1675</v>
      </c>
      <c r="R16" s="497">
        <f ca="1">'Exh No.__(JRS-17) p1-10'!J966</f>
        <v>1.07</v>
      </c>
    </row>
    <row r="17" spans="2:20">
      <c r="C17" s="480">
        <v>700</v>
      </c>
      <c r="E17" s="502">
        <f>ROUND((B$15*C17),0)</f>
        <v>700000</v>
      </c>
      <c r="F17" s="502"/>
      <c r="G17" s="602">
        <f>ROUND($E17*N$18/100+$B$15*N$17+IF($B$15&lt;3001,$B$15*O$15+N$15,$B$15*O$16+N$16),2)+Q24</f>
        <v>43209.5</v>
      </c>
      <c r="H17" s="602"/>
      <c r="I17" s="602">
        <f ca="1">ROUND($E17*Q$18/100+$B$15*Q$17+IF($B$15&lt;3001,$B$15*R$15+Q$15,$B$15*R$16+Q$16),2)+Q25</f>
        <v>48578.5</v>
      </c>
      <c r="K17" s="505">
        <f ca="1">(I17-G17)/G17</f>
        <v>0.12425508279429293</v>
      </c>
      <c r="M17" s="546" t="s">
        <v>406</v>
      </c>
      <c r="N17" s="552">
        <f>'Exh No.__(JRS-17) p1-10'!G967</f>
        <v>7.55</v>
      </c>
      <c r="O17" s="558"/>
      <c r="P17" s="553"/>
      <c r="Q17" s="552">
        <f ca="1">'Exh No.__(JRS-17) p1-10'!J967</f>
        <v>8.48</v>
      </c>
      <c r="R17" s="558"/>
      <c r="T17" s="1136">
        <f ca="1">(Q17-N17)/N17</f>
        <v>0.12317880794701995</v>
      </c>
    </row>
    <row r="18" spans="2:20">
      <c r="G18" s="602"/>
      <c r="H18" s="602"/>
      <c r="I18" s="602"/>
      <c r="K18" s="505"/>
      <c r="M18" s="546" t="s">
        <v>376</v>
      </c>
      <c r="N18" s="561">
        <f>'Exh No.__(JRS-17) p1-10'!G969+Q20</f>
        <v>4.7080000000000002</v>
      </c>
      <c r="O18" s="558"/>
      <c r="P18" s="553"/>
      <c r="Q18" s="561">
        <f ca="1">'Exh No.__(JRS-17) p1-10'!J969+'Exh No.__(JRS-17) p1-10'!J951+Q21+Q27</f>
        <v>5.3250000000000002</v>
      </c>
      <c r="R18" s="558"/>
      <c r="T18" s="1136">
        <f ca="1">(Q18-N18)/N18</f>
        <v>0.13105352591333899</v>
      </c>
    </row>
    <row r="19" spans="2:20" ht="15.75" thickBot="1">
      <c r="B19" s="502">
        <v>2000</v>
      </c>
      <c r="C19" s="480">
        <v>300</v>
      </c>
      <c r="E19" s="502">
        <f>ROUND((B$19*C19),0)</f>
        <v>600000</v>
      </c>
      <c r="F19" s="502"/>
      <c r="G19" s="602">
        <f>ROUND($E19*N$18/100+$B$19*N$17+IF($B$19&lt;3001,$B$19*O$15+N$15,$B$19*O$16+N$16),2)+Q24</f>
        <v>47111.5</v>
      </c>
      <c r="H19" s="602"/>
      <c r="I19" s="602">
        <f ca="1">ROUND($E19*Q$18/100+$B$19*Q$17+IF($B$19&lt;3001,$B$19*R$15+Q$15,$B$19*R$16+Q$16),2)+Q25</f>
        <v>52913.5</v>
      </c>
      <c r="K19" s="505">
        <f ca="1">(I19-G19)/G19</f>
        <v>0.12315464377062925</v>
      </c>
      <c r="M19" s="582" t="s">
        <v>31</v>
      </c>
      <c r="N19" s="583" t="s">
        <v>31</v>
      </c>
      <c r="O19" s="564"/>
      <c r="P19" s="563"/>
      <c r="Q19" s="583" t="s">
        <v>31</v>
      </c>
      <c r="R19" s="584"/>
    </row>
    <row r="20" spans="2:20">
      <c r="C20" s="480">
        <v>500</v>
      </c>
      <c r="E20" s="502">
        <f>ROUND((B$19*C20),0)</f>
        <v>1000000</v>
      </c>
      <c r="F20" s="502"/>
      <c r="G20" s="602">
        <f>ROUND($E20*N$18/100+$B$19*N$17+IF($B$19&lt;3001,$B$19*O$15+N$15,$B$19*O$16+N$16),2)+Q24</f>
        <v>65943.5</v>
      </c>
      <c r="H20" s="602"/>
      <c r="I20" s="602">
        <f ca="1">ROUND($E20*Q$18/100+$B$19*Q$17+IF($B$19&lt;3001,$B$19*R$15+Q$15,$B$19*R$16+Q$16),2)+Q25</f>
        <v>74213.5</v>
      </c>
      <c r="K20" s="505">
        <f ca="1">(I20-G20)/G20</f>
        <v>0.12541038919681241</v>
      </c>
      <c r="O20" s="508" t="s">
        <v>200</v>
      </c>
      <c r="P20" s="508"/>
      <c r="Q20" s="509">
        <v>0.19400000000000001</v>
      </c>
    </row>
    <row r="21" spans="2:20">
      <c r="C21" s="480">
        <v>700</v>
      </c>
      <c r="E21" s="502">
        <f>ROUND((B$19*C21),0)</f>
        <v>1400000</v>
      </c>
      <c r="F21" s="502"/>
      <c r="G21" s="602">
        <f>ROUND($E21*N$18/100+$B$19*N$17+IF($B$19&lt;3001,$B$19*O$15+N$15,$B$19*O$16+N$16),2)+Q24</f>
        <v>84775.5</v>
      </c>
      <c r="H21" s="602"/>
      <c r="I21" s="602">
        <f ca="1">ROUND($E21*Q$18/100+$B$19*Q$17+IF($B$19&lt;3001,$B$19*R$15+Q$15,$B$19*R$16+Q$16),2)+Q25</f>
        <v>95513.5</v>
      </c>
      <c r="K21" s="505">
        <f ca="1">(I21-G21)/G21</f>
        <v>0.12666395361867522</v>
      </c>
      <c r="O21" s="508"/>
      <c r="P21" s="508"/>
      <c r="Q21" s="509">
        <v>0.19400000000000001</v>
      </c>
    </row>
    <row r="22" spans="2:20">
      <c r="G22" s="602"/>
      <c r="H22" s="602"/>
      <c r="I22" s="602"/>
      <c r="K22" s="505"/>
      <c r="O22" s="508"/>
      <c r="P22" s="508"/>
      <c r="Q22" s="512"/>
    </row>
    <row r="23" spans="2:20">
      <c r="B23" s="502">
        <v>4000</v>
      </c>
      <c r="C23" s="480">
        <v>300</v>
      </c>
      <c r="E23" s="502">
        <f>ROUND((B$23*C23),0)</f>
        <v>1200000</v>
      </c>
      <c r="F23" s="502"/>
      <c r="G23" s="602">
        <f>ROUND($E23*N$18/100+$B$23*N$17+IF($B$23&lt;3001,$B$23*O$15+N$15,$B$23*O$16+N$16),2)+Q24</f>
        <v>92468.5</v>
      </c>
      <c r="H23" s="602"/>
      <c r="I23" s="602">
        <f ca="1">ROUND($E23*Q$18/100+$B$23*Q$17+IF($B$23&lt;3001,$B$23*R$15+Q$15,$B$23*R$16+Q$16),2)+Q25</f>
        <v>104032.5</v>
      </c>
      <c r="K23" s="505">
        <f ca="1">(I23-G23)/G23</f>
        <v>0.12505880380886464</v>
      </c>
      <c r="O23" s="480" t="s">
        <v>31</v>
      </c>
      <c r="P23" s="480" t="s">
        <v>31</v>
      </c>
      <c r="Q23" s="480" t="s">
        <v>31</v>
      </c>
      <c r="T23" s="779" t="s">
        <v>31</v>
      </c>
    </row>
    <row r="24" spans="2:20">
      <c r="C24" s="480">
        <v>500</v>
      </c>
      <c r="E24" s="502">
        <f>ROUND((B$23*C24),0)</f>
        <v>2000000</v>
      </c>
      <c r="F24" s="502"/>
      <c r="G24" s="602">
        <f>ROUND($E24*N$18/100+$B$23*N$17+IF($B$23&lt;3001,$B$23*O$15+N$15,$B$23*O$16+N$16),2)+Q24</f>
        <v>130132.5</v>
      </c>
      <c r="H24" s="602"/>
      <c r="I24" s="602">
        <f ca="1">ROUND($E24*Q$18/100+$B$23*Q$17+IF($B$23&lt;3001,$B$23*R$15+Q$15,$B$23*R$16+Q$16),2)+Q25</f>
        <v>146632.5</v>
      </c>
      <c r="K24" s="505">
        <f ca="1">(I24-G24)/G24</f>
        <v>0.12679384473517377</v>
      </c>
      <c r="O24" s="480" t="s">
        <v>669</v>
      </c>
      <c r="Q24" s="554">
        <f>'Exh No.__(JRS-17) p12'!D21</f>
        <v>257.5</v>
      </c>
      <c r="R24" s="480" t="s">
        <v>31</v>
      </c>
    </row>
    <row r="25" spans="2:20">
      <c r="C25" s="480">
        <v>700</v>
      </c>
      <c r="E25" s="502">
        <f>ROUND((B$23*C25),0)</f>
        <v>2800000</v>
      </c>
      <c r="F25" s="502"/>
      <c r="G25" s="602">
        <f>ROUND($E25*N$18/100+$B$23*N$17+IF($B$23&lt;3001,$B$23*O$15+N$15,$B$23*O$16+N$16),2)+Q24</f>
        <v>167796.5</v>
      </c>
      <c r="H25" s="602"/>
      <c r="I25" s="602">
        <f ca="1">ROUND($E25*Q$18/100+$B$23*Q$17+IF($B$23&lt;3001,$B$23*R$15+Q$15,$B$23*R$16+Q$16),2)+Q25</f>
        <v>189232.5</v>
      </c>
      <c r="K25" s="505">
        <f ca="1">(I25-G25)/G25</f>
        <v>0.12774998286615036</v>
      </c>
      <c r="O25" s="480" t="s">
        <v>668</v>
      </c>
      <c r="Q25" s="554">
        <f>Q24</f>
        <v>257.5</v>
      </c>
    </row>
    <row r="26" spans="2:20">
      <c r="G26" s="602"/>
      <c r="H26" s="602"/>
      <c r="I26" s="602"/>
      <c r="K26" s="505"/>
    </row>
    <row r="27" spans="2:20">
      <c r="B27" s="502">
        <v>6000</v>
      </c>
      <c r="C27" s="480">
        <v>300</v>
      </c>
      <c r="E27" s="502">
        <f>ROUND((B$27*C27),0)</f>
        <v>1800000</v>
      </c>
      <c r="F27" s="502"/>
      <c r="G27" s="602">
        <f>ROUND($E27*N$18/100+$B$27*N$17+IF($B$27&lt;3001,$B$27*O$15+N$15,$B$27*O$16+N$16),2)+Q24</f>
        <v>137736.5</v>
      </c>
      <c r="H27" s="602"/>
      <c r="I27" s="602">
        <f ca="1">ROUND($E27*Q$18/100+$B$27*Q$17+IF($B$27&lt;3001,$B$27*R$15+Q$15,$B$27*R$16+Q$16),2)+Q25</f>
        <v>155082.5</v>
      </c>
      <c r="K27" s="505">
        <f ca="1">(I27-G27)/G27</f>
        <v>0.12593611715122716</v>
      </c>
      <c r="O27" s="779" t="s">
        <v>313</v>
      </c>
      <c r="Q27" s="480">
        <f ca="1">'Exh No.__(JRS-16) Table B p2'!AB27</f>
        <v>0.113</v>
      </c>
    </row>
    <row r="28" spans="2:20">
      <c r="C28" s="480">
        <v>500</v>
      </c>
      <c r="E28" s="502">
        <f>ROUND((B$27*C28),0)</f>
        <v>3000000</v>
      </c>
      <c r="F28" s="502"/>
      <c r="G28" s="602">
        <f>ROUND($E28*N$18/100+$B$27*N$17+IF($B$27&lt;3001,$B$27*O$15+N$15,$B$27*O$16+N$16),2)+Q24</f>
        <v>194232.5</v>
      </c>
      <c r="H28" s="602"/>
      <c r="I28" s="602">
        <f ca="1">ROUND($E28*Q$18/100+$B$27*Q$17+IF($B$27&lt;3001,$B$27*R$15+Q$15,$B$27*R$16+Q$16),2)+Q25</f>
        <v>218982.5</v>
      </c>
      <c r="K28" s="505">
        <f ca="1">(I28-G28)/G28</f>
        <v>0.12742460710746142</v>
      </c>
      <c r="O28" s="779"/>
    </row>
    <row r="29" spans="2:20">
      <c r="C29" s="480">
        <v>700</v>
      </c>
      <c r="E29" s="502">
        <f>ROUND((B$27*C29),0)</f>
        <v>4200000</v>
      </c>
      <c r="F29" s="502"/>
      <c r="G29" s="602">
        <f>ROUND($E29*N$18/100+$B$27*N$17+IF($B$27&lt;3001,$B$27*O$15+N$15,$B$27*O$16+N$16),2)+Q24</f>
        <v>250728.5</v>
      </c>
      <c r="H29" s="602"/>
      <c r="I29" s="602">
        <f ca="1">ROUND($E29*Q$18/100+$B$27*Q$17+IF($B$27&lt;3001,$B$27*R$15+Q$15,$B$27*R$16+Q$16),2)+Q25</f>
        <v>282882.5</v>
      </c>
      <c r="K29" s="505">
        <f ca="1">(I29-G29)/G29</f>
        <v>0.12824230193216965</v>
      </c>
    </row>
    <row r="30" spans="2:20">
      <c r="B30" s="495"/>
      <c r="C30" s="495"/>
      <c r="D30" s="495"/>
      <c r="E30" s="495"/>
      <c r="F30" s="495"/>
      <c r="G30" s="495"/>
      <c r="H30" s="495"/>
      <c r="I30" s="495"/>
      <c r="J30" s="495"/>
      <c r="K30" s="495"/>
      <c r="M30" s="1650" t="s">
        <v>1093</v>
      </c>
      <c r="N30" s="609">
        <f ca="1">'Exh No.__(JRS-16) Table C p3'!V27</f>
        <v>0.13012180691489469</v>
      </c>
    </row>
    <row r="31" spans="2:20">
      <c r="N31" s="519">
        <f ca="1">'Exh No.__(JRS-16) Table C p3'!U27*1000</f>
        <v>6633124.9621007489</v>
      </c>
    </row>
    <row r="33" spans="2:16">
      <c r="B33" s="480" t="s">
        <v>529</v>
      </c>
    </row>
    <row r="34" spans="2:16">
      <c r="B34" s="570" t="s">
        <v>1058</v>
      </c>
    </row>
    <row r="35" spans="2:16">
      <c r="B35" s="517"/>
    </row>
    <row r="36" spans="2:16">
      <c r="B36" s="517"/>
    </row>
    <row r="37" spans="2:16">
      <c r="B37" s="517"/>
    </row>
    <row r="38" spans="2:16">
      <c r="B38" s="517"/>
    </row>
    <row r="39" spans="2:16">
      <c r="B39" s="517"/>
    </row>
    <row r="40" spans="2:16">
      <c r="B40" s="517"/>
    </row>
    <row r="41" spans="2:16">
      <c r="B41" s="517"/>
    </row>
    <row r="42" spans="2:16">
      <c r="B42" s="517"/>
    </row>
    <row r="43" spans="2:16">
      <c r="B43" s="517"/>
    </row>
    <row r="44" spans="2:16">
      <c r="B44" s="517"/>
    </row>
    <row r="45" spans="2:16">
      <c r="B45" s="517"/>
    </row>
    <row r="46" spans="2:16">
      <c r="B46" s="517"/>
    </row>
    <row r="48" spans="2:16">
      <c r="P48" s="519"/>
    </row>
  </sheetData>
  <phoneticPr fontId="0" type="noConversion"/>
  <printOptions horizontalCentered="1"/>
  <pageMargins left="0.5" right="0.5" top="0.5" bottom="0.5" header="0.5" footer="0.5"/>
  <pageSetup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2:T49"/>
  <sheetViews>
    <sheetView tabSelected="1" view="pageBreakPreview" zoomScale="60" zoomScaleNormal="100" workbookViewId="0">
      <selection activeCell="B1" sqref="B1:T1"/>
    </sheetView>
  </sheetViews>
  <sheetFormatPr defaultColWidth="8.5" defaultRowHeight="15"/>
  <cols>
    <col min="1" max="1" width="2" style="480" customWidth="1"/>
    <col min="2" max="2" width="8.5" style="480"/>
    <col min="3" max="3" width="8.5" style="480" hidden="1" customWidth="1"/>
    <col min="4" max="4" width="3.25" style="480" customWidth="1"/>
    <col min="5" max="5" width="9.75" style="480" customWidth="1"/>
    <col min="6" max="6" width="3.75" style="480" customWidth="1"/>
    <col min="7" max="7" width="19.875" style="480" customWidth="1"/>
    <col min="8" max="8" width="3.5" style="480" customWidth="1"/>
    <col min="9" max="9" width="19.5" style="480" customWidth="1"/>
    <col min="10" max="10" width="2.875" style="480" customWidth="1"/>
    <col min="11" max="11" width="12.125" style="480" customWidth="1"/>
    <col min="12" max="12" width="7.5" style="609" customWidth="1"/>
    <col min="13" max="13" width="16.875" style="480" customWidth="1"/>
    <col min="14" max="14" width="11" style="480" bestFit="1" customWidth="1"/>
    <col min="15" max="15" width="20.375" style="480" customWidth="1"/>
    <col min="16" max="16" width="2.5" style="480" customWidth="1"/>
    <col min="17" max="17" width="9.875" style="480" bestFit="1" customWidth="1"/>
    <col min="18" max="18" width="7.375" style="480" customWidth="1"/>
    <col min="19" max="19" width="2.5" style="480" customWidth="1"/>
    <col min="20" max="16384" width="8.5" style="480"/>
  </cols>
  <sheetData>
    <row r="2" spans="1:18" ht="18.75">
      <c r="B2" s="487"/>
      <c r="C2" s="485"/>
      <c r="D2" s="485"/>
      <c r="E2" s="485"/>
      <c r="F2" s="485"/>
      <c r="G2" s="485"/>
      <c r="H2" s="485"/>
      <c r="I2" s="485"/>
      <c r="J2" s="483" t="s">
        <v>31</v>
      </c>
      <c r="K2" s="587"/>
    </row>
    <row r="3" spans="1:18" ht="18.75">
      <c r="B3" s="484" t="s">
        <v>72</v>
      </c>
      <c r="C3" s="484"/>
      <c r="D3" s="484"/>
      <c r="E3" s="484"/>
      <c r="F3" s="484"/>
      <c r="G3" s="484"/>
      <c r="H3" s="484"/>
      <c r="I3" s="484"/>
      <c r="J3" s="484"/>
      <c r="K3" s="484"/>
    </row>
    <row r="4" spans="1:18" ht="18.75">
      <c r="B4" s="484" t="s">
        <v>520</v>
      </c>
      <c r="C4" s="484"/>
      <c r="D4" s="484"/>
      <c r="E4" s="484"/>
      <c r="F4" s="484"/>
      <c r="G4" s="484"/>
      <c r="H4" s="484"/>
      <c r="I4" s="484"/>
      <c r="J4" s="484"/>
      <c r="K4" s="484"/>
    </row>
    <row r="5" spans="1:18" ht="18.75">
      <c r="B5" s="484" t="s">
        <v>573</v>
      </c>
      <c r="C5" s="484"/>
      <c r="D5" s="484"/>
      <c r="E5" s="484"/>
      <c r="F5" s="484"/>
      <c r="G5" s="484"/>
      <c r="H5" s="484"/>
      <c r="I5" s="484"/>
      <c r="J5" s="484"/>
      <c r="K5" s="484"/>
    </row>
    <row r="6" spans="1:18" ht="18.75">
      <c r="B6" s="484" t="s">
        <v>568</v>
      </c>
      <c r="C6" s="484"/>
      <c r="D6" s="484"/>
      <c r="E6" s="484"/>
      <c r="F6" s="484"/>
      <c r="G6" s="484"/>
      <c r="H6" s="484"/>
      <c r="I6" s="484"/>
      <c r="J6" s="484"/>
      <c r="K6" s="484"/>
    </row>
    <row r="7" spans="1:18" ht="18.75">
      <c r="B7" s="484" t="s">
        <v>31</v>
      </c>
      <c r="C7" s="484"/>
      <c r="D7" s="484"/>
      <c r="E7" s="484"/>
      <c r="F7" s="484"/>
      <c r="G7" s="484"/>
      <c r="H7" s="484"/>
      <c r="I7" s="484"/>
      <c r="J7" s="484"/>
      <c r="K7" s="484"/>
    </row>
    <row r="8" spans="1:18" ht="18.75">
      <c r="A8" s="610"/>
      <c r="B8" s="485"/>
      <c r="C8" s="485"/>
      <c r="D8" s="485"/>
      <c r="E8" s="485"/>
      <c r="F8" s="485"/>
      <c r="G8" s="485"/>
      <c r="H8" s="485"/>
      <c r="I8" s="485"/>
      <c r="J8" s="485"/>
    </row>
    <row r="9" spans="1:18" ht="18.75">
      <c r="A9" s="610"/>
      <c r="B9" s="485"/>
      <c r="C9" s="485"/>
      <c r="D9" s="485"/>
      <c r="E9" s="485"/>
      <c r="F9" s="485"/>
      <c r="G9" s="485"/>
      <c r="H9" s="485"/>
      <c r="I9" s="485"/>
      <c r="J9" s="485"/>
    </row>
    <row r="11" spans="1:18">
      <c r="B11" s="588" t="s">
        <v>531</v>
      </c>
      <c r="G11" s="493" t="s">
        <v>532</v>
      </c>
      <c r="H11" s="493"/>
      <c r="I11" s="493"/>
    </row>
    <row r="12" spans="1:18" ht="15.75" thickBot="1">
      <c r="B12" s="591" t="s">
        <v>534</v>
      </c>
      <c r="C12" s="589" t="s">
        <v>535</v>
      </c>
      <c r="G12" s="485" t="s">
        <v>197</v>
      </c>
      <c r="I12" s="1076" t="s">
        <v>307</v>
      </c>
      <c r="K12" s="485" t="s">
        <v>523</v>
      </c>
    </row>
    <row r="13" spans="1:18">
      <c r="B13" s="592" t="s">
        <v>406</v>
      </c>
      <c r="C13" s="593" t="s">
        <v>537</v>
      </c>
      <c r="D13" s="498"/>
      <c r="E13" s="492" t="s">
        <v>25</v>
      </c>
      <c r="F13" s="498"/>
      <c r="G13" s="493" t="s">
        <v>569</v>
      </c>
      <c r="I13" s="493" t="s">
        <v>570</v>
      </c>
      <c r="K13" s="486" t="s">
        <v>263</v>
      </c>
      <c r="M13" s="611" t="s">
        <v>524</v>
      </c>
      <c r="N13" s="576"/>
      <c r="O13" s="577"/>
      <c r="P13" s="544"/>
      <c r="Q13" s="576" t="s">
        <v>525</v>
      </c>
      <c r="R13" s="577"/>
    </row>
    <row r="14" spans="1:18">
      <c r="G14" s="593"/>
      <c r="H14" s="498"/>
      <c r="I14" s="593"/>
      <c r="M14" s="546" t="s">
        <v>404</v>
      </c>
      <c r="N14" s="510"/>
      <c r="O14" s="547"/>
      <c r="P14" s="510"/>
      <c r="Q14" s="510"/>
      <c r="R14" s="547"/>
    </row>
    <row r="15" spans="1:18">
      <c r="B15" s="502">
        <v>1000</v>
      </c>
      <c r="C15" s="480">
        <v>300</v>
      </c>
      <c r="E15" s="502">
        <f>ROUND((B$15*C15),0)</f>
        <v>300000</v>
      </c>
      <c r="F15" s="502"/>
      <c r="G15" s="602">
        <f>ROUND($E15*N$18/100+$B$15*N$17+IF($B$15&lt;3001,$B$15*O$15+N$15,$B$15*O$16+N$16),2)+$Q$24</f>
        <v>23565.5</v>
      </c>
      <c r="H15" s="602"/>
      <c r="I15" s="602">
        <f ca="1">ROUND($E15*Q$18/100+$B$15*Q$17+IF($B$15&lt;3001,$B$15*R$15+Q$15,$B$15*R$16+Q$16),2)+$Q$25</f>
        <v>26410.5</v>
      </c>
      <c r="K15" s="505">
        <f ca="1">(I15-G15)/G15</f>
        <v>0.12072733445078611</v>
      </c>
      <c r="M15" s="546" t="s">
        <v>571</v>
      </c>
      <c r="N15" s="552">
        <f>'Exh No.__(JRS-17) p1-10'!G1020</f>
        <v>1419</v>
      </c>
      <c r="O15" s="497">
        <f>'Exh No.__(JRS-17) p1-10'!G1023</f>
        <v>0.53</v>
      </c>
      <c r="P15" s="553"/>
      <c r="Q15" s="552">
        <f>'Exh No.__(JRS-17) p1-10'!J1020</f>
        <v>1419</v>
      </c>
      <c r="R15" s="497">
        <f ca="1">'Exh No.__(JRS-17) p1-10'!J1023</f>
        <v>0.61</v>
      </c>
    </row>
    <row r="16" spans="1:18">
      <c r="C16" s="480">
        <v>500</v>
      </c>
      <c r="E16" s="502">
        <f>ROUND((B$15*C16),0)</f>
        <v>500000</v>
      </c>
      <c r="F16" s="502"/>
      <c r="G16" s="602">
        <f t="shared" ref="G16:G17" si="0">ROUND($E16*N$18/100+$B$15*N$17+IF($B$15&lt;3001,$B$15*O$15+N$15,$B$15*O$16+N$16),2)+$Q$24</f>
        <v>32871.5</v>
      </c>
      <c r="H16" s="602"/>
      <c r="I16" s="602">
        <f ca="1">ROUND($E16*Q$18/100+$B$15*Q$17+IF($B$15&lt;3001,$B$15*R$15+Q$15,$B$15*R$16+Q$16),2)+$Q$25</f>
        <v>36946.5</v>
      </c>
      <c r="K16" s="505">
        <f ca="1">(I16-G16)/G16</f>
        <v>0.12396757069193678</v>
      </c>
      <c r="M16" s="546" t="s">
        <v>572</v>
      </c>
      <c r="N16" s="552">
        <f>'Exh No.__(JRS-17) p1-10'!G1021</f>
        <v>1707</v>
      </c>
      <c r="O16" s="497">
        <f>'Exh No.__(JRS-17) p1-10'!G1024</f>
        <v>0.43</v>
      </c>
      <c r="P16" s="553"/>
      <c r="Q16" s="552">
        <f>'Exh No.__(JRS-17) p1-10'!J1021</f>
        <v>1707</v>
      </c>
      <c r="R16" s="497">
        <f ca="1">'Exh No.__(JRS-17) p1-10'!J1024</f>
        <v>0.48</v>
      </c>
    </row>
    <row r="17" spans="2:20">
      <c r="C17" s="480">
        <v>700</v>
      </c>
      <c r="E17" s="502">
        <f>ROUND((B$15*C17),0)</f>
        <v>700000</v>
      </c>
      <c r="F17" s="502"/>
      <c r="G17" s="602">
        <f t="shared" si="0"/>
        <v>42177.5</v>
      </c>
      <c r="H17" s="602"/>
      <c r="I17" s="602">
        <f ca="1">ROUND($E17*Q$18/100+$B$15*Q$17+IF($B$15&lt;3001,$B$15*R$15+Q$15,$B$15*R$16+Q$16),2)+$Q$25</f>
        <v>47482.5</v>
      </c>
      <c r="K17" s="505">
        <f ca="1">(I17-G17)/G17</f>
        <v>0.12577796218362872</v>
      </c>
      <c r="M17" s="546" t="s">
        <v>406</v>
      </c>
      <c r="N17" s="552">
        <f>'Exh No.__(JRS-17) p1-10'!G1025</f>
        <v>7.4</v>
      </c>
      <c r="O17" s="558"/>
      <c r="P17" s="553"/>
      <c r="Q17" s="552">
        <f ca="1">'Exh No.__(JRS-17) p1-10'!J1025</f>
        <v>8.32</v>
      </c>
      <c r="R17" s="558"/>
      <c r="T17" s="1136">
        <f ca="1">(Q17-N17)/N17</f>
        <v>0.1243243243243243</v>
      </c>
    </row>
    <row r="18" spans="2:20">
      <c r="G18" s="602"/>
      <c r="H18" s="602"/>
      <c r="I18" s="602"/>
      <c r="K18" s="505"/>
      <c r="M18" s="546" t="s">
        <v>376</v>
      </c>
      <c r="N18" s="561">
        <f>'Exh No.__(JRS-17) p1-10'!G1027+Q20</f>
        <v>4.6529999999999996</v>
      </c>
      <c r="O18" s="558"/>
      <c r="P18" s="553"/>
      <c r="Q18" s="561">
        <f ca="1">'Exh No.__(JRS-17) p1-10'!J1027+'Exh No.__(JRS-17) p1-10'!J1029+Q21+Q27</f>
        <v>5.2680000000000007</v>
      </c>
      <c r="R18" s="558"/>
      <c r="T18" s="1136">
        <f ca="1">(Q18-N18)/N18</f>
        <v>0.13217279174726007</v>
      </c>
    </row>
    <row r="19" spans="2:20" ht="15.75" thickBot="1">
      <c r="B19" s="502">
        <v>2000</v>
      </c>
      <c r="C19" s="480">
        <v>300</v>
      </c>
      <c r="E19" s="502">
        <f>ROUND((B$19*C19),0)</f>
        <v>600000</v>
      </c>
      <c r="F19" s="502"/>
      <c r="G19" s="602">
        <f>ROUND($E19*N$18/100+$B$19*N$17+IF($B$19&lt;3001,$B$19*O$15+N$15,$B$19*O$16+N$16),2)+$Q$24</f>
        <v>45454.5</v>
      </c>
      <c r="H19" s="602"/>
      <c r="I19" s="602">
        <f ca="1">ROUND($E19*Q$18/100+$B$19*Q$17+IF($B$19&lt;3001,$B$19*R$15+Q$15,$B$19*R$16+Q$16),2)+$Q$25</f>
        <v>51144.5</v>
      </c>
      <c r="K19" s="505">
        <f ca="1">(I19-G19)/G19</f>
        <v>0.12518012518012517</v>
      </c>
      <c r="M19" s="582" t="s">
        <v>31</v>
      </c>
      <c r="N19" s="583" t="s">
        <v>31</v>
      </c>
      <c r="O19" s="564"/>
      <c r="P19" s="563"/>
      <c r="Q19" s="583" t="s">
        <v>31</v>
      </c>
      <c r="R19" s="584"/>
    </row>
    <row r="20" spans="2:20">
      <c r="C20" s="480">
        <v>500</v>
      </c>
      <c r="E20" s="502">
        <f>ROUND((B$19*C20),0)</f>
        <v>1000000</v>
      </c>
      <c r="F20" s="502"/>
      <c r="G20" s="602">
        <f t="shared" ref="G20:G21" si="1">ROUND($E20*N$18/100+$B$19*N$17+IF($B$19&lt;3001,$B$19*O$15+N$15,$B$19*O$16+N$16),2)+$Q$24</f>
        <v>64066.5</v>
      </c>
      <c r="H20" s="602"/>
      <c r="I20" s="602">
        <f ca="1">ROUND($E20*Q$18/100+$B$19*Q$17+IF($B$19&lt;3001,$B$19*R$15+Q$15,$B$19*R$16+Q$16),2)+$Q$25</f>
        <v>72216.5</v>
      </c>
      <c r="K20" s="505">
        <f ca="1">(I20-G20)/G20</f>
        <v>0.12721156922884816</v>
      </c>
      <c r="O20" s="508" t="s">
        <v>200</v>
      </c>
      <c r="P20" s="508"/>
      <c r="Q20" s="509">
        <v>0.19400000000000001</v>
      </c>
    </row>
    <row r="21" spans="2:20">
      <c r="C21" s="480">
        <v>700</v>
      </c>
      <c r="E21" s="502">
        <f>ROUND((B$19*C21),0)</f>
        <v>1400000</v>
      </c>
      <c r="F21" s="502"/>
      <c r="G21" s="602">
        <f t="shared" si="1"/>
        <v>82678.5</v>
      </c>
      <c r="H21" s="602"/>
      <c r="I21" s="602">
        <f ca="1">ROUND($E21*Q$18/100+$B$19*Q$17+IF($B$19&lt;3001,$B$19*R$15+Q$15,$B$19*R$16+Q$16),2)+$Q$25</f>
        <v>93288.5</v>
      </c>
      <c r="K21" s="505">
        <f ca="1">(I21-G21)/G21</f>
        <v>0.1283284046033733</v>
      </c>
      <c r="O21" s="508"/>
      <c r="P21" s="508"/>
      <c r="Q21" s="509">
        <v>0.19400000000000001</v>
      </c>
    </row>
    <row r="22" spans="2:20">
      <c r="G22" s="602"/>
      <c r="H22" s="602"/>
      <c r="I22" s="602"/>
      <c r="K22" s="505"/>
      <c r="O22" s="508"/>
      <c r="P22" s="508"/>
      <c r="Q22" s="512"/>
    </row>
    <row r="23" spans="2:20">
      <c r="B23" s="502">
        <v>4000</v>
      </c>
      <c r="C23" s="480">
        <v>300</v>
      </c>
      <c r="E23" s="502">
        <f>ROUND((B$23*C23),0)</f>
        <v>1200000</v>
      </c>
      <c r="F23" s="502"/>
      <c r="G23" s="602">
        <f>ROUND($E23*N$18/100+$B$23*N$17+IF($B$23&lt;3001,$B$23*O$15+N$15,$B$23*O$16+N$16),2)+$Q$24</f>
        <v>89120.5</v>
      </c>
      <c r="H23" s="602"/>
      <c r="I23" s="602">
        <f ca="1">ROUND($E23*Q$18/100+$B$23*Q$17+IF($B$23&lt;3001,$B$23*R$15+Q$15,$B$23*R$16+Q$16),2)+$Q$25</f>
        <v>100380.5</v>
      </c>
      <c r="K23" s="505">
        <f ca="1">(I23-G23)/G23</f>
        <v>0.12634579025027912</v>
      </c>
      <c r="O23" s="480" t="s">
        <v>31</v>
      </c>
      <c r="P23" s="480" t="s">
        <v>31</v>
      </c>
      <c r="Q23" s="480" t="s">
        <v>31</v>
      </c>
    </row>
    <row r="24" spans="2:20">
      <c r="C24" s="480">
        <v>500</v>
      </c>
      <c r="E24" s="502">
        <f>ROUND((B$23*C24),0)</f>
        <v>2000000</v>
      </c>
      <c r="F24" s="502"/>
      <c r="G24" s="602">
        <f t="shared" ref="G24:G25" si="2">ROUND($E24*N$18/100+$B$23*N$17+IF($B$23&lt;3001,$B$23*O$15+N$15,$B$23*O$16+N$16),2)+$Q$24</f>
        <v>126344.5</v>
      </c>
      <c r="H24" s="602"/>
      <c r="I24" s="602">
        <f ca="1">ROUND($E24*Q$18/100+$B$23*Q$17+IF($B$23&lt;3001,$B$23*R$15+Q$15,$B$23*R$16+Q$16),2)+$Q$25</f>
        <v>142524.5</v>
      </c>
      <c r="K24" s="505">
        <f ca="1">(I24-G24)/G24</f>
        <v>0.128062559114168</v>
      </c>
      <c r="O24" s="480" t="s">
        <v>669</v>
      </c>
      <c r="Q24" s="554">
        <f>'Exh No.__(JRS-17) p12'!D21</f>
        <v>257.5</v>
      </c>
      <c r="R24" s="480" t="s">
        <v>31</v>
      </c>
    </row>
    <row r="25" spans="2:20">
      <c r="C25" s="480">
        <v>700</v>
      </c>
      <c r="E25" s="502">
        <f>ROUND((B$23*C25),0)</f>
        <v>2800000</v>
      </c>
      <c r="F25" s="502"/>
      <c r="G25" s="602">
        <f t="shared" si="2"/>
        <v>163568.5</v>
      </c>
      <c r="H25" s="602"/>
      <c r="I25" s="602">
        <f ca="1">ROUND($E25*Q$18/100+$B$23*Q$17+IF($B$23&lt;3001,$B$23*R$15+Q$15,$B$23*R$16+Q$16),2)+$Q$25</f>
        <v>184668.5</v>
      </c>
      <c r="K25" s="505">
        <f ca="1">(I25-G25)/G25</f>
        <v>0.12899794275792711</v>
      </c>
      <c r="O25" s="480" t="s">
        <v>668</v>
      </c>
      <c r="P25" s="521"/>
      <c r="Q25" s="554">
        <f>Q24</f>
        <v>257.5</v>
      </c>
    </row>
    <row r="26" spans="2:20">
      <c r="G26" s="783" t="s">
        <v>31</v>
      </c>
      <c r="H26" s="602"/>
      <c r="I26" s="602"/>
      <c r="K26" s="505"/>
    </row>
    <row r="27" spans="2:20">
      <c r="B27" s="502">
        <v>6000</v>
      </c>
      <c r="C27" s="480">
        <v>300</v>
      </c>
      <c r="E27" s="502">
        <f>ROUND((B$27*C27),0)</f>
        <v>1800000</v>
      </c>
      <c r="F27" s="502"/>
      <c r="G27" s="602">
        <f>ROUND($E27*N$18/100+$B$27*N$17+IF($B$27&lt;3001,$B$27*O$15+N$15,$B$27*O$16+N$16),2)+$Q$24</f>
        <v>132698.5</v>
      </c>
      <c r="H27" s="602"/>
      <c r="I27" s="602">
        <f ca="1">ROUND($E27*Q$18/100+$B$27*Q$17+IF($B$27&lt;3001,$B$27*R$15+Q$15,$B$27*R$16+Q$16),2)+$Q$25</f>
        <v>149588.5</v>
      </c>
      <c r="K27" s="505">
        <f ca="1">(I27-G27)/G27</f>
        <v>0.12728101674095788</v>
      </c>
      <c r="O27" s="779" t="s">
        <v>313</v>
      </c>
      <c r="Q27" s="480">
        <f ca="1">'Exh No.__(JRS-16) Table B p2'!AB27</f>
        <v>0.113</v>
      </c>
    </row>
    <row r="28" spans="2:20">
      <c r="C28" s="480">
        <v>500</v>
      </c>
      <c r="E28" s="502">
        <f>ROUND((B$27*C28),0)</f>
        <v>3000000</v>
      </c>
      <c r="F28" s="502"/>
      <c r="G28" s="602">
        <f t="shared" ref="G28:G29" si="3">ROUND($E28*N$18/100+$B$27*N$17+IF($B$27&lt;3001,$B$27*O$15+N$15,$B$27*O$16+N$16),2)+$Q$24</f>
        <v>188534.5</v>
      </c>
      <c r="H28" s="602"/>
      <c r="I28" s="602">
        <f ca="1">ROUND($E28*Q$18/100+$B$27*Q$17+IF($B$27&lt;3001,$B$27*R$15+Q$15,$B$27*R$16+Q$16),2)+$Q$25</f>
        <v>212804.5</v>
      </c>
      <c r="K28" s="505">
        <f ca="1">(I28-G28)/G28</f>
        <v>0.12872975503157247</v>
      </c>
      <c r="O28" s="779"/>
    </row>
    <row r="29" spans="2:20">
      <c r="C29" s="480">
        <v>700</v>
      </c>
      <c r="E29" s="502">
        <f>ROUND((B$27*C29),0)</f>
        <v>4200000</v>
      </c>
      <c r="F29" s="502"/>
      <c r="G29" s="602">
        <f t="shared" si="3"/>
        <v>244370.5</v>
      </c>
      <c r="H29" s="602"/>
      <c r="I29" s="602">
        <f ca="1">ROUND($E29*Q$18/100+$B$27*Q$17+IF($B$27&lt;3001,$B$27*R$15+Q$15,$B$27*R$16+Q$16),2)+$Q$25</f>
        <v>276020.5</v>
      </c>
      <c r="K29" s="505">
        <f ca="1">(I29-G29)/G29</f>
        <v>0.1295164514538375</v>
      </c>
    </row>
    <row r="30" spans="2:20">
      <c r="B30" s="495"/>
      <c r="C30" s="495"/>
      <c r="D30" s="495"/>
      <c r="E30" s="495"/>
      <c r="F30" s="495"/>
      <c r="G30" s="495"/>
      <c r="H30" s="495"/>
      <c r="I30" s="495"/>
      <c r="J30" s="495"/>
      <c r="K30" s="495"/>
      <c r="M30" s="1650" t="s">
        <v>1093</v>
      </c>
      <c r="N30" s="609">
        <f ca="1">'Exh No.__(JRS-16) Table C p3'!V27</f>
        <v>0.13012180691489469</v>
      </c>
    </row>
    <row r="31" spans="2:20">
      <c r="N31" s="519">
        <f ca="1">'Exh No.__(JRS-18) p6'!N31</f>
        <v>6633124.9621007489</v>
      </c>
    </row>
    <row r="33" spans="2:15">
      <c r="B33" s="480" t="s">
        <v>529</v>
      </c>
    </row>
    <row r="34" spans="2:15">
      <c r="B34" s="570" t="s">
        <v>1058</v>
      </c>
      <c r="O34" s="779" t="s">
        <v>31</v>
      </c>
    </row>
    <row r="35" spans="2:15">
      <c r="B35" s="570"/>
    </row>
    <row r="36" spans="2:15">
      <c r="B36" s="517"/>
    </row>
    <row r="37" spans="2:15">
      <c r="B37" s="517"/>
    </row>
    <row r="38" spans="2:15">
      <c r="B38" s="517"/>
    </row>
    <row r="39" spans="2:15">
      <c r="B39" s="517"/>
    </row>
    <row r="40" spans="2:15">
      <c r="B40" s="517"/>
    </row>
    <row r="41" spans="2:15">
      <c r="B41" s="517"/>
    </row>
    <row r="42" spans="2:15">
      <c r="B42" s="517"/>
    </row>
    <row r="43" spans="2:15">
      <c r="B43" s="517"/>
    </row>
    <row r="44" spans="2:15">
      <c r="B44" s="517"/>
    </row>
    <row r="45" spans="2:15">
      <c r="B45" s="517"/>
    </row>
    <row r="46" spans="2:15">
      <c r="B46" s="517"/>
    </row>
    <row r="47" spans="2:15">
      <c r="B47" s="517"/>
    </row>
    <row r="49" spans="16:16">
      <c r="P49" s="519"/>
    </row>
  </sheetData>
  <phoneticPr fontId="0" type="noConversion"/>
  <printOptions horizontalCentered="1"/>
  <pageMargins left="0.5" right="0.5" top="0.5" bottom="0.5" header="0.5" footer="0.5"/>
  <pageSetup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2:V49"/>
  <sheetViews>
    <sheetView tabSelected="1" view="pageBreakPreview" zoomScale="60" zoomScaleNormal="100" workbookViewId="0">
      <selection activeCell="B1" sqref="B1:T1"/>
    </sheetView>
  </sheetViews>
  <sheetFormatPr defaultColWidth="8.5" defaultRowHeight="15"/>
  <cols>
    <col min="1" max="1" width="2" style="480" customWidth="1"/>
    <col min="2" max="2" width="8.5" style="480"/>
    <col min="3" max="3" width="8.5" style="480" hidden="1" customWidth="1"/>
    <col min="4" max="4" width="3.25" style="480" customWidth="1"/>
    <col min="5" max="5" width="10.75" style="480" bestFit="1" customWidth="1"/>
    <col min="6" max="6" width="3.75" style="480" customWidth="1"/>
    <col min="7" max="7" width="19.875" style="480" customWidth="1"/>
    <col min="8" max="8" width="3.5" style="480" customWidth="1"/>
    <col min="9" max="9" width="19.5" style="480" customWidth="1"/>
    <col min="10" max="10" width="2.875" style="480" customWidth="1"/>
    <col min="11" max="11" width="12.125" style="480" customWidth="1"/>
    <col min="12" max="12" width="12" style="609" customWidth="1"/>
    <col min="13" max="13" width="8.5" style="480"/>
    <col min="14" max="14" width="12.25" style="480" customWidth="1"/>
    <col min="15" max="15" width="20.375" style="480" customWidth="1"/>
    <col min="16" max="16" width="2.5" style="480" customWidth="1"/>
    <col min="17" max="17" width="14.375" style="480" customWidth="1"/>
    <col min="18" max="18" width="10.375" style="480" bestFit="1" customWidth="1"/>
    <col min="19" max="19" width="7.375" style="480" customWidth="1"/>
    <col min="20" max="20" width="2.5" style="480" customWidth="1"/>
    <col min="21" max="16384" width="8.5" style="480"/>
  </cols>
  <sheetData>
    <row r="2" spans="1:22" ht="18.75">
      <c r="B2" s="487"/>
      <c r="C2" s="485"/>
      <c r="D2" s="485"/>
      <c r="E2" s="485"/>
      <c r="F2" s="485"/>
      <c r="G2" s="485"/>
      <c r="H2" s="485"/>
      <c r="I2" s="485"/>
      <c r="J2" s="483" t="s">
        <v>31</v>
      </c>
      <c r="K2" s="587"/>
    </row>
    <row r="3" spans="1:22" ht="18.75">
      <c r="B3" s="484" t="s">
        <v>72</v>
      </c>
      <c r="C3" s="484"/>
      <c r="D3" s="484"/>
      <c r="E3" s="484"/>
      <c r="F3" s="484"/>
      <c r="G3" s="484"/>
      <c r="H3" s="484"/>
      <c r="I3" s="484"/>
      <c r="J3" s="484"/>
      <c r="K3" s="484"/>
    </row>
    <row r="4" spans="1:22" ht="18.75">
      <c r="B4" s="484" t="s">
        <v>520</v>
      </c>
      <c r="C4" s="484"/>
      <c r="D4" s="484"/>
      <c r="E4" s="484"/>
      <c r="F4" s="484"/>
      <c r="G4" s="484"/>
      <c r="H4" s="484"/>
      <c r="I4" s="484"/>
      <c r="J4" s="484"/>
      <c r="K4" s="484"/>
    </row>
    <row r="5" spans="1:22" ht="18.75">
      <c r="B5" s="484" t="s">
        <v>573</v>
      </c>
      <c r="C5" s="484"/>
      <c r="D5" s="484"/>
      <c r="E5" s="484"/>
      <c r="F5" s="484"/>
      <c r="G5" s="484"/>
      <c r="H5" s="484"/>
      <c r="I5" s="484"/>
      <c r="J5" s="484"/>
      <c r="K5" s="484"/>
    </row>
    <row r="6" spans="1:22" ht="18.75">
      <c r="B6" s="484" t="s">
        <v>678</v>
      </c>
      <c r="C6" s="484"/>
      <c r="D6" s="484"/>
      <c r="E6" s="484"/>
      <c r="F6" s="484"/>
      <c r="G6" s="484"/>
      <c r="H6" s="484"/>
      <c r="I6" s="484"/>
      <c r="J6" s="484"/>
      <c r="K6" s="484"/>
    </row>
    <row r="7" spans="1:22" ht="18.75">
      <c r="B7" s="484" t="s">
        <v>679</v>
      </c>
      <c r="C7" s="484"/>
      <c r="D7" s="484"/>
      <c r="E7" s="484"/>
      <c r="F7" s="484"/>
      <c r="G7" s="484"/>
      <c r="H7" s="484"/>
      <c r="I7" s="484"/>
      <c r="J7" s="484"/>
      <c r="K7" s="484"/>
      <c r="V7" s="779" t="s">
        <v>31</v>
      </c>
    </row>
    <row r="8" spans="1:22" ht="18.75">
      <c r="A8" s="610"/>
      <c r="B8" s="485"/>
      <c r="C8" s="485"/>
      <c r="D8" s="485"/>
      <c r="E8" s="485"/>
      <c r="F8" s="485"/>
      <c r="G8" s="485"/>
      <c r="H8" s="485"/>
      <c r="I8" s="485"/>
      <c r="J8" s="485"/>
    </row>
    <row r="9" spans="1:22" ht="18.75">
      <c r="A9" s="610"/>
      <c r="B9" s="485"/>
      <c r="C9" s="485"/>
      <c r="D9" s="485"/>
      <c r="E9" s="485"/>
      <c r="F9" s="485"/>
      <c r="G9" s="485"/>
      <c r="H9" s="485"/>
      <c r="I9" s="485"/>
      <c r="J9" s="485"/>
    </row>
    <row r="11" spans="1:22">
      <c r="B11" s="588" t="s">
        <v>531</v>
      </c>
      <c r="G11" s="493" t="s">
        <v>532</v>
      </c>
      <c r="H11" s="493"/>
      <c r="I11" s="493"/>
    </row>
    <row r="12" spans="1:22" ht="15.75" thickBot="1">
      <c r="B12" s="591" t="s">
        <v>534</v>
      </c>
      <c r="C12" s="589" t="s">
        <v>535</v>
      </c>
      <c r="G12" s="485" t="s">
        <v>197</v>
      </c>
      <c r="I12" s="1076" t="s">
        <v>307</v>
      </c>
      <c r="K12" s="485" t="s">
        <v>523</v>
      </c>
    </row>
    <row r="13" spans="1:22">
      <c r="B13" s="592" t="s">
        <v>406</v>
      </c>
      <c r="C13" s="593" t="s">
        <v>537</v>
      </c>
      <c r="D13" s="498"/>
      <c r="E13" s="492" t="s">
        <v>25</v>
      </c>
      <c r="F13" s="498"/>
      <c r="G13" s="493" t="s">
        <v>569</v>
      </c>
      <c r="I13" s="493" t="s">
        <v>570</v>
      </c>
      <c r="K13" s="486" t="s">
        <v>263</v>
      </c>
      <c r="M13" s="611" t="s">
        <v>524</v>
      </c>
      <c r="N13" s="576"/>
      <c r="O13" s="577"/>
      <c r="P13" s="544"/>
      <c r="Q13" s="544"/>
      <c r="R13" s="576" t="s">
        <v>525</v>
      </c>
      <c r="S13" s="577"/>
    </row>
    <row r="14" spans="1:22">
      <c r="G14" s="593"/>
      <c r="H14" s="498"/>
      <c r="I14" s="593"/>
      <c r="M14" s="546" t="s">
        <v>404</v>
      </c>
      <c r="N14" s="510"/>
      <c r="O14" s="547"/>
      <c r="P14" s="510"/>
      <c r="Q14" s="510"/>
      <c r="R14" s="510"/>
      <c r="S14" s="547"/>
    </row>
    <row r="15" spans="1:22">
      <c r="B15" s="502">
        <v>30000</v>
      </c>
      <c r="C15" s="480">
        <v>300</v>
      </c>
      <c r="E15" s="502">
        <f>ROUND((B$15*C15),0)</f>
        <v>9000000</v>
      </c>
      <c r="F15" s="502"/>
      <c r="G15" s="602">
        <f>ROUND($E15*N$18/100+$B$15*N$17+$B$15*O$16+N$16,2)+$R$24</f>
        <v>646345.5</v>
      </c>
      <c r="H15" s="602"/>
      <c r="I15" s="602">
        <f ca="1">ROUND($E15*R$18/100+$B$15*R$17+$B$15*S$16+R$16,2)+$R$25</f>
        <v>727234.5</v>
      </c>
      <c r="K15" s="505">
        <f ca="1">(I15-G15)/G15</f>
        <v>0.12514823728176339</v>
      </c>
      <c r="M15" s="1684" t="s">
        <v>31</v>
      </c>
      <c r="N15" s="552" t="str">
        <f>'Exh No.__(JRS-17) p1-10'!G1093</f>
        <v xml:space="preserve"> </v>
      </c>
      <c r="O15" s="497" t="str">
        <f>'Exh No.__(JRS-17) p1-10'!G1096</f>
        <v xml:space="preserve"> </v>
      </c>
      <c r="P15" s="553"/>
      <c r="Q15" s="510" t="s">
        <v>31</v>
      </c>
      <c r="R15" s="552" t="s">
        <v>31</v>
      </c>
      <c r="S15" s="497" t="s">
        <v>31</v>
      </c>
    </row>
    <row r="16" spans="1:22">
      <c r="C16" s="480">
        <v>500</v>
      </c>
      <c r="E16" s="502">
        <f>ROUND((B$15*C16),0)</f>
        <v>15000000</v>
      </c>
      <c r="F16" s="502"/>
      <c r="G16" s="602">
        <f>ROUND($E16*N$18/100+$B$15*N$17+$B$15*O$16+N$16,2)+$R$24</f>
        <v>923785.5</v>
      </c>
      <c r="H16" s="602"/>
      <c r="I16" s="602">
        <f t="shared" ref="I16:I17" ca="1" si="0">ROUND($E16*R$18/100+$B$15*R$17+$B$15*S$16+R$16,2)+$R$25</f>
        <v>1039654.5</v>
      </c>
      <c r="K16" s="505">
        <f ca="1">(I16-G16)/G16</f>
        <v>0.12542846797227278</v>
      </c>
      <c r="M16" s="1684" t="s">
        <v>676</v>
      </c>
      <c r="N16" s="552">
        <f>'Exh No.__(JRS-17) p1-10'!G1094</f>
        <v>2528</v>
      </c>
      <c r="O16" s="497">
        <f>'Exh No.__(JRS-17) p1-10'!G1097</f>
        <v>0.23</v>
      </c>
      <c r="P16" s="553"/>
      <c r="Q16" s="510" t="s">
        <v>676</v>
      </c>
      <c r="R16" s="552">
        <f ca="1">'Exh No.__(JRS-17) p1-10'!J1094</f>
        <v>2747</v>
      </c>
      <c r="S16" s="497">
        <f ca="1">'Exh No.__(JRS-17) p1-10'!J1097</f>
        <v>0.27</v>
      </c>
    </row>
    <row r="17" spans="2:21">
      <c r="C17" s="480">
        <v>700</v>
      </c>
      <c r="E17" s="502">
        <f>ROUND((B$15*C17),0)</f>
        <v>21000000</v>
      </c>
      <c r="F17" s="502"/>
      <c r="G17" s="602">
        <f>ROUND($E17*N$18/100+$B$15*N$17+$B$15*O$16+N$16,2)+$R$24</f>
        <v>1201225.5</v>
      </c>
      <c r="H17" s="602"/>
      <c r="I17" s="602">
        <f t="shared" ca="1" si="0"/>
        <v>1352074.5</v>
      </c>
      <c r="K17" s="505">
        <f ca="1">(I17-G17)/G17</f>
        <v>0.12557925218870228</v>
      </c>
      <c r="M17" s="546" t="s">
        <v>406</v>
      </c>
      <c r="N17" s="552">
        <f>'Exh No.__(JRS-17) p1-10'!G1098</f>
        <v>7.35</v>
      </c>
      <c r="O17" s="558"/>
      <c r="P17" s="553"/>
      <c r="Q17" s="553"/>
      <c r="R17" s="552">
        <f ca="1">'Exh No.__(JRS-17) p1-10'!J1098</f>
        <v>8.25</v>
      </c>
      <c r="S17" s="558"/>
      <c r="U17" s="1136">
        <f ca="1">(R17-N17)/N17</f>
        <v>0.12244897959183679</v>
      </c>
    </row>
    <row r="18" spans="2:21">
      <c r="G18" s="602"/>
      <c r="H18" s="602"/>
      <c r="I18" s="602"/>
      <c r="K18" s="505"/>
      <c r="M18" s="546" t="s">
        <v>376</v>
      </c>
      <c r="N18" s="561">
        <f>'Exh No.__(JRS-17) p1-10'!G1100+R20</f>
        <v>4.6239999999999997</v>
      </c>
      <c r="O18" s="558"/>
      <c r="P18" s="553"/>
      <c r="Q18" s="553"/>
      <c r="R18" s="561">
        <f ca="1">'Exh No.__(JRS-17) p1-10'!J1100+'Exh No.__(JRS-17) p1-10'!J1102+R21+R27</f>
        <v>5.2070000000000007</v>
      </c>
      <c r="S18" s="558"/>
      <c r="U18" s="1136">
        <f ca="1">(R18-N18)/N18</f>
        <v>0.12608131487889299</v>
      </c>
    </row>
    <row r="19" spans="2:21" ht="15.75" thickBot="1">
      <c r="B19" s="502">
        <v>40000</v>
      </c>
      <c r="C19" s="480">
        <v>300</v>
      </c>
      <c r="E19" s="502">
        <f>ROUND((B$19*C19),0)</f>
        <v>12000000</v>
      </c>
      <c r="F19" s="502"/>
      <c r="G19" s="602">
        <f>ROUND($E19*N$18/100+$B$19*N$17+$B$19*O$16+N$16,2)+$R$24</f>
        <v>860865.5</v>
      </c>
      <c r="H19" s="602"/>
      <c r="I19" s="602">
        <f ca="1">ROUND($E19*R$18/100+$B$19*R$17+$B$19*S$16+R$16,2)+$R$25</f>
        <v>968644.5</v>
      </c>
      <c r="K19" s="505">
        <f ca="1">(I19-G19)/G19</f>
        <v>0.12519841949758703</v>
      </c>
      <c r="M19" s="582" t="s">
        <v>31</v>
      </c>
      <c r="N19" s="583" t="s">
        <v>31</v>
      </c>
      <c r="O19" s="564"/>
      <c r="P19" s="563"/>
      <c r="Q19" s="563"/>
      <c r="R19" s="583" t="s">
        <v>31</v>
      </c>
      <c r="S19" s="584"/>
    </row>
    <row r="20" spans="2:21">
      <c r="C20" s="480">
        <v>500</v>
      </c>
      <c r="E20" s="502">
        <f>ROUND((B$19*C20),0)</f>
        <v>20000000</v>
      </c>
      <c r="F20" s="502"/>
      <c r="G20" s="602">
        <f t="shared" ref="G20:G21" si="1">ROUND($E20*N$18/100+$B$19*N$17+$B$19*O$16+N$16,2)+$R$24</f>
        <v>1230785.5</v>
      </c>
      <c r="H20" s="602"/>
      <c r="I20" s="602">
        <f t="shared" ref="I20:I21" ca="1" si="2">ROUND($E20*R$18/100+$B$19*R$17+$B$19*S$16+R$16,2)+$R$25</f>
        <v>1385204.5</v>
      </c>
      <c r="K20" s="505">
        <f ca="1">(I20-G20)/G20</f>
        <v>0.12546377902567099</v>
      </c>
      <c r="O20" s="508" t="s">
        <v>200</v>
      </c>
      <c r="P20" s="508"/>
      <c r="Q20" s="508"/>
      <c r="R20" s="509">
        <v>0.19400000000000001</v>
      </c>
    </row>
    <row r="21" spans="2:21">
      <c r="C21" s="480">
        <v>700</v>
      </c>
      <c r="E21" s="502">
        <f>ROUND((B$19*C21),0)</f>
        <v>28000000</v>
      </c>
      <c r="F21" s="502"/>
      <c r="G21" s="602">
        <f t="shared" si="1"/>
        <v>1600705.5</v>
      </c>
      <c r="H21" s="602"/>
      <c r="I21" s="602">
        <f t="shared" ca="1" si="2"/>
        <v>1801764.5</v>
      </c>
      <c r="K21" s="505">
        <f ca="1">(I21-G21)/G21</f>
        <v>0.12560649038814448</v>
      </c>
      <c r="O21" s="508"/>
      <c r="P21" s="508"/>
      <c r="Q21" s="508"/>
      <c r="R21" s="509">
        <v>0.19400000000000001</v>
      </c>
    </row>
    <row r="22" spans="2:21">
      <c r="G22" s="602"/>
      <c r="H22" s="602"/>
      <c r="I22" s="602"/>
      <c r="K22" s="505"/>
      <c r="O22" s="508"/>
      <c r="P22" s="508"/>
      <c r="Q22" s="508"/>
      <c r="R22" s="512"/>
    </row>
    <row r="23" spans="2:21">
      <c r="B23" s="502">
        <v>50000</v>
      </c>
      <c r="C23" s="480">
        <v>300</v>
      </c>
      <c r="E23" s="502">
        <f>ROUND((B$23*C23),0)</f>
        <v>15000000</v>
      </c>
      <c r="F23" s="502"/>
      <c r="G23" s="602">
        <f>ROUND($E23*N$18/100+$B$23*N$17+$B$23*O$16+N$16,2)+$R$24</f>
        <v>1075385.5</v>
      </c>
      <c r="H23" s="602"/>
      <c r="I23" s="602">
        <f ca="1">ROUND($E23*R$18/100+$B$23*R$17+$B$23*S$16+R$16,2)+$R$25</f>
        <v>1210054.5</v>
      </c>
      <c r="K23" s="505">
        <f ca="1">(I23-G23)/G23</f>
        <v>0.12522858082055227</v>
      </c>
      <c r="O23" s="480" t="s">
        <v>31</v>
      </c>
      <c r="P23" s="480" t="s">
        <v>31</v>
      </c>
      <c r="R23" s="480" t="s">
        <v>31</v>
      </c>
    </row>
    <row r="24" spans="2:21">
      <c r="C24" s="480">
        <v>500</v>
      </c>
      <c r="E24" s="502">
        <f>ROUND((B$23*C24),0)</f>
        <v>25000000</v>
      </c>
      <c r="F24" s="502"/>
      <c r="G24" s="602">
        <f t="shared" ref="G24:G25" si="3">ROUND($E24*N$18/100+$B$23*N$17+$B$23*O$16+N$16,2)+$R$24</f>
        <v>1537785.5</v>
      </c>
      <c r="H24" s="602"/>
      <c r="I24" s="602">
        <f t="shared" ref="I24:I25" ca="1" si="4">ROUND($E24*R$18/100+$B$23*R$17+$B$23*S$16+R$16,2)+$R$25</f>
        <v>1730754.5</v>
      </c>
      <c r="K24" s="505">
        <f ca="1">(I24-G24)/G24</f>
        <v>0.12548499124227663</v>
      </c>
      <c r="O24" s="480" t="s">
        <v>669</v>
      </c>
      <c r="R24" s="554">
        <f>'Exh No.__(JRS-17) p12'!D21</f>
        <v>257.5</v>
      </c>
      <c r="S24" s="480" t="s">
        <v>31</v>
      </c>
    </row>
    <row r="25" spans="2:21">
      <c r="C25" s="480">
        <v>700</v>
      </c>
      <c r="E25" s="502">
        <f>ROUND((B$23*C25),0)</f>
        <v>35000000</v>
      </c>
      <c r="F25" s="502"/>
      <c r="G25" s="602">
        <f t="shared" si="3"/>
        <v>2000185.5</v>
      </c>
      <c r="H25" s="602"/>
      <c r="I25" s="602">
        <f t="shared" ca="1" si="4"/>
        <v>2251454.5</v>
      </c>
      <c r="K25" s="505">
        <f ca="1">(I25-G25)/G25</f>
        <v>0.12562284848080341</v>
      </c>
      <c r="O25" s="480" t="s">
        <v>668</v>
      </c>
      <c r="P25" s="521"/>
      <c r="Q25" s="521"/>
      <c r="R25" s="554">
        <f>R24</f>
        <v>257.5</v>
      </c>
    </row>
    <row r="26" spans="2:21">
      <c r="G26" s="602"/>
      <c r="H26" s="602"/>
      <c r="I26" s="602"/>
      <c r="K26" s="505"/>
    </row>
    <row r="27" spans="2:21">
      <c r="B27" s="502">
        <v>60000</v>
      </c>
      <c r="C27" s="480">
        <v>300</v>
      </c>
      <c r="E27" s="502">
        <f>ROUND((B$27*C27),0)</f>
        <v>18000000</v>
      </c>
      <c r="F27" s="502"/>
      <c r="G27" s="602">
        <f>ROUND($E27*N$18/100+$B$27*N$17+$B$27*O$16+N$16,2)+$R$24</f>
        <v>1289905.5</v>
      </c>
      <c r="H27" s="602"/>
      <c r="I27" s="602">
        <f ca="1">ROUND($E27*R$18/100+$B$27*R$17+$B$27*S$16+R$16,2)+$R$25</f>
        <v>1451464.5</v>
      </c>
      <c r="K27" s="505">
        <f ca="1">(I27-G27)/G27</f>
        <v>0.12524871007992447</v>
      </c>
      <c r="O27" s="779" t="s">
        <v>313</v>
      </c>
      <c r="R27" s="480">
        <f ca="1">'Exh No.__(JRS-16) Table B p2'!AB27</f>
        <v>0.113</v>
      </c>
    </row>
    <row r="28" spans="2:21">
      <c r="C28" s="480">
        <v>500</v>
      </c>
      <c r="E28" s="502">
        <f>ROUND((B$27*C28),0)</f>
        <v>30000000</v>
      </c>
      <c r="F28" s="502"/>
      <c r="G28" s="602">
        <f t="shared" ref="G28:G29" si="5">ROUND($E28*N$18/100+$B$27*N$17+$B$27*O$16+N$16,2)+$R$24</f>
        <v>1844785.5</v>
      </c>
      <c r="H28" s="602"/>
      <c r="I28" s="602">
        <f t="shared" ref="I28:I29" ca="1" si="6">ROUND($E28*R$18/100+$B$27*R$17+$B$27*S$16+R$16,2)+$R$25</f>
        <v>2076304.5</v>
      </c>
      <c r="K28" s="505">
        <f ca="1">(I28-G28)/G28</f>
        <v>0.12549914339634607</v>
      </c>
      <c r="O28" s="779"/>
    </row>
    <row r="29" spans="2:21">
      <c r="C29" s="480">
        <v>700</v>
      </c>
      <c r="E29" s="502">
        <f>ROUND((B$27*C29),0)</f>
        <v>42000000</v>
      </c>
      <c r="F29" s="502"/>
      <c r="G29" s="602">
        <f t="shared" si="5"/>
        <v>2399665.5</v>
      </c>
      <c r="H29" s="602"/>
      <c r="I29" s="602">
        <f t="shared" ca="1" si="6"/>
        <v>2701144.5</v>
      </c>
      <c r="K29" s="505">
        <f ca="1">(I29-G29)/G29</f>
        <v>0.12563376020532863</v>
      </c>
    </row>
    <row r="30" spans="2:21">
      <c r="B30" s="495"/>
      <c r="C30" s="495"/>
      <c r="D30" s="495"/>
      <c r="E30" s="495"/>
      <c r="F30" s="495"/>
      <c r="G30" s="495"/>
      <c r="H30" s="495"/>
      <c r="I30" s="495"/>
      <c r="J30" s="495"/>
      <c r="K30" s="495"/>
      <c r="M30" s="1650" t="s">
        <v>1093</v>
      </c>
      <c r="N30" s="609">
        <f ca="1">'Exh No.__(JRS-16) Table C p3'!V27</f>
        <v>0.13012180691489469</v>
      </c>
    </row>
    <row r="31" spans="2:21">
      <c r="N31" s="519">
        <f ca="1">'Exh No.__(JRS-18) p7'!N31</f>
        <v>6633124.9621007489</v>
      </c>
    </row>
    <row r="32" spans="2:21">
      <c r="O32" s="779" t="s">
        <v>31</v>
      </c>
    </row>
    <row r="33" spans="2:11">
      <c r="B33" s="480" t="s">
        <v>529</v>
      </c>
    </row>
    <row r="34" spans="2:11">
      <c r="B34" s="570" t="s">
        <v>1058</v>
      </c>
    </row>
    <row r="35" spans="2:11">
      <c r="B35" s="570"/>
    </row>
    <row r="36" spans="2:11">
      <c r="B36" s="517"/>
    </row>
    <row r="37" spans="2:11">
      <c r="B37" s="517"/>
    </row>
    <row r="38" spans="2:11">
      <c r="B38" s="517"/>
    </row>
    <row r="39" spans="2:11">
      <c r="B39" s="517"/>
    </row>
    <row r="40" spans="2:11">
      <c r="B40" s="517"/>
    </row>
    <row r="41" spans="2:11">
      <c r="B41" s="517"/>
    </row>
    <row r="42" spans="2:11">
      <c r="B42" s="517"/>
    </row>
    <row r="43" spans="2:11">
      <c r="B43" s="517"/>
      <c r="K43" s="779" t="s">
        <v>31</v>
      </c>
    </row>
    <row r="44" spans="2:11">
      <c r="B44" s="517"/>
    </row>
    <row r="45" spans="2:11">
      <c r="B45" s="517"/>
    </row>
    <row r="46" spans="2:11">
      <c r="B46" s="517"/>
    </row>
    <row r="47" spans="2:11">
      <c r="B47" s="517"/>
    </row>
    <row r="49" spans="16:17">
      <c r="P49" s="519"/>
      <c r="Q49" s="519"/>
    </row>
  </sheetData>
  <phoneticPr fontId="0" type="noConversion"/>
  <printOptions horizontalCentered="1"/>
  <pageMargins left="0.5" right="0.5" top="0.5" bottom="0.5" header="0.5" footer="0.5"/>
  <pageSetup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"/>
  <sheetViews>
    <sheetView workbookViewId="0">
      <selection activeCell="F16" sqref="F16"/>
    </sheetView>
  </sheetViews>
  <sheetFormatPr defaultRowHeight="15.7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15"/>
  <dimension ref="A1:BB1287"/>
  <sheetViews>
    <sheetView view="pageBreakPreview" zoomScale="70" zoomScaleNormal="75" zoomScaleSheetLayoutView="70" workbookViewId="0">
      <pane ySplit="10" topLeftCell="A11" activePane="bottomLeft" state="frozen"/>
      <selection activeCell="J89" sqref="J89"/>
      <selection pane="bottomLeft" sqref="A1:X1"/>
    </sheetView>
  </sheetViews>
  <sheetFormatPr defaultColWidth="10.25" defaultRowHeight="15.75"/>
  <cols>
    <col min="1" max="1" width="21.625" style="3" customWidth="1"/>
    <col min="2" max="2" width="5.875" style="3" customWidth="1"/>
    <col min="3" max="3" width="14.875" style="3" customWidth="1"/>
    <col min="4" max="4" width="14.875" style="3" hidden="1" customWidth="1"/>
    <col min="5" max="5" width="2.125" style="3" hidden="1" customWidth="1"/>
    <col min="6" max="6" width="16.875" style="3" hidden="1" customWidth="1"/>
    <col min="7" max="7" width="10.5" style="3" bestFit="1" customWidth="1"/>
    <col min="8" max="8" width="2.625" style="3" customWidth="1"/>
    <col min="9" max="9" width="15" style="3" customWidth="1"/>
    <col min="10" max="10" width="11" style="3" bestFit="1" customWidth="1"/>
    <col min="11" max="11" width="2.125" style="3" bestFit="1" customWidth="1"/>
    <col min="12" max="12" width="14.5" style="3" customWidth="1"/>
    <col min="13" max="13" width="1.625" style="3" customWidth="1"/>
    <col min="14" max="14" width="12" style="3" bestFit="1" customWidth="1"/>
    <col min="15" max="15" width="2.125" style="3" bestFit="1" customWidth="1"/>
    <col min="16" max="16" width="15.125" style="3" bestFit="1" customWidth="1"/>
    <col min="17" max="17" width="2.875" style="3" customWidth="1"/>
    <col min="18" max="18" width="12" style="3" customWidth="1"/>
    <col min="19" max="19" width="2.125" style="3" bestFit="1" customWidth="1"/>
    <col min="20" max="20" width="14.625" style="3" bestFit="1" customWidth="1"/>
    <col min="21" max="21" width="2.875" style="3" customWidth="1"/>
    <col min="22" max="22" width="9.625" style="3" customWidth="1"/>
    <col min="23" max="23" width="2.125" style="3" bestFit="1" customWidth="1"/>
    <col min="24" max="24" width="18.5" style="3" customWidth="1"/>
    <col min="25" max="25" width="14.375" style="3" bestFit="1" customWidth="1"/>
    <col min="26" max="26" width="15.125" style="69" bestFit="1" customWidth="1"/>
    <col min="27" max="27" width="17" style="69" bestFit="1" customWidth="1"/>
    <col min="28" max="28" width="8.125" style="69" bestFit="1" customWidth="1"/>
    <col min="29" max="29" width="13" style="3" customWidth="1"/>
    <col min="30" max="30" width="17" style="3" customWidth="1"/>
    <col min="31" max="31" width="13" style="3" customWidth="1"/>
    <col min="32" max="32" width="14.125" style="3" bestFit="1" customWidth="1"/>
    <col min="33" max="33" width="14.75" style="3" customWidth="1"/>
    <col min="34" max="34" width="13.25" style="3" bestFit="1" customWidth="1"/>
    <col min="35" max="35" width="13" style="3" bestFit="1" customWidth="1"/>
    <col min="36" max="36" width="12.25" style="3" bestFit="1" customWidth="1"/>
    <col min="37" max="37" width="5.5" style="3" bestFit="1" customWidth="1"/>
    <col min="38" max="38" width="18" style="3" customWidth="1"/>
    <col min="39" max="39" width="10.25" style="3" customWidth="1"/>
    <col min="40" max="40" width="12.125" style="3" customWidth="1"/>
    <col min="41" max="16384" width="10.25" style="3"/>
  </cols>
  <sheetData>
    <row r="1" spans="1:47" ht="18">
      <c r="A1" s="1719" t="s">
        <v>185</v>
      </c>
      <c r="B1" s="1719"/>
      <c r="C1" s="1719"/>
      <c r="D1" s="1719"/>
      <c r="E1" s="1719"/>
      <c r="F1" s="1719"/>
      <c r="G1" s="1719"/>
      <c r="H1" s="1719"/>
      <c r="I1" s="1719"/>
      <c r="J1" s="1719"/>
      <c r="K1" s="1719"/>
      <c r="L1" s="1719"/>
      <c r="M1" s="1719"/>
      <c r="N1" s="1719"/>
      <c r="O1" s="1719"/>
      <c r="P1" s="1719"/>
      <c r="Q1" s="1719"/>
      <c r="R1" s="1719"/>
      <c r="S1" s="1719"/>
      <c r="T1" s="1719"/>
      <c r="U1" s="1719"/>
      <c r="V1" s="1719"/>
      <c r="W1" s="1719"/>
      <c r="X1" s="1719"/>
      <c r="Y1" s="20"/>
      <c r="Z1" s="74"/>
      <c r="AA1" s="74"/>
      <c r="AB1" s="74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</row>
    <row r="2" spans="1:47" ht="18">
      <c r="A2" s="1719" t="s">
        <v>346</v>
      </c>
      <c r="B2" s="1719"/>
      <c r="C2" s="1719"/>
      <c r="D2" s="1719"/>
      <c r="E2" s="1719"/>
      <c r="F2" s="1719"/>
      <c r="G2" s="1719"/>
      <c r="H2" s="1719"/>
      <c r="I2" s="1719"/>
      <c r="J2" s="1719"/>
      <c r="K2" s="1719"/>
      <c r="L2" s="1719"/>
      <c r="M2" s="1719"/>
      <c r="N2" s="1719"/>
      <c r="O2" s="1719"/>
      <c r="P2" s="1719"/>
      <c r="Q2" s="1719"/>
      <c r="R2" s="1719"/>
      <c r="S2" s="1719"/>
      <c r="T2" s="1719"/>
      <c r="U2" s="1719"/>
      <c r="V2" s="1719"/>
      <c r="W2" s="1719"/>
      <c r="X2" s="1719"/>
      <c r="Y2" s="20"/>
      <c r="Z2" s="74"/>
      <c r="AA2" s="74"/>
      <c r="AB2" s="74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</row>
    <row r="3" spans="1:47" ht="18">
      <c r="A3" s="1719" t="s">
        <v>840</v>
      </c>
      <c r="B3" s="1719"/>
      <c r="C3" s="1719"/>
      <c r="D3" s="1719"/>
      <c r="E3" s="1719"/>
      <c r="F3" s="1719"/>
      <c r="G3" s="1719"/>
      <c r="H3" s="1719"/>
      <c r="I3" s="1719"/>
      <c r="J3" s="1719"/>
      <c r="K3" s="1719"/>
      <c r="L3" s="1719"/>
      <c r="M3" s="1719"/>
      <c r="N3" s="1719"/>
      <c r="O3" s="1719"/>
      <c r="P3" s="1719"/>
      <c r="Q3" s="1719"/>
      <c r="R3" s="1719"/>
      <c r="S3" s="1719"/>
      <c r="T3" s="1719"/>
      <c r="U3" s="1719"/>
      <c r="V3" s="1719"/>
      <c r="W3" s="1719"/>
      <c r="X3" s="1719"/>
      <c r="Y3" s="20"/>
      <c r="Z3" s="74"/>
      <c r="AA3" s="74"/>
      <c r="AB3" s="74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</row>
    <row r="4" spans="1:47" ht="18">
      <c r="A4" s="1719"/>
      <c r="B4" s="1719"/>
      <c r="C4" s="1719"/>
      <c r="D4" s="1719"/>
      <c r="E4" s="1719"/>
      <c r="F4" s="1719"/>
      <c r="G4" s="1719"/>
      <c r="H4" s="1719"/>
      <c r="I4" s="1719"/>
      <c r="J4" s="1719"/>
      <c r="K4" s="1719"/>
      <c r="L4" s="1719"/>
      <c r="M4" s="1719"/>
      <c r="N4" s="1719"/>
      <c r="O4" s="1719"/>
      <c r="P4" s="1719"/>
      <c r="Q4" s="1719"/>
      <c r="R4" s="1719"/>
      <c r="S4" s="1719"/>
      <c r="T4" s="1719"/>
      <c r="U4" s="1719"/>
      <c r="V4" s="1719"/>
      <c r="W4" s="1719"/>
      <c r="X4" s="1719"/>
      <c r="Y4" s="20"/>
      <c r="Z4" s="74"/>
      <c r="AA4" s="74"/>
      <c r="AB4" s="74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</row>
    <row r="5" spans="1:47">
      <c r="A5" s="252"/>
      <c r="B5" s="250"/>
      <c r="C5" s="250"/>
      <c r="D5" s="251"/>
      <c r="E5" s="251"/>
      <c r="F5" s="250"/>
      <c r="G5" s="251"/>
      <c r="H5" s="251"/>
      <c r="I5" s="250"/>
      <c r="J5" s="251"/>
      <c r="K5" s="250"/>
      <c r="L5" s="250"/>
      <c r="M5" s="250"/>
      <c r="N5" s="251"/>
      <c r="O5" s="250"/>
      <c r="P5" s="250"/>
      <c r="Q5" s="250"/>
      <c r="R5" s="251"/>
      <c r="S5" s="250"/>
      <c r="T5" s="250"/>
      <c r="U5" s="250"/>
      <c r="V5" s="251"/>
      <c r="W5" s="250"/>
      <c r="X5" s="250"/>
      <c r="Y5" s="20"/>
      <c r="Z5" s="74"/>
      <c r="AA5" s="74"/>
      <c r="AB5" s="74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</row>
    <row r="6" spans="1:47" hidden="1">
      <c r="A6" s="252"/>
      <c r="B6" s="250"/>
      <c r="C6" s="250"/>
      <c r="D6" s="251"/>
      <c r="E6" s="251"/>
      <c r="F6" s="250"/>
      <c r="G6" s="251"/>
      <c r="H6" s="251"/>
      <c r="I6" s="250"/>
      <c r="J6" s="251"/>
      <c r="K6" s="250"/>
      <c r="L6" s="250"/>
      <c r="M6" s="250"/>
      <c r="N6" s="251"/>
      <c r="O6" s="250"/>
      <c r="P6" s="250"/>
      <c r="Q6" s="250"/>
      <c r="R6" s="251"/>
      <c r="S6" s="250"/>
      <c r="T6" s="250"/>
      <c r="U6" s="250"/>
      <c r="V6" s="251"/>
      <c r="W6" s="250"/>
      <c r="X6" s="250"/>
      <c r="Y6" s="20"/>
      <c r="Z6" s="74"/>
      <c r="AA6" s="74"/>
      <c r="AB6" s="74"/>
      <c r="AC6" s="74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</row>
    <row r="7" spans="1:47" hidden="1">
      <c r="A7" s="250"/>
      <c r="B7" s="250"/>
      <c r="C7" s="250"/>
      <c r="D7" s="251"/>
      <c r="E7" s="251"/>
      <c r="F7" s="250"/>
      <c r="G7" s="251"/>
      <c r="H7" s="251"/>
      <c r="I7" s="250"/>
      <c r="J7" s="251"/>
      <c r="K7" s="250"/>
      <c r="L7" s="250"/>
      <c r="M7" s="250"/>
      <c r="N7" s="251"/>
      <c r="O7" s="250"/>
      <c r="P7" s="250"/>
      <c r="Q7" s="250"/>
      <c r="R7" s="251"/>
      <c r="S7" s="250"/>
      <c r="T7" s="250"/>
      <c r="U7" s="250"/>
      <c r="V7" s="251"/>
      <c r="W7" s="250"/>
      <c r="X7" s="250"/>
      <c r="Y7" s="20"/>
      <c r="Z7" s="74"/>
      <c r="AA7" s="74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</row>
    <row r="8" spans="1:47">
      <c r="A8" s="253"/>
      <c r="B8" s="253"/>
      <c r="C8" s="254"/>
      <c r="D8" s="255"/>
      <c r="E8" s="255"/>
      <c r="F8" s="256" t="s">
        <v>588</v>
      </c>
      <c r="G8" s="255"/>
      <c r="H8" s="255"/>
      <c r="I8" s="762" t="s">
        <v>197</v>
      </c>
      <c r="J8" s="255"/>
      <c r="K8" s="256"/>
      <c r="L8" s="256"/>
      <c r="M8" s="256"/>
      <c r="N8" s="255"/>
      <c r="O8" s="256"/>
      <c r="P8" s="256"/>
      <c r="Q8" s="256"/>
      <c r="R8" s="255"/>
      <c r="S8" s="256"/>
      <c r="T8" s="256"/>
      <c r="U8" s="256"/>
      <c r="V8" s="255"/>
      <c r="W8" s="256"/>
      <c r="X8" s="256"/>
      <c r="Y8" s="20"/>
      <c r="Z8" s="74"/>
      <c r="AA8" s="74"/>
      <c r="AB8" s="74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</row>
    <row r="9" spans="1:47">
      <c r="A9" s="253"/>
      <c r="B9" s="253"/>
      <c r="C9" s="254" t="s">
        <v>348</v>
      </c>
      <c r="D9" s="256" t="s">
        <v>637</v>
      </c>
      <c r="E9" s="255"/>
      <c r="F9" s="258" t="s">
        <v>349</v>
      </c>
      <c r="G9" s="256" t="s">
        <v>197</v>
      </c>
      <c r="H9" s="256"/>
      <c r="I9" s="762" t="s">
        <v>349</v>
      </c>
      <c r="J9" s="256" t="s">
        <v>305</v>
      </c>
      <c r="K9" s="254"/>
      <c r="L9" s="256" t="s">
        <v>305</v>
      </c>
      <c r="M9" s="256"/>
      <c r="N9" s="256" t="s">
        <v>933</v>
      </c>
      <c r="O9" s="254"/>
      <c r="P9" s="256" t="s">
        <v>934</v>
      </c>
      <c r="Q9" s="256"/>
      <c r="R9" s="256" t="s">
        <v>818</v>
      </c>
      <c r="S9" s="254"/>
      <c r="T9" s="256" t="s">
        <v>818</v>
      </c>
      <c r="U9" s="256"/>
      <c r="V9" s="256" t="s">
        <v>935</v>
      </c>
      <c r="W9" s="254"/>
      <c r="X9" s="256" t="s">
        <v>935</v>
      </c>
      <c r="Y9" s="20"/>
      <c r="Z9" s="74"/>
      <c r="AA9" s="74"/>
      <c r="AB9" s="74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</row>
    <row r="10" spans="1:47">
      <c r="A10" s="253"/>
      <c r="B10" s="253"/>
      <c r="C10" s="259" t="s">
        <v>304</v>
      </c>
      <c r="D10" s="260" t="s">
        <v>13</v>
      </c>
      <c r="E10" s="261"/>
      <c r="F10" s="260" t="s">
        <v>304</v>
      </c>
      <c r="G10" s="260" t="s">
        <v>13</v>
      </c>
      <c r="H10" s="258"/>
      <c r="I10" s="256" t="s">
        <v>304</v>
      </c>
      <c r="J10" s="260" t="s">
        <v>13</v>
      </c>
      <c r="K10" s="260"/>
      <c r="L10" s="260" t="s">
        <v>349</v>
      </c>
      <c r="M10" s="260"/>
      <c r="N10" s="260" t="s">
        <v>13</v>
      </c>
      <c r="O10" s="260"/>
      <c r="P10" s="260" t="s">
        <v>349</v>
      </c>
      <c r="Q10" s="260"/>
      <c r="R10" s="260" t="s">
        <v>13</v>
      </c>
      <c r="S10" s="260"/>
      <c r="T10" s="260" t="s">
        <v>349</v>
      </c>
      <c r="U10" s="260"/>
      <c r="V10" s="260" t="s">
        <v>13</v>
      </c>
      <c r="W10" s="260"/>
      <c r="X10" s="260" t="s">
        <v>349</v>
      </c>
      <c r="Y10" s="20"/>
      <c r="Z10" s="74"/>
      <c r="AA10" s="74"/>
      <c r="AB10" s="74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</row>
    <row r="11" spans="1:47">
      <c r="A11" s="262" t="s">
        <v>351</v>
      </c>
      <c r="F11" s="263"/>
      <c r="I11" s="263"/>
      <c r="Y11" s="20"/>
      <c r="Z11" s="74"/>
      <c r="AA11" s="74"/>
      <c r="AB11" s="74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</row>
    <row r="12" spans="1:47">
      <c r="A12" s="3" t="s">
        <v>352</v>
      </c>
      <c r="F12" s="263"/>
      <c r="I12" s="263"/>
      <c r="Y12" s="20"/>
      <c r="Z12" s="74"/>
      <c r="AA12" s="74"/>
      <c r="AB12" s="74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</row>
    <row r="13" spans="1:47">
      <c r="F13" s="263"/>
      <c r="I13" s="263"/>
      <c r="Y13" s="20"/>
      <c r="Z13" s="74"/>
      <c r="AA13" s="74"/>
      <c r="AB13" s="74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</row>
    <row r="14" spans="1:47">
      <c r="A14" s="3" t="s">
        <v>353</v>
      </c>
      <c r="F14" s="263"/>
      <c r="I14" s="263"/>
      <c r="Y14" s="20"/>
      <c r="Z14" s="74"/>
      <c r="AA14" s="74"/>
      <c r="AB14" s="74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</row>
    <row r="15" spans="1:47">
      <c r="A15" s="3" t="s">
        <v>354</v>
      </c>
      <c r="C15" s="264">
        <f>C35+C53+C71</f>
        <v>27329.113579563436</v>
      </c>
      <c r="D15" s="265">
        <v>10.63</v>
      </c>
      <c r="F15" s="2">
        <f>F35+F53+F71</f>
        <v>290509</v>
      </c>
      <c r="G15" s="265">
        <v>10.63</v>
      </c>
      <c r="I15" s="2">
        <f>I35+I53+I71</f>
        <v>290508.47735075932</v>
      </c>
      <c r="J15" s="265">
        <f ca="1">ROUND((G15+G15*$AA$27)*(1+$AA$28),2)</f>
        <v>11.16</v>
      </c>
      <c r="L15" s="2">
        <f ca="1">L35+L53+L71</f>
        <v>304992.90754792793</v>
      </c>
      <c r="M15" s="2"/>
      <c r="N15" s="265">
        <f ca="1">ROUND(P15/C15,2)</f>
        <v>6.53</v>
      </c>
      <c r="P15" s="2">
        <f ca="1">($Y$30-$P$22-$P$23-$P$26)*(L15/($L$15+$L$16+$L$17+$L$19+$L$20+$L$21))</f>
        <v>178332.08672425474</v>
      </c>
      <c r="Q15" s="2"/>
      <c r="R15" s="265">
        <f ca="1">ROUND(T15/C15,2)</f>
        <v>0.92</v>
      </c>
      <c r="T15" s="2">
        <f ca="1">($Z$30-$T$23-$T$26)*(L15/($L$15+$L$16+$L$17+$L$19+$L$20+$L$21))</f>
        <v>25032.699246607583</v>
      </c>
      <c r="U15" s="2"/>
      <c r="V15" s="265">
        <f ca="1">ROUND(X15/C15,2)-0.01</f>
        <v>3.7100000000000004</v>
      </c>
      <c r="X15" s="2">
        <f ca="1">($AA$30-$X$23-$X$26)*(L15/($L$15+$L$16+$L$17+$L$19+$L$20+$L$21))</f>
        <v>101628.1215770657</v>
      </c>
      <c r="Z15" s="815" t="s">
        <v>31</v>
      </c>
      <c r="AA15" s="266"/>
      <c r="AB15" s="266"/>
      <c r="AC15" s="266"/>
      <c r="AD15" s="266"/>
      <c r="AE15" s="267"/>
      <c r="AF15" s="267"/>
      <c r="AG15" s="267"/>
      <c r="AH15" s="267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U15" s="84"/>
    </row>
    <row r="16" spans="1:47">
      <c r="A16" s="3" t="s">
        <v>355</v>
      </c>
      <c r="C16" s="264">
        <f>C36+C54+C72</f>
        <v>4371.0778217830093</v>
      </c>
      <c r="D16" s="265">
        <v>20.23</v>
      </c>
      <c r="F16" s="2">
        <f>F36+F54+F72</f>
        <v>88427</v>
      </c>
      <c r="G16" s="265">
        <v>20.23</v>
      </c>
      <c r="I16" s="2">
        <f>I36+I54+I72</f>
        <v>88426.904334670282</v>
      </c>
      <c r="J16" s="265">
        <f ca="1">ROUND((G16+G16*$AA$27)*(1+$AA$28),2)</f>
        <v>21.24</v>
      </c>
      <c r="L16" s="2">
        <f ca="1">L36+L54+L72</f>
        <v>92841.692934671111</v>
      </c>
      <c r="M16" s="2"/>
      <c r="N16" s="265">
        <f t="shared" ref="N16:N21" ca="1" si="0">ROUND(P16/C16,2)</f>
        <v>12.42</v>
      </c>
      <c r="P16" s="2">
        <f t="shared" ref="P16:P21" ca="1" si="1">($Y$30-$P$22-$P$23-$P$26)*(L16/($L$15+$L$16+$L$17+$L$19+$L$20+$L$21))</f>
        <v>54285.370007991449</v>
      </c>
      <c r="Q16" s="2"/>
      <c r="R16" s="265">
        <f t="shared" ref="R16:R21" ca="1" si="2">ROUND(T16/C16,2)</f>
        <v>1.74</v>
      </c>
      <c r="T16" s="2">
        <f ca="1">($Z$30-$T$23-$T$26)*(L16/($L$15+$L$16+$L$17+$L$19+$L$20+$L$21))</f>
        <v>7620.1056459462043</v>
      </c>
      <c r="U16" s="2"/>
      <c r="V16" s="265">
        <f ca="1">ROUND(X16/C16,2)</f>
        <v>7.08</v>
      </c>
      <c r="X16" s="2">
        <f ca="1">($AA$30-$X$23-$X$26)*(L16/($L$15+$L$16+$L$17+$L$19+$L$20+$L$21))</f>
        <v>30936.217280733479</v>
      </c>
      <c r="Z16" s="105"/>
      <c r="AA16" s="266"/>
      <c r="AB16" s="266"/>
      <c r="AC16" s="266"/>
      <c r="AD16" s="266"/>
      <c r="AE16" s="267"/>
      <c r="AF16" s="267"/>
      <c r="AG16" s="267"/>
      <c r="AH16" s="267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U16" s="84"/>
    </row>
    <row r="17" spans="1:47">
      <c r="A17" s="3" t="s">
        <v>356</v>
      </c>
      <c r="C17" s="264">
        <f>C37+C55+C73</f>
        <v>540.36618394469588</v>
      </c>
      <c r="D17" s="265">
        <v>41.86</v>
      </c>
      <c r="F17" s="2">
        <f>F37+F55+F73</f>
        <v>22619</v>
      </c>
      <c r="G17" s="265">
        <v>41.86</v>
      </c>
      <c r="I17" s="2">
        <f>I37+I55+I73</f>
        <v>22619.728459924969</v>
      </c>
      <c r="J17" s="265">
        <f ca="1">ROUND((G17+G17*$AA$27)*(1+$AA$28),2)</f>
        <v>43.94</v>
      </c>
      <c r="L17" s="2">
        <f ca="1">L37+L55+L73</f>
        <v>23743.690122529937</v>
      </c>
      <c r="M17" s="2"/>
      <c r="N17" s="265">
        <f t="shared" ca="1" si="0"/>
        <v>25.69</v>
      </c>
      <c r="P17" s="2">
        <f t="shared" ca="1" si="1"/>
        <v>13883.148431638361</v>
      </c>
      <c r="Q17" s="2"/>
      <c r="R17" s="265">
        <f t="shared" ca="1" si="2"/>
        <v>3.61</v>
      </c>
      <c r="T17" s="2">
        <f ca="1">($Z$30-$T$23-$T$26)*(L17/($L$15+$L$16+$L$17+$L$19+$L$20+$L$21))</f>
        <v>1948.7950018920928</v>
      </c>
      <c r="U17" s="2"/>
      <c r="V17" s="265">
        <f ca="1">ROUND(X17/C17,2)</f>
        <v>14.64</v>
      </c>
      <c r="X17" s="2">
        <f ca="1">($AA$30-$X$23-$X$26)*(L17/($L$15+$L$16+$L$17+$L$19+$L$20+$L$21))</f>
        <v>7911.7466889994894</v>
      </c>
      <c r="Z17" s="105"/>
      <c r="AA17" s="266"/>
      <c r="AB17" s="266"/>
      <c r="AC17" s="266"/>
      <c r="AD17" s="266"/>
      <c r="AE17" s="267"/>
      <c r="AF17" s="267"/>
      <c r="AG17" s="267"/>
      <c r="AH17" s="267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U17" s="84"/>
    </row>
    <row r="18" spans="1:47">
      <c r="A18" s="3" t="s">
        <v>357</v>
      </c>
      <c r="C18" s="264"/>
      <c r="D18" s="727"/>
      <c r="F18" s="2"/>
      <c r="G18" s="727"/>
      <c r="I18" s="2"/>
      <c r="J18" s="727"/>
      <c r="L18" s="2"/>
      <c r="M18" s="2"/>
      <c r="N18" s="727"/>
      <c r="P18" s="2"/>
      <c r="Q18" s="2"/>
      <c r="R18" s="727"/>
      <c r="T18" s="2"/>
      <c r="U18" s="2"/>
      <c r="V18" s="727"/>
      <c r="X18" s="2"/>
      <c r="Z18" s="3"/>
      <c r="AA18" s="266"/>
      <c r="AB18" s="266"/>
      <c r="AC18" s="266"/>
      <c r="AD18" s="266"/>
      <c r="AE18" s="268"/>
      <c r="AF18" s="268"/>
      <c r="AG18" s="268"/>
      <c r="AH18" s="268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U18" s="84"/>
    </row>
    <row r="19" spans="1:47">
      <c r="A19" s="3" t="s">
        <v>358</v>
      </c>
      <c r="C19" s="264">
        <f t="shared" ref="C19:C26" si="3">C39+C57+C75</f>
        <v>1979.2693236079485</v>
      </c>
      <c r="D19" s="265">
        <v>12.09</v>
      </c>
      <c r="F19" s="2">
        <f>F39+F57+F75</f>
        <v>23929</v>
      </c>
      <c r="G19" s="265">
        <v>12.09</v>
      </c>
      <c r="I19" s="2">
        <f>I39+I57+I75</f>
        <v>23929.366122420095</v>
      </c>
      <c r="J19" s="265">
        <f ca="1">ROUND((G19+G19*$AA$27)*(1+$AA$28),2)</f>
        <v>12.69</v>
      </c>
      <c r="L19" s="2">
        <f ca="1">L39+L57+L75</f>
        <v>25116.927716584862</v>
      </c>
      <c r="M19" s="2"/>
      <c r="N19" s="265">
        <f t="shared" ca="1" si="0"/>
        <v>7.42</v>
      </c>
      <c r="P19" s="2">
        <f t="shared" ca="1" si="1"/>
        <v>14686.092761343885</v>
      </c>
      <c r="Q19" s="2"/>
      <c r="R19" s="265">
        <f t="shared" ca="1" si="2"/>
        <v>1.04</v>
      </c>
      <c r="T19" s="2">
        <f ca="1">($Z$30-$T$23-$T$26)*(L19/($L$15+$L$16+$L$17+$L$19+$L$20+$L$21))</f>
        <v>2061.5053070676649</v>
      </c>
      <c r="U19" s="2"/>
      <c r="V19" s="265">
        <f ca="1">ROUND(X19/C19,2)</f>
        <v>4.2300000000000004</v>
      </c>
      <c r="X19" s="2">
        <f ca="1">($AA$30-$X$23-$X$26)*(L19/($L$15+$L$16+$L$17+$L$19+$L$20+$L$21))</f>
        <v>8369.3296481733196</v>
      </c>
      <c r="Z19" s="105"/>
      <c r="AA19" s="266"/>
      <c r="AB19" s="266"/>
      <c r="AC19" s="266"/>
      <c r="AD19" s="266"/>
      <c r="AE19" s="267"/>
      <c r="AF19" s="267"/>
      <c r="AG19" s="267"/>
      <c r="AH19" s="267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U19" s="84"/>
    </row>
    <row r="20" spans="1:47">
      <c r="A20" s="3" t="s">
        <v>359</v>
      </c>
      <c r="C20" s="264">
        <f t="shared" si="3"/>
        <v>1668.307786429365</v>
      </c>
      <c r="D20" s="265">
        <v>17.760000000000002</v>
      </c>
      <c r="F20" s="2">
        <f>F40+F58+F76</f>
        <v>29630</v>
      </c>
      <c r="G20" s="265">
        <v>17.760000000000002</v>
      </c>
      <c r="I20" s="2">
        <f>I40+I58+I76</f>
        <v>29629.146286985524</v>
      </c>
      <c r="J20" s="265">
        <f ca="1">ROUND((G20+G20*$AA$27)*(1+$AA$28),2)</f>
        <v>18.64</v>
      </c>
      <c r="L20" s="2">
        <f ca="1">L40+L58+L76</f>
        <v>31097.257139043362</v>
      </c>
      <c r="M20" s="2"/>
      <c r="N20" s="265">
        <f t="shared" ca="1" si="0"/>
        <v>10.9</v>
      </c>
      <c r="P20" s="2">
        <f t="shared" ca="1" si="1"/>
        <v>18182.844976927423</v>
      </c>
      <c r="Q20" s="2"/>
      <c r="R20" s="265">
        <f t="shared" ca="1" si="2"/>
        <v>1.53</v>
      </c>
      <c r="T20" s="2">
        <f ca="1">($Z$30-$T$23-$T$26)*(L20/($L$15+$L$16+$L$17+$L$19+$L$20+$L$21))</f>
        <v>2552.348812353167</v>
      </c>
      <c r="U20" s="2"/>
      <c r="V20" s="265">
        <f t="shared" ref="V20" ca="1" si="4">ROUND(X20/C20,2)</f>
        <v>6.21</v>
      </c>
      <c r="X20" s="2">
        <f ca="1">($AA$30-$X$23-$X$26)*(L20/($L$15+$L$16+$L$17+$L$19+$L$20+$L$21))</f>
        <v>10362.063349762784</v>
      </c>
      <c r="Z20" s="105"/>
      <c r="AA20" s="266"/>
      <c r="AB20" s="266"/>
      <c r="AC20" s="266"/>
      <c r="AD20" s="266"/>
      <c r="AE20" s="267"/>
      <c r="AF20" s="267"/>
      <c r="AG20" s="267"/>
      <c r="AH20" s="267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U20" s="84"/>
    </row>
    <row r="21" spans="1:47">
      <c r="A21" s="3" t="s">
        <v>360</v>
      </c>
      <c r="C21" s="264">
        <f t="shared" si="3"/>
        <v>502.23760141089298</v>
      </c>
      <c r="D21" s="265">
        <v>28.64</v>
      </c>
      <c r="F21" s="2">
        <f>F41+F59+F77</f>
        <v>14384</v>
      </c>
      <c r="G21" s="265">
        <v>28.64</v>
      </c>
      <c r="I21" s="2">
        <f>I41+I59+I77</f>
        <v>14384.084904407975</v>
      </c>
      <c r="J21" s="265">
        <f ca="1">ROUND((G21+G21*$AA$27)*(1+$AA$28),2)</f>
        <v>30.07</v>
      </c>
      <c r="L21" s="2">
        <f ca="1">L41+L59+L77</f>
        <v>15102.284674425553</v>
      </c>
      <c r="M21" s="2"/>
      <c r="N21" s="265">
        <f t="shared" ca="1" si="0"/>
        <v>17.579999999999998</v>
      </c>
      <c r="P21" s="2">
        <f t="shared" ca="1" si="1"/>
        <v>8830.4412123774255</v>
      </c>
      <c r="Q21" s="2"/>
      <c r="R21" s="265">
        <f t="shared" ca="1" si="2"/>
        <v>2.4700000000000002</v>
      </c>
      <c r="T21" s="2">
        <f ca="1">($Z$30-$T$23-$T$26)*(L21/($L$15+$L$16+$L$17+$L$19+$L$20+$L$21))</f>
        <v>1239.540136296898</v>
      </c>
      <c r="U21" s="2"/>
      <c r="V21" s="265">
        <f ca="1">ROUND(X21/C21,2)</f>
        <v>10.02</v>
      </c>
      <c r="X21" s="2">
        <f ca="1">($AA$30-$X$23-$X$26)*(L21/($L$15+$L$16+$L$17+$L$19+$L$20+$L$21))</f>
        <v>5032.3033257512334</v>
      </c>
      <c r="Z21" s="105"/>
      <c r="AA21" s="266"/>
      <c r="AB21" s="266"/>
      <c r="AC21" s="266"/>
      <c r="AD21" s="266"/>
      <c r="AE21" s="267"/>
      <c r="AF21" s="267"/>
      <c r="AG21" s="267"/>
      <c r="AH21" s="267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U21" s="84"/>
    </row>
    <row r="22" spans="1:47">
      <c r="A22" s="3" t="s">
        <v>361</v>
      </c>
      <c r="C22" s="264">
        <f t="shared" si="3"/>
        <v>609.73372177151964</v>
      </c>
      <c r="D22" s="269">
        <v>1</v>
      </c>
      <c r="E22" s="20"/>
      <c r="F22" s="2">
        <f>F42+F60+F78</f>
        <v>610</v>
      </c>
      <c r="G22" s="269">
        <v>1</v>
      </c>
      <c r="H22" s="20"/>
      <c r="I22" s="2">
        <f>I42+I60+I78</f>
        <v>609.73372177151964</v>
      </c>
      <c r="J22" s="265">
        <f>G22</f>
        <v>1</v>
      </c>
      <c r="K22" s="20"/>
      <c r="L22" s="2">
        <f>L42+L60+L78</f>
        <v>609.73372177151964</v>
      </c>
      <c r="M22" s="2"/>
      <c r="N22" s="265">
        <f>J22</f>
        <v>1</v>
      </c>
      <c r="O22" s="20"/>
      <c r="P22" s="2">
        <f>L22</f>
        <v>609.73372177151964</v>
      </c>
      <c r="Q22" s="2"/>
      <c r="R22" s="265" t="s">
        <v>31</v>
      </c>
      <c r="S22" s="20"/>
      <c r="T22" s="2">
        <f>R22*C22</f>
        <v>0</v>
      </c>
      <c r="U22" s="2"/>
      <c r="V22" s="265" t="s">
        <v>31</v>
      </c>
      <c r="W22" s="20"/>
      <c r="X22" s="2">
        <f>V22*C22</f>
        <v>0</v>
      </c>
      <c r="Z22" s="105"/>
      <c r="AA22" s="4" t="s">
        <v>31</v>
      </c>
      <c r="AB22" s="3"/>
      <c r="AC22" s="266"/>
      <c r="AD22" s="266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U22" s="84"/>
    </row>
    <row r="23" spans="1:47" s="1184" customFormat="1">
      <c r="A23" s="1005" t="s">
        <v>1029</v>
      </c>
      <c r="C23" s="1202">
        <f t="shared" si="3"/>
        <v>3367563</v>
      </c>
      <c r="D23" s="269"/>
      <c r="E23" s="1185"/>
      <c r="F23" s="1203"/>
      <c r="G23" s="269"/>
      <c r="H23" s="1185"/>
      <c r="I23" s="1203"/>
      <c r="J23" s="1230">
        <v>0</v>
      </c>
      <c r="K23" s="1219" t="s">
        <v>374</v>
      </c>
      <c r="L23" s="1203">
        <f>L43+L61+L79</f>
        <v>0</v>
      </c>
      <c r="M23" s="1203"/>
      <c r="N23" s="1230" t="s">
        <v>31</v>
      </c>
      <c r="O23" s="1219" t="s">
        <v>31</v>
      </c>
      <c r="P23" s="1203">
        <f>N23*C23</f>
        <v>0</v>
      </c>
      <c r="Q23" s="1203"/>
      <c r="R23" s="1230" t="s">
        <v>31</v>
      </c>
      <c r="S23" s="1219" t="s">
        <v>31</v>
      </c>
      <c r="T23" s="1203">
        <f>R23*C23</f>
        <v>0</v>
      </c>
      <c r="U23" s="1203"/>
      <c r="V23" s="1230">
        <f>J23</f>
        <v>0</v>
      </c>
      <c r="W23" s="1219" t="s">
        <v>374</v>
      </c>
      <c r="X23" s="1203">
        <f>L23</f>
        <v>0</v>
      </c>
      <c r="Y23" s="1204">
        <f>'NPC Spread'!J50</f>
        <v>77549.486397420507</v>
      </c>
      <c r="Z23" s="815" t="s">
        <v>913</v>
      </c>
      <c r="AC23" s="1205"/>
      <c r="AD23" s="1205"/>
      <c r="AI23" s="1185"/>
      <c r="AJ23" s="1185"/>
      <c r="AK23" s="1185"/>
      <c r="AL23" s="1185"/>
      <c r="AM23" s="1185"/>
      <c r="AN23" s="1185"/>
      <c r="AO23" s="1185"/>
      <c r="AP23" s="1185"/>
      <c r="AQ23" s="1185"/>
      <c r="AR23" s="1185"/>
      <c r="AS23" s="1185"/>
      <c r="AU23" s="1204"/>
    </row>
    <row r="24" spans="1:47">
      <c r="A24" s="3" t="s">
        <v>362</v>
      </c>
      <c r="C24" s="264">
        <f t="shared" si="3"/>
        <v>30383</v>
      </c>
      <c r="D24" s="265"/>
      <c r="F24" s="2"/>
      <c r="G24" s="265"/>
      <c r="I24" s="2"/>
      <c r="J24" s="265"/>
      <c r="L24" s="2"/>
      <c r="M24" s="2"/>
      <c r="N24" s="265"/>
      <c r="P24" s="2"/>
      <c r="Q24" s="2"/>
      <c r="R24" s="265"/>
      <c r="T24" s="2"/>
      <c r="U24" s="2"/>
      <c r="V24" s="265"/>
      <c r="X24" s="2"/>
      <c r="Z24" s="84"/>
      <c r="AA24" s="3"/>
      <c r="AB24" s="3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U24" s="84"/>
    </row>
    <row r="25" spans="1:47">
      <c r="A25" s="3" t="s">
        <v>35</v>
      </c>
      <c r="C25" s="264">
        <f t="shared" si="3"/>
        <v>3367563</v>
      </c>
      <c r="D25" s="269"/>
      <c r="E25" s="20"/>
      <c r="F25" s="2">
        <f>F45+F63+F81</f>
        <v>470108</v>
      </c>
      <c r="G25" s="269"/>
      <c r="H25" s="20"/>
      <c r="I25" s="2">
        <f>I45+I63+I81</f>
        <v>470107.44118093967</v>
      </c>
      <c r="J25" s="269"/>
      <c r="K25" s="20"/>
      <c r="L25" s="270">
        <f ca="1">L45+L63+L81</f>
        <v>493504.49385695439</v>
      </c>
      <c r="M25" s="270"/>
      <c r="N25" s="269"/>
      <c r="O25" s="20"/>
      <c r="P25" s="270">
        <f ca="1">SUM(P15:P23)</f>
        <v>288809.71783630486</v>
      </c>
      <c r="Q25" s="270"/>
      <c r="R25" s="269"/>
      <c r="S25" s="20"/>
      <c r="T25" s="270">
        <f ca="1">SUM(T15:T23)</f>
        <v>40454.994150163613</v>
      </c>
      <c r="U25" s="270"/>
      <c r="V25" s="269"/>
      <c r="W25" s="20"/>
      <c r="X25" s="270">
        <f ca="1">SUM(X15:X23)</f>
        <v>164239.78187048604</v>
      </c>
      <c r="Z25" s="271"/>
      <c r="AA25" s="3"/>
      <c r="AB25" s="3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U25" s="84"/>
    </row>
    <row r="26" spans="1:47">
      <c r="A26" s="3" t="s">
        <v>363</v>
      </c>
      <c r="C26" s="264">
        <f t="shared" ca="1" si="3"/>
        <v>-12327.931573957167</v>
      </c>
      <c r="D26" s="269"/>
      <c r="E26" s="20"/>
      <c r="F26" s="272">
        <f ca="1">F46+F64+F82</f>
        <v>-1473.026073087696</v>
      </c>
      <c r="G26" s="269"/>
      <c r="H26" s="20"/>
      <c r="I26" s="272">
        <f ca="1">I46+I64+I82</f>
        <v>-1473.026073087696</v>
      </c>
      <c r="J26" s="269"/>
      <c r="K26" s="20"/>
      <c r="L26" s="272">
        <f ca="1">I26</f>
        <v>-1473.026073087696</v>
      </c>
      <c r="M26" s="272"/>
      <c r="N26" s="269"/>
      <c r="O26" s="20"/>
      <c r="P26" s="310">
        <f ca="1">$L$26*Y30/($Y$30+$Z$30+$AA$30)</f>
        <v>-862.04735687227537</v>
      </c>
      <c r="Q26" s="51"/>
      <c r="R26" s="309"/>
      <c r="S26" s="309"/>
      <c r="T26" s="310">
        <f ca="1">$L$26*Z30/($Y$30+$Z$30+$AA$30)</f>
        <v>-120.75120269740471</v>
      </c>
      <c r="U26" s="51"/>
      <c r="V26" s="309"/>
      <c r="W26" s="309"/>
      <c r="X26" s="310">
        <f ca="1">$L$26*AA30/($Y$30+$Z$30+$AA$30)</f>
        <v>-490.22751351801605</v>
      </c>
      <c r="AA26" s="792" t="s">
        <v>31</v>
      </c>
      <c r="AB26" s="792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U26" s="84"/>
    </row>
    <row r="27" spans="1:47" ht="16.5" thickBot="1">
      <c r="A27" s="3" t="s">
        <v>9</v>
      </c>
      <c r="C27" s="273">
        <f ca="1">C25+C26</f>
        <v>3355235.0684260428</v>
      </c>
      <c r="D27" s="274"/>
      <c r="E27" s="274"/>
      <c r="F27" s="274">
        <f ca="1">F25+F26</f>
        <v>468634.97392691229</v>
      </c>
      <c r="G27" s="312"/>
      <c r="H27" s="274"/>
      <c r="I27" s="274">
        <f ca="1">I25+I26</f>
        <v>468634.41510785196</v>
      </c>
      <c r="J27" s="312"/>
      <c r="K27" s="274"/>
      <c r="L27" s="274">
        <f ca="1">L25+L26</f>
        <v>492031.46778386668</v>
      </c>
      <c r="M27" s="312"/>
      <c r="N27" s="312"/>
      <c r="O27" s="274"/>
      <c r="P27" s="274">
        <f ca="1">P25+P26</f>
        <v>287947.67047943256</v>
      </c>
      <c r="Q27" s="312"/>
      <c r="R27" s="312"/>
      <c r="S27" s="274"/>
      <c r="T27" s="274">
        <f ca="1">T25+T26</f>
        <v>40334.242947466206</v>
      </c>
      <c r="U27" s="312"/>
      <c r="V27" s="312"/>
      <c r="W27" s="274"/>
      <c r="X27" s="274">
        <f ca="1">X25+X26</f>
        <v>163749.55435696803</v>
      </c>
      <c r="Y27" s="784" t="s">
        <v>364</v>
      </c>
      <c r="Z27" s="809">
        <f ca="1">'Rate Spread targets'!Q35*1000</f>
        <v>491951.91220383975</v>
      </c>
      <c r="AA27" s="818">
        <f ca="1">'Rate Spread targets'!V35</f>
        <v>4.9756262758938623E-2</v>
      </c>
      <c r="AB27" s="777"/>
      <c r="AC27" s="14"/>
      <c r="AD27" s="14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U27" s="84"/>
    </row>
    <row r="28" spans="1:47" ht="16.5" thickTop="1">
      <c r="C28" s="275"/>
      <c r="D28" s="309" t="s">
        <v>31</v>
      </c>
      <c r="E28" s="275"/>
      <c r="F28" s="263"/>
      <c r="G28" s="309" t="s">
        <v>31</v>
      </c>
      <c r="H28" s="275"/>
      <c r="I28" s="263"/>
      <c r="J28" s="1" t="s">
        <v>31</v>
      </c>
      <c r="K28" s="275"/>
      <c r="L28" s="2" t="s">
        <v>31</v>
      </c>
      <c r="M28" s="2"/>
      <c r="N28" s="1" t="s">
        <v>31</v>
      </c>
      <c r="O28" s="275"/>
      <c r="P28" s="2" t="s">
        <v>31</v>
      </c>
      <c r="Q28" s="2"/>
      <c r="R28" s="1" t="s">
        <v>31</v>
      </c>
      <c r="S28" s="275"/>
      <c r="T28" s="2" t="s">
        <v>31</v>
      </c>
      <c r="U28" s="2"/>
      <c r="V28" s="1" t="s">
        <v>31</v>
      </c>
      <c r="W28" s="275"/>
      <c r="X28" s="2" t="s">
        <v>31</v>
      </c>
      <c r="Y28" s="112" t="s">
        <v>263</v>
      </c>
      <c r="Z28" s="811">
        <f ca="1">Z27-L27</f>
        <v>-79.555580026935786</v>
      </c>
      <c r="AA28" s="409">
        <v>0</v>
      </c>
      <c r="AB28" s="241"/>
      <c r="AC28" s="14"/>
      <c r="AD28" s="14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U28" s="84"/>
    </row>
    <row r="29" spans="1:47">
      <c r="C29" s="275"/>
      <c r="D29" s="309"/>
      <c r="E29" s="275"/>
      <c r="F29" s="263"/>
      <c r="G29" s="309"/>
      <c r="H29" s="275"/>
      <c r="I29" s="263"/>
      <c r="J29" s="1"/>
      <c r="K29" s="275"/>
      <c r="L29" s="2"/>
      <c r="M29" s="2"/>
      <c r="N29" s="1"/>
      <c r="O29" s="275"/>
      <c r="P29" s="2"/>
      <c r="Q29" s="2"/>
      <c r="R29" s="1"/>
      <c r="S29" s="275"/>
      <c r="T29" s="2"/>
      <c r="U29" s="2"/>
      <c r="V29" s="1"/>
      <c r="W29" s="275"/>
      <c r="X29" s="2"/>
      <c r="Y29" s="744">
        <f>'Exh No.__(JRS-17) p11'!J40+'Exh No.__(JRS-17) p11'!K40+'Exh No.__(JRS-17) p11'!L40</f>
        <v>0.58522206267896359</v>
      </c>
      <c r="Z29" s="744">
        <f>'Exh No.__(JRS-17) p11'!I40</f>
        <v>8.1974925565500054E-2</v>
      </c>
      <c r="AA29" s="744">
        <f>'Exh No.__(JRS-17) p11'!H40</f>
        <v>0.33280301175553639</v>
      </c>
      <c r="AB29" s="241"/>
      <c r="AC29" s="14"/>
      <c r="AD29" s="14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U29" s="84"/>
    </row>
    <row r="30" spans="1:47">
      <c r="C30" s="275"/>
      <c r="D30" s="309"/>
      <c r="E30" s="275"/>
      <c r="F30" s="263"/>
      <c r="G30" s="309"/>
      <c r="H30" s="275"/>
      <c r="I30" s="263"/>
      <c r="J30" s="1"/>
      <c r="K30" s="275"/>
      <c r="L30" s="2"/>
      <c r="M30" s="2"/>
      <c r="N30" s="1"/>
      <c r="O30" s="275"/>
      <c r="P30" s="2"/>
      <c r="Q30" s="2"/>
      <c r="R30" s="1"/>
      <c r="S30" s="275"/>
      <c r="T30" s="2"/>
      <c r="U30" s="2"/>
      <c r="V30" s="1"/>
      <c r="W30" s="275"/>
      <c r="X30" s="2"/>
      <c r="Y30" s="416">
        <f ca="1">L27*Y29</f>
        <v>287947.67047943251</v>
      </c>
      <c r="Z30" s="416">
        <f ca="1">L27*Z29</f>
        <v>40334.242947466206</v>
      </c>
      <c r="AA30" s="416">
        <f ca="1">L27*AA29</f>
        <v>163749.554356968</v>
      </c>
      <c r="AB30" s="241"/>
      <c r="AC30" s="14"/>
      <c r="AD30" s="14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U30" s="84"/>
    </row>
    <row r="31" spans="1:47" hidden="1">
      <c r="A31" s="262" t="s">
        <v>351</v>
      </c>
      <c r="F31" s="263"/>
      <c r="I31" s="263"/>
      <c r="Z31" s="276" t="s">
        <v>31</v>
      </c>
      <c r="AA31" s="3"/>
      <c r="AB31" s="3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U31" s="84"/>
    </row>
    <row r="32" spans="1:47" hidden="1">
      <c r="A32" s="3" t="s">
        <v>365</v>
      </c>
      <c r="F32" s="263"/>
      <c r="I32" s="263"/>
      <c r="Y32" s="278"/>
      <c r="Z32" s="278"/>
      <c r="AA32" s="278"/>
      <c r="AB32" s="278"/>
      <c r="AC32" s="278"/>
      <c r="AD32" s="278"/>
      <c r="AE32" s="278"/>
      <c r="AF32" s="278"/>
      <c r="AG32" s="278"/>
      <c r="AH32" s="278"/>
      <c r="AI32" s="278"/>
      <c r="AJ32" s="278"/>
      <c r="AK32" s="278"/>
      <c r="AL32" s="278"/>
      <c r="AM32" s="278"/>
      <c r="AN32" s="278"/>
      <c r="AO32" s="20"/>
      <c r="AP32" s="20"/>
      <c r="AQ32" s="20"/>
      <c r="AR32" s="20"/>
      <c r="AS32" s="20"/>
      <c r="AU32" s="84"/>
    </row>
    <row r="33" spans="1:47" hidden="1">
      <c r="F33" s="263"/>
      <c r="I33" s="263"/>
      <c r="Y33" s="278"/>
      <c r="Z33" s="278"/>
      <c r="AA33" s="278"/>
      <c r="AB33" s="278"/>
      <c r="AC33" s="278"/>
      <c r="AD33" s="278"/>
      <c r="AE33" s="278"/>
      <c r="AF33" s="278"/>
      <c r="AG33" s="278"/>
      <c r="AH33" s="278"/>
      <c r="AI33" s="278"/>
      <c r="AJ33" s="278"/>
      <c r="AK33" s="278"/>
      <c r="AL33" s="278"/>
      <c r="AM33" s="278"/>
      <c r="AN33" s="278"/>
      <c r="AO33" s="20"/>
      <c r="AP33" s="20"/>
      <c r="AQ33" s="20"/>
      <c r="AR33" s="20"/>
      <c r="AS33" s="20"/>
      <c r="AU33" s="84"/>
    </row>
    <row r="34" spans="1:47" hidden="1">
      <c r="A34" s="3" t="s">
        <v>353</v>
      </c>
      <c r="F34" s="263"/>
      <c r="I34" s="263"/>
      <c r="Y34" s="278"/>
      <c r="Z34" s="278"/>
      <c r="AA34" s="74"/>
      <c r="AB34" s="74"/>
      <c r="AC34" s="279"/>
      <c r="AD34" s="279"/>
      <c r="AE34" s="280"/>
      <c r="AF34" s="280"/>
      <c r="AG34" s="280"/>
      <c r="AH34" s="280"/>
      <c r="AI34" s="281"/>
      <c r="AJ34" s="282"/>
      <c r="AK34" s="278"/>
      <c r="AL34" s="278"/>
      <c r="AM34" s="278"/>
      <c r="AN34" s="278"/>
      <c r="AO34" s="20"/>
      <c r="AP34" s="20"/>
      <c r="AQ34" s="20"/>
      <c r="AR34" s="20"/>
      <c r="AS34" s="20"/>
      <c r="AU34" s="84"/>
    </row>
    <row r="35" spans="1:47" hidden="1">
      <c r="A35" s="3" t="s">
        <v>354</v>
      </c>
      <c r="C35" s="264">
        <f>[43]Sheet1!$E$18+[43]Sheet1!$E$23</f>
        <v>12659.61444244743</v>
      </c>
      <c r="D35" s="265">
        <v>10.63</v>
      </c>
      <c r="F35" s="2">
        <f>ROUND(D35*$C35,0)</f>
        <v>134572</v>
      </c>
      <c r="G35" s="265">
        <v>10.63</v>
      </c>
      <c r="I35" s="2">
        <f>G35*C35</f>
        <v>134571.70152321618</v>
      </c>
      <c r="J35" s="265">
        <f ca="1">$J$15</f>
        <v>11.16</v>
      </c>
      <c r="L35" s="2">
        <f ca="1">(J35*$C35)</f>
        <v>141281.29717771331</v>
      </c>
      <c r="M35" s="2"/>
      <c r="N35" s="265">
        <f ca="1">$J$15</f>
        <v>11.16</v>
      </c>
      <c r="P35" s="2">
        <f ca="1">(N35*$C35)</f>
        <v>141281.29717771331</v>
      </c>
      <c r="Q35" s="2"/>
      <c r="R35" s="265">
        <f ca="1">$J$15</f>
        <v>11.16</v>
      </c>
      <c r="T35" s="2">
        <f ca="1">(R35*$C35)</f>
        <v>141281.29717771331</v>
      </c>
      <c r="U35" s="2"/>
      <c r="V35" s="265">
        <f ca="1">$J$15</f>
        <v>11.16</v>
      </c>
      <c r="X35" s="2">
        <f ca="1">(V35*$C35)</f>
        <v>141281.29717771331</v>
      </c>
      <c r="Y35" s="20"/>
      <c r="Z35" s="281"/>
      <c r="AA35" s="74"/>
      <c r="AB35" s="74"/>
      <c r="AC35" s="278"/>
      <c r="AD35" s="278"/>
      <c r="AE35" s="283"/>
      <c r="AF35" s="283"/>
      <c r="AG35" s="283"/>
      <c r="AH35" s="283"/>
      <c r="AI35" s="284"/>
      <c r="AJ35" s="278"/>
      <c r="AK35" s="281"/>
      <c r="AL35" s="281"/>
      <c r="AM35" s="285"/>
      <c r="AN35" s="281"/>
      <c r="AO35" s="20"/>
      <c r="AP35" s="20"/>
      <c r="AQ35" s="20"/>
      <c r="AR35" s="20"/>
      <c r="AS35" s="20"/>
      <c r="AU35" s="84"/>
    </row>
    <row r="36" spans="1:47" hidden="1">
      <c r="A36" s="3" t="s">
        <v>355</v>
      </c>
      <c r="C36" s="264">
        <f>[43]Sheet1!$E$19+[43]Sheet1!$E$24</f>
        <v>268.30053137836148</v>
      </c>
      <c r="D36" s="265">
        <v>20.23</v>
      </c>
      <c r="F36" s="2">
        <f>ROUND(D36*$C36,0)</f>
        <v>5428</v>
      </c>
      <c r="G36" s="265">
        <v>20.23</v>
      </c>
      <c r="I36" s="2">
        <f t="shared" ref="I36:I37" si="5">G36*C36</f>
        <v>5427.7197497842526</v>
      </c>
      <c r="J36" s="265">
        <f ca="1">$J$16</f>
        <v>21.24</v>
      </c>
      <c r="L36" s="2">
        <f ca="1">(J36*$C36)</f>
        <v>5698.7032864763978</v>
      </c>
      <c r="M36" s="2"/>
      <c r="N36" s="265">
        <f ca="1">$J$16</f>
        <v>21.24</v>
      </c>
      <c r="P36" s="2">
        <f ca="1">(N36*$C36)</f>
        <v>5698.7032864763978</v>
      </c>
      <c r="Q36" s="2"/>
      <c r="R36" s="265">
        <f ca="1">$J$16</f>
        <v>21.24</v>
      </c>
      <c r="T36" s="2">
        <f ca="1">(R36*$C36)</f>
        <v>5698.7032864763978</v>
      </c>
      <c r="U36" s="2"/>
      <c r="V36" s="265">
        <f ca="1">$J$16</f>
        <v>21.24</v>
      </c>
      <c r="X36" s="2">
        <f ca="1">(V36*$C36)</f>
        <v>5698.7032864763978</v>
      </c>
      <c r="Y36" s="20"/>
      <c r="Z36" s="281"/>
      <c r="AA36" s="74"/>
      <c r="AB36" s="74"/>
      <c r="AC36" s="20"/>
      <c r="AD36" s="20"/>
      <c r="AE36" s="287"/>
      <c r="AF36" s="287"/>
      <c r="AG36" s="287"/>
      <c r="AH36" s="287"/>
      <c r="AI36" s="278"/>
      <c r="AJ36" s="278"/>
      <c r="AK36" s="281"/>
      <c r="AL36" s="281"/>
      <c r="AM36" s="285"/>
      <c r="AN36" s="281"/>
      <c r="AO36" s="20"/>
      <c r="AP36" s="20"/>
      <c r="AQ36" s="20"/>
      <c r="AR36" s="20"/>
      <c r="AS36" s="20"/>
      <c r="AU36" s="84"/>
    </row>
    <row r="37" spans="1:47" hidden="1">
      <c r="A37" s="3" t="s">
        <v>356</v>
      </c>
      <c r="C37" s="264">
        <v>0</v>
      </c>
      <c r="D37" s="265">
        <v>41.86</v>
      </c>
      <c r="F37" s="2">
        <f>ROUND(D37*$C37,0)</f>
        <v>0</v>
      </c>
      <c r="G37" s="265">
        <v>41.86</v>
      </c>
      <c r="I37" s="2">
        <f t="shared" si="5"/>
        <v>0</v>
      </c>
      <c r="J37" s="265">
        <f ca="1">$J$17</f>
        <v>43.94</v>
      </c>
      <c r="L37" s="2">
        <f ca="1">(J37*$C37)</f>
        <v>0</v>
      </c>
      <c r="M37" s="2"/>
      <c r="N37" s="265">
        <f ca="1">$J$17</f>
        <v>43.94</v>
      </c>
      <c r="P37" s="2">
        <f ca="1">(N37*$C37)</f>
        <v>0</v>
      </c>
      <c r="Q37" s="2"/>
      <c r="R37" s="265">
        <f ca="1">$J$17</f>
        <v>43.94</v>
      </c>
      <c r="T37" s="2">
        <f ca="1">(R37*$C37)</f>
        <v>0</v>
      </c>
      <c r="U37" s="2"/>
      <c r="V37" s="265">
        <f ca="1">$J$17</f>
        <v>43.94</v>
      </c>
      <c r="X37" s="2">
        <f ca="1">(V37*$C37)</f>
        <v>0</v>
      </c>
      <c r="Y37" s="20"/>
      <c r="Z37" s="281"/>
      <c r="AA37" s="74"/>
      <c r="AB37" s="74"/>
      <c r="AC37" s="20"/>
      <c r="AD37" s="20"/>
      <c r="AE37" s="287"/>
      <c r="AF37" s="287"/>
      <c r="AG37" s="287"/>
      <c r="AH37" s="287"/>
      <c r="AI37" s="278"/>
      <c r="AJ37" s="278"/>
      <c r="AK37" s="281"/>
      <c r="AL37" s="281"/>
      <c r="AM37" s="285"/>
      <c r="AN37" s="281"/>
      <c r="AO37" s="20"/>
      <c r="AP37" s="20"/>
      <c r="AQ37" s="20"/>
      <c r="AR37" s="20"/>
      <c r="AS37" s="20"/>
      <c r="AU37" s="84"/>
    </row>
    <row r="38" spans="1:47" hidden="1">
      <c r="A38" s="3" t="s">
        <v>357</v>
      </c>
      <c r="C38" s="264"/>
      <c r="D38" s="265"/>
      <c r="F38" s="2"/>
      <c r="G38" s="265"/>
      <c r="I38" s="2"/>
      <c r="J38" s="265"/>
      <c r="L38" s="2"/>
      <c r="M38" s="2"/>
      <c r="N38" s="265"/>
      <c r="P38" s="2"/>
      <c r="Q38" s="2"/>
      <c r="R38" s="265"/>
      <c r="T38" s="2"/>
      <c r="U38" s="2"/>
      <c r="V38" s="265"/>
      <c r="X38" s="2"/>
      <c r="Y38" s="20"/>
      <c r="Z38" s="281"/>
      <c r="AA38" s="74"/>
      <c r="AB38" s="74"/>
      <c r="AC38" s="20"/>
      <c r="AD38" s="20"/>
      <c r="AE38" s="287"/>
      <c r="AF38" s="287"/>
      <c r="AG38" s="287"/>
      <c r="AH38" s="287"/>
      <c r="AI38" s="278"/>
      <c r="AJ38" s="278"/>
      <c r="AK38" s="281"/>
      <c r="AL38" s="281"/>
      <c r="AM38" s="285"/>
      <c r="AN38" s="281"/>
      <c r="AO38" s="20"/>
      <c r="AP38" s="20"/>
      <c r="AQ38" s="20"/>
      <c r="AR38" s="20"/>
      <c r="AS38" s="20"/>
      <c r="AU38" s="84"/>
    </row>
    <row r="39" spans="1:47" hidden="1">
      <c r="A39" s="3" t="s">
        <v>358</v>
      </c>
      <c r="C39" s="264">
        <f>[43]Sheet1!$E$20</f>
        <v>807.60168615657005</v>
      </c>
      <c r="D39" s="265">
        <v>12.09</v>
      </c>
      <c r="F39" s="2">
        <f>ROUND(D39*$C39,0)</f>
        <v>9764</v>
      </c>
      <c r="G39" s="265">
        <v>12.09</v>
      </c>
      <c r="I39" s="2">
        <f t="shared" ref="I39:I42" si="6">G39*C39</f>
        <v>9763.9043856329317</v>
      </c>
      <c r="J39" s="265">
        <f ca="1">$J$19</f>
        <v>12.69</v>
      </c>
      <c r="L39" s="2">
        <f t="shared" ref="L39:L42" ca="1" si="7">(J39*$C39)</f>
        <v>10248.465397326874</v>
      </c>
      <c r="M39" s="2"/>
      <c r="N39" s="265">
        <f ca="1">$J$19</f>
        <v>12.69</v>
      </c>
      <c r="P39" s="2">
        <f t="shared" ref="P39:P42" ca="1" si="8">(N39*$C39)</f>
        <v>10248.465397326874</v>
      </c>
      <c r="Q39" s="2"/>
      <c r="R39" s="265">
        <f ca="1">$J$19</f>
        <v>12.69</v>
      </c>
      <c r="T39" s="2">
        <f t="shared" ref="T39:T42" ca="1" si="9">(R39*$C39)</f>
        <v>10248.465397326874</v>
      </c>
      <c r="U39" s="2"/>
      <c r="V39" s="265">
        <f ca="1">$J$19</f>
        <v>12.69</v>
      </c>
      <c r="X39" s="2">
        <f t="shared" ref="X39:X42" ca="1" si="10">(V39*$C39)</f>
        <v>10248.465397326874</v>
      </c>
      <c r="Y39" s="20"/>
      <c r="Z39" s="281"/>
      <c r="AA39" s="74"/>
      <c r="AB39" s="74"/>
      <c r="AC39" s="20"/>
      <c r="AD39" s="20"/>
      <c r="AE39" s="287"/>
      <c r="AF39" s="287"/>
      <c r="AG39" s="287"/>
      <c r="AH39" s="287"/>
      <c r="AI39" s="278"/>
      <c r="AJ39" s="278"/>
      <c r="AK39" s="281"/>
      <c r="AL39" s="281"/>
      <c r="AM39" s="285"/>
      <c r="AN39" s="281"/>
      <c r="AO39" s="20"/>
      <c r="AP39" s="20"/>
      <c r="AQ39" s="20"/>
      <c r="AR39" s="20"/>
      <c r="AS39" s="20"/>
      <c r="AU39" s="84"/>
    </row>
    <row r="40" spans="1:47" hidden="1">
      <c r="A40" s="3" t="s">
        <v>359</v>
      </c>
      <c r="C40" s="264">
        <f>[43]Sheet1!$E$21</f>
        <v>205.66799715733501</v>
      </c>
      <c r="D40" s="265">
        <v>17.760000000000002</v>
      </c>
      <c r="F40" s="2">
        <f>ROUND(D40*$C40,0)</f>
        <v>3653</v>
      </c>
      <c r="G40" s="265">
        <v>17.760000000000002</v>
      </c>
      <c r="I40" s="2">
        <f t="shared" si="6"/>
        <v>3652.6636295142703</v>
      </c>
      <c r="J40" s="265">
        <f ca="1">$J$20</f>
        <v>18.64</v>
      </c>
      <c r="L40" s="2">
        <f t="shared" ca="1" si="7"/>
        <v>3833.6514670127249</v>
      </c>
      <c r="M40" s="2"/>
      <c r="N40" s="265">
        <f ca="1">$J$20</f>
        <v>18.64</v>
      </c>
      <c r="P40" s="2">
        <f t="shared" ca="1" si="8"/>
        <v>3833.6514670127249</v>
      </c>
      <c r="Q40" s="2"/>
      <c r="R40" s="265">
        <f ca="1">$J$20</f>
        <v>18.64</v>
      </c>
      <c r="T40" s="2">
        <f t="shared" ca="1" si="9"/>
        <v>3833.6514670127249</v>
      </c>
      <c r="U40" s="2"/>
      <c r="V40" s="265">
        <f ca="1">$J$20</f>
        <v>18.64</v>
      </c>
      <c r="X40" s="2">
        <f t="shared" ca="1" si="10"/>
        <v>3833.6514670127249</v>
      </c>
      <c r="Y40" s="20"/>
      <c r="Z40" s="281"/>
      <c r="AA40" s="74"/>
      <c r="AB40" s="74"/>
      <c r="AC40" s="20"/>
      <c r="AD40" s="20"/>
      <c r="AE40" s="287"/>
      <c r="AF40" s="287"/>
      <c r="AG40" s="287"/>
      <c r="AH40" s="287"/>
      <c r="AI40" s="278"/>
      <c r="AJ40" s="278"/>
      <c r="AK40" s="281"/>
      <c r="AL40" s="281"/>
      <c r="AM40" s="285"/>
      <c r="AN40" s="281"/>
      <c r="AO40" s="20"/>
      <c r="AP40" s="20"/>
      <c r="AQ40" s="20"/>
      <c r="AR40" s="20"/>
      <c r="AS40" s="20"/>
      <c r="AU40" s="84"/>
    </row>
    <row r="41" spans="1:47" hidden="1">
      <c r="A41" s="3" t="s">
        <v>360</v>
      </c>
      <c r="C41" s="264">
        <f>[43]Sheet1!$E$22</f>
        <v>12.000000235856399</v>
      </c>
      <c r="D41" s="265">
        <v>28.64</v>
      </c>
      <c r="F41" s="2">
        <f>ROUND(D41*$C41,0)</f>
        <v>344</v>
      </c>
      <c r="G41" s="265">
        <v>28.64</v>
      </c>
      <c r="I41" s="2">
        <f t="shared" si="6"/>
        <v>343.68000675492726</v>
      </c>
      <c r="J41" s="265">
        <f ca="1">$J$21</f>
        <v>30.07</v>
      </c>
      <c r="L41" s="2">
        <f t="shared" ca="1" si="7"/>
        <v>360.84000709220192</v>
      </c>
      <c r="M41" s="2"/>
      <c r="N41" s="265">
        <f ca="1">$J$21</f>
        <v>30.07</v>
      </c>
      <c r="P41" s="2">
        <f t="shared" ca="1" si="8"/>
        <v>360.84000709220192</v>
      </c>
      <c r="Q41" s="2"/>
      <c r="R41" s="265">
        <f ca="1">$J$21</f>
        <v>30.07</v>
      </c>
      <c r="T41" s="2">
        <f t="shared" ca="1" si="9"/>
        <v>360.84000709220192</v>
      </c>
      <c r="U41" s="2"/>
      <c r="V41" s="265">
        <f ca="1">$J$21</f>
        <v>30.07</v>
      </c>
      <c r="X41" s="2">
        <f t="shared" ca="1" si="10"/>
        <v>360.84000709220192</v>
      </c>
      <c r="Y41" s="20"/>
      <c r="Z41" s="281"/>
      <c r="AA41" s="74"/>
      <c r="AB41" s="74"/>
      <c r="AC41" s="20"/>
      <c r="AD41" s="20"/>
      <c r="AE41" s="287"/>
      <c r="AF41" s="287"/>
      <c r="AG41" s="287"/>
      <c r="AH41" s="287"/>
      <c r="AI41" s="278"/>
      <c r="AJ41" s="278"/>
      <c r="AK41" s="281"/>
      <c r="AL41" s="281"/>
      <c r="AM41" s="285"/>
      <c r="AN41" s="281"/>
      <c r="AO41" s="20"/>
      <c r="AP41" s="20"/>
      <c r="AQ41" s="20"/>
      <c r="AR41" s="20"/>
      <c r="AS41" s="20"/>
      <c r="AU41" s="84"/>
    </row>
    <row r="42" spans="1:47" hidden="1">
      <c r="A42" s="3" t="s">
        <v>361</v>
      </c>
      <c r="C42" s="264">
        <f>[43]Sheet1!$F$23+[43]Sheet1!$F$24</f>
        <v>126.9668622698855</v>
      </c>
      <c r="D42" s="265">
        <v>1</v>
      </c>
      <c r="E42" s="20"/>
      <c r="F42" s="272">
        <f>ROUND(D42*$C42,0)</f>
        <v>127</v>
      </c>
      <c r="G42" s="265">
        <v>1</v>
      </c>
      <c r="H42" s="20"/>
      <c r="I42" s="2">
        <f t="shared" si="6"/>
        <v>126.9668622698855</v>
      </c>
      <c r="J42" s="269">
        <f>$J$22</f>
        <v>1</v>
      </c>
      <c r="K42" s="20"/>
      <c r="L42" s="2">
        <f t="shared" si="7"/>
        <v>126.9668622698855</v>
      </c>
      <c r="M42" s="2"/>
      <c r="N42" s="269">
        <f>$J$22</f>
        <v>1</v>
      </c>
      <c r="O42" s="20"/>
      <c r="P42" s="2">
        <f t="shared" si="8"/>
        <v>126.9668622698855</v>
      </c>
      <c r="Q42" s="2"/>
      <c r="R42" s="269">
        <f>$J$22</f>
        <v>1</v>
      </c>
      <c r="S42" s="20"/>
      <c r="T42" s="2">
        <f t="shared" si="9"/>
        <v>126.9668622698855</v>
      </c>
      <c r="U42" s="2"/>
      <c r="V42" s="269">
        <f>$J$22</f>
        <v>1</v>
      </c>
      <c r="W42" s="20"/>
      <c r="X42" s="2">
        <f t="shared" si="10"/>
        <v>126.9668622698855</v>
      </c>
      <c r="Y42" s="278"/>
      <c r="Z42" s="281"/>
      <c r="AA42" s="74"/>
      <c r="AB42" s="74"/>
      <c r="AC42" s="20"/>
      <c r="AD42" s="20"/>
      <c r="AE42" s="278"/>
      <c r="AF42" s="278"/>
      <c r="AG42" s="278"/>
      <c r="AH42" s="278"/>
      <c r="AI42" s="278"/>
      <c r="AJ42" s="278"/>
      <c r="AK42" s="281"/>
      <c r="AL42" s="281"/>
      <c r="AM42" s="281"/>
      <c r="AN42" s="281"/>
      <c r="AO42" s="20"/>
      <c r="AP42" s="20"/>
      <c r="AQ42" s="20"/>
      <c r="AR42" s="20"/>
      <c r="AS42" s="20"/>
      <c r="AU42" s="84"/>
    </row>
    <row r="43" spans="1:47" s="1184" customFormat="1" hidden="1">
      <c r="A43" s="1005" t="s">
        <v>912</v>
      </c>
      <c r="C43" s="1202">
        <f>C45</f>
        <v>1061743</v>
      </c>
      <c r="D43" s="269"/>
      <c r="E43" s="1185"/>
      <c r="F43" s="1203"/>
      <c r="G43" s="269"/>
      <c r="H43" s="1185"/>
      <c r="I43" s="1203"/>
      <c r="J43" s="1230">
        <f>J23</f>
        <v>0</v>
      </c>
      <c r="K43" s="1219" t="s">
        <v>374</v>
      </c>
      <c r="L43" s="1203">
        <f>J43*C43/100</f>
        <v>0</v>
      </c>
      <c r="M43" s="1203"/>
      <c r="N43" s="1230" t="str">
        <f>N23</f>
        <v xml:space="preserve"> </v>
      </c>
      <c r="O43" s="1219" t="s">
        <v>374</v>
      </c>
      <c r="P43" s="1203">
        <f>N43*F43/100</f>
        <v>0</v>
      </c>
      <c r="Q43" s="1203"/>
      <c r="R43" s="1230" t="str">
        <f>R23</f>
        <v xml:space="preserve"> </v>
      </c>
      <c r="S43" s="1219" t="s">
        <v>374</v>
      </c>
      <c r="T43" s="1203">
        <f>R43*J43/100</f>
        <v>0</v>
      </c>
      <c r="U43" s="1203"/>
      <c r="V43" s="1230">
        <f>V23</f>
        <v>0</v>
      </c>
      <c r="W43" s="1219" t="s">
        <v>374</v>
      </c>
      <c r="X43" s="1203">
        <f>V43*N43/100</f>
        <v>0</v>
      </c>
      <c r="Z43" s="815"/>
      <c r="AC43" s="1205"/>
      <c r="AD43" s="1205"/>
      <c r="AI43" s="1185"/>
      <c r="AJ43" s="1185"/>
      <c r="AK43" s="1185"/>
      <c r="AL43" s="1185"/>
      <c r="AM43" s="1185"/>
      <c r="AN43" s="1185"/>
      <c r="AO43" s="1185"/>
      <c r="AP43" s="1185"/>
      <c r="AQ43" s="1185"/>
      <c r="AR43" s="1185"/>
      <c r="AS43" s="1185"/>
      <c r="AU43" s="1204"/>
    </row>
    <row r="44" spans="1:47" hidden="1">
      <c r="A44" s="3" t="s">
        <v>362</v>
      </c>
      <c r="C44" s="264">
        <f>[43]Sheet1!$K$28</f>
        <v>13695</v>
      </c>
      <c r="D44" s="265"/>
      <c r="F44" s="2"/>
      <c r="G44" s="265"/>
      <c r="I44" s="2"/>
      <c r="J44" s="265"/>
      <c r="L44" s="2"/>
      <c r="M44" s="2"/>
      <c r="N44" s="265"/>
      <c r="P44" s="2"/>
      <c r="Q44" s="2"/>
      <c r="R44" s="265"/>
      <c r="T44" s="2"/>
      <c r="U44" s="2"/>
      <c r="V44" s="265"/>
      <c r="X44" s="2"/>
      <c r="Y44" s="278"/>
      <c r="Z44" s="278"/>
      <c r="AA44" s="278"/>
      <c r="AB44" s="278"/>
      <c r="AC44" s="278"/>
      <c r="AD44" s="278"/>
      <c r="AE44" s="278"/>
      <c r="AF44" s="278"/>
      <c r="AG44" s="278"/>
      <c r="AH44" s="278"/>
      <c r="AI44" s="278"/>
      <c r="AJ44" s="278"/>
      <c r="AK44" s="288"/>
      <c r="AL44" s="278"/>
      <c r="AM44" s="278"/>
      <c r="AN44" s="278"/>
      <c r="AO44" s="20"/>
      <c r="AP44" s="20"/>
      <c r="AQ44" s="20"/>
      <c r="AR44" s="20"/>
      <c r="AS44" s="20"/>
      <c r="AU44" s="84"/>
    </row>
    <row r="45" spans="1:47" hidden="1">
      <c r="A45" s="3" t="s">
        <v>35</v>
      </c>
      <c r="C45" s="264">
        <f>[43]Sheet1!$D$28</f>
        <v>1061743</v>
      </c>
      <c r="D45" s="269"/>
      <c r="E45" s="20"/>
      <c r="F45" s="272">
        <f>SUM(F35:F42)</f>
        <v>153888</v>
      </c>
      <c r="G45" s="269"/>
      <c r="H45" s="20"/>
      <c r="I45" s="272">
        <f>SUM(I35:I42)</f>
        <v>153886.63615717244</v>
      </c>
      <c r="J45" s="269"/>
      <c r="K45" s="20"/>
      <c r="L45" s="272">
        <f ca="1">SUM(L35:L43)</f>
        <v>161549.92419789141</v>
      </c>
      <c r="M45" s="272"/>
      <c r="N45" s="269"/>
      <c r="O45" s="20"/>
      <c r="P45" s="272">
        <f ca="1">SUM(P35:P43)</f>
        <v>161549.92419789141</v>
      </c>
      <c r="Q45" s="272"/>
      <c r="R45" s="269"/>
      <c r="S45" s="20"/>
      <c r="T45" s="272">
        <f ca="1">SUM(T35:T43)</f>
        <v>161549.92419789141</v>
      </c>
      <c r="U45" s="272"/>
      <c r="V45" s="269"/>
      <c r="W45" s="20"/>
      <c r="X45" s="272">
        <f ca="1">SUM(X35:X43)</f>
        <v>161549.92419789141</v>
      </c>
      <c r="Y45" s="278"/>
      <c r="Z45" s="287"/>
      <c r="AA45" s="278"/>
      <c r="AB45" s="278"/>
      <c r="AC45" s="20"/>
      <c r="AD45" s="20"/>
      <c r="AE45" s="20"/>
      <c r="AF45" s="20"/>
      <c r="AG45" s="20"/>
      <c r="AH45" s="20"/>
      <c r="AI45" s="20"/>
      <c r="AJ45" s="278"/>
      <c r="AK45" s="278"/>
      <c r="AL45" s="278"/>
      <c r="AM45" s="278"/>
      <c r="AN45" s="278"/>
      <c r="AO45" s="20"/>
      <c r="AP45" s="20"/>
      <c r="AQ45" s="20"/>
      <c r="AR45" s="20"/>
      <c r="AS45" s="20"/>
      <c r="AU45" s="84"/>
    </row>
    <row r="46" spans="1:47" hidden="1">
      <c r="A46" s="3" t="s">
        <v>363</v>
      </c>
      <c r="C46" s="264">
        <f>'Table 2'!H21</f>
        <v>-3835.498481682414</v>
      </c>
      <c r="D46" s="269"/>
      <c r="E46" s="20"/>
      <c r="F46" s="272">
        <f>I46</f>
        <v>-314.74006547706313</v>
      </c>
      <c r="G46" s="269"/>
      <c r="H46" s="20"/>
      <c r="I46" s="272">
        <f>'Table 3'!E21</f>
        <v>-314.74006547706313</v>
      </c>
      <c r="J46" s="269"/>
      <c r="K46" s="20"/>
      <c r="L46" s="272">
        <f>I46</f>
        <v>-314.74006547706313</v>
      </c>
      <c r="M46" s="272"/>
      <c r="N46" s="269"/>
      <c r="O46" s="20"/>
      <c r="P46" s="272">
        <f>L46</f>
        <v>-314.74006547706313</v>
      </c>
      <c r="Q46" s="272"/>
      <c r="R46" s="269"/>
      <c r="S46" s="20"/>
      <c r="T46" s="272">
        <f>P46</f>
        <v>-314.74006547706313</v>
      </c>
      <c r="U46" s="272"/>
      <c r="V46" s="269"/>
      <c r="W46" s="20"/>
      <c r="X46" s="272">
        <f>T46</f>
        <v>-314.74006547706313</v>
      </c>
      <c r="Y46" s="444"/>
      <c r="Z46" s="287"/>
      <c r="AA46" s="278"/>
      <c r="AB46" s="278"/>
      <c r="AC46" s="278"/>
      <c r="AD46" s="278"/>
      <c r="AE46" s="283"/>
      <c r="AF46" s="283"/>
      <c r="AG46" s="283"/>
      <c r="AH46" s="283"/>
      <c r="AI46" s="281"/>
      <c r="AJ46" s="278"/>
      <c r="AK46" s="278"/>
      <c r="AL46" s="278"/>
      <c r="AM46" s="278"/>
      <c r="AN46" s="278"/>
      <c r="AO46" s="20"/>
      <c r="AP46" s="20"/>
      <c r="AQ46" s="20"/>
      <c r="AR46" s="20"/>
      <c r="AS46" s="20"/>
      <c r="AU46" s="84"/>
    </row>
    <row r="47" spans="1:47" ht="16.5" hidden="1" thickBot="1">
      <c r="A47" s="3" t="s">
        <v>9</v>
      </c>
      <c r="C47" s="273">
        <f>C45+C46</f>
        <v>1057907.5015183175</v>
      </c>
      <c r="D47" s="274"/>
      <c r="E47" s="274"/>
      <c r="F47" s="274">
        <f>F45+F46</f>
        <v>153573.25993452294</v>
      </c>
      <c r="G47" s="312"/>
      <c r="H47" s="274"/>
      <c r="I47" s="274">
        <f>I45+I46</f>
        <v>153571.89609169538</v>
      </c>
      <c r="J47" s="312"/>
      <c r="K47" s="274"/>
      <c r="L47" s="274">
        <f ca="1">L45+L46</f>
        <v>161235.18413241435</v>
      </c>
      <c r="M47" s="312"/>
      <c r="N47" s="312"/>
      <c r="O47" s="274"/>
      <c r="P47" s="274">
        <f ca="1">P45+P46</f>
        <v>161235.18413241435</v>
      </c>
      <c r="Q47" s="312"/>
      <c r="R47" s="312"/>
      <c r="S47" s="274"/>
      <c r="T47" s="274">
        <f ca="1">T45+T46</f>
        <v>161235.18413241435</v>
      </c>
      <c r="U47" s="312"/>
      <c r="V47" s="312"/>
      <c r="W47" s="274"/>
      <c r="X47" s="274">
        <f ca="1">X45+X46</f>
        <v>161235.18413241435</v>
      </c>
      <c r="Y47" s="411"/>
      <c r="Z47" s="470"/>
      <c r="AA47" s="278"/>
      <c r="AB47" s="278"/>
      <c r="AC47" s="278"/>
      <c r="AD47" s="278"/>
      <c r="AE47" s="278"/>
      <c r="AF47" s="278"/>
      <c r="AG47" s="278"/>
      <c r="AH47" s="278"/>
      <c r="AI47" s="278"/>
      <c r="AJ47" s="278"/>
      <c r="AK47" s="278"/>
      <c r="AL47" s="278"/>
      <c r="AM47" s="278"/>
      <c r="AN47" s="278"/>
      <c r="AO47" s="20"/>
      <c r="AP47" s="20"/>
      <c r="AQ47" s="20"/>
      <c r="AR47" s="20"/>
      <c r="AS47" s="20"/>
      <c r="AU47" s="84"/>
    </row>
    <row r="48" spans="1:47" ht="16.5" hidden="1" thickTop="1">
      <c r="C48" s="275"/>
      <c r="D48" s="309" t="s">
        <v>31</v>
      </c>
      <c r="E48" s="275"/>
      <c r="F48" s="263"/>
      <c r="G48" s="309" t="s">
        <v>31</v>
      </c>
      <c r="H48" s="275"/>
      <c r="I48" s="263"/>
      <c r="J48" s="1" t="s">
        <v>31</v>
      </c>
      <c r="K48" s="275"/>
      <c r="L48" s="2" t="s">
        <v>31</v>
      </c>
      <c r="M48" s="2"/>
      <c r="N48" s="1" t="s">
        <v>31</v>
      </c>
      <c r="O48" s="275"/>
      <c r="P48" s="2" t="s">
        <v>31</v>
      </c>
      <c r="Q48" s="2"/>
      <c r="R48" s="1" t="s">
        <v>31</v>
      </c>
      <c r="S48" s="275"/>
      <c r="T48" s="2" t="s">
        <v>31</v>
      </c>
      <c r="U48" s="2"/>
      <c r="V48" s="1" t="s">
        <v>31</v>
      </c>
      <c r="W48" s="275"/>
      <c r="X48" s="2" t="s">
        <v>31</v>
      </c>
      <c r="Y48" s="20"/>
      <c r="Z48" s="74"/>
      <c r="AA48" s="74"/>
      <c r="AB48" s="74"/>
      <c r="AC48" s="20"/>
      <c r="AD48" s="20"/>
      <c r="AE48" s="20"/>
      <c r="AF48" s="20"/>
      <c r="AG48" s="20"/>
      <c r="AH48" s="20"/>
      <c r="AI48" s="20"/>
      <c r="AJ48" s="278"/>
      <c r="AK48" s="278"/>
      <c r="AL48" s="278"/>
      <c r="AM48" s="278"/>
      <c r="AN48" s="278"/>
      <c r="AO48" s="20"/>
      <c r="AP48" s="20"/>
      <c r="AQ48" s="20"/>
      <c r="AR48" s="20"/>
      <c r="AS48" s="20"/>
      <c r="AU48" s="84"/>
    </row>
    <row r="49" spans="1:47" hidden="1">
      <c r="A49" s="262" t="s">
        <v>351</v>
      </c>
      <c r="F49" s="263"/>
      <c r="I49" s="263"/>
      <c r="Y49" s="20"/>
      <c r="Z49" s="74"/>
      <c r="AA49" s="74"/>
      <c r="AB49" s="74"/>
      <c r="AC49" s="20"/>
      <c r="AD49" s="20"/>
      <c r="AE49" s="20"/>
      <c r="AF49" s="20"/>
      <c r="AG49" s="20"/>
      <c r="AH49" s="20"/>
      <c r="AI49" s="20"/>
      <c r="AJ49" s="278"/>
      <c r="AK49" s="278"/>
      <c r="AL49" s="278"/>
      <c r="AM49" s="278"/>
      <c r="AN49" s="278"/>
      <c r="AO49" s="20"/>
      <c r="AP49" s="20"/>
      <c r="AQ49" s="20"/>
      <c r="AR49" s="20"/>
      <c r="AS49" s="20"/>
      <c r="AU49" s="84"/>
    </row>
    <row r="50" spans="1:47" hidden="1">
      <c r="A50" s="3" t="s">
        <v>366</v>
      </c>
      <c r="F50" s="263"/>
      <c r="I50" s="263"/>
      <c r="Y50" s="278"/>
      <c r="Z50" s="278"/>
      <c r="AA50" s="278"/>
      <c r="AB50" s="278"/>
      <c r="AC50" s="278"/>
      <c r="AD50" s="278"/>
      <c r="AE50" s="278"/>
      <c r="AF50" s="278"/>
      <c r="AG50" s="278"/>
      <c r="AH50" s="278"/>
      <c r="AI50" s="278"/>
      <c r="AJ50" s="278"/>
      <c r="AK50" s="278"/>
      <c r="AL50" s="278"/>
      <c r="AM50" s="278"/>
      <c r="AN50" s="278"/>
      <c r="AO50" s="20"/>
      <c r="AP50" s="20"/>
      <c r="AQ50" s="20"/>
      <c r="AR50" s="20"/>
      <c r="AS50" s="20"/>
      <c r="AU50" s="84"/>
    </row>
    <row r="51" spans="1:47" hidden="1">
      <c r="F51" s="263"/>
      <c r="I51" s="263"/>
      <c r="Y51" s="278"/>
      <c r="Z51" s="278"/>
      <c r="AA51" s="278"/>
      <c r="AB51" s="278"/>
      <c r="AC51" s="278"/>
      <c r="AD51" s="278"/>
      <c r="AE51" s="278"/>
      <c r="AF51" s="278"/>
      <c r="AG51" s="278"/>
      <c r="AH51" s="278"/>
      <c r="AI51" s="278"/>
      <c r="AJ51" s="278"/>
      <c r="AK51" s="278"/>
      <c r="AL51" s="278"/>
      <c r="AM51" s="278"/>
      <c r="AN51" s="278"/>
      <c r="AO51" s="20"/>
      <c r="AP51" s="20"/>
      <c r="AQ51" s="20"/>
      <c r="AR51" s="20"/>
      <c r="AS51" s="20"/>
      <c r="AU51" s="84"/>
    </row>
    <row r="52" spans="1:47" hidden="1">
      <c r="A52" s="3" t="s">
        <v>353</v>
      </c>
      <c r="F52" s="263"/>
      <c r="I52" s="263"/>
      <c r="Y52" s="278"/>
      <c r="Z52" s="278"/>
      <c r="AA52" s="74"/>
      <c r="AB52" s="74"/>
      <c r="AC52" s="279"/>
      <c r="AD52" s="279"/>
      <c r="AE52" s="280"/>
      <c r="AF52" s="280"/>
      <c r="AG52" s="280"/>
      <c r="AH52" s="280"/>
      <c r="AI52" s="281"/>
      <c r="AJ52" s="282"/>
      <c r="AK52" s="278"/>
      <c r="AL52" s="278"/>
      <c r="AM52" s="278"/>
      <c r="AN52" s="278"/>
      <c r="AO52" s="20"/>
      <c r="AP52" s="20"/>
      <c r="AQ52" s="20"/>
      <c r="AR52" s="20"/>
      <c r="AS52" s="20"/>
      <c r="AU52" s="84"/>
    </row>
    <row r="53" spans="1:47" hidden="1">
      <c r="A53" s="3" t="s">
        <v>354</v>
      </c>
      <c r="C53" s="264">
        <f>[43]Sheet1!$E$2+[43]Sheet1!$E$8</f>
        <v>14057.366751279909</v>
      </c>
      <c r="D53" s="265">
        <v>10.63</v>
      </c>
      <c r="F53" s="2">
        <f>ROUND(D53*$C53,0)</f>
        <v>149430</v>
      </c>
      <c r="G53" s="265">
        <v>10.63</v>
      </c>
      <c r="I53" s="2">
        <f t="shared" ref="I53:I55" si="11">G53*C53</f>
        <v>149429.80856610544</v>
      </c>
      <c r="J53" s="265">
        <f ca="1">$J$15</f>
        <v>11.16</v>
      </c>
      <c r="L53" s="2">
        <f t="shared" ref="L53:L55" ca="1" si="12">(J53*$C53)</f>
        <v>156880.21294428379</v>
      </c>
      <c r="M53" s="2"/>
      <c r="N53" s="265">
        <f ca="1">$J$15</f>
        <v>11.16</v>
      </c>
      <c r="P53" s="2">
        <f t="shared" ref="P53:P55" ca="1" si="13">(N53*$C53)</f>
        <v>156880.21294428379</v>
      </c>
      <c r="Q53" s="2"/>
      <c r="R53" s="265">
        <f ca="1">$J$15</f>
        <v>11.16</v>
      </c>
      <c r="T53" s="2">
        <f t="shared" ref="T53:T55" ca="1" si="14">(R53*$C53)</f>
        <v>156880.21294428379</v>
      </c>
      <c r="U53" s="2"/>
      <c r="V53" s="265">
        <f ca="1">$J$15</f>
        <v>11.16</v>
      </c>
      <c r="X53" s="2">
        <f t="shared" ref="X53:X55" ca="1" si="15">(V53*$C53)</f>
        <v>156880.21294428379</v>
      </c>
      <c r="Y53" s="20"/>
      <c r="Z53" s="281"/>
      <c r="AA53" s="74"/>
      <c r="AB53" s="74"/>
      <c r="AC53" s="278"/>
      <c r="AD53" s="278"/>
      <c r="AE53" s="283"/>
      <c r="AF53" s="283"/>
      <c r="AG53" s="283"/>
      <c r="AH53" s="283"/>
      <c r="AI53" s="284"/>
      <c r="AJ53" s="278"/>
      <c r="AK53" s="281"/>
      <c r="AL53" s="281"/>
      <c r="AM53" s="285"/>
      <c r="AN53" s="281"/>
      <c r="AO53" s="20"/>
      <c r="AP53" s="20"/>
      <c r="AQ53" s="20"/>
      <c r="AR53" s="20"/>
      <c r="AS53" s="20"/>
      <c r="AU53" s="84"/>
    </row>
    <row r="54" spans="1:47" hidden="1">
      <c r="A54" s="3" t="s">
        <v>355</v>
      </c>
      <c r="C54" s="264">
        <f>[43]Sheet1!$E$3+[43]Sheet1!$E$9</f>
        <v>3695.008160269952</v>
      </c>
      <c r="D54" s="265">
        <v>20.23</v>
      </c>
      <c r="F54" s="2">
        <f>ROUND(D54*$C54,0)</f>
        <v>74750</v>
      </c>
      <c r="G54" s="265">
        <v>20.23</v>
      </c>
      <c r="I54" s="2">
        <f t="shared" si="11"/>
        <v>74750.015082261132</v>
      </c>
      <c r="J54" s="265">
        <f ca="1">$J$16</f>
        <v>21.24</v>
      </c>
      <c r="L54" s="2">
        <f t="shared" ca="1" si="12"/>
        <v>78481.973324133767</v>
      </c>
      <c r="M54" s="2"/>
      <c r="N54" s="265">
        <f ca="1">$J$16</f>
        <v>21.24</v>
      </c>
      <c r="P54" s="2">
        <f t="shared" ca="1" si="13"/>
        <v>78481.973324133767</v>
      </c>
      <c r="Q54" s="2"/>
      <c r="R54" s="265">
        <f ca="1">$J$16</f>
        <v>21.24</v>
      </c>
      <c r="T54" s="2">
        <f t="shared" ca="1" si="14"/>
        <v>78481.973324133767</v>
      </c>
      <c r="U54" s="2"/>
      <c r="V54" s="265">
        <f ca="1">$J$16</f>
        <v>21.24</v>
      </c>
      <c r="X54" s="2">
        <f t="shared" ca="1" si="15"/>
        <v>78481.973324133767</v>
      </c>
      <c r="Y54" s="20"/>
      <c r="Z54" s="281"/>
      <c r="AA54" s="74"/>
      <c r="AB54" s="74"/>
      <c r="AC54" s="20"/>
      <c r="AD54" s="20"/>
      <c r="AE54" s="287"/>
      <c r="AF54" s="287"/>
      <c r="AG54" s="287"/>
      <c r="AH54" s="287"/>
      <c r="AI54" s="278"/>
      <c r="AJ54" s="278"/>
      <c r="AK54" s="281"/>
      <c r="AL54" s="281"/>
      <c r="AM54" s="285"/>
      <c r="AN54" s="281"/>
      <c r="AO54" s="20"/>
      <c r="AP54" s="20"/>
      <c r="AQ54" s="20"/>
      <c r="AR54" s="20"/>
      <c r="AS54" s="20"/>
      <c r="AU54" s="84"/>
    </row>
    <row r="55" spans="1:47" hidden="1">
      <c r="A55" s="3" t="s">
        <v>356</v>
      </c>
      <c r="C55" s="264">
        <f>[43]Sheet1!$E$4+[43]Sheet1!$C$30</f>
        <v>492.36661446236099</v>
      </c>
      <c r="D55" s="265">
        <v>41.86</v>
      </c>
      <c r="F55" s="2">
        <f>ROUND(D55*$C55,0)</f>
        <v>20610</v>
      </c>
      <c r="G55" s="265">
        <v>41.86</v>
      </c>
      <c r="I55" s="2">
        <f t="shared" si="11"/>
        <v>20610.466481394429</v>
      </c>
      <c r="J55" s="265">
        <f ca="1">$J$17</f>
        <v>43.94</v>
      </c>
      <c r="L55" s="2">
        <f t="shared" ca="1" si="12"/>
        <v>21634.589039476141</v>
      </c>
      <c r="M55" s="2"/>
      <c r="N55" s="265">
        <f ca="1">$J$17</f>
        <v>43.94</v>
      </c>
      <c r="P55" s="2">
        <f t="shared" ca="1" si="13"/>
        <v>21634.589039476141</v>
      </c>
      <c r="Q55" s="2"/>
      <c r="R55" s="265">
        <f ca="1">$J$17</f>
        <v>43.94</v>
      </c>
      <c r="T55" s="2">
        <f t="shared" ca="1" si="14"/>
        <v>21634.589039476141</v>
      </c>
      <c r="U55" s="2"/>
      <c r="V55" s="265">
        <f ca="1">$J$17</f>
        <v>43.94</v>
      </c>
      <c r="X55" s="2">
        <f t="shared" ca="1" si="15"/>
        <v>21634.589039476141</v>
      </c>
      <c r="Y55" s="20"/>
      <c r="Z55" s="281"/>
      <c r="AA55" s="74"/>
      <c r="AB55" s="74"/>
      <c r="AC55" s="20"/>
      <c r="AD55" s="20"/>
      <c r="AE55" s="287"/>
      <c r="AF55" s="287"/>
      <c r="AG55" s="287"/>
      <c r="AH55" s="287"/>
      <c r="AI55" s="278"/>
      <c r="AJ55" s="278"/>
      <c r="AK55" s="281"/>
      <c r="AL55" s="281"/>
      <c r="AM55" s="285"/>
      <c r="AN55" s="281"/>
      <c r="AO55" s="20"/>
      <c r="AP55" s="20"/>
      <c r="AQ55" s="20"/>
      <c r="AR55" s="20"/>
      <c r="AS55" s="20"/>
      <c r="AU55" s="84"/>
    </row>
    <row r="56" spans="1:47" hidden="1">
      <c r="A56" s="3" t="s">
        <v>357</v>
      </c>
      <c r="C56" s="264"/>
      <c r="D56" s="265"/>
      <c r="F56" s="2"/>
      <c r="G56" s="265"/>
      <c r="I56" s="2"/>
      <c r="J56" s="265"/>
      <c r="L56" s="2"/>
      <c r="M56" s="2"/>
      <c r="N56" s="265"/>
      <c r="P56" s="2"/>
      <c r="Q56" s="2"/>
      <c r="R56" s="265"/>
      <c r="T56" s="2"/>
      <c r="U56" s="2"/>
      <c r="V56" s="265"/>
      <c r="X56" s="2"/>
      <c r="Y56" s="20"/>
      <c r="Z56" s="281"/>
      <c r="AA56" s="74"/>
      <c r="AB56" s="74"/>
      <c r="AC56" s="20"/>
      <c r="AD56" s="20"/>
      <c r="AE56" s="287"/>
      <c r="AF56" s="287"/>
      <c r="AG56" s="287"/>
      <c r="AH56" s="287"/>
      <c r="AI56" s="278"/>
      <c r="AJ56" s="278"/>
      <c r="AK56" s="281"/>
      <c r="AL56" s="281"/>
      <c r="AM56" s="285"/>
      <c r="AN56" s="281"/>
      <c r="AO56" s="20"/>
      <c r="AP56" s="20"/>
      <c r="AQ56" s="20"/>
      <c r="AR56" s="20"/>
      <c r="AS56" s="20"/>
      <c r="AU56" s="84"/>
    </row>
    <row r="57" spans="1:47" hidden="1">
      <c r="A57" s="3" t="s">
        <v>358</v>
      </c>
      <c r="C57" s="264">
        <f>[43]Sheet1!$E$5+[43]Sheet1!$C$31</f>
        <v>1159.66773729581</v>
      </c>
      <c r="D57" s="265">
        <v>12.09</v>
      </c>
      <c r="F57" s="2">
        <f>ROUND(D57*$C57,0)</f>
        <v>14020</v>
      </c>
      <c r="G57" s="265">
        <v>12.09</v>
      </c>
      <c r="I57" s="2">
        <f t="shared" ref="I57:I60" si="16">G57*C57</f>
        <v>14020.382943906343</v>
      </c>
      <c r="J57" s="265">
        <f ca="1">$J$19</f>
        <v>12.69</v>
      </c>
      <c r="L57" s="2">
        <f t="shared" ref="L57:L60" ca="1" si="17">(J57*$C57)</f>
        <v>14716.183586283827</v>
      </c>
      <c r="M57" s="2"/>
      <c r="N57" s="265">
        <f ca="1">$J$19</f>
        <v>12.69</v>
      </c>
      <c r="P57" s="2">
        <f t="shared" ref="P57:P60" ca="1" si="18">(N57*$C57)</f>
        <v>14716.183586283827</v>
      </c>
      <c r="Q57" s="2"/>
      <c r="R57" s="265">
        <f ca="1">$J$19</f>
        <v>12.69</v>
      </c>
      <c r="T57" s="2">
        <f t="shared" ref="T57:T60" ca="1" si="19">(R57*$C57)</f>
        <v>14716.183586283827</v>
      </c>
      <c r="U57" s="2"/>
      <c r="V57" s="265">
        <f ca="1">$J$19</f>
        <v>12.69</v>
      </c>
      <c r="X57" s="2">
        <f t="shared" ref="X57:X60" ca="1" si="20">(V57*$C57)</f>
        <v>14716.183586283827</v>
      </c>
      <c r="Y57" s="20"/>
      <c r="Z57" s="281"/>
      <c r="AA57" s="74"/>
      <c r="AB57" s="74"/>
      <c r="AC57" s="20"/>
      <c r="AD57" s="20"/>
      <c r="AE57" s="287"/>
      <c r="AF57" s="287"/>
      <c r="AG57" s="287"/>
      <c r="AH57" s="287"/>
      <c r="AI57" s="278"/>
      <c r="AJ57" s="278"/>
      <c r="AK57" s="281"/>
      <c r="AL57" s="281"/>
      <c r="AM57" s="285"/>
      <c r="AN57" s="281"/>
      <c r="AO57" s="20"/>
      <c r="AP57" s="20"/>
      <c r="AQ57" s="20"/>
      <c r="AR57" s="20"/>
      <c r="AS57" s="20"/>
      <c r="AU57" s="84"/>
    </row>
    <row r="58" spans="1:47" hidden="1">
      <c r="A58" s="3" t="s">
        <v>359</v>
      </c>
      <c r="C58" s="264">
        <f>[43]Sheet1!$E$6</f>
        <v>1366.6397787665301</v>
      </c>
      <c r="D58" s="265">
        <v>17.760000000000002</v>
      </c>
      <c r="F58" s="2">
        <f>ROUND(D58*$C58,0)</f>
        <v>24272</v>
      </c>
      <c r="G58" s="265">
        <v>17.760000000000002</v>
      </c>
      <c r="I58" s="2">
        <f t="shared" si="16"/>
        <v>24271.522470893575</v>
      </c>
      <c r="J58" s="265">
        <f ca="1">$J$20</f>
        <v>18.64</v>
      </c>
      <c r="L58" s="2">
        <f t="shared" ca="1" si="17"/>
        <v>25474.16547620812</v>
      </c>
      <c r="M58" s="2"/>
      <c r="N58" s="265">
        <f ca="1">$J$20</f>
        <v>18.64</v>
      </c>
      <c r="P58" s="2">
        <f t="shared" ca="1" si="18"/>
        <v>25474.16547620812</v>
      </c>
      <c r="Q58" s="2"/>
      <c r="R58" s="265">
        <f ca="1">$J$20</f>
        <v>18.64</v>
      </c>
      <c r="T58" s="2">
        <f t="shared" ca="1" si="19"/>
        <v>25474.16547620812</v>
      </c>
      <c r="U58" s="2"/>
      <c r="V58" s="265">
        <f ca="1">$J$20</f>
        <v>18.64</v>
      </c>
      <c r="X58" s="2">
        <f t="shared" ca="1" si="20"/>
        <v>25474.16547620812</v>
      </c>
      <c r="Y58" s="20"/>
      <c r="Z58" s="281"/>
      <c r="AA58" s="74"/>
      <c r="AB58" s="74"/>
      <c r="AC58" s="20"/>
      <c r="AD58" s="20"/>
      <c r="AE58" s="287"/>
      <c r="AF58" s="287"/>
      <c r="AG58" s="287"/>
      <c r="AH58" s="287"/>
      <c r="AI58" s="278"/>
      <c r="AJ58" s="278"/>
      <c r="AK58" s="281"/>
      <c r="AL58" s="281"/>
      <c r="AM58" s="285"/>
      <c r="AN58" s="281"/>
      <c r="AO58" s="20"/>
      <c r="AP58" s="20"/>
      <c r="AQ58" s="20"/>
      <c r="AR58" s="20"/>
      <c r="AS58" s="20"/>
      <c r="AU58" s="84"/>
    </row>
    <row r="59" spans="1:47" hidden="1">
      <c r="A59" s="3" t="s">
        <v>360</v>
      </c>
      <c r="C59" s="264">
        <f>[43]Sheet1!$E$7</f>
        <v>466.23760141089298</v>
      </c>
      <c r="D59" s="265">
        <v>28.64</v>
      </c>
      <c r="F59" s="2">
        <f>ROUND(D59*$C59,0)</f>
        <v>13353</v>
      </c>
      <c r="G59" s="265">
        <v>28.64</v>
      </c>
      <c r="I59" s="2">
        <f t="shared" si="16"/>
        <v>13353.044904407976</v>
      </c>
      <c r="J59" s="265">
        <f ca="1">$J$21</f>
        <v>30.07</v>
      </c>
      <c r="L59" s="2">
        <f t="shared" ca="1" si="17"/>
        <v>14019.764674425553</v>
      </c>
      <c r="M59" s="2"/>
      <c r="N59" s="265">
        <f ca="1">$J$21</f>
        <v>30.07</v>
      </c>
      <c r="P59" s="2">
        <f t="shared" ca="1" si="18"/>
        <v>14019.764674425553</v>
      </c>
      <c r="Q59" s="2"/>
      <c r="R59" s="265">
        <f ca="1">$J$21</f>
        <v>30.07</v>
      </c>
      <c r="T59" s="2">
        <f t="shared" ca="1" si="19"/>
        <v>14019.764674425553</v>
      </c>
      <c r="U59" s="2"/>
      <c r="V59" s="265">
        <f ca="1">$J$21</f>
        <v>30.07</v>
      </c>
      <c r="X59" s="2">
        <f t="shared" ca="1" si="20"/>
        <v>14019.764674425553</v>
      </c>
      <c r="Y59" s="20"/>
      <c r="Z59" s="281"/>
      <c r="AA59" s="74"/>
      <c r="AB59" s="74"/>
      <c r="AC59" s="20"/>
      <c r="AD59" s="20"/>
      <c r="AE59" s="287"/>
      <c r="AF59" s="287"/>
      <c r="AG59" s="287"/>
      <c r="AH59" s="287"/>
      <c r="AI59" s="278"/>
      <c r="AJ59" s="278"/>
      <c r="AK59" s="281"/>
      <c r="AL59" s="281"/>
      <c r="AM59" s="285"/>
      <c r="AN59" s="281"/>
      <c r="AO59" s="20"/>
      <c r="AP59" s="20"/>
      <c r="AQ59" s="20"/>
      <c r="AR59" s="20"/>
      <c r="AS59" s="20"/>
      <c r="AU59" s="84"/>
    </row>
    <row r="60" spans="1:47" hidden="1">
      <c r="A60" s="3" t="s">
        <v>361</v>
      </c>
      <c r="C60" s="264">
        <f>[43]Sheet1!$F$8+[43]Sheet1!$F$9+[43]Sheet1!$F$10</f>
        <v>350.76685864982318</v>
      </c>
      <c r="D60" s="265">
        <v>1</v>
      </c>
      <c r="E60" s="20"/>
      <c r="F60" s="272">
        <f>ROUND(D60*$C60,0)</f>
        <v>351</v>
      </c>
      <c r="G60" s="265">
        <v>1</v>
      </c>
      <c r="H60" s="20"/>
      <c r="I60" s="2">
        <f t="shared" si="16"/>
        <v>350.76685864982318</v>
      </c>
      <c r="J60" s="269">
        <f>$J$22</f>
        <v>1</v>
      </c>
      <c r="K60" s="20"/>
      <c r="L60" s="2">
        <f t="shared" si="17"/>
        <v>350.76685864982318</v>
      </c>
      <c r="M60" s="2"/>
      <c r="N60" s="269">
        <f>$J$22</f>
        <v>1</v>
      </c>
      <c r="O60" s="20"/>
      <c r="P60" s="2">
        <f t="shared" si="18"/>
        <v>350.76685864982318</v>
      </c>
      <c r="Q60" s="2"/>
      <c r="R60" s="269">
        <f>$J$22</f>
        <v>1</v>
      </c>
      <c r="S60" s="20"/>
      <c r="T60" s="2">
        <f t="shared" si="19"/>
        <v>350.76685864982318</v>
      </c>
      <c r="U60" s="2"/>
      <c r="V60" s="269">
        <f>$J$22</f>
        <v>1</v>
      </c>
      <c r="W60" s="20"/>
      <c r="X60" s="2">
        <f t="shared" si="20"/>
        <v>350.76685864982318</v>
      </c>
      <c r="Y60" s="278"/>
      <c r="Z60" s="281"/>
      <c r="AA60" s="74"/>
      <c r="AB60" s="74"/>
      <c r="AC60" s="20"/>
      <c r="AD60" s="20"/>
      <c r="AE60" s="278"/>
      <c r="AF60" s="278"/>
      <c r="AG60" s="278"/>
      <c r="AH60" s="278"/>
      <c r="AI60" s="278"/>
      <c r="AJ60" s="278"/>
      <c r="AK60" s="281"/>
      <c r="AL60" s="281"/>
      <c r="AM60" s="281"/>
      <c r="AN60" s="281"/>
      <c r="AO60" s="20"/>
      <c r="AP60" s="20"/>
      <c r="AQ60" s="20"/>
      <c r="AR60" s="20"/>
      <c r="AS60" s="20"/>
      <c r="AU60" s="84"/>
    </row>
    <row r="61" spans="1:47" s="1184" customFormat="1" hidden="1">
      <c r="A61" s="1005" t="s">
        <v>912</v>
      </c>
      <c r="C61" s="1202">
        <f>C63</f>
        <v>2156448</v>
      </c>
      <c r="D61" s="269"/>
      <c r="E61" s="1185"/>
      <c r="F61" s="1203"/>
      <c r="G61" s="269"/>
      <c r="H61" s="1185"/>
      <c r="I61" s="1203"/>
      <c r="J61" s="1230">
        <f>J23</f>
        <v>0</v>
      </c>
      <c r="K61" s="1219" t="s">
        <v>374</v>
      </c>
      <c r="L61" s="1203">
        <f>J61*C61/100</f>
        <v>0</v>
      </c>
      <c r="M61" s="1203"/>
      <c r="N61" s="1230" t="str">
        <f>N23</f>
        <v xml:space="preserve"> </v>
      </c>
      <c r="O61" s="1219" t="s">
        <v>374</v>
      </c>
      <c r="P61" s="1203">
        <f>N61*F61/100</f>
        <v>0</v>
      </c>
      <c r="Q61" s="1203"/>
      <c r="R61" s="1230" t="str">
        <f>R23</f>
        <v xml:space="preserve"> </v>
      </c>
      <c r="S61" s="1219" t="s">
        <v>374</v>
      </c>
      <c r="T61" s="1203">
        <f>R61*J61/100</f>
        <v>0</v>
      </c>
      <c r="U61" s="1203"/>
      <c r="V61" s="1230">
        <f>V23</f>
        <v>0</v>
      </c>
      <c r="W61" s="1219" t="s">
        <v>374</v>
      </c>
      <c r="X61" s="1203">
        <f>V61*N61/100</f>
        <v>0</v>
      </c>
      <c r="Z61" s="815"/>
      <c r="AC61" s="1205"/>
      <c r="AD61" s="1205"/>
      <c r="AI61" s="1185"/>
      <c r="AJ61" s="1185"/>
      <c r="AK61" s="1185"/>
      <c r="AL61" s="1185"/>
      <c r="AM61" s="1185"/>
      <c r="AN61" s="1185"/>
      <c r="AO61" s="1185"/>
      <c r="AP61" s="1185"/>
      <c r="AQ61" s="1185"/>
      <c r="AR61" s="1185"/>
      <c r="AS61" s="1185"/>
      <c r="AU61" s="1204"/>
    </row>
    <row r="62" spans="1:47" hidden="1">
      <c r="A62" s="3" t="s">
        <v>362</v>
      </c>
      <c r="C62" s="264">
        <f>[43]Sheet1!$K$26</f>
        <v>16015</v>
      </c>
      <c r="D62" s="265"/>
      <c r="F62" s="2"/>
      <c r="G62" s="265"/>
      <c r="I62" s="2"/>
      <c r="J62" s="265"/>
      <c r="L62" s="2"/>
      <c r="M62" s="2"/>
      <c r="N62" s="265"/>
      <c r="P62" s="2"/>
      <c r="Q62" s="2"/>
      <c r="R62" s="265"/>
      <c r="T62" s="2"/>
      <c r="U62" s="2"/>
      <c r="V62" s="265"/>
      <c r="X62" s="2"/>
      <c r="Y62" s="278"/>
      <c r="Z62" s="278"/>
      <c r="AA62" s="278"/>
      <c r="AB62" s="278"/>
      <c r="AC62" s="278"/>
      <c r="AD62" s="278"/>
      <c r="AE62" s="278"/>
      <c r="AF62" s="278"/>
      <c r="AG62" s="278"/>
      <c r="AH62" s="278"/>
      <c r="AI62" s="278"/>
      <c r="AJ62" s="278"/>
      <c r="AK62" s="288"/>
      <c r="AL62" s="278"/>
      <c r="AM62" s="278"/>
      <c r="AN62" s="278"/>
      <c r="AO62" s="20"/>
      <c r="AP62" s="20"/>
      <c r="AQ62" s="20"/>
      <c r="AR62" s="20"/>
      <c r="AS62" s="20"/>
      <c r="AU62" s="84"/>
    </row>
    <row r="63" spans="1:47" hidden="1">
      <c r="A63" s="3" t="s">
        <v>35</v>
      </c>
      <c r="C63" s="264">
        <f>[43]Sheet1!$D$26</f>
        <v>2156448</v>
      </c>
      <c r="D63" s="269"/>
      <c r="E63" s="20"/>
      <c r="F63" s="272">
        <f>SUM(F53:F60)</f>
        <v>296786</v>
      </c>
      <c r="G63" s="269"/>
      <c r="H63" s="20"/>
      <c r="I63" s="272">
        <f>SUM(I53:I60)</f>
        <v>296786.00730761874</v>
      </c>
      <c r="J63" s="269"/>
      <c r="K63" s="20"/>
      <c r="L63" s="272">
        <f ca="1">SUM(L53:L61)</f>
        <v>311557.6559034611</v>
      </c>
      <c r="M63" s="272"/>
      <c r="N63" s="269"/>
      <c r="O63" s="20"/>
      <c r="P63" s="272">
        <f ca="1">SUM(P53:P61)</f>
        <v>311557.6559034611</v>
      </c>
      <c r="Q63" s="272"/>
      <c r="R63" s="269"/>
      <c r="S63" s="20"/>
      <c r="T63" s="272">
        <f ca="1">SUM(T53:T61)</f>
        <v>311557.6559034611</v>
      </c>
      <c r="U63" s="272"/>
      <c r="V63" s="269"/>
      <c r="W63" s="20"/>
      <c r="X63" s="272">
        <f ca="1">SUM(X53:X61)</f>
        <v>311557.6559034611</v>
      </c>
      <c r="Y63" s="278"/>
      <c r="Z63" s="287"/>
      <c r="AA63" s="278"/>
      <c r="AB63" s="278"/>
      <c r="AC63" s="20"/>
      <c r="AD63" s="20"/>
      <c r="AE63" s="20"/>
      <c r="AF63" s="20"/>
      <c r="AG63" s="20"/>
      <c r="AH63" s="20"/>
      <c r="AI63" s="20"/>
      <c r="AJ63" s="278"/>
      <c r="AK63" s="278"/>
      <c r="AL63" s="278"/>
      <c r="AM63" s="278"/>
      <c r="AN63" s="278"/>
      <c r="AO63" s="20"/>
      <c r="AP63" s="20"/>
      <c r="AQ63" s="20"/>
      <c r="AR63" s="20"/>
      <c r="AS63" s="20"/>
      <c r="AU63" s="84"/>
    </row>
    <row r="64" spans="1:47" hidden="1">
      <c r="A64" s="3" t="s">
        <v>363</v>
      </c>
      <c r="C64" s="264">
        <f>'Table 2'!H52</f>
        <v>-6099.8611148977507</v>
      </c>
      <c r="D64" s="269"/>
      <c r="E64" s="20"/>
      <c r="F64" s="272">
        <f>I64</f>
        <v>-734.38073140861252</v>
      </c>
      <c r="G64" s="269"/>
      <c r="H64" s="20"/>
      <c r="I64" s="272">
        <f>'Table 3'!E52</f>
        <v>-734.38073140861252</v>
      </c>
      <c r="J64" s="269"/>
      <c r="K64" s="20"/>
      <c r="L64" s="272">
        <f>I64</f>
        <v>-734.38073140861252</v>
      </c>
      <c r="M64" s="272"/>
      <c r="N64" s="269"/>
      <c r="O64" s="20"/>
      <c r="P64" s="272">
        <f>L64</f>
        <v>-734.38073140861252</v>
      </c>
      <c r="Q64" s="272"/>
      <c r="R64" s="269"/>
      <c r="S64" s="20"/>
      <c r="T64" s="272">
        <f>P64</f>
        <v>-734.38073140861252</v>
      </c>
      <c r="U64" s="272"/>
      <c r="V64" s="269"/>
      <c r="W64" s="20"/>
      <c r="X64" s="272">
        <f>T64</f>
        <v>-734.38073140861252</v>
      </c>
      <c r="Y64" s="444"/>
      <c r="Z64" s="287"/>
      <c r="AA64" s="278"/>
      <c r="AB64" s="278"/>
      <c r="AC64" s="278"/>
      <c r="AD64" s="278"/>
      <c r="AE64" s="283"/>
      <c r="AF64" s="283"/>
      <c r="AG64" s="283"/>
      <c r="AH64" s="283"/>
      <c r="AI64" s="281"/>
      <c r="AJ64" s="278"/>
      <c r="AK64" s="278"/>
      <c r="AL64" s="278"/>
      <c r="AM64" s="278"/>
      <c r="AN64" s="278"/>
      <c r="AO64" s="20"/>
      <c r="AP64" s="20"/>
      <c r="AQ64" s="20"/>
      <c r="AR64" s="20"/>
      <c r="AS64" s="20"/>
      <c r="AU64" s="84"/>
    </row>
    <row r="65" spans="1:47" ht="16.5" hidden="1" thickBot="1">
      <c r="A65" s="3" t="s">
        <v>9</v>
      </c>
      <c r="C65" s="273">
        <f>C63+C64</f>
        <v>2150348.1388851022</v>
      </c>
      <c r="D65" s="274"/>
      <c r="E65" s="274"/>
      <c r="F65" s="274">
        <f>F63+F64</f>
        <v>296051.6192685914</v>
      </c>
      <c r="G65" s="312"/>
      <c r="H65" s="274"/>
      <c r="I65" s="274">
        <f>I63+I64</f>
        <v>296051.62657621014</v>
      </c>
      <c r="J65" s="312"/>
      <c r="K65" s="274"/>
      <c r="L65" s="274">
        <f ca="1">L63+L64</f>
        <v>310823.2751720525</v>
      </c>
      <c r="M65" s="312"/>
      <c r="N65" s="312"/>
      <c r="O65" s="274"/>
      <c r="P65" s="274">
        <f ca="1">P63+P64</f>
        <v>310823.2751720525</v>
      </c>
      <c r="Q65" s="312"/>
      <c r="R65" s="312"/>
      <c r="S65" s="274"/>
      <c r="T65" s="274">
        <f ca="1">T63+T64</f>
        <v>310823.2751720525</v>
      </c>
      <c r="U65" s="312"/>
      <c r="V65" s="312"/>
      <c r="W65" s="274"/>
      <c r="X65" s="274">
        <f ca="1">X63+X64</f>
        <v>310823.2751720525</v>
      </c>
      <c r="Y65" s="411"/>
      <c r="Z65" s="470"/>
      <c r="AA65" s="278"/>
      <c r="AB65" s="278"/>
      <c r="AC65" s="278"/>
      <c r="AD65" s="278"/>
      <c r="AE65" s="278"/>
      <c r="AF65" s="278"/>
      <c r="AG65" s="278"/>
      <c r="AH65" s="278"/>
      <c r="AI65" s="278"/>
      <c r="AJ65" s="278"/>
      <c r="AK65" s="278"/>
      <c r="AL65" s="278"/>
      <c r="AM65" s="278"/>
      <c r="AN65" s="278"/>
      <c r="AO65" s="20"/>
      <c r="AP65" s="20"/>
      <c r="AQ65" s="20"/>
      <c r="AR65" s="20"/>
      <c r="AS65" s="20"/>
      <c r="AU65" s="84"/>
    </row>
    <row r="66" spans="1:47" ht="16.5" hidden="1" thickTop="1">
      <c r="C66" s="275"/>
      <c r="D66" s="309" t="s">
        <v>31</v>
      </c>
      <c r="E66" s="275"/>
      <c r="F66" s="263"/>
      <c r="G66" s="309" t="s">
        <v>31</v>
      </c>
      <c r="H66" s="275"/>
      <c r="I66" s="263"/>
      <c r="J66" s="1" t="s">
        <v>31</v>
      </c>
      <c r="K66" s="275"/>
      <c r="L66" s="2" t="s">
        <v>31</v>
      </c>
      <c r="M66" s="2"/>
      <c r="N66" s="1" t="s">
        <v>31</v>
      </c>
      <c r="O66" s="275"/>
      <c r="P66" s="2" t="s">
        <v>31</v>
      </c>
      <c r="Q66" s="2"/>
      <c r="R66" s="1" t="s">
        <v>31</v>
      </c>
      <c r="S66" s="275"/>
      <c r="T66" s="2" t="s">
        <v>31</v>
      </c>
      <c r="U66" s="2"/>
      <c r="V66" s="1" t="s">
        <v>31</v>
      </c>
      <c r="W66" s="275"/>
      <c r="X66" s="2" t="s">
        <v>31</v>
      </c>
      <c r="Y66" s="20"/>
      <c r="Z66" s="74"/>
      <c r="AA66" s="74"/>
      <c r="AB66" s="74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U66" s="84"/>
    </row>
    <row r="67" spans="1:47" hidden="1">
      <c r="A67" s="262" t="s">
        <v>351</v>
      </c>
      <c r="F67" s="263"/>
      <c r="I67" s="263"/>
      <c r="Y67" s="20"/>
      <c r="Z67" s="74"/>
      <c r="AA67" s="74"/>
      <c r="AB67" s="74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U67" s="84"/>
    </row>
    <row r="68" spans="1:47" hidden="1">
      <c r="A68" s="3" t="s">
        <v>367</v>
      </c>
      <c r="F68" s="263"/>
      <c r="I68" s="263"/>
      <c r="Y68" s="278"/>
      <c r="Z68" s="278"/>
      <c r="AA68" s="278"/>
      <c r="AB68" s="278"/>
      <c r="AC68" s="278"/>
      <c r="AD68" s="278"/>
      <c r="AE68" s="278"/>
      <c r="AF68" s="278"/>
      <c r="AG68" s="278"/>
      <c r="AH68" s="278"/>
      <c r="AI68" s="278"/>
      <c r="AJ68" s="278"/>
      <c r="AK68" s="278"/>
      <c r="AL68" s="278"/>
      <c r="AM68" s="278"/>
      <c r="AN68" s="278"/>
      <c r="AO68" s="20"/>
      <c r="AP68" s="20"/>
      <c r="AQ68" s="20"/>
      <c r="AR68" s="20"/>
      <c r="AS68" s="20"/>
      <c r="AU68" s="84"/>
    </row>
    <row r="69" spans="1:47" hidden="1">
      <c r="F69" s="263"/>
      <c r="I69" s="263"/>
      <c r="Y69" s="278"/>
      <c r="Z69" s="278"/>
      <c r="AA69" s="278"/>
      <c r="AB69" s="278"/>
      <c r="AC69" s="278"/>
      <c r="AD69" s="278"/>
      <c r="AE69" s="278"/>
      <c r="AF69" s="278"/>
      <c r="AG69" s="278"/>
      <c r="AH69" s="278"/>
      <c r="AI69" s="278"/>
      <c r="AJ69" s="278"/>
      <c r="AK69" s="278"/>
      <c r="AL69" s="278"/>
      <c r="AM69" s="278"/>
      <c r="AN69" s="278"/>
      <c r="AO69" s="20"/>
      <c r="AP69" s="20"/>
      <c r="AQ69" s="20"/>
      <c r="AR69" s="20"/>
      <c r="AS69" s="20"/>
      <c r="AU69" s="84"/>
    </row>
    <row r="70" spans="1:47" hidden="1">
      <c r="A70" s="3" t="s">
        <v>353</v>
      </c>
      <c r="F70" s="263"/>
      <c r="I70" s="263"/>
      <c r="Y70" s="278"/>
      <c r="Z70" s="278"/>
      <c r="AA70" s="74"/>
      <c r="AB70" s="74"/>
      <c r="AC70" s="279"/>
      <c r="AD70" s="279"/>
      <c r="AE70" s="280"/>
      <c r="AF70" s="280"/>
      <c r="AG70" s="280"/>
      <c r="AH70" s="280"/>
      <c r="AI70" s="281"/>
      <c r="AJ70" s="282"/>
      <c r="AK70" s="278"/>
      <c r="AL70" s="278"/>
      <c r="AM70" s="278"/>
      <c r="AN70" s="278"/>
      <c r="AO70" s="20"/>
      <c r="AP70" s="20"/>
      <c r="AQ70" s="20"/>
      <c r="AR70" s="20"/>
      <c r="AS70" s="20"/>
      <c r="AU70" s="84"/>
    </row>
    <row r="71" spans="1:47" hidden="1">
      <c r="A71" s="3" t="s">
        <v>354</v>
      </c>
      <c r="C71" s="264">
        <f>[43]Sheet1!$E$11+[43]Sheet1!$E$17</f>
        <v>612.13238583609495</v>
      </c>
      <c r="D71" s="265">
        <v>10.63</v>
      </c>
      <c r="F71" s="2">
        <f>ROUND(D71*$C71,0)</f>
        <v>6507</v>
      </c>
      <c r="G71" s="265">
        <v>10.63</v>
      </c>
      <c r="I71" s="2">
        <f t="shared" ref="I71:I73" si="21">G71*C71</f>
        <v>6506.9672614376896</v>
      </c>
      <c r="J71" s="265">
        <f ca="1">$J$15</f>
        <v>11.16</v>
      </c>
      <c r="L71" s="2">
        <f t="shared" ref="L71:L73" ca="1" si="22">(J71*$C71)</f>
        <v>6831.3974259308197</v>
      </c>
      <c r="M71" s="2"/>
      <c r="N71" s="265">
        <f ca="1">$J$15</f>
        <v>11.16</v>
      </c>
      <c r="P71" s="2">
        <f t="shared" ref="P71:P73" ca="1" si="23">(N71*$C71)</f>
        <v>6831.3974259308197</v>
      </c>
      <c r="Q71" s="2"/>
      <c r="R71" s="265">
        <f ca="1">$J$15</f>
        <v>11.16</v>
      </c>
      <c r="T71" s="2">
        <f t="shared" ref="T71:T73" ca="1" si="24">(R71*$C71)</f>
        <v>6831.3974259308197</v>
      </c>
      <c r="U71" s="2"/>
      <c r="V71" s="265">
        <f ca="1">$J$15</f>
        <v>11.16</v>
      </c>
      <c r="X71" s="2">
        <f t="shared" ref="X71:X73" ca="1" si="25">(V71*$C71)</f>
        <v>6831.3974259308197</v>
      </c>
      <c r="Y71" s="20"/>
      <c r="Z71" s="281"/>
      <c r="AA71" s="74"/>
      <c r="AB71" s="74"/>
      <c r="AC71" s="278"/>
      <c r="AD71" s="278"/>
      <c r="AE71" s="283"/>
      <c r="AF71" s="283"/>
      <c r="AG71" s="283"/>
      <c r="AH71" s="283"/>
      <c r="AI71" s="284"/>
      <c r="AJ71" s="278"/>
      <c r="AK71" s="281"/>
      <c r="AL71" s="281"/>
      <c r="AM71" s="285"/>
      <c r="AN71" s="281"/>
      <c r="AO71" s="20"/>
      <c r="AP71" s="20"/>
      <c r="AQ71" s="20"/>
      <c r="AR71" s="20"/>
      <c r="AS71" s="20"/>
      <c r="AU71" s="84"/>
    </row>
    <row r="72" spans="1:47" hidden="1">
      <c r="A72" s="3" t="s">
        <v>355</v>
      </c>
      <c r="C72" s="264">
        <f>[43]Sheet1!$E$12</f>
        <v>407.76913013469601</v>
      </c>
      <c r="D72" s="265">
        <v>20.23</v>
      </c>
      <c r="F72" s="2">
        <f>ROUND(D72*$C72,0)</f>
        <v>8249</v>
      </c>
      <c r="G72" s="265">
        <v>20.23</v>
      </c>
      <c r="I72" s="2">
        <f t="shared" si="21"/>
        <v>8249.1695026248999</v>
      </c>
      <c r="J72" s="265">
        <f ca="1">$J$16</f>
        <v>21.24</v>
      </c>
      <c r="L72" s="2">
        <f t="shared" ca="1" si="22"/>
        <v>8661.0163240609436</v>
      </c>
      <c r="M72" s="2"/>
      <c r="N72" s="265">
        <f ca="1">$J$16</f>
        <v>21.24</v>
      </c>
      <c r="P72" s="2">
        <f t="shared" ca="1" si="23"/>
        <v>8661.0163240609436</v>
      </c>
      <c r="Q72" s="2"/>
      <c r="R72" s="265">
        <f ca="1">$J$16</f>
        <v>21.24</v>
      </c>
      <c r="T72" s="2">
        <f t="shared" ca="1" si="24"/>
        <v>8661.0163240609436</v>
      </c>
      <c r="U72" s="2"/>
      <c r="V72" s="265">
        <f ca="1">$J$16</f>
        <v>21.24</v>
      </c>
      <c r="X72" s="2">
        <f t="shared" ca="1" si="25"/>
        <v>8661.0163240609436</v>
      </c>
      <c r="Y72" s="20"/>
      <c r="Z72" s="281"/>
      <c r="AA72" s="74"/>
      <c r="AB72" s="74"/>
      <c r="AC72" s="20"/>
      <c r="AD72" s="20"/>
      <c r="AE72" s="287"/>
      <c r="AF72" s="287"/>
      <c r="AG72" s="287"/>
      <c r="AH72" s="287"/>
      <c r="AI72" s="278"/>
      <c r="AJ72" s="278"/>
      <c r="AK72" s="281"/>
      <c r="AL72" s="281"/>
      <c r="AM72" s="285"/>
      <c r="AN72" s="281"/>
      <c r="AO72" s="20"/>
      <c r="AP72" s="20"/>
      <c r="AQ72" s="20"/>
      <c r="AR72" s="20"/>
      <c r="AS72" s="20"/>
      <c r="AU72" s="84"/>
    </row>
    <row r="73" spans="1:47" hidden="1">
      <c r="A73" s="3" t="s">
        <v>356</v>
      </c>
      <c r="C73" s="264">
        <f>[43]Sheet1!$E$13</f>
        <v>47.999569482334898</v>
      </c>
      <c r="D73" s="265">
        <v>41.86</v>
      </c>
      <c r="F73" s="2">
        <f>ROUND(D73*$C73,0)</f>
        <v>2009</v>
      </c>
      <c r="G73" s="265">
        <v>41.86</v>
      </c>
      <c r="I73" s="2">
        <f t="shared" si="21"/>
        <v>2009.2619785305387</v>
      </c>
      <c r="J73" s="265">
        <f ca="1">$J$17</f>
        <v>43.94</v>
      </c>
      <c r="L73" s="2">
        <f t="shared" ca="1" si="22"/>
        <v>2109.1010830537953</v>
      </c>
      <c r="M73" s="2"/>
      <c r="N73" s="265">
        <f ca="1">$J$17</f>
        <v>43.94</v>
      </c>
      <c r="P73" s="2">
        <f t="shared" ca="1" si="23"/>
        <v>2109.1010830537953</v>
      </c>
      <c r="Q73" s="2"/>
      <c r="R73" s="265">
        <f ca="1">$J$17</f>
        <v>43.94</v>
      </c>
      <c r="T73" s="2">
        <f t="shared" ca="1" si="24"/>
        <v>2109.1010830537953</v>
      </c>
      <c r="U73" s="2"/>
      <c r="V73" s="265">
        <f ca="1">$J$17</f>
        <v>43.94</v>
      </c>
      <c r="X73" s="2">
        <f t="shared" ca="1" si="25"/>
        <v>2109.1010830537953</v>
      </c>
      <c r="Y73" s="20"/>
      <c r="Z73" s="281"/>
      <c r="AA73" s="74"/>
      <c r="AB73" s="74"/>
      <c r="AC73" s="20"/>
      <c r="AD73" s="20"/>
      <c r="AE73" s="287"/>
      <c r="AF73" s="287"/>
      <c r="AG73" s="287"/>
      <c r="AH73" s="287"/>
      <c r="AI73" s="278"/>
      <c r="AJ73" s="278"/>
      <c r="AK73" s="281"/>
      <c r="AL73" s="281"/>
      <c r="AM73" s="285"/>
      <c r="AN73" s="281"/>
      <c r="AO73" s="20"/>
      <c r="AP73" s="20"/>
      <c r="AQ73" s="20"/>
      <c r="AR73" s="20"/>
      <c r="AS73" s="20"/>
      <c r="AU73" s="84"/>
    </row>
    <row r="74" spans="1:47" hidden="1">
      <c r="A74" s="3" t="s">
        <v>357</v>
      </c>
      <c r="C74" s="264"/>
      <c r="D74" s="265"/>
      <c r="F74" s="2"/>
      <c r="G74" s="265"/>
      <c r="I74" s="2"/>
      <c r="J74" s="265"/>
      <c r="L74" s="2"/>
      <c r="M74" s="2"/>
      <c r="N74" s="265"/>
      <c r="P74" s="2"/>
      <c r="Q74" s="2"/>
      <c r="R74" s="265"/>
      <c r="T74" s="2"/>
      <c r="U74" s="2"/>
      <c r="V74" s="265"/>
      <c r="X74" s="2"/>
      <c r="Y74" s="20"/>
      <c r="Z74" s="281"/>
      <c r="AA74" s="74"/>
      <c r="AB74" s="74"/>
      <c r="AC74" s="20"/>
      <c r="AD74" s="20"/>
      <c r="AE74" s="287"/>
      <c r="AF74" s="287"/>
      <c r="AG74" s="287"/>
      <c r="AH74" s="287"/>
      <c r="AI74" s="278"/>
      <c r="AJ74" s="278"/>
      <c r="AK74" s="281"/>
      <c r="AL74" s="281"/>
      <c r="AM74" s="285"/>
      <c r="AN74" s="281"/>
      <c r="AO74" s="20"/>
      <c r="AP74" s="20"/>
      <c r="AQ74" s="20"/>
      <c r="AR74" s="20"/>
      <c r="AS74" s="20"/>
      <c r="AU74" s="84"/>
    </row>
    <row r="75" spans="1:47" hidden="1">
      <c r="A75" s="3" t="s">
        <v>358</v>
      </c>
      <c r="C75" s="264">
        <f>[43]Sheet1!$E$14</f>
        <v>11.999900155568399</v>
      </c>
      <c r="D75" s="265">
        <v>12.09</v>
      </c>
      <c r="F75" s="2">
        <f>ROUND(D75*$C75,0)</f>
        <v>145</v>
      </c>
      <c r="G75" s="265">
        <v>12.09</v>
      </c>
      <c r="I75" s="2">
        <f t="shared" ref="I75:I78" si="26">G75*C75</f>
        <v>145.07879288082194</v>
      </c>
      <c r="J75" s="265">
        <f ca="1">$J$19</f>
        <v>12.69</v>
      </c>
      <c r="L75" s="2">
        <f t="shared" ref="L75:L78" ca="1" si="27">(J75*$C75)</f>
        <v>152.27873297416298</v>
      </c>
      <c r="M75" s="2"/>
      <c r="N75" s="265">
        <f ca="1">$J$19</f>
        <v>12.69</v>
      </c>
      <c r="P75" s="2">
        <f t="shared" ref="P75:P78" ca="1" si="28">(N75*$C75)</f>
        <v>152.27873297416298</v>
      </c>
      <c r="Q75" s="2"/>
      <c r="R75" s="265">
        <f ca="1">$J$19</f>
        <v>12.69</v>
      </c>
      <c r="T75" s="2">
        <f t="shared" ref="T75:T78" ca="1" si="29">(R75*$C75)</f>
        <v>152.27873297416298</v>
      </c>
      <c r="U75" s="2"/>
      <c r="V75" s="265">
        <f ca="1">$J$19</f>
        <v>12.69</v>
      </c>
      <c r="X75" s="2">
        <f t="shared" ref="X75:X78" ca="1" si="30">(V75*$C75)</f>
        <v>152.27873297416298</v>
      </c>
      <c r="Y75" s="20"/>
      <c r="Z75" s="281"/>
      <c r="AA75" s="74"/>
      <c r="AB75" s="74"/>
      <c r="AC75" s="20"/>
      <c r="AD75" s="20"/>
      <c r="AE75" s="287"/>
      <c r="AF75" s="287"/>
      <c r="AG75" s="287"/>
      <c r="AH75" s="287"/>
      <c r="AI75" s="278"/>
      <c r="AJ75" s="278"/>
      <c r="AK75" s="281"/>
      <c r="AL75" s="281"/>
      <c r="AM75" s="285"/>
      <c r="AN75" s="281"/>
      <c r="AO75" s="20"/>
      <c r="AP75" s="20"/>
      <c r="AQ75" s="20"/>
      <c r="AR75" s="20"/>
      <c r="AS75" s="20"/>
      <c r="AU75" s="84"/>
    </row>
    <row r="76" spans="1:47" hidden="1">
      <c r="A76" s="3" t="s">
        <v>359</v>
      </c>
      <c r="C76" s="264">
        <f>[43]Sheet1!$E$15</f>
        <v>96.000010505499901</v>
      </c>
      <c r="D76" s="265">
        <v>17.760000000000002</v>
      </c>
      <c r="F76" s="2">
        <f>ROUND(D76*$C76,0)</f>
        <v>1705</v>
      </c>
      <c r="G76" s="265">
        <v>17.760000000000002</v>
      </c>
      <c r="I76" s="2">
        <f t="shared" si="26"/>
        <v>1704.9601865776783</v>
      </c>
      <c r="J76" s="265">
        <f ca="1">$J$20</f>
        <v>18.64</v>
      </c>
      <c r="L76" s="2">
        <f t="shared" ca="1" si="27"/>
        <v>1789.4401958225183</v>
      </c>
      <c r="M76" s="2"/>
      <c r="N76" s="265">
        <f ca="1">$J$20</f>
        <v>18.64</v>
      </c>
      <c r="P76" s="2">
        <f t="shared" ca="1" si="28"/>
        <v>1789.4401958225183</v>
      </c>
      <c r="Q76" s="2"/>
      <c r="R76" s="265">
        <f ca="1">$J$20</f>
        <v>18.64</v>
      </c>
      <c r="T76" s="2">
        <f t="shared" ca="1" si="29"/>
        <v>1789.4401958225183</v>
      </c>
      <c r="U76" s="2"/>
      <c r="V76" s="265">
        <f ca="1">$J$20</f>
        <v>18.64</v>
      </c>
      <c r="X76" s="2">
        <f t="shared" ca="1" si="30"/>
        <v>1789.4401958225183</v>
      </c>
      <c r="Y76" s="20"/>
      <c r="Z76" s="281"/>
      <c r="AA76" s="74"/>
      <c r="AB76" s="74"/>
      <c r="AC76" s="20"/>
      <c r="AD76" s="20"/>
      <c r="AE76" s="287"/>
      <c r="AF76" s="287"/>
      <c r="AG76" s="287"/>
      <c r="AH76" s="287"/>
      <c r="AI76" s="278"/>
      <c r="AJ76" s="278"/>
      <c r="AK76" s="281"/>
      <c r="AL76" s="281"/>
      <c r="AM76" s="285"/>
      <c r="AN76" s="281"/>
      <c r="AO76" s="20"/>
      <c r="AP76" s="20"/>
      <c r="AQ76" s="20"/>
      <c r="AR76" s="20"/>
      <c r="AS76" s="20"/>
      <c r="AU76" s="84"/>
    </row>
    <row r="77" spans="1:47" hidden="1">
      <c r="A77" s="3" t="s">
        <v>360</v>
      </c>
      <c r="C77" s="264">
        <f>[43]Sheet1!$E$16</f>
        <v>23.999999764143599</v>
      </c>
      <c r="D77" s="265">
        <v>28.64</v>
      </c>
      <c r="F77" s="2">
        <f>ROUND(D77*$C77,0)</f>
        <v>687</v>
      </c>
      <c r="G77" s="265">
        <v>28.64</v>
      </c>
      <c r="I77" s="2">
        <f t="shared" si="26"/>
        <v>687.3599932450727</v>
      </c>
      <c r="J77" s="265">
        <f ca="1">$J$21</f>
        <v>30.07</v>
      </c>
      <c r="L77" s="2">
        <f t="shared" ca="1" si="27"/>
        <v>721.67999290779801</v>
      </c>
      <c r="M77" s="2"/>
      <c r="N77" s="265">
        <f ca="1">$J$21</f>
        <v>30.07</v>
      </c>
      <c r="P77" s="2">
        <f t="shared" ca="1" si="28"/>
        <v>721.67999290779801</v>
      </c>
      <c r="Q77" s="2"/>
      <c r="R77" s="265">
        <f ca="1">$J$21</f>
        <v>30.07</v>
      </c>
      <c r="T77" s="2">
        <f t="shared" ca="1" si="29"/>
        <v>721.67999290779801</v>
      </c>
      <c r="U77" s="2"/>
      <c r="V77" s="265">
        <f ca="1">$J$21</f>
        <v>30.07</v>
      </c>
      <c r="X77" s="2">
        <f t="shared" ca="1" si="30"/>
        <v>721.67999290779801</v>
      </c>
      <c r="Y77" s="20"/>
      <c r="Z77" s="281"/>
      <c r="AA77" s="74"/>
      <c r="AB77" s="74"/>
      <c r="AC77" s="20"/>
      <c r="AD77" s="20"/>
      <c r="AE77" s="287"/>
      <c r="AF77" s="287"/>
      <c r="AG77" s="287"/>
      <c r="AH77" s="287"/>
      <c r="AI77" s="278"/>
      <c r="AJ77" s="278"/>
      <c r="AK77" s="281"/>
      <c r="AL77" s="281"/>
      <c r="AM77" s="285"/>
      <c r="AN77" s="281"/>
      <c r="AO77" s="20"/>
      <c r="AP77" s="20"/>
      <c r="AQ77" s="20"/>
      <c r="AR77" s="20"/>
      <c r="AS77" s="20"/>
      <c r="AU77" s="84"/>
    </row>
    <row r="78" spans="1:47" hidden="1">
      <c r="A78" s="3" t="s">
        <v>361</v>
      </c>
      <c r="C78" s="264">
        <f>[43]Sheet1!$F$17</f>
        <v>132.000000851811</v>
      </c>
      <c r="D78" s="265">
        <v>1</v>
      </c>
      <c r="E78" s="20"/>
      <c r="F78" s="272">
        <f>ROUND(D78*$C78,0)</f>
        <v>132</v>
      </c>
      <c r="G78" s="265">
        <v>1</v>
      </c>
      <c r="H78" s="20"/>
      <c r="I78" s="2">
        <f t="shared" si="26"/>
        <v>132.000000851811</v>
      </c>
      <c r="J78" s="269">
        <f>$J$22</f>
        <v>1</v>
      </c>
      <c r="K78" s="20"/>
      <c r="L78" s="2">
        <f t="shared" si="27"/>
        <v>132.000000851811</v>
      </c>
      <c r="M78" s="2"/>
      <c r="N78" s="269">
        <f>$J$22</f>
        <v>1</v>
      </c>
      <c r="O78" s="20"/>
      <c r="P78" s="2">
        <f t="shared" si="28"/>
        <v>132.000000851811</v>
      </c>
      <c r="Q78" s="2"/>
      <c r="R78" s="269">
        <f>$J$22</f>
        <v>1</v>
      </c>
      <c r="S78" s="20"/>
      <c r="T78" s="2">
        <f t="shared" si="29"/>
        <v>132.000000851811</v>
      </c>
      <c r="U78" s="2"/>
      <c r="V78" s="269">
        <f>$J$22</f>
        <v>1</v>
      </c>
      <c r="W78" s="20"/>
      <c r="X78" s="2">
        <f t="shared" si="30"/>
        <v>132.000000851811</v>
      </c>
      <c r="Y78" s="278"/>
      <c r="Z78" s="281"/>
      <c r="AA78" s="74"/>
      <c r="AB78" s="74"/>
      <c r="AC78" s="20"/>
      <c r="AD78" s="20"/>
      <c r="AE78" s="278"/>
      <c r="AF78" s="278"/>
      <c r="AG78" s="278"/>
      <c r="AH78" s="278"/>
      <c r="AI78" s="278"/>
      <c r="AJ78" s="278"/>
      <c r="AK78" s="281"/>
      <c r="AL78" s="281"/>
      <c r="AM78" s="281"/>
      <c r="AN78" s="281"/>
      <c r="AO78" s="20"/>
      <c r="AP78" s="20"/>
      <c r="AQ78" s="20"/>
      <c r="AR78" s="20"/>
      <c r="AS78" s="20"/>
      <c r="AU78" s="84"/>
    </row>
    <row r="79" spans="1:47" s="1184" customFormat="1" hidden="1">
      <c r="A79" s="1005" t="s">
        <v>912</v>
      </c>
      <c r="C79" s="1202">
        <f>C81</f>
        <v>149372</v>
      </c>
      <c r="D79" s="269"/>
      <c r="E79" s="1185"/>
      <c r="F79" s="1203"/>
      <c r="G79" s="269"/>
      <c r="H79" s="1185"/>
      <c r="I79" s="1203"/>
      <c r="J79" s="1230">
        <f>J23</f>
        <v>0</v>
      </c>
      <c r="K79" s="1219" t="s">
        <v>374</v>
      </c>
      <c r="L79" s="1203">
        <f>J79*C79/100</f>
        <v>0</v>
      </c>
      <c r="M79" s="1203"/>
      <c r="N79" s="1230" t="str">
        <f>N23</f>
        <v xml:space="preserve"> </v>
      </c>
      <c r="O79" s="1219" t="s">
        <v>374</v>
      </c>
      <c r="P79" s="1203">
        <f>N79*F79/100</f>
        <v>0</v>
      </c>
      <c r="Q79" s="1203"/>
      <c r="R79" s="1230" t="str">
        <f>R23</f>
        <v xml:space="preserve"> </v>
      </c>
      <c r="S79" s="1219" t="s">
        <v>374</v>
      </c>
      <c r="T79" s="1203">
        <f>R79*J79/100</f>
        <v>0</v>
      </c>
      <c r="U79" s="1203"/>
      <c r="V79" s="1230">
        <f>V23</f>
        <v>0</v>
      </c>
      <c r="W79" s="1219" t="s">
        <v>374</v>
      </c>
      <c r="X79" s="1203">
        <f>V79*N79/100</f>
        <v>0</v>
      </c>
      <c r="Z79" s="815"/>
      <c r="AC79" s="1205"/>
      <c r="AD79" s="1205"/>
      <c r="AI79" s="1185"/>
      <c r="AJ79" s="1185"/>
      <c r="AK79" s="1185"/>
      <c r="AL79" s="1185"/>
      <c r="AM79" s="1185"/>
      <c r="AN79" s="1185"/>
      <c r="AO79" s="1185"/>
      <c r="AP79" s="1185"/>
      <c r="AQ79" s="1185"/>
      <c r="AR79" s="1185"/>
      <c r="AS79" s="1185"/>
      <c r="AU79" s="1204"/>
    </row>
    <row r="80" spans="1:47" hidden="1">
      <c r="A80" s="3" t="s">
        <v>362</v>
      </c>
      <c r="C80" s="264">
        <f>[43]Sheet1!$K$27</f>
        <v>673</v>
      </c>
      <c r="D80" s="265"/>
      <c r="F80" s="2"/>
      <c r="G80" s="265"/>
      <c r="I80" s="2"/>
      <c r="J80" s="265"/>
      <c r="L80" s="2"/>
      <c r="M80" s="2"/>
      <c r="N80" s="265"/>
      <c r="P80" s="2"/>
      <c r="Q80" s="2"/>
      <c r="R80" s="265"/>
      <c r="T80" s="2"/>
      <c r="U80" s="2"/>
      <c r="V80" s="265"/>
      <c r="X80" s="2"/>
      <c r="Y80" s="278"/>
      <c r="Z80" s="278"/>
      <c r="AA80" s="278"/>
      <c r="AB80" s="278"/>
      <c r="AC80" s="278"/>
      <c r="AD80" s="278"/>
      <c r="AE80" s="278"/>
      <c r="AF80" s="278"/>
      <c r="AG80" s="278"/>
      <c r="AH80" s="278"/>
      <c r="AI80" s="278"/>
      <c r="AJ80" s="278"/>
      <c r="AK80" s="288"/>
      <c r="AL80" s="278"/>
      <c r="AM80" s="278"/>
      <c r="AN80" s="278"/>
      <c r="AO80" s="20"/>
      <c r="AP80" s="20"/>
      <c r="AQ80" s="20"/>
      <c r="AR80" s="20"/>
      <c r="AS80" s="20"/>
      <c r="AU80" s="84"/>
    </row>
    <row r="81" spans="1:47" hidden="1">
      <c r="A81" s="3" t="s">
        <v>35</v>
      </c>
      <c r="C81" s="264">
        <f>[43]Sheet1!$D$27</f>
        <v>149372</v>
      </c>
      <c r="D81" s="269"/>
      <c r="E81" s="20"/>
      <c r="F81" s="272">
        <f>SUM(F71:F78)</f>
        <v>19434</v>
      </c>
      <c r="G81" s="269"/>
      <c r="H81" s="20"/>
      <c r="I81" s="272">
        <f>SUM(I71:I78)</f>
        <v>19434.797716148514</v>
      </c>
      <c r="J81" s="269"/>
      <c r="K81" s="20"/>
      <c r="L81" s="272">
        <f ca="1">SUM(L71:L79)</f>
        <v>20396.913755601847</v>
      </c>
      <c r="M81" s="272"/>
      <c r="N81" s="269"/>
      <c r="O81" s="20"/>
      <c r="P81" s="272">
        <f ca="1">SUM(P71:P79)</f>
        <v>20396.913755601847</v>
      </c>
      <c r="Q81" s="272"/>
      <c r="R81" s="269"/>
      <c r="S81" s="20"/>
      <c r="T81" s="272">
        <f ca="1">SUM(T71:T79)</f>
        <v>20396.913755601847</v>
      </c>
      <c r="U81" s="272"/>
      <c r="V81" s="269"/>
      <c r="W81" s="20"/>
      <c r="X81" s="272">
        <f ca="1">SUM(X71:X79)</f>
        <v>20396.913755601847</v>
      </c>
      <c r="Y81" s="278"/>
      <c r="Z81" s="287"/>
      <c r="AA81" s="278"/>
      <c r="AB81" s="278"/>
      <c r="AC81" s="20"/>
      <c r="AD81" s="20"/>
      <c r="AE81" s="20"/>
      <c r="AF81" s="20"/>
      <c r="AG81" s="20"/>
      <c r="AH81" s="20"/>
      <c r="AI81" s="20"/>
      <c r="AJ81" s="278"/>
      <c r="AK81" s="278"/>
      <c r="AL81" s="278"/>
      <c r="AM81" s="278"/>
      <c r="AN81" s="278"/>
      <c r="AO81" s="20"/>
      <c r="AP81" s="20"/>
      <c r="AQ81" s="20"/>
      <c r="AR81" s="20"/>
      <c r="AS81" s="20"/>
      <c r="AU81" s="84"/>
    </row>
    <row r="82" spans="1:47" hidden="1">
      <c r="A82" s="3" t="s">
        <v>363</v>
      </c>
      <c r="C82" s="264">
        <f ca="1">'Table 2'!H84</f>
        <v>-2392.5719773770011</v>
      </c>
      <c r="D82" s="269"/>
      <c r="E82" s="20"/>
      <c r="F82" s="272">
        <f ca="1">I82</f>
        <v>-423.90527620202027</v>
      </c>
      <c r="G82" s="269"/>
      <c r="H82" s="20"/>
      <c r="I82" s="272">
        <f ca="1">'Table 3'!E84</f>
        <v>-423.90527620202027</v>
      </c>
      <c r="J82" s="269"/>
      <c r="K82" s="20"/>
      <c r="L82" s="272">
        <f ca="1">I82</f>
        <v>-423.90527620202027</v>
      </c>
      <c r="M82" s="272"/>
      <c r="N82" s="269"/>
      <c r="O82" s="20"/>
      <c r="P82" s="272">
        <f ca="1">L82</f>
        <v>-423.90527620202027</v>
      </c>
      <c r="Q82" s="272"/>
      <c r="R82" s="269"/>
      <c r="S82" s="20"/>
      <c r="T82" s="272">
        <f ca="1">P82</f>
        <v>-423.90527620202027</v>
      </c>
      <c r="U82" s="272"/>
      <c r="V82" s="269"/>
      <c r="W82" s="20"/>
      <c r="X82" s="272">
        <f ca="1">T82</f>
        <v>-423.90527620202027</v>
      </c>
      <c r="Y82" s="444"/>
      <c r="Z82" s="287"/>
      <c r="AA82" s="278"/>
      <c r="AB82" s="278"/>
      <c r="AC82" s="278"/>
      <c r="AD82" s="278"/>
      <c r="AE82" s="283"/>
      <c r="AF82" s="283"/>
      <c r="AG82" s="283"/>
      <c r="AH82" s="283"/>
      <c r="AI82" s="281"/>
      <c r="AJ82" s="278"/>
      <c r="AK82" s="278"/>
      <c r="AL82" s="278"/>
      <c r="AM82" s="278"/>
      <c r="AN82" s="278"/>
      <c r="AO82" s="20"/>
      <c r="AP82" s="20"/>
      <c r="AQ82" s="20"/>
      <c r="AR82" s="20"/>
      <c r="AS82" s="20"/>
      <c r="AU82" s="84"/>
    </row>
    <row r="83" spans="1:47" ht="16.5" hidden="1" thickBot="1">
      <c r="A83" s="3" t="s">
        <v>9</v>
      </c>
      <c r="C83" s="273">
        <f ca="1">C81+C82</f>
        <v>146979.428022623</v>
      </c>
      <c r="D83" s="274"/>
      <c r="E83" s="274"/>
      <c r="F83" s="274">
        <f ca="1">F81+F82</f>
        <v>19010.094723797978</v>
      </c>
      <c r="G83" s="312"/>
      <c r="H83" s="274"/>
      <c r="I83" s="274">
        <f ca="1">I81+I82</f>
        <v>19010.892439946492</v>
      </c>
      <c r="J83" s="312"/>
      <c r="K83" s="274"/>
      <c r="L83" s="274">
        <f ca="1">L81+L82</f>
        <v>19973.008479399825</v>
      </c>
      <c r="M83" s="312"/>
      <c r="N83" s="312"/>
      <c r="O83" s="274"/>
      <c r="P83" s="274">
        <f ca="1">P81+P82</f>
        <v>19973.008479399825</v>
      </c>
      <c r="Q83" s="312"/>
      <c r="R83" s="312"/>
      <c r="S83" s="274"/>
      <c r="T83" s="274">
        <f ca="1">T81+T82</f>
        <v>19973.008479399825</v>
      </c>
      <c r="U83" s="312"/>
      <c r="V83" s="312"/>
      <c r="W83" s="274"/>
      <c r="X83" s="274">
        <f ca="1">X81+X82</f>
        <v>19973.008479399825</v>
      </c>
      <c r="Y83" s="411"/>
      <c r="Z83" s="470"/>
      <c r="AA83" s="278"/>
      <c r="AB83" s="278"/>
      <c r="AC83" s="278"/>
      <c r="AD83" s="278"/>
      <c r="AE83" s="278"/>
      <c r="AF83" s="278"/>
      <c r="AG83" s="278"/>
      <c r="AH83" s="278"/>
      <c r="AI83" s="278"/>
      <c r="AJ83" s="278"/>
      <c r="AK83" s="278"/>
      <c r="AL83" s="278"/>
      <c r="AM83" s="278"/>
      <c r="AN83" s="278"/>
      <c r="AO83" s="20"/>
      <c r="AP83" s="20"/>
      <c r="AQ83" s="20"/>
      <c r="AR83" s="20"/>
      <c r="AS83" s="20"/>
      <c r="AU83" s="84"/>
    </row>
    <row r="84" spans="1:47" hidden="1">
      <c r="C84" s="275"/>
      <c r="D84" s="309" t="s">
        <v>31</v>
      </c>
      <c r="E84" s="275"/>
      <c r="F84" s="263"/>
      <c r="G84" s="309" t="s">
        <v>31</v>
      </c>
      <c r="H84" s="275"/>
      <c r="I84" s="263"/>
      <c r="J84" s="1" t="s">
        <v>31</v>
      </c>
      <c r="K84" s="275"/>
      <c r="L84" s="2" t="s">
        <v>31</v>
      </c>
      <c r="M84" s="2"/>
      <c r="N84" s="1" t="s">
        <v>31</v>
      </c>
      <c r="O84" s="275"/>
      <c r="P84" s="2" t="s">
        <v>31</v>
      </c>
      <c r="Q84" s="2"/>
      <c r="R84" s="1" t="s">
        <v>31</v>
      </c>
      <c r="S84" s="275"/>
      <c r="T84" s="2" t="s">
        <v>31</v>
      </c>
      <c r="U84" s="2"/>
      <c r="V84" s="1" t="s">
        <v>31</v>
      </c>
      <c r="W84" s="275"/>
      <c r="X84" s="2" t="s">
        <v>31</v>
      </c>
      <c r="Y84" s="20"/>
      <c r="Z84" s="74"/>
      <c r="AA84" s="74"/>
      <c r="AB84" s="74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U84" s="84"/>
    </row>
    <row r="85" spans="1:47">
      <c r="A85" s="293" t="s">
        <v>368</v>
      </c>
      <c r="B85" s="1"/>
      <c r="C85" s="1"/>
      <c r="D85" s="21"/>
      <c r="E85" s="21"/>
      <c r="F85" s="1"/>
      <c r="G85" s="21"/>
      <c r="H85" s="1"/>
      <c r="I85" s="1"/>
      <c r="J85" s="21"/>
      <c r="K85" s="1"/>
      <c r="L85" s="1"/>
      <c r="M85" s="1"/>
      <c r="N85" s="21"/>
      <c r="O85" s="1"/>
      <c r="P85" s="1"/>
      <c r="Q85" s="1"/>
      <c r="R85" s="21"/>
      <c r="S85" s="1"/>
      <c r="T85" s="1"/>
      <c r="U85" s="1"/>
      <c r="V85" s="21"/>
      <c r="W85" s="1"/>
      <c r="X85" s="1"/>
      <c r="Y85" s="20"/>
      <c r="Z85" s="74"/>
      <c r="AA85" s="74"/>
      <c r="AB85" s="74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U85" s="84"/>
    </row>
    <row r="86" spans="1:47">
      <c r="A86" s="1" t="s">
        <v>369</v>
      </c>
      <c r="B86" s="1"/>
      <c r="C86" s="1"/>
      <c r="D86" s="21"/>
      <c r="E86" s="21"/>
      <c r="F86" s="1"/>
      <c r="G86" s="21"/>
      <c r="H86" s="1"/>
      <c r="I86" s="1"/>
      <c r="J86" s="21"/>
      <c r="K86" s="1"/>
      <c r="L86" s="1"/>
      <c r="M86" s="1"/>
      <c r="N86" s="21"/>
      <c r="O86" s="1"/>
      <c r="P86" s="1"/>
      <c r="Q86" s="1"/>
      <c r="R86" s="21"/>
      <c r="S86" s="1"/>
      <c r="T86" s="1"/>
      <c r="U86" s="1"/>
      <c r="V86" s="21"/>
      <c r="W86" s="1"/>
      <c r="X86" s="1"/>
      <c r="Y86" s="471"/>
      <c r="Z86" s="74"/>
      <c r="AA86" s="74"/>
      <c r="AB86" s="74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U86" s="84"/>
    </row>
    <row r="87" spans="1:47">
      <c r="A87" s="297"/>
      <c r="B87" s="1"/>
      <c r="C87" s="1"/>
      <c r="D87" s="21"/>
      <c r="E87" s="21"/>
      <c r="F87" s="1"/>
      <c r="G87" s="21"/>
      <c r="H87" s="1"/>
      <c r="I87" s="1"/>
      <c r="J87" s="21"/>
      <c r="K87" s="1"/>
      <c r="L87" s="1"/>
      <c r="M87" s="1"/>
      <c r="N87" s="21"/>
      <c r="O87" s="1"/>
      <c r="P87" s="1"/>
      <c r="Q87" s="1"/>
      <c r="R87" s="21"/>
      <c r="S87" s="1"/>
      <c r="T87" s="1"/>
      <c r="U87" s="1"/>
      <c r="V87" s="21"/>
      <c r="W87" s="1"/>
      <c r="X87" s="1"/>
      <c r="Y87" s="20"/>
      <c r="Z87" s="74"/>
      <c r="AA87" s="793" t="s">
        <v>643</v>
      </c>
      <c r="AB87" s="793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U87" s="84"/>
    </row>
    <row r="88" spans="1:47">
      <c r="A88" s="1" t="s">
        <v>370</v>
      </c>
      <c r="B88" s="1"/>
      <c r="C88" s="21">
        <f>C107+C122+C137+C152</f>
        <v>1255621.1094622968</v>
      </c>
      <c r="D88" s="298">
        <v>6</v>
      </c>
      <c r="E88" s="1"/>
      <c r="F88" s="2">
        <f>F107+F122+F137+F152</f>
        <v>7533726</v>
      </c>
      <c r="G88" s="298">
        <v>7.75</v>
      </c>
      <c r="H88" s="1"/>
      <c r="I88" s="2">
        <f>I107+I122+I137+I152</f>
        <v>9731064</v>
      </c>
      <c r="J88" s="298">
        <v>14</v>
      </c>
      <c r="K88" s="1"/>
      <c r="L88" s="2">
        <f>L107+L122+L137+L152</f>
        <v>17313810</v>
      </c>
      <c r="M88" s="2"/>
      <c r="N88" s="298">
        <f>J88</f>
        <v>14</v>
      </c>
      <c r="O88" s="1"/>
      <c r="P88" s="2">
        <f>L88</f>
        <v>17313810</v>
      </c>
      <c r="Q88" s="2"/>
      <c r="R88" s="301" t="s">
        <v>31</v>
      </c>
      <c r="S88" s="1"/>
      <c r="T88" s="2">
        <f>T107+T122+T137+T152</f>
        <v>0</v>
      </c>
      <c r="U88" s="2"/>
      <c r="V88" s="301" t="s">
        <v>31</v>
      </c>
      <c r="W88" s="1"/>
      <c r="X88" s="2">
        <f>X107+X122+X137+X152</f>
        <v>0</v>
      </c>
      <c r="AB88" s="14">
        <f t="shared" ref="AB88:AB93" si="31">(J88-G88)/G88</f>
        <v>0.80645161290322576</v>
      </c>
      <c r="AC88" s="736" t="s">
        <v>31</v>
      </c>
      <c r="AN88" s="20"/>
      <c r="AO88" s="20"/>
      <c r="AP88" s="20"/>
      <c r="AQ88" s="20"/>
      <c r="AR88" s="20"/>
      <c r="AS88" s="20"/>
      <c r="AU88" s="84"/>
    </row>
    <row r="89" spans="1:47">
      <c r="A89" s="1" t="s">
        <v>373</v>
      </c>
      <c r="B89" s="1"/>
      <c r="C89" s="21">
        <f>C108+C123+C138+C153</f>
        <v>673194199.43478608</v>
      </c>
      <c r="D89" s="299">
        <v>5.9489999999999998</v>
      </c>
      <c r="E89" s="1" t="s">
        <v>374</v>
      </c>
      <c r="F89" s="2">
        <f>F108+F123+F138+F153</f>
        <v>40048323</v>
      </c>
      <c r="G89" s="299">
        <v>6.1989999999999998</v>
      </c>
      <c r="H89" s="1" t="s">
        <v>374</v>
      </c>
      <c r="I89" s="2">
        <f>I108+I123+I138+I153</f>
        <v>41731308</v>
      </c>
      <c r="J89" s="802">
        <f>ROUND(G89*(1+$AA$101)-J94,3)</f>
        <v>3.9460000000000002</v>
      </c>
      <c r="K89" s="1" t="s">
        <v>374</v>
      </c>
      <c r="L89" s="2">
        <f>L108+L123+L138+L153</f>
        <v>26564242</v>
      </c>
      <c r="M89" s="2"/>
      <c r="N89" s="299">
        <f ca="1">P89/C89*100</f>
        <v>1.0805215737536096</v>
      </c>
      <c r="O89" s="1" t="s">
        <v>374</v>
      </c>
      <c r="P89" s="2">
        <f ca="1">(Y103-P88-P99)*L89/(L89+L90)</f>
        <v>7274008.5581507627</v>
      </c>
      <c r="Q89" s="1" t="s">
        <v>31</v>
      </c>
      <c r="R89" s="299">
        <f ca="1">T89/C89*100</f>
        <v>1.14190334052872</v>
      </c>
      <c r="S89" s="1" t="s">
        <v>374</v>
      </c>
      <c r="T89" s="2">
        <f ca="1">(Z103-T88-T99)*L89/(L89+L90)</f>
        <v>7687227.0515913954</v>
      </c>
      <c r="U89" s="2"/>
      <c r="V89" s="299">
        <f ca="1">X89/C89*100-0.001</f>
        <v>1.7225749208771735</v>
      </c>
      <c r="W89" s="1" t="s">
        <v>374</v>
      </c>
      <c r="X89" s="2">
        <f ca="1">(AA103-X88-X91-X92-X93-X94-X95-X99)*L89/(L89+L90)</f>
        <v>11603006.390257835</v>
      </c>
      <c r="Z89" s="88" t="s">
        <v>31</v>
      </c>
      <c r="AA89" s="55" t="s">
        <v>31</v>
      </c>
      <c r="AB89" s="14">
        <f>((J89+J94)-G89)/G89</f>
        <v>6.1461526052589165E-2</v>
      </c>
      <c r="AC89" s="237">
        <f>(G90-G89)/G89</f>
        <v>0.58364252298757868</v>
      </c>
      <c r="AD89" s="237"/>
      <c r="AE89" s="237"/>
      <c r="AG89" s="84"/>
      <c r="AH89" s="84"/>
      <c r="AI89" s="237"/>
      <c r="AN89" s="20"/>
      <c r="AO89" s="20"/>
      <c r="AP89" s="20"/>
      <c r="AQ89" s="20"/>
      <c r="AR89" s="20"/>
      <c r="AS89" s="20"/>
      <c r="AU89" s="84"/>
    </row>
    <row r="90" spans="1:47">
      <c r="A90" s="1" t="s">
        <v>375</v>
      </c>
      <c r="B90" s="1"/>
      <c r="C90" s="21">
        <f>C109+C124+C139+C154</f>
        <v>905507102.20482838</v>
      </c>
      <c r="D90" s="299">
        <v>9.4159999999999986</v>
      </c>
      <c r="E90" s="1" t="s">
        <v>374</v>
      </c>
      <c r="F90" s="2">
        <f>F109+F124+F139+F154</f>
        <v>85262549</v>
      </c>
      <c r="G90" s="299">
        <v>9.8170000000000002</v>
      </c>
      <c r="H90" s="1" t="s">
        <v>374</v>
      </c>
      <c r="I90" s="2">
        <f>I109+I124+I139+I154</f>
        <v>88893632</v>
      </c>
      <c r="J90" s="802">
        <f>ROUND(G90*(1+$AA$101)-J95,3)+0.002</f>
        <v>5.8929999999999998</v>
      </c>
      <c r="K90" s="1" t="s">
        <v>374</v>
      </c>
      <c r="L90" s="2">
        <f>L109+L124+L139+L154</f>
        <v>53361533</v>
      </c>
      <c r="M90" s="2"/>
      <c r="N90" s="299">
        <f ca="1">P90/C90*100</f>
        <v>1.6136629083967549</v>
      </c>
      <c r="O90" s="1" t="s">
        <v>374</v>
      </c>
      <c r="P90" s="2">
        <f ca="1">(Y103-P88-P99)*L90/(L89+L90)</f>
        <v>14611832.241177607</v>
      </c>
      <c r="Q90" s="1" t="s">
        <v>31</v>
      </c>
      <c r="R90" s="299">
        <f ca="1">T90/C90*100</f>
        <v>1.7053311200297436</v>
      </c>
      <c r="S90" s="1" t="s">
        <v>374</v>
      </c>
      <c r="T90" s="2">
        <f ca="1">(Z103-T88-T99)*L90/(L89+L90)</f>
        <v>15441894.407978475</v>
      </c>
      <c r="U90" s="2"/>
      <c r="V90" s="299">
        <f ca="1">X90/C90*100</f>
        <v>2.5740059127191262</v>
      </c>
      <c r="W90" s="1" t="s">
        <v>374</v>
      </c>
      <c r="X90" s="2">
        <f ca="1">(AA103-X88-X91-X92-X93-X94-X95-X99)*L90/(L89+L90)</f>
        <v>23307806.350843903</v>
      </c>
      <c r="Y90" s="300"/>
      <c r="AA90" s="55" t="s">
        <v>31</v>
      </c>
      <c r="AB90" s="14">
        <f>((J90+J95)-G90)/G90</f>
        <v>6.1729652643373725E-2</v>
      </c>
      <c r="AC90" s="237">
        <f>(J90-J89)/J89</f>
        <v>0.49341104916370998</v>
      </c>
      <c r="AD90" s="237">
        <v>0.72450000000000003</v>
      </c>
      <c r="AE90" s="237"/>
      <c r="AG90" s="106"/>
      <c r="AH90" s="106"/>
      <c r="AI90" s="237"/>
      <c r="AN90" s="20"/>
      <c r="AO90" s="20"/>
      <c r="AP90" s="20"/>
      <c r="AQ90" s="20"/>
      <c r="AR90" s="20"/>
      <c r="AS90" s="20"/>
      <c r="AU90" s="84"/>
    </row>
    <row r="91" spans="1:47">
      <c r="A91" s="1" t="s">
        <v>377</v>
      </c>
      <c r="B91" s="1"/>
      <c r="C91" s="21">
        <f>C110+C125+C140+C155</f>
        <v>5446</v>
      </c>
      <c r="D91" s="301">
        <v>1.65</v>
      </c>
      <c r="E91" s="1"/>
      <c r="F91" s="2">
        <f>F110+F125+F140+F155</f>
        <v>8985</v>
      </c>
      <c r="G91" s="301">
        <v>1.65</v>
      </c>
      <c r="H91" s="1"/>
      <c r="I91" s="2">
        <f>I110+I125+I140+I155</f>
        <v>8985</v>
      </c>
      <c r="J91" s="301">
        <f ca="1">G91*(1+AC100)</f>
        <v>1.8341595399830823</v>
      </c>
      <c r="K91" s="1"/>
      <c r="L91" s="2">
        <f ca="1">L110+L125+L140+L155</f>
        <v>9989</v>
      </c>
      <c r="M91" s="2"/>
      <c r="N91" s="301" t="s">
        <v>31</v>
      </c>
      <c r="O91" s="1"/>
      <c r="P91" s="2">
        <f>P110+P125+P140+P155</f>
        <v>0</v>
      </c>
      <c r="Q91" s="2"/>
      <c r="R91" s="301" t="s">
        <v>31</v>
      </c>
      <c r="S91" s="1"/>
      <c r="T91" s="2">
        <f>T110+T125+T140+T155</f>
        <v>0</v>
      </c>
      <c r="U91" s="2"/>
      <c r="V91" s="301">
        <f ca="1">J91</f>
        <v>1.8341595399830823</v>
      </c>
      <c r="W91" s="1"/>
      <c r="X91" s="2">
        <f ca="1">X110+X125+X140+X155</f>
        <v>9989</v>
      </c>
      <c r="AA91" s="55" t="s">
        <v>31</v>
      </c>
      <c r="AB91" s="14">
        <f t="shared" ca="1" si="31"/>
        <v>0.11161184241398936</v>
      </c>
      <c r="AC91" s="69"/>
      <c r="AG91" s="84"/>
      <c r="AH91" s="84"/>
      <c r="AI91" s="237"/>
      <c r="AN91" s="20"/>
      <c r="AO91" s="20"/>
      <c r="AP91" s="20"/>
      <c r="AQ91" s="20"/>
      <c r="AR91" s="20"/>
      <c r="AS91" s="20"/>
      <c r="AU91" s="84"/>
    </row>
    <row r="92" spans="1:47">
      <c r="A92" s="303" t="s">
        <v>379</v>
      </c>
      <c r="B92" s="303"/>
      <c r="C92" s="21">
        <f>C111+C126+C141+C156</f>
        <v>723</v>
      </c>
      <c r="D92" s="301">
        <v>3.2</v>
      </c>
      <c r="E92" s="303"/>
      <c r="F92" s="2">
        <f>F111+F126+F141+F156</f>
        <v>2313</v>
      </c>
      <c r="G92" s="301">
        <v>3.2</v>
      </c>
      <c r="H92" s="303"/>
      <c r="I92" s="2">
        <f>I111+I126+I141+I156</f>
        <v>2313</v>
      </c>
      <c r="J92" s="301">
        <f ca="1">ROUND(J91/G91*G92,1)</f>
        <v>3.6</v>
      </c>
      <c r="K92" s="303"/>
      <c r="L92" s="2">
        <f ca="1">L111+L126+L141+L156</f>
        <v>2603</v>
      </c>
      <c r="M92" s="2"/>
      <c r="N92" s="301" t="s">
        <v>31</v>
      </c>
      <c r="O92" s="303"/>
      <c r="P92" s="2">
        <f>P111+P126+P141+P156</f>
        <v>0</v>
      </c>
      <c r="Q92" s="2"/>
      <c r="R92" s="301" t="s">
        <v>31</v>
      </c>
      <c r="S92" s="303"/>
      <c r="T92" s="2">
        <f>T111+T126+T141+T156</f>
        <v>0</v>
      </c>
      <c r="U92" s="2"/>
      <c r="V92" s="301">
        <f ca="1">J92</f>
        <v>3.6</v>
      </c>
      <c r="W92" s="303"/>
      <c r="X92" s="2">
        <f ca="1">X111+X126+X141+X156</f>
        <v>2603</v>
      </c>
      <c r="AB92" s="14">
        <f t="shared" ca="1" si="31"/>
        <v>0.12499999999999997</v>
      </c>
      <c r="AC92" s="69"/>
      <c r="AN92" s="20"/>
      <c r="AO92" s="20"/>
      <c r="AP92" s="20"/>
      <c r="AQ92" s="20"/>
      <c r="AR92" s="20"/>
      <c r="AS92" s="20"/>
      <c r="AU92" s="84"/>
    </row>
    <row r="93" spans="1:47">
      <c r="A93" s="303" t="s">
        <v>380</v>
      </c>
      <c r="B93" s="303"/>
      <c r="C93" s="21">
        <f>C114+C127+C142+C157</f>
        <v>70</v>
      </c>
      <c r="D93" s="304">
        <v>-1.65</v>
      </c>
      <c r="E93" s="303"/>
      <c r="F93" s="2">
        <f>F114+F127+F142+F157</f>
        <v>-116</v>
      </c>
      <c r="G93" s="304">
        <v>-1.65</v>
      </c>
      <c r="H93" s="303"/>
      <c r="I93" s="2">
        <f>I114+I127+I142+I157</f>
        <v>-116</v>
      </c>
      <c r="J93" s="304">
        <f ca="1">-J91</f>
        <v>-1.8341595399830823</v>
      </c>
      <c r="K93" s="303"/>
      <c r="L93" s="2">
        <f ca="1">L114+L127+L142+L157</f>
        <v>-129</v>
      </c>
      <c r="M93" s="2"/>
      <c r="N93" s="304" t="s">
        <v>31</v>
      </c>
      <c r="O93" s="303"/>
      <c r="P93" s="2">
        <f>P114+P127+P142+P157</f>
        <v>0</v>
      </c>
      <c r="Q93" s="2"/>
      <c r="R93" s="304" t="s">
        <v>31</v>
      </c>
      <c r="S93" s="303"/>
      <c r="T93" s="2">
        <f>T114+T127+T142+T157</f>
        <v>0</v>
      </c>
      <c r="U93" s="2"/>
      <c r="V93" s="304">
        <f ca="1">-V91</f>
        <v>-1.8341595399830823</v>
      </c>
      <c r="W93" s="303"/>
      <c r="X93" s="2">
        <f ca="1">X114+X127+X142+X157</f>
        <v>-129</v>
      </c>
      <c r="AB93" s="14">
        <f t="shared" ca="1" si="31"/>
        <v>0.11161184241398936</v>
      </c>
      <c r="AC93" s="69"/>
      <c r="AN93" s="20"/>
      <c r="AO93" s="20"/>
      <c r="AP93" s="20"/>
      <c r="AQ93" s="20"/>
      <c r="AR93" s="20"/>
      <c r="AS93" s="20"/>
      <c r="AU93" s="84"/>
    </row>
    <row r="94" spans="1:47" s="1184" customFormat="1">
      <c r="A94" s="1005" t="s">
        <v>1030</v>
      </c>
      <c r="C94" s="1225">
        <f>C89</f>
        <v>673194199.43478608</v>
      </c>
      <c r="D94" s="269"/>
      <c r="E94" s="1185"/>
      <c r="F94" s="1203"/>
      <c r="G94" s="269"/>
      <c r="H94" s="1185"/>
      <c r="I94" s="1203"/>
      <c r="J94" s="1230">
        <f>ROUND((I89/($I$89+$I$90)*$Y$94)/C94*100,3)-0.154</f>
        <v>2.6339999999999999</v>
      </c>
      <c r="K94" s="1219" t="s">
        <v>374</v>
      </c>
      <c r="L94" s="1203">
        <f>L112+L128+L143+L158</f>
        <v>17731935.213112269</v>
      </c>
      <c r="M94" s="1203"/>
      <c r="N94" s="1230" t="s">
        <v>31</v>
      </c>
      <c r="O94" s="1219" t="s">
        <v>31</v>
      </c>
      <c r="P94" s="1203">
        <f>P112+P128+P143+P158</f>
        <v>0</v>
      </c>
      <c r="Q94" s="1203"/>
      <c r="R94" s="1230" t="s">
        <v>31</v>
      </c>
      <c r="S94" s="1219" t="s">
        <v>31</v>
      </c>
      <c r="T94" s="1203">
        <f>T112+T128+T143+T158</f>
        <v>0</v>
      </c>
      <c r="U94" s="1203"/>
      <c r="V94" s="1230">
        <f>J94</f>
        <v>2.6339999999999999</v>
      </c>
      <c r="W94" s="1219" t="s">
        <v>374</v>
      </c>
      <c r="X94" s="1203">
        <f>X112+X128+X143+X158</f>
        <v>17731935.213112269</v>
      </c>
      <c r="Y94" s="1204">
        <f>'NPC Spread'!D33</f>
        <v>58746390.298440829</v>
      </c>
      <c r="Z94" s="815" t="s">
        <v>913</v>
      </c>
      <c r="AC94" s="1205"/>
      <c r="AD94" s="1205"/>
      <c r="AI94" s="1185"/>
      <c r="AJ94" s="1185"/>
      <c r="AK94" s="1185"/>
      <c r="AL94" s="1185"/>
      <c r="AM94" s="1185"/>
      <c r="AN94" s="1185"/>
      <c r="AO94" s="1185"/>
      <c r="AP94" s="1185"/>
      <c r="AQ94" s="1185"/>
      <c r="AR94" s="1185"/>
      <c r="AS94" s="1185"/>
      <c r="AU94" s="1204"/>
    </row>
    <row r="95" spans="1:47" s="1184" customFormat="1">
      <c r="A95" s="1005" t="s">
        <v>1031</v>
      </c>
      <c r="C95" s="1225">
        <f>C90</f>
        <v>905507102.20482838</v>
      </c>
      <c r="D95" s="269"/>
      <c r="E95" s="1185"/>
      <c r="F95" s="1203"/>
      <c r="G95" s="269"/>
      <c r="H95" s="1185"/>
      <c r="I95" s="1203"/>
      <c r="J95" s="1230">
        <f>ROUND((I90/($I$89+$I$90)*$Y$94)/C95*100,3)+0.115</f>
        <v>4.53</v>
      </c>
      <c r="K95" s="1219" t="s">
        <v>374</v>
      </c>
      <c r="L95" s="1203">
        <f>L113+L129+L144+L159</f>
        <v>41019471.729878724</v>
      </c>
      <c r="M95" s="1203"/>
      <c r="N95" s="1230" t="s">
        <v>31</v>
      </c>
      <c r="O95" s="1219" t="s">
        <v>31</v>
      </c>
      <c r="P95" s="1203">
        <f>P113+P129+P144+P159</f>
        <v>0</v>
      </c>
      <c r="Q95" s="1203"/>
      <c r="R95" s="1230" t="s">
        <v>31</v>
      </c>
      <c r="S95" s="1219" t="s">
        <v>31</v>
      </c>
      <c r="T95" s="1203">
        <f>T113+T129+T144+T159</f>
        <v>0</v>
      </c>
      <c r="U95" s="1203"/>
      <c r="V95" s="1230">
        <f>J95</f>
        <v>4.53</v>
      </c>
      <c r="W95" s="1219" t="s">
        <v>374</v>
      </c>
      <c r="X95" s="1203">
        <f>X113+X129+X144+X159</f>
        <v>41019471.729878724</v>
      </c>
      <c r="Y95" s="1204"/>
      <c r="Z95" s="815"/>
      <c r="AC95" s="801">
        <f>(J95-J94)/J94</f>
        <v>0.71981776765375871</v>
      </c>
      <c r="AD95" s="1205"/>
      <c r="AI95" s="1185"/>
      <c r="AJ95" s="1185"/>
      <c r="AK95" s="1185"/>
      <c r="AL95" s="1185"/>
      <c r="AM95" s="1185"/>
      <c r="AN95" s="1185"/>
      <c r="AO95" s="1185"/>
      <c r="AP95" s="1185"/>
      <c r="AQ95" s="1185"/>
      <c r="AR95" s="1185"/>
      <c r="AS95" s="1185"/>
      <c r="AU95" s="1204"/>
    </row>
    <row r="96" spans="1:47" s="1184" customFormat="1">
      <c r="A96" s="1509" t="s">
        <v>916</v>
      </c>
      <c r="B96" s="1510"/>
      <c r="C96" s="1511"/>
      <c r="D96" s="1512"/>
      <c r="E96" s="1513"/>
      <c r="F96" s="1514"/>
      <c r="G96" s="1515">
        <f>G89</f>
        <v>6.1989999999999998</v>
      </c>
      <c r="H96" s="1516" t="s">
        <v>374</v>
      </c>
      <c r="I96" s="1514"/>
      <c r="J96" s="1515">
        <f>J89+J94</f>
        <v>6.58</v>
      </c>
      <c r="K96" s="1516" t="s">
        <v>374</v>
      </c>
      <c r="L96" s="1514"/>
      <c r="M96" s="1514"/>
      <c r="N96" s="1515">
        <f ca="1">N89+N94</f>
        <v>1.0805215737536096</v>
      </c>
      <c r="O96" s="1516" t="s">
        <v>374</v>
      </c>
      <c r="P96" s="1514"/>
      <c r="Q96" s="1514"/>
      <c r="R96" s="1515">
        <f ca="1">R89+R94</f>
        <v>1.14190334052872</v>
      </c>
      <c r="S96" s="1516" t="s">
        <v>374</v>
      </c>
      <c r="T96" s="1514"/>
      <c r="U96" s="1514"/>
      <c r="V96" s="1515">
        <f ca="1">V89+V94</f>
        <v>4.3565749208771738</v>
      </c>
      <c r="W96" s="1516" t="s">
        <v>374</v>
      </c>
      <c r="X96" s="1514"/>
      <c r="Y96" s="1204"/>
      <c r="Z96" s="815"/>
      <c r="AC96" s="1205"/>
      <c r="AD96" s="1205"/>
      <c r="AI96" s="1185"/>
      <c r="AJ96" s="1185"/>
      <c r="AK96" s="1185"/>
      <c r="AL96" s="1185"/>
      <c r="AM96" s="1185"/>
      <c r="AN96" s="1185"/>
      <c r="AO96" s="1185"/>
      <c r="AP96" s="1185"/>
      <c r="AQ96" s="1185"/>
      <c r="AR96" s="1185"/>
      <c r="AS96" s="1185"/>
      <c r="AU96" s="1204"/>
    </row>
    <row r="97" spans="1:47" s="1184" customFormat="1">
      <c r="A97" s="1509" t="s">
        <v>917</v>
      </c>
      <c r="B97" s="1510"/>
      <c r="C97" s="1511"/>
      <c r="D97" s="1512"/>
      <c r="E97" s="1513"/>
      <c r="F97" s="1514"/>
      <c r="G97" s="1515">
        <f>G90</f>
        <v>9.8170000000000002</v>
      </c>
      <c r="H97" s="1516" t="s">
        <v>374</v>
      </c>
      <c r="I97" s="1514"/>
      <c r="J97" s="1515">
        <f>J90+J95</f>
        <v>10.423</v>
      </c>
      <c r="K97" s="1516" t="s">
        <v>374</v>
      </c>
      <c r="L97" s="1514"/>
      <c r="M97" s="1514"/>
      <c r="N97" s="1515">
        <f ca="1">N90+N95</f>
        <v>1.6136629083967549</v>
      </c>
      <c r="O97" s="1516" t="s">
        <v>374</v>
      </c>
      <c r="P97" s="1514"/>
      <c r="Q97" s="1514"/>
      <c r="R97" s="1515">
        <f ca="1">R90+R95</f>
        <v>1.7053311200297436</v>
      </c>
      <c r="S97" s="1516" t="s">
        <v>374</v>
      </c>
      <c r="T97" s="1514"/>
      <c r="U97" s="1514"/>
      <c r="V97" s="1515">
        <f ca="1">V90+V95</f>
        <v>7.104005912719126</v>
      </c>
      <c r="W97" s="1516" t="s">
        <v>374</v>
      </c>
      <c r="X97" s="1514"/>
      <c r="Y97" s="1204"/>
      <c r="Z97" s="815"/>
      <c r="AC97" s="801">
        <f>(J97-J96)/J96</f>
        <v>0.58404255319148934</v>
      </c>
      <c r="AD97" s="1205"/>
      <c r="AI97" s="1185"/>
      <c r="AJ97" s="1185"/>
      <c r="AK97" s="1185"/>
      <c r="AL97" s="1185"/>
      <c r="AM97" s="1185"/>
      <c r="AN97" s="1185"/>
      <c r="AO97" s="1185"/>
      <c r="AP97" s="1185"/>
      <c r="AQ97" s="1185"/>
      <c r="AR97" s="1185"/>
      <c r="AS97" s="1185"/>
      <c r="AU97" s="1204"/>
    </row>
    <row r="98" spans="1:47">
      <c r="A98" s="1" t="s">
        <v>381</v>
      </c>
      <c r="B98" s="305"/>
      <c r="C98" s="21">
        <f>C115+C130+C145+C160</f>
        <v>1578701301.6396146</v>
      </c>
      <c r="D98" s="988"/>
      <c r="E98" s="2"/>
      <c r="F98" s="2">
        <f t="shared" ref="F98" si="32">F115+F130+F145+F160</f>
        <v>132855780</v>
      </c>
      <c r="G98" s="988"/>
      <c r="H98" s="2"/>
      <c r="I98" s="2">
        <f>I115+I130+I145+I160</f>
        <v>140367186</v>
      </c>
      <c r="J98" s="2"/>
      <c r="K98" s="2"/>
      <c r="L98" s="2">
        <f t="shared" ref="L98" ca="1" si="33">L115+L130+L145+L160</f>
        <v>156003454.94299099</v>
      </c>
      <c r="M98" s="2"/>
      <c r="N98" s="2"/>
      <c r="O98" s="2"/>
      <c r="P98" s="2">
        <f ca="1">SUM(P88:P97)</f>
        <v>39199650.799328372</v>
      </c>
      <c r="Q98" s="2"/>
      <c r="R98" s="2"/>
      <c r="S98" s="2"/>
      <c r="T98" s="2">
        <f ca="1">SUM(T88:T97)</f>
        <v>23129121.459569871</v>
      </c>
      <c r="U98" s="2"/>
      <c r="V98" s="2"/>
      <c r="W98" s="2"/>
      <c r="X98" s="2">
        <f ca="1">SUM(X88:X97)</f>
        <v>93674682.68409273</v>
      </c>
      <c r="Z98" s="14"/>
      <c r="AN98" s="20"/>
      <c r="AO98" s="20"/>
      <c r="AP98" s="20"/>
      <c r="AQ98" s="20"/>
      <c r="AR98" s="20"/>
      <c r="AS98" s="20"/>
      <c r="AU98" s="84"/>
    </row>
    <row r="99" spans="1:47">
      <c r="A99" s="1" t="s">
        <v>363</v>
      </c>
      <c r="B99" s="307"/>
      <c r="C99" s="308">
        <f>C116+C131+C146+C161</f>
        <v>-5866444.8608882269</v>
      </c>
      <c r="D99" s="309"/>
      <c r="E99" s="309"/>
      <c r="F99" s="310">
        <f>I99</f>
        <v>-279067.18391184526</v>
      </c>
      <c r="G99" s="309"/>
      <c r="H99" s="309"/>
      <c r="I99" s="308">
        <f>I116+I131+I146+I161</f>
        <v>-279067.18391184526</v>
      </c>
      <c r="J99" s="309"/>
      <c r="K99" s="309"/>
      <c r="L99" s="310">
        <f>I99</f>
        <v>-279067.18391184526</v>
      </c>
      <c r="M99" s="51"/>
      <c r="N99" s="309"/>
      <c r="O99" s="309"/>
      <c r="P99" s="310">
        <f ca="1">$L$99*Y103/($Y$103+$Z$103+$AA$103)</f>
        <v>-70122.396730853754</v>
      </c>
      <c r="Q99" s="51"/>
      <c r="R99" s="309"/>
      <c r="S99" s="309"/>
      <c r="T99" s="310">
        <f ca="1">$L$99*Z103/($Y$103+$Z$103+$AA$103)</f>
        <v>-41374.588751485768</v>
      </c>
      <c r="U99" s="51"/>
      <c r="V99" s="309"/>
      <c r="W99" s="309"/>
      <c r="X99" s="310">
        <f ca="1">$L$99*AA103/($Y$103+$Z$103+$AA$103)</f>
        <v>-167570.19842950572</v>
      </c>
      <c r="AN99" s="20"/>
      <c r="AO99" s="20"/>
      <c r="AP99" s="20"/>
      <c r="AQ99" s="20"/>
      <c r="AR99" s="20"/>
      <c r="AS99" s="20"/>
      <c r="AU99" s="84"/>
    </row>
    <row r="100" spans="1:47" ht="16.5" thickBot="1">
      <c r="A100" s="1" t="s">
        <v>382</v>
      </c>
      <c r="B100" s="1"/>
      <c r="C100" s="311">
        <f>C98+C99</f>
        <v>1572834856.7787263</v>
      </c>
      <c r="D100" s="312"/>
      <c r="E100" s="312"/>
      <c r="F100" s="312">
        <f>F98+F99</f>
        <v>132576712.81608815</v>
      </c>
      <c r="G100" s="312"/>
      <c r="H100" s="312"/>
      <c r="I100" s="312">
        <f>I98+I99</f>
        <v>140088118.81608814</v>
      </c>
      <c r="J100" s="312"/>
      <c r="K100" s="312"/>
      <c r="L100" s="312">
        <f ca="1">L98+L99</f>
        <v>155724387.75907913</v>
      </c>
      <c r="M100" s="312"/>
      <c r="N100" s="312"/>
      <c r="O100" s="312"/>
      <c r="P100" s="312">
        <f ca="1">P98+P99</f>
        <v>39129528.402597517</v>
      </c>
      <c r="Q100" s="312"/>
      <c r="R100" s="312"/>
      <c r="S100" s="312"/>
      <c r="T100" s="312">
        <f ca="1">T98+T99</f>
        <v>23087746.870818384</v>
      </c>
      <c r="U100" s="312"/>
      <c r="V100" s="312"/>
      <c r="W100" s="312"/>
      <c r="X100" s="312">
        <f ca="1">X98+X99</f>
        <v>93507112.48566322</v>
      </c>
      <c r="Y100" s="784" t="s">
        <v>364</v>
      </c>
      <c r="Z100" s="1129">
        <f ca="1">'Rate Spread targets'!Q16*1000</f>
        <v>155723611.85746157</v>
      </c>
      <c r="AA100" s="818">
        <f ca="1">'Rate Spread targets'!V16</f>
        <v>0.11161184241398937</v>
      </c>
      <c r="AB100" s="777"/>
      <c r="AC100" s="1657">
        <f ca="1">'Rate Spread targets'!V16</f>
        <v>0.11161184241398937</v>
      </c>
      <c r="AD100" s="4" t="s">
        <v>1046</v>
      </c>
      <c r="AN100" s="20"/>
      <c r="AO100" s="20"/>
      <c r="AP100" s="20"/>
      <c r="AQ100" s="20"/>
      <c r="AR100" s="20"/>
      <c r="AS100" s="20"/>
      <c r="AU100" s="84"/>
    </row>
    <row r="101" spans="1:47" ht="16.5" thickTop="1">
      <c r="A101" s="1"/>
      <c r="B101" s="1"/>
      <c r="C101" s="350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112" t="s">
        <v>263</v>
      </c>
      <c r="Z101" s="812">
        <f ca="1">Z100-L100</f>
        <v>-775.90161755681038</v>
      </c>
      <c r="AA101" s="409">
        <v>6.1499999999999999E-2</v>
      </c>
      <c r="AB101" s="777"/>
      <c r="AC101" s="4"/>
      <c r="AD101" s="4"/>
      <c r="AN101" s="20"/>
      <c r="AO101" s="20"/>
      <c r="AP101" s="20"/>
      <c r="AQ101" s="20"/>
      <c r="AR101" s="20"/>
      <c r="AS101" s="20"/>
      <c r="AU101" s="84"/>
    </row>
    <row r="102" spans="1:47">
      <c r="A102" s="1"/>
      <c r="B102" s="1"/>
      <c r="C102" s="350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1581">
        <f>'Exh No.__(JRS-17) p11'!J33+'Exh No.__(JRS-17) p11'!K33+'Exh No.__(JRS-17) p11'!L33</f>
        <v>0.25127424782773733</v>
      </c>
      <c r="Z102" s="744">
        <f>'Exh No.__(JRS-17) p11'!I33</f>
        <v>0.14826031556815231</v>
      </c>
      <c r="AA102" s="1702">
        <f>'Exh No.__(JRS-17) p11'!H33</f>
        <v>0.60046543660411034</v>
      </c>
      <c r="AB102" s="777"/>
      <c r="AC102" s="4"/>
      <c r="AD102" s="4"/>
      <c r="AN102" s="20"/>
      <c r="AO102" s="20"/>
      <c r="AP102" s="20"/>
      <c r="AQ102" s="20"/>
      <c r="AR102" s="20"/>
      <c r="AS102" s="20"/>
      <c r="AU102" s="84"/>
    </row>
    <row r="103" spans="1:47">
      <c r="A103" s="1"/>
      <c r="B103" s="313"/>
      <c r="C103" s="21"/>
      <c r="D103" s="1" t="s">
        <v>31</v>
      </c>
      <c r="E103" s="21"/>
      <c r="G103" s="1" t="s">
        <v>31</v>
      </c>
      <c r="H103" s="1"/>
      <c r="J103" s="1" t="s">
        <v>31</v>
      </c>
      <c r="K103" s="1"/>
      <c r="L103" s="1685"/>
      <c r="M103" s="2"/>
      <c r="N103" s="1" t="s">
        <v>31</v>
      </c>
      <c r="O103" s="1"/>
      <c r="Y103" s="1204">
        <f ca="1">Y102*$L$100</f>
        <v>39129528.402597517</v>
      </c>
      <c r="Z103" s="1204">
        <f t="shared" ref="Z103:AA103" ca="1" si="34">Z102*$L$100</f>
        <v>23087746.870818384</v>
      </c>
      <c r="AA103" s="1204">
        <f t="shared" ca="1" si="34"/>
        <v>93507112.48566322</v>
      </c>
      <c r="AB103" s="1" t="s">
        <v>958</v>
      </c>
      <c r="AN103" s="20"/>
      <c r="AO103" s="20"/>
      <c r="AP103" s="20"/>
      <c r="AQ103" s="20"/>
      <c r="AR103" s="20"/>
      <c r="AS103" s="20"/>
      <c r="AU103" s="84"/>
    </row>
    <row r="104" spans="1:47">
      <c r="A104" s="293" t="s">
        <v>383</v>
      </c>
      <c r="B104" s="1"/>
      <c r="C104" s="1" t="s">
        <v>31</v>
      </c>
      <c r="D104" s="21"/>
      <c r="E104" s="21"/>
      <c r="F104" s="1"/>
      <c r="G104" s="21"/>
      <c r="H104" s="1"/>
      <c r="I104" s="1"/>
      <c r="J104" s="21"/>
      <c r="K104" s="1"/>
      <c r="L104" s="1"/>
      <c r="M104" s="1"/>
      <c r="N104" s="21"/>
      <c r="O104" s="1"/>
      <c r="P104" s="1"/>
      <c r="Q104" s="1"/>
      <c r="R104" s="21"/>
      <c r="S104" s="1"/>
      <c r="T104" s="1"/>
      <c r="U104" s="1"/>
      <c r="V104" s="21"/>
      <c r="W104" s="1"/>
      <c r="X104" s="1"/>
      <c r="Y104" s="2" t="s">
        <v>31</v>
      </c>
      <c r="Z104" s="2" t="s">
        <v>31</v>
      </c>
      <c r="AA104" s="2" t="s">
        <v>31</v>
      </c>
      <c r="AD104" s="2"/>
      <c r="AE104" s="1" t="s">
        <v>31</v>
      </c>
      <c r="AF104" s="1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U104" s="84"/>
    </row>
    <row r="105" spans="1:47">
      <c r="A105" s="1" t="s">
        <v>330</v>
      </c>
      <c r="B105" s="1"/>
      <c r="C105" s="1" t="s">
        <v>31</v>
      </c>
      <c r="D105" s="21"/>
      <c r="E105" s="21"/>
      <c r="F105" s="1"/>
      <c r="G105" s="21"/>
      <c r="H105" s="1"/>
      <c r="I105" s="1"/>
      <c r="J105" s="21"/>
      <c r="K105" s="1"/>
      <c r="L105" s="1"/>
      <c r="M105" s="1"/>
      <c r="N105" s="21"/>
      <c r="O105" s="1"/>
      <c r="P105" s="1" t="s">
        <v>31</v>
      </c>
      <c r="Q105" s="1"/>
      <c r="R105" s="21"/>
      <c r="S105" s="1"/>
      <c r="T105" s="1"/>
      <c r="U105" s="1"/>
      <c r="V105" s="21"/>
      <c r="W105" s="1"/>
      <c r="X105" s="1"/>
      <c r="Y105" s="20"/>
      <c r="Z105" s="74"/>
      <c r="AA105" s="74"/>
      <c r="AB105" s="74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U105" s="84"/>
    </row>
    <row r="106" spans="1:47">
      <c r="A106" s="348" t="s">
        <v>693</v>
      </c>
      <c r="B106" s="1"/>
      <c r="C106" s="1"/>
      <c r="D106" s="21"/>
      <c r="E106" s="21"/>
      <c r="F106" s="1"/>
      <c r="G106" s="21"/>
      <c r="H106" s="1"/>
      <c r="I106" s="1"/>
      <c r="J106" s="21"/>
      <c r="K106" s="1"/>
      <c r="L106" s="1"/>
      <c r="M106" s="1"/>
      <c r="N106" s="21"/>
      <c r="O106" s="1"/>
      <c r="P106" s="1"/>
      <c r="Q106" s="1"/>
      <c r="R106" s="21"/>
      <c r="S106" s="1"/>
      <c r="T106" s="1"/>
      <c r="U106" s="1"/>
      <c r="V106" s="21"/>
      <c r="W106" s="1"/>
      <c r="X106" s="1"/>
      <c r="Y106" s="20"/>
      <c r="Z106" s="74"/>
      <c r="AA106" s="74"/>
      <c r="AB106" s="74"/>
      <c r="AC106" s="7" t="s">
        <v>31</v>
      </c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U106" s="84"/>
    </row>
    <row r="107" spans="1:47">
      <c r="A107" s="1" t="s">
        <v>370</v>
      </c>
      <c r="B107" s="1"/>
      <c r="C107" s="21">
        <f>[44]Sheet1!$C$2+[45]Sheet1!$C$2</f>
        <v>1203932.9121504687</v>
      </c>
      <c r="D107" s="298">
        <v>6</v>
      </c>
      <c r="E107" s="1"/>
      <c r="F107" s="2">
        <f>ROUND(D107*$C107,0)</f>
        <v>7223597</v>
      </c>
      <c r="G107" s="298">
        <v>7.75</v>
      </c>
      <c r="H107" s="1"/>
      <c r="I107" s="2">
        <f>ROUND(G107*C107,0)</f>
        <v>9330480</v>
      </c>
      <c r="J107" s="298">
        <f>$J$88</f>
        <v>14</v>
      </c>
      <c r="K107" s="1"/>
      <c r="L107" s="2">
        <f>ROUND(J107*$C107,0)</f>
        <v>16855061</v>
      </c>
      <c r="M107" s="2"/>
      <c r="N107" s="298">
        <f>$N$88</f>
        <v>14</v>
      </c>
      <c r="O107" s="1"/>
      <c r="P107" s="2">
        <f>N107*$C107</f>
        <v>16855060.770106561</v>
      </c>
      <c r="Q107" s="2"/>
      <c r="R107" s="298" t="str">
        <f>$R$88</f>
        <v xml:space="preserve"> </v>
      </c>
      <c r="S107" s="1"/>
      <c r="T107" s="2">
        <f>ROUND(R107*$C107,0)</f>
        <v>0</v>
      </c>
      <c r="U107" s="2"/>
      <c r="V107" s="298" t="str">
        <f>$V$88</f>
        <v xml:space="preserve"> </v>
      </c>
      <c r="W107" s="1"/>
      <c r="X107" s="2">
        <f>ROUND(V107*$C107,0)</f>
        <v>0</v>
      </c>
      <c r="Y107" s="20"/>
      <c r="Z107" s="74"/>
      <c r="AA107" s="74"/>
      <c r="AB107" s="74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U107" s="84"/>
    </row>
    <row r="108" spans="1:47">
      <c r="A108" s="1" t="s">
        <v>373</v>
      </c>
      <c r="B108" s="1"/>
      <c r="C108" s="21">
        <f>([44]Sheet1!$E$2+[45]Sheet1!$E$2)+Temperature!C22*1000</f>
        <v>644426915.35797787</v>
      </c>
      <c r="D108" s="299">
        <v>5.9489999999999998</v>
      </c>
      <c r="E108" s="1" t="s">
        <v>374</v>
      </c>
      <c r="F108" s="2">
        <f>ROUND(D108*$C108/100,0)</f>
        <v>38336957</v>
      </c>
      <c r="G108" s="299">
        <v>6.1989999999999998</v>
      </c>
      <c r="H108" s="1" t="s">
        <v>374</v>
      </c>
      <c r="I108" s="2">
        <f>ROUND(C108*G108/100,0)</f>
        <v>39948024</v>
      </c>
      <c r="J108" s="299">
        <f>$J$89</f>
        <v>3.9460000000000002</v>
      </c>
      <c r="K108" s="1" t="s">
        <v>374</v>
      </c>
      <c r="L108" s="2">
        <f>ROUND(J108*$C108/100,0)</f>
        <v>25429086</v>
      </c>
      <c r="M108" s="2"/>
      <c r="N108" s="299">
        <f ca="1">N89</f>
        <v>1.0805215737536096</v>
      </c>
      <c r="O108" s="1" t="s">
        <v>374</v>
      </c>
      <c r="P108" s="2">
        <f ca="1">N108*$C108/100</f>
        <v>6963171.8475178638</v>
      </c>
      <c r="Q108" s="2"/>
      <c r="R108" s="299">
        <f ca="1">R89</f>
        <v>1.14190334052872</v>
      </c>
      <c r="S108" s="1" t="s">
        <v>374</v>
      </c>
      <c r="T108" s="2">
        <f ca="1">ROUND(R108*$C108/100,0)</f>
        <v>7358732</v>
      </c>
      <c r="U108" s="2"/>
      <c r="V108" s="299">
        <f ca="1">V89</f>
        <v>1.7225749208771735</v>
      </c>
      <c r="W108" s="1" t="s">
        <v>374</v>
      </c>
      <c r="X108" s="2">
        <f ca="1">ROUND(V108*$C108/100,0)</f>
        <v>11100736</v>
      </c>
      <c r="Y108" s="20"/>
      <c r="Z108" s="74"/>
      <c r="AA108" s="74"/>
      <c r="AB108" s="74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U108" s="84"/>
    </row>
    <row r="109" spans="1:47">
      <c r="A109" s="1" t="s">
        <v>375</v>
      </c>
      <c r="B109" s="21"/>
      <c r="C109" s="21">
        <f>([44]Sheet1!$D$2+[45]Sheet1!$D$2)-C108+Temperature!B22*1000</f>
        <v>866994099.18169856</v>
      </c>
      <c r="D109" s="299">
        <v>9.4159999999999986</v>
      </c>
      <c r="E109" s="1" t="s">
        <v>374</v>
      </c>
      <c r="F109" s="2">
        <f>ROUND(D109*$C109/100,0)</f>
        <v>81636164</v>
      </c>
      <c r="G109" s="299">
        <v>9.8170000000000002</v>
      </c>
      <c r="H109" s="1" t="s">
        <v>374</v>
      </c>
      <c r="I109" s="2">
        <f>ROUND(C109*G109/100,0)</f>
        <v>85112811</v>
      </c>
      <c r="J109" s="299">
        <f>$J$90</f>
        <v>5.8929999999999998</v>
      </c>
      <c r="K109" s="1" t="s">
        <v>374</v>
      </c>
      <c r="L109" s="2">
        <f>ROUND(J109*$C109/100,0)</f>
        <v>51091962</v>
      </c>
      <c r="M109" s="2"/>
      <c r="N109" s="299">
        <f ca="1">N90</f>
        <v>1.6136629083967549</v>
      </c>
      <c r="O109" s="1" t="s">
        <v>374</v>
      </c>
      <c r="P109" s="2">
        <f ca="1">N109*$C109/100</f>
        <v>13990362.196483644</v>
      </c>
      <c r="Q109" s="2"/>
      <c r="R109" s="299">
        <f ca="1">R90</f>
        <v>1.7053311200297436</v>
      </c>
      <c r="S109" s="1" t="s">
        <v>374</v>
      </c>
      <c r="T109" s="2">
        <f ca="1">ROUND(R109*$C109/100,0)</f>
        <v>14785120</v>
      </c>
      <c r="U109" s="2"/>
      <c r="V109" s="299">
        <f ca="1">V90</f>
        <v>2.5740059127191262</v>
      </c>
      <c r="W109" s="1" t="s">
        <v>374</v>
      </c>
      <c r="X109" s="2">
        <f ca="1">ROUND(V109*$C109/100,0)</f>
        <v>22316479</v>
      </c>
      <c r="Y109" s="20"/>
      <c r="Z109" s="74"/>
      <c r="AA109" s="74"/>
      <c r="AB109" s="74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U109" s="84"/>
    </row>
    <row r="110" spans="1:47">
      <c r="A110" s="1" t="s">
        <v>377</v>
      </c>
      <c r="B110" s="1"/>
      <c r="C110" s="21">
        <v>0</v>
      </c>
      <c r="D110" s="301">
        <v>1.65</v>
      </c>
      <c r="E110" s="1"/>
      <c r="F110" s="2">
        <f>ROUND(D110*$C110,0)</f>
        <v>0</v>
      </c>
      <c r="G110" s="301">
        <v>1.65</v>
      </c>
      <c r="H110" s="1"/>
      <c r="I110" s="2">
        <v>0</v>
      </c>
      <c r="J110" s="301">
        <f ca="1">$J$91</f>
        <v>1.8341595399830823</v>
      </c>
      <c r="K110" s="1"/>
      <c r="L110" s="2">
        <f ca="1">ROUND(J110*$C110,0)</f>
        <v>0</v>
      </c>
      <c r="M110" s="2"/>
      <c r="N110" s="301">
        <v>0</v>
      </c>
      <c r="O110" s="1"/>
      <c r="P110" s="2">
        <f>ROUND(N110*$C110,0)</f>
        <v>0</v>
      </c>
      <c r="Q110" s="2"/>
      <c r="R110" s="301">
        <v>0</v>
      </c>
      <c r="S110" s="1"/>
      <c r="T110" s="2">
        <f>ROUND(R110*$C110,0)</f>
        <v>0</v>
      </c>
      <c r="U110" s="2"/>
      <c r="V110" s="301">
        <f ca="1">V91</f>
        <v>1.8341595399830823</v>
      </c>
      <c r="W110" s="1"/>
      <c r="X110" s="2">
        <f ca="1">ROUND(V110*$C110,0)</f>
        <v>0</v>
      </c>
      <c r="Y110" s="20"/>
      <c r="Z110" s="74"/>
      <c r="AA110" s="74"/>
      <c r="AB110" s="74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U110" s="84"/>
    </row>
    <row r="111" spans="1:47">
      <c r="A111" s="303" t="s">
        <v>379</v>
      </c>
      <c r="B111" s="303"/>
      <c r="C111" s="21">
        <v>0</v>
      </c>
      <c r="D111" s="301">
        <v>3.2</v>
      </c>
      <c r="E111" s="303"/>
      <c r="F111" s="2">
        <f>ROUND(D111*$C111,0)</f>
        <v>0</v>
      </c>
      <c r="G111" s="301">
        <v>3.2</v>
      </c>
      <c r="H111" s="303"/>
      <c r="I111" s="2">
        <v>0</v>
      </c>
      <c r="J111" s="301">
        <f ca="1">$J$92</f>
        <v>3.6</v>
      </c>
      <c r="K111" s="303"/>
      <c r="L111" s="2">
        <f ca="1">ROUND(J111*$C111,0)</f>
        <v>0</v>
      </c>
      <c r="M111" s="2"/>
      <c r="N111" s="301">
        <v>0</v>
      </c>
      <c r="O111" s="303"/>
      <c r="P111" s="2">
        <f>ROUND(N111*$C111,0)</f>
        <v>0</v>
      </c>
      <c r="Q111" s="2"/>
      <c r="R111" s="301">
        <v>0</v>
      </c>
      <c r="S111" s="303"/>
      <c r="T111" s="2">
        <f>ROUND(R111*$C111,0)</f>
        <v>0</v>
      </c>
      <c r="U111" s="2"/>
      <c r="V111" s="301">
        <f ca="1">V92</f>
        <v>3.6</v>
      </c>
      <c r="W111" s="303"/>
      <c r="X111" s="2">
        <f ca="1">ROUND(V111*$C111,0)</f>
        <v>0</v>
      </c>
      <c r="Y111" s="20"/>
      <c r="Z111" s="74"/>
      <c r="AA111" s="74"/>
      <c r="AB111" s="74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U111" s="84"/>
    </row>
    <row r="112" spans="1:47" s="1184" customFormat="1">
      <c r="A112" s="1005" t="s">
        <v>914</v>
      </c>
      <c r="C112" s="1202">
        <f>C108</f>
        <v>644426915.35797787</v>
      </c>
      <c r="D112" s="269"/>
      <c r="E112" s="1185"/>
      <c r="F112" s="1203"/>
      <c r="G112" s="269"/>
      <c r="H112" s="1185"/>
      <c r="I112" s="1203"/>
      <c r="J112" s="1230">
        <f>J94</f>
        <v>2.6339999999999999</v>
      </c>
      <c r="K112" s="1219" t="s">
        <v>374</v>
      </c>
      <c r="L112" s="1203">
        <f t="shared" ref="L112:L113" si="35">J112*C112/100</f>
        <v>16974204.950529136</v>
      </c>
      <c r="M112" s="1203"/>
      <c r="N112" s="1230" t="str">
        <f>N94</f>
        <v xml:space="preserve"> </v>
      </c>
      <c r="O112" s="1219" t="s">
        <v>374</v>
      </c>
      <c r="P112" s="1203">
        <f>N112*C112/100</f>
        <v>0</v>
      </c>
      <c r="Q112" s="1203"/>
      <c r="R112" s="1230">
        <v>0</v>
      </c>
      <c r="S112" s="1219" t="s">
        <v>374</v>
      </c>
      <c r="T112" s="1203">
        <f>R112*C112/100</f>
        <v>0</v>
      </c>
      <c r="U112" s="1203"/>
      <c r="V112" s="1230">
        <f>J112</f>
        <v>2.6339999999999999</v>
      </c>
      <c r="W112" s="1219" t="s">
        <v>374</v>
      </c>
      <c r="X112" s="1203">
        <f>V112*C112/100</f>
        <v>16974204.950529136</v>
      </c>
      <c r="Z112" s="815"/>
      <c r="AC112" s="1205"/>
      <c r="AD112" s="1205"/>
      <c r="AI112" s="1185"/>
      <c r="AJ112" s="1185"/>
      <c r="AK112" s="1185"/>
      <c r="AL112" s="1185"/>
      <c r="AM112" s="1185"/>
      <c r="AN112" s="1185"/>
      <c r="AO112" s="1185"/>
      <c r="AP112" s="1185"/>
      <c r="AQ112" s="1185"/>
      <c r="AR112" s="1185"/>
      <c r="AS112" s="1185"/>
      <c r="AU112" s="1204"/>
    </row>
    <row r="113" spans="1:47" s="1184" customFormat="1">
      <c r="A113" s="1005" t="s">
        <v>915</v>
      </c>
      <c r="C113" s="1202">
        <f>C109</f>
        <v>866994099.18169856</v>
      </c>
      <c r="D113" s="269"/>
      <c r="E113" s="1185"/>
      <c r="F113" s="1203"/>
      <c r="G113" s="269"/>
      <c r="H113" s="1185"/>
      <c r="I113" s="1203"/>
      <c r="J113" s="1230">
        <f>J95</f>
        <v>4.53</v>
      </c>
      <c r="K113" s="1219" t="s">
        <v>374</v>
      </c>
      <c r="L113" s="1203">
        <f t="shared" si="35"/>
        <v>39274832.692930944</v>
      </c>
      <c r="M113" s="1203"/>
      <c r="N113" s="1230" t="str">
        <f>N95</f>
        <v xml:space="preserve"> </v>
      </c>
      <c r="O113" s="1219" t="s">
        <v>374</v>
      </c>
      <c r="P113" s="1203">
        <f>N113*C113/100</f>
        <v>0</v>
      </c>
      <c r="Q113" s="1203"/>
      <c r="R113" s="1230">
        <v>0</v>
      </c>
      <c r="S113" s="1219" t="s">
        <v>374</v>
      </c>
      <c r="T113" s="1203">
        <f>R113*C113/100</f>
        <v>0</v>
      </c>
      <c r="U113" s="1203"/>
      <c r="V113" s="1230">
        <f>J113</f>
        <v>4.53</v>
      </c>
      <c r="W113" s="1219" t="s">
        <v>374</v>
      </c>
      <c r="X113" s="1203">
        <f>V113*C113/100</f>
        <v>39274832.692930944</v>
      </c>
      <c r="Z113" s="815"/>
      <c r="AC113" s="1205"/>
      <c r="AD113" s="1205"/>
      <c r="AI113" s="1185"/>
      <c r="AJ113" s="1185"/>
      <c r="AK113" s="1185"/>
      <c r="AL113" s="1185"/>
      <c r="AM113" s="1185"/>
      <c r="AN113" s="1185"/>
      <c r="AO113" s="1185"/>
      <c r="AP113" s="1185"/>
      <c r="AQ113" s="1185"/>
      <c r="AR113" s="1185"/>
      <c r="AS113" s="1185"/>
      <c r="AU113" s="1204"/>
    </row>
    <row r="114" spans="1:47">
      <c r="A114" s="303" t="s">
        <v>380</v>
      </c>
      <c r="B114" s="303"/>
      <c r="C114" s="21">
        <v>0</v>
      </c>
      <c r="D114" s="304">
        <v>-1.65</v>
      </c>
      <c r="E114" s="303"/>
      <c r="F114" s="2">
        <f>ROUND(D114*$C114,0)</f>
        <v>0</v>
      </c>
      <c r="G114" s="304">
        <v>-1.65</v>
      </c>
      <c r="H114" s="303"/>
      <c r="I114" s="2">
        <v>0</v>
      </c>
      <c r="J114" s="304">
        <f ca="1">-J110</f>
        <v>-1.8341595399830823</v>
      </c>
      <c r="K114" s="303"/>
      <c r="L114" s="2">
        <f ca="1">ROUND(J114*$C114,0)</f>
        <v>0</v>
      </c>
      <c r="M114" s="2"/>
      <c r="N114" s="304">
        <f>-N110</f>
        <v>0</v>
      </c>
      <c r="O114" s="303"/>
      <c r="P114" s="2">
        <f>ROUND(N114*$C114,0)</f>
        <v>0</v>
      </c>
      <c r="Q114" s="2"/>
      <c r="R114" s="304">
        <f>-R110</f>
        <v>0</v>
      </c>
      <c r="S114" s="303"/>
      <c r="T114" s="2">
        <f>ROUND(R114*$C114,0)</f>
        <v>0</v>
      </c>
      <c r="U114" s="2"/>
      <c r="V114" s="304">
        <f ca="1">-V110</f>
        <v>-1.8341595399830823</v>
      </c>
      <c r="W114" s="303"/>
      <c r="X114" s="2">
        <f ca="1">ROUND(V114*$C114,0)</f>
        <v>0</v>
      </c>
      <c r="Y114" s="20"/>
      <c r="Z114" s="74"/>
      <c r="AA114" s="74"/>
      <c r="AB114" s="74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U114" s="84"/>
    </row>
    <row r="115" spans="1:47">
      <c r="A115" s="1" t="s">
        <v>381</v>
      </c>
      <c r="B115" s="305"/>
      <c r="C115" s="21">
        <f>SUM(C108:C109)</f>
        <v>1511421014.5396764</v>
      </c>
      <c r="D115" s="988"/>
      <c r="E115" s="2"/>
      <c r="F115" s="2">
        <f>SUM(F107:F114)</f>
        <v>127196718</v>
      </c>
      <c r="G115" s="988"/>
      <c r="H115" s="2"/>
      <c r="I115" s="2">
        <f>SUM(I107:I114)</f>
        <v>134391315</v>
      </c>
      <c r="J115" s="2"/>
      <c r="K115" s="2"/>
      <c r="L115" s="2">
        <f ca="1">SUM(L107:L114)</f>
        <v>149625146.64346007</v>
      </c>
      <c r="M115" s="2"/>
      <c r="N115" s="2"/>
      <c r="O115" s="2"/>
      <c r="P115" s="2">
        <f ca="1">SUM(P107:P114)</f>
        <v>37808594.814108066</v>
      </c>
      <c r="Q115" s="2"/>
      <c r="R115" s="2"/>
      <c r="S115" s="2"/>
      <c r="T115" s="2">
        <f ca="1">SUM(T107:T114)</f>
        <v>22143852</v>
      </c>
      <c r="U115" s="2"/>
      <c r="V115" s="2"/>
      <c r="W115" s="2"/>
      <c r="X115" s="2">
        <f ca="1">SUM(X107:X114)</f>
        <v>89666252.64346008</v>
      </c>
      <c r="Y115" s="20"/>
      <c r="Z115" s="51"/>
      <c r="AA115" s="74"/>
      <c r="AB115" s="74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U115" s="84"/>
    </row>
    <row r="116" spans="1:47">
      <c r="A116" s="1" t="s">
        <v>363</v>
      </c>
      <c r="B116" s="307"/>
      <c r="C116" s="317">
        <f>'Table 2'!H13+'Table 2'!H17</f>
        <v>-5617739.7424748819</v>
      </c>
      <c r="D116" s="309"/>
      <c r="E116" s="309"/>
      <c r="F116" s="310">
        <f>I116</f>
        <v>-267238.32128544542</v>
      </c>
      <c r="G116" s="309"/>
      <c r="H116" s="309"/>
      <c r="I116" s="308">
        <f>'Table 3'!E13+'Table 3'!E17</f>
        <v>-267238.32128544542</v>
      </c>
      <c r="J116" s="309"/>
      <c r="K116" s="309"/>
      <c r="L116" s="310">
        <f>I116</f>
        <v>-267238.32128544542</v>
      </c>
      <c r="M116" s="51"/>
      <c r="N116" s="309"/>
      <c r="O116" s="309"/>
      <c r="P116" s="310">
        <f ca="1">L116/$L$99*$P$99</f>
        <v>-67150.108171747503</v>
      </c>
      <c r="Q116" s="51"/>
      <c r="R116" s="309"/>
      <c r="S116" s="309"/>
      <c r="T116" s="310">
        <f ca="1">L116/$L$99*$T$99</f>
        <v>-39620.837845683403</v>
      </c>
      <c r="U116" s="51"/>
      <c r="V116" s="309"/>
      <c r="W116" s="309"/>
      <c r="X116" s="310">
        <f ca="1">L116/$L$99*$X$99</f>
        <v>-160467.3752680145</v>
      </c>
      <c r="Y116" s="444"/>
      <c r="Z116" s="287"/>
      <c r="AA116" s="74"/>
      <c r="AB116" s="74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U116" s="84"/>
    </row>
    <row r="117" spans="1:47" ht="16.5" thickBot="1">
      <c r="A117" s="1" t="s">
        <v>382</v>
      </c>
      <c r="B117" s="1"/>
      <c r="C117" s="311">
        <f>C115+C116</f>
        <v>1505803274.7972016</v>
      </c>
      <c r="D117" s="312"/>
      <c r="E117" s="312"/>
      <c r="F117" s="312">
        <f>F115+F116</f>
        <v>126929479.67871456</v>
      </c>
      <c r="G117" s="312"/>
      <c r="H117" s="312"/>
      <c r="I117" s="312">
        <f>SUM(I115:I116)</f>
        <v>134124076.67871456</v>
      </c>
      <c r="J117" s="312"/>
      <c r="K117" s="312"/>
      <c r="L117" s="312">
        <f ca="1">L115+L116</f>
        <v>149357908.32217461</v>
      </c>
      <c r="M117" s="312"/>
      <c r="N117" s="312"/>
      <c r="O117" s="312"/>
      <c r="P117" s="312">
        <f ca="1">P115+P116</f>
        <v>37741444.70593632</v>
      </c>
      <c r="Q117" s="312"/>
      <c r="R117" s="312"/>
      <c r="S117" s="312"/>
      <c r="T117" s="312">
        <f ca="1">T115+T116</f>
        <v>22104231.162154317</v>
      </c>
      <c r="U117" s="312"/>
      <c r="V117" s="312"/>
      <c r="W117" s="312"/>
      <c r="X117" s="312">
        <f ca="1">X115+$X$116</f>
        <v>89505785.268192068</v>
      </c>
      <c r="Y117" s="411"/>
      <c r="Z117" s="470"/>
      <c r="AA117" s="74"/>
      <c r="AB117" s="74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U117" s="84"/>
    </row>
    <row r="118" spans="1:47" ht="16.5" thickTop="1">
      <c r="A118" s="1"/>
      <c r="B118" s="313"/>
      <c r="C118" s="21"/>
      <c r="D118" s="1" t="s">
        <v>31</v>
      </c>
      <c r="E118" s="21"/>
      <c r="G118" s="1" t="s">
        <v>31</v>
      </c>
      <c r="H118" s="1"/>
      <c r="I118" s="84" t="s">
        <v>31</v>
      </c>
      <c r="J118" s="1" t="s">
        <v>31</v>
      </c>
      <c r="K118" s="1"/>
      <c r="L118" s="2" t="s">
        <v>31</v>
      </c>
      <c r="M118" s="2"/>
      <c r="N118" s="1" t="s">
        <v>31</v>
      </c>
      <c r="O118" s="1"/>
      <c r="P118" s="2" t="s">
        <v>31</v>
      </c>
      <c r="Q118" s="2"/>
      <c r="R118" s="1" t="s">
        <v>31</v>
      </c>
      <c r="S118" s="1"/>
      <c r="T118" s="2" t="s">
        <v>31</v>
      </c>
      <c r="U118" s="2"/>
      <c r="V118" s="1" t="s">
        <v>31</v>
      </c>
      <c r="W118" s="1"/>
      <c r="X118" s="2" t="s">
        <v>31</v>
      </c>
      <c r="Y118" s="20"/>
      <c r="Z118" s="74"/>
      <c r="AA118" s="74"/>
      <c r="AB118" s="74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U118" s="84"/>
    </row>
    <row r="119" spans="1:47">
      <c r="A119" s="293" t="s">
        <v>384</v>
      </c>
      <c r="B119" s="1"/>
      <c r="C119" s="1" t="s">
        <v>31</v>
      </c>
      <c r="D119" s="21"/>
      <c r="E119" s="21"/>
      <c r="F119" s="1"/>
      <c r="G119" s="21"/>
      <c r="H119" s="1"/>
      <c r="I119" s="1"/>
      <c r="J119" s="21"/>
      <c r="K119" s="1"/>
      <c r="L119" s="1"/>
      <c r="M119" s="1"/>
      <c r="N119" s="21"/>
      <c r="O119" s="1"/>
      <c r="P119" s="1"/>
      <c r="Q119" s="1"/>
      <c r="R119" s="21"/>
      <c r="S119" s="1"/>
      <c r="T119" s="1"/>
      <c r="U119" s="1"/>
      <c r="V119" s="21"/>
      <c r="W119" s="1"/>
      <c r="X119" s="1"/>
      <c r="Y119" s="20"/>
      <c r="Z119" s="74"/>
      <c r="AA119" s="74"/>
      <c r="AB119" s="74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U119" s="84"/>
    </row>
    <row r="120" spans="1:47">
      <c r="A120" s="1" t="s">
        <v>330</v>
      </c>
      <c r="B120" s="1"/>
      <c r="C120" s="1"/>
      <c r="D120" s="21"/>
      <c r="E120" s="21"/>
      <c r="F120" s="1"/>
      <c r="G120" s="21"/>
      <c r="H120" s="1"/>
      <c r="I120" s="1"/>
      <c r="J120" s="21"/>
      <c r="K120" s="1"/>
      <c r="L120" s="1"/>
      <c r="M120" s="1"/>
      <c r="N120" s="21"/>
      <c r="O120" s="1"/>
      <c r="P120" s="1"/>
      <c r="Q120" s="1"/>
      <c r="R120" s="21"/>
      <c r="S120" s="1"/>
      <c r="T120" s="1"/>
      <c r="U120" s="1"/>
      <c r="V120" s="21"/>
      <c r="W120" s="1"/>
      <c r="X120" s="1"/>
      <c r="Y120" s="20"/>
      <c r="Z120" s="74"/>
      <c r="AA120" s="74"/>
      <c r="AB120" s="74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U120" s="84"/>
    </row>
    <row r="121" spans="1:47">
      <c r="A121" s="297"/>
      <c r="B121" s="1"/>
      <c r="C121" s="1"/>
      <c r="D121" s="21"/>
      <c r="E121" s="21"/>
      <c r="F121" s="1"/>
      <c r="G121" s="21"/>
      <c r="H121" s="1"/>
      <c r="I121" s="1"/>
      <c r="J121" s="21"/>
      <c r="K121" s="1"/>
      <c r="L121" s="1"/>
      <c r="M121" s="1"/>
      <c r="N121" s="21"/>
      <c r="O121" s="1"/>
      <c r="P121" s="1"/>
      <c r="Q121" s="1"/>
      <c r="R121" s="21"/>
      <c r="S121" s="1"/>
      <c r="T121" s="1"/>
      <c r="U121" s="1"/>
      <c r="V121" s="21"/>
      <c r="W121" s="1"/>
      <c r="X121" s="1"/>
      <c r="Y121" s="20"/>
      <c r="Z121" s="74"/>
      <c r="AA121" s="74"/>
      <c r="AB121" s="74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U121" s="84"/>
    </row>
    <row r="122" spans="1:47">
      <c r="A122" s="1" t="s">
        <v>370</v>
      </c>
      <c r="B122" s="1"/>
      <c r="C122" s="21">
        <f>[44]Sheet1!$C$3</f>
        <v>50454.485322581</v>
      </c>
      <c r="D122" s="298">
        <v>6</v>
      </c>
      <c r="E122" s="1"/>
      <c r="F122" s="2">
        <f>ROUND(D122*$C122,0)</f>
        <v>302727</v>
      </c>
      <c r="G122" s="298">
        <v>7.75</v>
      </c>
      <c r="H122" s="1"/>
      <c r="I122" s="2">
        <f>ROUND(G122*C122,0)</f>
        <v>391022</v>
      </c>
      <c r="J122" s="298">
        <v>8.75</v>
      </c>
      <c r="K122" s="1"/>
      <c r="L122" s="2">
        <f>ROUND(J122*$C122,0)</f>
        <v>441477</v>
      </c>
      <c r="M122" s="2"/>
      <c r="N122" s="298">
        <f>J122</f>
        <v>8.75</v>
      </c>
      <c r="O122" s="1"/>
      <c r="P122" s="2">
        <f>N122*$C122</f>
        <v>441476.74657258374</v>
      </c>
      <c r="Q122" s="2"/>
      <c r="R122" s="298" t="str">
        <f>$R$88</f>
        <v xml:space="preserve"> </v>
      </c>
      <c r="S122" s="1"/>
      <c r="T122" s="2">
        <f>ROUND(R122*$C122,0)</f>
        <v>0</v>
      </c>
      <c r="U122" s="2"/>
      <c r="V122" s="298" t="str">
        <f>$V$88</f>
        <v xml:space="preserve"> </v>
      </c>
      <c r="W122" s="1"/>
      <c r="X122" s="2">
        <f>ROUND(V122*$C122,0)</f>
        <v>0</v>
      </c>
      <c r="Y122" s="20"/>
      <c r="Z122" s="74"/>
      <c r="AA122" s="74"/>
      <c r="AB122" s="74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U122" s="84"/>
    </row>
    <row r="123" spans="1:47">
      <c r="A123" s="1" t="s">
        <v>373</v>
      </c>
      <c r="B123" s="1"/>
      <c r="C123" s="21">
        <f>[44]Sheet1!$E$3+Temperature!C40*1000</f>
        <v>28090300.046987683</v>
      </c>
      <c r="D123" s="299">
        <v>5.9489999999999998</v>
      </c>
      <c r="E123" s="1" t="s">
        <v>374</v>
      </c>
      <c r="F123" s="2">
        <f>ROUND(D123*$C123/100,0)</f>
        <v>1671092</v>
      </c>
      <c r="G123" s="299">
        <v>6.1989999999999998</v>
      </c>
      <c r="H123" s="1" t="s">
        <v>374</v>
      </c>
      <c r="I123" s="2">
        <f>ROUND(C123*G123/100,0)</f>
        <v>1741318</v>
      </c>
      <c r="J123" s="299">
        <f>$J$89</f>
        <v>3.9460000000000002</v>
      </c>
      <c r="K123" s="1" t="s">
        <v>374</v>
      </c>
      <c r="L123" s="2">
        <f>ROUND(J123*$C123/100,0)</f>
        <v>1108443</v>
      </c>
      <c r="M123" s="2"/>
      <c r="N123" s="299">
        <f ca="1">N89</f>
        <v>1.0805215737536096</v>
      </c>
      <c r="O123" s="1" t="s">
        <v>374</v>
      </c>
      <c r="P123" s="2">
        <f ca="1">N123*$C123/100</f>
        <v>303521.75213982223</v>
      </c>
      <c r="Q123" s="2"/>
      <c r="R123" s="299">
        <f ca="1">R89</f>
        <v>1.14190334052872</v>
      </c>
      <c r="S123" s="1" t="s">
        <v>374</v>
      </c>
      <c r="T123" s="2">
        <f ca="1">ROUND(R123*$C123/100,0)</f>
        <v>320764</v>
      </c>
      <c r="U123" s="2"/>
      <c r="V123" s="299">
        <f ca="1">V89</f>
        <v>1.7225749208771735</v>
      </c>
      <c r="W123" s="1" t="s">
        <v>374</v>
      </c>
      <c r="X123" s="2">
        <f ca="1">ROUND(V123*$C123/100,0)</f>
        <v>483876</v>
      </c>
      <c r="Y123" s="20"/>
      <c r="Z123" s="74"/>
      <c r="AA123" s="74"/>
      <c r="AB123" s="74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U123" s="84"/>
    </row>
    <row r="124" spans="1:47">
      <c r="A124" s="1" t="s">
        <v>375</v>
      </c>
      <c r="B124" s="1"/>
      <c r="C124" s="21">
        <f>[44]Sheet1!$D$3-C123+Temperature!C40*1000+Temperature!D40*1000</f>
        <v>36551662.470591322</v>
      </c>
      <c r="D124" s="299">
        <v>9.4159999999999986</v>
      </c>
      <c r="E124" s="1" t="s">
        <v>374</v>
      </c>
      <c r="F124" s="2">
        <f>ROUND(D124*$C124/100,0)</f>
        <v>3441705</v>
      </c>
      <c r="G124" s="299">
        <v>9.8170000000000002</v>
      </c>
      <c r="H124" s="1" t="s">
        <v>374</v>
      </c>
      <c r="I124" s="2">
        <f>ROUND(C124*G124/100,0)</f>
        <v>3588277</v>
      </c>
      <c r="J124" s="299">
        <f>$J$90</f>
        <v>5.8929999999999998</v>
      </c>
      <c r="K124" s="1" t="s">
        <v>374</v>
      </c>
      <c r="L124" s="2">
        <f>ROUND(J124*$C124/100,0)</f>
        <v>2153989</v>
      </c>
      <c r="M124" s="2"/>
      <c r="N124" s="299">
        <f ca="1">N90</f>
        <v>1.6136629083967549</v>
      </c>
      <c r="O124" s="1" t="s">
        <v>374</v>
      </c>
      <c r="P124" s="2">
        <f ca="1">N124*$C124/100</f>
        <v>589820.61969030905</v>
      </c>
      <c r="Q124" s="2"/>
      <c r="R124" s="299">
        <f ca="1">R90</f>
        <v>1.7053311200297436</v>
      </c>
      <c r="S124" s="1" t="s">
        <v>374</v>
      </c>
      <c r="T124" s="2">
        <f ca="1">ROUND(R124*$C124/100,0)</f>
        <v>623327</v>
      </c>
      <c r="U124" s="2"/>
      <c r="V124" s="299">
        <f ca="1">V90</f>
        <v>2.5740059127191262</v>
      </c>
      <c r="W124" s="1" t="s">
        <v>374</v>
      </c>
      <c r="X124" s="2">
        <f ca="1">ROUND(V124*$C124/100,0)</f>
        <v>940842</v>
      </c>
      <c r="Y124" s="20"/>
      <c r="Z124" s="74"/>
      <c r="AA124" s="74"/>
      <c r="AB124" s="74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U124" s="84"/>
    </row>
    <row r="125" spans="1:47">
      <c r="A125" s="1" t="s">
        <v>377</v>
      </c>
      <c r="B125" s="1"/>
      <c r="C125" s="21">
        <v>0</v>
      </c>
      <c r="D125" s="301">
        <v>1.65</v>
      </c>
      <c r="E125" s="1"/>
      <c r="F125" s="2">
        <f>ROUND(D125*$C125,0)</f>
        <v>0</v>
      </c>
      <c r="G125" s="301">
        <v>1.65</v>
      </c>
      <c r="H125" s="1"/>
      <c r="I125" s="2">
        <v>0</v>
      </c>
      <c r="J125" s="301">
        <f ca="1">$J$91</f>
        <v>1.8341595399830823</v>
      </c>
      <c r="K125" s="1"/>
      <c r="L125" s="2">
        <f ca="1">ROUND(J125*$C125,0)</f>
        <v>0</v>
      </c>
      <c r="M125" s="2"/>
      <c r="N125" s="301">
        <v>0</v>
      </c>
      <c r="O125" s="1"/>
      <c r="P125" s="2">
        <f>ROUND(N125*$C125,0)</f>
        <v>0</v>
      </c>
      <c r="Q125" s="2"/>
      <c r="R125" s="301">
        <v>0</v>
      </c>
      <c r="S125" s="1"/>
      <c r="T125" s="2">
        <f>ROUND(R125*$C125,0)</f>
        <v>0</v>
      </c>
      <c r="U125" s="2"/>
      <c r="V125" s="301">
        <f ca="1">V91</f>
        <v>1.8341595399830823</v>
      </c>
      <c r="W125" s="1"/>
      <c r="X125" s="2">
        <f ca="1">ROUND(V125*$C125,0)</f>
        <v>0</v>
      </c>
      <c r="Y125" s="20"/>
      <c r="Z125" s="74"/>
      <c r="AA125" s="74"/>
      <c r="AB125" s="74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U125" s="84"/>
    </row>
    <row r="126" spans="1:47">
      <c r="A126" s="303" t="s">
        <v>379</v>
      </c>
      <c r="B126" s="303"/>
      <c r="C126" s="21">
        <v>0</v>
      </c>
      <c r="D126" s="301">
        <v>3.2</v>
      </c>
      <c r="E126" s="303"/>
      <c r="F126" s="2">
        <f>ROUND(D126*$C126,0)</f>
        <v>0</v>
      </c>
      <c r="G126" s="301">
        <v>3.2</v>
      </c>
      <c r="H126" s="303"/>
      <c r="I126" s="2">
        <v>0</v>
      </c>
      <c r="J126" s="301">
        <f ca="1">$J$92</f>
        <v>3.6</v>
      </c>
      <c r="K126" s="303"/>
      <c r="L126" s="2">
        <f ca="1">ROUND(J126*$C126,0)</f>
        <v>0</v>
      </c>
      <c r="M126" s="2"/>
      <c r="N126" s="301">
        <v>0</v>
      </c>
      <c r="O126" s="303"/>
      <c r="P126" s="2">
        <f>ROUND(N126*$C126,0)</f>
        <v>0</v>
      </c>
      <c r="Q126" s="2"/>
      <c r="R126" s="301">
        <v>0</v>
      </c>
      <c r="S126" s="303"/>
      <c r="T126" s="2">
        <f>ROUND(R126*$C126,0)</f>
        <v>0</v>
      </c>
      <c r="U126" s="2"/>
      <c r="V126" s="301">
        <f ca="1">V92</f>
        <v>3.6</v>
      </c>
      <c r="W126" s="303"/>
      <c r="X126" s="2">
        <f ca="1">ROUND(V126*$C126,0)</f>
        <v>0</v>
      </c>
      <c r="Y126" s="20"/>
      <c r="Z126" s="74"/>
      <c r="AA126" s="74"/>
      <c r="AB126" s="74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U126" s="84"/>
    </row>
    <row r="127" spans="1:47">
      <c r="A127" s="303" t="s">
        <v>380</v>
      </c>
      <c r="B127" s="303"/>
      <c r="C127" s="21">
        <v>0</v>
      </c>
      <c r="D127" s="304">
        <v>-1.65</v>
      </c>
      <c r="E127" s="303"/>
      <c r="F127" s="2">
        <f>ROUND(D127*$C127,0)</f>
        <v>0</v>
      </c>
      <c r="G127" s="304">
        <v>-1.65</v>
      </c>
      <c r="H127" s="303"/>
      <c r="I127" s="2">
        <v>0</v>
      </c>
      <c r="J127" s="304">
        <f ca="1">-J125</f>
        <v>-1.8341595399830823</v>
      </c>
      <c r="K127" s="303"/>
      <c r="L127" s="2">
        <f ca="1">ROUND(J127*$C127,0)</f>
        <v>0</v>
      </c>
      <c r="M127" s="2"/>
      <c r="N127" s="304">
        <f>-N125</f>
        <v>0</v>
      </c>
      <c r="O127" s="303"/>
      <c r="P127" s="2">
        <f>ROUND(N127*$C127,0)</f>
        <v>0</v>
      </c>
      <c r="Q127" s="2"/>
      <c r="R127" s="304">
        <f>-R125</f>
        <v>0</v>
      </c>
      <c r="S127" s="303"/>
      <c r="T127" s="2">
        <f>ROUND(R127*$C127,0)</f>
        <v>0</v>
      </c>
      <c r="U127" s="2"/>
      <c r="V127" s="304">
        <f ca="1">-V125</f>
        <v>-1.8341595399830823</v>
      </c>
      <c r="W127" s="303"/>
      <c r="X127" s="2">
        <f ca="1">ROUND(V127*$C127,0)</f>
        <v>0</v>
      </c>
      <c r="Y127" s="20"/>
      <c r="Z127" s="74"/>
      <c r="AA127" s="74"/>
      <c r="AB127" s="74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U127" s="84"/>
    </row>
    <row r="128" spans="1:47" s="1184" customFormat="1">
      <c r="A128" s="1005" t="s">
        <v>914</v>
      </c>
      <c r="C128" s="1202">
        <f>C123</f>
        <v>28090300.046987683</v>
      </c>
      <c r="D128" s="269"/>
      <c r="E128" s="1185"/>
      <c r="F128" s="1203"/>
      <c r="G128" s="269"/>
      <c r="H128" s="1185"/>
      <c r="I128" s="1203"/>
      <c r="J128" s="1230">
        <f>J112</f>
        <v>2.6339999999999999</v>
      </c>
      <c r="K128" s="1219" t="s">
        <v>374</v>
      </c>
      <c r="L128" s="1203">
        <f t="shared" ref="L128:L129" si="36">J128*C128/100</f>
        <v>739898.5032376555</v>
      </c>
      <c r="M128" s="1203"/>
      <c r="N128" s="1230" t="str">
        <f>N112</f>
        <v xml:space="preserve"> </v>
      </c>
      <c r="O128" s="1219" t="s">
        <v>374</v>
      </c>
      <c r="P128" s="1203">
        <f>N128*C128/100</f>
        <v>0</v>
      </c>
      <c r="Q128" s="1203"/>
      <c r="R128" s="1230">
        <f>R112</f>
        <v>0</v>
      </c>
      <c r="S128" s="1219" t="s">
        <v>374</v>
      </c>
      <c r="T128" s="1203">
        <f>R128*C128/100</f>
        <v>0</v>
      </c>
      <c r="U128" s="1203"/>
      <c r="V128" s="1230">
        <f>V112</f>
        <v>2.6339999999999999</v>
      </c>
      <c r="W128" s="1219" t="s">
        <v>374</v>
      </c>
      <c r="X128" s="1203">
        <f>V128*C128/100</f>
        <v>739898.5032376555</v>
      </c>
      <c r="Z128" s="815"/>
      <c r="AC128" s="1205"/>
      <c r="AD128" s="1205"/>
      <c r="AI128" s="1185"/>
      <c r="AJ128" s="1185"/>
      <c r="AK128" s="1185"/>
      <c r="AL128" s="1185"/>
      <c r="AM128" s="1185"/>
      <c r="AN128" s="1185"/>
      <c r="AO128" s="1185"/>
      <c r="AP128" s="1185"/>
      <c r="AQ128" s="1185"/>
      <c r="AR128" s="1185"/>
      <c r="AS128" s="1185"/>
      <c r="AU128" s="1204"/>
    </row>
    <row r="129" spans="1:47" s="1184" customFormat="1">
      <c r="A129" s="1005" t="s">
        <v>915</v>
      </c>
      <c r="C129" s="1202">
        <f>C124</f>
        <v>36551662.470591322</v>
      </c>
      <c r="D129" s="269"/>
      <c r="E129" s="1185"/>
      <c r="F129" s="1203"/>
      <c r="G129" s="269"/>
      <c r="H129" s="1185"/>
      <c r="I129" s="1203"/>
      <c r="J129" s="1230">
        <f>J113</f>
        <v>4.53</v>
      </c>
      <c r="K129" s="1219" t="s">
        <v>374</v>
      </c>
      <c r="L129" s="1203">
        <f t="shared" si="36"/>
        <v>1655790.3099177871</v>
      </c>
      <c r="M129" s="1203"/>
      <c r="N129" s="1230" t="str">
        <f>N113</f>
        <v xml:space="preserve"> </v>
      </c>
      <c r="O129" s="1219" t="s">
        <v>374</v>
      </c>
      <c r="P129" s="1203">
        <f>N129*C129/100</f>
        <v>0</v>
      </c>
      <c r="Q129" s="1203"/>
      <c r="R129" s="1230">
        <f>R113</f>
        <v>0</v>
      </c>
      <c r="S129" s="1219" t="s">
        <v>374</v>
      </c>
      <c r="T129" s="1203">
        <f>R129*C129/100</f>
        <v>0</v>
      </c>
      <c r="U129" s="1203"/>
      <c r="V129" s="1230">
        <f>V113</f>
        <v>4.53</v>
      </c>
      <c r="W129" s="1219" t="s">
        <v>374</v>
      </c>
      <c r="X129" s="1203">
        <f>V129*C129/100</f>
        <v>1655790.3099177871</v>
      </c>
      <c r="Z129" s="815"/>
      <c r="AC129" s="1205"/>
      <c r="AD129" s="1205"/>
      <c r="AI129" s="1185"/>
      <c r="AJ129" s="1185"/>
      <c r="AK129" s="1185"/>
      <c r="AL129" s="1185"/>
      <c r="AM129" s="1185"/>
      <c r="AN129" s="1185"/>
      <c r="AO129" s="1185"/>
      <c r="AP129" s="1185"/>
      <c r="AQ129" s="1185"/>
      <c r="AR129" s="1185"/>
      <c r="AS129" s="1185"/>
      <c r="AU129" s="1204"/>
    </row>
    <row r="130" spans="1:47">
      <c r="A130" s="1" t="s">
        <v>381</v>
      </c>
      <c r="B130" s="1"/>
      <c r="C130" s="21">
        <f>SUM(C123:C124)</f>
        <v>64641962.517579004</v>
      </c>
      <c r="D130" s="988"/>
      <c r="E130" s="2"/>
      <c r="F130" s="2">
        <f>SUM(F122:F127)</f>
        <v>5415524</v>
      </c>
      <c r="G130" s="988"/>
      <c r="H130" s="2"/>
      <c r="I130" s="2">
        <f>SUM(I122:I127)</f>
        <v>5720617</v>
      </c>
      <c r="J130" s="2"/>
      <c r="K130" s="2"/>
      <c r="L130" s="2">
        <f ca="1">SUM(L122:L129)</f>
        <v>6099597.8131554425</v>
      </c>
      <c r="M130" s="2"/>
      <c r="N130" s="2"/>
      <c r="O130" s="2"/>
      <c r="P130" s="2">
        <f ca="1">SUM(P122:P129)</f>
        <v>1334819.1184027151</v>
      </c>
      <c r="Q130" s="2"/>
      <c r="R130" s="2"/>
      <c r="S130" s="2"/>
      <c r="T130" s="2">
        <f ca="1">SUM(T122:T129)</f>
        <v>944091</v>
      </c>
      <c r="U130" s="2"/>
      <c r="V130" s="2"/>
      <c r="W130" s="2"/>
      <c r="X130" s="2">
        <f ca="1">SUM(X122:X129)</f>
        <v>3820406.8131554425</v>
      </c>
      <c r="Y130" s="20"/>
      <c r="Z130" s="74"/>
      <c r="AA130" s="1658"/>
      <c r="AB130" s="32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U130" s="84"/>
    </row>
    <row r="131" spans="1:47">
      <c r="A131" s="1" t="s">
        <v>363</v>
      </c>
      <c r="B131" s="1"/>
      <c r="C131" s="317">
        <f>'Table 2'!H14</f>
        <v>-238853.93279447255</v>
      </c>
      <c r="D131" s="309"/>
      <c r="E131" s="309"/>
      <c r="F131" s="310">
        <f>I131</f>
        <v>-11315.249854995447</v>
      </c>
      <c r="G131" s="309"/>
      <c r="H131" s="309"/>
      <c r="I131" s="308">
        <f>'Table 3'!E14</f>
        <v>-11315.249854995447</v>
      </c>
      <c r="J131" s="309"/>
      <c r="K131" s="309"/>
      <c r="L131" s="310">
        <f>I131</f>
        <v>-11315.249854995447</v>
      </c>
      <c r="M131" s="51"/>
      <c r="N131" s="309"/>
      <c r="O131" s="309"/>
      <c r="P131" s="310">
        <f ca="1">L131/$L$99*$P$99</f>
        <v>-2843.2308962968946</v>
      </c>
      <c r="Q131" s="51"/>
      <c r="R131" s="309"/>
      <c r="S131" s="309"/>
      <c r="T131" s="310">
        <f ca="1">L131/$L$99*$T$99</f>
        <v>-1677.6025142341143</v>
      </c>
      <c r="U131" s="51"/>
      <c r="V131" s="309"/>
      <c r="W131" s="309"/>
      <c r="X131" s="310">
        <f ca="1">L131/$L$99*$X$99</f>
        <v>-6794.4164444644366</v>
      </c>
      <c r="Y131" s="444"/>
      <c r="Z131" s="287"/>
      <c r="AA131" s="1658"/>
      <c r="AB131" s="32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U131" s="84"/>
    </row>
    <row r="132" spans="1:47" ht="16.5" thickBot="1">
      <c r="A132" s="1" t="s">
        <v>382</v>
      </c>
      <c r="B132" s="1"/>
      <c r="C132" s="311">
        <f>C130+C131</f>
        <v>64403108.58478453</v>
      </c>
      <c r="D132" s="312"/>
      <c r="E132" s="312"/>
      <c r="F132" s="312">
        <f>F130+F131</f>
        <v>5404208.7501450041</v>
      </c>
      <c r="G132" s="312"/>
      <c r="H132" s="312"/>
      <c r="I132" s="312">
        <f>SUM(I130:I131)</f>
        <v>5709301.7501450041</v>
      </c>
      <c r="J132" s="312"/>
      <c r="K132" s="312"/>
      <c r="L132" s="312">
        <f ca="1">L130+L131</f>
        <v>6088282.5633004466</v>
      </c>
      <c r="M132" s="312"/>
      <c r="N132" s="312"/>
      <c r="O132" s="312"/>
      <c r="P132" s="312">
        <f ca="1">P130+P131</f>
        <v>1331975.8875064182</v>
      </c>
      <c r="Q132" s="312"/>
      <c r="R132" s="312"/>
      <c r="S132" s="312"/>
      <c r="T132" s="312">
        <f ca="1">T130+T131</f>
        <v>942413.39748576586</v>
      </c>
      <c r="U132" s="312"/>
      <c r="V132" s="312"/>
      <c r="W132" s="312"/>
      <c r="X132" s="312">
        <f ca="1">X130+X131</f>
        <v>3813612.3967109779</v>
      </c>
      <c r="Y132" s="411"/>
      <c r="Z132" s="470"/>
      <c r="AA132" s="1658"/>
      <c r="AB132" s="32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U132" s="84"/>
    </row>
    <row r="133" spans="1:47" ht="16.5" thickTop="1">
      <c r="A133" s="1"/>
      <c r="B133" s="313"/>
      <c r="C133" s="21"/>
      <c r="D133" s="1" t="s">
        <v>31</v>
      </c>
      <c r="E133" s="21"/>
      <c r="G133" s="1" t="s">
        <v>31</v>
      </c>
      <c r="H133" s="1"/>
      <c r="J133" s="1" t="s">
        <v>31</v>
      </c>
      <c r="K133" s="1"/>
      <c r="L133" s="2" t="s">
        <v>31</v>
      </c>
      <c r="M133" s="2"/>
      <c r="N133" s="1" t="s">
        <v>31</v>
      </c>
      <c r="O133" s="1"/>
      <c r="P133" s="2" t="s">
        <v>31</v>
      </c>
      <c r="Q133" s="2"/>
      <c r="R133" s="1" t="s">
        <v>31</v>
      </c>
      <c r="S133" s="1"/>
      <c r="T133" s="2" t="s">
        <v>31</v>
      </c>
      <c r="U133" s="2"/>
      <c r="V133" s="1" t="s">
        <v>31</v>
      </c>
      <c r="W133" s="1"/>
      <c r="X133" s="2" t="s">
        <v>31</v>
      </c>
      <c r="Y133" s="20"/>
      <c r="Z133" s="74"/>
      <c r="AA133" s="74"/>
      <c r="AB133" s="74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U133" s="84"/>
    </row>
    <row r="134" spans="1:47">
      <c r="A134" s="293" t="s">
        <v>385</v>
      </c>
      <c r="B134" s="1"/>
      <c r="C134" s="1"/>
      <c r="D134" s="21"/>
      <c r="E134" s="21"/>
      <c r="F134" s="1"/>
      <c r="G134" s="21"/>
      <c r="H134" s="1"/>
      <c r="I134" s="1"/>
      <c r="J134" s="21"/>
      <c r="K134" s="1"/>
      <c r="L134" s="1"/>
      <c r="M134" s="1"/>
      <c r="N134" s="21"/>
      <c r="O134" s="1"/>
      <c r="P134" s="1"/>
      <c r="Q134" s="1"/>
      <c r="R134" s="21"/>
      <c r="S134" s="1"/>
      <c r="T134" s="1"/>
      <c r="U134" s="1"/>
      <c r="V134" s="21"/>
      <c r="W134" s="1"/>
      <c r="X134" s="1"/>
      <c r="Y134" s="20"/>
      <c r="Z134" s="74"/>
      <c r="AA134" s="74"/>
      <c r="AB134" s="74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U134" s="84"/>
    </row>
    <row r="135" spans="1:47">
      <c r="A135" s="1" t="s">
        <v>330</v>
      </c>
      <c r="B135" s="1"/>
      <c r="C135" s="1"/>
      <c r="D135" s="21"/>
      <c r="E135" s="21"/>
      <c r="F135" s="1"/>
      <c r="G135" s="21"/>
      <c r="H135" s="1"/>
      <c r="I135" s="1"/>
      <c r="J135" s="21"/>
      <c r="K135" s="1"/>
      <c r="L135" s="1"/>
      <c r="M135" s="1"/>
      <c r="N135" s="21"/>
      <c r="O135" s="1"/>
      <c r="P135" s="1"/>
      <c r="Q135" s="1"/>
      <c r="R135" s="21"/>
      <c r="S135" s="1"/>
      <c r="T135" s="1"/>
      <c r="U135" s="1"/>
      <c r="V135" s="21"/>
      <c r="W135" s="1"/>
      <c r="X135" s="1"/>
      <c r="Y135" s="20"/>
      <c r="Z135" s="74"/>
      <c r="AA135" s="74"/>
      <c r="AB135" s="74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U135" s="84"/>
    </row>
    <row r="136" spans="1:47">
      <c r="A136" s="297"/>
      <c r="B136" s="1"/>
      <c r="C136" s="1"/>
      <c r="D136" s="21"/>
      <c r="E136" s="21"/>
      <c r="F136" s="1"/>
      <c r="G136" s="21"/>
      <c r="H136" s="1"/>
      <c r="I136" s="1"/>
      <c r="J136" s="21"/>
      <c r="K136" s="1"/>
      <c r="L136" s="1"/>
      <c r="M136" s="1"/>
      <c r="N136" s="21"/>
      <c r="O136" s="1"/>
      <c r="P136" s="1"/>
      <c r="Q136" s="1"/>
      <c r="R136" s="21"/>
      <c r="S136" s="1"/>
      <c r="T136" s="1"/>
      <c r="U136" s="1"/>
      <c r="V136" s="21"/>
      <c r="W136" s="1"/>
      <c r="X136" s="1"/>
      <c r="Y136" s="20"/>
      <c r="Z136" s="74"/>
      <c r="AA136" s="74"/>
      <c r="AB136" s="74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U136" s="84"/>
    </row>
    <row r="137" spans="1:47">
      <c r="A137" s="1" t="s">
        <v>370</v>
      </c>
      <c r="B137" s="1"/>
      <c r="C137" s="21">
        <f>[46]Sheet1!$C$2</f>
        <v>1017.7441935483899</v>
      </c>
      <c r="D137" s="298">
        <v>6</v>
      </c>
      <c r="E137" s="1"/>
      <c r="F137" s="2">
        <f>ROUND(D137*$C137,0)</f>
        <v>6106</v>
      </c>
      <c r="G137" s="298">
        <v>7.75</v>
      </c>
      <c r="H137" s="1"/>
      <c r="I137" s="2">
        <f>ROUND(G137*C137,0)</f>
        <v>7888</v>
      </c>
      <c r="J137" s="298">
        <f>$J$88</f>
        <v>14</v>
      </c>
      <c r="K137" s="1"/>
      <c r="L137" s="2">
        <f>ROUND(J137*$C137,0)</f>
        <v>14248</v>
      </c>
      <c r="M137" s="2"/>
      <c r="N137" s="298">
        <f>$N$88</f>
        <v>14</v>
      </c>
      <c r="O137" s="1"/>
      <c r="P137" s="2">
        <f>N137*$C137</f>
        <v>14248.418709677459</v>
      </c>
      <c r="Q137" s="2"/>
      <c r="R137" s="298" t="str">
        <f>$R$88</f>
        <v xml:space="preserve"> </v>
      </c>
      <c r="S137" s="1"/>
      <c r="T137" s="2">
        <f>ROUND(R137*$C137,0)</f>
        <v>0</v>
      </c>
      <c r="U137" s="2"/>
      <c r="V137" s="298" t="str">
        <f>$V$88</f>
        <v xml:space="preserve"> </v>
      </c>
      <c r="W137" s="1"/>
      <c r="X137" s="2">
        <f>ROUND(V137*$C137,0)</f>
        <v>0</v>
      </c>
      <c r="Y137" s="20"/>
      <c r="Z137" s="74"/>
      <c r="AA137" s="74"/>
      <c r="AB137" s="74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U137" s="84"/>
    </row>
    <row r="138" spans="1:47">
      <c r="A138" s="1" t="s">
        <v>373</v>
      </c>
      <c r="B138" s="1"/>
      <c r="C138" s="21">
        <f>[46]Sheet1!$E$2+Temperature!C58*1000</f>
        <v>549805.35240128019</v>
      </c>
      <c r="D138" s="299">
        <v>5.9489999999999998</v>
      </c>
      <c r="E138" s="1" t="s">
        <v>374</v>
      </c>
      <c r="F138" s="2">
        <f>ROUND(D138*$C138/100,0)</f>
        <v>32708</v>
      </c>
      <c r="G138" s="299">
        <v>6.1989999999999998</v>
      </c>
      <c r="H138" s="1" t="s">
        <v>374</v>
      </c>
      <c r="I138" s="2">
        <f>ROUND(C138*G138/100,0)</f>
        <v>34082</v>
      </c>
      <c r="J138" s="299">
        <f>$J$89</f>
        <v>3.9460000000000002</v>
      </c>
      <c r="K138" s="1" t="s">
        <v>374</v>
      </c>
      <c r="L138" s="2">
        <f>ROUND(J138*$C138/100,0)</f>
        <v>21695</v>
      </c>
      <c r="M138" s="2"/>
      <c r="N138" s="299">
        <f ca="1">N89</f>
        <v>1.0805215737536096</v>
      </c>
      <c r="O138" s="1" t="s">
        <v>374</v>
      </c>
      <c r="P138" s="2">
        <f ca="1">N138*$C138/100</f>
        <v>5940.7654463478921</v>
      </c>
      <c r="Q138" s="2"/>
      <c r="R138" s="299">
        <f ca="1">R89</f>
        <v>1.14190334052872</v>
      </c>
      <c r="S138" s="1" t="s">
        <v>374</v>
      </c>
      <c r="T138" s="2">
        <f ca="1">ROUND(R138*$C138/100,0)</f>
        <v>6278</v>
      </c>
      <c r="U138" s="2"/>
      <c r="V138" s="299">
        <f ca="1">V89</f>
        <v>1.7225749208771735</v>
      </c>
      <c r="W138" s="1" t="s">
        <v>374</v>
      </c>
      <c r="X138" s="2">
        <f ca="1">ROUND(V138*$C138/100,0)</f>
        <v>9471</v>
      </c>
      <c r="Y138" s="20"/>
      <c r="Z138" s="74"/>
      <c r="AA138" s="74"/>
      <c r="AB138" s="74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U138" s="84"/>
    </row>
    <row r="139" spans="1:47">
      <c r="A139" s="1" t="s">
        <v>375</v>
      </c>
      <c r="B139" s="1"/>
      <c r="C139" s="21">
        <f>[46]Sheet1!$D$2-C138+Temperature!C58*1000+Temperature!D58*1000</f>
        <v>1650803.2299577619</v>
      </c>
      <c r="D139" s="299">
        <v>9.4159999999999986</v>
      </c>
      <c r="E139" s="1" t="s">
        <v>374</v>
      </c>
      <c r="F139" s="2">
        <f>ROUND(D139*$C139/100,0)</f>
        <v>155440</v>
      </c>
      <c r="G139" s="299">
        <v>9.8170000000000002</v>
      </c>
      <c r="H139" s="1" t="s">
        <v>374</v>
      </c>
      <c r="I139" s="2">
        <f>ROUND(C139*G139/100,0)</f>
        <v>162059</v>
      </c>
      <c r="J139" s="299">
        <f>$J$90</f>
        <v>5.8929999999999998</v>
      </c>
      <c r="K139" s="1" t="s">
        <v>374</v>
      </c>
      <c r="L139" s="2">
        <f>ROUND(J139*$C139/100,0)</f>
        <v>97282</v>
      </c>
      <c r="M139" s="2"/>
      <c r="N139" s="299">
        <f ca="1">N109</f>
        <v>1.6136629083967549</v>
      </c>
      <c r="O139" s="1" t="s">
        <v>374</v>
      </c>
      <c r="P139" s="2">
        <f ca="1">N139*$C139/100</f>
        <v>26638.399412443992</v>
      </c>
      <c r="Q139" s="2"/>
      <c r="R139" s="299">
        <f ca="1">R109</f>
        <v>1.7053311200297436</v>
      </c>
      <c r="S139" s="1" t="s">
        <v>374</v>
      </c>
      <c r="T139" s="2">
        <f ca="1">ROUND(R139*$C139/100,0)</f>
        <v>28152</v>
      </c>
      <c r="U139" s="2"/>
      <c r="V139" s="299">
        <f ca="1">V109</f>
        <v>2.5740059127191262</v>
      </c>
      <c r="W139" s="1" t="s">
        <v>374</v>
      </c>
      <c r="X139" s="2">
        <f ca="1">ROUND(V139*$C139/100,0)</f>
        <v>42492</v>
      </c>
      <c r="Y139" s="20"/>
      <c r="Z139" s="74"/>
      <c r="AA139" s="74"/>
      <c r="AB139" s="74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U139" s="84"/>
    </row>
    <row r="140" spans="1:47">
      <c r="A140" s="1" t="s">
        <v>377</v>
      </c>
      <c r="B140" s="1"/>
      <c r="C140" s="21">
        <f>[46]Sheet1!$F$2</f>
        <v>4673</v>
      </c>
      <c r="D140" s="301">
        <v>1.65</v>
      </c>
      <c r="E140" s="1"/>
      <c r="F140" s="2">
        <f>ROUND(D140*$C140,0)</f>
        <v>7710</v>
      </c>
      <c r="G140" s="301">
        <v>1.65</v>
      </c>
      <c r="H140" s="1"/>
      <c r="I140" s="2">
        <f t="shared" ref="I140:I141" si="37">ROUND(G140*C140,0)</f>
        <v>7710</v>
      </c>
      <c r="J140" s="301">
        <f ca="1">$J$91</f>
        <v>1.8341595399830823</v>
      </c>
      <c r="K140" s="1"/>
      <c r="L140" s="2">
        <f ca="1">ROUND(J140*$C140,0)</f>
        <v>8571</v>
      </c>
      <c r="M140" s="2"/>
      <c r="N140" s="301">
        <v>0</v>
      </c>
      <c r="O140" s="1"/>
      <c r="P140" s="2">
        <f>ROUND(N140*$C140,0)</f>
        <v>0</v>
      </c>
      <c r="Q140" s="2"/>
      <c r="R140" s="301">
        <v>0</v>
      </c>
      <c r="S140" s="1"/>
      <c r="T140" s="2">
        <f>ROUND(R140*$C140,0)</f>
        <v>0</v>
      </c>
      <c r="U140" s="2"/>
      <c r="V140" s="301">
        <f ca="1">V91</f>
        <v>1.8341595399830823</v>
      </c>
      <c r="W140" s="1"/>
      <c r="X140" s="2">
        <f ca="1">ROUND(V140*$C140,0)</f>
        <v>8571</v>
      </c>
      <c r="Y140" s="20"/>
      <c r="Z140" s="74"/>
      <c r="AA140" s="74"/>
      <c r="AB140" s="74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U140" s="84"/>
    </row>
    <row r="141" spans="1:47">
      <c r="A141" s="303" t="s">
        <v>379</v>
      </c>
      <c r="B141" s="303"/>
      <c r="C141" s="21">
        <f>[46]Sheet1!$G$2</f>
        <v>616</v>
      </c>
      <c r="D141" s="301">
        <v>3.2</v>
      </c>
      <c r="E141" s="303"/>
      <c r="F141" s="2">
        <f>ROUND(D141*$C141,0)</f>
        <v>1971</v>
      </c>
      <c r="G141" s="301">
        <v>3.2</v>
      </c>
      <c r="H141" s="303"/>
      <c r="I141" s="2">
        <f t="shared" si="37"/>
        <v>1971</v>
      </c>
      <c r="J141" s="301">
        <f ca="1">$J$92</f>
        <v>3.6</v>
      </c>
      <c r="K141" s="303"/>
      <c r="L141" s="2">
        <f ca="1">ROUND(J141*$C141,0)</f>
        <v>2218</v>
      </c>
      <c r="M141" s="2"/>
      <c r="N141" s="301">
        <v>0</v>
      </c>
      <c r="O141" s="303"/>
      <c r="P141" s="2">
        <f>ROUND(N141*$C141,0)</f>
        <v>0</v>
      </c>
      <c r="Q141" s="2"/>
      <c r="R141" s="301">
        <v>0</v>
      </c>
      <c r="S141" s="303"/>
      <c r="T141" s="2">
        <f>ROUND(R141*$C141,0)</f>
        <v>0</v>
      </c>
      <c r="U141" s="2"/>
      <c r="V141" s="301">
        <f ca="1">V92</f>
        <v>3.6</v>
      </c>
      <c r="W141" s="303"/>
      <c r="X141" s="2">
        <f ca="1">ROUND(V141*$C141,0)</f>
        <v>2218</v>
      </c>
      <c r="Y141" s="20"/>
      <c r="Z141" s="74"/>
      <c r="AA141" s="74"/>
      <c r="AB141" s="74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U141" s="84"/>
    </row>
    <row r="142" spans="1:47">
      <c r="A142" s="303" t="s">
        <v>380</v>
      </c>
      <c r="B142" s="303"/>
      <c r="C142" s="21">
        <f>[46]Sheet1!$H$2</f>
        <v>55</v>
      </c>
      <c r="D142" s="304">
        <v>-1.65</v>
      </c>
      <c r="E142" s="303"/>
      <c r="F142" s="2">
        <f>ROUND(D142*$C142,0)</f>
        <v>-91</v>
      </c>
      <c r="G142" s="304">
        <v>-1.65</v>
      </c>
      <c r="H142" s="303"/>
      <c r="I142" s="2">
        <f>ROUND(G142*C142,0)</f>
        <v>-91</v>
      </c>
      <c r="J142" s="304">
        <f ca="1">-J140</f>
        <v>-1.8341595399830823</v>
      </c>
      <c r="K142" s="303"/>
      <c r="L142" s="2">
        <f ca="1">ROUND(J142*$C142,0)</f>
        <v>-101</v>
      </c>
      <c r="M142" s="2"/>
      <c r="N142" s="304">
        <f>-N140</f>
        <v>0</v>
      </c>
      <c r="O142" s="303"/>
      <c r="P142" s="2">
        <f>ROUND(N142*$C142,0)</f>
        <v>0</v>
      </c>
      <c r="Q142" s="2"/>
      <c r="R142" s="304">
        <f>-R140</f>
        <v>0</v>
      </c>
      <c r="S142" s="303"/>
      <c r="T142" s="2">
        <f>ROUND(R142*$C142,0)</f>
        <v>0</v>
      </c>
      <c r="U142" s="2"/>
      <c r="V142" s="304">
        <f ca="1">-V140</f>
        <v>-1.8341595399830823</v>
      </c>
      <c r="W142" s="303"/>
      <c r="X142" s="2">
        <f ca="1">ROUND(V142*$C142,0)</f>
        <v>-101</v>
      </c>
      <c r="Y142" s="20"/>
      <c r="Z142" s="74"/>
      <c r="AA142" s="74"/>
      <c r="AB142" s="74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U142" s="84"/>
    </row>
    <row r="143" spans="1:47" s="1184" customFormat="1">
      <c r="A143" s="1005" t="s">
        <v>914</v>
      </c>
      <c r="C143" s="1202">
        <f>C138</f>
        <v>549805.35240128019</v>
      </c>
      <c r="D143" s="269"/>
      <c r="E143" s="1185"/>
      <c r="F143" s="1203"/>
      <c r="G143" s="269"/>
      <c r="H143" s="1185"/>
      <c r="I143" s="1203"/>
      <c r="J143" s="1230">
        <f>J128</f>
        <v>2.6339999999999999</v>
      </c>
      <c r="K143" s="1219" t="s">
        <v>374</v>
      </c>
      <c r="L143" s="1203">
        <f t="shared" ref="L143:L144" si="38">J143*C143/100</f>
        <v>14481.872982249719</v>
      </c>
      <c r="M143" s="1203"/>
      <c r="N143" s="1230" t="str">
        <f>N128</f>
        <v xml:space="preserve"> </v>
      </c>
      <c r="O143" s="1219" t="s">
        <v>374</v>
      </c>
      <c r="P143" s="1203">
        <f>N143*C143/100</f>
        <v>0</v>
      </c>
      <c r="Q143" s="1203"/>
      <c r="R143" s="1230">
        <f>R128</f>
        <v>0</v>
      </c>
      <c r="S143" s="1219" t="s">
        <v>374</v>
      </c>
      <c r="T143" s="1203">
        <f>R143*C143/100</f>
        <v>0</v>
      </c>
      <c r="U143" s="1203"/>
      <c r="V143" s="1230">
        <f>V128</f>
        <v>2.6339999999999999</v>
      </c>
      <c r="W143" s="1219" t="s">
        <v>374</v>
      </c>
      <c r="X143" s="1203">
        <f>V143*C143/100</f>
        <v>14481.872982249719</v>
      </c>
      <c r="Z143" s="815"/>
      <c r="AC143" s="1205"/>
      <c r="AD143" s="1205"/>
      <c r="AI143" s="1185"/>
      <c r="AJ143" s="1185"/>
      <c r="AK143" s="1185"/>
      <c r="AL143" s="1185"/>
      <c r="AM143" s="1185"/>
      <c r="AN143" s="1185"/>
      <c r="AO143" s="1185"/>
      <c r="AP143" s="1185"/>
      <c r="AQ143" s="1185"/>
      <c r="AR143" s="1185"/>
      <c r="AS143" s="1185"/>
      <c r="AU143" s="1204"/>
    </row>
    <row r="144" spans="1:47" s="1184" customFormat="1">
      <c r="A144" s="1005" t="s">
        <v>915</v>
      </c>
      <c r="C144" s="1202">
        <f>C139</f>
        <v>1650803.2299577619</v>
      </c>
      <c r="D144" s="269"/>
      <c r="E144" s="1185"/>
      <c r="F144" s="1203"/>
      <c r="G144" s="269"/>
      <c r="H144" s="1185"/>
      <c r="I144" s="1203"/>
      <c r="J144" s="1230">
        <f>J129</f>
        <v>4.53</v>
      </c>
      <c r="K144" s="1219" t="s">
        <v>374</v>
      </c>
      <c r="L144" s="1203">
        <f t="shared" si="38"/>
        <v>74781.386317086624</v>
      </c>
      <c r="M144" s="1203"/>
      <c r="N144" s="1230" t="str">
        <f>N129</f>
        <v xml:space="preserve"> </v>
      </c>
      <c r="O144" s="1219" t="s">
        <v>374</v>
      </c>
      <c r="P144" s="1203">
        <f>N144*C144/100</f>
        <v>0</v>
      </c>
      <c r="Q144" s="1203"/>
      <c r="R144" s="1230">
        <f>R129</f>
        <v>0</v>
      </c>
      <c r="S144" s="1219" t="s">
        <v>374</v>
      </c>
      <c r="T144" s="1203">
        <f>R144*C144/100</f>
        <v>0</v>
      </c>
      <c r="U144" s="1203"/>
      <c r="V144" s="1230">
        <f>V129</f>
        <v>4.53</v>
      </c>
      <c r="W144" s="1219" t="s">
        <v>374</v>
      </c>
      <c r="X144" s="1203">
        <f>V144*C144/100</f>
        <v>74781.386317086624</v>
      </c>
      <c r="Z144" s="815"/>
      <c r="AC144" s="1205"/>
      <c r="AD144" s="1205"/>
      <c r="AI144" s="1185"/>
      <c r="AJ144" s="1185"/>
      <c r="AK144" s="1185"/>
      <c r="AL144" s="1185"/>
      <c r="AM144" s="1185"/>
      <c r="AN144" s="1185"/>
      <c r="AO144" s="1185"/>
      <c r="AP144" s="1185"/>
      <c r="AQ144" s="1185"/>
      <c r="AR144" s="1185"/>
      <c r="AS144" s="1185"/>
      <c r="AU144" s="1204"/>
    </row>
    <row r="145" spans="1:47">
      <c r="A145" s="1" t="s">
        <v>381</v>
      </c>
      <c r="B145" s="305"/>
      <c r="C145" s="21">
        <f>SUM(C138:C139)</f>
        <v>2200608.582359042</v>
      </c>
      <c r="D145" s="988"/>
      <c r="E145" s="2"/>
      <c r="F145" s="2">
        <f>SUM(F137:F142)</f>
        <v>203844</v>
      </c>
      <c r="G145" s="988"/>
      <c r="H145" s="2"/>
      <c r="I145" s="2">
        <f>SUM(I137:I142)</f>
        <v>213619</v>
      </c>
      <c r="J145" s="2"/>
      <c r="K145" s="2"/>
      <c r="L145" s="2">
        <f ca="1">SUM(L137:L144)</f>
        <v>233176.25929933635</v>
      </c>
      <c r="M145" s="2"/>
      <c r="N145" s="2"/>
      <c r="O145" s="2"/>
      <c r="P145" s="2">
        <f ca="1">SUM(P137:P144)</f>
        <v>46827.583568469345</v>
      </c>
      <c r="Q145" s="2"/>
      <c r="R145" s="2"/>
      <c r="S145" s="2"/>
      <c r="T145" s="2">
        <f ca="1">SUM(T137:T144)</f>
        <v>34430</v>
      </c>
      <c r="U145" s="2"/>
      <c r="V145" s="2"/>
      <c r="W145" s="2"/>
      <c r="X145" s="2">
        <f ca="1">SUM(X137:X144)</f>
        <v>151914.25929933635</v>
      </c>
      <c r="Y145" s="20"/>
      <c r="Z145" s="74"/>
      <c r="AA145" s="74"/>
      <c r="AB145" s="74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U145" s="84"/>
    </row>
    <row r="146" spans="1:47">
      <c r="A146" s="1" t="s">
        <v>363</v>
      </c>
      <c r="B146" s="25"/>
      <c r="C146" s="317">
        <f>'Table 2'!H15</f>
        <v>-8269.9564010600807</v>
      </c>
      <c r="D146" s="309"/>
      <c r="E146" s="309"/>
      <c r="F146" s="310">
        <f>I146</f>
        <v>-432.42577033280719</v>
      </c>
      <c r="G146" s="309"/>
      <c r="H146" s="309"/>
      <c r="I146" s="310">
        <f>'Table 3'!E15</f>
        <v>-432.42577033280719</v>
      </c>
      <c r="J146" s="309"/>
      <c r="K146" s="309"/>
      <c r="L146" s="310">
        <f>I146</f>
        <v>-432.42577033280719</v>
      </c>
      <c r="M146" s="51"/>
      <c r="N146" s="309"/>
      <c r="O146" s="309"/>
      <c r="P146" s="310">
        <f ca="1">L146/$L$99*$P$99</f>
        <v>-108.65746018170601</v>
      </c>
      <c r="Q146" s="51"/>
      <c r="R146" s="309"/>
      <c r="S146" s="309"/>
      <c r="T146" s="310">
        <f ca="1">L146/$L$99*$T$99</f>
        <v>-64.111581169343339</v>
      </c>
      <c r="U146" s="51"/>
      <c r="V146" s="309"/>
      <c r="W146" s="309"/>
      <c r="X146" s="310">
        <f ca="1">L146/$L$99*$X$99</f>
        <v>-259.65672898175779</v>
      </c>
      <c r="Y146" s="444"/>
      <c r="Z146" s="287"/>
      <c r="AA146" s="74"/>
      <c r="AB146" s="74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U146" s="84"/>
    </row>
    <row r="147" spans="1:47" ht="16.5" thickBot="1">
      <c r="A147" s="1" t="s">
        <v>382</v>
      </c>
      <c r="B147" s="1"/>
      <c r="C147" s="311">
        <f>C145+C146</f>
        <v>2192338.6259579821</v>
      </c>
      <c r="D147" s="312"/>
      <c r="E147" s="312"/>
      <c r="F147" s="312">
        <f>F145+F146</f>
        <v>203411.5742296672</v>
      </c>
      <c r="G147" s="312"/>
      <c r="H147" s="312"/>
      <c r="I147" s="312">
        <f>I145+I146</f>
        <v>213186.5742296672</v>
      </c>
      <c r="J147" s="312"/>
      <c r="K147" s="312"/>
      <c r="L147" s="312">
        <f ca="1">L145+L146</f>
        <v>232743.83352900355</v>
      </c>
      <c r="M147" s="312"/>
      <c r="N147" s="312"/>
      <c r="O147" s="312"/>
      <c r="P147" s="312">
        <f ca="1">P145+P146</f>
        <v>46718.92610828764</v>
      </c>
      <c r="Q147" s="312"/>
      <c r="R147" s="312"/>
      <c r="S147" s="312"/>
      <c r="T147" s="312">
        <f ca="1">T145+T146</f>
        <v>34365.888418830655</v>
      </c>
      <c r="U147" s="312"/>
      <c r="V147" s="312"/>
      <c r="W147" s="312"/>
      <c r="X147" s="312">
        <f ca="1">X145+X146</f>
        <v>151654.60257035459</v>
      </c>
      <c r="Y147" s="411"/>
      <c r="Z147" s="470"/>
      <c r="AA147" s="74"/>
      <c r="AB147" s="74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U147" s="84"/>
    </row>
    <row r="148" spans="1:47" ht="16.5" thickTop="1">
      <c r="A148" s="1"/>
      <c r="B148" s="313"/>
      <c r="C148" s="21"/>
      <c r="D148" s="1" t="s">
        <v>31</v>
      </c>
      <c r="E148" s="21"/>
      <c r="G148" s="1" t="s">
        <v>31</v>
      </c>
      <c r="H148" s="1"/>
      <c r="J148" s="1" t="s">
        <v>31</v>
      </c>
      <c r="K148" s="1"/>
      <c r="L148" s="2" t="s">
        <v>31</v>
      </c>
      <c r="M148" s="2"/>
      <c r="N148" s="1" t="s">
        <v>31</v>
      </c>
      <c r="O148" s="1"/>
      <c r="P148" s="2" t="s">
        <v>31</v>
      </c>
      <c r="Q148" s="2"/>
      <c r="R148" s="1" t="s">
        <v>31</v>
      </c>
      <c r="S148" s="1"/>
      <c r="T148" s="2" t="s">
        <v>31</v>
      </c>
      <c r="U148" s="2"/>
      <c r="V148" s="1" t="s">
        <v>31</v>
      </c>
      <c r="W148" s="1"/>
      <c r="X148" s="2" t="s">
        <v>31</v>
      </c>
      <c r="Y148" s="20"/>
      <c r="Z148" s="74"/>
      <c r="AA148" s="74"/>
      <c r="AB148" s="74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U148" s="84"/>
    </row>
    <row r="149" spans="1:47">
      <c r="A149" s="293" t="s">
        <v>386</v>
      </c>
      <c r="B149" s="1"/>
      <c r="C149" s="1"/>
      <c r="D149" s="21"/>
      <c r="E149" s="21"/>
      <c r="F149" s="1"/>
      <c r="G149" s="21"/>
      <c r="H149" s="1"/>
      <c r="I149" s="1"/>
      <c r="J149" s="21"/>
      <c r="K149" s="1"/>
      <c r="L149" s="1"/>
      <c r="M149" s="1"/>
      <c r="N149" s="21"/>
      <c r="O149" s="1"/>
      <c r="P149" s="1"/>
      <c r="Q149" s="1"/>
      <c r="R149" s="21"/>
      <c r="S149" s="1"/>
      <c r="T149" s="1"/>
      <c r="U149" s="1"/>
      <c r="V149" s="21"/>
      <c r="W149" s="1"/>
      <c r="X149" s="1"/>
      <c r="Y149" s="20"/>
      <c r="Z149" s="74"/>
      <c r="AA149" s="74"/>
      <c r="AB149" s="74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U149" s="84"/>
    </row>
    <row r="150" spans="1:47">
      <c r="A150" s="1" t="s">
        <v>330</v>
      </c>
      <c r="B150" s="1"/>
      <c r="C150" s="1"/>
      <c r="D150" s="21"/>
      <c r="E150" s="21"/>
      <c r="F150" s="1"/>
      <c r="G150" s="21"/>
      <c r="H150" s="1"/>
      <c r="I150" s="1"/>
      <c r="J150" s="21"/>
      <c r="K150" s="1"/>
      <c r="L150" s="1"/>
      <c r="M150" s="1"/>
      <c r="N150" s="21"/>
      <c r="O150" s="1"/>
      <c r="P150" s="1"/>
      <c r="Q150" s="1"/>
      <c r="R150" s="21"/>
      <c r="S150" s="1"/>
      <c r="T150" s="1"/>
      <c r="U150" s="1"/>
      <c r="V150" s="21"/>
      <c r="W150" s="1"/>
      <c r="X150" s="1"/>
      <c r="Y150" s="20"/>
      <c r="Z150" s="74"/>
      <c r="AA150" s="74"/>
      <c r="AB150" s="74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U150" s="84"/>
    </row>
    <row r="151" spans="1:47">
      <c r="A151" s="297"/>
      <c r="B151" s="1"/>
      <c r="C151" s="1"/>
      <c r="D151" s="21"/>
      <c r="E151" s="21"/>
      <c r="F151" s="1"/>
      <c r="G151" s="21"/>
      <c r="H151" s="1"/>
      <c r="I151" s="1"/>
      <c r="J151" s="21"/>
      <c r="K151" s="1"/>
      <c r="L151" s="1"/>
      <c r="M151" s="1"/>
      <c r="N151" s="21"/>
      <c r="O151" s="1"/>
      <c r="P151" s="1"/>
      <c r="Q151" s="1"/>
      <c r="R151" s="21"/>
      <c r="S151" s="1"/>
      <c r="T151" s="1"/>
      <c r="U151" s="1"/>
      <c r="V151" s="21"/>
      <c r="W151" s="1"/>
      <c r="X151" s="1"/>
      <c r="Y151" s="20"/>
      <c r="Z151" s="74"/>
      <c r="AA151" s="74"/>
      <c r="AB151" s="74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U151" s="84"/>
    </row>
    <row r="152" spans="1:47">
      <c r="A152" s="1" t="s">
        <v>370</v>
      </c>
      <c r="B152" s="1"/>
      <c r="C152" s="21">
        <f>[46]Sheet1!$C$3</f>
        <v>215.96779569892499</v>
      </c>
      <c r="D152" s="298">
        <v>6</v>
      </c>
      <c r="E152" s="1"/>
      <c r="F152" s="2">
        <f>ROUND(D152*$C152,0)</f>
        <v>1296</v>
      </c>
      <c r="G152" s="298">
        <v>7.75</v>
      </c>
      <c r="H152" s="1"/>
      <c r="I152" s="2">
        <f>ROUND(G152*C152,0)</f>
        <v>1674</v>
      </c>
      <c r="J152" s="298">
        <f>$J$88</f>
        <v>14</v>
      </c>
      <c r="K152" s="1"/>
      <c r="L152" s="2">
        <f>ROUND(J152*$C152,0)</f>
        <v>3024</v>
      </c>
      <c r="M152" s="2"/>
      <c r="N152" s="298">
        <f>$N$88</f>
        <v>14</v>
      </c>
      <c r="O152" s="1"/>
      <c r="P152" s="2">
        <f>N152*$C152</f>
        <v>3023.5491397849501</v>
      </c>
      <c r="Q152" s="2"/>
      <c r="R152" s="298" t="str">
        <f>$R$88</f>
        <v xml:space="preserve"> </v>
      </c>
      <c r="S152" s="1"/>
      <c r="T152" s="2">
        <f>ROUND(R152*$C152,0)</f>
        <v>0</v>
      </c>
      <c r="U152" s="2"/>
      <c r="V152" s="298" t="str">
        <f>$V$88</f>
        <v xml:space="preserve"> </v>
      </c>
      <c r="W152" s="1"/>
      <c r="X152" s="2">
        <f>ROUND(V152*$C152,0)</f>
        <v>0</v>
      </c>
      <c r="Y152" s="20"/>
      <c r="Z152" s="74"/>
      <c r="AA152" s="74"/>
      <c r="AB152" s="74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U152" s="84"/>
    </row>
    <row r="153" spans="1:47">
      <c r="A153" s="1" t="s">
        <v>373</v>
      </c>
      <c r="B153" s="1"/>
      <c r="C153" s="21">
        <f>[46]Sheet1!$E$3</f>
        <v>127178.67741935499</v>
      </c>
      <c r="D153" s="299">
        <v>5.9489999999999998</v>
      </c>
      <c r="E153" s="1" t="s">
        <v>374</v>
      </c>
      <c r="F153" s="2">
        <f>ROUND(D153*$C153/100,0)</f>
        <v>7566</v>
      </c>
      <c r="G153" s="299">
        <v>6.1989999999999998</v>
      </c>
      <c r="H153" s="1" t="s">
        <v>374</v>
      </c>
      <c r="I153" s="2">
        <f>ROUND(C153*G153/100,0)</f>
        <v>7884</v>
      </c>
      <c r="J153" s="299">
        <f>$J$89</f>
        <v>3.9460000000000002</v>
      </c>
      <c r="K153" s="1" t="s">
        <v>374</v>
      </c>
      <c r="L153" s="2">
        <f>ROUND(J153*$C153/100,0)</f>
        <v>5018</v>
      </c>
      <c r="M153" s="2"/>
      <c r="N153" s="299">
        <f ca="1">N89</f>
        <v>1.0805215737536096</v>
      </c>
      <c r="O153" s="1" t="s">
        <v>374</v>
      </c>
      <c r="P153" s="2">
        <f ca="1">N153*$C153/100</f>
        <v>1374.1930467306413</v>
      </c>
      <c r="Q153" s="2"/>
      <c r="R153" s="299">
        <f ca="1">R89</f>
        <v>1.14190334052872</v>
      </c>
      <c r="S153" s="1" t="s">
        <v>374</v>
      </c>
      <c r="T153" s="2">
        <f ca="1">ROUND(R153*$C153/100,0)</f>
        <v>1452</v>
      </c>
      <c r="U153" s="2"/>
      <c r="V153" s="299">
        <f ca="1">V89</f>
        <v>1.7225749208771735</v>
      </c>
      <c r="W153" s="1" t="s">
        <v>374</v>
      </c>
      <c r="X153" s="2">
        <f ca="1">ROUND(V153*$C153/100,0)</f>
        <v>2191</v>
      </c>
      <c r="Y153" s="20"/>
      <c r="Z153" s="74"/>
      <c r="AA153" s="74"/>
      <c r="AB153" s="74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U153" s="84"/>
    </row>
    <row r="154" spans="1:47">
      <c r="A154" s="1" t="s">
        <v>375</v>
      </c>
      <c r="B154" s="1"/>
      <c r="C154" s="21">
        <f>[46]Sheet1!$D$3-C153</f>
        <v>310537.32258064498</v>
      </c>
      <c r="D154" s="299">
        <v>9.4159999999999986</v>
      </c>
      <c r="E154" s="1" t="s">
        <v>374</v>
      </c>
      <c r="F154" s="2">
        <f>ROUND(D154*$C154/100,0)</f>
        <v>29240</v>
      </c>
      <c r="G154" s="299">
        <v>9.8170000000000002</v>
      </c>
      <c r="H154" s="1" t="s">
        <v>374</v>
      </c>
      <c r="I154" s="2">
        <f>ROUND(C154*G154/100,0)</f>
        <v>30485</v>
      </c>
      <c r="J154" s="299">
        <f>$J$90</f>
        <v>5.8929999999999998</v>
      </c>
      <c r="K154" s="1" t="s">
        <v>374</v>
      </c>
      <c r="L154" s="2">
        <f>ROUND(J154*$C154/100,0)</f>
        <v>18300</v>
      </c>
      <c r="M154" s="2"/>
      <c r="N154" s="299">
        <f ca="1">N90</f>
        <v>1.6136629083967549</v>
      </c>
      <c r="O154" s="1" t="s">
        <v>374</v>
      </c>
      <c r="P154" s="2">
        <f ca="1">N154*$C154/100</f>
        <v>5011.0255912122484</v>
      </c>
      <c r="Q154" s="2"/>
      <c r="R154" s="299">
        <f ca="1">R90</f>
        <v>1.7053311200297436</v>
      </c>
      <c r="S154" s="1" t="s">
        <v>374</v>
      </c>
      <c r="T154" s="2">
        <f ca="1">ROUND(R154*$C154/100,0)</f>
        <v>5296</v>
      </c>
      <c r="U154" s="2"/>
      <c r="V154" s="299">
        <f ca="1">V90</f>
        <v>2.5740059127191262</v>
      </c>
      <c r="W154" s="1" t="s">
        <v>374</v>
      </c>
      <c r="X154" s="2">
        <f ca="1">ROUND(V154*$C154/100,0)</f>
        <v>7993</v>
      </c>
      <c r="Y154" s="20"/>
      <c r="Z154" s="74"/>
      <c r="AA154" s="74"/>
      <c r="AB154" s="74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U154" s="84"/>
    </row>
    <row r="155" spans="1:47">
      <c r="A155" s="1" t="s">
        <v>377</v>
      </c>
      <c r="B155" s="1"/>
      <c r="C155" s="21">
        <f>[46]Sheet1!$F$3</f>
        <v>773</v>
      </c>
      <c r="D155" s="301">
        <v>1.65</v>
      </c>
      <c r="E155" s="1"/>
      <c r="F155" s="2">
        <f>ROUND(D155*$C155,0)</f>
        <v>1275</v>
      </c>
      <c r="G155" s="301">
        <v>1.65</v>
      </c>
      <c r="H155" s="1"/>
      <c r="I155" s="2">
        <f t="shared" ref="I155:I156" si="39">ROUND(G155*C155,0)</f>
        <v>1275</v>
      </c>
      <c r="J155" s="301">
        <f ca="1">$J$91</f>
        <v>1.8341595399830823</v>
      </c>
      <c r="K155" s="1"/>
      <c r="L155" s="2">
        <f ca="1">ROUND(J155*$C155,0)</f>
        <v>1418</v>
      </c>
      <c r="M155" s="2"/>
      <c r="N155" s="301">
        <v>0</v>
      </c>
      <c r="O155" s="1"/>
      <c r="P155" s="2">
        <f>ROUND(N155*$C155,0)</f>
        <v>0</v>
      </c>
      <c r="Q155" s="2"/>
      <c r="R155" s="301">
        <v>0</v>
      </c>
      <c r="S155" s="1"/>
      <c r="T155" s="2">
        <f>ROUND(R155*$C155,0)</f>
        <v>0</v>
      </c>
      <c r="U155" s="2"/>
      <c r="V155" s="301">
        <f ca="1">V91</f>
        <v>1.8341595399830823</v>
      </c>
      <c r="W155" s="1"/>
      <c r="X155" s="2">
        <f ca="1">ROUND(V155*$C155,0)</f>
        <v>1418</v>
      </c>
      <c r="Y155" s="20"/>
      <c r="Z155" s="74"/>
      <c r="AA155" s="74"/>
      <c r="AB155" s="74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U155" s="84"/>
    </row>
    <row r="156" spans="1:47">
      <c r="A156" s="303" t="s">
        <v>379</v>
      </c>
      <c r="B156" s="303"/>
      <c r="C156" s="21">
        <f>[46]Sheet1!$G$3</f>
        <v>107</v>
      </c>
      <c r="D156" s="301">
        <v>3.2</v>
      </c>
      <c r="E156" s="303"/>
      <c r="F156" s="2">
        <f>ROUND(D156*$C156,0)</f>
        <v>342</v>
      </c>
      <c r="G156" s="301">
        <v>3.2</v>
      </c>
      <c r="H156" s="303"/>
      <c r="I156" s="2">
        <f t="shared" si="39"/>
        <v>342</v>
      </c>
      <c r="J156" s="301">
        <f ca="1">$J$92</f>
        <v>3.6</v>
      </c>
      <c r="K156" s="303"/>
      <c r="L156" s="2">
        <f ca="1">ROUND(J156*$C156,0)</f>
        <v>385</v>
      </c>
      <c r="M156" s="2"/>
      <c r="N156" s="301">
        <v>0</v>
      </c>
      <c r="O156" s="303"/>
      <c r="P156" s="2">
        <f>ROUND(N156*$C156,0)</f>
        <v>0</v>
      </c>
      <c r="Q156" s="2"/>
      <c r="R156" s="301">
        <v>0</v>
      </c>
      <c r="S156" s="303"/>
      <c r="T156" s="2">
        <f>ROUND(R156*$C156,0)</f>
        <v>0</v>
      </c>
      <c r="U156" s="2"/>
      <c r="V156" s="301">
        <f ca="1">V92</f>
        <v>3.6</v>
      </c>
      <c r="W156" s="303"/>
      <c r="X156" s="2">
        <f ca="1">ROUND(V156*$C156,0)</f>
        <v>385</v>
      </c>
      <c r="Y156" s="20"/>
      <c r="Z156" s="74"/>
      <c r="AA156" s="74"/>
      <c r="AB156" s="74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U156" s="84"/>
    </row>
    <row r="157" spans="1:47">
      <c r="A157" s="303" t="s">
        <v>380</v>
      </c>
      <c r="B157" s="303"/>
      <c r="C157" s="21">
        <f>[46]Sheet1!$H$3</f>
        <v>15</v>
      </c>
      <c r="D157" s="304">
        <v>-1.65</v>
      </c>
      <c r="E157" s="303"/>
      <c r="F157" s="2">
        <f>ROUND(D157*$C157,0)</f>
        <v>-25</v>
      </c>
      <c r="G157" s="304">
        <v>-1.65</v>
      </c>
      <c r="H157" s="303"/>
      <c r="I157" s="2">
        <f>ROUND(G157*C157,0)</f>
        <v>-25</v>
      </c>
      <c r="J157" s="304">
        <f ca="1">-J155</f>
        <v>-1.8341595399830823</v>
      </c>
      <c r="K157" s="303"/>
      <c r="L157" s="2">
        <f ca="1">ROUND(J157*$C157,0)</f>
        <v>-28</v>
      </c>
      <c r="M157" s="2"/>
      <c r="N157" s="304">
        <f>-N155</f>
        <v>0</v>
      </c>
      <c r="O157" s="303"/>
      <c r="P157" s="2">
        <f>ROUND(N157*$C157,0)</f>
        <v>0</v>
      </c>
      <c r="Q157" s="2"/>
      <c r="R157" s="304">
        <f>-R155</f>
        <v>0</v>
      </c>
      <c r="S157" s="303"/>
      <c r="T157" s="2">
        <f>ROUND(R157*$C157,0)</f>
        <v>0</v>
      </c>
      <c r="U157" s="2"/>
      <c r="V157" s="304">
        <f ca="1">-V155</f>
        <v>-1.8341595399830823</v>
      </c>
      <c r="W157" s="303"/>
      <c r="X157" s="2">
        <f ca="1">ROUND(V157*$C157,0)</f>
        <v>-28</v>
      </c>
      <c r="Y157" s="20"/>
      <c r="Z157" s="74"/>
      <c r="AA157" s="74"/>
      <c r="AB157" s="74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U157" s="84"/>
    </row>
    <row r="158" spans="1:47" s="1184" customFormat="1">
      <c r="A158" s="1005" t="s">
        <v>914</v>
      </c>
      <c r="C158" s="1202">
        <f>C153</f>
        <v>127178.67741935499</v>
      </c>
      <c r="D158" s="269"/>
      <c r="E158" s="1185"/>
      <c r="F158" s="1203"/>
      <c r="G158" s="269"/>
      <c r="H158" s="1185"/>
      <c r="I158" s="1203"/>
      <c r="J158" s="1230">
        <f>J143</f>
        <v>2.6339999999999999</v>
      </c>
      <c r="K158" s="1219" t="s">
        <v>374</v>
      </c>
      <c r="L158" s="1203">
        <f t="shared" ref="L158:L159" si="40">J158*C158/100</f>
        <v>3349.8863632258103</v>
      </c>
      <c r="M158" s="1203"/>
      <c r="N158" s="1230" t="str">
        <f>N143</f>
        <v xml:space="preserve"> </v>
      </c>
      <c r="O158" s="1219" t="s">
        <v>374</v>
      </c>
      <c r="P158" s="1203">
        <f>N158*C158/100</f>
        <v>0</v>
      </c>
      <c r="Q158" s="1203"/>
      <c r="R158" s="1230">
        <f>R143</f>
        <v>0</v>
      </c>
      <c r="S158" s="1219" t="s">
        <v>374</v>
      </c>
      <c r="T158" s="1203">
        <f>R158*C158/100</f>
        <v>0</v>
      </c>
      <c r="U158" s="1203"/>
      <c r="V158" s="1230">
        <f>V143</f>
        <v>2.6339999999999999</v>
      </c>
      <c r="W158" s="1219" t="s">
        <v>374</v>
      </c>
      <c r="X158" s="1203">
        <f>V158*C158/100</f>
        <v>3349.8863632258103</v>
      </c>
      <c r="Z158" s="815"/>
      <c r="AC158" s="1205"/>
      <c r="AD158" s="1205"/>
      <c r="AI158" s="1185"/>
      <c r="AJ158" s="1185"/>
      <c r="AK158" s="1185"/>
      <c r="AL158" s="1185"/>
      <c r="AM158" s="1185"/>
      <c r="AN158" s="1185"/>
      <c r="AO158" s="1185"/>
      <c r="AP158" s="1185"/>
      <c r="AQ158" s="1185"/>
      <c r="AR158" s="1185"/>
      <c r="AS158" s="1185"/>
      <c r="AU158" s="1204"/>
    </row>
    <row r="159" spans="1:47" s="1184" customFormat="1">
      <c r="A159" s="1005" t="s">
        <v>915</v>
      </c>
      <c r="C159" s="1202">
        <f>C154</f>
        <v>310537.32258064498</v>
      </c>
      <c r="D159" s="269"/>
      <c r="E159" s="1185"/>
      <c r="F159" s="1203"/>
      <c r="G159" s="269"/>
      <c r="H159" s="1185"/>
      <c r="I159" s="1203"/>
      <c r="J159" s="1230">
        <f>J144</f>
        <v>4.53</v>
      </c>
      <c r="K159" s="1219" t="s">
        <v>374</v>
      </c>
      <c r="L159" s="1203">
        <f t="shared" si="40"/>
        <v>14067.340712903218</v>
      </c>
      <c r="M159" s="1203"/>
      <c r="N159" s="1230" t="str">
        <f>N144</f>
        <v xml:space="preserve"> </v>
      </c>
      <c r="O159" s="1219" t="s">
        <v>374</v>
      </c>
      <c r="P159" s="1203">
        <f>N159*C159/100</f>
        <v>0</v>
      </c>
      <c r="Q159" s="1203"/>
      <c r="R159" s="1230">
        <f>R144</f>
        <v>0</v>
      </c>
      <c r="S159" s="1219" t="s">
        <v>374</v>
      </c>
      <c r="T159" s="1203">
        <f>R159*C159/100</f>
        <v>0</v>
      </c>
      <c r="U159" s="1203"/>
      <c r="V159" s="1230">
        <f>V144</f>
        <v>4.53</v>
      </c>
      <c r="W159" s="1219" t="s">
        <v>374</v>
      </c>
      <c r="X159" s="1203">
        <f>V159*C159/100</f>
        <v>14067.340712903218</v>
      </c>
      <c r="Z159" s="815"/>
      <c r="AC159" s="1205"/>
      <c r="AD159" s="1205"/>
      <c r="AI159" s="1185"/>
      <c r="AJ159" s="1185"/>
      <c r="AK159" s="1185"/>
      <c r="AL159" s="1185"/>
      <c r="AM159" s="1185"/>
      <c r="AN159" s="1185"/>
      <c r="AO159" s="1185"/>
      <c r="AP159" s="1185"/>
      <c r="AQ159" s="1185"/>
      <c r="AR159" s="1185"/>
      <c r="AS159" s="1185"/>
      <c r="AU159" s="1204"/>
    </row>
    <row r="160" spans="1:47">
      <c r="A160" s="1" t="s">
        <v>381</v>
      </c>
      <c r="B160" s="1"/>
      <c r="C160" s="21">
        <f>SUM(C153:C154)</f>
        <v>437716</v>
      </c>
      <c r="D160" s="988"/>
      <c r="E160" s="2"/>
      <c r="F160" s="2">
        <f>SUM(F152:F157)</f>
        <v>39694</v>
      </c>
      <c r="G160" s="988"/>
      <c r="H160" s="2"/>
      <c r="I160" s="2">
        <f>SUM(I152:I157)</f>
        <v>41635</v>
      </c>
      <c r="J160" s="2"/>
      <c r="K160" s="2"/>
      <c r="L160" s="2">
        <f ca="1">SUM(L152:L159)</f>
        <v>45534.227076129027</v>
      </c>
      <c r="M160" s="2"/>
      <c r="N160" s="2"/>
      <c r="O160" s="2"/>
      <c r="P160" s="2">
        <f ca="1">SUM(P152:P159)</f>
        <v>9408.7677777278404</v>
      </c>
      <c r="Q160" s="2"/>
      <c r="R160" s="2"/>
      <c r="S160" s="2"/>
      <c r="T160" s="2">
        <f ca="1">SUM(T152:T159)</f>
        <v>6748</v>
      </c>
      <c r="U160" s="2"/>
      <c r="V160" s="2"/>
      <c r="W160" s="2"/>
      <c r="X160" s="2">
        <f ca="1">SUM(X152:X159)</f>
        <v>29376.227076129027</v>
      </c>
      <c r="Y160" s="20"/>
      <c r="Z160" s="74"/>
      <c r="AA160" s="74"/>
      <c r="AB160" s="74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U160" s="84"/>
    </row>
    <row r="161" spans="1:54">
      <c r="A161" s="1" t="s">
        <v>363</v>
      </c>
      <c r="B161" s="1"/>
      <c r="C161" s="317">
        <f>'Table 2'!H16</f>
        <v>-1581.2292178126904</v>
      </c>
      <c r="D161" s="309"/>
      <c r="E161" s="309"/>
      <c r="F161" s="310">
        <f>I161</f>
        <v>-81.187001071598146</v>
      </c>
      <c r="G161" s="309"/>
      <c r="H161" s="309"/>
      <c r="I161" s="310">
        <f>'Table 3'!E16</f>
        <v>-81.187001071598146</v>
      </c>
      <c r="J161" s="309"/>
      <c r="K161" s="309"/>
      <c r="L161" s="310">
        <f>I161</f>
        <v>-81.187001071598146</v>
      </c>
      <c r="M161" s="51"/>
      <c r="N161" s="309"/>
      <c r="O161" s="309"/>
      <c r="P161" s="310">
        <f ca="1">L161/$L$99*$P$99</f>
        <v>-20.400202627655528</v>
      </c>
      <c r="Q161" s="51"/>
      <c r="R161" s="309"/>
      <c r="S161" s="309"/>
      <c r="T161" s="310">
        <f ca="1">L161/$L$99*$T$99</f>
        <v>-12.036810398907058</v>
      </c>
      <c r="U161" s="51"/>
      <c r="V161" s="309"/>
      <c r="W161" s="309"/>
      <c r="X161" s="310">
        <f ca="1">L161/$L$99*$X$99</f>
        <v>-48.74998804503555</v>
      </c>
      <c r="Y161" s="444"/>
      <c r="Z161" s="287"/>
      <c r="AA161" s="74"/>
      <c r="AB161" s="74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U161" s="84"/>
    </row>
    <row r="162" spans="1:54" ht="16.5" thickBot="1">
      <c r="A162" s="1" t="s">
        <v>382</v>
      </c>
      <c r="B162" s="1"/>
      <c r="C162" s="311">
        <f>C160+C161</f>
        <v>436134.77078218729</v>
      </c>
      <c r="D162" s="312"/>
      <c r="E162" s="312"/>
      <c r="F162" s="312">
        <f>F160+F161</f>
        <v>39612.812998928399</v>
      </c>
      <c r="G162" s="312"/>
      <c r="H162" s="312"/>
      <c r="I162" s="312">
        <f>I160+I161</f>
        <v>41553.812998928399</v>
      </c>
      <c r="J162" s="312"/>
      <c r="K162" s="312"/>
      <c r="L162" s="312">
        <f ca="1">L160+L161</f>
        <v>45453.040075057426</v>
      </c>
      <c r="M162" s="312"/>
      <c r="N162" s="312"/>
      <c r="O162" s="312"/>
      <c r="P162" s="312">
        <f ca="1">P160+P161</f>
        <v>9388.3675751001847</v>
      </c>
      <c r="Q162" s="312"/>
      <c r="R162" s="312"/>
      <c r="S162" s="312"/>
      <c r="T162" s="312">
        <f ca="1">T160+T161</f>
        <v>6735.9631896010933</v>
      </c>
      <c r="U162" s="312"/>
      <c r="V162" s="312"/>
      <c r="W162" s="312"/>
      <c r="X162" s="312">
        <f ca="1">X160+X161</f>
        <v>29327.477088083993</v>
      </c>
      <c r="Y162" s="411"/>
      <c r="Z162" s="470"/>
      <c r="AA162" s="74"/>
      <c r="AB162" s="74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U162" s="84"/>
    </row>
    <row r="163" spans="1:54" ht="16.5" thickTop="1">
      <c r="A163" s="1"/>
      <c r="B163" s="313"/>
      <c r="C163" s="21"/>
      <c r="D163" s="1" t="s">
        <v>31</v>
      </c>
      <c r="E163" s="21"/>
      <c r="G163" s="1" t="s">
        <v>31</v>
      </c>
      <c r="H163" s="1"/>
      <c r="J163" s="1" t="s">
        <v>31</v>
      </c>
      <c r="K163" s="1"/>
      <c r="L163" s="2" t="s">
        <v>31</v>
      </c>
      <c r="M163" s="2"/>
      <c r="N163" s="1" t="s">
        <v>31</v>
      </c>
      <c r="O163" s="1"/>
      <c r="P163" s="2" t="s">
        <v>31</v>
      </c>
      <c r="Q163" s="2"/>
      <c r="R163" s="1" t="s">
        <v>31</v>
      </c>
      <c r="S163" s="1"/>
      <c r="T163" s="2" t="s">
        <v>31</v>
      </c>
      <c r="U163" s="2"/>
      <c r="V163" s="1" t="s">
        <v>31</v>
      </c>
      <c r="W163" s="1"/>
      <c r="X163" s="2" t="s">
        <v>31</v>
      </c>
      <c r="Y163" s="20"/>
      <c r="Z163" s="74"/>
      <c r="AA163" s="74"/>
      <c r="AB163" s="74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U163" s="84"/>
    </row>
    <row r="164" spans="1:54">
      <c r="A164" s="293" t="s">
        <v>387</v>
      </c>
      <c r="B164" s="1"/>
      <c r="C164" s="1" t="s">
        <v>31</v>
      </c>
      <c r="D164" s="2"/>
      <c r="E164" s="2"/>
      <c r="F164" s="1" t="s">
        <v>31</v>
      </c>
      <c r="G164" s="2"/>
      <c r="H164" s="1"/>
      <c r="I164" s="1"/>
      <c r="J164" s="2"/>
      <c r="K164" s="1"/>
      <c r="L164" s="1"/>
      <c r="M164" s="1"/>
      <c r="N164" s="2"/>
      <c r="O164" s="1"/>
      <c r="P164" s="1"/>
      <c r="Q164" s="1"/>
      <c r="R164" s="2"/>
      <c r="S164" s="1"/>
      <c r="T164" s="1"/>
      <c r="U164" s="1"/>
      <c r="V164" s="2"/>
      <c r="W164" s="1"/>
      <c r="X164" s="1"/>
      <c r="Y164" s="20"/>
      <c r="Z164" s="74"/>
      <c r="AA164" s="74"/>
      <c r="AB164" s="74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U164" s="84"/>
    </row>
    <row r="165" spans="1:54">
      <c r="A165" s="1" t="s">
        <v>388</v>
      </c>
      <c r="B165" s="1"/>
      <c r="C165" s="1"/>
      <c r="D165" s="2"/>
      <c r="E165" s="2"/>
      <c r="F165" s="1"/>
      <c r="G165" s="2"/>
      <c r="H165" s="1"/>
      <c r="I165" s="1"/>
      <c r="J165" s="2"/>
      <c r="K165" s="1"/>
      <c r="L165" s="1"/>
      <c r="M165" s="1"/>
      <c r="N165" s="2"/>
      <c r="O165" s="1"/>
      <c r="P165" s="1"/>
      <c r="Q165" s="1"/>
      <c r="R165" s="2"/>
      <c r="S165" s="1"/>
      <c r="T165" s="1"/>
      <c r="U165" s="1"/>
      <c r="V165" s="2"/>
      <c r="W165" s="1"/>
      <c r="X165" s="1"/>
      <c r="Y165" s="20"/>
      <c r="Z165" s="74"/>
      <c r="AA165" s="74"/>
      <c r="AB165" s="74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U165" s="84"/>
    </row>
    <row r="166" spans="1:54">
      <c r="A166" s="1"/>
      <c r="B166" s="1"/>
      <c r="C166" s="1"/>
      <c r="D166" s="2"/>
      <c r="E166" s="2"/>
      <c r="F166" s="1"/>
      <c r="G166" s="2"/>
      <c r="H166" s="1"/>
      <c r="I166" s="1"/>
      <c r="J166" s="2"/>
      <c r="K166" s="1"/>
      <c r="L166" s="1"/>
      <c r="M166" s="1"/>
      <c r="N166" s="2"/>
      <c r="O166" s="1"/>
      <c r="P166" s="1"/>
      <c r="Q166" s="1"/>
      <c r="R166" s="2"/>
      <c r="S166" s="1"/>
      <c r="T166" s="1"/>
      <c r="U166" s="1"/>
      <c r="V166" s="2"/>
      <c r="W166" s="1"/>
      <c r="X166" s="1"/>
      <c r="Y166" s="20"/>
      <c r="AA166" s="74"/>
      <c r="AB166" s="74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U166" s="84"/>
    </row>
    <row r="167" spans="1:54">
      <c r="A167" s="1" t="s">
        <v>389</v>
      </c>
      <c r="B167" s="1"/>
      <c r="C167" s="1"/>
      <c r="D167" s="2"/>
      <c r="E167" s="2"/>
      <c r="F167" s="1"/>
      <c r="G167" s="2"/>
      <c r="H167" s="1"/>
      <c r="I167" s="1"/>
      <c r="J167" s="2"/>
      <c r="K167" s="1"/>
      <c r="L167" s="1"/>
      <c r="M167" s="1"/>
      <c r="N167" s="2"/>
      <c r="O167" s="1"/>
      <c r="P167" s="1"/>
      <c r="Q167" s="1"/>
      <c r="R167" s="2"/>
      <c r="S167" s="1"/>
      <c r="T167" s="1"/>
      <c r="U167" s="1"/>
      <c r="V167" s="2"/>
      <c r="W167" s="1"/>
      <c r="X167" s="1"/>
      <c r="Y167" s="20"/>
      <c r="Z167" s="74"/>
      <c r="AA167" s="793" t="s">
        <v>643</v>
      </c>
      <c r="AB167" s="793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U167" s="84"/>
    </row>
    <row r="168" spans="1:54">
      <c r="A168" s="1" t="s">
        <v>390</v>
      </c>
      <c r="B168" s="1"/>
      <c r="C168" s="21">
        <f>C491</f>
        <v>1</v>
      </c>
      <c r="D168" s="298">
        <v>104.52000000000001</v>
      </c>
      <c r="E168" s="2"/>
      <c r="F168" s="2">
        <f t="shared" ref="F168:I170" si="41">F456</f>
        <v>105</v>
      </c>
      <c r="G168" s="298">
        <v>104.52000000000001</v>
      </c>
      <c r="H168" s="1"/>
      <c r="I168" s="2">
        <f t="shared" si="41"/>
        <v>105</v>
      </c>
      <c r="J168" s="301">
        <f>J172*12</f>
        <v>120</v>
      </c>
      <c r="K168" s="1"/>
      <c r="L168" s="2">
        <f>L456</f>
        <v>120</v>
      </c>
      <c r="M168" s="2"/>
      <c r="N168" s="301">
        <f>N172*12</f>
        <v>120</v>
      </c>
      <c r="O168" s="1"/>
      <c r="P168" s="2">
        <f>L168</f>
        <v>120</v>
      </c>
      <c r="Q168" s="2"/>
      <c r="R168" s="301" t="s">
        <v>31</v>
      </c>
      <c r="S168" s="1"/>
      <c r="T168" s="2">
        <f>R168*C168</f>
        <v>0</v>
      </c>
      <c r="U168" s="2"/>
      <c r="V168" s="301" t="s">
        <v>31</v>
      </c>
      <c r="W168" s="1"/>
      <c r="X168" s="2">
        <f>V168*C168</f>
        <v>0</v>
      </c>
      <c r="AA168" s="55">
        <f>(J168-G168)/G168</f>
        <v>0.14810562571756591</v>
      </c>
      <c r="AB168" s="55"/>
      <c r="AE168" s="53"/>
      <c r="AG168" s="53"/>
      <c r="AI168" s="53"/>
      <c r="AJ168" s="53"/>
      <c r="AU168" s="20"/>
      <c r="AV168" s="20"/>
      <c r="AW168" s="20"/>
      <c r="AX168" s="20"/>
      <c r="AY168" s="20"/>
      <c r="AZ168" s="20"/>
      <c r="BB168" s="84"/>
    </row>
    <row r="169" spans="1:54">
      <c r="A169" s="1" t="s">
        <v>391</v>
      </c>
      <c r="B169" s="1"/>
      <c r="C169" s="21">
        <f>C457</f>
        <v>86.216438356164403</v>
      </c>
      <c r="D169" s="298">
        <v>155.76</v>
      </c>
      <c r="E169" s="2"/>
      <c r="F169" s="2">
        <f t="shared" si="41"/>
        <v>13429</v>
      </c>
      <c r="G169" s="298">
        <v>155.76</v>
      </c>
      <c r="H169" s="1"/>
      <c r="I169" s="2">
        <f t="shared" si="41"/>
        <v>13429</v>
      </c>
      <c r="J169" s="301">
        <f>J173*12</f>
        <v>180</v>
      </c>
      <c r="K169" s="1"/>
      <c r="L169" s="2">
        <f>L457</f>
        <v>15519</v>
      </c>
      <c r="M169" s="2"/>
      <c r="N169" s="301">
        <f>N173*12</f>
        <v>180</v>
      </c>
      <c r="O169" s="1"/>
      <c r="P169" s="2">
        <f>L169</f>
        <v>15519</v>
      </c>
      <c r="Q169" s="2"/>
      <c r="R169" s="301" t="s">
        <v>31</v>
      </c>
      <c r="S169" s="1"/>
      <c r="T169" s="2">
        <f t="shared" ref="T169:T174" si="42">R169*C169</f>
        <v>0</v>
      </c>
      <c r="U169" s="2"/>
      <c r="V169" s="301" t="s">
        <v>31</v>
      </c>
      <c r="W169" s="1"/>
      <c r="X169" s="2">
        <f t="shared" ref="X169:X174" si="43">V169*C169</f>
        <v>0</v>
      </c>
      <c r="Y169" s="84"/>
      <c r="AA169" s="55">
        <f>(J169-G169)/G169</f>
        <v>0.15562403697996924</v>
      </c>
      <c r="AB169" s="55"/>
      <c r="AD169" s="84"/>
      <c r="AE169" s="738"/>
      <c r="AF169" s="84"/>
      <c r="AG169" s="738"/>
      <c r="AH169" s="84"/>
      <c r="AI169" s="84"/>
      <c r="AJ169" s="738"/>
      <c r="AK169" s="237"/>
      <c r="AL169" s="84"/>
      <c r="AM169" s="84"/>
      <c r="AU169" s="20"/>
      <c r="AV169" s="20"/>
      <c r="AW169" s="20"/>
      <c r="AX169" s="20"/>
      <c r="AY169" s="20"/>
      <c r="AZ169" s="20"/>
      <c r="BB169" s="84"/>
    </row>
    <row r="170" spans="1:54">
      <c r="A170" s="1" t="s">
        <v>392</v>
      </c>
      <c r="B170" s="1"/>
      <c r="C170" s="21">
        <f>C458</f>
        <v>3360.78082191781</v>
      </c>
      <c r="D170" s="298">
        <v>11.040000000000001</v>
      </c>
      <c r="E170" s="2"/>
      <c r="F170" s="2">
        <f t="shared" si="41"/>
        <v>37103</v>
      </c>
      <c r="G170" s="298">
        <v>11.040000000000001</v>
      </c>
      <c r="H170" s="1"/>
      <c r="I170" s="2">
        <f t="shared" si="41"/>
        <v>37103</v>
      </c>
      <c r="J170" s="301">
        <f>J174*12</f>
        <v>12</v>
      </c>
      <c r="K170" s="1"/>
      <c r="L170" s="2">
        <f>L458</f>
        <v>40329</v>
      </c>
      <c r="M170" s="2"/>
      <c r="N170" s="301">
        <f>N174*12</f>
        <v>12</v>
      </c>
      <c r="O170" s="1"/>
      <c r="P170" s="2">
        <f>L170</f>
        <v>40329</v>
      </c>
      <c r="Q170" s="2"/>
      <c r="R170" s="301" t="s">
        <v>31</v>
      </c>
      <c r="S170" s="1"/>
      <c r="T170" s="2">
        <f t="shared" si="42"/>
        <v>0</v>
      </c>
      <c r="U170" s="2"/>
      <c r="V170" s="301" t="s">
        <v>31</v>
      </c>
      <c r="W170" s="1"/>
      <c r="X170" s="2">
        <f t="shared" si="43"/>
        <v>0</v>
      </c>
      <c r="AA170" s="55">
        <f>(J170-G170)/G170</f>
        <v>8.6956521739130349E-2</v>
      </c>
      <c r="AB170" s="55"/>
      <c r="AD170" s="84"/>
      <c r="AE170" s="738"/>
      <c r="AF170" s="84"/>
      <c r="AG170" s="738"/>
      <c r="AH170" s="84"/>
      <c r="AI170" s="84"/>
      <c r="AJ170" s="738"/>
      <c r="AK170" s="237"/>
      <c r="AL170" s="84"/>
      <c r="AM170" s="84"/>
      <c r="AU170" s="20"/>
      <c r="AV170" s="20"/>
      <c r="AW170" s="20"/>
      <c r="AX170" s="20"/>
      <c r="AY170" s="20"/>
      <c r="AZ170" s="20"/>
      <c r="BB170" s="84"/>
    </row>
    <row r="171" spans="1:54">
      <c r="A171" s="1" t="s">
        <v>393</v>
      </c>
      <c r="B171" s="1"/>
      <c r="C171" s="319"/>
      <c r="D171" s="2"/>
      <c r="E171" s="2"/>
      <c r="F171" s="1"/>
      <c r="G171" s="2"/>
      <c r="H171" s="1"/>
      <c r="I171" s="1"/>
      <c r="J171" s="2"/>
      <c r="K171" s="1"/>
      <c r="L171" s="1"/>
      <c r="M171" s="1"/>
      <c r="N171" s="2"/>
      <c r="O171" s="1"/>
      <c r="P171" s="1"/>
      <c r="Q171" s="1"/>
      <c r="R171" s="2" t="s">
        <v>31</v>
      </c>
      <c r="S171" s="1"/>
      <c r="T171" s="1"/>
      <c r="U171" s="1"/>
      <c r="V171" s="2"/>
      <c r="W171" s="1"/>
      <c r="X171" s="1"/>
      <c r="AA171" s="320"/>
      <c r="AB171" s="320"/>
      <c r="AD171" s="84"/>
      <c r="AE171" s="738"/>
      <c r="AF171" s="84"/>
      <c r="AG171" s="738"/>
      <c r="AH171" s="84"/>
      <c r="AI171" s="84"/>
      <c r="AJ171" s="738"/>
      <c r="AK171" s="237"/>
      <c r="AL171" s="84"/>
      <c r="AM171" s="84"/>
      <c r="AU171" s="20"/>
      <c r="AV171" s="20"/>
      <c r="AW171" s="20"/>
      <c r="AX171" s="20"/>
      <c r="AY171" s="20"/>
      <c r="AZ171" s="20"/>
      <c r="BB171" s="84"/>
    </row>
    <row r="172" spans="1:54">
      <c r="A172" s="1" t="s">
        <v>390</v>
      </c>
      <c r="B172" s="1"/>
      <c r="C172" s="319">
        <f>C213+C350</f>
        <v>164390.55320404682</v>
      </c>
      <c r="D172" s="298">
        <v>8.7100000000000009</v>
      </c>
      <c r="E172" s="321"/>
      <c r="F172" s="322">
        <f>F213+F350</f>
        <v>1431841</v>
      </c>
      <c r="G172" s="298">
        <v>8.7100000000000009</v>
      </c>
      <c r="H172" s="323"/>
      <c r="I172" s="322">
        <f>I213+I350</f>
        <v>1431841</v>
      </c>
      <c r="J172" s="301">
        <v>10</v>
      </c>
      <c r="K172" s="323"/>
      <c r="L172" s="322">
        <f>L213+L350</f>
        <v>1643906</v>
      </c>
      <c r="M172" s="322"/>
      <c r="N172" s="301">
        <f>J172</f>
        <v>10</v>
      </c>
      <c r="O172" s="323"/>
      <c r="P172" s="322">
        <f>L172</f>
        <v>1643906</v>
      </c>
      <c r="Q172" s="322"/>
      <c r="R172" s="301" t="s">
        <v>31</v>
      </c>
      <c r="S172" s="323"/>
      <c r="T172" s="2">
        <f t="shared" si="42"/>
        <v>0</v>
      </c>
      <c r="U172" s="322"/>
      <c r="V172" s="301" t="str">
        <f>R172</f>
        <v xml:space="preserve"> </v>
      </c>
      <c r="W172" s="323"/>
      <c r="X172" s="2">
        <f t="shared" si="43"/>
        <v>0</v>
      </c>
      <c r="AA172" s="55">
        <f>(J172-G172)/G172</f>
        <v>0.14810562571756591</v>
      </c>
      <c r="AB172" s="55"/>
      <c r="AD172" s="84"/>
      <c r="AE172" s="738"/>
      <c r="AF172" s="84"/>
      <c r="AG172" s="738"/>
      <c r="AH172" s="84"/>
      <c r="AI172" s="84"/>
      <c r="AJ172" s="738"/>
      <c r="AK172" s="237"/>
      <c r="AL172" s="84"/>
      <c r="AM172" s="84"/>
      <c r="AU172" s="20"/>
      <c r="AV172" s="20"/>
      <c r="AW172" s="20"/>
      <c r="AX172" s="20"/>
      <c r="AY172" s="20"/>
      <c r="AZ172" s="20"/>
      <c r="BB172" s="84"/>
    </row>
    <row r="173" spans="1:54">
      <c r="A173" s="1" t="s">
        <v>391</v>
      </c>
      <c r="B173" s="1"/>
      <c r="C173" s="319">
        <f>C214+C351</f>
        <v>63164.166666666628</v>
      </c>
      <c r="D173" s="298">
        <v>12.98</v>
      </c>
      <c r="E173" s="324"/>
      <c r="F173" s="322">
        <f>F214+F351</f>
        <v>819872</v>
      </c>
      <c r="G173" s="298">
        <v>12.98</v>
      </c>
      <c r="H173" s="325"/>
      <c r="I173" s="322">
        <f>I214+I351</f>
        <v>819872</v>
      </c>
      <c r="J173" s="301">
        <v>15</v>
      </c>
      <c r="K173" s="325"/>
      <c r="L173" s="322">
        <f>L214+L351</f>
        <v>947463</v>
      </c>
      <c r="M173" s="322"/>
      <c r="N173" s="301">
        <f>J173</f>
        <v>15</v>
      </c>
      <c r="O173" s="325"/>
      <c r="P173" s="322">
        <f>L173</f>
        <v>947463</v>
      </c>
      <c r="Q173" s="322"/>
      <c r="R173" s="301" t="s">
        <v>31</v>
      </c>
      <c r="S173" s="325"/>
      <c r="T173" s="2">
        <f t="shared" si="42"/>
        <v>0</v>
      </c>
      <c r="U173" s="322"/>
      <c r="V173" s="301" t="str">
        <f>R173</f>
        <v xml:space="preserve"> </v>
      </c>
      <c r="W173" s="325"/>
      <c r="X173" s="2">
        <f t="shared" si="43"/>
        <v>0</v>
      </c>
      <c r="AA173" s="55">
        <f>(J173-G173)/G173</f>
        <v>0.15562403697996915</v>
      </c>
      <c r="AB173" s="55"/>
      <c r="AC173" s="69"/>
      <c r="AD173" s="84"/>
      <c r="AE173" s="738"/>
      <c r="AF173" s="84"/>
      <c r="AG173" s="737"/>
      <c r="AH173" s="84"/>
      <c r="AI173" s="84"/>
      <c r="AJ173" s="737"/>
      <c r="AL173" s="20"/>
      <c r="AM173" s="20"/>
      <c r="AN173" s="20"/>
      <c r="AO173" s="20"/>
      <c r="AP173" s="20"/>
      <c r="AQ173" s="20"/>
      <c r="AR173" s="20"/>
      <c r="AS173" s="20"/>
      <c r="AU173" s="84"/>
    </row>
    <row r="174" spans="1:54">
      <c r="A174" s="1" t="s">
        <v>392</v>
      </c>
      <c r="B174" s="1"/>
      <c r="C174" s="319">
        <f>C215+C352</f>
        <v>1251783</v>
      </c>
      <c r="D174" s="298">
        <v>0.92</v>
      </c>
      <c r="E174" s="324"/>
      <c r="F174" s="322">
        <f>F215+F352</f>
        <v>1151641</v>
      </c>
      <c r="G174" s="298">
        <v>0.92</v>
      </c>
      <c r="H174" s="325"/>
      <c r="I174" s="322">
        <f>I215+I352</f>
        <v>1151641</v>
      </c>
      <c r="J174" s="301">
        <v>1</v>
      </c>
      <c r="K174" s="325"/>
      <c r="L174" s="322">
        <f>L215+L352</f>
        <v>1251783</v>
      </c>
      <c r="M174" s="322"/>
      <c r="N174" s="301">
        <f>J174</f>
        <v>1</v>
      </c>
      <c r="O174" s="325"/>
      <c r="P174" s="322">
        <f>P215+P352</f>
        <v>1251783</v>
      </c>
      <c r="Q174" s="322"/>
      <c r="R174" s="301" t="s">
        <v>31</v>
      </c>
      <c r="S174" s="325"/>
      <c r="T174" s="2">
        <f t="shared" si="42"/>
        <v>0</v>
      </c>
      <c r="U174" s="322"/>
      <c r="V174" s="301" t="str">
        <f>R174</f>
        <v xml:space="preserve"> </v>
      </c>
      <c r="W174" s="325"/>
      <c r="X174" s="2">
        <f t="shared" si="43"/>
        <v>0</v>
      </c>
      <c r="AA174" s="55">
        <f>(J174-G174)/G174</f>
        <v>8.6956521739130391E-2</v>
      </c>
      <c r="AB174" s="55"/>
      <c r="AC174" s="69"/>
      <c r="AF174" s="15"/>
      <c r="AG174" s="15"/>
      <c r="AH174" s="15"/>
      <c r="AI174" s="15"/>
      <c r="AJ174" s="15"/>
      <c r="AL174" s="20"/>
      <c r="AM174" s="20"/>
      <c r="AN174" s="20"/>
      <c r="AO174" s="20"/>
      <c r="AP174" s="20"/>
      <c r="AQ174" s="20"/>
      <c r="AR174" s="20"/>
      <c r="AS174" s="20"/>
      <c r="AU174" s="84"/>
    </row>
    <row r="175" spans="1:54">
      <c r="A175" s="1" t="s">
        <v>394</v>
      </c>
      <c r="B175" s="1"/>
      <c r="C175" s="319">
        <f>SUM(C172:C173)</f>
        <v>227554.71987071345</v>
      </c>
      <c r="D175" s="298"/>
      <c r="E175" s="321"/>
      <c r="F175" s="322"/>
      <c r="G175" s="298"/>
      <c r="H175" s="323"/>
      <c r="I175" s="322"/>
      <c r="J175" s="301"/>
      <c r="K175" s="323"/>
      <c r="L175" s="322"/>
      <c r="M175" s="322"/>
      <c r="N175" s="301"/>
      <c r="O175" s="323"/>
      <c r="P175" s="322"/>
      <c r="Q175" s="322"/>
      <c r="R175" s="301"/>
      <c r="S175" s="323"/>
      <c r="T175" s="322"/>
      <c r="U175" s="322"/>
      <c r="V175" s="301"/>
      <c r="W175" s="323"/>
      <c r="X175" s="322"/>
      <c r="AA175" s="320"/>
      <c r="AB175" s="320"/>
      <c r="AC175" s="69"/>
      <c r="AL175" s="20"/>
      <c r="AM175" s="20"/>
      <c r="AN175" s="20"/>
      <c r="AO175" s="20"/>
      <c r="AP175" s="20"/>
      <c r="AQ175" s="20"/>
      <c r="AR175" s="20"/>
      <c r="AS175" s="20"/>
      <c r="AU175" s="84"/>
    </row>
    <row r="176" spans="1:54">
      <c r="A176" s="1" t="s">
        <v>362</v>
      </c>
      <c r="B176" s="1"/>
      <c r="C176" s="319">
        <f t="shared" ref="C176:C181" si="44">C216+C354+C460</f>
        <v>225461.92499999961</v>
      </c>
      <c r="D176" s="298"/>
      <c r="E176" s="321"/>
      <c r="F176" s="322"/>
      <c r="G176" s="298"/>
      <c r="H176" s="323"/>
      <c r="I176" s="322"/>
      <c r="J176" s="301"/>
      <c r="K176" s="323"/>
      <c r="L176" s="322"/>
      <c r="M176" s="322"/>
      <c r="N176" s="301"/>
      <c r="O176" s="323"/>
      <c r="P176" s="322"/>
      <c r="Q176" s="322"/>
      <c r="R176" s="301"/>
      <c r="S176" s="323"/>
      <c r="T176" s="322"/>
      <c r="U176" s="322"/>
      <c r="V176" s="301"/>
      <c r="W176" s="323"/>
      <c r="X176" s="322"/>
      <c r="AA176" s="320"/>
      <c r="AB176" s="320"/>
      <c r="AC176" s="69"/>
      <c r="AL176" s="20"/>
      <c r="AM176" s="20"/>
      <c r="AN176" s="20"/>
      <c r="AO176" s="20"/>
      <c r="AP176" s="20"/>
      <c r="AQ176" s="20"/>
      <c r="AR176" s="20"/>
      <c r="AS176" s="20"/>
      <c r="AU176" s="84"/>
    </row>
    <row r="177" spans="1:47">
      <c r="A177" s="1" t="s">
        <v>395</v>
      </c>
      <c r="B177" s="1"/>
      <c r="C177" s="319">
        <f t="shared" si="44"/>
        <v>856088.82058823528</v>
      </c>
      <c r="D177" s="298">
        <v>3.4</v>
      </c>
      <c r="E177" s="323"/>
      <c r="F177" s="322">
        <f>F217+F355+F461</f>
        <v>2910702</v>
      </c>
      <c r="G177" s="298">
        <v>3.61</v>
      </c>
      <c r="H177" s="323"/>
      <c r="I177" s="322">
        <f>I217+I355+I461</f>
        <v>3090481</v>
      </c>
      <c r="J177" s="301">
        <f ca="1">ROUND(G177*(1+$AA$204),2)</f>
        <v>3.77</v>
      </c>
      <c r="K177" s="323"/>
      <c r="L177" s="322">
        <f t="shared" ref="L177:L182" ca="1" si="45">L217+L355+L461</f>
        <v>3227454</v>
      </c>
      <c r="M177" s="322"/>
      <c r="N177" s="301">
        <f ca="1">ROUND(P177/$C$177,2)</f>
        <v>0.81</v>
      </c>
      <c r="O177" s="1" t="s">
        <v>31</v>
      </c>
      <c r="P177" s="322">
        <f ca="1">($Y$207-$P$168-$P$169-$P$170-$P$172-$P$173-$P$174-$P$189-$P$190-$P$191-$P$192-$P$193-$P$194-$P$195-$P$198-$P$203)*L177/($L$177+$L$178+$L$179+$L$180)</f>
        <v>692743.76524388767</v>
      </c>
      <c r="Q177" s="1" t="s">
        <v>31</v>
      </c>
      <c r="R177" s="301">
        <f ca="1">ROUND(T177/$C$177,2)</f>
        <v>1.06</v>
      </c>
      <c r="S177" s="1" t="s">
        <v>31</v>
      </c>
      <c r="T177" s="322">
        <f ca="1">($Z$207-$T$168-$T$169-$T$170-$T$172-$T$173-$T$174-$T$181-$T$192-$T$193-$T$194-$T$195-$T$196-$T$197-$T$203)*L177/($L$177+$L$178+$L$179+$L$180)</f>
        <v>909283.09042125382</v>
      </c>
      <c r="U177" s="2"/>
      <c r="V177" s="301">
        <f ca="1">ROUND(X177/$C$177,2)</f>
        <v>1.9</v>
      </c>
      <c r="W177" s="1" t="s">
        <v>31</v>
      </c>
      <c r="X177" s="322">
        <f ca="1">($AA$207-$X$168-$X$169-$X$170-$X$172-$X$173-$X$174-$X$181-$X$182-$X$183-$X$184-$X$192-$X$193-$X$194-$X$195-$X$196-$X$197-$X$199-$X$200-$X$201-$X$203)*L177/($L$177+$L$178+$L$179+$L$180)</f>
        <v>1624492.7278690848</v>
      </c>
      <c r="AA177" s="55">
        <f ca="1">(J177-G177)/G177</f>
        <v>4.4321329639889238E-2</v>
      </c>
      <c r="AB177" s="55"/>
      <c r="AC177" s="69"/>
      <c r="AL177" s="20"/>
      <c r="AM177" s="20"/>
      <c r="AN177" s="20"/>
      <c r="AO177" s="20"/>
      <c r="AP177" s="20"/>
      <c r="AQ177" s="20"/>
      <c r="AR177" s="20"/>
      <c r="AS177" s="20"/>
      <c r="AU177" s="84"/>
    </row>
    <row r="178" spans="1:47">
      <c r="A178" s="1" t="s">
        <v>397</v>
      </c>
      <c r="B178" s="1"/>
      <c r="C178" s="319">
        <f t="shared" si="44"/>
        <v>131966941.08172859</v>
      </c>
      <c r="D178" s="299">
        <v>9.766</v>
      </c>
      <c r="E178" s="323" t="s">
        <v>374</v>
      </c>
      <c r="F178" s="322">
        <f>F218+F356+F462</f>
        <v>12887891</v>
      </c>
      <c r="G178" s="299">
        <v>10.359</v>
      </c>
      <c r="H178" s="323" t="s">
        <v>374</v>
      </c>
      <c r="I178" s="322">
        <f>I218+I356+I462</f>
        <v>13670457</v>
      </c>
      <c r="J178" s="802">
        <f ca="1">ROUND((G178)*(1+$AA$204)-J182,3)+0.001</f>
        <v>6.282</v>
      </c>
      <c r="K178" s="323" t="s">
        <v>374</v>
      </c>
      <c r="L178" s="322">
        <f t="shared" ca="1" si="45"/>
        <v>8290165</v>
      </c>
      <c r="M178" s="322"/>
      <c r="N178" s="299">
        <f ca="1">P178/$C$178*100</f>
        <v>1.3483746810352102</v>
      </c>
      <c r="O178" s="1219" t="s">
        <v>374</v>
      </c>
      <c r="P178" s="322">
        <f t="shared" ref="P178:P180" ca="1" si="46">($Y$207-$P$168-$P$169-$P$170-$P$172-$P$173-$P$174-$P$189-$P$190-$P$191-$P$192-$P$193-$P$194-$P$195-$P$198-$P$203)*L178/($L$177+$L$178+$L$179+$L$180)</f>
        <v>1779408.8208826818</v>
      </c>
      <c r="Q178" s="322"/>
      <c r="R178" s="299">
        <f ca="1">T178/$C$178*100+0.001</f>
        <v>1.7708525176705459</v>
      </c>
      <c r="S178" s="323" t="s">
        <v>374</v>
      </c>
      <c r="T178" s="322">
        <f t="shared" ref="T178:T180" ca="1" si="47">($Z$207-$T$168-$T$169-$T$170-$T$172-$T$173-$T$174-$T$181-$T$192-$T$193-$T$194-$T$195-$T$196-$T$197-$T$203)*L178/($L$177+$L$178+$L$179+$L$180)</f>
        <v>2335620.2292277794</v>
      </c>
      <c r="U178" s="322"/>
      <c r="V178" s="299">
        <f ca="1">X178/$C$178*100+0.001</f>
        <v>3.162955363125258</v>
      </c>
      <c r="W178" s="323" t="s">
        <v>374</v>
      </c>
      <c r="X178" s="322">
        <f t="shared" ref="X178:X180" ca="1" si="48">($AA$207-$X$168-$X$169-$X$170-$X$172-$X$173-$X$174-$X$181-$X$182-$X$183-$X$184-$X$192-$X$193-$X$194-$X$195-$X$196-$X$197-$X$199-$X$200-$X$201-$X$203)*L178/($L$177+$L$178+$L$179+$L$180)</f>
        <v>4172735.771086067</v>
      </c>
      <c r="AA178" s="55">
        <f ca="1">((J178+J182)-G178)/G178</f>
        <v>4.3633555362486726E-2</v>
      </c>
      <c r="AB178" s="55"/>
      <c r="AC178" s="69"/>
      <c r="AD178" s="236"/>
      <c r="AE178" s="236"/>
      <c r="AF178" s="236"/>
      <c r="AG178" s="236"/>
      <c r="AH178" s="236"/>
      <c r="AI178" s="236"/>
      <c r="AL178" s="20"/>
      <c r="AM178" s="20"/>
      <c r="AN178" s="20"/>
      <c r="AO178" s="20"/>
      <c r="AP178" s="20"/>
      <c r="AQ178" s="20"/>
      <c r="AR178" s="20"/>
      <c r="AS178" s="20"/>
      <c r="AU178" s="84"/>
    </row>
    <row r="179" spans="1:47">
      <c r="A179" s="1" t="s">
        <v>398</v>
      </c>
      <c r="B179" s="1"/>
      <c r="C179" s="319">
        <f t="shared" si="44"/>
        <v>289086888.50220066</v>
      </c>
      <c r="D179" s="299">
        <v>6.7460000000000004</v>
      </c>
      <c r="E179" s="323" t="s">
        <v>374</v>
      </c>
      <c r="F179" s="322">
        <f>F219+F357+F463</f>
        <v>19501802</v>
      </c>
      <c r="G179" s="299">
        <v>7.1559999999999997</v>
      </c>
      <c r="H179" s="323" t="s">
        <v>374</v>
      </c>
      <c r="I179" s="322">
        <f>I219+I357+I463</f>
        <v>20687058</v>
      </c>
      <c r="J179" s="802">
        <f ca="1">ROUND((G179)*(1+$AA$204)-J183,3)</f>
        <v>4.3410000000000002</v>
      </c>
      <c r="K179" s="323" t="s">
        <v>374</v>
      </c>
      <c r="L179" s="322">
        <f t="shared" ca="1" si="45"/>
        <v>12549261</v>
      </c>
      <c r="M179" s="322"/>
      <c r="N179" s="299">
        <f ca="1">P179/$C$179*100</f>
        <v>0.93175626548296309</v>
      </c>
      <c r="O179" s="1219" t="s">
        <v>374</v>
      </c>
      <c r="P179" s="322">
        <f t="shared" ca="1" si="46"/>
        <v>2693585.1963090026</v>
      </c>
      <c r="Q179" s="322"/>
      <c r="R179" s="299">
        <f ca="1">T179/$C$179*100+0.001</f>
        <v>1.2240066282869231</v>
      </c>
      <c r="S179" s="323" t="s">
        <v>374</v>
      </c>
      <c r="T179" s="322">
        <f t="shared" ca="1" si="47"/>
        <v>3535551.8078903412</v>
      </c>
      <c r="U179" s="322"/>
      <c r="V179" s="299">
        <f ca="1">X179/$C$179*100</f>
        <v>2.1849800075654815</v>
      </c>
      <c r="W179" s="323" t="s">
        <v>374</v>
      </c>
      <c r="X179" s="322">
        <f t="shared" ca="1" si="48"/>
        <v>6316490.7182661993</v>
      </c>
      <c r="Y179" s="329"/>
      <c r="AA179" s="55">
        <f ca="1">((J179+J183)-G179)/G179</f>
        <v>4.3599776411403057E-2</v>
      </c>
      <c r="AB179" s="55"/>
      <c r="AC179" s="69"/>
      <c r="AL179" s="20"/>
      <c r="AM179" s="20"/>
      <c r="AN179" s="20"/>
      <c r="AO179" s="20"/>
      <c r="AP179" s="20"/>
      <c r="AQ179" s="20"/>
      <c r="AR179" s="20"/>
      <c r="AS179" s="20"/>
      <c r="AU179" s="84"/>
    </row>
    <row r="180" spans="1:47">
      <c r="A180" s="1" t="s">
        <v>399</v>
      </c>
      <c r="B180" s="1"/>
      <c r="C180" s="319">
        <f t="shared" si="44"/>
        <v>123964295.42237033</v>
      </c>
      <c r="D180" s="299">
        <v>5.8120000000000003</v>
      </c>
      <c r="E180" s="323" t="s">
        <v>374</v>
      </c>
      <c r="F180" s="322">
        <f>F220+F358+F464</f>
        <v>7204804</v>
      </c>
      <c r="G180" s="299">
        <v>6.1660000000000004</v>
      </c>
      <c r="H180" s="323" t="s">
        <v>374</v>
      </c>
      <c r="I180" s="322">
        <f>I220+I358+I464</f>
        <v>7643639</v>
      </c>
      <c r="J180" s="802">
        <f ca="1">ROUND((G180)*(1+$AA$204)-J184,3)</f>
        <v>3.74</v>
      </c>
      <c r="K180" s="323" t="s">
        <v>374</v>
      </c>
      <c r="L180" s="322">
        <f t="shared" ca="1" si="45"/>
        <v>4636265</v>
      </c>
      <c r="M180" s="322"/>
      <c r="N180" s="299">
        <f ca="1">P180/$C$180*100</f>
        <v>0.80275718206159852</v>
      </c>
      <c r="O180" s="1219" t="s">
        <v>374</v>
      </c>
      <c r="P180" s="322">
        <f t="shared" ca="1" si="46"/>
        <v>995132.28469513531</v>
      </c>
      <c r="Q180" s="322"/>
      <c r="R180" s="299">
        <f ca="1">T180/$C$180*100</f>
        <v>1.0536847359511734</v>
      </c>
      <c r="S180" s="323" t="s">
        <v>374</v>
      </c>
      <c r="T180" s="322">
        <f t="shared" ca="1" si="47"/>
        <v>1306192.8588949353</v>
      </c>
      <c r="U180" s="322"/>
      <c r="V180" s="299">
        <f ca="1">X180/$C$180*100+0.001</f>
        <v>1.8834755557989509</v>
      </c>
      <c r="W180" s="323" t="s">
        <v>374</v>
      </c>
      <c r="X180" s="322">
        <f t="shared" ca="1" si="48"/>
        <v>2333597.5592445196</v>
      </c>
      <c r="Y180" s="300"/>
      <c r="AA180" s="55">
        <f ca="1">((J180+J184)-G180)/G180</f>
        <v>4.3626337982484609E-2</v>
      </c>
      <c r="AB180" s="55"/>
      <c r="AC180" s="69"/>
      <c r="AD180" s="84"/>
      <c r="AE180" s="84"/>
      <c r="AL180" s="20"/>
      <c r="AM180" s="20"/>
      <c r="AN180" s="20"/>
      <c r="AO180" s="20"/>
      <c r="AP180" s="20"/>
      <c r="AQ180" s="20"/>
      <c r="AR180" s="20"/>
      <c r="AS180" s="20"/>
      <c r="AU180" s="84"/>
    </row>
    <row r="181" spans="1:47">
      <c r="A181" s="1" t="s">
        <v>400</v>
      </c>
      <c r="B181" s="1"/>
      <c r="C181" s="319">
        <f t="shared" si="44"/>
        <v>118638.41500000002</v>
      </c>
      <c r="D181" s="330">
        <v>56</v>
      </c>
      <c r="E181" s="321" t="s">
        <v>374</v>
      </c>
      <c r="F181" s="322">
        <f>F221+F359+F465</f>
        <v>66437</v>
      </c>
      <c r="G181" s="330">
        <v>56</v>
      </c>
      <c r="H181" s="323" t="s">
        <v>374</v>
      </c>
      <c r="I181" s="322">
        <f>I221+I359+I465</f>
        <v>66437</v>
      </c>
      <c r="J181" s="803">
        <f>G181</f>
        <v>56</v>
      </c>
      <c r="K181" s="323" t="s">
        <v>374</v>
      </c>
      <c r="L181" s="322">
        <f t="shared" si="45"/>
        <v>66437</v>
      </c>
      <c r="M181" s="322"/>
      <c r="N181" s="803" t="s">
        <v>31</v>
      </c>
      <c r="O181" s="323"/>
      <c r="P181" s="1040">
        <f t="shared" ref="P181" si="49">N181*C181</f>
        <v>0</v>
      </c>
      <c r="Q181" s="322"/>
      <c r="R181" s="330">
        <f ca="1">ROUND(T181/$C$181,2)*100</f>
        <v>11</v>
      </c>
      <c r="S181" s="323" t="s">
        <v>374</v>
      </c>
      <c r="T181" s="322">
        <f ca="1">I181*(Z207/(Z207+AA207))</f>
        <v>13136.7847283834</v>
      </c>
      <c r="U181" s="322"/>
      <c r="V181" s="330">
        <f ca="1">ROUND(X181/$C$181,2)*100</f>
        <v>45</v>
      </c>
      <c r="W181" s="323" t="s">
        <v>374</v>
      </c>
      <c r="X181" s="322">
        <f ca="1">I181*(AA207/(Z207+AA207))</f>
        <v>53300.215271616602</v>
      </c>
      <c r="AA181" s="55">
        <f>(J181-G181)/G181</f>
        <v>0</v>
      </c>
      <c r="AB181" s="55"/>
      <c r="AC181" s="69"/>
      <c r="AL181" s="20"/>
      <c r="AM181" s="20"/>
      <c r="AN181" s="20"/>
      <c r="AO181" s="20"/>
      <c r="AP181" s="20"/>
      <c r="AQ181" s="20"/>
      <c r="AR181" s="20"/>
      <c r="AS181" s="20"/>
      <c r="AU181" s="84"/>
    </row>
    <row r="182" spans="1:47" s="1184" customFormat="1">
      <c r="A182" s="1005" t="s">
        <v>1032</v>
      </c>
      <c r="C182" s="1026">
        <f>C178</f>
        <v>131966941.08172859</v>
      </c>
      <c r="D182" s="269"/>
      <c r="E182" s="1185"/>
      <c r="F182" s="1203"/>
      <c r="G182" s="269"/>
      <c r="H182" s="1185"/>
      <c r="I182" s="1203"/>
      <c r="J182" s="1230">
        <f>ROUND((I178/($I$178+$I$179+$I$180)*$Y$182)/C182*100,3)-0.001</f>
        <v>4.5289999999999999</v>
      </c>
      <c r="K182" s="1009" t="s">
        <v>374</v>
      </c>
      <c r="L182" s="1040">
        <f t="shared" si="45"/>
        <v>5976782</v>
      </c>
      <c r="M182" s="1040"/>
      <c r="N182" s="1230" t="s">
        <v>31</v>
      </c>
      <c r="O182" s="1009"/>
      <c r="P182" s="1040">
        <f>N182*C182</f>
        <v>0</v>
      </c>
      <c r="Q182" s="1040"/>
      <c r="R182" s="1230" t="s">
        <v>31</v>
      </c>
      <c r="S182" s="1009" t="s">
        <v>31</v>
      </c>
      <c r="T182" s="1040">
        <f>R182*C182</f>
        <v>0</v>
      </c>
      <c r="U182" s="1040"/>
      <c r="V182" s="1230">
        <f>J182</f>
        <v>4.5289999999999999</v>
      </c>
      <c r="W182" s="1009" t="s">
        <v>374</v>
      </c>
      <c r="X182" s="1040">
        <f>L182</f>
        <v>5976782</v>
      </c>
      <c r="Y182" s="1204">
        <f>'NPC Spread'!E33</f>
        <v>18366152.522005554</v>
      </c>
      <c r="Z182" s="815" t="s">
        <v>913</v>
      </c>
      <c r="AC182" s="1205"/>
      <c r="AD182" s="1205"/>
      <c r="AI182" s="1185"/>
      <c r="AJ182" s="1185"/>
      <c r="AK182" s="1185"/>
      <c r="AL182" s="1185"/>
      <c r="AM182" s="1185"/>
      <c r="AN182" s="1185"/>
      <c r="AO182" s="1185"/>
      <c r="AP182" s="1185"/>
      <c r="AQ182" s="1185"/>
      <c r="AR182" s="1185"/>
      <c r="AS182" s="1185"/>
      <c r="AU182" s="1204"/>
    </row>
    <row r="183" spans="1:47" s="1184" customFormat="1">
      <c r="A183" s="1005" t="s">
        <v>1033</v>
      </c>
      <c r="C183" s="1026">
        <f t="shared" ref="C183:C184" si="50">C179</f>
        <v>289086888.50220066</v>
      </c>
      <c r="D183" s="269"/>
      <c r="E183" s="1185"/>
      <c r="F183" s="1203"/>
      <c r="G183" s="269"/>
      <c r="H183" s="1185"/>
      <c r="I183" s="1203"/>
      <c r="J183" s="1230">
        <f>ROUND((I179/($I$178+$I$179+$I$180)*$Y$182)/C183*100,3)-0.002</f>
        <v>3.1270000000000002</v>
      </c>
      <c r="K183" s="1009" t="s">
        <v>374</v>
      </c>
      <c r="L183" s="1040">
        <f t="shared" ref="L183:L184" si="51">L223+L361+L467</f>
        <v>9039748</v>
      </c>
      <c r="M183" s="1040"/>
      <c r="N183" s="1230" t="s">
        <v>31</v>
      </c>
      <c r="O183" s="1009"/>
      <c r="P183" s="1040">
        <f t="shared" ref="P183:P184" si="52">N183*C183</f>
        <v>0</v>
      </c>
      <c r="Q183" s="1040"/>
      <c r="R183" s="1230" t="s">
        <v>31</v>
      </c>
      <c r="S183" s="1009" t="s">
        <v>31</v>
      </c>
      <c r="T183" s="1040">
        <f t="shared" ref="T183:T184" si="53">R183*C183</f>
        <v>0</v>
      </c>
      <c r="U183" s="1040"/>
      <c r="V183" s="1230">
        <f>J183</f>
        <v>3.1270000000000002</v>
      </c>
      <c r="W183" s="1009" t="s">
        <v>374</v>
      </c>
      <c r="X183" s="1040">
        <f>L183</f>
        <v>9039748</v>
      </c>
      <c r="Z183" s="815"/>
      <c r="AC183" s="1205"/>
      <c r="AD183" s="1205"/>
      <c r="AI183" s="1185"/>
      <c r="AJ183" s="1185"/>
      <c r="AK183" s="1185"/>
      <c r="AL183" s="1185"/>
      <c r="AM183" s="1185"/>
      <c r="AN183" s="1185"/>
      <c r="AO183" s="1185"/>
      <c r="AP183" s="1185"/>
      <c r="AQ183" s="1185"/>
      <c r="AR183" s="1185"/>
      <c r="AS183" s="1185"/>
      <c r="AU183" s="1204"/>
    </row>
    <row r="184" spans="1:47" s="1184" customFormat="1">
      <c r="A184" s="1005" t="s">
        <v>1034</v>
      </c>
      <c r="C184" s="1026">
        <f t="shared" si="50"/>
        <v>123964295.42237033</v>
      </c>
      <c r="D184" s="269"/>
      <c r="E184" s="1185"/>
      <c r="F184" s="1203"/>
      <c r="G184" s="269"/>
      <c r="H184" s="1185"/>
      <c r="I184" s="1203"/>
      <c r="J184" s="1230">
        <f>ROUND((I180/($I$178+$I$179+$I$180)*$Y$182)/C184*100,3)-0.001</f>
        <v>2.6950000000000003</v>
      </c>
      <c r="K184" s="1009" t="s">
        <v>374</v>
      </c>
      <c r="L184" s="1040">
        <f t="shared" ca="1" si="51"/>
        <v>3349666</v>
      </c>
      <c r="M184" s="1040"/>
      <c r="N184" s="1230" t="s">
        <v>31</v>
      </c>
      <c r="O184" s="1009"/>
      <c r="P184" s="1040">
        <f t="shared" si="52"/>
        <v>0</v>
      </c>
      <c r="Q184" s="1040"/>
      <c r="R184" s="1230" t="s">
        <v>31</v>
      </c>
      <c r="S184" s="1009" t="s">
        <v>31</v>
      </c>
      <c r="T184" s="1040">
        <f t="shared" si="53"/>
        <v>0</v>
      </c>
      <c r="U184" s="1040"/>
      <c r="V184" s="1230">
        <f>J184</f>
        <v>2.6950000000000003</v>
      </c>
      <c r="W184" s="1009" t="s">
        <v>374</v>
      </c>
      <c r="X184" s="1040">
        <f ca="1">L184</f>
        <v>3349666</v>
      </c>
      <c r="Z184" s="815"/>
      <c r="AC184" s="1205"/>
      <c r="AD184" s="1205"/>
      <c r="AI184" s="1185"/>
      <c r="AJ184" s="1185"/>
      <c r="AK184" s="1185"/>
      <c r="AL184" s="1185"/>
      <c r="AM184" s="1185"/>
      <c r="AN184" s="1185"/>
      <c r="AO184" s="1185"/>
      <c r="AP184" s="1185"/>
      <c r="AQ184" s="1185"/>
      <c r="AR184" s="1185"/>
      <c r="AS184" s="1185"/>
      <c r="AU184" s="1204"/>
    </row>
    <row r="185" spans="1:47" s="1184" customFormat="1">
      <c r="A185" s="1509" t="s">
        <v>921</v>
      </c>
      <c r="B185" s="1510"/>
      <c r="C185" s="1517"/>
      <c r="D185" s="1512"/>
      <c r="E185" s="1513"/>
      <c r="F185" s="1514"/>
      <c r="G185" s="1515">
        <f>G178</f>
        <v>10.359</v>
      </c>
      <c r="H185" s="1518" t="s">
        <v>374</v>
      </c>
      <c r="I185" s="1514"/>
      <c r="J185" s="1515">
        <f ca="1">J178+J182</f>
        <v>10.811</v>
      </c>
      <c r="K185" s="1518" t="s">
        <v>374</v>
      </c>
      <c r="L185" s="1519"/>
      <c r="M185" s="1519"/>
      <c r="N185" s="1515">
        <f ca="1">N178+N182</f>
        <v>1.3483746810352102</v>
      </c>
      <c r="O185" s="1518" t="s">
        <v>374</v>
      </c>
      <c r="P185" s="1519"/>
      <c r="Q185" s="1519"/>
      <c r="R185" s="1515">
        <f ca="1">R178+R182</f>
        <v>1.7708525176705459</v>
      </c>
      <c r="S185" s="1518" t="s">
        <v>374</v>
      </c>
      <c r="T185" s="1519"/>
      <c r="U185" s="1519"/>
      <c r="V185" s="1515">
        <f ca="1">V178+V182</f>
        <v>7.691955363125258</v>
      </c>
      <c r="W185" s="1518" t="s">
        <v>374</v>
      </c>
      <c r="X185" s="1519"/>
      <c r="Z185" s="815"/>
      <c r="AC185" s="1205"/>
      <c r="AD185" s="1205"/>
      <c r="AI185" s="1185"/>
      <c r="AJ185" s="1185"/>
      <c r="AK185" s="1185"/>
      <c r="AL185" s="1185"/>
      <c r="AM185" s="1185"/>
      <c r="AN185" s="1185"/>
      <c r="AO185" s="1185"/>
      <c r="AP185" s="1185"/>
      <c r="AQ185" s="1185"/>
      <c r="AR185" s="1185"/>
      <c r="AS185" s="1185"/>
      <c r="AU185" s="1204"/>
    </row>
    <row r="186" spans="1:47" s="1184" customFormat="1">
      <c r="A186" s="1509" t="s">
        <v>922</v>
      </c>
      <c r="B186" s="1510"/>
      <c r="C186" s="1517"/>
      <c r="D186" s="1512"/>
      <c r="E186" s="1513"/>
      <c r="F186" s="1514"/>
      <c r="G186" s="1515">
        <f t="shared" ref="G186:G187" si="54">G179</f>
        <v>7.1559999999999997</v>
      </c>
      <c r="H186" s="1518" t="s">
        <v>374</v>
      </c>
      <c r="I186" s="1514"/>
      <c r="J186" s="1515">
        <f t="shared" ref="J186:J187" ca="1" si="55">J179+J183</f>
        <v>7.468</v>
      </c>
      <c r="K186" s="1518" t="s">
        <v>374</v>
      </c>
      <c r="L186" s="1519"/>
      <c r="M186" s="1519"/>
      <c r="N186" s="1515">
        <f t="shared" ref="N186:N187" ca="1" si="56">N179+N183</f>
        <v>0.93175626548296309</v>
      </c>
      <c r="O186" s="1518" t="s">
        <v>374</v>
      </c>
      <c r="P186" s="1519"/>
      <c r="Q186" s="1519"/>
      <c r="R186" s="1515">
        <f t="shared" ref="R186:R187" ca="1" si="57">R179+R183</f>
        <v>1.2240066282869231</v>
      </c>
      <c r="S186" s="1518" t="s">
        <v>374</v>
      </c>
      <c r="T186" s="1519"/>
      <c r="U186" s="1519"/>
      <c r="V186" s="1515">
        <f t="shared" ref="V186:V187" ca="1" si="58">V179+V183</f>
        <v>5.3119800075654817</v>
      </c>
      <c r="W186" s="1518" t="s">
        <v>374</v>
      </c>
      <c r="X186" s="1519"/>
      <c r="Z186" s="815" t="s">
        <v>31</v>
      </c>
      <c r="AC186" s="1205"/>
      <c r="AD186" s="1205"/>
      <c r="AI186" s="1185"/>
      <c r="AJ186" s="1185"/>
      <c r="AK186" s="1185"/>
      <c r="AL186" s="1185"/>
      <c r="AM186" s="1185"/>
      <c r="AN186" s="1185"/>
      <c r="AO186" s="1185"/>
      <c r="AP186" s="1185"/>
      <c r="AQ186" s="1185"/>
      <c r="AR186" s="1185"/>
      <c r="AS186" s="1185"/>
      <c r="AU186" s="1204"/>
    </row>
    <row r="187" spans="1:47" s="1184" customFormat="1">
      <c r="A187" s="1509" t="s">
        <v>923</v>
      </c>
      <c r="B187" s="1510"/>
      <c r="C187" s="1517"/>
      <c r="D187" s="1512"/>
      <c r="E187" s="1513"/>
      <c r="F187" s="1514"/>
      <c r="G187" s="1515">
        <f t="shared" si="54"/>
        <v>6.1660000000000004</v>
      </c>
      <c r="H187" s="1518" t="s">
        <v>374</v>
      </c>
      <c r="I187" s="1514"/>
      <c r="J187" s="1515">
        <f t="shared" ca="1" si="55"/>
        <v>6.4350000000000005</v>
      </c>
      <c r="K187" s="1518" t="s">
        <v>374</v>
      </c>
      <c r="L187" s="1519"/>
      <c r="M187" s="1519"/>
      <c r="N187" s="1515">
        <f t="shared" ca="1" si="56"/>
        <v>0.80275718206159852</v>
      </c>
      <c r="O187" s="1518" t="s">
        <v>374</v>
      </c>
      <c r="P187" s="1519"/>
      <c r="Q187" s="1519"/>
      <c r="R187" s="1515">
        <f t="shared" ca="1" si="57"/>
        <v>1.0536847359511734</v>
      </c>
      <c r="S187" s="1518" t="s">
        <v>374</v>
      </c>
      <c r="T187" s="1519"/>
      <c r="U187" s="1519"/>
      <c r="V187" s="1515">
        <f t="shared" ca="1" si="58"/>
        <v>4.5784755557989509</v>
      </c>
      <c r="W187" s="1518" t="s">
        <v>374</v>
      </c>
      <c r="X187" s="1519"/>
      <c r="Z187" s="815"/>
      <c r="AC187" s="1205"/>
      <c r="AD187" s="1205"/>
      <c r="AI187" s="1185"/>
      <c r="AJ187" s="1185"/>
      <c r="AK187" s="1185"/>
      <c r="AL187" s="1185"/>
      <c r="AM187" s="1185"/>
      <c r="AN187" s="1185"/>
      <c r="AO187" s="1185"/>
      <c r="AP187" s="1185"/>
      <c r="AQ187" s="1185"/>
      <c r="AR187" s="1185"/>
      <c r="AS187" s="1185"/>
      <c r="AU187" s="1204"/>
    </row>
    <row r="188" spans="1:47">
      <c r="A188" s="331" t="s">
        <v>401</v>
      </c>
      <c r="B188" s="1"/>
      <c r="C188" s="319"/>
      <c r="D188" s="332">
        <v>-0.01</v>
      </c>
      <c r="E188" s="321"/>
      <c r="F188" s="322"/>
      <c r="G188" s="332">
        <v>-0.01</v>
      </c>
      <c r="H188" s="323"/>
      <c r="I188" s="322"/>
      <c r="J188" s="332">
        <v>-0.01</v>
      </c>
      <c r="K188" s="323"/>
      <c r="L188" s="322"/>
      <c r="M188" s="322"/>
      <c r="N188" s="332">
        <v>-0.01</v>
      </c>
      <c r="O188" s="323"/>
      <c r="P188" s="322"/>
      <c r="Q188" s="322"/>
      <c r="R188" s="332">
        <v>-0.01</v>
      </c>
      <c r="S188" s="323"/>
      <c r="T188" s="322"/>
      <c r="U188" s="322"/>
      <c r="V188" s="332">
        <v>-0.01</v>
      </c>
      <c r="W188" s="323"/>
      <c r="X188" s="322"/>
      <c r="Z188" s="333"/>
      <c r="AL188" s="20"/>
      <c r="AM188" s="20"/>
      <c r="AN188" s="20"/>
      <c r="AO188" s="20"/>
      <c r="AP188" s="20"/>
      <c r="AQ188" s="20"/>
      <c r="AR188" s="20"/>
      <c r="AS188" s="20"/>
      <c r="AU188" s="84"/>
    </row>
    <row r="189" spans="1:47">
      <c r="A189" s="1" t="s">
        <v>390</v>
      </c>
      <c r="B189" s="1"/>
      <c r="C189" s="319">
        <f t="shared" ref="C189:C198" si="59">C226+C364+C470</f>
        <v>71.966666666666697</v>
      </c>
      <c r="D189" s="334">
        <v>8.7100000000000009</v>
      </c>
      <c r="E189" s="321"/>
      <c r="F189" s="322">
        <f t="shared" ref="F189:F198" si="60">F226+F364+F470</f>
        <v>-6</v>
      </c>
      <c r="G189" s="334">
        <v>8.7100000000000009</v>
      </c>
      <c r="H189" s="321"/>
      <c r="I189" s="322">
        <f t="shared" ref="I189:I198" si="61">I226+I364+I470</f>
        <v>-6</v>
      </c>
      <c r="J189" s="334">
        <f>J172</f>
        <v>10</v>
      </c>
      <c r="K189" s="321"/>
      <c r="L189" s="322">
        <f t="shared" ref="L189:L198" si="62">L226+L364+L470</f>
        <v>-7</v>
      </c>
      <c r="M189" s="322"/>
      <c r="N189" s="334">
        <f>N172</f>
        <v>10</v>
      </c>
      <c r="O189" s="321"/>
      <c r="P189" s="322">
        <f>N189*C189*N188</f>
        <v>-7.1966666666666699</v>
      </c>
      <c r="Q189" s="322"/>
      <c r="R189" s="334" t="str">
        <f>R172</f>
        <v xml:space="preserve"> </v>
      </c>
      <c r="S189" s="321"/>
      <c r="T189" s="322">
        <f>R189*C189*R188</f>
        <v>0</v>
      </c>
      <c r="U189" s="322"/>
      <c r="V189" s="334" t="str">
        <f>V172</f>
        <v xml:space="preserve"> </v>
      </c>
      <c r="W189" s="321"/>
      <c r="X189" s="322">
        <f>V189*C189*V188</f>
        <v>0</v>
      </c>
      <c r="AL189" s="20"/>
      <c r="AM189" s="20"/>
      <c r="AN189" s="20"/>
      <c r="AO189" s="20"/>
      <c r="AP189" s="20"/>
      <c r="AQ189" s="20"/>
      <c r="AR189" s="20"/>
      <c r="AS189" s="20"/>
      <c r="AU189" s="84"/>
    </row>
    <row r="190" spans="1:47">
      <c r="A190" s="1" t="s">
        <v>391</v>
      </c>
      <c r="B190" s="1"/>
      <c r="C190" s="319">
        <f t="shared" si="59"/>
        <v>38.6</v>
      </c>
      <c r="D190" s="334">
        <v>12.98</v>
      </c>
      <c r="E190" s="321"/>
      <c r="F190" s="322">
        <f t="shared" si="60"/>
        <v>-5</v>
      </c>
      <c r="G190" s="334">
        <v>12.98</v>
      </c>
      <c r="H190" s="321"/>
      <c r="I190" s="322">
        <f t="shared" si="61"/>
        <v>-5</v>
      </c>
      <c r="J190" s="334">
        <f>J173</f>
        <v>15</v>
      </c>
      <c r="K190" s="321"/>
      <c r="L190" s="322">
        <f t="shared" si="62"/>
        <v>-5</v>
      </c>
      <c r="M190" s="322"/>
      <c r="N190" s="334">
        <f>N173</f>
        <v>15</v>
      </c>
      <c r="O190" s="321"/>
      <c r="P190" s="322">
        <f>N190*C190*N188</f>
        <v>-5.79</v>
      </c>
      <c r="Q190" s="322"/>
      <c r="R190" s="334" t="str">
        <f>R173</f>
        <v xml:space="preserve"> </v>
      </c>
      <c r="S190" s="321"/>
      <c r="T190" s="322">
        <f>R190*C190*R188</f>
        <v>0</v>
      </c>
      <c r="U190" s="322"/>
      <c r="V190" s="334" t="str">
        <f>V173</f>
        <v xml:space="preserve"> </v>
      </c>
      <c r="W190" s="321"/>
      <c r="X190" s="322">
        <f>V190*C190*V188</f>
        <v>0</v>
      </c>
      <c r="Z190" s="88" t="s">
        <v>31</v>
      </c>
      <c r="AN190" s="20"/>
      <c r="AO190" s="20"/>
      <c r="AP190" s="20"/>
      <c r="AQ190" s="20"/>
      <c r="AR190" s="20"/>
      <c r="AS190" s="20"/>
      <c r="AU190" s="84"/>
    </row>
    <row r="191" spans="1:47">
      <c r="A191" s="1" t="s">
        <v>402</v>
      </c>
      <c r="B191" s="1"/>
      <c r="C191" s="319">
        <f t="shared" si="59"/>
        <v>1129</v>
      </c>
      <c r="D191" s="334">
        <v>0.92</v>
      </c>
      <c r="E191" s="321"/>
      <c r="F191" s="322">
        <f t="shared" si="60"/>
        <v>-11</v>
      </c>
      <c r="G191" s="334">
        <v>0.92</v>
      </c>
      <c r="H191" s="321"/>
      <c r="I191" s="322">
        <f t="shared" si="61"/>
        <v>-11</v>
      </c>
      <c r="J191" s="334">
        <f>J174</f>
        <v>1</v>
      </c>
      <c r="K191" s="321"/>
      <c r="L191" s="322">
        <f t="shared" si="62"/>
        <v>-11</v>
      </c>
      <c r="M191" s="322"/>
      <c r="N191" s="334">
        <f>N174</f>
        <v>1</v>
      </c>
      <c r="O191" s="321"/>
      <c r="P191" s="322">
        <f>N191*C191*N188</f>
        <v>-11.290000000000001</v>
      </c>
      <c r="Q191" s="322"/>
      <c r="R191" s="334" t="str">
        <f>R174</f>
        <v xml:space="preserve"> </v>
      </c>
      <c r="S191" s="321"/>
      <c r="T191" s="322">
        <f>R191*C191*R188</f>
        <v>0</v>
      </c>
      <c r="U191" s="322"/>
      <c r="V191" s="334" t="str">
        <f>V174</f>
        <v xml:space="preserve"> </v>
      </c>
      <c r="W191" s="321"/>
      <c r="X191" s="322">
        <f>V191*C191*V188</f>
        <v>0</v>
      </c>
      <c r="AA191" s="88" t="s">
        <v>31</v>
      </c>
      <c r="AC191" s="4" t="s">
        <v>31</v>
      </c>
      <c r="AN191" s="20"/>
      <c r="AO191" s="20"/>
      <c r="AP191" s="20"/>
      <c r="AQ191" s="20"/>
      <c r="AR191" s="20"/>
      <c r="AS191" s="20"/>
      <c r="AU191" s="84"/>
    </row>
    <row r="192" spans="1:47">
      <c r="A192" s="1" t="s">
        <v>403</v>
      </c>
      <c r="B192" s="1"/>
      <c r="C192" s="319">
        <f t="shared" si="59"/>
        <v>948</v>
      </c>
      <c r="D192" s="334">
        <v>3.4</v>
      </c>
      <c r="E192" s="323"/>
      <c r="F192" s="322">
        <f t="shared" si="60"/>
        <v>-32</v>
      </c>
      <c r="G192" s="334">
        <v>3.61</v>
      </c>
      <c r="H192" s="323"/>
      <c r="I192" s="322">
        <f t="shared" si="61"/>
        <v>-35</v>
      </c>
      <c r="J192" s="334">
        <f ca="1">J177</f>
        <v>3.77</v>
      </c>
      <c r="K192" s="323"/>
      <c r="L192" s="322">
        <f t="shared" ca="1" si="62"/>
        <v>-36</v>
      </c>
      <c r="M192" s="322"/>
      <c r="N192" s="334">
        <f ca="1">N177</f>
        <v>0.81</v>
      </c>
      <c r="O192" s="323"/>
      <c r="P192" s="322">
        <f ca="1">N192*C192*N188</f>
        <v>-7.6787999999999998</v>
      </c>
      <c r="Q192" s="322"/>
      <c r="R192" s="334">
        <f ca="1">R177</f>
        <v>1.06</v>
      </c>
      <c r="S192" s="323"/>
      <c r="T192" s="322">
        <f ca="1">R192*C192*R188</f>
        <v>-10.0488</v>
      </c>
      <c r="U192" s="322"/>
      <c r="V192" s="334">
        <f ca="1">V177</f>
        <v>1.9</v>
      </c>
      <c r="W192" s="323"/>
      <c r="X192" s="322">
        <f ca="1">V192*C192*V188</f>
        <v>-18.011999999999997</v>
      </c>
      <c r="AB192" s="88" t="s">
        <v>31</v>
      </c>
      <c r="AN192" s="20"/>
      <c r="AO192" s="20"/>
      <c r="AP192" s="20"/>
      <c r="AQ192" s="20"/>
      <c r="AR192" s="20"/>
      <c r="AS192" s="20"/>
      <c r="AU192" s="84"/>
    </row>
    <row r="193" spans="1:47">
      <c r="A193" s="1" t="s">
        <v>405</v>
      </c>
      <c r="B193" s="1"/>
      <c r="C193" s="319">
        <f t="shared" si="59"/>
        <v>90642.333333333299</v>
      </c>
      <c r="D193" s="335">
        <v>9.766</v>
      </c>
      <c r="E193" s="323" t="s">
        <v>374</v>
      </c>
      <c r="F193" s="322">
        <f t="shared" si="60"/>
        <v>-89</v>
      </c>
      <c r="G193" s="335">
        <v>10.359</v>
      </c>
      <c r="H193" s="323" t="s">
        <v>374</v>
      </c>
      <c r="I193" s="322">
        <f t="shared" si="61"/>
        <v>-94</v>
      </c>
      <c r="J193" s="335">
        <f ca="1">J178</f>
        <v>6.282</v>
      </c>
      <c r="K193" s="323" t="s">
        <v>374</v>
      </c>
      <c r="L193" s="322">
        <f t="shared" ca="1" si="62"/>
        <v>-57</v>
      </c>
      <c r="M193" s="322"/>
      <c r="N193" s="335">
        <f ca="1">N178</f>
        <v>1.3483746810352102</v>
      </c>
      <c r="O193" s="323"/>
      <c r="P193" s="1040">
        <f ca="1">N193*C193/100*N188</f>
        <v>-12.221982729662047</v>
      </c>
      <c r="Q193" s="322"/>
      <c r="R193" s="335">
        <f ca="1">R178</f>
        <v>1.7708525176705459</v>
      </c>
      <c r="S193" s="323" t="s">
        <v>374</v>
      </c>
      <c r="T193" s="1040">
        <f ca="1">R193*C193/100*R188</f>
        <v>-16.051420419086611</v>
      </c>
      <c r="U193" s="322"/>
      <c r="V193" s="335">
        <f ca="1">V178</f>
        <v>3.162955363125258</v>
      </c>
      <c r="W193" s="323" t="s">
        <v>374</v>
      </c>
      <c r="X193" s="1040">
        <f ca="1">V193*C193/100*V188</f>
        <v>-28.669765434285392</v>
      </c>
      <c r="AN193" s="20"/>
      <c r="AO193" s="20"/>
      <c r="AP193" s="20"/>
      <c r="AQ193" s="20"/>
      <c r="AR193" s="20"/>
      <c r="AS193" s="20"/>
      <c r="AU193" s="84"/>
    </row>
    <row r="194" spans="1:47">
      <c r="A194" s="1" t="s">
        <v>398</v>
      </c>
      <c r="B194" s="1"/>
      <c r="C194" s="319">
        <f t="shared" si="59"/>
        <v>455823.66666666698</v>
      </c>
      <c r="D194" s="335">
        <v>6.7460000000000004</v>
      </c>
      <c r="E194" s="323" t="s">
        <v>374</v>
      </c>
      <c r="F194" s="322">
        <f t="shared" si="60"/>
        <v>-307</v>
      </c>
      <c r="G194" s="335">
        <v>7.1559999999999997</v>
      </c>
      <c r="H194" s="323" t="s">
        <v>374</v>
      </c>
      <c r="I194" s="322">
        <f t="shared" si="61"/>
        <v>-326</v>
      </c>
      <c r="J194" s="335">
        <f ca="1">J179</f>
        <v>4.3410000000000002</v>
      </c>
      <c r="K194" s="323" t="s">
        <v>374</v>
      </c>
      <c r="L194" s="322">
        <f t="shared" ca="1" si="62"/>
        <v>-198</v>
      </c>
      <c r="M194" s="322"/>
      <c r="N194" s="335">
        <f ca="1">N179</f>
        <v>0.93175626548296309</v>
      </c>
      <c r="O194" s="323"/>
      <c r="P194" s="1040">
        <f ca="1">N194*C194/100*N188</f>
        <v>-42.471655737208465</v>
      </c>
      <c r="Q194" s="322"/>
      <c r="R194" s="335">
        <f ca="1">R179</f>
        <v>1.2240066282869231</v>
      </c>
      <c r="S194" s="323" t="s">
        <v>374</v>
      </c>
      <c r="T194" s="1040">
        <f ca="1">R194*C194/100*R188</f>
        <v>-55.793118933004934</v>
      </c>
      <c r="U194" s="322"/>
      <c r="V194" s="335">
        <f ca="1">V179</f>
        <v>2.1849800075654815</v>
      </c>
      <c r="W194" s="323" t="s">
        <v>374</v>
      </c>
      <c r="X194" s="1040">
        <f ca="1">V194*C194/100*V188</f>
        <v>-99.596559864185949</v>
      </c>
      <c r="AN194" s="20"/>
      <c r="AO194" s="20"/>
      <c r="AP194" s="20"/>
      <c r="AQ194" s="20"/>
      <c r="AR194" s="20"/>
      <c r="AS194" s="20"/>
      <c r="AU194" s="84"/>
    </row>
    <row r="195" spans="1:47">
      <c r="A195" s="1" t="s">
        <v>399</v>
      </c>
      <c r="B195" s="1"/>
      <c r="C195" s="319">
        <f t="shared" si="59"/>
        <v>176779.99999999971</v>
      </c>
      <c r="D195" s="335">
        <v>5.8120000000000003</v>
      </c>
      <c r="E195" s="323" t="s">
        <v>374</v>
      </c>
      <c r="F195" s="322">
        <f t="shared" si="60"/>
        <v>-102</v>
      </c>
      <c r="G195" s="335">
        <v>6.1660000000000004</v>
      </c>
      <c r="H195" s="323" t="s">
        <v>374</v>
      </c>
      <c r="I195" s="322">
        <f t="shared" si="61"/>
        <v>-109</v>
      </c>
      <c r="J195" s="335">
        <f ca="1">J180</f>
        <v>3.74</v>
      </c>
      <c r="K195" s="323" t="s">
        <v>374</v>
      </c>
      <c r="L195" s="322">
        <f t="shared" ca="1" si="62"/>
        <v>-66</v>
      </c>
      <c r="M195" s="322"/>
      <c r="N195" s="335">
        <f ca="1">N180</f>
        <v>0.80275718206159852</v>
      </c>
      <c r="O195" s="323"/>
      <c r="P195" s="1040">
        <f ca="1">N195*C195/100*N188</f>
        <v>-14.191141464484918</v>
      </c>
      <c r="Q195" s="322"/>
      <c r="R195" s="335">
        <f ca="1">R180</f>
        <v>1.0536847359511734</v>
      </c>
      <c r="S195" s="323" t="s">
        <v>374</v>
      </c>
      <c r="T195" s="1040">
        <f ca="1">R195*C195/100*R188</f>
        <v>-18.627038762144814</v>
      </c>
      <c r="U195" s="322"/>
      <c r="V195" s="335">
        <f ca="1">V180</f>
        <v>1.8834755557989509</v>
      </c>
      <c r="W195" s="323" t="s">
        <v>374</v>
      </c>
      <c r="X195" s="1040">
        <f ca="1">V195*C195/100*V188</f>
        <v>-33.2960808754138</v>
      </c>
      <c r="AL195" s="20"/>
      <c r="AM195" s="20"/>
      <c r="AN195" s="20"/>
      <c r="AO195" s="20"/>
      <c r="AP195" s="20"/>
      <c r="AQ195" s="20"/>
      <c r="AR195" s="20"/>
      <c r="AS195" s="20"/>
      <c r="AU195" s="84"/>
    </row>
    <row r="196" spans="1:47">
      <c r="A196" s="1" t="s">
        <v>400</v>
      </c>
      <c r="B196" s="1"/>
      <c r="C196" s="319">
        <f t="shared" si="59"/>
        <v>1148.3</v>
      </c>
      <c r="D196" s="336">
        <v>56</v>
      </c>
      <c r="E196" s="323" t="s">
        <v>374</v>
      </c>
      <c r="F196" s="322">
        <f t="shared" si="60"/>
        <v>-6</v>
      </c>
      <c r="G196" s="336">
        <v>56</v>
      </c>
      <c r="H196" s="323" t="s">
        <v>374</v>
      </c>
      <c r="I196" s="322">
        <f t="shared" si="61"/>
        <v>-6</v>
      </c>
      <c r="J196" s="336">
        <f>J181</f>
        <v>56</v>
      </c>
      <c r="K196" s="323" t="s">
        <v>374</v>
      </c>
      <c r="L196" s="322">
        <f t="shared" si="62"/>
        <v>-6</v>
      </c>
      <c r="M196" s="322"/>
      <c r="N196" s="336" t="str">
        <f>N181</f>
        <v xml:space="preserve"> </v>
      </c>
      <c r="O196" s="323"/>
      <c r="P196" s="1040">
        <f>N196*C196</f>
        <v>0</v>
      </c>
      <c r="Q196" s="322"/>
      <c r="R196" s="336">
        <f ca="1">R181</f>
        <v>11</v>
      </c>
      <c r="S196" s="323" t="s">
        <v>374</v>
      </c>
      <c r="T196" s="1040">
        <f ca="1">R196*G196*R188</f>
        <v>-6.16</v>
      </c>
      <c r="U196" s="322"/>
      <c r="V196" s="336">
        <f ca="1">V181</f>
        <v>45</v>
      </c>
      <c r="W196" s="323" t="s">
        <v>374</v>
      </c>
      <c r="X196" s="1040">
        <f ca="1">V196*C196*V188</f>
        <v>-516.73500000000001</v>
      </c>
      <c r="AL196" s="20"/>
      <c r="AM196" s="20"/>
      <c r="AN196" s="20"/>
      <c r="AO196" s="20"/>
      <c r="AP196" s="20"/>
      <c r="AQ196" s="20"/>
      <c r="AR196" s="20"/>
      <c r="AS196" s="20"/>
      <c r="AU196" s="84"/>
    </row>
    <row r="197" spans="1:47">
      <c r="A197" s="1" t="s">
        <v>407</v>
      </c>
      <c r="B197" s="1"/>
      <c r="C197" s="319">
        <f t="shared" si="59"/>
        <v>123.4666666666667</v>
      </c>
      <c r="D197" s="337">
        <v>60</v>
      </c>
      <c r="E197" s="321"/>
      <c r="F197" s="322">
        <f t="shared" si="60"/>
        <v>7408</v>
      </c>
      <c r="G197" s="337">
        <v>60</v>
      </c>
      <c r="H197" s="323"/>
      <c r="I197" s="322">
        <f t="shared" si="61"/>
        <v>7408</v>
      </c>
      <c r="J197" s="337">
        <f>'Blocking - detail'!$I$172</f>
        <v>60</v>
      </c>
      <c r="K197" s="323"/>
      <c r="L197" s="322">
        <f t="shared" si="62"/>
        <v>7408</v>
      </c>
      <c r="M197" s="322"/>
      <c r="N197" s="326" t="s">
        <v>31</v>
      </c>
      <c r="O197" s="323"/>
      <c r="P197" s="1040">
        <f t="shared" ref="P197" si="63">N197*C197</f>
        <v>0</v>
      </c>
      <c r="Q197" s="322"/>
      <c r="R197" s="301">
        <f ca="1">ROUND(T197/$C$197,2)</f>
        <v>11.86</v>
      </c>
      <c r="S197" s="323"/>
      <c r="T197" s="1040">
        <f ca="1">L197*(Z207/(Z207+AA207))</f>
        <v>1464.8057749125371</v>
      </c>
      <c r="U197" s="322"/>
      <c r="V197" s="301">
        <f ca="1">ROUND(X197/$C$197,2)</f>
        <v>48.14</v>
      </c>
      <c r="W197" s="323"/>
      <c r="X197" s="1040">
        <f ca="1">L197*(AA207/(Z207+AA207))</f>
        <v>5943.1942250874636</v>
      </c>
      <c r="AA197" s="88" t="s">
        <v>31</v>
      </c>
      <c r="AL197" s="20"/>
      <c r="AM197" s="20"/>
      <c r="AN197" s="20"/>
      <c r="AO197" s="20"/>
      <c r="AP197" s="20"/>
      <c r="AQ197" s="20"/>
      <c r="AR197" s="20"/>
      <c r="AS197" s="20"/>
      <c r="AU197" s="84"/>
    </row>
    <row r="198" spans="1:47">
      <c r="A198" s="1" t="s">
        <v>408</v>
      </c>
      <c r="B198" s="1"/>
      <c r="C198" s="319">
        <f t="shared" si="59"/>
        <v>1129</v>
      </c>
      <c r="D198" s="339">
        <v>-30</v>
      </c>
      <c r="E198" s="321" t="s">
        <v>374</v>
      </c>
      <c r="F198" s="322">
        <f t="shared" si="60"/>
        <v>-339</v>
      </c>
      <c r="G198" s="339">
        <v>-30</v>
      </c>
      <c r="H198" s="323" t="s">
        <v>374</v>
      </c>
      <c r="I198" s="322">
        <f t="shared" si="61"/>
        <v>-339</v>
      </c>
      <c r="J198" s="339">
        <f>'Blocking - detail'!$I$173</f>
        <v>-30</v>
      </c>
      <c r="K198" s="323" t="s">
        <v>374</v>
      </c>
      <c r="L198" s="322">
        <f t="shared" si="62"/>
        <v>-339</v>
      </c>
      <c r="M198" s="322"/>
      <c r="N198" s="339">
        <f>'Blocking - detail'!$I$173</f>
        <v>-30</v>
      </c>
      <c r="O198" s="323" t="s">
        <v>374</v>
      </c>
      <c r="P198" s="322">
        <f>L198</f>
        <v>-339</v>
      </c>
      <c r="Q198" s="322"/>
      <c r="R198" s="1587" t="s">
        <v>31</v>
      </c>
      <c r="S198" s="323" t="s">
        <v>31</v>
      </c>
      <c r="T198" s="322">
        <f>R198*C198*R188</f>
        <v>0</v>
      </c>
      <c r="U198" s="322"/>
      <c r="V198" s="1587" t="s">
        <v>31</v>
      </c>
      <c r="W198" s="323" t="s">
        <v>31</v>
      </c>
      <c r="X198" s="322">
        <f>V198*G198*V188</f>
        <v>0</v>
      </c>
      <c r="AA198" s="88" t="s">
        <v>31</v>
      </c>
      <c r="AC198" s="294"/>
      <c r="AD198" s="294"/>
      <c r="AL198" s="20"/>
      <c r="AM198" s="20"/>
      <c r="AN198" s="20"/>
      <c r="AO198" s="20"/>
      <c r="AP198" s="20"/>
      <c r="AQ198" s="20"/>
      <c r="AR198" s="20"/>
      <c r="AS198" s="20"/>
      <c r="AU198" s="84"/>
    </row>
    <row r="199" spans="1:47" s="1184" customFormat="1">
      <c r="A199" s="1005" t="s">
        <v>1032</v>
      </c>
      <c r="C199" s="1026">
        <f>C193</f>
        <v>90642.333333333299</v>
      </c>
      <c r="D199" s="269"/>
      <c r="E199" s="1185"/>
      <c r="F199" s="1203"/>
      <c r="G199" s="269"/>
      <c r="H199" s="1185"/>
      <c r="I199" s="1203"/>
      <c r="J199" s="1230">
        <f>J182</f>
        <v>4.5289999999999999</v>
      </c>
      <c r="K199" s="1009" t="s">
        <v>374</v>
      </c>
      <c r="L199" s="322">
        <f t="shared" ref="L199:L201" si="64">L236+L374+L480</f>
        <v>-2211</v>
      </c>
      <c r="M199" s="322"/>
      <c r="N199" s="1230" t="str">
        <f>N182</f>
        <v xml:space="preserve"> </v>
      </c>
      <c r="O199" s="1009"/>
      <c r="P199" s="1040">
        <f t="shared" ref="P199:P201" ca="1" si="65">N199*C199/100*N194</f>
        <v>0</v>
      </c>
      <c r="Q199" s="322"/>
      <c r="R199" s="1230" t="str">
        <f>R182</f>
        <v xml:space="preserve"> </v>
      </c>
      <c r="S199" s="1009" t="s">
        <v>31</v>
      </c>
      <c r="T199" s="1040">
        <f t="shared" ref="T199:T201" ca="1" si="66">R199*C199/100*R194</f>
        <v>0</v>
      </c>
      <c r="U199" s="322"/>
      <c r="V199" s="1230">
        <f>V182</f>
        <v>4.5289999999999999</v>
      </c>
      <c r="W199" s="1009" t="s">
        <v>374</v>
      </c>
      <c r="X199" s="322">
        <f>L199</f>
        <v>-2211</v>
      </c>
      <c r="Z199" s="815"/>
      <c r="AC199" s="1205"/>
      <c r="AD199" s="1205"/>
      <c r="AI199" s="1185"/>
      <c r="AJ199" s="1185"/>
      <c r="AK199" s="1185"/>
      <c r="AL199" s="1185"/>
      <c r="AM199" s="1185"/>
      <c r="AN199" s="1185"/>
      <c r="AO199" s="1185"/>
      <c r="AP199" s="1185"/>
      <c r="AQ199" s="1185"/>
      <c r="AR199" s="1185"/>
      <c r="AS199" s="1185"/>
      <c r="AU199" s="1204"/>
    </row>
    <row r="200" spans="1:47" s="1184" customFormat="1">
      <c r="A200" s="1005" t="s">
        <v>1033</v>
      </c>
      <c r="C200" s="1026">
        <f t="shared" ref="C200:C201" si="67">C194</f>
        <v>455823.66666666698</v>
      </c>
      <c r="D200" s="269"/>
      <c r="E200" s="1185"/>
      <c r="F200" s="1203"/>
      <c r="G200" s="269"/>
      <c r="H200" s="1185"/>
      <c r="I200" s="1203"/>
      <c r="J200" s="1230">
        <f>J183</f>
        <v>3.1270000000000002</v>
      </c>
      <c r="K200" s="1009" t="s">
        <v>374</v>
      </c>
      <c r="L200" s="322">
        <f t="shared" si="64"/>
        <v>-746</v>
      </c>
      <c r="M200" s="322"/>
      <c r="N200" s="1230" t="str">
        <f>N183</f>
        <v xml:space="preserve"> </v>
      </c>
      <c r="O200" s="1009"/>
      <c r="P200" s="1040">
        <f t="shared" ca="1" si="65"/>
        <v>0</v>
      </c>
      <c r="Q200" s="322"/>
      <c r="R200" s="1230" t="str">
        <f>R183</f>
        <v xml:space="preserve"> </v>
      </c>
      <c r="S200" s="1009" t="s">
        <v>31</v>
      </c>
      <c r="T200" s="1040">
        <f t="shared" ca="1" si="66"/>
        <v>0</v>
      </c>
      <c r="U200" s="322"/>
      <c r="V200" s="1230">
        <f>V183</f>
        <v>3.1270000000000002</v>
      </c>
      <c r="W200" s="1009" t="s">
        <v>374</v>
      </c>
      <c r="X200" s="322">
        <f>L200</f>
        <v>-746</v>
      </c>
      <c r="Z200" s="815"/>
      <c r="AC200" s="1205"/>
      <c r="AD200" s="1205"/>
      <c r="AI200" s="1185"/>
      <c r="AJ200" s="1185"/>
      <c r="AK200" s="1185"/>
      <c r="AL200" s="1185"/>
      <c r="AM200" s="1185"/>
      <c r="AN200" s="1185"/>
      <c r="AO200" s="1185"/>
      <c r="AP200" s="1185"/>
      <c r="AQ200" s="1185"/>
      <c r="AR200" s="1185"/>
      <c r="AS200" s="1185"/>
      <c r="AU200" s="1204"/>
    </row>
    <row r="201" spans="1:47" s="1184" customFormat="1">
      <c r="A201" s="1005" t="s">
        <v>1034</v>
      </c>
      <c r="C201" s="1026">
        <f t="shared" si="67"/>
        <v>176779.99999999971</v>
      </c>
      <c r="D201" s="269"/>
      <c r="E201" s="1185"/>
      <c r="F201" s="1203"/>
      <c r="G201" s="269"/>
      <c r="H201" s="1185"/>
      <c r="I201" s="1203"/>
      <c r="J201" s="1230">
        <f>J184</f>
        <v>2.6950000000000003</v>
      </c>
      <c r="K201" s="1009" t="s">
        <v>374</v>
      </c>
      <c r="L201" s="322">
        <f t="shared" si="64"/>
        <v>-127</v>
      </c>
      <c r="M201" s="322"/>
      <c r="N201" s="1230" t="str">
        <f>N184</f>
        <v xml:space="preserve"> </v>
      </c>
      <c r="O201" s="1009"/>
      <c r="P201" s="1040">
        <f t="shared" si="65"/>
        <v>0</v>
      </c>
      <c r="Q201" s="322"/>
      <c r="R201" s="1230" t="str">
        <f>R184</f>
        <v xml:space="preserve"> </v>
      </c>
      <c r="S201" s="1009" t="s">
        <v>31</v>
      </c>
      <c r="T201" s="1040">
        <f t="shared" ca="1" si="66"/>
        <v>0</v>
      </c>
      <c r="U201" s="322"/>
      <c r="V201" s="1230">
        <f>V184</f>
        <v>2.6950000000000003</v>
      </c>
      <c r="W201" s="1009" t="s">
        <v>374</v>
      </c>
      <c r="X201" s="322">
        <f>L201</f>
        <v>-127</v>
      </c>
      <c r="Z201" s="815"/>
      <c r="AC201" s="1205"/>
      <c r="AD201" s="1205"/>
      <c r="AI201" s="1185"/>
      <c r="AJ201" s="1185"/>
      <c r="AK201" s="1185"/>
      <c r="AL201" s="1185"/>
      <c r="AM201" s="1185"/>
      <c r="AN201" s="1185"/>
      <c r="AO201" s="1185"/>
      <c r="AP201" s="1185"/>
      <c r="AQ201" s="1185"/>
      <c r="AR201" s="1185"/>
      <c r="AS201" s="1185"/>
      <c r="AU201" s="1204"/>
    </row>
    <row r="202" spans="1:47">
      <c r="A202" s="1" t="s">
        <v>381</v>
      </c>
      <c r="B202" s="264"/>
      <c r="C202" s="319">
        <f>C239+C377+C483</f>
        <v>545018125.00629961</v>
      </c>
      <c r="D202" s="330"/>
      <c r="E202" s="2"/>
      <c r="F202" s="322">
        <f t="shared" ref="F202" si="68">F239+F377+F483</f>
        <v>46032138</v>
      </c>
      <c r="G202" s="330"/>
      <c r="H202" s="323"/>
      <c r="I202" s="322">
        <f>I239+I377+I483</f>
        <v>48618540</v>
      </c>
      <c r="J202" s="330"/>
      <c r="K202" s="323"/>
      <c r="L202" s="322">
        <f t="shared" ref="L202" ca="1" si="69">L239+L377+L483</f>
        <v>51029669</v>
      </c>
      <c r="M202" s="322"/>
      <c r="N202" s="330"/>
      <c r="O202" s="323"/>
      <c r="P202" s="322">
        <f ca="1">SUM(P168:P201)</f>
        <v>10059550.22688411</v>
      </c>
      <c r="Q202" s="322"/>
      <c r="R202" s="330"/>
      <c r="S202" s="323"/>
      <c r="T202" s="322">
        <f ca="1">SUM(T168:T201)</f>
        <v>8101142.8965594899</v>
      </c>
      <c r="U202" s="322"/>
      <c r="V202" s="330"/>
      <c r="W202" s="323"/>
      <c r="X202" s="322">
        <f ca="1">SUM(X168:X201)</f>
        <v>32868975.8765564</v>
      </c>
      <c r="AL202" s="20"/>
      <c r="AM202" s="20"/>
      <c r="AN202" s="20"/>
      <c r="AO202" s="20"/>
      <c r="AP202" s="20"/>
      <c r="AQ202" s="20"/>
      <c r="AR202" s="20"/>
      <c r="AS202" s="20"/>
      <c r="AU202" s="84"/>
    </row>
    <row r="203" spans="1:47">
      <c r="A203" s="1" t="s">
        <v>363</v>
      </c>
      <c r="B203" s="25"/>
      <c r="C203" s="340">
        <f ca="1">C240+C378+C484</f>
        <v>-1816567.5683300961</v>
      </c>
      <c r="D203" s="309"/>
      <c r="E203" s="309"/>
      <c r="F203" s="341">
        <f ca="1">I203</f>
        <v>-145443.54178481566</v>
      </c>
      <c r="G203" s="309"/>
      <c r="H203" s="309"/>
      <c r="I203" s="341">
        <f ca="1">I240+I378+I484</f>
        <v>-145443.54178481566</v>
      </c>
      <c r="J203" s="309"/>
      <c r="K203" s="309"/>
      <c r="L203" s="310">
        <f ca="1">I203</f>
        <v>-145443.54178481566</v>
      </c>
      <c r="M203" s="51"/>
      <c r="N203" s="309"/>
      <c r="O203" s="309"/>
      <c r="P203" s="310">
        <f ca="1">$L$203*Y207/($Y$207+$Z$207+$AA$207)</f>
        <v>-28671.489398848949</v>
      </c>
      <c r="Q203" s="51"/>
      <c r="R203" s="309"/>
      <c r="S203" s="309"/>
      <c r="T203" s="310">
        <f ca="1">$L$203*Z207/($Y$207+$Z$207+$AA$207)</f>
        <v>-23089.6836775585</v>
      </c>
      <c r="U203" s="51"/>
      <c r="V203" s="309"/>
      <c r="W203" s="309"/>
      <c r="X203" s="310">
        <f ca="1">$L$203*AA207/($Y$207+$Z$207+$AA$207)</f>
        <v>-93682.368708408219</v>
      </c>
      <c r="AA203" s="801"/>
      <c r="AB203" s="801"/>
      <c r="AL203" s="20"/>
      <c r="AM203" s="20"/>
      <c r="AN203" s="20"/>
      <c r="AO203" s="20"/>
      <c r="AP203" s="20"/>
      <c r="AQ203" s="20"/>
      <c r="AR203" s="20"/>
      <c r="AS203" s="20"/>
      <c r="AU203" s="84"/>
    </row>
    <row r="204" spans="1:47" ht="16.5" thickBot="1">
      <c r="A204" s="1" t="s">
        <v>382</v>
      </c>
      <c r="B204" s="1"/>
      <c r="C204" s="311">
        <f ca="1">SUM(C202:C203)</f>
        <v>543201557.43796957</v>
      </c>
      <c r="D204" s="989"/>
      <c r="E204" s="343"/>
      <c r="F204" s="344">
        <f ca="1">F202+F203</f>
        <v>45886694.458215185</v>
      </c>
      <c r="G204" s="989"/>
      <c r="H204" s="345"/>
      <c r="I204" s="344">
        <f ca="1">I202+I203</f>
        <v>48473096.458215185</v>
      </c>
      <c r="J204" s="472"/>
      <c r="K204" s="345"/>
      <c r="L204" s="344">
        <f ca="1">L202+L203</f>
        <v>50884225.458215185</v>
      </c>
      <c r="M204" s="344"/>
      <c r="N204" s="472"/>
      <c r="O204" s="345"/>
      <c r="P204" s="344">
        <f ca="1">P202+P203</f>
        <v>10030878.737485262</v>
      </c>
      <c r="Q204" s="344"/>
      <c r="R204" s="472"/>
      <c r="S204" s="345"/>
      <c r="T204" s="344">
        <f ca="1">T202+T203</f>
        <v>8078053.2128819311</v>
      </c>
      <c r="U204" s="344"/>
      <c r="V204" s="472"/>
      <c r="W204" s="345"/>
      <c r="X204" s="344">
        <f ca="1">X202+X203</f>
        <v>32775293.507847991</v>
      </c>
      <c r="Y204" s="784" t="s">
        <v>409</v>
      </c>
      <c r="Z204" s="809">
        <f ca="1">'Rate Spread targets'!Q22*1000</f>
        <v>50884936.582329519</v>
      </c>
      <c r="AA204" s="828">
        <f ca="1">'Rate Spread targets'!V22-0.0062</f>
        <v>4.3556262758938626E-2</v>
      </c>
      <c r="AB204" s="824"/>
      <c r="AC204" s="55" t="s">
        <v>31</v>
      </c>
      <c r="AL204" s="20"/>
      <c r="AM204" s="20"/>
      <c r="AN204" s="20"/>
      <c r="AO204" s="20"/>
      <c r="AP204" s="20"/>
      <c r="AQ204" s="20"/>
      <c r="AR204" s="20"/>
      <c r="AS204" s="20"/>
      <c r="AU204" s="84"/>
    </row>
    <row r="205" spans="1:47" ht="16.5" thickTop="1">
      <c r="A205" s="1"/>
      <c r="B205" s="1"/>
      <c r="C205" s="350"/>
      <c r="D205" s="1583"/>
      <c r="E205" s="352"/>
      <c r="F205" s="322"/>
      <c r="G205" s="1583"/>
      <c r="H205" s="23"/>
      <c r="I205" s="322"/>
      <c r="J205" s="1584"/>
      <c r="K205" s="23"/>
      <c r="L205" s="322"/>
      <c r="M205" s="322"/>
      <c r="N205" s="1584"/>
      <c r="O205" s="23"/>
      <c r="P205" s="322"/>
      <c r="Q205" s="322"/>
      <c r="R205" s="1584"/>
      <c r="S205" s="23"/>
      <c r="T205" s="322"/>
      <c r="U205" s="322"/>
      <c r="V205" s="1584"/>
      <c r="W205" s="23"/>
      <c r="X205" s="322"/>
      <c r="Y205" s="112" t="s">
        <v>263</v>
      </c>
      <c r="Z205" s="811">
        <f ca="1">Z204-L204</f>
        <v>711.12411433458328</v>
      </c>
      <c r="AA205" s="816"/>
      <c r="AB205" s="824"/>
      <c r="AC205" s="55"/>
      <c r="AL205" s="20"/>
      <c r="AM205" s="20"/>
      <c r="AN205" s="20"/>
      <c r="AO205" s="20"/>
      <c r="AP205" s="20"/>
      <c r="AQ205" s="20"/>
      <c r="AR205" s="20"/>
      <c r="AS205" s="20"/>
      <c r="AU205" s="84"/>
    </row>
    <row r="206" spans="1:47" ht="16.5" customHeight="1">
      <c r="A206" s="1"/>
      <c r="B206" s="1"/>
      <c r="C206" s="350"/>
      <c r="D206" s="1583"/>
      <c r="E206" s="352"/>
      <c r="F206" s="322"/>
      <c r="G206" s="1583"/>
      <c r="H206" s="23"/>
      <c r="I206" s="322"/>
      <c r="J206" s="1584"/>
      <c r="K206" s="23"/>
      <c r="L206" s="322"/>
      <c r="M206" s="322"/>
      <c r="N206" s="1584"/>
      <c r="O206" s="23"/>
      <c r="P206" s="322"/>
      <c r="Q206" s="322"/>
      <c r="R206" s="1584"/>
      <c r="S206" s="23"/>
      <c r="T206" s="322"/>
      <c r="U206" s="322"/>
      <c r="V206" s="1584"/>
      <c r="W206" s="23"/>
      <c r="X206" s="322"/>
      <c r="Y206" s="1581">
        <f>'Exh No.__(JRS-17) p11'!J34+'Exh No.__(JRS-17) p11'!K34+'Exh No.__(JRS-17) p11'!L34</f>
        <v>0.19713140265291765</v>
      </c>
      <c r="Z206" s="1585">
        <f>'Exh No.__(JRS-17) p11'!I34</f>
        <v>0.15875358502833892</v>
      </c>
      <c r="AA206" s="744">
        <f>'Exh No.__(JRS-17) p11'!H34</f>
        <v>0.64411501231874346</v>
      </c>
      <c r="AB206" s="824"/>
      <c r="AC206" s="55"/>
      <c r="AL206" s="20"/>
      <c r="AM206" s="20"/>
      <c r="AN206" s="20"/>
      <c r="AO206" s="20"/>
      <c r="AP206" s="20"/>
      <c r="AQ206" s="20"/>
      <c r="AR206" s="20"/>
      <c r="AS206" s="20"/>
      <c r="AU206" s="84"/>
    </row>
    <row r="207" spans="1:47">
      <c r="A207" s="1"/>
      <c r="B207" s="1"/>
      <c r="C207" s="21"/>
      <c r="D207" s="337"/>
      <c r="E207" s="2"/>
      <c r="F207" s="2"/>
      <c r="G207" s="337"/>
      <c r="H207" s="1"/>
      <c r="I207" s="2" t="s">
        <v>31</v>
      </c>
      <c r="J207" s="337"/>
      <c r="K207" s="1"/>
      <c r="L207" s="2" t="s">
        <v>31</v>
      </c>
      <c r="M207" s="2"/>
      <c r="N207" s="337"/>
      <c r="O207" s="1"/>
      <c r="P207" s="2" t="s">
        <v>31</v>
      </c>
      <c r="Q207" s="2"/>
      <c r="R207" s="337"/>
      <c r="S207" s="1"/>
      <c r="T207" s="2" t="s">
        <v>31</v>
      </c>
      <c r="U207" s="2"/>
      <c r="V207" s="337"/>
      <c r="W207" s="1"/>
      <c r="X207" s="2" t="s">
        <v>31</v>
      </c>
      <c r="Y207" s="1204">
        <f ca="1">Y206*$L$204</f>
        <v>10030878.73748526</v>
      </c>
      <c r="Z207" s="1204">
        <f t="shared" ref="Z207:AA207" ca="1" si="70">Z206*$L$204</f>
        <v>8078053.212881932</v>
      </c>
      <c r="AA207" s="1204">
        <f t="shared" ca="1" si="70"/>
        <v>32775293.507847995</v>
      </c>
      <c r="AB207" s="1272" t="s">
        <v>409</v>
      </c>
      <c r="AL207" s="20"/>
      <c r="AM207" s="20"/>
      <c r="AN207" s="20"/>
      <c r="AO207" s="20"/>
      <c r="AP207" s="20"/>
      <c r="AQ207" s="20"/>
      <c r="AR207" s="20"/>
      <c r="AS207" s="20"/>
      <c r="AU207" s="84"/>
    </row>
    <row r="208" spans="1:47" hidden="1">
      <c r="A208" s="1"/>
      <c r="B208" s="1"/>
      <c r="C208" s="21"/>
      <c r="D208" s="337"/>
      <c r="E208" s="2"/>
      <c r="F208" s="2"/>
      <c r="G208" s="337"/>
      <c r="H208" s="1"/>
      <c r="I208" s="2"/>
      <c r="J208" s="337"/>
      <c r="K208" s="1"/>
      <c r="N208" s="337"/>
      <c r="O208" s="1"/>
      <c r="R208" s="337"/>
      <c r="S208" s="1"/>
      <c r="V208" s="337"/>
      <c r="W208" s="1"/>
      <c r="AL208" s="20"/>
      <c r="AM208" s="20"/>
      <c r="AN208" s="20"/>
      <c r="AO208" s="20"/>
      <c r="AP208" s="20"/>
      <c r="AQ208" s="20"/>
      <c r="AR208" s="20"/>
      <c r="AS208" s="20"/>
      <c r="AU208" s="84"/>
    </row>
    <row r="209" spans="1:47" hidden="1">
      <c r="A209" s="293" t="s">
        <v>387</v>
      </c>
      <c r="B209" s="1"/>
      <c r="C209" s="1"/>
      <c r="D209" s="2"/>
      <c r="E209" s="2"/>
      <c r="F209" s="1" t="s">
        <v>31</v>
      </c>
      <c r="G209" s="2"/>
      <c r="H209" s="1"/>
      <c r="I209" s="1"/>
      <c r="J209" s="2"/>
      <c r="K209" s="1"/>
      <c r="L209" s="1"/>
      <c r="M209" s="1"/>
      <c r="N209" s="2"/>
      <c r="O209" s="1"/>
      <c r="P209" s="1"/>
      <c r="Q209" s="1"/>
      <c r="R209" s="2"/>
      <c r="S209" s="1"/>
      <c r="T209" s="1"/>
      <c r="U209" s="1"/>
      <c r="V209" s="2"/>
      <c r="W209" s="1"/>
      <c r="X209" s="1"/>
      <c r="Z209" s="346" t="s">
        <v>31</v>
      </c>
      <c r="AA209" s="14"/>
      <c r="AB209" s="14"/>
      <c r="AL209" s="20"/>
      <c r="AM209" s="20"/>
      <c r="AN209" s="20"/>
      <c r="AO209" s="20"/>
      <c r="AP209" s="20"/>
      <c r="AQ209" s="20"/>
      <c r="AR209" s="20"/>
      <c r="AS209" s="20"/>
      <c r="AU209" s="84"/>
    </row>
    <row r="210" spans="1:47" hidden="1">
      <c r="A210" s="1" t="s">
        <v>410</v>
      </c>
      <c r="B210" s="1"/>
      <c r="C210" s="1"/>
      <c r="D210" s="2"/>
      <c r="E210" s="2"/>
      <c r="F210" s="1"/>
      <c r="G210" s="2"/>
      <c r="H210" s="1"/>
      <c r="I210" s="1"/>
      <c r="J210" s="2"/>
      <c r="K210" s="1"/>
      <c r="L210" s="1"/>
      <c r="M210" s="1"/>
      <c r="N210" s="2"/>
      <c r="O210" s="1"/>
      <c r="P210" s="1"/>
      <c r="Q210" s="1"/>
      <c r="R210" s="2"/>
      <c r="S210" s="1"/>
      <c r="T210" s="1"/>
      <c r="U210" s="1"/>
      <c r="V210" s="2"/>
      <c r="W210" s="1"/>
      <c r="X210" s="1"/>
      <c r="Y210" s="416"/>
      <c r="Z210" s="74"/>
      <c r="AA210" s="74"/>
      <c r="AB210" s="74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U210" s="84"/>
    </row>
    <row r="211" spans="1:47" hidden="1">
      <c r="A211" s="1"/>
      <c r="B211" s="1"/>
      <c r="C211" s="1"/>
      <c r="D211" s="2"/>
      <c r="E211" s="2"/>
      <c r="F211" s="1"/>
      <c r="G211" s="2"/>
      <c r="H211" s="1"/>
      <c r="I211" s="1"/>
      <c r="J211" s="2"/>
      <c r="K211" s="1"/>
      <c r="L211" s="1"/>
      <c r="M211" s="1"/>
      <c r="N211" s="2"/>
      <c r="O211" s="1"/>
      <c r="P211" s="1"/>
      <c r="Q211" s="1"/>
      <c r="R211" s="2"/>
      <c r="S211" s="1"/>
      <c r="T211" s="1"/>
      <c r="U211" s="1"/>
      <c r="V211" s="2"/>
      <c r="W211" s="1"/>
      <c r="X211" s="1"/>
      <c r="Y211" s="416"/>
      <c r="Z211" s="74"/>
      <c r="AA211" s="74"/>
      <c r="AB211" s="74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U211" s="84"/>
    </row>
    <row r="212" spans="1:47" hidden="1">
      <c r="A212" s="1" t="s">
        <v>393</v>
      </c>
      <c r="B212" s="1"/>
      <c r="C212" s="319"/>
      <c r="D212" s="2"/>
      <c r="E212" s="2"/>
      <c r="F212" s="1"/>
      <c r="G212" s="2"/>
      <c r="H212" s="1"/>
      <c r="I212" s="1"/>
      <c r="J212" s="2"/>
      <c r="K212" s="1"/>
      <c r="L212" s="1"/>
      <c r="M212" s="1"/>
      <c r="N212" s="2"/>
      <c r="O212" s="1"/>
      <c r="P212" s="1"/>
      <c r="Q212" s="1"/>
      <c r="R212" s="2"/>
      <c r="S212" s="1"/>
      <c r="T212" s="1"/>
      <c r="U212" s="1"/>
      <c r="V212" s="2"/>
      <c r="W212" s="1"/>
      <c r="X212" s="1"/>
      <c r="Y212" s="20"/>
      <c r="Z212" s="74"/>
      <c r="AA212" s="74"/>
      <c r="AB212" s="74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U212" s="84"/>
    </row>
    <row r="213" spans="1:47" hidden="1">
      <c r="A213" s="1" t="s">
        <v>390</v>
      </c>
      <c r="B213" s="1"/>
      <c r="C213" s="319">
        <f>C282+C316+C247</f>
        <v>159824.86666666632</v>
      </c>
      <c r="D213" s="298">
        <v>8.7100000000000009</v>
      </c>
      <c r="E213" s="321"/>
      <c r="F213" s="2">
        <f>F282+F316+F247</f>
        <v>1392074</v>
      </c>
      <c r="G213" s="298">
        <v>8.7100000000000009</v>
      </c>
      <c r="H213" s="323"/>
      <c r="I213" s="2">
        <f>I282+I316+I247</f>
        <v>1392074</v>
      </c>
      <c r="J213" s="298">
        <f>$J$172</f>
        <v>10</v>
      </c>
      <c r="K213" s="323"/>
      <c r="L213" s="2">
        <f>L282+L316+L247</f>
        <v>1598249</v>
      </c>
      <c r="M213" s="2"/>
      <c r="N213" s="298">
        <f>$N$172</f>
        <v>10</v>
      </c>
      <c r="O213" s="323"/>
      <c r="P213" s="2">
        <f>P282+P316+P247</f>
        <v>1598249</v>
      </c>
      <c r="Q213" s="2"/>
      <c r="R213" s="298" t="str">
        <f>$R$172</f>
        <v xml:space="preserve"> </v>
      </c>
      <c r="S213" s="323"/>
      <c r="T213" s="2">
        <f>T282+T316+T247</f>
        <v>0</v>
      </c>
      <c r="U213" s="2"/>
      <c r="V213" s="298" t="str">
        <f>$V$172</f>
        <v xml:space="preserve"> </v>
      </c>
      <c r="W213" s="323"/>
      <c r="X213" s="2">
        <f>X282+X316+X247</f>
        <v>0</v>
      </c>
      <c r="Y213" s="20"/>
      <c r="Z213" s="74"/>
      <c r="AA213" s="74"/>
      <c r="AB213" s="74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U213" s="84"/>
    </row>
    <row r="214" spans="1:47" hidden="1">
      <c r="A214" s="1" t="s">
        <v>391</v>
      </c>
      <c r="B214" s="1"/>
      <c r="C214" s="319">
        <f>C283+C317+C248</f>
        <v>63164.166666666628</v>
      </c>
      <c r="D214" s="298">
        <v>12.98</v>
      </c>
      <c r="E214" s="324"/>
      <c r="F214" s="2">
        <f>F283+F317+F248</f>
        <v>819872</v>
      </c>
      <c r="G214" s="298">
        <v>12.98</v>
      </c>
      <c r="H214" s="325"/>
      <c r="I214" s="2">
        <f>I283+I317+I248</f>
        <v>819872</v>
      </c>
      <c r="J214" s="298">
        <f>$J$173</f>
        <v>15</v>
      </c>
      <c r="K214" s="325"/>
      <c r="L214" s="2">
        <f>L283+L317+L248</f>
        <v>947463</v>
      </c>
      <c r="M214" s="2"/>
      <c r="N214" s="298">
        <f>$N$173</f>
        <v>15</v>
      </c>
      <c r="O214" s="325"/>
      <c r="P214" s="2">
        <f>P283+P317+P248</f>
        <v>947463</v>
      </c>
      <c r="Q214" s="2"/>
      <c r="R214" s="298" t="str">
        <f>$R$173</f>
        <v xml:space="preserve"> </v>
      </c>
      <c r="S214" s="325"/>
      <c r="T214" s="2">
        <f>T283+T317+T248</f>
        <v>0</v>
      </c>
      <c r="U214" s="2"/>
      <c r="V214" s="298" t="str">
        <f>$V$173</f>
        <v xml:space="preserve"> </v>
      </c>
      <c r="W214" s="325"/>
      <c r="X214" s="2">
        <f>X283+X317+X248</f>
        <v>0</v>
      </c>
      <c r="Y214" s="20"/>
      <c r="Z214" s="74"/>
      <c r="AA214" s="74"/>
      <c r="AB214" s="74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U214" s="84"/>
    </row>
    <row r="215" spans="1:47" hidden="1">
      <c r="A215" s="1" t="s">
        <v>392</v>
      </c>
      <c r="B215" s="1"/>
      <c r="C215" s="319">
        <f>C284+C318+C249</f>
        <v>1251783</v>
      </c>
      <c r="D215" s="298">
        <v>0.92</v>
      </c>
      <c r="E215" s="324"/>
      <c r="F215" s="2">
        <f>F284+F318+F249</f>
        <v>1151641</v>
      </c>
      <c r="G215" s="298">
        <v>0.92</v>
      </c>
      <c r="H215" s="325"/>
      <c r="I215" s="2">
        <f>I284+I318+I249</f>
        <v>1151641</v>
      </c>
      <c r="J215" s="298">
        <f>$J$174</f>
        <v>1</v>
      </c>
      <c r="K215" s="325"/>
      <c r="L215" s="2">
        <f>L284+L318+L249</f>
        <v>1251783</v>
      </c>
      <c r="M215" s="2"/>
      <c r="N215" s="298">
        <f>$N$174</f>
        <v>1</v>
      </c>
      <c r="O215" s="325"/>
      <c r="P215" s="2">
        <f>P284+P318+P249</f>
        <v>1251783</v>
      </c>
      <c r="Q215" s="2"/>
      <c r="R215" s="298" t="str">
        <f>$R$174</f>
        <v xml:space="preserve"> </v>
      </c>
      <c r="S215" s="325"/>
      <c r="T215" s="2">
        <f>T284+T318+T249</f>
        <v>0</v>
      </c>
      <c r="U215" s="2"/>
      <c r="V215" s="298" t="str">
        <f>$V$174</f>
        <v xml:space="preserve"> </v>
      </c>
      <c r="W215" s="325"/>
      <c r="X215" s="2">
        <f>X284+X318+X249</f>
        <v>0</v>
      </c>
      <c r="Y215" s="20"/>
      <c r="Z215" s="74"/>
      <c r="AA215" s="74"/>
      <c r="AB215" s="74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U215" s="84"/>
    </row>
    <row r="216" spans="1:47" hidden="1">
      <c r="A216" s="1" t="s">
        <v>394</v>
      </c>
      <c r="B216" s="1"/>
      <c r="C216" s="319">
        <f>SUM(C213:C214)</f>
        <v>222989.03333333295</v>
      </c>
      <c r="D216" s="298"/>
      <c r="E216" s="321"/>
      <c r="F216" s="2"/>
      <c r="G216" s="298"/>
      <c r="H216" s="323"/>
      <c r="I216" s="2"/>
      <c r="J216" s="298"/>
      <c r="K216" s="323"/>
      <c r="L216" s="2"/>
      <c r="M216" s="2"/>
      <c r="N216" s="298"/>
      <c r="O216" s="323"/>
      <c r="P216" s="2"/>
      <c r="Q216" s="2"/>
      <c r="R216" s="298"/>
      <c r="S216" s="323"/>
      <c r="T216" s="2"/>
      <c r="U216" s="2"/>
      <c r="V216" s="298"/>
      <c r="W216" s="323"/>
      <c r="X216" s="2"/>
      <c r="Y216" s="20"/>
      <c r="Z216" s="74"/>
      <c r="AA216" s="74"/>
      <c r="AB216" s="74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U216" s="84"/>
    </row>
    <row r="217" spans="1:47" hidden="1">
      <c r="A217" s="1" t="s">
        <v>395</v>
      </c>
      <c r="B217" s="1"/>
      <c r="C217" s="319">
        <f>C286+C320+C251</f>
        <v>847087</v>
      </c>
      <c r="D217" s="326">
        <v>3.4</v>
      </c>
      <c r="E217" s="323"/>
      <c r="F217" s="2">
        <f>F286+F320+F251</f>
        <v>2880096</v>
      </c>
      <c r="G217" s="326">
        <v>3.61</v>
      </c>
      <c r="H217" s="323"/>
      <c r="I217" s="2">
        <f>I286+I320+I251</f>
        <v>3057984</v>
      </c>
      <c r="J217" s="326">
        <f ca="1">$J$177</f>
        <v>3.77</v>
      </c>
      <c r="K217" s="323"/>
      <c r="L217" s="2">
        <f ca="1">L286+L320+L251</f>
        <v>3193517</v>
      </c>
      <c r="M217" s="2"/>
      <c r="N217" s="326">
        <f ca="1">$N$177</f>
        <v>0.81</v>
      </c>
      <c r="O217" s="323"/>
      <c r="P217" s="2">
        <f ca="1">P286+P320+P251</f>
        <v>686141</v>
      </c>
      <c r="Q217" s="2"/>
      <c r="R217" s="326">
        <f ca="1">$R$177</f>
        <v>1.06</v>
      </c>
      <c r="S217" s="323"/>
      <c r="T217" s="2">
        <f ca="1">T286+T320+T251</f>
        <v>897913</v>
      </c>
      <c r="U217" s="2"/>
      <c r="V217" s="326">
        <f ca="1">$V$177</f>
        <v>1.9</v>
      </c>
      <c r="W217" s="323"/>
      <c r="X217" s="2">
        <f ca="1">X286+X320+X251</f>
        <v>1609466</v>
      </c>
      <c r="Y217" s="20"/>
      <c r="Z217" s="74"/>
      <c r="AA217" s="74"/>
      <c r="AB217" s="74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U217" s="84"/>
    </row>
    <row r="218" spans="1:47" hidden="1">
      <c r="A218" s="1" t="s">
        <v>397</v>
      </c>
      <c r="B218" s="1"/>
      <c r="C218" s="319">
        <f>C287+C321+C252</f>
        <v>130575962.42116135</v>
      </c>
      <c r="D218" s="299">
        <v>9.766</v>
      </c>
      <c r="E218" s="323" t="s">
        <v>374</v>
      </c>
      <c r="F218" s="2">
        <f>F287+F321+F252</f>
        <v>12752048</v>
      </c>
      <c r="G218" s="299">
        <v>10.359</v>
      </c>
      <c r="H218" s="323" t="s">
        <v>374</v>
      </c>
      <c r="I218" s="2">
        <f>I287+I321+I252</f>
        <v>13526365</v>
      </c>
      <c r="J218" s="299">
        <f ca="1">$J$178</f>
        <v>6.282</v>
      </c>
      <c r="K218" s="323" t="s">
        <v>374</v>
      </c>
      <c r="L218" s="2">
        <f ca="1">L287+L321+L252</f>
        <v>8202783</v>
      </c>
      <c r="M218" s="2"/>
      <c r="N218" s="299">
        <f ca="1">$N$178</f>
        <v>1.3483746810352102</v>
      </c>
      <c r="O218" s="323" t="s">
        <v>374</v>
      </c>
      <c r="P218" s="2">
        <f ca="1">P287+P321+P252</f>
        <v>1760654</v>
      </c>
      <c r="Q218" s="2"/>
      <c r="R218" s="299">
        <f ca="1">$R$178</f>
        <v>1.7708525176705459</v>
      </c>
      <c r="S218" s="323" t="s">
        <v>374</v>
      </c>
      <c r="T218" s="2">
        <f ca="1">T287+T321+T252</f>
        <v>2312308</v>
      </c>
      <c r="U218" s="2"/>
      <c r="V218" s="299">
        <f ca="1">$V$178</f>
        <v>3.162955363125258</v>
      </c>
      <c r="W218" s="323" t="s">
        <v>374</v>
      </c>
      <c r="X218" s="2">
        <f ca="1">X287+X321+X252</f>
        <v>4130059</v>
      </c>
      <c r="Y218" s="20"/>
      <c r="Z218" s="74"/>
      <c r="AA218" s="74"/>
      <c r="AB218" s="74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U218" s="84"/>
    </row>
    <row r="219" spans="1:47" hidden="1">
      <c r="A219" s="1" t="s">
        <v>398</v>
      </c>
      <c r="B219" s="1"/>
      <c r="C219" s="319">
        <f>C288+C322+C253</f>
        <v>288878910.50220066</v>
      </c>
      <c r="D219" s="299">
        <v>6.7460000000000004</v>
      </c>
      <c r="E219" s="323" t="s">
        <v>374</v>
      </c>
      <c r="F219" s="2">
        <f>F288+F322+F253</f>
        <v>19487772</v>
      </c>
      <c r="G219" s="299">
        <v>7.1559999999999997</v>
      </c>
      <c r="H219" s="323" t="s">
        <v>374</v>
      </c>
      <c r="I219" s="2">
        <f>I288+I322+I253</f>
        <v>20672175</v>
      </c>
      <c r="J219" s="299">
        <f ca="1">$J$179</f>
        <v>4.3410000000000002</v>
      </c>
      <c r="K219" s="323" t="s">
        <v>374</v>
      </c>
      <c r="L219" s="2">
        <f ca="1">L288+L322+L253</f>
        <v>12540233</v>
      </c>
      <c r="M219" s="2"/>
      <c r="N219" s="299">
        <f ca="1">$N$179</f>
        <v>0.93175626548296309</v>
      </c>
      <c r="O219" s="323" t="s">
        <v>374</v>
      </c>
      <c r="P219" s="2">
        <f ca="1">P288+P322+P253</f>
        <v>2691648</v>
      </c>
      <c r="Q219" s="2"/>
      <c r="R219" s="299">
        <f ca="1">$R$179</f>
        <v>1.2240066282869231</v>
      </c>
      <c r="S219" s="323" t="s">
        <v>374</v>
      </c>
      <c r="T219" s="2">
        <f ca="1">T288+T322+T253</f>
        <v>3535897</v>
      </c>
      <c r="U219" s="2"/>
      <c r="V219" s="299">
        <f ca="1">$V$179</f>
        <v>2.1849800075654815</v>
      </c>
      <c r="W219" s="323" t="s">
        <v>374</v>
      </c>
      <c r="X219" s="2">
        <f ca="1">X288+X322+X253</f>
        <v>6311946</v>
      </c>
      <c r="Y219" s="20"/>
      <c r="Z219" s="74"/>
      <c r="AA219" s="74"/>
      <c r="AB219" s="74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U219" s="84"/>
    </row>
    <row r="220" spans="1:47" hidden="1">
      <c r="A220" s="1" t="s">
        <v>399</v>
      </c>
      <c r="B220" s="1"/>
      <c r="C220" s="319">
        <f>C289+C323+C254</f>
        <v>123790615.42237033</v>
      </c>
      <c r="D220" s="299">
        <v>5.8120000000000003</v>
      </c>
      <c r="E220" s="323" t="s">
        <v>374</v>
      </c>
      <c r="F220" s="2">
        <f>F289+F323+F254</f>
        <v>7194710</v>
      </c>
      <c r="G220" s="299">
        <v>6.1660000000000004</v>
      </c>
      <c r="H220" s="323" t="s">
        <v>374</v>
      </c>
      <c r="I220" s="2">
        <f>I289+I323+I254</f>
        <v>7632930</v>
      </c>
      <c r="J220" s="299">
        <f ca="1">$J$180</f>
        <v>3.74</v>
      </c>
      <c r="K220" s="323" t="s">
        <v>374</v>
      </c>
      <c r="L220" s="2">
        <f ca="1">L289+L323+L254</f>
        <v>4629769</v>
      </c>
      <c r="M220" s="2"/>
      <c r="N220" s="299">
        <f ca="1">$N$180</f>
        <v>0.80275718206159852</v>
      </c>
      <c r="O220" s="323" t="s">
        <v>374</v>
      </c>
      <c r="P220" s="2">
        <f ca="1">P289+P323+P254</f>
        <v>993738</v>
      </c>
      <c r="Q220" s="2"/>
      <c r="R220" s="299">
        <f ca="1">$R$180</f>
        <v>1.0536847359511734</v>
      </c>
      <c r="S220" s="323" t="s">
        <v>374</v>
      </c>
      <c r="T220" s="2">
        <f ca="1">T289+T323+T254</f>
        <v>1304363</v>
      </c>
      <c r="U220" s="2"/>
      <c r="V220" s="299">
        <f ca="1">$V$180</f>
        <v>1.8834755557989509</v>
      </c>
      <c r="W220" s="323" t="s">
        <v>374</v>
      </c>
      <c r="X220" s="2">
        <f ca="1">X289+X323+X254</f>
        <v>2331566</v>
      </c>
      <c r="Y220" s="20"/>
      <c r="Z220" s="74"/>
      <c r="AA220" s="74"/>
      <c r="AB220" s="74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U220" s="84"/>
    </row>
    <row r="221" spans="1:47" hidden="1">
      <c r="A221" s="1" t="s">
        <v>400</v>
      </c>
      <c r="B221" s="1"/>
      <c r="C221" s="319">
        <f>C290+C324+C255</f>
        <v>117537.53333333335</v>
      </c>
      <c r="D221" s="330">
        <v>56</v>
      </c>
      <c r="E221" s="321" t="s">
        <v>374</v>
      </c>
      <c r="F221" s="2">
        <f>F290+F324+F255</f>
        <v>65821</v>
      </c>
      <c r="G221" s="330">
        <v>56</v>
      </c>
      <c r="H221" s="323" t="s">
        <v>374</v>
      </c>
      <c r="I221" s="2">
        <f>I290+I324+I255</f>
        <v>65821</v>
      </c>
      <c r="J221" s="330">
        <f>$J$181</f>
        <v>56</v>
      </c>
      <c r="K221" s="323" t="s">
        <v>374</v>
      </c>
      <c r="L221" s="2">
        <f>L290+L324+L255</f>
        <v>65821</v>
      </c>
      <c r="M221" s="2"/>
      <c r="N221" s="330" t="str">
        <f>$N$181</f>
        <v xml:space="preserve"> </v>
      </c>
      <c r="O221" s="323" t="s">
        <v>374</v>
      </c>
      <c r="P221" s="2">
        <f>P290+P324+P255</f>
        <v>0</v>
      </c>
      <c r="Q221" s="2"/>
      <c r="R221" s="330">
        <f ca="1">$R$181</f>
        <v>11</v>
      </c>
      <c r="S221" s="323" t="s">
        <v>374</v>
      </c>
      <c r="T221" s="2">
        <f ca="1">T290+T324+T255</f>
        <v>12930</v>
      </c>
      <c r="U221" s="2"/>
      <c r="V221" s="330">
        <f ca="1">$V$181</f>
        <v>45</v>
      </c>
      <c r="W221" s="323" t="s">
        <v>374</v>
      </c>
      <c r="X221" s="2">
        <f ca="1">X290+X324+X255</f>
        <v>52892</v>
      </c>
      <c r="Y221" s="20"/>
      <c r="Z221" s="74"/>
      <c r="AA221" s="74"/>
      <c r="AB221" s="74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U221" s="84"/>
    </row>
    <row r="222" spans="1:47" s="1184" customFormat="1" hidden="1">
      <c r="A222" s="1005" t="s">
        <v>918</v>
      </c>
      <c r="C222" s="1026">
        <f>C218</f>
        <v>130575962.42116135</v>
      </c>
      <c r="D222" s="269"/>
      <c r="E222" s="1185"/>
      <c r="F222" s="1203"/>
      <c r="G222" s="269"/>
      <c r="H222" s="1185"/>
      <c r="I222" s="1203"/>
      <c r="J222" s="1230">
        <f>J182</f>
        <v>4.5289999999999999</v>
      </c>
      <c r="K222" s="1009" t="s">
        <v>374</v>
      </c>
      <c r="L222" s="1203">
        <f>L256+L291+L325</f>
        <v>5913785</v>
      </c>
      <c r="M222" s="1203"/>
      <c r="N222" s="1230" t="str">
        <f>N182</f>
        <v xml:space="preserve"> </v>
      </c>
      <c r="O222" s="1009" t="s">
        <v>374</v>
      </c>
      <c r="P222" s="1203">
        <f>P256+P291+P325</f>
        <v>0</v>
      </c>
      <c r="Q222" s="1203"/>
      <c r="R222" s="1230" t="str">
        <f>R182</f>
        <v xml:space="preserve"> </v>
      </c>
      <c r="S222" s="1009" t="s">
        <v>374</v>
      </c>
      <c r="T222" s="1203">
        <f>T256+T291+T325</f>
        <v>0</v>
      </c>
      <c r="U222" s="1203"/>
      <c r="V222" s="1230">
        <f>V182</f>
        <v>4.5289999999999999</v>
      </c>
      <c r="W222" s="1009" t="s">
        <v>374</v>
      </c>
      <c r="X222" s="1203">
        <f>X256+X291+X325</f>
        <v>5913785</v>
      </c>
      <c r="Z222" s="815"/>
      <c r="AC222" s="1205"/>
      <c r="AD222" s="1205"/>
      <c r="AI222" s="1185"/>
      <c r="AJ222" s="1185"/>
      <c r="AK222" s="1185"/>
      <c r="AL222" s="1185"/>
      <c r="AM222" s="1185"/>
      <c r="AN222" s="1185"/>
      <c r="AO222" s="1185"/>
      <c r="AP222" s="1185"/>
      <c r="AQ222" s="1185"/>
      <c r="AR222" s="1185"/>
      <c r="AS222" s="1185"/>
      <c r="AU222" s="1204"/>
    </row>
    <row r="223" spans="1:47" s="1184" customFormat="1" hidden="1">
      <c r="A223" s="1005" t="s">
        <v>919</v>
      </c>
      <c r="C223" s="1026">
        <f t="shared" ref="C223:C224" si="71">C219</f>
        <v>288878910.50220066</v>
      </c>
      <c r="D223" s="269"/>
      <c r="E223" s="1185"/>
      <c r="F223" s="1203"/>
      <c r="G223" s="269"/>
      <c r="H223" s="1185"/>
      <c r="I223" s="1203"/>
      <c r="J223" s="1230">
        <f>J183</f>
        <v>3.1270000000000002</v>
      </c>
      <c r="K223" s="1009" t="s">
        <v>374</v>
      </c>
      <c r="L223" s="1203">
        <f t="shared" ref="L223:L224" si="72">L257+L292+L326</f>
        <v>9033244</v>
      </c>
      <c r="M223" s="1203"/>
      <c r="N223" s="1230" t="str">
        <f>N183</f>
        <v xml:space="preserve"> </v>
      </c>
      <c r="O223" s="1009" t="s">
        <v>374</v>
      </c>
      <c r="P223" s="1203">
        <f t="shared" ref="P223:P224" si="73">P257+P292+P326</f>
        <v>0</v>
      </c>
      <c r="Q223" s="1203"/>
      <c r="R223" s="1230" t="str">
        <f>R183</f>
        <v xml:space="preserve"> </v>
      </c>
      <c r="S223" s="1009" t="s">
        <v>374</v>
      </c>
      <c r="T223" s="1203">
        <f t="shared" ref="T223:T224" si="74">T257+T292+T326</f>
        <v>0</v>
      </c>
      <c r="U223" s="1203"/>
      <c r="V223" s="1230">
        <f>V183</f>
        <v>3.1270000000000002</v>
      </c>
      <c r="W223" s="1009" t="s">
        <v>374</v>
      </c>
      <c r="X223" s="1203">
        <f t="shared" ref="X223:X224" si="75">X257+X292+X326</f>
        <v>9033244</v>
      </c>
      <c r="Z223" s="815"/>
      <c r="AC223" s="1205"/>
      <c r="AD223" s="1205"/>
      <c r="AI223" s="1185"/>
      <c r="AJ223" s="1185"/>
      <c r="AK223" s="1185"/>
      <c r="AL223" s="1185"/>
      <c r="AM223" s="1185"/>
      <c r="AN223" s="1185"/>
      <c r="AO223" s="1185"/>
      <c r="AP223" s="1185"/>
      <c r="AQ223" s="1185"/>
      <c r="AR223" s="1185"/>
      <c r="AS223" s="1185"/>
      <c r="AU223" s="1204"/>
    </row>
    <row r="224" spans="1:47" s="1184" customFormat="1" hidden="1">
      <c r="A224" s="1005" t="s">
        <v>920</v>
      </c>
      <c r="C224" s="1026">
        <f t="shared" si="71"/>
        <v>123790615.42237033</v>
      </c>
      <c r="D224" s="269"/>
      <c r="E224" s="1185"/>
      <c r="F224" s="1203"/>
      <c r="G224" s="269"/>
      <c r="H224" s="1185"/>
      <c r="I224" s="1203"/>
      <c r="J224" s="1230">
        <f>J184</f>
        <v>2.6950000000000003</v>
      </c>
      <c r="K224" s="1009" t="s">
        <v>374</v>
      </c>
      <c r="L224" s="1203">
        <f t="shared" si="72"/>
        <v>3336157</v>
      </c>
      <c r="M224" s="1203"/>
      <c r="N224" s="1230" t="str">
        <f>N184</f>
        <v xml:space="preserve"> </v>
      </c>
      <c r="O224" s="1009" t="s">
        <v>374</v>
      </c>
      <c r="P224" s="1203">
        <f t="shared" si="73"/>
        <v>0</v>
      </c>
      <c r="Q224" s="1203"/>
      <c r="R224" s="1230" t="str">
        <f>R184</f>
        <v xml:space="preserve"> </v>
      </c>
      <c r="S224" s="1009" t="s">
        <v>374</v>
      </c>
      <c r="T224" s="1203">
        <f t="shared" si="74"/>
        <v>0</v>
      </c>
      <c r="U224" s="1203"/>
      <c r="V224" s="1230">
        <f>V184</f>
        <v>2.6950000000000003</v>
      </c>
      <c r="W224" s="1009" t="s">
        <v>374</v>
      </c>
      <c r="X224" s="1203">
        <f t="shared" si="75"/>
        <v>3336157</v>
      </c>
      <c r="Z224" s="815" t="s">
        <v>31</v>
      </c>
      <c r="AC224" s="1205"/>
      <c r="AD224" s="1205"/>
      <c r="AI224" s="1185"/>
      <c r="AJ224" s="1185"/>
      <c r="AK224" s="1185"/>
      <c r="AL224" s="1185"/>
      <c r="AM224" s="1185"/>
      <c r="AN224" s="1185"/>
      <c r="AO224" s="1185"/>
      <c r="AP224" s="1185"/>
      <c r="AQ224" s="1185"/>
      <c r="AR224" s="1185"/>
      <c r="AS224" s="1185"/>
      <c r="AU224" s="1204"/>
    </row>
    <row r="225" spans="1:47" hidden="1">
      <c r="A225" s="331" t="s">
        <v>401</v>
      </c>
      <c r="B225" s="1"/>
      <c r="C225" s="319"/>
      <c r="D225" s="332">
        <v>-0.01</v>
      </c>
      <c r="E225" s="321"/>
      <c r="F225" s="2"/>
      <c r="G225" s="332">
        <v>-0.01</v>
      </c>
      <c r="H225" s="323"/>
      <c r="I225" s="2"/>
      <c r="J225" s="332">
        <v>-0.01</v>
      </c>
      <c r="K225" s="323"/>
      <c r="L225" s="2"/>
      <c r="M225" s="2"/>
      <c r="N225" s="332">
        <v>-0.01</v>
      </c>
      <c r="O225" s="323"/>
      <c r="P225" s="2"/>
      <c r="Q225" s="2"/>
      <c r="R225" s="332">
        <v>-0.01</v>
      </c>
      <c r="S225" s="323"/>
      <c r="T225" s="2"/>
      <c r="U225" s="2"/>
      <c r="V225" s="332">
        <v>-0.01</v>
      </c>
      <c r="W225" s="323"/>
      <c r="X225" s="2"/>
      <c r="Y225" s="20"/>
      <c r="Z225" s="32" t="s">
        <v>31</v>
      </c>
      <c r="AA225" s="74"/>
      <c r="AB225" s="74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U225" s="84"/>
    </row>
    <row r="226" spans="1:47" hidden="1">
      <c r="A226" s="1" t="s">
        <v>390</v>
      </c>
      <c r="B226" s="1"/>
      <c r="C226" s="319">
        <f t="shared" ref="C226:C235" si="76">C295+C329+C260</f>
        <v>71.966666666666697</v>
      </c>
      <c r="D226" s="334">
        <v>8.7100000000000009</v>
      </c>
      <c r="E226" s="321"/>
      <c r="F226" s="2">
        <f t="shared" ref="F226:F235" si="77">F295+F329+F260</f>
        <v>-6</v>
      </c>
      <c r="G226" s="334">
        <v>8.7100000000000009</v>
      </c>
      <c r="H226" s="321"/>
      <c r="I226" s="2">
        <f t="shared" ref="I226:I235" si="78">I295+I329+I260</f>
        <v>-6</v>
      </c>
      <c r="J226" s="334">
        <f>J213</f>
        <v>10</v>
      </c>
      <c r="K226" s="321"/>
      <c r="L226" s="2">
        <f t="shared" ref="L226:L235" si="79">L295+L329+L260</f>
        <v>-7</v>
      </c>
      <c r="M226" s="2"/>
      <c r="N226" s="334">
        <f>N213</f>
        <v>10</v>
      </c>
      <c r="O226" s="321"/>
      <c r="P226" s="2">
        <f t="shared" ref="P226:P235" si="80">P295+P329+P260</f>
        <v>-7</v>
      </c>
      <c r="Q226" s="2"/>
      <c r="R226" s="334" t="str">
        <f>R213</f>
        <v xml:space="preserve"> </v>
      </c>
      <c r="S226" s="321"/>
      <c r="T226" s="2">
        <f t="shared" ref="T226:T235" si="81">T295+T329+T260</f>
        <v>0</v>
      </c>
      <c r="U226" s="2"/>
      <c r="V226" s="334" t="str">
        <f>V213</f>
        <v xml:space="preserve"> </v>
      </c>
      <c r="W226" s="321"/>
      <c r="X226" s="2">
        <f t="shared" ref="X226:X235" si="82">X295+X329+X260</f>
        <v>0</v>
      </c>
      <c r="Y226" s="20"/>
      <c r="Z226" s="74"/>
      <c r="AA226" s="74"/>
      <c r="AB226" s="74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U226" s="84"/>
    </row>
    <row r="227" spans="1:47" hidden="1">
      <c r="A227" s="1" t="s">
        <v>391</v>
      </c>
      <c r="B227" s="1"/>
      <c r="C227" s="319">
        <f t="shared" si="76"/>
        <v>38.6</v>
      </c>
      <c r="D227" s="334">
        <v>12.98</v>
      </c>
      <c r="E227" s="321"/>
      <c r="F227" s="2">
        <f t="shared" si="77"/>
        <v>-5</v>
      </c>
      <c r="G227" s="334">
        <v>12.98</v>
      </c>
      <c r="H227" s="321"/>
      <c r="I227" s="2">
        <f t="shared" si="78"/>
        <v>-5</v>
      </c>
      <c r="J227" s="334">
        <f>J214</f>
        <v>15</v>
      </c>
      <c r="K227" s="321"/>
      <c r="L227" s="2">
        <f t="shared" si="79"/>
        <v>-5</v>
      </c>
      <c r="M227" s="2"/>
      <c r="N227" s="334">
        <f>N214</f>
        <v>15</v>
      </c>
      <c r="O227" s="321"/>
      <c r="P227" s="2">
        <f t="shared" si="80"/>
        <v>-5</v>
      </c>
      <c r="Q227" s="2"/>
      <c r="R227" s="334" t="str">
        <f>R214</f>
        <v xml:space="preserve"> </v>
      </c>
      <c r="S227" s="321"/>
      <c r="T227" s="2">
        <f t="shared" si="81"/>
        <v>0</v>
      </c>
      <c r="U227" s="2"/>
      <c r="V227" s="334" t="str">
        <f>V214</f>
        <v xml:space="preserve"> </v>
      </c>
      <c r="W227" s="321"/>
      <c r="X227" s="2">
        <f t="shared" si="82"/>
        <v>0</v>
      </c>
      <c r="Y227" s="20"/>
      <c r="Z227" s="74"/>
      <c r="AA227" s="74"/>
      <c r="AB227" s="74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U227" s="84"/>
    </row>
    <row r="228" spans="1:47" hidden="1">
      <c r="A228" s="1" t="s">
        <v>402</v>
      </c>
      <c r="B228" s="1"/>
      <c r="C228" s="319">
        <f t="shared" si="76"/>
        <v>1129</v>
      </c>
      <c r="D228" s="334">
        <v>0.92</v>
      </c>
      <c r="E228" s="321"/>
      <c r="F228" s="2">
        <f t="shared" si="77"/>
        <v>-11</v>
      </c>
      <c r="G228" s="334">
        <v>0.92</v>
      </c>
      <c r="H228" s="321"/>
      <c r="I228" s="2">
        <f t="shared" si="78"/>
        <v>-11</v>
      </c>
      <c r="J228" s="334">
        <f>J215</f>
        <v>1</v>
      </c>
      <c r="K228" s="321"/>
      <c r="L228" s="2">
        <f t="shared" si="79"/>
        <v>-11</v>
      </c>
      <c r="M228" s="2"/>
      <c r="N228" s="334">
        <f>N215</f>
        <v>1</v>
      </c>
      <c r="O228" s="321"/>
      <c r="P228" s="2">
        <f t="shared" si="80"/>
        <v>-11</v>
      </c>
      <c r="Q228" s="2"/>
      <c r="R228" s="334" t="str">
        <f>R215</f>
        <v xml:space="preserve"> </v>
      </c>
      <c r="S228" s="321"/>
      <c r="T228" s="2">
        <f t="shared" si="81"/>
        <v>0</v>
      </c>
      <c r="U228" s="2"/>
      <c r="V228" s="334" t="str">
        <f>V215</f>
        <v xml:space="preserve"> </v>
      </c>
      <c r="W228" s="321"/>
      <c r="X228" s="2">
        <f t="shared" si="82"/>
        <v>0</v>
      </c>
      <c r="Y228" s="20"/>
      <c r="Z228" s="74"/>
      <c r="AA228" s="74"/>
      <c r="AB228" s="74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U228" s="84"/>
    </row>
    <row r="229" spans="1:47" hidden="1">
      <c r="A229" s="1" t="s">
        <v>403</v>
      </c>
      <c r="B229" s="1"/>
      <c r="C229" s="319">
        <f t="shared" si="76"/>
        <v>948</v>
      </c>
      <c r="D229" s="334">
        <v>3.4</v>
      </c>
      <c r="E229" s="323"/>
      <c r="F229" s="2">
        <f t="shared" si="77"/>
        <v>-32</v>
      </c>
      <c r="G229" s="334">
        <v>3.61</v>
      </c>
      <c r="H229" s="323"/>
      <c r="I229" s="2">
        <f t="shared" si="78"/>
        <v>-35</v>
      </c>
      <c r="J229" s="334">
        <f ca="1">J217</f>
        <v>3.77</v>
      </c>
      <c r="K229" s="323"/>
      <c r="L229" s="2">
        <f t="shared" ca="1" si="79"/>
        <v>-36</v>
      </c>
      <c r="M229" s="2"/>
      <c r="N229" s="334">
        <f ca="1">N217</f>
        <v>0.81</v>
      </c>
      <c r="O229" s="323"/>
      <c r="P229" s="2">
        <f t="shared" ca="1" si="80"/>
        <v>-7</v>
      </c>
      <c r="Q229" s="2"/>
      <c r="R229" s="334">
        <f ca="1">R217</f>
        <v>1.06</v>
      </c>
      <c r="S229" s="323"/>
      <c r="T229" s="2">
        <f t="shared" ca="1" si="81"/>
        <v>-10</v>
      </c>
      <c r="U229" s="2"/>
      <c r="V229" s="334">
        <f ca="1">V217</f>
        <v>1.9</v>
      </c>
      <c r="W229" s="323"/>
      <c r="X229" s="2">
        <f t="shared" ca="1" si="82"/>
        <v>-18</v>
      </c>
      <c r="Y229" s="20"/>
      <c r="Z229" s="74"/>
      <c r="AA229" s="74"/>
      <c r="AB229" s="74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U229" s="84"/>
    </row>
    <row r="230" spans="1:47" hidden="1">
      <c r="A230" s="1" t="s">
        <v>405</v>
      </c>
      <c r="B230" s="1"/>
      <c r="C230" s="319">
        <f t="shared" si="76"/>
        <v>90642.333333333299</v>
      </c>
      <c r="D230" s="335">
        <v>9.766</v>
      </c>
      <c r="E230" s="323" t="s">
        <v>374</v>
      </c>
      <c r="F230" s="2">
        <f t="shared" si="77"/>
        <v>-89</v>
      </c>
      <c r="G230" s="335">
        <v>10.359</v>
      </c>
      <c r="H230" s="323" t="s">
        <v>374</v>
      </c>
      <c r="I230" s="2">
        <f t="shared" si="78"/>
        <v>-94</v>
      </c>
      <c r="J230" s="335">
        <f ca="1">J218</f>
        <v>6.282</v>
      </c>
      <c r="K230" s="323" t="s">
        <v>374</v>
      </c>
      <c r="L230" s="2">
        <f t="shared" ca="1" si="79"/>
        <v>-57</v>
      </c>
      <c r="M230" s="2"/>
      <c r="N230" s="335">
        <f ca="1">N218</f>
        <v>1.3483746810352102</v>
      </c>
      <c r="O230" s="323" t="s">
        <v>374</v>
      </c>
      <c r="P230" s="2">
        <f t="shared" ca="1" si="80"/>
        <v>-12</v>
      </c>
      <c r="Q230" s="2"/>
      <c r="R230" s="335">
        <f ca="1">R218</f>
        <v>1.7708525176705459</v>
      </c>
      <c r="S230" s="323" t="s">
        <v>374</v>
      </c>
      <c r="T230" s="2">
        <f t="shared" ca="1" si="81"/>
        <v>-16</v>
      </c>
      <c r="U230" s="2"/>
      <c r="V230" s="335">
        <f ca="1">V218</f>
        <v>3.162955363125258</v>
      </c>
      <c r="W230" s="323" t="s">
        <v>374</v>
      </c>
      <c r="X230" s="2">
        <f t="shared" ca="1" si="82"/>
        <v>-29</v>
      </c>
      <c r="Y230" s="20"/>
      <c r="Z230" s="74"/>
      <c r="AA230" s="74"/>
      <c r="AB230" s="74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U230" s="84"/>
    </row>
    <row r="231" spans="1:47" hidden="1">
      <c r="A231" s="1" t="s">
        <v>398</v>
      </c>
      <c r="B231" s="1"/>
      <c r="C231" s="319">
        <f t="shared" si="76"/>
        <v>455823.66666666698</v>
      </c>
      <c r="D231" s="335">
        <v>6.7460000000000004</v>
      </c>
      <c r="E231" s="323" t="s">
        <v>374</v>
      </c>
      <c r="F231" s="2">
        <f t="shared" si="77"/>
        <v>-307</v>
      </c>
      <c r="G231" s="335">
        <v>7.1559999999999997</v>
      </c>
      <c r="H231" s="323" t="s">
        <v>374</v>
      </c>
      <c r="I231" s="2">
        <f t="shared" si="78"/>
        <v>-326</v>
      </c>
      <c r="J231" s="335">
        <f ca="1">J219</f>
        <v>4.3410000000000002</v>
      </c>
      <c r="K231" s="323" t="s">
        <v>374</v>
      </c>
      <c r="L231" s="2">
        <f t="shared" ca="1" si="79"/>
        <v>-198</v>
      </c>
      <c r="M231" s="2"/>
      <c r="N231" s="335">
        <f ca="1">N219</f>
        <v>0.93175626548296309</v>
      </c>
      <c r="O231" s="323" t="s">
        <v>374</v>
      </c>
      <c r="P231" s="2">
        <f t="shared" ca="1" si="80"/>
        <v>-43</v>
      </c>
      <c r="Q231" s="2"/>
      <c r="R231" s="335">
        <f ca="1">R219</f>
        <v>1.2240066282869231</v>
      </c>
      <c r="S231" s="323" t="s">
        <v>374</v>
      </c>
      <c r="T231" s="2">
        <f t="shared" ca="1" si="81"/>
        <v>-56</v>
      </c>
      <c r="U231" s="2"/>
      <c r="V231" s="335">
        <f ca="1">V219</f>
        <v>2.1849800075654815</v>
      </c>
      <c r="W231" s="323" t="s">
        <v>374</v>
      </c>
      <c r="X231" s="2">
        <f t="shared" ca="1" si="82"/>
        <v>-100</v>
      </c>
      <c r="Y231" s="20"/>
      <c r="Z231" s="74"/>
      <c r="AA231" s="74"/>
      <c r="AB231" s="74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U231" s="84"/>
    </row>
    <row r="232" spans="1:47" hidden="1">
      <c r="A232" s="1" t="s">
        <v>399</v>
      </c>
      <c r="B232" s="1"/>
      <c r="C232" s="319">
        <f t="shared" si="76"/>
        <v>176779.99999999971</v>
      </c>
      <c r="D232" s="335">
        <v>5.8120000000000003</v>
      </c>
      <c r="E232" s="323" t="s">
        <v>374</v>
      </c>
      <c r="F232" s="2">
        <f t="shared" si="77"/>
        <v>-102</v>
      </c>
      <c r="G232" s="335">
        <v>6.1660000000000004</v>
      </c>
      <c r="H232" s="323" t="s">
        <v>374</v>
      </c>
      <c r="I232" s="2">
        <f t="shared" si="78"/>
        <v>-109</v>
      </c>
      <c r="J232" s="335">
        <f ca="1">J220</f>
        <v>3.74</v>
      </c>
      <c r="K232" s="323" t="s">
        <v>374</v>
      </c>
      <c r="L232" s="2">
        <f t="shared" ca="1" si="79"/>
        <v>-66</v>
      </c>
      <c r="M232" s="2"/>
      <c r="N232" s="335">
        <f ca="1">N220</f>
        <v>0.80275718206159852</v>
      </c>
      <c r="O232" s="323" t="s">
        <v>374</v>
      </c>
      <c r="P232" s="2">
        <f t="shared" ca="1" si="80"/>
        <v>-14</v>
      </c>
      <c r="Q232" s="2"/>
      <c r="R232" s="335">
        <f ca="1">R220</f>
        <v>1.0536847359511734</v>
      </c>
      <c r="S232" s="323" t="s">
        <v>374</v>
      </c>
      <c r="T232" s="2">
        <f t="shared" ca="1" si="81"/>
        <v>-18</v>
      </c>
      <c r="U232" s="2"/>
      <c r="V232" s="335">
        <f ca="1">V220</f>
        <v>1.8834755557989509</v>
      </c>
      <c r="W232" s="323" t="s">
        <v>374</v>
      </c>
      <c r="X232" s="2">
        <f t="shared" ca="1" si="82"/>
        <v>-34</v>
      </c>
      <c r="Y232" s="20"/>
      <c r="Z232" s="74"/>
      <c r="AA232" s="74"/>
      <c r="AB232" s="74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U232" s="84"/>
    </row>
    <row r="233" spans="1:47" hidden="1">
      <c r="A233" s="1" t="s">
        <v>400</v>
      </c>
      <c r="B233" s="1"/>
      <c r="C233" s="319">
        <f t="shared" si="76"/>
        <v>1148.3</v>
      </c>
      <c r="D233" s="336">
        <v>56</v>
      </c>
      <c r="E233" s="323" t="s">
        <v>374</v>
      </c>
      <c r="F233" s="2">
        <f t="shared" si="77"/>
        <v>-6</v>
      </c>
      <c r="G233" s="336">
        <v>56</v>
      </c>
      <c r="H233" s="323" t="s">
        <v>374</v>
      </c>
      <c r="I233" s="2">
        <f t="shared" si="78"/>
        <v>-6</v>
      </c>
      <c r="J233" s="336">
        <f>J221</f>
        <v>56</v>
      </c>
      <c r="K233" s="323" t="s">
        <v>374</v>
      </c>
      <c r="L233" s="2">
        <f t="shared" si="79"/>
        <v>-6</v>
      </c>
      <c r="M233" s="2"/>
      <c r="N233" s="336" t="str">
        <f>N221</f>
        <v xml:space="preserve"> </v>
      </c>
      <c r="O233" s="323" t="s">
        <v>374</v>
      </c>
      <c r="P233" s="2">
        <f t="shared" si="80"/>
        <v>0</v>
      </c>
      <c r="Q233" s="2"/>
      <c r="R233" s="336">
        <f ca="1">R221</f>
        <v>11</v>
      </c>
      <c r="S233" s="323" t="s">
        <v>374</v>
      </c>
      <c r="T233" s="2">
        <f t="shared" ca="1" si="81"/>
        <v>-1</v>
      </c>
      <c r="U233" s="2"/>
      <c r="V233" s="336">
        <f ca="1">V221</f>
        <v>45</v>
      </c>
      <c r="W233" s="323" t="s">
        <v>374</v>
      </c>
      <c r="X233" s="2">
        <f t="shared" ca="1" si="82"/>
        <v>-5</v>
      </c>
      <c r="Y233" s="20"/>
      <c r="Z233" s="74"/>
      <c r="AA233" s="74"/>
      <c r="AB233" s="74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U233" s="84"/>
    </row>
    <row r="234" spans="1:47" hidden="1">
      <c r="A234" s="1" t="s">
        <v>407</v>
      </c>
      <c r="B234" s="1"/>
      <c r="C234" s="319">
        <f t="shared" si="76"/>
        <v>123.4666666666667</v>
      </c>
      <c r="D234" s="337">
        <v>60</v>
      </c>
      <c r="E234" s="321"/>
      <c r="F234" s="2">
        <f t="shared" si="77"/>
        <v>7408</v>
      </c>
      <c r="G234" s="337">
        <v>60</v>
      </c>
      <c r="H234" s="323"/>
      <c r="I234" s="2">
        <f t="shared" si="78"/>
        <v>7408</v>
      </c>
      <c r="J234" s="337">
        <f>$J$197</f>
        <v>60</v>
      </c>
      <c r="K234" s="323"/>
      <c r="L234" s="2">
        <f t="shared" si="79"/>
        <v>7408</v>
      </c>
      <c r="M234" s="2"/>
      <c r="N234" s="337">
        <f>$J$197</f>
        <v>60</v>
      </c>
      <c r="O234" s="323"/>
      <c r="P234" s="2">
        <f t="shared" si="80"/>
        <v>0</v>
      </c>
      <c r="Q234" s="2"/>
      <c r="R234" s="337">
        <f ca="1">$R$197</f>
        <v>11.86</v>
      </c>
      <c r="S234" s="323"/>
      <c r="T234" s="1674">
        <f ca="1">L234*(Z207/(Z207+AA207))</f>
        <v>1464.8057749125371</v>
      </c>
      <c r="U234" s="2"/>
      <c r="V234" s="337">
        <f ca="1">$V$197</f>
        <v>48.14</v>
      </c>
      <c r="W234" s="323"/>
      <c r="X234" s="2">
        <f t="shared" ca="1" si="82"/>
        <v>5943.1942250874636</v>
      </c>
      <c r="Y234" s="20"/>
      <c r="Z234" s="74"/>
      <c r="AA234" s="74"/>
      <c r="AB234" s="74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U234" s="84"/>
    </row>
    <row r="235" spans="1:47" hidden="1">
      <c r="A235" s="1" t="s">
        <v>408</v>
      </c>
      <c r="B235" s="1"/>
      <c r="C235" s="319">
        <f t="shared" si="76"/>
        <v>1129</v>
      </c>
      <c r="D235" s="339">
        <v>-30</v>
      </c>
      <c r="E235" s="321" t="s">
        <v>374</v>
      </c>
      <c r="F235" s="2">
        <f t="shared" si="77"/>
        <v>-339</v>
      </c>
      <c r="G235" s="339">
        <v>-30</v>
      </c>
      <c r="H235" s="323" t="s">
        <v>374</v>
      </c>
      <c r="I235" s="2">
        <f t="shared" si="78"/>
        <v>-339</v>
      </c>
      <c r="J235" s="339">
        <f>$J$198</f>
        <v>-30</v>
      </c>
      <c r="K235" s="323" t="s">
        <v>374</v>
      </c>
      <c r="L235" s="2">
        <f t="shared" si="79"/>
        <v>-339</v>
      </c>
      <c r="M235" s="2"/>
      <c r="N235" s="339">
        <f>$J$198</f>
        <v>-30</v>
      </c>
      <c r="O235" s="323" t="s">
        <v>374</v>
      </c>
      <c r="P235" s="2">
        <f t="shared" si="80"/>
        <v>-339</v>
      </c>
      <c r="Q235" s="2"/>
      <c r="R235" s="339">
        <f>$J$198</f>
        <v>-30</v>
      </c>
      <c r="S235" s="323" t="s">
        <v>374</v>
      </c>
      <c r="T235" s="2">
        <f t="shared" si="81"/>
        <v>0</v>
      </c>
      <c r="U235" s="2"/>
      <c r="V235" s="339">
        <f>$J$198</f>
        <v>-30</v>
      </c>
      <c r="W235" s="323" t="s">
        <v>374</v>
      </c>
      <c r="X235" s="2">
        <f t="shared" si="82"/>
        <v>0</v>
      </c>
      <c r="Y235" s="20"/>
      <c r="Z235" s="74"/>
      <c r="AA235" s="74"/>
      <c r="AB235" s="74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U235" s="84"/>
    </row>
    <row r="236" spans="1:47" s="1184" customFormat="1" hidden="1">
      <c r="A236" s="1005" t="s">
        <v>918</v>
      </c>
      <c r="C236" s="1026">
        <f>C230</f>
        <v>90642.333333333299</v>
      </c>
      <c r="D236" s="269"/>
      <c r="E236" s="1185"/>
      <c r="F236" s="1203"/>
      <c r="G236" s="269"/>
      <c r="H236" s="1185"/>
      <c r="I236" s="1203"/>
      <c r="J236" s="1230">
        <f>J182</f>
        <v>4.5289999999999999</v>
      </c>
      <c r="K236" s="1009" t="s">
        <v>374</v>
      </c>
      <c r="L236" s="1203">
        <f t="shared" ref="L236:L238" si="83">L270+L305+L339</f>
        <v>-2211</v>
      </c>
      <c r="M236" s="1203"/>
      <c r="N236" s="1230" t="str">
        <f>N182</f>
        <v xml:space="preserve"> </v>
      </c>
      <c r="O236" s="1009" t="s">
        <v>374</v>
      </c>
      <c r="P236" s="1203">
        <f t="shared" ref="P236:P238" si="84">P270+P305+P339</f>
        <v>0</v>
      </c>
      <c r="Q236" s="1203"/>
      <c r="R236" s="1230" t="str">
        <f>R182</f>
        <v xml:space="preserve"> </v>
      </c>
      <c r="S236" s="1009" t="s">
        <v>374</v>
      </c>
      <c r="T236" s="1203">
        <f t="shared" ref="T236:T238" si="85">T270+T305+T339</f>
        <v>0</v>
      </c>
      <c r="U236" s="1203"/>
      <c r="V236" s="1230">
        <f>V182</f>
        <v>4.5289999999999999</v>
      </c>
      <c r="W236" s="1009" t="s">
        <v>374</v>
      </c>
      <c r="X236" s="1203">
        <f t="shared" ref="X236:X238" si="86">X270+X305+X339</f>
        <v>-2211</v>
      </c>
      <c r="Z236" s="815"/>
      <c r="AC236" s="1205"/>
      <c r="AD236" s="1205"/>
      <c r="AI236" s="1185"/>
      <c r="AJ236" s="1185"/>
      <c r="AK236" s="1185"/>
      <c r="AL236" s="1185"/>
      <c r="AM236" s="1185"/>
      <c r="AN236" s="1185"/>
      <c r="AO236" s="1185"/>
      <c r="AP236" s="1185"/>
      <c r="AQ236" s="1185"/>
      <c r="AR236" s="1185"/>
      <c r="AS236" s="1185"/>
      <c r="AU236" s="1204"/>
    </row>
    <row r="237" spans="1:47" s="1184" customFormat="1" hidden="1">
      <c r="A237" s="1005" t="s">
        <v>919</v>
      </c>
      <c r="C237" s="1026">
        <f t="shared" ref="C237:C238" si="87">C231</f>
        <v>455823.66666666698</v>
      </c>
      <c r="D237" s="269"/>
      <c r="E237" s="1185"/>
      <c r="F237" s="1203"/>
      <c r="G237" s="269"/>
      <c r="H237" s="1185"/>
      <c r="I237" s="1203"/>
      <c r="J237" s="1230">
        <f>J183</f>
        <v>3.1270000000000002</v>
      </c>
      <c r="K237" s="1009" t="s">
        <v>374</v>
      </c>
      <c r="L237" s="1203">
        <f t="shared" si="83"/>
        <v>-746</v>
      </c>
      <c r="M237" s="1203"/>
      <c r="N237" s="1230" t="str">
        <f>N183</f>
        <v xml:space="preserve"> </v>
      </c>
      <c r="O237" s="1009" t="s">
        <v>374</v>
      </c>
      <c r="P237" s="1203">
        <f t="shared" si="84"/>
        <v>0</v>
      </c>
      <c r="Q237" s="1203"/>
      <c r="R237" s="1230" t="str">
        <f>R183</f>
        <v xml:space="preserve"> </v>
      </c>
      <c r="S237" s="1009" t="s">
        <v>374</v>
      </c>
      <c r="T237" s="1203">
        <f t="shared" si="85"/>
        <v>0</v>
      </c>
      <c r="U237" s="1203"/>
      <c r="V237" s="1230">
        <f>V183</f>
        <v>3.1270000000000002</v>
      </c>
      <c r="W237" s="1009" t="s">
        <v>374</v>
      </c>
      <c r="X237" s="1203">
        <f t="shared" si="86"/>
        <v>-746</v>
      </c>
      <c r="Z237" s="815"/>
      <c r="AC237" s="1205"/>
      <c r="AD237" s="1205"/>
      <c r="AI237" s="1185"/>
      <c r="AJ237" s="1185"/>
      <c r="AK237" s="1185"/>
      <c r="AL237" s="1185"/>
      <c r="AM237" s="1185"/>
      <c r="AN237" s="1185"/>
      <c r="AO237" s="1185"/>
      <c r="AP237" s="1185"/>
      <c r="AQ237" s="1185"/>
      <c r="AR237" s="1185"/>
      <c r="AS237" s="1185"/>
      <c r="AU237" s="1204"/>
    </row>
    <row r="238" spans="1:47" s="1184" customFormat="1" hidden="1">
      <c r="A238" s="1005" t="s">
        <v>920</v>
      </c>
      <c r="C238" s="1026">
        <f t="shared" si="87"/>
        <v>176779.99999999971</v>
      </c>
      <c r="D238" s="269"/>
      <c r="E238" s="1185"/>
      <c r="F238" s="1203"/>
      <c r="G238" s="269"/>
      <c r="H238" s="1185"/>
      <c r="I238" s="1203"/>
      <c r="J238" s="1230">
        <f>J184</f>
        <v>2.6950000000000003</v>
      </c>
      <c r="K238" s="1009" t="s">
        <v>374</v>
      </c>
      <c r="L238" s="1203">
        <f t="shared" si="83"/>
        <v>-127</v>
      </c>
      <c r="M238" s="1203"/>
      <c r="N238" s="1230" t="str">
        <f>N184</f>
        <v xml:space="preserve"> </v>
      </c>
      <c r="O238" s="1009" t="s">
        <v>374</v>
      </c>
      <c r="P238" s="1203">
        <f t="shared" si="84"/>
        <v>0</v>
      </c>
      <c r="Q238" s="1203"/>
      <c r="R238" s="1230" t="str">
        <f>R184</f>
        <v xml:space="preserve"> </v>
      </c>
      <c r="S238" s="1009" t="s">
        <v>374</v>
      </c>
      <c r="T238" s="1203">
        <f t="shared" si="85"/>
        <v>0</v>
      </c>
      <c r="U238" s="1203"/>
      <c r="V238" s="1230">
        <f>V184</f>
        <v>2.6950000000000003</v>
      </c>
      <c r="W238" s="1009" t="s">
        <v>374</v>
      </c>
      <c r="X238" s="1203">
        <f t="shared" si="86"/>
        <v>-127</v>
      </c>
      <c r="Z238" s="815"/>
      <c r="AC238" s="1205"/>
      <c r="AD238" s="1205"/>
      <c r="AI238" s="1185"/>
      <c r="AJ238" s="1185"/>
      <c r="AK238" s="1185"/>
      <c r="AL238" s="1185"/>
      <c r="AM238" s="1185"/>
      <c r="AN238" s="1185"/>
      <c r="AO238" s="1185"/>
      <c r="AP238" s="1185"/>
      <c r="AQ238" s="1185"/>
      <c r="AR238" s="1185"/>
      <c r="AS238" s="1185"/>
      <c r="AU238" s="1204"/>
    </row>
    <row r="239" spans="1:47" hidden="1">
      <c r="A239" s="1" t="s">
        <v>381</v>
      </c>
      <c r="B239" s="264"/>
      <c r="C239" s="319">
        <f t="shared" ref="C239" si="88">C308+C342+C273</f>
        <v>543245488.34573233</v>
      </c>
      <c r="D239" s="330"/>
      <c r="E239" s="2"/>
      <c r="F239" s="2">
        <f t="shared" ref="F239" si="89">F308+F342+F273</f>
        <v>45750545</v>
      </c>
      <c r="G239" s="330"/>
      <c r="H239" s="323"/>
      <c r="I239" s="2">
        <f t="shared" ref="I239" si="90">I308+I342+I273</f>
        <v>48325339</v>
      </c>
      <c r="J239" s="330"/>
      <c r="K239" s="323"/>
      <c r="L239" s="2">
        <f t="shared" ref="L239" ca="1" si="91">L308+L342+L273</f>
        <v>50716403</v>
      </c>
      <c r="M239" s="2"/>
      <c r="N239" s="330"/>
      <c r="O239" s="323"/>
      <c r="P239" s="2">
        <f t="shared" ref="P239" ca="1" si="92">P308+P342+P273</f>
        <v>9929238</v>
      </c>
      <c r="Q239" s="2"/>
      <c r="R239" s="330"/>
      <c r="S239" s="323"/>
      <c r="T239" s="2">
        <f t="shared" ref="T239" ca="1" si="93">T308+T342+T273</f>
        <v>8064774.8057749132</v>
      </c>
      <c r="U239" s="2"/>
      <c r="V239" s="330"/>
      <c r="W239" s="323"/>
      <c r="X239" s="2">
        <f t="shared" ref="X239" ca="1" si="94">X308+X342+X273</f>
        <v>32721788.194225088</v>
      </c>
      <c r="Y239" s="20"/>
      <c r="Z239" s="74"/>
      <c r="AA239" s="74"/>
      <c r="AB239" s="74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U239" s="84"/>
    </row>
    <row r="240" spans="1:47" hidden="1">
      <c r="A240" s="1" t="s">
        <v>363</v>
      </c>
      <c r="B240" s="347"/>
      <c r="C240" s="340">
        <f ca="1">C274+C309+C343</f>
        <v>-1810988.0382363582</v>
      </c>
      <c r="D240" s="309"/>
      <c r="E240" s="309"/>
      <c r="F240" s="341">
        <f ca="1">I240</f>
        <v>-144541.39544477698</v>
      </c>
      <c r="G240" s="309"/>
      <c r="H240" s="309"/>
      <c r="I240" s="341">
        <f ca="1">I274+I309+I343</f>
        <v>-144541.39544477698</v>
      </c>
      <c r="J240" s="309"/>
      <c r="K240" s="309"/>
      <c r="L240" s="341">
        <f ca="1">I240</f>
        <v>-144541.39544477698</v>
      </c>
      <c r="M240" s="322"/>
      <c r="N240" s="309"/>
      <c r="O240" s="309"/>
      <c r="P240" s="341">
        <f ca="1">$L$240*Y207/($Y$207+$Z$207+$AA$207)</f>
        <v>-28493.648025438924</v>
      </c>
      <c r="Q240" s="51"/>
      <c r="R240" s="309"/>
      <c r="S240" s="309"/>
      <c r="T240" s="764">
        <f ca="1">$L$240*Z207/($Y$207+$Z$207+$AA$207)</f>
        <v>-22946.464711857163</v>
      </c>
      <c r="U240" s="51"/>
      <c r="V240" s="309"/>
      <c r="W240" s="309"/>
      <c r="X240" s="764">
        <f ca="1">$L$240*AA207/($Y$207+$Z$207+$AA$207)</f>
        <v>-93101.282707480888</v>
      </c>
      <c r="Y240" s="444"/>
      <c r="Z240" s="287"/>
      <c r="AA240" s="74"/>
      <c r="AB240" s="74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U240" s="84"/>
    </row>
    <row r="241" spans="1:47" ht="16.5" hidden="1" thickBot="1">
      <c r="A241" s="1" t="s">
        <v>382</v>
      </c>
      <c r="B241" s="1"/>
      <c r="C241" s="311">
        <f ca="1">SUM(C239:C240)</f>
        <v>541434500.30749595</v>
      </c>
      <c r="D241" s="342"/>
      <c r="E241" s="343"/>
      <c r="F241" s="344">
        <f ca="1">F239+F240</f>
        <v>45606003.604555219</v>
      </c>
      <c r="G241" s="342"/>
      <c r="H241" s="345"/>
      <c r="I241" s="344">
        <f ca="1">I239+I240</f>
        <v>48180797.604555219</v>
      </c>
      <c r="J241" s="342"/>
      <c r="K241" s="345"/>
      <c r="L241" s="344">
        <f ca="1">L239+L240</f>
        <v>50571861.604555219</v>
      </c>
      <c r="M241" s="344"/>
      <c r="N241" s="342"/>
      <c r="O241" s="345"/>
      <c r="P241" s="344">
        <f ca="1">P239+P240</f>
        <v>9900744.3519745618</v>
      </c>
      <c r="Q241" s="344"/>
      <c r="R241" s="342"/>
      <c r="S241" s="345"/>
      <c r="T241" s="344">
        <f ca="1">T239+T240</f>
        <v>8041828.3410630561</v>
      </c>
      <c r="U241" s="344"/>
      <c r="V241" s="342"/>
      <c r="W241" s="345"/>
      <c r="X241" s="344">
        <f ca="1">X239+X240</f>
        <v>32628686.911517605</v>
      </c>
      <c r="Y241" s="411"/>
      <c r="Z241" s="470"/>
      <c r="AA241" s="74"/>
      <c r="AB241" s="74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U241" s="84"/>
    </row>
    <row r="242" spans="1:47" ht="16.5" hidden="1" thickTop="1">
      <c r="A242" s="1"/>
      <c r="B242" s="1"/>
      <c r="C242" s="21"/>
      <c r="D242" s="337"/>
      <c r="E242" s="2"/>
      <c r="F242" s="2"/>
      <c r="G242" s="337"/>
      <c r="H242" s="1"/>
      <c r="I242" s="2"/>
      <c r="J242" s="337"/>
      <c r="K242" s="1"/>
      <c r="L242" s="2" t="s">
        <v>31</v>
      </c>
      <c r="M242" s="2"/>
      <c r="N242" s="337"/>
      <c r="O242" s="1"/>
      <c r="P242" s="2" t="s">
        <v>31</v>
      </c>
      <c r="Q242" s="2"/>
      <c r="R242" s="337"/>
      <c r="S242" s="1"/>
      <c r="T242" s="2" t="s">
        <v>31</v>
      </c>
      <c r="U242" s="2"/>
      <c r="V242" s="337"/>
      <c r="W242" s="1"/>
      <c r="X242" s="2" t="s">
        <v>31</v>
      </c>
      <c r="Y242" s="20"/>
      <c r="Z242" s="74"/>
      <c r="AA242" s="74"/>
      <c r="AB242" s="74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U242" s="84"/>
    </row>
    <row r="243" spans="1:47" hidden="1">
      <c r="A243" s="293" t="s">
        <v>387</v>
      </c>
      <c r="B243" s="1"/>
      <c r="C243" s="1"/>
      <c r="D243" s="2"/>
      <c r="E243" s="2"/>
      <c r="F243" s="1" t="s">
        <v>31</v>
      </c>
      <c r="G243" s="2"/>
      <c r="H243" s="1"/>
      <c r="I243" s="1"/>
      <c r="J243" s="2"/>
      <c r="K243" s="1"/>
      <c r="L243" s="1"/>
      <c r="M243" s="1"/>
      <c r="N243" s="2"/>
      <c r="O243" s="1"/>
      <c r="P243" s="1"/>
      <c r="Q243" s="1"/>
      <c r="R243" s="2"/>
      <c r="S243" s="1"/>
      <c r="T243" s="1"/>
      <c r="U243" s="1"/>
      <c r="V243" s="2"/>
      <c r="W243" s="1"/>
      <c r="X243" s="1"/>
      <c r="Y243" s="20"/>
      <c r="Z243" s="74"/>
      <c r="AA243" s="74"/>
      <c r="AB243" s="74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U243" s="84"/>
    </row>
    <row r="244" spans="1:47" hidden="1">
      <c r="A244" s="1" t="s">
        <v>782</v>
      </c>
      <c r="B244" s="1"/>
      <c r="C244" s="1"/>
      <c r="D244" s="2"/>
      <c r="E244" s="2"/>
      <c r="F244" s="1"/>
      <c r="G244" s="2"/>
      <c r="H244" s="1"/>
      <c r="I244" s="1"/>
      <c r="J244" s="2"/>
      <c r="K244" s="1"/>
      <c r="L244" s="1"/>
      <c r="M244" s="1"/>
      <c r="N244" s="2"/>
      <c r="O244" s="1"/>
      <c r="P244" s="1"/>
      <c r="Q244" s="1"/>
      <c r="R244" s="2"/>
      <c r="S244" s="1"/>
      <c r="T244" s="1"/>
      <c r="U244" s="1"/>
      <c r="V244" s="2"/>
      <c r="W244" s="1"/>
      <c r="X244" s="1"/>
      <c r="Y244" s="20"/>
      <c r="Z244" s="74"/>
      <c r="AA244" s="74"/>
      <c r="AB244" s="74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U244" s="84"/>
    </row>
    <row r="245" spans="1:47" hidden="1">
      <c r="A245" s="348" t="s">
        <v>31</v>
      </c>
      <c r="B245" s="1"/>
      <c r="C245" s="21"/>
      <c r="D245" s="2"/>
      <c r="E245" s="2"/>
      <c r="F245" s="1"/>
      <c r="G245" s="2"/>
      <c r="H245" s="1"/>
      <c r="I245" s="1"/>
      <c r="J245" s="2"/>
      <c r="K245" s="1"/>
      <c r="L245" s="1"/>
      <c r="M245" s="1"/>
      <c r="N245" s="2"/>
      <c r="O245" s="1"/>
      <c r="P245" s="1"/>
      <c r="Q245" s="1"/>
      <c r="R245" s="2"/>
      <c r="S245" s="1"/>
      <c r="T245" s="1"/>
      <c r="U245" s="1"/>
      <c r="V245" s="2"/>
      <c r="W245" s="1"/>
      <c r="X245" s="1"/>
      <c r="Y245" s="20"/>
      <c r="Z245" s="74"/>
      <c r="AA245" s="74"/>
      <c r="AB245" s="74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U245" s="84"/>
    </row>
    <row r="246" spans="1:47" hidden="1">
      <c r="A246" s="1" t="s">
        <v>393</v>
      </c>
      <c r="B246" s="1"/>
      <c r="C246" s="319"/>
      <c r="D246" s="2"/>
      <c r="E246" s="2"/>
      <c r="F246" s="1"/>
      <c r="G246" s="2"/>
      <c r="H246" s="1"/>
      <c r="I246" s="1"/>
      <c r="J246" s="2"/>
      <c r="K246" s="1"/>
      <c r="L246" s="1"/>
      <c r="M246" s="1"/>
      <c r="N246" s="2"/>
      <c r="O246" s="1"/>
      <c r="P246" s="1"/>
      <c r="Q246" s="1"/>
      <c r="R246" s="2"/>
      <c r="S246" s="1"/>
      <c r="T246" s="1"/>
      <c r="U246" s="1"/>
      <c r="V246" s="2"/>
      <c r="W246" s="1"/>
      <c r="X246" s="1"/>
      <c r="Y246" s="20"/>
      <c r="Z246" s="74"/>
      <c r="AA246" s="74"/>
      <c r="AB246" s="74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U246" s="84"/>
    </row>
    <row r="247" spans="1:47" hidden="1">
      <c r="A247" s="1" t="s">
        <v>390</v>
      </c>
      <c r="B247" s="1"/>
      <c r="C247" s="319">
        <f>[47]Sheet1!$F$26+[47]Sheet1!$F$13</f>
        <v>16222.5</v>
      </c>
      <c r="D247" s="298">
        <v>8.7100000000000009</v>
      </c>
      <c r="E247" s="321"/>
      <c r="F247" s="2">
        <f>ROUND(D247*$C247,0)</f>
        <v>141298</v>
      </c>
      <c r="G247" s="298">
        <v>8.7100000000000009</v>
      </c>
      <c r="H247" s="323"/>
      <c r="I247" s="2">
        <f>ROUND(G247*$C247,0)</f>
        <v>141298</v>
      </c>
      <c r="J247" s="298">
        <f>$J$172</f>
        <v>10</v>
      </c>
      <c r="K247" s="323"/>
      <c r="L247" s="2">
        <f>ROUND(J247*$C247,0)</f>
        <v>162225</v>
      </c>
      <c r="M247" s="2"/>
      <c r="N247" s="298">
        <f>$N$172</f>
        <v>10</v>
      </c>
      <c r="O247" s="323"/>
      <c r="P247" s="2">
        <f>ROUND(N247*$C247,0)</f>
        <v>162225</v>
      </c>
      <c r="Q247" s="2"/>
      <c r="R247" s="298" t="str">
        <f>$R$172</f>
        <v xml:space="preserve"> </v>
      </c>
      <c r="S247" s="323"/>
      <c r="T247" s="2">
        <f>ROUND(R247*$C247,0)</f>
        <v>0</v>
      </c>
      <c r="U247" s="2"/>
      <c r="V247" s="298" t="str">
        <f>$V$172</f>
        <v xml:space="preserve"> </v>
      </c>
      <c r="W247" s="323"/>
      <c r="X247" s="2">
        <f>ROUND(V247*$C247,0)</f>
        <v>0</v>
      </c>
      <c r="Y247" s="20"/>
      <c r="Z247" s="74"/>
      <c r="AA247" s="74"/>
      <c r="AB247" s="74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U247" s="84"/>
    </row>
    <row r="248" spans="1:47" hidden="1">
      <c r="A248" s="1" t="s">
        <v>391</v>
      </c>
      <c r="B248" s="1"/>
      <c r="C248" s="319">
        <f>[47]Sheet1!$F$27</f>
        <v>747.26666666666699</v>
      </c>
      <c r="D248" s="298">
        <v>12.98</v>
      </c>
      <c r="E248" s="324"/>
      <c r="F248" s="2">
        <f>ROUND(D248*$C248,0)</f>
        <v>9700</v>
      </c>
      <c r="G248" s="298">
        <v>12.98</v>
      </c>
      <c r="H248" s="325"/>
      <c r="I248" s="2">
        <f t="shared" ref="I248:I249" si="95">ROUND(G248*$C248,0)</f>
        <v>9700</v>
      </c>
      <c r="J248" s="298">
        <f>$J$173</f>
        <v>15</v>
      </c>
      <c r="K248" s="325"/>
      <c r="L248" s="2">
        <f>ROUND(J248*$C248,0)</f>
        <v>11209</v>
      </c>
      <c r="M248" s="2"/>
      <c r="N248" s="298">
        <f>$N$173</f>
        <v>15</v>
      </c>
      <c r="O248" s="325"/>
      <c r="P248" s="2">
        <f>ROUND(N248*$C248,0)</f>
        <v>11209</v>
      </c>
      <c r="Q248" s="2"/>
      <c r="R248" s="298" t="str">
        <f>$R$173</f>
        <v xml:space="preserve"> </v>
      </c>
      <c r="S248" s="325"/>
      <c r="T248" s="2">
        <f>ROUND(R248*$C248,0)</f>
        <v>0</v>
      </c>
      <c r="U248" s="2"/>
      <c r="V248" s="298" t="str">
        <f>$V$173</f>
        <v xml:space="preserve"> </v>
      </c>
      <c r="W248" s="325"/>
      <c r="X248" s="2">
        <f>ROUND(V248*$C248,0)</f>
        <v>0</v>
      </c>
      <c r="Y248" s="20"/>
      <c r="Z248" s="74"/>
      <c r="AA248" s="74"/>
      <c r="AB248" s="74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U248" s="84"/>
    </row>
    <row r="249" spans="1:47" hidden="1">
      <c r="A249" s="1" t="s">
        <v>392</v>
      </c>
      <c r="B249" s="1"/>
      <c r="C249" s="319">
        <f>[47]Sheet1!$G$32</f>
        <v>4516</v>
      </c>
      <c r="D249" s="298">
        <v>0.92</v>
      </c>
      <c r="E249" s="324"/>
      <c r="F249" s="2">
        <f>ROUND(D249*$C249,0)</f>
        <v>4155</v>
      </c>
      <c r="G249" s="298">
        <v>0.92</v>
      </c>
      <c r="H249" s="325"/>
      <c r="I249" s="2">
        <f t="shared" si="95"/>
        <v>4155</v>
      </c>
      <c r="J249" s="298">
        <f>$J$174</f>
        <v>1</v>
      </c>
      <c r="K249" s="325"/>
      <c r="L249" s="2">
        <f>ROUND(J249*$C249,0)</f>
        <v>4516</v>
      </c>
      <c r="M249" s="2"/>
      <c r="N249" s="298">
        <f>$N$174</f>
        <v>1</v>
      </c>
      <c r="O249" s="325"/>
      <c r="P249" s="2">
        <f>ROUND(N249*$C249,0)</f>
        <v>4516</v>
      </c>
      <c r="Q249" s="2"/>
      <c r="R249" s="298" t="str">
        <f>$R$174</f>
        <v xml:space="preserve"> </v>
      </c>
      <c r="S249" s="325"/>
      <c r="T249" s="2">
        <f>ROUND(R249*$C249,0)</f>
        <v>0</v>
      </c>
      <c r="U249" s="2"/>
      <c r="V249" s="298" t="str">
        <f>$V$174</f>
        <v xml:space="preserve"> </v>
      </c>
      <c r="W249" s="325"/>
      <c r="X249" s="2">
        <f>ROUND(V249*$C249,0)</f>
        <v>0</v>
      </c>
      <c r="Y249" s="20"/>
      <c r="Z249" s="74"/>
      <c r="AA249" s="74"/>
      <c r="AB249" s="74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U249" s="84"/>
    </row>
    <row r="250" spans="1:47" hidden="1">
      <c r="A250" s="1" t="s">
        <v>394</v>
      </c>
      <c r="B250" s="1"/>
      <c r="C250" s="319">
        <f>SUM(C247:C248)</f>
        <v>16969.766666666666</v>
      </c>
      <c r="D250" s="298"/>
      <c r="E250" s="321"/>
      <c r="F250" s="2"/>
      <c r="G250" s="298"/>
      <c r="H250" s="323"/>
      <c r="I250" s="2"/>
      <c r="J250" s="298"/>
      <c r="K250" s="323"/>
      <c r="L250" s="2"/>
      <c r="M250" s="2"/>
      <c r="N250" s="298"/>
      <c r="O250" s="323"/>
      <c r="P250" s="2"/>
      <c r="Q250" s="2"/>
      <c r="R250" s="298"/>
      <c r="S250" s="323"/>
      <c r="T250" s="2"/>
      <c r="U250" s="2"/>
      <c r="V250" s="298"/>
      <c r="W250" s="323"/>
      <c r="X250" s="2"/>
      <c r="Y250" s="20"/>
      <c r="Z250" s="74"/>
      <c r="AA250" s="74"/>
      <c r="AB250" s="74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U250" s="84"/>
    </row>
    <row r="251" spans="1:47" hidden="1">
      <c r="A251" s="1" t="s">
        <v>395</v>
      </c>
      <c r="B251" s="1"/>
      <c r="C251" s="319">
        <f>[47]Sheet1!$K$32</f>
        <v>3433</v>
      </c>
      <c r="D251" s="326">
        <v>3.4</v>
      </c>
      <c r="E251" s="323"/>
      <c r="F251" s="2">
        <f>ROUND(D251*$C251,0)</f>
        <v>11672</v>
      </c>
      <c r="G251" s="326">
        <v>3.61</v>
      </c>
      <c r="H251" s="323"/>
      <c r="I251" s="2">
        <f>ROUND(G251*C251,0)</f>
        <v>12393</v>
      </c>
      <c r="J251" s="326">
        <f ca="1">$J$177</f>
        <v>3.77</v>
      </c>
      <c r="K251" s="323"/>
      <c r="L251" s="2">
        <f ca="1">ROUND(J251*$C251,0)</f>
        <v>12942</v>
      </c>
      <c r="M251" s="2"/>
      <c r="N251" s="326">
        <f ca="1">$N$177</f>
        <v>0.81</v>
      </c>
      <c r="O251" s="323"/>
      <c r="P251" s="2">
        <f ca="1">ROUND(N251*$C251,0)</f>
        <v>2781</v>
      </c>
      <c r="Q251" s="2"/>
      <c r="R251" s="326">
        <f ca="1">$R$177</f>
        <v>1.06</v>
      </c>
      <c r="S251" s="323"/>
      <c r="T251" s="2">
        <f ca="1">ROUND(R251*$C251,0)</f>
        <v>3639</v>
      </c>
      <c r="U251" s="2"/>
      <c r="V251" s="326">
        <f ca="1">$V$177</f>
        <v>1.9</v>
      </c>
      <c r="W251" s="323"/>
      <c r="X251" s="2">
        <f ca="1">ROUND(V251*$C251,0)</f>
        <v>6523</v>
      </c>
      <c r="Y251" s="20"/>
      <c r="Z251" s="74"/>
      <c r="AA251" s="74"/>
      <c r="AB251" s="74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U251" s="84"/>
    </row>
    <row r="252" spans="1:47" hidden="1">
      <c r="A252" s="1" t="s">
        <v>397</v>
      </c>
      <c r="B252" s="319"/>
      <c r="C252" s="319">
        <f>[47]Sheet1!$I$32+Temperature!P75*1000</f>
        <v>4790266.1001077108</v>
      </c>
      <c r="D252" s="299">
        <v>9.766</v>
      </c>
      <c r="E252" s="323" t="s">
        <v>374</v>
      </c>
      <c r="F252" s="2">
        <f>ROUND(D252*$C252/100,0)</f>
        <v>467817</v>
      </c>
      <c r="G252" s="299">
        <v>10.359</v>
      </c>
      <c r="H252" s="323" t="s">
        <v>374</v>
      </c>
      <c r="I252" s="2">
        <f>ROUND(G252*C252/100,0)</f>
        <v>496224</v>
      </c>
      <c r="J252" s="299">
        <f ca="1">$J$178</f>
        <v>6.282</v>
      </c>
      <c r="K252" s="323" t="s">
        <v>374</v>
      </c>
      <c r="L252" s="2">
        <f ca="1">ROUND(J252*$C252/100,0)</f>
        <v>300925</v>
      </c>
      <c r="M252" s="2"/>
      <c r="N252" s="299">
        <f ca="1">$N$178</f>
        <v>1.3483746810352102</v>
      </c>
      <c r="O252" s="323" t="s">
        <v>374</v>
      </c>
      <c r="P252" s="2">
        <f ca="1">ROUND(N252*$C252/100,0)</f>
        <v>64591</v>
      </c>
      <c r="Q252" s="2"/>
      <c r="R252" s="299">
        <f ca="1">$R$178</f>
        <v>1.7708525176705459</v>
      </c>
      <c r="S252" s="323" t="s">
        <v>374</v>
      </c>
      <c r="T252" s="2">
        <f ca="1">ROUND(R252*$C252/100,0)</f>
        <v>84829</v>
      </c>
      <c r="U252" s="2"/>
      <c r="V252" s="299">
        <f ca="1">$V$178</f>
        <v>3.162955363125258</v>
      </c>
      <c r="W252" s="323" t="s">
        <v>374</v>
      </c>
      <c r="X252" s="2">
        <f ca="1">ROUND(V252*$C252/100,0)</f>
        <v>151514</v>
      </c>
      <c r="Y252" s="473"/>
      <c r="Z252" s="74"/>
      <c r="AA252" s="74"/>
      <c r="AB252" s="74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U252" s="84"/>
    </row>
    <row r="253" spans="1:47" hidden="1">
      <c r="A253" s="1" t="s">
        <v>398</v>
      </c>
      <c r="B253" s="319"/>
      <c r="C253" s="319">
        <f>[47]Sheet1!$J$32+Temperature!Q75*1000</f>
        <v>1927075.6940961913</v>
      </c>
      <c r="D253" s="299">
        <v>6.7460000000000004</v>
      </c>
      <c r="E253" s="323" t="s">
        <v>374</v>
      </c>
      <c r="F253" s="2">
        <f>ROUND(D253*$C253/100,0)</f>
        <v>130001</v>
      </c>
      <c r="G253" s="299">
        <v>7.1559999999999997</v>
      </c>
      <c r="H253" s="323" t="s">
        <v>374</v>
      </c>
      <c r="I253" s="2">
        <f t="shared" ref="I253:I255" si="96">ROUND(G253*C253/100,0)</f>
        <v>137902</v>
      </c>
      <c r="J253" s="299">
        <f ca="1">$J$179</f>
        <v>4.3410000000000002</v>
      </c>
      <c r="K253" s="323" t="s">
        <v>374</v>
      </c>
      <c r="L253" s="2">
        <f ca="1">ROUND(J253*$C253/100,0)</f>
        <v>83654</v>
      </c>
      <c r="M253" s="2"/>
      <c r="N253" s="299">
        <f ca="1">$N$179</f>
        <v>0.93175626548296309</v>
      </c>
      <c r="O253" s="323" t="s">
        <v>374</v>
      </c>
      <c r="P253" s="2">
        <f ca="1">ROUND(N253*$C253/100,0)</f>
        <v>17956</v>
      </c>
      <c r="Q253" s="2"/>
      <c r="R253" s="299">
        <f ca="1">$R$179</f>
        <v>1.2240066282869231</v>
      </c>
      <c r="S253" s="323" t="s">
        <v>374</v>
      </c>
      <c r="T253" s="2">
        <f ca="1">ROUND(R253*$C253/100,0)</f>
        <v>23588</v>
      </c>
      <c r="U253" s="2"/>
      <c r="V253" s="299">
        <f ca="1">$V$179</f>
        <v>2.1849800075654815</v>
      </c>
      <c r="W253" s="323" t="s">
        <v>374</v>
      </c>
      <c r="X253" s="2">
        <f ca="1">ROUND(V253*$C253/100,0)</f>
        <v>42106</v>
      </c>
      <c r="Y253" s="473"/>
      <c r="Z253" s="74"/>
      <c r="AA253" s="74"/>
      <c r="AB253" s="74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U253" s="84"/>
    </row>
    <row r="254" spans="1:47" hidden="1">
      <c r="A254" s="1" t="s">
        <v>399</v>
      </c>
      <c r="B254" s="319"/>
      <c r="C254" s="319">
        <f>[47]Sheet1!$H$32-C253-C252+Temperature!O75*1000</f>
        <v>297732.95603028813</v>
      </c>
      <c r="D254" s="299">
        <v>5.8120000000000003</v>
      </c>
      <c r="E254" s="323" t="s">
        <v>374</v>
      </c>
      <c r="F254" s="2">
        <f>ROUND(D254*$C254/100,0)</f>
        <v>17304</v>
      </c>
      <c r="G254" s="299">
        <v>6.1660000000000004</v>
      </c>
      <c r="H254" s="323" t="s">
        <v>374</v>
      </c>
      <c r="I254" s="2">
        <f t="shared" si="96"/>
        <v>18358</v>
      </c>
      <c r="J254" s="299">
        <f ca="1">$J$180</f>
        <v>3.74</v>
      </c>
      <c r="K254" s="323" t="s">
        <v>374</v>
      </c>
      <c r="L254" s="2">
        <f ca="1">ROUND(J254*$C254/100,0)</f>
        <v>11135</v>
      </c>
      <c r="M254" s="2"/>
      <c r="N254" s="299">
        <f ca="1">$N$180</f>
        <v>0.80275718206159852</v>
      </c>
      <c r="O254" s="323" t="s">
        <v>374</v>
      </c>
      <c r="P254" s="2">
        <f ca="1">ROUND(N254*$C254/100,0)</f>
        <v>2390</v>
      </c>
      <c r="Q254" s="2"/>
      <c r="R254" s="299">
        <f ca="1">$R$180</f>
        <v>1.0536847359511734</v>
      </c>
      <c r="S254" s="323" t="s">
        <v>374</v>
      </c>
      <c r="T254" s="2">
        <f ca="1">ROUND(R254*$C254/100,0)</f>
        <v>3137</v>
      </c>
      <c r="U254" s="2"/>
      <c r="V254" s="299">
        <f ca="1">$V$180</f>
        <v>1.8834755557989509</v>
      </c>
      <c r="W254" s="323" t="s">
        <v>374</v>
      </c>
      <c r="X254" s="2">
        <f ca="1">ROUND(V254*$C254/100,0)</f>
        <v>5608</v>
      </c>
      <c r="Y254" s="473"/>
      <c r="Z254" s="74"/>
      <c r="AA254" s="74"/>
      <c r="AB254" s="74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U254" s="84"/>
    </row>
    <row r="255" spans="1:47" hidden="1">
      <c r="A255" s="1" t="s">
        <v>400</v>
      </c>
      <c r="B255" s="21"/>
      <c r="C255" s="319">
        <f>[47]Sheet1!$L$32</f>
        <v>15</v>
      </c>
      <c r="D255" s="330">
        <v>56</v>
      </c>
      <c r="E255" s="321" t="s">
        <v>374</v>
      </c>
      <c r="F255" s="2">
        <f>ROUND(D255*$C255/100,0)</f>
        <v>8</v>
      </c>
      <c r="G255" s="330">
        <v>56</v>
      </c>
      <c r="H255" s="323" t="s">
        <v>374</v>
      </c>
      <c r="I255" s="2">
        <f t="shared" si="96"/>
        <v>8</v>
      </c>
      <c r="J255" s="330">
        <f>$J$181</f>
        <v>56</v>
      </c>
      <c r="K255" s="323" t="s">
        <v>374</v>
      </c>
      <c r="L255" s="2">
        <f>ROUND(J255*$C255/100,0)</f>
        <v>8</v>
      </c>
      <c r="M255" s="2"/>
      <c r="N255" s="330" t="str">
        <f>$N$181</f>
        <v xml:space="preserve"> </v>
      </c>
      <c r="O255" s="323" t="s">
        <v>374</v>
      </c>
      <c r="P255" s="2">
        <f>ROUND(N255*$C255/100,0)</f>
        <v>0</v>
      </c>
      <c r="Q255" s="2"/>
      <c r="R255" s="330">
        <f ca="1">$R$181</f>
        <v>11</v>
      </c>
      <c r="S255" s="323" t="s">
        <v>374</v>
      </c>
      <c r="T255" s="2">
        <f ca="1">ROUND(R255*$C255/100,0)</f>
        <v>2</v>
      </c>
      <c r="U255" s="2"/>
      <c r="V255" s="330">
        <f ca="1">$V$181</f>
        <v>45</v>
      </c>
      <c r="W255" s="323" t="s">
        <v>374</v>
      </c>
      <c r="X255" s="2">
        <f ca="1">ROUND(V255*$C255/100,0)</f>
        <v>7</v>
      </c>
      <c r="Y255" s="20"/>
      <c r="Z255" s="74"/>
      <c r="AA255" s="74"/>
      <c r="AB255" s="74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U255" s="84"/>
    </row>
    <row r="256" spans="1:47" s="1184" customFormat="1" hidden="1">
      <c r="A256" s="1005" t="s">
        <v>918</v>
      </c>
      <c r="C256" s="1202">
        <f>C252</f>
        <v>4790266.1001077108</v>
      </c>
      <c r="D256" s="269"/>
      <c r="E256" s="1185"/>
      <c r="F256" s="1203"/>
      <c r="G256" s="269"/>
      <c r="H256" s="1185"/>
      <c r="I256" s="1203"/>
      <c r="J256" s="1230">
        <f>J182</f>
        <v>4.5289999999999999</v>
      </c>
      <c r="K256" s="1009" t="s">
        <v>374</v>
      </c>
      <c r="L256" s="1203">
        <f t="shared" ref="L256:L258" si="97">ROUND(J256*$C256/100,0)</f>
        <v>216951</v>
      </c>
      <c r="M256" s="1203"/>
      <c r="N256" s="1230" t="str">
        <f>N182</f>
        <v xml:space="preserve"> </v>
      </c>
      <c r="O256" s="1009" t="s">
        <v>374</v>
      </c>
      <c r="P256" s="1203">
        <f t="shared" ref="P256:P258" si="98">ROUND(N256*$C256/100,0)</f>
        <v>0</v>
      </c>
      <c r="Q256" s="1203"/>
      <c r="R256" s="1230" t="str">
        <f>R182</f>
        <v xml:space="preserve"> </v>
      </c>
      <c r="S256" s="1009" t="s">
        <v>374</v>
      </c>
      <c r="T256" s="1203">
        <f t="shared" ref="T256:T258" si="99">ROUND(R256*$C256/100,0)</f>
        <v>0</v>
      </c>
      <c r="U256" s="1203"/>
      <c r="V256" s="1230">
        <f>V182</f>
        <v>4.5289999999999999</v>
      </c>
      <c r="W256" s="1009" t="s">
        <v>374</v>
      </c>
      <c r="X256" s="1203">
        <f t="shared" ref="X256:X258" si="100">ROUND(V256*$C256/100,0)</f>
        <v>216951</v>
      </c>
      <c r="Z256" s="815"/>
      <c r="AC256" s="1205"/>
      <c r="AD256" s="1205"/>
      <c r="AI256" s="1185"/>
      <c r="AJ256" s="1185"/>
      <c r="AK256" s="1185"/>
      <c r="AL256" s="1185"/>
      <c r="AM256" s="1185"/>
      <c r="AN256" s="1185"/>
      <c r="AO256" s="1185"/>
      <c r="AP256" s="1185"/>
      <c r="AQ256" s="1185"/>
      <c r="AR256" s="1185"/>
      <c r="AS256" s="1185"/>
      <c r="AU256" s="1204"/>
    </row>
    <row r="257" spans="1:47" s="1184" customFormat="1" hidden="1">
      <c r="A257" s="1005" t="s">
        <v>919</v>
      </c>
      <c r="C257" s="1202">
        <f>C253</f>
        <v>1927075.6940961913</v>
      </c>
      <c r="D257" s="269"/>
      <c r="E257" s="1185"/>
      <c r="F257" s="1203"/>
      <c r="G257" s="269"/>
      <c r="H257" s="1185"/>
      <c r="I257" s="1203"/>
      <c r="J257" s="1230">
        <f>J183</f>
        <v>3.1270000000000002</v>
      </c>
      <c r="K257" s="1009" t="s">
        <v>374</v>
      </c>
      <c r="L257" s="1203">
        <f t="shared" si="97"/>
        <v>60260</v>
      </c>
      <c r="M257" s="1203"/>
      <c r="N257" s="1230" t="str">
        <f>N183</f>
        <v xml:space="preserve"> </v>
      </c>
      <c r="O257" s="1009" t="s">
        <v>374</v>
      </c>
      <c r="P257" s="1203">
        <f t="shared" si="98"/>
        <v>0</v>
      </c>
      <c r="Q257" s="1203"/>
      <c r="R257" s="1230" t="str">
        <f>R183</f>
        <v xml:space="preserve"> </v>
      </c>
      <c r="S257" s="1009" t="s">
        <v>374</v>
      </c>
      <c r="T257" s="1203">
        <f t="shared" si="99"/>
        <v>0</v>
      </c>
      <c r="U257" s="1203"/>
      <c r="V257" s="1230">
        <f>V183</f>
        <v>3.1270000000000002</v>
      </c>
      <c r="W257" s="1009" t="s">
        <v>374</v>
      </c>
      <c r="X257" s="1203">
        <f t="shared" si="100"/>
        <v>60260</v>
      </c>
      <c r="Z257" s="815"/>
      <c r="AC257" s="1205"/>
      <c r="AD257" s="1205"/>
      <c r="AI257" s="1185"/>
      <c r="AJ257" s="1185"/>
      <c r="AK257" s="1185"/>
      <c r="AL257" s="1185"/>
      <c r="AM257" s="1185"/>
      <c r="AN257" s="1185"/>
      <c r="AO257" s="1185"/>
      <c r="AP257" s="1185"/>
      <c r="AQ257" s="1185"/>
      <c r="AR257" s="1185"/>
      <c r="AS257" s="1185"/>
      <c r="AU257" s="1204"/>
    </row>
    <row r="258" spans="1:47" s="1184" customFormat="1" hidden="1">
      <c r="A258" s="1005" t="s">
        <v>920</v>
      </c>
      <c r="C258" s="1202">
        <f>C254</f>
        <v>297732.95603028813</v>
      </c>
      <c r="D258" s="269"/>
      <c r="E258" s="1185"/>
      <c r="F258" s="1203"/>
      <c r="G258" s="269"/>
      <c r="H258" s="1185"/>
      <c r="I258" s="1203"/>
      <c r="J258" s="1230">
        <f>J184</f>
        <v>2.6950000000000003</v>
      </c>
      <c r="K258" s="1009" t="s">
        <v>374</v>
      </c>
      <c r="L258" s="1203">
        <f t="shared" si="97"/>
        <v>8024</v>
      </c>
      <c r="M258" s="1203"/>
      <c r="N258" s="1230" t="str">
        <f>N184</f>
        <v xml:space="preserve"> </v>
      </c>
      <c r="O258" s="1009" t="s">
        <v>374</v>
      </c>
      <c r="P258" s="1203">
        <f t="shared" si="98"/>
        <v>0</v>
      </c>
      <c r="Q258" s="1203"/>
      <c r="R258" s="1230" t="str">
        <f>R184</f>
        <v xml:space="preserve"> </v>
      </c>
      <c r="S258" s="1009" t="s">
        <v>374</v>
      </c>
      <c r="T258" s="1203">
        <f t="shared" si="99"/>
        <v>0</v>
      </c>
      <c r="U258" s="1203"/>
      <c r="V258" s="1230">
        <f>V184</f>
        <v>2.6950000000000003</v>
      </c>
      <c r="W258" s="1009" t="s">
        <v>374</v>
      </c>
      <c r="X258" s="1203">
        <f t="shared" si="100"/>
        <v>8024</v>
      </c>
      <c r="Z258" s="815"/>
      <c r="AC258" s="1205"/>
      <c r="AD258" s="1205"/>
      <c r="AI258" s="1185"/>
      <c r="AJ258" s="1185"/>
      <c r="AK258" s="1185"/>
      <c r="AL258" s="1185"/>
      <c r="AM258" s="1185"/>
      <c r="AN258" s="1185"/>
      <c r="AO258" s="1185"/>
      <c r="AP258" s="1185"/>
      <c r="AQ258" s="1185"/>
      <c r="AR258" s="1185"/>
      <c r="AS258" s="1185"/>
      <c r="AU258" s="1204"/>
    </row>
    <row r="259" spans="1:47" hidden="1">
      <c r="A259" s="331" t="s">
        <v>401</v>
      </c>
      <c r="B259" s="21"/>
      <c r="C259" s="319"/>
      <c r="D259" s="332">
        <v>-0.01</v>
      </c>
      <c r="E259" s="321"/>
      <c r="F259" s="2"/>
      <c r="G259" s="332">
        <v>-0.01</v>
      </c>
      <c r="H259" s="323"/>
      <c r="I259" s="2"/>
      <c r="J259" s="332">
        <v>-0.01</v>
      </c>
      <c r="K259" s="323"/>
      <c r="L259" s="2"/>
      <c r="M259" s="2"/>
      <c r="N259" s="332">
        <v>-0.01</v>
      </c>
      <c r="O259" s="323"/>
      <c r="P259" s="2"/>
      <c r="Q259" s="2"/>
      <c r="R259" s="332">
        <v>-0.01</v>
      </c>
      <c r="S259" s="323"/>
      <c r="T259" s="2"/>
      <c r="U259" s="2"/>
      <c r="V259" s="332">
        <v>-0.01</v>
      </c>
      <c r="W259" s="323"/>
      <c r="X259" s="2"/>
      <c r="Y259" s="20"/>
      <c r="Z259" s="74"/>
      <c r="AA259" s="74"/>
      <c r="AB259" s="74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U259" s="84"/>
    </row>
    <row r="260" spans="1:47" hidden="1">
      <c r="A260" s="1" t="s">
        <v>390</v>
      </c>
      <c r="B260" s="1"/>
      <c r="C260" s="319">
        <v>0</v>
      </c>
      <c r="D260" s="334">
        <v>8.7100000000000009</v>
      </c>
      <c r="E260" s="321"/>
      <c r="F260" s="2">
        <f>-ROUND(D260*$C260/100,0)</f>
        <v>0</v>
      </c>
      <c r="G260" s="334">
        <v>8.7100000000000009</v>
      </c>
      <c r="H260" s="321"/>
      <c r="I260" s="2">
        <f>-ROUND(G260*$C260/100,0)</f>
        <v>0</v>
      </c>
      <c r="J260" s="334">
        <f>J247</f>
        <v>10</v>
      </c>
      <c r="K260" s="321"/>
      <c r="L260" s="2">
        <f>-ROUND(J260*$C260/100,0)</f>
        <v>0</v>
      </c>
      <c r="M260" s="2"/>
      <c r="N260" s="334">
        <f>N247</f>
        <v>10</v>
      </c>
      <c r="O260" s="321"/>
      <c r="P260" s="2">
        <f>-ROUND(N260*$C260/100,0)</f>
        <v>0</v>
      </c>
      <c r="Q260" s="2"/>
      <c r="R260" s="334" t="str">
        <f>R247</f>
        <v xml:space="preserve"> </v>
      </c>
      <c r="S260" s="321"/>
      <c r="T260" s="2">
        <f>-ROUND(R260*$C260/100,0)</f>
        <v>0</v>
      </c>
      <c r="U260" s="2"/>
      <c r="V260" s="334" t="str">
        <f>V247</f>
        <v xml:space="preserve"> </v>
      </c>
      <c r="W260" s="321"/>
      <c r="X260" s="2">
        <f>-ROUND(V260*$C260/100,0)</f>
        <v>0</v>
      </c>
      <c r="Y260" s="20"/>
      <c r="Z260" s="74"/>
      <c r="AA260" s="74"/>
      <c r="AB260" s="74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U260" s="84"/>
    </row>
    <row r="261" spans="1:47" hidden="1">
      <c r="A261" s="1" t="s">
        <v>391</v>
      </c>
      <c r="B261" s="1"/>
      <c r="C261" s="319">
        <v>9</v>
      </c>
      <c r="D261" s="334">
        <v>12.98</v>
      </c>
      <c r="E261" s="321"/>
      <c r="F261" s="2">
        <f>-ROUND(D261*$C261/100,0)</f>
        <v>-1</v>
      </c>
      <c r="G261" s="334">
        <v>12.98</v>
      </c>
      <c r="H261" s="321"/>
      <c r="I261" s="2">
        <f t="shared" ref="I261:I263" si="101">-ROUND(G261*$C261/100,0)</f>
        <v>-1</v>
      </c>
      <c r="J261" s="334">
        <f>J248</f>
        <v>15</v>
      </c>
      <c r="K261" s="321"/>
      <c r="L261" s="2">
        <f>-ROUND(J261*$C261/100,0)</f>
        <v>-1</v>
      </c>
      <c r="M261" s="2"/>
      <c r="N261" s="334">
        <f>N248</f>
        <v>15</v>
      </c>
      <c r="O261" s="321"/>
      <c r="P261" s="2">
        <f>-ROUND(N261*$C261/100,0)</f>
        <v>-1</v>
      </c>
      <c r="Q261" s="2"/>
      <c r="R261" s="334" t="str">
        <f>R248</f>
        <v xml:space="preserve"> </v>
      </c>
      <c r="S261" s="321"/>
      <c r="T261" s="2">
        <f>-ROUND(R261*$C261/100,0)</f>
        <v>0</v>
      </c>
      <c r="U261" s="2"/>
      <c r="V261" s="334" t="str">
        <f>V248</f>
        <v xml:space="preserve"> </v>
      </c>
      <c r="W261" s="321"/>
      <c r="X261" s="2">
        <f>-ROUND(V261*$C261/100,0)</f>
        <v>0</v>
      </c>
      <c r="Y261" s="20"/>
      <c r="Z261" s="74"/>
      <c r="AA261" s="74"/>
      <c r="AB261" s="74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U261" s="84"/>
    </row>
    <row r="262" spans="1:47" hidden="1">
      <c r="A262" s="1" t="s">
        <v>402</v>
      </c>
      <c r="B262" s="1"/>
      <c r="C262" s="319">
        <v>0</v>
      </c>
      <c r="D262" s="334">
        <v>0.92</v>
      </c>
      <c r="E262" s="321"/>
      <c r="F262" s="2">
        <f>-ROUND(D262*$C262/100,0)</f>
        <v>0</v>
      </c>
      <c r="G262" s="334">
        <v>0.92</v>
      </c>
      <c r="H262" s="321"/>
      <c r="I262" s="2">
        <f t="shared" si="101"/>
        <v>0</v>
      </c>
      <c r="J262" s="334">
        <f>J249</f>
        <v>1</v>
      </c>
      <c r="K262" s="321"/>
      <c r="L262" s="2">
        <f>-ROUND(J262*$C262/100,0)</f>
        <v>0</v>
      </c>
      <c r="M262" s="2"/>
      <c r="N262" s="334">
        <f>N249</f>
        <v>1</v>
      </c>
      <c r="O262" s="321"/>
      <c r="P262" s="2">
        <f>-ROUND(N262*$C262/100,0)</f>
        <v>0</v>
      </c>
      <c r="Q262" s="2"/>
      <c r="R262" s="334" t="str">
        <f>R249</f>
        <v xml:space="preserve"> </v>
      </c>
      <c r="S262" s="321"/>
      <c r="T262" s="2">
        <f>-ROUND(R262*$C262/100,0)</f>
        <v>0</v>
      </c>
      <c r="U262" s="2"/>
      <c r="V262" s="334" t="str">
        <f>V249</f>
        <v xml:space="preserve"> </v>
      </c>
      <c r="W262" s="321"/>
      <c r="X262" s="2">
        <f>-ROUND(V262*$C262/100,0)</f>
        <v>0</v>
      </c>
      <c r="Y262" s="20"/>
      <c r="Z262" s="74"/>
      <c r="AA262" s="74"/>
      <c r="AB262" s="74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U262" s="84"/>
    </row>
    <row r="263" spans="1:47" hidden="1">
      <c r="A263" s="1" t="s">
        <v>413</v>
      </c>
      <c r="B263" s="1"/>
      <c r="C263" s="319">
        <f>0</f>
        <v>0</v>
      </c>
      <c r="D263" s="334">
        <v>3.4</v>
      </c>
      <c r="E263" s="323"/>
      <c r="F263" s="2">
        <f>-ROUND(D263*$C263/100,0)</f>
        <v>0</v>
      </c>
      <c r="G263" s="334">
        <v>3.61</v>
      </c>
      <c r="H263" s="323"/>
      <c r="I263" s="2">
        <f t="shared" si="101"/>
        <v>0</v>
      </c>
      <c r="J263" s="334">
        <f ca="1">J251</f>
        <v>3.77</v>
      </c>
      <c r="K263" s="323"/>
      <c r="L263" s="2">
        <f ca="1">-ROUND(J263*$C263/100,0)</f>
        <v>0</v>
      </c>
      <c r="M263" s="2"/>
      <c r="N263" s="334">
        <f ca="1">N251</f>
        <v>0.81</v>
      </c>
      <c r="O263" s="323"/>
      <c r="P263" s="2">
        <f ca="1">-ROUND(N263*$C263/100,0)</f>
        <v>0</v>
      </c>
      <c r="Q263" s="2"/>
      <c r="R263" s="334">
        <f ca="1">R251</f>
        <v>1.06</v>
      </c>
      <c r="S263" s="323"/>
      <c r="T263" s="2">
        <f ca="1">-ROUND(R263*$C263/100,0)</f>
        <v>0</v>
      </c>
      <c r="U263" s="2"/>
      <c r="V263" s="334">
        <f ca="1">V251</f>
        <v>1.9</v>
      </c>
      <c r="W263" s="323"/>
      <c r="X263" s="2">
        <f ca="1">-ROUND(V263*$C263/100,0)</f>
        <v>0</v>
      </c>
      <c r="Y263" s="20"/>
      <c r="Z263" s="74"/>
      <c r="AA263" s="74"/>
      <c r="AB263" s="74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U263" s="84"/>
    </row>
    <row r="264" spans="1:47" hidden="1">
      <c r="A264" s="1" t="s">
        <v>405</v>
      </c>
      <c r="B264" s="1"/>
      <c r="C264" s="319">
        <v>0</v>
      </c>
      <c r="D264" s="335">
        <v>9.766</v>
      </c>
      <c r="E264" s="323" t="s">
        <v>374</v>
      </c>
      <c r="F264" s="2">
        <f>ROUND(D264*$C264/100*D259,0)</f>
        <v>0</v>
      </c>
      <c r="G264" s="335">
        <v>10.359</v>
      </c>
      <c r="H264" s="323" t="s">
        <v>374</v>
      </c>
      <c r="I264" s="2">
        <f>ROUND(G264*$C264/100*G259,0)</f>
        <v>0</v>
      </c>
      <c r="J264" s="335">
        <f ca="1">J252</f>
        <v>6.282</v>
      </c>
      <c r="K264" s="323" t="s">
        <v>374</v>
      </c>
      <c r="L264" s="2">
        <f ca="1">ROUND(J264*$C264/100*J259,0)</f>
        <v>0</v>
      </c>
      <c r="M264" s="2"/>
      <c r="N264" s="335">
        <f ca="1">N252</f>
        <v>1.3483746810352102</v>
      </c>
      <c r="O264" s="323" t="s">
        <v>374</v>
      </c>
      <c r="P264" s="2">
        <f ca="1">ROUND(N264*$C264/100*N259,0)</f>
        <v>0</v>
      </c>
      <c r="Q264" s="2"/>
      <c r="R264" s="335">
        <f ca="1">R252</f>
        <v>1.7708525176705459</v>
      </c>
      <c r="S264" s="323" t="s">
        <v>374</v>
      </c>
      <c r="T264" s="2">
        <f ca="1">ROUND(R264*$C264/100*R259,0)</f>
        <v>0</v>
      </c>
      <c r="U264" s="2"/>
      <c r="V264" s="335">
        <f ca="1">V252</f>
        <v>3.162955363125258</v>
      </c>
      <c r="W264" s="323" t="s">
        <v>374</v>
      </c>
      <c r="X264" s="2">
        <f ca="1">ROUND(V264*$C264/100*V259,0)</f>
        <v>0</v>
      </c>
      <c r="Y264" s="20"/>
      <c r="Z264" s="74"/>
      <c r="AA264" s="74"/>
      <c r="AB264" s="74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U264" s="84"/>
    </row>
    <row r="265" spans="1:47" hidden="1">
      <c r="A265" s="1" t="s">
        <v>398</v>
      </c>
      <c r="B265" s="1"/>
      <c r="C265" s="319">
        <v>0</v>
      </c>
      <c r="D265" s="335">
        <v>6.7460000000000004</v>
      </c>
      <c r="E265" s="323" t="s">
        <v>374</v>
      </c>
      <c r="F265" s="2">
        <f>ROUND(D265*$C265/100*D259,0)</f>
        <v>0</v>
      </c>
      <c r="G265" s="335">
        <v>7.1559999999999997</v>
      </c>
      <c r="H265" s="323" t="s">
        <v>374</v>
      </c>
      <c r="I265" s="2">
        <f>ROUND(G265*$C265/100*G259,0)</f>
        <v>0</v>
      </c>
      <c r="J265" s="335">
        <f ca="1">J253</f>
        <v>4.3410000000000002</v>
      </c>
      <c r="K265" s="323" t="s">
        <v>374</v>
      </c>
      <c r="L265" s="2">
        <f ca="1">ROUND(J265*$C265/100*J259,0)</f>
        <v>0</v>
      </c>
      <c r="M265" s="2"/>
      <c r="N265" s="335">
        <f ca="1">N253</f>
        <v>0.93175626548296309</v>
      </c>
      <c r="O265" s="323" t="s">
        <v>374</v>
      </c>
      <c r="P265" s="2">
        <f ca="1">ROUND(N265*$C265/100*N259,0)</f>
        <v>0</v>
      </c>
      <c r="Q265" s="2"/>
      <c r="R265" s="335">
        <f ca="1">R253</f>
        <v>1.2240066282869231</v>
      </c>
      <c r="S265" s="323" t="s">
        <v>374</v>
      </c>
      <c r="T265" s="2">
        <f ca="1">ROUND(R265*$C265/100*R259,0)</f>
        <v>0</v>
      </c>
      <c r="U265" s="2"/>
      <c r="V265" s="335">
        <f ca="1">V253</f>
        <v>2.1849800075654815</v>
      </c>
      <c r="W265" s="323" t="s">
        <v>374</v>
      </c>
      <c r="X265" s="2">
        <f ca="1">ROUND(V265*$C265/100*V259,0)</f>
        <v>0</v>
      </c>
      <c r="Y265" s="20"/>
      <c r="Z265" s="74"/>
      <c r="AA265" s="74"/>
      <c r="AB265" s="74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U265" s="84"/>
    </row>
    <row r="266" spans="1:47" hidden="1">
      <c r="A266" s="1" t="s">
        <v>399</v>
      </c>
      <c r="B266" s="1"/>
      <c r="C266" s="319">
        <v>0</v>
      </c>
      <c r="D266" s="335">
        <v>5.8120000000000003</v>
      </c>
      <c r="E266" s="323" t="s">
        <v>374</v>
      </c>
      <c r="F266" s="2">
        <f>ROUND(D266*$C266/100*D259,0)</f>
        <v>0</v>
      </c>
      <c r="G266" s="335">
        <v>6.1660000000000004</v>
      </c>
      <c r="H266" s="323" t="s">
        <v>374</v>
      </c>
      <c r="I266" s="2">
        <f>ROUND(G266*$C266/100*G259,0)</f>
        <v>0</v>
      </c>
      <c r="J266" s="335">
        <f ca="1">J254</f>
        <v>3.74</v>
      </c>
      <c r="K266" s="323" t="s">
        <v>374</v>
      </c>
      <c r="L266" s="2">
        <f ca="1">ROUND(J266*$C266/100*J259,0)</f>
        <v>0</v>
      </c>
      <c r="M266" s="2"/>
      <c r="N266" s="335">
        <f ca="1">N254</f>
        <v>0.80275718206159852</v>
      </c>
      <c r="O266" s="323" t="s">
        <v>374</v>
      </c>
      <c r="P266" s="2">
        <f ca="1">ROUND(N266*$C266/100*N259,0)</f>
        <v>0</v>
      </c>
      <c r="Q266" s="2"/>
      <c r="R266" s="335">
        <f ca="1">R254</f>
        <v>1.0536847359511734</v>
      </c>
      <c r="S266" s="323" t="s">
        <v>374</v>
      </c>
      <c r="T266" s="2">
        <f ca="1">ROUND(R266*$C266/100*R259,0)</f>
        <v>0</v>
      </c>
      <c r="U266" s="2"/>
      <c r="V266" s="335">
        <f ca="1">V254</f>
        <v>1.8834755557989509</v>
      </c>
      <c r="W266" s="323" t="s">
        <v>374</v>
      </c>
      <c r="X266" s="2">
        <f ca="1">ROUND(V266*$C266/100*V259,0)</f>
        <v>0</v>
      </c>
      <c r="Y266" s="20"/>
      <c r="Z266" s="74"/>
      <c r="AA266" s="74"/>
      <c r="AB266" s="74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U266" s="84"/>
    </row>
    <row r="267" spans="1:47" hidden="1">
      <c r="A267" s="1" t="s">
        <v>400</v>
      </c>
      <c r="B267" s="1"/>
      <c r="C267" s="319">
        <v>0</v>
      </c>
      <c r="D267" s="336">
        <v>56</v>
      </c>
      <c r="E267" s="323" t="s">
        <v>374</v>
      </c>
      <c r="F267" s="2">
        <f>ROUND(D267*$C267/100*D259,0)</f>
        <v>0</v>
      </c>
      <c r="G267" s="336">
        <v>56</v>
      </c>
      <c r="H267" s="323" t="s">
        <v>374</v>
      </c>
      <c r="I267" s="2">
        <f>ROUND(G267*$C267/100*G259,0)</f>
        <v>0</v>
      </c>
      <c r="J267" s="336">
        <f>J255</f>
        <v>56</v>
      </c>
      <c r="K267" s="323" t="s">
        <v>374</v>
      </c>
      <c r="L267" s="2">
        <f>ROUND(J267*$C267/100*J259,0)</f>
        <v>0</v>
      </c>
      <c r="M267" s="2"/>
      <c r="N267" s="336" t="str">
        <f>N255</f>
        <v xml:space="preserve"> </v>
      </c>
      <c r="O267" s="323" t="s">
        <v>374</v>
      </c>
      <c r="P267" s="2">
        <f>ROUND(N267*$C267/100*N259,0)</f>
        <v>0</v>
      </c>
      <c r="Q267" s="2"/>
      <c r="R267" s="336">
        <f ca="1">R255</f>
        <v>11</v>
      </c>
      <c r="S267" s="323" t="s">
        <v>374</v>
      </c>
      <c r="T267" s="2">
        <f ca="1">ROUND(R267*$C267/100*R259,0)</f>
        <v>0</v>
      </c>
      <c r="U267" s="2"/>
      <c r="V267" s="336">
        <f ca="1">V255</f>
        <v>45</v>
      </c>
      <c r="W267" s="323" t="s">
        <v>374</v>
      </c>
      <c r="X267" s="2">
        <f ca="1">ROUND(V267*$C267/100*V259,0)</f>
        <v>0</v>
      </c>
      <c r="Y267" s="20"/>
      <c r="Z267" s="74"/>
      <c r="AA267" s="74"/>
      <c r="AB267" s="74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U267" s="84"/>
    </row>
    <row r="268" spans="1:47" hidden="1">
      <c r="A268" s="1" t="s">
        <v>407</v>
      </c>
      <c r="B268" s="1"/>
      <c r="C268" s="319">
        <v>0</v>
      </c>
      <c r="D268" s="337">
        <v>60</v>
      </c>
      <c r="E268" s="321"/>
      <c r="F268" s="2">
        <f>ROUND(D268*$C268,0)</f>
        <v>0</v>
      </c>
      <c r="G268" s="337">
        <v>60</v>
      </c>
      <c r="H268" s="323"/>
      <c r="I268" s="2">
        <f>ROUND(G268*C268,0)</f>
        <v>0</v>
      </c>
      <c r="J268" s="337">
        <f>$J$197</f>
        <v>60</v>
      </c>
      <c r="K268" s="323"/>
      <c r="L268" s="2">
        <f>ROUND(J268*$C268,0)</f>
        <v>0</v>
      </c>
      <c r="M268" s="2"/>
      <c r="N268" s="326" t="s">
        <v>31</v>
      </c>
      <c r="O268" s="323"/>
      <c r="P268" s="1040">
        <f t="shared" ref="P268" si="102">N268*C268</f>
        <v>0</v>
      </c>
      <c r="Q268" s="322"/>
      <c r="R268" s="301">
        <f ca="1">R197</f>
        <v>11.86</v>
      </c>
      <c r="S268" s="323"/>
      <c r="T268" s="1040">
        <f ca="1">L268*(Z207/(Z207+AA207))</f>
        <v>0</v>
      </c>
      <c r="U268" s="322"/>
      <c r="V268" s="301">
        <f ca="1">V197</f>
        <v>48.14</v>
      </c>
      <c r="W268" s="323"/>
      <c r="X268" s="1040">
        <f ca="1">L268*(AA207/(Z207+AA207))</f>
        <v>0</v>
      </c>
      <c r="Y268" s="20"/>
      <c r="Z268" s="74"/>
      <c r="AA268" s="74"/>
      <c r="AB268" s="74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U268" s="84"/>
    </row>
    <row r="269" spans="1:47" hidden="1">
      <c r="A269" s="1" t="s">
        <v>408</v>
      </c>
      <c r="B269" s="1"/>
      <c r="C269" s="319">
        <v>0</v>
      </c>
      <c r="D269" s="339">
        <v>-30</v>
      </c>
      <c r="E269" s="321" t="s">
        <v>374</v>
      </c>
      <c r="F269" s="2">
        <f>ROUND(D269*$C269/100,0)</f>
        <v>0</v>
      </c>
      <c r="G269" s="339">
        <v>-30</v>
      </c>
      <c r="H269" s="323" t="s">
        <v>374</v>
      </c>
      <c r="I269" s="2">
        <f>ROUND(G269*C269/100,0)</f>
        <v>0</v>
      </c>
      <c r="J269" s="339">
        <f>$J$198</f>
        <v>-30</v>
      </c>
      <c r="K269" s="323" t="s">
        <v>374</v>
      </c>
      <c r="L269" s="2">
        <f>ROUND(J269*$C269/100,0)</f>
        <v>0</v>
      </c>
      <c r="M269" s="2"/>
      <c r="N269" s="339">
        <f>'Blocking - detail'!$I$173</f>
        <v>-30</v>
      </c>
      <c r="O269" s="323" t="s">
        <v>374</v>
      </c>
      <c r="P269" s="322">
        <f>L269</f>
        <v>0</v>
      </c>
      <c r="Q269" s="322"/>
      <c r="R269" s="1587" t="s">
        <v>31</v>
      </c>
      <c r="S269" s="323" t="s">
        <v>31</v>
      </c>
      <c r="T269" s="322">
        <f>R269*C269*R259</f>
        <v>0</v>
      </c>
      <c r="U269" s="322"/>
      <c r="V269" s="1587" t="s">
        <v>31</v>
      </c>
      <c r="W269" s="323" t="s">
        <v>31</v>
      </c>
      <c r="X269" s="322">
        <f>V269*G269*V259</f>
        <v>0</v>
      </c>
      <c r="Y269" s="20"/>
      <c r="Z269" s="74"/>
      <c r="AA269" s="74"/>
      <c r="AB269" s="74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U269" s="84"/>
    </row>
    <row r="270" spans="1:47" s="1184" customFormat="1" hidden="1">
      <c r="A270" s="1005" t="s">
        <v>918</v>
      </c>
      <c r="C270" s="1202">
        <f>C252</f>
        <v>4790266.1001077108</v>
      </c>
      <c r="D270" s="269"/>
      <c r="E270" s="1185"/>
      <c r="F270" s="1203"/>
      <c r="G270" s="269"/>
      <c r="H270" s="1185"/>
      <c r="I270" s="1203"/>
      <c r="J270" s="1230">
        <f>J182</f>
        <v>4.5289999999999999</v>
      </c>
      <c r="K270" s="1009" t="s">
        <v>374</v>
      </c>
      <c r="L270" s="1203">
        <f>ROUND(J270*$C270/100*J259,0)</f>
        <v>-2170</v>
      </c>
      <c r="M270" s="1203"/>
      <c r="N270" s="1230" t="str">
        <f>N182</f>
        <v xml:space="preserve"> </v>
      </c>
      <c r="O270" s="1009" t="s">
        <v>374</v>
      </c>
      <c r="P270" s="1203">
        <f>ROUND(N270*$C270/100*N259,0)</f>
        <v>0</v>
      </c>
      <c r="Q270" s="1203"/>
      <c r="R270" s="1230" t="str">
        <f>R182</f>
        <v xml:space="preserve"> </v>
      </c>
      <c r="S270" s="1009" t="s">
        <v>374</v>
      </c>
      <c r="T270" s="1203">
        <f>ROUND(R270*$C270/100*R259,0)</f>
        <v>0</v>
      </c>
      <c r="U270" s="1203"/>
      <c r="V270" s="1230">
        <f>V182</f>
        <v>4.5289999999999999</v>
      </c>
      <c r="W270" s="1009" t="s">
        <v>374</v>
      </c>
      <c r="X270" s="1203">
        <f>ROUND(V270*$C270/100*V259,0)</f>
        <v>-2170</v>
      </c>
      <c r="Z270" s="815"/>
      <c r="AC270" s="1205"/>
      <c r="AD270" s="1205"/>
      <c r="AI270" s="1185"/>
      <c r="AJ270" s="1185"/>
      <c r="AK270" s="1185"/>
      <c r="AL270" s="1185"/>
      <c r="AM270" s="1185"/>
      <c r="AN270" s="1185"/>
      <c r="AO270" s="1185"/>
      <c r="AP270" s="1185"/>
      <c r="AQ270" s="1185"/>
      <c r="AR270" s="1185"/>
      <c r="AS270" s="1185"/>
      <c r="AU270" s="1204"/>
    </row>
    <row r="271" spans="1:47" s="1184" customFormat="1" hidden="1">
      <c r="A271" s="1005" t="s">
        <v>919</v>
      </c>
      <c r="C271" s="1202">
        <f>C253</f>
        <v>1927075.6940961913</v>
      </c>
      <c r="D271" s="269"/>
      <c r="E271" s="1185"/>
      <c r="F271" s="1203"/>
      <c r="G271" s="269"/>
      <c r="H271" s="1185"/>
      <c r="I271" s="1203"/>
      <c r="J271" s="1230">
        <f>J183</f>
        <v>3.1270000000000002</v>
      </c>
      <c r="K271" s="1009" t="s">
        <v>374</v>
      </c>
      <c r="L271" s="1203">
        <f>ROUND(J271*$C271/100*J259,0)</f>
        <v>-603</v>
      </c>
      <c r="M271" s="1203"/>
      <c r="N271" s="1230" t="str">
        <f>N183</f>
        <v xml:space="preserve"> </v>
      </c>
      <c r="O271" s="1009" t="s">
        <v>374</v>
      </c>
      <c r="P271" s="1203">
        <f>ROUND(N271*$C271/100*N259,0)</f>
        <v>0</v>
      </c>
      <c r="Q271" s="1203"/>
      <c r="R271" s="1230" t="str">
        <f>R183</f>
        <v xml:space="preserve"> </v>
      </c>
      <c r="S271" s="1009" t="s">
        <v>374</v>
      </c>
      <c r="T271" s="1203">
        <f>ROUND(R271*$C271/100*R259,0)</f>
        <v>0</v>
      </c>
      <c r="U271" s="1203"/>
      <c r="V271" s="1230">
        <f>V183</f>
        <v>3.1270000000000002</v>
      </c>
      <c r="W271" s="1009" t="s">
        <v>374</v>
      </c>
      <c r="X271" s="1203">
        <f>ROUND(V271*$C271/100*V259,0)</f>
        <v>-603</v>
      </c>
      <c r="Z271" s="815"/>
      <c r="AC271" s="1205"/>
      <c r="AD271" s="1205"/>
      <c r="AI271" s="1185"/>
      <c r="AJ271" s="1185"/>
      <c r="AK271" s="1185"/>
      <c r="AL271" s="1185"/>
      <c r="AM271" s="1185"/>
      <c r="AN271" s="1185"/>
      <c r="AO271" s="1185"/>
      <c r="AP271" s="1185"/>
      <c r="AQ271" s="1185"/>
      <c r="AR271" s="1185"/>
      <c r="AS271" s="1185"/>
      <c r="AU271" s="1204"/>
    </row>
    <row r="272" spans="1:47" s="1184" customFormat="1" hidden="1">
      <c r="A272" s="1005" t="s">
        <v>920</v>
      </c>
      <c r="C272" s="1202">
        <f>C254</f>
        <v>297732.95603028813</v>
      </c>
      <c r="D272" s="269"/>
      <c r="E272" s="1185"/>
      <c r="F272" s="1203"/>
      <c r="G272" s="269"/>
      <c r="H272" s="1185"/>
      <c r="I272" s="1203"/>
      <c r="J272" s="1230">
        <f>J184</f>
        <v>2.6950000000000003</v>
      </c>
      <c r="K272" s="1009" t="s">
        <v>374</v>
      </c>
      <c r="L272" s="1203">
        <f>ROUND(J272*$C272/100*J259,0)</f>
        <v>-80</v>
      </c>
      <c r="M272" s="1203"/>
      <c r="N272" s="1230" t="str">
        <f>N184</f>
        <v xml:space="preserve"> </v>
      </c>
      <c r="O272" s="1009" t="s">
        <v>374</v>
      </c>
      <c r="P272" s="1203">
        <f>ROUND(N272*$C272/100*N259,0)</f>
        <v>0</v>
      </c>
      <c r="Q272" s="1203"/>
      <c r="R272" s="1230" t="str">
        <f>R184</f>
        <v xml:space="preserve"> </v>
      </c>
      <c r="S272" s="1009" t="s">
        <v>374</v>
      </c>
      <c r="T272" s="1203">
        <f>ROUND(R272*$C272/100*R259,0)</f>
        <v>0</v>
      </c>
      <c r="U272" s="1203"/>
      <c r="V272" s="1230">
        <f>V184</f>
        <v>2.6950000000000003</v>
      </c>
      <c r="W272" s="1009" t="s">
        <v>374</v>
      </c>
      <c r="X272" s="1203">
        <f>ROUND(V272*$C272/100*V259,0)</f>
        <v>-80</v>
      </c>
      <c r="Z272" s="815"/>
      <c r="AC272" s="1205"/>
      <c r="AD272" s="1205"/>
      <c r="AI272" s="1185"/>
      <c r="AJ272" s="1185"/>
      <c r="AK272" s="1185"/>
      <c r="AL272" s="1185"/>
      <c r="AM272" s="1185"/>
      <c r="AN272" s="1185"/>
      <c r="AO272" s="1185"/>
      <c r="AP272" s="1185"/>
      <c r="AQ272" s="1185"/>
      <c r="AR272" s="1185"/>
      <c r="AS272" s="1185"/>
      <c r="AU272" s="1204"/>
    </row>
    <row r="273" spans="1:47" hidden="1">
      <c r="A273" s="1" t="s">
        <v>381</v>
      </c>
      <c r="B273" s="307"/>
      <c r="C273" s="319">
        <f>SUM(C252:C254)</f>
        <v>7015074.7502341894</v>
      </c>
      <c r="D273" s="330"/>
      <c r="E273" s="2"/>
      <c r="F273" s="2">
        <f>SUM(F247:F269)</f>
        <v>781954</v>
      </c>
      <c r="G273" s="330"/>
      <c r="H273" s="323"/>
      <c r="I273" s="2">
        <f>SUM(I247:I269)</f>
        <v>820037</v>
      </c>
      <c r="J273" s="330"/>
      <c r="K273" s="323"/>
      <c r="L273" s="2">
        <f ca="1">SUM(L247:L272)</f>
        <v>868995</v>
      </c>
      <c r="M273" s="2"/>
      <c r="N273" s="330"/>
      <c r="O273" s="323"/>
      <c r="P273" s="2">
        <f ca="1">SUM(P247:P272)</f>
        <v>265667</v>
      </c>
      <c r="Q273" s="2"/>
      <c r="R273" s="330"/>
      <c r="S273" s="323"/>
      <c r="T273" s="2">
        <f ca="1">SUM(T247:T272)</f>
        <v>115195</v>
      </c>
      <c r="U273" s="2"/>
      <c r="V273" s="330"/>
      <c r="W273" s="323"/>
      <c r="X273" s="2">
        <f ca="1">SUM(X247:X272)</f>
        <v>488140</v>
      </c>
      <c r="Y273" s="416"/>
      <c r="Z273" s="74"/>
      <c r="AA273" s="74"/>
      <c r="AB273" s="74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U273" s="84"/>
    </row>
    <row r="274" spans="1:47" hidden="1">
      <c r="A274" s="1" t="s">
        <v>363</v>
      </c>
      <c r="B274" s="1"/>
      <c r="C274" s="349">
        <f>'Table 2'!H18</f>
        <v>-25719.640630090842</v>
      </c>
      <c r="D274" s="309"/>
      <c r="E274" s="309"/>
      <c r="F274" s="341">
        <f>I274</f>
        <v>-1618.0760226777425</v>
      </c>
      <c r="G274" s="309"/>
      <c r="H274" s="309"/>
      <c r="I274" s="341">
        <f>'Table 3'!E18</f>
        <v>-1618.0760226777425</v>
      </c>
      <c r="J274" s="309"/>
      <c r="K274" s="309"/>
      <c r="L274" s="341">
        <f>I274</f>
        <v>-1618.0760226777425</v>
      </c>
      <c r="M274" s="322"/>
      <c r="N274" s="309"/>
      <c r="O274" s="309"/>
      <c r="P274" s="341">
        <f ca="1">$L$274*Y207/($Y$207+$Z$207+$AA$207)</f>
        <v>-318.97359594951752</v>
      </c>
      <c r="Q274" s="51"/>
      <c r="R274" s="309"/>
      <c r="S274" s="309"/>
      <c r="T274" s="341">
        <f ca="1">$L$274*Z207/($Y$207+$Z$207+$AA$207)</f>
        <v>-256.87536944848745</v>
      </c>
      <c r="U274" s="51"/>
      <c r="V274" s="309"/>
      <c r="W274" s="309"/>
      <c r="X274" s="341">
        <f ca="1">$L$274*AA207/($Y$207+$Z$207+$AA$207)</f>
        <v>-1042.2270572797374</v>
      </c>
      <c r="Y274" s="444"/>
      <c r="Z274" s="287"/>
      <c r="AA274" s="74"/>
      <c r="AB274" s="74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U274" s="84"/>
    </row>
    <row r="275" spans="1:47" ht="16.5" hidden="1" thickBot="1">
      <c r="A275" s="1" t="s">
        <v>382</v>
      </c>
      <c r="B275" s="1"/>
      <c r="C275" s="311">
        <f>SUM(C273:C274)</f>
        <v>6989355.1096040988</v>
      </c>
      <c r="D275" s="342"/>
      <c r="E275" s="343"/>
      <c r="F275" s="344">
        <f>F273+F274</f>
        <v>780335.92397732229</v>
      </c>
      <c r="G275" s="342"/>
      <c r="H275" s="345"/>
      <c r="I275" s="344">
        <f>I273+I274</f>
        <v>818418.92397732229</v>
      </c>
      <c r="J275" s="342"/>
      <c r="K275" s="345"/>
      <c r="L275" s="344">
        <f ca="1">L273+L274</f>
        <v>867376.92397732229</v>
      </c>
      <c r="M275" s="344"/>
      <c r="N275" s="342"/>
      <c r="O275" s="345"/>
      <c r="P275" s="344">
        <f ca="1">P273+P274</f>
        <v>265348.02640405047</v>
      </c>
      <c r="Q275" s="344"/>
      <c r="R275" s="342"/>
      <c r="S275" s="345"/>
      <c r="T275" s="344">
        <f ca="1">T273+T274</f>
        <v>114938.12463055151</v>
      </c>
      <c r="U275" s="344"/>
      <c r="V275" s="342"/>
      <c r="W275" s="345"/>
      <c r="X275" s="344">
        <f ca="1">X273+X274</f>
        <v>487097.77294272027</v>
      </c>
      <c r="Y275" s="411"/>
      <c r="Z275" s="470"/>
      <c r="AA275" s="74"/>
      <c r="AB275" s="74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U275" s="84"/>
    </row>
    <row r="276" spans="1:47" ht="16.5" hidden="1" thickTop="1">
      <c r="A276" s="1"/>
      <c r="B276" s="1"/>
      <c r="C276" s="21"/>
      <c r="D276" s="337"/>
      <c r="E276" s="2"/>
      <c r="F276" s="2"/>
      <c r="G276" s="337"/>
      <c r="H276" s="1"/>
      <c r="I276" s="2"/>
      <c r="J276" s="337"/>
      <c r="K276" s="1"/>
      <c r="L276" s="2" t="s">
        <v>31</v>
      </c>
      <c r="M276" s="2"/>
      <c r="N276" s="337"/>
      <c r="O276" s="1"/>
      <c r="P276" s="2" t="s">
        <v>31</v>
      </c>
      <c r="Q276" s="2"/>
      <c r="R276" s="337"/>
      <c r="S276" s="1"/>
      <c r="T276" s="2" t="s">
        <v>31</v>
      </c>
      <c r="U276" s="2"/>
      <c r="V276" s="337"/>
      <c r="W276" s="1"/>
      <c r="X276" s="2" t="s">
        <v>31</v>
      </c>
      <c r="Y276" s="20"/>
      <c r="Z276" s="74"/>
      <c r="AA276" s="74"/>
      <c r="AB276" s="74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U276" s="84"/>
    </row>
    <row r="277" spans="1:47" hidden="1">
      <c r="A277" s="1"/>
      <c r="B277" s="1"/>
      <c r="C277" s="21"/>
      <c r="D277" s="337"/>
      <c r="E277" s="2"/>
      <c r="F277" s="2"/>
      <c r="G277" s="337"/>
      <c r="H277" s="1"/>
      <c r="I277" s="2"/>
      <c r="J277" s="337"/>
      <c r="K277" s="1"/>
      <c r="L277" s="2" t="s">
        <v>31</v>
      </c>
      <c r="M277" s="2"/>
      <c r="N277" s="337"/>
      <c r="O277" s="1"/>
      <c r="P277" s="2" t="s">
        <v>31</v>
      </c>
      <c r="Q277" s="2"/>
      <c r="R277" s="337"/>
      <c r="S277" s="1"/>
      <c r="T277" s="2" t="s">
        <v>31</v>
      </c>
      <c r="U277" s="2"/>
      <c r="V277" s="337"/>
      <c r="W277" s="1"/>
      <c r="X277" s="2" t="s">
        <v>31</v>
      </c>
      <c r="Y277" s="20"/>
      <c r="Z277" s="74"/>
      <c r="AA277" s="74"/>
      <c r="AB277" s="74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U277" s="84"/>
    </row>
    <row r="278" spans="1:47" hidden="1">
      <c r="A278" s="293" t="s">
        <v>387</v>
      </c>
      <c r="B278" s="1"/>
      <c r="C278" s="1"/>
      <c r="D278" s="2"/>
      <c r="E278" s="2"/>
      <c r="F278" s="1" t="s">
        <v>31</v>
      </c>
      <c r="G278" s="2"/>
      <c r="H278" s="1"/>
      <c r="I278" s="1"/>
      <c r="J278" s="2"/>
      <c r="K278" s="1"/>
      <c r="L278" s="1"/>
      <c r="M278" s="1"/>
      <c r="N278" s="2"/>
      <c r="O278" s="1"/>
      <c r="P278" s="1"/>
      <c r="Q278" s="1"/>
      <c r="R278" s="2"/>
      <c r="S278" s="1"/>
      <c r="T278" s="1"/>
      <c r="U278" s="1"/>
      <c r="V278" s="2"/>
      <c r="W278" s="1"/>
      <c r="X278" s="1"/>
      <c r="Y278" s="20"/>
      <c r="Z278" s="74"/>
      <c r="AA278" s="74"/>
      <c r="AB278" s="74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U278" s="84"/>
    </row>
    <row r="279" spans="1:47" hidden="1">
      <c r="A279" s="1" t="s">
        <v>411</v>
      </c>
      <c r="B279" s="1"/>
      <c r="C279" s="1"/>
      <c r="D279" s="2"/>
      <c r="E279" s="2"/>
      <c r="F279" s="1"/>
      <c r="G279" s="2"/>
      <c r="H279" s="1"/>
      <c r="I279" s="1"/>
      <c r="J279" s="2"/>
      <c r="K279" s="1"/>
      <c r="L279" s="1"/>
      <c r="M279" s="1"/>
      <c r="N279" s="2"/>
      <c r="O279" s="1"/>
      <c r="P279" s="1"/>
      <c r="Q279" s="1"/>
      <c r="R279" s="2"/>
      <c r="S279" s="1"/>
      <c r="T279" s="1"/>
      <c r="U279" s="1"/>
      <c r="V279" s="2"/>
      <c r="W279" s="1"/>
      <c r="X279" s="1"/>
      <c r="Y279" s="20"/>
      <c r="Z279" s="74"/>
      <c r="AA279" s="74"/>
      <c r="AB279" s="74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U279" s="84"/>
    </row>
    <row r="280" spans="1:47" hidden="1">
      <c r="A280" s="348" t="s">
        <v>412</v>
      </c>
      <c r="B280" s="1"/>
      <c r="C280" s="21"/>
      <c r="D280" s="2"/>
      <c r="E280" s="2"/>
      <c r="F280" s="1"/>
      <c r="G280" s="2"/>
      <c r="H280" s="1"/>
      <c r="I280" s="1"/>
      <c r="J280" s="2"/>
      <c r="K280" s="1"/>
      <c r="L280" s="1"/>
      <c r="M280" s="1"/>
      <c r="N280" s="2"/>
      <c r="O280" s="1"/>
      <c r="P280" s="1"/>
      <c r="Q280" s="1"/>
      <c r="R280" s="2"/>
      <c r="S280" s="1"/>
      <c r="T280" s="1"/>
      <c r="U280" s="1"/>
      <c r="V280" s="2"/>
      <c r="W280" s="1"/>
      <c r="X280" s="1"/>
      <c r="Y280" s="20"/>
      <c r="Z280" s="74"/>
      <c r="AA280" s="74"/>
      <c r="AB280" s="74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U280" s="84"/>
    </row>
    <row r="281" spans="1:47" hidden="1">
      <c r="A281" s="1" t="s">
        <v>393</v>
      </c>
      <c r="B281" s="1"/>
      <c r="C281" s="319"/>
      <c r="D281" s="2"/>
      <c r="E281" s="2"/>
      <c r="F281" s="1"/>
      <c r="G281" s="2"/>
      <c r="H281" s="1"/>
      <c r="I281" s="1"/>
      <c r="J281" s="2"/>
      <c r="K281" s="1"/>
      <c r="L281" s="1"/>
      <c r="M281" s="1"/>
      <c r="N281" s="2"/>
      <c r="O281" s="1"/>
      <c r="P281" s="1"/>
      <c r="Q281" s="1"/>
      <c r="R281" s="2"/>
      <c r="S281" s="1"/>
      <c r="T281" s="1"/>
      <c r="U281" s="1"/>
      <c r="V281" s="2"/>
      <c r="W281" s="1"/>
      <c r="X281" s="1"/>
      <c r="Y281" s="20"/>
      <c r="Z281" s="74"/>
      <c r="AA281" s="74"/>
      <c r="AB281" s="74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U281" s="84"/>
    </row>
    <row r="282" spans="1:47" hidden="1">
      <c r="A282" s="1" t="s">
        <v>390</v>
      </c>
      <c r="B282" s="1"/>
      <c r="C282" s="319">
        <f>[47]Sheet1!$F$2+[47]Sheet1!$F$5+[47]Sheet1!$F$6+[47]Sheet1!$F$11+[47]Sheet1!$F$21+[47]Sheet1!$F$24</f>
        <v>141741.26666666631</v>
      </c>
      <c r="D282" s="298">
        <v>8.7100000000000009</v>
      </c>
      <c r="E282" s="321"/>
      <c r="F282" s="2">
        <f>ROUND(D282*$C282,0)</f>
        <v>1234566</v>
      </c>
      <c r="G282" s="298">
        <v>8.7100000000000009</v>
      </c>
      <c r="H282" s="323"/>
      <c r="I282" s="2">
        <f>ROUND(G282*$C282,0)</f>
        <v>1234566</v>
      </c>
      <c r="J282" s="298">
        <f>$J$172</f>
        <v>10</v>
      </c>
      <c r="K282" s="323"/>
      <c r="L282" s="2">
        <f>ROUND(J282*$C282,0)</f>
        <v>1417413</v>
      </c>
      <c r="M282" s="2"/>
      <c r="N282" s="298">
        <f>$N$172</f>
        <v>10</v>
      </c>
      <c r="O282" s="323"/>
      <c r="P282" s="2">
        <f>ROUND(N282*$C282,0)</f>
        <v>1417413</v>
      </c>
      <c r="Q282" s="2"/>
      <c r="R282" s="298" t="str">
        <f>$R$172</f>
        <v xml:space="preserve"> </v>
      </c>
      <c r="S282" s="323"/>
      <c r="T282" s="2">
        <f>ROUND(R282*$C282,0)</f>
        <v>0</v>
      </c>
      <c r="U282" s="2"/>
      <c r="V282" s="298" t="str">
        <f>$V$172</f>
        <v xml:space="preserve"> </v>
      </c>
      <c r="W282" s="323"/>
      <c r="X282" s="2">
        <f>ROUND(V282*$C282,0)</f>
        <v>0</v>
      </c>
      <c r="Y282" s="20"/>
      <c r="Z282" s="74"/>
      <c r="AA282" s="74"/>
      <c r="AB282" s="74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U282" s="84"/>
    </row>
    <row r="283" spans="1:47" hidden="1">
      <c r="A283" s="1" t="s">
        <v>391</v>
      </c>
      <c r="B283" s="1"/>
      <c r="C283" s="319">
        <f>[47]Sheet1!$F$3+[47]Sheet1!$F$4+[47]Sheet1!$F$7+[47]Sheet1!$F$8+[47]Sheet1!$F$9+[47]Sheet1!$F$10+[47]Sheet1!$F$12+[47]Sheet1!$F$22+[47]Sheet1!$F$23+[47]Sheet1!$F$25</f>
        <v>59416.999999999964</v>
      </c>
      <c r="D283" s="298">
        <v>12.98</v>
      </c>
      <c r="E283" s="324"/>
      <c r="F283" s="2">
        <f>ROUND(D283*$C283,0)</f>
        <v>771233</v>
      </c>
      <c r="G283" s="298">
        <v>12.98</v>
      </c>
      <c r="H283" s="325"/>
      <c r="I283" s="2">
        <f t="shared" ref="I283:I284" si="103">ROUND(G283*$C283,0)</f>
        <v>771233</v>
      </c>
      <c r="J283" s="298">
        <f>$J$173</f>
        <v>15</v>
      </c>
      <c r="K283" s="325"/>
      <c r="L283" s="2">
        <f>ROUND(J283*$C283,0)</f>
        <v>891255</v>
      </c>
      <c r="M283" s="2"/>
      <c r="N283" s="298">
        <f>$N$173</f>
        <v>15</v>
      </c>
      <c r="O283" s="325"/>
      <c r="P283" s="2">
        <f>ROUND(N283*$C283,0)</f>
        <v>891255</v>
      </c>
      <c r="Q283" s="2"/>
      <c r="R283" s="298" t="str">
        <f>$R$173</f>
        <v xml:space="preserve"> </v>
      </c>
      <c r="S283" s="325"/>
      <c r="T283" s="2">
        <f>ROUND(R283*$C283,0)</f>
        <v>0</v>
      </c>
      <c r="U283" s="2"/>
      <c r="V283" s="298" t="str">
        <f>$V$173</f>
        <v xml:space="preserve"> </v>
      </c>
      <c r="W283" s="325"/>
      <c r="X283" s="2">
        <f>ROUND(V283*$C283,0)</f>
        <v>0</v>
      </c>
      <c r="Y283" s="20"/>
      <c r="Z283" s="74"/>
      <c r="AA283" s="74"/>
      <c r="AB283" s="74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U283" s="84"/>
    </row>
    <row r="284" spans="1:47" hidden="1">
      <c r="A284" s="1" t="s">
        <v>392</v>
      </c>
      <c r="B284" s="1"/>
      <c r="C284" s="319">
        <f>[47]Sheet1!$G$29+[47]Sheet1!$G$30</f>
        <v>1187077</v>
      </c>
      <c r="D284" s="298">
        <v>0.92</v>
      </c>
      <c r="E284" s="324"/>
      <c r="F284" s="2">
        <f>ROUND(D284*$C284,0)</f>
        <v>1092111</v>
      </c>
      <c r="G284" s="298">
        <v>0.92</v>
      </c>
      <c r="H284" s="325"/>
      <c r="I284" s="2">
        <f t="shared" si="103"/>
        <v>1092111</v>
      </c>
      <c r="J284" s="298">
        <f>$J$174</f>
        <v>1</v>
      </c>
      <c r="K284" s="325"/>
      <c r="L284" s="2">
        <f>ROUND(J284*$C284,0)</f>
        <v>1187077</v>
      </c>
      <c r="M284" s="2"/>
      <c r="N284" s="298">
        <f>$N$174</f>
        <v>1</v>
      </c>
      <c r="O284" s="325"/>
      <c r="P284" s="2">
        <f>ROUND(N284*$C284,0)</f>
        <v>1187077</v>
      </c>
      <c r="Q284" s="2"/>
      <c r="R284" s="298" t="str">
        <f>$R$174</f>
        <v xml:space="preserve"> </v>
      </c>
      <c r="S284" s="325"/>
      <c r="T284" s="2">
        <f>ROUND(R284*$C284,0)</f>
        <v>0</v>
      </c>
      <c r="U284" s="2"/>
      <c r="V284" s="298" t="str">
        <f>$V$174</f>
        <v xml:space="preserve"> </v>
      </c>
      <c r="W284" s="325"/>
      <c r="X284" s="2">
        <f>ROUND(V284*$C284,0)</f>
        <v>0</v>
      </c>
      <c r="Y284" s="20"/>
      <c r="Z284" s="74"/>
      <c r="AA284" s="74"/>
      <c r="AB284" s="74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U284" s="84"/>
    </row>
    <row r="285" spans="1:47" hidden="1">
      <c r="A285" s="1" t="s">
        <v>394</v>
      </c>
      <c r="B285" s="1"/>
      <c r="C285" s="319">
        <f>SUM(C282:C283)</f>
        <v>201158.26666666628</v>
      </c>
      <c r="D285" s="298"/>
      <c r="E285" s="321"/>
      <c r="F285" s="2"/>
      <c r="G285" s="298"/>
      <c r="H285" s="323"/>
      <c r="I285" s="2"/>
      <c r="J285" s="298"/>
      <c r="K285" s="323"/>
      <c r="L285" s="2"/>
      <c r="M285" s="2"/>
      <c r="N285" s="298"/>
      <c r="O285" s="323"/>
      <c r="P285" s="2"/>
      <c r="Q285" s="2"/>
      <c r="R285" s="298"/>
      <c r="S285" s="323"/>
      <c r="T285" s="2"/>
      <c r="U285" s="2"/>
      <c r="V285" s="298"/>
      <c r="W285" s="323"/>
      <c r="X285" s="2"/>
      <c r="Y285" s="20"/>
      <c r="Z285" s="74"/>
      <c r="AA285" s="74"/>
      <c r="AB285" s="74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U285" s="84"/>
    </row>
    <row r="286" spans="1:47" hidden="1">
      <c r="A286" s="1" t="s">
        <v>395</v>
      </c>
      <c r="B286" s="1"/>
      <c r="C286" s="319">
        <f>[47]Sheet1!$K$29+[47]Sheet1!$K$30</f>
        <v>803395</v>
      </c>
      <c r="D286" s="326">
        <v>3.4</v>
      </c>
      <c r="E286" s="323"/>
      <c r="F286" s="2">
        <f>ROUND(D286*$C286,0)</f>
        <v>2731543</v>
      </c>
      <c r="G286" s="326">
        <v>3.61</v>
      </c>
      <c r="H286" s="323"/>
      <c r="I286" s="2">
        <f>ROUND(G286*C286,0)</f>
        <v>2900256</v>
      </c>
      <c r="J286" s="326">
        <f ca="1">$J$177</f>
        <v>3.77</v>
      </c>
      <c r="K286" s="323"/>
      <c r="L286" s="2">
        <f ca="1">ROUND(J286*$C286,0)</f>
        <v>3028799</v>
      </c>
      <c r="M286" s="2"/>
      <c r="N286" s="326">
        <f ca="1">$N$177</f>
        <v>0.81</v>
      </c>
      <c r="O286" s="323"/>
      <c r="P286" s="2">
        <f ca="1">ROUND(N286*$C286,0)</f>
        <v>650750</v>
      </c>
      <c r="Q286" s="2"/>
      <c r="R286" s="326">
        <f ca="1">$R$177</f>
        <v>1.06</v>
      </c>
      <c r="S286" s="323"/>
      <c r="T286" s="2">
        <f ca="1">ROUND(R286*$C286,0)</f>
        <v>851599</v>
      </c>
      <c r="U286" s="2"/>
      <c r="V286" s="326">
        <f ca="1">$V$177</f>
        <v>1.9</v>
      </c>
      <c r="W286" s="323"/>
      <c r="X286" s="2">
        <f ca="1">ROUND(V286*$C286,0)</f>
        <v>1526451</v>
      </c>
      <c r="Y286" s="20"/>
      <c r="Z286" s="74"/>
      <c r="AA286" s="74"/>
      <c r="AB286" s="74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U286" s="84"/>
    </row>
    <row r="287" spans="1:47" hidden="1">
      <c r="A287" s="1" t="s">
        <v>397</v>
      </c>
      <c r="B287" s="319"/>
      <c r="C287" s="319">
        <f>[47]Sheet1!$I$29+[47]Sheet1!$I$30+Temperature!C75*1000</f>
        <v>122485429.32105364</v>
      </c>
      <c r="D287" s="299">
        <v>9.766</v>
      </c>
      <c r="E287" s="323" t="s">
        <v>374</v>
      </c>
      <c r="F287" s="2">
        <f>ROUND(D287*$C287/100,0)</f>
        <v>11961927</v>
      </c>
      <c r="G287" s="299">
        <v>10.359</v>
      </c>
      <c r="H287" s="323" t="s">
        <v>374</v>
      </c>
      <c r="I287" s="2">
        <f>ROUND(G287*C287/100,0)</f>
        <v>12688266</v>
      </c>
      <c r="J287" s="299">
        <f ca="1">$J$178</f>
        <v>6.282</v>
      </c>
      <c r="K287" s="323" t="s">
        <v>374</v>
      </c>
      <c r="L287" s="2">
        <f ca="1">ROUND(J287*$C287/100,0)</f>
        <v>7694535</v>
      </c>
      <c r="M287" s="2"/>
      <c r="N287" s="299">
        <f ca="1">$N$178</f>
        <v>1.3483746810352102</v>
      </c>
      <c r="O287" s="323" t="s">
        <v>374</v>
      </c>
      <c r="P287" s="2">
        <f ca="1">ROUND(N287*$C287/100,0)</f>
        <v>1651563</v>
      </c>
      <c r="Q287" s="2"/>
      <c r="R287" s="299">
        <f ca="1">$R$178</f>
        <v>1.7708525176705459</v>
      </c>
      <c r="S287" s="323" t="s">
        <v>374</v>
      </c>
      <c r="T287" s="2">
        <f ca="1">ROUND(R287*$C287/100,0)</f>
        <v>2169036</v>
      </c>
      <c r="U287" s="2"/>
      <c r="V287" s="299">
        <f ca="1">$V$178</f>
        <v>3.162955363125258</v>
      </c>
      <c r="W287" s="323" t="s">
        <v>374</v>
      </c>
      <c r="X287" s="2">
        <f ca="1">ROUND(V287*$C287/100,0)</f>
        <v>3874159</v>
      </c>
      <c r="Y287" s="473"/>
      <c r="Z287" s="74"/>
      <c r="AA287" s="74"/>
      <c r="AB287" s="74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U287" s="84"/>
    </row>
    <row r="288" spans="1:47" hidden="1">
      <c r="A288" s="1" t="s">
        <v>398</v>
      </c>
      <c r="B288" s="319"/>
      <c r="C288" s="319">
        <f>[47]Sheet1!$J$29+[47]Sheet1!$J$30+Temperature!D75*1000</f>
        <v>277023851.80810446</v>
      </c>
      <c r="D288" s="299">
        <v>6.7460000000000004</v>
      </c>
      <c r="E288" s="323" t="s">
        <v>374</v>
      </c>
      <c r="F288" s="2">
        <f>ROUND(D288*$C288/100,0)</f>
        <v>18688029</v>
      </c>
      <c r="G288" s="299">
        <v>7.1559999999999997</v>
      </c>
      <c r="H288" s="323" t="s">
        <v>374</v>
      </c>
      <c r="I288" s="2">
        <f t="shared" ref="I288:I290" si="104">ROUND(G288*C288/100,0)</f>
        <v>19823827</v>
      </c>
      <c r="J288" s="299">
        <f ca="1">$J$179</f>
        <v>4.3410000000000002</v>
      </c>
      <c r="K288" s="323" t="s">
        <v>374</v>
      </c>
      <c r="L288" s="2">
        <f ca="1">ROUND(J288*$C288/100,0)</f>
        <v>12025605</v>
      </c>
      <c r="M288" s="2"/>
      <c r="N288" s="299">
        <f ca="1">$N$179</f>
        <v>0.93175626548296309</v>
      </c>
      <c r="O288" s="323" t="s">
        <v>374</v>
      </c>
      <c r="P288" s="2">
        <f ca="1">ROUND(N288*$C288/100,0)</f>
        <v>2581187</v>
      </c>
      <c r="Q288" s="2"/>
      <c r="R288" s="299">
        <f ca="1">$R$179</f>
        <v>1.2240066282869231</v>
      </c>
      <c r="S288" s="323" t="s">
        <v>374</v>
      </c>
      <c r="T288" s="2">
        <f ca="1">ROUND(R288*$C288/100,0)</f>
        <v>3390790</v>
      </c>
      <c r="U288" s="2"/>
      <c r="V288" s="299">
        <f ca="1">$V$179</f>
        <v>2.1849800075654815</v>
      </c>
      <c r="W288" s="323" t="s">
        <v>374</v>
      </c>
      <c r="X288" s="2">
        <f ca="1">ROUND(V288*$C288/100,0)</f>
        <v>6052916</v>
      </c>
      <c r="Y288" s="473"/>
      <c r="Z288" s="74"/>
      <c r="AA288" s="74"/>
      <c r="AB288" s="74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U288" s="84"/>
    </row>
    <row r="289" spans="1:47" hidden="1">
      <c r="A289" s="1" t="s">
        <v>399</v>
      </c>
      <c r="B289" s="319"/>
      <c r="C289" s="319">
        <f>[47]Sheet1!$H$29+[47]Sheet1!$H$30+Temperature!E75*1000-C288-C287+(Temperature!C75+Temperature!D75)*1000</f>
        <v>118022195.46634004</v>
      </c>
      <c r="D289" s="299">
        <v>5.8120000000000003</v>
      </c>
      <c r="E289" s="323" t="s">
        <v>374</v>
      </c>
      <c r="F289" s="2">
        <f>ROUND(D289*$C289/100,0)</f>
        <v>6859450</v>
      </c>
      <c r="G289" s="299">
        <v>6.1660000000000004</v>
      </c>
      <c r="H289" s="323" t="s">
        <v>374</v>
      </c>
      <c r="I289" s="2">
        <f t="shared" si="104"/>
        <v>7277249</v>
      </c>
      <c r="J289" s="299">
        <f ca="1">$J$180</f>
        <v>3.74</v>
      </c>
      <c r="K289" s="323" t="s">
        <v>374</v>
      </c>
      <c r="L289" s="2">
        <f ca="1">ROUND(J289*$C289/100,0)</f>
        <v>4414030</v>
      </c>
      <c r="M289" s="2"/>
      <c r="N289" s="299">
        <f ca="1">$N$180</f>
        <v>0.80275718206159852</v>
      </c>
      <c r="O289" s="323" t="s">
        <v>374</v>
      </c>
      <c r="P289" s="2">
        <f ca="1">ROUND(N289*$C289/100,0)</f>
        <v>947432</v>
      </c>
      <c r="Q289" s="2"/>
      <c r="R289" s="299">
        <f ca="1">$R$180</f>
        <v>1.0536847359511734</v>
      </c>
      <c r="S289" s="323" t="s">
        <v>374</v>
      </c>
      <c r="T289" s="2">
        <f ca="1">ROUND(R289*$C289/100,0)</f>
        <v>1243582</v>
      </c>
      <c r="U289" s="2"/>
      <c r="V289" s="299">
        <f ca="1">$V$180</f>
        <v>1.8834755557989509</v>
      </c>
      <c r="W289" s="323" t="s">
        <v>374</v>
      </c>
      <c r="X289" s="2">
        <f ca="1">ROUND(V289*$C289/100,0)</f>
        <v>2222919</v>
      </c>
      <c r="Y289" s="473"/>
      <c r="Z289" s="74"/>
      <c r="AA289" s="74"/>
      <c r="AB289" s="74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U289" s="84"/>
    </row>
    <row r="290" spans="1:47" hidden="1">
      <c r="A290" s="1" t="s">
        <v>400</v>
      </c>
      <c r="B290" s="21"/>
      <c r="C290" s="319">
        <f>[47]Sheet1!$L$29+[47]Sheet1!$L$30</f>
        <v>104260.76666666665</v>
      </c>
      <c r="D290" s="330">
        <v>56</v>
      </c>
      <c r="E290" s="321" t="s">
        <v>374</v>
      </c>
      <c r="F290" s="2">
        <f>ROUND(D290*$C290/100,0)</f>
        <v>58386</v>
      </c>
      <c r="G290" s="330">
        <v>56</v>
      </c>
      <c r="H290" s="323" t="s">
        <v>374</v>
      </c>
      <c r="I290" s="2">
        <f t="shared" si="104"/>
        <v>58386</v>
      </c>
      <c r="J290" s="330">
        <f>$J$181</f>
        <v>56</v>
      </c>
      <c r="K290" s="323" t="s">
        <v>374</v>
      </c>
      <c r="L290" s="2">
        <f>ROUND(J290*$C290/100,0)</f>
        <v>58386</v>
      </c>
      <c r="M290" s="2"/>
      <c r="N290" s="330" t="str">
        <f>$N$181</f>
        <v xml:space="preserve"> </v>
      </c>
      <c r="O290" s="323" t="s">
        <v>374</v>
      </c>
      <c r="P290" s="2">
        <f>ROUND(N290*$C290/100,0)</f>
        <v>0</v>
      </c>
      <c r="Q290" s="2"/>
      <c r="R290" s="330">
        <f ca="1">$R$181</f>
        <v>11</v>
      </c>
      <c r="S290" s="323" t="s">
        <v>374</v>
      </c>
      <c r="T290" s="2">
        <f ca="1">ROUND(R290*$C290/100,0)</f>
        <v>11469</v>
      </c>
      <c r="U290" s="2"/>
      <c r="V290" s="330">
        <f ca="1">$V$181</f>
        <v>45</v>
      </c>
      <c r="W290" s="323" t="s">
        <v>374</v>
      </c>
      <c r="X290" s="2">
        <f ca="1">ROUND(V290*$C290/100,0)</f>
        <v>46917</v>
      </c>
      <c r="Y290" s="20"/>
      <c r="Z290" s="74"/>
      <c r="AA290" s="74"/>
      <c r="AB290" s="74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U290" s="84"/>
    </row>
    <row r="291" spans="1:47" s="1184" customFormat="1" hidden="1">
      <c r="A291" s="1005" t="s">
        <v>918</v>
      </c>
      <c r="C291" s="1202">
        <f>C287</f>
        <v>122485429.32105364</v>
      </c>
      <c r="D291" s="269"/>
      <c r="E291" s="1185"/>
      <c r="F291" s="1203"/>
      <c r="G291" s="269"/>
      <c r="H291" s="1185"/>
      <c r="I291" s="1203"/>
      <c r="J291" s="1230">
        <f>J182</f>
        <v>4.5289999999999999</v>
      </c>
      <c r="K291" s="1009" t="s">
        <v>374</v>
      </c>
      <c r="L291" s="1203">
        <f t="shared" ref="L291:L293" si="105">ROUND(J291*$C291/100,0)</f>
        <v>5547365</v>
      </c>
      <c r="M291" s="1203"/>
      <c r="N291" s="1230" t="str">
        <f>N182</f>
        <v xml:space="preserve"> </v>
      </c>
      <c r="O291" s="1009" t="s">
        <v>374</v>
      </c>
      <c r="P291" s="1203">
        <f t="shared" ref="P291:P293" si="106">ROUND(N291*$C291/100,0)</f>
        <v>0</v>
      </c>
      <c r="Q291" s="1203"/>
      <c r="R291" s="1230" t="str">
        <f>R182</f>
        <v xml:space="preserve"> </v>
      </c>
      <c r="S291" s="1009" t="s">
        <v>374</v>
      </c>
      <c r="T291" s="1203">
        <f t="shared" ref="T291:T293" si="107">ROUND(R291*$C291/100,0)</f>
        <v>0</v>
      </c>
      <c r="U291" s="1203"/>
      <c r="V291" s="1230">
        <f>V182</f>
        <v>4.5289999999999999</v>
      </c>
      <c r="W291" s="1009" t="s">
        <v>374</v>
      </c>
      <c r="X291" s="1203">
        <f t="shared" ref="X291:X293" si="108">ROUND(V291*$C291/100,0)</f>
        <v>5547365</v>
      </c>
      <c r="Z291" s="815"/>
      <c r="AC291" s="1205"/>
      <c r="AD291" s="1205"/>
      <c r="AI291" s="1185"/>
      <c r="AJ291" s="1185"/>
      <c r="AK291" s="1185"/>
      <c r="AL291" s="1185"/>
      <c r="AM291" s="1185"/>
      <c r="AN291" s="1185"/>
      <c r="AO291" s="1185"/>
      <c r="AP291" s="1185"/>
      <c r="AQ291" s="1185"/>
      <c r="AR291" s="1185"/>
      <c r="AS291" s="1185"/>
      <c r="AU291" s="1204"/>
    </row>
    <row r="292" spans="1:47" s="1184" customFormat="1" hidden="1">
      <c r="A292" s="1005" t="s">
        <v>919</v>
      </c>
      <c r="C292" s="1202">
        <f>C288</f>
        <v>277023851.80810446</v>
      </c>
      <c r="D292" s="269"/>
      <c r="E292" s="1185"/>
      <c r="F292" s="1203"/>
      <c r="G292" s="269"/>
      <c r="H292" s="1185"/>
      <c r="I292" s="1203"/>
      <c r="J292" s="1230">
        <f>J183</f>
        <v>3.1270000000000002</v>
      </c>
      <c r="K292" s="1009" t="s">
        <v>374</v>
      </c>
      <c r="L292" s="1203">
        <f t="shared" si="105"/>
        <v>8662536</v>
      </c>
      <c r="M292" s="1203"/>
      <c r="N292" s="1230" t="str">
        <f>N183</f>
        <v xml:space="preserve"> </v>
      </c>
      <c r="O292" s="1009" t="s">
        <v>374</v>
      </c>
      <c r="P292" s="1203">
        <f t="shared" si="106"/>
        <v>0</v>
      </c>
      <c r="Q292" s="1203"/>
      <c r="R292" s="1230" t="str">
        <f>R183</f>
        <v xml:space="preserve"> </v>
      </c>
      <c r="S292" s="1009" t="s">
        <v>374</v>
      </c>
      <c r="T292" s="1203">
        <f t="shared" si="107"/>
        <v>0</v>
      </c>
      <c r="U292" s="1203"/>
      <c r="V292" s="1230">
        <f>V183</f>
        <v>3.1270000000000002</v>
      </c>
      <c r="W292" s="1009" t="s">
        <v>374</v>
      </c>
      <c r="X292" s="1203">
        <f t="shared" si="108"/>
        <v>8662536</v>
      </c>
      <c r="Z292" s="815"/>
      <c r="AC292" s="1205"/>
      <c r="AD292" s="1205"/>
      <c r="AI292" s="1185"/>
      <c r="AJ292" s="1185"/>
      <c r="AK292" s="1185"/>
      <c r="AL292" s="1185"/>
      <c r="AM292" s="1185"/>
      <c r="AN292" s="1185"/>
      <c r="AO292" s="1185"/>
      <c r="AP292" s="1185"/>
      <c r="AQ292" s="1185"/>
      <c r="AR292" s="1185"/>
      <c r="AS292" s="1185"/>
      <c r="AU292" s="1204"/>
    </row>
    <row r="293" spans="1:47" s="1184" customFormat="1" hidden="1">
      <c r="A293" s="1005" t="s">
        <v>920</v>
      </c>
      <c r="C293" s="1202">
        <f>C289</f>
        <v>118022195.46634004</v>
      </c>
      <c r="D293" s="269"/>
      <c r="E293" s="1185"/>
      <c r="F293" s="1203"/>
      <c r="G293" s="269"/>
      <c r="H293" s="1185"/>
      <c r="I293" s="1203"/>
      <c r="J293" s="1230">
        <f>J184</f>
        <v>2.6950000000000003</v>
      </c>
      <c r="K293" s="1009" t="s">
        <v>374</v>
      </c>
      <c r="L293" s="1203">
        <f t="shared" si="105"/>
        <v>3180698</v>
      </c>
      <c r="M293" s="1203"/>
      <c r="N293" s="1230" t="str">
        <f>N184</f>
        <v xml:space="preserve"> </v>
      </c>
      <c r="O293" s="1009" t="s">
        <v>374</v>
      </c>
      <c r="P293" s="1203">
        <f t="shared" si="106"/>
        <v>0</v>
      </c>
      <c r="Q293" s="1203"/>
      <c r="R293" s="1230" t="str">
        <f>R184</f>
        <v xml:space="preserve"> </v>
      </c>
      <c r="S293" s="1009" t="s">
        <v>374</v>
      </c>
      <c r="T293" s="1203">
        <f t="shared" si="107"/>
        <v>0</v>
      </c>
      <c r="U293" s="1203"/>
      <c r="V293" s="1230">
        <f>V184</f>
        <v>2.6950000000000003</v>
      </c>
      <c r="W293" s="1009" t="s">
        <v>374</v>
      </c>
      <c r="X293" s="1203">
        <f t="shared" si="108"/>
        <v>3180698</v>
      </c>
      <c r="Z293" s="815"/>
      <c r="AC293" s="1205"/>
      <c r="AD293" s="1205"/>
      <c r="AI293" s="1185"/>
      <c r="AJ293" s="1185"/>
      <c r="AK293" s="1185"/>
      <c r="AL293" s="1185"/>
      <c r="AM293" s="1185"/>
      <c r="AN293" s="1185"/>
      <c r="AO293" s="1185"/>
      <c r="AP293" s="1185"/>
      <c r="AQ293" s="1185"/>
      <c r="AR293" s="1185"/>
      <c r="AS293" s="1185"/>
      <c r="AU293" s="1204"/>
    </row>
    <row r="294" spans="1:47" hidden="1">
      <c r="A294" s="331" t="s">
        <v>401</v>
      </c>
      <c r="B294" s="21"/>
      <c r="C294" s="319"/>
      <c r="D294" s="332">
        <v>-0.01</v>
      </c>
      <c r="E294" s="321"/>
      <c r="F294" s="2"/>
      <c r="G294" s="332">
        <v>-0.01</v>
      </c>
      <c r="H294" s="323"/>
      <c r="I294" s="2"/>
      <c r="J294" s="332">
        <v>-0.01</v>
      </c>
      <c r="K294" s="323"/>
      <c r="L294" s="2"/>
      <c r="M294" s="2"/>
      <c r="N294" s="332">
        <v>-0.01</v>
      </c>
      <c r="O294" s="323"/>
      <c r="P294" s="2"/>
      <c r="Q294" s="2"/>
      <c r="R294" s="332">
        <v>-0.01</v>
      </c>
      <c r="S294" s="323"/>
      <c r="T294" s="2"/>
      <c r="U294" s="2"/>
      <c r="V294" s="332">
        <v>-0.01</v>
      </c>
      <c r="W294" s="323"/>
      <c r="X294" s="2"/>
      <c r="Y294" s="20"/>
      <c r="Z294" s="74"/>
      <c r="AA294" s="74"/>
      <c r="AB294" s="74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U294" s="84"/>
    </row>
    <row r="295" spans="1:47" hidden="1">
      <c r="A295" s="1" t="s">
        <v>390</v>
      </c>
      <c r="B295" s="1"/>
      <c r="C295" s="319">
        <f>[47]Sheet1!$F$5</f>
        <v>71.966666666666697</v>
      </c>
      <c r="D295" s="334">
        <v>8.7100000000000009</v>
      </c>
      <c r="E295" s="321"/>
      <c r="F295" s="2">
        <f>-ROUND(D295*$C295/100,0)</f>
        <v>-6</v>
      </c>
      <c r="G295" s="334">
        <v>8.7100000000000009</v>
      </c>
      <c r="H295" s="321"/>
      <c r="I295" s="2">
        <f>-ROUND(G295*$C295/100,0)</f>
        <v>-6</v>
      </c>
      <c r="J295" s="334">
        <f>J282</f>
        <v>10</v>
      </c>
      <c r="K295" s="321"/>
      <c r="L295" s="2">
        <f>-ROUND(J295*$C295/100,0)</f>
        <v>-7</v>
      </c>
      <c r="M295" s="2"/>
      <c r="N295" s="334">
        <f>N282</f>
        <v>10</v>
      </c>
      <c r="O295" s="321"/>
      <c r="P295" s="2">
        <f>-ROUND(N295*$C295/100,0)</f>
        <v>-7</v>
      </c>
      <c r="Q295" s="2"/>
      <c r="R295" s="334" t="str">
        <f>R282</f>
        <v xml:space="preserve"> </v>
      </c>
      <c r="S295" s="321"/>
      <c r="T295" s="2">
        <f>-ROUND(R295*$C295/100,0)</f>
        <v>0</v>
      </c>
      <c r="U295" s="2"/>
      <c r="V295" s="334" t="str">
        <f>V282</f>
        <v xml:space="preserve"> </v>
      </c>
      <c r="W295" s="321"/>
      <c r="X295" s="2">
        <f>-ROUND(V295*$C295/100,0)</f>
        <v>0</v>
      </c>
      <c r="Y295" s="20"/>
      <c r="Z295" s="74"/>
      <c r="AA295" s="74"/>
      <c r="AB295" s="74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U295" s="84"/>
    </row>
    <row r="296" spans="1:47" hidden="1">
      <c r="A296" s="1" t="s">
        <v>391</v>
      </c>
      <c r="B296" s="1"/>
      <c r="C296" s="319">
        <f>[47]Sheet1!$F$3+[47]Sheet1!$F$8</f>
        <v>27</v>
      </c>
      <c r="D296" s="334">
        <v>12.98</v>
      </c>
      <c r="E296" s="321"/>
      <c r="F296" s="2">
        <f>-ROUND(D296*$C296/100,0)</f>
        <v>-4</v>
      </c>
      <c r="G296" s="334">
        <v>12.98</v>
      </c>
      <c r="H296" s="321"/>
      <c r="I296" s="2">
        <f t="shared" ref="I296:I298" si="109">-ROUND(G296*$C296/100,0)</f>
        <v>-4</v>
      </c>
      <c r="J296" s="334">
        <f>J283</f>
        <v>15</v>
      </c>
      <c r="K296" s="321"/>
      <c r="L296" s="2">
        <f>-ROUND(J296*$C296/100,0)</f>
        <v>-4</v>
      </c>
      <c r="M296" s="2"/>
      <c r="N296" s="334">
        <f>N283</f>
        <v>15</v>
      </c>
      <c r="O296" s="321"/>
      <c r="P296" s="2">
        <f>-ROUND(N296*$C296/100,0)</f>
        <v>-4</v>
      </c>
      <c r="Q296" s="2"/>
      <c r="R296" s="334" t="str">
        <f>R283</f>
        <v xml:space="preserve"> </v>
      </c>
      <c r="S296" s="321"/>
      <c r="T296" s="2">
        <f>-ROUND(R296*$C296/100,0)</f>
        <v>0</v>
      </c>
      <c r="U296" s="2"/>
      <c r="V296" s="334" t="str">
        <f>V283</f>
        <v xml:space="preserve"> </v>
      </c>
      <c r="W296" s="321"/>
      <c r="X296" s="2">
        <f>-ROUND(V296*$C296/100,0)</f>
        <v>0</v>
      </c>
      <c r="Y296" s="20"/>
      <c r="Z296" s="74"/>
      <c r="AA296" s="74"/>
      <c r="AB296" s="74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U296" s="84"/>
    </row>
    <row r="297" spans="1:47" hidden="1">
      <c r="A297" s="1" t="s">
        <v>402</v>
      </c>
      <c r="B297" s="1"/>
      <c r="C297" s="319">
        <f>[47]Sheet1!$G$3+[47]Sheet1!$G$5+[47]Sheet1!$G$7+[47]Sheet1!$G$9+[47]Sheet1!$G$22</f>
        <v>936</v>
      </c>
      <c r="D297" s="334">
        <v>0.92</v>
      </c>
      <c r="E297" s="321"/>
      <c r="F297" s="2">
        <f>-ROUND(D297*$C297/100,0)</f>
        <v>-9</v>
      </c>
      <c r="G297" s="334">
        <v>0.92</v>
      </c>
      <c r="H297" s="321"/>
      <c r="I297" s="2">
        <f t="shared" si="109"/>
        <v>-9</v>
      </c>
      <c r="J297" s="334">
        <f>J284</f>
        <v>1</v>
      </c>
      <c r="K297" s="321"/>
      <c r="L297" s="2">
        <f>-ROUND(J297*$C297/100,0)</f>
        <v>-9</v>
      </c>
      <c r="M297" s="2"/>
      <c r="N297" s="334">
        <f>N284</f>
        <v>1</v>
      </c>
      <c r="O297" s="321"/>
      <c r="P297" s="2">
        <f>-ROUND(N297*$C297/100,0)</f>
        <v>-9</v>
      </c>
      <c r="Q297" s="2"/>
      <c r="R297" s="334" t="str">
        <f>R284</f>
        <v xml:space="preserve"> </v>
      </c>
      <c r="S297" s="321"/>
      <c r="T297" s="2">
        <f>-ROUND(R297*$C297/100,0)</f>
        <v>0</v>
      </c>
      <c r="U297" s="2"/>
      <c r="V297" s="334" t="str">
        <f>V284</f>
        <v xml:space="preserve"> </v>
      </c>
      <c r="W297" s="321"/>
      <c r="X297" s="2">
        <f>-ROUND(V297*$C297/100,0)</f>
        <v>0</v>
      </c>
      <c r="Y297" s="20"/>
      <c r="Z297" s="74"/>
      <c r="AA297" s="74"/>
      <c r="AB297" s="74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U297" s="84"/>
    </row>
    <row r="298" spans="1:47" hidden="1">
      <c r="A298" s="1" t="s">
        <v>413</v>
      </c>
      <c r="B298" s="1"/>
      <c r="C298" s="319">
        <f>[47]Sheet1!$K$3+[47]Sheet1!$K$5+[47]Sheet1!$K$8+[47]Sheet1!$K$9</f>
        <v>767</v>
      </c>
      <c r="D298" s="334">
        <v>3.4</v>
      </c>
      <c r="E298" s="323"/>
      <c r="F298" s="2">
        <f>-ROUND(D298*$C298/100,0)</f>
        <v>-26</v>
      </c>
      <c r="G298" s="334">
        <v>3.61</v>
      </c>
      <c r="H298" s="323"/>
      <c r="I298" s="2">
        <f t="shared" si="109"/>
        <v>-28</v>
      </c>
      <c r="J298" s="334">
        <f ca="1">J286</f>
        <v>3.77</v>
      </c>
      <c r="K298" s="323"/>
      <c r="L298" s="2">
        <f ca="1">-ROUND(J298*$C298/100,0)</f>
        <v>-29</v>
      </c>
      <c r="M298" s="2"/>
      <c r="N298" s="334">
        <f ca="1">N286</f>
        <v>0.81</v>
      </c>
      <c r="O298" s="323"/>
      <c r="P298" s="2">
        <f ca="1">-ROUND(N298*$C298/100,0)</f>
        <v>-6</v>
      </c>
      <c r="Q298" s="2"/>
      <c r="R298" s="334">
        <f ca="1">R286</f>
        <v>1.06</v>
      </c>
      <c r="S298" s="323"/>
      <c r="T298" s="2">
        <f ca="1">-ROUND(R298*$C298/100,0)</f>
        <v>-8</v>
      </c>
      <c r="U298" s="2"/>
      <c r="V298" s="334">
        <f ca="1">V286</f>
        <v>1.9</v>
      </c>
      <c r="W298" s="323"/>
      <c r="X298" s="2">
        <f ca="1">-ROUND(V298*$C298/100,0)</f>
        <v>-15</v>
      </c>
      <c r="Y298" s="20"/>
      <c r="Z298" s="74"/>
      <c r="AA298" s="74"/>
      <c r="AB298" s="74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U298" s="84"/>
    </row>
    <row r="299" spans="1:47" hidden="1">
      <c r="A299" s="1" t="s">
        <v>405</v>
      </c>
      <c r="B299" s="1"/>
      <c r="C299" s="319">
        <f>[47]Sheet1!$I$3+[47]Sheet1!$I$5+[47]Sheet1!$I$8</f>
        <v>88042.333333333299</v>
      </c>
      <c r="D299" s="335">
        <v>9.766</v>
      </c>
      <c r="E299" s="323" t="s">
        <v>374</v>
      </c>
      <c r="F299" s="2">
        <f>ROUND(D299*$C299/100*D294,0)</f>
        <v>-86</v>
      </c>
      <c r="G299" s="335">
        <v>10.359</v>
      </c>
      <c r="H299" s="323" t="s">
        <v>374</v>
      </c>
      <c r="I299" s="2">
        <f>ROUND(G299*$C299/100*G294,0)</f>
        <v>-91</v>
      </c>
      <c r="J299" s="335">
        <f ca="1">J287</f>
        <v>6.282</v>
      </c>
      <c r="K299" s="323" t="s">
        <v>374</v>
      </c>
      <c r="L299" s="2">
        <f ca="1">ROUND(J299*$C299/100*J294,0)</f>
        <v>-55</v>
      </c>
      <c r="M299" s="2"/>
      <c r="N299" s="335">
        <f ca="1">N287</f>
        <v>1.3483746810352102</v>
      </c>
      <c r="O299" s="323" t="s">
        <v>374</v>
      </c>
      <c r="P299" s="2">
        <f ca="1">ROUND(N299*$C299/100*N294,0)</f>
        <v>-12</v>
      </c>
      <c r="Q299" s="2"/>
      <c r="R299" s="335">
        <f ca="1">R287</f>
        <v>1.7708525176705459</v>
      </c>
      <c r="S299" s="323" t="s">
        <v>374</v>
      </c>
      <c r="T299" s="2">
        <f ca="1">ROUND(R299*$C299/100*R294,0)</f>
        <v>-16</v>
      </c>
      <c r="U299" s="2"/>
      <c r="V299" s="335">
        <f ca="1">V287</f>
        <v>3.162955363125258</v>
      </c>
      <c r="W299" s="323" t="s">
        <v>374</v>
      </c>
      <c r="X299" s="2">
        <f ca="1">ROUND(V299*$C299/100*V294,0)</f>
        <v>-28</v>
      </c>
      <c r="Y299" s="20"/>
      <c r="Z299" s="74"/>
      <c r="AA299" s="74"/>
      <c r="AB299" s="74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U299" s="84"/>
    </row>
    <row r="300" spans="1:47" hidden="1">
      <c r="A300" s="1" t="s">
        <v>398</v>
      </c>
      <c r="B300" s="1"/>
      <c r="C300" s="319">
        <f>[47]Sheet1!$J$3+[47]Sheet1!$J$5+[47]Sheet1!$J$8+[47]Sheet1!$J$9</f>
        <v>435023.66666666698</v>
      </c>
      <c r="D300" s="335">
        <v>6.7460000000000004</v>
      </c>
      <c r="E300" s="323" t="s">
        <v>374</v>
      </c>
      <c r="F300" s="2">
        <f>ROUND(D300*$C300/100*D294,0)</f>
        <v>-293</v>
      </c>
      <c r="G300" s="335">
        <v>7.1559999999999997</v>
      </c>
      <c r="H300" s="323" t="s">
        <v>374</v>
      </c>
      <c r="I300" s="2">
        <f>ROUND(G300*$C300/100*G294,0)</f>
        <v>-311</v>
      </c>
      <c r="J300" s="335">
        <f ca="1">J288</f>
        <v>4.3410000000000002</v>
      </c>
      <c r="K300" s="323" t="s">
        <v>374</v>
      </c>
      <c r="L300" s="2">
        <f ca="1">ROUND(J300*$C300/100*J294,0)</f>
        <v>-189</v>
      </c>
      <c r="M300" s="2"/>
      <c r="N300" s="335">
        <f ca="1">N288</f>
        <v>0.93175626548296309</v>
      </c>
      <c r="O300" s="323" t="s">
        <v>374</v>
      </c>
      <c r="P300" s="2">
        <f ca="1">ROUND(N300*$C300/100*N294,0)</f>
        <v>-41</v>
      </c>
      <c r="Q300" s="2"/>
      <c r="R300" s="335">
        <f ca="1">R288</f>
        <v>1.2240066282869231</v>
      </c>
      <c r="S300" s="323" t="s">
        <v>374</v>
      </c>
      <c r="T300" s="2">
        <f ca="1">ROUND(R300*$C300/100*R294,0)</f>
        <v>-53</v>
      </c>
      <c r="U300" s="2"/>
      <c r="V300" s="335">
        <f ca="1">V288</f>
        <v>2.1849800075654815</v>
      </c>
      <c r="W300" s="323" t="s">
        <v>374</v>
      </c>
      <c r="X300" s="2">
        <f ca="1">ROUND(V300*$C300/100*V294,0)</f>
        <v>-95</v>
      </c>
      <c r="Y300" s="20"/>
      <c r="Z300" s="74"/>
      <c r="AA300" s="74"/>
      <c r="AB300" s="74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U300" s="84"/>
    </row>
    <row r="301" spans="1:47" hidden="1">
      <c r="A301" s="1" t="s">
        <v>399</v>
      </c>
      <c r="B301" s="1"/>
      <c r="C301" s="319">
        <f>[47]Sheet1!$H$3+[47]Sheet1!$H$5+[47]Sheet1!$H$8+[47]Sheet1!$H$9-C300-C299</f>
        <v>108979.99999999972</v>
      </c>
      <c r="D301" s="335">
        <v>5.8120000000000003</v>
      </c>
      <c r="E301" s="323" t="s">
        <v>374</v>
      </c>
      <c r="F301" s="2">
        <f>ROUND(D301*$C301/100*D294,0)</f>
        <v>-63</v>
      </c>
      <c r="G301" s="335">
        <v>6.1660000000000004</v>
      </c>
      <c r="H301" s="323" t="s">
        <v>374</v>
      </c>
      <c r="I301" s="2">
        <f>ROUND(G301*$C301/100*G294,0)</f>
        <v>-67</v>
      </c>
      <c r="J301" s="335">
        <f ca="1">J289</f>
        <v>3.74</v>
      </c>
      <c r="K301" s="323" t="s">
        <v>374</v>
      </c>
      <c r="L301" s="2">
        <f ca="1">ROUND(J301*$C301/100*J294,0)</f>
        <v>-41</v>
      </c>
      <c r="M301" s="2"/>
      <c r="N301" s="335">
        <f ca="1">N289</f>
        <v>0.80275718206159852</v>
      </c>
      <c r="O301" s="323" t="s">
        <v>374</v>
      </c>
      <c r="P301" s="2">
        <f ca="1">ROUND(N301*$C301/100*N294,0)</f>
        <v>-9</v>
      </c>
      <c r="Q301" s="2"/>
      <c r="R301" s="335">
        <f ca="1">R289</f>
        <v>1.0536847359511734</v>
      </c>
      <c r="S301" s="323" t="s">
        <v>374</v>
      </c>
      <c r="T301" s="2">
        <f ca="1">ROUND(R301*$C301/100*R294,0)</f>
        <v>-11</v>
      </c>
      <c r="U301" s="2"/>
      <c r="V301" s="335">
        <f ca="1">V289</f>
        <v>1.8834755557989509</v>
      </c>
      <c r="W301" s="323" t="s">
        <v>374</v>
      </c>
      <c r="X301" s="2">
        <f ca="1">ROUND(V301*$C301/100*V294,0)</f>
        <v>-21</v>
      </c>
      <c r="Y301" s="20"/>
      <c r="Z301" s="74"/>
      <c r="AA301" s="74"/>
      <c r="AB301" s="74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U301" s="84"/>
    </row>
    <row r="302" spans="1:47" hidden="1">
      <c r="A302" s="1" t="s">
        <v>400</v>
      </c>
      <c r="B302" s="1"/>
      <c r="C302" s="319">
        <f>[47]Sheet1!$L$3+[47]Sheet1!$L$5+[47]Sheet1!$L$8+[47]Sheet1!$L$9</f>
        <v>1148.3</v>
      </c>
      <c r="D302" s="336">
        <v>56</v>
      </c>
      <c r="E302" s="323" t="s">
        <v>374</v>
      </c>
      <c r="F302" s="2">
        <f>ROUND(D302*$C302/100*D294,0)</f>
        <v>-6</v>
      </c>
      <c r="G302" s="336">
        <v>56</v>
      </c>
      <c r="H302" s="323" t="s">
        <v>374</v>
      </c>
      <c r="I302" s="2">
        <f>ROUND(G302*$C302/100*G294,0)</f>
        <v>-6</v>
      </c>
      <c r="J302" s="336">
        <f>J290</f>
        <v>56</v>
      </c>
      <c r="K302" s="323" t="s">
        <v>374</v>
      </c>
      <c r="L302" s="2">
        <f>ROUND(J302*$C302/100*J294,0)</f>
        <v>-6</v>
      </c>
      <c r="M302" s="2"/>
      <c r="N302" s="336" t="str">
        <f>N290</f>
        <v xml:space="preserve"> </v>
      </c>
      <c r="O302" s="323" t="s">
        <v>374</v>
      </c>
      <c r="P302" s="2">
        <f>ROUND(N302*$C302/100*N294,0)</f>
        <v>0</v>
      </c>
      <c r="Q302" s="2"/>
      <c r="R302" s="336">
        <f ca="1">R290</f>
        <v>11</v>
      </c>
      <c r="S302" s="323" t="s">
        <v>374</v>
      </c>
      <c r="T302" s="2">
        <f ca="1">ROUND(R302*$C302/100*R294,0)</f>
        <v>-1</v>
      </c>
      <c r="U302" s="2"/>
      <c r="V302" s="336">
        <f ca="1">V290</f>
        <v>45</v>
      </c>
      <c r="W302" s="323" t="s">
        <v>374</v>
      </c>
      <c r="X302" s="2">
        <f ca="1">ROUND(V302*$C302/100*V294,0)</f>
        <v>-5</v>
      </c>
      <c r="Y302" s="20"/>
      <c r="Z302" s="74"/>
      <c r="AA302" s="74"/>
      <c r="AB302" s="74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U302" s="84"/>
    </row>
    <row r="303" spans="1:47" hidden="1">
      <c r="A303" s="1" t="s">
        <v>407</v>
      </c>
      <c r="B303" s="1"/>
      <c r="C303" s="319">
        <f>[47]Sheet1!$F$3+[47]Sheet1!$F$5+[47]Sheet1!$F$9</f>
        <v>120.8666666666667</v>
      </c>
      <c r="D303" s="337">
        <v>60</v>
      </c>
      <c r="E303" s="321"/>
      <c r="F303" s="2">
        <f>ROUND(D303*$C303,0)</f>
        <v>7252</v>
      </c>
      <c r="G303" s="337">
        <v>60</v>
      </c>
      <c r="H303" s="323"/>
      <c r="I303" s="2">
        <f>ROUND(G303*C303,0)</f>
        <v>7252</v>
      </c>
      <c r="J303" s="337">
        <f>$J$197</f>
        <v>60</v>
      </c>
      <c r="K303" s="323"/>
      <c r="L303" s="2">
        <f>ROUND(J303*$C303,0)</f>
        <v>7252</v>
      </c>
      <c r="M303" s="2"/>
      <c r="N303" s="326" t="s">
        <v>31</v>
      </c>
      <c r="O303" s="323"/>
      <c r="P303" s="1040">
        <f t="shared" ref="P303" si="110">N303*C303</f>
        <v>0</v>
      </c>
      <c r="Q303" s="322"/>
      <c r="R303" s="301">
        <f ca="1">R197</f>
        <v>11.86</v>
      </c>
      <c r="S303" s="323"/>
      <c r="T303" s="2">
        <f ca="1">L303*(Z207/(Z207+AA207))</f>
        <v>1433.9594330002321</v>
      </c>
      <c r="U303" s="322"/>
      <c r="V303" s="301">
        <f ca="1">V197</f>
        <v>48.14</v>
      </c>
      <c r="W303" s="323"/>
      <c r="X303" s="2">
        <f ca="1">L303*(AA207/(Z207+AA207))</f>
        <v>5818.040566999769</v>
      </c>
      <c r="Y303" s="20"/>
      <c r="Z303" s="74"/>
      <c r="AA303" s="74"/>
      <c r="AB303" s="74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U303" s="84"/>
    </row>
    <row r="304" spans="1:47" hidden="1">
      <c r="A304" s="1" t="s">
        <v>408</v>
      </c>
      <c r="B304" s="1"/>
      <c r="C304" s="319">
        <f>[47]Sheet1!$G$3+[47]Sheet1!$G$5+[47]Sheet1!$G$9+[47]Sheet1!$G$7+[47]Sheet1!$G$22</f>
        <v>936</v>
      </c>
      <c r="D304" s="339">
        <v>-30</v>
      </c>
      <c r="E304" s="321" t="s">
        <v>374</v>
      </c>
      <c r="F304" s="2">
        <f>ROUND(D304*$C304/100,0)</f>
        <v>-281</v>
      </c>
      <c r="G304" s="339">
        <v>-30</v>
      </c>
      <c r="H304" s="323" t="s">
        <v>374</v>
      </c>
      <c r="I304" s="2">
        <f>ROUND(G304*C304/100,0)</f>
        <v>-281</v>
      </c>
      <c r="J304" s="339">
        <f>$J$198</f>
        <v>-30</v>
      </c>
      <c r="K304" s="323" t="s">
        <v>374</v>
      </c>
      <c r="L304" s="2">
        <f>ROUND(J304*$C304/100,0)</f>
        <v>-281</v>
      </c>
      <c r="M304" s="2"/>
      <c r="N304" s="339">
        <f>'Blocking - detail'!$I$173</f>
        <v>-30</v>
      </c>
      <c r="O304" s="323" t="s">
        <v>374</v>
      </c>
      <c r="P304" s="322">
        <f>L304</f>
        <v>-281</v>
      </c>
      <c r="Q304" s="322"/>
      <c r="R304" s="1587" t="s">
        <v>31</v>
      </c>
      <c r="S304" s="323" t="s">
        <v>31</v>
      </c>
      <c r="T304" s="322">
        <f>R304*C304*R294</f>
        <v>0</v>
      </c>
      <c r="U304" s="322"/>
      <c r="V304" s="1587" t="s">
        <v>31</v>
      </c>
      <c r="W304" s="323" t="s">
        <v>31</v>
      </c>
      <c r="X304" s="322">
        <f>V304*G304*V294</f>
        <v>0</v>
      </c>
      <c r="Y304" s="20"/>
      <c r="Z304" s="74"/>
      <c r="AA304" s="74"/>
      <c r="AB304" s="74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U304" s="84"/>
    </row>
    <row r="305" spans="1:47" s="1184" customFormat="1" hidden="1">
      <c r="A305" s="1005" t="s">
        <v>918</v>
      </c>
      <c r="C305" s="1202">
        <f>C299</f>
        <v>88042.333333333299</v>
      </c>
      <c r="D305" s="269"/>
      <c r="E305" s="1185"/>
      <c r="F305" s="1203"/>
      <c r="G305" s="269"/>
      <c r="H305" s="1185"/>
      <c r="I305" s="1203"/>
      <c r="J305" s="1230">
        <f>J182</f>
        <v>4.5289999999999999</v>
      </c>
      <c r="K305" s="1009" t="s">
        <v>374</v>
      </c>
      <c r="L305" s="1203">
        <f>ROUND(J305*$C305/100*J294,0)</f>
        <v>-40</v>
      </c>
      <c r="M305" s="1203"/>
      <c r="N305" s="1230" t="str">
        <f>N182</f>
        <v xml:space="preserve"> </v>
      </c>
      <c r="O305" s="1009" t="s">
        <v>374</v>
      </c>
      <c r="P305" s="1203">
        <f>ROUND(N305*$C305/100*N294,0)</f>
        <v>0</v>
      </c>
      <c r="Q305" s="1203"/>
      <c r="R305" s="1230" t="str">
        <f>R182</f>
        <v xml:space="preserve"> </v>
      </c>
      <c r="S305" s="1009" t="s">
        <v>374</v>
      </c>
      <c r="T305" s="1203">
        <f>ROUND(R305*$C305/100*R294,0)</f>
        <v>0</v>
      </c>
      <c r="U305" s="1203"/>
      <c r="V305" s="1230">
        <f>V182</f>
        <v>4.5289999999999999</v>
      </c>
      <c r="W305" s="1009" t="s">
        <v>374</v>
      </c>
      <c r="X305" s="1203">
        <f>ROUND(V305*$C305/100*V294,0)</f>
        <v>-40</v>
      </c>
      <c r="Z305" s="815"/>
      <c r="AC305" s="1205"/>
      <c r="AD305" s="1205"/>
      <c r="AI305" s="1185"/>
      <c r="AJ305" s="1185"/>
      <c r="AK305" s="1185"/>
      <c r="AL305" s="1185"/>
      <c r="AM305" s="1185"/>
      <c r="AN305" s="1185"/>
      <c r="AO305" s="1185"/>
      <c r="AP305" s="1185"/>
      <c r="AQ305" s="1185"/>
      <c r="AR305" s="1185"/>
      <c r="AS305" s="1185"/>
      <c r="AU305" s="1204"/>
    </row>
    <row r="306" spans="1:47" s="1184" customFormat="1" hidden="1">
      <c r="A306" s="1005" t="s">
        <v>919</v>
      </c>
      <c r="C306" s="1202">
        <f>C300</f>
        <v>435023.66666666698</v>
      </c>
      <c r="D306" s="269"/>
      <c r="E306" s="1185"/>
      <c r="F306" s="1203"/>
      <c r="G306" s="269"/>
      <c r="H306" s="1185"/>
      <c r="I306" s="1203"/>
      <c r="J306" s="1230">
        <f>J183</f>
        <v>3.1270000000000002</v>
      </c>
      <c r="K306" s="1009" t="s">
        <v>374</v>
      </c>
      <c r="L306" s="1203">
        <f>ROUND(J306*$C306/100*J294,0)</f>
        <v>-136</v>
      </c>
      <c r="M306" s="1203"/>
      <c r="N306" s="1230" t="str">
        <f>N183</f>
        <v xml:space="preserve"> </v>
      </c>
      <c r="O306" s="1009" t="s">
        <v>374</v>
      </c>
      <c r="P306" s="1203">
        <f>ROUND(N306*$C306/100*N294,0)</f>
        <v>0</v>
      </c>
      <c r="Q306" s="1203"/>
      <c r="R306" s="1230" t="str">
        <f>R183</f>
        <v xml:space="preserve"> </v>
      </c>
      <c r="S306" s="1009" t="s">
        <v>374</v>
      </c>
      <c r="T306" s="1203">
        <f>ROUND(R306*$C306/100*R294,0)</f>
        <v>0</v>
      </c>
      <c r="U306" s="1203"/>
      <c r="V306" s="1230">
        <f>V183</f>
        <v>3.1270000000000002</v>
      </c>
      <c r="W306" s="1009" t="s">
        <v>374</v>
      </c>
      <c r="X306" s="1203">
        <f>ROUND(V306*$C306/100*V294,0)</f>
        <v>-136</v>
      </c>
      <c r="Z306" s="815"/>
      <c r="AC306" s="1205"/>
      <c r="AD306" s="1205"/>
      <c r="AI306" s="1185"/>
      <c r="AJ306" s="1185"/>
      <c r="AK306" s="1185"/>
      <c r="AL306" s="1185"/>
      <c r="AM306" s="1185"/>
      <c r="AN306" s="1185"/>
      <c r="AO306" s="1185"/>
      <c r="AP306" s="1185"/>
      <c r="AQ306" s="1185"/>
      <c r="AR306" s="1185"/>
      <c r="AS306" s="1185"/>
      <c r="AU306" s="1204"/>
    </row>
    <row r="307" spans="1:47" s="1184" customFormat="1" hidden="1">
      <c r="A307" s="1005" t="s">
        <v>920</v>
      </c>
      <c r="C307" s="1202">
        <f>C301</f>
        <v>108979.99999999972</v>
      </c>
      <c r="D307" s="269"/>
      <c r="E307" s="1185"/>
      <c r="F307" s="1203"/>
      <c r="G307" s="269"/>
      <c r="H307" s="1185"/>
      <c r="I307" s="1203"/>
      <c r="J307" s="1230">
        <f>J184</f>
        <v>2.6950000000000003</v>
      </c>
      <c r="K307" s="1009" t="s">
        <v>374</v>
      </c>
      <c r="L307" s="1203">
        <f>ROUND(J307*$C307/100*J294,0)</f>
        <v>-29</v>
      </c>
      <c r="M307" s="1203"/>
      <c r="N307" s="1230" t="str">
        <f>N184</f>
        <v xml:space="preserve"> </v>
      </c>
      <c r="O307" s="1009" t="s">
        <v>374</v>
      </c>
      <c r="P307" s="1203">
        <f>ROUND(N307*$C307/100*N296*N294,0)</f>
        <v>0</v>
      </c>
      <c r="Q307" s="1203"/>
      <c r="R307" s="1230" t="str">
        <f>R184</f>
        <v xml:space="preserve"> </v>
      </c>
      <c r="S307" s="1009" t="s">
        <v>374</v>
      </c>
      <c r="T307" s="1203">
        <f>ROUND(R307*$C307/100*R296*R294,0)</f>
        <v>0</v>
      </c>
      <c r="U307" s="1203"/>
      <c r="V307" s="1230">
        <f>V184</f>
        <v>2.6950000000000003</v>
      </c>
      <c r="W307" s="1009" t="s">
        <v>374</v>
      </c>
      <c r="X307" s="1203">
        <f>ROUND(V307*$C307/100*V294,0)</f>
        <v>-29</v>
      </c>
      <c r="Z307" s="815"/>
      <c r="AC307" s="1205"/>
      <c r="AD307" s="1205"/>
      <c r="AI307" s="1185"/>
      <c r="AJ307" s="1185"/>
      <c r="AK307" s="1185"/>
      <c r="AL307" s="1185"/>
      <c r="AM307" s="1185"/>
      <c r="AN307" s="1185"/>
      <c r="AO307" s="1185"/>
      <c r="AP307" s="1185"/>
      <c r="AQ307" s="1185"/>
      <c r="AR307" s="1185"/>
      <c r="AS307" s="1185"/>
      <c r="AU307" s="1204"/>
    </row>
    <row r="308" spans="1:47" hidden="1">
      <c r="A308" s="1" t="s">
        <v>381</v>
      </c>
      <c r="B308" s="307"/>
      <c r="C308" s="319">
        <f>SUM(C287:C289)</f>
        <v>517531476.59549809</v>
      </c>
      <c r="D308" s="330"/>
      <c r="E308" s="2"/>
      <c r="F308" s="2">
        <f>SUM(F282:F304)</f>
        <v>43403723</v>
      </c>
      <c r="G308" s="330"/>
      <c r="H308" s="323"/>
      <c r="I308" s="2">
        <f>SUM(I282:I304)</f>
        <v>45852343</v>
      </c>
      <c r="J308" s="330"/>
      <c r="K308" s="323"/>
      <c r="L308" s="2">
        <f ca="1">SUM(L282:L307)</f>
        <v>48114125</v>
      </c>
      <c r="M308" s="2"/>
      <c r="N308" s="330"/>
      <c r="O308" s="323"/>
      <c r="P308" s="2">
        <f ca="1">SUM(P282:P307)</f>
        <v>9326308</v>
      </c>
      <c r="Q308" s="2"/>
      <c r="R308" s="330"/>
      <c r="S308" s="323"/>
      <c r="T308" s="2">
        <f ca="1">SUM(T282:T307)</f>
        <v>7667820.9594330005</v>
      </c>
      <c r="U308" s="2"/>
      <c r="V308" s="330"/>
      <c r="W308" s="323"/>
      <c r="X308" s="2">
        <f ca="1">SUM(X282:X307)</f>
        <v>31119410.040566999</v>
      </c>
      <c r="Y308" s="416"/>
      <c r="Z308" s="74"/>
      <c r="AA308" s="74"/>
      <c r="AB308" s="74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U308" s="84"/>
    </row>
    <row r="309" spans="1:47" hidden="1">
      <c r="A309" s="1" t="s">
        <v>363</v>
      </c>
      <c r="B309" s="1"/>
      <c r="C309" s="349">
        <f>'Table 2'!H41</f>
        <v>-1485757.4271905404</v>
      </c>
      <c r="D309" s="309"/>
      <c r="E309" s="309"/>
      <c r="F309" s="341">
        <f>I309</f>
        <v>-108790.9692585204</v>
      </c>
      <c r="G309" s="309"/>
      <c r="H309" s="309"/>
      <c r="I309" s="341">
        <f>'Table 3'!E41</f>
        <v>-108790.9692585204</v>
      </c>
      <c r="J309" s="309"/>
      <c r="K309" s="309"/>
      <c r="L309" s="341">
        <f>I309</f>
        <v>-108790.9692585204</v>
      </c>
      <c r="M309" s="322"/>
      <c r="N309" s="309"/>
      <c r="O309" s="309"/>
      <c r="P309" s="341">
        <f ca="1">$L$309*Y207/($Y$207+$Z$207+$AA$207)</f>
        <v>-21446.11636590257</v>
      </c>
      <c r="Q309" s="51"/>
      <c r="R309" s="309"/>
      <c r="S309" s="309"/>
      <c r="T309" s="341">
        <f ca="1">$L$309*Z207/($Y$207+$Z$207+$AA$207)</f>
        <v>-17270.956388497922</v>
      </c>
      <c r="U309" s="51"/>
      <c r="V309" s="309"/>
      <c r="W309" s="309"/>
      <c r="X309" s="341">
        <f ca="1">$L$309*AA207/($Y$207+$Z$207+$AA$207)</f>
        <v>-70073.896504119912</v>
      </c>
      <c r="Y309" s="444"/>
      <c r="Z309" s="287"/>
      <c r="AA309" s="74"/>
      <c r="AB309" s="74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U309" s="84"/>
    </row>
    <row r="310" spans="1:47" ht="16.5" hidden="1" thickBot="1">
      <c r="A310" s="1" t="s">
        <v>382</v>
      </c>
      <c r="B310" s="1"/>
      <c r="C310" s="311">
        <f>SUM(C308:C309)</f>
        <v>516045719.16830754</v>
      </c>
      <c r="D310" s="342"/>
      <c r="E310" s="343"/>
      <c r="F310" s="344">
        <f>F308+F309</f>
        <v>43294932.030741483</v>
      </c>
      <c r="G310" s="342"/>
      <c r="H310" s="345"/>
      <c r="I310" s="344">
        <f>I308+I309</f>
        <v>45743552.030741483</v>
      </c>
      <c r="J310" s="342"/>
      <c r="K310" s="345"/>
      <c r="L310" s="344">
        <f ca="1">L308+L309</f>
        <v>48005334.030741483</v>
      </c>
      <c r="M310" s="344"/>
      <c r="N310" s="342"/>
      <c r="O310" s="345"/>
      <c r="P310" s="344">
        <f ca="1">P308+P309</f>
        <v>9304861.8836340979</v>
      </c>
      <c r="Q310" s="344"/>
      <c r="R310" s="342"/>
      <c r="S310" s="345"/>
      <c r="T310" s="344">
        <f ca="1">T308+T309</f>
        <v>7650550.0030445028</v>
      </c>
      <c r="U310" s="344"/>
      <c r="V310" s="342"/>
      <c r="W310" s="345"/>
      <c r="X310" s="344">
        <f ca="1">X308+X309</f>
        <v>31049336.14406288</v>
      </c>
      <c r="Y310" s="411"/>
      <c r="Z310" s="470"/>
      <c r="AA310" s="74"/>
      <c r="AB310" s="74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U310" s="84"/>
    </row>
    <row r="311" spans="1:47" ht="16.5" hidden="1" thickTop="1">
      <c r="A311" s="1"/>
      <c r="B311" s="1"/>
      <c r="C311" s="21"/>
      <c r="D311" s="337"/>
      <c r="E311" s="2"/>
      <c r="F311" s="2"/>
      <c r="G311" s="337"/>
      <c r="H311" s="1"/>
      <c r="I311" s="2"/>
      <c r="J311" s="337"/>
      <c r="K311" s="1"/>
      <c r="L311" s="2" t="s">
        <v>31</v>
      </c>
      <c r="M311" s="2"/>
      <c r="N311" s="337"/>
      <c r="O311" s="1"/>
      <c r="P311" s="2" t="s">
        <v>31</v>
      </c>
      <c r="Q311" s="2"/>
      <c r="R311" s="337"/>
      <c r="S311" s="1"/>
      <c r="T311" s="2" t="s">
        <v>31</v>
      </c>
      <c r="U311" s="2"/>
      <c r="V311" s="337"/>
      <c r="W311" s="1"/>
      <c r="X311" s="2" t="s">
        <v>31</v>
      </c>
      <c r="Y311" s="20"/>
      <c r="Z311" s="74"/>
      <c r="AA311" s="74"/>
      <c r="AB311" s="74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U311" s="84"/>
    </row>
    <row r="312" spans="1:47" hidden="1">
      <c r="A312" s="293" t="s">
        <v>387</v>
      </c>
      <c r="B312" s="1"/>
      <c r="C312" s="1"/>
      <c r="D312" s="2"/>
      <c r="E312" s="2"/>
      <c r="F312" s="1" t="s">
        <v>31</v>
      </c>
      <c r="G312" s="2"/>
      <c r="H312" s="1"/>
      <c r="I312" s="1"/>
      <c r="J312" s="2"/>
      <c r="K312" s="1"/>
      <c r="L312" s="1"/>
      <c r="M312" s="1"/>
      <c r="N312" s="2"/>
      <c r="O312" s="1"/>
      <c r="P312" s="1"/>
      <c r="Q312" s="1"/>
      <c r="R312" s="2"/>
      <c r="S312" s="1"/>
      <c r="T312" s="1"/>
      <c r="U312" s="1"/>
      <c r="V312" s="2"/>
      <c r="W312" s="1"/>
      <c r="X312" s="1"/>
      <c r="Y312" s="20"/>
      <c r="Z312" s="74"/>
      <c r="AA312" s="74"/>
      <c r="AB312" s="74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U312" s="84"/>
    </row>
    <row r="313" spans="1:47" hidden="1">
      <c r="A313" s="1" t="s">
        <v>414</v>
      </c>
      <c r="B313" s="1"/>
      <c r="C313" s="21"/>
      <c r="D313" s="2"/>
      <c r="E313" s="2"/>
      <c r="F313" s="1"/>
      <c r="G313" s="2"/>
      <c r="H313" s="1"/>
      <c r="I313" s="1"/>
      <c r="J313" s="2"/>
      <c r="K313" s="1"/>
      <c r="L313" s="1"/>
      <c r="M313" s="1"/>
      <c r="N313" s="2"/>
      <c r="O313" s="1"/>
      <c r="P313" s="1"/>
      <c r="Q313" s="1"/>
      <c r="R313" s="2"/>
      <c r="S313" s="1"/>
      <c r="T313" s="1"/>
      <c r="U313" s="1"/>
      <c r="V313" s="2"/>
      <c r="W313" s="1"/>
      <c r="X313" s="1"/>
      <c r="Y313" s="20"/>
      <c r="Z313" s="74"/>
      <c r="AA313" s="74"/>
      <c r="AB313" s="74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U313" s="84"/>
    </row>
    <row r="314" spans="1:47" hidden="1">
      <c r="A314" s="1"/>
      <c r="B314" s="1"/>
      <c r="C314" s="1"/>
      <c r="D314" s="2"/>
      <c r="E314" s="2"/>
      <c r="F314" s="1"/>
      <c r="G314" s="2"/>
      <c r="H314" s="1"/>
      <c r="I314" s="1"/>
      <c r="J314" s="2"/>
      <c r="K314" s="1"/>
      <c r="L314" s="1"/>
      <c r="M314" s="1"/>
      <c r="N314" s="2"/>
      <c r="O314" s="1"/>
      <c r="P314" s="1"/>
      <c r="Q314" s="1"/>
      <c r="R314" s="2"/>
      <c r="S314" s="1"/>
      <c r="T314" s="1"/>
      <c r="U314" s="1"/>
      <c r="V314" s="2"/>
      <c r="W314" s="1"/>
      <c r="X314" s="1"/>
      <c r="Y314" s="20"/>
      <c r="Z314" s="74"/>
      <c r="AA314" s="74"/>
      <c r="AB314" s="74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U314" s="84"/>
    </row>
    <row r="315" spans="1:47" hidden="1">
      <c r="A315" s="1" t="s">
        <v>393</v>
      </c>
      <c r="B315" s="1"/>
      <c r="C315" s="319"/>
      <c r="D315" s="2"/>
      <c r="E315" s="2"/>
      <c r="F315" s="1"/>
      <c r="G315" s="2"/>
      <c r="H315" s="1"/>
      <c r="I315" s="1"/>
      <c r="J315" s="2"/>
      <c r="K315" s="1"/>
      <c r="L315" s="1"/>
      <c r="M315" s="1"/>
      <c r="N315" s="2"/>
      <c r="O315" s="1"/>
      <c r="P315" s="1"/>
      <c r="Q315" s="1"/>
      <c r="R315" s="2"/>
      <c r="S315" s="1"/>
      <c r="T315" s="1"/>
      <c r="U315" s="1"/>
      <c r="V315" s="2"/>
      <c r="W315" s="1"/>
      <c r="X315" s="1"/>
      <c r="Y315" s="20"/>
      <c r="Z315" s="74"/>
      <c r="AA315" s="74"/>
      <c r="AB315" s="74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U315" s="84"/>
    </row>
    <row r="316" spans="1:47" hidden="1">
      <c r="A316" s="1" t="s">
        <v>390</v>
      </c>
      <c r="B316" s="1"/>
      <c r="C316" s="319">
        <f>[47]Sheet1!$F$14+[47]Sheet1!$F$16+[47]Sheet1!$F$19</f>
        <v>1861.099999999997</v>
      </c>
      <c r="D316" s="298">
        <v>8.7100000000000009</v>
      </c>
      <c r="E316" s="321"/>
      <c r="F316" s="2">
        <f>ROUND(D316*$C316,0)</f>
        <v>16210</v>
      </c>
      <c r="G316" s="298">
        <v>8.7100000000000009</v>
      </c>
      <c r="H316" s="323"/>
      <c r="I316" s="2">
        <f>ROUND(G316*$C316,0)</f>
        <v>16210</v>
      </c>
      <c r="J316" s="298">
        <f>$J$172</f>
        <v>10</v>
      </c>
      <c r="K316" s="323"/>
      <c r="L316" s="2">
        <f>ROUND(J316*$C316,0)</f>
        <v>18611</v>
      </c>
      <c r="M316" s="2"/>
      <c r="N316" s="298">
        <f>$N$172</f>
        <v>10</v>
      </c>
      <c r="O316" s="323"/>
      <c r="P316" s="2">
        <f>ROUND(N316*$C316,0)</f>
        <v>18611</v>
      </c>
      <c r="Q316" s="2"/>
      <c r="R316" s="298" t="str">
        <f>$R$172</f>
        <v xml:space="preserve"> </v>
      </c>
      <c r="S316" s="323"/>
      <c r="T316" s="2">
        <f>ROUND(R316*$C316,0)</f>
        <v>0</v>
      </c>
      <c r="U316" s="2"/>
      <c r="V316" s="298" t="str">
        <f>$V$172</f>
        <v xml:space="preserve"> </v>
      </c>
      <c r="W316" s="323"/>
      <c r="X316" s="2">
        <f>ROUND(V316*$C316,0)</f>
        <v>0</v>
      </c>
      <c r="Y316" s="20"/>
      <c r="Z316" s="74"/>
      <c r="AA316" s="74"/>
      <c r="AB316" s="74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U316" s="84"/>
    </row>
    <row r="317" spans="1:47" hidden="1">
      <c r="A317" s="1" t="s">
        <v>391</v>
      </c>
      <c r="B317" s="1"/>
      <c r="C317" s="319">
        <f>[47]Sheet1!$F$15+[47]Sheet1!$F$17+[47]Sheet1!$F$18+[47]Sheet1!$F$20</f>
        <v>2999.8999999999969</v>
      </c>
      <c r="D317" s="298">
        <v>12.98</v>
      </c>
      <c r="E317" s="324"/>
      <c r="F317" s="2">
        <f>ROUND(D317*$C317,0)</f>
        <v>38939</v>
      </c>
      <c r="G317" s="298">
        <v>12.98</v>
      </c>
      <c r="H317" s="325"/>
      <c r="I317" s="2">
        <f t="shared" ref="I317:I318" si="111">ROUND(G317*$C317,0)</f>
        <v>38939</v>
      </c>
      <c r="J317" s="298">
        <f>$J$173</f>
        <v>15</v>
      </c>
      <c r="K317" s="325"/>
      <c r="L317" s="2">
        <f>ROUND(J317*$C317,0)</f>
        <v>44999</v>
      </c>
      <c r="M317" s="2"/>
      <c r="N317" s="298">
        <f>$N$173</f>
        <v>15</v>
      </c>
      <c r="O317" s="325"/>
      <c r="P317" s="2">
        <f>ROUND(N317*$C317,0)</f>
        <v>44999</v>
      </c>
      <c r="Q317" s="2"/>
      <c r="R317" s="298" t="str">
        <f>$R$173</f>
        <v xml:space="preserve"> </v>
      </c>
      <c r="S317" s="325"/>
      <c r="T317" s="2">
        <f>ROUND(R317*$C317,0)</f>
        <v>0</v>
      </c>
      <c r="U317" s="2"/>
      <c r="V317" s="298" t="str">
        <f>$V$173</f>
        <v xml:space="preserve"> </v>
      </c>
      <c r="W317" s="325"/>
      <c r="X317" s="2">
        <f>ROUND(V317*$C317,0)</f>
        <v>0</v>
      </c>
      <c r="Y317" s="20"/>
      <c r="Z317" s="74"/>
      <c r="AA317" s="74"/>
      <c r="AB317" s="74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U317" s="84"/>
    </row>
    <row r="318" spans="1:47" hidden="1">
      <c r="A318" s="1" t="s">
        <v>392</v>
      </c>
      <c r="B318" s="1"/>
      <c r="C318" s="319">
        <f>[47]Sheet1!$G$31</f>
        <v>60190</v>
      </c>
      <c r="D318" s="298">
        <v>0.92</v>
      </c>
      <c r="E318" s="324"/>
      <c r="F318" s="2">
        <f>ROUND(D318*$C318,0)</f>
        <v>55375</v>
      </c>
      <c r="G318" s="298">
        <v>0.92</v>
      </c>
      <c r="H318" s="325"/>
      <c r="I318" s="2">
        <f t="shared" si="111"/>
        <v>55375</v>
      </c>
      <c r="J318" s="298">
        <f>$J$174</f>
        <v>1</v>
      </c>
      <c r="K318" s="325"/>
      <c r="L318" s="2">
        <f>ROUND(J318*$C318,0)</f>
        <v>60190</v>
      </c>
      <c r="M318" s="2"/>
      <c r="N318" s="298">
        <f>$N$174</f>
        <v>1</v>
      </c>
      <c r="O318" s="325"/>
      <c r="P318" s="2">
        <f>ROUND(N318*$C318,0)</f>
        <v>60190</v>
      </c>
      <c r="Q318" s="2"/>
      <c r="R318" s="298" t="str">
        <f>$R$174</f>
        <v xml:space="preserve"> </v>
      </c>
      <c r="S318" s="325"/>
      <c r="T318" s="2">
        <f>ROUND(R318*$C318,0)</f>
        <v>0</v>
      </c>
      <c r="U318" s="2"/>
      <c r="V318" s="298" t="str">
        <f>$V$174</f>
        <v xml:space="preserve"> </v>
      </c>
      <c r="W318" s="325"/>
      <c r="X318" s="2">
        <f>ROUND(V318*$C318,0)</f>
        <v>0</v>
      </c>
      <c r="Y318" s="20"/>
      <c r="Z318" s="74"/>
      <c r="AA318" s="74"/>
      <c r="AB318" s="74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U318" s="84"/>
    </row>
    <row r="319" spans="1:47" hidden="1">
      <c r="A319" s="1" t="s">
        <v>394</v>
      </c>
      <c r="B319" s="1"/>
      <c r="C319" s="319">
        <f>SUM(C316:C317)</f>
        <v>4860.9999999999936</v>
      </c>
      <c r="D319" s="298"/>
      <c r="E319" s="321"/>
      <c r="F319" s="2"/>
      <c r="G319" s="298"/>
      <c r="H319" s="323"/>
      <c r="I319" s="2"/>
      <c r="J319" s="298"/>
      <c r="K319" s="323"/>
      <c r="L319" s="2"/>
      <c r="M319" s="2"/>
      <c r="N319" s="298"/>
      <c r="O319" s="323"/>
      <c r="P319" s="2"/>
      <c r="Q319" s="2"/>
      <c r="R319" s="298"/>
      <c r="S319" s="323"/>
      <c r="T319" s="2"/>
      <c r="U319" s="2"/>
      <c r="V319" s="298"/>
      <c r="W319" s="323"/>
      <c r="X319" s="2"/>
      <c r="Y319" s="20"/>
      <c r="Z319" s="74"/>
      <c r="AA319" s="74"/>
      <c r="AB319" s="74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U319" s="84"/>
    </row>
    <row r="320" spans="1:47" hidden="1">
      <c r="A320" s="1" t="s">
        <v>395</v>
      </c>
      <c r="B320" s="1"/>
      <c r="C320" s="319">
        <f>[47]Sheet1!$K$31</f>
        <v>40259</v>
      </c>
      <c r="D320" s="326">
        <v>3.4</v>
      </c>
      <c r="E320" s="323"/>
      <c r="F320" s="2">
        <f>ROUND(D320*$C320,0)</f>
        <v>136881</v>
      </c>
      <c r="G320" s="326">
        <v>3.61</v>
      </c>
      <c r="H320" s="323"/>
      <c r="I320" s="2">
        <f>ROUND(G320*C320,0)</f>
        <v>145335</v>
      </c>
      <c r="J320" s="326">
        <f ca="1">$J$177</f>
        <v>3.77</v>
      </c>
      <c r="K320" s="323"/>
      <c r="L320" s="2">
        <f ca="1">ROUND(J320*$C320,0)</f>
        <v>151776</v>
      </c>
      <c r="M320" s="2"/>
      <c r="N320" s="326">
        <f ca="1">$N$177</f>
        <v>0.81</v>
      </c>
      <c r="O320" s="323"/>
      <c r="P320" s="2">
        <f ca="1">ROUND(N320*$C320,0)</f>
        <v>32610</v>
      </c>
      <c r="Q320" s="2"/>
      <c r="R320" s="326">
        <f ca="1">$R$177</f>
        <v>1.06</v>
      </c>
      <c r="S320" s="323"/>
      <c r="T320" s="2">
        <f ca="1">ROUND(R320*$C320,0)</f>
        <v>42675</v>
      </c>
      <c r="U320" s="2"/>
      <c r="V320" s="326">
        <f ca="1">$V$177</f>
        <v>1.9</v>
      </c>
      <c r="W320" s="323"/>
      <c r="X320" s="2">
        <f ca="1">ROUND(V320*$C320,0)</f>
        <v>76492</v>
      </c>
      <c r="Y320" s="20"/>
      <c r="Z320" s="74"/>
      <c r="AA320" s="74"/>
      <c r="AB320" s="74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U320" s="84"/>
    </row>
    <row r="321" spans="1:47" hidden="1">
      <c r="A321" s="1" t="s">
        <v>397</v>
      </c>
      <c r="B321" s="1"/>
      <c r="C321" s="319">
        <f>[47]Sheet1!$I$31</f>
        <v>3300267</v>
      </c>
      <c r="D321" s="299">
        <v>9.766</v>
      </c>
      <c r="E321" s="323" t="s">
        <v>374</v>
      </c>
      <c r="F321" s="2">
        <f>ROUND(D321*$C321/100,0)</f>
        <v>322304</v>
      </c>
      <c r="G321" s="299">
        <v>10.359</v>
      </c>
      <c r="H321" s="323" t="s">
        <v>374</v>
      </c>
      <c r="I321" s="2">
        <f>ROUND(G321*C321/100,0)</f>
        <v>341875</v>
      </c>
      <c r="J321" s="299">
        <f ca="1">$J$178</f>
        <v>6.282</v>
      </c>
      <c r="K321" s="323" t="s">
        <v>374</v>
      </c>
      <c r="L321" s="2">
        <f ca="1">ROUND(J321*$C321/100,0)</f>
        <v>207323</v>
      </c>
      <c r="M321" s="2"/>
      <c r="N321" s="299">
        <f ca="1">$N$178</f>
        <v>1.3483746810352102</v>
      </c>
      <c r="O321" s="323" t="s">
        <v>374</v>
      </c>
      <c r="P321" s="2">
        <f ca="1">ROUND(N321*$C321/100,0)</f>
        <v>44500</v>
      </c>
      <c r="Q321" s="2"/>
      <c r="R321" s="299">
        <f ca="1">$R$178</f>
        <v>1.7708525176705459</v>
      </c>
      <c r="S321" s="323" t="s">
        <v>374</v>
      </c>
      <c r="T321" s="2">
        <f ca="1">ROUND(R321*$C321/100,0)</f>
        <v>58443</v>
      </c>
      <c r="U321" s="2"/>
      <c r="V321" s="299">
        <f ca="1">$V$178</f>
        <v>3.162955363125258</v>
      </c>
      <c r="W321" s="323" t="s">
        <v>374</v>
      </c>
      <c r="X321" s="2">
        <f ca="1">ROUND(V321*$C321/100,0)</f>
        <v>104386</v>
      </c>
      <c r="Y321" s="20"/>
      <c r="Z321" s="74"/>
      <c r="AA321" s="74"/>
      <c r="AB321" s="74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U321" s="84"/>
    </row>
    <row r="322" spans="1:47" hidden="1">
      <c r="A322" s="1" t="s">
        <v>398</v>
      </c>
      <c r="B322" s="1"/>
      <c r="C322" s="319">
        <f>[47]Sheet1!$J$31</f>
        <v>9927982.9999999963</v>
      </c>
      <c r="D322" s="299">
        <v>6.7460000000000004</v>
      </c>
      <c r="E322" s="323" t="s">
        <v>374</v>
      </c>
      <c r="F322" s="2">
        <f>ROUND(D322*$C322/100,0)</f>
        <v>669742</v>
      </c>
      <c r="G322" s="299">
        <v>7.1559999999999997</v>
      </c>
      <c r="H322" s="323" t="s">
        <v>374</v>
      </c>
      <c r="I322" s="2">
        <f t="shared" ref="I322:I324" si="112">ROUND(G322*C322/100,0)</f>
        <v>710446</v>
      </c>
      <c r="J322" s="299">
        <f ca="1">$J$179</f>
        <v>4.3410000000000002</v>
      </c>
      <c r="K322" s="323" t="s">
        <v>374</v>
      </c>
      <c r="L322" s="2">
        <f ca="1">ROUND(J322*$C322/100,0)</f>
        <v>430974</v>
      </c>
      <c r="M322" s="2"/>
      <c r="N322" s="299">
        <f ca="1">$N$179</f>
        <v>0.93175626548296309</v>
      </c>
      <c r="O322" s="323" t="s">
        <v>374</v>
      </c>
      <c r="P322" s="2">
        <f ca="1">ROUND(N322*$C322/100,0)</f>
        <v>92505</v>
      </c>
      <c r="Q322" s="2"/>
      <c r="R322" s="299">
        <f ca="1">$R$179</f>
        <v>1.2240066282869231</v>
      </c>
      <c r="S322" s="323" t="s">
        <v>374</v>
      </c>
      <c r="T322" s="2">
        <f ca="1">ROUND(R322*$C322/100,0)</f>
        <v>121519</v>
      </c>
      <c r="U322" s="2"/>
      <c r="V322" s="299">
        <f ca="1">$V$179</f>
        <v>2.1849800075654815</v>
      </c>
      <c r="W322" s="323" t="s">
        <v>374</v>
      </c>
      <c r="X322" s="2">
        <f ca="1">ROUND(V322*$C322/100,0)</f>
        <v>216924</v>
      </c>
      <c r="Y322" s="20"/>
      <c r="Z322" s="74"/>
      <c r="AA322" s="74"/>
      <c r="AB322" s="74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U322" s="84"/>
    </row>
    <row r="323" spans="1:47" hidden="1">
      <c r="A323" s="1" t="s">
        <v>399</v>
      </c>
      <c r="B323" s="1"/>
      <c r="C323" s="319">
        <f>[47]Sheet1!$H$31-C322-C321</f>
        <v>5470687.0000000037</v>
      </c>
      <c r="D323" s="299">
        <v>5.8120000000000003</v>
      </c>
      <c r="E323" s="323" t="s">
        <v>374</v>
      </c>
      <c r="F323" s="2">
        <f>ROUND(D323*$C323/100,0)</f>
        <v>317956</v>
      </c>
      <c r="G323" s="299">
        <v>6.1660000000000004</v>
      </c>
      <c r="H323" s="323" t="s">
        <v>374</v>
      </c>
      <c r="I323" s="2">
        <f t="shared" si="112"/>
        <v>337323</v>
      </c>
      <c r="J323" s="299">
        <f ca="1">$J$180</f>
        <v>3.74</v>
      </c>
      <c r="K323" s="323" t="s">
        <v>374</v>
      </c>
      <c r="L323" s="2">
        <f ca="1">ROUND(J323*$C323/100,0)</f>
        <v>204604</v>
      </c>
      <c r="M323" s="2"/>
      <c r="N323" s="299">
        <f ca="1">$N$180</f>
        <v>0.80275718206159852</v>
      </c>
      <c r="O323" s="323" t="s">
        <v>374</v>
      </c>
      <c r="P323" s="2">
        <f ca="1">ROUND(N323*$C323/100,0)</f>
        <v>43916</v>
      </c>
      <c r="Q323" s="2"/>
      <c r="R323" s="299">
        <f ca="1">$R$180</f>
        <v>1.0536847359511734</v>
      </c>
      <c r="S323" s="323" t="s">
        <v>374</v>
      </c>
      <c r="T323" s="2">
        <f ca="1">ROUND(R323*$C323/100,0)</f>
        <v>57644</v>
      </c>
      <c r="U323" s="2"/>
      <c r="V323" s="299">
        <f ca="1">$V$180</f>
        <v>1.8834755557989509</v>
      </c>
      <c r="W323" s="323" t="s">
        <v>374</v>
      </c>
      <c r="X323" s="2">
        <f ca="1">ROUND(V323*$C323/100,0)</f>
        <v>103039</v>
      </c>
      <c r="Y323" s="20"/>
      <c r="Z323" s="74"/>
      <c r="AA323" s="74"/>
      <c r="AB323" s="74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U323" s="84"/>
    </row>
    <row r="324" spans="1:47" hidden="1">
      <c r="A324" s="1" t="s">
        <v>400</v>
      </c>
      <c r="B324" s="1"/>
      <c r="C324" s="319">
        <f>[47]Sheet1!$L$31</f>
        <v>13261.766666666701</v>
      </c>
      <c r="D324" s="330">
        <v>56</v>
      </c>
      <c r="E324" s="321" t="s">
        <v>374</v>
      </c>
      <c r="F324" s="2">
        <f>ROUND(D324*$C324/100,0)</f>
        <v>7427</v>
      </c>
      <c r="G324" s="330">
        <v>56</v>
      </c>
      <c r="H324" s="323" t="s">
        <v>374</v>
      </c>
      <c r="I324" s="2">
        <f t="shared" si="112"/>
        <v>7427</v>
      </c>
      <c r="J324" s="330">
        <f>$J$181</f>
        <v>56</v>
      </c>
      <c r="K324" s="323" t="s">
        <v>374</v>
      </c>
      <c r="L324" s="2">
        <f>ROUND(J324*$C324/100,0)</f>
        <v>7427</v>
      </c>
      <c r="M324" s="2"/>
      <c r="N324" s="330" t="str">
        <f>$N$181</f>
        <v xml:space="preserve"> </v>
      </c>
      <c r="O324" s="323" t="s">
        <v>374</v>
      </c>
      <c r="P324" s="2">
        <f>ROUND(N324*$C324/100,0)</f>
        <v>0</v>
      </c>
      <c r="Q324" s="2"/>
      <c r="R324" s="330">
        <f ca="1">$R$181</f>
        <v>11</v>
      </c>
      <c r="S324" s="323" t="s">
        <v>374</v>
      </c>
      <c r="T324" s="2">
        <f ca="1">ROUND(R324*$C324/100,0)</f>
        <v>1459</v>
      </c>
      <c r="U324" s="2"/>
      <c r="V324" s="330">
        <f ca="1">$V$181</f>
        <v>45</v>
      </c>
      <c r="W324" s="323" t="s">
        <v>374</v>
      </c>
      <c r="X324" s="2">
        <f ca="1">ROUND(V324*$C324/100,0)</f>
        <v>5968</v>
      </c>
      <c r="Y324" s="20"/>
      <c r="Z324" s="74"/>
      <c r="AA324" s="74"/>
      <c r="AB324" s="74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U324" s="84"/>
    </row>
    <row r="325" spans="1:47" s="1184" customFormat="1" hidden="1">
      <c r="A325" s="1005" t="s">
        <v>918</v>
      </c>
      <c r="C325" s="1202">
        <f>C321</f>
        <v>3300267</v>
      </c>
      <c r="D325" s="269"/>
      <c r="E325" s="1185"/>
      <c r="F325" s="1203"/>
      <c r="G325" s="269"/>
      <c r="H325" s="1185"/>
      <c r="I325" s="1203"/>
      <c r="J325" s="1230">
        <f>J182</f>
        <v>4.5289999999999999</v>
      </c>
      <c r="K325" s="1009" t="s">
        <v>374</v>
      </c>
      <c r="L325" s="1203">
        <f t="shared" ref="L325:L327" si="113">ROUND(J325*$C325/100,0)</f>
        <v>149469</v>
      </c>
      <c r="M325" s="1203"/>
      <c r="N325" s="1230" t="str">
        <f>N182</f>
        <v xml:space="preserve"> </v>
      </c>
      <c r="O325" s="1009" t="s">
        <v>374</v>
      </c>
      <c r="P325" s="1203">
        <f t="shared" ref="P325:P327" si="114">ROUND(N325*$C325/100,0)</f>
        <v>0</v>
      </c>
      <c r="Q325" s="1203"/>
      <c r="R325" s="1230" t="str">
        <f>R182</f>
        <v xml:space="preserve"> </v>
      </c>
      <c r="S325" s="1009" t="s">
        <v>374</v>
      </c>
      <c r="T325" s="1203">
        <f t="shared" ref="T325:T327" si="115">ROUND(R325*$C325/100,0)</f>
        <v>0</v>
      </c>
      <c r="U325" s="1203"/>
      <c r="V325" s="1230">
        <f>V182</f>
        <v>4.5289999999999999</v>
      </c>
      <c r="W325" s="1009" t="s">
        <v>374</v>
      </c>
      <c r="X325" s="1203">
        <f t="shared" ref="X325:X327" si="116">ROUND(V325*$C325/100,0)</f>
        <v>149469</v>
      </c>
      <c r="Z325" s="815"/>
      <c r="AC325" s="1205"/>
      <c r="AD325" s="1205"/>
      <c r="AI325" s="1185"/>
      <c r="AJ325" s="1185"/>
      <c r="AK325" s="1185"/>
      <c r="AL325" s="1185"/>
      <c r="AM325" s="1185"/>
      <c r="AN325" s="1185"/>
      <c r="AO325" s="1185"/>
      <c r="AP325" s="1185"/>
      <c r="AQ325" s="1185"/>
      <c r="AR325" s="1185"/>
      <c r="AS325" s="1185"/>
      <c r="AU325" s="1204"/>
    </row>
    <row r="326" spans="1:47" s="1184" customFormat="1" hidden="1">
      <c r="A326" s="1005" t="s">
        <v>919</v>
      </c>
      <c r="C326" s="1202">
        <f>C322</f>
        <v>9927982.9999999963</v>
      </c>
      <c r="D326" s="269"/>
      <c r="E326" s="1185"/>
      <c r="F326" s="1203"/>
      <c r="G326" s="269"/>
      <c r="H326" s="1185"/>
      <c r="I326" s="1203"/>
      <c r="J326" s="1230">
        <f>J183</f>
        <v>3.1270000000000002</v>
      </c>
      <c r="K326" s="1009" t="s">
        <v>374</v>
      </c>
      <c r="L326" s="1203">
        <f t="shared" si="113"/>
        <v>310448</v>
      </c>
      <c r="M326" s="1203"/>
      <c r="N326" s="1230" t="str">
        <f>N183</f>
        <v xml:space="preserve"> </v>
      </c>
      <c r="O326" s="1009" t="s">
        <v>374</v>
      </c>
      <c r="P326" s="1203">
        <f t="shared" si="114"/>
        <v>0</v>
      </c>
      <c r="Q326" s="1203"/>
      <c r="R326" s="1230" t="str">
        <f>R183</f>
        <v xml:space="preserve"> </v>
      </c>
      <c r="S326" s="1009" t="s">
        <v>374</v>
      </c>
      <c r="T326" s="1203">
        <f t="shared" si="115"/>
        <v>0</v>
      </c>
      <c r="U326" s="1203"/>
      <c r="V326" s="1230">
        <f>V183</f>
        <v>3.1270000000000002</v>
      </c>
      <c r="W326" s="1009" t="s">
        <v>374</v>
      </c>
      <c r="X326" s="1203">
        <f t="shared" si="116"/>
        <v>310448</v>
      </c>
      <c r="Z326" s="815"/>
      <c r="AC326" s="1205"/>
      <c r="AD326" s="1205"/>
      <c r="AI326" s="1185"/>
      <c r="AJ326" s="1185"/>
      <c r="AK326" s="1185"/>
      <c r="AL326" s="1185"/>
      <c r="AM326" s="1185"/>
      <c r="AN326" s="1185"/>
      <c r="AO326" s="1185"/>
      <c r="AP326" s="1185"/>
      <c r="AQ326" s="1185"/>
      <c r="AR326" s="1185"/>
      <c r="AS326" s="1185"/>
      <c r="AU326" s="1204"/>
    </row>
    <row r="327" spans="1:47" s="1184" customFormat="1" hidden="1">
      <c r="A327" s="1005" t="s">
        <v>920</v>
      </c>
      <c r="C327" s="1202">
        <f>C323</f>
        <v>5470687.0000000037</v>
      </c>
      <c r="D327" s="269"/>
      <c r="E327" s="1185"/>
      <c r="F327" s="1203"/>
      <c r="G327" s="269"/>
      <c r="H327" s="1185"/>
      <c r="I327" s="1203"/>
      <c r="J327" s="1230">
        <f>J184</f>
        <v>2.6950000000000003</v>
      </c>
      <c r="K327" s="1009" t="s">
        <v>374</v>
      </c>
      <c r="L327" s="1203">
        <f t="shared" si="113"/>
        <v>147435</v>
      </c>
      <c r="M327" s="1203"/>
      <c r="N327" s="1230" t="str">
        <f>N184</f>
        <v xml:space="preserve"> </v>
      </c>
      <c r="O327" s="1009" t="s">
        <v>374</v>
      </c>
      <c r="P327" s="1203">
        <f t="shared" si="114"/>
        <v>0</v>
      </c>
      <c r="Q327" s="1203"/>
      <c r="R327" s="1230" t="str">
        <f>R184</f>
        <v xml:space="preserve"> </v>
      </c>
      <c r="S327" s="1009" t="s">
        <v>374</v>
      </c>
      <c r="T327" s="1203">
        <f t="shared" si="115"/>
        <v>0</v>
      </c>
      <c r="U327" s="1203"/>
      <c r="V327" s="1230">
        <f>V184</f>
        <v>2.6950000000000003</v>
      </c>
      <c r="W327" s="1009" t="s">
        <v>374</v>
      </c>
      <c r="X327" s="1203">
        <f t="shared" si="116"/>
        <v>147435</v>
      </c>
      <c r="Z327" s="815"/>
      <c r="AC327" s="1205"/>
      <c r="AD327" s="1205"/>
      <c r="AI327" s="1185"/>
      <c r="AJ327" s="1185"/>
      <c r="AK327" s="1185"/>
      <c r="AL327" s="1185"/>
      <c r="AM327" s="1185"/>
      <c r="AN327" s="1185"/>
      <c r="AO327" s="1185"/>
      <c r="AP327" s="1185"/>
      <c r="AQ327" s="1185"/>
      <c r="AR327" s="1185"/>
      <c r="AS327" s="1185"/>
      <c r="AU327" s="1204"/>
    </row>
    <row r="328" spans="1:47" hidden="1">
      <c r="A328" s="331" t="s">
        <v>401</v>
      </c>
      <c r="B328" s="1"/>
      <c r="C328" s="319"/>
      <c r="D328" s="332">
        <v>-0.01</v>
      </c>
      <c r="E328" s="321"/>
      <c r="F328" s="2"/>
      <c r="G328" s="332">
        <v>-0.01</v>
      </c>
      <c r="H328" s="323"/>
      <c r="I328" s="2"/>
      <c r="J328" s="332">
        <v>-0.01</v>
      </c>
      <c r="K328" s="323"/>
      <c r="L328" s="2"/>
      <c r="M328" s="2"/>
      <c r="N328" s="332">
        <v>-0.01</v>
      </c>
      <c r="O328" s="323"/>
      <c r="P328" s="2"/>
      <c r="Q328" s="2"/>
      <c r="R328" s="332">
        <v>-0.01</v>
      </c>
      <c r="S328" s="323"/>
      <c r="T328" s="2"/>
      <c r="U328" s="2"/>
      <c r="V328" s="332">
        <v>-0.01</v>
      </c>
      <c r="W328" s="323"/>
      <c r="X328" s="2"/>
      <c r="Y328" s="20"/>
      <c r="Z328" s="74"/>
      <c r="AA328" s="74"/>
      <c r="AB328" s="74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U328" s="84"/>
    </row>
    <row r="329" spans="1:47" hidden="1">
      <c r="A329" s="1" t="s">
        <v>390</v>
      </c>
      <c r="B329" s="1"/>
      <c r="C329" s="319">
        <v>0</v>
      </c>
      <c r="D329" s="334">
        <v>8.7100000000000009</v>
      </c>
      <c r="E329" s="321"/>
      <c r="F329" s="2">
        <f>-ROUND(D329*$C329/100,0)</f>
        <v>0</v>
      </c>
      <c r="G329" s="334">
        <v>8.7100000000000009</v>
      </c>
      <c r="H329" s="321"/>
      <c r="I329" s="2">
        <f>-ROUND(G329*$C329/100,0)</f>
        <v>0</v>
      </c>
      <c r="J329" s="334">
        <f>J316</f>
        <v>10</v>
      </c>
      <c r="K329" s="321"/>
      <c r="L329" s="2">
        <f>-ROUND(J329*$C329/100,0)</f>
        <v>0</v>
      </c>
      <c r="M329" s="2"/>
      <c r="N329" s="334">
        <f>N316</f>
        <v>10</v>
      </c>
      <c r="O329" s="321"/>
      <c r="P329" s="2">
        <f>-ROUND(N329*$C329/100,0)</f>
        <v>0</v>
      </c>
      <c r="Q329" s="2"/>
      <c r="R329" s="334" t="str">
        <f>R316</f>
        <v xml:space="preserve"> </v>
      </c>
      <c r="S329" s="321"/>
      <c r="T329" s="2">
        <f>-ROUND(R329*$C329/100,0)</f>
        <v>0</v>
      </c>
      <c r="U329" s="2"/>
      <c r="V329" s="334" t="str">
        <f>V316</f>
        <v xml:space="preserve"> </v>
      </c>
      <c r="W329" s="321"/>
      <c r="X329" s="2">
        <f>-ROUND(V329*$C329/100,0)</f>
        <v>0</v>
      </c>
      <c r="Y329" s="20"/>
      <c r="Z329" s="74"/>
      <c r="AA329" s="74"/>
      <c r="AB329" s="74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U329" s="84"/>
    </row>
    <row r="330" spans="1:47" hidden="1">
      <c r="A330" s="1" t="s">
        <v>391</v>
      </c>
      <c r="B330" s="1"/>
      <c r="C330" s="319">
        <f>[47]Sheet1!$F$17</f>
        <v>2.6</v>
      </c>
      <c r="D330" s="334">
        <v>12.98</v>
      </c>
      <c r="E330" s="321"/>
      <c r="F330" s="2">
        <f>-ROUND(D330*$C330/100,0)</f>
        <v>0</v>
      </c>
      <c r="G330" s="334">
        <v>12.98</v>
      </c>
      <c r="H330" s="321"/>
      <c r="I330" s="2">
        <f t="shared" ref="I330:I332" si="117">-ROUND(G330*$C330/100,0)</f>
        <v>0</v>
      </c>
      <c r="J330" s="334">
        <f>J317</f>
        <v>15</v>
      </c>
      <c r="K330" s="321"/>
      <c r="L330" s="2">
        <f>-ROUND(J330*$C330/100,0)</f>
        <v>0</v>
      </c>
      <c r="M330" s="2"/>
      <c r="N330" s="334">
        <f>N317</f>
        <v>15</v>
      </c>
      <c r="O330" s="321"/>
      <c r="P330" s="2">
        <f>-ROUND(N330*$C330/100,0)</f>
        <v>0</v>
      </c>
      <c r="Q330" s="2"/>
      <c r="R330" s="334" t="str">
        <f>R317</f>
        <v xml:space="preserve"> </v>
      </c>
      <c r="S330" s="321"/>
      <c r="T330" s="2">
        <f>-ROUND(R330*$C330/100,0)</f>
        <v>0</v>
      </c>
      <c r="U330" s="2"/>
      <c r="V330" s="334" t="str">
        <f>V317</f>
        <v xml:space="preserve"> </v>
      </c>
      <c r="W330" s="321"/>
      <c r="X330" s="2">
        <f>-ROUND(V330*$C330/100,0)</f>
        <v>0</v>
      </c>
      <c r="Y330" s="20"/>
      <c r="Z330" s="74"/>
      <c r="AA330" s="74"/>
      <c r="AB330" s="74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U330" s="84"/>
    </row>
    <row r="331" spans="1:47" hidden="1">
      <c r="A331" s="1" t="s">
        <v>402</v>
      </c>
      <c r="B331" s="1"/>
      <c r="C331" s="319">
        <f>[47]Sheet1!$G$17</f>
        <v>193</v>
      </c>
      <c r="D331" s="334">
        <v>0.92</v>
      </c>
      <c r="E331" s="321"/>
      <c r="F331" s="2">
        <f>-ROUND(D331*$C331/100,0)</f>
        <v>-2</v>
      </c>
      <c r="G331" s="334">
        <v>0.92</v>
      </c>
      <c r="H331" s="321"/>
      <c r="I331" s="2">
        <f t="shared" si="117"/>
        <v>-2</v>
      </c>
      <c r="J331" s="334">
        <f>J318</f>
        <v>1</v>
      </c>
      <c r="K331" s="321"/>
      <c r="L331" s="2">
        <f>-ROUND(J331*$C331/100,0)</f>
        <v>-2</v>
      </c>
      <c r="M331" s="2"/>
      <c r="N331" s="334">
        <f>N318</f>
        <v>1</v>
      </c>
      <c r="O331" s="321"/>
      <c r="P331" s="2">
        <f>-ROUND(N331*$C331/100,0)</f>
        <v>-2</v>
      </c>
      <c r="Q331" s="2"/>
      <c r="R331" s="334" t="str">
        <f>R318</f>
        <v xml:space="preserve"> </v>
      </c>
      <c r="S331" s="321"/>
      <c r="T331" s="2">
        <f>-ROUND(R331*$C331/100,0)</f>
        <v>0</v>
      </c>
      <c r="U331" s="2"/>
      <c r="V331" s="334" t="str">
        <f>V318</f>
        <v xml:space="preserve"> </v>
      </c>
      <c r="W331" s="321"/>
      <c r="X331" s="2">
        <f>-ROUND(V331*$C331/100,0)</f>
        <v>0</v>
      </c>
      <c r="Y331" s="20"/>
      <c r="Z331" s="74"/>
      <c r="AA331" s="74"/>
      <c r="AB331" s="74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U331" s="84"/>
    </row>
    <row r="332" spans="1:47" hidden="1">
      <c r="A332" s="1" t="s">
        <v>403</v>
      </c>
      <c r="B332" s="1"/>
      <c r="C332" s="319">
        <f>[47]Sheet1!$K$17</f>
        <v>181</v>
      </c>
      <c r="D332" s="334">
        <v>3.4</v>
      </c>
      <c r="E332" s="323"/>
      <c r="F332" s="2">
        <f>-ROUND(D332*$C332/100,0)</f>
        <v>-6</v>
      </c>
      <c r="G332" s="334">
        <v>3.61</v>
      </c>
      <c r="H332" s="323"/>
      <c r="I332" s="2">
        <f t="shared" si="117"/>
        <v>-7</v>
      </c>
      <c r="J332" s="334">
        <f ca="1">J320</f>
        <v>3.77</v>
      </c>
      <c r="K332" s="323"/>
      <c r="L332" s="2">
        <f ca="1">-ROUND(J332*$C332/100,0)</f>
        <v>-7</v>
      </c>
      <c r="M332" s="2"/>
      <c r="N332" s="334">
        <f ca="1">N320</f>
        <v>0.81</v>
      </c>
      <c r="O332" s="323"/>
      <c r="P332" s="2">
        <f ca="1">-ROUND(N332*$C332/100,0)</f>
        <v>-1</v>
      </c>
      <c r="Q332" s="2"/>
      <c r="R332" s="334">
        <f ca="1">R320</f>
        <v>1.06</v>
      </c>
      <c r="S332" s="323"/>
      <c r="T332" s="2">
        <f ca="1">-ROUND(R332*$C332/100,0)</f>
        <v>-2</v>
      </c>
      <c r="U332" s="2"/>
      <c r="V332" s="334">
        <f ca="1">V320</f>
        <v>1.9</v>
      </c>
      <c r="W332" s="323"/>
      <c r="X332" s="2">
        <f ca="1">-ROUND(V332*$C332/100,0)</f>
        <v>-3</v>
      </c>
      <c r="Y332" s="20"/>
      <c r="Z332" s="74"/>
      <c r="AA332" s="74"/>
      <c r="AB332" s="74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U332" s="84"/>
    </row>
    <row r="333" spans="1:47" hidden="1">
      <c r="A333" s="1" t="s">
        <v>405</v>
      </c>
      <c r="B333" s="1"/>
      <c r="C333" s="319">
        <f>[47]Sheet1!$I$17</f>
        <v>2600</v>
      </c>
      <c r="D333" s="335">
        <v>9.766</v>
      </c>
      <c r="E333" s="323" t="s">
        <v>374</v>
      </c>
      <c r="F333" s="2">
        <f>ROUND(D333*$C333/100*D328,0)</f>
        <v>-3</v>
      </c>
      <c r="G333" s="335">
        <v>10.359</v>
      </c>
      <c r="H333" s="323" t="s">
        <v>374</v>
      </c>
      <c r="I333" s="2">
        <f>ROUND(G333*$C333/100*G328,0)</f>
        <v>-3</v>
      </c>
      <c r="J333" s="335">
        <f ca="1">J321</f>
        <v>6.282</v>
      </c>
      <c r="K333" s="323" t="s">
        <v>374</v>
      </c>
      <c r="L333" s="2">
        <f ca="1">ROUND(J333*$C333/100*J328,0)</f>
        <v>-2</v>
      </c>
      <c r="M333" s="2"/>
      <c r="N333" s="335">
        <f ca="1">N321</f>
        <v>1.3483746810352102</v>
      </c>
      <c r="O333" s="323" t="s">
        <v>374</v>
      </c>
      <c r="P333" s="2">
        <f ca="1">ROUND(N333*$C333/100*N328,0)</f>
        <v>0</v>
      </c>
      <c r="Q333" s="2"/>
      <c r="R333" s="335">
        <f ca="1">R321</f>
        <v>1.7708525176705459</v>
      </c>
      <c r="S333" s="323" t="s">
        <v>374</v>
      </c>
      <c r="T333" s="2">
        <f ca="1">ROUND(R333*$C333/100*R328,0)</f>
        <v>0</v>
      </c>
      <c r="U333" s="2"/>
      <c r="V333" s="335">
        <f ca="1">V321</f>
        <v>3.162955363125258</v>
      </c>
      <c r="W333" s="323" t="s">
        <v>374</v>
      </c>
      <c r="X333" s="2">
        <f ca="1">ROUND(V333*$C333/100*V328,0)</f>
        <v>-1</v>
      </c>
      <c r="Y333" s="20"/>
      <c r="Z333" s="74"/>
      <c r="AA333" s="74"/>
      <c r="AB333" s="74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U333" s="84"/>
    </row>
    <row r="334" spans="1:47" hidden="1">
      <c r="A334" s="1" t="s">
        <v>398</v>
      </c>
      <c r="B334" s="1"/>
      <c r="C334" s="319">
        <f>[47]Sheet1!$J$17</f>
        <v>20800</v>
      </c>
      <c r="D334" s="335">
        <v>6.7460000000000004</v>
      </c>
      <c r="E334" s="323" t="s">
        <v>374</v>
      </c>
      <c r="F334" s="2">
        <f>ROUND(D334*$C334/100*D328,0)</f>
        <v>-14</v>
      </c>
      <c r="G334" s="335">
        <v>7.1559999999999997</v>
      </c>
      <c r="H334" s="323" t="s">
        <v>374</v>
      </c>
      <c r="I334" s="2">
        <f>ROUND(G334*$C334/100*G328,0)</f>
        <v>-15</v>
      </c>
      <c r="J334" s="335">
        <f ca="1">J322</f>
        <v>4.3410000000000002</v>
      </c>
      <c r="K334" s="323" t="s">
        <v>374</v>
      </c>
      <c r="L334" s="2">
        <f ca="1">ROUND(J334*$C334/100*J328,0)</f>
        <v>-9</v>
      </c>
      <c r="M334" s="2"/>
      <c r="N334" s="335">
        <f ca="1">N322</f>
        <v>0.93175626548296309</v>
      </c>
      <c r="O334" s="323" t="s">
        <v>374</v>
      </c>
      <c r="P334" s="2">
        <f ca="1">ROUND(N334*$C334/100*N328,0)</f>
        <v>-2</v>
      </c>
      <c r="Q334" s="2"/>
      <c r="R334" s="335">
        <f ca="1">R322</f>
        <v>1.2240066282869231</v>
      </c>
      <c r="S334" s="323" t="s">
        <v>374</v>
      </c>
      <c r="T334" s="2">
        <f ca="1">ROUND(R334*$C334/100*R328,0)</f>
        <v>-3</v>
      </c>
      <c r="U334" s="2"/>
      <c r="V334" s="335">
        <f ca="1">V322</f>
        <v>2.1849800075654815</v>
      </c>
      <c r="W334" s="323" t="s">
        <v>374</v>
      </c>
      <c r="X334" s="2">
        <f ca="1">ROUND(V334*$C334/100*V328,0)</f>
        <v>-5</v>
      </c>
      <c r="Y334" s="20"/>
      <c r="Z334" s="74"/>
      <c r="AA334" s="74"/>
      <c r="AB334" s="74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U334" s="84"/>
    </row>
    <row r="335" spans="1:47" hidden="1">
      <c r="A335" s="1" t="s">
        <v>399</v>
      </c>
      <c r="B335" s="1"/>
      <c r="C335" s="319">
        <f>[47]Sheet1!$H$17-C334-C333</f>
        <v>67800</v>
      </c>
      <c r="D335" s="335">
        <v>5.8120000000000003</v>
      </c>
      <c r="E335" s="323" t="s">
        <v>374</v>
      </c>
      <c r="F335" s="2">
        <f>ROUND(D335*$C335/100*D328,0)</f>
        <v>-39</v>
      </c>
      <c r="G335" s="335">
        <v>6.1660000000000004</v>
      </c>
      <c r="H335" s="323" t="s">
        <v>374</v>
      </c>
      <c r="I335" s="2">
        <f>ROUND(G335*$C335/100*G328,0)</f>
        <v>-42</v>
      </c>
      <c r="J335" s="335">
        <f ca="1">J323</f>
        <v>3.74</v>
      </c>
      <c r="K335" s="323" t="s">
        <v>374</v>
      </c>
      <c r="L335" s="2">
        <f ca="1">ROUND(J335*$C335/100*J328,0)</f>
        <v>-25</v>
      </c>
      <c r="M335" s="2"/>
      <c r="N335" s="335">
        <f ca="1">N323</f>
        <v>0.80275718206159852</v>
      </c>
      <c r="O335" s="323" t="s">
        <v>374</v>
      </c>
      <c r="P335" s="2">
        <f ca="1">ROUND(N335*$C335/100*N328,0)</f>
        <v>-5</v>
      </c>
      <c r="Q335" s="2"/>
      <c r="R335" s="335">
        <f ca="1">R323</f>
        <v>1.0536847359511734</v>
      </c>
      <c r="S335" s="323" t="s">
        <v>374</v>
      </c>
      <c r="T335" s="2">
        <f ca="1">ROUND(R335*$C335/100*R328,0)</f>
        <v>-7</v>
      </c>
      <c r="U335" s="2"/>
      <c r="V335" s="335">
        <f ca="1">V323</f>
        <v>1.8834755557989509</v>
      </c>
      <c r="W335" s="323" t="s">
        <v>374</v>
      </c>
      <c r="X335" s="2">
        <f ca="1">ROUND(V335*$C335/100*V328,0)</f>
        <v>-13</v>
      </c>
      <c r="Y335" s="20"/>
      <c r="Z335" s="74"/>
      <c r="AA335" s="74"/>
      <c r="AB335" s="74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U335" s="84"/>
    </row>
    <row r="336" spans="1:47" hidden="1">
      <c r="A336" s="1" t="s">
        <v>400</v>
      </c>
      <c r="B336" s="1"/>
      <c r="C336" s="319">
        <v>0</v>
      </c>
      <c r="D336" s="336">
        <v>56</v>
      </c>
      <c r="E336" s="323" t="s">
        <v>374</v>
      </c>
      <c r="F336" s="2">
        <f>ROUND(D336*$C336/100*D328,0)</f>
        <v>0</v>
      </c>
      <c r="G336" s="336">
        <v>56</v>
      </c>
      <c r="H336" s="323" t="s">
        <v>374</v>
      </c>
      <c r="I336" s="2">
        <f>ROUND(G336*$C336/100*G328,0)</f>
        <v>0</v>
      </c>
      <c r="J336" s="336">
        <f>J324</f>
        <v>56</v>
      </c>
      <c r="K336" s="323" t="s">
        <v>374</v>
      </c>
      <c r="L336" s="2">
        <f>ROUND(J336*$C336/100*J328,0)</f>
        <v>0</v>
      </c>
      <c r="M336" s="2"/>
      <c r="N336" s="336" t="str">
        <f>N324</f>
        <v xml:space="preserve"> </v>
      </c>
      <c r="O336" s="323" t="s">
        <v>374</v>
      </c>
      <c r="P336" s="2">
        <f>ROUND(N336*$C336/100*N328,0)</f>
        <v>0</v>
      </c>
      <c r="Q336" s="2"/>
      <c r="R336" s="336">
        <f ca="1">R324</f>
        <v>11</v>
      </c>
      <c r="S336" s="323" t="s">
        <v>374</v>
      </c>
      <c r="T336" s="2">
        <f ca="1">ROUND(R336*$C336/100*R328,0)</f>
        <v>0</v>
      </c>
      <c r="U336" s="2"/>
      <c r="V336" s="336">
        <f ca="1">V324</f>
        <v>45</v>
      </c>
      <c r="W336" s="323" t="s">
        <v>374</v>
      </c>
      <c r="X336" s="2">
        <f ca="1">ROUND(V336*$C336/100*V328,0)</f>
        <v>0</v>
      </c>
      <c r="Y336" s="20"/>
      <c r="Z336" s="74"/>
      <c r="AA336" s="74"/>
      <c r="AB336" s="74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U336" s="84"/>
    </row>
    <row r="337" spans="1:47" hidden="1">
      <c r="A337" s="1" t="s">
        <v>407</v>
      </c>
      <c r="B337" s="1"/>
      <c r="C337" s="319">
        <f>[47]Sheet1!$F$17</f>
        <v>2.6</v>
      </c>
      <c r="D337" s="337">
        <v>60</v>
      </c>
      <c r="E337" s="321"/>
      <c r="F337" s="2">
        <f>ROUND(D337*$C337,0)</f>
        <v>156</v>
      </c>
      <c r="G337" s="337">
        <v>60</v>
      </c>
      <c r="H337" s="323"/>
      <c r="I337" s="2">
        <f>ROUND(G337*C337,0)</f>
        <v>156</v>
      </c>
      <c r="J337" s="337">
        <f>$J$197</f>
        <v>60</v>
      </c>
      <c r="K337" s="323"/>
      <c r="L337" s="2">
        <f>ROUND(J337*$C337,0)</f>
        <v>156</v>
      </c>
      <c r="M337" s="2"/>
      <c r="N337" s="326" t="s">
        <v>31</v>
      </c>
      <c r="O337" s="323"/>
      <c r="P337" s="1040">
        <f t="shared" ref="P337" si="118">N337*C337</f>
        <v>0</v>
      </c>
      <c r="Q337" s="322"/>
      <c r="R337" s="301">
        <f ca="1">R197</f>
        <v>11.86</v>
      </c>
      <c r="S337" s="323"/>
      <c r="T337" s="2">
        <f ca="1">L337*(Z207/(Z207+AA207))</f>
        <v>30.846341912305046</v>
      </c>
      <c r="U337" s="322"/>
      <c r="V337" s="301">
        <f ca="1">V197</f>
        <v>48.14</v>
      </c>
      <c r="W337" s="323"/>
      <c r="X337" s="2">
        <f ca="1">L337*(AA207/(Z207+AA207))</f>
        <v>125.15365808769496</v>
      </c>
      <c r="Y337" s="20"/>
      <c r="Z337" s="74"/>
      <c r="AA337" s="74"/>
      <c r="AB337" s="74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U337" s="84"/>
    </row>
    <row r="338" spans="1:47" hidden="1">
      <c r="A338" s="1" t="s">
        <v>408</v>
      </c>
      <c r="B338" s="1"/>
      <c r="C338" s="319">
        <f>[47]Sheet1!$G$17</f>
        <v>193</v>
      </c>
      <c r="D338" s="339">
        <v>-30</v>
      </c>
      <c r="E338" s="321" t="s">
        <v>374</v>
      </c>
      <c r="F338" s="2">
        <f>ROUND(D338*$C338/100,0)</f>
        <v>-58</v>
      </c>
      <c r="G338" s="339">
        <v>-30</v>
      </c>
      <c r="H338" s="323" t="s">
        <v>374</v>
      </c>
      <c r="I338" s="2">
        <f>ROUND(G338*C338/100,0)</f>
        <v>-58</v>
      </c>
      <c r="J338" s="339">
        <f>$J$198</f>
        <v>-30</v>
      </c>
      <c r="K338" s="323" t="s">
        <v>374</v>
      </c>
      <c r="L338" s="2">
        <f>ROUND(J338*$C338/100,0)</f>
        <v>-58</v>
      </c>
      <c r="M338" s="2"/>
      <c r="N338" s="339">
        <f>'Blocking - detail'!$I$173</f>
        <v>-30</v>
      </c>
      <c r="O338" s="323" t="s">
        <v>374</v>
      </c>
      <c r="P338" s="322">
        <f>L338</f>
        <v>-58</v>
      </c>
      <c r="Q338" s="322"/>
      <c r="R338" s="1587" t="s">
        <v>31</v>
      </c>
      <c r="S338" s="323" t="s">
        <v>31</v>
      </c>
      <c r="T338" s="322">
        <f>R338*C338*R328</f>
        <v>0</v>
      </c>
      <c r="U338" s="322"/>
      <c r="V338" s="1587" t="s">
        <v>31</v>
      </c>
      <c r="W338" s="323" t="s">
        <v>31</v>
      </c>
      <c r="X338" s="322">
        <f>V338*G338*V328</f>
        <v>0</v>
      </c>
      <c r="Y338" s="20"/>
      <c r="Z338" s="74"/>
      <c r="AA338" s="74"/>
      <c r="AB338" s="74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U338" s="84"/>
    </row>
    <row r="339" spans="1:47" s="1184" customFormat="1" hidden="1">
      <c r="A339" s="1005" t="s">
        <v>918</v>
      </c>
      <c r="C339" s="1202">
        <f>C333</f>
        <v>2600</v>
      </c>
      <c r="D339" s="269"/>
      <c r="E339" s="1185"/>
      <c r="F339" s="1203"/>
      <c r="G339" s="269"/>
      <c r="H339" s="1185"/>
      <c r="I339" s="1203"/>
      <c r="J339" s="1230">
        <f>J182</f>
        <v>4.5289999999999999</v>
      </c>
      <c r="K339" s="1009" t="s">
        <v>374</v>
      </c>
      <c r="L339" s="1203">
        <f>ROUND(J339*$C339/100*J328,0)</f>
        <v>-1</v>
      </c>
      <c r="M339" s="1203"/>
      <c r="N339" s="1230" t="str">
        <f>N182</f>
        <v xml:space="preserve"> </v>
      </c>
      <c r="O339" s="1009" t="s">
        <v>374</v>
      </c>
      <c r="P339" s="1203">
        <f>ROUND(N339*$C339/100*N328,0)</f>
        <v>0</v>
      </c>
      <c r="Q339" s="1203"/>
      <c r="R339" s="1230" t="str">
        <f>R182</f>
        <v xml:space="preserve"> </v>
      </c>
      <c r="S339" s="1009" t="s">
        <v>374</v>
      </c>
      <c r="T339" s="1203">
        <f>ROUND(R339*$C339/100*R328,0)</f>
        <v>0</v>
      </c>
      <c r="U339" s="1203"/>
      <c r="V339" s="1230">
        <f>V182</f>
        <v>4.5289999999999999</v>
      </c>
      <c r="W339" s="1009" t="s">
        <v>374</v>
      </c>
      <c r="X339" s="1203">
        <f>ROUND(V339*$C339/100*V328,0)</f>
        <v>-1</v>
      </c>
      <c r="Z339" s="815"/>
      <c r="AC339" s="1205"/>
      <c r="AD339" s="1205"/>
      <c r="AI339" s="1185"/>
      <c r="AJ339" s="1185"/>
      <c r="AK339" s="1185"/>
      <c r="AL339" s="1185"/>
      <c r="AM339" s="1185"/>
      <c r="AN339" s="1185"/>
      <c r="AO339" s="1185"/>
      <c r="AP339" s="1185"/>
      <c r="AQ339" s="1185"/>
      <c r="AR339" s="1185"/>
      <c r="AS339" s="1185"/>
      <c r="AU339" s="1204"/>
    </row>
    <row r="340" spans="1:47" s="1184" customFormat="1" hidden="1">
      <c r="A340" s="1005" t="s">
        <v>919</v>
      </c>
      <c r="C340" s="1202">
        <f>C334</f>
        <v>20800</v>
      </c>
      <c r="D340" s="269"/>
      <c r="E340" s="1185"/>
      <c r="F340" s="1203"/>
      <c r="G340" s="269"/>
      <c r="H340" s="1185"/>
      <c r="I340" s="1203"/>
      <c r="J340" s="1230">
        <f>J183</f>
        <v>3.1270000000000002</v>
      </c>
      <c r="K340" s="1009" t="s">
        <v>374</v>
      </c>
      <c r="L340" s="1203">
        <f>ROUND(J340*$C340/100*J328,0)</f>
        <v>-7</v>
      </c>
      <c r="M340" s="1203"/>
      <c r="N340" s="1230" t="str">
        <f>N183</f>
        <v xml:space="preserve"> </v>
      </c>
      <c r="O340" s="1009" t="s">
        <v>374</v>
      </c>
      <c r="P340" s="1203">
        <f>ROUND(N340*$C340/100*N328,0)</f>
        <v>0</v>
      </c>
      <c r="Q340" s="1203"/>
      <c r="R340" s="1230" t="str">
        <f>R183</f>
        <v xml:space="preserve"> </v>
      </c>
      <c r="S340" s="1009" t="s">
        <v>374</v>
      </c>
      <c r="T340" s="1203">
        <f>ROUND(R340*$C340/100*R328,0)</f>
        <v>0</v>
      </c>
      <c r="U340" s="1203"/>
      <c r="V340" s="1230">
        <f>V183</f>
        <v>3.1270000000000002</v>
      </c>
      <c r="W340" s="1009" t="s">
        <v>374</v>
      </c>
      <c r="X340" s="1203">
        <f>ROUND(V340*$C340/100*V328,0)</f>
        <v>-7</v>
      </c>
      <c r="Z340" s="815"/>
      <c r="AC340" s="1205"/>
      <c r="AD340" s="1205"/>
      <c r="AI340" s="1185"/>
      <c r="AJ340" s="1185"/>
      <c r="AK340" s="1185"/>
      <c r="AL340" s="1185"/>
      <c r="AM340" s="1185"/>
      <c r="AN340" s="1185"/>
      <c r="AO340" s="1185"/>
      <c r="AP340" s="1185"/>
      <c r="AQ340" s="1185"/>
      <c r="AR340" s="1185"/>
      <c r="AS340" s="1185"/>
      <c r="AU340" s="1204"/>
    </row>
    <row r="341" spans="1:47" s="1184" customFormat="1" hidden="1">
      <c r="A341" s="1005" t="s">
        <v>920</v>
      </c>
      <c r="C341" s="1202">
        <f>C335</f>
        <v>67800</v>
      </c>
      <c r="D341" s="269"/>
      <c r="E341" s="1185"/>
      <c r="F341" s="1203"/>
      <c r="G341" s="269"/>
      <c r="H341" s="1185"/>
      <c r="I341" s="1203"/>
      <c r="J341" s="1230">
        <f>J184</f>
        <v>2.6950000000000003</v>
      </c>
      <c r="K341" s="1009" t="s">
        <v>374</v>
      </c>
      <c r="L341" s="1203">
        <f>ROUND(J341*$C341/100*J328,0)</f>
        <v>-18</v>
      </c>
      <c r="M341" s="1203"/>
      <c r="N341" s="1230" t="str">
        <f>N184</f>
        <v xml:space="preserve"> </v>
      </c>
      <c r="O341" s="1009" t="s">
        <v>374</v>
      </c>
      <c r="P341" s="1203">
        <f>ROUND(N341*$C341/100*N328,0)</f>
        <v>0</v>
      </c>
      <c r="Q341" s="1203"/>
      <c r="R341" s="1230" t="str">
        <f>R184</f>
        <v xml:space="preserve"> </v>
      </c>
      <c r="S341" s="1009" t="s">
        <v>374</v>
      </c>
      <c r="T341" s="1203">
        <f>ROUND(R341*$C341/100*R328,0)</f>
        <v>0</v>
      </c>
      <c r="U341" s="1203"/>
      <c r="V341" s="1230">
        <f>V184</f>
        <v>2.6950000000000003</v>
      </c>
      <c r="W341" s="1009" t="s">
        <v>374</v>
      </c>
      <c r="X341" s="1203">
        <f>ROUND(V341*$C341/100*V328,0)</f>
        <v>-18</v>
      </c>
      <c r="Z341" s="815"/>
      <c r="AC341" s="1205"/>
      <c r="AD341" s="1205"/>
      <c r="AI341" s="1185"/>
      <c r="AJ341" s="1185"/>
      <c r="AK341" s="1185"/>
      <c r="AL341" s="1185"/>
      <c r="AM341" s="1185"/>
      <c r="AN341" s="1185"/>
      <c r="AO341" s="1185"/>
      <c r="AP341" s="1185"/>
      <c r="AQ341" s="1185"/>
      <c r="AR341" s="1185"/>
      <c r="AS341" s="1185"/>
      <c r="AU341" s="1204"/>
    </row>
    <row r="342" spans="1:47" hidden="1">
      <c r="A342" s="1" t="s">
        <v>381</v>
      </c>
      <c r="B342" s="1"/>
      <c r="C342" s="319">
        <f>SUM(C321:C323)</f>
        <v>18698937</v>
      </c>
      <c r="D342" s="330"/>
      <c r="E342" s="2"/>
      <c r="F342" s="2">
        <f>SUM(F316:F338)</f>
        <v>1564868</v>
      </c>
      <c r="G342" s="330"/>
      <c r="H342" s="323"/>
      <c r="I342" s="2">
        <f>SUM(I316:I338)</f>
        <v>1652959</v>
      </c>
      <c r="J342" s="330"/>
      <c r="K342" s="323"/>
      <c r="L342" s="2">
        <f ca="1">SUM(L316:L341)</f>
        <v>1733283</v>
      </c>
      <c r="M342" s="2"/>
      <c r="N342" s="330"/>
      <c r="O342" s="323"/>
      <c r="P342" s="2">
        <f ca="1">SUM(P316:P341)</f>
        <v>337263</v>
      </c>
      <c r="Q342" s="2"/>
      <c r="R342" s="330"/>
      <c r="S342" s="323"/>
      <c r="T342" s="2">
        <f ca="1">SUM(T316:T341)</f>
        <v>281758.84634191229</v>
      </c>
      <c r="U342" s="2"/>
      <c r="V342" s="330"/>
      <c r="W342" s="323"/>
      <c r="X342" s="2">
        <f ca="1">SUM(X316:X341)</f>
        <v>1114238.1536580876</v>
      </c>
      <c r="Y342" s="20"/>
      <c r="Z342" s="74"/>
      <c r="AA342" s="74"/>
      <c r="AB342" s="74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U342" s="84"/>
    </row>
    <row r="343" spans="1:47" hidden="1">
      <c r="A343" s="1" t="s">
        <v>363</v>
      </c>
      <c r="B343" s="1"/>
      <c r="C343" s="349">
        <f ca="1">'Table 2'!H71</f>
        <v>-299510.970415727</v>
      </c>
      <c r="D343" s="309"/>
      <c r="E343" s="309"/>
      <c r="F343" s="341">
        <f ca="1">I343</f>
        <v>-34132.350163578827</v>
      </c>
      <c r="G343" s="309"/>
      <c r="H343" s="309"/>
      <c r="I343" s="341">
        <f ca="1">'Table 3'!E71</f>
        <v>-34132.350163578827</v>
      </c>
      <c r="J343" s="309"/>
      <c r="K343" s="309"/>
      <c r="L343" s="341">
        <f ca="1">I343</f>
        <v>-34132.350163578827</v>
      </c>
      <c r="M343" s="322"/>
      <c r="N343" s="309"/>
      <c r="O343" s="309"/>
      <c r="P343" s="341">
        <f ca="1">$L$343*Y207/($Y$207+$Z$207+$AA$207)</f>
        <v>-6728.5580635868364</v>
      </c>
      <c r="Q343" s="51"/>
      <c r="R343" s="309"/>
      <c r="S343" s="309"/>
      <c r="T343" s="341">
        <f ca="1">$L$343*Z207/($Y$207+$Z$207+$AA$207)</f>
        <v>-5418.6329539107492</v>
      </c>
      <c r="U343" s="51"/>
      <c r="V343" s="309"/>
      <c r="W343" s="309"/>
      <c r="X343" s="341">
        <f ca="1">$L$343*AA207/($Y$207+$Z$207+$AA$207)</f>
        <v>-21985.159146081241</v>
      </c>
      <c r="Y343" s="444"/>
      <c r="Z343" s="287"/>
      <c r="AA343" s="74"/>
      <c r="AB343" s="74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U343" s="84"/>
    </row>
    <row r="344" spans="1:47" ht="16.5" hidden="1" thickBot="1">
      <c r="A344" s="1" t="s">
        <v>382</v>
      </c>
      <c r="B344" s="1"/>
      <c r="C344" s="311">
        <f ca="1">SUM(C342:C343)</f>
        <v>18399426.029584274</v>
      </c>
      <c r="D344" s="342"/>
      <c r="E344" s="343"/>
      <c r="F344" s="344">
        <f ca="1">F342+F343</f>
        <v>1530735.6498364212</v>
      </c>
      <c r="G344" s="342"/>
      <c r="H344" s="345"/>
      <c r="I344" s="344">
        <f ca="1">I342+I343</f>
        <v>1618826.6498364212</v>
      </c>
      <c r="J344" s="342"/>
      <c r="K344" s="345"/>
      <c r="L344" s="344">
        <f ca="1">L342+L343</f>
        <v>1699150.6498364212</v>
      </c>
      <c r="M344" s="344"/>
      <c r="N344" s="342"/>
      <c r="O344" s="345"/>
      <c r="P344" s="344">
        <f ca="1">P342+P343</f>
        <v>330534.44193641318</v>
      </c>
      <c r="Q344" s="344"/>
      <c r="R344" s="342"/>
      <c r="S344" s="345"/>
      <c r="T344" s="344">
        <f ca="1">T342+T343</f>
        <v>276340.21338800155</v>
      </c>
      <c r="U344" s="344"/>
      <c r="V344" s="342"/>
      <c r="W344" s="345"/>
      <c r="X344" s="344">
        <f ca="1">X342+X343</f>
        <v>1092252.9945120064</v>
      </c>
      <c r="Y344" s="411"/>
      <c r="Z344" s="470"/>
      <c r="AA344" s="74"/>
      <c r="AB344" s="74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U344" s="84"/>
    </row>
    <row r="345" spans="1:47" ht="16.5" hidden="1" thickTop="1">
      <c r="A345" s="1"/>
      <c r="B345" s="1"/>
      <c r="C345" s="350"/>
      <c r="D345" s="351"/>
      <c r="E345" s="352"/>
      <c r="F345" s="322"/>
      <c r="G345" s="351"/>
      <c r="H345" s="23"/>
      <c r="I345" s="322"/>
      <c r="J345" s="351"/>
      <c r="K345" s="23"/>
      <c r="L345" s="322"/>
      <c r="M345" s="322"/>
      <c r="N345" s="351"/>
      <c r="O345" s="23"/>
      <c r="P345" s="322"/>
      <c r="Q345" s="322"/>
      <c r="R345" s="351"/>
      <c r="S345" s="23"/>
      <c r="T345" s="322"/>
      <c r="U345" s="322"/>
      <c r="V345" s="351"/>
      <c r="W345" s="23"/>
      <c r="X345" s="322"/>
      <c r="Y345" s="20"/>
      <c r="Z345" s="74"/>
      <c r="AA345" s="74"/>
      <c r="AB345" s="74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U345" s="84"/>
    </row>
    <row r="346" spans="1:47" hidden="1">
      <c r="A346" s="293" t="s">
        <v>415</v>
      </c>
      <c r="B346" s="1"/>
      <c r="C346" s="1"/>
      <c r="D346" s="2"/>
      <c r="E346" s="2"/>
      <c r="F346" s="1" t="s">
        <v>31</v>
      </c>
      <c r="G346" s="2"/>
      <c r="H346" s="1"/>
      <c r="I346" s="1"/>
      <c r="J346" s="2"/>
      <c r="K346" s="1"/>
      <c r="L346" s="1"/>
      <c r="M346" s="1"/>
      <c r="N346" s="2"/>
      <c r="O346" s="1"/>
      <c r="P346" s="1"/>
      <c r="Q346" s="1"/>
      <c r="R346" s="2"/>
      <c r="S346" s="1"/>
      <c r="T346" s="1"/>
      <c r="U346" s="1"/>
      <c r="V346" s="2"/>
      <c r="W346" s="1"/>
      <c r="X346" s="1"/>
      <c r="Y346" s="20"/>
      <c r="Z346" s="74"/>
      <c r="AA346" s="74"/>
      <c r="AB346" s="74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U346" s="84"/>
    </row>
    <row r="347" spans="1:47" hidden="1">
      <c r="A347" s="1" t="s">
        <v>410</v>
      </c>
      <c r="B347" s="1"/>
      <c r="C347" s="1"/>
      <c r="D347" s="2"/>
      <c r="E347" s="2"/>
      <c r="F347" s="1"/>
      <c r="G347" s="2"/>
      <c r="H347" s="1"/>
      <c r="I347" s="1"/>
      <c r="J347" s="2"/>
      <c r="K347" s="1"/>
      <c r="L347" s="1"/>
      <c r="M347" s="1"/>
      <c r="N347" s="2"/>
      <c r="O347" s="1"/>
      <c r="P347" s="1"/>
      <c r="Q347" s="1"/>
      <c r="R347" s="2"/>
      <c r="S347" s="1"/>
      <c r="T347" s="1"/>
      <c r="U347" s="1"/>
      <c r="V347" s="2"/>
      <c r="W347" s="1"/>
      <c r="X347" s="1"/>
      <c r="Y347" s="20"/>
      <c r="Z347" s="74"/>
      <c r="AA347" s="74"/>
      <c r="AB347" s="74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U347" s="84"/>
    </row>
    <row r="348" spans="1:47" hidden="1">
      <c r="A348" s="1"/>
      <c r="B348" s="1"/>
      <c r="C348" s="1"/>
      <c r="D348" s="2"/>
      <c r="E348" s="2"/>
      <c r="F348" s="1"/>
      <c r="G348" s="2"/>
      <c r="H348" s="1"/>
      <c r="I348" s="1"/>
      <c r="J348" s="2"/>
      <c r="K348" s="1"/>
      <c r="L348" s="1"/>
      <c r="M348" s="1"/>
      <c r="N348" s="2"/>
      <c r="O348" s="1"/>
      <c r="P348" s="1"/>
      <c r="Q348" s="1"/>
      <c r="R348" s="2"/>
      <c r="S348" s="1"/>
      <c r="T348" s="1"/>
      <c r="U348" s="1"/>
      <c r="V348" s="2"/>
      <c r="W348" s="1"/>
      <c r="X348" s="1"/>
      <c r="Y348" s="20"/>
      <c r="Z348" s="74"/>
      <c r="AA348" s="74"/>
      <c r="AB348" s="74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U348" s="84"/>
    </row>
    <row r="349" spans="1:47" hidden="1">
      <c r="A349" s="1" t="s">
        <v>393</v>
      </c>
      <c r="B349" s="1"/>
      <c r="C349" s="319"/>
      <c r="D349" s="2"/>
      <c r="E349" s="2"/>
      <c r="F349" s="1"/>
      <c r="G349" s="2"/>
      <c r="H349" s="1"/>
      <c r="I349" s="1"/>
      <c r="J349" s="2"/>
      <c r="K349" s="1"/>
      <c r="L349" s="1"/>
      <c r="M349" s="1"/>
      <c r="N349" s="2"/>
      <c r="O349" s="1"/>
      <c r="P349" s="1"/>
      <c r="Q349" s="1"/>
      <c r="R349" s="2"/>
      <c r="S349" s="1"/>
      <c r="T349" s="1"/>
      <c r="U349" s="1"/>
      <c r="V349" s="2"/>
      <c r="W349" s="1"/>
      <c r="X349" s="1"/>
      <c r="Y349" s="20"/>
      <c r="Z349" s="74"/>
      <c r="AA349" s="74"/>
      <c r="AB349" s="74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U349" s="84"/>
    </row>
    <row r="350" spans="1:47" hidden="1">
      <c r="A350" s="1" t="s">
        <v>416</v>
      </c>
      <c r="B350" s="1"/>
      <c r="C350" s="319">
        <f>C385+C420</f>
        <v>4565.6865373805158</v>
      </c>
      <c r="D350" s="298">
        <v>8.7100000000000009</v>
      </c>
      <c r="E350" s="321"/>
      <c r="F350" s="2">
        <f>F385+F420</f>
        <v>39767</v>
      </c>
      <c r="G350" s="298">
        <v>8.7100000000000009</v>
      </c>
      <c r="H350" s="323"/>
      <c r="I350" s="2">
        <f>ROUND(G350*$C350,0)</f>
        <v>39767</v>
      </c>
      <c r="J350" s="298">
        <f>$J$172</f>
        <v>10</v>
      </c>
      <c r="K350" s="323"/>
      <c r="L350" s="2">
        <f>L385+L420</f>
        <v>45657</v>
      </c>
      <c r="M350" s="2"/>
      <c r="N350" s="298">
        <f>$N$172</f>
        <v>10</v>
      </c>
      <c r="O350" s="323"/>
      <c r="P350" s="2">
        <f>P385+P420</f>
        <v>45657</v>
      </c>
      <c r="Q350" s="2"/>
      <c r="R350" s="298" t="str">
        <f>$R$172</f>
        <v xml:space="preserve"> </v>
      </c>
      <c r="S350" s="323"/>
      <c r="T350" s="2">
        <f>T385+T420</f>
        <v>0</v>
      </c>
      <c r="U350" s="2"/>
      <c r="V350" s="298" t="str">
        <f>$V$172</f>
        <v xml:space="preserve"> </v>
      </c>
      <c r="W350" s="323"/>
      <c r="X350" s="2">
        <f>X385+X420</f>
        <v>0</v>
      </c>
      <c r="Y350" s="20"/>
      <c r="Z350" s="74"/>
      <c r="AA350" s="74"/>
      <c r="AB350" s="74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U350" s="84"/>
    </row>
    <row r="351" spans="1:47" hidden="1">
      <c r="A351" s="1" t="s">
        <v>391</v>
      </c>
      <c r="B351" s="1"/>
      <c r="C351" s="319">
        <f>C386+C421</f>
        <v>0</v>
      </c>
      <c r="D351" s="298">
        <v>12.98</v>
      </c>
      <c r="E351" s="324"/>
      <c r="F351" s="2">
        <f>F386+F421</f>
        <v>0</v>
      </c>
      <c r="G351" s="298">
        <v>12.98</v>
      </c>
      <c r="H351" s="325"/>
      <c r="I351" s="2">
        <f t="shared" ref="I351:I352" si="119">ROUND(G351*$C351,0)</f>
        <v>0</v>
      </c>
      <c r="J351" s="298">
        <f>$J$173</f>
        <v>15</v>
      </c>
      <c r="K351" s="325"/>
      <c r="L351" s="2">
        <f>L386+L421</f>
        <v>0</v>
      </c>
      <c r="M351" s="2"/>
      <c r="N351" s="298">
        <f>$N$173</f>
        <v>15</v>
      </c>
      <c r="O351" s="325"/>
      <c r="P351" s="2">
        <f>P386+P421</f>
        <v>0</v>
      </c>
      <c r="Q351" s="2"/>
      <c r="R351" s="298" t="str">
        <f>$R$173</f>
        <v xml:space="preserve"> </v>
      </c>
      <c r="S351" s="325"/>
      <c r="T351" s="2">
        <f>T386+T421</f>
        <v>0</v>
      </c>
      <c r="U351" s="2"/>
      <c r="V351" s="298" t="str">
        <f>$V$173</f>
        <v xml:space="preserve"> </v>
      </c>
      <c r="W351" s="325"/>
      <c r="X351" s="2">
        <f>X386+X421</f>
        <v>0</v>
      </c>
      <c r="Y351" s="20"/>
      <c r="Z351" s="74"/>
      <c r="AA351" s="74"/>
      <c r="AB351" s="74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U351" s="84"/>
    </row>
    <row r="352" spans="1:47" hidden="1">
      <c r="A352" s="1" t="s">
        <v>392</v>
      </c>
      <c r="B352" s="1"/>
      <c r="C352" s="319">
        <f>C387+C422</f>
        <v>0</v>
      </c>
      <c r="D352" s="298">
        <v>0.92</v>
      </c>
      <c r="E352" s="324"/>
      <c r="F352" s="2">
        <f>F387+F422</f>
        <v>0</v>
      </c>
      <c r="G352" s="298">
        <v>0.92</v>
      </c>
      <c r="H352" s="325"/>
      <c r="I352" s="2">
        <f t="shared" si="119"/>
        <v>0</v>
      </c>
      <c r="J352" s="298">
        <f>$J$174</f>
        <v>1</v>
      </c>
      <c r="K352" s="325"/>
      <c r="L352" s="2">
        <f>L387+L422</f>
        <v>0</v>
      </c>
      <c r="M352" s="2"/>
      <c r="N352" s="298">
        <f>$N$174</f>
        <v>1</v>
      </c>
      <c r="O352" s="325"/>
      <c r="P352" s="2">
        <f>P387+P422</f>
        <v>0</v>
      </c>
      <c r="Q352" s="2"/>
      <c r="R352" s="298" t="str">
        <f>$R$174</f>
        <v xml:space="preserve"> </v>
      </c>
      <c r="S352" s="325"/>
      <c r="T352" s="2">
        <f>T387+T422</f>
        <v>0</v>
      </c>
      <c r="U352" s="2"/>
      <c r="V352" s="298" t="str">
        <f>$V$174</f>
        <v xml:space="preserve"> </v>
      </c>
      <c r="W352" s="325"/>
      <c r="X352" s="2">
        <f>X387+X422</f>
        <v>0</v>
      </c>
      <c r="Y352" s="20"/>
      <c r="Z352" s="74"/>
      <c r="AA352" s="74"/>
      <c r="AB352" s="74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U352" s="84"/>
    </row>
    <row r="353" spans="1:47" hidden="1">
      <c r="A353" s="1" t="s">
        <v>394</v>
      </c>
      <c r="B353" s="1"/>
      <c r="C353" s="319">
        <f>SUM(C350:C351)</f>
        <v>4565.6865373805158</v>
      </c>
      <c r="D353" s="298"/>
      <c r="E353" s="321"/>
      <c r="F353" s="2"/>
      <c r="G353" s="298"/>
      <c r="H353" s="323"/>
      <c r="I353" s="2"/>
      <c r="J353" s="298"/>
      <c r="K353" s="323"/>
      <c r="L353" s="2"/>
      <c r="M353" s="2"/>
      <c r="N353" s="298"/>
      <c r="O353" s="323"/>
      <c r="P353" s="2"/>
      <c r="Q353" s="2"/>
      <c r="R353" s="298"/>
      <c r="S353" s="323"/>
      <c r="T353" s="2"/>
      <c r="U353" s="2"/>
      <c r="V353" s="298"/>
      <c r="W353" s="323"/>
      <c r="X353" s="2"/>
      <c r="Y353" s="20"/>
      <c r="Z353" s="74"/>
      <c r="AA353" s="74"/>
      <c r="AB353" s="74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U353" s="84"/>
    </row>
    <row r="354" spans="1:47" hidden="1">
      <c r="A354" s="1" t="s">
        <v>362</v>
      </c>
      <c r="B354" s="1"/>
      <c r="C354" s="319">
        <f t="shared" ref="C354:C359" si="120">C389+C424</f>
        <v>1452.6333333333369</v>
      </c>
      <c r="D354" s="298"/>
      <c r="E354" s="321"/>
      <c r="F354" s="2"/>
      <c r="G354" s="298"/>
      <c r="H354" s="323"/>
      <c r="I354" s="2"/>
      <c r="J354" s="298"/>
      <c r="K354" s="323"/>
      <c r="L354" s="2"/>
      <c r="M354" s="2"/>
      <c r="N354" s="298"/>
      <c r="O354" s="323"/>
      <c r="P354" s="2"/>
      <c r="Q354" s="2"/>
      <c r="R354" s="298"/>
      <c r="S354" s="323"/>
      <c r="T354" s="2"/>
      <c r="U354" s="2"/>
      <c r="V354" s="298"/>
      <c r="W354" s="323"/>
      <c r="X354" s="2"/>
      <c r="Y354" s="20"/>
      <c r="Z354" s="74"/>
      <c r="AA354" s="74"/>
      <c r="AB354" s="74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U354" s="84"/>
    </row>
    <row r="355" spans="1:47" hidden="1">
      <c r="A355" s="1" t="s">
        <v>395</v>
      </c>
      <c r="B355" s="1"/>
      <c r="C355" s="319">
        <f t="shared" si="120"/>
        <v>0</v>
      </c>
      <c r="D355" s="326">
        <v>3.4</v>
      </c>
      <c r="E355" s="323"/>
      <c r="F355" s="2">
        <f>F390+F425</f>
        <v>0</v>
      </c>
      <c r="G355" s="326">
        <v>3.61</v>
      </c>
      <c r="H355" s="323"/>
      <c r="I355" s="2">
        <f>ROUND(G355*C355,0)</f>
        <v>0</v>
      </c>
      <c r="J355" s="326">
        <f ca="1">$J$177</f>
        <v>3.77</v>
      </c>
      <c r="K355" s="323"/>
      <c r="L355" s="2">
        <f ca="1">L390+L425</f>
        <v>0</v>
      </c>
      <c r="M355" s="2"/>
      <c r="N355" s="326">
        <f ca="1">$N$177</f>
        <v>0.81</v>
      </c>
      <c r="O355" s="323"/>
      <c r="P355" s="2">
        <f ca="1">P390+P425</f>
        <v>0</v>
      </c>
      <c r="Q355" s="2"/>
      <c r="R355" s="326">
        <f ca="1">$R$177</f>
        <v>1.06</v>
      </c>
      <c r="S355" s="323"/>
      <c r="T355" s="2">
        <f ca="1">T390+T425</f>
        <v>0</v>
      </c>
      <c r="U355" s="2"/>
      <c r="V355" s="326">
        <f ca="1">$V$177</f>
        <v>1.9</v>
      </c>
      <c r="W355" s="323"/>
      <c r="X355" s="2">
        <f ca="1">X390+X425</f>
        <v>0</v>
      </c>
      <c r="Y355" s="20"/>
      <c r="Z355" s="74"/>
      <c r="AA355" s="74"/>
      <c r="AB355" s="74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U355" s="84"/>
    </row>
    <row r="356" spans="1:47" hidden="1">
      <c r="A356" s="1" t="s">
        <v>397</v>
      </c>
      <c r="B356" s="1"/>
      <c r="C356" s="319">
        <f t="shared" si="120"/>
        <v>1237819.6605672329</v>
      </c>
      <c r="D356" s="299">
        <v>9.766</v>
      </c>
      <c r="E356" s="323" t="s">
        <v>374</v>
      </c>
      <c r="F356" s="2">
        <f>F391+F426</f>
        <v>120885</v>
      </c>
      <c r="G356" s="299">
        <v>10.359</v>
      </c>
      <c r="H356" s="323" t="s">
        <v>374</v>
      </c>
      <c r="I356" s="2">
        <f>ROUND(G356*C356/100,0)</f>
        <v>128226</v>
      </c>
      <c r="J356" s="299">
        <f ca="1">$J$178</f>
        <v>6.282</v>
      </c>
      <c r="K356" s="323" t="s">
        <v>374</v>
      </c>
      <c r="L356" s="2">
        <f ca="1">L391+L426</f>
        <v>77760</v>
      </c>
      <c r="M356" s="2"/>
      <c r="N356" s="299">
        <f ca="1">$N$178</f>
        <v>1.3483746810352102</v>
      </c>
      <c r="O356" s="323" t="s">
        <v>374</v>
      </c>
      <c r="P356" s="2">
        <f ca="1">P391+P426</f>
        <v>16690</v>
      </c>
      <c r="Q356" s="2"/>
      <c r="R356" s="299">
        <f ca="1">$R$178</f>
        <v>1.7708525176705459</v>
      </c>
      <c r="S356" s="323" t="s">
        <v>374</v>
      </c>
      <c r="T356" s="2">
        <f ca="1">T391+T426</f>
        <v>21920</v>
      </c>
      <c r="U356" s="2"/>
      <c r="V356" s="299">
        <f ca="1">$V$178</f>
        <v>3.162955363125258</v>
      </c>
      <c r="W356" s="323" t="s">
        <v>374</v>
      </c>
      <c r="X356" s="2">
        <f ca="1">X391+X426</f>
        <v>39152</v>
      </c>
      <c r="Y356" s="20"/>
      <c r="Z356" s="74"/>
      <c r="AA356" s="74"/>
      <c r="AB356" s="74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U356" s="84"/>
    </row>
    <row r="357" spans="1:47" hidden="1">
      <c r="A357" s="1" t="s">
        <v>398</v>
      </c>
      <c r="B357" s="1"/>
      <c r="C357" s="319">
        <f t="shared" si="120"/>
        <v>64812</v>
      </c>
      <c r="D357" s="299">
        <v>6.7460000000000004</v>
      </c>
      <c r="E357" s="323" t="s">
        <v>374</v>
      </c>
      <c r="F357" s="2">
        <f>F392+F427</f>
        <v>4372</v>
      </c>
      <c r="G357" s="299">
        <v>7.1559999999999997</v>
      </c>
      <c r="H357" s="323" t="s">
        <v>374</v>
      </c>
      <c r="I357" s="2">
        <f t="shared" ref="I357:I359" si="121">ROUND(G357*C357/100,0)</f>
        <v>4638</v>
      </c>
      <c r="J357" s="299">
        <f ca="1">$J$179</f>
        <v>4.3410000000000002</v>
      </c>
      <c r="K357" s="323" t="s">
        <v>374</v>
      </c>
      <c r="L357" s="2">
        <f ca="1">L392+L427</f>
        <v>2813</v>
      </c>
      <c r="M357" s="2"/>
      <c r="N357" s="299">
        <f ca="1">$N$179</f>
        <v>0.93175626548296309</v>
      </c>
      <c r="O357" s="323" t="s">
        <v>374</v>
      </c>
      <c r="P357" s="2">
        <f ca="1">P392+P427</f>
        <v>604</v>
      </c>
      <c r="Q357" s="2"/>
      <c r="R357" s="299">
        <f ca="1">$R$179</f>
        <v>1.2240066282869231</v>
      </c>
      <c r="S357" s="323" t="s">
        <v>374</v>
      </c>
      <c r="T357" s="2">
        <f ca="1">T392+T427</f>
        <v>793</v>
      </c>
      <c r="U357" s="2"/>
      <c r="V357" s="299">
        <f ca="1">$V$179</f>
        <v>2.1849800075654815</v>
      </c>
      <c r="W357" s="323" t="s">
        <v>374</v>
      </c>
      <c r="X357" s="2">
        <f ca="1">X392+X427</f>
        <v>1416</v>
      </c>
      <c r="Y357" s="20"/>
      <c r="Z357" s="74"/>
      <c r="AA357" s="74"/>
      <c r="AB357" s="74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U357" s="84"/>
    </row>
    <row r="358" spans="1:47" hidden="1">
      <c r="A358" s="1" t="s">
        <v>399</v>
      </c>
      <c r="B358" s="1"/>
      <c r="C358" s="319">
        <f t="shared" si="120"/>
        <v>0</v>
      </c>
      <c r="D358" s="299">
        <v>5.8120000000000003</v>
      </c>
      <c r="E358" s="323" t="s">
        <v>374</v>
      </c>
      <c r="F358" s="2">
        <f>F393+F428</f>
        <v>0</v>
      </c>
      <c r="G358" s="299">
        <v>6.1660000000000004</v>
      </c>
      <c r="H358" s="323" t="s">
        <v>374</v>
      </c>
      <c r="I358" s="2">
        <f t="shared" si="121"/>
        <v>0</v>
      </c>
      <c r="J358" s="299">
        <f ca="1">$J$180</f>
        <v>3.74</v>
      </c>
      <c r="K358" s="323" t="s">
        <v>374</v>
      </c>
      <c r="L358" s="2">
        <f t="shared" ref="L358:L361" ca="1" si="122">L393+L428</f>
        <v>0</v>
      </c>
      <c r="M358" s="2"/>
      <c r="N358" s="299">
        <f ca="1">$N$180</f>
        <v>0.80275718206159852</v>
      </c>
      <c r="O358" s="323" t="s">
        <v>374</v>
      </c>
      <c r="P358" s="2">
        <f t="shared" ref="P358:P361" ca="1" si="123">P393+P428</f>
        <v>0</v>
      </c>
      <c r="Q358" s="2"/>
      <c r="R358" s="299">
        <f ca="1">$R$180</f>
        <v>1.0536847359511734</v>
      </c>
      <c r="S358" s="323" t="s">
        <v>374</v>
      </c>
      <c r="T358" s="2">
        <f t="shared" ref="T358:T361" ca="1" si="124">T393+T428</f>
        <v>0</v>
      </c>
      <c r="U358" s="2"/>
      <c r="V358" s="299">
        <f ca="1">$V$180</f>
        <v>1.8834755557989509</v>
      </c>
      <c r="W358" s="323" t="s">
        <v>374</v>
      </c>
      <c r="X358" s="2">
        <f t="shared" ref="X358:X361" ca="1" si="125">X393+X428</f>
        <v>0</v>
      </c>
      <c r="Y358" s="20"/>
      <c r="Z358" s="74"/>
      <c r="AA358" s="74"/>
      <c r="AB358" s="74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U358" s="84"/>
    </row>
    <row r="359" spans="1:47" hidden="1">
      <c r="A359" s="1" t="s">
        <v>400</v>
      </c>
      <c r="B359" s="1"/>
      <c r="C359" s="319">
        <f t="shared" si="120"/>
        <v>0</v>
      </c>
      <c r="D359" s="330">
        <v>56</v>
      </c>
      <c r="E359" s="321" t="s">
        <v>374</v>
      </c>
      <c r="F359" s="2">
        <f>F394+F429</f>
        <v>0</v>
      </c>
      <c r="G359" s="330">
        <v>56</v>
      </c>
      <c r="H359" s="323" t="s">
        <v>374</v>
      </c>
      <c r="I359" s="2">
        <f t="shared" si="121"/>
        <v>0</v>
      </c>
      <c r="J359" s="330">
        <f>$J$181</f>
        <v>56</v>
      </c>
      <c r="K359" s="323" t="s">
        <v>374</v>
      </c>
      <c r="L359" s="2">
        <f t="shared" si="122"/>
        <v>0</v>
      </c>
      <c r="M359" s="2"/>
      <c r="N359" s="330" t="str">
        <f>$N$181</f>
        <v xml:space="preserve"> </v>
      </c>
      <c r="O359" s="323" t="s">
        <v>374</v>
      </c>
      <c r="P359" s="2">
        <f t="shared" si="123"/>
        <v>0</v>
      </c>
      <c r="Q359" s="2"/>
      <c r="R359" s="330">
        <f ca="1">$R$181</f>
        <v>11</v>
      </c>
      <c r="S359" s="323" t="s">
        <v>374</v>
      </c>
      <c r="T359" s="2">
        <f t="shared" ca="1" si="124"/>
        <v>0</v>
      </c>
      <c r="U359" s="2"/>
      <c r="V359" s="330">
        <f ca="1">$V$181</f>
        <v>45</v>
      </c>
      <c r="W359" s="323" t="s">
        <v>374</v>
      </c>
      <c r="X359" s="2">
        <f t="shared" ca="1" si="125"/>
        <v>0</v>
      </c>
      <c r="Y359" s="20"/>
      <c r="Z359" s="74"/>
      <c r="AA359" s="74"/>
      <c r="AB359" s="74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U359" s="84"/>
    </row>
    <row r="360" spans="1:47" s="1184" customFormat="1" hidden="1">
      <c r="A360" s="1005" t="s">
        <v>918</v>
      </c>
      <c r="C360" s="1026">
        <f>C401+C442</f>
        <v>0</v>
      </c>
      <c r="D360" s="269"/>
      <c r="E360" s="1185"/>
      <c r="F360" s="1203"/>
      <c r="G360" s="269"/>
      <c r="H360" s="1185"/>
      <c r="I360" s="1203"/>
      <c r="J360" s="1230">
        <f>J182</f>
        <v>4.5289999999999999</v>
      </c>
      <c r="K360" s="1009" t="s">
        <v>374</v>
      </c>
      <c r="L360" s="2">
        <f t="shared" si="122"/>
        <v>56061</v>
      </c>
      <c r="M360" s="2"/>
      <c r="N360" s="1230" t="str">
        <f>N182</f>
        <v xml:space="preserve"> </v>
      </c>
      <c r="O360" s="1009" t="s">
        <v>374</v>
      </c>
      <c r="P360" s="2">
        <f t="shared" si="123"/>
        <v>0</v>
      </c>
      <c r="Q360" s="2"/>
      <c r="R360" s="1230" t="str">
        <f>R182</f>
        <v xml:space="preserve"> </v>
      </c>
      <c r="S360" s="1009" t="s">
        <v>374</v>
      </c>
      <c r="T360" s="2">
        <f t="shared" si="124"/>
        <v>0</v>
      </c>
      <c r="U360" s="2"/>
      <c r="V360" s="1230">
        <f>V182</f>
        <v>4.5289999999999999</v>
      </c>
      <c r="W360" s="1009" t="s">
        <v>374</v>
      </c>
      <c r="X360" s="2">
        <f t="shared" si="125"/>
        <v>56061</v>
      </c>
      <c r="Z360" s="815"/>
      <c r="AC360" s="1205"/>
      <c r="AD360" s="1205"/>
      <c r="AI360" s="1185"/>
      <c r="AJ360" s="1185"/>
      <c r="AK360" s="1185"/>
      <c r="AL360" s="1185"/>
      <c r="AM360" s="1185"/>
      <c r="AN360" s="1185"/>
      <c r="AO360" s="1185"/>
      <c r="AP360" s="1185"/>
      <c r="AQ360" s="1185"/>
      <c r="AR360" s="1185"/>
      <c r="AS360" s="1185"/>
      <c r="AU360" s="1204"/>
    </row>
    <row r="361" spans="1:47" s="1184" customFormat="1" hidden="1">
      <c r="A361" s="1005" t="s">
        <v>919</v>
      </c>
      <c r="C361" s="1026">
        <f>C402+C443</f>
        <v>0</v>
      </c>
      <c r="D361" s="269"/>
      <c r="E361" s="1185"/>
      <c r="F361" s="1203"/>
      <c r="G361" s="269"/>
      <c r="H361" s="1185"/>
      <c r="I361" s="1203"/>
      <c r="J361" s="1230">
        <f>J183</f>
        <v>3.1270000000000002</v>
      </c>
      <c r="K361" s="1009" t="s">
        <v>374</v>
      </c>
      <c r="L361" s="2">
        <f t="shared" si="122"/>
        <v>2027</v>
      </c>
      <c r="M361" s="2"/>
      <c r="N361" s="1230" t="str">
        <f>N183</f>
        <v xml:space="preserve"> </v>
      </c>
      <c r="O361" s="1009" t="s">
        <v>374</v>
      </c>
      <c r="P361" s="2">
        <f t="shared" si="123"/>
        <v>0</v>
      </c>
      <c r="Q361" s="2"/>
      <c r="R361" s="1230" t="str">
        <f>R183</f>
        <v xml:space="preserve"> </v>
      </c>
      <c r="S361" s="1009" t="s">
        <v>374</v>
      </c>
      <c r="T361" s="2">
        <f t="shared" si="124"/>
        <v>0</v>
      </c>
      <c r="U361" s="2"/>
      <c r="V361" s="1230">
        <f>V183</f>
        <v>3.1270000000000002</v>
      </c>
      <c r="W361" s="1009" t="s">
        <v>374</v>
      </c>
      <c r="X361" s="2">
        <f t="shared" si="125"/>
        <v>2027</v>
      </c>
      <c r="Z361" s="815"/>
      <c r="AC361" s="1205"/>
      <c r="AD361" s="1205"/>
      <c r="AI361" s="1185"/>
      <c r="AJ361" s="1185"/>
      <c r="AK361" s="1185"/>
      <c r="AL361" s="1185"/>
      <c r="AM361" s="1185"/>
      <c r="AN361" s="1185"/>
      <c r="AO361" s="1185"/>
      <c r="AP361" s="1185"/>
      <c r="AQ361" s="1185"/>
      <c r="AR361" s="1185"/>
      <c r="AS361" s="1185"/>
      <c r="AU361" s="1204"/>
    </row>
    <row r="362" spans="1:47" s="1184" customFormat="1" hidden="1">
      <c r="A362" s="1005" t="s">
        <v>920</v>
      </c>
      <c r="C362" s="1026">
        <f>C403+C447</f>
        <v>33313</v>
      </c>
      <c r="D362" s="269"/>
      <c r="E362" s="1185"/>
      <c r="F362" s="1203"/>
      <c r="G362" s="269"/>
      <c r="H362" s="1185"/>
      <c r="I362" s="1203"/>
      <c r="J362" s="1230">
        <f>J184</f>
        <v>2.6950000000000003</v>
      </c>
      <c r="K362" s="1009" t="s">
        <v>374</v>
      </c>
      <c r="L362" s="1203">
        <f ca="1">L403+L447</f>
        <v>8828</v>
      </c>
      <c r="M362" s="1203"/>
      <c r="N362" s="1230" t="str">
        <f>N184</f>
        <v xml:space="preserve"> </v>
      </c>
      <c r="O362" s="1009" t="s">
        <v>374</v>
      </c>
      <c r="P362" s="1203">
        <f ca="1">P403+P447</f>
        <v>5675</v>
      </c>
      <c r="Q362" s="1203"/>
      <c r="R362" s="1230" t="str">
        <f>R184</f>
        <v xml:space="preserve"> </v>
      </c>
      <c r="S362" s="1009" t="s">
        <v>374</v>
      </c>
      <c r="T362" s="1203">
        <f ca="1">T403+T447</f>
        <v>590</v>
      </c>
      <c r="U362" s="1203"/>
      <c r="V362" s="1230">
        <f>V184</f>
        <v>2.6950000000000003</v>
      </c>
      <c r="W362" s="1009" t="s">
        <v>374</v>
      </c>
      <c r="X362" s="1203">
        <f ca="1">X403+X447</f>
        <v>2563</v>
      </c>
      <c r="Z362" s="815"/>
      <c r="AC362" s="1205"/>
      <c r="AD362" s="1205"/>
      <c r="AI362" s="1185"/>
      <c r="AJ362" s="1185"/>
      <c r="AK362" s="1185"/>
      <c r="AL362" s="1185"/>
      <c r="AM362" s="1185"/>
      <c r="AN362" s="1185"/>
      <c r="AO362" s="1185"/>
      <c r="AP362" s="1185"/>
      <c r="AQ362" s="1185"/>
      <c r="AR362" s="1185"/>
      <c r="AS362" s="1185"/>
      <c r="AU362" s="1204"/>
    </row>
    <row r="363" spans="1:47" hidden="1">
      <c r="A363" s="331" t="s">
        <v>401</v>
      </c>
      <c r="B363" s="1"/>
      <c r="C363" s="319"/>
      <c r="D363" s="332">
        <v>-0.01</v>
      </c>
      <c r="E363" s="321"/>
      <c r="F363" s="2"/>
      <c r="G363" s="332">
        <v>-0.01</v>
      </c>
      <c r="H363" s="323"/>
      <c r="I363" s="2"/>
      <c r="J363" s="332">
        <v>-0.01</v>
      </c>
      <c r="K363" s="323"/>
      <c r="L363" s="2"/>
      <c r="M363" s="2"/>
      <c r="N363" s="332">
        <v>-0.01</v>
      </c>
      <c r="O363" s="323"/>
      <c r="P363" s="2"/>
      <c r="Q363" s="2"/>
      <c r="R363" s="332">
        <v>-0.01</v>
      </c>
      <c r="S363" s="323"/>
      <c r="T363" s="2"/>
      <c r="U363" s="2"/>
      <c r="V363" s="332">
        <v>-0.01</v>
      </c>
      <c r="W363" s="323"/>
      <c r="X363" s="2"/>
      <c r="Y363" s="20"/>
      <c r="Z363" s="74"/>
      <c r="AA363" s="74"/>
      <c r="AB363" s="74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U363" s="84"/>
    </row>
    <row r="364" spans="1:47" hidden="1">
      <c r="A364" s="1" t="s">
        <v>390</v>
      </c>
      <c r="B364" s="1"/>
      <c r="C364" s="319">
        <v>0</v>
      </c>
      <c r="D364" s="334">
        <v>8.7100000000000009</v>
      </c>
      <c r="E364" s="321"/>
      <c r="F364" s="2">
        <f t="shared" ref="F364:F373" si="126">F399+F434</f>
        <v>0</v>
      </c>
      <c r="G364" s="334">
        <v>8.7100000000000009</v>
      </c>
      <c r="H364" s="321"/>
      <c r="I364" s="2">
        <f>-ROUND(G364*$C364/100,0)</f>
        <v>0</v>
      </c>
      <c r="J364" s="334">
        <f>J350</f>
        <v>10</v>
      </c>
      <c r="K364" s="321"/>
      <c r="L364" s="2">
        <f t="shared" ref="L364:L373" si="127">L399+L434</f>
        <v>0</v>
      </c>
      <c r="M364" s="2"/>
      <c r="N364" s="334">
        <f>N350</f>
        <v>10</v>
      </c>
      <c r="O364" s="321"/>
      <c r="P364" s="2">
        <f t="shared" ref="P364:P377" si="128">P399+P434</f>
        <v>0</v>
      </c>
      <c r="Q364" s="2"/>
      <c r="R364" s="334" t="str">
        <f>R350</f>
        <v xml:space="preserve"> </v>
      </c>
      <c r="S364" s="321"/>
      <c r="T364" s="2">
        <f t="shared" ref="T364:T377" si="129">T399+T434</f>
        <v>0</v>
      </c>
      <c r="U364" s="2"/>
      <c r="V364" s="334" t="str">
        <f>V350</f>
        <v xml:space="preserve"> </v>
      </c>
      <c r="W364" s="321"/>
      <c r="X364" s="2">
        <f t="shared" ref="X364:X377" si="130">X399+X434</f>
        <v>0</v>
      </c>
      <c r="Y364" s="20"/>
      <c r="Z364" s="74"/>
      <c r="AA364" s="74"/>
      <c r="AB364" s="74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U364" s="84"/>
    </row>
    <row r="365" spans="1:47" hidden="1">
      <c r="A365" s="1" t="s">
        <v>391</v>
      </c>
      <c r="B365" s="1"/>
      <c r="C365" s="319">
        <v>0</v>
      </c>
      <c r="D365" s="334">
        <v>12.98</v>
      </c>
      <c r="E365" s="321"/>
      <c r="F365" s="2">
        <f t="shared" si="126"/>
        <v>0</v>
      </c>
      <c r="G365" s="334">
        <v>12.98</v>
      </c>
      <c r="H365" s="321"/>
      <c r="I365" s="2">
        <f t="shared" ref="I365:I367" si="131">-ROUND(G365*$C365/100,0)</f>
        <v>0</v>
      </c>
      <c r="J365" s="334">
        <f>J351</f>
        <v>15</v>
      </c>
      <c r="K365" s="321"/>
      <c r="L365" s="2">
        <f t="shared" si="127"/>
        <v>0</v>
      </c>
      <c r="M365" s="2"/>
      <c r="N365" s="334">
        <f>N351</f>
        <v>15</v>
      </c>
      <c r="O365" s="321"/>
      <c r="P365" s="2">
        <f t="shared" si="128"/>
        <v>0</v>
      </c>
      <c r="Q365" s="2"/>
      <c r="R365" s="334" t="str">
        <f>R351</f>
        <v xml:space="preserve"> </v>
      </c>
      <c r="S365" s="321"/>
      <c r="T365" s="2">
        <f t="shared" si="129"/>
        <v>0</v>
      </c>
      <c r="U365" s="2"/>
      <c r="V365" s="334" t="str">
        <f>V351</f>
        <v xml:space="preserve"> </v>
      </c>
      <c r="W365" s="321"/>
      <c r="X365" s="2">
        <f t="shared" si="130"/>
        <v>0</v>
      </c>
      <c r="Y365" s="20"/>
      <c r="Z365" s="74"/>
      <c r="AA365" s="74"/>
      <c r="AB365" s="74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U365" s="84"/>
    </row>
    <row r="366" spans="1:47" hidden="1">
      <c r="A366" s="1" t="s">
        <v>402</v>
      </c>
      <c r="B366" s="1"/>
      <c r="C366" s="319">
        <v>0</v>
      </c>
      <c r="D366" s="334">
        <v>0.92</v>
      </c>
      <c r="E366" s="321"/>
      <c r="F366" s="2">
        <f t="shared" si="126"/>
        <v>0</v>
      </c>
      <c r="G366" s="334">
        <v>0.92</v>
      </c>
      <c r="H366" s="321"/>
      <c r="I366" s="2">
        <f t="shared" si="131"/>
        <v>0</v>
      </c>
      <c r="J366" s="334">
        <f>J352</f>
        <v>1</v>
      </c>
      <c r="K366" s="321"/>
      <c r="L366" s="2">
        <f t="shared" si="127"/>
        <v>0</v>
      </c>
      <c r="M366" s="2"/>
      <c r="N366" s="334">
        <f>N352</f>
        <v>1</v>
      </c>
      <c r="O366" s="321"/>
      <c r="P366" s="2">
        <f t="shared" si="128"/>
        <v>0</v>
      </c>
      <c r="Q366" s="2"/>
      <c r="R366" s="334" t="str">
        <f>R352</f>
        <v xml:space="preserve"> </v>
      </c>
      <c r="S366" s="321"/>
      <c r="T366" s="2">
        <f t="shared" si="129"/>
        <v>0</v>
      </c>
      <c r="U366" s="2"/>
      <c r="V366" s="334" t="str">
        <f>V352</f>
        <v xml:space="preserve"> </v>
      </c>
      <c r="W366" s="321"/>
      <c r="X366" s="2">
        <f t="shared" si="130"/>
        <v>0</v>
      </c>
      <c r="Y366" s="20"/>
      <c r="Z366" s="74"/>
      <c r="AA366" s="74"/>
      <c r="AB366" s="74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U366" s="84"/>
    </row>
    <row r="367" spans="1:47" hidden="1">
      <c r="A367" s="1" t="s">
        <v>403</v>
      </c>
      <c r="B367" s="1"/>
      <c r="C367" s="319">
        <v>0</v>
      </c>
      <c r="D367" s="334">
        <v>3.4</v>
      </c>
      <c r="E367" s="323"/>
      <c r="F367" s="2">
        <f t="shared" si="126"/>
        <v>0</v>
      </c>
      <c r="G367" s="334">
        <v>3.61</v>
      </c>
      <c r="H367" s="323"/>
      <c r="I367" s="2">
        <f t="shared" si="131"/>
        <v>0</v>
      </c>
      <c r="J367" s="334">
        <f ca="1">J355</f>
        <v>3.77</v>
      </c>
      <c r="K367" s="323"/>
      <c r="L367" s="2">
        <f t="shared" ca="1" si="127"/>
        <v>0</v>
      </c>
      <c r="M367" s="2"/>
      <c r="N367" s="334">
        <f ca="1">N355</f>
        <v>0.81</v>
      </c>
      <c r="O367" s="323"/>
      <c r="P367" s="2">
        <f t="shared" ca="1" si="128"/>
        <v>0</v>
      </c>
      <c r="Q367" s="2"/>
      <c r="R367" s="334">
        <f ca="1">R355</f>
        <v>1.06</v>
      </c>
      <c r="S367" s="323"/>
      <c r="T367" s="2">
        <f t="shared" ca="1" si="129"/>
        <v>0</v>
      </c>
      <c r="U367" s="2"/>
      <c r="V367" s="334">
        <f ca="1">V355</f>
        <v>1.9</v>
      </c>
      <c r="W367" s="323"/>
      <c r="X367" s="2">
        <f t="shared" ca="1" si="130"/>
        <v>0</v>
      </c>
      <c r="Y367" s="20"/>
      <c r="Z367" s="74"/>
      <c r="AA367" s="74"/>
      <c r="AB367" s="74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U367" s="84"/>
    </row>
    <row r="368" spans="1:47" hidden="1">
      <c r="A368" s="1" t="s">
        <v>405</v>
      </c>
      <c r="B368" s="1"/>
      <c r="C368" s="319">
        <v>0</v>
      </c>
      <c r="D368" s="335">
        <v>9.766</v>
      </c>
      <c r="E368" s="323" t="s">
        <v>374</v>
      </c>
      <c r="F368" s="2">
        <f t="shared" si="126"/>
        <v>0</v>
      </c>
      <c r="G368" s="335">
        <v>10.359</v>
      </c>
      <c r="H368" s="323" t="s">
        <v>374</v>
      </c>
      <c r="I368" s="2">
        <f>ROUND(G368*$C368/100*G363,0)</f>
        <v>0</v>
      </c>
      <c r="J368" s="335">
        <f ca="1">J356</f>
        <v>6.282</v>
      </c>
      <c r="K368" s="323" t="s">
        <v>374</v>
      </c>
      <c r="L368" s="2">
        <f t="shared" ca="1" si="127"/>
        <v>0</v>
      </c>
      <c r="M368" s="2"/>
      <c r="N368" s="335">
        <f ca="1">N356</f>
        <v>1.3483746810352102</v>
      </c>
      <c r="O368" s="323" t="s">
        <v>374</v>
      </c>
      <c r="P368" s="2">
        <f t="shared" ca="1" si="128"/>
        <v>0</v>
      </c>
      <c r="Q368" s="2"/>
      <c r="R368" s="335">
        <f ca="1">R356</f>
        <v>1.7708525176705459</v>
      </c>
      <c r="S368" s="323" t="s">
        <v>374</v>
      </c>
      <c r="T368" s="2">
        <f t="shared" ca="1" si="129"/>
        <v>0</v>
      </c>
      <c r="U368" s="2"/>
      <c r="V368" s="335">
        <f ca="1">V356</f>
        <v>3.162955363125258</v>
      </c>
      <c r="W368" s="323" t="s">
        <v>374</v>
      </c>
      <c r="X368" s="2">
        <f t="shared" ca="1" si="130"/>
        <v>0</v>
      </c>
      <c r="Y368" s="20"/>
      <c r="Z368" s="74"/>
      <c r="AA368" s="74"/>
      <c r="AB368" s="74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U368" s="84"/>
    </row>
    <row r="369" spans="1:47" hidden="1">
      <c r="A369" s="1" t="s">
        <v>398</v>
      </c>
      <c r="B369" s="1"/>
      <c r="C369" s="319">
        <v>0</v>
      </c>
      <c r="D369" s="335">
        <v>6.7460000000000004</v>
      </c>
      <c r="E369" s="323" t="s">
        <v>374</v>
      </c>
      <c r="F369" s="2">
        <f t="shared" si="126"/>
        <v>0</v>
      </c>
      <c r="G369" s="335">
        <v>7.1559999999999997</v>
      </c>
      <c r="H369" s="323" t="s">
        <v>374</v>
      </c>
      <c r="I369" s="2">
        <f>ROUND(G369*$C369/100*G363,0)</f>
        <v>0</v>
      </c>
      <c r="J369" s="335">
        <f ca="1">J357</f>
        <v>4.3410000000000002</v>
      </c>
      <c r="K369" s="323" t="s">
        <v>374</v>
      </c>
      <c r="L369" s="2">
        <f t="shared" ca="1" si="127"/>
        <v>0</v>
      </c>
      <c r="M369" s="2"/>
      <c r="N369" s="335">
        <f ca="1">N357</f>
        <v>0.93175626548296309</v>
      </c>
      <c r="O369" s="323" t="s">
        <v>374</v>
      </c>
      <c r="P369" s="2">
        <f t="shared" ca="1" si="128"/>
        <v>0</v>
      </c>
      <c r="Q369" s="2"/>
      <c r="R369" s="335">
        <f ca="1">R357</f>
        <v>1.2240066282869231</v>
      </c>
      <c r="S369" s="323" t="s">
        <v>374</v>
      </c>
      <c r="T369" s="2">
        <f t="shared" ca="1" si="129"/>
        <v>0</v>
      </c>
      <c r="U369" s="2"/>
      <c r="V369" s="335">
        <f ca="1">V357</f>
        <v>2.1849800075654815</v>
      </c>
      <c r="W369" s="323" t="s">
        <v>374</v>
      </c>
      <c r="X369" s="2">
        <f t="shared" ca="1" si="130"/>
        <v>0</v>
      </c>
      <c r="Y369" s="20"/>
      <c r="Z369" s="74"/>
      <c r="AA369" s="74"/>
      <c r="AB369" s="74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U369" s="84"/>
    </row>
    <row r="370" spans="1:47" hidden="1">
      <c r="A370" s="1" t="s">
        <v>399</v>
      </c>
      <c r="B370" s="1"/>
      <c r="C370" s="319">
        <v>0</v>
      </c>
      <c r="D370" s="335">
        <v>5.8120000000000003</v>
      </c>
      <c r="E370" s="323" t="s">
        <v>374</v>
      </c>
      <c r="F370" s="2">
        <f t="shared" si="126"/>
        <v>0</v>
      </c>
      <c r="G370" s="335">
        <v>6.1660000000000004</v>
      </c>
      <c r="H370" s="323" t="s">
        <v>374</v>
      </c>
      <c r="I370" s="2">
        <f>ROUND(G370*$C370/100*G363,0)</f>
        <v>0</v>
      </c>
      <c r="J370" s="335">
        <f ca="1">J358</f>
        <v>3.74</v>
      </c>
      <c r="K370" s="323" t="s">
        <v>374</v>
      </c>
      <c r="L370" s="2">
        <f t="shared" ca="1" si="127"/>
        <v>0</v>
      </c>
      <c r="M370" s="2"/>
      <c r="N370" s="335">
        <f ca="1">N358</f>
        <v>0.80275718206159852</v>
      </c>
      <c r="O370" s="323" t="s">
        <v>374</v>
      </c>
      <c r="P370" s="2">
        <f t="shared" ca="1" si="128"/>
        <v>0</v>
      </c>
      <c r="Q370" s="2"/>
      <c r="R370" s="335">
        <f ca="1">R358</f>
        <v>1.0536847359511734</v>
      </c>
      <c r="S370" s="323" t="s">
        <v>374</v>
      </c>
      <c r="T370" s="2">
        <f t="shared" ca="1" si="129"/>
        <v>0</v>
      </c>
      <c r="U370" s="2"/>
      <c r="V370" s="335">
        <f ca="1">V358</f>
        <v>1.8834755557989509</v>
      </c>
      <c r="W370" s="323" t="s">
        <v>374</v>
      </c>
      <c r="X370" s="2">
        <f t="shared" ca="1" si="130"/>
        <v>0</v>
      </c>
      <c r="Y370" s="20"/>
      <c r="Z370" s="74"/>
      <c r="AA370" s="74"/>
      <c r="AB370" s="74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U370" s="84"/>
    </row>
    <row r="371" spans="1:47" hidden="1">
      <c r="A371" s="1" t="s">
        <v>400</v>
      </c>
      <c r="B371" s="1"/>
      <c r="C371" s="319">
        <v>0</v>
      </c>
      <c r="D371" s="336">
        <v>56</v>
      </c>
      <c r="E371" s="323" t="s">
        <v>374</v>
      </c>
      <c r="F371" s="2">
        <f t="shared" si="126"/>
        <v>0</v>
      </c>
      <c r="G371" s="336">
        <v>56</v>
      </c>
      <c r="H371" s="323" t="s">
        <v>374</v>
      </c>
      <c r="I371" s="2">
        <f>ROUND(G371*$C371/100*G363,0)</f>
        <v>0</v>
      </c>
      <c r="J371" s="336">
        <f>J359</f>
        <v>56</v>
      </c>
      <c r="K371" s="323" t="s">
        <v>374</v>
      </c>
      <c r="L371" s="2">
        <f t="shared" si="127"/>
        <v>0</v>
      </c>
      <c r="M371" s="2"/>
      <c r="N371" s="336" t="str">
        <f>N359</f>
        <v xml:space="preserve"> </v>
      </c>
      <c r="O371" s="323" t="s">
        <v>374</v>
      </c>
      <c r="P371" s="2">
        <f t="shared" si="128"/>
        <v>0</v>
      </c>
      <c r="Q371" s="2"/>
      <c r="R371" s="336">
        <f ca="1">R359</f>
        <v>11</v>
      </c>
      <c r="S371" s="323" t="s">
        <v>374</v>
      </c>
      <c r="T371" s="2">
        <f t="shared" ca="1" si="129"/>
        <v>0</v>
      </c>
      <c r="U371" s="2"/>
      <c r="V371" s="336">
        <f ca="1">V359</f>
        <v>45</v>
      </c>
      <c r="W371" s="323" t="s">
        <v>374</v>
      </c>
      <c r="X371" s="2">
        <f t="shared" ca="1" si="130"/>
        <v>0</v>
      </c>
      <c r="Y371" s="20"/>
      <c r="Z371" s="74"/>
      <c r="AA371" s="74"/>
      <c r="AB371" s="74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U371" s="84"/>
    </row>
    <row r="372" spans="1:47" hidden="1">
      <c r="A372" s="1" t="s">
        <v>407</v>
      </c>
      <c r="B372" s="1"/>
      <c r="C372" s="319">
        <v>0</v>
      </c>
      <c r="D372" s="337">
        <v>60</v>
      </c>
      <c r="E372" s="321"/>
      <c r="F372" s="2">
        <f t="shared" si="126"/>
        <v>0</v>
      </c>
      <c r="G372" s="337">
        <v>60</v>
      </c>
      <c r="H372" s="323"/>
      <c r="I372" s="2">
        <f>ROUND(G372*C372,0)</f>
        <v>0</v>
      </c>
      <c r="J372" s="337">
        <f>$J$197</f>
        <v>60</v>
      </c>
      <c r="K372" s="323"/>
      <c r="L372" s="2">
        <f t="shared" si="127"/>
        <v>0</v>
      </c>
      <c r="M372" s="2"/>
      <c r="N372" s="337">
        <f>$J$197</f>
        <v>60</v>
      </c>
      <c r="O372" s="323"/>
      <c r="P372" s="2">
        <f t="shared" si="128"/>
        <v>0</v>
      </c>
      <c r="Q372" s="2"/>
      <c r="R372" s="337">
        <f>$J$197</f>
        <v>60</v>
      </c>
      <c r="S372" s="323"/>
      <c r="T372" s="2">
        <f t="shared" ca="1" si="129"/>
        <v>0</v>
      </c>
      <c r="U372" s="2"/>
      <c r="V372" s="337">
        <f>$J$197</f>
        <v>60</v>
      </c>
      <c r="W372" s="323"/>
      <c r="X372" s="2">
        <f t="shared" ca="1" si="130"/>
        <v>0</v>
      </c>
      <c r="Y372" s="20"/>
      <c r="Z372" s="74"/>
      <c r="AA372" s="74"/>
      <c r="AB372" s="74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U372" s="84"/>
    </row>
    <row r="373" spans="1:47" hidden="1">
      <c r="A373" s="1" t="s">
        <v>408</v>
      </c>
      <c r="B373" s="1"/>
      <c r="C373" s="319">
        <v>0</v>
      </c>
      <c r="D373" s="339">
        <v>-30</v>
      </c>
      <c r="E373" s="321" t="s">
        <v>374</v>
      </c>
      <c r="F373" s="2">
        <f t="shared" si="126"/>
        <v>0</v>
      </c>
      <c r="G373" s="339">
        <v>-30</v>
      </c>
      <c r="H373" s="323" t="s">
        <v>374</v>
      </c>
      <c r="I373" s="2">
        <f>ROUND(G373*C373/100,0)</f>
        <v>0</v>
      </c>
      <c r="J373" s="339">
        <f>$J$198</f>
        <v>-30</v>
      </c>
      <c r="K373" s="323" t="s">
        <v>374</v>
      </c>
      <c r="L373" s="2">
        <f t="shared" si="127"/>
        <v>0</v>
      </c>
      <c r="M373" s="2"/>
      <c r="N373" s="339">
        <f>$J$198</f>
        <v>-30</v>
      </c>
      <c r="O373" s="323" t="s">
        <v>374</v>
      </c>
      <c r="P373" s="2">
        <f t="shared" si="128"/>
        <v>0</v>
      </c>
      <c r="Q373" s="2"/>
      <c r="R373" s="339">
        <f>$J$198</f>
        <v>-30</v>
      </c>
      <c r="S373" s="323" t="s">
        <v>374</v>
      </c>
      <c r="T373" s="2">
        <f t="shared" si="129"/>
        <v>0</v>
      </c>
      <c r="U373" s="2"/>
      <c r="V373" s="339">
        <f>$J$198</f>
        <v>-30</v>
      </c>
      <c r="W373" s="323" t="s">
        <v>374</v>
      </c>
      <c r="X373" s="2">
        <f t="shared" si="130"/>
        <v>0</v>
      </c>
      <c r="Y373" s="20"/>
      <c r="Z373" s="74"/>
      <c r="AA373" s="74"/>
      <c r="AB373" s="74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U373" s="84"/>
    </row>
    <row r="374" spans="1:47" s="1184" customFormat="1" hidden="1">
      <c r="A374" s="1005" t="s">
        <v>918</v>
      </c>
      <c r="C374" s="1026">
        <v>0</v>
      </c>
      <c r="D374" s="269"/>
      <c r="E374" s="1185"/>
      <c r="F374" s="1203"/>
      <c r="G374" s="269"/>
      <c r="H374" s="1185"/>
      <c r="I374" s="1203"/>
      <c r="J374" s="1230">
        <f>J182</f>
        <v>4.5289999999999999</v>
      </c>
      <c r="K374" s="1009" t="s">
        <v>374</v>
      </c>
      <c r="L374" s="2">
        <f t="shared" ref="L374:L376" si="132">L409+L444</f>
        <v>0</v>
      </c>
      <c r="M374" s="2"/>
      <c r="N374" s="1230" t="str">
        <f>N182</f>
        <v xml:space="preserve"> </v>
      </c>
      <c r="O374" s="1009" t="s">
        <v>374</v>
      </c>
      <c r="P374" s="2">
        <f t="shared" si="128"/>
        <v>0</v>
      </c>
      <c r="Q374" s="2"/>
      <c r="R374" s="1230" t="str">
        <f>R182</f>
        <v xml:space="preserve"> </v>
      </c>
      <c r="S374" s="1009" t="s">
        <v>374</v>
      </c>
      <c r="T374" s="2">
        <f t="shared" si="129"/>
        <v>0</v>
      </c>
      <c r="U374" s="2"/>
      <c r="V374" s="1230">
        <f>V182</f>
        <v>4.5289999999999999</v>
      </c>
      <c r="W374" s="1009" t="s">
        <v>374</v>
      </c>
      <c r="X374" s="2">
        <f t="shared" si="130"/>
        <v>0</v>
      </c>
      <c r="Z374" s="815"/>
      <c r="AC374" s="1205"/>
      <c r="AD374" s="1205"/>
      <c r="AI374" s="1185"/>
      <c r="AJ374" s="1185"/>
      <c r="AK374" s="1185"/>
      <c r="AL374" s="1185"/>
      <c r="AM374" s="1185"/>
      <c r="AN374" s="1185"/>
      <c r="AO374" s="1185"/>
      <c r="AP374" s="1185"/>
      <c r="AQ374" s="1185"/>
      <c r="AR374" s="1185"/>
      <c r="AS374" s="1185"/>
      <c r="AU374" s="1204"/>
    </row>
    <row r="375" spans="1:47" s="1184" customFormat="1" hidden="1">
      <c r="A375" s="1005" t="s">
        <v>919</v>
      </c>
      <c r="C375" s="1026">
        <v>0</v>
      </c>
      <c r="D375" s="269"/>
      <c r="E375" s="1185"/>
      <c r="F375" s="1203"/>
      <c r="G375" s="269"/>
      <c r="H375" s="1185"/>
      <c r="I375" s="1203"/>
      <c r="J375" s="1230">
        <f>J183</f>
        <v>3.1270000000000002</v>
      </c>
      <c r="K375" s="1009" t="s">
        <v>374</v>
      </c>
      <c r="L375" s="2">
        <f t="shared" si="132"/>
        <v>0</v>
      </c>
      <c r="M375" s="2"/>
      <c r="N375" s="1230" t="str">
        <f>N183</f>
        <v xml:space="preserve"> </v>
      </c>
      <c r="O375" s="1009" t="s">
        <v>374</v>
      </c>
      <c r="P375" s="2">
        <f t="shared" si="128"/>
        <v>0</v>
      </c>
      <c r="Q375" s="2"/>
      <c r="R375" s="1230" t="str">
        <f>R183</f>
        <v xml:space="preserve"> </v>
      </c>
      <c r="S375" s="1009" t="s">
        <v>374</v>
      </c>
      <c r="T375" s="2">
        <f t="shared" si="129"/>
        <v>0</v>
      </c>
      <c r="U375" s="2"/>
      <c r="V375" s="1230">
        <f>V183</f>
        <v>3.1270000000000002</v>
      </c>
      <c r="W375" s="1009" t="s">
        <v>374</v>
      </c>
      <c r="X375" s="2">
        <f t="shared" si="130"/>
        <v>0</v>
      </c>
      <c r="Z375" s="815"/>
      <c r="AC375" s="1205"/>
      <c r="AD375" s="1205"/>
      <c r="AI375" s="1185"/>
      <c r="AJ375" s="1185"/>
      <c r="AK375" s="1185"/>
      <c r="AL375" s="1185"/>
      <c r="AM375" s="1185"/>
      <c r="AN375" s="1185"/>
      <c r="AO375" s="1185"/>
      <c r="AP375" s="1185"/>
      <c r="AQ375" s="1185"/>
      <c r="AR375" s="1185"/>
      <c r="AS375" s="1185"/>
      <c r="AU375" s="1204"/>
    </row>
    <row r="376" spans="1:47" s="1184" customFormat="1" hidden="1">
      <c r="A376" s="1005" t="s">
        <v>920</v>
      </c>
      <c r="C376" s="1026">
        <v>0</v>
      </c>
      <c r="D376" s="269"/>
      <c r="E376" s="1185"/>
      <c r="F376" s="1203"/>
      <c r="G376" s="269"/>
      <c r="H376" s="1185"/>
      <c r="I376" s="1203"/>
      <c r="J376" s="1230">
        <f>J184</f>
        <v>2.6950000000000003</v>
      </c>
      <c r="K376" s="1009" t="s">
        <v>374</v>
      </c>
      <c r="L376" s="2">
        <f t="shared" si="132"/>
        <v>0</v>
      </c>
      <c r="M376" s="2"/>
      <c r="N376" s="1230" t="str">
        <f>N184</f>
        <v xml:space="preserve"> </v>
      </c>
      <c r="O376" s="1009" t="s">
        <v>374</v>
      </c>
      <c r="P376" s="2">
        <f t="shared" si="128"/>
        <v>0</v>
      </c>
      <c r="Q376" s="2"/>
      <c r="R376" s="1230" t="str">
        <f>R184</f>
        <v xml:space="preserve"> </v>
      </c>
      <c r="S376" s="1009" t="s">
        <v>374</v>
      </c>
      <c r="T376" s="2">
        <f t="shared" si="129"/>
        <v>0</v>
      </c>
      <c r="U376" s="2"/>
      <c r="V376" s="1230">
        <f>V184</f>
        <v>2.6950000000000003</v>
      </c>
      <c r="W376" s="1009" t="s">
        <v>374</v>
      </c>
      <c r="X376" s="2">
        <f t="shared" si="130"/>
        <v>0</v>
      </c>
      <c r="Z376" s="815"/>
      <c r="AC376" s="1205"/>
      <c r="AD376" s="1205"/>
      <c r="AI376" s="1185"/>
      <c r="AJ376" s="1185"/>
      <c r="AK376" s="1185"/>
      <c r="AL376" s="1185"/>
      <c r="AM376" s="1185"/>
      <c r="AN376" s="1185"/>
      <c r="AO376" s="1185"/>
      <c r="AP376" s="1185"/>
      <c r="AQ376" s="1185"/>
      <c r="AR376" s="1185"/>
      <c r="AS376" s="1185"/>
      <c r="AU376" s="1204"/>
    </row>
    <row r="377" spans="1:47" hidden="1">
      <c r="A377" s="1" t="s">
        <v>381</v>
      </c>
      <c r="B377" s="1"/>
      <c r="C377" s="319">
        <f>C412+C447</f>
        <v>1302631.6605672329</v>
      </c>
      <c r="D377" s="330"/>
      <c r="E377" s="2"/>
      <c r="F377" s="2">
        <f t="shared" ref="F377" si="133">F412+F447</f>
        <v>165024</v>
      </c>
      <c r="G377" s="330"/>
      <c r="H377" s="323"/>
      <c r="I377" s="2">
        <f>I412+I447</f>
        <v>172631</v>
      </c>
      <c r="J377" s="330"/>
      <c r="K377" s="323"/>
      <c r="L377" s="2">
        <f t="shared" ref="L377" ca="1" si="134">L412+L447</f>
        <v>184318</v>
      </c>
      <c r="M377" s="2"/>
      <c r="N377" s="330"/>
      <c r="O377" s="323"/>
      <c r="P377" s="2">
        <f t="shared" ca="1" si="128"/>
        <v>62951</v>
      </c>
      <c r="Q377" s="2"/>
      <c r="R377" s="330"/>
      <c r="S377" s="323"/>
      <c r="T377" s="2">
        <f t="shared" ca="1" si="129"/>
        <v>22713</v>
      </c>
      <c r="U377" s="2"/>
      <c r="V377" s="330"/>
      <c r="W377" s="323"/>
      <c r="X377" s="2">
        <f t="shared" ca="1" si="130"/>
        <v>98656</v>
      </c>
      <c r="Y377" s="20"/>
      <c r="Z377" s="74"/>
      <c r="AA377" s="74"/>
      <c r="AB377" s="74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U377" s="84"/>
    </row>
    <row r="378" spans="1:47" hidden="1">
      <c r="A378" s="1" t="s">
        <v>363</v>
      </c>
      <c r="B378" s="1"/>
      <c r="C378" s="340">
        <f ca="1">C413+C448</f>
        <v>-4124.0649466890627</v>
      </c>
      <c r="D378" s="309"/>
      <c r="E378" s="309"/>
      <c r="F378" s="341">
        <f ca="1">I378</f>
        <v>-559.29858037992369</v>
      </c>
      <c r="G378" s="309"/>
      <c r="H378" s="309"/>
      <c r="I378" s="341">
        <f ca="1">I413+I448</f>
        <v>-559.29858037992369</v>
      </c>
      <c r="J378" s="309"/>
      <c r="K378" s="309"/>
      <c r="L378" s="341">
        <f ca="1">I378</f>
        <v>-559.29858037992369</v>
      </c>
      <c r="M378" s="322"/>
      <c r="N378" s="309"/>
      <c r="O378" s="309"/>
      <c r="P378" s="341">
        <f ca="1">$L$378*Y207/($Y$207+$Z$207+$AA$207)</f>
        <v>-110.25531365207995</v>
      </c>
      <c r="Q378" s="51"/>
      <c r="R378" s="309"/>
      <c r="S378" s="309"/>
      <c r="T378" s="341">
        <f ca="1">$L$378*Z207/($Y$207+$Z$207+$AA$207)</f>
        <v>-88.790654736573458</v>
      </c>
      <c r="U378" s="51"/>
      <c r="V378" s="309"/>
      <c r="W378" s="309"/>
      <c r="X378" s="341">
        <f ca="1">$L$378*AA207/($Y$207+$Z$207+$AA$207)</f>
        <v>-360.25261199127027</v>
      </c>
      <c r="Y378" s="444"/>
      <c r="Z378" s="287"/>
      <c r="AA378" s="74"/>
      <c r="AB378" s="74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U378" s="84"/>
    </row>
    <row r="379" spans="1:47" ht="16.5" hidden="1" thickBot="1">
      <c r="A379" s="1" t="s">
        <v>382</v>
      </c>
      <c r="B379" s="1"/>
      <c r="C379" s="311">
        <f ca="1">SUM(C377:C378)</f>
        <v>1298507.5956205437</v>
      </c>
      <c r="D379" s="342"/>
      <c r="E379" s="343"/>
      <c r="F379" s="344">
        <f ca="1">F377+F378</f>
        <v>164464.70141962008</v>
      </c>
      <c r="G379" s="342"/>
      <c r="H379" s="345"/>
      <c r="I379" s="344">
        <f ca="1">I377+I378</f>
        <v>172071.70141962008</v>
      </c>
      <c r="J379" s="342"/>
      <c r="K379" s="345"/>
      <c r="L379" s="344">
        <f ca="1">L377+L378</f>
        <v>183758.70141962008</v>
      </c>
      <c r="M379" s="344"/>
      <c r="N379" s="342"/>
      <c r="O379" s="345"/>
      <c r="P379" s="344">
        <f ca="1">P377+P378</f>
        <v>62840.74468634792</v>
      </c>
      <c r="Q379" s="344"/>
      <c r="R379" s="342"/>
      <c r="S379" s="345"/>
      <c r="T379" s="344">
        <f ca="1">T377+T378</f>
        <v>22624.209345263425</v>
      </c>
      <c r="U379" s="344"/>
      <c r="V379" s="342"/>
      <c r="W379" s="345"/>
      <c r="X379" s="344">
        <f ca="1">X377+X378</f>
        <v>98295.747388008735</v>
      </c>
      <c r="Y379" s="411"/>
      <c r="Z379" s="470"/>
      <c r="AA379" s="74"/>
      <c r="AB379" s="74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U379" s="84"/>
    </row>
    <row r="380" spans="1:47" ht="16.5" hidden="1" thickTop="1">
      <c r="A380" s="1"/>
      <c r="B380" s="1"/>
      <c r="C380" s="21"/>
      <c r="D380" s="337"/>
      <c r="E380" s="2"/>
      <c r="F380" s="2"/>
      <c r="G380" s="337"/>
      <c r="H380" s="1"/>
      <c r="I380" s="2"/>
      <c r="J380" s="337"/>
      <c r="K380" s="1"/>
      <c r="L380" s="2" t="s">
        <v>31</v>
      </c>
      <c r="M380" s="2"/>
      <c r="N380" s="337"/>
      <c r="O380" s="1"/>
      <c r="P380" s="2" t="s">
        <v>31</v>
      </c>
      <c r="Q380" s="2"/>
      <c r="R380" s="337"/>
      <c r="S380" s="1"/>
      <c r="T380" s="2" t="s">
        <v>31</v>
      </c>
      <c r="U380" s="2"/>
      <c r="V380" s="337"/>
      <c r="W380" s="1"/>
      <c r="X380" s="2" t="s">
        <v>31</v>
      </c>
      <c r="Y380" s="20"/>
      <c r="Z380" s="74"/>
      <c r="AA380" s="74"/>
      <c r="AB380" s="74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U380" s="84"/>
    </row>
    <row r="381" spans="1:47" hidden="1">
      <c r="A381" s="293" t="s">
        <v>415</v>
      </c>
      <c r="B381" s="1"/>
      <c r="C381" s="1"/>
      <c r="D381" s="2"/>
      <c r="E381" s="2"/>
      <c r="F381" s="1" t="s">
        <v>31</v>
      </c>
      <c r="G381" s="2"/>
      <c r="H381" s="1"/>
      <c r="I381" s="1"/>
      <c r="J381" s="2"/>
      <c r="K381" s="1"/>
      <c r="L381" s="1"/>
      <c r="M381" s="1"/>
      <c r="N381" s="2"/>
      <c r="O381" s="1"/>
      <c r="P381" s="1"/>
      <c r="Q381" s="1"/>
      <c r="R381" s="2"/>
      <c r="S381" s="1"/>
      <c r="T381" s="1"/>
      <c r="U381" s="1"/>
      <c r="V381" s="2"/>
      <c r="W381" s="1"/>
      <c r="X381" s="1"/>
      <c r="Y381" s="20"/>
      <c r="Z381" s="74"/>
      <c r="AA381" s="74"/>
      <c r="AB381" s="74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U381" s="84"/>
    </row>
    <row r="382" spans="1:47" hidden="1">
      <c r="A382" s="1" t="s">
        <v>411</v>
      </c>
      <c r="B382" s="1"/>
      <c r="C382" s="1"/>
      <c r="D382" s="2"/>
      <c r="E382" s="2"/>
      <c r="F382" s="1"/>
      <c r="G382" s="2"/>
      <c r="H382" s="1"/>
      <c r="I382" s="1"/>
      <c r="J382" s="2"/>
      <c r="K382" s="1"/>
      <c r="L382" s="1"/>
      <c r="M382" s="1"/>
      <c r="N382" s="2"/>
      <c r="O382" s="1"/>
      <c r="P382" s="1"/>
      <c r="Q382" s="1"/>
      <c r="R382" s="2"/>
      <c r="S382" s="1"/>
      <c r="T382" s="1"/>
      <c r="U382" s="1"/>
      <c r="V382" s="2"/>
      <c r="W382" s="1"/>
      <c r="X382" s="1"/>
      <c r="Y382" s="20"/>
      <c r="Z382" s="74"/>
      <c r="AA382" s="74"/>
      <c r="AB382" s="74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U382" s="84"/>
    </row>
    <row r="383" spans="1:47" hidden="1">
      <c r="A383" s="1"/>
      <c r="B383" s="1"/>
      <c r="C383" s="1"/>
      <c r="D383" s="2"/>
      <c r="E383" s="2"/>
      <c r="F383" s="1"/>
      <c r="G383" s="2"/>
      <c r="H383" s="1"/>
      <c r="I383" s="1"/>
      <c r="J383" s="2"/>
      <c r="K383" s="1"/>
      <c r="L383" s="1"/>
      <c r="M383" s="1"/>
      <c r="N383" s="2"/>
      <c r="O383" s="1"/>
      <c r="P383" s="1"/>
      <c r="Q383" s="1"/>
      <c r="R383" s="2"/>
      <c r="S383" s="1"/>
      <c r="T383" s="1"/>
      <c r="U383" s="1"/>
      <c r="V383" s="2"/>
      <c r="W383" s="1"/>
      <c r="X383" s="1"/>
      <c r="Y383" s="20"/>
      <c r="Z383" s="74"/>
      <c r="AA383" s="74"/>
      <c r="AB383" s="74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U383" s="84"/>
    </row>
    <row r="384" spans="1:47" hidden="1">
      <c r="A384" s="1" t="s">
        <v>393</v>
      </c>
      <c r="B384" s="1"/>
      <c r="C384" s="319"/>
      <c r="D384" s="2"/>
      <c r="E384" s="2"/>
      <c r="F384" s="1"/>
      <c r="G384" s="2"/>
      <c r="H384" s="1"/>
      <c r="I384" s="1"/>
      <c r="J384" s="2"/>
      <c r="K384" s="1"/>
      <c r="L384" s="1"/>
      <c r="M384" s="1"/>
      <c r="N384" s="2"/>
      <c r="O384" s="1"/>
      <c r="P384" s="1"/>
      <c r="Q384" s="1"/>
      <c r="R384" s="2"/>
      <c r="S384" s="1"/>
      <c r="T384" s="1"/>
      <c r="U384" s="1"/>
      <c r="V384" s="2"/>
      <c r="W384" s="1"/>
      <c r="X384" s="1"/>
      <c r="Y384" s="20"/>
      <c r="Z384" s="74"/>
      <c r="AA384" s="74"/>
      <c r="AB384" s="74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U384" s="84"/>
    </row>
    <row r="385" spans="1:47" hidden="1">
      <c r="A385" s="1" t="s">
        <v>416</v>
      </c>
      <c r="B385" s="1"/>
      <c r="C385" s="319">
        <f>[48]Sheet1!$D$6</f>
        <v>4043.0865373805159</v>
      </c>
      <c r="D385" s="298">
        <v>8.7100000000000009</v>
      </c>
      <c r="E385" s="321"/>
      <c r="F385" s="2">
        <f>ROUND(D385*$C385,0)</f>
        <v>35215</v>
      </c>
      <c r="G385" s="298">
        <v>8.7100000000000009</v>
      </c>
      <c r="H385" s="323"/>
      <c r="I385" s="2">
        <f>ROUND(G385*$C385,0)</f>
        <v>35215</v>
      </c>
      <c r="J385" s="298">
        <f>$J$172</f>
        <v>10</v>
      </c>
      <c r="K385" s="323"/>
      <c r="L385" s="2">
        <f>ROUND(J385*$C385,0)</f>
        <v>40431</v>
      </c>
      <c r="M385" s="2"/>
      <c r="N385" s="298">
        <f>$N$172</f>
        <v>10</v>
      </c>
      <c r="O385" s="323"/>
      <c r="P385" s="2">
        <f>ROUND(N385*$C385,0)</f>
        <v>40431</v>
      </c>
      <c r="Q385" s="2"/>
      <c r="R385" s="298" t="str">
        <f>$R$172</f>
        <v xml:space="preserve"> </v>
      </c>
      <c r="S385" s="323"/>
      <c r="T385" s="2">
        <f>ROUND(R385*$C385,0)</f>
        <v>0</v>
      </c>
      <c r="U385" s="2"/>
      <c r="V385" s="298" t="str">
        <f>$V$172</f>
        <v xml:space="preserve"> </v>
      </c>
      <c r="W385" s="323"/>
      <c r="X385" s="2">
        <f>ROUND(V385*$C385,0)</f>
        <v>0</v>
      </c>
      <c r="Y385" s="20"/>
      <c r="Z385" s="74"/>
      <c r="AA385" s="74"/>
      <c r="AB385" s="74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U385" s="84"/>
    </row>
    <row r="386" spans="1:47" hidden="1">
      <c r="A386" s="1" t="s">
        <v>391</v>
      </c>
      <c r="B386" s="1"/>
      <c r="C386" s="319">
        <v>0</v>
      </c>
      <c r="D386" s="298">
        <v>12.98</v>
      </c>
      <c r="E386" s="324"/>
      <c r="F386" s="2">
        <f>ROUND(D386*$C386,0)</f>
        <v>0</v>
      </c>
      <c r="G386" s="298">
        <v>12.98</v>
      </c>
      <c r="H386" s="325"/>
      <c r="I386" s="2">
        <f t="shared" ref="I386:I387" si="135">ROUND(G386*$C386,0)</f>
        <v>0</v>
      </c>
      <c r="J386" s="298">
        <f>$J$173</f>
        <v>15</v>
      </c>
      <c r="K386" s="325"/>
      <c r="L386" s="2">
        <f>ROUND(J386*$C386,0)</f>
        <v>0</v>
      </c>
      <c r="M386" s="2"/>
      <c r="N386" s="298">
        <f>$N$173</f>
        <v>15</v>
      </c>
      <c r="O386" s="325"/>
      <c r="P386" s="2">
        <f>ROUND(N386*$C386,0)</f>
        <v>0</v>
      </c>
      <c r="Q386" s="2"/>
      <c r="R386" s="298" t="str">
        <f>$R$173</f>
        <v xml:space="preserve"> </v>
      </c>
      <c r="S386" s="325"/>
      <c r="T386" s="2">
        <f>ROUND(R386*$C386,0)</f>
        <v>0</v>
      </c>
      <c r="U386" s="2"/>
      <c r="V386" s="298" t="str">
        <f>$V$173</f>
        <v xml:space="preserve"> </v>
      </c>
      <c r="W386" s="325"/>
      <c r="X386" s="2">
        <f>ROUND(V386*$C386,0)</f>
        <v>0</v>
      </c>
      <c r="Y386" s="20"/>
      <c r="Z386" s="74"/>
      <c r="AA386" s="74"/>
      <c r="AB386" s="74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U386" s="84"/>
    </row>
    <row r="387" spans="1:47" hidden="1">
      <c r="A387" s="1" t="s">
        <v>392</v>
      </c>
      <c r="B387" s="1"/>
      <c r="C387" s="319">
        <v>0</v>
      </c>
      <c r="D387" s="298">
        <v>0.92</v>
      </c>
      <c r="E387" s="324"/>
      <c r="F387" s="2">
        <f>ROUND(D387*$C387,0)</f>
        <v>0</v>
      </c>
      <c r="G387" s="298">
        <v>0.92</v>
      </c>
      <c r="H387" s="325"/>
      <c r="I387" s="2">
        <f t="shared" si="135"/>
        <v>0</v>
      </c>
      <c r="J387" s="298">
        <f>$J$174</f>
        <v>1</v>
      </c>
      <c r="K387" s="325"/>
      <c r="L387" s="2">
        <f>ROUND(J387*$C387,0)</f>
        <v>0</v>
      </c>
      <c r="M387" s="2"/>
      <c r="N387" s="298">
        <f>$N$174</f>
        <v>1</v>
      </c>
      <c r="O387" s="325"/>
      <c r="P387" s="2">
        <f>ROUND(N387*$C387,0)</f>
        <v>0</v>
      </c>
      <c r="Q387" s="2"/>
      <c r="R387" s="298" t="str">
        <f>$R$174</f>
        <v xml:space="preserve"> </v>
      </c>
      <c r="S387" s="325"/>
      <c r="T387" s="2">
        <f>ROUND(R387*$C387,0)</f>
        <v>0</v>
      </c>
      <c r="U387" s="2"/>
      <c r="V387" s="298" t="str">
        <f>$V$174</f>
        <v xml:space="preserve"> </v>
      </c>
      <c r="W387" s="325"/>
      <c r="X387" s="2">
        <f>ROUND(V387*$C387,0)</f>
        <v>0</v>
      </c>
      <c r="Y387" s="20"/>
      <c r="Z387" s="74"/>
      <c r="AA387" s="74"/>
      <c r="AB387" s="74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U387" s="84"/>
    </row>
    <row r="388" spans="1:47" hidden="1">
      <c r="A388" s="1" t="s">
        <v>394</v>
      </c>
      <c r="B388" s="1"/>
      <c r="C388" s="319">
        <f>SUM(C385:C386)</f>
        <v>4043.0865373805159</v>
      </c>
      <c r="D388" s="298"/>
      <c r="E388" s="321"/>
      <c r="F388" s="2"/>
      <c r="G388" s="298"/>
      <c r="H388" s="323"/>
      <c r="I388" s="2"/>
      <c r="J388" s="298"/>
      <c r="K388" s="323"/>
      <c r="L388" s="2"/>
      <c r="M388" s="2"/>
      <c r="N388" s="298"/>
      <c r="O388" s="323"/>
      <c r="P388" s="2"/>
      <c r="Q388" s="2"/>
      <c r="R388" s="298"/>
      <c r="S388" s="323"/>
      <c r="T388" s="2"/>
      <c r="U388" s="2"/>
      <c r="V388" s="298"/>
      <c r="W388" s="323"/>
      <c r="X388" s="2"/>
      <c r="Y388" s="20"/>
      <c r="Z388" s="74"/>
      <c r="AA388" s="74"/>
      <c r="AB388" s="74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U388" s="84"/>
    </row>
    <row r="389" spans="1:47" hidden="1">
      <c r="A389" s="1" t="s">
        <v>362</v>
      </c>
      <c r="B389" s="1"/>
      <c r="C389" s="319">
        <f>[48]Sheet1!$C$6</f>
        <v>1404.6333333333369</v>
      </c>
      <c r="D389" s="298"/>
      <c r="E389" s="321"/>
      <c r="F389" s="2"/>
      <c r="G389" s="298"/>
      <c r="H389" s="323"/>
      <c r="I389" s="2"/>
      <c r="J389" s="298"/>
      <c r="K389" s="323"/>
      <c r="L389" s="2"/>
      <c r="M389" s="2"/>
      <c r="N389" s="298"/>
      <c r="O389" s="323"/>
      <c r="P389" s="2"/>
      <c r="Q389" s="2"/>
      <c r="R389" s="298"/>
      <c r="S389" s="323"/>
      <c r="T389" s="2"/>
      <c r="U389" s="2"/>
      <c r="V389" s="298"/>
      <c r="W389" s="323"/>
      <c r="X389" s="2"/>
      <c r="Y389" s="20"/>
      <c r="Z389" s="74"/>
      <c r="AA389" s="74"/>
      <c r="AB389" s="74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U389" s="84"/>
    </row>
    <row r="390" spans="1:47" hidden="1">
      <c r="A390" s="1" t="s">
        <v>395</v>
      </c>
      <c r="B390" s="1"/>
      <c r="C390" s="319">
        <v>0</v>
      </c>
      <c r="D390" s="326">
        <v>3.4</v>
      </c>
      <c r="E390" s="323"/>
      <c r="F390" s="2">
        <f>ROUND(D390*$C390,0)</f>
        <v>0</v>
      </c>
      <c r="G390" s="326">
        <v>3.61</v>
      </c>
      <c r="H390" s="323"/>
      <c r="I390" s="2">
        <f>ROUND(G390*C390,0)</f>
        <v>0</v>
      </c>
      <c r="J390" s="326">
        <f ca="1">$J$177</f>
        <v>3.77</v>
      </c>
      <c r="K390" s="323"/>
      <c r="L390" s="2">
        <f ca="1">ROUND(J390*$C390,0)</f>
        <v>0</v>
      </c>
      <c r="M390" s="2"/>
      <c r="N390" s="326">
        <f ca="1">$N$177</f>
        <v>0.81</v>
      </c>
      <c r="O390" s="323"/>
      <c r="P390" s="2">
        <f ca="1">ROUND(N390*$C390,0)</f>
        <v>0</v>
      </c>
      <c r="Q390" s="2"/>
      <c r="R390" s="326">
        <f ca="1">$R$177</f>
        <v>1.06</v>
      </c>
      <c r="S390" s="323"/>
      <c r="T390" s="2">
        <f ca="1">ROUND(R390*$C390,0)</f>
        <v>0</v>
      </c>
      <c r="U390" s="2"/>
      <c r="V390" s="326">
        <f ca="1">$V$177</f>
        <v>1.9</v>
      </c>
      <c r="W390" s="323"/>
      <c r="X390" s="2">
        <f ca="1">ROUND(V390*$C390,0)</f>
        <v>0</v>
      </c>
      <c r="Y390" s="20"/>
      <c r="Z390" s="74"/>
      <c r="AA390" s="74"/>
      <c r="AB390" s="74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U390" s="84"/>
    </row>
    <row r="391" spans="1:47" hidden="1">
      <c r="A391" s="1" t="s">
        <v>397</v>
      </c>
      <c r="B391" s="1"/>
      <c r="C391" s="319">
        <f>[48]Sheet1!$G$6+[48]Sheet1!$F$6</f>
        <v>1204506.6605672329</v>
      </c>
      <c r="D391" s="299">
        <v>9.766</v>
      </c>
      <c r="E391" s="323" t="s">
        <v>374</v>
      </c>
      <c r="F391" s="2">
        <f>ROUND(D391*$C391/100,0)</f>
        <v>117632</v>
      </c>
      <c r="G391" s="299">
        <v>10.359</v>
      </c>
      <c r="H391" s="323" t="s">
        <v>374</v>
      </c>
      <c r="I391" s="2">
        <f>ROUND(G391*C391/100,0)</f>
        <v>124775</v>
      </c>
      <c r="J391" s="299">
        <f ca="1">$J$178</f>
        <v>6.282</v>
      </c>
      <c r="K391" s="323" t="s">
        <v>374</v>
      </c>
      <c r="L391" s="2">
        <f ca="1">ROUND(J391*$C391/100,0)</f>
        <v>75667</v>
      </c>
      <c r="M391" s="2"/>
      <c r="N391" s="299">
        <f ca="1">$N$178</f>
        <v>1.3483746810352102</v>
      </c>
      <c r="O391" s="323" t="s">
        <v>374</v>
      </c>
      <c r="P391" s="2">
        <f ca="1">ROUND(N391*$C391/100,0)</f>
        <v>16241</v>
      </c>
      <c r="Q391" s="2"/>
      <c r="R391" s="299">
        <f ca="1">$R$178</f>
        <v>1.7708525176705459</v>
      </c>
      <c r="S391" s="323" t="s">
        <v>374</v>
      </c>
      <c r="T391" s="2">
        <f ca="1">ROUND(R391*$C391/100,0)</f>
        <v>21330</v>
      </c>
      <c r="U391" s="2"/>
      <c r="V391" s="299">
        <f ca="1">$V$178</f>
        <v>3.162955363125258</v>
      </c>
      <c r="W391" s="323" t="s">
        <v>374</v>
      </c>
      <c r="X391" s="2">
        <f ca="1">ROUND(V391*$C391/100,0)</f>
        <v>38098</v>
      </c>
      <c r="Y391" s="20"/>
      <c r="Z391" s="74"/>
      <c r="AA391" s="74"/>
      <c r="AB391" s="74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U391" s="84"/>
    </row>
    <row r="392" spans="1:47" hidden="1">
      <c r="A392" s="1" t="s">
        <v>398</v>
      </c>
      <c r="B392" s="21"/>
      <c r="C392" s="319">
        <f>[48]Sheet1!$H$6</f>
        <v>64812</v>
      </c>
      <c r="D392" s="299">
        <v>6.7460000000000004</v>
      </c>
      <c r="E392" s="323" t="s">
        <v>374</v>
      </c>
      <c r="F392" s="2">
        <f>ROUND(D392*$C392/100,0)</f>
        <v>4372</v>
      </c>
      <c r="G392" s="299">
        <v>7.1559999999999997</v>
      </c>
      <c r="H392" s="323" t="s">
        <v>374</v>
      </c>
      <c r="I392" s="2">
        <f t="shared" ref="I392:I394" si="136">ROUND(G392*C392/100,0)</f>
        <v>4638</v>
      </c>
      <c r="J392" s="299">
        <f ca="1">$J$179</f>
        <v>4.3410000000000002</v>
      </c>
      <c r="K392" s="323" t="s">
        <v>374</v>
      </c>
      <c r="L392" s="2">
        <f ca="1">ROUND(J392*$C392/100,0)</f>
        <v>2813</v>
      </c>
      <c r="M392" s="2"/>
      <c r="N392" s="299">
        <f ca="1">$N$179</f>
        <v>0.93175626548296309</v>
      </c>
      <c r="O392" s="323" t="s">
        <v>374</v>
      </c>
      <c r="P392" s="2">
        <f ca="1">ROUND(N392*$C392/100,0)</f>
        <v>604</v>
      </c>
      <c r="Q392" s="2"/>
      <c r="R392" s="299">
        <f ca="1">$R$179</f>
        <v>1.2240066282869231</v>
      </c>
      <c r="S392" s="323" t="s">
        <v>374</v>
      </c>
      <c r="T392" s="2">
        <f ca="1">ROUND(R392*$C392/100,0)</f>
        <v>793</v>
      </c>
      <c r="U392" s="2"/>
      <c r="V392" s="299">
        <f ca="1">$V$179</f>
        <v>2.1849800075654815</v>
      </c>
      <c r="W392" s="323" t="s">
        <v>374</v>
      </c>
      <c r="X392" s="2">
        <f ca="1">ROUND(V392*$C392/100,0)</f>
        <v>1416</v>
      </c>
      <c r="Y392" s="20"/>
      <c r="Z392" s="74"/>
      <c r="AA392" s="74"/>
      <c r="AB392" s="74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U392" s="84"/>
    </row>
    <row r="393" spans="1:47" hidden="1">
      <c r="A393" s="1" t="s">
        <v>399</v>
      </c>
      <c r="B393" s="1"/>
      <c r="C393" s="319">
        <f>0</f>
        <v>0</v>
      </c>
      <c r="D393" s="299">
        <v>5.8120000000000003</v>
      </c>
      <c r="E393" s="323" t="s">
        <v>374</v>
      </c>
      <c r="F393" s="2">
        <f>ROUND(D393*$C393/100,0)</f>
        <v>0</v>
      </c>
      <c r="G393" s="299">
        <v>6.1660000000000004</v>
      </c>
      <c r="H393" s="323" t="s">
        <v>374</v>
      </c>
      <c r="I393" s="2">
        <f t="shared" si="136"/>
        <v>0</v>
      </c>
      <c r="J393" s="299">
        <f ca="1">$J$180</f>
        <v>3.74</v>
      </c>
      <c r="K393" s="323" t="s">
        <v>374</v>
      </c>
      <c r="L393" s="2">
        <f ca="1">ROUND(J393*$C393/100,0)</f>
        <v>0</v>
      </c>
      <c r="M393" s="2"/>
      <c r="N393" s="299">
        <f ca="1">$N$180</f>
        <v>0.80275718206159852</v>
      </c>
      <c r="O393" s="323" t="s">
        <v>374</v>
      </c>
      <c r="P393" s="2">
        <f ca="1">ROUND(N393*$C393/100,0)</f>
        <v>0</v>
      </c>
      <c r="Q393" s="2"/>
      <c r="R393" s="299">
        <f ca="1">$R$180</f>
        <v>1.0536847359511734</v>
      </c>
      <c r="S393" s="323" t="s">
        <v>374</v>
      </c>
      <c r="T393" s="2">
        <f ca="1">ROUND(R393*$C393/100,0)</f>
        <v>0</v>
      </c>
      <c r="U393" s="2"/>
      <c r="V393" s="299">
        <f ca="1">$V$180</f>
        <v>1.8834755557989509</v>
      </c>
      <c r="W393" s="323" t="s">
        <v>374</v>
      </c>
      <c r="X393" s="2">
        <f ca="1">ROUND(V393*$C393/100,0)</f>
        <v>0</v>
      </c>
      <c r="Y393" s="20"/>
      <c r="Z393" s="74"/>
      <c r="AA393" s="74"/>
      <c r="AB393" s="74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U393" s="84"/>
    </row>
    <row r="394" spans="1:47" hidden="1">
      <c r="A394" s="1" t="s">
        <v>400</v>
      </c>
      <c r="B394" s="1"/>
      <c r="C394" s="319">
        <v>0</v>
      </c>
      <c r="D394" s="330">
        <v>56</v>
      </c>
      <c r="E394" s="321" t="s">
        <v>374</v>
      </c>
      <c r="F394" s="2">
        <f>ROUND(D394*$C394/100,0)</f>
        <v>0</v>
      </c>
      <c r="G394" s="330">
        <v>56</v>
      </c>
      <c r="H394" s="323" t="s">
        <v>374</v>
      </c>
      <c r="I394" s="2">
        <f t="shared" si="136"/>
        <v>0</v>
      </c>
      <c r="J394" s="330">
        <f>$J$181</f>
        <v>56</v>
      </c>
      <c r="K394" s="323" t="s">
        <v>374</v>
      </c>
      <c r="L394" s="2">
        <f>ROUND(J394*$C394/100,0)</f>
        <v>0</v>
      </c>
      <c r="M394" s="2"/>
      <c r="N394" s="330" t="str">
        <f>$N$181</f>
        <v xml:space="preserve"> </v>
      </c>
      <c r="O394" s="323" t="s">
        <v>374</v>
      </c>
      <c r="P394" s="2">
        <f>ROUND(N394*$C394/100,0)</f>
        <v>0</v>
      </c>
      <c r="Q394" s="2"/>
      <c r="R394" s="330">
        <f ca="1">$R$181</f>
        <v>11</v>
      </c>
      <c r="S394" s="323" t="s">
        <v>374</v>
      </c>
      <c r="T394" s="2">
        <f ca="1">ROUND(R394*$C394/100,0)</f>
        <v>0</v>
      </c>
      <c r="U394" s="2"/>
      <c r="V394" s="330">
        <f ca="1">$V$181</f>
        <v>45</v>
      </c>
      <c r="W394" s="323" t="s">
        <v>374</v>
      </c>
      <c r="X394" s="2">
        <f ca="1">ROUND(V394*$C394/100,0)</f>
        <v>0</v>
      </c>
      <c r="Y394" s="20"/>
      <c r="Z394" s="74"/>
      <c r="AA394" s="74"/>
      <c r="AB394" s="74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U394" s="84"/>
    </row>
    <row r="395" spans="1:47" s="1184" customFormat="1" hidden="1">
      <c r="A395" s="1005" t="s">
        <v>918</v>
      </c>
      <c r="C395" s="1202">
        <f>C391</f>
        <v>1204506.6605672329</v>
      </c>
      <c r="D395" s="269"/>
      <c r="E395" s="1185"/>
      <c r="F395" s="1203"/>
      <c r="G395" s="269"/>
      <c r="H395" s="1185"/>
      <c r="I395" s="1203"/>
      <c r="J395" s="1230">
        <f>J182</f>
        <v>4.5289999999999999</v>
      </c>
      <c r="K395" s="1009" t="s">
        <v>374</v>
      </c>
      <c r="L395" s="1203">
        <f t="shared" ref="L395:L397" si="137">ROUND(J395*$C395/100,0)</f>
        <v>54552</v>
      </c>
      <c r="M395" s="1203"/>
      <c r="N395" s="1230" t="str">
        <f>N182</f>
        <v xml:space="preserve"> </v>
      </c>
      <c r="O395" s="1009" t="s">
        <v>374</v>
      </c>
      <c r="P395" s="1203">
        <f t="shared" ref="P395:P397" si="138">ROUND(N395*$C395/100,0)</f>
        <v>0</v>
      </c>
      <c r="Q395" s="1203"/>
      <c r="R395" s="1230" t="str">
        <f>R182</f>
        <v xml:space="preserve"> </v>
      </c>
      <c r="S395" s="1009" t="s">
        <v>374</v>
      </c>
      <c r="T395" s="1203">
        <f t="shared" ref="T395:T397" si="139">ROUND(R395*$C395/100,0)</f>
        <v>0</v>
      </c>
      <c r="U395" s="1203"/>
      <c r="V395" s="1230">
        <f>V182</f>
        <v>4.5289999999999999</v>
      </c>
      <c r="W395" s="1009" t="s">
        <v>374</v>
      </c>
      <c r="X395" s="1203">
        <f t="shared" ref="X395:X397" si="140">ROUND(V395*$C395/100,0)</f>
        <v>54552</v>
      </c>
      <c r="Z395" s="815"/>
      <c r="AC395" s="1205"/>
      <c r="AD395" s="1205"/>
      <c r="AI395" s="1185"/>
      <c r="AJ395" s="1185"/>
      <c r="AK395" s="1185"/>
      <c r="AL395" s="1185"/>
      <c r="AM395" s="1185"/>
      <c r="AN395" s="1185"/>
      <c r="AO395" s="1185"/>
      <c r="AP395" s="1185"/>
      <c r="AQ395" s="1185"/>
      <c r="AR395" s="1185"/>
      <c r="AS395" s="1185"/>
      <c r="AU395" s="1204"/>
    </row>
    <row r="396" spans="1:47" s="1184" customFormat="1" hidden="1">
      <c r="A396" s="1005" t="s">
        <v>919</v>
      </c>
      <c r="C396" s="1202">
        <f>C392</f>
        <v>64812</v>
      </c>
      <c r="D396" s="269"/>
      <c r="E396" s="1185"/>
      <c r="F396" s="1203"/>
      <c r="G396" s="269"/>
      <c r="H396" s="1185"/>
      <c r="I396" s="1203"/>
      <c r="J396" s="1230">
        <f>J183</f>
        <v>3.1270000000000002</v>
      </c>
      <c r="K396" s="1009" t="s">
        <v>374</v>
      </c>
      <c r="L396" s="1203">
        <f t="shared" si="137"/>
        <v>2027</v>
      </c>
      <c r="M396" s="1203"/>
      <c r="N396" s="1230" t="str">
        <f>N183</f>
        <v xml:space="preserve"> </v>
      </c>
      <c r="O396" s="1009" t="s">
        <v>374</v>
      </c>
      <c r="P396" s="1203">
        <f t="shared" si="138"/>
        <v>0</v>
      </c>
      <c r="Q396" s="1203"/>
      <c r="R396" s="1230" t="str">
        <f>R183</f>
        <v xml:space="preserve"> </v>
      </c>
      <c r="S396" s="1009" t="s">
        <v>374</v>
      </c>
      <c r="T396" s="1203">
        <f t="shared" si="139"/>
        <v>0</v>
      </c>
      <c r="U396" s="1203"/>
      <c r="V396" s="1230">
        <f>V183</f>
        <v>3.1270000000000002</v>
      </c>
      <c r="W396" s="1009" t="s">
        <v>374</v>
      </c>
      <c r="X396" s="1203">
        <f t="shared" si="140"/>
        <v>2027</v>
      </c>
      <c r="Z396" s="815"/>
      <c r="AC396" s="1205"/>
      <c r="AD396" s="1205"/>
      <c r="AI396" s="1185"/>
      <c r="AJ396" s="1185"/>
      <c r="AK396" s="1185"/>
      <c r="AL396" s="1185"/>
      <c r="AM396" s="1185"/>
      <c r="AN396" s="1185"/>
      <c r="AO396" s="1185"/>
      <c r="AP396" s="1185"/>
      <c r="AQ396" s="1185"/>
      <c r="AR396" s="1185"/>
      <c r="AS396" s="1185"/>
      <c r="AU396" s="1204"/>
    </row>
    <row r="397" spans="1:47" s="1184" customFormat="1" hidden="1">
      <c r="A397" s="1005" t="s">
        <v>920</v>
      </c>
      <c r="C397" s="1202">
        <f>C393</f>
        <v>0</v>
      </c>
      <c r="D397" s="269"/>
      <c r="E397" s="1185"/>
      <c r="F397" s="1203"/>
      <c r="G397" s="269"/>
      <c r="H397" s="1185"/>
      <c r="I397" s="1203"/>
      <c r="J397" s="1230">
        <f>J184</f>
        <v>2.6950000000000003</v>
      </c>
      <c r="K397" s="1009" t="s">
        <v>374</v>
      </c>
      <c r="L397" s="1203">
        <f t="shared" si="137"/>
        <v>0</v>
      </c>
      <c r="M397" s="1203"/>
      <c r="N397" s="1230" t="str">
        <f>N184</f>
        <v xml:space="preserve"> </v>
      </c>
      <c r="O397" s="1009" t="s">
        <v>374</v>
      </c>
      <c r="P397" s="1203">
        <f t="shared" si="138"/>
        <v>0</v>
      </c>
      <c r="Q397" s="1203"/>
      <c r="R397" s="1230" t="str">
        <f>R184</f>
        <v xml:space="preserve"> </v>
      </c>
      <c r="S397" s="1009" t="s">
        <v>374</v>
      </c>
      <c r="T397" s="1203">
        <f t="shared" si="139"/>
        <v>0</v>
      </c>
      <c r="U397" s="1203"/>
      <c r="V397" s="1230">
        <f>V184</f>
        <v>2.6950000000000003</v>
      </c>
      <c r="W397" s="1009" t="s">
        <v>374</v>
      </c>
      <c r="X397" s="1203">
        <f t="shared" si="140"/>
        <v>0</v>
      </c>
      <c r="Z397" s="815"/>
      <c r="AC397" s="1205"/>
      <c r="AD397" s="1205"/>
      <c r="AI397" s="1185"/>
      <c r="AJ397" s="1185"/>
      <c r="AK397" s="1185"/>
      <c r="AL397" s="1185"/>
      <c r="AM397" s="1185"/>
      <c r="AN397" s="1185"/>
      <c r="AO397" s="1185"/>
      <c r="AP397" s="1185"/>
      <c r="AQ397" s="1185"/>
      <c r="AR397" s="1185"/>
      <c r="AS397" s="1185"/>
      <c r="AU397" s="1204"/>
    </row>
    <row r="398" spans="1:47" hidden="1">
      <c r="A398" s="331" t="s">
        <v>401</v>
      </c>
      <c r="B398" s="1"/>
      <c r="C398" s="319"/>
      <c r="D398" s="332">
        <v>-0.01</v>
      </c>
      <c r="E398" s="321"/>
      <c r="F398" s="2"/>
      <c r="G398" s="332">
        <v>-0.01</v>
      </c>
      <c r="H398" s="323"/>
      <c r="I398" s="2"/>
      <c r="J398" s="332">
        <v>-0.01</v>
      </c>
      <c r="K398" s="323"/>
      <c r="L398" s="2"/>
      <c r="M398" s="2"/>
      <c r="N398" s="332">
        <v>-0.01</v>
      </c>
      <c r="O398" s="323"/>
      <c r="P398" s="2"/>
      <c r="Q398" s="2"/>
      <c r="R398" s="332">
        <v>-0.01</v>
      </c>
      <c r="S398" s="323"/>
      <c r="T398" s="2"/>
      <c r="U398" s="2"/>
      <c r="V398" s="332">
        <v>-0.01</v>
      </c>
      <c r="W398" s="323"/>
      <c r="X398" s="2"/>
      <c r="Y398" s="20"/>
      <c r="Z398" s="74"/>
      <c r="AA398" s="74"/>
      <c r="AB398" s="74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U398" s="84"/>
    </row>
    <row r="399" spans="1:47" hidden="1">
      <c r="A399" s="1" t="s">
        <v>390</v>
      </c>
      <c r="B399" s="1"/>
      <c r="C399" s="319">
        <v>0</v>
      </c>
      <c r="D399" s="334">
        <v>8.7100000000000009</v>
      </c>
      <c r="E399" s="321"/>
      <c r="F399" s="2">
        <f>-ROUND(D399*$C399/100,0)</f>
        <v>0</v>
      </c>
      <c r="G399" s="334">
        <v>8.7100000000000009</v>
      </c>
      <c r="H399" s="321"/>
      <c r="I399" s="2">
        <f>-ROUND(G399*$C399/100,0)</f>
        <v>0</v>
      </c>
      <c r="J399" s="334">
        <f>J385</f>
        <v>10</v>
      </c>
      <c r="K399" s="321"/>
      <c r="L399" s="2">
        <f>-ROUND(J399*$C399/100,0)</f>
        <v>0</v>
      </c>
      <c r="M399" s="2"/>
      <c r="N399" s="334">
        <f>N385</f>
        <v>10</v>
      </c>
      <c r="O399" s="321"/>
      <c r="P399" s="2">
        <f>-ROUND(N399*$C399/100,0)</f>
        <v>0</v>
      </c>
      <c r="Q399" s="2"/>
      <c r="R399" s="334" t="str">
        <f>R385</f>
        <v xml:space="preserve"> </v>
      </c>
      <c r="S399" s="321"/>
      <c r="T399" s="2">
        <f>-ROUND(R399*$C399/100,0)</f>
        <v>0</v>
      </c>
      <c r="U399" s="2"/>
      <c r="V399" s="334" t="str">
        <f>V385</f>
        <v xml:space="preserve"> </v>
      </c>
      <c r="W399" s="321"/>
      <c r="X399" s="2">
        <f>-ROUND(V399*$C399/100,0)</f>
        <v>0</v>
      </c>
      <c r="Y399" s="20"/>
      <c r="Z399" s="74"/>
      <c r="AA399" s="74"/>
      <c r="AB399" s="74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U399" s="84"/>
    </row>
    <row r="400" spans="1:47" hidden="1">
      <c r="A400" s="1" t="s">
        <v>391</v>
      </c>
      <c r="B400" s="1"/>
      <c r="C400" s="319">
        <v>0</v>
      </c>
      <c r="D400" s="334">
        <v>12.98</v>
      </c>
      <c r="E400" s="321"/>
      <c r="F400" s="2">
        <f>-ROUND(D400*$C400/100,0)</f>
        <v>0</v>
      </c>
      <c r="G400" s="334">
        <v>12.98</v>
      </c>
      <c r="H400" s="321"/>
      <c r="I400" s="2">
        <f t="shared" ref="I400:I402" si="141">-ROUND(G400*$C400/100,0)</f>
        <v>0</v>
      </c>
      <c r="J400" s="334">
        <f>J386</f>
        <v>15</v>
      </c>
      <c r="K400" s="321"/>
      <c r="L400" s="2">
        <f>-ROUND(J400*$C400/100,0)</f>
        <v>0</v>
      </c>
      <c r="M400" s="2"/>
      <c r="N400" s="334">
        <f>N386</f>
        <v>15</v>
      </c>
      <c r="O400" s="321"/>
      <c r="P400" s="2">
        <f>-ROUND(N400*$C400/100,0)</f>
        <v>0</v>
      </c>
      <c r="Q400" s="2"/>
      <c r="R400" s="334" t="str">
        <f>R386</f>
        <v xml:space="preserve"> </v>
      </c>
      <c r="S400" s="321"/>
      <c r="T400" s="2">
        <f>-ROUND(R400*$C400/100,0)</f>
        <v>0</v>
      </c>
      <c r="U400" s="2"/>
      <c r="V400" s="334" t="str">
        <f>V386</f>
        <v xml:space="preserve"> </v>
      </c>
      <c r="W400" s="321"/>
      <c r="X400" s="2">
        <f>-ROUND(V400*$C400/100,0)</f>
        <v>0</v>
      </c>
      <c r="Y400" s="20"/>
      <c r="Z400" s="74"/>
      <c r="AA400" s="74"/>
      <c r="AB400" s="74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U400" s="84"/>
    </row>
    <row r="401" spans="1:47" hidden="1">
      <c r="A401" s="1" t="s">
        <v>402</v>
      </c>
      <c r="B401" s="1"/>
      <c r="C401" s="319">
        <v>0</v>
      </c>
      <c r="D401" s="334">
        <v>0.92</v>
      </c>
      <c r="E401" s="321"/>
      <c r="F401" s="2">
        <f>-ROUND(D401*$C401/100,0)</f>
        <v>0</v>
      </c>
      <c r="G401" s="334">
        <v>0.92</v>
      </c>
      <c r="H401" s="321"/>
      <c r="I401" s="2">
        <f t="shared" si="141"/>
        <v>0</v>
      </c>
      <c r="J401" s="334">
        <f>J387</f>
        <v>1</v>
      </c>
      <c r="K401" s="321"/>
      <c r="L401" s="2">
        <f>-ROUND(J401*$C401/100,0)</f>
        <v>0</v>
      </c>
      <c r="M401" s="2"/>
      <c r="N401" s="334">
        <f>N387</f>
        <v>1</v>
      </c>
      <c r="O401" s="321"/>
      <c r="P401" s="2">
        <f>-ROUND(N401*$C401/100,0)</f>
        <v>0</v>
      </c>
      <c r="Q401" s="2"/>
      <c r="R401" s="334" t="str">
        <f>R387</f>
        <v xml:space="preserve"> </v>
      </c>
      <c r="S401" s="321"/>
      <c r="T401" s="2">
        <f>-ROUND(R401*$C401/100,0)</f>
        <v>0</v>
      </c>
      <c r="U401" s="2"/>
      <c r="V401" s="334" t="str">
        <f>V387</f>
        <v xml:space="preserve"> </v>
      </c>
      <c r="W401" s="321"/>
      <c r="X401" s="2">
        <f>-ROUND(V401*$C401/100,0)</f>
        <v>0</v>
      </c>
      <c r="Y401" s="20"/>
      <c r="Z401" s="74"/>
      <c r="AA401" s="74"/>
      <c r="AB401" s="74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U401" s="84"/>
    </row>
    <row r="402" spans="1:47" hidden="1">
      <c r="A402" s="1" t="s">
        <v>403</v>
      </c>
      <c r="B402" s="1"/>
      <c r="C402" s="319">
        <v>0</v>
      </c>
      <c r="D402" s="334">
        <v>3.4</v>
      </c>
      <c r="E402" s="323"/>
      <c r="F402" s="2">
        <f>-ROUND(D402*$C402/100,0)</f>
        <v>0</v>
      </c>
      <c r="G402" s="334">
        <v>3.61</v>
      </c>
      <c r="H402" s="323"/>
      <c r="I402" s="2">
        <f t="shared" si="141"/>
        <v>0</v>
      </c>
      <c r="J402" s="334">
        <f ca="1">J390</f>
        <v>3.77</v>
      </c>
      <c r="K402" s="323"/>
      <c r="L402" s="2">
        <f ca="1">-ROUND(J402*$C402/100,0)</f>
        <v>0</v>
      </c>
      <c r="M402" s="2"/>
      <c r="N402" s="334">
        <f ca="1">N390</f>
        <v>0.81</v>
      </c>
      <c r="O402" s="323"/>
      <c r="P402" s="2">
        <f ca="1">-ROUND(N402*$C402/100,0)</f>
        <v>0</v>
      </c>
      <c r="Q402" s="2"/>
      <c r="R402" s="334">
        <f ca="1">R390</f>
        <v>1.06</v>
      </c>
      <c r="S402" s="323"/>
      <c r="T402" s="2">
        <f ca="1">-ROUND(R402*$C402/100,0)</f>
        <v>0</v>
      </c>
      <c r="U402" s="2"/>
      <c r="V402" s="334">
        <f ca="1">V390</f>
        <v>1.9</v>
      </c>
      <c r="W402" s="323"/>
      <c r="X402" s="2">
        <f ca="1">-ROUND(V402*$C402/100,0)</f>
        <v>0</v>
      </c>
      <c r="Y402" s="20"/>
      <c r="Z402" s="74"/>
      <c r="AA402" s="74"/>
      <c r="AB402" s="74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U402" s="84"/>
    </row>
    <row r="403" spans="1:47" hidden="1">
      <c r="A403" s="1" t="s">
        <v>405</v>
      </c>
      <c r="B403" s="1"/>
      <c r="C403" s="319">
        <v>0</v>
      </c>
      <c r="D403" s="335">
        <v>9.766</v>
      </c>
      <c r="E403" s="323" t="s">
        <v>374</v>
      </c>
      <c r="F403" s="2">
        <f>ROUND(D403*$C403/100*D398,0)</f>
        <v>0</v>
      </c>
      <c r="G403" s="335">
        <v>10.359</v>
      </c>
      <c r="H403" s="323" t="s">
        <v>374</v>
      </c>
      <c r="I403" s="2">
        <f>ROUND(G403*$C403/100*G398,0)</f>
        <v>0</v>
      </c>
      <c r="J403" s="335">
        <f ca="1">J391</f>
        <v>6.282</v>
      </c>
      <c r="K403" s="323" t="s">
        <v>374</v>
      </c>
      <c r="L403" s="2">
        <f ca="1">ROUND(J403*$C403/100*J398,0)</f>
        <v>0</v>
      </c>
      <c r="M403" s="2"/>
      <c r="N403" s="335">
        <f ca="1">N391</f>
        <v>1.3483746810352102</v>
      </c>
      <c r="O403" s="323" t="s">
        <v>374</v>
      </c>
      <c r="P403" s="2">
        <f ca="1">ROUND(N403*$C403/100*N398,0)</f>
        <v>0</v>
      </c>
      <c r="Q403" s="2"/>
      <c r="R403" s="335">
        <f ca="1">R391</f>
        <v>1.7708525176705459</v>
      </c>
      <c r="S403" s="323" t="s">
        <v>374</v>
      </c>
      <c r="T403" s="2">
        <f ca="1">ROUND(R403*$C403/100*R398,0)</f>
        <v>0</v>
      </c>
      <c r="U403" s="2"/>
      <c r="V403" s="335">
        <f ca="1">V391</f>
        <v>3.162955363125258</v>
      </c>
      <c r="W403" s="323" t="s">
        <v>374</v>
      </c>
      <c r="X403" s="2">
        <f ca="1">ROUND(V403*$C403/100*V398,0)</f>
        <v>0</v>
      </c>
      <c r="Y403" s="20"/>
      <c r="Z403" s="74"/>
      <c r="AA403" s="74"/>
      <c r="AB403" s="74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U403" s="84"/>
    </row>
    <row r="404" spans="1:47" hidden="1">
      <c r="A404" s="1" t="s">
        <v>398</v>
      </c>
      <c r="B404" s="1"/>
      <c r="C404" s="319">
        <v>0</v>
      </c>
      <c r="D404" s="335">
        <v>6.7460000000000004</v>
      </c>
      <c r="E404" s="323" t="s">
        <v>374</v>
      </c>
      <c r="F404" s="2">
        <f>ROUND(D404*$C404/100*D398,0)</f>
        <v>0</v>
      </c>
      <c r="G404" s="335">
        <v>7.1559999999999997</v>
      </c>
      <c r="H404" s="323" t="s">
        <v>374</v>
      </c>
      <c r="I404" s="2">
        <f>ROUND(G404*$C404/100*G398,0)</f>
        <v>0</v>
      </c>
      <c r="J404" s="335">
        <f ca="1">J392</f>
        <v>4.3410000000000002</v>
      </c>
      <c r="K404" s="323" t="s">
        <v>374</v>
      </c>
      <c r="L404" s="2">
        <f ca="1">ROUND(J404*$C404/100*J398,0)</f>
        <v>0</v>
      </c>
      <c r="M404" s="2"/>
      <c r="N404" s="335">
        <f ca="1">N392</f>
        <v>0.93175626548296309</v>
      </c>
      <c r="O404" s="323" t="s">
        <v>374</v>
      </c>
      <c r="P404" s="2">
        <f ca="1">ROUND(N404*$C404/100*N398,0)</f>
        <v>0</v>
      </c>
      <c r="Q404" s="2"/>
      <c r="R404" s="335">
        <f ca="1">R392</f>
        <v>1.2240066282869231</v>
      </c>
      <c r="S404" s="323" t="s">
        <v>374</v>
      </c>
      <c r="T404" s="2">
        <f ca="1">ROUND(R404*$C404/100*R398,0)</f>
        <v>0</v>
      </c>
      <c r="U404" s="2"/>
      <c r="V404" s="335">
        <f ca="1">V392</f>
        <v>2.1849800075654815</v>
      </c>
      <c r="W404" s="323" t="s">
        <v>374</v>
      </c>
      <c r="X404" s="2">
        <f ca="1">ROUND(V404*$C404/100*V398,0)</f>
        <v>0</v>
      </c>
      <c r="Y404" s="20"/>
      <c r="Z404" s="74"/>
      <c r="AA404" s="74"/>
      <c r="AB404" s="74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U404" s="84"/>
    </row>
    <row r="405" spans="1:47" hidden="1">
      <c r="A405" s="1" t="s">
        <v>399</v>
      </c>
      <c r="B405" s="1"/>
      <c r="C405" s="319">
        <v>0</v>
      </c>
      <c r="D405" s="335">
        <v>5.8120000000000003</v>
      </c>
      <c r="E405" s="323" t="s">
        <v>374</v>
      </c>
      <c r="F405" s="2">
        <f>ROUND(D405*$C405/100*D398,0)</f>
        <v>0</v>
      </c>
      <c r="G405" s="335">
        <v>6.1660000000000004</v>
      </c>
      <c r="H405" s="323" t="s">
        <v>374</v>
      </c>
      <c r="I405" s="2">
        <f>ROUND(G405*$C405/100*G398,0)</f>
        <v>0</v>
      </c>
      <c r="J405" s="335">
        <f ca="1">J393</f>
        <v>3.74</v>
      </c>
      <c r="K405" s="323" t="s">
        <v>374</v>
      </c>
      <c r="L405" s="2">
        <f ca="1">ROUND(J405*$C405/100*J398,0)</f>
        <v>0</v>
      </c>
      <c r="M405" s="2"/>
      <c r="N405" s="335">
        <f ca="1">N393</f>
        <v>0.80275718206159852</v>
      </c>
      <c r="O405" s="323" t="s">
        <v>374</v>
      </c>
      <c r="P405" s="2">
        <f ca="1">ROUND(N405*$C405/100*N398,0)</f>
        <v>0</v>
      </c>
      <c r="Q405" s="2"/>
      <c r="R405" s="335">
        <f ca="1">R393</f>
        <v>1.0536847359511734</v>
      </c>
      <c r="S405" s="323" t="s">
        <v>374</v>
      </c>
      <c r="T405" s="2">
        <f ca="1">ROUND(R405*$C405/100*R398,0)</f>
        <v>0</v>
      </c>
      <c r="U405" s="2"/>
      <c r="V405" s="335">
        <f ca="1">V393</f>
        <v>1.8834755557989509</v>
      </c>
      <c r="W405" s="323" t="s">
        <v>374</v>
      </c>
      <c r="X405" s="2">
        <f ca="1">ROUND(V405*$C405/100*V398,0)</f>
        <v>0</v>
      </c>
      <c r="Y405" s="20"/>
      <c r="Z405" s="74"/>
      <c r="AA405" s="74"/>
      <c r="AB405" s="74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U405" s="84"/>
    </row>
    <row r="406" spans="1:47" hidden="1">
      <c r="A406" s="1" t="s">
        <v>400</v>
      </c>
      <c r="B406" s="1"/>
      <c r="C406" s="319">
        <v>0</v>
      </c>
      <c r="D406" s="336">
        <v>56</v>
      </c>
      <c r="E406" s="323" t="s">
        <v>374</v>
      </c>
      <c r="F406" s="2">
        <f>ROUND(D406*$C406/100*D398,0)</f>
        <v>0</v>
      </c>
      <c r="G406" s="336">
        <v>56</v>
      </c>
      <c r="H406" s="323" t="s">
        <v>374</v>
      </c>
      <c r="I406" s="2">
        <f>ROUND(G406*$C406/100*G398,0)</f>
        <v>0</v>
      </c>
      <c r="J406" s="336">
        <f>J394</f>
        <v>56</v>
      </c>
      <c r="K406" s="323" t="s">
        <v>374</v>
      </c>
      <c r="L406" s="2">
        <f>ROUND(J406*$C406/100*J398,0)</f>
        <v>0</v>
      </c>
      <c r="M406" s="2"/>
      <c r="N406" s="336" t="str">
        <f>N394</f>
        <v xml:space="preserve"> </v>
      </c>
      <c r="O406" s="323" t="s">
        <v>374</v>
      </c>
      <c r="P406" s="2">
        <f>ROUND(N406*$C406/100*N398,0)</f>
        <v>0</v>
      </c>
      <c r="Q406" s="2"/>
      <c r="R406" s="336">
        <f ca="1">R394</f>
        <v>11</v>
      </c>
      <c r="S406" s="323" t="s">
        <v>374</v>
      </c>
      <c r="T406" s="2">
        <f ca="1">ROUND(R406*$C406/100*R398,0)</f>
        <v>0</v>
      </c>
      <c r="U406" s="2"/>
      <c r="V406" s="336">
        <f ca="1">V394</f>
        <v>45</v>
      </c>
      <c r="W406" s="323" t="s">
        <v>374</v>
      </c>
      <c r="X406" s="2">
        <f ca="1">ROUND(V406*$C406/100*V398,0)</f>
        <v>0</v>
      </c>
      <c r="Y406" s="20"/>
      <c r="Z406" s="74"/>
      <c r="AA406" s="74"/>
      <c r="AB406" s="74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U406" s="84"/>
    </row>
    <row r="407" spans="1:47" hidden="1">
      <c r="A407" s="1" t="s">
        <v>407</v>
      </c>
      <c r="B407" s="1"/>
      <c r="C407" s="319">
        <v>0</v>
      </c>
      <c r="D407" s="337">
        <v>60</v>
      </c>
      <c r="E407" s="321"/>
      <c r="F407" s="2">
        <f>ROUND(D407*$C407,0)</f>
        <v>0</v>
      </c>
      <c r="G407" s="337">
        <v>60</v>
      </c>
      <c r="H407" s="323"/>
      <c r="I407" s="2">
        <f>ROUND(G407*C407,0)</f>
        <v>0</v>
      </c>
      <c r="J407" s="337">
        <f>$J$197</f>
        <v>60</v>
      </c>
      <c r="K407" s="323"/>
      <c r="L407" s="2">
        <f>ROUND(J407*$C407,0)</f>
        <v>0</v>
      </c>
      <c r="M407" s="2"/>
      <c r="N407" s="337">
        <v>0</v>
      </c>
      <c r="O407" s="323"/>
      <c r="P407" s="2">
        <f>ROUND(N407*$C407,0)</f>
        <v>0</v>
      </c>
      <c r="Q407" s="2"/>
      <c r="R407" s="337">
        <f ca="1">R197</f>
        <v>11.86</v>
      </c>
      <c r="S407" s="323"/>
      <c r="T407" s="2">
        <f ca="1">ROUND(R407*$C407,0)</f>
        <v>0</v>
      </c>
      <c r="U407" s="2"/>
      <c r="V407" s="337">
        <f ca="1">V197</f>
        <v>48.14</v>
      </c>
      <c r="W407" s="323"/>
      <c r="X407" s="2">
        <f ca="1">ROUND(V407*$C407,0)</f>
        <v>0</v>
      </c>
      <c r="Y407" s="20"/>
      <c r="Z407" s="74"/>
      <c r="AA407" s="74"/>
      <c r="AB407" s="74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U407" s="84"/>
    </row>
    <row r="408" spans="1:47" hidden="1">
      <c r="A408" s="1" t="s">
        <v>408</v>
      </c>
      <c r="B408" s="1"/>
      <c r="C408" s="319">
        <v>0</v>
      </c>
      <c r="D408" s="339">
        <v>-30</v>
      </c>
      <c r="E408" s="321" t="s">
        <v>374</v>
      </c>
      <c r="F408" s="2">
        <f>ROUND(D408*$C408/100,0)</f>
        <v>0</v>
      </c>
      <c r="G408" s="339">
        <v>-30</v>
      </c>
      <c r="H408" s="323" t="s">
        <v>374</v>
      </c>
      <c r="I408" s="2">
        <f>ROUND(G408*C408/100,0)</f>
        <v>0</v>
      </c>
      <c r="J408" s="339">
        <f>$J$198</f>
        <v>-30</v>
      </c>
      <c r="K408" s="323" t="s">
        <v>374</v>
      </c>
      <c r="L408" s="2">
        <f>ROUND(J408*$C408/100,0)</f>
        <v>0</v>
      </c>
      <c r="M408" s="2"/>
      <c r="N408" s="339">
        <f>$J$198</f>
        <v>-30</v>
      </c>
      <c r="O408" s="323" t="s">
        <v>374</v>
      </c>
      <c r="P408" s="2">
        <f>ROUND(N408*$C408/100,0)</f>
        <v>0</v>
      </c>
      <c r="Q408" s="2"/>
      <c r="R408" s="339">
        <v>0</v>
      </c>
      <c r="S408" s="323" t="s">
        <v>374</v>
      </c>
      <c r="T408" s="2">
        <f>ROUND(R408*$C408/100,0)</f>
        <v>0</v>
      </c>
      <c r="U408" s="2"/>
      <c r="V408" s="339">
        <v>0</v>
      </c>
      <c r="W408" s="323" t="s">
        <v>374</v>
      </c>
      <c r="X408" s="2">
        <f>ROUND(V408*$C408/100,0)</f>
        <v>0</v>
      </c>
      <c r="Y408" s="20"/>
      <c r="Z408" s="74"/>
      <c r="AA408" s="74"/>
      <c r="AB408" s="74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U408" s="84"/>
    </row>
    <row r="409" spans="1:47" s="1184" customFormat="1" hidden="1">
      <c r="A409" s="1005" t="s">
        <v>918</v>
      </c>
      <c r="C409" s="1202">
        <f>C403</f>
        <v>0</v>
      </c>
      <c r="D409" s="269"/>
      <c r="E409" s="1185"/>
      <c r="F409" s="1203"/>
      <c r="G409" s="269"/>
      <c r="H409" s="1185"/>
      <c r="I409" s="1203"/>
      <c r="J409" s="1230">
        <f>J182</f>
        <v>4.5289999999999999</v>
      </c>
      <c r="K409" s="1009" t="s">
        <v>374</v>
      </c>
      <c r="L409" s="2">
        <f>ROUND(J409*$C409/100*J398,0)</f>
        <v>0</v>
      </c>
      <c r="M409" s="2"/>
      <c r="N409" s="1230" t="str">
        <f>N182</f>
        <v xml:space="preserve"> </v>
      </c>
      <c r="O409" s="1009" t="s">
        <v>374</v>
      </c>
      <c r="P409" s="2">
        <f>ROUND(N409*$C409/100*N398,0)</f>
        <v>0</v>
      </c>
      <c r="Q409" s="2"/>
      <c r="R409" s="1230" t="str">
        <f>R182</f>
        <v xml:space="preserve"> </v>
      </c>
      <c r="S409" s="1009" t="s">
        <v>374</v>
      </c>
      <c r="T409" s="2">
        <f>ROUND(R409*$C409/100*R398,0)</f>
        <v>0</v>
      </c>
      <c r="U409" s="2"/>
      <c r="V409" s="1230">
        <f>V182</f>
        <v>4.5289999999999999</v>
      </c>
      <c r="W409" s="1009" t="s">
        <v>374</v>
      </c>
      <c r="X409" s="2">
        <f>ROUND(V409*$C409/100*V398,0)</f>
        <v>0</v>
      </c>
      <c r="Z409" s="815"/>
      <c r="AC409" s="1205"/>
      <c r="AD409" s="1205"/>
      <c r="AI409" s="1185"/>
      <c r="AJ409" s="1185"/>
      <c r="AK409" s="1185"/>
      <c r="AL409" s="1185"/>
      <c r="AM409" s="1185"/>
      <c r="AN409" s="1185"/>
      <c r="AO409" s="1185"/>
      <c r="AP409" s="1185"/>
      <c r="AQ409" s="1185"/>
      <c r="AR409" s="1185"/>
      <c r="AS409" s="1185"/>
      <c r="AU409" s="1204"/>
    </row>
    <row r="410" spans="1:47" s="1184" customFormat="1" hidden="1">
      <c r="A410" s="1005" t="s">
        <v>919</v>
      </c>
      <c r="C410" s="1202">
        <f>C404</f>
        <v>0</v>
      </c>
      <c r="D410" s="269"/>
      <c r="E410" s="1185"/>
      <c r="F410" s="1203"/>
      <c r="G410" s="269"/>
      <c r="H410" s="1185"/>
      <c r="I410" s="1203"/>
      <c r="J410" s="1230">
        <f>J183</f>
        <v>3.1270000000000002</v>
      </c>
      <c r="K410" s="1009" t="s">
        <v>374</v>
      </c>
      <c r="L410" s="2">
        <f>ROUND(J410*$C410/100*J398,0)</f>
        <v>0</v>
      </c>
      <c r="M410" s="2"/>
      <c r="N410" s="1230" t="str">
        <f>N183</f>
        <v xml:space="preserve"> </v>
      </c>
      <c r="O410" s="1009" t="s">
        <v>374</v>
      </c>
      <c r="P410" s="2">
        <f>ROUND(N410*$C410/100*N398,0)</f>
        <v>0</v>
      </c>
      <c r="Q410" s="2"/>
      <c r="R410" s="1230" t="str">
        <f>R183</f>
        <v xml:space="preserve"> </v>
      </c>
      <c r="S410" s="1009" t="s">
        <v>374</v>
      </c>
      <c r="T410" s="2">
        <f>ROUND(R410*$C410/100*R398,0)</f>
        <v>0</v>
      </c>
      <c r="U410" s="2"/>
      <c r="V410" s="1230">
        <f>V183</f>
        <v>3.1270000000000002</v>
      </c>
      <c r="W410" s="1009" t="s">
        <v>374</v>
      </c>
      <c r="X410" s="2">
        <f>ROUND(V410*$C410/100*V398,0)</f>
        <v>0</v>
      </c>
      <c r="Z410" s="815"/>
      <c r="AC410" s="1205"/>
      <c r="AD410" s="1205"/>
      <c r="AI410" s="1185"/>
      <c r="AJ410" s="1185"/>
      <c r="AK410" s="1185"/>
      <c r="AL410" s="1185"/>
      <c r="AM410" s="1185"/>
      <c r="AN410" s="1185"/>
      <c r="AO410" s="1185"/>
      <c r="AP410" s="1185"/>
      <c r="AQ410" s="1185"/>
      <c r="AR410" s="1185"/>
      <c r="AS410" s="1185"/>
      <c r="AU410" s="1204"/>
    </row>
    <row r="411" spans="1:47" s="1184" customFormat="1" hidden="1">
      <c r="A411" s="1005" t="s">
        <v>920</v>
      </c>
      <c r="C411" s="1202">
        <f>C405</f>
        <v>0</v>
      </c>
      <c r="D411" s="269"/>
      <c r="E411" s="1185"/>
      <c r="F411" s="1203"/>
      <c r="G411" s="269"/>
      <c r="H411" s="1185"/>
      <c r="I411" s="1203"/>
      <c r="J411" s="1230">
        <f>J184</f>
        <v>2.6950000000000003</v>
      </c>
      <c r="K411" s="1009" t="s">
        <v>374</v>
      </c>
      <c r="L411" s="2">
        <f>ROUND(J411*$C411/100*J398,0)</f>
        <v>0</v>
      </c>
      <c r="M411" s="2"/>
      <c r="N411" s="1230" t="str">
        <f>N184</f>
        <v xml:space="preserve"> </v>
      </c>
      <c r="O411" s="1009" t="s">
        <v>374</v>
      </c>
      <c r="P411" s="2">
        <f>ROUND(N411*$C411/100*N398,0)</f>
        <v>0</v>
      </c>
      <c r="Q411" s="2"/>
      <c r="R411" s="1230" t="str">
        <f>R184</f>
        <v xml:space="preserve"> </v>
      </c>
      <c r="S411" s="1009" t="s">
        <v>374</v>
      </c>
      <c r="T411" s="2">
        <f>ROUND(R411*$C411/100*R398,0)</f>
        <v>0</v>
      </c>
      <c r="U411" s="2"/>
      <c r="V411" s="1230">
        <f>V184</f>
        <v>2.6950000000000003</v>
      </c>
      <c r="W411" s="1009" t="s">
        <v>374</v>
      </c>
      <c r="X411" s="2">
        <f>ROUND(V411*$C411/100*V398,0)</f>
        <v>0</v>
      </c>
      <c r="Z411" s="815"/>
      <c r="AC411" s="1205"/>
      <c r="AD411" s="1205"/>
      <c r="AI411" s="1185"/>
      <c r="AJ411" s="1185"/>
      <c r="AK411" s="1185"/>
      <c r="AL411" s="1185"/>
      <c r="AM411" s="1185"/>
      <c r="AN411" s="1185"/>
      <c r="AO411" s="1185"/>
      <c r="AP411" s="1185"/>
      <c r="AQ411" s="1185"/>
      <c r="AR411" s="1185"/>
      <c r="AS411" s="1185"/>
      <c r="AU411" s="1204"/>
    </row>
    <row r="412" spans="1:47" hidden="1">
      <c r="A412" s="1" t="s">
        <v>381</v>
      </c>
      <c r="B412" s="1"/>
      <c r="C412" s="319">
        <f>SUM(C391:C393)</f>
        <v>1269318.6605672329</v>
      </c>
      <c r="D412" s="330"/>
      <c r="E412" s="2"/>
      <c r="F412" s="2">
        <f>SUM(F385:F408)</f>
        <v>157219</v>
      </c>
      <c r="G412" s="330"/>
      <c r="H412" s="323"/>
      <c r="I412" s="2">
        <f>SUM(I385:I408)</f>
        <v>164628</v>
      </c>
      <c r="J412" s="330"/>
      <c r="K412" s="323"/>
      <c r="L412" s="2">
        <f ca="1">SUM(L385:L411)</f>
        <v>175490</v>
      </c>
      <c r="M412" s="2"/>
      <c r="N412" s="330"/>
      <c r="O412" s="323"/>
      <c r="P412" s="2">
        <f ca="1">SUM(P385:P411)</f>
        <v>57276</v>
      </c>
      <c r="Q412" s="2"/>
      <c r="R412" s="330"/>
      <c r="S412" s="323"/>
      <c r="T412" s="2">
        <f ca="1">SUM(T385:T411)</f>
        <v>22123</v>
      </c>
      <c r="U412" s="2"/>
      <c r="V412" s="330"/>
      <c r="W412" s="323"/>
      <c r="X412" s="2">
        <f ca="1">SUM(X385:X411)</f>
        <v>96093</v>
      </c>
      <c r="Y412" s="20"/>
      <c r="Z412" s="74"/>
      <c r="AA412" s="74"/>
      <c r="AB412" s="74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U412" s="84"/>
    </row>
    <row r="413" spans="1:47" hidden="1">
      <c r="A413" s="1" t="s">
        <v>363</v>
      </c>
      <c r="B413" s="1"/>
      <c r="C413" s="349">
        <f>'Table 2'!H42</f>
        <v>-3590.4726383423845</v>
      </c>
      <c r="D413" s="309"/>
      <c r="E413" s="309"/>
      <c r="F413" s="341">
        <f>I413</f>
        <v>-389.05432115663655</v>
      </c>
      <c r="G413" s="309"/>
      <c r="H413" s="309"/>
      <c r="I413" s="341">
        <f>'Table 3'!E42</f>
        <v>-389.05432115663655</v>
      </c>
      <c r="J413" s="309"/>
      <c r="K413" s="309"/>
      <c r="L413" s="341">
        <f>I413</f>
        <v>-389.05432115663655</v>
      </c>
      <c r="M413" s="322"/>
      <c r="N413" s="309"/>
      <c r="O413" s="309"/>
      <c r="P413" s="341">
        <f ca="1">$L$413*Y207/($Y$207+$Z$207+$AA$207)</f>
        <v>-76.694824037786447</v>
      </c>
      <c r="Q413" s="51"/>
      <c r="R413" s="309"/>
      <c r="S413" s="309"/>
      <c r="T413" s="341">
        <f ca="1">$L$413*Z207/($Y$207+$Z$207+$AA$207)</f>
        <v>-61.763768254382775</v>
      </c>
      <c r="U413" s="51"/>
      <c r="V413" s="309"/>
      <c r="W413" s="309"/>
      <c r="X413" s="341">
        <f ca="1">$L$413*AA207/($Y$207+$Z$207+$AA$207)</f>
        <v>-250.59572886446736</v>
      </c>
      <c r="Y413" s="444"/>
      <c r="Z413" s="287"/>
      <c r="AA413" s="74"/>
      <c r="AB413" s="74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U413" s="84"/>
    </row>
    <row r="414" spans="1:47" ht="16.5" hidden="1" thickBot="1">
      <c r="A414" s="1" t="s">
        <v>382</v>
      </c>
      <c r="B414" s="1"/>
      <c r="C414" s="311">
        <f>SUM(C412:C413)</f>
        <v>1265728.1879288906</v>
      </c>
      <c r="D414" s="342"/>
      <c r="E414" s="343"/>
      <c r="F414" s="344">
        <f>F412+F413</f>
        <v>156829.94567884336</v>
      </c>
      <c r="G414" s="342"/>
      <c r="H414" s="345"/>
      <c r="I414" s="344">
        <f>I412+I413</f>
        <v>164238.94567884336</v>
      </c>
      <c r="J414" s="342"/>
      <c r="K414" s="345"/>
      <c r="L414" s="344">
        <f ca="1">L412+L413</f>
        <v>175100.94567884336</v>
      </c>
      <c r="M414" s="344"/>
      <c r="N414" s="342"/>
      <c r="O414" s="345"/>
      <c r="P414" s="344">
        <f ca="1">P412+P413</f>
        <v>57199.30517596221</v>
      </c>
      <c r="Q414" s="344"/>
      <c r="R414" s="342"/>
      <c r="S414" s="345"/>
      <c r="T414" s="344">
        <f ca="1">T412+T413</f>
        <v>22061.236231745617</v>
      </c>
      <c r="U414" s="344"/>
      <c r="V414" s="342"/>
      <c r="W414" s="345"/>
      <c r="X414" s="344">
        <f ca="1">X412+X413</f>
        <v>95842.404271135529</v>
      </c>
      <c r="Y414" s="411"/>
      <c r="Z414" s="470"/>
      <c r="AA414" s="74"/>
      <c r="AB414" s="74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U414" s="84"/>
    </row>
    <row r="415" spans="1:47" ht="16.5" hidden="1" thickTop="1">
      <c r="A415" s="1"/>
      <c r="B415" s="1"/>
      <c r="C415" s="21"/>
      <c r="D415" s="337"/>
      <c r="E415" s="2"/>
      <c r="F415" s="2"/>
      <c r="G415" s="337"/>
      <c r="H415" s="1"/>
      <c r="I415" s="2"/>
      <c r="J415" s="337"/>
      <c r="K415" s="1"/>
      <c r="L415" s="2" t="s">
        <v>31</v>
      </c>
      <c r="M415" s="2"/>
      <c r="N415" s="337"/>
      <c r="O415" s="1"/>
      <c r="P415" s="2" t="s">
        <v>31</v>
      </c>
      <c r="Q415" s="2"/>
      <c r="R415" s="337"/>
      <c r="S415" s="1"/>
      <c r="T415" s="2" t="s">
        <v>31</v>
      </c>
      <c r="U415" s="2"/>
      <c r="V415" s="337"/>
      <c r="W415" s="1"/>
      <c r="X415" s="2" t="s">
        <v>31</v>
      </c>
      <c r="Y415" s="20"/>
      <c r="Z415" s="74"/>
      <c r="AA415" s="74"/>
      <c r="AB415" s="74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U415" s="84"/>
    </row>
    <row r="416" spans="1:47" hidden="1">
      <c r="A416" s="293" t="s">
        <v>415</v>
      </c>
      <c r="B416" s="1"/>
      <c r="C416" s="1"/>
      <c r="D416" s="2"/>
      <c r="E416" s="2"/>
      <c r="F416" s="1" t="s">
        <v>31</v>
      </c>
      <c r="G416" s="2"/>
      <c r="H416" s="1"/>
      <c r="I416" s="1"/>
      <c r="J416" s="2"/>
      <c r="K416" s="1"/>
      <c r="L416" s="1"/>
      <c r="M416" s="1"/>
      <c r="N416" s="2"/>
      <c r="O416" s="1"/>
      <c r="P416" s="1"/>
      <c r="Q416" s="1"/>
      <c r="R416" s="2"/>
      <c r="S416" s="1"/>
      <c r="T416" s="1"/>
      <c r="U416" s="1"/>
      <c r="V416" s="2"/>
      <c r="W416" s="1"/>
      <c r="X416" s="1"/>
      <c r="Y416" s="20"/>
      <c r="Z416" s="74"/>
      <c r="AA416" s="74"/>
      <c r="AB416" s="74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U416" s="84"/>
    </row>
    <row r="417" spans="1:47" hidden="1">
      <c r="A417" s="1" t="s">
        <v>414</v>
      </c>
      <c r="B417" s="1"/>
      <c r="C417" s="1"/>
      <c r="D417" s="2"/>
      <c r="E417" s="2"/>
      <c r="F417" s="1"/>
      <c r="G417" s="2"/>
      <c r="H417" s="1"/>
      <c r="I417" s="1"/>
      <c r="J417" s="2"/>
      <c r="K417" s="1"/>
      <c r="L417" s="1"/>
      <c r="M417" s="1"/>
      <c r="N417" s="2"/>
      <c r="O417" s="1"/>
      <c r="P417" s="1"/>
      <c r="Q417" s="1"/>
      <c r="R417" s="2"/>
      <c r="S417" s="1"/>
      <c r="T417" s="1"/>
      <c r="U417" s="1"/>
      <c r="V417" s="2"/>
      <c r="W417" s="1"/>
      <c r="X417" s="1"/>
      <c r="Y417" s="20"/>
      <c r="Z417" s="74"/>
      <c r="AA417" s="74"/>
      <c r="AB417" s="74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U417" s="84"/>
    </row>
    <row r="418" spans="1:47" hidden="1">
      <c r="A418" s="1"/>
      <c r="B418" s="1"/>
      <c r="C418" s="1"/>
      <c r="D418" s="2"/>
      <c r="E418" s="2"/>
      <c r="F418" s="1"/>
      <c r="G418" s="2"/>
      <c r="H418" s="1"/>
      <c r="I418" s="1"/>
      <c r="J418" s="2"/>
      <c r="K418" s="1"/>
      <c r="L418" s="1"/>
      <c r="M418" s="1"/>
      <c r="N418" s="2"/>
      <c r="O418" s="1"/>
      <c r="P418" s="1"/>
      <c r="Q418" s="1"/>
      <c r="R418" s="2"/>
      <c r="S418" s="1"/>
      <c r="T418" s="1"/>
      <c r="U418" s="1"/>
      <c r="V418" s="2"/>
      <c r="W418" s="1"/>
      <c r="X418" s="1"/>
      <c r="Y418" s="20"/>
      <c r="Z418" s="74"/>
      <c r="AA418" s="74"/>
      <c r="AB418" s="74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U418" s="84"/>
    </row>
    <row r="419" spans="1:47" hidden="1">
      <c r="A419" s="1" t="s">
        <v>393</v>
      </c>
      <c r="B419" s="1"/>
      <c r="C419" s="319"/>
      <c r="D419" s="2"/>
      <c r="E419" s="2"/>
      <c r="F419" s="1"/>
      <c r="G419" s="2"/>
      <c r="H419" s="1"/>
      <c r="I419" s="1"/>
      <c r="J419" s="2"/>
      <c r="K419" s="1"/>
      <c r="L419" s="1"/>
      <c r="M419" s="1"/>
      <c r="N419" s="2"/>
      <c r="O419" s="1"/>
      <c r="P419" s="1"/>
      <c r="Q419" s="1"/>
      <c r="R419" s="2"/>
      <c r="S419" s="1"/>
      <c r="T419" s="1"/>
      <c r="U419" s="1"/>
      <c r="V419" s="2"/>
      <c r="W419" s="1"/>
      <c r="X419" s="1"/>
      <c r="Y419" s="20"/>
      <c r="Z419" s="74"/>
      <c r="AA419" s="74"/>
      <c r="AB419" s="74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U419" s="84"/>
    </row>
    <row r="420" spans="1:47" hidden="1">
      <c r="A420" s="1" t="s">
        <v>416</v>
      </c>
      <c r="B420" s="1"/>
      <c r="C420" s="319">
        <f>[48]Sheet1!$D$7</f>
        <v>522.6</v>
      </c>
      <c r="D420" s="298">
        <v>8.7100000000000009</v>
      </c>
      <c r="E420" s="321"/>
      <c r="F420" s="2">
        <f>ROUND(D420*$C420,0)</f>
        <v>4552</v>
      </c>
      <c r="G420" s="298">
        <v>8.7100000000000009</v>
      </c>
      <c r="H420" s="323"/>
      <c r="I420" s="2">
        <f>ROUND(G420*$C420,0)</f>
        <v>4552</v>
      </c>
      <c r="J420" s="298">
        <f>$J$172</f>
        <v>10</v>
      </c>
      <c r="K420" s="323"/>
      <c r="L420" s="2">
        <f>ROUND(J420*$C420,0)</f>
        <v>5226</v>
      </c>
      <c r="M420" s="2"/>
      <c r="N420" s="298">
        <f>$N$172</f>
        <v>10</v>
      </c>
      <c r="O420" s="323"/>
      <c r="P420" s="2">
        <f>ROUND(N420*$C420,0)</f>
        <v>5226</v>
      </c>
      <c r="Q420" s="2"/>
      <c r="R420" s="298" t="str">
        <f>$R$172</f>
        <v xml:space="preserve"> </v>
      </c>
      <c r="S420" s="323"/>
      <c r="T420" s="2">
        <f>ROUND(R420*$C420,0)</f>
        <v>0</v>
      </c>
      <c r="U420" s="2"/>
      <c r="V420" s="298" t="str">
        <f>$V$172</f>
        <v xml:space="preserve"> </v>
      </c>
      <c r="W420" s="323"/>
      <c r="X420" s="2">
        <f>ROUND(V420*$C420,0)</f>
        <v>0</v>
      </c>
      <c r="Y420" s="20"/>
      <c r="Z420" s="74"/>
      <c r="AA420" s="74"/>
      <c r="AB420" s="74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U420" s="84"/>
    </row>
    <row r="421" spans="1:47" hidden="1">
      <c r="A421" s="1" t="s">
        <v>391</v>
      </c>
      <c r="B421" s="1"/>
      <c r="C421" s="319">
        <v>0</v>
      </c>
      <c r="D421" s="298">
        <v>12.98</v>
      </c>
      <c r="E421" s="324"/>
      <c r="F421" s="2">
        <f>ROUND(D421*$C421,0)</f>
        <v>0</v>
      </c>
      <c r="G421" s="298">
        <v>12.98</v>
      </c>
      <c r="H421" s="325"/>
      <c r="I421" s="2">
        <f t="shared" ref="I421:I422" si="142">ROUND(G421*$C421,0)</f>
        <v>0</v>
      </c>
      <c r="J421" s="298">
        <f>$J$173</f>
        <v>15</v>
      </c>
      <c r="K421" s="325"/>
      <c r="L421" s="2">
        <f>ROUND(J421*$C421,0)</f>
        <v>0</v>
      </c>
      <c r="M421" s="2"/>
      <c r="N421" s="298">
        <f>$N$173</f>
        <v>15</v>
      </c>
      <c r="O421" s="325"/>
      <c r="P421" s="2">
        <f>ROUND(N421*$C421,0)</f>
        <v>0</v>
      </c>
      <c r="Q421" s="2"/>
      <c r="R421" s="298" t="str">
        <f>$R$173</f>
        <v xml:space="preserve"> </v>
      </c>
      <c r="S421" s="325"/>
      <c r="T421" s="2">
        <f>ROUND(R421*$C421,0)</f>
        <v>0</v>
      </c>
      <c r="U421" s="2"/>
      <c r="V421" s="298" t="str">
        <f>$V$173</f>
        <v xml:space="preserve"> </v>
      </c>
      <c r="W421" s="325"/>
      <c r="X421" s="2">
        <f>ROUND(V421*$C421,0)</f>
        <v>0</v>
      </c>
      <c r="Y421" s="20"/>
      <c r="Z421" s="74"/>
      <c r="AA421" s="74"/>
      <c r="AB421" s="74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U421" s="84"/>
    </row>
    <row r="422" spans="1:47" hidden="1">
      <c r="A422" s="1" t="s">
        <v>392</v>
      </c>
      <c r="B422" s="1"/>
      <c r="C422" s="319">
        <v>0</v>
      </c>
      <c r="D422" s="298">
        <v>0.92</v>
      </c>
      <c r="E422" s="324"/>
      <c r="F422" s="2">
        <f>ROUND(D422*$C422,0)</f>
        <v>0</v>
      </c>
      <c r="G422" s="298">
        <v>0.92</v>
      </c>
      <c r="H422" s="325"/>
      <c r="I422" s="2">
        <f t="shared" si="142"/>
        <v>0</v>
      </c>
      <c r="J422" s="298">
        <f>$J$174</f>
        <v>1</v>
      </c>
      <c r="K422" s="325"/>
      <c r="L422" s="2">
        <f>ROUND(J422*$C422,0)</f>
        <v>0</v>
      </c>
      <c r="M422" s="2"/>
      <c r="N422" s="298">
        <f>$N$174</f>
        <v>1</v>
      </c>
      <c r="O422" s="325"/>
      <c r="P422" s="2">
        <f>ROUND(N422*$C422,0)</f>
        <v>0</v>
      </c>
      <c r="Q422" s="2"/>
      <c r="R422" s="298" t="str">
        <f>$R$174</f>
        <v xml:space="preserve"> </v>
      </c>
      <c r="S422" s="325"/>
      <c r="T422" s="2">
        <f>ROUND(R422*$C422,0)</f>
        <v>0</v>
      </c>
      <c r="U422" s="2"/>
      <c r="V422" s="298" t="str">
        <f>$V$174</f>
        <v xml:space="preserve"> </v>
      </c>
      <c r="W422" s="325"/>
      <c r="X422" s="2">
        <f>ROUND(V422*$C422,0)</f>
        <v>0</v>
      </c>
      <c r="Y422" s="20"/>
      <c r="Z422" s="74"/>
      <c r="AA422" s="74"/>
      <c r="AB422" s="74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U422" s="84"/>
    </row>
    <row r="423" spans="1:47" hidden="1">
      <c r="A423" s="1" t="s">
        <v>394</v>
      </c>
      <c r="B423" s="1"/>
      <c r="C423" s="319">
        <f>SUM(C420:C421)</f>
        <v>522.6</v>
      </c>
      <c r="D423" s="298"/>
      <c r="E423" s="321"/>
      <c r="F423" s="2"/>
      <c r="G423" s="298"/>
      <c r="H423" s="323"/>
      <c r="I423" s="2"/>
      <c r="J423" s="298"/>
      <c r="K423" s="323"/>
      <c r="L423" s="2"/>
      <c r="M423" s="2"/>
      <c r="N423" s="298"/>
      <c r="O423" s="323"/>
      <c r="P423" s="2"/>
      <c r="Q423" s="2"/>
      <c r="R423" s="298"/>
      <c r="S423" s="323"/>
      <c r="T423" s="2"/>
      <c r="U423" s="2"/>
      <c r="V423" s="298"/>
      <c r="W423" s="323"/>
      <c r="X423" s="2"/>
      <c r="Y423" s="20"/>
      <c r="Z423" s="74"/>
      <c r="AA423" s="74"/>
      <c r="AB423" s="74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U423" s="84"/>
    </row>
    <row r="424" spans="1:47" hidden="1">
      <c r="A424" s="1" t="s">
        <v>362</v>
      </c>
      <c r="B424" s="1"/>
      <c r="C424" s="319">
        <f>[48]Sheet1!$C$7</f>
        <v>48</v>
      </c>
      <c r="D424" s="298"/>
      <c r="E424" s="321"/>
      <c r="F424" s="2"/>
      <c r="G424" s="298"/>
      <c r="H424" s="323"/>
      <c r="I424" s="2"/>
      <c r="J424" s="298"/>
      <c r="K424" s="323"/>
      <c r="L424" s="2"/>
      <c r="M424" s="2"/>
      <c r="N424" s="298"/>
      <c r="O424" s="323"/>
      <c r="P424" s="2"/>
      <c r="Q424" s="2"/>
      <c r="R424" s="298"/>
      <c r="S424" s="323"/>
      <c r="T424" s="2"/>
      <c r="U424" s="2"/>
      <c r="V424" s="298"/>
      <c r="W424" s="323"/>
      <c r="X424" s="2"/>
      <c r="Y424" s="20"/>
      <c r="Z424" s="74"/>
      <c r="AA424" s="74"/>
      <c r="AB424" s="74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U424" s="84"/>
    </row>
    <row r="425" spans="1:47" hidden="1">
      <c r="A425" s="1" t="s">
        <v>395</v>
      </c>
      <c r="B425" s="1"/>
      <c r="C425" s="319">
        <v>0</v>
      </c>
      <c r="D425" s="326">
        <v>3.4</v>
      </c>
      <c r="E425" s="323"/>
      <c r="F425" s="2">
        <f>ROUND(D425*$C425,0)</f>
        <v>0</v>
      </c>
      <c r="G425" s="326">
        <v>3.61</v>
      </c>
      <c r="H425" s="323"/>
      <c r="I425" s="2">
        <f>ROUND(G425*C425,0)</f>
        <v>0</v>
      </c>
      <c r="J425" s="326">
        <f ca="1">$J$177</f>
        <v>3.77</v>
      </c>
      <c r="K425" s="323"/>
      <c r="L425" s="2">
        <f ca="1">ROUND(J425*$C425,0)</f>
        <v>0</v>
      </c>
      <c r="M425" s="2"/>
      <c r="N425" s="326">
        <f ca="1">$N$177</f>
        <v>0.81</v>
      </c>
      <c r="O425" s="323"/>
      <c r="P425" s="2">
        <f ca="1">ROUND(N425*$C425,0)</f>
        <v>0</v>
      </c>
      <c r="Q425" s="2"/>
      <c r="R425" s="326">
        <f ca="1">$R$177</f>
        <v>1.06</v>
      </c>
      <c r="S425" s="323"/>
      <c r="T425" s="2">
        <f ca="1">ROUND(R425*$C425,0)</f>
        <v>0</v>
      </c>
      <c r="U425" s="2"/>
      <c r="V425" s="326">
        <f ca="1">$V$177</f>
        <v>1.9</v>
      </c>
      <c r="W425" s="323"/>
      <c r="X425" s="2">
        <f ca="1">ROUND(V425*$C425,0)</f>
        <v>0</v>
      </c>
      <c r="Y425" s="20"/>
      <c r="Z425" s="74"/>
      <c r="AA425" s="74"/>
      <c r="AB425" s="74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U425" s="84"/>
    </row>
    <row r="426" spans="1:47" hidden="1">
      <c r="A426" s="1" t="s">
        <v>397</v>
      </c>
      <c r="B426" s="1"/>
      <c r="C426" s="319">
        <f>[48]Sheet1!$E$7</f>
        <v>33313</v>
      </c>
      <c r="D426" s="299">
        <v>9.766</v>
      </c>
      <c r="E426" s="323" t="s">
        <v>374</v>
      </c>
      <c r="F426" s="2">
        <f>ROUND(D426*$C426/100,0)</f>
        <v>3253</v>
      </c>
      <c r="G426" s="299">
        <v>10.359</v>
      </c>
      <c r="H426" s="323" t="s">
        <v>374</v>
      </c>
      <c r="I426" s="2">
        <f>ROUND(G426*C426/100,0)</f>
        <v>3451</v>
      </c>
      <c r="J426" s="299">
        <f ca="1">$J$178</f>
        <v>6.282</v>
      </c>
      <c r="K426" s="323" t="s">
        <v>374</v>
      </c>
      <c r="L426" s="2">
        <f ca="1">ROUND(J426*$C426/100,0)</f>
        <v>2093</v>
      </c>
      <c r="M426" s="2"/>
      <c r="N426" s="299">
        <f ca="1">$N$178</f>
        <v>1.3483746810352102</v>
      </c>
      <c r="O426" s="323" t="s">
        <v>374</v>
      </c>
      <c r="P426" s="2">
        <f ca="1">ROUND(N426*$C426/100,0)</f>
        <v>449</v>
      </c>
      <c r="Q426" s="2"/>
      <c r="R426" s="299">
        <f ca="1">$R$178</f>
        <v>1.7708525176705459</v>
      </c>
      <c r="S426" s="323" t="s">
        <v>374</v>
      </c>
      <c r="T426" s="2">
        <f ca="1">ROUND(R426*$C426/100,0)</f>
        <v>590</v>
      </c>
      <c r="U426" s="2"/>
      <c r="V426" s="299">
        <f ca="1">$V$178</f>
        <v>3.162955363125258</v>
      </c>
      <c r="W426" s="323" t="s">
        <v>374</v>
      </c>
      <c r="X426" s="2">
        <f ca="1">ROUND(V426*$C426/100,0)</f>
        <v>1054</v>
      </c>
      <c r="Y426" s="20"/>
      <c r="Z426" s="74"/>
      <c r="AA426" s="74"/>
      <c r="AB426" s="74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U426" s="84"/>
    </row>
    <row r="427" spans="1:47" hidden="1">
      <c r="A427" s="1" t="s">
        <v>398</v>
      </c>
      <c r="B427" s="1"/>
      <c r="C427" s="319">
        <v>0</v>
      </c>
      <c r="D427" s="299">
        <v>6.7460000000000004</v>
      </c>
      <c r="E427" s="323" t="s">
        <v>374</v>
      </c>
      <c r="F427" s="2">
        <f>ROUND(D427*$C427/100,0)</f>
        <v>0</v>
      </c>
      <c r="G427" s="299">
        <v>7.1559999999999997</v>
      </c>
      <c r="H427" s="323" t="s">
        <v>374</v>
      </c>
      <c r="I427" s="2">
        <f t="shared" ref="I427:I429" si="143">ROUND(G427*C427/100,0)</f>
        <v>0</v>
      </c>
      <c r="J427" s="299">
        <f ca="1">$J$179</f>
        <v>4.3410000000000002</v>
      </c>
      <c r="K427" s="323" t="s">
        <v>374</v>
      </c>
      <c r="L427" s="2">
        <f ca="1">ROUND(J427*$C427/100,0)</f>
        <v>0</v>
      </c>
      <c r="M427" s="2"/>
      <c r="N427" s="299">
        <f ca="1">$N$179</f>
        <v>0.93175626548296309</v>
      </c>
      <c r="O427" s="323" t="s">
        <v>374</v>
      </c>
      <c r="P427" s="2">
        <f ca="1">ROUND(N427*$C427/100,0)</f>
        <v>0</v>
      </c>
      <c r="Q427" s="2"/>
      <c r="R427" s="299">
        <f ca="1">$R$179</f>
        <v>1.2240066282869231</v>
      </c>
      <c r="S427" s="323" t="s">
        <v>374</v>
      </c>
      <c r="T427" s="2">
        <f ca="1">ROUND(R427*$C427/100,0)</f>
        <v>0</v>
      </c>
      <c r="U427" s="2"/>
      <c r="V427" s="299">
        <f ca="1">$V$179</f>
        <v>2.1849800075654815</v>
      </c>
      <c r="W427" s="323" t="s">
        <v>374</v>
      </c>
      <c r="X427" s="2">
        <f ca="1">ROUND(V427*$C427/100,0)</f>
        <v>0</v>
      </c>
      <c r="Y427" s="20"/>
      <c r="Z427" s="74"/>
      <c r="AA427" s="74"/>
      <c r="AB427" s="74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U427" s="84"/>
    </row>
    <row r="428" spans="1:47" hidden="1">
      <c r="A428" s="1" t="s">
        <v>399</v>
      </c>
      <c r="B428" s="1"/>
      <c r="C428" s="319">
        <v>0</v>
      </c>
      <c r="D428" s="299">
        <v>5.8120000000000003</v>
      </c>
      <c r="E428" s="323" t="s">
        <v>374</v>
      </c>
      <c r="F428" s="2">
        <f>ROUND(D428*$C428/100,0)</f>
        <v>0</v>
      </c>
      <c r="G428" s="299">
        <v>6.1660000000000004</v>
      </c>
      <c r="H428" s="323" t="s">
        <v>374</v>
      </c>
      <c r="I428" s="2">
        <f t="shared" si="143"/>
        <v>0</v>
      </c>
      <c r="J428" s="299">
        <f ca="1">$J$180</f>
        <v>3.74</v>
      </c>
      <c r="K428" s="323" t="s">
        <v>374</v>
      </c>
      <c r="L428" s="2">
        <f ca="1">ROUND(J428*$C428/100,0)</f>
        <v>0</v>
      </c>
      <c r="M428" s="2"/>
      <c r="N428" s="299">
        <f ca="1">$N$180</f>
        <v>0.80275718206159852</v>
      </c>
      <c r="O428" s="323" t="s">
        <v>374</v>
      </c>
      <c r="P428" s="2">
        <f ca="1">ROUND(N428*$C428/100,0)</f>
        <v>0</v>
      </c>
      <c r="Q428" s="2"/>
      <c r="R428" s="299">
        <f ca="1">$R$180</f>
        <v>1.0536847359511734</v>
      </c>
      <c r="S428" s="323" t="s">
        <v>374</v>
      </c>
      <c r="T428" s="2">
        <f ca="1">ROUND(R428*$C428/100,0)</f>
        <v>0</v>
      </c>
      <c r="U428" s="2"/>
      <c r="V428" s="299">
        <f ca="1">$V$180</f>
        <v>1.8834755557989509</v>
      </c>
      <c r="W428" s="323" t="s">
        <v>374</v>
      </c>
      <c r="X428" s="2">
        <f ca="1">ROUND(V428*$C428/100,0)</f>
        <v>0</v>
      </c>
      <c r="Y428" s="20"/>
      <c r="Z428" s="74"/>
      <c r="AA428" s="74"/>
      <c r="AB428" s="74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U428" s="84"/>
    </row>
    <row r="429" spans="1:47" hidden="1">
      <c r="A429" s="1" t="s">
        <v>400</v>
      </c>
      <c r="B429" s="1"/>
      <c r="C429" s="319">
        <v>0</v>
      </c>
      <c r="D429" s="330">
        <v>56</v>
      </c>
      <c r="E429" s="321" t="s">
        <v>374</v>
      </c>
      <c r="F429" s="2">
        <f>ROUND(D429*$C429/100,0)</f>
        <v>0</v>
      </c>
      <c r="G429" s="330">
        <v>56</v>
      </c>
      <c r="H429" s="323" t="s">
        <v>374</v>
      </c>
      <c r="I429" s="2">
        <f t="shared" si="143"/>
        <v>0</v>
      </c>
      <c r="J429" s="330">
        <f>$J$181</f>
        <v>56</v>
      </c>
      <c r="K429" s="323" t="s">
        <v>374</v>
      </c>
      <c r="L429" s="2">
        <f>ROUND(J429*$C429/100,0)</f>
        <v>0</v>
      </c>
      <c r="M429" s="2"/>
      <c r="N429" s="330" t="str">
        <f>$N$181</f>
        <v xml:space="preserve"> </v>
      </c>
      <c r="O429" s="323" t="s">
        <v>374</v>
      </c>
      <c r="P429" s="2">
        <f>ROUND(N429*$C429/100,0)</f>
        <v>0</v>
      </c>
      <c r="Q429" s="2"/>
      <c r="R429" s="330">
        <f ca="1">$R$181</f>
        <v>11</v>
      </c>
      <c r="S429" s="323" t="s">
        <v>374</v>
      </c>
      <c r="T429" s="2">
        <f ca="1">ROUND(R429*$C429/100,0)</f>
        <v>0</v>
      </c>
      <c r="U429" s="2"/>
      <c r="V429" s="330">
        <f ca="1">$V$181</f>
        <v>45</v>
      </c>
      <c r="W429" s="323" t="s">
        <v>374</v>
      </c>
      <c r="X429" s="2">
        <f ca="1">ROUND(V429*$C429/100,0)</f>
        <v>0</v>
      </c>
      <c r="Y429" s="20"/>
      <c r="Z429" s="74"/>
      <c r="AA429" s="74"/>
      <c r="AB429" s="74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U429" s="84"/>
    </row>
    <row r="430" spans="1:47" s="1184" customFormat="1" hidden="1">
      <c r="A430" s="1005" t="s">
        <v>918</v>
      </c>
      <c r="C430" s="1202">
        <f>C426</f>
        <v>33313</v>
      </c>
      <c r="D430" s="269"/>
      <c r="E430" s="1185"/>
      <c r="F430" s="1203"/>
      <c r="G430" s="269"/>
      <c r="H430" s="1185"/>
      <c r="I430" s="1203"/>
      <c r="J430" s="1230">
        <f>J182</f>
        <v>4.5289999999999999</v>
      </c>
      <c r="K430" s="1009" t="s">
        <v>374</v>
      </c>
      <c r="L430" s="1203">
        <f t="shared" ref="L430:L432" si="144">ROUND(J430*$C430/100,0)</f>
        <v>1509</v>
      </c>
      <c r="M430" s="1203"/>
      <c r="N430" s="1230" t="str">
        <f>N182</f>
        <v xml:space="preserve"> </v>
      </c>
      <c r="O430" s="1009" t="s">
        <v>374</v>
      </c>
      <c r="P430" s="1203">
        <f t="shared" ref="P430:P432" si="145">ROUND(N430*$C430/100,0)</f>
        <v>0</v>
      </c>
      <c r="Q430" s="1203"/>
      <c r="R430" s="1230" t="str">
        <f>R182</f>
        <v xml:space="preserve"> </v>
      </c>
      <c r="S430" s="1009" t="s">
        <v>374</v>
      </c>
      <c r="T430" s="1203">
        <f t="shared" ref="T430:T432" si="146">ROUND(R430*$C430/100,0)</f>
        <v>0</v>
      </c>
      <c r="U430" s="1203"/>
      <c r="V430" s="1230">
        <f>V182</f>
        <v>4.5289999999999999</v>
      </c>
      <c r="W430" s="1009" t="s">
        <v>374</v>
      </c>
      <c r="X430" s="1203">
        <f t="shared" ref="X430:X432" si="147">ROUND(V430*$C430/100,0)</f>
        <v>1509</v>
      </c>
      <c r="Z430" s="815"/>
      <c r="AC430" s="1205"/>
      <c r="AD430" s="1205"/>
      <c r="AI430" s="1185"/>
      <c r="AJ430" s="1185"/>
      <c r="AK430" s="1185"/>
      <c r="AL430" s="1185"/>
      <c r="AM430" s="1185"/>
      <c r="AN430" s="1185"/>
      <c r="AO430" s="1185"/>
      <c r="AP430" s="1185"/>
      <c r="AQ430" s="1185"/>
      <c r="AR430" s="1185"/>
      <c r="AS430" s="1185"/>
      <c r="AU430" s="1204"/>
    </row>
    <row r="431" spans="1:47" s="1184" customFormat="1" hidden="1">
      <c r="A431" s="1005" t="s">
        <v>919</v>
      </c>
      <c r="C431" s="1202">
        <f>C427</f>
        <v>0</v>
      </c>
      <c r="D431" s="269"/>
      <c r="E431" s="1185"/>
      <c r="F431" s="1203"/>
      <c r="G431" s="269"/>
      <c r="H431" s="1185"/>
      <c r="I431" s="1203"/>
      <c r="J431" s="1230">
        <f>J183</f>
        <v>3.1270000000000002</v>
      </c>
      <c r="K431" s="1009" t="s">
        <v>374</v>
      </c>
      <c r="L431" s="1203">
        <f t="shared" si="144"/>
        <v>0</v>
      </c>
      <c r="M431" s="1203"/>
      <c r="N431" s="1230" t="str">
        <f>N183</f>
        <v xml:space="preserve"> </v>
      </c>
      <c r="O431" s="1009" t="s">
        <v>374</v>
      </c>
      <c r="P431" s="1203">
        <f t="shared" si="145"/>
        <v>0</v>
      </c>
      <c r="Q431" s="1203"/>
      <c r="R431" s="1230" t="str">
        <f>R183</f>
        <v xml:space="preserve"> </v>
      </c>
      <c r="S431" s="1009" t="s">
        <v>374</v>
      </c>
      <c r="T431" s="1203">
        <f t="shared" si="146"/>
        <v>0</v>
      </c>
      <c r="U431" s="1203"/>
      <c r="V431" s="1230">
        <f>V183</f>
        <v>3.1270000000000002</v>
      </c>
      <c r="W431" s="1009" t="s">
        <v>374</v>
      </c>
      <c r="X431" s="1203">
        <f t="shared" si="147"/>
        <v>0</v>
      </c>
      <c r="Z431" s="815"/>
      <c r="AC431" s="1205"/>
      <c r="AD431" s="1205"/>
      <c r="AI431" s="1185"/>
      <c r="AJ431" s="1185"/>
      <c r="AK431" s="1185"/>
      <c r="AL431" s="1185"/>
      <c r="AM431" s="1185"/>
      <c r="AN431" s="1185"/>
      <c r="AO431" s="1185"/>
      <c r="AP431" s="1185"/>
      <c r="AQ431" s="1185"/>
      <c r="AR431" s="1185"/>
      <c r="AS431" s="1185"/>
      <c r="AU431" s="1204"/>
    </row>
    <row r="432" spans="1:47" s="1184" customFormat="1" hidden="1">
      <c r="A432" s="1005" t="s">
        <v>920</v>
      </c>
      <c r="C432" s="1202">
        <f>C428</f>
        <v>0</v>
      </c>
      <c r="D432" s="269"/>
      <c r="E432" s="1185"/>
      <c r="F432" s="1203"/>
      <c r="G432" s="269"/>
      <c r="H432" s="1185"/>
      <c r="I432" s="1203"/>
      <c r="J432" s="1230">
        <f>J184</f>
        <v>2.6950000000000003</v>
      </c>
      <c r="K432" s="1009" t="s">
        <v>374</v>
      </c>
      <c r="L432" s="1203">
        <f t="shared" si="144"/>
        <v>0</v>
      </c>
      <c r="M432" s="1203"/>
      <c r="N432" s="1230" t="str">
        <f>N184</f>
        <v xml:space="preserve"> </v>
      </c>
      <c r="O432" s="1009" t="s">
        <v>374</v>
      </c>
      <c r="P432" s="1203">
        <f t="shared" si="145"/>
        <v>0</v>
      </c>
      <c r="Q432" s="1203"/>
      <c r="R432" s="1230" t="str">
        <f>R184</f>
        <v xml:space="preserve"> </v>
      </c>
      <c r="S432" s="1009" t="s">
        <v>374</v>
      </c>
      <c r="T432" s="1203">
        <f t="shared" si="146"/>
        <v>0</v>
      </c>
      <c r="U432" s="1203"/>
      <c r="V432" s="1230">
        <f>V184</f>
        <v>2.6950000000000003</v>
      </c>
      <c r="W432" s="1009" t="s">
        <v>374</v>
      </c>
      <c r="X432" s="1203">
        <f t="shared" si="147"/>
        <v>0</v>
      </c>
      <c r="Z432" s="815"/>
      <c r="AC432" s="1205"/>
      <c r="AD432" s="1205"/>
      <c r="AI432" s="1185"/>
      <c r="AJ432" s="1185"/>
      <c r="AK432" s="1185"/>
      <c r="AL432" s="1185"/>
      <c r="AM432" s="1185"/>
      <c r="AN432" s="1185"/>
      <c r="AO432" s="1185"/>
      <c r="AP432" s="1185"/>
      <c r="AQ432" s="1185"/>
      <c r="AR432" s="1185"/>
      <c r="AS432" s="1185"/>
      <c r="AU432" s="1204"/>
    </row>
    <row r="433" spans="1:47" hidden="1">
      <c r="A433" s="331" t="s">
        <v>401</v>
      </c>
      <c r="B433" s="1"/>
      <c r="C433" s="319"/>
      <c r="D433" s="332">
        <v>-0.01</v>
      </c>
      <c r="E433" s="321"/>
      <c r="F433" s="2"/>
      <c r="G433" s="332">
        <v>-0.01</v>
      </c>
      <c r="H433" s="323"/>
      <c r="I433" s="2"/>
      <c r="J433" s="332">
        <v>-0.01</v>
      </c>
      <c r="K433" s="323"/>
      <c r="L433" s="2"/>
      <c r="M433" s="2"/>
      <c r="N433" s="332">
        <v>-0.01</v>
      </c>
      <c r="O433" s="323"/>
      <c r="P433" s="2"/>
      <c r="Q433" s="2"/>
      <c r="R433" s="332">
        <v>-0.01</v>
      </c>
      <c r="S433" s="323"/>
      <c r="T433" s="2"/>
      <c r="U433" s="2"/>
      <c r="V433" s="332">
        <v>-0.01</v>
      </c>
      <c r="W433" s="323"/>
      <c r="X433" s="2"/>
      <c r="Y433" s="20"/>
      <c r="Z433" s="74"/>
      <c r="AA433" s="74"/>
      <c r="AB433" s="74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U433" s="84"/>
    </row>
    <row r="434" spans="1:47" hidden="1">
      <c r="A434" s="1" t="s">
        <v>390</v>
      </c>
      <c r="B434" s="1"/>
      <c r="C434" s="319">
        <v>0</v>
      </c>
      <c r="D434" s="334">
        <v>8.7100000000000009</v>
      </c>
      <c r="E434" s="321"/>
      <c r="F434" s="2">
        <f>-ROUND(D434*$C434/100,0)</f>
        <v>0</v>
      </c>
      <c r="G434" s="334">
        <v>8.7100000000000009</v>
      </c>
      <c r="H434" s="321"/>
      <c r="I434" s="2">
        <f>-ROUND(G434*$C434/100,0)</f>
        <v>0</v>
      </c>
      <c r="J434" s="334">
        <f>J420</f>
        <v>10</v>
      </c>
      <c r="K434" s="321"/>
      <c r="L434" s="2">
        <f>-ROUND(J434*$C434/100,0)</f>
        <v>0</v>
      </c>
      <c r="M434" s="2"/>
      <c r="N434" s="334">
        <f>N420</f>
        <v>10</v>
      </c>
      <c r="O434" s="321"/>
      <c r="P434" s="2">
        <f>-ROUND(N434*$C434/100,0)</f>
        <v>0</v>
      </c>
      <c r="Q434" s="2"/>
      <c r="R434" s="334" t="str">
        <f>R420</f>
        <v xml:space="preserve"> </v>
      </c>
      <c r="S434" s="321"/>
      <c r="T434" s="2">
        <f>-ROUND(R434*$C434/100,0)</f>
        <v>0</v>
      </c>
      <c r="U434" s="2"/>
      <c r="V434" s="334" t="str">
        <f>V420</f>
        <v xml:space="preserve"> </v>
      </c>
      <c r="W434" s="321"/>
      <c r="X434" s="2">
        <f>-ROUND(V434*$C434/100,0)</f>
        <v>0</v>
      </c>
      <c r="Y434" s="20"/>
      <c r="Z434" s="74"/>
      <c r="AA434" s="74"/>
      <c r="AB434" s="74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U434" s="84"/>
    </row>
    <row r="435" spans="1:47" hidden="1">
      <c r="A435" s="1" t="s">
        <v>391</v>
      </c>
      <c r="B435" s="1"/>
      <c r="C435" s="319">
        <v>0</v>
      </c>
      <c r="D435" s="334">
        <v>12.98</v>
      </c>
      <c r="E435" s="321"/>
      <c r="F435" s="2">
        <f>-ROUND(D435*$C435/100,0)</f>
        <v>0</v>
      </c>
      <c r="G435" s="334">
        <v>12.98</v>
      </c>
      <c r="H435" s="321"/>
      <c r="I435" s="2">
        <f t="shared" ref="I435:I437" si="148">-ROUND(G435*$C435/100,0)</f>
        <v>0</v>
      </c>
      <c r="J435" s="334">
        <f>J421</f>
        <v>15</v>
      </c>
      <c r="K435" s="321"/>
      <c r="L435" s="2">
        <f>-ROUND(J435*$C435/100,0)</f>
        <v>0</v>
      </c>
      <c r="M435" s="2"/>
      <c r="N435" s="334">
        <f>N421</f>
        <v>15</v>
      </c>
      <c r="O435" s="321"/>
      <c r="P435" s="2">
        <f>-ROUND(N435*$C435/100,0)</f>
        <v>0</v>
      </c>
      <c r="Q435" s="2"/>
      <c r="R435" s="334" t="str">
        <f>R421</f>
        <v xml:space="preserve"> </v>
      </c>
      <c r="S435" s="321"/>
      <c r="T435" s="2">
        <f>-ROUND(R435*$C435/100,0)</f>
        <v>0</v>
      </c>
      <c r="U435" s="2"/>
      <c r="V435" s="334" t="str">
        <f>V421</f>
        <v xml:space="preserve"> </v>
      </c>
      <c r="W435" s="321"/>
      <c r="X435" s="2">
        <f>-ROUND(V435*$C435/100,0)</f>
        <v>0</v>
      </c>
      <c r="Y435" s="20"/>
      <c r="Z435" s="74"/>
      <c r="AA435" s="74"/>
      <c r="AB435" s="74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U435" s="84"/>
    </row>
    <row r="436" spans="1:47" hidden="1">
      <c r="A436" s="1" t="s">
        <v>402</v>
      </c>
      <c r="B436" s="1"/>
      <c r="C436" s="319">
        <v>0</v>
      </c>
      <c r="D436" s="334">
        <v>0.92</v>
      </c>
      <c r="E436" s="321"/>
      <c r="F436" s="2">
        <f>-ROUND(D436*$C436/100,0)</f>
        <v>0</v>
      </c>
      <c r="G436" s="334">
        <v>0.92</v>
      </c>
      <c r="H436" s="321"/>
      <c r="I436" s="2">
        <f t="shared" si="148"/>
        <v>0</v>
      </c>
      <c r="J436" s="334">
        <f>J422</f>
        <v>1</v>
      </c>
      <c r="K436" s="321"/>
      <c r="L436" s="2">
        <f>-ROUND(J436*$C436/100,0)</f>
        <v>0</v>
      </c>
      <c r="M436" s="2"/>
      <c r="N436" s="334">
        <f>N422</f>
        <v>1</v>
      </c>
      <c r="O436" s="321"/>
      <c r="P436" s="2">
        <f>-ROUND(N436*$C436/100,0)</f>
        <v>0</v>
      </c>
      <c r="Q436" s="2"/>
      <c r="R436" s="334" t="str">
        <f>R422</f>
        <v xml:space="preserve"> </v>
      </c>
      <c r="S436" s="321"/>
      <c r="T436" s="2">
        <f>-ROUND(R436*$C436/100,0)</f>
        <v>0</v>
      </c>
      <c r="U436" s="2"/>
      <c r="V436" s="334" t="str">
        <f>V422</f>
        <v xml:space="preserve"> </v>
      </c>
      <c r="W436" s="321"/>
      <c r="X436" s="2">
        <f>-ROUND(V436*$C436/100,0)</f>
        <v>0</v>
      </c>
      <c r="Y436" s="20"/>
      <c r="Z436" s="74"/>
      <c r="AA436" s="74"/>
      <c r="AB436" s="74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U436" s="84"/>
    </row>
    <row r="437" spans="1:47" hidden="1">
      <c r="A437" s="1" t="s">
        <v>403</v>
      </c>
      <c r="B437" s="1"/>
      <c r="C437" s="319">
        <v>0</v>
      </c>
      <c r="D437" s="334">
        <v>3.4</v>
      </c>
      <c r="E437" s="323"/>
      <c r="F437" s="2">
        <f>-ROUND(D437*$C437/100,0)</f>
        <v>0</v>
      </c>
      <c r="G437" s="334">
        <v>3.61</v>
      </c>
      <c r="H437" s="323"/>
      <c r="I437" s="2">
        <f t="shared" si="148"/>
        <v>0</v>
      </c>
      <c r="J437" s="334">
        <f ca="1">J425</f>
        <v>3.77</v>
      </c>
      <c r="K437" s="323"/>
      <c r="L437" s="2">
        <f ca="1">-ROUND(J437*$C437/100,0)</f>
        <v>0</v>
      </c>
      <c r="M437" s="2"/>
      <c r="N437" s="334">
        <f ca="1">N425</f>
        <v>0.81</v>
      </c>
      <c r="O437" s="323"/>
      <c r="P437" s="2">
        <f ca="1">-ROUND(N437*$C437/100,0)</f>
        <v>0</v>
      </c>
      <c r="Q437" s="2"/>
      <c r="R437" s="334">
        <f ca="1">R425</f>
        <v>1.06</v>
      </c>
      <c r="S437" s="323"/>
      <c r="T437" s="2">
        <f ca="1">-ROUND(R437*$C437/100,0)</f>
        <v>0</v>
      </c>
      <c r="U437" s="2"/>
      <c r="V437" s="334">
        <f ca="1">V425</f>
        <v>1.9</v>
      </c>
      <c r="W437" s="323"/>
      <c r="X437" s="2">
        <f ca="1">-ROUND(V437*$C437/100,0)</f>
        <v>0</v>
      </c>
      <c r="Y437" s="20"/>
      <c r="Z437" s="74"/>
      <c r="AA437" s="74"/>
      <c r="AB437" s="74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U437" s="84"/>
    </row>
    <row r="438" spans="1:47" hidden="1">
      <c r="A438" s="1" t="s">
        <v>405</v>
      </c>
      <c r="B438" s="1"/>
      <c r="C438" s="319">
        <v>0</v>
      </c>
      <c r="D438" s="335">
        <v>9.766</v>
      </c>
      <c r="E438" s="323" t="s">
        <v>374</v>
      </c>
      <c r="F438" s="2">
        <f>ROUND(D438*$C438/100*D433,0)</f>
        <v>0</v>
      </c>
      <c r="G438" s="335">
        <v>10.359</v>
      </c>
      <c r="H438" s="323" t="s">
        <v>374</v>
      </c>
      <c r="I438" s="2">
        <f>ROUND(G438*$C438/100*G433,0)</f>
        <v>0</v>
      </c>
      <c r="J438" s="335">
        <f ca="1">J426</f>
        <v>6.282</v>
      </c>
      <c r="K438" s="323" t="s">
        <v>374</v>
      </c>
      <c r="L438" s="2">
        <f ca="1">ROUND(J438*$C438/100*J433,0)</f>
        <v>0</v>
      </c>
      <c r="M438" s="2"/>
      <c r="N438" s="335">
        <f ca="1">N426</f>
        <v>1.3483746810352102</v>
      </c>
      <c r="O438" s="323" t="s">
        <v>374</v>
      </c>
      <c r="P438" s="2">
        <f ca="1">ROUND(N438*$C438/100*N433,0)</f>
        <v>0</v>
      </c>
      <c r="Q438" s="2"/>
      <c r="R438" s="335">
        <f ca="1">R426</f>
        <v>1.7708525176705459</v>
      </c>
      <c r="S438" s="323" t="s">
        <v>374</v>
      </c>
      <c r="T438" s="2">
        <f ca="1">ROUND(R438*$C438/100*R433,0)</f>
        <v>0</v>
      </c>
      <c r="U438" s="2"/>
      <c r="V438" s="335">
        <f ca="1">V426</f>
        <v>3.162955363125258</v>
      </c>
      <c r="W438" s="323" t="s">
        <v>374</v>
      </c>
      <c r="X438" s="2">
        <f ca="1">ROUND(V438*$C438/100*V433,0)</f>
        <v>0</v>
      </c>
      <c r="Y438" s="20"/>
      <c r="Z438" s="74"/>
      <c r="AA438" s="74"/>
      <c r="AB438" s="74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U438" s="84"/>
    </row>
    <row r="439" spans="1:47" hidden="1">
      <c r="A439" s="1" t="s">
        <v>398</v>
      </c>
      <c r="B439" s="1"/>
      <c r="C439" s="319">
        <v>0</v>
      </c>
      <c r="D439" s="335">
        <v>6.7460000000000004</v>
      </c>
      <c r="E439" s="323" t="s">
        <v>374</v>
      </c>
      <c r="F439" s="2">
        <f>ROUND(D439*$C439/100*D433,0)</f>
        <v>0</v>
      </c>
      <c r="G439" s="335">
        <v>7.1559999999999997</v>
      </c>
      <c r="H439" s="323" t="s">
        <v>374</v>
      </c>
      <c r="I439" s="2">
        <f>ROUND(G439*$C439/100*G433,0)</f>
        <v>0</v>
      </c>
      <c r="J439" s="335">
        <f ca="1">J427</f>
        <v>4.3410000000000002</v>
      </c>
      <c r="K439" s="323" t="s">
        <v>374</v>
      </c>
      <c r="L439" s="2">
        <f ca="1">ROUND(J439*$C439/100*J433,0)</f>
        <v>0</v>
      </c>
      <c r="M439" s="2"/>
      <c r="N439" s="335">
        <f ca="1">N427</f>
        <v>0.93175626548296309</v>
      </c>
      <c r="O439" s="323" t="s">
        <v>374</v>
      </c>
      <c r="P439" s="2">
        <f ca="1">ROUND(N439*$C439/100*N433,0)</f>
        <v>0</v>
      </c>
      <c r="Q439" s="2"/>
      <c r="R439" s="335">
        <f ca="1">R427</f>
        <v>1.2240066282869231</v>
      </c>
      <c r="S439" s="323" t="s">
        <v>374</v>
      </c>
      <c r="T439" s="2">
        <f ca="1">ROUND(R439*$C439/100*R433,0)</f>
        <v>0</v>
      </c>
      <c r="U439" s="2"/>
      <c r="V439" s="335">
        <f ca="1">V427</f>
        <v>2.1849800075654815</v>
      </c>
      <c r="W439" s="323" t="s">
        <v>374</v>
      </c>
      <c r="X439" s="2">
        <f ca="1">ROUND(V439*$C439/100*V433,0)</f>
        <v>0</v>
      </c>
      <c r="Y439" s="20"/>
      <c r="Z439" s="74"/>
      <c r="AA439" s="74"/>
      <c r="AB439" s="74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U439" s="84"/>
    </row>
    <row r="440" spans="1:47" hidden="1">
      <c r="A440" s="1" t="s">
        <v>399</v>
      </c>
      <c r="B440" s="1"/>
      <c r="C440" s="319">
        <v>0</v>
      </c>
      <c r="D440" s="335">
        <v>5.8120000000000003</v>
      </c>
      <c r="E440" s="323" t="s">
        <v>374</v>
      </c>
      <c r="F440" s="2">
        <f>ROUND(D440*$C440/100*D433,0)</f>
        <v>0</v>
      </c>
      <c r="G440" s="335">
        <v>6.1660000000000004</v>
      </c>
      <c r="H440" s="323" t="s">
        <v>374</v>
      </c>
      <c r="I440" s="2">
        <f>ROUND(G440*$C440/100*G433,0)</f>
        <v>0</v>
      </c>
      <c r="J440" s="335">
        <f ca="1">J428</f>
        <v>3.74</v>
      </c>
      <c r="K440" s="323" t="s">
        <v>374</v>
      </c>
      <c r="L440" s="2">
        <f ca="1">ROUND(J440*$C440/100*J433,0)</f>
        <v>0</v>
      </c>
      <c r="M440" s="2"/>
      <c r="N440" s="335">
        <f ca="1">N428</f>
        <v>0.80275718206159852</v>
      </c>
      <c r="O440" s="323" t="s">
        <v>374</v>
      </c>
      <c r="P440" s="2">
        <f ca="1">ROUND(N440*$C440/100*N433,0)</f>
        <v>0</v>
      </c>
      <c r="Q440" s="2"/>
      <c r="R440" s="335">
        <f ca="1">R428</f>
        <v>1.0536847359511734</v>
      </c>
      <c r="S440" s="323" t="s">
        <v>374</v>
      </c>
      <c r="T440" s="2">
        <f ca="1">ROUND(R440*$C440/100*R433,0)</f>
        <v>0</v>
      </c>
      <c r="U440" s="2"/>
      <c r="V440" s="335">
        <f ca="1">V428</f>
        <v>1.8834755557989509</v>
      </c>
      <c r="W440" s="323" t="s">
        <v>374</v>
      </c>
      <c r="X440" s="2">
        <f ca="1">ROUND(V440*$C440/100*V433,0)</f>
        <v>0</v>
      </c>
      <c r="Y440" s="20"/>
      <c r="Z440" s="74"/>
      <c r="AA440" s="74"/>
      <c r="AB440" s="74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U440" s="84"/>
    </row>
    <row r="441" spans="1:47" hidden="1">
      <c r="A441" s="1" t="s">
        <v>400</v>
      </c>
      <c r="B441" s="1"/>
      <c r="C441" s="319">
        <v>0</v>
      </c>
      <c r="D441" s="336">
        <v>56</v>
      </c>
      <c r="E441" s="323" t="s">
        <v>374</v>
      </c>
      <c r="F441" s="2">
        <f>ROUND(D441*$C441/100*D433,0)</f>
        <v>0</v>
      </c>
      <c r="G441" s="336">
        <v>56</v>
      </c>
      <c r="H441" s="323" t="s">
        <v>374</v>
      </c>
      <c r="I441" s="2">
        <f>ROUND(G441*$C441/100*G433,0)</f>
        <v>0</v>
      </c>
      <c r="J441" s="336">
        <f>J429</f>
        <v>56</v>
      </c>
      <c r="K441" s="323" t="s">
        <v>374</v>
      </c>
      <c r="L441" s="2">
        <f>ROUND(J441*$C441/100*J433,0)</f>
        <v>0</v>
      </c>
      <c r="M441" s="2"/>
      <c r="N441" s="336" t="str">
        <f>N429</f>
        <v xml:space="preserve"> </v>
      </c>
      <c r="O441" s="323" t="s">
        <v>374</v>
      </c>
      <c r="P441" s="2">
        <f>ROUND(N441*$C441/100*N433,0)</f>
        <v>0</v>
      </c>
      <c r="Q441" s="2"/>
      <c r="R441" s="336">
        <f ca="1">R429</f>
        <v>11</v>
      </c>
      <c r="S441" s="323" t="s">
        <v>374</v>
      </c>
      <c r="T441" s="2">
        <f ca="1">ROUND(R441*$C441/100*R433,0)</f>
        <v>0</v>
      </c>
      <c r="U441" s="2"/>
      <c r="V441" s="336">
        <f ca="1">V429</f>
        <v>45</v>
      </c>
      <c r="W441" s="323" t="s">
        <v>374</v>
      </c>
      <c r="X441" s="2">
        <f ca="1">ROUND(V441*$C441/100*V433,0)</f>
        <v>0</v>
      </c>
      <c r="Y441" s="20"/>
      <c r="Z441" s="74"/>
      <c r="AA441" s="74"/>
      <c r="AB441" s="74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U441" s="84"/>
    </row>
    <row r="442" spans="1:47" hidden="1">
      <c r="A442" s="1" t="s">
        <v>407</v>
      </c>
      <c r="B442" s="1"/>
      <c r="C442" s="319">
        <v>0</v>
      </c>
      <c r="D442" s="337">
        <v>60</v>
      </c>
      <c r="E442" s="321"/>
      <c r="F442" s="2">
        <f>ROUND(D442*$C442,0)</f>
        <v>0</v>
      </c>
      <c r="G442" s="337">
        <v>60</v>
      </c>
      <c r="H442" s="323"/>
      <c r="I442" s="2">
        <f>ROUND(G442*C442,0)</f>
        <v>0</v>
      </c>
      <c r="J442" s="337">
        <f>$J$197</f>
        <v>60</v>
      </c>
      <c r="K442" s="323"/>
      <c r="L442" s="2">
        <f>ROUND(J442*$C442,0)</f>
        <v>0</v>
      </c>
      <c r="M442" s="2"/>
      <c r="N442" s="337">
        <v>0</v>
      </c>
      <c r="O442" s="323"/>
      <c r="P442" s="2">
        <f>ROUND(N442*$C442,0)</f>
        <v>0</v>
      </c>
      <c r="Q442" s="2"/>
      <c r="R442" s="337">
        <f ca="1">R197</f>
        <v>11.86</v>
      </c>
      <c r="S442" s="323"/>
      <c r="T442" s="2">
        <f ca="1">ROUND(R442*$C442,0)</f>
        <v>0</v>
      </c>
      <c r="U442" s="2"/>
      <c r="V442" s="337">
        <f ca="1">V197</f>
        <v>48.14</v>
      </c>
      <c r="W442" s="323"/>
      <c r="X442" s="2">
        <f ca="1">ROUND(V442*$C442,0)</f>
        <v>0</v>
      </c>
      <c r="Y442" s="20"/>
      <c r="Z442" s="74"/>
      <c r="AA442" s="74"/>
      <c r="AB442" s="74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U442" s="84"/>
    </row>
    <row r="443" spans="1:47" hidden="1">
      <c r="A443" s="1" t="s">
        <v>408</v>
      </c>
      <c r="B443" s="1"/>
      <c r="C443" s="319">
        <v>0</v>
      </c>
      <c r="D443" s="339">
        <v>-30</v>
      </c>
      <c r="E443" s="321" t="s">
        <v>374</v>
      </c>
      <c r="F443" s="2">
        <f>ROUND(D443*$C443/100,0)</f>
        <v>0</v>
      </c>
      <c r="G443" s="339">
        <v>-30</v>
      </c>
      <c r="H443" s="323" t="s">
        <v>374</v>
      </c>
      <c r="I443" s="2">
        <f>ROUND(G443*C443/100,0)</f>
        <v>0</v>
      </c>
      <c r="J443" s="339">
        <f>$J$198</f>
        <v>-30</v>
      </c>
      <c r="K443" s="323" t="s">
        <v>374</v>
      </c>
      <c r="L443" s="2">
        <f>ROUND(J443*$C443/100,0)</f>
        <v>0</v>
      </c>
      <c r="M443" s="2"/>
      <c r="N443" s="339">
        <f>$J$198</f>
        <v>-30</v>
      </c>
      <c r="O443" s="323" t="s">
        <v>374</v>
      </c>
      <c r="P443" s="2">
        <f>ROUND(N443*$C443/100,0)</f>
        <v>0</v>
      </c>
      <c r="Q443" s="2"/>
      <c r="R443" s="339">
        <v>0</v>
      </c>
      <c r="S443" s="323" t="s">
        <v>374</v>
      </c>
      <c r="T443" s="2">
        <f>ROUND(R443*$C443/100,0)</f>
        <v>0</v>
      </c>
      <c r="U443" s="2"/>
      <c r="V443" s="339">
        <v>0</v>
      </c>
      <c r="W443" s="323" t="s">
        <v>374</v>
      </c>
      <c r="X443" s="2">
        <f>ROUND(V443*$C443/100,0)</f>
        <v>0</v>
      </c>
      <c r="Y443" s="20"/>
      <c r="Z443" s="74"/>
      <c r="AA443" s="74"/>
      <c r="AB443" s="74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U443" s="84"/>
    </row>
    <row r="444" spans="1:47" s="1184" customFormat="1" hidden="1">
      <c r="A444" s="1005" t="s">
        <v>918</v>
      </c>
      <c r="C444" s="1202">
        <f>C438</f>
        <v>0</v>
      </c>
      <c r="D444" s="269"/>
      <c r="E444" s="1185"/>
      <c r="F444" s="1203"/>
      <c r="G444" s="269"/>
      <c r="H444" s="1185"/>
      <c r="I444" s="1203"/>
      <c r="J444" s="1230">
        <f>J182</f>
        <v>4.5289999999999999</v>
      </c>
      <c r="K444" s="1009" t="s">
        <v>374</v>
      </c>
      <c r="L444" s="2">
        <f>ROUND(J444*$C444/100*J433,0)</f>
        <v>0</v>
      </c>
      <c r="M444" s="2"/>
      <c r="N444" s="1230" t="str">
        <f>N182</f>
        <v xml:space="preserve"> </v>
      </c>
      <c r="O444" s="1009" t="s">
        <v>374</v>
      </c>
      <c r="P444" s="2">
        <f>ROUND(N444*$C444/100*N433,0)</f>
        <v>0</v>
      </c>
      <c r="Q444" s="2"/>
      <c r="R444" s="1230" t="str">
        <f>R182</f>
        <v xml:space="preserve"> </v>
      </c>
      <c r="S444" s="1009" t="s">
        <v>374</v>
      </c>
      <c r="T444" s="2">
        <f>ROUND(R444*$C444/100*R433,0)</f>
        <v>0</v>
      </c>
      <c r="U444" s="2"/>
      <c r="V444" s="1230">
        <f>V182</f>
        <v>4.5289999999999999</v>
      </c>
      <c r="W444" s="1009" t="s">
        <v>374</v>
      </c>
      <c r="X444" s="2">
        <f>ROUND(V444*$C444/100*V433,0)</f>
        <v>0</v>
      </c>
      <c r="Z444" s="815"/>
      <c r="AC444" s="1205"/>
      <c r="AD444" s="1205"/>
      <c r="AI444" s="1185"/>
      <c r="AJ444" s="1185"/>
      <c r="AK444" s="1185"/>
      <c r="AL444" s="1185"/>
      <c r="AM444" s="1185"/>
      <c r="AN444" s="1185"/>
      <c r="AO444" s="1185"/>
      <c r="AP444" s="1185"/>
      <c r="AQ444" s="1185"/>
      <c r="AR444" s="1185"/>
      <c r="AS444" s="1185"/>
      <c r="AU444" s="1204"/>
    </row>
    <row r="445" spans="1:47" s="1184" customFormat="1" hidden="1">
      <c r="A445" s="1005" t="s">
        <v>919</v>
      </c>
      <c r="C445" s="1202">
        <f>C439</f>
        <v>0</v>
      </c>
      <c r="D445" s="269"/>
      <c r="E445" s="1185"/>
      <c r="F445" s="1203"/>
      <c r="G445" s="269"/>
      <c r="H445" s="1185"/>
      <c r="I445" s="1203"/>
      <c r="J445" s="1230">
        <f>J183</f>
        <v>3.1270000000000002</v>
      </c>
      <c r="K445" s="1009" t="s">
        <v>374</v>
      </c>
      <c r="L445" s="2">
        <f>ROUND(J445*$C445/100*J433,0)</f>
        <v>0</v>
      </c>
      <c r="M445" s="2"/>
      <c r="N445" s="1230" t="str">
        <f>N183</f>
        <v xml:space="preserve"> </v>
      </c>
      <c r="O445" s="1009" t="s">
        <v>374</v>
      </c>
      <c r="P445" s="2">
        <f>ROUND(N445*$C445/100*N433,0)</f>
        <v>0</v>
      </c>
      <c r="Q445" s="2"/>
      <c r="R445" s="1230" t="str">
        <f>R183</f>
        <v xml:space="preserve"> </v>
      </c>
      <c r="S445" s="1009" t="s">
        <v>374</v>
      </c>
      <c r="T445" s="2">
        <f>ROUND(R445*$C445/100*R433,0)</f>
        <v>0</v>
      </c>
      <c r="U445" s="2"/>
      <c r="V445" s="1230">
        <f>V183</f>
        <v>3.1270000000000002</v>
      </c>
      <c r="W445" s="1009" t="s">
        <v>374</v>
      </c>
      <c r="X445" s="2">
        <f>ROUND(V445*$C445/100*V433,0)</f>
        <v>0</v>
      </c>
      <c r="Z445" s="815"/>
      <c r="AC445" s="1205"/>
      <c r="AD445" s="1205"/>
      <c r="AI445" s="1185"/>
      <c r="AJ445" s="1185"/>
      <c r="AK445" s="1185"/>
      <c r="AL445" s="1185"/>
      <c r="AM445" s="1185"/>
      <c r="AN445" s="1185"/>
      <c r="AO445" s="1185"/>
      <c r="AP445" s="1185"/>
      <c r="AQ445" s="1185"/>
      <c r="AR445" s="1185"/>
      <c r="AS445" s="1185"/>
      <c r="AU445" s="1204"/>
    </row>
    <row r="446" spans="1:47" s="1184" customFormat="1" hidden="1">
      <c r="A446" s="1005" t="s">
        <v>920</v>
      </c>
      <c r="C446" s="1202">
        <f>C440</f>
        <v>0</v>
      </c>
      <c r="D446" s="269"/>
      <c r="E446" s="1185"/>
      <c r="F446" s="1203"/>
      <c r="G446" s="269"/>
      <c r="H446" s="1185"/>
      <c r="I446" s="1203"/>
      <c r="J446" s="1230">
        <f>J184</f>
        <v>2.6950000000000003</v>
      </c>
      <c r="K446" s="1009" t="s">
        <v>374</v>
      </c>
      <c r="L446" s="2">
        <f>ROUND(J446*$C446/100*J433,0)</f>
        <v>0</v>
      </c>
      <c r="M446" s="2"/>
      <c r="N446" s="1230" t="str">
        <f>N184</f>
        <v xml:space="preserve"> </v>
      </c>
      <c r="O446" s="1009" t="s">
        <v>374</v>
      </c>
      <c r="P446" s="2">
        <f>ROUND(N446*$C446/100*N433,0)</f>
        <v>0</v>
      </c>
      <c r="Q446" s="2"/>
      <c r="R446" s="1230" t="str">
        <f>R184</f>
        <v xml:space="preserve"> </v>
      </c>
      <c r="S446" s="1009" t="s">
        <v>374</v>
      </c>
      <c r="T446" s="2">
        <f>ROUND(R446*$C446/100*R433,0)</f>
        <v>0</v>
      </c>
      <c r="U446" s="2"/>
      <c r="V446" s="1230">
        <f>V184</f>
        <v>2.6950000000000003</v>
      </c>
      <c r="W446" s="1009" t="s">
        <v>374</v>
      </c>
      <c r="X446" s="2">
        <f>ROUND(V446*$C446/100*V433,0)</f>
        <v>0</v>
      </c>
      <c r="Z446" s="815"/>
      <c r="AC446" s="1205"/>
      <c r="AD446" s="1205"/>
      <c r="AI446" s="1185"/>
      <c r="AJ446" s="1185"/>
      <c r="AK446" s="1185"/>
      <c r="AL446" s="1185"/>
      <c r="AM446" s="1185"/>
      <c r="AN446" s="1185"/>
      <c r="AO446" s="1185"/>
      <c r="AP446" s="1185"/>
      <c r="AQ446" s="1185"/>
      <c r="AR446" s="1185"/>
      <c r="AS446" s="1185"/>
      <c r="AU446" s="1204"/>
    </row>
    <row r="447" spans="1:47" hidden="1">
      <c r="A447" s="1" t="s">
        <v>381</v>
      </c>
      <c r="B447" s="1"/>
      <c r="C447" s="319">
        <f>SUM(C426:C428)</f>
        <v>33313</v>
      </c>
      <c r="D447" s="330"/>
      <c r="E447" s="2"/>
      <c r="F447" s="2">
        <f>SUM(F420:F443)</f>
        <v>7805</v>
      </c>
      <c r="G447" s="330"/>
      <c r="H447" s="323"/>
      <c r="I447" s="2">
        <f>SUM(I420:I443)</f>
        <v>8003</v>
      </c>
      <c r="J447" s="330"/>
      <c r="K447" s="323"/>
      <c r="L447" s="2">
        <f ca="1">SUM(L420:L446)</f>
        <v>8828</v>
      </c>
      <c r="M447" s="2"/>
      <c r="N447" s="330"/>
      <c r="O447" s="323"/>
      <c r="P447" s="2">
        <f ca="1">SUM(P420:P446)</f>
        <v>5675</v>
      </c>
      <c r="Q447" s="2"/>
      <c r="R447" s="330"/>
      <c r="S447" s="323"/>
      <c r="T447" s="2">
        <f ca="1">SUM(T420:T446)</f>
        <v>590</v>
      </c>
      <c r="U447" s="2"/>
      <c r="V447" s="330"/>
      <c r="W447" s="323"/>
      <c r="X447" s="2">
        <f ca="1">SUM(X420:X446)</f>
        <v>2563</v>
      </c>
      <c r="Y447" s="20"/>
      <c r="Z447" s="74"/>
      <c r="AA447" s="74"/>
      <c r="AB447" s="74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U447" s="84"/>
    </row>
    <row r="448" spans="1:47" hidden="1">
      <c r="A448" s="1" t="s">
        <v>363</v>
      </c>
      <c r="B448" s="1"/>
      <c r="C448" s="349">
        <f ca="1">'Table 2'!H72</f>
        <v>-533.59230834667824</v>
      </c>
      <c r="D448" s="309"/>
      <c r="E448" s="309"/>
      <c r="F448" s="341">
        <f ca="1">I448</f>
        <v>-170.24425922328714</v>
      </c>
      <c r="G448" s="309"/>
      <c r="H448" s="309"/>
      <c r="I448" s="341">
        <f ca="1">'Table 3'!E72</f>
        <v>-170.24425922328714</v>
      </c>
      <c r="J448" s="309"/>
      <c r="K448" s="309"/>
      <c r="L448" s="341">
        <f ca="1">I448</f>
        <v>-170.24425922328714</v>
      </c>
      <c r="M448" s="322"/>
      <c r="N448" s="309"/>
      <c r="O448" s="309"/>
      <c r="P448" s="341">
        <f ca="1">$L$448*Y207/($Y$207+$Z$207+$AA$207)</f>
        <v>-33.560489614293502</v>
      </c>
      <c r="Q448" s="51"/>
      <c r="R448" s="309"/>
      <c r="S448" s="309"/>
      <c r="T448" s="341">
        <f ca="1">$L$448*Z207/($Y$207+$Z$207+$AA$207)</f>
        <v>-27.026886482190687</v>
      </c>
      <c r="U448" s="51"/>
      <c r="V448" s="309"/>
      <c r="W448" s="309"/>
      <c r="X448" s="341">
        <f ca="1">$L$448*AA207/($Y$207+$Z$207+$AA$207)</f>
        <v>-109.65688312680295</v>
      </c>
      <c r="Y448" s="444"/>
      <c r="Z448" s="287"/>
      <c r="AA448" s="74"/>
      <c r="AB448" s="74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U448" s="84"/>
    </row>
    <row r="449" spans="1:47" ht="16.5" hidden="1" thickBot="1">
      <c r="A449" s="1" t="s">
        <v>382</v>
      </c>
      <c r="B449" s="1"/>
      <c r="C449" s="311">
        <f ca="1">SUM(C447:C448)</f>
        <v>32779.407691653323</v>
      </c>
      <c r="D449" s="342"/>
      <c r="E449" s="343"/>
      <c r="F449" s="344">
        <f ca="1">F447+F448</f>
        <v>7634.7557407767126</v>
      </c>
      <c r="G449" s="342"/>
      <c r="H449" s="345"/>
      <c r="I449" s="344">
        <f ca="1">I447+I448</f>
        <v>7832.7557407767126</v>
      </c>
      <c r="J449" s="342"/>
      <c r="K449" s="345"/>
      <c r="L449" s="344">
        <f ca="1">L447+L448</f>
        <v>8657.7557407767126</v>
      </c>
      <c r="M449" s="344"/>
      <c r="N449" s="342"/>
      <c r="O449" s="345"/>
      <c r="P449" s="344">
        <f ca="1">P447+P448</f>
        <v>5641.4395103857069</v>
      </c>
      <c r="Q449" s="344"/>
      <c r="R449" s="342"/>
      <c r="S449" s="345"/>
      <c r="T449" s="344">
        <f ca="1">T447+T448</f>
        <v>562.97311351780934</v>
      </c>
      <c r="U449" s="344"/>
      <c r="V449" s="342"/>
      <c r="W449" s="345"/>
      <c r="X449" s="344">
        <f ca="1">X447+X448</f>
        <v>2453.3431168731972</v>
      </c>
      <c r="Y449" s="411"/>
      <c r="Z449" s="470"/>
      <c r="AA449" s="74"/>
      <c r="AB449" s="74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U449" s="84"/>
    </row>
    <row r="450" spans="1:47" ht="16.5" hidden="1" thickTop="1">
      <c r="A450" s="1"/>
      <c r="B450" s="1"/>
      <c r="C450" s="21"/>
      <c r="D450" s="337" t="s">
        <v>31</v>
      </c>
      <c r="E450" s="2"/>
      <c r="F450" s="2"/>
      <c r="G450" s="337" t="s">
        <v>31</v>
      </c>
      <c r="H450" s="1"/>
      <c r="I450" s="2"/>
      <c r="J450" s="353" t="s">
        <v>31</v>
      </c>
      <c r="K450" s="1"/>
      <c r="L450" s="2" t="s">
        <v>31</v>
      </c>
      <c r="M450" s="2"/>
      <c r="N450" s="353" t="s">
        <v>31</v>
      </c>
      <c r="O450" s="1"/>
      <c r="P450" s="2" t="s">
        <v>31</v>
      </c>
      <c r="Q450" s="2"/>
      <c r="R450" s="353" t="s">
        <v>31</v>
      </c>
      <c r="S450" s="1"/>
      <c r="T450" s="2" t="s">
        <v>31</v>
      </c>
      <c r="U450" s="2"/>
      <c r="V450" s="353" t="s">
        <v>31</v>
      </c>
      <c r="W450" s="1"/>
      <c r="X450" s="2" t="s">
        <v>31</v>
      </c>
      <c r="Y450" s="20"/>
      <c r="Z450" s="74"/>
      <c r="AA450" s="74"/>
      <c r="AB450" s="74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U450" s="84"/>
    </row>
    <row r="451" spans="1:47" hidden="1">
      <c r="A451" s="1"/>
      <c r="B451" s="1"/>
      <c r="C451" s="21"/>
      <c r="D451" s="337" t="s">
        <v>31</v>
      </c>
      <c r="E451" s="2"/>
      <c r="F451" s="2"/>
      <c r="G451" s="337" t="s">
        <v>31</v>
      </c>
      <c r="H451" s="1"/>
      <c r="I451" s="2"/>
      <c r="J451" s="353" t="s">
        <v>31</v>
      </c>
      <c r="K451" s="1"/>
      <c r="L451" s="2" t="s">
        <v>31</v>
      </c>
      <c r="M451" s="2"/>
      <c r="N451" s="353" t="s">
        <v>31</v>
      </c>
      <c r="O451" s="1"/>
      <c r="P451" s="2" t="s">
        <v>31</v>
      </c>
      <c r="Q451" s="2"/>
      <c r="R451" s="353" t="s">
        <v>31</v>
      </c>
      <c r="S451" s="1"/>
      <c r="T451" s="2" t="s">
        <v>31</v>
      </c>
      <c r="U451" s="2"/>
      <c r="V451" s="353" t="s">
        <v>31</v>
      </c>
      <c r="W451" s="1"/>
      <c r="X451" s="2" t="s">
        <v>31</v>
      </c>
      <c r="Y451" s="20"/>
      <c r="Z451" s="74"/>
      <c r="AA451" s="74"/>
      <c r="AB451" s="74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U451" s="84"/>
    </row>
    <row r="452" spans="1:47" hidden="1">
      <c r="A452" s="293" t="s">
        <v>417</v>
      </c>
      <c r="B452" s="1"/>
      <c r="C452" s="1"/>
      <c r="D452" s="2"/>
      <c r="E452" s="2"/>
      <c r="F452" s="1" t="s">
        <v>31</v>
      </c>
      <c r="G452" s="2"/>
      <c r="H452" s="1"/>
      <c r="I452" s="1"/>
      <c r="J452" s="2"/>
      <c r="K452" s="1"/>
      <c r="L452" s="1"/>
      <c r="M452" s="1"/>
      <c r="N452" s="2"/>
      <c r="O452" s="1"/>
      <c r="P452" s="1"/>
      <c r="Q452" s="1"/>
      <c r="R452" s="2"/>
      <c r="S452" s="1"/>
      <c r="T452" s="1"/>
      <c r="U452" s="1"/>
      <c r="V452" s="2"/>
      <c r="W452" s="1"/>
      <c r="X452" s="1"/>
      <c r="Y452" s="20"/>
      <c r="Z452" s="74"/>
      <c r="AA452" s="74"/>
      <c r="AB452" s="74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U452" s="84"/>
    </row>
    <row r="453" spans="1:47" hidden="1">
      <c r="A453" s="1" t="s">
        <v>410</v>
      </c>
      <c r="B453" s="1"/>
      <c r="C453" s="1"/>
      <c r="D453" s="2"/>
      <c r="E453" s="2"/>
      <c r="F453" s="1"/>
      <c r="G453" s="2"/>
      <c r="H453" s="1"/>
      <c r="I453" s="1"/>
      <c r="J453" s="2"/>
      <c r="K453" s="1"/>
      <c r="L453" s="1"/>
      <c r="M453" s="1"/>
      <c r="N453" s="2"/>
      <c r="O453" s="1"/>
      <c r="P453" s="1"/>
      <c r="Q453" s="1"/>
      <c r="R453" s="2"/>
      <c r="S453" s="1"/>
      <c r="T453" s="1"/>
      <c r="U453" s="1"/>
      <c r="V453" s="2"/>
      <c r="W453" s="1"/>
      <c r="X453" s="1"/>
      <c r="Y453" s="20"/>
      <c r="Z453" s="74"/>
      <c r="AA453" s="74"/>
      <c r="AB453" s="74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</row>
    <row r="454" spans="1:47" hidden="1">
      <c r="A454" s="1" t="s">
        <v>418</v>
      </c>
      <c r="B454" s="1"/>
      <c r="C454" s="1"/>
      <c r="D454" s="2"/>
      <c r="E454" s="2"/>
      <c r="F454" s="1"/>
      <c r="G454" s="2"/>
      <c r="H454" s="1"/>
      <c r="I454" s="1"/>
      <c r="J454" s="2"/>
      <c r="K454" s="1"/>
      <c r="L454" s="1"/>
      <c r="M454" s="1"/>
      <c r="N454" s="2"/>
      <c r="O454" s="1"/>
      <c r="P454" s="1"/>
      <c r="Q454" s="1"/>
      <c r="R454" s="2"/>
      <c r="S454" s="1"/>
      <c r="T454" s="1"/>
      <c r="U454" s="1"/>
      <c r="V454" s="2"/>
      <c r="W454" s="1"/>
      <c r="X454" s="1"/>
      <c r="Y454" s="20"/>
      <c r="Z454" s="74"/>
      <c r="AA454" s="74"/>
      <c r="AB454" s="74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</row>
    <row r="455" spans="1:47" hidden="1">
      <c r="A455" s="1" t="s">
        <v>393</v>
      </c>
      <c r="B455" s="1"/>
      <c r="C455" s="319"/>
      <c r="D455" s="2"/>
      <c r="E455" s="2"/>
      <c r="F455" s="1"/>
      <c r="G455" s="2"/>
      <c r="H455" s="1"/>
      <c r="I455" s="1"/>
      <c r="J455" s="2"/>
      <c r="K455" s="1"/>
      <c r="L455" s="1"/>
      <c r="M455" s="1"/>
      <c r="N455" s="2"/>
      <c r="O455" s="1"/>
      <c r="P455" s="1"/>
      <c r="Q455" s="1"/>
      <c r="R455" s="2"/>
      <c r="S455" s="1"/>
      <c r="T455" s="1"/>
      <c r="U455" s="1"/>
      <c r="V455" s="2"/>
      <c r="W455" s="1"/>
      <c r="X455" s="1"/>
      <c r="Y455" s="20"/>
      <c r="Z455" s="74"/>
      <c r="AA455" s="74"/>
      <c r="AB455" s="74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</row>
    <row r="456" spans="1:47" hidden="1">
      <c r="A456" s="1" t="s">
        <v>390</v>
      </c>
      <c r="B456" s="1"/>
      <c r="C456" s="319">
        <f t="shared" ref="C456:C465" si="149">C491+C526</f>
        <v>1</v>
      </c>
      <c r="D456" s="298">
        <v>104.52000000000001</v>
      </c>
      <c r="E456" s="321"/>
      <c r="F456" s="2">
        <f>F491+F526</f>
        <v>105</v>
      </c>
      <c r="G456" s="298">
        <v>104.52000000000001</v>
      </c>
      <c r="H456" s="323"/>
      <c r="I456" s="2">
        <f>I491+I526</f>
        <v>105</v>
      </c>
      <c r="J456" s="298">
        <f>$J$168</f>
        <v>120</v>
      </c>
      <c r="K456" s="323"/>
      <c r="L456" s="2">
        <f>L491+L526</f>
        <v>120</v>
      </c>
      <c r="M456" s="2"/>
      <c r="N456" s="298">
        <f>$N$168</f>
        <v>120</v>
      </c>
      <c r="O456" s="323"/>
      <c r="P456" s="2">
        <f>P491+P526</f>
        <v>120</v>
      </c>
      <c r="Q456" s="2"/>
      <c r="R456" s="298" t="str">
        <f>$R$168</f>
        <v xml:space="preserve"> </v>
      </c>
      <c r="S456" s="323"/>
      <c r="T456" s="2">
        <f>T491+T526</f>
        <v>0</v>
      </c>
      <c r="U456" s="2"/>
      <c r="V456" s="298" t="str">
        <f>$V$168</f>
        <v xml:space="preserve"> </v>
      </c>
      <c r="W456" s="323"/>
      <c r="X456" s="2">
        <f>X491+X526</f>
        <v>0</v>
      </c>
      <c r="Y456" s="20"/>
      <c r="Z456" s="74"/>
      <c r="AA456" s="74"/>
      <c r="AB456" s="74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</row>
    <row r="457" spans="1:47" hidden="1">
      <c r="A457" s="1" t="s">
        <v>391</v>
      </c>
      <c r="B457" s="1"/>
      <c r="C457" s="319">
        <f t="shared" si="149"/>
        <v>86.216438356164403</v>
      </c>
      <c r="D457" s="298">
        <v>155.76</v>
      </c>
      <c r="E457" s="324"/>
      <c r="F457" s="2">
        <f>F492+F527</f>
        <v>13429</v>
      </c>
      <c r="G457" s="298">
        <v>155.76</v>
      </c>
      <c r="H457" s="325"/>
      <c r="I457" s="2">
        <f>I492+I527</f>
        <v>13429</v>
      </c>
      <c r="J457" s="298">
        <f>$J$169</f>
        <v>180</v>
      </c>
      <c r="K457" s="325"/>
      <c r="L457" s="2">
        <f>L492+L527</f>
        <v>15519</v>
      </c>
      <c r="M457" s="2"/>
      <c r="N457" s="298">
        <f>$N$169</f>
        <v>180</v>
      </c>
      <c r="O457" s="325"/>
      <c r="P457" s="2">
        <f>P492+P527</f>
        <v>15519</v>
      </c>
      <c r="Q457" s="2"/>
      <c r="R457" s="298" t="str">
        <f>$R$169</f>
        <v xml:space="preserve"> </v>
      </c>
      <c r="S457" s="325"/>
      <c r="T457" s="2">
        <f>T492+T527</f>
        <v>0</v>
      </c>
      <c r="U457" s="2"/>
      <c r="V457" s="298" t="str">
        <f>$V$169</f>
        <v xml:space="preserve"> </v>
      </c>
      <c r="W457" s="325"/>
      <c r="X457" s="2">
        <f>X492+X527</f>
        <v>0</v>
      </c>
      <c r="Y457" s="20"/>
      <c r="Z457" s="74"/>
      <c r="AA457" s="74"/>
      <c r="AB457" s="74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</row>
    <row r="458" spans="1:47" hidden="1">
      <c r="A458" s="1" t="s">
        <v>392</v>
      </c>
      <c r="B458" s="1"/>
      <c r="C458" s="319">
        <f t="shared" si="149"/>
        <v>3360.78082191781</v>
      </c>
      <c r="D458" s="298">
        <v>11.040000000000001</v>
      </c>
      <c r="E458" s="324"/>
      <c r="F458" s="2">
        <f>F493+F528</f>
        <v>37103</v>
      </c>
      <c r="G458" s="298">
        <v>11.040000000000001</v>
      </c>
      <c r="H458" s="325"/>
      <c r="I458" s="2">
        <f>I493+I528</f>
        <v>37103</v>
      </c>
      <c r="J458" s="298">
        <f>$J$170</f>
        <v>12</v>
      </c>
      <c r="K458" s="325"/>
      <c r="L458" s="2">
        <f>L493+L528</f>
        <v>40329</v>
      </c>
      <c r="M458" s="2"/>
      <c r="N458" s="298">
        <f>$N$170</f>
        <v>12</v>
      </c>
      <c r="O458" s="325"/>
      <c r="P458" s="2">
        <f>P493+P528</f>
        <v>40329</v>
      </c>
      <c r="Q458" s="2"/>
      <c r="R458" s="298" t="str">
        <f>$R$170</f>
        <v xml:space="preserve"> </v>
      </c>
      <c r="S458" s="325"/>
      <c r="T458" s="2">
        <f>T493+T528</f>
        <v>0</v>
      </c>
      <c r="U458" s="2"/>
      <c r="V458" s="298" t="str">
        <f>$V$170</f>
        <v xml:space="preserve"> </v>
      </c>
      <c r="W458" s="325"/>
      <c r="X458" s="2">
        <f>X493+X528</f>
        <v>0</v>
      </c>
      <c r="Y458" s="20"/>
      <c r="Z458" s="74"/>
      <c r="AA458" s="74"/>
      <c r="AB458" s="74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</row>
    <row r="459" spans="1:47" hidden="1">
      <c r="A459" s="1" t="s">
        <v>394</v>
      </c>
      <c r="B459" s="1"/>
      <c r="C459" s="319">
        <f t="shared" si="149"/>
        <v>87.216438356164403</v>
      </c>
      <c r="D459" s="298"/>
      <c r="E459" s="321"/>
      <c r="F459" s="2"/>
      <c r="G459" s="298"/>
      <c r="H459" s="323"/>
      <c r="I459" s="2"/>
      <c r="J459" s="298"/>
      <c r="K459" s="323"/>
      <c r="L459" s="2"/>
      <c r="M459" s="2"/>
      <c r="N459" s="298"/>
      <c r="O459" s="323"/>
      <c r="P459" s="2"/>
      <c r="Q459" s="2"/>
      <c r="R459" s="298"/>
      <c r="S459" s="323"/>
      <c r="T459" s="2"/>
      <c r="U459" s="2"/>
      <c r="V459" s="298"/>
      <c r="W459" s="323"/>
      <c r="X459" s="2"/>
      <c r="Y459" s="20"/>
      <c r="Z459" s="74"/>
      <c r="AA459" s="74"/>
      <c r="AB459" s="74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</row>
    <row r="460" spans="1:47" hidden="1">
      <c r="A460" s="1" t="s">
        <v>419</v>
      </c>
      <c r="B460" s="1"/>
      <c r="C460" s="319">
        <f t="shared" si="149"/>
        <v>1020.2583333333331</v>
      </c>
      <c r="D460" s="298"/>
      <c r="E460" s="321"/>
      <c r="F460" s="2"/>
      <c r="G460" s="298"/>
      <c r="H460" s="323"/>
      <c r="I460" s="2"/>
      <c r="J460" s="298"/>
      <c r="K460" s="323"/>
      <c r="L460" s="2"/>
      <c r="M460" s="2"/>
      <c r="N460" s="298"/>
      <c r="O460" s="323"/>
      <c r="P460" s="2"/>
      <c r="Q460" s="2"/>
      <c r="R460" s="298"/>
      <c r="S460" s="323"/>
      <c r="T460" s="2"/>
      <c r="U460" s="2"/>
      <c r="V460" s="298"/>
      <c r="W460" s="323"/>
      <c r="X460" s="2"/>
      <c r="Y460" s="20"/>
      <c r="Z460" s="74"/>
      <c r="AA460" s="74"/>
      <c r="AB460" s="74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</row>
    <row r="461" spans="1:47" hidden="1">
      <c r="A461" s="1" t="s">
        <v>395</v>
      </c>
      <c r="B461" s="1"/>
      <c r="C461" s="319">
        <f t="shared" si="149"/>
        <v>9001.8205882352995</v>
      </c>
      <c r="D461" s="326">
        <v>3.4</v>
      </c>
      <c r="E461" s="323"/>
      <c r="F461" s="2">
        <f>F496+F531</f>
        <v>30606</v>
      </c>
      <c r="G461" s="326">
        <v>3.61</v>
      </c>
      <c r="H461" s="323"/>
      <c r="I461" s="2">
        <f>I496+I531</f>
        <v>32497</v>
      </c>
      <c r="J461" s="326">
        <f ca="1">$J$177</f>
        <v>3.77</v>
      </c>
      <c r="K461" s="323"/>
      <c r="L461" s="2">
        <f ca="1">L496+L531</f>
        <v>33937</v>
      </c>
      <c r="M461" s="2"/>
      <c r="N461" s="326">
        <f ca="1">$N$177</f>
        <v>0.81</v>
      </c>
      <c r="O461" s="323"/>
      <c r="P461" s="2">
        <f ca="1">P496+P531</f>
        <v>7291</v>
      </c>
      <c r="Q461" s="2"/>
      <c r="R461" s="326">
        <f ca="1">$R$177</f>
        <v>1.06</v>
      </c>
      <c r="S461" s="323"/>
      <c r="T461" s="2">
        <f ca="1">T496+T531</f>
        <v>9542</v>
      </c>
      <c r="U461" s="2"/>
      <c r="V461" s="326">
        <f ca="1">$V$177</f>
        <v>1.9</v>
      </c>
      <c r="W461" s="323"/>
      <c r="X461" s="2">
        <f ca="1">X496+X531</f>
        <v>17104</v>
      </c>
      <c r="Y461" s="20"/>
      <c r="Z461" s="74"/>
      <c r="AA461" s="74"/>
      <c r="AB461" s="74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</row>
    <row r="462" spans="1:47" hidden="1">
      <c r="A462" s="1" t="s">
        <v>397</v>
      </c>
      <c r="B462" s="1"/>
      <c r="C462" s="319">
        <f t="shared" si="149"/>
        <v>153159</v>
      </c>
      <c r="D462" s="299">
        <v>9.766</v>
      </c>
      <c r="E462" s="323" t="s">
        <v>374</v>
      </c>
      <c r="F462" s="2">
        <f>F497+F532</f>
        <v>14958</v>
      </c>
      <c r="G462" s="299">
        <v>10.359</v>
      </c>
      <c r="H462" s="323" t="s">
        <v>374</v>
      </c>
      <c r="I462" s="2">
        <f>I497+I532</f>
        <v>15866</v>
      </c>
      <c r="J462" s="299">
        <f ca="1">$J$178</f>
        <v>6.282</v>
      </c>
      <c r="K462" s="323" t="s">
        <v>374</v>
      </c>
      <c r="L462" s="2">
        <f ca="1">L497+L532</f>
        <v>9622</v>
      </c>
      <c r="M462" s="2"/>
      <c r="N462" s="299">
        <f ca="1">$N$178</f>
        <v>1.3483746810352102</v>
      </c>
      <c r="O462" s="323" t="s">
        <v>374</v>
      </c>
      <c r="P462" s="2">
        <f ca="1">P497+P532</f>
        <v>2065</v>
      </c>
      <c r="Q462" s="2"/>
      <c r="R462" s="299">
        <f ca="1">$R$178</f>
        <v>1.7708525176705459</v>
      </c>
      <c r="S462" s="323" t="s">
        <v>374</v>
      </c>
      <c r="T462" s="2">
        <f ca="1">T497+T532</f>
        <v>2712</v>
      </c>
      <c r="U462" s="2"/>
      <c r="V462" s="299">
        <f ca="1">$V$178</f>
        <v>3.162955363125258</v>
      </c>
      <c r="W462" s="323" t="s">
        <v>374</v>
      </c>
      <c r="X462" s="2">
        <f ca="1">X497+X532</f>
        <v>4844</v>
      </c>
      <c r="Y462" s="20"/>
      <c r="Z462" s="74"/>
      <c r="AA462" s="74"/>
      <c r="AB462" s="74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</row>
    <row r="463" spans="1:47" hidden="1">
      <c r="A463" s="1" t="s">
        <v>398</v>
      </c>
      <c r="B463" s="1"/>
      <c r="C463" s="319">
        <f t="shared" si="149"/>
        <v>143166</v>
      </c>
      <c r="D463" s="299">
        <v>6.7460000000000004</v>
      </c>
      <c r="E463" s="323" t="s">
        <v>374</v>
      </c>
      <c r="F463" s="2">
        <f>F498+F533</f>
        <v>9658</v>
      </c>
      <c r="G463" s="299">
        <v>7.1559999999999997</v>
      </c>
      <c r="H463" s="323" t="s">
        <v>374</v>
      </c>
      <c r="I463" s="2">
        <f>I498+I533</f>
        <v>10245</v>
      </c>
      <c r="J463" s="299">
        <f ca="1">$J$179</f>
        <v>4.3410000000000002</v>
      </c>
      <c r="K463" s="323" t="s">
        <v>374</v>
      </c>
      <c r="L463" s="2">
        <f ca="1">L498+L533</f>
        <v>6215</v>
      </c>
      <c r="M463" s="2"/>
      <c r="N463" s="299">
        <f ca="1">$N$179</f>
        <v>0.93175626548296309</v>
      </c>
      <c r="O463" s="323" t="s">
        <v>374</v>
      </c>
      <c r="P463" s="2">
        <f ca="1">P498+P533</f>
        <v>1334</v>
      </c>
      <c r="Q463" s="2"/>
      <c r="R463" s="299">
        <f ca="1">$R$179</f>
        <v>1.2240066282869231</v>
      </c>
      <c r="S463" s="323" t="s">
        <v>374</v>
      </c>
      <c r="T463" s="2">
        <f ca="1">T498+T533</f>
        <v>1753</v>
      </c>
      <c r="U463" s="2"/>
      <c r="V463" s="299">
        <f ca="1">$V$179</f>
        <v>2.1849800075654815</v>
      </c>
      <c r="W463" s="323" t="s">
        <v>374</v>
      </c>
      <c r="X463" s="2">
        <f ca="1">X498+X533</f>
        <v>3129</v>
      </c>
      <c r="Y463" s="20"/>
      <c r="Z463" s="74"/>
      <c r="AA463" s="74"/>
      <c r="AB463" s="74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</row>
    <row r="464" spans="1:47" hidden="1">
      <c r="A464" s="1" t="s">
        <v>399</v>
      </c>
      <c r="B464" s="1"/>
      <c r="C464" s="319">
        <f t="shared" si="149"/>
        <v>173680</v>
      </c>
      <c r="D464" s="299">
        <v>5.8120000000000003</v>
      </c>
      <c r="E464" s="323" t="s">
        <v>374</v>
      </c>
      <c r="F464" s="2">
        <f>F499+F534</f>
        <v>10094</v>
      </c>
      <c r="G464" s="299">
        <v>6.1660000000000004</v>
      </c>
      <c r="H464" s="323" t="s">
        <v>374</v>
      </c>
      <c r="I464" s="2">
        <f>I499+I534</f>
        <v>10709</v>
      </c>
      <c r="J464" s="299">
        <f ca="1">$J$180</f>
        <v>3.74</v>
      </c>
      <c r="K464" s="323" t="s">
        <v>374</v>
      </c>
      <c r="L464" s="2">
        <f ca="1">L499+L534</f>
        <v>6496</v>
      </c>
      <c r="M464" s="2"/>
      <c r="N464" s="299">
        <f ca="1">$N$180</f>
        <v>0.80275718206159852</v>
      </c>
      <c r="O464" s="323" t="s">
        <v>374</v>
      </c>
      <c r="P464" s="2">
        <f ca="1">P499+P534</f>
        <v>1394</v>
      </c>
      <c r="Q464" s="2"/>
      <c r="R464" s="299">
        <f ca="1">$R$180</f>
        <v>1.0536847359511734</v>
      </c>
      <c r="S464" s="323" t="s">
        <v>374</v>
      </c>
      <c r="T464" s="2">
        <f ca="1">T499+T534</f>
        <v>1830</v>
      </c>
      <c r="U464" s="2"/>
      <c r="V464" s="299">
        <f ca="1">$V$180</f>
        <v>1.8834755557989509</v>
      </c>
      <c r="W464" s="323" t="s">
        <v>374</v>
      </c>
      <c r="X464" s="2">
        <f ca="1">X499+X534</f>
        <v>3271</v>
      </c>
      <c r="Y464" s="20"/>
      <c r="Z464" s="74"/>
      <c r="AA464" s="74"/>
      <c r="AB464" s="74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</row>
    <row r="465" spans="1:47" hidden="1">
      <c r="A465" s="1" t="s">
        <v>400</v>
      </c>
      <c r="B465" s="1"/>
      <c r="C465" s="319">
        <f t="shared" si="149"/>
        <v>1100.8816666666701</v>
      </c>
      <c r="D465" s="330">
        <v>56</v>
      </c>
      <c r="E465" s="321" t="s">
        <v>374</v>
      </c>
      <c r="F465" s="2">
        <f>F500+F535</f>
        <v>616</v>
      </c>
      <c r="G465" s="330">
        <v>56</v>
      </c>
      <c r="H465" s="323" t="s">
        <v>374</v>
      </c>
      <c r="I465" s="2">
        <f>I500+I535</f>
        <v>616</v>
      </c>
      <c r="J465" s="330">
        <f>$J$181</f>
        <v>56</v>
      </c>
      <c r="K465" s="323" t="s">
        <v>374</v>
      </c>
      <c r="L465" s="2">
        <f>L500+L535</f>
        <v>616</v>
      </c>
      <c r="M465" s="2"/>
      <c r="N465" s="330" t="str">
        <f>$N$181</f>
        <v xml:space="preserve"> </v>
      </c>
      <c r="O465" s="323" t="s">
        <v>374</v>
      </c>
      <c r="P465" s="2">
        <f>P500+P535</f>
        <v>0</v>
      </c>
      <c r="Q465" s="2"/>
      <c r="R465" s="330">
        <f ca="1">$R$181</f>
        <v>11</v>
      </c>
      <c r="S465" s="323" t="s">
        <v>374</v>
      </c>
      <c r="T465" s="2">
        <f ca="1">T500+T535</f>
        <v>121</v>
      </c>
      <c r="U465" s="2"/>
      <c r="V465" s="330">
        <f ca="1">$V$181</f>
        <v>45</v>
      </c>
      <c r="W465" s="323" t="s">
        <v>374</v>
      </c>
      <c r="X465" s="2">
        <f ca="1">X500+X535</f>
        <v>495</v>
      </c>
      <c r="Y465" s="20"/>
      <c r="Z465" s="74"/>
      <c r="AA465" s="74"/>
      <c r="AB465" s="74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</row>
    <row r="466" spans="1:47" s="1184" customFormat="1" hidden="1">
      <c r="A466" s="1005" t="s">
        <v>918</v>
      </c>
      <c r="C466" s="1026">
        <f>C462</f>
        <v>153159</v>
      </c>
      <c r="D466" s="269"/>
      <c r="E466" s="1185"/>
      <c r="F466" s="1203"/>
      <c r="G466" s="269"/>
      <c r="H466" s="1185"/>
      <c r="I466" s="1203"/>
      <c r="J466" s="1230">
        <f>J182</f>
        <v>4.5289999999999999</v>
      </c>
      <c r="K466" s="1009" t="s">
        <v>374</v>
      </c>
      <c r="L466" s="2">
        <f t="shared" ref="L466:L468" si="150">L501+L536</f>
        <v>6936</v>
      </c>
      <c r="M466" s="2"/>
      <c r="N466" s="1230" t="str">
        <f>N182</f>
        <v xml:space="preserve"> </v>
      </c>
      <c r="O466" s="1009" t="s">
        <v>374</v>
      </c>
      <c r="P466" s="2">
        <f t="shared" ref="P466:P468" si="151">P501+P536</f>
        <v>0</v>
      </c>
      <c r="Q466" s="2"/>
      <c r="R466" s="1230" t="str">
        <f>R182</f>
        <v xml:space="preserve"> </v>
      </c>
      <c r="S466" s="1009" t="s">
        <v>374</v>
      </c>
      <c r="T466" s="2">
        <f t="shared" ref="T466:T468" si="152">T501+T536</f>
        <v>0</v>
      </c>
      <c r="U466" s="2"/>
      <c r="V466" s="1230">
        <f>V182</f>
        <v>4.5289999999999999</v>
      </c>
      <c r="W466" s="1009" t="s">
        <v>374</v>
      </c>
      <c r="X466" s="2">
        <f t="shared" ref="X466:X468" si="153">X501+X536</f>
        <v>6936</v>
      </c>
      <c r="Z466" s="815"/>
      <c r="AC466" s="1205"/>
      <c r="AD466" s="1205"/>
      <c r="AI466" s="1185"/>
      <c r="AJ466" s="1185"/>
      <c r="AK466" s="1185"/>
      <c r="AL466" s="1185"/>
      <c r="AM466" s="1185"/>
      <c r="AN466" s="1185"/>
      <c r="AO466" s="1185"/>
      <c r="AP466" s="1185"/>
      <c r="AQ466" s="1185"/>
      <c r="AR466" s="1185"/>
      <c r="AS466" s="1185"/>
      <c r="AU466" s="1204"/>
    </row>
    <row r="467" spans="1:47" s="1184" customFormat="1" hidden="1">
      <c r="A467" s="1005" t="s">
        <v>919</v>
      </c>
      <c r="C467" s="1026">
        <f t="shared" ref="C467:C468" si="154">C463</f>
        <v>143166</v>
      </c>
      <c r="D467" s="269"/>
      <c r="E467" s="1185"/>
      <c r="F467" s="1203"/>
      <c r="G467" s="269"/>
      <c r="H467" s="1185"/>
      <c r="I467" s="1203"/>
      <c r="J467" s="1230">
        <f>J183</f>
        <v>3.1270000000000002</v>
      </c>
      <c r="K467" s="1009" t="s">
        <v>374</v>
      </c>
      <c r="L467" s="2">
        <f t="shared" si="150"/>
        <v>4477</v>
      </c>
      <c r="M467" s="2"/>
      <c r="N467" s="1230" t="str">
        <f>N183</f>
        <v xml:space="preserve"> </v>
      </c>
      <c r="O467" s="1009" t="s">
        <v>374</v>
      </c>
      <c r="P467" s="2">
        <f t="shared" si="151"/>
        <v>0</v>
      </c>
      <c r="Q467" s="2"/>
      <c r="R467" s="1230" t="str">
        <f>R183</f>
        <v xml:space="preserve"> </v>
      </c>
      <c r="S467" s="1009" t="s">
        <v>374</v>
      </c>
      <c r="T467" s="2">
        <f t="shared" si="152"/>
        <v>0</v>
      </c>
      <c r="U467" s="2"/>
      <c r="V467" s="1230">
        <f>V183</f>
        <v>3.1270000000000002</v>
      </c>
      <c r="W467" s="1009" t="s">
        <v>374</v>
      </c>
      <c r="X467" s="2">
        <f t="shared" si="153"/>
        <v>4477</v>
      </c>
      <c r="Z467" s="815"/>
      <c r="AC467" s="1205"/>
      <c r="AD467" s="1205"/>
      <c r="AI467" s="1185"/>
      <c r="AJ467" s="1185"/>
      <c r="AK467" s="1185"/>
      <c r="AL467" s="1185"/>
      <c r="AM467" s="1185"/>
      <c r="AN467" s="1185"/>
      <c r="AO467" s="1185"/>
      <c r="AP467" s="1185"/>
      <c r="AQ467" s="1185"/>
      <c r="AR467" s="1185"/>
      <c r="AS467" s="1185"/>
      <c r="AU467" s="1204"/>
    </row>
    <row r="468" spans="1:47" s="1184" customFormat="1" hidden="1">
      <c r="A468" s="1005" t="s">
        <v>920</v>
      </c>
      <c r="C468" s="1026">
        <f t="shared" si="154"/>
        <v>173680</v>
      </c>
      <c r="D468" s="269"/>
      <c r="E468" s="1185"/>
      <c r="F468" s="1203"/>
      <c r="G468" s="269"/>
      <c r="H468" s="1185"/>
      <c r="I468" s="1203"/>
      <c r="J468" s="1230">
        <f>J184</f>
        <v>2.6950000000000003</v>
      </c>
      <c r="K468" s="1009" t="s">
        <v>374</v>
      </c>
      <c r="L468" s="2">
        <f t="shared" si="150"/>
        <v>4681</v>
      </c>
      <c r="M468" s="2"/>
      <c r="N468" s="1230" t="str">
        <f>N184</f>
        <v xml:space="preserve"> </v>
      </c>
      <c r="O468" s="1009" t="s">
        <v>374</v>
      </c>
      <c r="P468" s="2">
        <f t="shared" si="151"/>
        <v>0</v>
      </c>
      <c r="Q468" s="2"/>
      <c r="R468" s="1230" t="str">
        <f>R184</f>
        <v xml:space="preserve"> </v>
      </c>
      <c r="S468" s="1009" t="s">
        <v>374</v>
      </c>
      <c r="T468" s="2">
        <f t="shared" si="152"/>
        <v>0</v>
      </c>
      <c r="U468" s="2"/>
      <c r="V468" s="1230">
        <f>V184</f>
        <v>2.6950000000000003</v>
      </c>
      <c r="W468" s="1009" t="s">
        <v>374</v>
      </c>
      <c r="X468" s="2">
        <f t="shared" si="153"/>
        <v>4681</v>
      </c>
      <c r="Y468" s="1005" t="s">
        <v>31</v>
      </c>
      <c r="Z468" s="815"/>
      <c r="AC468" s="1205"/>
      <c r="AD468" s="1205"/>
      <c r="AI468" s="1185"/>
      <c r="AJ468" s="1185"/>
      <c r="AK468" s="1185"/>
      <c r="AL468" s="1185"/>
      <c r="AM468" s="1185"/>
      <c r="AN468" s="1185"/>
      <c r="AO468" s="1185"/>
      <c r="AP468" s="1185"/>
      <c r="AQ468" s="1185"/>
      <c r="AR468" s="1185"/>
      <c r="AS468" s="1185"/>
      <c r="AU468" s="1204"/>
    </row>
    <row r="469" spans="1:47" hidden="1">
      <c r="A469" s="331" t="s">
        <v>401</v>
      </c>
      <c r="B469" s="1"/>
      <c r="C469" s="319"/>
      <c r="D469" s="332">
        <v>-0.01</v>
      </c>
      <c r="E469" s="321"/>
      <c r="F469" s="2"/>
      <c r="G469" s="332">
        <v>-0.01</v>
      </c>
      <c r="H469" s="323"/>
      <c r="I469" s="2"/>
      <c r="J469" s="332">
        <v>-0.01</v>
      </c>
      <c r="K469" s="323"/>
      <c r="L469" s="2"/>
      <c r="M469" s="2"/>
      <c r="N469" s="332">
        <v>-0.01</v>
      </c>
      <c r="O469" s="323"/>
      <c r="P469" s="2"/>
      <c r="Q469" s="2"/>
      <c r="R469" s="332">
        <v>-0.01</v>
      </c>
      <c r="S469" s="323"/>
      <c r="T469" s="2"/>
      <c r="U469" s="2"/>
      <c r="V469" s="332">
        <v>-0.01</v>
      </c>
      <c r="W469" s="323"/>
      <c r="X469" s="2"/>
      <c r="Y469" s="20"/>
      <c r="Z469" s="74"/>
      <c r="AA469" s="74"/>
      <c r="AB469" s="74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</row>
    <row r="470" spans="1:47" hidden="1">
      <c r="A470" s="1" t="s">
        <v>390</v>
      </c>
      <c r="B470" s="1"/>
      <c r="C470" s="319">
        <v>0</v>
      </c>
      <c r="D470" s="334">
        <v>104.52000000000001</v>
      </c>
      <c r="E470" s="321"/>
      <c r="F470" s="2">
        <f t="shared" ref="F470:F479" si="155">F505+F540</f>
        <v>0</v>
      </c>
      <c r="G470" s="334">
        <v>104.52000000000001</v>
      </c>
      <c r="H470" s="321"/>
      <c r="I470" s="2">
        <f t="shared" ref="I470:I479" si="156">I505+I540</f>
        <v>0</v>
      </c>
      <c r="J470" s="334">
        <f>J456</f>
        <v>120</v>
      </c>
      <c r="K470" s="321"/>
      <c r="L470" s="2">
        <f t="shared" ref="L470:L479" si="157">L505+L540</f>
        <v>0</v>
      </c>
      <c r="M470" s="2"/>
      <c r="N470" s="334">
        <f>N456</f>
        <v>120</v>
      </c>
      <c r="O470" s="321"/>
      <c r="P470" s="2">
        <f t="shared" ref="P470:P479" si="158">P505+P540</f>
        <v>0</v>
      </c>
      <c r="Q470" s="2"/>
      <c r="R470" s="334" t="str">
        <f>R456</f>
        <v xml:space="preserve"> </v>
      </c>
      <c r="S470" s="321"/>
      <c r="T470" s="2">
        <f t="shared" ref="T470:T479" si="159">T505+T540</f>
        <v>0</v>
      </c>
      <c r="U470" s="2"/>
      <c r="V470" s="334" t="str">
        <f>V456</f>
        <v xml:space="preserve"> </v>
      </c>
      <c r="W470" s="321"/>
      <c r="X470" s="2">
        <f t="shared" ref="X470:X479" si="160">X505+X540</f>
        <v>0</v>
      </c>
      <c r="Y470" s="20"/>
      <c r="Z470" s="74"/>
      <c r="AA470" s="74"/>
      <c r="AB470" s="74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</row>
    <row r="471" spans="1:47" hidden="1">
      <c r="A471" s="1" t="s">
        <v>391</v>
      </c>
      <c r="B471" s="1"/>
      <c r="C471" s="319">
        <v>0</v>
      </c>
      <c r="D471" s="334">
        <v>155.76</v>
      </c>
      <c r="E471" s="321"/>
      <c r="F471" s="2">
        <f t="shared" si="155"/>
        <v>0</v>
      </c>
      <c r="G471" s="334">
        <v>155.76</v>
      </c>
      <c r="H471" s="321"/>
      <c r="I471" s="2">
        <f t="shared" si="156"/>
        <v>0</v>
      </c>
      <c r="J471" s="334">
        <f>J457</f>
        <v>180</v>
      </c>
      <c r="K471" s="321"/>
      <c r="L471" s="2">
        <f t="shared" si="157"/>
        <v>0</v>
      </c>
      <c r="M471" s="2"/>
      <c r="N471" s="334">
        <f>N457</f>
        <v>180</v>
      </c>
      <c r="O471" s="321"/>
      <c r="P471" s="2">
        <f t="shared" si="158"/>
        <v>0</v>
      </c>
      <c r="Q471" s="2"/>
      <c r="R471" s="334" t="str">
        <f>R457</f>
        <v xml:space="preserve"> </v>
      </c>
      <c r="S471" s="321"/>
      <c r="T471" s="2">
        <f t="shared" si="159"/>
        <v>0</v>
      </c>
      <c r="U471" s="2"/>
      <c r="V471" s="334" t="str">
        <f>V457</f>
        <v xml:space="preserve"> </v>
      </c>
      <c r="W471" s="321"/>
      <c r="X471" s="2">
        <f t="shared" si="160"/>
        <v>0</v>
      </c>
      <c r="Y471" s="20"/>
      <c r="Z471" s="74"/>
      <c r="AA471" s="32" t="s">
        <v>31</v>
      </c>
      <c r="AB471" s="74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</row>
    <row r="472" spans="1:47" hidden="1">
      <c r="A472" s="1" t="s">
        <v>402</v>
      </c>
      <c r="B472" s="1"/>
      <c r="C472" s="319">
        <v>0</v>
      </c>
      <c r="D472" s="334">
        <v>11.040000000000001</v>
      </c>
      <c r="E472" s="321"/>
      <c r="F472" s="2">
        <f t="shared" si="155"/>
        <v>0</v>
      </c>
      <c r="G472" s="334">
        <v>11.040000000000001</v>
      </c>
      <c r="H472" s="321"/>
      <c r="I472" s="2">
        <f t="shared" si="156"/>
        <v>0</v>
      </c>
      <c r="J472" s="334">
        <f>J458</f>
        <v>12</v>
      </c>
      <c r="K472" s="321"/>
      <c r="L472" s="2">
        <f t="shared" si="157"/>
        <v>0</v>
      </c>
      <c r="M472" s="2"/>
      <c r="N472" s="334">
        <f>N458</f>
        <v>12</v>
      </c>
      <c r="O472" s="321"/>
      <c r="P472" s="2">
        <f t="shared" si="158"/>
        <v>0</v>
      </c>
      <c r="Q472" s="2"/>
      <c r="R472" s="334" t="str">
        <f>R458</f>
        <v xml:space="preserve"> </v>
      </c>
      <c r="S472" s="321"/>
      <c r="T472" s="2">
        <f t="shared" si="159"/>
        <v>0</v>
      </c>
      <c r="U472" s="2"/>
      <c r="V472" s="334" t="str">
        <f>V458</f>
        <v xml:space="preserve"> </v>
      </c>
      <c r="W472" s="321"/>
      <c r="X472" s="2">
        <f t="shared" si="160"/>
        <v>0</v>
      </c>
      <c r="Y472" s="20"/>
      <c r="Z472" s="74"/>
      <c r="AA472" s="74"/>
      <c r="AB472" s="74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</row>
    <row r="473" spans="1:47" hidden="1">
      <c r="A473" s="1" t="s">
        <v>403</v>
      </c>
      <c r="B473" s="1"/>
      <c r="C473" s="319">
        <v>0</v>
      </c>
      <c r="D473" s="334">
        <v>3.4</v>
      </c>
      <c r="E473" s="323"/>
      <c r="F473" s="2">
        <f t="shared" si="155"/>
        <v>0</v>
      </c>
      <c r="G473" s="334">
        <v>3.61</v>
      </c>
      <c r="H473" s="323"/>
      <c r="I473" s="2">
        <f t="shared" si="156"/>
        <v>0</v>
      </c>
      <c r="J473" s="334">
        <f ca="1">J461</f>
        <v>3.77</v>
      </c>
      <c r="K473" s="323"/>
      <c r="L473" s="2">
        <f t="shared" ca="1" si="157"/>
        <v>0</v>
      </c>
      <c r="M473" s="2"/>
      <c r="N473" s="334">
        <f ca="1">N461</f>
        <v>0.81</v>
      </c>
      <c r="O473" s="323"/>
      <c r="P473" s="2">
        <f t="shared" ca="1" si="158"/>
        <v>0</v>
      </c>
      <c r="Q473" s="2"/>
      <c r="R473" s="334">
        <f ca="1">R461</f>
        <v>1.06</v>
      </c>
      <c r="S473" s="323"/>
      <c r="T473" s="2">
        <f t="shared" ca="1" si="159"/>
        <v>0</v>
      </c>
      <c r="U473" s="2"/>
      <c r="V473" s="334">
        <f ca="1">V461</f>
        <v>1.9</v>
      </c>
      <c r="W473" s="323"/>
      <c r="X473" s="2">
        <f t="shared" ca="1" si="160"/>
        <v>0</v>
      </c>
      <c r="Y473" s="20"/>
      <c r="Z473" s="74"/>
      <c r="AA473" s="74"/>
      <c r="AB473" s="74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</row>
    <row r="474" spans="1:47" hidden="1">
      <c r="A474" s="1" t="s">
        <v>405</v>
      </c>
      <c r="B474" s="1"/>
      <c r="C474" s="319">
        <v>0</v>
      </c>
      <c r="D474" s="335">
        <v>9.766</v>
      </c>
      <c r="E474" s="323" t="s">
        <v>374</v>
      </c>
      <c r="F474" s="2">
        <f t="shared" si="155"/>
        <v>0</v>
      </c>
      <c r="G474" s="335">
        <v>10.359</v>
      </c>
      <c r="H474" s="323" t="s">
        <v>374</v>
      </c>
      <c r="I474" s="2">
        <f t="shared" si="156"/>
        <v>0</v>
      </c>
      <c r="J474" s="335">
        <f ca="1">J462</f>
        <v>6.282</v>
      </c>
      <c r="K474" s="323" t="s">
        <v>374</v>
      </c>
      <c r="L474" s="2">
        <f t="shared" ca="1" si="157"/>
        <v>0</v>
      </c>
      <c r="M474" s="2"/>
      <c r="N474" s="335">
        <f ca="1">N462</f>
        <v>1.3483746810352102</v>
      </c>
      <c r="O474" s="323" t="s">
        <v>374</v>
      </c>
      <c r="P474" s="2">
        <f t="shared" ca="1" si="158"/>
        <v>0</v>
      </c>
      <c r="Q474" s="2"/>
      <c r="R474" s="335">
        <f ca="1">R462</f>
        <v>1.7708525176705459</v>
      </c>
      <c r="S474" s="323" t="s">
        <v>374</v>
      </c>
      <c r="T474" s="2">
        <f t="shared" ca="1" si="159"/>
        <v>0</v>
      </c>
      <c r="U474" s="2"/>
      <c r="V474" s="335">
        <f ca="1">V462</f>
        <v>3.162955363125258</v>
      </c>
      <c r="W474" s="323" t="s">
        <v>374</v>
      </c>
      <c r="X474" s="2">
        <f t="shared" ca="1" si="160"/>
        <v>0</v>
      </c>
      <c r="Y474" s="20"/>
      <c r="Z474" s="74"/>
      <c r="AA474" s="74"/>
      <c r="AB474" s="74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</row>
    <row r="475" spans="1:47" hidden="1">
      <c r="A475" s="1" t="s">
        <v>398</v>
      </c>
      <c r="B475" s="1"/>
      <c r="C475" s="319">
        <v>0</v>
      </c>
      <c r="D475" s="335">
        <v>6.7460000000000004</v>
      </c>
      <c r="E475" s="323" t="s">
        <v>374</v>
      </c>
      <c r="F475" s="2">
        <f t="shared" si="155"/>
        <v>0</v>
      </c>
      <c r="G475" s="335">
        <v>7.1559999999999997</v>
      </c>
      <c r="H475" s="323" t="s">
        <v>374</v>
      </c>
      <c r="I475" s="2">
        <f t="shared" si="156"/>
        <v>0</v>
      </c>
      <c r="J475" s="335">
        <f ca="1">J463</f>
        <v>4.3410000000000002</v>
      </c>
      <c r="K475" s="323" t="s">
        <v>374</v>
      </c>
      <c r="L475" s="2">
        <f t="shared" ca="1" si="157"/>
        <v>0</v>
      </c>
      <c r="M475" s="2"/>
      <c r="N475" s="335">
        <f ca="1">N463</f>
        <v>0.93175626548296309</v>
      </c>
      <c r="O475" s="323" t="s">
        <v>374</v>
      </c>
      <c r="P475" s="2">
        <f t="shared" ca="1" si="158"/>
        <v>0</v>
      </c>
      <c r="Q475" s="2"/>
      <c r="R475" s="335">
        <f ca="1">R463</f>
        <v>1.2240066282869231</v>
      </c>
      <c r="S475" s="323" t="s">
        <v>374</v>
      </c>
      <c r="T475" s="2">
        <f t="shared" ca="1" si="159"/>
        <v>0</v>
      </c>
      <c r="U475" s="2"/>
      <c r="V475" s="335">
        <f ca="1">V463</f>
        <v>2.1849800075654815</v>
      </c>
      <c r="W475" s="323" t="s">
        <v>374</v>
      </c>
      <c r="X475" s="2">
        <f t="shared" ca="1" si="160"/>
        <v>0</v>
      </c>
      <c r="Y475" s="20"/>
      <c r="Z475" s="74"/>
      <c r="AA475" s="74"/>
      <c r="AB475" s="74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</row>
    <row r="476" spans="1:47" hidden="1">
      <c r="A476" s="1" t="s">
        <v>399</v>
      </c>
      <c r="B476" s="1"/>
      <c r="C476" s="319">
        <v>0</v>
      </c>
      <c r="D476" s="335">
        <v>5.8120000000000003</v>
      </c>
      <c r="E476" s="323" t="s">
        <v>374</v>
      </c>
      <c r="F476" s="2">
        <f t="shared" si="155"/>
        <v>0</v>
      </c>
      <c r="G476" s="335">
        <v>6.1660000000000004</v>
      </c>
      <c r="H476" s="323" t="s">
        <v>374</v>
      </c>
      <c r="I476" s="2">
        <f t="shared" si="156"/>
        <v>0</v>
      </c>
      <c r="J476" s="335">
        <f ca="1">J464</f>
        <v>3.74</v>
      </c>
      <c r="K476" s="323" t="s">
        <v>374</v>
      </c>
      <c r="L476" s="2">
        <f t="shared" ca="1" si="157"/>
        <v>0</v>
      </c>
      <c r="M476" s="2"/>
      <c r="N476" s="335">
        <f ca="1">N464</f>
        <v>0.80275718206159852</v>
      </c>
      <c r="O476" s="323" t="s">
        <v>374</v>
      </c>
      <c r="P476" s="2">
        <f t="shared" ca="1" si="158"/>
        <v>0</v>
      </c>
      <c r="Q476" s="2"/>
      <c r="R476" s="335">
        <f ca="1">R464</f>
        <v>1.0536847359511734</v>
      </c>
      <c r="S476" s="323" t="s">
        <v>374</v>
      </c>
      <c r="T476" s="2">
        <f t="shared" ca="1" si="159"/>
        <v>0</v>
      </c>
      <c r="U476" s="2"/>
      <c r="V476" s="335">
        <f ca="1">V464</f>
        <v>1.8834755557989509</v>
      </c>
      <c r="W476" s="323" t="s">
        <v>374</v>
      </c>
      <c r="X476" s="2">
        <f t="shared" ca="1" si="160"/>
        <v>0</v>
      </c>
      <c r="Y476" s="20"/>
      <c r="Z476" s="74"/>
      <c r="AA476" s="74"/>
      <c r="AB476" s="74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</row>
    <row r="477" spans="1:47" hidden="1">
      <c r="A477" s="1" t="s">
        <v>400</v>
      </c>
      <c r="B477" s="1"/>
      <c r="C477" s="319">
        <v>0</v>
      </c>
      <c r="D477" s="336">
        <v>56</v>
      </c>
      <c r="E477" s="323" t="s">
        <v>374</v>
      </c>
      <c r="F477" s="2">
        <f t="shared" si="155"/>
        <v>0</v>
      </c>
      <c r="G477" s="336">
        <v>56</v>
      </c>
      <c r="H477" s="323" t="s">
        <v>374</v>
      </c>
      <c r="I477" s="2">
        <f t="shared" si="156"/>
        <v>0</v>
      </c>
      <c r="J477" s="336">
        <f>J465</f>
        <v>56</v>
      </c>
      <c r="K477" s="323" t="s">
        <v>374</v>
      </c>
      <c r="L477" s="2">
        <f t="shared" si="157"/>
        <v>0</v>
      </c>
      <c r="M477" s="2"/>
      <c r="N477" s="336" t="str">
        <f>N465</f>
        <v xml:space="preserve"> </v>
      </c>
      <c r="O477" s="323" t="s">
        <v>374</v>
      </c>
      <c r="P477" s="2">
        <f t="shared" si="158"/>
        <v>0</v>
      </c>
      <c r="Q477" s="2"/>
      <c r="R477" s="336">
        <f ca="1">R465</f>
        <v>11</v>
      </c>
      <c r="S477" s="323" t="s">
        <v>374</v>
      </c>
      <c r="T477" s="2">
        <f t="shared" ca="1" si="159"/>
        <v>0</v>
      </c>
      <c r="U477" s="2"/>
      <c r="V477" s="336">
        <f ca="1">V465</f>
        <v>45</v>
      </c>
      <c r="W477" s="323" t="s">
        <v>374</v>
      </c>
      <c r="X477" s="2">
        <f t="shared" ca="1" si="160"/>
        <v>0</v>
      </c>
      <c r="Y477" s="20"/>
      <c r="Z477" s="74"/>
      <c r="AA477" s="74"/>
      <c r="AB477" s="74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</row>
    <row r="478" spans="1:47" hidden="1">
      <c r="A478" s="1" t="s">
        <v>407</v>
      </c>
      <c r="B478" s="1"/>
      <c r="C478" s="319">
        <v>0</v>
      </c>
      <c r="D478" s="337">
        <v>60</v>
      </c>
      <c r="E478" s="321"/>
      <c r="F478" s="2">
        <f t="shared" si="155"/>
        <v>0</v>
      </c>
      <c r="G478" s="337">
        <v>60</v>
      </c>
      <c r="H478" s="323"/>
      <c r="I478" s="2">
        <f t="shared" si="156"/>
        <v>0</v>
      </c>
      <c r="J478" s="337">
        <f>$J$197</f>
        <v>60</v>
      </c>
      <c r="K478" s="323"/>
      <c r="L478" s="2">
        <f t="shared" si="157"/>
        <v>0</v>
      </c>
      <c r="M478" s="2"/>
      <c r="N478" s="326">
        <v>0</v>
      </c>
      <c r="O478" s="323"/>
      <c r="P478" s="2">
        <f t="shared" si="158"/>
        <v>0</v>
      </c>
      <c r="Q478" s="2"/>
      <c r="R478" s="337">
        <f ca="1">R197</f>
        <v>11.86</v>
      </c>
      <c r="S478" s="323"/>
      <c r="T478" s="2">
        <f t="shared" ca="1" si="159"/>
        <v>0</v>
      </c>
      <c r="U478" s="2"/>
      <c r="V478" s="337">
        <f ca="1">V197</f>
        <v>48.14</v>
      </c>
      <c r="W478" s="323"/>
      <c r="X478" s="2">
        <f t="shared" ca="1" si="160"/>
        <v>0</v>
      </c>
      <c r="Y478" s="20"/>
      <c r="Z478" s="74"/>
      <c r="AA478" s="74"/>
      <c r="AB478" s="74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</row>
    <row r="479" spans="1:47" hidden="1">
      <c r="A479" s="1" t="s">
        <v>408</v>
      </c>
      <c r="B479" s="1"/>
      <c r="C479" s="319">
        <v>0</v>
      </c>
      <c r="D479" s="339">
        <v>-30</v>
      </c>
      <c r="E479" s="321" t="s">
        <v>374</v>
      </c>
      <c r="F479" s="2">
        <f t="shared" si="155"/>
        <v>0</v>
      </c>
      <c r="G479" s="339">
        <v>-30</v>
      </c>
      <c r="H479" s="323" t="s">
        <v>374</v>
      </c>
      <c r="I479" s="2">
        <f t="shared" si="156"/>
        <v>0</v>
      </c>
      <c r="J479" s="339">
        <f>$J$198</f>
        <v>-30</v>
      </c>
      <c r="K479" s="323" t="s">
        <v>374</v>
      </c>
      <c r="L479" s="2">
        <f t="shared" si="157"/>
        <v>0</v>
      </c>
      <c r="M479" s="2"/>
      <c r="N479" s="339">
        <f>$J$198</f>
        <v>-30</v>
      </c>
      <c r="O479" s="323" t="s">
        <v>374</v>
      </c>
      <c r="P479" s="2">
        <f t="shared" si="158"/>
        <v>0</v>
      </c>
      <c r="Q479" s="2"/>
      <c r="R479" s="339">
        <v>0</v>
      </c>
      <c r="S479" s="323" t="s">
        <v>374</v>
      </c>
      <c r="T479" s="2">
        <f t="shared" si="159"/>
        <v>0</v>
      </c>
      <c r="U479" s="2"/>
      <c r="V479" s="339">
        <v>0</v>
      </c>
      <c r="W479" s="323" t="s">
        <v>374</v>
      </c>
      <c r="X479" s="2">
        <f t="shared" si="160"/>
        <v>0</v>
      </c>
      <c r="Y479" s="20"/>
      <c r="Z479" s="74"/>
      <c r="AA479" s="74"/>
      <c r="AB479" s="74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</row>
    <row r="480" spans="1:47" s="1184" customFormat="1" hidden="1">
      <c r="A480" s="1005" t="s">
        <v>918</v>
      </c>
      <c r="C480" s="1202">
        <f>C474</f>
        <v>0</v>
      </c>
      <c r="D480" s="269"/>
      <c r="E480" s="1185"/>
      <c r="F480" s="1203"/>
      <c r="G480" s="269"/>
      <c r="H480" s="1185"/>
      <c r="I480" s="1203"/>
      <c r="J480" s="1230">
        <f>J182</f>
        <v>4.5289999999999999</v>
      </c>
      <c r="K480" s="1009" t="s">
        <v>374</v>
      </c>
      <c r="L480" s="1203">
        <f>L521+L561</f>
        <v>0</v>
      </c>
      <c r="M480" s="1203"/>
      <c r="N480" s="1230" t="str">
        <f>N182</f>
        <v xml:space="preserve"> </v>
      </c>
      <c r="O480" s="1009" t="s">
        <v>374</v>
      </c>
      <c r="P480" s="1203">
        <f>P521+P561</f>
        <v>0</v>
      </c>
      <c r="Q480" s="1203"/>
      <c r="R480" s="1230" t="str">
        <f>R182</f>
        <v xml:space="preserve"> </v>
      </c>
      <c r="S480" s="1009" t="s">
        <v>374</v>
      </c>
      <c r="T480" s="1203">
        <f>T521+T561</f>
        <v>0</v>
      </c>
      <c r="U480" s="1203"/>
      <c r="V480" s="1230">
        <f>V182</f>
        <v>4.5289999999999999</v>
      </c>
      <c r="W480" s="1009" t="s">
        <v>374</v>
      </c>
      <c r="X480" s="1203">
        <f>X521+X561</f>
        <v>0</v>
      </c>
      <c r="Z480" s="815"/>
      <c r="AC480" s="1205"/>
      <c r="AD480" s="1205"/>
      <c r="AI480" s="1185"/>
      <c r="AJ480" s="1185"/>
      <c r="AK480" s="1185"/>
      <c r="AL480" s="1185"/>
      <c r="AM480" s="1185"/>
      <c r="AN480" s="1185"/>
      <c r="AO480" s="1185"/>
      <c r="AP480" s="1185"/>
      <c r="AQ480" s="1185"/>
      <c r="AR480" s="1185"/>
      <c r="AS480" s="1185"/>
      <c r="AU480" s="1204"/>
    </row>
    <row r="481" spans="1:47" s="1184" customFormat="1" hidden="1">
      <c r="A481" s="1005" t="s">
        <v>919</v>
      </c>
      <c r="C481" s="1202">
        <f>C475</f>
        <v>0</v>
      </c>
      <c r="D481" s="269"/>
      <c r="E481" s="1185"/>
      <c r="F481" s="1203"/>
      <c r="G481" s="269"/>
      <c r="H481" s="1185"/>
      <c r="I481" s="1203"/>
      <c r="J481" s="1230">
        <f>J183</f>
        <v>3.1270000000000002</v>
      </c>
      <c r="K481" s="1009" t="s">
        <v>374</v>
      </c>
      <c r="L481" s="1203">
        <f>L522+L562</f>
        <v>0</v>
      </c>
      <c r="M481" s="1203"/>
      <c r="N481" s="1230" t="str">
        <f>N183</f>
        <v xml:space="preserve"> </v>
      </c>
      <c r="O481" s="1009" t="s">
        <v>374</v>
      </c>
      <c r="P481" s="1203">
        <f>P522+P562</f>
        <v>0</v>
      </c>
      <c r="Q481" s="1203"/>
      <c r="R481" s="1230" t="str">
        <f>R183</f>
        <v xml:space="preserve"> </v>
      </c>
      <c r="S481" s="1009" t="s">
        <v>374</v>
      </c>
      <c r="T481" s="1203">
        <f>T522+T562</f>
        <v>0</v>
      </c>
      <c r="U481" s="1203"/>
      <c r="V481" s="1230">
        <f>V183</f>
        <v>3.1270000000000002</v>
      </c>
      <c r="W481" s="1009" t="s">
        <v>374</v>
      </c>
      <c r="X481" s="1203">
        <f>X522+X562</f>
        <v>0</v>
      </c>
      <c r="Z481" s="815"/>
      <c r="AC481" s="1205"/>
      <c r="AD481" s="1205"/>
      <c r="AI481" s="1185"/>
      <c r="AJ481" s="1185"/>
      <c r="AK481" s="1185"/>
      <c r="AL481" s="1185"/>
      <c r="AM481" s="1185"/>
      <c r="AN481" s="1185"/>
      <c r="AO481" s="1185"/>
      <c r="AP481" s="1185"/>
      <c r="AQ481" s="1185"/>
      <c r="AR481" s="1185"/>
      <c r="AS481" s="1185"/>
      <c r="AU481" s="1204"/>
    </row>
    <row r="482" spans="1:47" s="1184" customFormat="1" hidden="1">
      <c r="A482" s="1005" t="s">
        <v>920</v>
      </c>
      <c r="C482" s="1202">
        <f>C476</f>
        <v>0</v>
      </c>
      <c r="D482" s="269"/>
      <c r="E482" s="1185"/>
      <c r="F482" s="1203"/>
      <c r="G482" s="269"/>
      <c r="H482" s="1185"/>
      <c r="I482" s="1203"/>
      <c r="J482" s="1230">
        <f>J184</f>
        <v>2.6950000000000003</v>
      </c>
      <c r="K482" s="1009" t="s">
        <v>374</v>
      </c>
      <c r="L482" s="1203">
        <f>L523+L563</f>
        <v>0</v>
      </c>
      <c r="M482" s="1203"/>
      <c r="N482" s="1230" t="str">
        <f>N184</f>
        <v xml:space="preserve"> </v>
      </c>
      <c r="O482" s="1009" t="s">
        <v>374</v>
      </c>
      <c r="P482" s="1203">
        <f>P523+P563</f>
        <v>0</v>
      </c>
      <c r="Q482" s="1203"/>
      <c r="R482" s="1230" t="str">
        <f>R184</f>
        <v xml:space="preserve"> </v>
      </c>
      <c r="S482" s="1009" t="s">
        <v>374</v>
      </c>
      <c r="T482" s="1203">
        <f>T523+T563</f>
        <v>0</v>
      </c>
      <c r="U482" s="1203"/>
      <c r="V482" s="1230">
        <f>V184</f>
        <v>2.6950000000000003</v>
      </c>
      <c r="W482" s="1009" t="s">
        <v>374</v>
      </c>
      <c r="X482" s="1203">
        <f>X523+X563</f>
        <v>0</v>
      </c>
      <c r="Z482" s="815"/>
      <c r="AC482" s="1205"/>
      <c r="AD482" s="1205"/>
      <c r="AI482" s="1185"/>
      <c r="AJ482" s="1185"/>
      <c r="AK482" s="1185"/>
      <c r="AL482" s="1185"/>
      <c r="AM482" s="1185"/>
      <c r="AN482" s="1185"/>
      <c r="AO482" s="1185"/>
      <c r="AP482" s="1185"/>
      <c r="AQ482" s="1185"/>
      <c r="AR482" s="1185"/>
      <c r="AS482" s="1185"/>
      <c r="AU482" s="1204"/>
    </row>
    <row r="483" spans="1:47" hidden="1">
      <c r="A483" s="1" t="s">
        <v>381</v>
      </c>
      <c r="B483" s="1"/>
      <c r="C483" s="319">
        <f>C518+C553</f>
        <v>470005</v>
      </c>
      <c r="D483" s="324"/>
      <c r="E483" s="2"/>
      <c r="F483" s="2">
        <f t="shared" ref="F483" si="161">F518+F553</f>
        <v>116569</v>
      </c>
      <c r="G483" s="324"/>
      <c r="H483" s="323"/>
      <c r="I483" s="2">
        <f>I518+I553</f>
        <v>120570</v>
      </c>
      <c r="J483" s="2"/>
      <c r="K483" s="323"/>
      <c r="L483" s="2">
        <f t="shared" ref="L483" ca="1" si="162">L518+L553</f>
        <v>128948</v>
      </c>
      <c r="M483" s="2"/>
      <c r="N483" s="2"/>
      <c r="O483" s="323"/>
      <c r="P483" s="2">
        <f t="shared" ref="P483" ca="1" si="163">P518+P553</f>
        <v>68052</v>
      </c>
      <c r="Q483" s="2"/>
      <c r="R483" s="2"/>
      <c r="S483" s="323"/>
      <c r="T483" s="2">
        <f t="shared" ref="T483" ca="1" si="164">T518+T553</f>
        <v>15958</v>
      </c>
      <c r="U483" s="2"/>
      <c r="V483" s="2"/>
      <c r="W483" s="323"/>
      <c r="X483" s="2">
        <f t="shared" ref="X483" ca="1" si="165">X518+X553</f>
        <v>44937</v>
      </c>
      <c r="Y483" s="20"/>
      <c r="Z483" s="74"/>
      <c r="AA483" s="74"/>
      <c r="AB483" s="74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</row>
    <row r="484" spans="1:47" hidden="1">
      <c r="A484" s="1" t="s">
        <v>363</v>
      </c>
      <c r="B484" s="1"/>
      <c r="C484" s="340">
        <f ca="1">C519+C554</f>
        <v>-1455.4651470486108</v>
      </c>
      <c r="D484" s="309"/>
      <c r="E484" s="309"/>
      <c r="F484" s="341">
        <f ca="1">I484</f>
        <v>-342.84775965875946</v>
      </c>
      <c r="G484" s="309"/>
      <c r="H484" s="309"/>
      <c r="I484" s="341">
        <f ca="1">I519+I554</f>
        <v>-342.84775965875946</v>
      </c>
      <c r="J484" s="309"/>
      <c r="K484" s="309"/>
      <c r="L484" s="341">
        <f ca="1">I484</f>
        <v>-342.84775965875946</v>
      </c>
      <c r="M484" s="322"/>
      <c r="N484" s="309"/>
      <c r="O484" s="309"/>
      <c r="P484" s="341">
        <f ca="1">$L$484*Y207/($Y$207+$Z$207+$AA$207)</f>
        <v>-67.586059757941641</v>
      </c>
      <c r="Q484" s="51"/>
      <c r="R484" s="309"/>
      <c r="S484" s="309"/>
      <c r="T484" s="341">
        <f ca="1">$L$484*Z207/($Y$207+$Z$207+$AA$207)</f>
        <v>-54.428310964762382</v>
      </c>
      <c r="U484" s="51"/>
      <c r="V484" s="309"/>
      <c r="W484" s="309"/>
      <c r="X484" s="341">
        <f ca="1">$L$484*AA207/($Y$207+$Z$207+$AA$207)</f>
        <v>-220.83338893605546</v>
      </c>
      <c r="Y484" s="444"/>
      <c r="Z484" s="287"/>
      <c r="AA484" s="74"/>
      <c r="AB484" s="74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</row>
    <row r="485" spans="1:47" ht="16.5" hidden="1" thickBot="1">
      <c r="A485" s="1" t="s">
        <v>382</v>
      </c>
      <c r="B485" s="1"/>
      <c r="C485" s="311">
        <f ca="1">SUM(C483:C484)</f>
        <v>468549.53485295142</v>
      </c>
      <c r="D485" s="342"/>
      <c r="E485" s="343"/>
      <c r="F485" s="344">
        <f ca="1">F483+F484</f>
        <v>116226.15224034124</v>
      </c>
      <c r="G485" s="342"/>
      <c r="H485" s="345"/>
      <c r="I485" s="344">
        <f ca="1">I483+I484</f>
        <v>120227.15224034124</v>
      </c>
      <c r="J485" s="342"/>
      <c r="K485" s="345"/>
      <c r="L485" s="344">
        <f ca="1">L483+L484</f>
        <v>128605.15224034124</v>
      </c>
      <c r="M485" s="344"/>
      <c r="N485" s="342"/>
      <c r="O485" s="345"/>
      <c r="P485" s="344">
        <f ca="1">P483+P484</f>
        <v>67984.413940242055</v>
      </c>
      <c r="Q485" s="344"/>
      <c r="R485" s="342"/>
      <c r="S485" s="345"/>
      <c r="T485" s="344">
        <f ca="1">T483+T484</f>
        <v>15903.571689035238</v>
      </c>
      <c r="U485" s="344"/>
      <c r="V485" s="342"/>
      <c r="W485" s="345"/>
      <c r="X485" s="344">
        <f ca="1">X483+X484</f>
        <v>44716.166611063942</v>
      </c>
      <c r="Y485" s="411"/>
      <c r="Z485" s="470"/>
      <c r="AA485" s="74"/>
      <c r="AB485" s="74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</row>
    <row r="486" spans="1:47" ht="16.5" hidden="1" thickTop="1">
      <c r="A486" s="1"/>
      <c r="B486" s="1"/>
      <c r="C486" s="21"/>
      <c r="D486" s="337" t="s">
        <v>31</v>
      </c>
      <c r="E486" s="2"/>
      <c r="F486" s="2"/>
      <c r="G486" s="337" t="s">
        <v>31</v>
      </c>
      <c r="H486" s="1"/>
      <c r="I486" s="2"/>
      <c r="J486" s="353" t="s">
        <v>31</v>
      </c>
      <c r="K486" s="1"/>
      <c r="L486" s="2" t="s">
        <v>31</v>
      </c>
      <c r="M486" s="2"/>
      <c r="N486" s="353" t="s">
        <v>31</v>
      </c>
      <c r="O486" s="1"/>
      <c r="P486" s="2" t="s">
        <v>31</v>
      </c>
      <c r="Q486" s="2"/>
      <c r="R486" s="353" t="s">
        <v>31</v>
      </c>
      <c r="S486" s="1"/>
      <c r="T486" s="2" t="s">
        <v>31</v>
      </c>
      <c r="U486" s="2"/>
      <c r="V486" s="353" t="s">
        <v>31</v>
      </c>
      <c r="W486" s="1"/>
      <c r="X486" s="2" t="s">
        <v>31</v>
      </c>
      <c r="Y486" s="20"/>
      <c r="Z486" s="74"/>
      <c r="AA486" s="74"/>
      <c r="AB486" s="74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</row>
    <row r="487" spans="1:47" hidden="1">
      <c r="A487" s="293" t="s">
        <v>417</v>
      </c>
      <c r="B487" s="1"/>
      <c r="C487" s="1"/>
      <c r="D487" s="2"/>
      <c r="E487" s="2"/>
      <c r="F487" s="1" t="s">
        <v>31</v>
      </c>
      <c r="G487" s="2"/>
      <c r="H487" s="1"/>
      <c r="I487" s="1"/>
      <c r="J487" s="2"/>
      <c r="K487" s="1"/>
      <c r="L487" s="1"/>
      <c r="M487" s="1"/>
      <c r="N487" s="2"/>
      <c r="O487" s="1"/>
      <c r="P487" s="1"/>
      <c r="Q487" s="1"/>
      <c r="R487" s="2"/>
      <c r="S487" s="1"/>
      <c r="T487" s="1"/>
      <c r="U487" s="1"/>
      <c r="V487" s="2"/>
      <c r="W487" s="1"/>
      <c r="X487" s="1"/>
      <c r="Y487" s="20"/>
      <c r="Z487" s="74"/>
      <c r="AA487" s="74"/>
      <c r="AB487" s="74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</row>
    <row r="488" spans="1:47" hidden="1">
      <c r="A488" s="1" t="s">
        <v>411</v>
      </c>
      <c r="B488" s="1"/>
      <c r="C488" s="1"/>
      <c r="D488" s="2"/>
      <c r="E488" s="2"/>
      <c r="F488" s="1"/>
      <c r="G488" s="2"/>
      <c r="H488" s="1"/>
      <c r="I488" s="1"/>
      <c r="J488" s="2"/>
      <c r="K488" s="1"/>
      <c r="L488" s="1"/>
      <c r="M488" s="1"/>
      <c r="N488" s="2"/>
      <c r="O488" s="1"/>
      <c r="P488" s="1"/>
      <c r="Q488" s="1"/>
      <c r="R488" s="2"/>
      <c r="S488" s="1"/>
      <c r="T488" s="1"/>
      <c r="U488" s="1"/>
      <c r="V488" s="2"/>
      <c r="W488" s="1"/>
      <c r="X488" s="1"/>
      <c r="Y488" s="20"/>
      <c r="Z488" s="74"/>
      <c r="AA488" s="74"/>
      <c r="AB488" s="74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</row>
    <row r="489" spans="1:47" hidden="1">
      <c r="A489" s="1" t="s">
        <v>418</v>
      </c>
      <c r="B489" s="1"/>
      <c r="C489" s="1"/>
      <c r="D489" s="2"/>
      <c r="E489" s="2"/>
      <c r="F489" s="1"/>
      <c r="G489" s="2"/>
      <c r="H489" s="1"/>
      <c r="I489" s="1"/>
      <c r="J489" s="2"/>
      <c r="K489" s="1"/>
      <c r="L489" s="1"/>
      <c r="M489" s="1"/>
      <c r="N489" s="2"/>
      <c r="O489" s="1"/>
      <c r="P489" s="1"/>
      <c r="Q489" s="1"/>
      <c r="R489" s="2"/>
      <c r="S489" s="1"/>
      <c r="T489" s="1"/>
      <c r="U489" s="1"/>
      <c r="V489" s="2"/>
      <c r="W489" s="1"/>
      <c r="X489" s="1"/>
      <c r="Y489" s="20"/>
      <c r="Z489" s="74"/>
      <c r="AA489" s="74"/>
      <c r="AB489" s="74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</row>
    <row r="490" spans="1:47" hidden="1">
      <c r="A490" s="1" t="s">
        <v>393</v>
      </c>
      <c r="B490" s="1"/>
      <c r="C490" s="319"/>
      <c r="D490" s="2"/>
      <c r="E490" s="2"/>
      <c r="F490" s="1"/>
      <c r="G490" s="2"/>
      <c r="H490" s="1"/>
      <c r="I490" s="1"/>
      <c r="J490" s="2"/>
      <c r="K490" s="1"/>
      <c r="L490" s="1"/>
      <c r="M490" s="1"/>
      <c r="N490" s="2"/>
      <c r="O490" s="1"/>
      <c r="P490" s="1"/>
      <c r="Q490" s="1"/>
      <c r="R490" s="2"/>
      <c r="S490" s="1"/>
      <c r="T490" s="1"/>
      <c r="U490" s="1"/>
      <c r="V490" s="2"/>
      <c r="W490" s="1"/>
      <c r="X490" s="1"/>
      <c r="Y490" s="20"/>
      <c r="Z490" s="74"/>
      <c r="AA490" s="74"/>
      <c r="AB490" s="74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</row>
    <row r="491" spans="1:47" hidden="1">
      <c r="A491" s="1" t="s">
        <v>390</v>
      </c>
      <c r="B491" s="1"/>
      <c r="C491" s="319">
        <f>[49]Sheet1!$F$2</f>
        <v>1</v>
      </c>
      <c r="D491" s="298">
        <v>104.52000000000001</v>
      </c>
      <c r="E491" s="321"/>
      <c r="F491" s="2">
        <f>ROUND(D491*$C491,0)</f>
        <v>105</v>
      </c>
      <c r="G491" s="298">
        <v>104.52000000000001</v>
      </c>
      <c r="H491" s="323"/>
      <c r="I491" s="2">
        <f>ROUND(G491*$C491,0)</f>
        <v>105</v>
      </c>
      <c r="J491" s="298">
        <f>$J$168</f>
        <v>120</v>
      </c>
      <c r="K491" s="323"/>
      <c r="L491" s="2">
        <f>ROUND(J491*$C491,0)</f>
        <v>120</v>
      </c>
      <c r="M491" s="2"/>
      <c r="N491" s="298">
        <f>$N$168</f>
        <v>120</v>
      </c>
      <c r="O491" s="323"/>
      <c r="P491" s="2">
        <f>ROUND(N491*$C491,0)</f>
        <v>120</v>
      </c>
      <c r="Q491" s="2"/>
      <c r="R491" s="298" t="str">
        <f>$R$168</f>
        <v xml:space="preserve"> </v>
      </c>
      <c r="S491" s="323"/>
      <c r="T491" s="2">
        <f>ROUND(R491*$C491,0)</f>
        <v>0</v>
      </c>
      <c r="U491" s="2"/>
      <c r="V491" s="298" t="str">
        <f>$V$168</f>
        <v xml:space="preserve"> </v>
      </c>
      <c r="W491" s="323"/>
      <c r="X491" s="2">
        <f>ROUND(V491*$C491,0)</f>
        <v>0</v>
      </c>
      <c r="Y491" s="20"/>
      <c r="Z491" s="74"/>
      <c r="AA491" s="74"/>
      <c r="AB491" s="74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</row>
    <row r="492" spans="1:47" hidden="1">
      <c r="A492" s="1" t="s">
        <v>391</v>
      </c>
      <c r="B492" s="1"/>
      <c r="C492" s="319">
        <f>[49]Sheet1!$F$3</f>
        <v>85.216438356164403</v>
      </c>
      <c r="D492" s="298">
        <v>155.76</v>
      </c>
      <c r="E492" s="324"/>
      <c r="F492" s="2">
        <f>ROUND(D492*$C492,0)</f>
        <v>13273</v>
      </c>
      <c r="G492" s="298">
        <v>155.76</v>
      </c>
      <c r="H492" s="325"/>
      <c r="I492" s="2">
        <f t="shared" ref="I492:I493" si="166">ROUND(G492*$C492,0)</f>
        <v>13273</v>
      </c>
      <c r="J492" s="298">
        <f>$J$169</f>
        <v>180</v>
      </c>
      <c r="K492" s="325"/>
      <c r="L492" s="2">
        <f>ROUND(J492*$C492,0)</f>
        <v>15339</v>
      </c>
      <c r="M492" s="2"/>
      <c r="N492" s="298">
        <f>$N$169</f>
        <v>180</v>
      </c>
      <c r="O492" s="325"/>
      <c r="P492" s="2">
        <f>ROUND(N492*$C492,0)</f>
        <v>15339</v>
      </c>
      <c r="Q492" s="2"/>
      <c r="R492" s="298" t="str">
        <f>$R$169</f>
        <v xml:space="preserve"> </v>
      </c>
      <c r="S492" s="325"/>
      <c r="T492" s="2">
        <f>ROUND(R492*$C492,0)</f>
        <v>0</v>
      </c>
      <c r="U492" s="2"/>
      <c r="V492" s="298" t="str">
        <f>$V$169</f>
        <v xml:space="preserve"> </v>
      </c>
      <c r="W492" s="325"/>
      <c r="X492" s="2">
        <f>ROUND(V492*$C492,0)</f>
        <v>0</v>
      </c>
      <c r="Y492" s="20"/>
      <c r="Z492" s="74"/>
      <c r="AA492" s="74"/>
      <c r="AB492" s="74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</row>
    <row r="493" spans="1:47" hidden="1">
      <c r="A493" s="1" t="s">
        <v>392</v>
      </c>
      <c r="B493" s="1"/>
      <c r="C493" s="319">
        <f>[49]Sheet1!$G$6</f>
        <v>3285.78082191781</v>
      </c>
      <c r="D493" s="298">
        <v>11.040000000000001</v>
      </c>
      <c r="E493" s="324"/>
      <c r="F493" s="2">
        <f>ROUND(D493*$C493,0)</f>
        <v>36275</v>
      </c>
      <c r="G493" s="298">
        <v>11.040000000000001</v>
      </c>
      <c r="H493" s="325"/>
      <c r="I493" s="2">
        <f t="shared" si="166"/>
        <v>36275</v>
      </c>
      <c r="J493" s="298">
        <f>$J$170</f>
        <v>12</v>
      </c>
      <c r="K493" s="325"/>
      <c r="L493" s="2">
        <f>ROUND(J493*$C493,0)</f>
        <v>39429</v>
      </c>
      <c r="M493" s="2"/>
      <c r="N493" s="298">
        <f>$N$170</f>
        <v>12</v>
      </c>
      <c r="O493" s="325"/>
      <c r="P493" s="2">
        <f>ROUND(N493*$C493,0)</f>
        <v>39429</v>
      </c>
      <c r="Q493" s="2"/>
      <c r="R493" s="298" t="str">
        <f>$R$170</f>
        <v xml:space="preserve"> </v>
      </c>
      <c r="S493" s="325"/>
      <c r="T493" s="2">
        <f>ROUND(R493*$C493,0)</f>
        <v>0</v>
      </c>
      <c r="U493" s="2"/>
      <c r="V493" s="298" t="str">
        <f>$V$170</f>
        <v xml:space="preserve"> </v>
      </c>
      <c r="W493" s="325"/>
      <c r="X493" s="2">
        <f>ROUND(V493*$C493,0)</f>
        <v>0</v>
      </c>
      <c r="Y493" s="20"/>
      <c r="Z493" s="74"/>
      <c r="AA493" s="74"/>
      <c r="AB493" s="74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</row>
    <row r="494" spans="1:47" hidden="1">
      <c r="A494" s="1" t="s">
        <v>394</v>
      </c>
      <c r="B494" s="1"/>
      <c r="C494" s="319">
        <f>SUM(C491:C492)</f>
        <v>86.216438356164403</v>
      </c>
      <c r="D494" s="298"/>
      <c r="E494" s="321"/>
      <c r="F494" s="2"/>
      <c r="G494" s="298"/>
      <c r="H494" s="323"/>
      <c r="I494" s="2"/>
      <c r="J494" s="298"/>
      <c r="K494" s="323"/>
      <c r="L494" s="2"/>
      <c r="M494" s="2"/>
      <c r="N494" s="298"/>
      <c r="O494" s="323"/>
      <c r="P494" s="2"/>
      <c r="Q494" s="2"/>
      <c r="R494" s="298"/>
      <c r="S494" s="323"/>
      <c r="T494" s="2"/>
      <c r="U494" s="2"/>
      <c r="V494" s="298"/>
      <c r="W494" s="323"/>
      <c r="X494" s="2"/>
      <c r="Y494" s="20"/>
      <c r="Z494" s="74"/>
      <c r="AA494" s="74"/>
      <c r="AB494" s="74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</row>
    <row r="495" spans="1:47" hidden="1">
      <c r="A495" s="1" t="s">
        <v>419</v>
      </c>
      <c r="B495" s="1"/>
      <c r="C495" s="319">
        <f>[49]Sheet1!$E$6</f>
        <v>1009.0816666666664</v>
      </c>
      <c r="D495" s="298"/>
      <c r="E495" s="321"/>
      <c r="F495" s="2"/>
      <c r="G495" s="298"/>
      <c r="H495" s="323"/>
      <c r="I495" s="2"/>
      <c r="J495" s="298"/>
      <c r="K495" s="323"/>
      <c r="L495" s="2"/>
      <c r="M495" s="2"/>
      <c r="N495" s="298"/>
      <c r="O495" s="323"/>
      <c r="P495" s="2"/>
      <c r="Q495" s="2"/>
      <c r="R495" s="298"/>
      <c r="S495" s="323"/>
      <c r="T495" s="2"/>
      <c r="U495" s="2"/>
      <c r="V495" s="298"/>
      <c r="W495" s="323"/>
      <c r="X495" s="2"/>
      <c r="Y495" s="20"/>
      <c r="Z495" s="74"/>
      <c r="AA495" s="74"/>
      <c r="AB495" s="74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</row>
    <row r="496" spans="1:47" hidden="1">
      <c r="A496" s="1" t="s">
        <v>395</v>
      </c>
      <c r="B496" s="1"/>
      <c r="C496" s="319">
        <f>[49]Sheet1!$L$6</f>
        <v>8708.8205882352995</v>
      </c>
      <c r="D496" s="326">
        <v>3.4</v>
      </c>
      <c r="E496" s="323"/>
      <c r="F496" s="2">
        <f>ROUND(D496*$C496,0)</f>
        <v>29610</v>
      </c>
      <c r="G496" s="326">
        <v>3.61</v>
      </c>
      <c r="H496" s="323"/>
      <c r="I496" s="2">
        <f>ROUND(G496*C496,0)</f>
        <v>31439</v>
      </c>
      <c r="J496" s="326">
        <f ca="1">$J$177</f>
        <v>3.77</v>
      </c>
      <c r="K496" s="323"/>
      <c r="L496" s="2">
        <f ca="1">ROUND(J496*$C496,0)</f>
        <v>32832</v>
      </c>
      <c r="M496" s="2"/>
      <c r="N496" s="326">
        <f ca="1">$N$177</f>
        <v>0.81</v>
      </c>
      <c r="O496" s="323"/>
      <c r="P496" s="2">
        <f ca="1">ROUND(N496*$C496,0)</f>
        <v>7054</v>
      </c>
      <c r="Q496" s="2"/>
      <c r="R496" s="326">
        <f ca="1">$R$177</f>
        <v>1.06</v>
      </c>
      <c r="S496" s="323"/>
      <c r="T496" s="2">
        <f ca="1">ROUND(R496*$C496,0)</f>
        <v>9231</v>
      </c>
      <c r="U496" s="2"/>
      <c r="V496" s="326">
        <f ca="1">$V$177</f>
        <v>1.9</v>
      </c>
      <c r="W496" s="323"/>
      <c r="X496" s="2">
        <f ca="1">ROUND(V496*$C496,0)</f>
        <v>16547</v>
      </c>
      <c r="Y496" s="20"/>
      <c r="Z496" s="74"/>
      <c r="AA496" s="74"/>
      <c r="AB496" s="74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</row>
    <row r="497" spans="1:47" hidden="1">
      <c r="A497" s="1" t="s">
        <v>397</v>
      </c>
      <c r="B497" s="1"/>
      <c r="C497" s="319">
        <f>[49]Sheet1!$I$6</f>
        <v>146926</v>
      </c>
      <c r="D497" s="299">
        <v>9.766</v>
      </c>
      <c r="E497" s="323" t="s">
        <v>374</v>
      </c>
      <c r="F497" s="2">
        <f>ROUND(D497*$C497/100,0)</f>
        <v>14349</v>
      </c>
      <c r="G497" s="299">
        <v>10.359</v>
      </c>
      <c r="H497" s="323" t="s">
        <v>374</v>
      </c>
      <c r="I497" s="2">
        <f>ROUND(G497*C497/100,0)</f>
        <v>15220</v>
      </c>
      <c r="J497" s="299">
        <f ca="1">$J$178</f>
        <v>6.282</v>
      </c>
      <c r="K497" s="323" t="s">
        <v>374</v>
      </c>
      <c r="L497" s="2">
        <f ca="1">ROUND(J497*$C497/100,0)</f>
        <v>9230</v>
      </c>
      <c r="M497" s="2"/>
      <c r="N497" s="299">
        <f ca="1">$N$178</f>
        <v>1.3483746810352102</v>
      </c>
      <c r="O497" s="323" t="s">
        <v>374</v>
      </c>
      <c r="P497" s="2">
        <f ca="1">ROUND(N497*$C497/100,0)</f>
        <v>1981</v>
      </c>
      <c r="Q497" s="2"/>
      <c r="R497" s="299">
        <f ca="1">$R$178</f>
        <v>1.7708525176705459</v>
      </c>
      <c r="S497" s="323" t="s">
        <v>374</v>
      </c>
      <c r="T497" s="2">
        <f ca="1">ROUND(R497*$C497/100,0)</f>
        <v>2602</v>
      </c>
      <c r="U497" s="2"/>
      <c r="V497" s="299">
        <f ca="1">$V$178</f>
        <v>3.162955363125258</v>
      </c>
      <c r="W497" s="323" t="s">
        <v>374</v>
      </c>
      <c r="X497" s="2">
        <f ca="1">ROUND(V497*$C497/100,0)</f>
        <v>4647</v>
      </c>
      <c r="Y497" s="20"/>
      <c r="Z497" s="74"/>
      <c r="AA497" s="74"/>
      <c r="AB497" s="74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</row>
    <row r="498" spans="1:47" hidden="1">
      <c r="A498" s="1" t="s">
        <v>398</v>
      </c>
      <c r="B498" s="1"/>
      <c r="C498" s="319">
        <f>[49]Sheet1!$J$6</f>
        <v>139847</v>
      </c>
      <c r="D498" s="299">
        <v>6.7460000000000004</v>
      </c>
      <c r="E498" s="323" t="s">
        <v>374</v>
      </c>
      <c r="F498" s="2">
        <f>ROUND(D498*$C498/100,0)</f>
        <v>9434</v>
      </c>
      <c r="G498" s="299">
        <v>7.1559999999999997</v>
      </c>
      <c r="H498" s="323" t="s">
        <v>374</v>
      </c>
      <c r="I498" s="2">
        <f t="shared" ref="I498:I500" si="167">ROUND(G498*C498/100,0)</f>
        <v>10007</v>
      </c>
      <c r="J498" s="299">
        <f ca="1">$J$179</f>
        <v>4.3410000000000002</v>
      </c>
      <c r="K498" s="323" t="s">
        <v>374</v>
      </c>
      <c r="L498" s="2">
        <f ca="1">ROUND(J498*$C498/100,0)</f>
        <v>6071</v>
      </c>
      <c r="M498" s="2"/>
      <c r="N498" s="299">
        <f ca="1">$N$179</f>
        <v>0.93175626548296309</v>
      </c>
      <c r="O498" s="323" t="s">
        <v>374</v>
      </c>
      <c r="P498" s="2">
        <f ca="1">ROUND(N498*$C498/100,0)</f>
        <v>1303</v>
      </c>
      <c r="Q498" s="2"/>
      <c r="R498" s="299">
        <f ca="1">$R$179</f>
        <v>1.2240066282869231</v>
      </c>
      <c r="S498" s="323" t="s">
        <v>374</v>
      </c>
      <c r="T498" s="2">
        <f ca="1">ROUND(R498*$C498/100,0)</f>
        <v>1712</v>
      </c>
      <c r="U498" s="2"/>
      <c r="V498" s="299">
        <f ca="1">$V$179</f>
        <v>2.1849800075654815</v>
      </c>
      <c r="W498" s="323" t="s">
        <v>374</v>
      </c>
      <c r="X498" s="2">
        <f ca="1">ROUND(V498*$C498/100,0)</f>
        <v>3056</v>
      </c>
      <c r="Y498" s="20"/>
      <c r="Z498" s="74"/>
      <c r="AA498" s="74"/>
      <c r="AB498" s="74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</row>
    <row r="499" spans="1:47" hidden="1">
      <c r="A499" s="1" t="s">
        <v>399</v>
      </c>
      <c r="B499" s="1"/>
      <c r="C499" s="319">
        <f>[49]Sheet1!$K$6</f>
        <v>173680</v>
      </c>
      <c r="D499" s="299">
        <v>5.8120000000000003</v>
      </c>
      <c r="E499" s="323" t="s">
        <v>374</v>
      </c>
      <c r="F499" s="2">
        <f>ROUND(D499*$C499/100,0)</f>
        <v>10094</v>
      </c>
      <c r="G499" s="299">
        <v>6.1660000000000004</v>
      </c>
      <c r="H499" s="323" t="s">
        <v>374</v>
      </c>
      <c r="I499" s="2">
        <f t="shared" si="167"/>
        <v>10709</v>
      </c>
      <c r="J499" s="299">
        <f ca="1">$J$180</f>
        <v>3.74</v>
      </c>
      <c r="K499" s="323" t="s">
        <v>374</v>
      </c>
      <c r="L499" s="2">
        <f ca="1">ROUND(J499*$C499/100,0)</f>
        <v>6496</v>
      </c>
      <c r="M499" s="2"/>
      <c r="N499" s="299">
        <f ca="1">$N$180</f>
        <v>0.80275718206159852</v>
      </c>
      <c r="O499" s="323" t="s">
        <v>374</v>
      </c>
      <c r="P499" s="2">
        <f ca="1">ROUND(N499*$C499/100,0)</f>
        <v>1394</v>
      </c>
      <c r="Q499" s="2"/>
      <c r="R499" s="299">
        <f ca="1">$R$180</f>
        <v>1.0536847359511734</v>
      </c>
      <c r="S499" s="323" t="s">
        <v>374</v>
      </c>
      <c r="T499" s="2">
        <f ca="1">ROUND(R499*$C499/100,0)</f>
        <v>1830</v>
      </c>
      <c r="U499" s="2"/>
      <c r="V499" s="299">
        <f ca="1">$V$180</f>
        <v>1.8834755557989509</v>
      </c>
      <c r="W499" s="323" t="s">
        <v>374</v>
      </c>
      <c r="X499" s="2">
        <f ca="1">ROUND(V499*$C499/100,0)</f>
        <v>3271</v>
      </c>
      <c r="Y499" s="20"/>
      <c r="Z499" s="74"/>
      <c r="AA499" s="74"/>
      <c r="AB499" s="74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</row>
    <row r="500" spans="1:47" hidden="1">
      <c r="A500" s="1" t="s">
        <v>400</v>
      </c>
      <c r="B500" s="1"/>
      <c r="C500" s="319">
        <f>[49]Sheet1!$M$6</f>
        <v>1100.8816666666701</v>
      </c>
      <c r="D500" s="330">
        <v>56</v>
      </c>
      <c r="E500" s="321" t="s">
        <v>374</v>
      </c>
      <c r="F500" s="2">
        <f>ROUND(D500*$C500/100,0)</f>
        <v>616</v>
      </c>
      <c r="G500" s="330">
        <v>56</v>
      </c>
      <c r="H500" s="323" t="s">
        <v>374</v>
      </c>
      <c r="I500" s="2">
        <f t="shared" si="167"/>
        <v>616</v>
      </c>
      <c r="J500" s="330">
        <f>$J$181</f>
        <v>56</v>
      </c>
      <c r="K500" s="323" t="s">
        <v>374</v>
      </c>
      <c r="L500" s="2">
        <f>ROUND(J500*$C500/100,0)</f>
        <v>616</v>
      </c>
      <c r="M500" s="2"/>
      <c r="N500" s="330" t="str">
        <f>$N$181</f>
        <v xml:space="preserve"> </v>
      </c>
      <c r="O500" s="323" t="s">
        <v>374</v>
      </c>
      <c r="P500" s="2">
        <f>ROUND(N500*$C500/100,0)</f>
        <v>0</v>
      </c>
      <c r="Q500" s="2"/>
      <c r="R500" s="330">
        <f ca="1">$R$181</f>
        <v>11</v>
      </c>
      <c r="S500" s="323" t="s">
        <v>374</v>
      </c>
      <c r="T500" s="2">
        <f ca="1">ROUND(R500*$C500/100,0)</f>
        <v>121</v>
      </c>
      <c r="U500" s="2"/>
      <c r="V500" s="330">
        <f ca="1">$V$181</f>
        <v>45</v>
      </c>
      <c r="W500" s="323" t="s">
        <v>374</v>
      </c>
      <c r="X500" s="2">
        <f ca="1">ROUND(V500*$C500/100,0)</f>
        <v>495</v>
      </c>
      <c r="Y500" s="20"/>
      <c r="Z500" s="74"/>
      <c r="AA500" s="74"/>
      <c r="AB500" s="74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</row>
    <row r="501" spans="1:47" s="1184" customFormat="1" hidden="1">
      <c r="A501" s="1005" t="s">
        <v>918</v>
      </c>
      <c r="C501" s="1202">
        <f>C497</f>
        <v>146926</v>
      </c>
      <c r="D501" s="269"/>
      <c r="E501" s="1185"/>
      <c r="F501" s="1203"/>
      <c r="G501" s="269"/>
      <c r="H501" s="1185"/>
      <c r="I501" s="1203"/>
      <c r="J501" s="1230">
        <f>J182</f>
        <v>4.5289999999999999</v>
      </c>
      <c r="K501" s="1009" t="s">
        <v>374</v>
      </c>
      <c r="L501" s="1203">
        <f t="shared" ref="L501:L503" si="168">ROUND(J501*$C501/100,0)</f>
        <v>6654</v>
      </c>
      <c r="M501" s="1203"/>
      <c r="N501" s="1230" t="str">
        <f>N182</f>
        <v xml:space="preserve"> </v>
      </c>
      <c r="O501" s="1009" t="s">
        <v>374</v>
      </c>
      <c r="P501" s="1203">
        <f t="shared" ref="P501:P503" si="169">ROUND(N501*$C501/100,0)</f>
        <v>0</v>
      </c>
      <c r="Q501" s="1203"/>
      <c r="R501" s="1230" t="str">
        <f>R182</f>
        <v xml:space="preserve"> </v>
      </c>
      <c r="S501" s="1009" t="s">
        <v>374</v>
      </c>
      <c r="T501" s="1203">
        <f t="shared" ref="T501:T503" si="170">ROUND(R501*$C501/100,0)</f>
        <v>0</v>
      </c>
      <c r="U501" s="1203"/>
      <c r="V501" s="1230">
        <f>V182</f>
        <v>4.5289999999999999</v>
      </c>
      <c r="W501" s="1009" t="s">
        <v>374</v>
      </c>
      <c r="X501" s="1203">
        <f t="shared" ref="X501:X503" si="171">ROUND(V501*$C501/100,0)</f>
        <v>6654</v>
      </c>
      <c r="Z501" s="815"/>
      <c r="AC501" s="1205"/>
      <c r="AD501" s="1205"/>
      <c r="AI501" s="1185"/>
      <c r="AJ501" s="1185"/>
      <c r="AK501" s="1185"/>
      <c r="AL501" s="1185"/>
      <c r="AM501" s="1185"/>
      <c r="AN501" s="1185"/>
      <c r="AO501" s="1185"/>
      <c r="AP501" s="1185"/>
      <c r="AQ501" s="1185"/>
      <c r="AR501" s="1185"/>
      <c r="AS501" s="1185"/>
      <c r="AU501" s="1204"/>
    </row>
    <row r="502" spans="1:47" s="1184" customFormat="1" hidden="1">
      <c r="A502" s="1005" t="s">
        <v>919</v>
      </c>
      <c r="C502" s="1202">
        <f t="shared" ref="C502:C503" si="172">C498</f>
        <v>139847</v>
      </c>
      <c r="D502" s="269"/>
      <c r="E502" s="1185"/>
      <c r="F502" s="1203"/>
      <c r="G502" s="269"/>
      <c r="H502" s="1185"/>
      <c r="I502" s="1203"/>
      <c r="J502" s="1230">
        <f>J183</f>
        <v>3.1270000000000002</v>
      </c>
      <c r="K502" s="1009" t="s">
        <v>374</v>
      </c>
      <c r="L502" s="1203">
        <f t="shared" si="168"/>
        <v>4373</v>
      </c>
      <c r="M502" s="1203"/>
      <c r="N502" s="1230" t="str">
        <f>N183</f>
        <v xml:space="preserve"> </v>
      </c>
      <c r="O502" s="1009" t="s">
        <v>374</v>
      </c>
      <c r="P502" s="1203">
        <f t="shared" si="169"/>
        <v>0</v>
      </c>
      <c r="Q502" s="1203"/>
      <c r="R502" s="1230" t="str">
        <f>R183</f>
        <v xml:space="preserve"> </v>
      </c>
      <c r="S502" s="1009" t="s">
        <v>374</v>
      </c>
      <c r="T502" s="1203">
        <f t="shared" si="170"/>
        <v>0</v>
      </c>
      <c r="U502" s="1203"/>
      <c r="V502" s="1230">
        <f>V183</f>
        <v>3.1270000000000002</v>
      </c>
      <c r="W502" s="1009" t="s">
        <v>374</v>
      </c>
      <c r="X502" s="1203">
        <f t="shared" si="171"/>
        <v>4373</v>
      </c>
      <c r="Z502" s="815"/>
      <c r="AC502" s="1205"/>
      <c r="AD502" s="1205"/>
      <c r="AI502" s="1185"/>
      <c r="AJ502" s="1185"/>
      <c r="AK502" s="1185"/>
      <c r="AL502" s="1185"/>
      <c r="AM502" s="1185"/>
      <c r="AN502" s="1185"/>
      <c r="AO502" s="1185"/>
      <c r="AP502" s="1185"/>
      <c r="AQ502" s="1185"/>
      <c r="AR502" s="1185"/>
      <c r="AS502" s="1185"/>
      <c r="AU502" s="1204"/>
    </row>
    <row r="503" spans="1:47" s="1184" customFormat="1" hidden="1">
      <c r="A503" s="1005" t="s">
        <v>920</v>
      </c>
      <c r="C503" s="1202">
        <f t="shared" si="172"/>
        <v>173680</v>
      </c>
      <c r="D503" s="269"/>
      <c r="E503" s="1185"/>
      <c r="F503" s="1203"/>
      <c r="G503" s="269"/>
      <c r="H503" s="1185"/>
      <c r="I503" s="1203"/>
      <c r="J503" s="1230">
        <f>J184</f>
        <v>2.6950000000000003</v>
      </c>
      <c r="K503" s="1009" t="s">
        <v>374</v>
      </c>
      <c r="L503" s="1203">
        <f t="shared" si="168"/>
        <v>4681</v>
      </c>
      <c r="M503" s="1203"/>
      <c r="N503" s="1230" t="str">
        <f>N184</f>
        <v xml:space="preserve"> </v>
      </c>
      <c r="O503" s="1009" t="s">
        <v>374</v>
      </c>
      <c r="P503" s="1203">
        <f t="shared" si="169"/>
        <v>0</v>
      </c>
      <c r="Q503" s="1203"/>
      <c r="R503" s="1230" t="str">
        <f>R184</f>
        <v xml:space="preserve"> </v>
      </c>
      <c r="S503" s="1009" t="s">
        <v>374</v>
      </c>
      <c r="T503" s="1203">
        <f t="shared" si="170"/>
        <v>0</v>
      </c>
      <c r="U503" s="1203"/>
      <c r="V503" s="1230">
        <f>V184</f>
        <v>2.6950000000000003</v>
      </c>
      <c r="W503" s="1009" t="s">
        <v>374</v>
      </c>
      <c r="X503" s="1203">
        <f t="shared" si="171"/>
        <v>4681</v>
      </c>
      <c r="Z503" s="815"/>
      <c r="AC503" s="1205"/>
      <c r="AD503" s="1205"/>
      <c r="AI503" s="1185"/>
      <c r="AJ503" s="1185"/>
      <c r="AK503" s="1185"/>
      <c r="AL503" s="1185"/>
      <c r="AM503" s="1185"/>
      <c r="AN503" s="1185"/>
      <c r="AO503" s="1185"/>
      <c r="AP503" s="1185"/>
      <c r="AQ503" s="1185"/>
      <c r="AR503" s="1185"/>
      <c r="AS503" s="1185"/>
      <c r="AU503" s="1204"/>
    </row>
    <row r="504" spans="1:47" hidden="1">
      <c r="A504" s="331" t="s">
        <v>401</v>
      </c>
      <c r="B504" s="1"/>
      <c r="C504" s="319"/>
      <c r="D504" s="332">
        <v>-0.01</v>
      </c>
      <c r="E504" s="321"/>
      <c r="F504" s="2"/>
      <c r="G504" s="332">
        <v>-0.01</v>
      </c>
      <c r="H504" s="323"/>
      <c r="I504" s="2"/>
      <c r="J504" s="332">
        <v>-0.01</v>
      </c>
      <c r="K504" s="323"/>
      <c r="L504" s="2"/>
      <c r="M504" s="2"/>
      <c r="N504" s="332">
        <v>-0.01</v>
      </c>
      <c r="O504" s="323"/>
      <c r="P504" s="2"/>
      <c r="Q504" s="2"/>
      <c r="R504" s="332">
        <v>-0.01</v>
      </c>
      <c r="S504" s="323"/>
      <c r="T504" s="2"/>
      <c r="U504" s="2"/>
      <c r="V504" s="332">
        <v>-0.01</v>
      </c>
      <c r="W504" s="323"/>
      <c r="X504" s="2"/>
      <c r="Y504" s="20"/>
      <c r="Z504" s="74"/>
      <c r="AA504" s="74"/>
      <c r="AB504" s="74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</row>
    <row r="505" spans="1:47" hidden="1">
      <c r="A505" s="1" t="s">
        <v>390</v>
      </c>
      <c r="B505" s="1"/>
      <c r="C505" s="319">
        <v>0</v>
      </c>
      <c r="D505" s="334">
        <v>104.52000000000001</v>
      </c>
      <c r="E505" s="321"/>
      <c r="F505" s="2">
        <f>-ROUND(D505*$C505/100,0)</f>
        <v>0</v>
      </c>
      <c r="G505" s="334">
        <v>104.52000000000001</v>
      </c>
      <c r="H505" s="321"/>
      <c r="I505" s="2">
        <f>-ROUND(G505*$C505/100,0)</f>
        <v>0</v>
      </c>
      <c r="J505" s="334">
        <f>J491</f>
        <v>120</v>
      </c>
      <c r="K505" s="321"/>
      <c r="L505" s="2">
        <f>-ROUND(J505*$C505/100,0)</f>
        <v>0</v>
      </c>
      <c r="M505" s="2"/>
      <c r="N505" s="334">
        <f>N491</f>
        <v>120</v>
      </c>
      <c r="O505" s="321"/>
      <c r="P505" s="2">
        <f>-ROUND(N505*$C505/100,0)</f>
        <v>0</v>
      </c>
      <c r="Q505" s="2"/>
      <c r="R505" s="334" t="str">
        <f>R491</f>
        <v xml:space="preserve"> </v>
      </c>
      <c r="S505" s="321"/>
      <c r="T505" s="2">
        <f>-ROUND(R505*$C505/100,0)</f>
        <v>0</v>
      </c>
      <c r="U505" s="2"/>
      <c r="V505" s="334" t="str">
        <f>V491</f>
        <v xml:space="preserve"> </v>
      </c>
      <c r="W505" s="321"/>
      <c r="X505" s="2">
        <f>-ROUND(V505*$C505/100,0)</f>
        <v>0</v>
      </c>
      <c r="Y505" s="20"/>
      <c r="Z505" s="74"/>
      <c r="AA505" s="74"/>
      <c r="AB505" s="74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</row>
    <row r="506" spans="1:47" hidden="1">
      <c r="A506" s="1" t="s">
        <v>391</v>
      </c>
      <c r="B506" s="1"/>
      <c r="C506" s="319">
        <v>0</v>
      </c>
      <c r="D506" s="334">
        <v>155.76</v>
      </c>
      <c r="E506" s="321"/>
      <c r="F506" s="2">
        <f>-ROUND(D506*$C506/100,0)</f>
        <v>0</v>
      </c>
      <c r="G506" s="334">
        <v>155.76</v>
      </c>
      <c r="H506" s="321"/>
      <c r="I506" s="2">
        <f t="shared" ref="I506:I508" si="173">-ROUND(G506*$C506/100,0)</f>
        <v>0</v>
      </c>
      <c r="J506" s="334">
        <f>J492</f>
        <v>180</v>
      </c>
      <c r="K506" s="321"/>
      <c r="L506" s="2">
        <f>-ROUND(J506*$C506/100,0)</f>
        <v>0</v>
      </c>
      <c r="M506" s="2"/>
      <c r="N506" s="334">
        <f>N492</f>
        <v>180</v>
      </c>
      <c r="O506" s="321"/>
      <c r="P506" s="2">
        <f>-ROUND(N506*$C506/100,0)</f>
        <v>0</v>
      </c>
      <c r="Q506" s="2"/>
      <c r="R506" s="334" t="str">
        <f>R492</f>
        <v xml:space="preserve"> </v>
      </c>
      <c r="S506" s="321"/>
      <c r="T506" s="2">
        <f>-ROUND(R506*$C506/100,0)</f>
        <v>0</v>
      </c>
      <c r="U506" s="2"/>
      <c r="V506" s="334" t="str">
        <f>V492</f>
        <v xml:space="preserve"> </v>
      </c>
      <c r="W506" s="321"/>
      <c r="X506" s="2">
        <f>-ROUND(V506*$C506/100,0)</f>
        <v>0</v>
      </c>
      <c r="Y506" s="20"/>
      <c r="Z506" s="74"/>
      <c r="AA506" s="74"/>
      <c r="AB506" s="74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</row>
    <row r="507" spans="1:47" hidden="1">
      <c r="A507" s="1" t="s">
        <v>402</v>
      </c>
      <c r="B507" s="1"/>
      <c r="C507" s="319">
        <v>0</v>
      </c>
      <c r="D507" s="334">
        <v>11.040000000000001</v>
      </c>
      <c r="E507" s="321"/>
      <c r="F507" s="2">
        <f>-ROUND(D507*$C507/100,0)</f>
        <v>0</v>
      </c>
      <c r="G507" s="334">
        <v>11.040000000000001</v>
      </c>
      <c r="H507" s="321"/>
      <c r="I507" s="2">
        <f t="shared" si="173"/>
        <v>0</v>
      </c>
      <c r="J507" s="334">
        <f>J493</f>
        <v>12</v>
      </c>
      <c r="K507" s="321"/>
      <c r="L507" s="2">
        <f>-ROUND(J507*$C507/100,0)</f>
        <v>0</v>
      </c>
      <c r="M507" s="2"/>
      <c r="N507" s="334">
        <f>N493</f>
        <v>12</v>
      </c>
      <c r="O507" s="321"/>
      <c r="P507" s="2">
        <f>-ROUND(N507*$C507/100,0)</f>
        <v>0</v>
      </c>
      <c r="Q507" s="2"/>
      <c r="R507" s="334" t="str">
        <f>R493</f>
        <v xml:space="preserve"> </v>
      </c>
      <c r="S507" s="321"/>
      <c r="T507" s="2">
        <f>-ROUND(R507*$C507/100,0)</f>
        <v>0</v>
      </c>
      <c r="U507" s="2"/>
      <c r="V507" s="334" t="str">
        <f>V493</f>
        <v xml:space="preserve"> </v>
      </c>
      <c r="W507" s="321"/>
      <c r="X507" s="2">
        <f>-ROUND(V507*$C507/100,0)</f>
        <v>0</v>
      </c>
      <c r="Y507" s="20"/>
      <c r="Z507" s="74"/>
      <c r="AA507" s="74"/>
      <c r="AB507" s="74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</row>
    <row r="508" spans="1:47" hidden="1">
      <c r="A508" s="1" t="s">
        <v>403</v>
      </c>
      <c r="B508" s="1"/>
      <c r="C508" s="319">
        <v>0</v>
      </c>
      <c r="D508" s="334">
        <v>3.4</v>
      </c>
      <c r="E508" s="323"/>
      <c r="F508" s="2">
        <f>-ROUND(D508*$C508/100,0)</f>
        <v>0</v>
      </c>
      <c r="G508" s="334">
        <v>3.61</v>
      </c>
      <c r="H508" s="323"/>
      <c r="I508" s="2">
        <f t="shared" si="173"/>
        <v>0</v>
      </c>
      <c r="J508" s="334">
        <f ca="1">J496</f>
        <v>3.77</v>
      </c>
      <c r="K508" s="323"/>
      <c r="L508" s="2">
        <f ca="1">-ROUND(J508*$C508/100,0)</f>
        <v>0</v>
      </c>
      <c r="M508" s="2"/>
      <c r="N508" s="334">
        <f ca="1">N496</f>
        <v>0.81</v>
      </c>
      <c r="O508" s="323"/>
      <c r="P508" s="2">
        <f ca="1">-ROUND(N508*$C508/100,0)</f>
        <v>0</v>
      </c>
      <c r="Q508" s="2"/>
      <c r="R508" s="334">
        <f ca="1">R496</f>
        <v>1.06</v>
      </c>
      <c r="S508" s="323"/>
      <c r="T508" s="2">
        <f ca="1">-ROUND(R508*$C508/100,0)</f>
        <v>0</v>
      </c>
      <c r="U508" s="2"/>
      <c r="V508" s="334">
        <f ca="1">V496</f>
        <v>1.9</v>
      </c>
      <c r="W508" s="323"/>
      <c r="X508" s="2">
        <f ca="1">-ROUND(V508*$C508/100,0)</f>
        <v>0</v>
      </c>
      <c r="Y508" s="20"/>
      <c r="Z508" s="74"/>
      <c r="AA508" s="74"/>
      <c r="AB508" s="74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</row>
    <row r="509" spans="1:47" hidden="1">
      <c r="A509" s="1" t="s">
        <v>405</v>
      </c>
      <c r="B509" s="1"/>
      <c r="C509" s="319">
        <v>0</v>
      </c>
      <c r="D509" s="335">
        <v>9.766</v>
      </c>
      <c r="E509" s="323" t="s">
        <v>374</v>
      </c>
      <c r="F509" s="2">
        <f>ROUND(D509*$C509/100*D504,0)</f>
        <v>0</v>
      </c>
      <c r="G509" s="335">
        <v>10.359</v>
      </c>
      <c r="H509" s="323" t="s">
        <v>374</v>
      </c>
      <c r="I509" s="2">
        <f>ROUND(G509*$C509/100*G504,0)</f>
        <v>0</v>
      </c>
      <c r="J509" s="335">
        <f ca="1">J497</f>
        <v>6.282</v>
      </c>
      <c r="K509" s="323" t="s">
        <v>374</v>
      </c>
      <c r="L509" s="2">
        <f ca="1">ROUND(J509*$C509/100*J504,0)</f>
        <v>0</v>
      </c>
      <c r="M509" s="2"/>
      <c r="N509" s="335">
        <f ca="1">N497</f>
        <v>1.3483746810352102</v>
      </c>
      <c r="O509" s="323" t="s">
        <v>374</v>
      </c>
      <c r="P509" s="2">
        <f ca="1">ROUND(N509*$C509/100*N504,0)</f>
        <v>0</v>
      </c>
      <c r="Q509" s="2"/>
      <c r="R509" s="335">
        <f ca="1">R497</f>
        <v>1.7708525176705459</v>
      </c>
      <c r="S509" s="323" t="s">
        <v>374</v>
      </c>
      <c r="T509" s="2">
        <f ca="1">ROUND(R509*$C509/100*R504,0)</f>
        <v>0</v>
      </c>
      <c r="U509" s="2"/>
      <c r="V509" s="335">
        <f ca="1">V497</f>
        <v>3.162955363125258</v>
      </c>
      <c r="W509" s="323" t="s">
        <v>374</v>
      </c>
      <c r="X509" s="2">
        <f ca="1">ROUND(V509*$C509/100*V504,0)</f>
        <v>0</v>
      </c>
      <c r="Y509" s="20"/>
      <c r="Z509" s="74"/>
      <c r="AA509" s="74"/>
      <c r="AB509" s="74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</row>
    <row r="510" spans="1:47" hidden="1">
      <c r="A510" s="1" t="s">
        <v>398</v>
      </c>
      <c r="B510" s="1"/>
      <c r="C510" s="319">
        <v>0</v>
      </c>
      <c r="D510" s="335">
        <v>6.7460000000000004</v>
      </c>
      <c r="E510" s="323" t="s">
        <v>374</v>
      </c>
      <c r="F510" s="2">
        <f>ROUND(D510*$C510/100*D504,0)</f>
        <v>0</v>
      </c>
      <c r="G510" s="335">
        <v>7.1559999999999997</v>
      </c>
      <c r="H510" s="323" t="s">
        <v>374</v>
      </c>
      <c r="I510" s="2">
        <f>ROUND(G510*$C510/100*G504,0)</f>
        <v>0</v>
      </c>
      <c r="J510" s="335">
        <f ca="1">J498</f>
        <v>4.3410000000000002</v>
      </c>
      <c r="K510" s="323" t="s">
        <v>374</v>
      </c>
      <c r="L510" s="2">
        <f ca="1">ROUND(J510*$C510/100*J504,0)</f>
        <v>0</v>
      </c>
      <c r="M510" s="2"/>
      <c r="N510" s="335">
        <f ca="1">N498</f>
        <v>0.93175626548296309</v>
      </c>
      <c r="O510" s="323" t="s">
        <v>374</v>
      </c>
      <c r="P510" s="2">
        <f ca="1">ROUND(N510*$C510/100*N504,0)</f>
        <v>0</v>
      </c>
      <c r="Q510" s="2"/>
      <c r="R510" s="335">
        <f ca="1">R498</f>
        <v>1.2240066282869231</v>
      </c>
      <c r="S510" s="323" t="s">
        <v>374</v>
      </c>
      <c r="T510" s="2">
        <f ca="1">ROUND(R510*$C510/100*R504,0)</f>
        <v>0</v>
      </c>
      <c r="U510" s="2"/>
      <c r="V510" s="335">
        <f ca="1">V498</f>
        <v>2.1849800075654815</v>
      </c>
      <c r="W510" s="323" t="s">
        <v>374</v>
      </c>
      <c r="X510" s="2">
        <f ca="1">ROUND(V510*$C510/100*V504,0)</f>
        <v>0</v>
      </c>
      <c r="Y510" s="20"/>
      <c r="Z510" s="74"/>
      <c r="AA510" s="74"/>
      <c r="AB510" s="74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</row>
    <row r="511" spans="1:47" hidden="1">
      <c r="A511" s="1" t="s">
        <v>399</v>
      </c>
      <c r="B511" s="1"/>
      <c r="C511" s="319">
        <v>0</v>
      </c>
      <c r="D511" s="335">
        <v>5.8120000000000003</v>
      </c>
      <c r="E511" s="323" t="s">
        <v>374</v>
      </c>
      <c r="F511" s="2">
        <f>ROUND(D511*$C511/100*D504,0)</f>
        <v>0</v>
      </c>
      <c r="G511" s="335">
        <v>6.1660000000000004</v>
      </c>
      <c r="H511" s="323" t="s">
        <v>374</v>
      </c>
      <c r="I511" s="2">
        <f>ROUND(G511*$C511/100*G504,0)</f>
        <v>0</v>
      </c>
      <c r="J511" s="335">
        <f ca="1">J499</f>
        <v>3.74</v>
      </c>
      <c r="K511" s="323" t="s">
        <v>374</v>
      </c>
      <c r="L511" s="2">
        <f ca="1">ROUND(J511*$C511/100*J504,0)</f>
        <v>0</v>
      </c>
      <c r="M511" s="2"/>
      <c r="N511" s="335">
        <f ca="1">N499</f>
        <v>0.80275718206159852</v>
      </c>
      <c r="O511" s="323" t="s">
        <v>374</v>
      </c>
      <c r="P511" s="2">
        <f ca="1">ROUND(N511*$C511/100*N504,0)</f>
        <v>0</v>
      </c>
      <c r="Q511" s="2"/>
      <c r="R511" s="335">
        <f ca="1">R499</f>
        <v>1.0536847359511734</v>
      </c>
      <c r="S511" s="323" t="s">
        <v>374</v>
      </c>
      <c r="T511" s="2">
        <f ca="1">ROUND(R511*$C511/100*R504,0)</f>
        <v>0</v>
      </c>
      <c r="U511" s="2"/>
      <c r="V511" s="335">
        <f ca="1">V499</f>
        <v>1.8834755557989509</v>
      </c>
      <c r="W511" s="323" t="s">
        <v>374</v>
      </c>
      <c r="X511" s="2">
        <f ca="1">ROUND(V511*$C511/100*V504,0)</f>
        <v>0</v>
      </c>
      <c r="Y511" s="20"/>
      <c r="Z511" s="74"/>
      <c r="AA511" s="74"/>
      <c r="AB511" s="74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</row>
    <row r="512" spans="1:47" hidden="1">
      <c r="A512" s="1" t="s">
        <v>400</v>
      </c>
      <c r="B512" s="1"/>
      <c r="C512" s="319">
        <v>0</v>
      </c>
      <c r="D512" s="336">
        <v>56</v>
      </c>
      <c r="E512" s="323" t="s">
        <v>374</v>
      </c>
      <c r="F512" s="2">
        <f>ROUND(D512*$C512/100*D504,0)</f>
        <v>0</v>
      </c>
      <c r="G512" s="336">
        <v>56</v>
      </c>
      <c r="H512" s="323" t="s">
        <v>374</v>
      </c>
      <c r="I512" s="2">
        <f>ROUND(G512*$C512/100*G504,0)</f>
        <v>0</v>
      </c>
      <c r="J512" s="336">
        <f>J500</f>
        <v>56</v>
      </c>
      <c r="K512" s="323" t="s">
        <v>374</v>
      </c>
      <c r="L512" s="2">
        <f>ROUND(J512*$C512/100*J504,0)</f>
        <v>0</v>
      </c>
      <c r="M512" s="2"/>
      <c r="N512" s="336" t="str">
        <f>N500</f>
        <v xml:space="preserve"> </v>
      </c>
      <c r="O512" s="323" t="s">
        <v>374</v>
      </c>
      <c r="P512" s="2">
        <f>ROUND(N512*$C512/100*N504,0)</f>
        <v>0</v>
      </c>
      <c r="Q512" s="2"/>
      <c r="R512" s="336">
        <f ca="1">R500</f>
        <v>11</v>
      </c>
      <c r="S512" s="323" t="s">
        <v>374</v>
      </c>
      <c r="T512" s="2">
        <f ca="1">ROUND(R512*$C512/100*R504,0)</f>
        <v>0</v>
      </c>
      <c r="U512" s="2"/>
      <c r="V512" s="336">
        <f ca="1">V500</f>
        <v>45</v>
      </c>
      <c r="W512" s="323" t="s">
        <v>374</v>
      </c>
      <c r="X512" s="2">
        <f ca="1">ROUND(V512*$C512/100*V504,0)</f>
        <v>0</v>
      </c>
      <c r="Y512" s="20"/>
      <c r="Z512" s="74"/>
      <c r="AA512" s="74"/>
      <c r="AB512" s="74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</row>
    <row r="513" spans="1:47" hidden="1">
      <c r="A513" s="1" t="s">
        <v>407</v>
      </c>
      <c r="B513" s="1"/>
      <c r="C513" s="319">
        <v>0</v>
      </c>
      <c r="D513" s="337">
        <v>60</v>
      </c>
      <c r="E513" s="321"/>
      <c r="F513" s="2">
        <f>ROUND(D513*$C513,0)</f>
        <v>0</v>
      </c>
      <c r="G513" s="337">
        <v>60</v>
      </c>
      <c r="H513" s="323"/>
      <c r="I513" s="2">
        <f>ROUND(G513*C513,0)</f>
        <v>0</v>
      </c>
      <c r="J513" s="337">
        <f>$J$197</f>
        <v>60</v>
      </c>
      <c r="K513" s="323"/>
      <c r="L513" s="2">
        <f>ROUND(J513*$C513,0)</f>
        <v>0</v>
      </c>
      <c r="M513" s="2"/>
      <c r="N513" s="326" t="s">
        <v>31</v>
      </c>
      <c r="O513" s="323"/>
      <c r="P513" s="2">
        <f>ROUND(N513*$C513,0)</f>
        <v>0</v>
      </c>
      <c r="Q513" s="2"/>
      <c r="R513" s="337">
        <f ca="1">R197</f>
        <v>11.86</v>
      </c>
      <c r="S513" s="323"/>
      <c r="T513" s="2">
        <f ca="1">ROUND(R513*$C513,0)</f>
        <v>0</v>
      </c>
      <c r="U513" s="2"/>
      <c r="V513" s="337">
        <f ca="1">V197</f>
        <v>48.14</v>
      </c>
      <c r="W513" s="323"/>
      <c r="X513" s="2">
        <f ca="1">ROUND(V513*$C513,0)</f>
        <v>0</v>
      </c>
      <c r="Y513" s="20"/>
      <c r="Z513" s="74"/>
      <c r="AA513" s="74"/>
      <c r="AB513" s="74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</row>
    <row r="514" spans="1:47" hidden="1">
      <c r="A514" s="1" t="s">
        <v>408</v>
      </c>
      <c r="B514" s="1"/>
      <c r="C514" s="319">
        <v>0</v>
      </c>
      <c r="D514" s="339">
        <v>-30</v>
      </c>
      <c r="E514" s="321" t="s">
        <v>374</v>
      </c>
      <c r="F514" s="2">
        <f>ROUND(D514*$C514/100,0)</f>
        <v>0</v>
      </c>
      <c r="G514" s="339">
        <v>-30</v>
      </c>
      <c r="H514" s="323" t="s">
        <v>374</v>
      </c>
      <c r="I514" s="2">
        <f>ROUND(G514*C514/100,0)</f>
        <v>0</v>
      </c>
      <c r="J514" s="339">
        <f>$J$198</f>
        <v>-30</v>
      </c>
      <c r="K514" s="323" t="s">
        <v>374</v>
      </c>
      <c r="L514" s="2">
        <f>ROUND(J514*$C514/100,0)</f>
        <v>0</v>
      </c>
      <c r="M514" s="2"/>
      <c r="N514" s="339">
        <f>$J$198</f>
        <v>-30</v>
      </c>
      <c r="O514" s="323" t="s">
        <v>374</v>
      </c>
      <c r="P514" s="2">
        <f>ROUND(N514*$C514/100,0)</f>
        <v>0</v>
      </c>
      <c r="Q514" s="2"/>
      <c r="R514" s="339">
        <v>0</v>
      </c>
      <c r="S514" s="323" t="s">
        <v>374</v>
      </c>
      <c r="T514" s="2">
        <f>ROUND(R514*$C514/100,0)</f>
        <v>0</v>
      </c>
      <c r="U514" s="2"/>
      <c r="V514" s="339">
        <v>0</v>
      </c>
      <c r="W514" s="323" t="s">
        <v>374</v>
      </c>
      <c r="X514" s="2">
        <f>ROUND(V514*$C514/100,0)</f>
        <v>0</v>
      </c>
      <c r="Y514" s="20"/>
      <c r="Z514" s="74"/>
      <c r="AA514" s="74"/>
      <c r="AB514" s="74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</row>
    <row r="515" spans="1:47" s="1184" customFormat="1" hidden="1">
      <c r="A515" s="1005" t="s">
        <v>918</v>
      </c>
      <c r="C515" s="1202">
        <f>C509</f>
        <v>0</v>
      </c>
      <c r="D515" s="269"/>
      <c r="E515" s="1185"/>
      <c r="F515" s="1203"/>
      <c r="G515" s="269"/>
      <c r="H515" s="1185"/>
      <c r="I515" s="1203"/>
      <c r="J515" s="1230">
        <f>J182</f>
        <v>4.5289999999999999</v>
      </c>
      <c r="K515" s="1009" t="s">
        <v>374</v>
      </c>
      <c r="L515" s="2">
        <f>ROUND(J515*$C515/100*J504,0)</f>
        <v>0</v>
      </c>
      <c r="M515" s="2"/>
      <c r="N515" s="1230" t="str">
        <f>N182</f>
        <v xml:space="preserve"> </v>
      </c>
      <c r="O515" s="1009" t="s">
        <v>374</v>
      </c>
      <c r="P515" s="2">
        <f>ROUND(N515*$C515/100*N504,0)</f>
        <v>0</v>
      </c>
      <c r="Q515" s="2"/>
      <c r="R515" s="1230" t="str">
        <f>R182</f>
        <v xml:space="preserve"> </v>
      </c>
      <c r="S515" s="1009" t="s">
        <v>374</v>
      </c>
      <c r="T515" s="2">
        <f>ROUND(R515*$C515/100*R504,0)</f>
        <v>0</v>
      </c>
      <c r="U515" s="2"/>
      <c r="V515" s="1230">
        <f>V182</f>
        <v>4.5289999999999999</v>
      </c>
      <c r="W515" s="1009" t="s">
        <v>374</v>
      </c>
      <c r="X515" s="2">
        <f>ROUND(V515*$C515/100*V504,0)</f>
        <v>0</v>
      </c>
      <c r="Z515" s="815"/>
      <c r="AC515" s="1205"/>
      <c r="AD515" s="1205"/>
      <c r="AI515" s="1185"/>
      <c r="AJ515" s="1185"/>
      <c r="AK515" s="1185"/>
      <c r="AL515" s="1185"/>
      <c r="AM515" s="1185"/>
      <c r="AN515" s="1185"/>
      <c r="AO515" s="1185"/>
      <c r="AP515" s="1185"/>
      <c r="AQ515" s="1185"/>
      <c r="AR515" s="1185"/>
      <c r="AS515" s="1185"/>
      <c r="AU515" s="1204"/>
    </row>
    <row r="516" spans="1:47" s="1184" customFormat="1" hidden="1">
      <c r="A516" s="1005" t="s">
        <v>919</v>
      </c>
      <c r="C516" s="1202">
        <f t="shared" ref="C516:C517" si="174">C510</f>
        <v>0</v>
      </c>
      <c r="D516" s="269"/>
      <c r="E516" s="1185"/>
      <c r="F516" s="1203"/>
      <c r="G516" s="269"/>
      <c r="H516" s="1185"/>
      <c r="I516" s="1203"/>
      <c r="J516" s="1230">
        <f>J183</f>
        <v>3.1270000000000002</v>
      </c>
      <c r="K516" s="1009" t="s">
        <v>374</v>
      </c>
      <c r="L516" s="2">
        <f>ROUND(J516*$C516/100*J504,0)</f>
        <v>0</v>
      </c>
      <c r="M516" s="2"/>
      <c r="N516" s="1230" t="str">
        <f>N183</f>
        <v xml:space="preserve"> </v>
      </c>
      <c r="O516" s="1009" t="s">
        <v>374</v>
      </c>
      <c r="P516" s="2">
        <f>ROUND(N516*$C516/100*N504,0)</f>
        <v>0</v>
      </c>
      <c r="Q516" s="2"/>
      <c r="R516" s="1230" t="str">
        <f>R183</f>
        <v xml:space="preserve"> </v>
      </c>
      <c r="S516" s="1009" t="s">
        <v>374</v>
      </c>
      <c r="T516" s="2">
        <f>ROUND(R516*$C516/100*R504,0)</f>
        <v>0</v>
      </c>
      <c r="U516" s="2"/>
      <c r="V516" s="1230">
        <f>V183</f>
        <v>3.1270000000000002</v>
      </c>
      <c r="W516" s="1009" t="s">
        <v>374</v>
      </c>
      <c r="X516" s="2">
        <f>ROUND(V516*$C516/100*V504,0)</f>
        <v>0</v>
      </c>
      <c r="Z516" s="815"/>
      <c r="AC516" s="1205"/>
      <c r="AD516" s="1205"/>
      <c r="AI516" s="1185"/>
      <c r="AJ516" s="1185"/>
      <c r="AK516" s="1185"/>
      <c r="AL516" s="1185"/>
      <c r="AM516" s="1185"/>
      <c r="AN516" s="1185"/>
      <c r="AO516" s="1185"/>
      <c r="AP516" s="1185"/>
      <c r="AQ516" s="1185"/>
      <c r="AR516" s="1185"/>
      <c r="AS516" s="1185"/>
      <c r="AU516" s="1204"/>
    </row>
    <row r="517" spans="1:47" s="1184" customFormat="1" hidden="1">
      <c r="A517" s="1005" t="s">
        <v>920</v>
      </c>
      <c r="C517" s="1202">
        <f t="shared" si="174"/>
        <v>0</v>
      </c>
      <c r="D517" s="269"/>
      <c r="E517" s="1185"/>
      <c r="F517" s="1203"/>
      <c r="G517" s="269"/>
      <c r="H517" s="1185"/>
      <c r="I517" s="1203"/>
      <c r="J517" s="1230">
        <f>J184</f>
        <v>2.6950000000000003</v>
      </c>
      <c r="K517" s="1009" t="s">
        <v>374</v>
      </c>
      <c r="L517" s="2">
        <f>ROUND(J517*$C517/100*J504,0)</f>
        <v>0</v>
      </c>
      <c r="M517" s="2"/>
      <c r="N517" s="1230" t="str">
        <f>N184</f>
        <v xml:space="preserve"> </v>
      </c>
      <c r="O517" s="1009" t="s">
        <v>374</v>
      </c>
      <c r="P517" s="2">
        <f>ROUND(N517*$C517/100*N504,0)</f>
        <v>0</v>
      </c>
      <c r="Q517" s="2"/>
      <c r="R517" s="1230" t="str">
        <f>R184</f>
        <v xml:space="preserve"> </v>
      </c>
      <c r="S517" s="1009" t="s">
        <v>374</v>
      </c>
      <c r="T517" s="2">
        <f>ROUND(R517*$C517/100*R504,0)</f>
        <v>0</v>
      </c>
      <c r="U517" s="2"/>
      <c r="V517" s="1230">
        <f>V184</f>
        <v>2.6950000000000003</v>
      </c>
      <c r="W517" s="1009" t="s">
        <v>374</v>
      </c>
      <c r="X517" s="2">
        <f>ROUND(V517*$C517/100*V504,0)</f>
        <v>0</v>
      </c>
      <c r="Z517" s="815"/>
      <c r="AC517" s="1205"/>
      <c r="AD517" s="1205"/>
      <c r="AI517" s="1185"/>
      <c r="AJ517" s="1185"/>
      <c r="AK517" s="1185"/>
      <c r="AL517" s="1185"/>
      <c r="AM517" s="1185"/>
      <c r="AN517" s="1185"/>
      <c r="AO517" s="1185"/>
      <c r="AP517" s="1185"/>
      <c r="AQ517" s="1185"/>
      <c r="AR517" s="1185"/>
      <c r="AS517" s="1185"/>
      <c r="AU517" s="1204"/>
    </row>
    <row r="518" spans="1:47" hidden="1">
      <c r="A518" s="1" t="s">
        <v>381</v>
      </c>
      <c r="B518" s="1"/>
      <c r="C518" s="319">
        <f>SUM(C497:C499)</f>
        <v>460453</v>
      </c>
      <c r="D518" s="330"/>
      <c r="E518" s="2"/>
      <c r="F518" s="2">
        <f>SUM(F491:F514)</f>
        <v>113756</v>
      </c>
      <c r="G518" s="330"/>
      <c r="H518" s="323"/>
      <c r="I518" s="2">
        <f>SUM(I491:I514)</f>
        <v>117644</v>
      </c>
      <c r="J518" s="330"/>
      <c r="K518" s="323"/>
      <c r="L518" s="2">
        <f ca="1">SUM(L491:L517)</f>
        <v>125841</v>
      </c>
      <c r="M518" s="2"/>
      <c r="N518" s="330"/>
      <c r="O518" s="323"/>
      <c r="P518" s="2">
        <f ca="1">SUM(P491:P517)</f>
        <v>66620</v>
      </c>
      <c r="Q518" s="2"/>
      <c r="R518" s="330"/>
      <c r="S518" s="323"/>
      <c r="T518" s="2">
        <f ca="1">SUM(T491:T517)</f>
        <v>15496</v>
      </c>
      <c r="U518" s="2"/>
      <c r="V518" s="330"/>
      <c r="W518" s="323"/>
      <c r="X518" s="2">
        <f ca="1">SUM(X491:X517)</f>
        <v>43724</v>
      </c>
      <c r="Y518" s="20"/>
      <c r="Z518" s="74"/>
      <c r="AA518" s="74"/>
      <c r="AB518" s="74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</row>
    <row r="519" spans="1:47" hidden="1">
      <c r="A519" s="1" t="s">
        <v>363</v>
      </c>
      <c r="B519" s="1"/>
      <c r="C519" s="349">
        <f>'Table 2'!H43</f>
        <v>-1302.4656054484105</v>
      </c>
      <c r="D519" s="309"/>
      <c r="E519" s="309"/>
      <c r="F519" s="341">
        <f>I519</f>
        <v>-281.50082946927245</v>
      </c>
      <c r="G519" s="309"/>
      <c r="H519" s="309"/>
      <c r="I519" s="341">
        <f>'Table 3'!E43</f>
        <v>-281.50082946927245</v>
      </c>
      <c r="J519" s="309"/>
      <c r="K519" s="309"/>
      <c r="L519" s="341">
        <f>I519</f>
        <v>-281.50082946927245</v>
      </c>
      <c r="M519" s="322"/>
      <c r="N519" s="309"/>
      <c r="O519" s="309"/>
      <c r="P519" s="341">
        <f ca="1">$L$519*Y207/($Y$207+$Z$207+$AA$207)</f>
        <v>-55.492653361237451</v>
      </c>
      <c r="Q519" s="51"/>
      <c r="R519" s="309"/>
      <c r="S519" s="309"/>
      <c r="T519" s="341">
        <f ca="1">$L$519*Z207/($Y$207+$Z$207+$AA$207)</f>
        <v>-44.689265866698079</v>
      </c>
      <c r="U519" s="51"/>
      <c r="V519" s="309"/>
      <c r="W519" s="309"/>
      <c r="X519" s="341">
        <f ca="1">$L$519*AA207/($Y$207+$Z$207+$AA$207)</f>
        <v>-181.31891024133694</v>
      </c>
      <c r="Y519" s="444"/>
      <c r="Z519" s="287"/>
      <c r="AA519" s="74"/>
      <c r="AB519" s="74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</row>
    <row r="520" spans="1:47" ht="16.5" hidden="1" thickBot="1">
      <c r="A520" s="1" t="s">
        <v>382</v>
      </c>
      <c r="B520" s="1"/>
      <c r="C520" s="311">
        <f>SUM(C518:C519)</f>
        <v>459150.53439455159</v>
      </c>
      <c r="D520" s="342"/>
      <c r="E520" s="343"/>
      <c r="F520" s="344">
        <f>F518+F519</f>
        <v>113474.49917053073</v>
      </c>
      <c r="G520" s="342"/>
      <c r="H520" s="345"/>
      <c r="I520" s="344">
        <f>I518+I519</f>
        <v>117362.49917053073</v>
      </c>
      <c r="J520" s="342"/>
      <c r="K520" s="345"/>
      <c r="L520" s="344">
        <f ca="1">L518+L519</f>
        <v>125559.49917053073</v>
      </c>
      <c r="M520" s="344"/>
      <c r="N520" s="342"/>
      <c r="O520" s="345"/>
      <c r="P520" s="344">
        <f ca="1">P518+P519</f>
        <v>66564.507346638769</v>
      </c>
      <c r="Q520" s="344"/>
      <c r="R520" s="342"/>
      <c r="S520" s="345"/>
      <c r="T520" s="344">
        <f ca="1">T518+T519</f>
        <v>15451.310734133302</v>
      </c>
      <c r="U520" s="344"/>
      <c r="V520" s="342"/>
      <c r="W520" s="345"/>
      <c r="X520" s="344">
        <f ca="1">X518+X519</f>
        <v>43542.681089758662</v>
      </c>
      <c r="Y520" s="411"/>
      <c r="Z520" s="470"/>
      <c r="AA520" s="74"/>
      <c r="AB520" s="74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</row>
    <row r="521" spans="1:47" ht="16.5" hidden="1" thickTop="1">
      <c r="A521" s="1"/>
      <c r="B521" s="1"/>
      <c r="C521" s="21"/>
      <c r="D521" s="337" t="s">
        <v>31</v>
      </c>
      <c r="E521" s="2"/>
      <c r="F521" s="2"/>
      <c r="G521" s="337" t="s">
        <v>31</v>
      </c>
      <c r="H521" s="1"/>
      <c r="I521" s="2"/>
      <c r="J521" s="353" t="s">
        <v>31</v>
      </c>
      <c r="K521" s="1"/>
      <c r="L521" s="2" t="s">
        <v>31</v>
      </c>
      <c r="M521" s="2"/>
      <c r="N521" s="353" t="s">
        <v>31</v>
      </c>
      <c r="O521" s="1"/>
      <c r="P521" s="2" t="s">
        <v>31</v>
      </c>
      <c r="Q521" s="2"/>
      <c r="R521" s="353" t="s">
        <v>31</v>
      </c>
      <c r="S521" s="1"/>
      <c r="T521" s="2" t="s">
        <v>31</v>
      </c>
      <c r="U521" s="2"/>
      <c r="V521" s="353" t="s">
        <v>31</v>
      </c>
      <c r="W521" s="1"/>
      <c r="X521" s="2" t="s">
        <v>31</v>
      </c>
      <c r="Y521" s="20"/>
      <c r="Z521" s="74"/>
      <c r="AA521" s="74"/>
      <c r="AB521" s="74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</row>
    <row r="522" spans="1:47" hidden="1">
      <c r="A522" s="293" t="s">
        <v>417</v>
      </c>
      <c r="B522" s="1"/>
      <c r="C522" s="1"/>
      <c r="D522" s="2"/>
      <c r="E522" s="2"/>
      <c r="F522" s="1" t="s">
        <v>31</v>
      </c>
      <c r="G522" s="2"/>
      <c r="H522" s="1"/>
      <c r="I522" s="1"/>
      <c r="J522" s="2"/>
      <c r="K522" s="1"/>
      <c r="L522" s="1"/>
      <c r="M522" s="1"/>
      <c r="N522" s="2"/>
      <c r="O522" s="1"/>
      <c r="P522" s="1"/>
      <c r="Q522" s="1"/>
      <c r="R522" s="2"/>
      <c r="S522" s="1"/>
      <c r="T522" s="1"/>
      <c r="U522" s="1"/>
      <c r="V522" s="2"/>
      <c r="W522" s="1"/>
      <c r="X522" s="1"/>
      <c r="Y522" s="20"/>
      <c r="Z522" s="74"/>
      <c r="AA522" s="74"/>
      <c r="AB522" s="74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</row>
    <row r="523" spans="1:47" hidden="1">
      <c r="A523" s="1" t="s">
        <v>414</v>
      </c>
      <c r="B523" s="1"/>
      <c r="C523" s="1"/>
      <c r="D523" s="2"/>
      <c r="E523" s="2"/>
      <c r="F523" s="1"/>
      <c r="G523" s="2"/>
      <c r="H523" s="1"/>
      <c r="I523" s="1"/>
      <c r="J523" s="2"/>
      <c r="K523" s="1"/>
      <c r="L523" s="1"/>
      <c r="M523" s="1"/>
      <c r="N523" s="2"/>
      <c r="O523" s="1"/>
      <c r="P523" s="1"/>
      <c r="Q523" s="1"/>
      <c r="R523" s="2"/>
      <c r="S523" s="1"/>
      <c r="T523" s="1"/>
      <c r="U523" s="1"/>
      <c r="V523" s="2"/>
      <c r="W523" s="1"/>
      <c r="X523" s="1"/>
      <c r="Y523" s="20"/>
      <c r="Z523" s="74"/>
      <c r="AA523" s="74"/>
      <c r="AB523" s="74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</row>
    <row r="524" spans="1:47" hidden="1">
      <c r="A524" s="1" t="s">
        <v>418</v>
      </c>
      <c r="B524" s="1"/>
      <c r="C524" s="1"/>
      <c r="D524" s="2"/>
      <c r="E524" s="2"/>
      <c r="F524" s="1"/>
      <c r="G524" s="2"/>
      <c r="H524" s="1"/>
      <c r="I524" s="1"/>
      <c r="J524" s="2"/>
      <c r="K524" s="1"/>
      <c r="L524" s="1"/>
      <c r="M524" s="1"/>
      <c r="N524" s="2"/>
      <c r="O524" s="1"/>
      <c r="P524" s="1"/>
      <c r="Q524" s="1"/>
      <c r="R524" s="2"/>
      <c r="S524" s="1"/>
      <c r="T524" s="1"/>
      <c r="U524" s="1"/>
      <c r="V524" s="2"/>
      <c r="W524" s="1"/>
      <c r="X524" s="1"/>
      <c r="Y524" s="20"/>
      <c r="Z524" s="74"/>
      <c r="AA524" s="74"/>
      <c r="AB524" s="74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</row>
    <row r="525" spans="1:47" hidden="1">
      <c r="A525" s="1" t="s">
        <v>393</v>
      </c>
      <c r="B525" s="1"/>
      <c r="C525" s="319"/>
      <c r="D525" s="2"/>
      <c r="E525" s="2"/>
      <c r="F525" s="1"/>
      <c r="G525" s="2"/>
      <c r="H525" s="1"/>
      <c r="I525" s="1"/>
      <c r="J525" s="2"/>
      <c r="K525" s="1"/>
      <c r="L525" s="1"/>
      <c r="M525" s="1"/>
      <c r="N525" s="2"/>
      <c r="O525" s="1"/>
      <c r="P525" s="1"/>
      <c r="Q525" s="1"/>
      <c r="R525" s="2"/>
      <c r="S525" s="1"/>
      <c r="T525" s="1"/>
      <c r="U525" s="1"/>
      <c r="V525" s="2"/>
      <c r="W525" s="1"/>
      <c r="X525" s="1"/>
      <c r="Y525" s="20"/>
      <c r="Z525" s="74"/>
      <c r="AA525" s="74"/>
      <c r="AB525" s="74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</row>
    <row r="526" spans="1:47" hidden="1">
      <c r="A526" s="1" t="s">
        <v>390</v>
      </c>
      <c r="B526" s="1"/>
      <c r="C526" s="319">
        <v>0</v>
      </c>
      <c r="D526" s="298">
        <v>104.52000000000001</v>
      </c>
      <c r="E526" s="321"/>
      <c r="F526" s="2">
        <f>ROUND(D526*$C526,0)</f>
        <v>0</v>
      </c>
      <c r="G526" s="298">
        <v>104.52000000000001</v>
      </c>
      <c r="H526" s="323"/>
      <c r="I526" s="2">
        <f>ROUND(G526*$C526,0)</f>
        <v>0</v>
      </c>
      <c r="J526" s="298">
        <f>$J$168</f>
        <v>120</v>
      </c>
      <c r="K526" s="323"/>
      <c r="L526" s="2">
        <f>ROUND(J526*$C526,0)</f>
        <v>0</v>
      </c>
      <c r="M526" s="2"/>
      <c r="N526" s="298">
        <f>$N$168</f>
        <v>120</v>
      </c>
      <c r="O526" s="323"/>
      <c r="P526" s="2">
        <f>ROUND(N526*$C526,0)</f>
        <v>0</v>
      </c>
      <c r="Q526" s="2"/>
      <c r="R526" s="298" t="str">
        <f>$R$168</f>
        <v xml:space="preserve"> </v>
      </c>
      <c r="S526" s="323"/>
      <c r="T526" s="2">
        <f>ROUND(R526*$C526,0)</f>
        <v>0</v>
      </c>
      <c r="U526" s="2"/>
      <c r="V526" s="298" t="str">
        <f>$V$168</f>
        <v xml:space="preserve"> </v>
      </c>
      <c r="W526" s="323"/>
      <c r="X526" s="2">
        <f>ROUND(V526*$C526,0)</f>
        <v>0</v>
      </c>
      <c r="Y526" s="20"/>
      <c r="Z526" s="74"/>
      <c r="AA526" s="74"/>
      <c r="AB526" s="74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</row>
    <row r="527" spans="1:47" hidden="1">
      <c r="A527" s="1" t="s">
        <v>391</v>
      </c>
      <c r="B527" s="1"/>
      <c r="C527" s="319">
        <f>[49]Sheet1!$F$7</f>
        <v>1</v>
      </c>
      <c r="D527" s="298">
        <v>155.76</v>
      </c>
      <c r="E527" s="324"/>
      <c r="F527" s="2">
        <f>ROUND(D527*$C527,0)</f>
        <v>156</v>
      </c>
      <c r="G527" s="298">
        <v>155.76</v>
      </c>
      <c r="H527" s="325"/>
      <c r="I527" s="2">
        <f t="shared" ref="I527:I528" si="175">ROUND(G527*$C527,0)</f>
        <v>156</v>
      </c>
      <c r="J527" s="298">
        <f>$J$169</f>
        <v>180</v>
      </c>
      <c r="K527" s="325"/>
      <c r="L527" s="2">
        <f>ROUND(J527*$C527,0)</f>
        <v>180</v>
      </c>
      <c r="M527" s="2"/>
      <c r="N527" s="298">
        <f>$N$169</f>
        <v>180</v>
      </c>
      <c r="O527" s="325"/>
      <c r="P527" s="2">
        <f>ROUND(N527*$C527,0)</f>
        <v>180</v>
      </c>
      <c r="Q527" s="2"/>
      <c r="R527" s="298" t="str">
        <f>$R$169</f>
        <v xml:space="preserve"> </v>
      </c>
      <c r="S527" s="325"/>
      <c r="T527" s="2">
        <f>ROUND(R527*$C527,0)</f>
        <v>0</v>
      </c>
      <c r="U527" s="2"/>
      <c r="V527" s="298" t="str">
        <f>$V$169</f>
        <v xml:space="preserve"> </v>
      </c>
      <c r="W527" s="325"/>
      <c r="X527" s="2">
        <f>ROUND(V527*$C527,0)</f>
        <v>0</v>
      </c>
      <c r="Y527" s="20"/>
      <c r="Z527" s="74"/>
      <c r="AA527" s="74"/>
      <c r="AB527" s="74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</row>
    <row r="528" spans="1:47" hidden="1">
      <c r="A528" s="1" t="s">
        <v>392</v>
      </c>
      <c r="B528" s="1"/>
      <c r="C528" s="319">
        <f>[49]Sheet1!$G$7</f>
        <v>75</v>
      </c>
      <c r="D528" s="298">
        <v>11.040000000000001</v>
      </c>
      <c r="E528" s="324"/>
      <c r="F528" s="2">
        <f>ROUND(D528*$C528,0)</f>
        <v>828</v>
      </c>
      <c r="G528" s="298">
        <v>11.040000000000001</v>
      </c>
      <c r="H528" s="325"/>
      <c r="I528" s="2">
        <f t="shared" si="175"/>
        <v>828</v>
      </c>
      <c r="J528" s="298">
        <f>$J$170</f>
        <v>12</v>
      </c>
      <c r="K528" s="325"/>
      <c r="L528" s="2">
        <f>ROUND(J528*$C528,0)</f>
        <v>900</v>
      </c>
      <c r="M528" s="2"/>
      <c r="N528" s="298">
        <f>$N$170</f>
        <v>12</v>
      </c>
      <c r="O528" s="325"/>
      <c r="P528" s="2">
        <f>ROUND(N528*$C528,0)</f>
        <v>900</v>
      </c>
      <c r="Q528" s="2"/>
      <c r="R528" s="298" t="str">
        <f>$R$170</f>
        <v xml:space="preserve"> </v>
      </c>
      <c r="S528" s="325"/>
      <c r="T528" s="2">
        <f>ROUND(R528*$C528,0)</f>
        <v>0</v>
      </c>
      <c r="U528" s="2"/>
      <c r="V528" s="298" t="str">
        <f>$V$170</f>
        <v xml:space="preserve"> </v>
      </c>
      <c r="W528" s="325"/>
      <c r="X528" s="2">
        <f>ROUND(V528*$C528,0)</f>
        <v>0</v>
      </c>
      <c r="Y528" s="20"/>
      <c r="Z528" s="74"/>
      <c r="AA528" s="74"/>
      <c r="AB528" s="74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</row>
    <row r="529" spans="1:47" hidden="1">
      <c r="A529" s="1" t="s">
        <v>394</v>
      </c>
      <c r="B529" s="1"/>
      <c r="C529" s="319">
        <f>SUM(C526:C527)</f>
        <v>1</v>
      </c>
      <c r="D529" s="298"/>
      <c r="E529" s="321"/>
      <c r="F529" s="2"/>
      <c r="G529" s="298"/>
      <c r="H529" s="323"/>
      <c r="I529" s="2"/>
      <c r="J529" s="298"/>
      <c r="K529" s="323"/>
      <c r="L529" s="2"/>
      <c r="M529" s="2"/>
      <c r="N529" s="298"/>
      <c r="O529" s="323"/>
      <c r="P529" s="2"/>
      <c r="Q529" s="2"/>
      <c r="R529" s="298"/>
      <c r="S529" s="323"/>
      <c r="T529" s="2"/>
      <c r="U529" s="2"/>
      <c r="V529" s="298"/>
      <c r="W529" s="323"/>
      <c r="X529" s="2"/>
      <c r="Y529" s="20"/>
      <c r="Z529" s="74"/>
      <c r="AA529" s="74"/>
      <c r="AB529" s="74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</row>
    <row r="530" spans="1:47" hidden="1">
      <c r="A530" s="1" t="s">
        <v>419</v>
      </c>
      <c r="B530" s="1"/>
      <c r="C530" s="319">
        <f>[49]Sheet1!$E$7</f>
        <v>11.1766666666667</v>
      </c>
      <c r="D530" s="298"/>
      <c r="E530" s="321"/>
      <c r="F530" s="2"/>
      <c r="G530" s="298"/>
      <c r="H530" s="323"/>
      <c r="I530" s="2"/>
      <c r="J530" s="298"/>
      <c r="K530" s="323"/>
      <c r="L530" s="2"/>
      <c r="M530" s="2"/>
      <c r="N530" s="298"/>
      <c r="O530" s="323"/>
      <c r="P530" s="2"/>
      <c r="Q530" s="2"/>
      <c r="R530" s="298"/>
      <c r="S530" s="323"/>
      <c r="T530" s="2"/>
      <c r="U530" s="2"/>
      <c r="V530" s="298"/>
      <c r="W530" s="323"/>
      <c r="X530" s="2"/>
      <c r="Y530" s="20"/>
      <c r="Z530" s="74"/>
      <c r="AA530" s="74"/>
      <c r="AB530" s="74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</row>
    <row r="531" spans="1:47" hidden="1">
      <c r="A531" s="1" t="s">
        <v>395</v>
      </c>
      <c r="B531" s="1"/>
      <c r="C531" s="319">
        <f>[49]Sheet1!$L$7</f>
        <v>293</v>
      </c>
      <c r="D531" s="326">
        <v>3.4</v>
      </c>
      <c r="E531" s="323"/>
      <c r="F531" s="2">
        <f>ROUND(D531*$C531,0)</f>
        <v>996</v>
      </c>
      <c r="G531" s="326">
        <v>3.61</v>
      </c>
      <c r="H531" s="323"/>
      <c r="I531" s="2">
        <f>ROUND(G531*C531,0)</f>
        <v>1058</v>
      </c>
      <c r="J531" s="326">
        <f ca="1">$J$177</f>
        <v>3.77</v>
      </c>
      <c r="K531" s="323"/>
      <c r="L531" s="2">
        <f ca="1">ROUND(J531*$C531,0)</f>
        <v>1105</v>
      </c>
      <c r="M531" s="2"/>
      <c r="N531" s="326">
        <f ca="1">$N$177</f>
        <v>0.81</v>
      </c>
      <c r="O531" s="323"/>
      <c r="P531" s="2">
        <f ca="1">ROUND(N531*$C531,0)</f>
        <v>237</v>
      </c>
      <c r="Q531" s="2"/>
      <c r="R531" s="326">
        <f ca="1">$R$177</f>
        <v>1.06</v>
      </c>
      <c r="S531" s="323"/>
      <c r="T531" s="2">
        <f ca="1">ROUND(R531*$C531,0)</f>
        <v>311</v>
      </c>
      <c r="U531" s="2"/>
      <c r="V531" s="326">
        <f ca="1">$V$177</f>
        <v>1.9</v>
      </c>
      <c r="W531" s="323"/>
      <c r="X531" s="2">
        <f ca="1">ROUND(V531*$C531,0)</f>
        <v>557</v>
      </c>
      <c r="Y531" s="20"/>
      <c r="Z531" s="74"/>
      <c r="AA531" s="74"/>
      <c r="AB531" s="74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</row>
    <row r="532" spans="1:47" hidden="1">
      <c r="A532" s="1" t="s">
        <v>397</v>
      </c>
      <c r="B532" s="1"/>
      <c r="C532" s="319">
        <f>[49]Sheet1!$I$7</f>
        <v>6233</v>
      </c>
      <c r="D532" s="299">
        <v>9.766</v>
      </c>
      <c r="E532" s="323" t="s">
        <v>374</v>
      </c>
      <c r="F532" s="2">
        <f>ROUND(D532*$C532/100,0)</f>
        <v>609</v>
      </c>
      <c r="G532" s="299">
        <v>10.359</v>
      </c>
      <c r="H532" s="323" t="s">
        <v>374</v>
      </c>
      <c r="I532" s="2">
        <f>ROUND(G532*C532/100,0)</f>
        <v>646</v>
      </c>
      <c r="J532" s="299">
        <f ca="1">$J$178</f>
        <v>6.282</v>
      </c>
      <c r="K532" s="323" t="s">
        <v>374</v>
      </c>
      <c r="L532" s="2">
        <f ca="1">ROUND(J532*$C532/100,0)</f>
        <v>392</v>
      </c>
      <c r="M532" s="2"/>
      <c r="N532" s="299">
        <f ca="1">$N$178</f>
        <v>1.3483746810352102</v>
      </c>
      <c r="O532" s="323" t="s">
        <v>374</v>
      </c>
      <c r="P532" s="2">
        <f ca="1">ROUND(N532*$C532/100,0)</f>
        <v>84</v>
      </c>
      <c r="Q532" s="2"/>
      <c r="R532" s="299">
        <f ca="1">$R$178</f>
        <v>1.7708525176705459</v>
      </c>
      <c r="S532" s="323" t="s">
        <v>374</v>
      </c>
      <c r="T532" s="2">
        <f ca="1">ROUND(R532*$C532/100,0)</f>
        <v>110</v>
      </c>
      <c r="U532" s="2"/>
      <c r="V532" s="299">
        <f ca="1">$V$178</f>
        <v>3.162955363125258</v>
      </c>
      <c r="W532" s="323" t="s">
        <v>374</v>
      </c>
      <c r="X532" s="2">
        <f ca="1">ROUND(V532*$C532/100,0)</f>
        <v>197</v>
      </c>
      <c r="Y532" s="20"/>
      <c r="Z532" s="74"/>
      <c r="AA532" s="74"/>
      <c r="AB532" s="74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</row>
    <row r="533" spans="1:47" hidden="1">
      <c r="A533" s="1" t="s">
        <v>398</v>
      </c>
      <c r="B533" s="1"/>
      <c r="C533" s="319">
        <f>[49]Sheet1!$J$7</f>
        <v>3319</v>
      </c>
      <c r="D533" s="299">
        <v>6.7460000000000004</v>
      </c>
      <c r="E533" s="323" t="s">
        <v>374</v>
      </c>
      <c r="F533" s="2">
        <f>ROUND(D533*$C533/100,0)</f>
        <v>224</v>
      </c>
      <c r="G533" s="299">
        <v>7.1559999999999997</v>
      </c>
      <c r="H533" s="323" t="s">
        <v>374</v>
      </c>
      <c r="I533" s="2">
        <f t="shared" ref="I533:I535" si="176">ROUND(G533*C533/100,0)</f>
        <v>238</v>
      </c>
      <c r="J533" s="299">
        <f ca="1">$J$179</f>
        <v>4.3410000000000002</v>
      </c>
      <c r="K533" s="323" t="s">
        <v>374</v>
      </c>
      <c r="L533" s="2">
        <f ca="1">ROUND(J533*$C533/100,0)</f>
        <v>144</v>
      </c>
      <c r="M533" s="2"/>
      <c r="N533" s="299">
        <f ca="1">$N$179</f>
        <v>0.93175626548296309</v>
      </c>
      <c r="O533" s="323" t="s">
        <v>374</v>
      </c>
      <c r="P533" s="2">
        <f ca="1">ROUND(N533*$C533/100,0)</f>
        <v>31</v>
      </c>
      <c r="Q533" s="2"/>
      <c r="R533" s="299">
        <f ca="1">$R$179</f>
        <v>1.2240066282869231</v>
      </c>
      <c r="S533" s="323" t="s">
        <v>374</v>
      </c>
      <c r="T533" s="2">
        <f ca="1">ROUND(R533*$C533/100,0)</f>
        <v>41</v>
      </c>
      <c r="U533" s="2"/>
      <c r="V533" s="299">
        <f ca="1">$V$179</f>
        <v>2.1849800075654815</v>
      </c>
      <c r="W533" s="323" t="s">
        <v>374</v>
      </c>
      <c r="X533" s="2">
        <f ca="1">ROUND(V533*$C533/100,0)</f>
        <v>73</v>
      </c>
      <c r="Y533" s="20"/>
      <c r="Z533" s="74"/>
      <c r="AA533" s="74"/>
      <c r="AB533" s="74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</row>
    <row r="534" spans="1:47" hidden="1">
      <c r="A534" s="1" t="s">
        <v>399</v>
      </c>
      <c r="B534" s="1"/>
      <c r="C534" s="319">
        <v>0</v>
      </c>
      <c r="D534" s="299">
        <v>5.8120000000000003</v>
      </c>
      <c r="E534" s="323" t="s">
        <v>374</v>
      </c>
      <c r="F534" s="2">
        <f>ROUND(D534*$C534/100,0)</f>
        <v>0</v>
      </c>
      <c r="G534" s="299">
        <v>6.1660000000000004</v>
      </c>
      <c r="H534" s="323" t="s">
        <v>374</v>
      </c>
      <c r="I534" s="2">
        <f t="shared" si="176"/>
        <v>0</v>
      </c>
      <c r="J534" s="299">
        <f ca="1">$J$180</f>
        <v>3.74</v>
      </c>
      <c r="K534" s="323" t="s">
        <v>374</v>
      </c>
      <c r="L534" s="2">
        <f ca="1">ROUND(J534*$C534/100,0)</f>
        <v>0</v>
      </c>
      <c r="M534" s="2"/>
      <c r="N534" s="299">
        <f ca="1">$N$180</f>
        <v>0.80275718206159852</v>
      </c>
      <c r="O534" s="323" t="s">
        <v>374</v>
      </c>
      <c r="P534" s="2">
        <f ca="1">ROUND(N534*$C534/100,0)</f>
        <v>0</v>
      </c>
      <c r="Q534" s="2"/>
      <c r="R534" s="299">
        <f ca="1">$R$180</f>
        <v>1.0536847359511734</v>
      </c>
      <c r="S534" s="323" t="s">
        <v>374</v>
      </c>
      <c r="T534" s="2">
        <f ca="1">ROUND(R534*$C534/100,0)</f>
        <v>0</v>
      </c>
      <c r="U534" s="2"/>
      <c r="V534" s="299">
        <f ca="1">$V$180</f>
        <v>1.8834755557989509</v>
      </c>
      <c r="W534" s="323" t="s">
        <v>374</v>
      </c>
      <c r="X534" s="2">
        <f ca="1">ROUND(V534*$C534/100,0)</f>
        <v>0</v>
      </c>
      <c r="Y534" s="20"/>
      <c r="Z534" s="74"/>
      <c r="AA534" s="74"/>
      <c r="AB534" s="74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</row>
    <row r="535" spans="1:47" hidden="1">
      <c r="A535" s="1" t="s">
        <v>400</v>
      </c>
      <c r="B535" s="1"/>
      <c r="C535" s="319">
        <v>0</v>
      </c>
      <c r="D535" s="330">
        <v>56</v>
      </c>
      <c r="E535" s="321" t="s">
        <v>374</v>
      </c>
      <c r="F535" s="2">
        <f>ROUND(D535*$C535/100,0)</f>
        <v>0</v>
      </c>
      <c r="G535" s="330">
        <v>56</v>
      </c>
      <c r="H535" s="323" t="s">
        <v>374</v>
      </c>
      <c r="I535" s="2">
        <f t="shared" si="176"/>
        <v>0</v>
      </c>
      <c r="J535" s="330">
        <f>$J$181</f>
        <v>56</v>
      </c>
      <c r="K535" s="323" t="s">
        <v>374</v>
      </c>
      <c r="L535" s="2">
        <f>ROUND(J535*$C535/100,0)</f>
        <v>0</v>
      </c>
      <c r="M535" s="2"/>
      <c r="N535" s="330" t="str">
        <f>$N$181</f>
        <v xml:space="preserve"> </v>
      </c>
      <c r="O535" s="323" t="s">
        <v>374</v>
      </c>
      <c r="P535" s="2">
        <f>ROUND(N535*$C535/100,0)</f>
        <v>0</v>
      </c>
      <c r="Q535" s="2"/>
      <c r="R535" s="330">
        <f ca="1">$R$181</f>
        <v>11</v>
      </c>
      <c r="S535" s="323" t="s">
        <v>374</v>
      </c>
      <c r="T535" s="2">
        <f ca="1">ROUND(R535*$C535/100,0)</f>
        <v>0</v>
      </c>
      <c r="U535" s="2"/>
      <c r="V535" s="330">
        <f ca="1">$V$181</f>
        <v>45</v>
      </c>
      <c r="W535" s="323" t="s">
        <v>374</v>
      </c>
      <c r="X535" s="2">
        <f ca="1">ROUND(V535*$C535/100,0)</f>
        <v>0</v>
      </c>
      <c r="Y535" s="20"/>
      <c r="Z535" s="74"/>
      <c r="AA535" s="74"/>
      <c r="AB535" s="74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</row>
    <row r="536" spans="1:47" s="1184" customFormat="1" hidden="1">
      <c r="A536" s="1005" t="s">
        <v>918</v>
      </c>
      <c r="C536" s="1202">
        <f>C532</f>
        <v>6233</v>
      </c>
      <c r="D536" s="269"/>
      <c r="E536" s="1185"/>
      <c r="F536" s="1203"/>
      <c r="G536" s="269"/>
      <c r="H536" s="1185"/>
      <c r="I536" s="1203"/>
      <c r="J536" s="1230">
        <f>J182</f>
        <v>4.5289999999999999</v>
      </c>
      <c r="K536" s="1009" t="s">
        <v>374</v>
      </c>
      <c r="L536" s="1203">
        <f t="shared" ref="L536:L538" si="177">ROUND(J536*$C536/100,0)</f>
        <v>282</v>
      </c>
      <c r="M536" s="1203"/>
      <c r="N536" s="1230" t="str">
        <f>N182</f>
        <v xml:space="preserve"> </v>
      </c>
      <c r="O536" s="1009" t="s">
        <v>374</v>
      </c>
      <c r="P536" s="1203">
        <f t="shared" ref="P536:P538" si="178">ROUND(N536*$C536/100,0)</f>
        <v>0</v>
      </c>
      <c r="Q536" s="1203"/>
      <c r="R536" s="1230" t="str">
        <f>R182</f>
        <v xml:space="preserve"> </v>
      </c>
      <c r="S536" s="1009" t="s">
        <v>374</v>
      </c>
      <c r="T536" s="1203">
        <f t="shared" ref="T536:T538" si="179">ROUND(R536*$C536/100,0)</f>
        <v>0</v>
      </c>
      <c r="U536" s="1203"/>
      <c r="V536" s="1230">
        <f>V182</f>
        <v>4.5289999999999999</v>
      </c>
      <c r="W536" s="1009" t="s">
        <v>374</v>
      </c>
      <c r="X536" s="1203">
        <f t="shared" ref="X536:X538" si="180">ROUND(V536*$C536/100,0)</f>
        <v>282</v>
      </c>
      <c r="Z536" s="815"/>
      <c r="AC536" s="1205"/>
      <c r="AD536" s="1205"/>
      <c r="AI536" s="1185"/>
      <c r="AJ536" s="1185"/>
      <c r="AK536" s="1185"/>
      <c r="AL536" s="1185"/>
      <c r="AM536" s="1185"/>
      <c r="AN536" s="1185"/>
      <c r="AO536" s="1185"/>
      <c r="AP536" s="1185"/>
      <c r="AQ536" s="1185"/>
      <c r="AR536" s="1185"/>
      <c r="AS536" s="1185"/>
      <c r="AU536" s="1204"/>
    </row>
    <row r="537" spans="1:47" s="1184" customFormat="1" hidden="1">
      <c r="A537" s="1005" t="s">
        <v>919</v>
      </c>
      <c r="C537" s="1202">
        <f>C533</f>
        <v>3319</v>
      </c>
      <c r="D537" s="269"/>
      <c r="E537" s="1185"/>
      <c r="F537" s="1203"/>
      <c r="G537" s="269"/>
      <c r="H537" s="1185"/>
      <c r="I537" s="1203"/>
      <c r="J537" s="1230">
        <f>J183</f>
        <v>3.1270000000000002</v>
      </c>
      <c r="K537" s="1009" t="s">
        <v>374</v>
      </c>
      <c r="L537" s="1203">
        <f t="shared" si="177"/>
        <v>104</v>
      </c>
      <c r="M537" s="1203"/>
      <c r="N537" s="1230" t="str">
        <f>N183</f>
        <v xml:space="preserve"> </v>
      </c>
      <c r="O537" s="1009" t="s">
        <v>374</v>
      </c>
      <c r="P537" s="1203">
        <f t="shared" si="178"/>
        <v>0</v>
      </c>
      <c r="Q537" s="1203"/>
      <c r="R537" s="1230" t="str">
        <f>R183</f>
        <v xml:space="preserve"> </v>
      </c>
      <c r="S537" s="1009" t="s">
        <v>374</v>
      </c>
      <c r="T537" s="1203">
        <f t="shared" si="179"/>
        <v>0</v>
      </c>
      <c r="U537" s="1203"/>
      <c r="V537" s="1230">
        <f>V183</f>
        <v>3.1270000000000002</v>
      </c>
      <c r="W537" s="1009" t="s">
        <v>374</v>
      </c>
      <c r="X537" s="1203">
        <f t="shared" si="180"/>
        <v>104</v>
      </c>
      <c r="Z537" s="815"/>
      <c r="AC537" s="1205"/>
      <c r="AD537" s="1205"/>
      <c r="AI537" s="1185"/>
      <c r="AJ537" s="1185"/>
      <c r="AK537" s="1185"/>
      <c r="AL537" s="1185"/>
      <c r="AM537" s="1185"/>
      <c r="AN537" s="1185"/>
      <c r="AO537" s="1185"/>
      <c r="AP537" s="1185"/>
      <c r="AQ537" s="1185"/>
      <c r="AR537" s="1185"/>
      <c r="AS537" s="1185"/>
      <c r="AU537" s="1204"/>
    </row>
    <row r="538" spans="1:47" s="1184" customFormat="1" hidden="1">
      <c r="A538" s="1005" t="s">
        <v>920</v>
      </c>
      <c r="C538" s="1202">
        <f>C534</f>
        <v>0</v>
      </c>
      <c r="D538" s="269"/>
      <c r="E538" s="1185"/>
      <c r="F538" s="1203"/>
      <c r="G538" s="269"/>
      <c r="H538" s="1185"/>
      <c r="I538" s="1203"/>
      <c r="J538" s="1230">
        <f>J184</f>
        <v>2.6950000000000003</v>
      </c>
      <c r="K538" s="1009" t="s">
        <v>374</v>
      </c>
      <c r="L538" s="1203">
        <f t="shared" si="177"/>
        <v>0</v>
      </c>
      <c r="M538" s="1203"/>
      <c r="N538" s="1230" t="str">
        <f>N184</f>
        <v xml:space="preserve"> </v>
      </c>
      <c r="O538" s="1009" t="s">
        <v>374</v>
      </c>
      <c r="P538" s="1203">
        <f t="shared" si="178"/>
        <v>0</v>
      </c>
      <c r="Q538" s="1203"/>
      <c r="R538" s="1230" t="str">
        <f>R184</f>
        <v xml:space="preserve"> </v>
      </c>
      <c r="S538" s="1009" t="s">
        <v>374</v>
      </c>
      <c r="T538" s="1203">
        <f t="shared" si="179"/>
        <v>0</v>
      </c>
      <c r="U538" s="1203"/>
      <c r="V538" s="1230">
        <f>V184</f>
        <v>2.6950000000000003</v>
      </c>
      <c r="W538" s="1009" t="s">
        <v>374</v>
      </c>
      <c r="X538" s="1203">
        <f t="shared" si="180"/>
        <v>0</v>
      </c>
      <c r="Z538" s="815"/>
      <c r="AC538" s="1205"/>
      <c r="AD538" s="1205"/>
      <c r="AI538" s="1185"/>
      <c r="AJ538" s="1185"/>
      <c r="AK538" s="1185"/>
      <c r="AL538" s="1185"/>
      <c r="AM538" s="1185"/>
      <c r="AN538" s="1185"/>
      <c r="AO538" s="1185"/>
      <c r="AP538" s="1185"/>
      <c r="AQ538" s="1185"/>
      <c r="AR538" s="1185"/>
      <c r="AS538" s="1185"/>
      <c r="AU538" s="1204"/>
    </row>
    <row r="539" spans="1:47" hidden="1">
      <c r="A539" s="331" t="s">
        <v>401</v>
      </c>
      <c r="B539" s="1"/>
      <c r="C539" s="319"/>
      <c r="D539" s="332">
        <v>-0.01</v>
      </c>
      <c r="E539" s="321"/>
      <c r="F539" s="2"/>
      <c r="G539" s="332">
        <v>-0.01</v>
      </c>
      <c r="H539" s="323"/>
      <c r="I539" s="2"/>
      <c r="J539" s="332">
        <v>-0.01</v>
      </c>
      <c r="K539" s="323"/>
      <c r="L539" s="2"/>
      <c r="M539" s="2"/>
      <c r="N539" s="332">
        <v>-0.01</v>
      </c>
      <c r="O539" s="323"/>
      <c r="P539" s="2"/>
      <c r="Q539" s="2"/>
      <c r="R539" s="332">
        <v>-0.01</v>
      </c>
      <c r="S539" s="323"/>
      <c r="T539" s="2"/>
      <c r="U539" s="2"/>
      <c r="V539" s="332">
        <v>-0.01</v>
      </c>
      <c r="W539" s="323"/>
      <c r="X539" s="2"/>
      <c r="Y539" s="20"/>
      <c r="Z539" s="74"/>
      <c r="AA539" s="74"/>
      <c r="AB539" s="74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</row>
    <row r="540" spans="1:47" hidden="1">
      <c r="A540" s="1" t="s">
        <v>390</v>
      </c>
      <c r="B540" s="1"/>
      <c r="C540" s="319">
        <v>0</v>
      </c>
      <c r="D540" s="334">
        <v>104.52000000000001</v>
      </c>
      <c r="E540" s="321"/>
      <c r="F540" s="2">
        <f>-ROUND(D540*$C540/100,0)</f>
        <v>0</v>
      </c>
      <c r="G540" s="334">
        <v>104.52000000000001</v>
      </c>
      <c r="H540" s="321"/>
      <c r="I540" s="2">
        <f>-ROUND(G540*$C540/100,0)</f>
        <v>0</v>
      </c>
      <c r="J540" s="334">
        <f>J526</f>
        <v>120</v>
      </c>
      <c r="K540" s="321"/>
      <c r="L540" s="2">
        <f>-ROUND(J540*$C540/100,0)</f>
        <v>0</v>
      </c>
      <c r="M540" s="2"/>
      <c r="N540" s="334">
        <f>N526</f>
        <v>120</v>
      </c>
      <c r="O540" s="321"/>
      <c r="P540" s="2">
        <f>-ROUND(N540*$C540/100,0)</f>
        <v>0</v>
      </c>
      <c r="Q540" s="2"/>
      <c r="R540" s="334" t="str">
        <f>R526</f>
        <v xml:space="preserve"> </v>
      </c>
      <c r="S540" s="321"/>
      <c r="T540" s="2">
        <f>-ROUND(R540*$C540/100,0)</f>
        <v>0</v>
      </c>
      <c r="U540" s="2"/>
      <c r="V540" s="334" t="str">
        <f>V526</f>
        <v xml:space="preserve"> </v>
      </c>
      <c r="W540" s="321"/>
      <c r="X540" s="2">
        <f>-ROUND(V540*$C540/100,0)</f>
        <v>0</v>
      </c>
      <c r="Y540" s="20"/>
      <c r="Z540" s="74"/>
      <c r="AA540" s="74"/>
      <c r="AB540" s="74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</row>
    <row r="541" spans="1:47" hidden="1">
      <c r="A541" s="1" t="s">
        <v>391</v>
      </c>
      <c r="B541" s="1"/>
      <c r="C541" s="319">
        <v>0</v>
      </c>
      <c r="D541" s="334">
        <v>155.76</v>
      </c>
      <c r="E541" s="321"/>
      <c r="F541" s="2">
        <f>-ROUND(D541*$C541/100,0)</f>
        <v>0</v>
      </c>
      <c r="G541" s="334">
        <v>155.76</v>
      </c>
      <c r="H541" s="321"/>
      <c r="I541" s="2">
        <f t="shared" ref="I541:I543" si="181">-ROUND(G541*$C541/100,0)</f>
        <v>0</v>
      </c>
      <c r="J541" s="334">
        <f>J527</f>
        <v>180</v>
      </c>
      <c r="K541" s="321"/>
      <c r="L541" s="2">
        <f>-ROUND(J541*$C541/100,0)</f>
        <v>0</v>
      </c>
      <c r="M541" s="2"/>
      <c r="N541" s="334">
        <f>N527</f>
        <v>180</v>
      </c>
      <c r="O541" s="321"/>
      <c r="P541" s="2">
        <f>-ROUND(N541*$C541/100,0)</f>
        <v>0</v>
      </c>
      <c r="Q541" s="2"/>
      <c r="R541" s="334" t="str">
        <f>R527</f>
        <v xml:space="preserve"> </v>
      </c>
      <c r="S541" s="321"/>
      <c r="T541" s="2">
        <f>-ROUND(R541*$C541/100,0)</f>
        <v>0</v>
      </c>
      <c r="U541" s="2"/>
      <c r="V541" s="334" t="str">
        <f>V527</f>
        <v xml:space="preserve"> </v>
      </c>
      <c r="W541" s="321"/>
      <c r="X541" s="2">
        <f>-ROUND(V541*$C541/100,0)</f>
        <v>0</v>
      </c>
      <c r="Y541" s="20"/>
      <c r="Z541" s="74"/>
      <c r="AA541" s="74"/>
      <c r="AB541" s="74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</row>
    <row r="542" spans="1:47" hidden="1">
      <c r="A542" s="1" t="s">
        <v>402</v>
      </c>
      <c r="B542" s="1"/>
      <c r="C542" s="319">
        <v>0</v>
      </c>
      <c r="D542" s="334">
        <v>11.040000000000001</v>
      </c>
      <c r="E542" s="321"/>
      <c r="F542" s="2">
        <f>-ROUND(D542*$C542/100,0)</f>
        <v>0</v>
      </c>
      <c r="G542" s="334">
        <v>11.040000000000001</v>
      </c>
      <c r="H542" s="321"/>
      <c r="I542" s="2">
        <f t="shared" si="181"/>
        <v>0</v>
      </c>
      <c r="J542" s="334">
        <f>J528</f>
        <v>12</v>
      </c>
      <c r="K542" s="321"/>
      <c r="L542" s="2">
        <f>-ROUND(J542*$C542/100,0)</f>
        <v>0</v>
      </c>
      <c r="M542" s="2"/>
      <c r="N542" s="334">
        <f>N528</f>
        <v>12</v>
      </c>
      <c r="O542" s="321"/>
      <c r="P542" s="2">
        <f>-ROUND(N542*$C542/100,0)</f>
        <v>0</v>
      </c>
      <c r="Q542" s="2"/>
      <c r="R542" s="334" t="str">
        <f>R528</f>
        <v xml:space="preserve"> </v>
      </c>
      <c r="S542" s="321"/>
      <c r="T542" s="2">
        <f>-ROUND(R542*$C542/100,0)</f>
        <v>0</v>
      </c>
      <c r="U542" s="2"/>
      <c r="V542" s="334" t="str">
        <f>V528</f>
        <v xml:space="preserve"> </v>
      </c>
      <c r="W542" s="321"/>
      <c r="X542" s="2">
        <f>-ROUND(V542*$C542/100,0)</f>
        <v>0</v>
      </c>
      <c r="Y542" s="20"/>
      <c r="Z542" s="74"/>
      <c r="AA542" s="74"/>
      <c r="AB542" s="74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</row>
    <row r="543" spans="1:47" hidden="1">
      <c r="A543" s="1" t="s">
        <v>403</v>
      </c>
      <c r="B543" s="1"/>
      <c r="C543" s="319">
        <v>0</v>
      </c>
      <c r="D543" s="334">
        <v>3.4</v>
      </c>
      <c r="E543" s="323"/>
      <c r="F543" s="2">
        <f>-ROUND(D543*$C543/100,0)</f>
        <v>0</v>
      </c>
      <c r="G543" s="334">
        <v>3.61</v>
      </c>
      <c r="H543" s="323"/>
      <c r="I543" s="2">
        <f t="shared" si="181"/>
        <v>0</v>
      </c>
      <c r="J543" s="334">
        <f ca="1">J531</f>
        <v>3.77</v>
      </c>
      <c r="K543" s="323"/>
      <c r="L543" s="2">
        <f ca="1">-ROUND(J543*$C543/100,0)</f>
        <v>0</v>
      </c>
      <c r="M543" s="2"/>
      <c r="N543" s="334">
        <f ca="1">N531</f>
        <v>0.81</v>
      </c>
      <c r="O543" s="323"/>
      <c r="P543" s="2">
        <f ca="1">-ROUND(N543*$C543/100,0)</f>
        <v>0</v>
      </c>
      <c r="Q543" s="2"/>
      <c r="R543" s="334">
        <f ca="1">R531</f>
        <v>1.06</v>
      </c>
      <c r="S543" s="323"/>
      <c r="T543" s="2">
        <f ca="1">-ROUND(R543*$C543/100,0)</f>
        <v>0</v>
      </c>
      <c r="U543" s="2"/>
      <c r="V543" s="334">
        <f ca="1">V531</f>
        <v>1.9</v>
      </c>
      <c r="W543" s="323"/>
      <c r="X543" s="2">
        <f ca="1">-ROUND(V543*$C543/100,0)</f>
        <v>0</v>
      </c>
      <c r="Y543" s="20"/>
      <c r="Z543" s="74"/>
      <c r="AA543" s="74"/>
      <c r="AB543" s="74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</row>
    <row r="544" spans="1:47" hidden="1">
      <c r="A544" s="1" t="s">
        <v>405</v>
      </c>
      <c r="B544" s="1"/>
      <c r="C544" s="319">
        <v>0</v>
      </c>
      <c r="D544" s="335">
        <v>9.766</v>
      </c>
      <c r="E544" s="323" t="s">
        <v>374</v>
      </c>
      <c r="F544" s="2">
        <f>ROUND(D544*$C544/100*D539,0)</f>
        <v>0</v>
      </c>
      <c r="G544" s="335">
        <v>10.359</v>
      </c>
      <c r="H544" s="323" t="s">
        <v>374</v>
      </c>
      <c r="I544" s="2">
        <f>ROUND(G544*$C544/100*G539,0)</f>
        <v>0</v>
      </c>
      <c r="J544" s="335">
        <f ca="1">J532</f>
        <v>6.282</v>
      </c>
      <c r="K544" s="323" t="s">
        <v>374</v>
      </c>
      <c r="L544" s="2">
        <f ca="1">ROUND(J544*$C544/100*J539,0)</f>
        <v>0</v>
      </c>
      <c r="M544" s="2"/>
      <c r="N544" s="335">
        <f ca="1">N532</f>
        <v>1.3483746810352102</v>
      </c>
      <c r="O544" s="323" t="s">
        <v>374</v>
      </c>
      <c r="P544" s="2">
        <f ca="1">ROUND(N544*$C544/100*N539,0)</f>
        <v>0</v>
      </c>
      <c r="Q544" s="2"/>
      <c r="R544" s="335">
        <f ca="1">R532</f>
        <v>1.7708525176705459</v>
      </c>
      <c r="S544" s="323" t="s">
        <v>374</v>
      </c>
      <c r="T544" s="2">
        <f ca="1">ROUND(R544*$C544/100*R539,0)</f>
        <v>0</v>
      </c>
      <c r="U544" s="2"/>
      <c r="V544" s="335">
        <f ca="1">V532</f>
        <v>3.162955363125258</v>
      </c>
      <c r="W544" s="323" t="s">
        <v>374</v>
      </c>
      <c r="X544" s="2">
        <f ca="1">ROUND(V544*$C544/100*V539,0)</f>
        <v>0</v>
      </c>
      <c r="Y544" s="20"/>
      <c r="Z544" s="74"/>
      <c r="AA544" s="74"/>
      <c r="AB544" s="74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</row>
    <row r="545" spans="1:47" hidden="1">
      <c r="A545" s="1" t="s">
        <v>398</v>
      </c>
      <c r="B545" s="1"/>
      <c r="C545" s="319">
        <v>0</v>
      </c>
      <c r="D545" s="335">
        <v>6.7460000000000004</v>
      </c>
      <c r="E545" s="323" t="s">
        <v>374</v>
      </c>
      <c r="F545" s="2">
        <f>ROUND(D545*$C545/100*D539,0)</f>
        <v>0</v>
      </c>
      <c r="G545" s="335">
        <v>7.1559999999999997</v>
      </c>
      <c r="H545" s="323" t="s">
        <v>374</v>
      </c>
      <c r="I545" s="2">
        <f>ROUND(G545*$C545/100*G539,0)</f>
        <v>0</v>
      </c>
      <c r="J545" s="335">
        <f ca="1">J533</f>
        <v>4.3410000000000002</v>
      </c>
      <c r="K545" s="323" t="s">
        <v>374</v>
      </c>
      <c r="L545" s="2">
        <f ca="1">ROUND(J545*$C545/100*J539,0)</f>
        <v>0</v>
      </c>
      <c r="M545" s="2"/>
      <c r="N545" s="335">
        <f ca="1">N533</f>
        <v>0.93175626548296309</v>
      </c>
      <c r="O545" s="323" t="s">
        <v>374</v>
      </c>
      <c r="P545" s="2">
        <f ca="1">ROUND(N545*$C545/100*N539,0)</f>
        <v>0</v>
      </c>
      <c r="Q545" s="2"/>
      <c r="R545" s="335">
        <f ca="1">R533</f>
        <v>1.2240066282869231</v>
      </c>
      <c r="S545" s="323" t="s">
        <v>374</v>
      </c>
      <c r="T545" s="2">
        <f ca="1">ROUND(R545*$C545/100*R539,0)</f>
        <v>0</v>
      </c>
      <c r="U545" s="2"/>
      <c r="V545" s="335">
        <f ca="1">V533</f>
        <v>2.1849800075654815</v>
      </c>
      <c r="W545" s="323" t="s">
        <v>374</v>
      </c>
      <c r="X545" s="2">
        <f ca="1">ROUND(V545*$C545/100*V539,0)</f>
        <v>0</v>
      </c>
      <c r="Y545" s="20"/>
      <c r="Z545" s="74"/>
      <c r="AA545" s="74"/>
      <c r="AB545" s="74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</row>
    <row r="546" spans="1:47" hidden="1">
      <c r="A546" s="1" t="s">
        <v>399</v>
      </c>
      <c r="B546" s="1"/>
      <c r="C546" s="319">
        <v>0</v>
      </c>
      <c r="D546" s="335">
        <v>5.8120000000000003</v>
      </c>
      <c r="E546" s="323" t="s">
        <v>374</v>
      </c>
      <c r="F546" s="2">
        <f>ROUND(D546*$C546/100*D539,0)</f>
        <v>0</v>
      </c>
      <c r="G546" s="335">
        <v>6.1660000000000004</v>
      </c>
      <c r="H546" s="323" t="s">
        <v>374</v>
      </c>
      <c r="I546" s="2">
        <f>ROUND(G546*$C546/100*G539,0)</f>
        <v>0</v>
      </c>
      <c r="J546" s="335">
        <f ca="1">J534</f>
        <v>3.74</v>
      </c>
      <c r="K546" s="323" t="s">
        <v>374</v>
      </c>
      <c r="L546" s="2">
        <f ca="1">ROUND(J546*$C546/100*J539,0)</f>
        <v>0</v>
      </c>
      <c r="M546" s="2"/>
      <c r="N546" s="335">
        <f ca="1">N534</f>
        <v>0.80275718206159852</v>
      </c>
      <c r="O546" s="323" t="s">
        <v>374</v>
      </c>
      <c r="P546" s="2">
        <f ca="1">ROUND(N546*$C546/100*N539,0)</f>
        <v>0</v>
      </c>
      <c r="Q546" s="2"/>
      <c r="R546" s="335">
        <f ca="1">R534</f>
        <v>1.0536847359511734</v>
      </c>
      <c r="S546" s="323" t="s">
        <v>374</v>
      </c>
      <c r="T546" s="2">
        <f ca="1">ROUND(R546*$C546/100*R539,0)</f>
        <v>0</v>
      </c>
      <c r="U546" s="2"/>
      <c r="V546" s="335">
        <f ca="1">V534</f>
        <v>1.8834755557989509</v>
      </c>
      <c r="W546" s="323" t="s">
        <v>374</v>
      </c>
      <c r="X546" s="2">
        <f ca="1">ROUND(V546*$C546/100*V539,0)</f>
        <v>0</v>
      </c>
      <c r="Y546" s="20"/>
      <c r="Z546" s="74"/>
      <c r="AA546" s="74"/>
      <c r="AB546" s="74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</row>
    <row r="547" spans="1:47" hidden="1">
      <c r="A547" s="1" t="s">
        <v>400</v>
      </c>
      <c r="B547" s="1"/>
      <c r="C547" s="319">
        <v>0</v>
      </c>
      <c r="D547" s="336">
        <v>56</v>
      </c>
      <c r="E547" s="323" t="s">
        <v>374</v>
      </c>
      <c r="F547" s="2">
        <f>ROUND(D547*$C547/100*D539,0)</f>
        <v>0</v>
      </c>
      <c r="G547" s="336">
        <v>56</v>
      </c>
      <c r="H547" s="323" t="s">
        <v>374</v>
      </c>
      <c r="I547" s="2">
        <f>ROUND(G547*$C547/100*G539,0)</f>
        <v>0</v>
      </c>
      <c r="J547" s="336">
        <f>J535</f>
        <v>56</v>
      </c>
      <c r="K547" s="323" t="s">
        <v>374</v>
      </c>
      <c r="L547" s="2">
        <f>ROUND(J547*$C547/100*J539,0)</f>
        <v>0</v>
      </c>
      <c r="M547" s="2"/>
      <c r="N547" s="336" t="str">
        <f>N535</f>
        <v xml:space="preserve"> </v>
      </c>
      <c r="O547" s="323" t="s">
        <v>374</v>
      </c>
      <c r="P547" s="2">
        <f>ROUND(N547*$C547/100*N539,0)</f>
        <v>0</v>
      </c>
      <c r="Q547" s="2"/>
      <c r="R547" s="336">
        <f ca="1">R535</f>
        <v>11</v>
      </c>
      <c r="S547" s="323" t="s">
        <v>374</v>
      </c>
      <c r="T547" s="2">
        <f ca="1">ROUND(R547*$C547/100*R539,0)</f>
        <v>0</v>
      </c>
      <c r="U547" s="2"/>
      <c r="V547" s="336">
        <f ca="1">V535</f>
        <v>45</v>
      </c>
      <c r="W547" s="323" t="s">
        <v>374</v>
      </c>
      <c r="X547" s="2">
        <f ca="1">ROUND(V547*$C547/100*V539,0)</f>
        <v>0</v>
      </c>
      <c r="Y547" s="20"/>
      <c r="Z547" s="74"/>
      <c r="AA547" s="74"/>
      <c r="AB547" s="74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</row>
    <row r="548" spans="1:47" hidden="1">
      <c r="A548" s="1" t="s">
        <v>407</v>
      </c>
      <c r="B548" s="1"/>
      <c r="C548" s="319">
        <v>0</v>
      </c>
      <c r="D548" s="337">
        <v>60</v>
      </c>
      <c r="E548" s="321"/>
      <c r="F548" s="2">
        <f>ROUND(D548*$C548,0)</f>
        <v>0</v>
      </c>
      <c r="G548" s="337">
        <v>60</v>
      </c>
      <c r="H548" s="323"/>
      <c r="I548" s="2">
        <f>ROUND(G548*C548,0)</f>
        <v>0</v>
      </c>
      <c r="J548" s="337">
        <f>$J$197</f>
        <v>60</v>
      </c>
      <c r="K548" s="323"/>
      <c r="L548" s="2">
        <f>ROUND(J548*$C548,0)</f>
        <v>0</v>
      </c>
      <c r="M548" s="2"/>
      <c r="N548" s="337">
        <v>0</v>
      </c>
      <c r="O548" s="323"/>
      <c r="P548" s="2">
        <f>ROUND(N548*$C548,0)</f>
        <v>0</v>
      </c>
      <c r="Q548" s="2"/>
      <c r="R548" s="337">
        <f ca="1">R197</f>
        <v>11.86</v>
      </c>
      <c r="S548" s="323"/>
      <c r="T548" s="2">
        <f ca="1">ROUND(R548*$C548,0)</f>
        <v>0</v>
      </c>
      <c r="U548" s="2"/>
      <c r="V548" s="337">
        <f ca="1">V197</f>
        <v>48.14</v>
      </c>
      <c r="W548" s="323"/>
      <c r="X548" s="2">
        <f ca="1">ROUND(V548*$C548,0)</f>
        <v>0</v>
      </c>
      <c r="Y548" s="20"/>
      <c r="Z548" s="74"/>
      <c r="AA548" s="74"/>
      <c r="AB548" s="74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</row>
    <row r="549" spans="1:47" hidden="1">
      <c r="A549" s="1" t="s">
        <v>408</v>
      </c>
      <c r="B549" s="1"/>
      <c r="C549" s="319">
        <v>0</v>
      </c>
      <c r="D549" s="339">
        <v>-30</v>
      </c>
      <c r="E549" s="321" t="s">
        <v>374</v>
      </c>
      <c r="F549" s="2">
        <f>ROUND(D549*$C549/100,0)</f>
        <v>0</v>
      </c>
      <c r="G549" s="339">
        <v>-30</v>
      </c>
      <c r="H549" s="323" t="s">
        <v>374</v>
      </c>
      <c r="I549" s="2">
        <f>ROUND(G549*C549/100,0)</f>
        <v>0</v>
      </c>
      <c r="J549" s="339">
        <f>$J$198</f>
        <v>-30</v>
      </c>
      <c r="K549" s="323" t="s">
        <v>374</v>
      </c>
      <c r="L549" s="2">
        <f>ROUND(J549*$C549/100,0)</f>
        <v>0</v>
      </c>
      <c r="M549" s="2"/>
      <c r="N549" s="339">
        <f>$J$198</f>
        <v>-30</v>
      </c>
      <c r="O549" s="323" t="s">
        <v>374</v>
      </c>
      <c r="P549" s="2">
        <f>ROUND(N549*$C549/100,0)</f>
        <v>0</v>
      </c>
      <c r="Q549" s="2"/>
      <c r="R549" s="339">
        <v>0</v>
      </c>
      <c r="S549" s="323" t="s">
        <v>374</v>
      </c>
      <c r="T549" s="2">
        <f>ROUND(R549*$C549/100,0)</f>
        <v>0</v>
      </c>
      <c r="U549" s="2"/>
      <c r="V549" s="339">
        <v>0</v>
      </c>
      <c r="W549" s="323" t="s">
        <v>374</v>
      </c>
      <c r="X549" s="2">
        <f>ROUND(V549*$C549/100,0)</f>
        <v>0</v>
      </c>
      <c r="Y549" s="20"/>
      <c r="Z549" s="74"/>
      <c r="AA549" s="74"/>
      <c r="AB549" s="74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</row>
    <row r="550" spans="1:47" s="1184" customFormat="1" hidden="1">
      <c r="A550" s="1005" t="s">
        <v>918</v>
      </c>
      <c r="C550" s="1202">
        <f>C544</f>
        <v>0</v>
      </c>
      <c r="D550" s="269"/>
      <c r="E550" s="1185"/>
      <c r="F550" s="1203"/>
      <c r="G550" s="269"/>
      <c r="H550" s="1185"/>
      <c r="I550" s="1203"/>
      <c r="J550" s="1230">
        <f>J182</f>
        <v>4.5289999999999999</v>
      </c>
      <c r="K550" s="1009" t="s">
        <v>374</v>
      </c>
      <c r="L550" s="2">
        <f>ROUND(J550*$C550/100*J539,0)</f>
        <v>0</v>
      </c>
      <c r="M550" s="2"/>
      <c r="N550" s="1230" t="str">
        <f>N182</f>
        <v xml:space="preserve"> </v>
      </c>
      <c r="O550" s="1009" t="s">
        <v>374</v>
      </c>
      <c r="P550" s="2">
        <f>ROUND(N550*$C550/100*N539,0)</f>
        <v>0</v>
      </c>
      <c r="Q550" s="2"/>
      <c r="R550" s="1230" t="str">
        <f>R182</f>
        <v xml:space="preserve"> </v>
      </c>
      <c r="S550" s="1009" t="s">
        <v>374</v>
      </c>
      <c r="T550" s="2">
        <f>ROUND(R550*$C550/100*R539,0)</f>
        <v>0</v>
      </c>
      <c r="U550" s="2"/>
      <c r="V550" s="1230">
        <f>V182</f>
        <v>4.5289999999999999</v>
      </c>
      <c r="W550" s="1009" t="s">
        <v>374</v>
      </c>
      <c r="X550" s="2">
        <f>ROUND(V550*$C550/100*V539,0)</f>
        <v>0</v>
      </c>
      <c r="Z550" s="815"/>
      <c r="AC550" s="1205"/>
      <c r="AD550" s="1205"/>
      <c r="AI550" s="1185"/>
      <c r="AJ550" s="1185"/>
      <c r="AK550" s="1185"/>
      <c r="AL550" s="1185"/>
      <c r="AM550" s="1185"/>
      <c r="AN550" s="1185"/>
      <c r="AO550" s="1185"/>
      <c r="AP550" s="1185"/>
      <c r="AQ550" s="1185"/>
      <c r="AR550" s="1185"/>
      <c r="AS550" s="1185"/>
      <c r="AU550" s="1204"/>
    </row>
    <row r="551" spans="1:47" s="1184" customFormat="1" hidden="1">
      <c r="A551" s="1005" t="s">
        <v>919</v>
      </c>
      <c r="C551" s="1202">
        <f>C545</f>
        <v>0</v>
      </c>
      <c r="D551" s="269"/>
      <c r="E551" s="1185"/>
      <c r="F551" s="1203"/>
      <c r="G551" s="269"/>
      <c r="H551" s="1185"/>
      <c r="I551" s="1203"/>
      <c r="J551" s="1230">
        <f>J183</f>
        <v>3.1270000000000002</v>
      </c>
      <c r="K551" s="1009" t="s">
        <v>374</v>
      </c>
      <c r="L551" s="2">
        <f>ROUND(J551*$C551/100*J539,0)</f>
        <v>0</v>
      </c>
      <c r="M551" s="2"/>
      <c r="N551" s="1230" t="str">
        <f>N183</f>
        <v xml:space="preserve"> </v>
      </c>
      <c r="O551" s="1009" t="s">
        <v>374</v>
      </c>
      <c r="P551" s="2">
        <f>ROUND(N551*$C551/100*N539,0)</f>
        <v>0</v>
      </c>
      <c r="Q551" s="2"/>
      <c r="R551" s="1230" t="str">
        <f>R183</f>
        <v xml:space="preserve"> </v>
      </c>
      <c r="S551" s="1009" t="s">
        <v>374</v>
      </c>
      <c r="T551" s="2">
        <f>ROUND(R551*$C551/100*R539,0)</f>
        <v>0</v>
      </c>
      <c r="U551" s="2"/>
      <c r="V551" s="1230">
        <f>V183</f>
        <v>3.1270000000000002</v>
      </c>
      <c r="W551" s="1009" t="s">
        <v>374</v>
      </c>
      <c r="X551" s="2">
        <f>ROUND(V551*$C551/100*V539,0)</f>
        <v>0</v>
      </c>
      <c r="Z551" s="815"/>
      <c r="AC551" s="1205"/>
      <c r="AD551" s="1205"/>
      <c r="AI551" s="1185"/>
      <c r="AJ551" s="1185"/>
      <c r="AK551" s="1185"/>
      <c r="AL551" s="1185"/>
      <c r="AM551" s="1185"/>
      <c r="AN551" s="1185"/>
      <c r="AO551" s="1185"/>
      <c r="AP551" s="1185"/>
      <c r="AQ551" s="1185"/>
      <c r="AR551" s="1185"/>
      <c r="AS551" s="1185"/>
      <c r="AU551" s="1204"/>
    </row>
    <row r="552" spans="1:47" s="1184" customFormat="1" hidden="1">
      <c r="A552" s="1005" t="s">
        <v>920</v>
      </c>
      <c r="C552" s="1202">
        <f>C546</f>
        <v>0</v>
      </c>
      <c r="D552" s="269"/>
      <c r="E552" s="1185"/>
      <c r="F552" s="1203"/>
      <c r="G552" s="269"/>
      <c r="H552" s="1185"/>
      <c r="I552" s="1203"/>
      <c r="J552" s="1230">
        <f>J184</f>
        <v>2.6950000000000003</v>
      </c>
      <c r="K552" s="1009" t="s">
        <v>374</v>
      </c>
      <c r="L552" s="2">
        <f>ROUND(J552*$C552/100*J539,0)</f>
        <v>0</v>
      </c>
      <c r="M552" s="2"/>
      <c r="N552" s="1230" t="str">
        <f>N184</f>
        <v xml:space="preserve"> </v>
      </c>
      <c r="O552" s="1009" t="s">
        <v>374</v>
      </c>
      <c r="P552" s="2">
        <f>ROUND(N552*$C552/100*N539,0)</f>
        <v>0</v>
      </c>
      <c r="Q552" s="2"/>
      <c r="R552" s="1230" t="str">
        <f>R184</f>
        <v xml:space="preserve"> </v>
      </c>
      <c r="S552" s="1009" t="s">
        <v>374</v>
      </c>
      <c r="T552" s="2">
        <f>ROUND(R552*$C552/100*R539,0)</f>
        <v>0</v>
      </c>
      <c r="U552" s="2"/>
      <c r="V552" s="1230">
        <f>V184</f>
        <v>2.6950000000000003</v>
      </c>
      <c r="W552" s="1009" t="s">
        <v>374</v>
      </c>
      <c r="X552" s="2">
        <f>ROUND(V552*$C552/100*V539,0)</f>
        <v>0</v>
      </c>
      <c r="Z552" s="815"/>
      <c r="AC552" s="1205"/>
      <c r="AD552" s="1205"/>
      <c r="AI552" s="1185"/>
      <c r="AJ552" s="1185"/>
      <c r="AK552" s="1185"/>
      <c r="AL552" s="1185"/>
      <c r="AM552" s="1185"/>
      <c r="AN552" s="1185"/>
      <c r="AO552" s="1185"/>
      <c r="AP552" s="1185"/>
      <c r="AQ552" s="1185"/>
      <c r="AR552" s="1185"/>
      <c r="AS552" s="1185"/>
      <c r="AU552" s="1204"/>
    </row>
    <row r="553" spans="1:47" hidden="1">
      <c r="A553" s="1" t="s">
        <v>381</v>
      </c>
      <c r="B553" s="1"/>
      <c r="C553" s="319">
        <f>SUM(C532:C534)</f>
        <v>9552</v>
      </c>
      <c r="D553" s="330"/>
      <c r="E553" s="2"/>
      <c r="F553" s="2">
        <f>SUM(F526:F549)</f>
        <v>2813</v>
      </c>
      <c r="G553" s="330"/>
      <c r="H553" s="323"/>
      <c r="I553" s="2">
        <f>SUM(I526:I549)</f>
        <v>2926</v>
      </c>
      <c r="J553" s="330"/>
      <c r="K553" s="323"/>
      <c r="L553" s="2">
        <f ca="1">SUM(L526:L552)</f>
        <v>3107</v>
      </c>
      <c r="M553" s="2"/>
      <c r="N553" s="330"/>
      <c r="O553" s="323"/>
      <c r="P553" s="2">
        <f ca="1">SUM(P526:P552)</f>
        <v>1432</v>
      </c>
      <c r="Q553" s="2"/>
      <c r="R553" s="330"/>
      <c r="S553" s="323"/>
      <c r="T553" s="2">
        <f ca="1">SUM(T526:T552)</f>
        <v>462</v>
      </c>
      <c r="U553" s="2"/>
      <c r="V553" s="330"/>
      <c r="W553" s="323"/>
      <c r="X553" s="2">
        <f ca="1">SUM(X526:X552)</f>
        <v>1213</v>
      </c>
      <c r="Y553" s="20"/>
      <c r="Z553" s="74"/>
      <c r="AA553" s="74"/>
      <c r="AB553" s="74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</row>
    <row r="554" spans="1:47" hidden="1">
      <c r="A554" s="1" t="s">
        <v>363</v>
      </c>
      <c r="B554" s="1"/>
      <c r="C554" s="349">
        <f ca="1">'Table 2'!H73</f>
        <v>-152.99954160020027</v>
      </c>
      <c r="D554" s="309"/>
      <c r="E554" s="309"/>
      <c r="F554" s="341">
        <f ca="1">I554</f>
        <v>-61.346930189487033</v>
      </c>
      <c r="G554" s="309"/>
      <c r="H554" s="309"/>
      <c r="I554" s="341">
        <f ca="1">'Table 3'!E73</f>
        <v>-61.346930189487033</v>
      </c>
      <c r="J554" s="309"/>
      <c r="K554" s="309"/>
      <c r="L554" s="341">
        <f ca="1">I554</f>
        <v>-61.346930189487033</v>
      </c>
      <c r="M554" s="322"/>
      <c r="N554" s="309"/>
      <c r="O554" s="309"/>
      <c r="P554" s="341">
        <f ca="1">$L$554*Y207/($Y$207+$Z$207+$AA$207)</f>
        <v>-12.093406396704196</v>
      </c>
      <c r="Q554" s="51"/>
      <c r="R554" s="309"/>
      <c r="S554" s="309"/>
      <c r="T554" s="341">
        <f ca="1">$L$554*Z207/($Y$207+$Z$207+$AA$207)</f>
        <v>-9.7390450980643006</v>
      </c>
      <c r="U554" s="51"/>
      <c r="V554" s="309"/>
      <c r="W554" s="309"/>
      <c r="X554" s="341">
        <f ca="1">$L$554*AA207/($Y$207+$Z$207+$AA$207)</f>
        <v>-39.514478694718534</v>
      </c>
      <c r="Y554" s="444"/>
      <c r="Z554" s="287"/>
      <c r="AA554" s="74"/>
      <c r="AB554" s="74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</row>
    <row r="555" spans="1:47" ht="16.5" hidden="1" thickBot="1">
      <c r="A555" s="1" t="s">
        <v>382</v>
      </c>
      <c r="B555" s="1"/>
      <c r="C555" s="311">
        <f ca="1">SUM(C553:C554)</f>
        <v>9399.0004583997998</v>
      </c>
      <c r="D555" s="342"/>
      <c r="E555" s="343"/>
      <c r="F555" s="344">
        <f ca="1">F553+F554</f>
        <v>2751.653069810513</v>
      </c>
      <c r="G555" s="342"/>
      <c r="H555" s="345"/>
      <c r="I555" s="344">
        <f ca="1">I553+I554</f>
        <v>2864.653069810513</v>
      </c>
      <c r="J555" s="342"/>
      <c r="K555" s="345"/>
      <c r="L555" s="344">
        <f ca="1">L553+L554</f>
        <v>3045.653069810513</v>
      </c>
      <c r="M555" s="344"/>
      <c r="N555" s="342"/>
      <c r="O555" s="345"/>
      <c r="P555" s="344">
        <f ca="1">P553+P554</f>
        <v>1419.9065936032957</v>
      </c>
      <c r="Q555" s="344"/>
      <c r="R555" s="342"/>
      <c r="S555" s="345"/>
      <c r="T555" s="344">
        <f ca="1">T553+T554</f>
        <v>452.26095490193569</v>
      </c>
      <c r="U555" s="344"/>
      <c r="V555" s="342"/>
      <c r="W555" s="345"/>
      <c r="X555" s="344">
        <f ca="1">X553+X554</f>
        <v>1173.4855213052815</v>
      </c>
      <c r="Y555" s="411"/>
      <c r="Z555" s="470"/>
      <c r="AA555" s="74"/>
      <c r="AB555" s="74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</row>
    <row r="556" spans="1:47" ht="16.5" hidden="1" thickTop="1">
      <c r="A556" s="1"/>
      <c r="B556" s="1"/>
      <c r="C556" s="21"/>
      <c r="D556" s="337" t="s">
        <v>31</v>
      </c>
      <c r="E556" s="2"/>
      <c r="F556" s="2"/>
      <c r="G556" s="337" t="s">
        <v>31</v>
      </c>
      <c r="H556" s="1"/>
      <c r="I556" s="2"/>
      <c r="J556" s="353" t="s">
        <v>31</v>
      </c>
      <c r="K556" s="1"/>
      <c r="L556" s="2" t="s">
        <v>31</v>
      </c>
      <c r="M556" s="2"/>
      <c r="N556" s="353" t="s">
        <v>31</v>
      </c>
      <c r="O556" s="1"/>
      <c r="P556" s="2" t="s">
        <v>31</v>
      </c>
      <c r="Q556" s="2"/>
      <c r="R556" s="353" t="s">
        <v>31</v>
      </c>
      <c r="S556" s="1"/>
      <c r="T556" s="2" t="s">
        <v>31</v>
      </c>
      <c r="U556" s="2"/>
      <c r="V556" s="353" t="s">
        <v>31</v>
      </c>
      <c r="W556" s="1"/>
      <c r="X556" s="2" t="s">
        <v>31</v>
      </c>
      <c r="Y556" s="20"/>
      <c r="Z556" s="74"/>
      <c r="AA556" s="74"/>
      <c r="AB556" s="74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</row>
    <row r="557" spans="1:47">
      <c r="A557" s="293" t="s">
        <v>420</v>
      </c>
      <c r="B557" s="1"/>
      <c r="C557" s="354"/>
      <c r="D557" s="2"/>
      <c r="E557" s="2"/>
      <c r="F557" s="1"/>
      <c r="G557" s="2"/>
      <c r="H557" s="1"/>
      <c r="I557" s="1"/>
      <c r="J557" s="2"/>
      <c r="K557" s="1"/>
      <c r="L557" s="2" t="s">
        <v>31</v>
      </c>
      <c r="M557" s="2"/>
      <c r="N557" s="2"/>
      <c r="O557" s="1"/>
      <c r="P557" s="2" t="s">
        <v>31</v>
      </c>
      <c r="Q557" s="2"/>
      <c r="R557" s="2"/>
      <c r="S557" s="1"/>
      <c r="T557" s="2" t="s">
        <v>31</v>
      </c>
      <c r="U557" s="2"/>
      <c r="V557" s="2"/>
      <c r="W557" s="1"/>
      <c r="X557" s="2" t="s">
        <v>31</v>
      </c>
      <c r="Y557" s="20"/>
      <c r="Z557" s="74"/>
      <c r="AA557" s="74"/>
      <c r="AB557" s="74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</row>
    <row r="558" spans="1:47">
      <c r="A558" s="323" t="s">
        <v>335</v>
      </c>
      <c r="B558" s="1"/>
      <c r="C558" s="1" t="s">
        <v>31</v>
      </c>
      <c r="D558" s="2"/>
      <c r="E558" s="2"/>
      <c r="F558" s="1"/>
      <c r="G558" s="2"/>
      <c r="H558" s="1"/>
      <c r="I558" s="1"/>
      <c r="J558" s="2"/>
      <c r="K558" s="1"/>
      <c r="L558" s="1"/>
      <c r="M558" s="1"/>
      <c r="N558" s="2"/>
      <c r="O558" s="1"/>
      <c r="P558" s="1"/>
      <c r="Q558" s="1"/>
      <c r="R558" s="2"/>
      <c r="S558" s="1"/>
      <c r="T558" s="1"/>
      <c r="U558" s="1"/>
      <c r="V558" s="2"/>
      <c r="W558" s="1"/>
      <c r="X558" s="1"/>
      <c r="Y558" s="20"/>
      <c r="Z558" s="74"/>
      <c r="AA558" s="74"/>
      <c r="AB558" s="74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</row>
    <row r="559" spans="1:47">
      <c r="A559" s="323"/>
      <c r="B559" s="1"/>
      <c r="C559" s="1"/>
      <c r="D559" s="2"/>
      <c r="E559" s="2"/>
      <c r="F559" s="1"/>
      <c r="G559" s="2"/>
      <c r="H559" s="1"/>
      <c r="I559" s="1"/>
      <c r="J559" s="2"/>
      <c r="K559" s="1"/>
      <c r="L559" s="1"/>
      <c r="M559" s="1"/>
      <c r="N559" s="2"/>
      <c r="O559" s="1"/>
      <c r="P559" s="1"/>
      <c r="Q559" s="1"/>
      <c r="R559" s="2"/>
      <c r="S559" s="1"/>
      <c r="T559" s="1"/>
      <c r="U559" s="1"/>
      <c r="V559" s="2"/>
      <c r="W559" s="1"/>
      <c r="X559" s="1"/>
      <c r="Y559" s="20"/>
      <c r="Z559" s="74"/>
      <c r="AA559" s="74"/>
      <c r="AB559" s="74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</row>
    <row r="560" spans="1:47">
      <c r="A560" s="323" t="s">
        <v>393</v>
      </c>
      <c r="B560" s="1"/>
      <c r="C560" s="319"/>
      <c r="D560" s="2"/>
      <c r="E560" s="2"/>
      <c r="F560" s="1"/>
      <c r="G560" s="2"/>
      <c r="H560" s="1"/>
      <c r="I560" s="1"/>
      <c r="J560" s="2"/>
      <c r="K560" s="1"/>
      <c r="L560" s="1"/>
      <c r="M560" s="1"/>
      <c r="N560" s="2"/>
      <c r="O560" s="1"/>
      <c r="P560" s="1"/>
      <c r="Q560" s="1"/>
      <c r="R560" s="2"/>
      <c r="S560" s="1"/>
      <c r="T560" s="1"/>
      <c r="U560" s="1"/>
      <c r="V560" s="2"/>
      <c r="W560" s="1"/>
      <c r="X560" s="1"/>
      <c r="Y560" s="20"/>
      <c r="Z560" s="74"/>
      <c r="AA560" s="74"/>
      <c r="AB560" s="74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</row>
    <row r="561" spans="1:47">
      <c r="A561" s="323" t="s">
        <v>421</v>
      </c>
      <c r="B561" s="1"/>
      <c r="C561" s="319">
        <v>0</v>
      </c>
      <c r="D561" s="355">
        <v>259</v>
      </c>
      <c r="E561" s="323"/>
      <c r="F561" s="321">
        <f t="shared" ref="F561:F563" si="182">ROUND(D561*$C561,0)</f>
        <v>0</v>
      </c>
      <c r="G561" s="355">
        <v>259</v>
      </c>
      <c r="H561" s="323"/>
      <c r="I561" s="321">
        <f>ROUND(E561*$C561,0)</f>
        <v>0</v>
      </c>
      <c r="J561" s="355">
        <f>J602</f>
        <v>259</v>
      </c>
      <c r="K561" s="323"/>
      <c r="L561" s="321">
        <f>ROUND(J561*$C561,0)</f>
        <v>0</v>
      </c>
      <c r="M561" s="321"/>
      <c r="N561" s="355">
        <f>N602</f>
        <v>259</v>
      </c>
      <c r="O561" s="323"/>
      <c r="P561" s="321">
        <f>ROUND(N561*$C561,0)</f>
        <v>0</v>
      </c>
      <c r="Q561" s="321"/>
      <c r="R561" s="355" t="str">
        <f>R602</f>
        <v xml:space="preserve"> </v>
      </c>
      <c r="S561" s="323"/>
      <c r="T561" s="321">
        <f>ROUND(R561*$C561,0)</f>
        <v>0</v>
      </c>
      <c r="U561" s="321"/>
      <c r="V561" s="355" t="str">
        <f>V602</f>
        <v xml:space="preserve"> </v>
      </c>
      <c r="W561" s="323"/>
      <c r="X561" s="321">
        <f>ROUND(V561*$C561,0)</f>
        <v>0</v>
      </c>
      <c r="Y561" s="20"/>
      <c r="Z561" s="74"/>
      <c r="AA561" s="74"/>
      <c r="AB561" s="74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</row>
    <row r="562" spans="1:47">
      <c r="A562" s="323" t="s">
        <v>422</v>
      </c>
      <c r="B562" s="1"/>
      <c r="C562" s="319">
        <v>0</v>
      </c>
      <c r="D562" s="355">
        <v>96</v>
      </c>
      <c r="E562" s="323"/>
      <c r="F562" s="321">
        <f t="shared" si="182"/>
        <v>0</v>
      </c>
      <c r="G562" s="355">
        <v>96</v>
      </c>
      <c r="H562" s="323"/>
      <c r="I562" s="321">
        <f>ROUND(E562*$C562,0)</f>
        <v>0</v>
      </c>
      <c r="J562" s="355">
        <f t="shared" ref="J562:J568" si="183">J603</f>
        <v>96</v>
      </c>
      <c r="K562" s="323"/>
      <c r="L562" s="321">
        <f>ROUND(J562*$C562,0)</f>
        <v>0</v>
      </c>
      <c r="M562" s="321"/>
      <c r="N562" s="355">
        <f t="shared" ref="N562:N568" si="184">N603</f>
        <v>96</v>
      </c>
      <c r="O562" s="323"/>
      <c r="P562" s="321">
        <f>ROUND(N562*$C562,0)</f>
        <v>0</v>
      </c>
      <c r="Q562" s="321"/>
      <c r="R562" s="355" t="str">
        <f t="shared" ref="R562:R568" si="185">R603</f>
        <v xml:space="preserve"> </v>
      </c>
      <c r="S562" s="323"/>
      <c r="T562" s="321">
        <f>ROUND(R562*$C562,0)</f>
        <v>0</v>
      </c>
      <c r="U562" s="321"/>
      <c r="V562" s="355" t="str">
        <f t="shared" ref="V562:V568" si="186">V603</f>
        <v xml:space="preserve"> </v>
      </c>
      <c r="W562" s="323"/>
      <c r="X562" s="321">
        <f>ROUND(V562*$C562,0)</f>
        <v>0</v>
      </c>
      <c r="Y562" s="20"/>
      <c r="Z562" s="74"/>
      <c r="AA562" s="74"/>
      <c r="AB562" s="74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</row>
    <row r="563" spans="1:47">
      <c r="A563" s="323" t="s">
        <v>423</v>
      </c>
      <c r="B563" s="1"/>
      <c r="C563" s="319">
        <v>0</v>
      </c>
      <c r="D563" s="355">
        <v>192</v>
      </c>
      <c r="E563" s="325"/>
      <c r="F563" s="321">
        <f t="shared" si="182"/>
        <v>0</v>
      </c>
      <c r="G563" s="355">
        <v>192</v>
      </c>
      <c r="H563" s="325"/>
      <c r="I563" s="321">
        <f>ROUND(E563*$C563,0)</f>
        <v>0</v>
      </c>
      <c r="J563" s="355">
        <f t="shared" si="183"/>
        <v>192</v>
      </c>
      <c r="K563" s="325"/>
      <c r="L563" s="321">
        <f>ROUND(J563*$C563,0)</f>
        <v>0</v>
      </c>
      <c r="M563" s="321"/>
      <c r="N563" s="355">
        <f t="shared" si="184"/>
        <v>192</v>
      </c>
      <c r="O563" s="325"/>
      <c r="P563" s="321">
        <f>ROUND(N563*$C563,0)</f>
        <v>0</v>
      </c>
      <c r="Q563" s="321"/>
      <c r="R563" s="355" t="str">
        <f t="shared" si="185"/>
        <v xml:space="preserve"> </v>
      </c>
      <c r="S563" s="325"/>
      <c r="T563" s="321">
        <f>ROUND(R563*$C563,0)</f>
        <v>0</v>
      </c>
      <c r="U563" s="321"/>
      <c r="V563" s="355" t="str">
        <f t="shared" si="186"/>
        <v xml:space="preserve"> </v>
      </c>
      <c r="W563" s="325"/>
      <c r="X563" s="321">
        <f>ROUND(V563*$C563,0)</f>
        <v>0</v>
      </c>
      <c r="Y563" s="20"/>
      <c r="Z563" s="74"/>
      <c r="AA563" s="74"/>
      <c r="AB563" s="74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</row>
    <row r="564" spans="1:47">
      <c r="A564" s="323" t="s">
        <v>394</v>
      </c>
      <c r="B564" s="1"/>
      <c r="C564" s="319">
        <f>SUM(C561:C563)</f>
        <v>0</v>
      </c>
      <c r="D564" s="355"/>
      <c r="E564" s="323"/>
      <c r="F564" s="321"/>
      <c r="G564" s="355"/>
      <c r="H564" s="323"/>
      <c r="I564" s="321"/>
      <c r="J564" s="355"/>
      <c r="K564" s="323"/>
      <c r="L564" s="321"/>
      <c r="M564" s="321"/>
      <c r="N564" s="355"/>
      <c r="O564" s="323"/>
      <c r="P564" s="321"/>
      <c r="Q564" s="321"/>
      <c r="R564" s="355"/>
      <c r="S564" s="323"/>
      <c r="T564" s="321"/>
      <c r="U564" s="321"/>
      <c r="V564" s="355"/>
      <c r="W564" s="323"/>
      <c r="X564" s="321"/>
      <c r="Y564" s="20"/>
      <c r="Z564" s="74"/>
      <c r="AA564" s="74"/>
      <c r="AB564" s="74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</row>
    <row r="565" spans="1:47">
      <c r="A565" s="323" t="s">
        <v>422</v>
      </c>
      <c r="B565" s="1"/>
      <c r="C565" s="319">
        <v>0</v>
      </c>
      <c r="D565" s="355">
        <v>1.7</v>
      </c>
      <c r="E565" s="323" t="s">
        <v>31</v>
      </c>
      <c r="F565" s="321">
        <f>ROUND(D565*$C565,0)</f>
        <v>0</v>
      </c>
      <c r="G565" s="355">
        <v>1.7</v>
      </c>
      <c r="H565" s="323" t="s">
        <v>31</v>
      </c>
      <c r="I565" s="321">
        <f>ROUND(E565*$C565,0)</f>
        <v>0</v>
      </c>
      <c r="J565" s="355">
        <f t="shared" ca="1" si="183"/>
        <v>1.89</v>
      </c>
      <c r="K565" s="323" t="s">
        <v>31</v>
      </c>
      <c r="L565" s="321">
        <f ca="1">ROUND(J565*$C565,0)</f>
        <v>0</v>
      </c>
      <c r="M565" s="321"/>
      <c r="N565" s="355">
        <f t="shared" ca="1" si="184"/>
        <v>1.89</v>
      </c>
      <c r="O565" s="323" t="s">
        <v>31</v>
      </c>
      <c r="P565" s="321">
        <f ca="1">ROUND(N565*$C565,0)</f>
        <v>0</v>
      </c>
      <c r="Q565" s="321"/>
      <c r="R565" s="355" t="str">
        <f t="shared" si="185"/>
        <v xml:space="preserve"> </v>
      </c>
      <c r="S565" s="323" t="s">
        <v>31</v>
      </c>
      <c r="T565" s="321">
        <f>ROUND(R565*$C565,0)</f>
        <v>0</v>
      </c>
      <c r="U565" s="321"/>
      <c r="V565" s="355" t="str">
        <f t="shared" si="186"/>
        <v xml:space="preserve"> </v>
      </c>
      <c r="W565" s="323" t="s">
        <v>31</v>
      </c>
      <c r="X565" s="321">
        <f>ROUND(V565*$C565,0)</f>
        <v>0</v>
      </c>
      <c r="Y565" s="20"/>
      <c r="Z565" s="74"/>
      <c r="AA565" s="74"/>
      <c r="AB565" s="74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</row>
    <row r="566" spans="1:47">
      <c r="A566" s="323" t="s">
        <v>423</v>
      </c>
      <c r="B566" s="1"/>
      <c r="C566" s="319">
        <v>0</v>
      </c>
      <c r="D566" s="355">
        <v>1.39</v>
      </c>
      <c r="E566" s="323" t="s">
        <v>31</v>
      </c>
      <c r="F566" s="321">
        <f>ROUND(D566*$C566,0)</f>
        <v>0</v>
      </c>
      <c r="G566" s="355">
        <v>1.39</v>
      </c>
      <c r="H566" s="323" t="s">
        <v>31</v>
      </c>
      <c r="I566" s="321">
        <f>ROUND(E566*$C566,0)</f>
        <v>0</v>
      </c>
      <c r="J566" s="355">
        <f t="shared" ca="1" si="183"/>
        <v>1.55</v>
      </c>
      <c r="K566" s="323" t="s">
        <v>31</v>
      </c>
      <c r="L566" s="321">
        <f ca="1">ROUND(J566*$C566,0)</f>
        <v>0</v>
      </c>
      <c r="M566" s="321"/>
      <c r="N566" s="355">
        <f t="shared" ca="1" si="184"/>
        <v>1.55</v>
      </c>
      <c r="O566" s="323" t="s">
        <v>31</v>
      </c>
      <c r="P566" s="321">
        <f ca="1">ROUND(N566*$C566,0)</f>
        <v>0</v>
      </c>
      <c r="Q566" s="321"/>
      <c r="R566" s="355" t="str">
        <f t="shared" si="185"/>
        <v xml:space="preserve"> </v>
      </c>
      <c r="S566" s="323" t="s">
        <v>31</v>
      </c>
      <c r="T566" s="321">
        <f>ROUND(R566*$C566,0)</f>
        <v>0</v>
      </c>
      <c r="U566" s="321"/>
      <c r="V566" s="355" t="str">
        <f t="shared" si="186"/>
        <v xml:space="preserve"> </v>
      </c>
      <c r="W566" s="323" t="s">
        <v>31</v>
      </c>
      <c r="X566" s="321">
        <f>ROUND(V566*$C566,0)</f>
        <v>0</v>
      </c>
      <c r="Y566" s="20"/>
      <c r="Z566" s="74"/>
      <c r="AA566" s="74"/>
      <c r="AB566" s="74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</row>
    <row r="567" spans="1:47">
      <c r="A567" s="309" t="s">
        <v>424</v>
      </c>
      <c r="B567" s="1"/>
      <c r="C567" s="319"/>
      <c r="D567" s="355"/>
      <c r="E567" s="323"/>
      <c r="F567" s="321"/>
      <c r="G567" s="355"/>
      <c r="H567" s="323"/>
      <c r="I567" s="321"/>
      <c r="J567" s="355"/>
      <c r="K567" s="323"/>
      <c r="L567" s="321"/>
      <c r="M567" s="321"/>
      <c r="N567" s="355"/>
      <c r="O567" s="323"/>
      <c r="P567" s="321"/>
      <c r="Q567" s="321"/>
      <c r="R567" s="355"/>
      <c r="S567" s="323"/>
      <c r="T567" s="321"/>
      <c r="U567" s="321"/>
      <c r="V567" s="355"/>
      <c r="W567" s="323"/>
      <c r="X567" s="321"/>
      <c r="Y567" s="20"/>
      <c r="Z567" s="74"/>
      <c r="AA567" s="74"/>
      <c r="AB567" s="74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</row>
    <row r="568" spans="1:47">
      <c r="A568" s="309" t="s">
        <v>425</v>
      </c>
      <c r="B568" s="1"/>
      <c r="C568" s="319">
        <v>0</v>
      </c>
      <c r="D568" s="355">
        <v>4.4400000000000004</v>
      </c>
      <c r="E568" s="323"/>
      <c r="F568" s="321">
        <f>ROUND(D568*$C568,0)</f>
        <v>0</v>
      </c>
      <c r="G568" s="355">
        <v>4.72</v>
      </c>
      <c r="H568" s="323"/>
      <c r="I568" s="321">
        <f>ROUND(E568*$C568,0)</f>
        <v>0</v>
      </c>
      <c r="J568" s="355">
        <f t="shared" ca="1" si="183"/>
        <v>5.87</v>
      </c>
      <c r="K568" s="323"/>
      <c r="L568" s="321">
        <f ca="1">ROUND(J568*$C568,0)</f>
        <v>0</v>
      </c>
      <c r="M568" s="321"/>
      <c r="N568" s="355">
        <f t="shared" ca="1" si="184"/>
        <v>0.95</v>
      </c>
      <c r="O568" s="323"/>
      <c r="P568" s="321">
        <f ca="1">ROUND(N568*$C568,0)</f>
        <v>0</v>
      </c>
      <c r="Q568" s="321"/>
      <c r="R568" s="355">
        <f t="shared" ca="1" si="185"/>
        <v>0.98</v>
      </c>
      <c r="S568" s="323"/>
      <c r="T568" s="321">
        <f ca="1">ROUND(R568*$C568,0)</f>
        <v>0</v>
      </c>
      <c r="U568" s="321"/>
      <c r="V568" s="355">
        <f t="shared" ca="1" si="186"/>
        <v>3.94</v>
      </c>
      <c r="W568" s="323"/>
      <c r="X568" s="321">
        <f ca="1">ROUND(V568*$C568,0)</f>
        <v>0</v>
      </c>
      <c r="Y568" s="20"/>
      <c r="Z568" s="74"/>
      <c r="AA568" s="74"/>
      <c r="AB568" s="74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</row>
    <row r="569" spans="1:47">
      <c r="A569" s="323" t="s">
        <v>426</v>
      </c>
      <c r="B569" s="1"/>
      <c r="C569" s="319"/>
      <c r="D569" s="356"/>
      <c r="E569" s="321"/>
      <c r="F569" s="321"/>
      <c r="G569" s="356"/>
      <c r="H569" s="321"/>
      <c r="I569" s="321"/>
      <c r="J569" s="356"/>
      <c r="K569" s="321"/>
      <c r="L569" s="321"/>
      <c r="M569" s="321"/>
      <c r="N569" s="356"/>
      <c r="O569" s="321"/>
      <c r="P569" s="321"/>
      <c r="Q569" s="321"/>
      <c r="R569" s="356"/>
      <c r="S569" s="321"/>
      <c r="T569" s="321"/>
      <c r="U569" s="321"/>
      <c r="V569" s="356"/>
      <c r="W569" s="321"/>
      <c r="X569" s="321"/>
      <c r="Y569" s="20"/>
      <c r="Z569" s="74"/>
      <c r="AA569" s="74"/>
      <c r="AB569" s="74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</row>
    <row r="570" spans="1:47">
      <c r="A570" s="323" t="s">
        <v>427</v>
      </c>
      <c r="B570" s="1"/>
      <c r="C570" s="319">
        <v>0</v>
      </c>
      <c r="D570" s="335">
        <v>5.2939999999999996</v>
      </c>
      <c r="E570" s="321" t="s">
        <v>374</v>
      </c>
      <c r="F570" s="321">
        <f>ROUND($C570*D570/100,0)</f>
        <v>0</v>
      </c>
      <c r="G570" s="335">
        <v>5.6289999999999996</v>
      </c>
      <c r="H570" s="321" t="s">
        <v>374</v>
      </c>
      <c r="I570" s="321">
        <f>ROUND($C570*E570/100,0)</f>
        <v>0</v>
      </c>
      <c r="J570" s="335">
        <f ca="1">J612</f>
        <v>2.6779999999999999</v>
      </c>
      <c r="K570" s="321" t="s">
        <v>374</v>
      </c>
      <c r="L570" s="321">
        <f ca="1">ROUND($C570*J570/100,0)</f>
        <v>0</v>
      </c>
      <c r="M570" s="321"/>
      <c r="N570" s="335" t="str">
        <f>N612</f>
        <v xml:space="preserve"> </v>
      </c>
      <c r="O570" s="321" t="s">
        <v>374</v>
      </c>
      <c r="P570" s="321">
        <f>ROUND($C570*N570/100,0)</f>
        <v>0</v>
      </c>
      <c r="Q570" s="321"/>
      <c r="R570" s="335">
        <f ca="1">R612</f>
        <v>1.2070000000000001</v>
      </c>
      <c r="S570" s="321" t="s">
        <v>374</v>
      </c>
      <c r="T570" s="321">
        <f ca="1">ROUND($C570*R570/100,0)</f>
        <v>0</v>
      </c>
      <c r="U570" s="321"/>
      <c r="V570" s="335">
        <f ca="1">V612</f>
        <v>1.4710000000000001</v>
      </c>
      <c r="W570" s="321" t="s">
        <v>374</v>
      </c>
      <c r="X570" s="321">
        <f ca="1">ROUND($C570*V570/100,0)</f>
        <v>0</v>
      </c>
      <c r="Y570" s="20"/>
      <c r="Z570" s="74"/>
      <c r="AA570" s="74"/>
      <c r="AB570" s="74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</row>
    <row r="571" spans="1:47">
      <c r="A571" s="323" t="s">
        <v>399</v>
      </c>
      <c r="B571" s="1"/>
      <c r="C571" s="319">
        <v>0</v>
      </c>
      <c r="D571" s="335">
        <v>4.8520000000000003</v>
      </c>
      <c r="E571" s="321" t="s">
        <v>374</v>
      </c>
      <c r="F571" s="321">
        <f>ROUND($C571*D571/100,0)</f>
        <v>0</v>
      </c>
      <c r="G571" s="335">
        <v>5.157</v>
      </c>
      <c r="H571" s="321" t="s">
        <v>374</v>
      </c>
      <c r="I571" s="321">
        <f>ROUND($C571*E571/100,0)</f>
        <v>0</v>
      </c>
      <c r="J571" s="335">
        <f ca="1">J613</f>
        <v>2.452</v>
      </c>
      <c r="K571" s="321" t="s">
        <v>374</v>
      </c>
      <c r="L571" s="321">
        <f ca="1">ROUND($C571*J571/100,0)</f>
        <v>0</v>
      </c>
      <c r="M571" s="321"/>
      <c r="N571" s="335" t="str">
        <f>N613</f>
        <v xml:space="preserve"> </v>
      </c>
      <c r="O571" s="321" t="s">
        <v>374</v>
      </c>
      <c r="P571" s="321">
        <f>ROUND($C571*N571/100,0)</f>
        <v>0</v>
      </c>
      <c r="Q571" s="321"/>
      <c r="R571" s="335">
        <f ca="1">R613</f>
        <v>1.105</v>
      </c>
      <c r="S571" s="321" t="s">
        <v>374</v>
      </c>
      <c r="T571" s="321">
        <f ca="1">ROUND($C571*R571/100,0)</f>
        <v>0</v>
      </c>
      <c r="U571" s="321"/>
      <c r="V571" s="335">
        <f ca="1">V613</f>
        <v>1.347</v>
      </c>
      <c r="W571" s="321" t="s">
        <v>374</v>
      </c>
      <c r="X571" s="321">
        <f ca="1">ROUND($C571*V571/100,0)</f>
        <v>0</v>
      </c>
      <c r="Y571" s="20"/>
      <c r="Z571" s="74"/>
      <c r="AA571" s="74"/>
      <c r="AB571" s="74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</row>
    <row r="572" spans="1:47">
      <c r="A572" s="323" t="s">
        <v>400</v>
      </c>
      <c r="B572" s="1"/>
      <c r="C572" s="319">
        <v>0</v>
      </c>
      <c r="D572" s="336">
        <v>56</v>
      </c>
      <c r="E572" s="321" t="s">
        <v>374</v>
      </c>
      <c r="F572" s="321">
        <f>ROUND(D572*$C572/100,0)</f>
        <v>0</v>
      </c>
      <c r="G572" s="362">
        <v>56</v>
      </c>
      <c r="H572" s="321" t="s">
        <v>374</v>
      </c>
      <c r="I572" s="321">
        <f>ROUND(E572*$C572/100,0)</f>
        <v>0</v>
      </c>
      <c r="J572" s="362">
        <f>J614</f>
        <v>56</v>
      </c>
      <c r="K572" s="321" t="s">
        <v>374</v>
      </c>
      <c r="L572" s="321">
        <f>ROUND(J572*$C572,0)</f>
        <v>0</v>
      </c>
      <c r="M572" s="321"/>
      <c r="N572" s="362" t="str">
        <f>N614</f>
        <v xml:space="preserve"> </v>
      </c>
      <c r="O572" s="321" t="s">
        <v>374</v>
      </c>
      <c r="P572" s="321">
        <f>ROUND(N572*$C572,0)</f>
        <v>0</v>
      </c>
      <c r="Q572" s="321"/>
      <c r="R572" s="362">
        <f ca="1">R614</f>
        <v>11</v>
      </c>
      <c r="S572" s="321" t="s">
        <v>374</v>
      </c>
      <c r="T572" s="321">
        <f ca="1">ROUND(R572*$C572,0)</f>
        <v>0</v>
      </c>
      <c r="U572" s="321"/>
      <c r="V572" s="362">
        <f ca="1">V614</f>
        <v>45</v>
      </c>
      <c r="W572" s="321" t="s">
        <v>374</v>
      </c>
      <c r="X572" s="321">
        <f ca="1">ROUND(V572*$C572,0)</f>
        <v>0</v>
      </c>
      <c r="Y572" s="20"/>
      <c r="Z572" s="74"/>
      <c r="AA572" s="74"/>
      <c r="AB572" s="74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</row>
    <row r="573" spans="1:47">
      <c r="A573" s="323" t="s">
        <v>428</v>
      </c>
      <c r="B573" s="1"/>
      <c r="C573" s="319">
        <v>0</v>
      </c>
      <c r="D573" s="1179">
        <v>56</v>
      </c>
      <c r="E573" s="321"/>
      <c r="F573" s="321">
        <f>ROUND($C573*D573/100,0)</f>
        <v>0</v>
      </c>
      <c r="G573" s="612">
        <v>0.06</v>
      </c>
      <c r="H573" s="321" t="s">
        <v>374</v>
      </c>
      <c r="I573" s="321">
        <f>ROUND($C573*E573/100,0)</f>
        <v>0</v>
      </c>
      <c r="J573" s="612">
        <v>0.06</v>
      </c>
      <c r="K573" s="321" t="s">
        <v>374</v>
      </c>
      <c r="L573" s="321">
        <f>ROUND($C573*J573/100,0)</f>
        <v>0</v>
      </c>
      <c r="M573" s="321"/>
      <c r="N573" s="612" t="str">
        <f>N614</f>
        <v xml:space="preserve"> </v>
      </c>
      <c r="O573" s="321" t="s">
        <v>374</v>
      </c>
      <c r="P573" s="321">
        <f>ROUND($C573*N573/100,0)</f>
        <v>0</v>
      </c>
      <c r="Q573" s="321"/>
      <c r="R573" s="612">
        <f ca="1">R572/J572*J573</f>
        <v>1.1785714285714285E-2</v>
      </c>
      <c r="S573" s="321" t="s">
        <v>374</v>
      </c>
      <c r="T573" s="321">
        <f ca="1">ROUND($C573*R573/100,0)</f>
        <v>0</v>
      </c>
      <c r="U573" s="321"/>
      <c r="V573" s="612">
        <f ca="1">V572/J572*J573</f>
        <v>4.8214285714285716E-2</v>
      </c>
      <c r="W573" s="321" t="s">
        <v>374</v>
      </c>
      <c r="X573" s="321">
        <f ca="1">ROUND($C573*V573/100,0)</f>
        <v>0</v>
      </c>
      <c r="Y573" s="20"/>
      <c r="Z573" s="74"/>
      <c r="AA573" s="74"/>
      <c r="AB573" s="74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</row>
    <row r="574" spans="1:47" s="1184" customFormat="1">
      <c r="A574" s="1005" t="s">
        <v>1026</v>
      </c>
      <c r="C574" s="1202">
        <f>C570+C571</f>
        <v>0</v>
      </c>
      <c r="D574" s="269"/>
      <c r="E574" s="1185"/>
      <c r="F574" s="1203"/>
      <c r="G574" s="269"/>
      <c r="H574" s="1185"/>
      <c r="I574" s="1203"/>
      <c r="J574" s="1230">
        <f>J615</f>
        <v>3.415</v>
      </c>
      <c r="K574" s="1041" t="s">
        <v>374</v>
      </c>
      <c r="L574" s="1041">
        <f t="shared" ref="L574:L575" si="187">ROUND($C574*J574/100,0)</f>
        <v>0</v>
      </c>
      <c r="M574" s="1041"/>
      <c r="N574" s="1230" t="str">
        <f>N615</f>
        <v xml:space="preserve"> </v>
      </c>
      <c r="O574" s="1041" t="s">
        <v>374</v>
      </c>
      <c r="P574" s="1041">
        <f t="shared" ref="P574:P575" si="188">ROUND($C574*N574/100,0)</f>
        <v>0</v>
      </c>
      <c r="Q574" s="1041"/>
      <c r="R574" s="1230" t="s">
        <v>31</v>
      </c>
      <c r="S574" s="1041" t="s">
        <v>374</v>
      </c>
      <c r="T574" s="1041">
        <f t="shared" ref="T574:T575" si="189">ROUND($C574*R574/100,0)</f>
        <v>0</v>
      </c>
      <c r="U574" s="1041"/>
      <c r="V574" s="1230">
        <f>V615</f>
        <v>3.415</v>
      </c>
      <c r="W574" s="1041" t="s">
        <v>374</v>
      </c>
      <c r="X574" s="1041">
        <f t="shared" ref="X574:X575" si="190">ROUND($C574*V574/100,0)</f>
        <v>0</v>
      </c>
      <c r="Z574" s="815"/>
      <c r="AC574" s="1205"/>
      <c r="AD574" s="1205"/>
      <c r="AI574" s="1185"/>
      <c r="AJ574" s="1185"/>
      <c r="AK574" s="1185"/>
      <c r="AL574" s="1185"/>
      <c r="AM574" s="1185"/>
      <c r="AN574" s="1185"/>
      <c r="AO574" s="1185"/>
      <c r="AP574" s="1185"/>
      <c r="AQ574" s="1185"/>
      <c r="AR574" s="1185"/>
      <c r="AS574" s="1185"/>
      <c r="AU574" s="1204"/>
    </row>
    <row r="575" spans="1:47" s="1184" customFormat="1">
      <c r="A575" s="1005" t="s">
        <v>1027</v>
      </c>
      <c r="C575" s="1202">
        <f>C571+C572</f>
        <v>0</v>
      </c>
      <c r="D575" s="269"/>
      <c r="E575" s="1185"/>
      <c r="F575" s="1203"/>
      <c r="G575" s="269"/>
      <c r="H575" s="1185"/>
      <c r="I575" s="1203"/>
      <c r="J575" s="1230">
        <f>J616</f>
        <v>3.1309999999999998</v>
      </c>
      <c r="K575" s="1185"/>
      <c r="L575" s="1041">
        <f t="shared" si="187"/>
        <v>0</v>
      </c>
      <c r="M575" s="1041"/>
      <c r="N575" s="1230" t="s">
        <v>31</v>
      </c>
      <c r="O575" s="1185"/>
      <c r="P575" s="1041">
        <f t="shared" si="188"/>
        <v>0</v>
      </c>
      <c r="Q575" s="1041"/>
      <c r="R575" s="1230" t="s">
        <v>31</v>
      </c>
      <c r="S575" s="1185"/>
      <c r="T575" s="1041">
        <f t="shared" si="189"/>
        <v>0</v>
      </c>
      <c r="U575" s="1041"/>
      <c r="V575" s="1230">
        <f>V616</f>
        <v>3.1309999999999998</v>
      </c>
      <c r="W575" s="1185"/>
      <c r="X575" s="1041">
        <f t="shared" si="190"/>
        <v>0</v>
      </c>
      <c r="Z575" s="815"/>
      <c r="AC575" s="1205"/>
      <c r="AD575" s="1205"/>
      <c r="AI575" s="1185"/>
      <c r="AJ575" s="1185"/>
      <c r="AK575" s="1185"/>
      <c r="AL575" s="1185"/>
      <c r="AM575" s="1185"/>
      <c r="AN575" s="1185"/>
      <c r="AO575" s="1185"/>
      <c r="AP575" s="1185"/>
      <c r="AQ575" s="1185"/>
      <c r="AR575" s="1185"/>
      <c r="AS575" s="1185"/>
      <c r="AU575" s="1204"/>
    </row>
    <row r="576" spans="1:47">
      <c r="A576" s="360" t="s">
        <v>401</v>
      </c>
      <c r="B576" s="1" t="s">
        <v>31</v>
      </c>
      <c r="C576" s="319"/>
      <c r="D576" s="332">
        <v>-0.01</v>
      </c>
      <c r="E576" s="361"/>
      <c r="F576" s="361"/>
      <c r="G576" s="332">
        <v>-0.01</v>
      </c>
      <c r="H576" s="361"/>
      <c r="I576" s="361"/>
      <c r="J576" s="332">
        <v>-0.01</v>
      </c>
      <c r="K576" s="361"/>
      <c r="L576" s="2"/>
      <c r="M576" s="2"/>
      <c r="N576" s="332">
        <v>-0.01</v>
      </c>
      <c r="O576" s="361"/>
      <c r="P576" s="2"/>
      <c r="Q576" s="2"/>
      <c r="R576" s="332">
        <v>-0.01</v>
      </c>
      <c r="S576" s="361"/>
      <c r="T576" s="2"/>
      <c r="U576" s="2"/>
      <c r="V576" s="332">
        <v>-0.01</v>
      </c>
      <c r="W576" s="361"/>
      <c r="X576" s="2"/>
      <c r="Y576" s="20"/>
      <c r="Z576" s="74"/>
      <c r="AA576" s="74"/>
      <c r="AB576" s="74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</row>
    <row r="577" spans="1:47">
      <c r="A577" s="323" t="s">
        <v>421</v>
      </c>
      <c r="B577" s="1"/>
      <c r="C577" s="319">
        <v>0</v>
      </c>
      <c r="D577" s="355">
        <v>259</v>
      </c>
      <c r="E577" s="323"/>
      <c r="F577" s="321">
        <f t="shared" ref="F577:F582" si="191">ROUND(D577*$C577*$D$576,0)</f>
        <v>0</v>
      </c>
      <c r="G577" s="355">
        <v>259</v>
      </c>
      <c r="H577" s="323"/>
      <c r="I577" s="321">
        <f t="shared" ref="I577:I582" si="192">ROUND(E577*$C577*$D$576,0)</f>
        <v>0</v>
      </c>
      <c r="J577" s="304">
        <f>J561</f>
        <v>259</v>
      </c>
      <c r="K577" s="323"/>
      <c r="L577" s="321">
        <f t="shared" ref="L577:L582" si="193">ROUND(J577*$C577*$D$576,0)</f>
        <v>0</v>
      </c>
      <c r="M577" s="321"/>
      <c r="N577" s="304">
        <f>N561</f>
        <v>259</v>
      </c>
      <c r="O577" s="323"/>
      <c r="P577" s="321">
        <f t="shared" ref="P577:P582" si="194">ROUND(N577*$C577*$D$576,0)</f>
        <v>0</v>
      </c>
      <c r="Q577" s="321"/>
      <c r="R577" s="304" t="str">
        <f>R561</f>
        <v xml:space="preserve"> </v>
      </c>
      <c r="S577" s="323"/>
      <c r="T577" s="321">
        <f t="shared" ref="T577:T582" si="195">ROUND(R577*$C577*$D$576,0)</f>
        <v>0</v>
      </c>
      <c r="U577" s="321"/>
      <c r="V577" s="304" t="str">
        <f>V561</f>
        <v xml:space="preserve"> </v>
      </c>
      <c r="W577" s="323"/>
      <c r="X577" s="321">
        <f t="shared" ref="X577:X582" si="196">ROUND(V577*$C577*$D$576,0)</f>
        <v>0</v>
      </c>
      <c r="Y577" s="20"/>
      <c r="Z577" s="74"/>
      <c r="AA577" s="74"/>
      <c r="AB577" s="74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</row>
    <row r="578" spans="1:47">
      <c r="A578" s="323" t="s">
        <v>422</v>
      </c>
      <c r="B578" s="1"/>
      <c r="C578" s="319">
        <v>0</v>
      </c>
      <c r="D578" s="355">
        <v>96</v>
      </c>
      <c r="E578" s="323"/>
      <c r="F578" s="321">
        <f t="shared" si="191"/>
        <v>0</v>
      </c>
      <c r="G578" s="355">
        <v>96</v>
      </c>
      <c r="H578" s="323"/>
      <c r="I578" s="321">
        <f t="shared" si="192"/>
        <v>0</v>
      </c>
      <c r="J578" s="304">
        <f>J562</f>
        <v>96</v>
      </c>
      <c r="K578" s="323"/>
      <c r="L578" s="321">
        <f t="shared" si="193"/>
        <v>0</v>
      </c>
      <c r="M578" s="321"/>
      <c r="N578" s="304">
        <f>N562</f>
        <v>96</v>
      </c>
      <c r="O578" s="323"/>
      <c r="P578" s="321">
        <f t="shared" si="194"/>
        <v>0</v>
      </c>
      <c r="Q578" s="321"/>
      <c r="R578" s="304" t="str">
        <f>R562</f>
        <v xml:space="preserve"> </v>
      </c>
      <c r="S578" s="323"/>
      <c r="T578" s="321">
        <f t="shared" si="195"/>
        <v>0</v>
      </c>
      <c r="U578" s="321"/>
      <c r="V578" s="304" t="str">
        <f>V562</f>
        <v xml:space="preserve"> </v>
      </c>
      <c r="W578" s="323"/>
      <c r="X578" s="321">
        <f t="shared" si="196"/>
        <v>0</v>
      </c>
      <c r="Y578" s="20"/>
      <c r="Z578" s="74"/>
      <c r="AA578" s="74"/>
      <c r="AB578" s="74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</row>
    <row r="579" spans="1:47">
      <c r="A579" s="323" t="s">
        <v>423</v>
      </c>
      <c r="B579" s="1"/>
      <c r="C579" s="319">
        <v>0</v>
      </c>
      <c r="D579" s="355">
        <v>192</v>
      </c>
      <c r="E579" s="325"/>
      <c r="F579" s="321">
        <f t="shared" si="191"/>
        <v>0</v>
      </c>
      <c r="G579" s="355">
        <v>192</v>
      </c>
      <c r="H579" s="325"/>
      <c r="I579" s="321">
        <f t="shared" si="192"/>
        <v>0</v>
      </c>
      <c r="J579" s="304">
        <f>J563</f>
        <v>192</v>
      </c>
      <c r="K579" s="325"/>
      <c r="L579" s="321">
        <f t="shared" si="193"/>
        <v>0</v>
      </c>
      <c r="M579" s="321"/>
      <c r="N579" s="304">
        <f>N563</f>
        <v>192</v>
      </c>
      <c r="O579" s="325"/>
      <c r="P579" s="321">
        <f t="shared" si="194"/>
        <v>0</v>
      </c>
      <c r="Q579" s="321"/>
      <c r="R579" s="304" t="str">
        <f>R563</f>
        <v xml:space="preserve"> </v>
      </c>
      <c r="S579" s="325"/>
      <c r="T579" s="321">
        <f t="shared" si="195"/>
        <v>0</v>
      </c>
      <c r="U579" s="321"/>
      <c r="V579" s="304" t="str">
        <f>V563</f>
        <v xml:space="preserve"> </v>
      </c>
      <c r="W579" s="325"/>
      <c r="X579" s="321">
        <f t="shared" si="196"/>
        <v>0</v>
      </c>
      <c r="Y579" s="20"/>
      <c r="Z579" s="74"/>
      <c r="AA579" s="74"/>
      <c r="AB579" s="74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</row>
    <row r="580" spans="1:47">
      <c r="A580" s="323" t="s">
        <v>422</v>
      </c>
      <c r="B580" s="1"/>
      <c r="C580" s="319">
        <v>0</v>
      </c>
      <c r="D580" s="355">
        <v>1.7</v>
      </c>
      <c r="E580" s="323" t="s">
        <v>31</v>
      </c>
      <c r="F580" s="321">
        <f t="shared" si="191"/>
        <v>0</v>
      </c>
      <c r="G580" s="355">
        <v>1.7</v>
      </c>
      <c r="H580" s="323" t="s">
        <v>31</v>
      </c>
      <c r="I580" s="321">
        <f t="shared" si="192"/>
        <v>0</v>
      </c>
      <c r="J580" s="304">
        <f ca="1">J565</f>
        <v>1.89</v>
      </c>
      <c r="K580" s="323" t="s">
        <v>31</v>
      </c>
      <c r="L580" s="321">
        <f t="shared" ca="1" si="193"/>
        <v>0</v>
      </c>
      <c r="M580" s="321"/>
      <c r="N580" s="304">
        <f ca="1">N565</f>
        <v>1.89</v>
      </c>
      <c r="O580" s="323" t="s">
        <v>31</v>
      </c>
      <c r="P580" s="321">
        <f t="shared" ca="1" si="194"/>
        <v>0</v>
      </c>
      <c r="Q580" s="321"/>
      <c r="R580" s="304" t="str">
        <f>R565</f>
        <v xml:space="preserve"> </v>
      </c>
      <c r="S580" s="323" t="s">
        <v>31</v>
      </c>
      <c r="T580" s="321">
        <f t="shared" si="195"/>
        <v>0</v>
      </c>
      <c r="U580" s="321"/>
      <c r="V580" s="304" t="str">
        <f>V565</f>
        <v xml:space="preserve"> </v>
      </c>
      <c r="W580" s="323" t="s">
        <v>31</v>
      </c>
      <c r="X580" s="321">
        <f t="shared" si="196"/>
        <v>0</v>
      </c>
      <c r="Y580" s="20"/>
      <c r="Z580" s="74"/>
      <c r="AA580" s="74"/>
      <c r="AB580" s="74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</row>
    <row r="581" spans="1:47">
      <c r="A581" s="323" t="s">
        <v>423</v>
      </c>
      <c r="B581" s="1"/>
      <c r="C581" s="319">
        <v>0</v>
      </c>
      <c r="D581" s="355">
        <v>1.39</v>
      </c>
      <c r="E581" s="323" t="s">
        <v>31</v>
      </c>
      <c r="F581" s="321">
        <f t="shared" si="191"/>
        <v>0</v>
      </c>
      <c r="G581" s="355">
        <v>1.39</v>
      </c>
      <c r="H581" s="323" t="s">
        <v>31</v>
      </c>
      <c r="I581" s="321">
        <f t="shared" si="192"/>
        <v>0</v>
      </c>
      <c r="J581" s="304">
        <f ca="1">J566</f>
        <v>1.55</v>
      </c>
      <c r="K581" s="323" t="s">
        <v>31</v>
      </c>
      <c r="L581" s="321">
        <f t="shared" ca="1" si="193"/>
        <v>0</v>
      </c>
      <c r="M581" s="321"/>
      <c r="N581" s="304">
        <f ca="1">N566</f>
        <v>1.55</v>
      </c>
      <c r="O581" s="323" t="s">
        <v>31</v>
      </c>
      <c r="P581" s="321">
        <f t="shared" ca="1" si="194"/>
        <v>0</v>
      </c>
      <c r="Q581" s="321"/>
      <c r="R581" s="304" t="str">
        <f>R566</f>
        <v xml:space="preserve"> </v>
      </c>
      <c r="S581" s="323" t="s">
        <v>31</v>
      </c>
      <c r="T581" s="321">
        <f t="shared" si="195"/>
        <v>0</v>
      </c>
      <c r="U581" s="321"/>
      <c r="V581" s="304" t="str">
        <f>V566</f>
        <v xml:space="preserve"> </v>
      </c>
      <c r="W581" s="323" t="s">
        <v>31</v>
      </c>
      <c r="X581" s="321">
        <f t="shared" si="196"/>
        <v>0</v>
      </c>
      <c r="Y581" s="20"/>
      <c r="Z581" s="74"/>
      <c r="AA581" s="74"/>
      <c r="AB581" s="74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</row>
    <row r="582" spans="1:47">
      <c r="A582" s="309" t="s">
        <v>425</v>
      </c>
      <c r="B582" s="1"/>
      <c r="C582" s="319">
        <v>0</v>
      </c>
      <c r="D582" s="355">
        <v>4.4400000000000004</v>
      </c>
      <c r="E582" s="323"/>
      <c r="F582" s="321">
        <f t="shared" si="191"/>
        <v>0</v>
      </c>
      <c r="G582" s="355">
        <v>4.72</v>
      </c>
      <c r="H582" s="323"/>
      <c r="I582" s="321">
        <f t="shared" si="192"/>
        <v>0</v>
      </c>
      <c r="J582" s="304">
        <f ca="1">J568</f>
        <v>5.87</v>
      </c>
      <c r="K582" s="323"/>
      <c r="L582" s="321">
        <f t="shared" ca="1" si="193"/>
        <v>0</v>
      </c>
      <c r="M582" s="321"/>
      <c r="N582" s="304">
        <f ca="1">N568</f>
        <v>0.95</v>
      </c>
      <c r="O582" s="323"/>
      <c r="P582" s="321">
        <f t="shared" ca="1" si="194"/>
        <v>0</v>
      </c>
      <c r="Q582" s="321"/>
      <c r="R582" s="304">
        <f ca="1">R568</f>
        <v>0.98</v>
      </c>
      <c r="S582" s="323"/>
      <c r="T582" s="321">
        <f t="shared" ca="1" si="195"/>
        <v>0</v>
      </c>
      <c r="U582" s="321"/>
      <c r="V582" s="304">
        <f ca="1">V568</f>
        <v>3.94</v>
      </c>
      <c r="W582" s="323"/>
      <c r="X582" s="321">
        <f t="shared" ca="1" si="196"/>
        <v>0</v>
      </c>
      <c r="Y582" s="20"/>
      <c r="Z582" s="74"/>
      <c r="AA582" s="74"/>
      <c r="AB582" s="74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</row>
    <row r="583" spans="1:47">
      <c r="A583" s="323" t="s">
        <v>427</v>
      </c>
      <c r="B583" s="1"/>
      <c r="C583" s="319">
        <v>0</v>
      </c>
      <c r="D583" s="334">
        <v>0</v>
      </c>
      <c r="E583" s="321" t="s">
        <v>374</v>
      </c>
      <c r="F583" s="321">
        <f>ROUND(D583/100*$C583*D576,0)</f>
        <v>0</v>
      </c>
      <c r="G583" s="334">
        <v>0</v>
      </c>
      <c r="H583" s="321" t="s">
        <v>374</v>
      </c>
      <c r="I583" s="321">
        <f>ROUND(E583/100*$C583*E576,0)</f>
        <v>0</v>
      </c>
      <c r="J583" s="304">
        <f>J569</f>
        <v>0</v>
      </c>
      <c r="K583" s="321" t="s">
        <v>374</v>
      </c>
      <c r="L583" s="321">
        <f>ROUND(J583/100*$C583*D576,0)</f>
        <v>0</v>
      </c>
      <c r="M583" s="321"/>
      <c r="N583" s="304">
        <f>N569</f>
        <v>0</v>
      </c>
      <c r="O583" s="321" t="s">
        <v>374</v>
      </c>
      <c r="P583" s="321">
        <f>ROUND(N583/100*$C583*G576,0)</f>
        <v>0</v>
      </c>
      <c r="Q583" s="321"/>
      <c r="R583" s="304">
        <f>R569</f>
        <v>0</v>
      </c>
      <c r="S583" s="321" t="s">
        <v>374</v>
      </c>
      <c r="T583" s="321">
        <f>ROUND(R583/100*$C583*K576,0)</f>
        <v>0</v>
      </c>
      <c r="U583" s="321"/>
      <c r="V583" s="304">
        <f>V569</f>
        <v>0</v>
      </c>
      <c r="W583" s="321" t="s">
        <v>374</v>
      </c>
      <c r="X583" s="321">
        <f>ROUND(V583/100*$C583*O576,0)</f>
        <v>0</v>
      </c>
      <c r="Y583" s="20"/>
      <c r="Z583" s="74"/>
      <c r="AA583" s="74"/>
      <c r="AB583" s="74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</row>
    <row r="584" spans="1:47">
      <c r="A584" s="323" t="s">
        <v>399</v>
      </c>
      <c r="B584" s="1"/>
      <c r="C584" s="319">
        <v>0</v>
      </c>
      <c r="D584" s="990">
        <v>4.8520000000000003</v>
      </c>
      <c r="E584" s="321" t="s">
        <v>374</v>
      </c>
      <c r="F584" s="321">
        <f>ROUND(D584/100*$C584*D576,0)</f>
        <v>0</v>
      </c>
      <c r="G584" s="990">
        <v>5.157</v>
      </c>
      <c r="H584" s="321" t="s">
        <v>374</v>
      </c>
      <c r="I584" s="321">
        <f>ROUND(E584/100*$C584*E576,0)</f>
        <v>0</v>
      </c>
      <c r="J584" s="374">
        <f ca="1">J571</f>
        <v>2.452</v>
      </c>
      <c r="K584" s="321" t="s">
        <v>374</v>
      </c>
      <c r="L584" s="321">
        <f ca="1">ROUND(J584/100*$C584*D576,0)</f>
        <v>0</v>
      </c>
      <c r="M584" s="321"/>
      <c r="N584" s="374" t="str">
        <f>N571</f>
        <v xml:space="preserve"> </v>
      </c>
      <c r="O584" s="321" t="s">
        <v>374</v>
      </c>
      <c r="P584" s="321">
        <f>ROUND(N584/100*$C584*G576,0)</f>
        <v>0</v>
      </c>
      <c r="Q584" s="321"/>
      <c r="R584" s="374">
        <f ca="1">R571</f>
        <v>1.105</v>
      </c>
      <c r="S584" s="321" t="s">
        <v>374</v>
      </c>
      <c r="T584" s="321">
        <f ca="1">ROUND(R584/100*$C584*K576,0)</f>
        <v>0</v>
      </c>
      <c r="U584" s="321"/>
      <c r="V584" s="374">
        <f ca="1">V571</f>
        <v>1.347</v>
      </c>
      <c r="W584" s="321" t="s">
        <v>374</v>
      </c>
      <c r="X584" s="321">
        <f ca="1">ROUND(V584/100*$C584*O576,0)</f>
        <v>0</v>
      </c>
      <c r="Y584" s="20"/>
      <c r="Z584" s="74"/>
      <c r="AA584" s="74"/>
      <c r="AB584" s="74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</row>
    <row r="585" spans="1:47">
      <c r="A585" s="309" t="s">
        <v>429</v>
      </c>
      <c r="B585" s="1"/>
      <c r="C585" s="319">
        <v>0</v>
      </c>
      <c r="D585" s="336">
        <v>56</v>
      </c>
      <c r="E585" s="321" t="s">
        <v>374</v>
      </c>
      <c r="F585" s="321">
        <f>ROUND(D585*$C585*$D$576,0)</f>
        <v>0</v>
      </c>
      <c r="G585" s="1176">
        <v>56</v>
      </c>
      <c r="H585" s="321" t="s">
        <v>374</v>
      </c>
      <c r="I585" s="321">
        <f>ROUND(E585*$C585*$D$576,0)</f>
        <v>0</v>
      </c>
      <c r="J585" s="375">
        <f>J572</f>
        <v>56</v>
      </c>
      <c r="K585" s="321" t="s">
        <v>374</v>
      </c>
      <c r="L585" s="321">
        <f>ROUND(J585*$C585*$D$576,0)</f>
        <v>0</v>
      </c>
      <c r="M585" s="321"/>
      <c r="N585" s="375" t="str">
        <f>N572</f>
        <v xml:space="preserve"> </v>
      </c>
      <c r="O585" s="321" t="s">
        <v>374</v>
      </c>
      <c r="P585" s="321">
        <f>ROUND(N585*$C585*$D$576,0)</f>
        <v>0</v>
      </c>
      <c r="Q585" s="321"/>
      <c r="R585" s="375">
        <f ca="1">R572</f>
        <v>11</v>
      </c>
      <c r="S585" s="321" t="s">
        <v>374</v>
      </c>
      <c r="T585" s="321">
        <f ca="1">ROUND(R585*$C585*$D$576,0)</f>
        <v>0</v>
      </c>
      <c r="U585" s="321"/>
      <c r="V585" s="375">
        <f ca="1">V572</f>
        <v>45</v>
      </c>
      <c r="W585" s="321" t="s">
        <v>374</v>
      </c>
      <c r="X585" s="321">
        <f ca="1">ROUND(V585*$C585*$D$576,0)</f>
        <v>0</v>
      </c>
      <c r="Y585" s="20"/>
      <c r="Z585" s="74"/>
      <c r="AA585" s="74"/>
      <c r="AB585" s="74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</row>
    <row r="586" spans="1:47">
      <c r="A586" s="309" t="s">
        <v>430</v>
      </c>
      <c r="B586" s="1"/>
      <c r="C586" s="319">
        <v>0</v>
      </c>
      <c r="D586" s="474">
        <v>0.06</v>
      </c>
      <c r="E586" s="321" t="s">
        <v>374</v>
      </c>
      <c r="F586" s="321">
        <f>ROUND(D586/100*$C586*D576,0)</f>
        <v>0</v>
      </c>
      <c r="G586" s="1177">
        <v>56</v>
      </c>
      <c r="H586" s="321" t="s">
        <v>374</v>
      </c>
      <c r="I586" s="321">
        <f>ROUND(E586/100*$C586*E576,0)</f>
        <v>0</v>
      </c>
      <c r="J586" s="612">
        <f>J573</f>
        <v>0.06</v>
      </c>
      <c r="K586" s="321" t="s">
        <v>374</v>
      </c>
      <c r="L586" s="321">
        <f>ROUND(J586/100*$C586*J576,0)</f>
        <v>0</v>
      </c>
      <c r="M586" s="321"/>
      <c r="N586" s="612" t="str">
        <f>N573</f>
        <v xml:space="preserve"> </v>
      </c>
      <c r="O586" s="321" t="s">
        <v>374</v>
      </c>
      <c r="P586" s="321">
        <f>ROUND(N586/100*$C586*N576,0)</f>
        <v>0</v>
      </c>
      <c r="Q586" s="321"/>
      <c r="R586" s="612">
        <f ca="1">R573</f>
        <v>1.1785714285714285E-2</v>
      </c>
      <c r="S586" s="321" t="s">
        <v>374</v>
      </c>
      <c r="T586" s="321">
        <f ca="1">ROUND(R586/100*$C586*R576,0)</f>
        <v>0</v>
      </c>
      <c r="U586" s="321"/>
      <c r="V586" s="612">
        <f ca="1">V573</f>
        <v>4.8214285714285716E-2</v>
      </c>
      <c r="W586" s="321" t="s">
        <v>374</v>
      </c>
      <c r="X586" s="321">
        <f ca="1">ROUND(V586/100*$C586*V576,0)</f>
        <v>0</v>
      </c>
      <c r="Y586" s="20"/>
      <c r="Z586" s="74"/>
      <c r="AA586" s="74"/>
      <c r="AB586" s="74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</row>
    <row r="587" spans="1:47">
      <c r="A587" s="323" t="s">
        <v>431</v>
      </c>
      <c r="B587" s="1"/>
      <c r="C587" s="319">
        <v>0</v>
      </c>
      <c r="D587" s="363">
        <v>60</v>
      </c>
      <c r="E587" s="361" t="s">
        <v>31</v>
      </c>
      <c r="F587" s="321">
        <f>ROUND(D587*$C587,0)</f>
        <v>0</v>
      </c>
      <c r="G587" s="363">
        <v>60</v>
      </c>
      <c r="H587" s="364" t="s">
        <v>31</v>
      </c>
      <c r="I587" s="321">
        <f>ROUND(E587*$C587,0)</f>
        <v>0</v>
      </c>
      <c r="J587" s="363">
        <v>60</v>
      </c>
      <c r="K587" s="364" t="s">
        <v>31</v>
      </c>
      <c r="L587" s="321">
        <f>ROUND(J587*$C587,0)</f>
        <v>0</v>
      </c>
      <c r="M587" s="321"/>
      <c r="N587" s="363">
        <v>60</v>
      </c>
      <c r="O587" s="364" t="s">
        <v>31</v>
      </c>
      <c r="P587" s="321">
        <f>ROUND(N587*$C587,0)</f>
        <v>0</v>
      </c>
      <c r="Q587" s="321"/>
      <c r="R587" s="363">
        <v>60</v>
      </c>
      <c r="S587" s="364" t="s">
        <v>31</v>
      </c>
      <c r="T587" s="321">
        <f>ROUND(R587*$C587,0)</f>
        <v>0</v>
      </c>
      <c r="U587" s="321"/>
      <c r="V587" s="363">
        <v>60</v>
      </c>
      <c r="W587" s="364" t="s">
        <v>31</v>
      </c>
      <c r="X587" s="321">
        <f>ROUND(V587*$C587,0)</f>
        <v>0</v>
      </c>
      <c r="Y587" s="20"/>
      <c r="Z587" s="74"/>
      <c r="AA587" s="74"/>
      <c r="AB587" s="74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</row>
    <row r="588" spans="1:47">
      <c r="A588" s="323" t="s">
        <v>432</v>
      </c>
      <c r="B588" s="1"/>
      <c r="C588" s="319">
        <v>0</v>
      </c>
      <c r="D588" s="336">
        <v>-30</v>
      </c>
      <c r="E588" s="321" t="s">
        <v>374</v>
      </c>
      <c r="F588" s="321">
        <f>ROUND(D588*$C588*$D$576,0)</f>
        <v>0</v>
      </c>
      <c r="G588" s="336">
        <v>-30</v>
      </c>
      <c r="H588" s="321" t="s">
        <v>374</v>
      </c>
      <c r="I588" s="321">
        <f>ROUND(E588*$C588*$D$576,0)</f>
        <v>0</v>
      </c>
      <c r="J588" s="336">
        <v>-30</v>
      </c>
      <c r="K588" s="321" t="s">
        <v>374</v>
      </c>
      <c r="L588" s="321">
        <f>ROUND(J588*$C588*$D$576,0)</f>
        <v>0</v>
      </c>
      <c r="M588" s="321"/>
      <c r="N588" s="336">
        <v>-30</v>
      </c>
      <c r="O588" s="321" t="s">
        <v>374</v>
      </c>
      <c r="P588" s="321">
        <f>ROUND(N588*$C588*$D$576,0)</f>
        <v>0</v>
      </c>
      <c r="Q588" s="321"/>
      <c r="R588" s="336">
        <v>-30</v>
      </c>
      <c r="S588" s="321" t="s">
        <v>374</v>
      </c>
      <c r="T588" s="321">
        <f>ROUND(R588*$C588*$D$576,0)</f>
        <v>0</v>
      </c>
      <c r="U588" s="321"/>
      <c r="V588" s="336">
        <v>-30</v>
      </c>
      <c r="W588" s="321" t="s">
        <v>374</v>
      </c>
      <c r="X588" s="321">
        <f>ROUND(V588*$C588*$D$576,0)</f>
        <v>0</v>
      </c>
      <c r="Y588" s="20"/>
      <c r="Z588" s="74"/>
      <c r="AA588" s="74"/>
      <c r="AB588" s="74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</row>
    <row r="589" spans="1:47">
      <c r="A589" s="309" t="s">
        <v>433</v>
      </c>
      <c r="B589" s="1"/>
      <c r="C589" s="319">
        <v>0</v>
      </c>
      <c r="D589" s="334">
        <v>2.2200000000000002</v>
      </c>
      <c r="E589" s="321"/>
      <c r="F589" s="321"/>
      <c r="G589" s="334">
        <v>2.36</v>
      </c>
      <c r="H589" s="321"/>
      <c r="I589" s="321"/>
      <c r="J589" s="355">
        <f ca="1">J582/2</f>
        <v>2.9350000000000001</v>
      </c>
      <c r="K589" s="321"/>
      <c r="L589" s="321">
        <f ca="1">ROUND($C589*J589,0)</f>
        <v>0</v>
      </c>
      <c r="M589" s="321"/>
      <c r="N589" s="355">
        <f ca="1">N582/2</f>
        <v>0.47499999999999998</v>
      </c>
      <c r="O589" s="321"/>
      <c r="P589" s="321">
        <f ca="1">ROUND($C589*N589,0)</f>
        <v>0</v>
      </c>
      <c r="Q589" s="321"/>
      <c r="R589" s="355">
        <f ca="1">R582/2</f>
        <v>0.49</v>
      </c>
      <c r="S589" s="321"/>
      <c r="T589" s="321">
        <f ca="1">ROUND($C589*R589,0)</f>
        <v>0</v>
      </c>
      <c r="U589" s="321"/>
      <c r="V589" s="355">
        <f ca="1">V582/2</f>
        <v>1.97</v>
      </c>
      <c r="W589" s="321"/>
      <c r="X589" s="321">
        <f ca="1">ROUND($C589*V589,0)</f>
        <v>0</v>
      </c>
      <c r="Y589" s="20"/>
      <c r="Z589" s="74"/>
      <c r="AA589" s="74"/>
      <c r="AB589" s="74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</row>
    <row r="590" spans="1:47">
      <c r="A590" s="309" t="s">
        <v>434</v>
      </c>
      <c r="B590" s="1"/>
      <c r="C590" s="319">
        <v>0</v>
      </c>
      <c r="D590" s="334">
        <v>17.760000000000002</v>
      </c>
      <c r="E590" s="321"/>
      <c r="F590" s="321"/>
      <c r="G590" s="334">
        <v>18.88</v>
      </c>
      <c r="H590" s="321"/>
      <c r="I590" s="321"/>
      <c r="J590" s="355">
        <f ca="1">J582*4</f>
        <v>23.48</v>
      </c>
      <c r="K590" s="321"/>
      <c r="L590" s="321">
        <f ca="1">ROUND($C590*J590,0)</f>
        <v>0</v>
      </c>
      <c r="M590" s="321"/>
      <c r="N590" s="355">
        <f ca="1">N582*4</f>
        <v>3.8</v>
      </c>
      <c r="O590" s="321"/>
      <c r="P590" s="321">
        <f ca="1">ROUND($C590*N590,0)</f>
        <v>0</v>
      </c>
      <c r="Q590" s="321"/>
      <c r="R590" s="355">
        <f ca="1">R582*4</f>
        <v>3.92</v>
      </c>
      <c r="S590" s="321"/>
      <c r="T590" s="321">
        <f ca="1">ROUND($C590*R590,0)</f>
        <v>0</v>
      </c>
      <c r="U590" s="321"/>
      <c r="V590" s="355">
        <f ca="1">V582*4</f>
        <v>15.76</v>
      </c>
      <c r="W590" s="321"/>
      <c r="X590" s="321">
        <f ca="1">ROUND($C590*V590,0)</f>
        <v>0</v>
      </c>
      <c r="Y590" s="20"/>
      <c r="Z590" s="74"/>
      <c r="AA590" s="74"/>
      <c r="AB590" s="74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</row>
    <row r="591" spans="1:47">
      <c r="A591" s="3" t="s">
        <v>435</v>
      </c>
      <c r="B591" s="303"/>
      <c r="C591" s="319">
        <v>0</v>
      </c>
      <c r="D591" s="335">
        <v>19.408000000000001</v>
      </c>
      <c r="E591" s="321" t="s">
        <v>374</v>
      </c>
      <c r="F591" s="321">
        <f>ROUND($C591*D591/100,0)</f>
        <v>0</v>
      </c>
      <c r="G591" s="335">
        <v>20.628</v>
      </c>
      <c r="H591" s="321" t="s">
        <v>374</v>
      </c>
      <c r="I591" s="321">
        <f>ROUND($C591*E591/100,0)</f>
        <v>0</v>
      </c>
      <c r="J591" s="335">
        <f ca="1">(J571)*4</f>
        <v>9.8079999999999998</v>
      </c>
      <c r="K591" s="321" t="s">
        <v>374</v>
      </c>
      <c r="L591" s="321">
        <f ca="1">ROUND($C591*J591/100,0)</f>
        <v>0</v>
      </c>
      <c r="M591" s="321"/>
      <c r="N591" s="335">
        <f>(N571)*4</f>
        <v>0</v>
      </c>
      <c r="O591" s="321" t="s">
        <v>374</v>
      </c>
      <c r="P591" s="321">
        <f>ROUND($C591*N591/100,0)</f>
        <v>0</v>
      </c>
      <c r="Q591" s="321"/>
      <c r="R591" s="335">
        <f ca="1">(R571)*4</f>
        <v>4.42</v>
      </c>
      <c r="S591" s="321" t="s">
        <v>374</v>
      </c>
      <c r="T591" s="321">
        <f ca="1">ROUND($C591*R591/100,0)</f>
        <v>0</v>
      </c>
      <c r="U591" s="321"/>
      <c r="V591" s="335">
        <f ca="1">(V571)*4</f>
        <v>5.3879999999999999</v>
      </c>
      <c r="W591" s="321" t="s">
        <v>374</v>
      </c>
      <c r="X591" s="321">
        <f ca="1">ROUND($C591*V591/100,0)</f>
        <v>0</v>
      </c>
      <c r="Y591" s="7" t="s">
        <v>74</v>
      </c>
      <c r="Z591" s="74"/>
      <c r="AA591" s="74"/>
      <c r="AB591" s="74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</row>
    <row r="592" spans="1:47" s="1184" customFormat="1">
      <c r="A592" s="1005" t="s">
        <v>1026</v>
      </c>
      <c r="C592" s="1202">
        <f>C583+C584</f>
        <v>0</v>
      </c>
      <c r="D592" s="269"/>
      <c r="E592" s="1185"/>
      <c r="F592" s="1203"/>
      <c r="G592" s="269"/>
      <c r="H592" s="1185"/>
      <c r="I592" s="1203"/>
      <c r="J592" s="1230">
        <f>J615</f>
        <v>3.415</v>
      </c>
      <c r="K592" s="1009" t="s">
        <v>374</v>
      </c>
      <c r="L592" s="1041">
        <f t="shared" ref="L592:L593" si="197">ROUND($C592*J592/100,0)</f>
        <v>0</v>
      </c>
      <c r="M592" s="1041"/>
      <c r="N592" s="1230" t="str">
        <f>N615</f>
        <v xml:space="preserve"> </v>
      </c>
      <c r="O592" s="1009" t="s">
        <v>374</v>
      </c>
      <c r="P592" s="1041">
        <f t="shared" ref="P592:P593" si="198">ROUND($C592*N592/100,0)</f>
        <v>0</v>
      </c>
      <c r="Q592" s="1041"/>
      <c r="R592" s="1230" t="str">
        <f>R615</f>
        <v xml:space="preserve"> </v>
      </c>
      <c r="S592" s="1009" t="s">
        <v>374</v>
      </c>
      <c r="T592" s="1041">
        <f t="shared" ref="T592:T593" si="199">ROUND($C592*R592/100,0)</f>
        <v>0</v>
      </c>
      <c r="U592" s="1041"/>
      <c r="V592" s="1230">
        <f>V615</f>
        <v>3.415</v>
      </c>
      <c r="W592" s="1009" t="s">
        <v>374</v>
      </c>
      <c r="X592" s="1041">
        <f t="shared" ref="X592:X593" si="200">ROUND($C592*V592/100,0)</f>
        <v>0</v>
      </c>
      <c r="Z592" s="815"/>
      <c r="AC592" s="1205"/>
      <c r="AD592" s="1205"/>
      <c r="AI592" s="1185"/>
      <c r="AJ592" s="1185"/>
      <c r="AK592" s="1185"/>
      <c r="AL592" s="1185"/>
      <c r="AM592" s="1185"/>
      <c r="AN592" s="1185"/>
      <c r="AO592" s="1185"/>
      <c r="AP592" s="1185"/>
      <c r="AQ592" s="1185"/>
      <c r="AR592" s="1185"/>
      <c r="AS592" s="1185"/>
      <c r="AU592" s="1204"/>
    </row>
    <row r="593" spans="1:47" s="1184" customFormat="1">
      <c r="A593" s="1005" t="s">
        <v>1027</v>
      </c>
      <c r="C593" s="1202">
        <f>C584+C585</f>
        <v>0</v>
      </c>
      <c r="D593" s="269"/>
      <c r="E593" s="1185"/>
      <c r="F593" s="1203"/>
      <c r="G593" s="269"/>
      <c r="H593" s="1185"/>
      <c r="I593" s="1203"/>
      <c r="J593" s="1230">
        <f>J616</f>
        <v>3.1309999999999998</v>
      </c>
      <c r="K593" s="1009" t="s">
        <v>374</v>
      </c>
      <c r="L593" s="1041">
        <f t="shared" si="197"/>
        <v>0</v>
      </c>
      <c r="M593" s="1041"/>
      <c r="N593" s="1230" t="str">
        <f>N616</f>
        <v xml:space="preserve"> </v>
      </c>
      <c r="O593" s="1009" t="s">
        <v>374</v>
      </c>
      <c r="P593" s="1041">
        <f t="shared" si="198"/>
        <v>0</v>
      </c>
      <c r="Q593" s="1041"/>
      <c r="R593" s="1230" t="str">
        <f>R616</f>
        <v xml:space="preserve"> </v>
      </c>
      <c r="S593" s="1009" t="s">
        <v>374</v>
      </c>
      <c r="T593" s="1041">
        <f t="shared" si="199"/>
        <v>0</v>
      </c>
      <c r="U593" s="1041"/>
      <c r="V593" s="1230">
        <f>V616</f>
        <v>3.1309999999999998</v>
      </c>
      <c r="W593" s="1009" t="s">
        <v>374</v>
      </c>
      <c r="X593" s="1041">
        <f t="shared" si="200"/>
        <v>0</v>
      </c>
      <c r="Z593" s="815"/>
      <c r="AC593" s="1205"/>
      <c r="AD593" s="1205"/>
      <c r="AI593" s="1185"/>
      <c r="AJ593" s="1185"/>
      <c r="AK593" s="1185"/>
      <c r="AL593" s="1185"/>
      <c r="AM593" s="1185"/>
      <c r="AN593" s="1185"/>
      <c r="AO593" s="1185"/>
      <c r="AP593" s="1185"/>
      <c r="AQ593" s="1185"/>
      <c r="AR593" s="1185"/>
      <c r="AS593" s="1185"/>
      <c r="AU593" s="1204"/>
    </row>
    <row r="594" spans="1:47">
      <c r="A594" s="1" t="s">
        <v>381</v>
      </c>
      <c r="B594" s="1"/>
      <c r="C594" s="319">
        <f>SUM(C570:C571)</f>
        <v>0</v>
      </c>
      <c r="D594" s="330"/>
      <c r="E594" s="2"/>
      <c r="F594" s="2">
        <f>SUM(F561:F591)</f>
        <v>0</v>
      </c>
      <c r="G594" s="330"/>
      <c r="H594" s="323"/>
      <c r="I594" s="2">
        <f>SUM(I561:I591)</f>
        <v>0</v>
      </c>
      <c r="J594" s="330"/>
      <c r="K594" s="323"/>
      <c r="L594" s="2">
        <f ca="1">SUM(L561:L593)</f>
        <v>0</v>
      </c>
      <c r="M594" s="2"/>
      <c r="N594" s="330"/>
      <c r="O594" s="323"/>
      <c r="P594" s="2">
        <f ca="1">SUM(P561:P593)</f>
        <v>0</v>
      </c>
      <c r="Q594" s="2"/>
      <c r="R594" s="330"/>
      <c r="S594" s="323"/>
      <c r="T594" s="2">
        <f ca="1">SUM(T561:T593)</f>
        <v>0</v>
      </c>
      <c r="U594" s="2"/>
      <c r="V594" s="330"/>
      <c r="W594" s="323"/>
      <c r="X594" s="2">
        <f ca="1">SUM(X561:X593)</f>
        <v>0</v>
      </c>
      <c r="Y594" s="20"/>
      <c r="Z594" s="74"/>
      <c r="AA594" s="74"/>
      <c r="AB594" s="74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</row>
    <row r="595" spans="1:47">
      <c r="A595" s="1" t="s">
        <v>363</v>
      </c>
      <c r="B595" s="1"/>
      <c r="C595" s="349">
        <v>0</v>
      </c>
      <c r="D595" s="309"/>
      <c r="E595" s="309"/>
      <c r="F595" s="310">
        <v>0</v>
      </c>
      <c r="G595" s="309"/>
      <c r="H595" s="309"/>
      <c r="I595" s="310">
        <v>0</v>
      </c>
      <c r="J595" s="309"/>
      <c r="K595" s="309"/>
      <c r="L595" s="310">
        <v>0</v>
      </c>
      <c r="M595" s="51"/>
      <c r="N595" s="309"/>
      <c r="O595" s="309"/>
      <c r="P595" s="310">
        <v>0</v>
      </c>
      <c r="Q595" s="51"/>
      <c r="R595" s="309"/>
      <c r="S595" s="309"/>
      <c r="T595" s="310">
        <v>0</v>
      </c>
      <c r="U595" s="51"/>
      <c r="V595" s="309"/>
      <c r="W595" s="309"/>
      <c r="X595" s="310">
        <v>0</v>
      </c>
      <c r="Y595" s="444"/>
      <c r="Z595" s="287"/>
      <c r="AA595" s="74"/>
      <c r="AB595" s="74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</row>
    <row r="596" spans="1:47" ht="16.5" thickBot="1">
      <c r="A596" s="1" t="s">
        <v>382</v>
      </c>
      <c r="B596" s="1"/>
      <c r="C596" s="366">
        <f>SUM(C594:C595)</f>
        <v>0</v>
      </c>
      <c r="D596" s="342"/>
      <c r="E596" s="343"/>
      <c r="F596" s="344">
        <f>SUM(F594:F595)</f>
        <v>0</v>
      </c>
      <c r="G596" s="342"/>
      <c r="H596" s="345"/>
      <c r="I596" s="344">
        <f>SUM(I594:I595)</f>
        <v>0</v>
      </c>
      <c r="J596" s="342"/>
      <c r="K596" s="345"/>
      <c r="L596" s="344">
        <f ca="1">SUM(L594:L595)</f>
        <v>0</v>
      </c>
      <c r="M596" s="344"/>
      <c r="N596" s="342"/>
      <c r="O596" s="345"/>
      <c r="P596" s="344">
        <f ca="1">SUM(P594:P595)</f>
        <v>0</v>
      </c>
      <c r="Q596" s="344"/>
      <c r="R596" s="342"/>
      <c r="S596" s="345"/>
      <c r="T596" s="344">
        <f ca="1">SUM(T594:T595)</f>
        <v>0</v>
      </c>
      <c r="U596" s="344"/>
      <c r="V596" s="342"/>
      <c r="W596" s="345"/>
      <c r="X596" s="344">
        <f ca="1">SUM(X594:X595)</f>
        <v>0</v>
      </c>
      <c r="Y596" s="411"/>
      <c r="Z596" s="470"/>
      <c r="AA596" s="74"/>
      <c r="AB596" s="74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</row>
    <row r="597" spans="1:47" ht="16.5" thickTop="1">
      <c r="A597" s="1"/>
      <c r="B597" s="367"/>
      <c r="C597" s="21"/>
      <c r="D597" s="337"/>
      <c r="E597" s="2"/>
      <c r="F597" s="2"/>
      <c r="G597" s="337"/>
      <c r="H597" s="1"/>
      <c r="I597" s="2"/>
      <c r="J597" s="337"/>
      <c r="K597" s="1"/>
      <c r="L597" s="2"/>
      <c r="M597" s="2"/>
      <c r="N597" s="337"/>
      <c r="O597" s="1"/>
      <c r="P597" s="2"/>
      <c r="Q597" s="2"/>
      <c r="R597" s="337"/>
      <c r="S597" s="1"/>
      <c r="T597" s="2"/>
      <c r="U597" s="2"/>
      <c r="V597" s="337"/>
      <c r="W597" s="1"/>
      <c r="X597" s="2"/>
      <c r="Y597" s="20"/>
      <c r="Z597" s="74"/>
      <c r="AA597" s="74"/>
      <c r="AB597" s="74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</row>
    <row r="598" spans="1:47">
      <c r="A598" s="293" t="s">
        <v>436</v>
      </c>
      <c r="B598" s="1"/>
      <c r="C598" s="1"/>
      <c r="D598" s="2"/>
      <c r="E598" s="2"/>
      <c r="F598" s="1" t="s">
        <v>31</v>
      </c>
      <c r="G598" s="2"/>
      <c r="H598" s="1"/>
      <c r="I598" s="1"/>
      <c r="J598" s="2"/>
      <c r="K598" s="1"/>
      <c r="L598" s="1"/>
      <c r="M598" s="1"/>
      <c r="N598" s="2"/>
      <c r="O598" s="1"/>
      <c r="P598" s="1"/>
      <c r="Q598" s="1"/>
      <c r="R598" s="2"/>
      <c r="S598" s="1"/>
      <c r="T598" s="1"/>
      <c r="U598" s="1"/>
      <c r="V598" s="2"/>
      <c r="W598" s="1"/>
      <c r="X598" s="1"/>
      <c r="Y598" s="20"/>
      <c r="Z598" s="74"/>
      <c r="AA598" s="74"/>
      <c r="AB598" s="74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</row>
    <row r="599" spans="1:47">
      <c r="A599" s="309" t="s">
        <v>437</v>
      </c>
      <c r="B599" s="1"/>
      <c r="C599" s="1"/>
      <c r="D599" s="2"/>
      <c r="E599" s="2"/>
      <c r="F599" s="1"/>
      <c r="G599" s="2"/>
      <c r="H599" s="1"/>
      <c r="I599" s="1"/>
      <c r="J599" s="2"/>
      <c r="K599" s="1"/>
      <c r="L599" s="1"/>
      <c r="M599" s="1"/>
      <c r="N599" s="2"/>
      <c r="O599" s="1"/>
      <c r="P599" s="1"/>
      <c r="Q599" s="1"/>
      <c r="R599" s="2"/>
      <c r="S599" s="1"/>
      <c r="T599" s="1"/>
      <c r="U599" s="1"/>
      <c r="V599" s="2"/>
      <c r="W599" s="1"/>
      <c r="X599" s="1"/>
      <c r="Y599" s="20"/>
      <c r="Z599" s="74"/>
      <c r="AA599" s="74"/>
      <c r="AB599" s="74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</row>
    <row r="600" spans="1:47">
      <c r="A600" s="323"/>
      <c r="B600" s="1"/>
      <c r="C600" s="1"/>
      <c r="D600" s="2"/>
      <c r="E600" s="2"/>
      <c r="F600" s="1"/>
      <c r="G600" s="2"/>
      <c r="H600" s="1"/>
      <c r="I600" s="1"/>
      <c r="J600" s="2"/>
      <c r="K600" s="1"/>
      <c r="L600" s="1"/>
      <c r="M600" s="1"/>
      <c r="N600" s="2"/>
      <c r="O600" s="1"/>
      <c r="P600" s="1"/>
      <c r="Q600" s="1"/>
      <c r="R600" s="2"/>
      <c r="S600" s="1"/>
      <c r="T600" s="1"/>
      <c r="U600" s="1"/>
      <c r="V600" s="2"/>
      <c r="W600" s="1"/>
      <c r="X600" s="1"/>
      <c r="Y600" s="20"/>
      <c r="AA600" s="74"/>
      <c r="AB600" s="74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</row>
    <row r="601" spans="1:47">
      <c r="A601" s="323" t="s">
        <v>393</v>
      </c>
      <c r="B601" s="1"/>
      <c r="C601" s="319"/>
      <c r="D601" s="2"/>
      <c r="E601" s="2"/>
      <c r="F601" s="1"/>
      <c r="G601" s="2"/>
      <c r="H601" s="1"/>
      <c r="I601" s="1"/>
      <c r="J601" s="2"/>
      <c r="K601" s="1"/>
      <c r="L601" s="1"/>
      <c r="M601" s="1"/>
      <c r="N601" s="2"/>
      <c r="O601" s="1"/>
      <c r="P601" s="1"/>
      <c r="Q601" s="1"/>
      <c r="R601" s="2"/>
      <c r="S601" s="1"/>
      <c r="T601" s="1"/>
      <c r="U601" s="1"/>
      <c r="V601" s="2"/>
      <c r="W601" s="1"/>
      <c r="X601" s="1"/>
      <c r="Y601" s="20"/>
      <c r="Z601" s="74"/>
      <c r="AA601" s="40" t="s">
        <v>252</v>
      </c>
      <c r="AB601" s="40"/>
      <c r="AC601" s="20"/>
      <c r="AD601" s="20"/>
      <c r="AE601" s="20"/>
      <c r="AF601" s="20"/>
      <c r="AG601" s="20"/>
      <c r="AH601" s="20"/>
      <c r="AI601" s="20"/>
      <c r="AK601" s="20"/>
      <c r="AL601" s="20"/>
      <c r="AM601" s="20"/>
      <c r="AN601" s="20"/>
      <c r="AO601" s="20"/>
      <c r="AP601" s="20"/>
      <c r="AQ601" s="20"/>
      <c r="AR601" s="20"/>
      <c r="AS601" s="20"/>
    </row>
    <row r="602" spans="1:47">
      <c r="A602" s="323" t="s">
        <v>421</v>
      </c>
      <c r="B602" s="1"/>
      <c r="C602" s="319">
        <f>C644+C682</f>
        <v>316.43333333333368</v>
      </c>
      <c r="D602" s="298">
        <v>259</v>
      </c>
      <c r="E602" s="323"/>
      <c r="F602" s="321">
        <f>F644+F682</f>
        <v>81956</v>
      </c>
      <c r="G602" s="298">
        <v>259</v>
      </c>
      <c r="H602" s="323"/>
      <c r="I602" s="321">
        <f>I644+I682</f>
        <v>81956</v>
      </c>
      <c r="J602" s="301">
        <f>G602</f>
        <v>259</v>
      </c>
      <c r="K602" s="323"/>
      <c r="L602" s="321">
        <f>L644+L682</f>
        <v>81956</v>
      </c>
      <c r="M602" s="321"/>
      <c r="N602" s="301">
        <f>J602</f>
        <v>259</v>
      </c>
      <c r="O602" s="323"/>
      <c r="P602" s="321">
        <f>L602</f>
        <v>81956</v>
      </c>
      <c r="Q602" s="321"/>
      <c r="R602" s="301" t="s">
        <v>31</v>
      </c>
      <c r="S602" s="323"/>
      <c r="T602" s="2">
        <f t="shared" ref="T602:T604" si="201">R602*C602</f>
        <v>0</v>
      </c>
      <c r="U602" s="2"/>
      <c r="V602" s="301" t="s">
        <v>31</v>
      </c>
      <c r="W602" s="1"/>
      <c r="X602" s="2">
        <f t="shared" ref="X602:X604" si="202">V602*C602</f>
        <v>0</v>
      </c>
      <c r="AA602" s="55">
        <f>(J602-G602)/G602</f>
        <v>0</v>
      </c>
      <c r="AB602" s="55"/>
      <c r="AJ602" s="53"/>
      <c r="AK602" s="53"/>
      <c r="AN602" s="20"/>
      <c r="AO602" s="20"/>
      <c r="AP602" s="20"/>
      <c r="AQ602" s="20"/>
      <c r="AR602" s="20"/>
      <c r="AS602" s="20"/>
    </row>
    <row r="603" spans="1:47">
      <c r="A603" s="323" t="s">
        <v>422</v>
      </c>
      <c r="B603" s="1"/>
      <c r="C603" s="319">
        <f>C645+C683</f>
        <v>8726.8666666666722</v>
      </c>
      <c r="D603" s="298">
        <v>96</v>
      </c>
      <c r="E603" s="323"/>
      <c r="F603" s="321">
        <f>F645+F683</f>
        <v>837779</v>
      </c>
      <c r="G603" s="298">
        <v>96</v>
      </c>
      <c r="H603" s="323"/>
      <c r="I603" s="321">
        <f>I645+I683</f>
        <v>837779</v>
      </c>
      <c r="J603" s="301">
        <f>G603</f>
        <v>96</v>
      </c>
      <c r="K603" s="323"/>
      <c r="L603" s="321">
        <f>L645+L683</f>
        <v>837779</v>
      </c>
      <c r="M603" s="321"/>
      <c r="N603" s="301">
        <f>J603</f>
        <v>96</v>
      </c>
      <c r="O603" s="323"/>
      <c r="P603" s="321">
        <f t="shared" ref="P603:P604" si="203">L603</f>
        <v>837779</v>
      </c>
      <c r="Q603" s="321"/>
      <c r="R603" s="301" t="s">
        <v>31</v>
      </c>
      <c r="S603" s="323"/>
      <c r="T603" s="2">
        <f t="shared" si="201"/>
        <v>0</v>
      </c>
      <c r="U603" s="2"/>
      <c r="V603" s="301" t="s">
        <v>31</v>
      </c>
      <c r="W603" s="1"/>
      <c r="X603" s="2">
        <f t="shared" si="202"/>
        <v>0</v>
      </c>
      <c r="AA603" s="55">
        <f>(J603-G603)/G603</f>
        <v>0</v>
      </c>
      <c r="AB603" s="55"/>
      <c r="AD603" s="84"/>
      <c r="AE603" s="736"/>
      <c r="AF603" s="84"/>
      <c r="AG603" s="736"/>
      <c r="AH603" s="84"/>
      <c r="AI603" s="84"/>
      <c r="AJ603" s="736"/>
      <c r="AK603" s="736"/>
      <c r="AM603" s="237"/>
      <c r="AN603" s="20"/>
      <c r="AO603" s="20"/>
      <c r="AP603" s="20"/>
      <c r="AQ603" s="20"/>
      <c r="AR603" s="20"/>
      <c r="AS603" s="20"/>
    </row>
    <row r="604" spans="1:47">
      <c r="A604" s="323" t="s">
        <v>423</v>
      </c>
      <c r="B604" s="1"/>
      <c r="C604" s="319">
        <f>C646+C684</f>
        <v>3603.6666666666661</v>
      </c>
      <c r="D604" s="298">
        <v>192</v>
      </c>
      <c r="E604" s="325"/>
      <c r="F604" s="321">
        <f>F646+F684</f>
        <v>691904</v>
      </c>
      <c r="G604" s="298">
        <v>192</v>
      </c>
      <c r="H604" s="325"/>
      <c r="I604" s="321">
        <f>I646+I684</f>
        <v>691904</v>
      </c>
      <c r="J604" s="301">
        <f>G604</f>
        <v>192</v>
      </c>
      <c r="K604" s="325"/>
      <c r="L604" s="321">
        <f>L646+L684</f>
        <v>691904</v>
      </c>
      <c r="M604" s="321"/>
      <c r="N604" s="301">
        <f>J604</f>
        <v>192</v>
      </c>
      <c r="O604" s="325"/>
      <c r="P604" s="321">
        <f t="shared" si="203"/>
        <v>691904</v>
      </c>
      <c r="Q604" s="321"/>
      <c r="R604" s="301" t="s">
        <v>31</v>
      </c>
      <c r="S604" s="325"/>
      <c r="T604" s="2">
        <f t="shared" si="201"/>
        <v>0</v>
      </c>
      <c r="U604" s="2"/>
      <c r="V604" s="301" t="s">
        <v>31</v>
      </c>
      <c r="W604" s="1"/>
      <c r="X604" s="2">
        <f t="shared" si="202"/>
        <v>0</v>
      </c>
      <c r="AA604" s="55">
        <f>(J604-G604)/G604</f>
        <v>0</v>
      </c>
      <c r="AB604" s="55"/>
      <c r="AD604" s="84"/>
      <c r="AE604" s="736"/>
      <c r="AF604" s="84"/>
      <c r="AG604" s="736"/>
      <c r="AH604" s="84"/>
      <c r="AI604" s="84"/>
      <c r="AJ604" s="736"/>
      <c r="AK604" s="736"/>
      <c r="AM604" s="237"/>
      <c r="AN604" s="20"/>
      <c r="AO604" s="20"/>
      <c r="AP604" s="20"/>
      <c r="AQ604" s="20"/>
      <c r="AR604" s="20"/>
      <c r="AS604" s="20"/>
    </row>
    <row r="605" spans="1:47">
      <c r="A605" s="323" t="s">
        <v>394</v>
      </c>
      <c r="B605" s="1"/>
      <c r="C605" s="319">
        <f>SUM(C602:C604)</f>
        <v>12646.966666666673</v>
      </c>
      <c r="D605" s="298"/>
      <c r="E605" s="323"/>
      <c r="F605" s="321"/>
      <c r="G605" s="298"/>
      <c r="H605" s="323"/>
      <c r="I605" s="321"/>
      <c r="J605" s="301"/>
      <c r="K605" s="323"/>
      <c r="L605" s="321"/>
      <c r="M605" s="321"/>
      <c r="N605" s="301"/>
      <c r="O605" s="323"/>
      <c r="P605" s="321"/>
      <c r="Q605" s="321"/>
      <c r="R605" s="301"/>
      <c r="S605" s="323"/>
      <c r="T605" s="321"/>
      <c r="U605" s="321"/>
      <c r="V605" s="301"/>
      <c r="W605" s="323"/>
      <c r="X605" s="321"/>
      <c r="AD605" s="84"/>
      <c r="AE605" s="736"/>
      <c r="AF605" s="84"/>
      <c r="AG605" s="736"/>
      <c r="AH605" s="84"/>
      <c r="AI605" s="84"/>
      <c r="AJ605" s="736"/>
      <c r="AK605" s="736"/>
      <c r="AM605" s="237"/>
      <c r="AN605" s="20"/>
      <c r="AO605" s="20"/>
      <c r="AP605" s="20"/>
      <c r="AQ605" s="20"/>
      <c r="AR605" s="20"/>
      <c r="AS605" s="20"/>
    </row>
    <row r="606" spans="1:47">
      <c r="A606" s="323" t="s">
        <v>422</v>
      </c>
      <c r="B606" s="1"/>
      <c r="C606" s="319">
        <f>C648+C686</f>
        <v>1502047</v>
      </c>
      <c r="D606" s="298">
        <v>1.7</v>
      </c>
      <c r="E606" s="323" t="s">
        <v>31</v>
      </c>
      <c r="F606" s="321">
        <f>F648+F686</f>
        <v>2553480</v>
      </c>
      <c r="G606" s="298">
        <v>1.7</v>
      </c>
      <c r="H606" s="323" t="s">
        <v>31</v>
      </c>
      <c r="I606" s="321">
        <f>I648+I686</f>
        <v>2553480</v>
      </c>
      <c r="J606" s="301">
        <f ca="1">ROUND(G606*(1+$AC$636),2)</f>
        <v>1.89</v>
      </c>
      <c r="K606" s="323" t="s">
        <v>31</v>
      </c>
      <c r="L606" s="321">
        <f ca="1">L648+L686</f>
        <v>2838869</v>
      </c>
      <c r="M606" s="321"/>
      <c r="N606" s="301">
        <f ca="1">J606</f>
        <v>1.89</v>
      </c>
      <c r="O606" s="323" t="s">
        <v>31</v>
      </c>
      <c r="P606" s="321">
        <f ca="1">L606</f>
        <v>2838869</v>
      </c>
      <c r="Q606" s="321"/>
      <c r="R606" s="301" t="s">
        <v>31</v>
      </c>
      <c r="S606" s="323" t="s">
        <v>31</v>
      </c>
      <c r="T606" s="2">
        <f t="shared" ref="T606:T607" si="204">R606*C606</f>
        <v>0</v>
      </c>
      <c r="U606" s="2"/>
      <c r="V606" s="301" t="s">
        <v>31</v>
      </c>
      <c r="W606" s="1"/>
      <c r="X606" s="2">
        <f t="shared" ref="X606:X607" si="205">V606*C606</f>
        <v>0</v>
      </c>
      <c r="Z606" s="88" t="s">
        <v>31</v>
      </c>
      <c r="AA606" s="55">
        <f ca="1">(J606-G606)/G606</f>
        <v>0.11176470588235292</v>
      </c>
      <c r="AB606" s="55"/>
      <c r="AD606" s="84"/>
      <c r="AE606" s="737"/>
      <c r="AF606" s="84"/>
      <c r="AG606" s="737"/>
      <c r="AH606" s="84"/>
      <c r="AI606" s="84"/>
      <c r="AJ606" s="737"/>
      <c r="AK606" s="737"/>
      <c r="AM606" s="20"/>
      <c r="AN606" s="20"/>
      <c r="AO606" s="20"/>
      <c r="AP606" s="20"/>
      <c r="AQ606" s="20"/>
      <c r="AR606" s="20"/>
      <c r="AS606" s="20"/>
    </row>
    <row r="607" spans="1:47">
      <c r="A607" s="323" t="s">
        <v>423</v>
      </c>
      <c r="B607" s="1"/>
      <c r="C607" s="319">
        <f>C649+C687</f>
        <v>1828696</v>
      </c>
      <c r="D607" s="298">
        <v>1.39</v>
      </c>
      <c r="E607" s="323" t="s">
        <v>31</v>
      </c>
      <c r="F607" s="321">
        <f>F649+F687</f>
        <v>2541887</v>
      </c>
      <c r="G607" s="298">
        <v>1.39</v>
      </c>
      <c r="H607" s="323" t="s">
        <v>31</v>
      </c>
      <c r="I607" s="321">
        <f>I649+I687</f>
        <v>2541887</v>
      </c>
      <c r="J607" s="301">
        <f ca="1">ROUND(G607*(1+$AC$636),2)</f>
        <v>1.55</v>
      </c>
      <c r="K607" s="323" t="s">
        <v>31</v>
      </c>
      <c r="L607" s="321">
        <f ca="1">L649+L687</f>
        <v>2834479</v>
      </c>
      <c r="M607" s="321"/>
      <c r="N607" s="301">
        <f ca="1">J607</f>
        <v>1.55</v>
      </c>
      <c r="O607" s="323" t="s">
        <v>31</v>
      </c>
      <c r="P607" s="321">
        <f ca="1">L607</f>
        <v>2834479</v>
      </c>
      <c r="Q607" s="321"/>
      <c r="R607" s="301" t="s">
        <v>31</v>
      </c>
      <c r="S607" s="323" t="s">
        <v>31</v>
      </c>
      <c r="T607" s="2">
        <f t="shared" si="204"/>
        <v>0</v>
      </c>
      <c r="U607" s="2"/>
      <c r="V607" s="301" t="s">
        <v>31</v>
      </c>
      <c r="W607" s="1"/>
      <c r="X607" s="2">
        <f t="shared" si="205"/>
        <v>0</v>
      </c>
      <c r="AA607" s="55">
        <f ca="1">(J607-G607)/G607</f>
        <v>0.11510791366906487</v>
      </c>
      <c r="AB607" s="55"/>
      <c r="AD607" s="84"/>
      <c r="AE607" s="84"/>
      <c r="AM607" s="20"/>
      <c r="AN607" s="20"/>
      <c r="AO607" s="20"/>
      <c r="AP607" s="20"/>
      <c r="AQ607" s="20"/>
      <c r="AR607" s="20"/>
      <c r="AS607" s="20"/>
    </row>
    <row r="608" spans="1:47">
      <c r="A608" s="309" t="s">
        <v>424</v>
      </c>
      <c r="B608" s="1"/>
      <c r="C608" s="319"/>
      <c r="D608" s="355"/>
      <c r="E608" s="323"/>
      <c r="F608" s="321"/>
      <c r="G608" s="355"/>
      <c r="H608" s="323"/>
      <c r="I608" s="321"/>
      <c r="J608" s="304"/>
      <c r="K608" s="323"/>
      <c r="L608" s="321"/>
      <c r="M608" s="321"/>
      <c r="N608" s="304"/>
      <c r="O608" s="323"/>
      <c r="P608" s="321"/>
      <c r="Q608" s="321"/>
      <c r="R608" s="304"/>
      <c r="S608" s="323"/>
      <c r="T608" s="321"/>
      <c r="U608" s="321"/>
      <c r="V608" s="304"/>
      <c r="W608" s="323"/>
      <c r="X608" s="321"/>
      <c r="AC608" s="69"/>
      <c r="AM608" s="20"/>
      <c r="AN608" s="20"/>
      <c r="AO608" s="20"/>
      <c r="AP608" s="20"/>
      <c r="AQ608" s="20"/>
      <c r="AR608" s="20"/>
      <c r="AS608" s="20"/>
    </row>
    <row r="609" spans="1:47">
      <c r="A609" s="309" t="s">
        <v>425</v>
      </c>
      <c r="B609" s="1"/>
      <c r="C609" s="319">
        <f>C651+C689</f>
        <v>2516583.5</v>
      </c>
      <c r="D609" s="298">
        <v>4.4400000000000004</v>
      </c>
      <c r="E609" s="323"/>
      <c r="F609" s="321">
        <f>F651+F689</f>
        <v>11173631</v>
      </c>
      <c r="G609" s="298">
        <v>4.72</v>
      </c>
      <c r="H609" s="323"/>
      <c r="I609" s="321">
        <f>I651+I689</f>
        <v>11878274</v>
      </c>
      <c r="J609" s="301">
        <f ca="1">N609+R609+V609</f>
        <v>5.87</v>
      </c>
      <c r="K609" s="323"/>
      <c r="L609" s="321">
        <f ca="1">L651+L689</f>
        <v>14772345</v>
      </c>
      <c r="M609" s="321"/>
      <c r="N609" s="301">
        <f ca="1">ROUND(P609/C609,2)</f>
        <v>0.95</v>
      </c>
      <c r="O609" s="323"/>
      <c r="P609" s="321">
        <f ca="1">($Y$639-$P$602-$P$603-$P$604-$P$606-$P$607-$P$610-$P$612-$P$613-$P$614-$P$615-$P$616-$P$620-$P$621-$P$622-$P$623-$P$624-$P$625-$P$626-$P$627-$P$628-$P$629-$P$630-$P$631-$P$632-$P$633-$P$635)</f>
        <v>2396111.3892841926</v>
      </c>
      <c r="Q609" s="321"/>
      <c r="R609" s="301">
        <f ca="1">AF616</f>
        <v>0.98</v>
      </c>
      <c r="S609" s="323"/>
      <c r="T609" s="321">
        <f ca="1">(L609-P609)*Y609/(Y609+Z609)</f>
        <v>2465184.7435978642</v>
      </c>
      <c r="U609" s="321"/>
      <c r="V609" s="301">
        <f ca="1">AF615</f>
        <v>3.94</v>
      </c>
      <c r="W609" s="323"/>
      <c r="X609" s="321">
        <f ca="1">(L609-P609)*Z609/(Y609+Z609)</f>
        <v>9911048.8671179432</v>
      </c>
      <c r="Y609" s="329">
        <f ca="1">R609*C609</f>
        <v>2466251.83</v>
      </c>
      <c r="Z609" s="69">
        <f ca="1">V609*C609</f>
        <v>9915338.9900000002</v>
      </c>
      <c r="AA609" s="55">
        <f ca="1">(J609-G609)/G609</f>
        <v>0.24364406779661027</v>
      </c>
      <c r="AB609" s="55"/>
      <c r="AC609" s="728">
        <f ca="1">L609/L636</f>
        <v>0.1989090470480559</v>
      </c>
      <c r="AD609" s="728">
        <f>'COS versus rates'!F153</f>
        <v>0.38524800539754989</v>
      </c>
      <c r="AE609" s="321">
        <f ca="1">AD609*Z636</f>
        <v>28611207.048768908</v>
      </c>
      <c r="AF609" s="329">
        <f>'COS versus rates'!F172</f>
        <v>8.7635246393401953</v>
      </c>
      <c r="AG609" s="4" t="s">
        <v>935</v>
      </c>
      <c r="AM609" s="20"/>
      <c r="AN609" s="20"/>
      <c r="AO609" s="20"/>
      <c r="AP609" s="20"/>
      <c r="AQ609" s="20"/>
      <c r="AR609" s="20"/>
      <c r="AS609" s="20"/>
    </row>
    <row r="610" spans="1:47">
      <c r="A610" s="309" t="s">
        <v>441</v>
      </c>
      <c r="B610" s="1"/>
      <c r="C610" s="319">
        <f>C652+C690</f>
        <v>1998.6666666666692</v>
      </c>
      <c r="D610" s="369">
        <v>4.4400000000000004</v>
      </c>
      <c r="E610" s="323"/>
      <c r="F610" s="321">
        <f>F652+F690</f>
        <v>8874</v>
      </c>
      <c r="G610" s="369">
        <v>4.72</v>
      </c>
      <c r="H610" s="323"/>
      <c r="I610" s="321">
        <f>I652+I690</f>
        <v>9434</v>
      </c>
      <c r="J610" s="805">
        <f ca="1">J609</f>
        <v>5.87</v>
      </c>
      <c r="K610" s="323"/>
      <c r="L610" s="321">
        <f ca="1">L652+L690</f>
        <v>11732</v>
      </c>
      <c r="M610" s="321"/>
      <c r="N610" s="805">
        <f ca="1">N609</f>
        <v>0.95</v>
      </c>
      <c r="O610" s="323"/>
      <c r="P610" s="321">
        <f ca="1">N610*C610</f>
        <v>1898.7333333333356</v>
      </c>
      <c r="Q610" s="321"/>
      <c r="R610" s="805">
        <f ca="1">R609</f>
        <v>0.98</v>
      </c>
      <c r="S610" s="323"/>
      <c r="T610" s="321">
        <f ca="1">R610*C610</f>
        <v>1958.6933333333359</v>
      </c>
      <c r="U610" s="321"/>
      <c r="V610" s="805">
        <f ca="1">V609</f>
        <v>3.94</v>
      </c>
      <c r="W610" s="323"/>
      <c r="X610" s="321">
        <f ca="1">V610*C610</f>
        <v>7874.7466666666769</v>
      </c>
      <c r="Y610" s="329"/>
      <c r="AA610" s="55">
        <f ca="1">(J610-G610)/G610</f>
        <v>0.24364406779661027</v>
      </c>
      <c r="AB610" s="55"/>
      <c r="AC610" s="69"/>
      <c r="AF610" s="329">
        <f>'COS versus rates'!F173</f>
        <v>2.1706157531991344</v>
      </c>
      <c r="AG610" s="4" t="s">
        <v>818</v>
      </c>
      <c r="AM610" s="20"/>
      <c r="AN610" s="20"/>
      <c r="AO610" s="20"/>
      <c r="AP610" s="20"/>
      <c r="AQ610" s="20"/>
      <c r="AR610" s="20"/>
      <c r="AS610" s="20"/>
    </row>
    <row r="611" spans="1:47">
      <c r="A611" s="323" t="s">
        <v>426</v>
      </c>
      <c r="B611" s="1"/>
      <c r="C611" s="319"/>
      <c r="D611" s="298"/>
      <c r="E611" s="323"/>
      <c r="F611" s="321"/>
      <c r="G611" s="298"/>
      <c r="H611" s="323"/>
      <c r="I611" s="321"/>
      <c r="J611" s="301"/>
      <c r="K611" s="323"/>
      <c r="L611" s="321"/>
      <c r="M611" s="321"/>
      <c r="N611" s="301"/>
      <c r="O611" s="323"/>
      <c r="P611" s="321"/>
      <c r="Q611" s="321"/>
      <c r="R611" s="301"/>
      <c r="S611" s="323"/>
      <c r="T611" s="321"/>
      <c r="U611" s="321"/>
      <c r="V611" s="301"/>
      <c r="W611" s="323"/>
      <c r="X611" s="321"/>
      <c r="AC611" s="88" t="s">
        <v>31</v>
      </c>
      <c r="AF611" s="3">
        <f>ROUND(AF609/2,2)</f>
        <v>4.38</v>
      </c>
      <c r="AG611" s="1701" t="s">
        <v>1087</v>
      </c>
      <c r="AM611" s="20"/>
      <c r="AN611" s="20"/>
      <c r="AO611" s="20"/>
      <c r="AP611" s="20"/>
      <c r="AQ611" s="20"/>
      <c r="AR611" s="20"/>
      <c r="AS611" s="20"/>
    </row>
    <row r="612" spans="1:47">
      <c r="A612" s="323" t="s">
        <v>427</v>
      </c>
      <c r="B612" s="319"/>
      <c r="C612" s="319">
        <f>C654+C692</f>
        <v>396791152.47443527</v>
      </c>
      <c r="D612" s="327">
        <v>5.2919999999999998</v>
      </c>
      <c r="E612" s="323" t="s">
        <v>374</v>
      </c>
      <c r="F612" s="321">
        <f>F654+F692</f>
        <v>20998188</v>
      </c>
      <c r="G612" s="327">
        <v>5.6289999999999996</v>
      </c>
      <c r="H612" s="323" t="s">
        <v>374</v>
      </c>
      <c r="I612" s="321">
        <f>I654+I692</f>
        <v>22335374</v>
      </c>
      <c r="J612" s="806">
        <f ca="1">ROUND(G612*(1+AA636)-J615,3)+0.001</f>
        <v>2.6779999999999999</v>
      </c>
      <c r="K612" s="323" t="s">
        <v>374</v>
      </c>
      <c r="L612" s="321">
        <f ca="1">L654+L692</f>
        <v>10626067</v>
      </c>
      <c r="M612" s="321"/>
      <c r="N612" s="806" t="s">
        <v>31</v>
      </c>
      <c r="O612" s="323" t="s">
        <v>31</v>
      </c>
      <c r="P612" s="321">
        <f>N612*C612</f>
        <v>0</v>
      </c>
      <c r="Q612" s="321"/>
      <c r="R612" s="806">
        <f ca="1">ROUND(T612/$C$612*100,3)</f>
        <v>1.2070000000000001</v>
      </c>
      <c r="S612" s="323" t="s">
        <v>374</v>
      </c>
      <c r="T612" s="321">
        <f ca="1">($Z$639-$T$602-$T$603-$T$604-$T$606-$T$607-$T$609-$T$610-$T$614-$T$615-$T$616-$T$620-$T$621-$T$622-$T$623-$T$624-$T$625-$T$626-$T$627-$T$628-$T$629-$T$630-$T$631-$T$632-$T$633-$T$635)*($L$612/($L$612+$L$613))</f>
        <v>4789221.4770080782</v>
      </c>
      <c r="U612" s="321"/>
      <c r="V612" s="806">
        <f ca="1">ROUND(X612/$C$612*100,3)</f>
        <v>1.4710000000000001</v>
      </c>
      <c r="W612" s="323" t="s">
        <v>374</v>
      </c>
      <c r="X612" s="321">
        <f ca="1">($AA$639-$X$602-$X$603-$X$604-$X$606-$X$607-$X$609-$X$610-$X$614-$X$615-$X$616-$X$620-$X$621-$X$622-$X$623-$X$624-$X$625-$X$626-$X$627-$X$628-$X$629-$X$630-$X$631-$X$632-$X$633-$X$635)*($L$612/($L$612+$L$613))</f>
        <v>5836844.1281186156</v>
      </c>
      <c r="AA612" s="55">
        <f ca="1">((J612+J615)-G612)/G612</f>
        <v>8.2430271806715305E-2</v>
      </c>
      <c r="AB612" s="55"/>
      <c r="AC612" s="69"/>
      <c r="AF612" s="3">
        <f>ROUND(AF610/2,2)</f>
        <v>1.0900000000000001</v>
      </c>
      <c r="AG612" s="1701" t="s">
        <v>1088</v>
      </c>
      <c r="AM612" s="20"/>
      <c r="AN612" s="20"/>
      <c r="AO612" s="20"/>
      <c r="AP612" s="20"/>
      <c r="AQ612" s="20"/>
      <c r="AR612" s="20"/>
      <c r="AS612" s="20"/>
    </row>
    <row r="613" spans="1:47">
      <c r="A613" s="323" t="s">
        <v>399</v>
      </c>
      <c r="B613" s="319"/>
      <c r="C613" s="319">
        <f>C655+C693</f>
        <v>502951619.70132762</v>
      </c>
      <c r="D613" s="327">
        <v>4.8499999999999996</v>
      </c>
      <c r="E613" s="323" t="s">
        <v>374</v>
      </c>
      <c r="F613" s="321">
        <f>F655+F693</f>
        <v>24393153</v>
      </c>
      <c r="G613" s="327">
        <v>5.157</v>
      </c>
      <c r="H613" s="323" t="s">
        <v>374</v>
      </c>
      <c r="I613" s="321">
        <f>I655+I693</f>
        <v>25937215</v>
      </c>
      <c r="J613" s="806">
        <f ca="1">ROUND(J612/G612*G613,3)-0.001</f>
        <v>2.452</v>
      </c>
      <c r="K613" s="323" t="s">
        <v>374</v>
      </c>
      <c r="L613" s="321">
        <f ca="1">L655+L693</f>
        <v>12332374</v>
      </c>
      <c r="M613" s="321"/>
      <c r="N613" s="806" t="s">
        <v>31</v>
      </c>
      <c r="O613" s="323" t="s">
        <v>31</v>
      </c>
      <c r="P613" s="321">
        <f t="shared" ref="P613:P614" si="206">N613*C613</f>
        <v>0</v>
      </c>
      <c r="Q613" s="321"/>
      <c r="R613" s="806">
        <f ca="1">ROUND(T613/$C$613*100,3)</f>
        <v>1.105</v>
      </c>
      <c r="S613" s="323" t="s">
        <v>374</v>
      </c>
      <c r="T613" s="321">
        <f ca="1">($Z$639-$T$602-$T$603-$T$604-$T$606-$T$607-$T$609-$T$610-$T$614-$T$615-$T$616-$T$620-$T$621-$T$622-$T$623-$T$624-$T$625-$T$626-$T$627-$T$628-$T$629-$T$630-$T$631-$T$632-$T$633-$T$635)*($L$613/($L$612+$L$613))</f>
        <v>5558262.5653777653</v>
      </c>
      <c r="U613" s="321"/>
      <c r="V613" s="806">
        <f ca="1">ROUND(X613/$C$613*100,3)</f>
        <v>1.347</v>
      </c>
      <c r="W613" s="323" t="s">
        <v>374</v>
      </c>
      <c r="X613" s="321">
        <f ca="1">($AA$639-$X$602-$X$603-$X$604-$X$606-$X$607-$X$609-$X$610-$X$614-$X$615-$X$616-$X$620-$X$621-$X$622-$X$623-$X$624-$X$625-$X$626-$X$627-$X$628-$X$629-$X$630-$X$631-$X$632-$X$633-$X$635)*($L$613/($L$612+$L$613))</f>
        <v>6774109.8157636942</v>
      </c>
      <c r="AA613" s="55">
        <f ca="1">((J613+J616)-G613)/G613</f>
        <v>8.2606166375799914E-2</v>
      </c>
      <c r="AB613" s="55"/>
      <c r="AC613" s="69"/>
      <c r="AF613" s="329">
        <f ca="1">'Schedule 36 filed method'!AF26</f>
        <v>3.49</v>
      </c>
      <c r="AG613" s="4" t="s">
        <v>1092</v>
      </c>
      <c r="AN613" s="20"/>
      <c r="AO613" s="20"/>
      <c r="AP613" s="20"/>
      <c r="AQ613" s="20"/>
      <c r="AR613" s="20"/>
      <c r="AS613" s="20"/>
    </row>
    <row r="614" spans="1:47">
      <c r="A614" s="323" t="s">
        <v>400</v>
      </c>
      <c r="B614" s="1"/>
      <c r="C614" s="319">
        <f>C656+C694</f>
        <v>497319.56666666747</v>
      </c>
      <c r="D614" s="612">
        <v>56</v>
      </c>
      <c r="E614" s="323" t="s">
        <v>374</v>
      </c>
      <c r="F614" s="321">
        <f>F656+F694</f>
        <v>278499</v>
      </c>
      <c r="G614" s="612">
        <v>56</v>
      </c>
      <c r="H614" s="323" t="s">
        <v>374</v>
      </c>
      <c r="I614" s="321">
        <f>I656+I694</f>
        <v>278499</v>
      </c>
      <c r="J614" s="612">
        <f>G614</f>
        <v>56</v>
      </c>
      <c r="K614" s="323" t="s">
        <v>374</v>
      </c>
      <c r="L614" s="321">
        <f>L656+L694</f>
        <v>278499</v>
      </c>
      <c r="M614" s="321"/>
      <c r="N614" s="1282" t="s">
        <v>31</v>
      </c>
      <c r="O614" s="323" t="s">
        <v>31</v>
      </c>
      <c r="P614" s="321">
        <f t="shared" si="206"/>
        <v>0</v>
      </c>
      <c r="Q614" s="321"/>
      <c r="R614" s="612">
        <f ca="1">ROUND(T614/C614*100,0)</f>
        <v>11</v>
      </c>
      <c r="S614" s="323" t="s">
        <v>374</v>
      </c>
      <c r="T614" s="321">
        <f ca="1">$L$614*Z639/($Z$639+$AA$639)</f>
        <v>55209.346114693821</v>
      </c>
      <c r="U614" s="321"/>
      <c r="V614" s="612">
        <f ca="1">ROUND(X614/C614*100,0)</f>
        <v>45</v>
      </c>
      <c r="W614" s="323" t="s">
        <v>374</v>
      </c>
      <c r="X614" s="321">
        <f ca="1">$L$614*AA639/($Z$639+$AA$639)</f>
        <v>223289.65388530618</v>
      </c>
      <c r="AA614" s="55">
        <f>(J614-G614)/G614</f>
        <v>0</v>
      </c>
      <c r="AB614" s="55"/>
      <c r="AC614" s="69"/>
      <c r="AF614" s="329">
        <f ca="1">'Schedule 36 filed method'!AF27</f>
        <v>0.86</v>
      </c>
      <c r="AG614" s="4" t="s">
        <v>1091</v>
      </c>
      <c r="AN614" s="20"/>
      <c r="AO614" s="20"/>
      <c r="AP614" s="20"/>
      <c r="AQ614" s="20"/>
      <c r="AR614" s="20"/>
      <c r="AS614" s="20"/>
    </row>
    <row r="615" spans="1:47" s="1184" customFormat="1">
      <c r="A615" s="1005" t="s">
        <v>1026</v>
      </c>
      <c r="C615" s="1026">
        <f>C612</f>
        <v>396791152.47443527</v>
      </c>
      <c r="D615" s="269"/>
      <c r="E615" s="1185"/>
      <c r="F615" s="1203"/>
      <c r="G615" s="269"/>
      <c r="H615" s="1185"/>
      <c r="I615" s="1203"/>
      <c r="J615" s="1230">
        <f>ROUND((I612/($I$612+$I$613)*$Y$615)/C615*100,3)-0.001</f>
        <v>3.415</v>
      </c>
      <c r="K615" s="1041" t="s">
        <v>374</v>
      </c>
      <c r="L615" s="1041">
        <f>L657+L695</f>
        <v>13550418</v>
      </c>
      <c r="M615" s="1041"/>
      <c r="N615" s="1230" t="s">
        <v>31</v>
      </c>
      <c r="O615" s="1041" t="s">
        <v>31</v>
      </c>
      <c r="P615" s="1040">
        <f t="shared" ref="P615:P616" si="207">N615*C615</f>
        <v>0</v>
      </c>
      <c r="Q615" s="1041"/>
      <c r="R615" s="1230" t="s">
        <v>31</v>
      </c>
      <c r="S615" s="1041" t="s">
        <v>31</v>
      </c>
      <c r="T615" s="1040">
        <f t="shared" ref="T615:T616" si="208">R615*C615</f>
        <v>0</v>
      </c>
      <c r="U615" s="1041"/>
      <c r="V615" s="1230">
        <f>J615</f>
        <v>3.415</v>
      </c>
      <c r="W615" s="1041" t="s">
        <v>374</v>
      </c>
      <c r="X615" s="1041">
        <f>X657+X695</f>
        <v>13550418</v>
      </c>
      <c r="Y615" s="1204">
        <f>'NPC Spread'!F33</f>
        <v>29291580.401307046</v>
      </c>
      <c r="Z615" s="815" t="s">
        <v>913</v>
      </c>
      <c r="AC615" s="1205"/>
      <c r="AD615" s="1205"/>
      <c r="AF615" s="1184">
        <f ca="1">ROUND((AF611-AF613)/2+AF613,2)</f>
        <v>3.94</v>
      </c>
      <c r="AG615" s="1701" t="s">
        <v>1089</v>
      </c>
      <c r="AH615" s="3"/>
      <c r="AI615" s="1185"/>
      <c r="AJ615" s="1185"/>
      <c r="AK615" s="1185"/>
      <c r="AL615" s="1185"/>
      <c r="AM615" s="1185"/>
      <c r="AN615" s="1185"/>
      <c r="AO615" s="1185"/>
      <c r="AP615" s="1185"/>
      <c r="AQ615" s="1185"/>
      <c r="AR615" s="1185"/>
      <c r="AS615" s="1185"/>
      <c r="AU615" s="1204"/>
    </row>
    <row r="616" spans="1:47" s="1184" customFormat="1">
      <c r="A616" s="1005" t="s">
        <v>1027</v>
      </c>
      <c r="C616" s="1026">
        <f>C613</f>
        <v>502951619.70132762</v>
      </c>
      <c r="D616" s="269"/>
      <c r="E616" s="1185"/>
      <c r="F616" s="1203"/>
      <c r="G616" s="269"/>
      <c r="H616" s="1185"/>
      <c r="I616" s="1203"/>
      <c r="J616" s="1230">
        <f>ROUND((I613/($I$612+$I$613)*$Y$615)/C616*100,3)+0.002</f>
        <v>3.1309999999999998</v>
      </c>
      <c r="K616" s="1041" t="s">
        <v>374</v>
      </c>
      <c r="L616" s="1041">
        <f>L658+L696</f>
        <v>15747415</v>
      </c>
      <c r="M616" s="1041"/>
      <c r="N616" s="1230" t="s">
        <v>31</v>
      </c>
      <c r="O616" s="1041" t="s">
        <v>31</v>
      </c>
      <c r="P616" s="1040">
        <f t="shared" si="207"/>
        <v>0</v>
      </c>
      <c r="Q616" s="1041"/>
      <c r="R616" s="1230" t="s">
        <v>31</v>
      </c>
      <c r="S616" s="1041" t="s">
        <v>31</v>
      </c>
      <c r="T616" s="1040">
        <f t="shared" si="208"/>
        <v>0</v>
      </c>
      <c r="U616" s="1041"/>
      <c r="V616" s="1230">
        <f>J616</f>
        <v>3.1309999999999998</v>
      </c>
      <c r="W616" s="1041" t="s">
        <v>374</v>
      </c>
      <c r="X616" s="1041">
        <f>X658+X696</f>
        <v>15747415</v>
      </c>
      <c r="Y616" s="1005" t="s">
        <v>31</v>
      </c>
      <c r="Z616" s="815"/>
      <c r="AC616" s="1205"/>
      <c r="AD616" s="1205"/>
      <c r="AF616" s="1184">
        <f ca="1">ROUND((AF612-AF614)/2+AF614,2)</f>
        <v>0.98</v>
      </c>
      <c r="AG616" s="1701" t="s">
        <v>1090</v>
      </c>
      <c r="AH616" s="3"/>
      <c r="AI616" s="1185"/>
      <c r="AJ616" s="1185"/>
      <c r="AK616" s="1185"/>
      <c r="AL616" s="1185"/>
      <c r="AM616" s="1185"/>
      <c r="AN616" s="1185"/>
      <c r="AO616" s="1185"/>
      <c r="AP616" s="1185"/>
      <c r="AQ616" s="1185"/>
      <c r="AR616" s="1185"/>
      <c r="AS616" s="1185"/>
      <c r="AU616" s="1204"/>
    </row>
    <row r="617" spans="1:47" s="1184" customFormat="1">
      <c r="A617" s="1509" t="s">
        <v>926</v>
      </c>
      <c r="B617" s="1510"/>
      <c r="C617" s="1517"/>
      <c r="D617" s="1512"/>
      <c r="E617" s="1513"/>
      <c r="F617" s="1514"/>
      <c r="G617" s="1520">
        <f>G612</f>
        <v>5.6289999999999996</v>
      </c>
      <c r="H617" s="1518" t="s">
        <v>374</v>
      </c>
      <c r="I617" s="1514"/>
      <c r="J617" s="1520">
        <f ca="1">J612+J615</f>
        <v>6.093</v>
      </c>
      <c r="K617" s="1518" t="s">
        <v>374</v>
      </c>
      <c r="L617" s="1521"/>
      <c r="M617" s="1521"/>
      <c r="N617" s="1520">
        <f>N612+N615</f>
        <v>0</v>
      </c>
      <c r="O617" s="1518" t="s">
        <v>31</v>
      </c>
      <c r="P617" s="1521"/>
      <c r="Q617" s="1521"/>
      <c r="R617" s="1520">
        <f ca="1">R612+R615</f>
        <v>1.2070000000000001</v>
      </c>
      <c r="S617" s="1518" t="s">
        <v>374</v>
      </c>
      <c r="T617" s="1521"/>
      <c r="U617" s="1521"/>
      <c r="V617" s="1520">
        <f ca="1">V612+V615</f>
        <v>4.8860000000000001</v>
      </c>
      <c r="W617" s="1518" t="s">
        <v>374</v>
      </c>
      <c r="X617" s="1521"/>
      <c r="Y617" s="1005"/>
      <c r="Z617" s="815"/>
      <c r="AA617" s="55">
        <f ca="1">(J617-G617)/G617</f>
        <v>8.2430271806715305E-2</v>
      </c>
      <c r="AC617" s="1205"/>
      <c r="AD617" s="1205"/>
      <c r="AI617" s="1185"/>
      <c r="AJ617" s="1185"/>
      <c r="AK617" s="1185"/>
      <c r="AL617" s="1185"/>
      <c r="AM617" s="1185"/>
      <c r="AN617" s="1185"/>
      <c r="AO617" s="1185"/>
      <c r="AP617" s="1185"/>
      <c r="AQ617" s="1185"/>
      <c r="AR617" s="1185"/>
      <c r="AS617" s="1185"/>
      <c r="AU617" s="1204"/>
    </row>
    <row r="618" spans="1:47" s="1184" customFormat="1">
      <c r="A618" s="1509" t="s">
        <v>927</v>
      </c>
      <c r="B618" s="1510"/>
      <c r="C618" s="1517"/>
      <c r="D618" s="1512"/>
      <c r="E618" s="1513"/>
      <c r="F618" s="1514"/>
      <c r="G618" s="1520">
        <f>G613</f>
        <v>5.157</v>
      </c>
      <c r="H618" s="1518" t="s">
        <v>374</v>
      </c>
      <c r="I618" s="1514"/>
      <c r="J618" s="1520">
        <f ca="1">J613+J616</f>
        <v>5.5830000000000002</v>
      </c>
      <c r="K618" s="1518" t="s">
        <v>374</v>
      </c>
      <c r="L618" s="1521"/>
      <c r="M618" s="1521"/>
      <c r="N618" s="1520">
        <f>N613+N616</f>
        <v>0</v>
      </c>
      <c r="O618" s="1518" t="s">
        <v>31</v>
      </c>
      <c r="P618" s="1521"/>
      <c r="Q618" s="1521"/>
      <c r="R618" s="1520">
        <f ca="1">R613+R616</f>
        <v>1.105</v>
      </c>
      <c r="S618" s="1518" t="s">
        <v>374</v>
      </c>
      <c r="T618" s="1521"/>
      <c r="U618" s="1521"/>
      <c r="V618" s="1520">
        <f ca="1">V613+V616</f>
        <v>4.4779999999999998</v>
      </c>
      <c r="W618" s="1518" t="s">
        <v>374</v>
      </c>
      <c r="X618" s="1521"/>
      <c r="Y618" s="1703"/>
      <c r="Z618" s="1704"/>
      <c r="AA618" s="55">
        <f ca="1">(J618-G618)/G618</f>
        <v>8.2606166375799914E-2</v>
      </c>
      <c r="AC618" s="1205"/>
      <c r="AD618" s="1205"/>
      <c r="AI618" s="1185"/>
      <c r="AJ618" s="1185"/>
      <c r="AK618" s="1185"/>
      <c r="AL618" s="1185"/>
      <c r="AM618" s="1185"/>
      <c r="AN618" s="1185"/>
      <c r="AO618" s="1185"/>
      <c r="AP618" s="1185"/>
      <c r="AQ618" s="1185"/>
      <c r="AR618" s="1185"/>
      <c r="AS618" s="1185"/>
      <c r="AU618" s="1204"/>
    </row>
    <row r="619" spans="1:47">
      <c r="A619" s="360" t="s">
        <v>401</v>
      </c>
      <c r="B619" s="1"/>
      <c r="C619" s="319"/>
      <c r="D619" s="332">
        <v>-0.01</v>
      </c>
      <c r="E619" s="2"/>
      <c r="F619" s="321"/>
      <c r="G619" s="332">
        <v>-0.01</v>
      </c>
      <c r="H619" s="1"/>
      <c r="I619" s="321"/>
      <c r="J619" s="807">
        <v>-0.01</v>
      </c>
      <c r="K619" s="1"/>
      <c r="L619" s="321"/>
      <c r="M619" s="321"/>
      <c r="N619" s="807">
        <v>-0.01</v>
      </c>
      <c r="O619" s="1"/>
      <c r="P619" s="321"/>
      <c r="Q619" s="321"/>
      <c r="R619" s="807">
        <v>-0.01</v>
      </c>
      <c r="S619" s="1"/>
      <c r="T619" s="321"/>
      <c r="U619" s="321"/>
      <c r="V619" s="807">
        <v>-0.01</v>
      </c>
      <c r="W619" s="1"/>
      <c r="X619" s="321"/>
      <c r="AN619" s="20"/>
      <c r="AO619" s="20"/>
      <c r="AP619" s="20"/>
      <c r="AQ619" s="20"/>
      <c r="AR619" s="20"/>
      <c r="AS619" s="20"/>
    </row>
    <row r="620" spans="1:47">
      <c r="A620" s="323" t="s">
        <v>421</v>
      </c>
      <c r="B620" s="1"/>
      <c r="C620" s="319">
        <f t="shared" ref="C620:C631" si="209">C660+C698</f>
        <v>0.46666666666666701</v>
      </c>
      <c r="D620" s="304">
        <v>259</v>
      </c>
      <c r="E620" s="364"/>
      <c r="F620" s="321">
        <f t="shared" ref="F620:F631" si="210">F660+F698</f>
        <v>-1</v>
      </c>
      <c r="G620" s="304">
        <v>259</v>
      </c>
      <c r="H620" s="293"/>
      <c r="I620" s="321">
        <f t="shared" ref="I620:I631" si="211">I660+I698</f>
        <v>-1</v>
      </c>
      <c r="J620" s="304">
        <f>J602</f>
        <v>259</v>
      </c>
      <c r="K620" s="293"/>
      <c r="L620" s="321">
        <f t="shared" ref="L620:L631" si="212">L660+L698</f>
        <v>-1</v>
      </c>
      <c r="M620" s="321"/>
      <c r="N620" s="304">
        <f>N602</f>
        <v>259</v>
      </c>
      <c r="O620" s="293"/>
      <c r="P620" s="321">
        <f>L620</f>
        <v>-1</v>
      </c>
      <c r="Q620" s="321"/>
      <c r="R620" s="304" t="str">
        <f>R602</f>
        <v xml:space="preserve"> </v>
      </c>
      <c r="S620" s="293"/>
      <c r="T620" s="322">
        <f>R620*C620*$R$619</f>
        <v>0</v>
      </c>
      <c r="U620" s="321"/>
      <c r="V620" s="304" t="str">
        <f>V602</f>
        <v xml:space="preserve"> </v>
      </c>
      <c r="W620" s="293"/>
      <c r="X620" s="322">
        <f>V620*C620*$V$619</f>
        <v>0</v>
      </c>
      <c r="Z620" s="88" t="s">
        <v>31</v>
      </c>
      <c r="AN620" s="20"/>
      <c r="AO620" s="20"/>
      <c r="AP620" s="20"/>
      <c r="AQ620" s="20"/>
      <c r="AR620" s="20"/>
      <c r="AS620" s="20"/>
    </row>
    <row r="621" spans="1:47">
      <c r="A621" s="323" t="s">
        <v>422</v>
      </c>
      <c r="B621" s="1"/>
      <c r="C621" s="319">
        <f t="shared" si="209"/>
        <v>68.599999999999994</v>
      </c>
      <c r="D621" s="304">
        <v>96</v>
      </c>
      <c r="E621" s="364"/>
      <c r="F621" s="321">
        <f t="shared" si="210"/>
        <v>-66</v>
      </c>
      <c r="G621" s="304">
        <v>96</v>
      </c>
      <c r="H621" s="293"/>
      <c r="I621" s="321">
        <f t="shared" si="211"/>
        <v>-66</v>
      </c>
      <c r="J621" s="304">
        <f>J603</f>
        <v>96</v>
      </c>
      <c r="K621" s="293"/>
      <c r="L621" s="321">
        <f t="shared" si="212"/>
        <v>-66</v>
      </c>
      <c r="M621" s="321"/>
      <c r="N621" s="304">
        <f>N603</f>
        <v>96</v>
      </c>
      <c r="O621" s="293"/>
      <c r="P621" s="321">
        <f t="shared" ref="P621:P624" si="213">L621</f>
        <v>-66</v>
      </c>
      <c r="Q621" s="321"/>
      <c r="R621" s="304" t="str">
        <f>R603</f>
        <v xml:space="preserve"> </v>
      </c>
      <c r="S621" s="293"/>
      <c r="T621" s="322">
        <f t="shared" ref="T621:T624" si="214">R621*C621*$R$619</f>
        <v>0</v>
      </c>
      <c r="U621" s="321"/>
      <c r="V621" s="304" t="str">
        <f>V603</f>
        <v xml:space="preserve"> </v>
      </c>
      <c r="W621" s="293"/>
      <c r="X621" s="322">
        <f t="shared" ref="X621:X624" si="215">V621*C621*$V$619</f>
        <v>0</v>
      </c>
      <c r="Z621" s="371"/>
      <c r="AD621" s="4" t="s">
        <v>31</v>
      </c>
      <c r="AM621" s="20"/>
      <c r="AN621" s="20"/>
      <c r="AO621" s="20"/>
      <c r="AP621" s="20"/>
      <c r="AQ621" s="20"/>
      <c r="AR621" s="20"/>
      <c r="AS621" s="20"/>
    </row>
    <row r="622" spans="1:47">
      <c r="A622" s="323" t="s">
        <v>423</v>
      </c>
      <c r="B622" s="1"/>
      <c r="C622" s="319">
        <f t="shared" si="209"/>
        <v>82</v>
      </c>
      <c r="D622" s="304">
        <v>192</v>
      </c>
      <c r="E622" s="372"/>
      <c r="F622" s="321">
        <f t="shared" si="210"/>
        <v>-157</v>
      </c>
      <c r="G622" s="304">
        <v>192</v>
      </c>
      <c r="H622" s="373"/>
      <c r="I622" s="321">
        <f t="shared" si="211"/>
        <v>-157</v>
      </c>
      <c r="J622" s="304">
        <f>J604</f>
        <v>192</v>
      </c>
      <c r="K622" s="373"/>
      <c r="L622" s="321">
        <f t="shared" si="212"/>
        <v>-157</v>
      </c>
      <c r="M622" s="321"/>
      <c r="N622" s="304">
        <f>N604</f>
        <v>192</v>
      </c>
      <c r="O622" s="373"/>
      <c r="P622" s="321">
        <f t="shared" si="213"/>
        <v>-157</v>
      </c>
      <c r="Q622" s="321"/>
      <c r="R622" s="304" t="str">
        <f>R604</f>
        <v xml:space="preserve"> </v>
      </c>
      <c r="S622" s="373"/>
      <c r="T622" s="322">
        <f t="shared" si="214"/>
        <v>0</v>
      </c>
      <c r="U622" s="321"/>
      <c r="V622" s="304" t="str">
        <f>V604</f>
        <v xml:space="preserve"> </v>
      </c>
      <c r="W622" s="373"/>
      <c r="X622" s="322">
        <f t="shared" si="215"/>
        <v>0</v>
      </c>
      <c r="Z622" s="1527" t="s">
        <v>31</v>
      </c>
      <c r="AM622" s="20"/>
      <c r="AN622" s="20"/>
      <c r="AO622" s="20"/>
      <c r="AP622" s="20"/>
      <c r="AQ622" s="20"/>
      <c r="AR622" s="20"/>
      <c r="AS622" s="20"/>
    </row>
    <row r="623" spans="1:47">
      <c r="A623" s="323" t="s">
        <v>422</v>
      </c>
      <c r="B623" s="1"/>
      <c r="C623" s="319">
        <f t="shared" si="209"/>
        <v>10765</v>
      </c>
      <c r="D623" s="304">
        <v>1.7</v>
      </c>
      <c r="E623" s="364"/>
      <c r="F623" s="321">
        <f t="shared" si="210"/>
        <v>-183</v>
      </c>
      <c r="G623" s="304">
        <v>1.7</v>
      </c>
      <c r="H623" s="293"/>
      <c r="I623" s="321">
        <f t="shared" si="211"/>
        <v>-183</v>
      </c>
      <c r="J623" s="304">
        <f ca="1">J606</f>
        <v>1.89</v>
      </c>
      <c r="K623" s="293"/>
      <c r="L623" s="321">
        <f t="shared" ca="1" si="212"/>
        <v>-203</v>
      </c>
      <c r="M623" s="321"/>
      <c r="N623" s="304">
        <f ca="1">N606</f>
        <v>1.89</v>
      </c>
      <c r="O623" s="293"/>
      <c r="P623" s="321">
        <f t="shared" ca="1" si="213"/>
        <v>-203</v>
      </c>
      <c r="Q623" s="321"/>
      <c r="R623" s="304" t="str">
        <f>R606</f>
        <v xml:space="preserve"> </v>
      </c>
      <c r="S623" s="293"/>
      <c r="T623" s="322">
        <f t="shared" si="214"/>
        <v>0</v>
      </c>
      <c r="U623" s="321"/>
      <c r="V623" s="304" t="str">
        <f>V606</f>
        <v xml:space="preserve"> </v>
      </c>
      <c r="W623" s="293"/>
      <c r="X623" s="322">
        <f t="shared" si="215"/>
        <v>0</v>
      </c>
      <c r="AM623" s="20"/>
      <c r="AN623" s="20"/>
      <c r="AO623" s="20"/>
      <c r="AP623" s="20"/>
      <c r="AQ623" s="20"/>
      <c r="AR623" s="20"/>
      <c r="AS623" s="20"/>
    </row>
    <row r="624" spans="1:47">
      <c r="A624" s="323" t="s">
        <v>423</v>
      </c>
      <c r="B624" s="1"/>
      <c r="C624" s="319">
        <f t="shared" si="209"/>
        <v>57957</v>
      </c>
      <c r="D624" s="304">
        <v>1.39</v>
      </c>
      <c r="E624" s="364" t="s">
        <v>31</v>
      </c>
      <c r="F624" s="321">
        <f t="shared" si="210"/>
        <v>-806</v>
      </c>
      <c r="G624" s="304">
        <v>1.39</v>
      </c>
      <c r="H624" s="293"/>
      <c r="I624" s="321">
        <f t="shared" si="211"/>
        <v>-806</v>
      </c>
      <c r="J624" s="304">
        <f ca="1">J607</f>
        <v>1.55</v>
      </c>
      <c r="K624" s="293"/>
      <c r="L624" s="321">
        <f t="shared" ca="1" si="212"/>
        <v>-898</v>
      </c>
      <c r="M624" s="321"/>
      <c r="N624" s="304">
        <f ca="1">N607</f>
        <v>1.55</v>
      </c>
      <c r="O624" s="293"/>
      <c r="P624" s="321">
        <f t="shared" ca="1" si="213"/>
        <v>-898</v>
      </c>
      <c r="Q624" s="321"/>
      <c r="R624" s="304" t="str">
        <f>R607</f>
        <v xml:space="preserve"> </v>
      </c>
      <c r="S624" s="293"/>
      <c r="T624" s="322">
        <f t="shared" si="214"/>
        <v>0</v>
      </c>
      <c r="U624" s="321"/>
      <c r="V624" s="304" t="str">
        <f>V607</f>
        <v xml:space="preserve"> </v>
      </c>
      <c r="W624" s="293"/>
      <c r="X624" s="322">
        <f t="shared" si="215"/>
        <v>0</v>
      </c>
      <c r="Z624" s="88" t="s">
        <v>31</v>
      </c>
      <c r="AM624" s="20"/>
      <c r="AN624" s="20"/>
      <c r="AO624" s="20"/>
      <c r="AP624" s="20"/>
      <c r="AQ624" s="20"/>
      <c r="AR624" s="20"/>
      <c r="AS624" s="20"/>
    </row>
    <row r="625" spans="1:47">
      <c r="A625" s="309" t="s">
        <v>425</v>
      </c>
      <c r="B625" s="1"/>
      <c r="C625" s="319">
        <f t="shared" si="209"/>
        <v>44958</v>
      </c>
      <c r="D625" s="304">
        <v>4.4400000000000004</v>
      </c>
      <c r="E625" s="364" t="s">
        <v>31</v>
      </c>
      <c r="F625" s="321">
        <f t="shared" si="210"/>
        <v>-1996</v>
      </c>
      <c r="G625" s="304">
        <v>4.72</v>
      </c>
      <c r="H625" s="293"/>
      <c r="I625" s="321">
        <f t="shared" si="211"/>
        <v>-2122</v>
      </c>
      <c r="J625" s="304">
        <f ca="1">J609</f>
        <v>5.87</v>
      </c>
      <c r="K625" s="293"/>
      <c r="L625" s="321">
        <f t="shared" ca="1" si="212"/>
        <v>-2639</v>
      </c>
      <c r="M625" s="321"/>
      <c r="N625" s="304">
        <f ca="1">N609</f>
        <v>0.95</v>
      </c>
      <c r="O625" s="293"/>
      <c r="P625" s="321">
        <f ca="1">N625*C625*N619</f>
        <v>-427.101</v>
      </c>
      <c r="Q625" s="321"/>
      <c r="R625" s="304">
        <f ca="1">R609</f>
        <v>0.98</v>
      </c>
      <c r="S625" s="293"/>
      <c r="T625" s="321">
        <f ca="1">R625*C625*$R$619</f>
        <v>-440.58839999999998</v>
      </c>
      <c r="U625" s="321"/>
      <c r="V625" s="304">
        <f ca="1">V609</f>
        <v>3.94</v>
      </c>
      <c r="W625" s="293"/>
      <c r="X625" s="321">
        <f ca="1">V625*C625*$V$619</f>
        <v>-1771.3452</v>
      </c>
      <c r="AM625" s="20"/>
      <c r="AN625" s="20"/>
      <c r="AO625" s="20"/>
      <c r="AP625" s="20"/>
      <c r="AQ625" s="20"/>
      <c r="AR625" s="20"/>
      <c r="AS625" s="20"/>
    </row>
    <row r="626" spans="1:47">
      <c r="A626" s="309" t="s">
        <v>441</v>
      </c>
      <c r="B626" s="1"/>
      <c r="C626" s="319">
        <f t="shared" si="209"/>
        <v>384.33333333333331</v>
      </c>
      <c r="D626" s="304">
        <v>4.4400000000000004</v>
      </c>
      <c r="E626" s="364" t="s">
        <v>31</v>
      </c>
      <c r="F626" s="321">
        <f t="shared" si="210"/>
        <v>-17</v>
      </c>
      <c r="G626" s="304">
        <v>4.72</v>
      </c>
      <c r="H626" s="293"/>
      <c r="I626" s="321">
        <f t="shared" si="211"/>
        <v>-18</v>
      </c>
      <c r="J626" s="304">
        <f ca="1">J610</f>
        <v>5.87</v>
      </c>
      <c r="K626" s="293"/>
      <c r="L626" s="321">
        <f t="shared" ca="1" si="212"/>
        <v>-23</v>
      </c>
      <c r="M626" s="321"/>
      <c r="N626" s="304">
        <f ca="1">N610</f>
        <v>0.95</v>
      </c>
      <c r="O626" s="293"/>
      <c r="P626" s="321">
        <f ca="1">N626*C626*N619</f>
        <v>-3.6511666666666662</v>
      </c>
      <c r="Q626" s="321"/>
      <c r="R626" s="304">
        <f ca="1">R610</f>
        <v>0.98</v>
      </c>
      <c r="S626" s="293"/>
      <c r="T626" s="321">
        <f ca="1">R626*C626*$R$619</f>
        <v>-3.7664666666666666</v>
      </c>
      <c r="U626" s="321"/>
      <c r="V626" s="304">
        <f ca="1">V610</f>
        <v>3.94</v>
      </c>
      <c r="W626" s="293"/>
      <c r="X626" s="321">
        <f ca="1">V626*C626*$V$619</f>
        <v>-15.142733333333334</v>
      </c>
      <c r="AM626" s="20"/>
      <c r="AN626" s="20"/>
      <c r="AO626" s="20"/>
      <c r="AP626" s="20"/>
      <c r="AQ626" s="20"/>
      <c r="AR626" s="20"/>
      <c r="AS626" s="20"/>
    </row>
    <row r="627" spans="1:47">
      <c r="A627" s="323" t="s">
        <v>427</v>
      </c>
      <c r="B627" s="1"/>
      <c r="C627" s="319">
        <f t="shared" si="209"/>
        <v>5159480</v>
      </c>
      <c r="D627" s="374">
        <v>5.2919999999999998</v>
      </c>
      <c r="E627" s="321" t="s">
        <v>374</v>
      </c>
      <c r="F627" s="321">
        <f t="shared" si="210"/>
        <v>-2732</v>
      </c>
      <c r="G627" s="374">
        <v>5.6289999999999996</v>
      </c>
      <c r="H627" s="323" t="s">
        <v>374</v>
      </c>
      <c r="I627" s="321">
        <f t="shared" si="211"/>
        <v>-2904</v>
      </c>
      <c r="J627" s="374">
        <f ca="1">J612</f>
        <v>2.6779999999999999</v>
      </c>
      <c r="K627" s="323" t="s">
        <v>374</v>
      </c>
      <c r="L627" s="321">
        <f t="shared" ca="1" si="212"/>
        <v>-1382</v>
      </c>
      <c r="M627" s="321"/>
      <c r="N627" s="374" t="str">
        <f>N612</f>
        <v xml:space="preserve"> </v>
      </c>
      <c r="O627" s="323" t="s">
        <v>31</v>
      </c>
      <c r="P627" s="321">
        <f>N627*C627</f>
        <v>0</v>
      </c>
      <c r="Q627" s="321"/>
      <c r="R627" s="374">
        <f ca="1">R612</f>
        <v>1.2070000000000001</v>
      </c>
      <c r="S627" s="323" t="s">
        <v>374</v>
      </c>
      <c r="T627" s="321">
        <f ca="1">R627*C627/100*$R$619</f>
        <v>-622.749236</v>
      </c>
      <c r="U627" s="321"/>
      <c r="V627" s="374">
        <f ca="1">V612</f>
        <v>1.4710000000000001</v>
      </c>
      <c r="W627" s="323" t="s">
        <v>374</v>
      </c>
      <c r="X627" s="321">
        <f ca="1">V627*C627/100*$V$619</f>
        <v>-758.95950800000003</v>
      </c>
      <c r="AM627" s="20"/>
      <c r="AN627" s="20"/>
      <c r="AO627" s="20"/>
      <c r="AP627" s="20"/>
      <c r="AQ627" s="20"/>
      <c r="AR627" s="20"/>
      <c r="AS627" s="20"/>
    </row>
    <row r="628" spans="1:47">
      <c r="A628" s="323" t="s">
        <v>399</v>
      </c>
      <c r="B628" s="1"/>
      <c r="C628" s="319">
        <f t="shared" si="209"/>
        <v>11810179</v>
      </c>
      <c r="D628" s="374">
        <v>4.8499999999999996</v>
      </c>
      <c r="E628" s="321" t="s">
        <v>374</v>
      </c>
      <c r="F628" s="321">
        <f t="shared" si="210"/>
        <v>-5730</v>
      </c>
      <c r="G628" s="374">
        <v>5.157</v>
      </c>
      <c r="H628" s="323" t="s">
        <v>374</v>
      </c>
      <c r="I628" s="321">
        <f t="shared" si="211"/>
        <v>-6090</v>
      </c>
      <c r="J628" s="374">
        <f ca="1">J613</f>
        <v>2.452</v>
      </c>
      <c r="K628" s="323" t="s">
        <v>374</v>
      </c>
      <c r="L628" s="321">
        <f t="shared" ca="1" si="212"/>
        <v>-2896</v>
      </c>
      <c r="M628" s="321"/>
      <c r="N628" s="374" t="str">
        <f>N613</f>
        <v xml:space="preserve"> </v>
      </c>
      <c r="O628" s="323" t="s">
        <v>31</v>
      </c>
      <c r="P628" s="321">
        <f>N628*C628</f>
        <v>0</v>
      </c>
      <c r="Q628" s="321"/>
      <c r="R628" s="374">
        <f ca="1">R613</f>
        <v>1.105</v>
      </c>
      <c r="S628" s="323" t="s">
        <v>374</v>
      </c>
      <c r="T628" s="321">
        <f ca="1">R628*C628/100*$R$619</f>
        <v>-1305.0247795</v>
      </c>
      <c r="U628" s="321"/>
      <c r="V628" s="374">
        <f ca="1">V613</f>
        <v>1.347</v>
      </c>
      <c r="W628" s="323" t="s">
        <v>374</v>
      </c>
      <c r="X628" s="321">
        <f ca="1">V628*C628/100*$V$619</f>
        <v>-1590.8311113</v>
      </c>
      <c r="AM628" s="20"/>
      <c r="AN628" s="20"/>
      <c r="AO628" s="20"/>
      <c r="AP628" s="20"/>
      <c r="AQ628" s="20"/>
      <c r="AR628" s="20"/>
      <c r="AS628" s="20"/>
    </row>
    <row r="629" spans="1:47">
      <c r="A629" s="323" t="s">
        <v>400</v>
      </c>
      <c r="B629" s="1"/>
      <c r="C629" s="319">
        <f t="shared" si="209"/>
        <v>8797.9666666666708</v>
      </c>
      <c r="D629" s="375">
        <v>56</v>
      </c>
      <c r="E629" s="321" t="s">
        <v>374</v>
      </c>
      <c r="F629" s="321">
        <f t="shared" si="210"/>
        <v>-50</v>
      </c>
      <c r="G629" s="375">
        <v>56</v>
      </c>
      <c r="H629" s="323" t="s">
        <v>374</v>
      </c>
      <c r="I629" s="321">
        <f t="shared" si="211"/>
        <v>-50</v>
      </c>
      <c r="J629" s="375">
        <f>J614</f>
        <v>56</v>
      </c>
      <c r="K629" s="323" t="s">
        <v>374</v>
      </c>
      <c r="L629" s="321">
        <f t="shared" si="212"/>
        <v>-50</v>
      </c>
      <c r="M629" s="321"/>
      <c r="N629" s="375" t="str">
        <f>N614</f>
        <v xml:space="preserve"> </v>
      </c>
      <c r="O629" s="323" t="s">
        <v>31</v>
      </c>
      <c r="P629" s="321">
        <f>N629*C629</f>
        <v>0</v>
      </c>
      <c r="Q629" s="321"/>
      <c r="R629" s="375">
        <f ca="1">R614</f>
        <v>11</v>
      </c>
      <c r="S629" s="323" t="s">
        <v>374</v>
      </c>
      <c r="T629" s="321">
        <f t="shared" ref="T629" ca="1" si="216">T669+T707</f>
        <v>-9</v>
      </c>
      <c r="U629" s="321"/>
      <c r="V629" s="375">
        <f ca="1">V614</f>
        <v>45</v>
      </c>
      <c r="W629" s="323" t="s">
        <v>374</v>
      </c>
      <c r="X629" s="321">
        <f t="shared" ref="X629" ca="1" si="217">X669+X707</f>
        <v>-39</v>
      </c>
      <c r="AM629" s="20"/>
      <c r="AN629" s="20"/>
      <c r="AO629" s="20"/>
      <c r="AP629" s="20"/>
      <c r="AQ629" s="20"/>
      <c r="AR629" s="20"/>
      <c r="AS629" s="20"/>
    </row>
    <row r="630" spans="1:47">
      <c r="A630" s="323" t="s">
        <v>443</v>
      </c>
      <c r="B630" s="1"/>
      <c r="C630" s="319">
        <f t="shared" si="209"/>
        <v>150.6</v>
      </c>
      <c r="D630" s="298">
        <v>60</v>
      </c>
      <c r="E630" s="364" t="s">
        <v>31</v>
      </c>
      <c r="F630" s="321">
        <f t="shared" si="210"/>
        <v>9036</v>
      </c>
      <c r="G630" s="298">
        <v>60</v>
      </c>
      <c r="H630" s="1"/>
      <c r="I630" s="321">
        <f t="shared" si="211"/>
        <v>9036</v>
      </c>
      <c r="J630" s="298">
        <f>'Blocking - detail'!I504</f>
        <v>60</v>
      </c>
      <c r="K630" s="1"/>
      <c r="L630" s="321">
        <f t="shared" si="212"/>
        <v>9036</v>
      </c>
      <c r="M630" s="321"/>
      <c r="N630" s="301" t="s">
        <v>31</v>
      </c>
      <c r="O630" s="1"/>
      <c r="P630" s="321">
        <f>N630*C630</f>
        <v>0</v>
      </c>
      <c r="Q630" s="321"/>
      <c r="R630" s="298">
        <f ca="1">T630/C630</f>
        <v>11.894336305988995</v>
      </c>
      <c r="S630" s="1"/>
      <c r="T630" s="321">
        <f ca="1">L630*(Z639/(Z639+AA639))</f>
        <v>1791.2870476819426</v>
      </c>
      <c r="U630" s="321"/>
      <c r="V630" s="298">
        <f ca="1">X630/C630</f>
        <v>48.105663694011</v>
      </c>
      <c r="W630" s="1"/>
      <c r="X630" s="321">
        <f ca="1">L630*(AA639/(Z639+AA639))</f>
        <v>7244.7129523180565</v>
      </c>
      <c r="AM630" s="20"/>
      <c r="AN630" s="20"/>
      <c r="AO630" s="20"/>
      <c r="AP630" s="20"/>
      <c r="AQ630" s="20"/>
      <c r="AR630" s="20"/>
      <c r="AS630" s="20"/>
    </row>
    <row r="631" spans="1:47">
      <c r="A631" s="323" t="s">
        <v>444</v>
      </c>
      <c r="B631" s="1"/>
      <c r="C631" s="319">
        <f t="shared" si="209"/>
        <v>68722</v>
      </c>
      <c r="D631" s="339">
        <v>-30</v>
      </c>
      <c r="E631" s="321" t="s">
        <v>374</v>
      </c>
      <c r="F631" s="321">
        <f t="shared" si="210"/>
        <v>-20617</v>
      </c>
      <c r="G631" s="339">
        <v>-30</v>
      </c>
      <c r="H631" s="321" t="s">
        <v>374</v>
      </c>
      <c r="I631" s="321">
        <f t="shared" si="211"/>
        <v>-20617</v>
      </c>
      <c r="J631" s="339">
        <f>'Blocking - detail'!I505</f>
        <v>-30</v>
      </c>
      <c r="K631" s="321" t="s">
        <v>374</v>
      </c>
      <c r="L631" s="321">
        <f t="shared" si="212"/>
        <v>-20617</v>
      </c>
      <c r="M631" s="321"/>
      <c r="N631" s="339">
        <f>J631</f>
        <v>-30</v>
      </c>
      <c r="O631" s="321" t="s">
        <v>374</v>
      </c>
      <c r="P631" s="321">
        <f>L631</f>
        <v>-20617</v>
      </c>
      <c r="Q631" s="321"/>
      <c r="R631" s="1587" t="s">
        <v>31</v>
      </c>
      <c r="S631" s="321" t="s">
        <v>31</v>
      </c>
      <c r="T631" s="322">
        <f>R631*C631</f>
        <v>0</v>
      </c>
      <c r="U631" s="321"/>
      <c r="V631" s="1587" t="s">
        <v>31</v>
      </c>
      <c r="W631" s="321" t="s">
        <v>31</v>
      </c>
      <c r="X631" s="322">
        <f>V631*C631</f>
        <v>0</v>
      </c>
      <c r="AM631" s="20"/>
      <c r="AN631" s="20"/>
      <c r="AO631" s="20"/>
      <c r="AP631" s="20"/>
      <c r="AQ631" s="20"/>
      <c r="AR631" s="20"/>
      <c r="AS631" s="20"/>
    </row>
    <row r="632" spans="1:47" s="1184" customFormat="1">
      <c r="A632" s="1005" t="s">
        <v>1026</v>
      </c>
      <c r="C632" s="1026">
        <f>C627</f>
        <v>5159480</v>
      </c>
      <c r="D632" s="269"/>
      <c r="E632" s="1185"/>
      <c r="F632" s="1203"/>
      <c r="G632" s="269"/>
      <c r="H632" s="1185"/>
      <c r="I632" s="1203"/>
      <c r="J632" s="1230">
        <f>J615</f>
        <v>3.415</v>
      </c>
      <c r="K632" s="1041" t="s">
        <v>374</v>
      </c>
      <c r="L632" s="321">
        <f t="shared" ref="L632:L633" si="218">L672+L710</f>
        <v>-1762</v>
      </c>
      <c r="M632" s="321"/>
      <c r="N632" s="1230" t="str">
        <f>N615</f>
        <v xml:space="preserve"> </v>
      </c>
      <c r="O632" s="1041" t="s">
        <v>31</v>
      </c>
      <c r="P632" s="1040">
        <f>N632*C632/100*N619</f>
        <v>0</v>
      </c>
      <c r="Q632" s="321"/>
      <c r="R632" s="1230" t="s">
        <v>31</v>
      </c>
      <c r="S632" s="1041" t="s">
        <v>31</v>
      </c>
      <c r="T632" s="1040">
        <f>R632*C632/100*R619</f>
        <v>0</v>
      </c>
      <c r="U632" s="321"/>
      <c r="V632" s="1230">
        <f>V615</f>
        <v>3.415</v>
      </c>
      <c r="W632" s="1041" t="s">
        <v>374</v>
      </c>
      <c r="X632" s="321">
        <f>L632</f>
        <v>-1762</v>
      </c>
      <c r="Z632" s="815"/>
      <c r="AC632" s="1205"/>
      <c r="AD632" s="1205"/>
      <c r="AI632" s="1185"/>
      <c r="AJ632" s="1185"/>
      <c r="AK632" s="1185"/>
      <c r="AL632" s="1185"/>
      <c r="AM632" s="1185"/>
      <c r="AN632" s="1185"/>
      <c r="AO632" s="1185"/>
      <c r="AP632" s="1185"/>
      <c r="AQ632" s="1185"/>
      <c r="AR632" s="1185"/>
      <c r="AS632" s="1185"/>
      <c r="AU632" s="1204"/>
    </row>
    <row r="633" spans="1:47" s="1184" customFormat="1">
      <c r="A633" s="1005" t="s">
        <v>1027</v>
      </c>
      <c r="C633" s="1026">
        <f>C628</f>
        <v>11810179</v>
      </c>
      <c r="D633" s="269"/>
      <c r="E633" s="1185"/>
      <c r="F633" s="1203"/>
      <c r="G633" s="269"/>
      <c r="H633" s="1185"/>
      <c r="I633" s="1203"/>
      <c r="J633" s="1230">
        <f>J616</f>
        <v>3.1309999999999998</v>
      </c>
      <c r="K633" s="1041" t="s">
        <v>374</v>
      </c>
      <c r="L633" s="321">
        <f t="shared" si="218"/>
        <v>-3698</v>
      </c>
      <c r="M633" s="321"/>
      <c r="N633" s="1230" t="str">
        <f>N616</f>
        <v xml:space="preserve"> </v>
      </c>
      <c r="O633" s="1041" t="s">
        <v>31</v>
      </c>
      <c r="P633" s="1040">
        <f>N633*C633/100*N619</f>
        <v>0</v>
      </c>
      <c r="Q633" s="321"/>
      <c r="R633" s="1230" t="s">
        <v>31</v>
      </c>
      <c r="S633" s="1041" t="s">
        <v>31</v>
      </c>
      <c r="T633" s="1040">
        <f>R633*C633/100*R619</f>
        <v>0</v>
      </c>
      <c r="U633" s="321"/>
      <c r="V633" s="1230">
        <f>V616</f>
        <v>3.1309999999999998</v>
      </c>
      <c r="W633" s="1041" t="s">
        <v>374</v>
      </c>
      <c r="X633" s="321">
        <f>L633</f>
        <v>-3698</v>
      </c>
      <c r="Y633" s="1184" t="s">
        <v>31</v>
      </c>
      <c r="Z633" s="815"/>
      <c r="AC633" s="1205"/>
      <c r="AD633" s="1205"/>
      <c r="AI633" s="1185"/>
      <c r="AJ633" s="1185"/>
      <c r="AK633" s="1185"/>
      <c r="AL633" s="1185"/>
      <c r="AM633" s="1185"/>
      <c r="AN633" s="1185"/>
      <c r="AO633" s="1185"/>
      <c r="AP633" s="1185"/>
      <c r="AQ633" s="1185"/>
      <c r="AR633" s="1185"/>
      <c r="AS633" s="1185"/>
      <c r="AU633" s="1204"/>
    </row>
    <row r="634" spans="1:47">
      <c r="A634" s="1" t="s">
        <v>381</v>
      </c>
      <c r="B634" s="65"/>
      <c r="C634" s="319">
        <f>C674+C712</f>
        <v>899742772.17576289</v>
      </c>
      <c r="D634" s="324"/>
      <c r="E634" s="2"/>
      <c r="F634" s="2">
        <f t="shared" ref="F634" si="219">F674+F712</f>
        <v>63536032</v>
      </c>
      <c r="G634" s="324"/>
      <c r="H634" s="1"/>
      <c r="I634" s="2">
        <f>I674+I712</f>
        <v>67121824</v>
      </c>
      <c r="J634" s="2"/>
      <c r="K634" s="1"/>
      <c r="L634" s="2">
        <f t="shared" ref="L634" ca="1" si="220">L674+L712</f>
        <v>74578481</v>
      </c>
      <c r="M634" s="2"/>
      <c r="N634" s="2"/>
      <c r="O634" s="1"/>
      <c r="P634" s="2">
        <f ca="1">SUM(P602:P633)</f>
        <v>9660624.3704508599</v>
      </c>
      <c r="Q634" s="2"/>
      <c r="R634" s="2"/>
      <c r="S634" s="1"/>
      <c r="T634" s="2">
        <f ca="1">SUM(T602:T633)</f>
        <v>12869246.983597249</v>
      </c>
      <c r="U634" s="2"/>
      <c r="V634" s="2"/>
      <c r="W634" s="1"/>
      <c r="X634" s="2">
        <f ca="1">SUM(X602:X633)</f>
        <v>52048609.645951904</v>
      </c>
      <c r="AA634" s="804"/>
      <c r="AB634" s="804"/>
      <c r="AM634" s="20"/>
      <c r="AN634" s="20"/>
      <c r="AO634" s="20"/>
      <c r="AP634" s="20"/>
      <c r="AQ634" s="20"/>
      <c r="AR634" s="20"/>
      <c r="AS634" s="20"/>
    </row>
    <row r="635" spans="1:47">
      <c r="A635" s="1" t="s">
        <v>363</v>
      </c>
      <c r="B635" s="25"/>
      <c r="C635" s="340">
        <f ca="1">C675+C713</f>
        <v>-3969620.9678243943</v>
      </c>
      <c r="D635" s="309"/>
      <c r="E635" s="309"/>
      <c r="F635" s="310">
        <f ca="1">I635</f>
        <v>-311647.89596808294</v>
      </c>
      <c r="G635" s="309"/>
      <c r="H635" s="309"/>
      <c r="I635" s="310">
        <f ca="1">I675+I713</f>
        <v>-311647.89596808294</v>
      </c>
      <c r="J635" s="309"/>
      <c r="K635" s="309"/>
      <c r="L635" s="310">
        <f ca="1">I635</f>
        <v>-311647.89596808294</v>
      </c>
      <c r="M635" s="51"/>
      <c r="N635" s="309"/>
      <c r="O635" s="309"/>
      <c r="P635" s="310">
        <f ca="1">$L$635*Y639/($Y$639+$Z$639+$AA$639)</f>
        <v>-40369.731568936026</v>
      </c>
      <c r="Q635" s="51"/>
      <c r="R635" s="309"/>
      <c r="S635" s="309"/>
      <c r="T635" s="310">
        <f ca="1">$L$635*Z639/($Y$639+$Z$639+$AA$639)</f>
        <v>-53777.89533058041</v>
      </c>
      <c r="U635" s="51"/>
      <c r="V635" s="309"/>
      <c r="W635" s="309"/>
      <c r="X635" s="310">
        <f ca="1">$L$635*AA639/($Y$639+$Z$639+$AA$639)</f>
        <v>-217500.2690685665</v>
      </c>
      <c r="Y635" s="289"/>
      <c r="Z635" s="290"/>
      <c r="AM635" s="20"/>
      <c r="AN635" s="20"/>
      <c r="AO635" s="20"/>
      <c r="AP635" s="20"/>
      <c r="AQ635" s="20"/>
      <c r="AR635" s="20"/>
      <c r="AS635" s="20"/>
    </row>
    <row r="636" spans="1:47" ht="16.5" thickBot="1">
      <c r="A636" s="1" t="s">
        <v>382</v>
      </c>
      <c r="B636" s="1"/>
      <c r="C636" s="366">
        <f ca="1">SUM(C634)+C635</f>
        <v>895773151.20793855</v>
      </c>
      <c r="D636" s="342"/>
      <c r="E636" s="343"/>
      <c r="F636" s="344">
        <f ca="1">F634+F635</f>
        <v>63224384.10403192</v>
      </c>
      <c r="G636" s="342"/>
      <c r="H636" s="345"/>
      <c r="I636" s="344">
        <f ca="1">I634+I635</f>
        <v>66810176.10403192</v>
      </c>
      <c r="J636" s="342"/>
      <c r="K636" s="345"/>
      <c r="L636" s="344">
        <f ca="1">L634+L635</f>
        <v>74266833.10403192</v>
      </c>
      <c r="M636" s="344"/>
      <c r="N636" s="342"/>
      <c r="O636" s="345"/>
      <c r="P636" s="344">
        <f ca="1">P634+P635</f>
        <v>9620254.6388819236</v>
      </c>
      <c r="Q636" s="344"/>
      <c r="R636" s="342"/>
      <c r="S636" s="345"/>
      <c r="T636" s="344">
        <f ca="1">T634+T635</f>
        <v>12815469.088266669</v>
      </c>
      <c r="U636" s="344"/>
      <c r="V636" s="342"/>
      <c r="W636" s="345"/>
      <c r="X636" s="344">
        <f ca="1">X634+X635</f>
        <v>51831109.376883335</v>
      </c>
      <c r="Y636" s="784" t="s">
        <v>409</v>
      </c>
      <c r="Z636" s="1129">
        <f ca="1">'Rate Spread targets'!Q24*1000</f>
        <v>74266982.95100601</v>
      </c>
      <c r="AA636" s="818">
        <f ca="1">'Rate Spread targets'!V24-0.0293</f>
        <v>8.2311842413989367E-2</v>
      </c>
      <c r="AB636" s="777"/>
      <c r="AC636" s="801">
        <f ca="1">'Rate Spread targets'!V24</f>
        <v>0.11161184241398937</v>
      </c>
      <c r="AD636" s="4" t="s">
        <v>1046</v>
      </c>
      <c r="AM636" s="20"/>
      <c r="AN636" s="20"/>
      <c r="AO636" s="20"/>
      <c r="AP636" s="20"/>
      <c r="AQ636" s="20"/>
      <c r="AR636" s="20"/>
      <c r="AS636" s="20"/>
    </row>
    <row r="637" spans="1:47" ht="16.5" thickTop="1">
      <c r="A637" s="1"/>
      <c r="B637" s="1"/>
      <c r="C637" s="26"/>
      <c r="D637" s="351"/>
      <c r="E637" s="352"/>
      <c r="F637" s="322"/>
      <c r="G637" s="351"/>
      <c r="H637" s="23"/>
      <c r="I637" s="322"/>
      <c r="J637" s="351"/>
      <c r="K637" s="23"/>
      <c r="L637" s="322"/>
      <c r="M637" s="322"/>
      <c r="N637" s="351"/>
      <c r="O637" s="23"/>
      <c r="P637" s="322"/>
      <c r="Q637" s="322"/>
      <c r="R637" s="351"/>
      <c r="S637" s="23"/>
      <c r="T637" s="322"/>
      <c r="U637" s="322"/>
      <c r="V637" s="351"/>
      <c r="W637" s="23"/>
      <c r="X637" s="322"/>
      <c r="Y637" s="112" t="s">
        <v>263</v>
      </c>
      <c r="Z637" s="811">
        <f ca="1">Z636-L636</f>
        <v>149.84697408974171</v>
      </c>
      <c r="AA637" s="814" t="s">
        <v>31</v>
      </c>
      <c r="AB637" s="777"/>
      <c r="AC637" s="55"/>
      <c r="AM637" s="20"/>
      <c r="AN637" s="20"/>
      <c r="AO637" s="20"/>
      <c r="AP637" s="20"/>
      <c r="AQ637" s="20"/>
      <c r="AR637" s="20"/>
      <c r="AS637" s="20"/>
    </row>
    <row r="638" spans="1:47">
      <c r="A638" s="1"/>
      <c r="B638" s="1"/>
      <c r="C638" s="26"/>
      <c r="D638" s="351"/>
      <c r="E638" s="352"/>
      <c r="F638" s="322"/>
      <c r="G638" s="351"/>
      <c r="H638" s="23"/>
      <c r="I638" s="322"/>
      <c r="J638" s="351"/>
      <c r="K638" s="23"/>
      <c r="L638" s="322"/>
      <c r="M638" s="322"/>
      <c r="N638" s="351"/>
      <c r="O638" s="23"/>
      <c r="P638" s="322"/>
      <c r="Q638" s="322"/>
      <c r="R638" s="351"/>
      <c r="S638" s="23"/>
      <c r="T638" s="322"/>
      <c r="U638" s="322"/>
      <c r="V638" s="351"/>
      <c r="W638" s="23"/>
      <c r="X638" s="322"/>
      <c r="Y638" s="1581">
        <f>'Exh No.__(JRS-17) p11'!J35+'Exh No.__(JRS-17) p11'!K35+'Exh No.__(JRS-17) p11'!L35</f>
        <v>0.12953635205376279</v>
      </c>
      <c r="Z638" s="1585">
        <f>'Exh No.__(JRS-17) p11'!I35</f>
        <v>0.17255978951350925</v>
      </c>
      <c r="AA638" s="744">
        <f>'Exh No.__(JRS-17) p11'!H35</f>
        <v>0.69790385843272817</v>
      </c>
      <c r="AB638" s="777"/>
      <c r="AC638" s="55"/>
      <c r="AM638" s="20"/>
      <c r="AN638" s="20"/>
      <c r="AO638" s="20"/>
      <c r="AP638" s="20"/>
      <c r="AQ638" s="20"/>
      <c r="AR638" s="20"/>
      <c r="AS638" s="20"/>
    </row>
    <row r="639" spans="1:47">
      <c r="A639" s="1"/>
      <c r="B639" s="1"/>
      <c r="C639" s="21"/>
      <c r="D639" s="337" t="s">
        <v>31</v>
      </c>
      <c r="E639" s="2"/>
      <c r="F639" s="2"/>
      <c r="G639" s="337" t="s">
        <v>31</v>
      </c>
      <c r="H639" s="1"/>
      <c r="I639" s="2" t="s">
        <v>31</v>
      </c>
      <c r="J639" s="353" t="s">
        <v>31</v>
      </c>
      <c r="K639" s="1"/>
      <c r="L639" s="2" t="s">
        <v>31</v>
      </c>
      <c r="M639" s="2"/>
      <c r="N639" s="353" t="s">
        <v>31</v>
      </c>
      <c r="O639" s="1"/>
      <c r="P639" s="2" t="s">
        <v>31</v>
      </c>
      <c r="Q639" s="2"/>
      <c r="R639" s="353" t="s">
        <v>31</v>
      </c>
      <c r="S639" s="1"/>
      <c r="T639" s="2" t="s">
        <v>31</v>
      </c>
      <c r="U639" s="2"/>
      <c r="V639" s="353" t="s">
        <v>31</v>
      </c>
      <c r="W639" s="1"/>
      <c r="X639" s="2" t="s">
        <v>31</v>
      </c>
      <c r="Y639" s="1204">
        <f ca="1">Y638*$L$636</f>
        <v>9620254.6388819236</v>
      </c>
      <c r="Z639" s="1204">
        <f ca="1">Z638*$L$636</f>
        <v>12815469.088266669</v>
      </c>
      <c r="AA639" s="1204">
        <f ca="1">AA638*$L$636</f>
        <v>51831109.376883343</v>
      </c>
      <c r="AB639" s="1272" t="s">
        <v>409</v>
      </c>
      <c r="AM639" s="20"/>
      <c r="AN639" s="20"/>
      <c r="AO639" s="20"/>
      <c r="AP639" s="20"/>
      <c r="AQ639" s="20"/>
      <c r="AR639" s="20"/>
      <c r="AS639" s="20"/>
    </row>
    <row r="640" spans="1:47">
      <c r="A640" s="293" t="s">
        <v>436</v>
      </c>
      <c r="B640" s="1"/>
      <c r="C640" s="1"/>
      <c r="D640" s="2"/>
      <c r="E640" s="2"/>
      <c r="F640" s="1" t="s">
        <v>31</v>
      </c>
      <c r="G640" s="2"/>
      <c r="H640" s="1"/>
      <c r="I640" s="1"/>
      <c r="J640" s="2"/>
      <c r="K640" s="1"/>
      <c r="L640" s="1"/>
      <c r="M640" s="1"/>
      <c r="N640" s="2"/>
      <c r="O640" s="1"/>
      <c r="P640" s="1"/>
      <c r="Q640" s="1"/>
      <c r="R640" s="2"/>
      <c r="S640" s="1"/>
      <c r="T640" s="1"/>
      <c r="U640" s="1"/>
      <c r="V640" s="2"/>
      <c r="W640" s="1"/>
      <c r="X640" s="1"/>
      <c r="AM640" s="20"/>
      <c r="AN640" s="20"/>
      <c r="AO640" s="20"/>
      <c r="AP640" s="20"/>
      <c r="AQ640" s="20"/>
      <c r="AR640" s="20"/>
      <c r="AS640" s="20"/>
    </row>
    <row r="641" spans="1:45">
      <c r="A641" s="309" t="s">
        <v>445</v>
      </c>
      <c r="B641" s="1"/>
      <c r="C641" s="1"/>
      <c r="D641" s="2"/>
      <c r="E641" s="2"/>
      <c r="F641" s="1"/>
      <c r="G641" s="2"/>
      <c r="H641" s="1"/>
      <c r="I641" s="1"/>
      <c r="J641" s="2"/>
      <c r="K641" s="1"/>
      <c r="L641" s="1"/>
      <c r="M641" s="1"/>
      <c r="N641" s="2"/>
      <c r="O641" s="1"/>
      <c r="P641" s="1"/>
      <c r="Q641" s="1"/>
      <c r="R641" s="2"/>
      <c r="S641" s="1"/>
      <c r="T641" s="1"/>
      <c r="U641" s="1"/>
      <c r="V641" s="2"/>
      <c r="W641" s="1"/>
      <c r="X641" s="1"/>
      <c r="Z641" s="276" t="s">
        <v>31</v>
      </c>
      <c r="AM641" s="20"/>
      <c r="AN641" s="20"/>
      <c r="AO641" s="20"/>
      <c r="AP641" s="20"/>
      <c r="AQ641" s="20"/>
      <c r="AR641" s="20"/>
      <c r="AS641" s="20"/>
    </row>
    <row r="642" spans="1:45">
      <c r="A642" s="323"/>
      <c r="B642" s="1"/>
      <c r="C642" s="1"/>
      <c r="D642" s="2"/>
      <c r="E642" s="2"/>
      <c r="F642" s="1"/>
      <c r="G642" s="2"/>
      <c r="H642" s="1"/>
      <c r="I642" s="1"/>
      <c r="J642" s="2"/>
      <c r="K642" s="1"/>
      <c r="L642" s="1"/>
      <c r="M642" s="1"/>
      <c r="N642" s="2"/>
      <c r="O642" s="1"/>
      <c r="P642" s="1"/>
      <c r="Q642" s="1"/>
      <c r="R642" s="2"/>
      <c r="S642" s="1"/>
      <c r="T642" s="1"/>
      <c r="U642" s="1"/>
      <c r="V642" s="2"/>
      <c r="W642" s="1"/>
      <c r="X642" s="1"/>
      <c r="Y642" s="20"/>
      <c r="Z642" s="74"/>
      <c r="AA642" s="74"/>
      <c r="AB642" s="74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</row>
    <row r="643" spans="1:45">
      <c r="A643" s="323" t="s">
        <v>393</v>
      </c>
      <c r="B643" s="1"/>
      <c r="C643" s="319"/>
      <c r="D643" s="2"/>
      <c r="E643" s="2"/>
      <c r="F643" s="1"/>
      <c r="G643" s="2"/>
      <c r="H643" s="1"/>
      <c r="I643" s="1"/>
      <c r="J643" s="2"/>
      <c r="K643" s="1"/>
      <c r="L643" s="1"/>
      <c r="M643" s="1"/>
      <c r="N643" s="2"/>
      <c r="O643" s="1"/>
      <c r="P643" s="1"/>
      <c r="Q643" s="1"/>
      <c r="R643" s="2"/>
      <c r="S643" s="1"/>
      <c r="T643" s="1"/>
      <c r="U643" s="1"/>
      <c r="V643" s="2"/>
      <c r="W643" s="1"/>
      <c r="X643" s="1"/>
      <c r="Y643" s="20"/>
      <c r="Z643" s="74"/>
      <c r="AA643" s="74"/>
      <c r="AB643" s="74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</row>
    <row r="644" spans="1:45">
      <c r="A644" s="323" t="s">
        <v>421</v>
      </c>
      <c r="B644" s="1"/>
      <c r="C644" s="319">
        <f>[50]Sheet1!$E$2+[50]Sheet1!$E$5+[50]Sheet1!$E$8+[50]Sheet1!$E$11</f>
        <v>268.23333333333369</v>
      </c>
      <c r="D644" s="298">
        <v>259</v>
      </c>
      <c r="E644" s="323"/>
      <c r="F644" s="321">
        <f>ROUND(D644*$C644,0)</f>
        <v>69472</v>
      </c>
      <c r="G644" s="298">
        <v>259</v>
      </c>
      <c r="H644" s="323"/>
      <c r="I644" s="321">
        <f>ROUND(G644*C644,0)</f>
        <v>69472</v>
      </c>
      <c r="J644" s="298">
        <f>$J$602</f>
        <v>259</v>
      </c>
      <c r="K644" s="323"/>
      <c r="L644" s="321">
        <f>ROUND(J644*$C644,0)</f>
        <v>69472</v>
      </c>
      <c r="M644" s="321"/>
      <c r="N644" s="298">
        <f>$N$602</f>
        <v>259</v>
      </c>
      <c r="O644" s="323"/>
      <c r="P644" s="321">
        <f>ROUND(N644*$C644,0)</f>
        <v>69472</v>
      </c>
      <c r="Q644" s="321"/>
      <c r="R644" s="298" t="str">
        <f>$R$602</f>
        <v xml:space="preserve"> </v>
      </c>
      <c r="S644" s="323"/>
      <c r="T644" s="321">
        <f>ROUND(R644*$C644,0)</f>
        <v>0</v>
      </c>
      <c r="U644" s="321"/>
      <c r="V644" s="298" t="str">
        <f>$V$602</f>
        <v xml:space="preserve"> </v>
      </c>
      <c r="W644" s="323"/>
      <c r="X644" s="321">
        <f>ROUND(V644*$C644,0)</f>
        <v>0</v>
      </c>
      <c r="AA644" s="74"/>
      <c r="AB644" s="74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</row>
    <row r="645" spans="1:45">
      <c r="A645" s="323" t="s">
        <v>422</v>
      </c>
      <c r="B645" s="1"/>
      <c r="C645" s="319">
        <f>[50]Sheet1!$E$3+[50]Sheet1!$E$6+[50]Sheet1!$E$9+[50]Sheet1!$E$12</f>
        <v>7728.2333333333399</v>
      </c>
      <c r="D645" s="298">
        <v>96</v>
      </c>
      <c r="E645" s="323"/>
      <c r="F645" s="321">
        <f>ROUND(D645*$C645,0)</f>
        <v>741910</v>
      </c>
      <c r="G645" s="298">
        <v>96</v>
      </c>
      <c r="H645" s="323"/>
      <c r="I645" s="321">
        <f>ROUND(G645*C645,0)</f>
        <v>741910</v>
      </c>
      <c r="J645" s="298">
        <f>$J$603</f>
        <v>96</v>
      </c>
      <c r="K645" s="323"/>
      <c r="L645" s="321">
        <f>ROUND(J645*$C645,0)</f>
        <v>741910</v>
      </c>
      <c r="M645" s="321"/>
      <c r="N645" s="298">
        <f>$N$603</f>
        <v>96</v>
      </c>
      <c r="O645" s="323"/>
      <c r="P645" s="321">
        <f>ROUND(N645*$C645,0)</f>
        <v>741910</v>
      </c>
      <c r="Q645" s="321"/>
      <c r="R645" s="298" t="str">
        <f>$R$603</f>
        <v xml:space="preserve"> </v>
      </c>
      <c r="S645" s="323"/>
      <c r="T645" s="321">
        <f>ROUND(R645*$C645,0)</f>
        <v>0</v>
      </c>
      <c r="U645" s="321"/>
      <c r="V645" s="298" t="str">
        <f>$V$603</f>
        <v xml:space="preserve"> </v>
      </c>
      <c r="W645" s="323"/>
      <c r="X645" s="321">
        <f>ROUND(V645*$C645,0)</f>
        <v>0</v>
      </c>
      <c r="AA645" s="74"/>
      <c r="AB645" s="74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</row>
    <row r="646" spans="1:45">
      <c r="A646" s="323" t="s">
        <v>423</v>
      </c>
      <c r="B646" s="1"/>
      <c r="C646" s="319">
        <f>[50]Sheet1!$E$4+[50]Sheet1!$E$7+[50]Sheet1!$E$10</f>
        <v>3062.6</v>
      </c>
      <c r="D646" s="298">
        <v>192</v>
      </c>
      <c r="E646" s="325"/>
      <c r="F646" s="321">
        <f>ROUND(D646*$C646,0)</f>
        <v>588019</v>
      </c>
      <c r="G646" s="298">
        <v>192</v>
      </c>
      <c r="H646" s="325"/>
      <c r="I646" s="321">
        <f>ROUND(G646*C646,0)</f>
        <v>588019</v>
      </c>
      <c r="J646" s="298">
        <f>$J$604</f>
        <v>192</v>
      </c>
      <c r="K646" s="325"/>
      <c r="L646" s="321">
        <f>ROUND(J646*$C646,0)</f>
        <v>588019</v>
      </c>
      <c r="M646" s="321"/>
      <c r="N646" s="298">
        <f>$N$604</f>
        <v>192</v>
      </c>
      <c r="O646" s="325"/>
      <c r="P646" s="321">
        <f>ROUND(N646*$C646,0)</f>
        <v>588019</v>
      </c>
      <c r="Q646" s="321"/>
      <c r="R646" s="298" t="str">
        <f>$R$604</f>
        <v xml:space="preserve"> </v>
      </c>
      <c r="S646" s="325"/>
      <c r="T646" s="321">
        <f>ROUND(R646*$C646,0)</f>
        <v>0</v>
      </c>
      <c r="U646" s="321"/>
      <c r="V646" s="298" t="str">
        <f>$V$604</f>
        <v xml:space="preserve"> </v>
      </c>
      <c r="W646" s="325"/>
      <c r="X646" s="321">
        <f>ROUND(V646*$C646,0)</f>
        <v>0</v>
      </c>
      <c r="AA646" s="74"/>
      <c r="AB646" s="74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</row>
    <row r="647" spans="1:45">
      <c r="A647" s="323" t="s">
        <v>394</v>
      </c>
      <c r="B647" s="1"/>
      <c r="C647" s="319">
        <f>SUM(C644:C646)</f>
        <v>11059.066666666673</v>
      </c>
      <c r="D647" s="298"/>
      <c r="E647" s="323"/>
      <c r="F647" s="321"/>
      <c r="G647" s="298"/>
      <c r="H647" s="323"/>
      <c r="I647" s="321"/>
      <c r="J647" s="298"/>
      <c r="K647" s="323"/>
      <c r="L647" s="321"/>
      <c r="M647" s="321"/>
      <c r="N647" s="298"/>
      <c r="O647" s="323"/>
      <c r="P647" s="321"/>
      <c r="Q647" s="321"/>
      <c r="R647" s="298"/>
      <c r="S647" s="323"/>
      <c r="T647" s="321"/>
      <c r="U647" s="321"/>
      <c r="V647" s="298"/>
      <c r="W647" s="323"/>
      <c r="X647" s="321"/>
      <c r="AA647" s="74"/>
      <c r="AB647" s="74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</row>
    <row r="648" spans="1:45">
      <c r="A648" s="323" t="s">
        <v>422</v>
      </c>
      <c r="B648" s="1"/>
      <c r="C648" s="319">
        <f>[50]Sheet1!$F$3+[50]Sheet1!$F$6+[50]Sheet1!$F$9+[50]Sheet1!$F$12</f>
        <v>1332188</v>
      </c>
      <c r="D648" s="298">
        <v>1.7</v>
      </c>
      <c r="E648" s="323" t="s">
        <v>31</v>
      </c>
      <c r="F648" s="321">
        <f>ROUND(D648*$C648,0)</f>
        <v>2264720</v>
      </c>
      <c r="G648" s="298">
        <v>1.7</v>
      </c>
      <c r="H648" s="323" t="s">
        <v>31</v>
      </c>
      <c r="I648" s="321">
        <f t="shared" ref="I648:I649" si="221">ROUND(G648*C648,0)</f>
        <v>2264720</v>
      </c>
      <c r="J648" s="298">
        <f ca="1">$J$606</f>
        <v>1.89</v>
      </c>
      <c r="K648" s="323" t="s">
        <v>31</v>
      </c>
      <c r="L648" s="321">
        <f ca="1">ROUND(J648*$C648,0)</f>
        <v>2517835</v>
      </c>
      <c r="M648" s="321"/>
      <c r="N648" s="298">
        <f ca="1">$N$606</f>
        <v>1.89</v>
      </c>
      <c r="O648" s="323" t="s">
        <v>31</v>
      </c>
      <c r="P648" s="321">
        <f ca="1">ROUND(N648*$C648,0)</f>
        <v>2517835</v>
      </c>
      <c r="Q648" s="321"/>
      <c r="R648" s="298" t="str">
        <f>$R$606</f>
        <v xml:space="preserve"> </v>
      </c>
      <c r="S648" s="323" t="s">
        <v>31</v>
      </c>
      <c r="T648" s="321">
        <f>ROUND(R648*$C648,0)</f>
        <v>0</v>
      </c>
      <c r="U648" s="321"/>
      <c r="V648" s="298" t="str">
        <f>$V$606</f>
        <v xml:space="preserve"> </v>
      </c>
      <c r="W648" s="323" t="s">
        <v>31</v>
      </c>
      <c r="X648" s="321">
        <f>ROUND(V648*$C648,0)</f>
        <v>0</v>
      </c>
      <c r="AA648" s="74"/>
      <c r="AB648" s="74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</row>
    <row r="649" spans="1:45">
      <c r="A649" s="323" t="s">
        <v>423</v>
      </c>
      <c r="B649" s="1"/>
      <c r="C649" s="319">
        <f>[50]Sheet1!$F$4+[50]Sheet1!$F$7+[50]Sheet1!$F$10</f>
        <v>1526782</v>
      </c>
      <c r="D649" s="298">
        <v>1.39</v>
      </c>
      <c r="E649" s="323" t="s">
        <v>31</v>
      </c>
      <c r="F649" s="321">
        <f>ROUND(D649*$C649,0)</f>
        <v>2122227</v>
      </c>
      <c r="G649" s="298">
        <v>1.39</v>
      </c>
      <c r="H649" s="323" t="s">
        <v>31</v>
      </c>
      <c r="I649" s="321">
        <f t="shared" si="221"/>
        <v>2122227</v>
      </c>
      <c r="J649" s="298">
        <f ca="1">$J$607</f>
        <v>1.55</v>
      </c>
      <c r="K649" s="323" t="s">
        <v>31</v>
      </c>
      <c r="L649" s="321">
        <f ca="1">ROUND(J649*$C649,0)</f>
        <v>2366512</v>
      </c>
      <c r="M649" s="321"/>
      <c r="N649" s="298">
        <f ca="1">$N$607</f>
        <v>1.55</v>
      </c>
      <c r="O649" s="323" t="s">
        <v>31</v>
      </c>
      <c r="P649" s="321">
        <f ca="1">ROUND(N649*$C649,0)</f>
        <v>2366512</v>
      </c>
      <c r="Q649" s="321"/>
      <c r="R649" s="298" t="str">
        <f>$R$607</f>
        <v xml:space="preserve"> </v>
      </c>
      <c r="S649" s="323" t="s">
        <v>31</v>
      </c>
      <c r="T649" s="321">
        <f>ROUND(R649*$C649,0)</f>
        <v>0</v>
      </c>
      <c r="U649" s="321"/>
      <c r="V649" s="298" t="str">
        <f>$V$607</f>
        <v xml:space="preserve"> </v>
      </c>
      <c r="W649" s="323" t="s">
        <v>31</v>
      </c>
      <c r="X649" s="321">
        <f>ROUND(V649*$C649,0)</f>
        <v>0</v>
      </c>
      <c r="AA649" s="74"/>
      <c r="AB649" s="74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</row>
    <row r="650" spans="1:45">
      <c r="A650" s="309" t="s">
        <v>424</v>
      </c>
      <c r="B650" s="1"/>
      <c r="C650" s="319"/>
      <c r="D650" s="355"/>
      <c r="E650" s="323"/>
      <c r="F650" s="321"/>
      <c r="G650" s="355"/>
      <c r="H650" s="323"/>
      <c r="I650" s="321"/>
      <c r="J650" s="355"/>
      <c r="K650" s="323"/>
      <c r="L650" s="321"/>
      <c r="M650" s="321"/>
      <c r="N650" s="355"/>
      <c r="O650" s="323"/>
      <c r="P650" s="321"/>
      <c r="Q650" s="321"/>
      <c r="R650" s="355"/>
      <c r="S650" s="323"/>
      <c r="T650" s="321"/>
      <c r="U650" s="321"/>
      <c r="V650" s="355"/>
      <c r="W650" s="323"/>
      <c r="X650" s="321"/>
      <c r="AA650" s="74"/>
      <c r="AB650" s="74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</row>
    <row r="651" spans="1:45">
      <c r="A651" s="309" t="s">
        <v>425</v>
      </c>
      <c r="B651" s="1"/>
      <c r="C651" s="319">
        <f>[50]Sheet1!$I$22+[50]Sheet1!$I$24</f>
        <v>2162284</v>
      </c>
      <c r="D651" s="298">
        <v>4.4400000000000004</v>
      </c>
      <c r="E651" s="323"/>
      <c r="F651" s="321">
        <f>ROUND(D651*$C651,0)</f>
        <v>9600541</v>
      </c>
      <c r="G651" s="298">
        <v>4.72</v>
      </c>
      <c r="H651" s="323"/>
      <c r="I651" s="321">
        <f t="shared" ref="I651:I652" si="222">ROUND(G651*C651,0)</f>
        <v>10205980</v>
      </c>
      <c r="J651" s="298">
        <f ca="1">$J$609</f>
        <v>5.87</v>
      </c>
      <c r="K651" s="323"/>
      <c r="L651" s="321">
        <f ca="1">ROUND(J651*$C651,0)</f>
        <v>12692607</v>
      </c>
      <c r="M651" s="321"/>
      <c r="N651" s="298">
        <f ca="1">$N$609</f>
        <v>0.95</v>
      </c>
      <c r="O651" s="323"/>
      <c r="P651" s="321">
        <f ca="1">ROUND(N651*$C651,0)</f>
        <v>2054170</v>
      </c>
      <c r="Q651" s="321"/>
      <c r="R651" s="298">
        <f ca="1">$R$609</f>
        <v>0.98</v>
      </c>
      <c r="S651" s="323"/>
      <c r="T651" s="321">
        <f ca="1">ROUND(R651*$C651,0)</f>
        <v>2119038</v>
      </c>
      <c r="U651" s="321"/>
      <c r="V651" s="298">
        <f ca="1">$V$609</f>
        <v>3.94</v>
      </c>
      <c r="W651" s="323"/>
      <c r="X651" s="321">
        <f ca="1">ROUND(V651*$C651,0)</f>
        <v>8519399</v>
      </c>
      <c r="AA651" s="74"/>
      <c r="AB651" s="74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</row>
    <row r="652" spans="1:45">
      <c r="A652" s="309" t="s">
        <v>441</v>
      </c>
      <c r="B652" s="1"/>
      <c r="C652" s="319">
        <f>[50]Sheet1!$J$22+[50]Sheet1!$J$24</f>
        <v>1056.3333333333362</v>
      </c>
      <c r="D652" s="369">
        <v>4.4400000000000004</v>
      </c>
      <c r="E652" s="323"/>
      <c r="F652" s="321">
        <f>ROUND(D652*$C652,0)</f>
        <v>4690</v>
      </c>
      <c r="G652" s="369">
        <v>4.72</v>
      </c>
      <c r="H652" s="323"/>
      <c r="I652" s="321">
        <f t="shared" si="222"/>
        <v>4986</v>
      </c>
      <c r="J652" s="369">
        <f ca="1">J651</f>
        <v>5.87</v>
      </c>
      <c r="K652" s="323"/>
      <c r="L652" s="321">
        <f ca="1">ROUND(J652*$C652,0)</f>
        <v>6201</v>
      </c>
      <c r="M652" s="321"/>
      <c r="N652" s="369">
        <f ca="1">N651</f>
        <v>0.95</v>
      </c>
      <c r="O652" s="323"/>
      <c r="P652" s="321">
        <f ca="1">ROUND(N652*$C652,0)</f>
        <v>1004</v>
      </c>
      <c r="Q652" s="321"/>
      <c r="R652" s="369">
        <f ca="1">R651</f>
        <v>0.98</v>
      </c>
      <c r="S652" s="323"/>
      <c r="T652" s="321">
        <f ca="1">ROUND(R652*$C652,0)</f>
        <v>1035</v>
      </c>
      <c r="U652" s="321"/>
      <c r="V652" s="369">
        <f ca="1">V651</f>
        <v>3.94</v>
      </c>
      <c r="W652" s="323"/>
      <c r="X652" s="321">
        <f ca="1">ROUND(V652*$C652,0)</f>
        <v>4162</v>
      </c>
      <c r="AA652" s="74"/>
      <c r="AB652" s="74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</row>
    <row r="653" spans="1:45">
      <c r="A653" s="323" t="s">
        <v>426</v>
      </c>
      <c r="B653" s="1"/>
      <c r="C653" s="319"/>
      <c r="D653" s="298"/>
      <c r="E653" s="323"/>
      <c r="F653" s="321"/>
      <c r="G653" s="298"/>
      <c r="H653" s="323"/>
      <c r="I653" s="321"/>
      <c r="J653" s="298"/>
      <c r="K653" s="323"/>
      <c r="L653" s="321"/>
      <c r="M653" s="321"/>
      <c r="N653" s="298"/>
      <c r="O653" s="323"/>
      <c r="P653" s="321"/>
      <c r="Q653" s="321"/>
      <c r="R653" s="298"/>
      <c r="S653" s="323"/>
      <c r="T653" s="321"/>
      <c r="U653" s="321"/>
      <c r="V653" s="298"/>
      <c r="W653" s="323"/>
      <c r="X653" s="321"/>
      <c r="AA653" s="74"/>
      <c r="AB653" s="74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</row>
    <row r="654" spans="1:45">
      <c r="A654" s="323" t="s">
        <v>427</v>
      </c>
      <c r="B654" s="319"/>
      <c r="C654" s="319">
        <f>[50]Sheet1!$H$22+[50]Sheet1!$H$24+Temperature!C110*1000</f>
        <v>352966596.14110196</v>
      </c>
      <c r="D654" s="328">
        <v>5.2919999999999998</v>
      </c>
      <c r="E654" s="323" t="s">
        <v>374</v>
      </c>
      <c r="F654" s="321">
        <f>ROUND(D654*$C654/100,0)</f>
        <v>18678992</v>
      </c>
      <c r="G654" s="328">
        <v>5.6289999999999996</v>
      </c>
      <c r="H654" s="323" t="s">
        <v>374</v>
      </c>
      <c r="I654" s="321">
        <f>ROUND(G654*C654/100,0)</f>
        <v>19868490</v>
      </c>
      <c r="J654" s="327">
        <f ca="1">$J$612</f>
        <v>2.6779999999999999</v>
      </c>
      <c r="K654" s="323" t="s">
        <v>374</v>
      </c>
      <c r="L654" s="321">
        <f ca="1">ROUND(J654*$C654/100,0)</f>
        <v>9452445</v>
      </c>
      <c r="M654" s="321"/>
      <c r="N654" s="327" t="str">
        <f>$N$612</f>
        <v xml:space="preserve"> </v>
      </c>
      <c r="O654" s="323" t="s">
        <v>374</v>
      </c>
      <c r="P654" s="321">
        <f>ROUND(N654*$C654/100,0)</f>
        <v>0</v>
      </c>
      <c r="Q654" s="321"/>
      <c r="R654" s="327">
        <f ca="1">$R$612</f>
        <v>1.2070000000000001</v>
      </c>
      <c r="S654" s="323" t="s">
        <v>374</v>
      </c>
      <c r="T654" s="321">
        <f ca="1">ROUND(R654*$C654/100,0)</f>
        <v>4260307</v>
      </c>
      <c r="U654" s="321"/>
      <c r="V654" s="327">
        <f ca="1">$V$612</f>
        <v>1.4710000000000001</v>
      </c>
      <c r="W654" s="323" t="s">
        <v>374</v>
      </c>
      <c r="X654" s="321">
        <f ca="1">ROUND(V654*$C654/100,0)</f>
        <v>5192139</v>
      </c>
      <c r="AA654" s="74"/>
      <c r="AB654" s="74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</row>
    <row r="655" spans="1:45">
      <c r="A655" s="323" t="s">
        <v>399</v>
      </c>
      <c r="B655" s="319"/>
      <c r="C655" s="319">
        <f>[50]Sheet1!$G$22+[50]Sheet1!$G$24-C654+Temperature!B110*1000</f>
        <v>441168417.03466094</v>
      </c>
      <c r="D655" s="328">
        <v>4.8499999999999996</v>
      </c>
      <c r="E655" s="323" t="s">
        <v>374</v>
      </c>
      <c r="F655" s="321">
        <f>ROUND(D655*$C655/100,0)</f>
        <v>21396668</v>
      </c>
      <c r="G655" s="328">
        <v>5.157</v>
      </c>
      <c r="H655" s="323" t="s">
        <v>374</v>
      </c>
      <c r="I655" s="321">
        <f t="shared" ref="I655:I656" si="223">ROUND(G655*C655/100,0)</f>
        <v>22751055</v>
      </c>
      <c r="J655" s="327">
        <f ca="1">$J$613</f>
        <v>2.452</v>
      </c>
      <c r="K655" s="323" t="s">
        <v>374</v>
      </c>
      <c r="L655" s="321">
        <f ca="1">ROUND(J655*$C655/100,0)</f>
        <v>10817450</v>
      </c>
      <c r="M655" s="321"/>
      <c r="N655" s="327" t="str">
        <f>$N$613</f>
        <v xml:space="preserve"> </v>
      </c>
      <c r="O655" s="323" t="s">
        <v>374</v>
      </c>
      <c r="P655" s="321">
        <f>ROUND(N655*$C655/100,0)</f>
        <v>0</v>
      </c>
      <c r="Q655" s="321"/>
      <c r="R655" s="327">
        <f ca="1">$R$613</f>
        <v>1.105</v>
      </c>
      <c r="S655" s="323" t="s">
        <v>374</v>
      </c>
      <c r="T655" s="321">
        <f ca="1">ROUND(R655*$C655/100,0)</f>
        <v>4874911</v>
      </c>
      <c r="U655" s="321"/>
      <c r="V655" s="327">
        <f ca="1">$V$613</f>
        <v>1.347</v>
      </c>
      <c r="W655" s="323" t="s">
        <v>374</v>
      </c>
      <c r="X655" s="321">
        <f ca="1">ROUND(V655*$C655/100,0)</f>
        <v>5942539</v>
      </c>
      <c r="AA655" s="74"/>
      <c r="AB655" s="74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</row>
    <row r="656" spans="1:45">
      <c r="A656" s="323" t="s">
        <v>400</v>
      </c>
      <c r="B656" s="1"/>
      <c r="C656" s="319">
        <f>[50]Sheet1!$K$22+[50]Sheet1!$K$24</f>
        <v>386507.60000000073</v>
      </c>
      <c r="D656" s="991">
        <v>56</v>
      </c>
      <c r="E656" s="323" t="s">
        <v>374</v>
      </c>
      <c r="F656" s="321">
        <f>ROUND(D656*$C656/100,0)</f>
        <v>216444</v>
      </c>
      <c r="G656" s="991">
        <v>56</v>
      </c>
      <c r="H656" s="323" t="s">
        <v>374</v>
      </c>
      <c r="I656" s="321">
        <f t="shared" si="223"/>
        <v>216444</v>
      </c>
      <c r="J656" s="475">
        <f>$J$614</f>
        <v>56</v>
      </c>
      <c r="K656" s="323" t="s">
        <v>374</v>
      </c>
      <c r="L656" s="321">
        <f>ROUND(J656*$C656/100,0)</f>
        <v>216444</v>
      </c>
      <c r="M656" s="321"/>
      <c r="N656" s="475" t="str">
        <f>$N$614</f>
        <v xml:space="preserve"> </v>
      </c>
      <c r="O656" s="323" t="s">
        <v>374</v>
      </c>
      <c r="P656" s="321">
        <f>ROUND(N656*$C656/100,0)</f>
        <v>0</v>
      </c>
      <c r="Q656" s="321"/>
      <c r="R656" s="475">
        <f ca="1">$R$614</f>
        <v>11</v>
      </c>
      <c r="S656" s="323" t="s">
        <v>374</v>
      </c>
      <c r="T656" s="321">
        <f ca="1">ROUND(R656*$C656/100,0)</f>
        <v>42516</v>
      </c>
      <c r="U656" s="321"/>
      <c r="V656" s="475">
        <f ca="1">$V$614</f>
        <v>45</v>
      </c>
      <c r="W656" s="323" t="s">
        <v>374</v>
      </c>
      <c r="X656" s="321">
        <f ca="1">ROUND(V656*$C656/100,0)</f>
        <v>173928</v>
      </c>
      <c r="AA656" s="74"/>
      <c r="AB656" s="74"/>
      <c r="AC656" s="7" t="s">
        <v>31</v>
      </c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</row>
    <row r="657" spans="1:47" s="1184" customFormat="1">
      <c r="A657" s="1005" t="s">
        <v>924</v>
      </c>
      <c r="C657" s="1202">
        <f>C654</f>
        <v>352966596.14110196</v>
      </c>
      <c r="D657" s="269"/>
      <c r="E657" s="1185"/>
      <c r="F657" s="1203"/>
      <c r="G657" s="269"/>
      <c r="H657" s="1185"/>
      <c r="I657" s="1203"/>
      <c r="J657" s="1230">
        <f>J615</f>
        <v>3.415</v>
      </c>
      <c r="K657" s="1041" t="s">
        <v>374</v>
      </c>
      <c r="L657" s="1041">
        <f t="shared" ref="L657:L658" si="224">ROUND(J657*$C657/100,0)</f>
        <v>12053809</v>
      </c>
      <c r="M657" s="1041"/>
      <c r="N657" s="1230" t="str">
        <f>N615</f>
        <v xml:space="preserve"> </v>
      </c>
      <c r="O657" s="1041" t="s">
        <v>374</v>
      </c>
      <c r="P657" s="1041">
        <f t="shared" ref="P657:P658" si="225">ROUND(N657*$C657/100,0)</f>
        <v>0</v>
      </c>
      <c r="Q657" s="1041"/>
      <c r="R657" s="1230" t="str">
        <f>R615</f>
        <v xml:space="preserve"> </v>
      </c>
      <c r="S657" s="1041" t="s">
        <v>374</v>
      </c>
      <c r="T657" s="1041">
        <f t="shared" ref="T657:T658" si="226">ROUND(R657*$C657/100,0)</f>
        <v>0</v>
      </c>
      <c r="U657" s="1041"/>
      <c r="V657" s="1230">
        <f>V615</f>
        <v>3.415</v>
      </c>
      <c r="W657" s="1041" t="s">
        <v>374</v>
      </c>
      <c r="X657" s="1041">
        <f t="shared" ref="X657:X658" si="227">ROUND(V657*$C657/100,0)</f>
        <v>12053809</v>
      </c>
      <c r="Z657" s="1190"/>
      <c r="AA657" s="1274"/>
      <c r="AB657" s="1186"/>
      <c r="AC657" s="1205"/>
      <c r="AD657" s="1205"/>
      <c r="AI657" s="1185"/>
      <c r="AJ657" s="1185"/>
      <c r="AK657" s="1185"/>
      <c r="AL657" s="1185"/>
      <c r="AM657" s="1185"/>
      <c r="AN657" s="1185"/>
      <c r="AO657" s="1185"/>
      <c r="AP657" s="1185"/>
      <c r="AQ657" s="1185"/>
      <c r="AR657" s="1185"/>
      <c r="AS657" s="1185"/>
      <c r="AU657" s="1204"/>
    </row>
    <row r="658" spans="1:47" s="1184" customFormat="1">
      <c r="A658" s="1005" t="s">
        <v>925</v>
      </c>
      <c r="C658" s="1202">
        <f>C655</f>
        <v>441168417.03466094</v>
      </c>
      <c r="D658" s="269"/>
      <c r="E658" s="1185"/>
      <c r="F658" s="1203"/>
      <c r="G658" s="269"/>
      <c r="H658" s="1185"/>
      <c r="I658" s="1203"/>
      <c r="J658" s="1230">
        <f>J616</f>
        <v>3.1309999999999998</v>
      </c>
      <c r="K658" s="1041" t="s">
        <v>374</v>
      </c>
      <c r="L658" s="1041">
        <f t="shared" si="224"/>
        <v>13812983</v>
      </c>
      <c r="M658" s="1041"/>
      <c r="N658" s="1230" t="str">
        <f>N616</f>
        <v xml:space="preserve"> </v>
      </c>
      <c r="O658" s="1041" t="s">
        <v>374</v>
      </c>
      <c r="P658" s="1041">
        <f t="shared" si="225"/>
        <v>0</v>
      </c>
      <c r="Q658" s="1041"/>
      <c r="R658" s="1230" t="str">
        <f>R616</f>
        <v xml:space="preserve"> </v>
      </c>
      <c r="S658" s="1041" t="s">
        <v>374</v>
      </c>
      <c r="T658" s="1041">
        <f t="shared" si="226"/>
        <v>0</v>
      </c>
      <c r="U658" s="1041"/>
      <c r="V658" s="1230">
        <f>V616</f>
        <v>3.1309999999999998</v>
      </c>
      <c r="W658" s="1041" t="s">
        <v>374</v>
      </c>
      <c r="X658" s="1041">
        <f t="shared" si="227"/>
        <v>13812983</v>
      </c>
      <c r="Z658" s="1190"/>
      <c r="AA658" s="1274"/>
      <c r="AB658" s="1186"/>
      <c r="AC658" s="1205"/>
      <c r="AD658" s="1205"/>
      <c r="AI658" s="1185"/>
      <c r="AJ658" s="1185"/>
      <c r="AK658" s="1185"/>
      <c r="AL658" s="1185"/>
      <c r="AM658" s="1185"/>
      <c r="AN658" s="1185"/>
      <c r="AO658" s="1185"/>
      <c r="AP658" s="1185"/>
      <c r="AQ658" s="1185"/>
      <c r="AR658" s="1185"/>
      <c r="AS658" s="1185"/>
      <c r="AU658" s="1204"/>
    </row>
    <row r="659" spans="1:47">
      <c r="A659" s="360" t="s">
        <v>401</v>
      </c>
      <c r="B659" s="1"/>
      <c r="C659" s="319"/>
      <c r="D659" s="332">
        <v>-0.01</v>
      </c>
      <c r="E659" s="2"/>
      <c r="F659" s="321"/>
      <c r="G659" s="332">
        <v>-0.01</v>
      </c>
      <c r="H659" s="1"/>
      <c r="I659" s="321"/>
      <c r="J659" s="332">
        <v>-0.01</v>
      </c>
      <c r="K659" s="1"/>
      <c r="L659" s="321"/>
      <c r="M659" s="321"/>
      <c r="N659" s="332">
        <v>-0.01</v>
      </c>
      <c r="O659" s="1"/>
      <c r="P659" s="321"/>
      <c r="Q659" s="321"/>
      <c r="R659" s="332">
        <v>-0.01</v>
      </c>
      <c r="S659" s="1"/>
      <c r="T659" s="321"/>
      <c r="U659" s="321"/>
      <c r="V659" s="332">
        <v>-0.01</v>
      </c>
      <c r="W659" s="1"/>
      <c r="X659" s="321"/>
      <c r="AA659" s="416"/>
      <c r="AB659" s="74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</row>
    <row r="660" spans="1:47">
      <c r="A660" s="323" t="s">
        <v>421</v>
      </c>
      <c r="B660" s="21"/>
      <c r="C660" s="319">
        <f>[50]Sheet1!$E$5</f>
        <v>0.46666666666666701</v>
      </c>
      <c r="D660" s="304">
        <v>259</v>
      </c>
      <c r="E660" s="364"/>
      <c r="F660" s="321">
        <f>ROUND(D660*$C660*D659,0)</f>
        <v>-1</v>
      </c>
      <c r="G660" s="304">
        <v>259</v>
      </c>
      <c r="H660" s="293"/>
      <c r="I660" s="321">
        <f>ROUND(G660*C660*$G$659,0)</f>
        <v>-1</v>
      </c>
      <c r="J660" s="304">
        <f>J644</f>
        <v>259</v>
      </c>
      <c r="K660" s="293"/>
      <c r="L660" s="321">
        <f>ROUND(J660*$C660*J659,0)</f>
        <v>-1</v>
      </c>
      <c r="M660" s="321"/>
      <c r="N660" s="304">
        <f>N644</f>
        <v>259</v>
      </c>
      <c r="O660" s="293"/>
      <c r="P660" s="321">
        <f>ROUND(N660*$C660*N659,0)</f>
        <v>-1</v>
      </c>
      <c r="Q660" s="321"/>
      <c r="R660" s="304" t="str">
        <f>R644</f>
        <v xml:space="preserve"> </v>
      </c>
      <c r="S660" s="293"/>
      <c r="T660" s="321">
        <f>ROUND(R660*$C660*R659,0)</f>
        <v>0</v>
      </c>
      <c r="U660" s="321"/>
      <c r="V660" s="304" t="str">
        <f>V644</f>
        <v xml:space="preserve"> </v>
      </c>
      <c r="W660" s="293"/>
      <c r="X660" s="321">
        <f>ROUND(V660*$C660*V659,0)</f>
        <v>0</v>
      </c>
      <c r="AA660" s="416"/>
      <c r="AB660" s="74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</row>
    <row r="661" spans="1:47">
      <c r="A661" s="323" t="s">
        <v>422</v>
      </c>
      <c r="B661" s="1"/>
      <c r="C661" s="319">
        <f>[50]Sheet1!$E$6</f>
        <v>47.6</v>
      </c>
      <c r="D661" s="304">
        <v>96</v>
      </c>
      <c r="E661" s="364"/>
      <c r="F661" s="321">
        <f>ROUND(D661*$C661*D659,0)</f>
        <v>-46</v>
      </c>
      <c r="G661" s="304">
        <v>96</v>
      </c>
      <c r="H661" s="293"/>
      <c r="I661" s="321">
        <f t="shared" ref="I661:I666" si="228">ROUND(G661*C661*$G$659,0)</f>
        <v>-46</v>
      </c>
      <c r="J661" s="304">
        <f>J645</f>
        <v>96</v>
      </c>
      <c r="K661" s="293"/>
      <c r="L661" s="321">
        <f>ROUND(J661*$C661*J659,0)</f>
        <v>-46</v>
      </c>
      <c r="M661" s="321"/>
      <c r="N661" s="304">
        <f>N645</f>
        <v>96</v>
      </c>
      <c r="O661" s="293"/>
      <c r="P661" s="321">
        <f>ROUND(N661*$C661*N659,0)</f>
        <v>-46</v>
      </c>
      <c r="Q661" s="321"/>
      <c r="R661" s="304" t="str">
        <f>R645</f>
        <v xml:space="preserve"> </v>
      </c>
      <c r="S661" s="293"/>
      <c r="T661" s="321">
        <f>ROUND(R661*$C661*R659,0)</f>
        <v>0</v>
      </c>
      <c r="U661" s="321"/>
      <c r="V661" s="304" t="str">
        <f>V645</f>
        <v xml:space="preserve"> </v>
      </c>
      <c r="W661" s="293"/>
      <c r="X661" s="321">
        <f>ROUND(V661*$C661*V659,0)</f>
        <v>0</v>
      </c>
      <c r="AA661" s="416"/>
      <c r="AB661" s="74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</row>
    <row r="662" spans="1:47">
      <c r="A662" s="323" t="s">
        <v>423</v>
      </c>
      <c r="B662" s="1"/>
      <c r="C662" s="319">
        <f>[50]Sheet1!$E$7</f>
        <v>82</v>
      </c>
      <c r="D662" s="304">
        <v>192</v>
      </c>
      <c r="E662" s="372"/>
      <c r="F662" s="321">
        <f>ROUND(D662*$C662*D659,0)</f>
        <v>-157</v>
      </c>
      <c r="G662" s="304">
        <v>192</v>
      </c>
      <c r="H662" s="373"/>
      <c r="I662" s="321">
        <f t="shared" si="228"/>
        <v>-157</v>
      </c>
      <c r="J662" s="304">
        <f>J646</f>
        <v>192</v>
      </c>
      <c r="K662" s="373"/>
      <c r="L662" s="321">
        <f>ROUND(J662*$C662*J659,0)</f>
        <v>-157</v>
      </c>
      <c r="M662" s="321"/>
      <c r="N662" s="304">
        <f>N646</f>
        <v>192</v>
      </c>
      <c r="O662" s="373"/>
      <c r="P662" s="321">
        <f>ROUND(N662*$C662*N659,0)</f>
        <v>-157</v>
      </c>
      <c r="Q662" s="321"/>
      <c r="R662" s="304" t="str">
        <f>R646</f>
        <v xml:space="preserve"> </v>
      </c>
      <c r="S662" s="373"/>
      <c r="T662" s="321">
        <f>ROUND(R662*$C662*R659,0)</f>
        <v>0</v>
      </c>
      <c r="U662" s="321"/>
      <c r="V662" s="304" t="str">
        <f>V646</f>
        <v xml:space="preserve"> </v>
      </c>
      <c r="W662" s="373"/>
      <c r="X662" s="321">
        <f>ROUND(V662*$C662*V659,0)</f>
        <v>0</v>
      </c>
      <c r="AA662" s="416"/>
      <c r="AB662" s="74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</row>
    <row r="663" spans="1:47">
      <c r="A663" s="323" t="s">
        <v>422</v>
      </c>
      <c r="B663" s="1"/>
      <c r="C663" s="319">
        <f>[50]Sheet1!$F$6</f>
        <v>8428</v>
      </c>
      <c r="D663" s="304">
        <v>1.7</v>
      </c>
      <c r="E663" s="364"/>
      <c r="F663" s="321">
        <f>ROUND(D663*$C663*D659,0)</f>
        <v>-143</v>
      </c>
      <c r="G663" s="304">
        <v>1.7</v>
      </c>
      <c r="H663" s="293"/>
      <c r="I663" s="321">
        <f t="shared" si="228"/>
        <v>-143</v>
      </c>
      <c r="J663" s="304">
        <f ca="1">J648</f>
        <v>1.89</v>
      </c>
      <c r="K663" s="293"/>
      <c r="L663" s="321">
        <f ca="1">ROUND(J663*$C663*J659,0)</f>
        <v>-159</v>
      </c>
      <c r="M663" s="321"/>
      <c r="N663" s="304">
        <f ca="1">N648</f>
        <v>1.89</v>
      </c>
      <c r="O663" s="293"/>
      <c r="P663" s="321">
        <f ca="1">ROUND(N663*$C663*N659,0)</f>
        <v>-159</v>
      </c>
      <c r="Q663" s="321"/>
      <c r="R663" s="304" t="str">
        <f>R648</f>
        <v xml:space="preserve"> </v>
      </c>
      <c r="S663" s="293"/>
      <c r="T663" s="321">
        <f>ROUND(R663*$C663*R659,0)</f>
        <v>0</v>
      </c>
      <c r="U663" s="321"/>
      <c r="V663" s="304" t="str">
        <f>V648</f>
        <v xml:space="preserve"> </v>
      </c>
      <c r="W663" s="293"/>
      <c r="X663" s="321">
        <f>ROUND(V663*$C663*V659,0)</f>
        <v>0</v>
      </c>
      <c r="AA663" s="416"/>
      <c r="AB663" s="74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</row>
    <row r="664" spans="1:47">
      <c r="A664" s="323" t="s">
        <v>423</v>
      </c>
      <c r="B664" s="1"/>
      <c r="C664" s="319">
        <f>[50]Sheet1!$F$7</f>
        <v>57957</v>
      </c>
      <c r="D664" s="304">
        <v>1.39</v>
      </c>
      <c r="E664" s="364" t="s">
        <v>31</v>
      </c>
      <c r="F664" s="321">
        <f>ROUND(D664*$C664*D659,0)</f>
        <v>-806</v>
      </c>
      <c r="G664" s="304">
        <v>1.39</v>
      </c>
      <c r="H664" s="293"/>
      <c r="I664" s="321">
        <f t="shared" si="228"/>
        <v>-806</v>
      </c>
      <c r="J664" s="304">
        <f ca="1">J649</f>
        <v>1.55</v>
      </c>
      <c r="K664" s="293"/>
      <c r="L664" s="321">
        <f ca="1">ROUND(J664*$C664*J659,0)</f>
        <v>-898</v>
      </c>
      <c r="M664" s="321"/>
      <c r="N664" s="304">
        <f ca="1">N649</f>
        <v>1.55</v>
      </c>
      <c r="O664" s="293"/>
      <c r="P664" s="321">
        <f ca="1">ROUND(N664*$C664*N659,0)</f>
        <v>-898</v>
      </c>
      <c r="Q664" s="321"/>
      <c r="R664" s="304" t="str">
        <f>R649</f>
        <v xml:space="preserve"> </v>
      </c>
      <c r="S664" s="293"/>
      <c r="T664" s="321">
        <f>ROUND(R664*$C664*R659,0)</f>
        <v>0</v>
      </c>
      <c r="U664" s="321"/>
      <c r="V664" s="304" t="str">
        <f>V649</f>
        <v xml:space="preserve"> </v>
      </c>
      <c r="W664" s="293"/>
      <c r="X664" s="321">
        <f>ROUND(V664*$C664*V659,0)</f>
        <v>0</v>
      </c>
      <c r="AA664" s="416"/>
      <c r="AB664" s="74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</row>
    <row r="665" spans="1:47">
      <c r="A665" s="309" t="s">
        <v>425</v>
      </c>
      <c r="B665" s="1"/>
      <c r="C665" s="319">
        <f>[50]Sheet1!$I$5+[50]Sheet1!$I$6+[50]Sheet1!$I$7</f>
        <v>42970.5</v>
      </c>
      <c r="D665" s="304">
        <v>4.4400000000000004</v>
      </c>
      <c r="E665" s="364" t="s">
        <v>31</v>
      </c>
      <c r="F665" s="321">
        <f>ROUND(D665*$C665*D659,0)</f>
        <v>-1908</v>
      </c>
      <c r="G665" s="304">
        <v>4.72</v>
      </c>
      <c r="H665" s="293"/>
      <c r="I665" s="321">
        <f t="shared" si="228"/>
        <v>-2028</v>
      </c>
      <c r="J665" s="304">
        <f ca="1">J651</f>
        <v>5.87</v>
      </c>
      <c r="K665" s="293"/>
      <c r="L665" s="321">
        <f ca="1">ROUND(J665*$C665*J659,0)</f>
        <v>-2522</v>
      </c>
      <c r="M665" s="321"/>
      <c r="N665" s="304">
        <f ca="1">N651</f>
        <v>0.95</v>
      </c>
      <c r="O665" s="293"/>
      <c r="P665" s="321">
        <f ca="1">ROUND(N665*$C665*N659,0)</f>
        <v>-408</v>
      </c>
      <c r="Q665" s="321"/>
      <c r="R665" s="304">
        <f ca="1">R651</f>
        <v>0.98</v>
      </c>
      <c r="S665" s="293"/>
      <c r="T665" s="321">
        <f ca="1">ROUND(R665*$C665*R659,0)</f>
        <v>-421</v>
      </c>
      <c r="U665" s="321"/>
      <c r="V665" s="304">
        <f ca="1">V651</f>
        <v>3.94</v>
      </c>
      <c r="W665" s="293"/>
      <c r="X665" s="321">
        <f ca="1">ROUND(V665*$C665*V659,0)</f>
        <v>-1693</v>
      </c>
      <c r="AA665" s="416"/>
      <c r="AB665" s="74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</row>
    <row r="666" spans="1:47">
      <c r="A666" s="309" t="s">
        <v>441</v>
      </c>
      <c r="B666" s="1"/>
      <c r="C666" s="319">
        <f>[50]Sheet1!$J$5+[50]Sheet1!$J$6+[50]Sheet1!$J$7</f>
        <v>384.33333333333331</v>
      </c>
      <c r="D666" s="304">
        <v>4.4400000000000004</v>
      </c>
      <c r="E666" s="364" t="s">
        <v>31</v>
      </c>
      <c r="F666" s="321">
        <f>ROUND(D666*$C666*D659,0)</f>
        <v>-17</v>
      </c>
      <c r="G666" s="304">
        <v>4.72</v>
      </c>
      <c r="H666" s="293"/>
      <c r="I666" s="321">
        <f t="shared" si="228"/>
        <v>-18</v>
      </c>
      <c r="J666" s="304">
        <f ca="1">J652</f>
        <v>5.87</v>
      </c>
      <c r="K666" s="293"/>
      <c r="L666" s="321">
        <f ca="1">ROUND(J666*$C666*J659,0)</f>
        <v>-23</v>
      </c>
      <c r="M666" s="321"/>
      <c r="N666" s="304">
        <f ca="1">N652</f>
        <v>0.95</v>
      </c>
      <c r="O666" s="293"/>
      <c r="P666" s="321">
        <f ca="1">ROUND(N666*$C666*N659,0)</f>
        <v>-4</v>
      </c>
      <c r="Q666" s="321"/>
      <c r="R666" s="304">
        <f ca="1">R652</f>
        <v>0.98</v>
      </c>
      <c r="S666" s="293"/>
      <c r="T666" s="321">
        <f ca="1">ROUND(R666*$C666*R659,0)</f>
        <v>-4</v>
      </c>
      <c r="U666" s="321"/>
      <c r="V666" s="304">
        <f ca="1">V652</f>
        <v>3.94</v>
      </c>
      <c r="W666" s="293"/>
      <c r="X666" s="321">
        <f ca="1">ROUND(V666*$C666*V659,0)</f>
        <v>-15</v>
      </c>
      <c r="AA666" s="416"/>
      <c r="AB666" s="74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</row>
    <row r="667" spans="1:47">
      <c r="A667" s="323" t="s">
        <v>427</v>
      </c>
      <c r="B667" s="1"/>
      <c r="C667" s="319">
        <f>[50]Sheet1!$H$5+[50]Sheet1!$H$6+[50]Sheet1!$H$7</f>
        <v>4425080</v>
      </c>
      <c r="D667" s="374">
        <v>5.2939999999999996</v>
      </c>
      <c r="E667" s="321" t="s">
        <v>374</v>
      </c>
      <c r="F667" s="321">
        <f>ROUND(D667*$C667/100*D659,0)</f>
        <v>-2343</v>
      </c>
      <c r="G667" s="374">
        <v>5.6289999999999996</v>
      </c>
      <c r="H667" s="323" t="s">
        <v>374</v>
      </c>
      <c r="I667" s="321">
        <f>ROUND(G667*C667/100*$G$659,0)</f>
        <v>-2491</v>
      </c>
      <c r="J667" s="374">
        <f ca="1">J654</f>
        <v>2.6779999999999999</v>
      </c>
      <c r="K667" s="323" t="s">
        <v>374</v>
      </c>
      <c r="L667" s="321">
        <f ca="1">ROUND(J667*$C667/100*J659,0)</f>
        <v>-1185</v>
      </c>
      <c r="M667" s="321"/>
      <c r="N667" s="374" t="str">
        <f>N654</f>
        <v xml:space="preserve"> </v>
      </c>
      <c r="O667" s="323" t="s">
        <v>374</v>
      </c>
      <c r="P667" s="321">
        <f>ROUND(N667*$C667/100*N659,0)</f>
        <v>0</v>
      </c>
      <c r="Q667" s="321"/>
      <c r="R667" s="374">
        <f ca="1">R654</f>
        <v>1.2070000000000001</v>
      </c>
      <c r="S667" s="323" t="s">
        <v>374</v>
      </c>
      <c r="T667" s="321">
        <f ca="1">ROUND(R667*$C667/100*R659,0)</f>
        <v>-534</v>
      </c>
      <c r="U667" s="321"/>
      <c r="V667" s="374">
        <f ca="1">V654</f>
        <v>1.4710000000000001</v>
      </c>
      <c r="W667" s="323" t="s">
        <v>374</v>
      </c>
      <c r="X667" s="321">
        <f ca="1">ROUND(V667*$C667/100*V659,0)</f>
        <v>-651</v>
      </c>
      <c r="AA667" s="416"/>
      <c r="AB667" s="74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</row>
    <row r="668" spans="1:47">
      <c r="A668" s="323" t="s">
        <v>399</v>
      </c>
      <c r="B668" s="1"/>
      <c r="C668" s="319">
        <f>[50]Sheet1!$G$5+[50]Sheet1!$G$6+[50]Sheet1!$G$7-C667</f>
        <v>11577379</v>
      </c>
      <c r="D668" s="374">
        <v>4.8520000000000003</v>
      </c>
      <c r="E668" s="321" t="s">
        <v>374</v>
      </c>
      <c r="F668" s="321">
        <f>ROUND(D668*$C668/100*D659,0)</f>
        <v>-5617</v>
      </c>
      <c r="G668" s="374">
        <v>5.157</v>
      </c>
      <c r="H668" s="323" t="s">
        <v>374</v>
      </c>
      <c r="I668" s="321">
        <f>ROUND(G668*C668/100*$G$659,0)</f>
        <v>-5970</v>
      </c>
      <c r="J668" s="374">
        <f ca="1">J655</f>
        <v>2.452</v>
      </c>
      <c r="K668" s="323" t="s">
        <v>374</v>
      </c>
      <c r="L668" s="321">
        <f ca="1">ROUND(J668*$C668/100*J659,0)</f>
        <v>-2839</v>
      </c>
      <c r="M668" s="321"/>
      <c r="N668" s="374" t="str">
        <f>N655</f>
        <v xml:space="preserve"> </v>
      </c>
      <c r="O668" s="323" t="s">
        <v>374</v>
      </c>
      <c r="P668" s="321">
        <f>ROUND(N668*$C668/100*N659,0)</f>
        <v>0</v>
      </c>
      <c r="Q668" s="321"/>
      <c r="R668" s="374">
        <f ca="1">R655</f>
        <v>1.105</v>
      </c>
      <c r="S668" s="323" t="s">
        <v>374</v>
      </c>
      <c r="T668" s="321">
        <f ca="1">ROUND(R668*$C668/100*R659,0)</f>
        <v>-1279</v>
      </c>
      <c r="U668" s="321"/>
      <c r="V668" s="374">
        <f ca="1">V655</f>
        <v>1.347</v>
      </c>
      <c r="W668" s="323" t="s">
        <v>374</v>
      </c>
      <c r="X668" s="321">
        <f ca="1">ROUND(V668*$C668/100*V659,0)</f>
        <v>-1559</v>
      </c>
      <c r="AA668" s="416"/>
      <c r="AB668" s="74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</row>
    <row r="669" spans="1:47">
      <c r="A669" s="323" t="s">
        <v>400</v>
      </c>
      <c r="B669" s="1"/>
      <c r="C669" s="319">
        <f>[50]Sheet1!$K$5+[50]Sheet1!$K$6+[50]Sheet1!$K$7</f>
        <v>7635.9666666666699</v>
      </c>
      <c r="D669" s="375">
        <v>56</v>
      </c>
      <c r="E669" s="321" t="s">
        <v>374</v>
      </c>
      <c r="F669" s="321">
        <f>ROUND(D669*$C669/100*D659,0)</f>
        <v>-43</v>
      </c>
      <c r="G669" s="375">
        <v>56</v>
      </c>
      <c r="H669" s="323" t="s">
        <v>374</v>
      </c>
      <c r="I669" s="321">
        <f>ROUND(G669*C669/100*$G$659,0)</f>
        <v>-43</v>
      </c>
      <c r="J669" s="375">
        <f>J656</f>
        <v>56</v>
      </c>
      <c r="K669" s="323" t="s">
        <v>374</v>
      </c>
      <c r="L669" s="321">
        <f>ROUND(J669*$C669/100*J659,0)</f>
        <v>-43</v>
      </c>
      <c r="M669" s="321"/>
      <c r="N669" s="375" t="str">
        <f>N656</f>
        <v xml:space="preserve"> </v>
      </c>
      <c r="O669" s="323" t="s">
        <v>374</v>
      </c>
      <c r="P669" s="321">
        <f>ROUND(N669*$C669/100*N659,0)</f>
        <v>0</v>
      </c>
      <c r="Q669" s="321"/>
      <c r="R669" s="375">
        <f ca="1">R656</f>
        <v>11</v>
      </c>
      <c r="S669" s="323" t="s">
        <v>374</v>
      </c>
      <c r="T669" s="321">
        <f ca="1">ROUND(R669*$C669/100*R659,0)</f>
        <v>-8</v>
      </c>
      <c r="U669" s="321"/>
      <c r="V669" s="375">
        <f ca="1">V656</f>
        <v>45</v>
      </c>
      <c r="W669" s="323" t="s">
        <v>374</v>
      </c>
      <c r="X669" s="321">
        <f ca="1">ROUND(V669*$C669/100*V659,0)</f>
        <v>-34</v>
      </c>
      <c r="AA669" s="416"/>
      <c r="AB669" s="74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</row>
    <row r="670" spans="1:47">
      <c r="A670" s="323" t="s">
        <v>443</v>
      </c>
      <c r="B670" s="1"/>
      <c r="C670" s="319">
        <f>[50]Sheet1!$E$6+[50]Sheet1!$E$7</f>
        <v>129.6</v>
      </c>
      <c r="D670" s="298">
        <v>60</v>
      </c>
      <c r="E670" s="364" t="s">
        <v>31</v>
      </c>
      <c r="F670" s="321">
        <f>ROUND(D670*$C670,0)</f>
        <v>7776</v>
      </c>
      <c r="G670" s="298">
        <v>60</v>
      </c>
      <c r="H670" s="1"/>
      <c r="I670" s="321">
        <f>ROUND(G670*C670,0)</f>
        <v>7776</v>
      </c>
      <c r="J670" s="298">
        <f>$J$630</f>
        <v>60</v>
      </c>
      <c r="K670" s="1"/>
      <c r="L670" s="321">
        <f>ROUND(J670*$C670,0)</f>
        <v>7776</v>
      </c>
      <c r="M670" s="321"/>
      <c r="N670" s="298">
        <v>0</v>
      </c>
      <c r="O670" s="1"/>
      <c r="P670" s="321">
        <f>ROUND(N670*$C670,0)</f>
        <v>0</v>
      </c>
      <c r="Q670" s="321"/>
      <c r="R670" s="298">
        <f ca="1">R630</f>
        <v>11.894336305988995</v>
      </c>
      <c r="S670" s="1"/>
      <c r="T670" s="321">
        <f ca="1">ROUND(R670*$C670,0)</f>
        <v>1542</v>
      </c>
      <c r="U670" s="321"/>
      <c r="V670" s="298">
        <f ca="1">V630</f>
        <v>48.105663694011</v>
      </c>
      <c r="W670" s="1"/>
      <c r="X670" s="321">
        <f ca="1">ROUND(V670*$C670,0)</f>
        <v>6234</v>
      </c>
      <c r="AA670" s="3"/>
      <c r="AB670" s="105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</row>
    <row r="671" spans="1:47">
      <c r="A671" s="323" t="s">
        <v>444</v>
      </c>
      <c r="B671" s="305"/>
      <c r="C671" s="319">
        <f>[50]Sheet1!$F$6+[50]Sheet1!$F$7</f>
        <v>66385</v>
      </c>
      <c r="D671" s="339">
        <v>-30</v>
      </c>
      <c r="E671" s="321" t="s">
        <v>374</v>
      </c>
      <c r="F671" s="321">
        <f>ROUND(D671*$C671/100,0)</f>
        <v>-19916</v>
      </c>
      <c r="G671" s="339">
        <v>-30</v>
      </c>
      <c r="H671" s="321" t="s">
        <v>374</v>
      </c>
      <c r="I671" s="321">
        <f>-ROUND(G671*C671*$G$659,0)</f>
        <v>-19916</v>
      </c>
      <c r="J671" s="339">
        <f>$J$631</f>
        <v>-30</v>
      </c>
      <c r="K671" s="321" t="s">
        <v>374</v>
      </c>
      <c r="L671" s="321">
        <f>ROUND(J671*$C671/100,0)</f>
        <v>-19916</v>
      </c>
      <c r="M671" s="321"/>
      <c r="N671" s="339">
        <f>$J$631</f>
        <v>-30</v>
      </c>
      <c r="O671" s="321" t="s">
        <v>374</v>
      </c>
      <c r="P671" s="321">
        <f>ROUND(N671*$C671/100,0)</f>
        <v>-19916</v>
      </c>
      <c r="Q671" s="321"/>
      <c r="R671" s="339">
        <v>0</v>
      </c>
      <c r="S671" s="321" t="s">
        <v>374</v>
      </c>
      <c r="T671" s="321">
        <f>ROUND(R671*$C671/100,0)</f>
        <v>0</v>
      </c>
      <c r="U671" s="321"/>
      <c r="V671" s="339">
        <v>0</v>
      </c>
      <c r="W671" s="321" t="s">
        <v>374</v>
      </c>
      <c r="X671" s="321">
        <f>ROUND(V671*$C671/100,0)</f>
        <v>0</v>
      </c>
      <c r="AA671" s="3"/>
      <c r="AB671" s="105"/>
      <c r="AC671" s="7" t="s">
        <v>31</v>
      </c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</row>
    <row r="672" spans="1:47" s="1184" customFormat="1">
      <c r="A672" s="1005" t="s">
        <v>924</v>
      </c>
      <c r="C672" s="1202">
        <f>C667</f>
        <v>4425080</v>
      </c>
      <c r="D672" s="269"/>
      <c r="E672" s="1185"/>
      <c r="F672" s="1203"/>
      <c r="G672" s="269"/>
      <c r="H672" s="1185"/>
      <c r="I672" s="1203"/>
      <c r="J672" s="1230">
        <f>J657</f>
        <v>3.415</v>
      </c>
      <c r="K672" s="1041" t="s">
        <v>374</v>
      </c>
      <c r="L672" s="1041">
        <f>ROUND(J672*$C672/100*J659,0)</f>
        <v>-1511</v>
      </c>
      <c r="M672" s="1041"/>
      <c r="N672" s="1230" t="str">
        <f>N657</f>
        <v xml:space="preserve"> </v>
      </c>
      <c r="O672" s="1041" t="s">
        <v>374</v>
      </c>
      <c r="P672" s="1041">
        <f>ROUND(N672*$C672/100*N659,0)</f>
        <v>0</v>
      </c>
      <c r="Q672" s="1041"/>
      <c r="R672" s="1230" t="str">
        <f>R657</f>
        <v xml:space="preserve"> </v>
      </c>
      <c r="S672" s="1041" t="s">
        <v>374</v>
      </c>
      <c r="T672" s="1041">
        <f>ROUND(R672*$C672/100*R659,0)</f>
        <v>0</v>
      </c>
      <c r="U672" s="1041"/>
      <c r="V672" s="1230">
        <f>V657</f>
        <v>3.415</v>
      </c>
      <c r="W672" s="1041" t="s">
        <v>374</v>
      </c>
      <c r="X672" s="1041">
        <f>ROUND(V672*$C672/100*V659,0)</f>
        <v>-1511</v>
      </c>
      <c r="Z672" s="1190"/>
      <c r="AA672" s="1274"/>
      <c r="AB672" s="1186"/>
      <c r="AC672" s="1205"/>
      <c r="AD672" s="1205"/>
      <c r="AI672" s="1185"/>
      <c r="AJ672" s="1185"/>
      <c r="AK672" s="1185"/>
      <c r="AL672" s="1185"/>
      <c r="AM672" s="1185"/>
      <c r="AN672" s="1185"/>
      <c r="AO672" s="1185"/>
      <c r="AP672" s="1185"/>
      <c r="AQ672" s="1185"/>
      <c r="AR672" s="1185"/>
      <c r="AS672" s="1185"/>
      <c r="AU672" s="1204"/>
    </row>
    <row r="673" spans="1:47" s="1184" customFormat="1">
      <c r="A673" s="1005" t="s">
        <v>925</v>
      </c>
      <c r="C673" s="1202">
        <f>C668</f>
        <v>11577379</v>
      </c>
      <c r="D673" s="269"/>
      <c r="E673" s="1185"/>
      <c r="F673" s="1203"/>
      <c r="G673" s="269"/>
      <c r="H673" s="1185"/>
      <c r="I673" s="1203"/>
      <c r="J673" s="1230">
        <f>J658</f>
        <v>3.1309999999999998</v>
      </c>
      <c r="K673" s="1041" t="s">
        <v>374</v>
      </c>
      <c r="L673" s="1041">
        <f>ROUND(J673*$C673/100*J659,0)</f>
        <v>-3625</v>
      </c>
      <c r="M673" s="1041"/>
      <c r="N673" s="1230" t="str">
        <f>N658</f>
        <v xml:space="preserve"> </v>
      </c>
      <c r="O673" s="1041" t="s">
        <v>374</v>
      </c>
      <c r="P673" s="1041">
        <f>ROUND(N673*$C673/100*N659,0)</f>
        <v>0</v>
      </c>
      <c r="Q673" s="1041"/>
      <c r="R673" s="1230" t="str">
        <f>R658</f>
        <v xml:space="preserve"> </v>
      </c>
      <c r="S673" s="1041" t="s">
        <v>374</v>
      </c>
      <c r="T673" s="1041">
        <f>ROUND(R673*$C673/100*R659,0)</f>
        <v>0</v>
      </c>
      <c r="U673" s="1041"/>
      <c r="V673" s="1230">
        <f>V658</f>
        <v>3.1309999999999998</v>
      </c>
      <c r="W673" s="1041" t="s">
        <v>374</v>
      </c>
      <c r="X673" s="1041">
        <f>ROUND(V673*$C673/100*V659,0)</f>
        <v>-3625</v>
      </c>
      <c r="Z673" s="1190"/>
      <c r="AA673" s="1274"/>
      <c r="AB673" s="1186"/>
      <c r="AC673" s="1205"/>
      <c r="AD673" s="1205"/>
      <c r="AI673" s="1185"/>
      <c r="AJ673" s="1185"/>
      <c r="AK673" s="1185"/>
      <c r="AL673" s="1185"/>
      <c r="AM673" s="1185"/>
      <c r="AN673" s="1185"/>
      <c r="AO673" s="1185"/>
      <c r="AP673" s="1185"/>
      <c r="AQ673" s="1185"/>
      <c r="AR673" s="1185"/>
      <c r="AS673" s="1185"/>
      <c r="AU673" s="1204"/>
    </row>
    <row r="674" spans="1:47">
      <c r="A674" s="1" t="s">
        <v>381</v>
      </c>
      <c r="B674" s="307"/>
      <c r="C674" s="319">
        <f>SUM(C654:C655)</f>
        <v>794135013.17576289</v>
      </c>
      <c r="D674" s="330"/>
      <c r="E674" s="2"/>
      <c r="F674" s="2">
        <f>SUM(F644:F671)</f>
        <v>55660462</v>
      </c>
      <c r="G674" s="330"/>
      <c r="H674" s="1"/>
      <c r="I674" s="2">
        <f>SUM(I644:I671)</f>
        <v>58809460</v>
      </c>
      <c r="J674" s="330"/>
      <c r="K674" s="1"/>
      <c r="L674" s="2">
        <f ca="1">SUM(L644:L673)</f>
        <v>65310538</v>
      </c>
      <c r="M674" s="2"/>
      <c r="N674" s="330"/>
      <c r="O674" s="1"/>
      <c r="P674" s="2">
        <f ca="1">SUM(P644:P673)</f>
        <v>8317333</v>
      </c>
      <c r="Q674" s="2"/>
      <c r="R674" s="330"/>
      <c r="S674" s="1"/>
      <c r="T674" s="2">
        <f ca="1">SUM(T644:T673)</f>
        <v>11297103</v>
      </c>
      <c r="U674" s="2"/>
      <c r="V674" s="330"/>
      <c r="W674" s="1"/>
      <c r="X674" s="2">
        <f ca="1">SUM(X644:X673)</f>
        <v>45696105</v>
      </c>
      <c r="AA674" s="416"/>
      <c r="AB674" s="74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</row>
    <row r="675" spans="1:47">
      <c r="A675" s="1" t="s">
        <v>363</v>
      </c>
      <c r="B675" s="1"/>
      <c r="C675" s="349">
        <f>'Table 2'!H46</f>
        <v>-2278044.4690362429</v>
      </c>
      <c r="D675" s="309"/>
      <c r="E675" s="309"/>
      <c r="F675" s="310">
        <f>I675</f>
        <v>-139476.06740318847</v>
      </c>
      <c r="G675" s="309"/>
      <c r="H675" s="309"/>
      <c r="I675" s="310">
        <f>'Table 3'!E46</f>
        <v>-139476.06740318847</v>
      </c>
      <c r="J675" s="309"/>
      <c r="K675" s="309"/>
      <c r="L675" s="310">
        <f>I675</f>
        <v>-139476.06740318847</v>
      </c>
      <c r="M675" s="51"/>
      <c r="N675" s="309"/>
      <c r="O675" s="309"/>
      <c r="P675" s="310">
        <f ca="1">$L$675*Y639/($Y$639+$Z$639+$AA$639)</f>
        <v>-18067.220970213766</v>
      </c>
      <c r="Q675" s="51"/>
      <c r="R675" s="309"/>
      <c r="S675" s="309"/>
      <c r="T675" s="310">
        <f ca="1">$L$675*Z639/($Y$639+$Z$639+$AA$639)</f>
        <v>-24067.960833266228</v>
      </c>
      <c r="U675" s="51"/>
      <c r="V675" s="309"/>
      <c r="W675" s="309"/>
      <c r="X675" s="310">
        <f ca="1">$L$675*AA639/($Y$639+$Z$639+$AA$639)</f>
        <v>-97340.885599708476</v>
      </c>
      <c r="Y675" s="444"/>
      <c r="Z675" s="287"/>
      <c r="AA675" s="416"/>
      <c r="AB675" s="74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</row>
    <row r="676" spans="1:47" ht="16.5" thickBot="1">
      <c r="A676" s="1" t="s">
        <v>382</v>
      </c>
      <c r="B676" s="1"/>
      <c r="C676" s="366">
        <f>SUM(C674)+C675</f>
        <v>791856968.70672667</v>
      </c>
      <c r="D676" s="342"/>
      <c r="E676" s="343"/>
      <c r="F676" s="344">
        <f>F674+F675</f>
        <v>55520985.93259681</v>
      </c>
      <c r="G676" s="342"/>
      <c r="H676" s="345"/>
      <c r="I676" s="344">
        <f>I674+I675</f>
        <v>58669983.93259681</v>
      </c>
      <c r="J676" s="342"/>
      <c r="K676" s="345"/>
      <c r="L676" s="344">
        <f ca="1">L674+L675</f>
        <v>65171061.93259681</v>
      </c>
      <c r="M676" s="344"/>
      <c r="N676" s="342"/>
      <c r="O676" s="345"/>
      <c r="P676" s="344">
        <f ca="1">P674+P675</f>
        <v>8299265.7790297866</v>
      </c>
      <c r="Q676" s="344"/>
      <c r="R676" s="342"/>
      <c r="S676" s="345"/>
      <c r="T676" s="344">
        <f ca="1">T674+T675</f>
        <v>11273035.039166734</v>
      </c>
      <c r="U676" s="344"/>
      <c r="V676" s="342"/>
      <c r="W676" s="345"/>
      <c r="X676" s="344">
        <f ca="1">X674+X675</f>
        <v>45598764.11440029</v>
      </c>
      <c r="Y676" s="411"/>
      <c r="Z676" s="470"/>
      <c r="AA676" s="416"/>
      <c r="AB676" s="74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</row>
    <row r="677" spans="1:47" ht="16.5" thickTop="1">
      <c r="A677" s="1"/>
      <c r="B677" s="1"/>
      <c r="C677" s="21"/>
      <c r="D677" s="337" t="s">
        <v>31</v>
      </c>
      <c r="E677" s="2"/>
      <c r="F677" s="2"/>
      <c r="G677" s="337" t="s">
        <v>31</v>
      </c>
      <c r="H677" s="1"/>
      <c r="I677" s="2"/>
      <c r="J677" s="353" t="s">
        <v>31</v>
      </c>
      <c r="K677" s="1"/>
      <c r="L677" s="2" t="s">
        <v>31</v>
      </c>
      <c r="M677" s="2"/>
      <c r="N677" s="353" t="s">
        <v>31</v>
      </c>
      <c r="O677" s="1"/>
      <c r="P677" s="2" t="s">
        <v>31</v>
      </c>
      <c r="Q677" s="2"/>
      <c r="R677" s="353" t="s">
        <v>31</v>
      </c>
      <c r="S677" s="1"/>
      <c r="T677" s="2" t="s">
        <v>31</v>
      </c>
      <c r="U677" s="2"/>
      <c r="V677" s="353" t="s">
        <v>31</v>
      </c>
      <c r="W677" s="1"/>
      <c r="X677" s="2" t="s">
        <v>31</v>
      </c>
      <c r="Y677" s="20"/>
      <c r="Z677" s="74"/>
      <c r="AA677" s="416"/>
      <c r="AB677" s="74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</row>
    <row r="678" spans="1:47">
      <c r="A678" s="293" t="s">
        <v>436</v>
      </c>
      <c r="B678" s="1"/>
      <c r="C678" s="1"/>
      <c r="D678" s="2"/>
      <c r="E678" s="2"/>
      <c r="F678" s="1" t="s">
        <v>31</v>
      </c>
      <c r="G678" s="2"/>
      <c r="H678" s="1"/>
      <c r="I678" s="1"/>
      <c r="J678" s="2"/>
      <c r="K678" s="1"/>
      <c r="L678" s="1"/>
      <c r="M678" s="1"/>
      <c r="N678" s="2"/>
      <c r="O678" s="1"/>
      <c r="P678" s="1"/>
      <c r="Q678" s="1"/>
      <c r="R678" s="2"/>
      <c r="S678" s="1"/>
      <c r="T678" s="1"/>
      <c r="U678" s="1"/>
      <c r="V678" s="2"/>
      <c r="W678" s="1"/>
      <c r="X678" s="1"/>
      <c r="Y678" s="20"/>
      <c r="Z678" s="74"/>
      <c r="AA678" s="416"/>
      <c r="AB678" s="74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</row>
    <row r="679" spans="1:47">
      <c r="A679" s="309" t="s">
        <v>446</v>
      </c>
      <c r="B679" s="1"/>
      <c r="C679" s="1"/>
      <c r="D679" s="2"/>
      <c r="E679" s="2"/>
      <c r="F679" s="1"/>
      <c r="G679" s="2"/>
      <c r="H679" s="1"/>
      <c r="I679" s="1"/>
      <c r="J679" s="2"/>
      <c r="K679" s="1"/>
      <c r="L679" s="1"/>
      <c r="M679" s="1"/>
      <c r="N679" s="2"/>
      <c r="O679" s="1"/>
      <c r="P679" s="1"/>
      <c r="Q679" s="1"/>
      <c r="R679" s="2"/>
      <c r="S679" s="1"/>
      <c r="T679" s="1"/>
      <c r="U679" s="1"/>
      <c r="V679" s="2"/>
      <c r="W679" s="1"/>
      <c r="X679" s="1"/>
      <c r="Y679" s="20"/>
      <c r="Z679" s="74"/>
      <c r="AA679" s="416"/>
      <c r="AB679" s="74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</row>
    <row r="680" spans="1:47">
      <c r="A680" s="323"/>
      <c r="B680" s="1"/>
      <c r="C680" s="1"/>
      <c r="D680" s="2"/>
      <c r="E680" s="2"/>
      <c r="F680" s="1"/>
      <c r="G680" s="2"/>
      <c r="H680" s="1"/>
      <c r="I680" s="1"/>
      <c r="J680" s="2"/>
      <c r="K680" s="1"/>
      <c r="L680" s="1"/>
      <c r="M680" s="1"/>
      <c r="N680" s="2"/>
      <c r="O680" s="1"/>
      <c r="P680" s="1"/>
      <c r="Q680" s="1"/>
      <c r="R680" s="2"/>
      <c r="S680" s="1"/>
      <c r="T680" s="1"/>
      <c r="U680" s="1"/>
      <c r="V680" s="2"/>
      <c r="W680" s="1"/>
      <c r="X680" s="1"/>
      <c r="Y680" s="20"/>
      <c r="Z680" s="74"/>
      <c r="AA680" s="416"/>
      <c r="AB680" s="74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</row>
    <row r="681" spans="1:47">
      <c r="A681" s="323" t="s">
        <v>393</v>
      </c>
      <c r="B681" s="21"/>
      <c r="C681" s="319"/>
      <c r="D681" s="2"/>
      <c r="E681" s="2"/>
      <c r="F681" s="1"/>
      <c r="G681" s="2"/>
      <c r="H681" s="1"/>
      <c r="I681" s="1"/>
      <c r="J681" s="2"/>
      <c r="K681" s="1"/>
      <c r="L681" s="1"/>
      <c r="M681" s="1"/>
      <c r="N681" s="2"/>
      <c r="O681" s="1"/>
      <c r="P681" s="1"/>
      <c r="Q681" s="1"/>
      <c r="R681" s="2"/>
      <c r="S681" s="1"/>
      <c r="T681" s="1"/>
      <c r="U681" s="1"/>
      <c r="V681" s="2"/>
      <c r="W681" s="1"/>
      <c r="X681" s="1"/>
      <c r="Y681" s="20"/>
      <c r="Z681" s="74"/>
      <c r="AA681" s="416"/>
      <c r="AB681" s="74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</row>
    <row r="682" spans="1:47">
      <c r="A682" s="323" t="s">
        <v>421</v>
      </c>
      <c r="B682" s="1"/>
      <c r="C682" s="319">
        <f>[50]Sheet1!$E$13+[50]Sheet1!$E$17</f>
        <v>48.2</v>
      </c>
      <c r="D682" s="298">
        <v>259</v>
      </c>
      <c r="E682" s="323"/>
      <c r="F682" s="321">
        <f>ROUND(D682*$C682,0)</f>
        <v>12484</v>
      </c>
      <c r="G682" s="298">
        <v>259</v>
      </c>
      <c r="H682" s="323"/>
      <c r="I682" s="321">
        <f>ROUND(G682*C682,0)</f>
        <v>12484</v>
      </c>
      <c r="J682" s="298">
        <f>$J$602</f>
        <v>259</v>
      </c>
      <c r="K682" s="323"/>
      <c r="L682" s="321">
        <f>ROUND(J682*$C682,0)</f>
        <v>12484</v>
      </c>
      <c r="M682" s="321"/>
      <c r="N682" s="298">
        <f>$N$602</f>
        <v>259</v>
      </c>
      <c r="O682" s="323"/>
      <c r="P682" s="321">
        <f>ROUND(N682*$C682,0)</f>
        <v>12484</v>
      </c>
      <c r="Q682" s="321"/>
      <c r="R682" s="298" t="str">
        <f>$R$602</f>
        <v xml:space="preserve"> </v>
      </c>
      <c r="S682" s="323"/>
      <c r="T682" s="321">
        <f>ROUND(R682*$C682,0)</f>
        <v>0</v>
      </c>
      <c r="U682" s="321"/>
      <c r="V682" s="298" t="str">
        <f>$V$602</f>
        <v xml:space="preserve"> </v>
      </c>
      <c r="W682" s="323"/>
      <c r="X682" s="321">
        <f>ROUND(V682*$C682,0)</f>
        <v>0</v>
      </c>
      <c r="Y682" s="20"/>
      <c r="Z682" s="74"/>
      <c r="AA682" s="416"/>
      <c r="AB682" s="74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</row>
    <row r="683" spans="1:47">
      <c r="A683" s="323" t="s">
        <v>422</v>
      </c>
      <c r="B683" s="1"/>
      <c r="C683" s="319">
        <f>[50]Sheet1!$E$14+[50]Sheet1!$E$16+[50]Sheet1!$E$18</f>
        <v>998.63333333333298</v>
      </c>
      <c r="D683" s="298">
        <v>96</v>
      </c>
      <c r="E683" s="323"/>
      <c r="F683" s="321">
        <f>ROUND(D683*$C683,0)</f>
        <v>95869</v>
      </c>
      <c r="G683" s="298">
        <v>96</v>
      </c>
      <c r="H683" s="323"/>
      <c r="I683" s="321">
        <f>ROUND(G683*C683,0)</f>
        <v>95869</v>
      </c>
      <c r="J683" s="298">
        <f>$J$603</f>
        <v>96</v>
      </c>
      <c r="K683" s="323"/>
      <c r="L683" s="321">
        <f>ROUND(J683*$C683,0)</f>
        <v>95869</v>
      </c>
      <c r="M683" s="321"/>
      <c r="N683" s="298">
        <f>$N$603</f>
        <v>96</v>
      </c>
      <c r="O683" s="323"/>
      <c r="P683" s="321">
        <f>ROUND(N683*$C683,0)</f>
        <v>95869</v>
      </c>
      <c r="Q683" s="321"/>
      <c r="R683" s="298" t="str">
        <f>$R$603</f>
        <v xml:space="preserve"> </v>
      </c>
      <c r="S683" s="323"/>
      <c r="T683" s="321">
        <f>ROUND(R683*$C683,0)</f>
        <v>0</v>
      </c>
      <c r="U683" s="321"/>
      <c r="V683" s="298" t="str">
        <f>$V$603</f>
        <v xml:space="preserve"> </v>
      </c>
      <c r="W683" s="323"/>
      <c r="X683" s="321">
        <f>ROUND(V683*$C683,0)</f>
        <v>0</v>
      </c>
      <c r="Y683" s="20"/>
      <c r="Z683" s="74"/>
      <c r="AA683" s="416"/>
      <c r="AB683" s="74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</row>
    <row r="684" spans="1:47">
      <c r="A684" s="323" t="s">
        <v>423</v>
      </c>
      <c r="B684" s="1"/>
      <c r="C684" s="319">
        <f>[50]Sheet1!$E$15+[50]Sheet1!$E$19</f>
        <v>541.06666666666626</v>
      </c>
      <c r="D684" s="298">
        <v>192</v>
      </c>
      <c r="E684" s="325"/>
      <c r="F684" s="321">
        <f>ROUND(D684*$C684,0)</f>
        <v>103885</v>
      </c>
      <c r="G684" s="298">
        <v>192</v>
      </c>
      <c r="H684" s="325"/>
      <c r="I684" s="321">
        <f>ROUND(G684*C684,0)</f>
        <v>103885</v>
      </c>
      <c r="J684" s="298">
        <f>$J$604</f>
        <v>192</v>
      </c>
      <c r="K684" s="325"/>
      <c r="L684" s="321">
        <f>ROUND(J684*$C684,0)</f>
        <v>103885</v>
      </c>
      <c r="M684" s="321"/>
      <c r="N684" s="298">
        <f>$N$604</f>
        <v>192</v>
      </c>
      <c r="O684" s="325"/>
      <c r="P684" s="321">
        <f>ROUND(N684*$C684,0)</f>
        <v>103885</v>
      </c>
      <c r="Q684" s="321"/>
      <c r="R684" s="298" t="str">
        <f>$R$604</f>
        <v xml:space="preserve"> </v>
      </c>
      <c r="S684" s="325"/>
      <c r="T684" s="321">
        <f>ROUND(R684*$C684,0)</f>
        <v>0</v>
      </c>
      <c r="U684" s="321"/>
      <c r="V684" s="298" t="str">
        <f>$V$604</f>
        <v xml:space="preserve"> </v>
      </c>
      <c r="W684" s="325"/>
      <c r="X684" s="321">
        <f>ROUND(V684*$C684,0)</f>
        <v>0</v>
      </c>
      <c r="Y684" s="20"/>
      <c r="Z684" s="74"/>
      <c r="AA684" s="416"/>
      <c r="AB684" s="74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</row>
    <row r="685" spans="1:47">
      <c r="A685" s="323" t="s">
        <v>394</v>
      </c>
      <c r="B685" s="1"/>
      <c r="C685" s="319">
        <f>SUM(C682:C684)</f>
        <v>1587.8999999999992</v>
      </c>
      <c r="D685" s="298"/>
      <c r="E685" s="323"/>
      <c r="F685" s="321"/>
      <c r="G685" s="298"/>
      <c r="H685" s="323"/>
      <c r="I685" s="321"/>
      <c r="J685" s="298"/>
      <c r="K685" s="323"/>
      <c r="L685" s="321"/>
      <c r="M685" s="321"/>
      <c r="N685" s="298"/>
      <c r="O685" s="323"/>
      <c r="P685" s="321"/>
      <c r="Q685" s="321"/>
      <c r="R685" s="298"/>
      <c r="S685" s="323"/>
      <c r="T685" s="321"/>
      <c r="U685" s="321"/>
      <c r="V685" s="298"/>
      <c r="W685" s="323"/>
      <c r="X685" s="321"/>
      <c r="Y685" s="20"/>
      <c r="Z685" s="74"/>
      <c r="AA685" s="3"/>
      <c r="AB685" s="105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</row>
    <row r="686" spans="1:47">
      <c r="A686" s="323" t="s">
        <v>422</v>
      </c>
      <c r="B686" s="1"/>
      <c r="C686" s="319">
        <f>[50]Sheet1!$F$14+[50]Sheet1!$F$16+[50]Sheet1!$F$18</f>
        <v>169859</v>
      </c>
      <c r="D686" s="298">
        <v>1.7</v>
      </c>
      <c r="E686" s="323" t="s">
        <v>31</v>
      </c>
      <c r="F686" s="321">
        <f>ROUND(D686*$C686,0)</f>
        <v>288760</v>
      </c>
      <c r="G686" s="298">
        <v>1.7</v>
      </c>
      <c r="H686" s="323" t="s">
        <v>31</v>
      </c>
      <c r="I686" s="321">
        <f t="shared" ref="I686:I687" si="229">ROUND(G686*C686,0)</f>
        <v>288760</v>
      </c>
      <c r="J686" s="298">
        <f ca="1">$J$606</f>
        <v>1.89</v>
      </c>
      <c r="K686" s="323" t="s">
        <v>31</v>
      </c>
      <c r="L686" s="321">
        <f ca="1">ROUND(J686*$C686,0)</f>
        <v>321034</v>
      </c>
      <c r="M686" s="321"/>
      <c r="N686" s="298">
        <f ca="1">$N$606</f>
        <v>1.89</v>
      </c>
      <c r="O686" s="323" t="s">
        <v>31</v>
      </c>
      <c r="P686" s="321">
        <f ca="1">ROUND(N686*$C686,0)</f>
        <v>321034</v>
      </c>
      <c r="Q686" s="321"/>
      <c r="R686" s="298" t="str">
        <f>$R$606</f>
        <v xml:space="preserve"> </v>
      </c>
      <c r="S686" s="323" t="s">
        <v>31</v>
      </c>
      <c r="T686" s="321">
        <f>ROUND(R686*$C686,0)</f>
        <v>0</v>
      </c>
      <c r="U686" s="321"/>
      <c r="V686" s="298" t="str">
        <f>$V$606</f>
        <v xml:space="preserve"> </v>
      </c>
      <c r="W686" s="323" t="s">
        <v>31</v>
      </c>
      <c r="X686" s="321">
        <f>ROUND(V686*$C686,0)</f>
        <v>0</v>
      </c>
      <c r="Y686" s="20"/>
      <c r="Z686" s="74"/>
      <c r="AA686" s="3"/>
      <c r="AB686" s="105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</row>
    <row r="687" spans="1:47">
      <c r="A687" s="323" t="s">
        <v>423</v>
      </c>
      <c r="B687" s="1"/>
      <c r="C687" s="319">
        <f>[50]Sheet1!$F$15+[50]Sheet1!$F$19</f>
        <v>301914</v>
      </c>
      <c r="D687" s="298">
        <v>1.39</v>
      </c>
      <c r="E687" s="323" t="s">
        <v>31</v>
      </c>
      <c r="F687" s="321">
        <f>ROUND(D687*$C687,0)</f>
        <v>419660</v>
      </c>
      <c r="G687" s="298">
        <v>1.39</v>
      </c>
      <c r="H687" s="323" t="s">
        <v>31</v>
      </c>
      <c r="I687" s="321">
        <f t="shared" si="229"/>
        <v>419660</v>
      </c>
      <c r="J687" s="298">
        <f ca="1">$J$607</f>
        <v>1.55</v>
      </c>
      <c r="K687" s="323" t="s">
        <v>31</v>
      </c>
      <c r="L687" s="321">
        <f ca="1">ROUND(J687*$C687,0)</f>
        <v>467967</v>
      </c>
      <c r="M687" s="321"/>
      <c r="N687" s="298">
        <f ca="1">$N$607</f>
        <v>1.55</v>
      </c>
      <c r="O687" s="323" t="s">
        <v>31</v>
      </c>
      <c r="P687" s="321">
        <f ca="1">ROUND(N687*$C687,0)</f>
        <v>467967</v>
      </c>
      <c r="Q687" s="321"/>
      <c r="R687" s="298" t="str">
        <f>$R$607</f>
        <v xml:space="preserve"> </v>
      </c>
      <c r="S687" s="323" t="s">
        <v>31</v>
      </c>
      <c r="T687" s="321">
        <f>ROUND(R687*$C687,0)</f>
        <v>0</v>
      </c>
      <c r="U687" s="321"/>
      <c r="V687" s="298" t="str">
        <f>$V$607</f>
        <v xml:space="preserve"> </v>
      </c>
      <c r="W687" s="323" t="s">
        <v>31</v>
      </c>
      <c r="X687" s="321">
        <f>ROUND(V687*$C687,0)</f>
        <v>0</v>
      </c>
      <c r="Y687" s="20"/>
      <c r="Z687" s="74"/>
      <c r="AA687" s="416"/>
      <c r="AB687" s="74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</row>
    <row r="688" spans="1:47">
      <c r="A688" s="309" t="s">
        <v>424</v>
      </c>
      <c r="B688" s="1"/>
      <c r="C688" s="319"/>
      <c r="D688" s="355"/>
      <c r="E688" s="323"/>
      <c r="F688" s="321"/>
      <c r="G688" s="355"/>
      <c r="H688" s="323"/>
      <c r="I688" s="321"/>
      <c r="J688" s="355"/>
      <c r="K688" s="323"/>
      <c r="L688" s="321"/>
      <c r="M688" s="321"/>
      <c r="N688" s="355"/>
      <c r="O688" s="323"/>
      <c r="P688" s="321"/>
      <c r="Q688" s="321"/>
      <c r="R688" s="355"/>
      <c r="S688" s="323"/>
      <c r="T688" s="321"/>
      <c r="U688" s="321"/>
      <c r="V688" s="355"/>
      <c r="W688" s="323"/>
      <c r="X688" s="321"/>
      <c r="Y688" s="20"/>
      <c r="Z688" s="74"/>
      <c r="AA688" s="74"/>
      <c r="AB688" s="74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</row>
    <row r="689" spans="1:47">
      <c r="A689" s="309" t="s">
        <v>425</v>
      </c>
      <c r="B689" s="1"/>
      <c r="C689" s="319">
        <f>[50]Sheet1!$I$23</f>
        <v>354299.5</v>
      </c>
      <c r="D689" s="298">
        <v>4.4400000000000004</v>
      </c>
      <c r="E689" s="323"/>
      <c r="F689" s="321">
        <f>ROUND(D689*$C689,0)</f>
        <v>1573090</v>
      </c>
      <c r="G689" s="298">
        <v>4.72</v>
      </c>
      <c r="H689" s="323"/>
      <c r="I689" s="321">
        <f t="shared" ref="I689:I690" si="230">ROUND(G689*C689,0)</f>
        <v>1672294</v>
      </c>
      <c r="J689" s="298">
        <f ca="1">$J$609</f>
        <v>5.87</v>
      </c>
      <c r="K689" s="323"/>
      <c r="L689" s="321">
        <f ca="1">ROUND(J689*$C689,0)</f>
        <v>2079738</v>
      </c>
      <c r="M689" s="321"/>
      <c r="N689" s="298">
        <f ca="1">$N$609</f>
        <v>0.95</v>
      </c>
      <c r="O689" s="323"/>
      <c r="P689" s="321">
        <f ca="1">ROUND(N689*$C689,0)</f>
        <v>336585</v>
      </c>
      <c r="Q689" s="321"/>
      <c r="R689" s="298">
        <f ca="1">$R$609</f>
        <v>0.98</v>
      </c>
      <c r="S689" s="323"/>
      <c r="T689" s="321">
        <f ca="1">ROUND(R689*$C689,0)</f>
        <v>347214</v>
      </c>
      <c r="U689" s="321"/>
      <c r="V689" s="298">
        <f ca="1">$V$609</f>
        <v>3.94</v>
      </c>
      <c r="W689" s="323"/>
      <c r="X689" s="321">
        <f ca="1">ROUND(V689*$C689,0)</f>
        <v>1395940</v>
      </c>
      <c r="Y689" s="20"/>
      <c r="Z689" s="74"/>
      <c r="AA689" s="74"/>
      <c r="AB689" s="74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</row>
    <row r="690" spans="1:47">
      <c r="A690" s="309" t="s">
        <v>441</v>
      </c>
      <c r="B690" s="1"/>
      <c r="C690" s="319">
        <f>[50]Sheet1!$J$23</f>
        <v>942.33333333333303</v>
      </c>
      <c r="D690" s="369">
        <v>4.4400000000000004</v>
      </c>
      <c r="E690" s="323"/>
      <c r="F690" s="321">
        <f>ROUND(D690*$C690,0)</f>
        <v>4184</v>
      </c>
      <c r="G690" s="369">
        <v>4.72</v>
      </c>
      <c r="H690" s="323"/>
      <c r="I690" s="321">
        <f t="shared" si="230"/>
        <v>4448</v>
      </c>
      <c r="J690" s="369">
        <f ca="1">J689</f>
        <v>5.87</v>
      </c>
      <c r="K690" s="323"/>
      <c r="L690" s="321">
        <f ca="1">ROUND(J690*$C690,0)</f>
        <v>5531</v>
      </c>
      <c r="M690" s="321"/>
      <c r="N690" s="369">
        <f ca="1">N689</f>
        <v>0.95</v>
      </c>
      <c r="O690" s="323"/>
      <c r="P690" s="321">
        <f ca="1">ROUND(N690*$C690,0)</f>
        <v>895</v>
      </c>
      <c r="Q690" s="321"/>
      <c r="R690" s="369">
        <f ca="1">R689</f>
        <v>0.98</v>
      </c>
      <c r="S690" s="323"/>
      <c r="T690" s="321">
        <f ca="1">ROUND(R690*$C690,0)</f>
        <v>923</v>
      </c>
      <c r="U690" s="321"/>
      <c r="V690" s="369">
        <f ca="1">V689</f>
        <v>3.94</v>
      </c>
      <c r="W690" s="323"/>
      <c r="X690" s="321">
        <f ca="1">ROUND(V690*$C690,0)</f>
        <v>3713</v>
      </c>
      <c r="Y690" s="20"/>
      <c r="Z690" s="74"/>
      <c r="AA690" s="74"/>
      <c r="AB690" s="74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</row>
    <row r="691" spans="1:47">
      <c r="A691" s="323" t="s">
        <v>426</v>
      </c>
      <c r="B691" s="1"/>
      <c r="C691" s="319"/>
      <c r="D691" s="298"/>
      <c r="E691" s="323"/>
      <c r="F691" s="321"/>
      <c r="G691" s="298"/>
      <c r="H691" s="323"/>
      <c r="I691" s="321"/>
      <c r="J691" s="298"/>
      <c r="K691" s="323"/>
      <c r="L691" s="321"/>
      <c r="M691" s="321"/>
      <c r="N691" s="298"/>
      <c r="O691" s="323"/>
      <c r="P691" s="321"/>
      <c r="Q691" s="321"/>
      <c r="R691" s="298"/>
      <c r="S691" s="323"/>
      <c r="T691" s="321"/>
      <c r="U691" s="321"/>
      <c r="V691" s="298"/>
      <c r="W691" s="323"/>
      <c r="X691" s="321"/>
      <c r="Y691" s="20"/>
      <c r="Z691" s="74"/>
      <c r="AA691" s="74"/>
      <c r="AB691" s="74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</row>
    <row r="692" spans="1:47">
      <c r="A692" s="323" t="s">
        <v>427</v>
      </c>
      <c r="B692" s="1"/>
      <c r="C692" s="319">
        <f>[50]Sheet1!$H$23</f>
        <v>43824556.333333328</v>
      </c>
      <c r="D692" s="328">
        <v>5.2919999999999998</v>
      </c>
      <c r="E692" s="323" t="s">
        <v>374</v>
      </c>
      <c r="F692" s="321">
        <f>ROUND(D692*$C692/100,0)</f>
        <v>2319196</v>
      </c>
      <c r="G692" s="328">
        <v>5.6289999999999996</v>
      </c>
      <c r="H692" s="323" t="s">
        <v>374</v>
      </c>
      <c r="I692" s="321">
        <f>ROUND(G692*C692/100,0)</f>
        <v>2466884</v>
      </c>
      <c r="J692" s="327">
        <f ca="1">$J$612</f>
        <v>2.6779999999999999</v>
      </c>
      <c r="K692" s="323" t="s">
        <v>374</v>
      </c>
      <c r="L692" s="321">
        <f ca="1">ROUND(J692*$C692/100,0)</f>
        <v>1173622</v>
      </c>
      <c r="M692" s="321"/>
      <c r="N692" s="327" t="str">
        <f>$N$612</f>
        <v xml:space="preserve"> </v>
      </c>
      <c r="O692" s="323" t="s">
        <v>374</v>
      </c>
      <c r="P692" s="321">
        <f>ROUND(N692*$C692/100,0)</f>
        <v>0</v>
      </c>
      <c r="Q692" s="321"/>
      <c r="R692" s="327">
        <f ca="1">$R$612</f>
        <v>1.2070000000000001</v>
      </c>
      <c r="S692" s="323" t="s">
        <v>374</v>
      </c>
      <c r="T692" s="321">
        <f ca="1">ROUND(R692*$C692/100,0)</f>
        <v>528962</v>
      </c>
      <c r="U692" s="321"/>
      <c r="V692" s="327">
        <f ca="1">$V$612</f>
        <v>1.4710000000000001</v>
      </c>
      <c r="W692" s="323" t="s">
        <v>374</v>
      </c>
      <c r="X692" s="321">
        <f ca="1">ROUND(V692*$C692/100,0)</f>
        <v>644659</v>
      </c>
      <c r="Y692" s="20"/>
      <c r="Z692" s="74"/>
      <c r="AA692" s="74"/>
      <c r="AB692" s="74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</row>
    <row r="693" spans="1:47">
      <c r="A693" s="323" t="s">
        <v>399</v>
      </c>
      <c r="B693" s="1"/>
      <c r="C693" s="319">
        <f>[50]Sheet1!$G$23-C692</f>
        <v>61783202.666666672</v>
      </c>
      <c r="D693" s="328">
        <v>4.8499999999999996</v>
      </c>
      <c r="E693" s="323" t="s">
        <v>374</v>
      </c>
      <c r="F693" s="321">
        <f>ROUND(D693*$C693/100,0)</f>
        <v>2996485</v>
      </c>
      <c r="G693" s="328">
        <v>5.157</v>
      </c>
      <c r="H693" s="323" t="s">
        <v>374</v>
      </c>
      <c r="I693" s="321">
        <f t="shared" ref="I693:I694" si="231">ROUND(G693*C693/100,0)</f>
        <v>3186160</v>
      </c>
      <c r="J693" s="327">
        <f ca="1">$J$613</f>
        <v>2.452</v>
      </c>
      <c r="K693" s="323" t="s">
        <v>374</v>
      </c>
      <c r="L693" s="321">
        <f ca="1">ROUND(J693*$C693/100,0)</f>
        <v>1514924</v>
      </c>
      <c r="M693" s="321"/>
      <c r="N693" s="327" t="str">
        <f>$N$613</f>
        <v xml:space="preserve"> </v>
      </c>
      <c r="O693" s="323" t="s">
        <v>374</v>
      </c>
      <c r="P693" s="321">
        <f>ROUND(N693*$C693/100,0)</f>
        <v>0</v>
      </c>
      <c r="Q693" s="321"/>
      <c r="R693" s="327">
        <f ca="1">$R$613</f>
        <v>1.105</v>
      </c>
      <c r="S693" s="323" t="s">
        <v>374</v>
      </c>
      <c r="T693" s="321">
        <f ca="1">ROUND(R693*$C693/100,0)</f>
        <v>682704</v>
      </c>
      <c r="U693" s="321"/>
      <c r="V693" s="327">
        <f ca="1">$V$613</f>
        <v>1.347</v>
      </c>
      <c r="W693" s="323" t="s">
        <v>374</v>
      </c>
      <c r="X693" s="321">
        <f ca="1">ROUND(V693*$C693/100,0)</f>
        <v>832220</v>
      </c>
      <c r="Y693" s="20"/>
      <c r="Z693" s="74"/>
      <c r="AA693" s="74"/>
      <c r="AB693" s="74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</row>
    <row r="694" spans="1:47">
      <c r="A694" s="323" t="s">
        <v>400</v>
      </c>
      <c r="B694" s="1"/>
      <c r="C694" s="319">
        <f>[50]Sheet1!$K$23</f>
        <v>110811.9666666667</v>
      </c>
      <c r="D694" s="991">
        <v>56</v>
      </c>
      <c r="E694" s="323" t="s">
        <v>374</v>
      </c>
      <c r="F694" s="321">
        <f>ROUND(D694*$C694/100,0)</f>
        <v>62055</v>
      </c>
      <c r="G694" s="991">
        <v>56</v>
      </c>
      <c r="H694" s="323" t="s">
        <v>374</v>
      </c>
      <c r="I694" s="321">
        <f t="shared" si="231"/>
        <v>62055</v>
      </c>
      <c r="J694" s="475">
        <f>$J$614</f>
        <v>56</v>
      </c>
      <c r="K694" s="323" t="s">
        <v>374</v>
      </c>
      <c r="L694" s="321">
        <f>ROUND(J694*$C694/100,0)</f>
        <v>62055</v>
      </c>
      <c r="M694" s="321"/>
      <c r="N694" s="475" t="str">
        <f>$N$614</f>
        <v xml:space="preserve"> </v>
      </c>
      <c r="O694" s="323" t="s">
        <v>374</v>
      </c>
      <c r="P694" s="321">
        <f>ROUND(N694*$C694/100,0)</f>
        <v>0</v>
      </c>
      <c r="Q694" s="321"/>
      <c r="R694" s="475">
        <f ca="1">$R$614</f>
        <v>11</v>
      </c>
      <c r="S694" s="323" t="s">
        <v>374</v>
      </c>
      <c r="T694" s="321">
        <f ca="1">ROUND(R694*$C694/100,0)</f>
        <v>12189</v>
      </c>
      <c r="U694" s="321"/>
      <c r="V694" s="475">
        <f ca="1">$V$614</f>
        <v>45</v>
      </c>
      <c r="W694" s="323" t="s">
        <v>374</v>
      </c>
      <c r="X694" s="321">
        <f ca="1">ROUND(V694*$C694/100,0)</f>
        <v>49865</v>
      </c>
      <c r="Y694" s="20"/>
      <c r="Z694" s="74"/>
      <c r="AA694" s="74"/>
      <c r="AB694" s="74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</row>
    <row r="695" spans="1:47" s="1184" customFormat="1">
      <c r="A695" s="1005" t="s">
        <v>924</v>
      </c>
      <c r="C695" s="1202">
        <f>C692</f>
        <v>43824556.333333328</v>
      </c>
      <c r="D695" s="269"/>
      <c r="E695" s="1185"/>
      <c r="F695" s="1203"/>
      <c r="G695" s="269"/>
      <c r="H695" s="1185"/>
      <c r="I695" s="1203"/>
      <c r="J695" s="1230">
        <f>J615</f>
        <v>3.415</v>
      </c>
      <c r="K695" s="1041" t="s">
        <v>374</v>
      </c>
      <c r="L695" s="1041">
        <f t="shared" ref="L695:L696" si="232">ROUND(J695*$C695/100,0)</f>
        <v>1496609</v>
      </c>
      <c r="M695" s="1041"/>
      <c r="N695" s="1230" t="str">
        <f>N615</f>
        <v xml:space="preserve"> </v>
      </c>
      <c r="O695" s="1041" t="s">
        <v>374</v>
      </c>
      <c r="P695" s="1041">
        <f t="shared" ref="P695:P696" si="233">ROUND(N695*$C695/100,0)</f>
        <v>0</v>
      </c>
      <c r="Q695" s="1041"/>
      <c r="R695" s="1230" t="str">
        <f>R615</f>
        <v xml:space="preserve"> </v>
      </c>
      <c r="S695" s="1041" t="s">
        <v>374</v>
      </c>
      <c r="T695" s="1041">
        <f t="shared" ref="T695:T696" si="234">ROUND(R695*$C695/100,0)</f>
        <v>0</v>
      </c>
      <c r="U695" s="1041"/>
      <c r="V695" s="1230">
        <f>V615</f>
        <v>3.415</v>
      </c>
      <c r="W695" s="1041" t="s">
        <v>374</v>
      </c>
      <c r="X695" s="1041">
        <f t="shared" ref="X695:X696" si="235">ROUND(V695*$C695/100,0)</f>
        <v>1496609</v>
      </c>
      <c r="Z695" s="815"/>
      <c r="AC695" s="1205"/>
      <c r="AD695" s="1205"/>
      <c r="AI695" s="1185"/>
      <c r="AJ695" s="1185"/>
      <c r="AK695" s="1185"/>
      <c r="AL695" s="1185"/>
      <c r="AM695" s="1185"/>
      <c r="AN695" s="1185"/>
      <c r="AO695" s="1185"/>
      <c r="AP695" s="1185"/>
      <c r="AQ695" s="1185"/>
      <c r="AR695" s="1185"/>
      <c r="AS695" s="1185"/>
      <c r="AU695" s="1204"/>
    </row>
    <row r="696" spans="1:47" s="1184" customFormat="1">
      <c r="A696" s="1005" t="s">
        <v>925</v>
      </c>
      <c r="C696" s="1202">
        <f>C693</f>
        <v>61783202.666666672</v>
      </c>
      <c r="D696" s="269"/>
      <c r="E696" s="1185"/>
      <c r="F696" s="1203"/>
      <c r="G696" s="269"/>
      <c r="H696" s="1185"/>
      <c r="I696" s="1203"/>
      <c r="J696" s="1230">
        <f>J616</f>
        <v>3.1309999999999998</v>
      </c>
      <c r="K696" s="1041" t="s">
        <v>374</v>
      </c>
      <c r="L696" s="1041">
        <f t="shared" si="232"/>
        <v>1934432</v>
      </c>
      <c r="M696" s="1041"/>
      <c r="N696" s="1230" t="str">
        <f>N616</f>
        <v xml:space="preserve"> </v>
      </c>
      <c r="O696" s="1041" t="s">
        <v>374</v>
      </c>
      <c r="P696" s="1041">
        <f t="shared" si="233"/>
        <v>0</v>
      </c>
      <c r="Q696" s="1041"/>
      <c r="R696" s="1230" t="str">
        <f>R616</f>
        <v xml:space="preserve"> </v>
      </c>
      <c r="S696" s="1041" t="s">
        <v>374</v>
      </c>
      <c r="T696" s="1041">
        <f t="shared" si="234"/>
        <v>0</v>
      </c>
      <c r="U696" s="1041"/>
      <c r="V696" s="1230">
        <f>V616</f>
        <v>3.1309999999999998</v>
      </c>
      <c r="W696" s="1041" t="s">
        <v>374</v>
      </c>
      <c r="X696" s="1041">
        <f t="shared" si="235"/>
        <v>1934432</v>
      </c>
      <c r="Z696" s="815"/>
      <c r="AC696" s="1205"/>
      <c r="AD696" s="1205"/>
      <c r="AI696" s="1185"/>
      <c r="AJ696" s="1185"/>
      <c r="AK696" s="1185"/>
      <c r="AL696" s="1185"/>
      <c r="AM696" s="1185"/>
      <c r="AN696" s="1185"/>
      <c r="AO696" s="1185"/>
      <c r="AP696" s="1185"/>
      <c r="AQ696" s="1185"/>
      <c r="AR696" s="1185"/>
      <c r="AS696" s="1185"/>
      <c r="AU696" s="1204"/>
    </row>
    <row r="697" spans="1:47">
      <c r="A697" s="360" t="s">
        <v>401</v>
      </c>
      <c r="B697" s="1"/>
      <c r="C697" s="319"/>
      <c r="D697" s="332">
        <v>-0.01</v>
      </c>
      <c r="E697" s="2"/>
      <c r="F697" s="321"/>
      <c r="G697" s="332">
        <v>-0.01</v>
      </c>
      <c r="H697" s="1"/>
      <c r="I697" s="321"/>
      <c r="J697" s="332">
        <v>-0.01</v>
      </c>
      <c r="K697" s="1"/>
      <c r="L697" s="321"/>
      <c r="M697" s="321"/>
      <c r="N697" s="332">
        <v>-0.01</v>
      </c>
      <c r="O697" s="1"/>
      <c r="P697" s="321"/>
      <c r="Q697" s="321"/>
      <c r="R697" s="332">
        <v>-0.01</v>
      </c>
      <c r="S697" s="1"/>
      <c r="T697" s="321"/>
      <c r="U697" s="321"/>
      <c r="V697" s="332">
        <v>-0.01</v>
      </c>
      <c r="W697" s="1"/>
      <c r="X697" s="321"/>
      <c r="Y697" s="20"/>
      <c r="Z697" s="74"/>
      <c r="AA697" s="74"/>
      <c r="AB697" s="74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</row>
    <row r="698" spans="1:47">
      <c r="A698" s="323" t="s">
        <v>421</v>
      </c>
      <c r="B698" s="1"/>
      <c r="C698" s="319">
        <v>0</v>
      </c>
      <c r="D698" s="304">
        <v>259</v>
      </c>
      <c r="E698" s="364"/>
      <c r="F698" s="321">
        <f>ROUND(D698*$C698*D697,0)</f>
        <v>0</v>
      </c>
      <c r="G698" s="304">
        <v>259</v>
      </c>
      <c r="H698" s="293"/>
      <c r="I698" s="321">
        <f>ROUND(G698*C698*$G$659,0)</f>
        <v>0</v>
      </c>
      <c r="J698" s="304">
        <f>J682</f>
        <v>259</v>
      </c>
      <c r="K698" s="293"/>
      <c r="L698" s="321">
        <f>ROUND(J698*$C698*J697,0)</f>
        <v>0</v>
      </c>
      <c r="M698" s="321"/>
      <c r="N698" s="304">
        <f>N682</f>
        <v>259</v>
      </c>
      <c r="O698" s="293"/>
      <c r="P698" s="321">
        <f>ROUND(N698*$C698*N697,0)</f>
        <v>0</v>
      </c>
      <c r="Q698" s="321"/>
      <c r="R698" s="304" t="str">
        <f>R682</f>
        <v xml:space="preserve"> </v>
      </c>
      <c r="S698" s="293"/>
      <c r="T698" s="321">
        <f>ROUND(R698*$C698*R697,0)</f>
        <v>0</v>
      </c>
      <c r="U698" s="321"/>
      <c r="V698" s="304" t="str">
        <f>V682</f>
        <v xml:space="preserve"> </v>
      </c>
      <c r="W698" s="293"/>
      <c r="X698" s="321">
        <f>ROUND(V698*$C698*V697,0)</f>
        <v>0</v>
      </c>
      <c r="Y698" s="20"/>
      <c r="Z698" s="74"/>
      <c r="AA698" s="74"/>
      <c r="AB698" s="74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</row>
    <row r="699" spans="1:47">
      <c r="A699" s="323" t="s">
        <v>422</v>
      </c>
      <c r="B699" s="1"/>
      <c r="C699" s="319">
        <f>[50]Sheet1!$E$16</f>
        <v>21</v>
      </c>
      <c r="D699" s="304">
        <v>96</v>
      </c>
      <c r="E699" s="364"/>
      <c r="F699" s="321">
        <f>ROUND(D699*$C699*D697,0)</f>
        <v>-20</v>
      </c>
      <c r="G699" s="304">
        <v>96</v>
      </c>
      <c r="H699" s="293"/>
      <c r="I699" s="321">
        <f t="shared" ref="I699:I704" si="236">ROUND(G699*C699*$G$659,0)</f>
        <v>-20</v>
      </c>
      <c r="J699" s="304">
        <f>J683</f>
        <v>96</v>
      </c>
      <c r="K699" s="293"/>
      <c r="L699" s="321">
        <f>ROUND(J699*$C699*J697,0)</f>
        <v>-20</v>
      </c>
      <c r="M699" s="321"/>
      <c r="N699" s="304">
        <f>N683</f>
        <v>96</v>
      </c>
      <c r="O699" s="293"/>
      <c r="P699" s="321">
        <f>ROUND(N699*$C699*N697,0)</f>
        <v>-20</v>
      </c>
      <c r="Q699" s="321"/>
      <c r="R699" s="304" t="str">
        <f>R683</f>
        <v xml:space="preserve"> </v>
      </c>
      <c r="S699" s="293"/>
      <c r="T699" s="321">
        <f>ROUND(R699*$C699*R697,0)</f>
        <v>0</v>
      </c>
      <c r="U699" s="321"/>
      <c r="V699" s="304" t="str">
        <f>V683</f>
        <v xml:space="preserve"> </v>
      </c>
      <c r="W699" s="293"/>
      <c r="X699" s="321">
        <f>ROUND(V699*$C699*V697,0)</f>
        <v>0</v>
      </c>
      <c r="Y699" s="20"/>
      <c r="Z699" s="74"/>
      <c r="AA699" s="74"/>
      <c r="AB699" s="74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</row>
    <row r="700" spans="1:47">
      <c r="A700" s="323" t="s">
        <v>423</v>
      </c>
      <c r="B700" s="1"/>
      <c r="C700" s="319">
        <v>0</v>
      </c>
      <c r="D700" s="304">
        <v>192</v>
      </c>
      <c r="E700" s="372"/>
      <c r="F700" s="321">
        <f>ROUND(D700*$C700*D697,0)</f>
        <v>0</v>
      </c>
      <c r="G700" s="304">
        <v>192</v>
      </c>
      <c r="H700" s="373"/>
      <c r="I700" s="321">
        <f t="shared" si="236"/>
        <v>0</v>
      </c>
      <c r="J700" s="304">
        <f>J684</f>
        <v>192</v>
      </c>
      <c r="K700" s="373"/>
      <c r="L700" s="321">
        <f>ROUND(J700*$C700*J697,0)</f>
        <v>0</v>
      </c>
      <c r="M700" s="321"/>
      <c r="N700" s="304">
        <f>N684</f>
        <v>192</v>
      </c>
      <c r="O700" s="373"/>
      <c r="P700" s="321">
        <f>ROUND(N700*$C700*N697,0)</f>
        <v>0</v>
      </c>
      <c r="Q700" s="321"/>
      <c r="R700" s="304" t="str">
        <f>R684</f>
        <v xml:space="preserve"> </v>
      </c>
      <c r="S700" s="373"/>
      <c r="T700" s="321">
        <f>ROUND(R700*$C700*R697,0)</f>
        <v>0</v>
      </c>
      <c r="U700" s="321"/>
      <c r="V700" s="304" t="str">
        <f>V684</f>
        <v xml:space="preserve"> </v>
      </c>
      <c r="W700" s="373"/>
      <c r="X700" s="321">
        <f>ROUND(V700*$C700*V697,0)</f>
        <v>0</v>
      </c>
      <c r="Y700" s="20"/>
      <c r="Z700" s="74"/>
      <c r="AA700" s="74"/>
      <c r="AB700" s="74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</row>
    <row r="701" spans="1:47">
      <c r="A701" s="323" t="s">
        <v>422</v>
      </c>
      <c r="B701" s="1"/>
      <c r="C701" s="319">
        <f>[50]Sheet1!$F$16</f>
        <v>2337</v>
      </c>
      <c r="D701" s="304">
        <v>1.7</v>
      </c>
      <c r="E701" s="364"/>
      <c r="F701" s="321">
        <f>ROUND(D701*$C701*D697,0)</f>
        <v>-40</v>
      </c>
      <c r="G701" s="304">
        <v>1.7</v>
      </c>
      <c r="H701" s="293"/>
      <c r="I701" s="321">
        <f t="shared" si="236"/>
        <v>-40</v>
      </c>
      <c r="J701" s="304">
        <f ca="1">J686</f>
        <v>1.89</v>
      </c>
      <c r="K701" s="293"/>
      <c r="L701" s="321">
        <f ca="1">ROUND(J701*$C701*J697,0)</f>
        <v>-44</v>
      </c>
      <c r="M701" s="321"/>
      <c r="N701" s="304">
        <f ca="1">N686</f>
        <v>1.89</v>
      </c>
      <c r="O701" s="293"/>
      <c r="P701" s="321">
        <f ca="1">ROUND(N701*$C701*N697,0)</f>
        <v>-44</v>
      </c>
      <c r="Q701" s="321"/>
      <c r="R701" s="304" t="str">
        <f>R686</f>
        <v xml:space="preserve"> </v>
      </c>
      <c r="S701" s="293"/>
      <c r="T701" s="321">
        <f>ROUND(R701*$C701*R697,0)</f>
        <v>0</v>
      </c>
      <c r="U701" s="321"/>
      <c r="V701" s="304" t="str">
        <f>V686</f>
        <v xml:space="preserve"> </v>
      </c>
      <c r="W701" s="293"/>
      <c r="X701" s="321">
        <f>ROUND(V701*$C701*V697,0)</f>
        <v>0</v>
      </c>
      <c r="Y701" s="20"/>
      <c r="Z701" s="74"/>
      <c r="AA701" s="74"/>
      <c r="AB701" s="74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</row>
    <row r="702" spans="1:47">
      <c r="A702" s="323" t="s">
        <v>423</v>
      </c>
      <c r="B702" s="1"/>
      <c r="C702" s="319">
        <v>0</v>
      </c>
      <c r="D702" s="304">
        <v>1.39</v>
      </c>
      <c r="E702" s="364" t="s">
        <v>31</v>
      </c>
      <c r="F702" s="321">
        <f>ROUND(D702*$C702*D697,0)</f>
        <v>0</v>
      </c>
      <c r="G702" s="304">
        <v>1.39</v>
      </c>
      <c r="H702" s="293"/>
      <c r="I702" s="321">
        <f t="shared" si="236"/>
        <v>0</v>
      </c>
      <c r="J702" s="304">
        <f ca="1">J687</f>
        <v>1.55</v>
      </c>
      <c r="K702" s="293"/>
      <c r="L702" s="321">
        <f ca="1">ROUND(J702*$C702*J697,0)</f>
        <v>0</v>
      </c>
      <c r="M702" s="321"/>
      <c r="N702" s="304">
        <f ca="1">N687</f>
        <v>1.55</v>
      </c>
      <c r="O702" s="293"/>
      <c r="P702" s="321">
        <f ca="1">ROUND(N702*$C702*N697,0)</f>
        <v>0</v>
      </c>
      <c r="Q702" s="321"/>
      <c r="R702" s="304" t="str">
        <f>R687</f>
        <v xml:space="preserve"> </v>
      </c>
      <c r="S702" s="293"/>
      <c r="T702" s="321">
        <f>ROUND(R702*$C702*R697,0)</f>
        <v>0</v>
      </c>
      <c r="U702" s="321"/>
      <c r="V702" s="304" t="str">
        <f>V687</f>
        <v xml:space="preserve"> </v>
      </c>
      <c r="W702" s="293"/>
      <c r="X702" s="321">
        <f>ROUND(V702*$C702*V697,0)</f>
        <v>0</v>
      </c>
      <c r="Y702" s="20"/>
      <c r="Z702" s="74"/>
      <c r="AA702" s="74"/>
      <c r="AB702" s="74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</row>
    <row r="703" spans="1:47">
      <c r="A703" s="309" t="s">
        <v>425</v>
      </c>
      <c r="B703" s="1"/>
      <c r="C703" s="319">
        <f>[50]Sheet1!$I$16</f>
        <v>1987.5</v>
      </c>
      <c r="D703" s="304">
        <v>4.4400000000000004</v>
      </c>
      <c r="E703" s="364" t="s">
        <v>31</v>
      </c>
      <c r="F703" s="321">
        <f>ROUND(D703*$C703*D697,0)</f>
        <v>-88</v>
      </c>
      <c r="G703" s="304">
        <v>4.72</v>
      </c>
      <c r="H703" s="293"/>
      <c r="I703" s="321">
        <f t="shared" si="236"/>
        <v>-94</v>
      </c>
      <c r="J703" s="304">
        <f ca="1">J689</f>
        <v>5.87</v>
      </c>
      <c r="K703" s="293"/>
      <c r="L703" s="321">
        <f ca="1">ROUND(J703*$C703*J697,0)</f>
        <v>-117</v>
      </c>
      <c r="M703" s="321"/>
      <c r="N703" s="304">
        <f ca="1">N689</f>
        <v>0.95</v>
      </c>
      <c r="O703" s="293"/>
      <c r="P703" s="321">
        <f ca="1">ROUND(N703*$C703*N697,0)</f>
        <v>-19</v>
      </c>
      <c r="Q703" s="321"/>
      <c r="R703" s="304">
        <f ca="1">R689</f>
        <v>0.98</v>
      </c>
      <c r="S703" s="293"/>
      <c r="T703" s="321">
        <f ca="1">ROUND(R703*$C703*R697,0)</f>
        <v>-19</v>
      </c>
      <c r="U703" s="321"/>
      <c r="V703" s="304">
        <f ca="1">V689</f>
        <v>3.94</v>
      </c>
      <c r="W703" s="293"/>
      <c r="X703" s="321">
        <f ca="1">ROUND(V703*$C703*V697,0)</f>
        <v>-78</v>
      </c>
      <c r="Y703" s="20"/>
      <c r="Z703" s="74"/>
      <c r="AA703" s="74"/>
      <c r="AB703" s="74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</row>
    <row r="704" spans="1:47">
      <c r="A704" s="309" t="s">
        <v>441</v>
      </c>
      <c r="B704" s="1"/>
      <c r="C704" s="319">
        <f>[50]Sheet1!$J$16</f>
        <v>0</v>
      </c>
      <c r="D704" s="304">
        <v>4.4400000000000004</v>
      </c>
      <c r="E704" s="364" t="s">
        <v>31</v>
      </c>
      <c r="F704" s="321">
        <f>ROUND(D704*$C704*D697,0)</f>
        <v>0</v>
      </c>
      <c r="G704" s="304">
        <v>4.72</v>
      </c>
      <c r="H704" s="293"/>
      <c r="I704" s="321">
        <f t="shared" si="236"/>
        <v>0</v>
      </c>
      <c r="J704" s="304">
        <f ca="1">J690</f>
        <v>5.87</v>
      </c>
      <c r="K704" s="293"/>
      <c r="L704" s="321">
        <f ca="1">ROUND(J704*$C704*J697,0)</f>
        <v>0</v>
      </c>
      <c r="M704" s="321"/>
      <c r="N704" s="304">
        <f ca="1">N690</f>
        <v>0.95</v>
      </c>
      <c r="O704" s="293"/>
      <c r="P704" s="321">
        <f ca="1">ROUND(N704*$C704*N697,0)</f>
        <v>0</v>
      </c>
      <c r="Q704" s="321"/>
      <c r="R704" s="304">
        <f ca="1">R690</f>
        <v>0.98</v>
      </c>
      <c r="S704" s="293"/>
      <c r="T704" s="321">
        <f ca="1">ROUND(R704*$C704*R697,0)</f>
        <v>0</v>
      </c>
      <c r="U704" s="321"/>
      <c r="V704" s="304">
        <f ca="1">V690</f>
        <v>3.94</v>
      </c>
      <c r="W704" s="293"/>
      <c r="X704" s="321">
        <f ca="1">ROUND(V704*$C704*V697,0)</f>
        <v>0</v>
      </c>
      <c r="Y704" s="20"/>
      <c r="Z704" s="74"/>
      <c r="AA704" s="74"/>
      <c r="AB704" s="74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</row>
    <row r="705" spans="1:47">
      <c r="A705" s="323" t="s">
        <v>427</v>
      </c>
      <c r="B705" s="1"/>
      <c r="C705" s="319">
        <f>[50]Sheet1!$H$16</f>
        <v>734400</v>
      </c>
      <c r="D705" s="374">
        <v>5.2939999999999996</v>
      </c>
      <c r="E705" s="321" t="s">
        <v>374</v>
      </c>
      <c r="F705" s="321">
        <f>ROUND(D705*$C705/100*D697,0)</f>
        <v>-389</v>
      </c>
      <c r="G705" s="374">
        <v>5.6289999999999996</v>
      </c>
      <c r="H705" s="323" t="s">
        <v>374</v>
      </c>
      <c r="I705" s="321">
        <f>ROUND(G705*C705/100*$G$659,0)</f>
        <v>-413</v>
      </c>
      <c r="J705" s="374">
        <f ca="1">J692</f>
        <v>2.6779999999999999</v>
      </c>
      <c r="K705" s="323" t="s">
        <v>374</v>
      </c>
      <c r="L705" s="321">
        <f ca="1">ROUND(J705*$C705/100*J697,0)</f>
        <v>-197</v>
      </c>
      <c r="M705" s="321"/>
      <c r="N705" s="374" t="str">
        <f>N692</f>
        <v xml:space="preserve"> </v>
      </c>
      <c r="O705" s="323" t="s">
        <v>374</v>
      </c>
      <c r="P705" s="321">
        <f>ROUND(N705*$C705/100*N697,0)</f>
        <v>0</v>
      </c>
      <c r="Q705" s="321"/>
      <c r="R705" s="374">
        <f ca="1">R692</f>
        <v>1.2070000000000001</v>
      </c>
      <c r="S705" s="323" t="s">
        <v>374</v>
      </c>
      <c r="T705" s="321">
        <f ca="1">ROUND(R705*$C705/100*R697,0)</f>
        <v>-89</v>
      </c>
      <c r="U705" s="321"/>
      <c r="V705" s="374">
        <f ca="1">V692</f>
        <v>1.4710000000000001</v>
      </c>
      <c r="W705" s="323" t="s">
        <v>374</v>
      </c>
      <c r="X705" s="321">
        <f ca="1">ROUND(V705*$C705/100*V697,0)</f>
        <v>-108</v>
      </c>
      <c r="Y705" s="20"/>
      <c r="Z705" s="74"/>
      <c r="AA705" s="74"/>
      <c r="AB705" s="74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</row>
    <row r="706" spans="1:47">
      <c r="A706" s="323" t="s">
        <v>399</v>
      </c>
      <c r="B706" s="1"/>
      <c r="C706" s="319">
        <f>[50]Sheet1!$G$16-C705</f>
        <v>232800</v>
      </c>
      <c r="D706" s="374">
        <v>4.8520000000000003</v>
      </c>
      <c r="E706" s="321" t="s">
        <v>374</v>
      </c>
      <c r="F706" s="321">
        <f>ROUND(D706*$C706/100*D697,0)</f>
        <v>-113</v>
      </c>
      <c r="G706" s="374">
        <v>5.157</v>
      </c>
      <c r="H706" s="323" t="s">
        <v>374</v>
      </c>
      <c r="I706" s="321">
        <f>ROUND(G706*C706/100*$G$659,0)</f>
        <v>-120</v>
      </c>
      <c r="J706" s="374">
        <f ca="1">J693</f>
        <v>2.452</v>
      </c>
      <c r="K706" s="323" t="s">
        <v>374</v>
      </c>
      <c r="L706" s="321">
        <f ca="1">ROUND(J706*$C706/100*J697,0)</f>
        <v>-57</v>
      </c>
      <c r="M706" s="321"/>
      <c r="N706" s="374" t="str">
        <f>N693</f>
        <v xml:space="preserve"> </v>
      </c>
      <c r="O706" s="323" t="s">
        <v>374</v>
      </c>
      <c r="P706" s="321">
        <f>ROUND(N706*$C706/100*N697,0)</f>
        <v>0</v>
      </c>
      <c r="Q706" s="321"/>
      <c r="R706" s="374">
        <f ca="1">R693</f>
        <v>1.105</v>
      </c>
      <c r="S706" s="323" t="s">
        <v>374</v>
      </c>
      <c r="T706" s="321">
        <f ca="1">ROUND(R706*$C706/100*R697,0)</f>
        <v>-26</v>
      </c>
      <c r="U706" s="321"/>
      <c r="V706" s="374">
        <f ca="1">V693</f>
        <v>1.347</v>
      </c>
      <c r="W706" s="323" t="s">
        <v>374</v>
      </c>
      <c r="X706" s="321">
        <f ca="1">ROUND(V706*$C706/100*V697,0)</f>
        <v>-31</v>
      </c>
      <c r="Y706" s="20"/>
      <c r="Z706" s="74"/>
      <c r="AA706" s="74"/>
      <c r="AB706" s="74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</row>
    <row r="707" spans="1:47">
      <c r="A707" s="323" t="s">
        <v>400</v>
      </c>
      <c r="B707" s="1"/>
      <c r="C707" s="319">
        <f>[50]Sheet1!$K$16</f>
        <v>1162</v>
      </c>
      <c r="D707" s="375">
        <v>56</v>
      </c>
      <c r="E707" s="321" t="s">
        <v>374</v>
      </c>
      <c r="F707" s="321">
        <f>ROUND(D707*$C707/100*D697,0)</f>
        <v>-7</v>
      </c>
      <c r="G707" s="375">
        <v>56</v>
      </c>
      <c r="H707" s="323" t="s">
        <v>374</v>
      </c>
      <c r="I707" s="321">
        <f>ROUND(G707*C707/100*$G$659,0)</f>
        <v>-7</v>
      </c>
      <c r="J707" s="375">
        <f>J694</f>
        <v>56</v>
      </c>
      <c r="K707" s="323" t="s">
        <v>374</v>
      </c>
      <c r="L707" s="321">
        <f>ROUND(J707*$C707/100*J697,0)</f>
        <v>-7</v>
      </c>
      <c r="M707" s="321"/>
      <c r="N707" s="375" t="str">
        <f>N694</f>
        <v xml:space="preserve"> </v>
      </c>
      <c r="O707" s="323" t="s">
        <v>374</v>
      </c>
      <c r="P707" s="321">
        <f>ROUND(N707*$C707/100*N697,0)</f>
        <v>0</v>
      </c>
      <c r="Q707" s="321"/>
      <c r="R707" s="375">
        <f ca="1">R694</f>
        <v>11</v>
      </c>
      <c r="S707" s="323" t="s">
        <v>374</v>
      </c>
      <c r="T707" s="321">
        <f ca="1">ROUND(R707*$C707/100*R697,0)</f>
        <v>-1</v>
      </c>
      <c r="U707" s="321"/>
      <c r="V707" s="375">
        <f ca="1">V694</f>
        <v>45</v>
      </c>
      <c r="W707" s="323" t="s">
        <v>374</v>
      </c>
      <c r="X707" s="321">
        <f ca="1">ROUND(V707*$C707/100*V697,0)</f>
        <v>-5</v>
      </c>
      <c r="Y707" s="20"/>
      <c r="Z707" s="74"/>
      <c r="AA707" s="74"/>
      <c r="AB707" s="74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</row>
    <row r="708" spans="1:47">
      <c r="A708" s="323" t="s">
        <v>443</v>
      </c>
      <c r="B708" s="1"/>
      <c r="C708" s="319">
        <f>[50]Sheet1!$E$16</f>
        <v>21</v>
      </c>
      <c r="D708" s="298">
        <v>60</v>
      </c>
      <c r="E708" s="364" t="s">
        <v>31</v>
      </c>
      <c r="F708" s="321">
        <f>ROUND(D708*$C708,0)</f>
        <v>1260</v>
      </c>
      <c r="G708" s="298">
        <v>60</v>
      </c>
      <c r="H708" s="1"/>
      <c r="I708" s="321">
        <f>ROUND(G708*C708,0)</f>
        <v>1260</v>
      </c>
      <c r="J708" s="298">
        <f>$J$630</f>
        <v>60</v>
      </c>
      <c r="K708" s="1"/>
      <c r="L708" s="321">
        <f>ROUND(J708*$C708,0)</f>
        <v>1260</v>
      </c>
      <c r="M708" s="321"/>
      <c r="N708" s="298">
        <v>0</v>
      </c>
      <c r="O708" s="1"/>
      <c r="P708" s="321">
        <f>ROUND(N708*$C708,0)</f>
        <v>0</v>
      </c>
      <c r="Q708" s="321"/>
      <c r="R708" s="298">
        <f ca="1">R630</f>
        <v>11.894336305988995</v>
      </c>
      <c r="S708" s="1"/>
      <c r="T708" s="321">
        <f ca="1">ROUND(R708*$C708,0)</f>
        <v>250</v>
      </c>
      <c r="U708" s="321"/>
      <c r="V708" s="298">
        <f ca="1">V630</f>
        <v>48.105663694011</v>
      </c>
      <c r="W708" s="1"/>
      <c r="X708" s="321">
        <f ca="1">ROUND(V708*$C708,0)</f>
        <v>1010</v>
      </c>
      <c r="Y708" s="20"/>
      <c r="Z708" s="74"/>
      <c r="AA708" s="74"/>
      <c r="AB708" s="74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</row>
    <row r="709" spans="1:47">
      <c r="A709" s="323" t="s">
        <v>444</v>
      </c>
      <c r="B709" s="1"/>
      <c r="C709" s="319">
        <f>[50]Sheet1!$F$16</f>
        <v>2337</v>
      </c>
      <c r="D709" s="339">
        <v>-30</v>
      </c>
      <c r="E709" s="321" t="s">
        <v>374</v>
      </c>
      <c r="F709" s="321">
        <f>ROUND(D709*$C709/100,0)</f>
        <v>-701</v>
      </c>
      <c r="G709" s="339">
        <v>-30</v>
      </c>
      <c r="H709" s="321" t="s">
        <v>374</v>
      </c>
      <c r="I709" s="321">
        <f>-ROUND(G709*C709*$G$659,0)</f>
        <v>-701</v>
      </c>
      <c r="J709" s="339">
        <f>$J$631</f>
        <v>-30</v>
      </c>
      <c r="K709" s="321" t="s">
        <v>374</v>
      </c>
      <c r="L709" s="321">
        <f>ROUND(J709*$C709/100,0)</f>
        <v>-701</v>
      </c>
      <c r="M709" s="321"/>
      <c r="N709" s="339">
        <f>$J$631</f>
        <v>-30</v>
      </c>
      <c r="O709" s="321" t="s">
        <v>374</v>
      </c>
      <c r="P709" s="321">
        <f>ROUND(N709*$C709/100,0)</f>
        <v>-701</v>
      </c>
      <c r="Q709" s="321"/>
      <c r="R709" s="339">
        <v>0</v>
      </c>
      <c r="S709" s="321" t="s">
        <v>374</v>
      </c>
      <c r="T709" s="321">
        <f>ROUND(R709*$C709/100,0)</f>
        <v>0</v>
      </c>
      <c r="U709" s="321"/>
      <c r="V709" s="339">
        <v>0</v>
      </c>
      <c r="W709" s="321" t="s">
        <v>374</v>
      </c>
      <c r="X709" s="321">
        <f>ROUND(V709*$C709/100,0)</f>
        <v>0</v>
      </c>
      <c r="Y709" s="20"/>
      <c r="Z709" s="74"/>
      <c r="AA709" s="74"/>
      <c r="AB709" s="74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</row>
    <row r="710" spans="1:47" s="1184" customFormat="1">
      <c r="A710" s="1005" t="s">
        <v>924</v>
      </c>
      <c r="C710" s="1202">
        <f>C705</f>
        <v>734400</v>
      </c>
      <c r="D710" s="269"/>
      <c r="E710" s="1185"/>
      <c r="F710" s="1203"/>
      <c r="G710" s="269"/>
      <c r="H710" s="1185"/>
      <c r="I710" s="1203"/>
      <c r="J710" s="1230">
        <f>J695</f>
        <v>3.415</v>
      </c>
      <c r="K710" s="1041" t="s">
        <v>374</v>
      </c>
      <c r="L710" s="1041">
        <f>ROUND(J710*$C710/100*J697,0)</f>
        <v>-251</v>
      </c>
      <c r="M710" s="1041"/>
      <c r="N710" s="1230" t="str">
        <f>N695</f>
        <v xml:space="preserve"> </v>
      </c>
      <c r="O710" s="1041" t="s">
        <v>374</v>
      </c>
      <c r="P710" s="1041">
        <f>ROUND(N710*$C710/100*N697,0)</f>
        <v>0</v>
      </c>
      <c r="Q710" s="1041"/>
      <c r="R710" s="1230" t="str">
        <f>R695</f>
        <v xml:space="preserve"> </v>
      </c>
      <c r="S710" s="1041" t="s">
        <v>374</v>
      </c>
      <c r="T710" s="1041">
        <f>ROUND(R710*$C710/100*R697,0)</f>
        <v>0</v>
      </c>
      <c r="U710" s="1041"/>
      <c r="V710" s="1230">
        <f>V695</f>
        <v>3.415</v>
      </c>
      <c r="W710" s="1041" t="s">
        <v>374</v>
      </c>
      <c r="X710" s="1041">
        <f>ROUND(V710*$C710/100*V697,0)</f>
        <v>-251</v>
      </c>
      <c r="Z710" s="815"/>
      <c r="AC710" s="1205"/>
      <c r="AD710" s="1205"/>
      <c r="AI710" s="1185"/>
      <c r="AJ710" s="1185"/>
      <c r="AK710" s="1185"/>
      <c r="AL710" s="1185"/>
      <c r="AM710" s="1185"/>
      <c r="AN710" s="1185"/>
      <c r="AO710" s="1185"/>
      <c r="AP710" s="1185"/>
      <c r="AQ710" s="1185"/>
      <c r="AR710" s="1185"/>
      <c r="AS710" s="1185"/>
      <c r="AU710" s="1204"/>
    </row>
    <row r="711" spans="1:47" s="1184" customFormat="1">
      <c r="A711" s="1005" t="s">
        <v>925</v>
      </c>
      <c r="C711" s="1202">
        <f>C706</f>
        <v>232800</v>
      </c>
      <c r="D711" s="269"/>
      <c r="E711" s="1185"/>
      <c r="F711" s="1203"/>
      <c r="G711" s="269"/>
      <c r="H711" s="1185"/>
      <c r="I711" s="1203"/>
      <c r="J711" s="1230">
        <f>J696</f>
        <v>3.1309999999999998</v>
      </c>
      <c r="K711" s="1041" t="s">
        <v>374</v>
      </c>
      <c r="L711" s="1041">
        <f>ROUND(J711*$C711/100*J697,0)</f>
        <v>-73</v>
      </c>
      <c r="M711" s="1041"/>
      <c r="N711" s="1230" t="str">
        <f>N696</f>
        <v xml:space="preserve"> </v>
      </c>
      <c r="O711" s="1041" t="s">
        <v>374</v>
      </c>
      <c r="P711" s="1041">
        <f>ROUND(N711*$C711/100*N697,0)</f>
        <v>0</v>
      </c>
      <c r="Q711" s="1041"/>
      <c r="R711" s="1230" t="str">
        <f>R696</f>
        <v xml:space="preserve"> </v>
      </c>
      <c r="S711" s="1041" t="s">
        <v>374</v>
      </c>
      <c r="T711" s="1041">
        <f>ROUND(R711*$C711/100*R697,0)</f>
        <v>0</v>
      </c>
      <c r="U711" s="1041"/>
      <c r="V711" s="1230">
        <f>V696</f>
        <v>3.1309999999999998</v>
      </c>
      <c r="W711" s="1041" t="s">
        <v>374</v>
      </c>
      <c r="X711" s="1041">
        <f>ROUND(V711*$C711/100*V697,0)</f>
        <v>-73</v>
      </c>
      <c r="Z711" s="815"/>
      <c r="AC711" s="1205"/>
      <c r="AD711" s="1205"/>
      <c r="AI711" s="1185"/>
      <c r="AJ711" s="1185"/>
      <c r="AK711" s="1185"/>
      <c r="AL711" s="1185"/>
      <c r="AM711" s="1185"/>
      <c r="AN711" s="1185"/>
      <c r="AO711" s="1185"/>
      <c r="AP711" s="1185"/>
      <c r="AQ711" s="1185"/>
      <c r="AR711" s="1185"/>
      <c r="AS711" s="1185"/>
      <c r="AU711" s="1204"/>
    </row>
    <row r="712" spans="1:47">
      <c r="A712" s="1" t="s">
        <v>381</v>
      </c>
      <c r="B712" s="1"/>
      <c r="C712" s="319">
        <f>SUM(C692:C693)</f>
        <v>105607759</v>
      </c>
      <c r="D712" s="330"/>
      <c r="E712" s="2"/>
      <c r="F712" s="2">
        <f>SUM(F682:F709)</f>
        <v>7875570</v>
      </c>
      <c r="G712" s="330"/>
      <c r="H712" s="1"/>
      <c r="I712" s="2">
        <f>SUM(I682:I709)</f>
        <v>8312364</v>
      </c>
      <c r="J712" s="330"/>
      <c r="K712" s="1"/>
      <c r="L712" s="2">
        <f ca="1">SUM(L682:L711)</f>
        <v>9267943</v>
      </c>
      <c r="M712" s="2"/>
      <c r="N712" s="330"/>
      <c r="O712" s="1"/>
      <c r="P712" s="2">
        <f ca="1">SUM(P682:P711)</f>
        <v>1337935</v>
      </c>
      <c r="Q712" s="2"/>
      <c r="R712" s="330"/>
      <c r="S712" s="1"/>
      <c r="T712" s="2">
        <f ca="1">SUM(T682:T711)</f>
        <v>1572107</v>
      </c>
      <c r="U712" s="2"/>
      <c r="V712" s="330"/>
      <c r="W712" s="1"/>
      <c r="X712" s="2">
        <f ca="1">SUM(X682:X711)</f>
        <v>6357902</v>
      </c>
      <c r="Y712" s="20"/>
      <c r="Z712" s="74"/>
      <c r="AA712" s="74"/>
      <c r="AB712" s="74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</row>
    <row r="713" spans="1:47">
      <c r="A713" s="1" t="s">
        <v>363</v>
      </c>
      <c r="B713" s="1"/>
      <c r="C713" s="349">
        <f ca="1">'Table 2'!H76</f>
        <v>-1691576.4987881514</v>
      </c>
      <c r="D713" s="309"/>
      <c r="E713" s="309"/>
      <c r="F713" s="310">
        <f ca="1">I713</f>
        <v>-172171.8285648945</v>
      </c>
      <c r="G713" s="309"/>
      <c r="H713" s="309"/>
      <c r="I713" s="310">
        <f ca="1">'Table 3'!E76</f>
        <v>-172171.8285648945</v>
      </c>
      <c r="J713" s="309"/>
      <c r="K713" s="309"/>
      <c r="L713" s="310">
        <f ca="1">I713</f>
        <v>-172171.8285648945</v>
      </c>
      <c r="M713" s="51"/>
      <c r="N713" s="309"/>
      <c r="O713" s="309"/>
      <c r="P713" s="310">
        <f ca="1">$L$713*Y639/($Y$639+$Z$639+$AA$639)</f>
        <v>-22302.510598722263</v>
      </c>
      <c r="Q713" s="51"/>
      <c r="R713" s="309"/>
      <c r="S713" s="309"/>
      <c r="T713" s="310">
        <f ca="1">$L$713*Z639/($Y$639+$Z$639+$AA$639)</f>
        <v>-29709.934497314189</v>
      </c>
      <c r="U713" s="51"/>
      <c r="V713" s="309"/>
      <c r="W713" s="309"/>
      <c r="X713" s="310">
        <f ca="1">$L$713*AA639/($Y$639+$Z$639+$AA$639)</f>
        <v>-120159.38346885805</v>
      </c>
      <c r="Y713" s="444"/>
      <c r="Z713" s="287"/>
      <c r="AA713" s="74"/>
      <c r="AB713" s="74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</row>
    <row r="714" spans="1:47" ht="16.5" thickBot="1">
      <c r="A714" s="1" t="s">
        <v>382</v>
      </c>
      <c r="B714" s="1"/>
      <c r="C714" s="366">
        <f ca="1">SUM(C712)+C713</f>
        <v>103916182.50121185</v>
      </c>
      <c r="D714" s="342"/>
      <c r="E714" s="343"/>
      <c r="F714" s="344">
        <f ca="1">F712+F713</f>
        <v>7703398.1714351056</v>
      </c>
      <c r="G714" s="342"/>
      <c r="H714" s="345"/>
      <c r="I714" s="344">
        <f ca="1">I712+I713</f>
        <v>8140192.1714351056</v>
      </c>
      <c r="J714" s="342"/>
      <c r="K714" s="345"/>
      <c r="L714" s="344">
        <f ca="1">L712+L713</f>
        <v>9095771.1714351047</v>
      </c>
      <c r="M714" s="344"/>
      <c r="N714" s="342"/>
      <c r="O714" s="345"/>
      <c r="P714" s="344">
        <f ca="1">P712+P713</f>
        <v>1315632.4894012776</v>
      </c>
      <c r="Q714" s="344"/>
      <c r="R714" s="342"/>
      <c r="S714" s="345"/>
      <c r="T714" s="344">
        <f ca="1">T712+T713</f>
        <v>1542397.0655026857</v>
      </c>
      <c r="U714" s="344"/>
      <c r="V714" s="342"/>
      <c r="W714" s="345"/>
      <c r="X714" s="344">
        <f ca="1">X712+X713</f>
        <v>6237742.616531142</v>
      </c>
      <c r="Y714" s="411"/>
      <c r="Z714" s="470"/>
      <c r="AA714" s="74"/>
      <c r="AB714" s="74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</row>
    <row r="715" spans="1:47" ht="16.5" thickTop="1">
      <c r="A715" s="303"/>
      <c r="B715" s="378"/>
      <c r="C715" s="303"/>
      <c r="D715" s="1"/>
      <c r="E715" s="21"/>
      <c r="F715" s="379"/>
      <c r="G715" s="1"/>
      <c r="H715" s="303"/>
      <c r="I715" s="379"/>
      <c r="J715" s="303"/>
      <c r="K715" s="303"/>
      <c r="L715" s="303"/>
      <c r="M715" s="303"/>
      <c r="N715" s="303"/>
      <c r="O715" s="303"/>
      <c r="P715" s="303"/>
      <c r="Q715" s="303"/>
      <c r="R715" s="303"/>
      <c r="S715" s="303"/>
      <c r="T715" s="303"/>
      <c r="U715" s="303"/>
      <c r="V715" s="303"/>
      <c r="W715" s="303"/>
      <c r="X715" s="303"/>
      <c r="Y715" s="20"/>
      <c r="Z715" s="74"/>
      <c r="AA715" s="74"/>
      <c r="AB715" s="74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</row>
    <row r="716" spans="1:47">
      <c r="A716" s="293" t="s">
        <v>447</v>
      </c>
      <c r="B716" s="1"/>
      <c r="C716" s="21"/>
      <c r="D716" s="337"/>
      <c r="E716" s="2"/>
      <c r="F716" s="2"/>
      <c r="G716" s="337"/>
      <c r="H716" s="1"/>
      <c r="I716" s="2"/>
      <c r="J716" s="337"/>
      <c r="K716" s="1"/>
      <c r="L716" s="2"/>
      <c r="M716" s="2"/>
      <c r="N716" s="337"/>
      <c r="O716" s="1"/>
      <c r="P716" s="2"/>
      <c r="Q716" s="2"/>
      <c r="R716" s="337"/>
      <c r="S716" s="1"/>
      <c r="T716" s="2"/>
      <c r="U716" s="2"/>
      <c r="V716" s="337"/>
      <c r="W716" s="1"/>
      <c r="X716" s="2"/>
      <c r="Y716" s="20"/>
      <c r="Z716" s="74"/>
      <c r="AA716" s="74"/>
      <c r="AB716" s="74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</row>
    <row r="717" spans="1:47">
      <c r="A717" s="309" t="s">
        <v>448</v>
      </c>
      <c r="B717" s="1"/>
      <c r="C717" s="21"/>
      <c r="D717" s="337"/>
      <c r="E717" s="2"/>
      <c r="F717" s="2"/>
      <c r="G717" s="337"/>
      <c r="H717" s="1"/>
      <c r="I717" s="2"/>
      <c r="J717" s="337"/>
      <c r="K717" s="1"/>
      <c r="L717" s="2"/>
      <c r="M717" s="2"/>
      <c r="N717" s="337"/>
      <c r="O717" s="1"/>
      <c r="P717" s="2"/>
      <c r="Q717" s="2"/>
      <c r="R717" s="337"/>
      <c r="S717" s="1"/>
      <c r="T717" s="2"/>
      <c r="U717" s="2"/>
      <c r="V717" s="337"/>
      <c r="W717" s="1"/>
      <c r="X717" s="2"/>
      <c r="Y717" s="20"/>
      <c r="Z717" s="74"/>
      <c r="AA717" s="74"/>
      <c r="AB717" s="74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</row>
    <row r="718" spans="1:47">
      <c r="A718" s="323"/>
      <c r="B718" s="1"/>
      <c r="C718" s="21"/>
      <c r="D718" s="337"/>
      <c r="E718" s="2"/>
      <c r="F718" s="380"/>
      <c r="G718" s="337"/>
      <c r="H718" s="1"/>
      <c r="I718" s="380"/>
      <c r="J718" s="337"/>
      <c r="K718" s="1"/>
      <c r="L718" s="381"/>
      <c r="M718" s="381"/>
      <c r="N718" s="337"/>
      <c r="O718" s="1"/>
      <c r="P718" s="381"/>
      <c r="Q718" s="381"/>
      <c r="R718" s="337"/>
      <c r="S718" s="1"/>
      <c r="T718" s="381"/>
      <c r="U718" s="381"/>
      <c r="V718" s="337"/>
      <c r="W718" s="1"/>
      <c r="X718" s="381"/>
      <c r="Y718" s="20"/>
      <c r="Z718" s="74"/>
      <c r="AA718" s="74"/>
      <c r="AB718" s="74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</row>
    <row r="719" spans="1:47">
      <c r="A719" s="309" t="s">
        <v>449</v>
      </c>
      <c r="B719" s="1"/>
      <c r="C719" s="319"/>
      <c r="D719" s="2" t="s">
        <v>31</v>
      </c>
      <c r="E719" s="2"/>
      <c r="F719" s="1"/>
      <c r="G719" s="2" t="s">
        <v>31</v>
      </c>
      <c r="H719" s="1"/>
      <c r="I719" s="1"/>
      <c r="J719" s="2" t="s">
        <v>31</v>
      </c>
      <c r="K719" s="1"/>
      <c r="L719" s="1"/>
      <c r="M719" s="1"/>
      <c r="N719" s="2" t="s">
        <v>31</v>
      </c>
      <c r="O719" s="1"/>
      <c r="P719" s="1"/>
      <c r="Q719" s="1"/>
      <c r="R719" s="2" t="s">
        <v>31</v>
      </c>
      <c r="S719" s="1"/>
      <c r="T719" s="1"/>
      <c r="U719" s="1"/>
      <c r="V719" s="2" t="s">
        <v>31</v>
      </c>
      <c r="W719" s="1"/>
      <c r="X719" s="1"/>
      <c r="Y719" s="20"/>
      <c r="Z719" s="74"/>
      <c r="AA719" s="20"/>
      <c r="AB719" s="20"/>
      <c r="AC719" s="20"/>
      <c r="AD719" s="20"/>
      <c r="AE719" s="20"/>
      <c r="AF719" s="20"/>
      <c r="AG719" s="20"/>
      <c r="AH719" s="20"/>
      <c r="AI719" s="20"/>
      <c r="AM719" s="20"/>
      <c r="AN719" s="20"/>
      <c r="AO719" s="20"/>
      <c r="AP719" s="20"/>
      <c r="AQ719" s="20"/>
      <c r="AR719" s="20"/>
      <c r="AS719" s="20"/>
    </row>
    <row r="720" spans="1:47">
      <c r="A720" s="309" t="s">
        <v>450</v>
      </c>
      <c r="B720" s="1"/>
      <c r="C720" s="319">
        <f>C774+C827</f>
        <v>1050.4737336553778</v>
      </c>
      <c r="D720" s="337">
        <v>0</v>
      </c>
      <c r="E720" s="324"/>
      <c r="F720" s="321">
        <f>F774+F827</f>
        <v>0</v>
      </c>
      <c r="G720" s="337">
        <v>0</v>
      </c>
      <c r="H720" s="324"/>
      <c r="I720" s="321">
        <f>I774+I827</f>
        <v>0</v>
      </c>
      <c r="J720" s="337">
        <f>G720</f>
        <v>0</v>
      </c>
      <c r="K720" s="324"/>
      <c r="L720" s="321">
        <f>L774+L827</f>
        <v>0</v>
      </c>
      <c r="M720" s="321"/>
      <c r="N720" s="337">
        <f>J720</f>
        <v>0</v>
      </c>
      <c r="O720" s="324"/>
      <c r="P720" s="321">
        <f>L720</f>
        <v>0</v>
      </c>
      <c r="Q720" s="321"/>
      <c r="R720" s="326" t="s">
        <v>31</v>
      </c>
      <c r="S720" s="324"/>
      <c r="T720" s="321">
        <f>R720*C720</f>
        <v>0</v>
      </c>
      <c r="U720" s="321"/>
      <c r="V720" s="337" t="str">
        <f>R720</f>
        <v xml:space="preserve"> </v>
      </c>
      <c r="W720" s="324"/>
      <c r="X720" s="321">
        <f>V720*C720</f>
        <v>0</v>
      </c>
      <c r="AA720" s="14"/>
      <c r="AB720" s="14"/>
      <c r="AN720" s="20"/>
      <c r="AO720" s="20"/>
      <c r="AP720" s="20"/>
      <c r="AQ720" s="20"/>
      <c r="AR720" s="20"/>
      <c r="AS720" s="20"/>
    </row>
    <row r="721" spans="1:45">
      <c r="A721" s="309" t="s">
        <v>451</v>
      </c>
      <c r="B721" s="1"/>
      <c r="C721" s="319"/>
      <c r="D721" s="337"/>
      <c r="E721" s="324"/>
      <c r="F721" s="321"/>
      <c r="G721" s="337"/>
      <c r="H721" s="324"/>
      <c r="I721" s="321"/>
      <c r="J721" s="337"/>
      <c r="K721" s="324"/>
      <c r="L721" s="321"/>
      <c r="M721" s="321"/>
      <c r="N721" s="337"/>
      <c r="O721" s="324"/>
      <c r="P721" s="321"/>
      <c r="Q721" s="321"/>
      <c r="R721" s="337"/>
      <c r="S721" s="324"/>
      <c r="T721" s="321"/>
      <c r="U721" s="321"/>
      <c r="V721" s="337"/>
      <c r="W721" s="324"/>
      <c r="X721" s="321"/>
      <c r="AD721" s="84"/>
      <c r="AE721" s="666"/>
      <c r="AF721" s="84"/>
      <c r="AG721" s="666"/>
      <c r="AH721" s="84"/>
      <c r="AI721" s="84"/>
      <c r="AJ721" s="237"/>
      <c r="AN721" s="20"/>
      <c r="AO721" s="20"/>
      <c r="AP721" s="20"/>
      <c r="AQ721" s="20"/>
      <c r="AR721" s="20"/>
      <c r="AS721" s="20"/>
    </row>
    <row r="722" spans="1:45">
      <c r="A722" s="309" t="s">
        <v>452</v>
      </c>
      <c r="B722" s="1"/>
      <c r="C722" s="319">
        <f t="shared" ref="C722:C727" si="237">C776+C829</f>
        <v>3761.846699801777</v>
      </c>
      <c r="D722" s="337">
        <v>0</v>
      </c>
      <c r="E722" s="324"/>
      <c r="F722" s="321">
        <f>F776+F829</f>
        <v>0</v>
      </c>
      <c r="G722" s="337">
        <v>0</v>
      </c>
      <c r="H722" s="324"/>
      <c r="I722" s="321">
        <f>I776+I829</f>
        <v>0</v>
      </c>
      <c r="J722" s="337">
        <v>0</v>
      </c>
      <c r="K722" s="324"/>
      <c r="L722" s="321">
        <f>L776+L829</f>
        <v>0</v>
      </c>
      <c r="M722" s="321"/>
      <c r="N722" s="337">
        <f>J722</f>
        <v>0</v>
      </c>
      <c r="O722" s="324"/>
      <c r="P722" s="321">
        <f>L722</f>
        <v>0</v>
      </c>
      <c r="Q722" s="321"/>
      <c r="R722" s="326" t="s">
        <v>31</v>
      </c>
      <c r="S722" s="324"/>
      <c r="T722" s="321">
        <f t="shared" ref="T722:T724" si="238">R722*C722</f>
        <v>0</v>
      </c>
      <c r="U722" s="321"/>
      <c r="V722" s="326" t="s">
        <v>31</v>
      </c>
      <c r="W722" s="324"/>
      <c r="X722" s="321">
        <f t="shared" ref="X722:X724" si="239">V722*C722</f>
        <v>0</v>
      </c>
      <c r="Y722" s="53"/>
      <c r="AA722" s="792" t="s">
        <v>643</v>
      </c>
      <c r="AB722" s="792"/>
      <c r="AD722" s="84"/>
      <c r="AE722" s="666"/>
      <c r="AF722" s="84"/>
      <c r="AG722" s="666"/>
      <c r="AH722" s="84"/>
      <c r="AI722" s="84"/>
      <c r="AJ722" s="237"/>
      <c r="AN722" s="20"/>
      <c r="AO722" s="20"/>
      <c r="AP722" s="20"/>
      <c r="AQ722" s="20"/>
      <c r="AR722" s="20"/>
      <c r="AS722" s="20"/>
    </row>
    <row r="723" spans="1:45">
      <c r="A723" s="309" t="s">
        <v>453</v>
      </c>
      <c r="B723" s="1"/>
      <c r="C723" s="319">
        <f t="shared" si="237"/>
        <v>421.7095485187607</v>
      </c>
      <c r="D723" s="337">
        <v>357</v>
      </c>
      <c r="E723" s="324"/>
      <c r="F723" s="321">
        <f>F777+F830</f>
        <v>150550</v>
      </c>
      <c r="G723" s="337">
        <v>357</v>
      </c>
      <c r="H723" s="324"/>
      <c r="I723" s="321">
        <f>I777+I830</f>
        <v>150550</v>
      </c>
      <c r="J723" s="337">
        <f ca="1">ROUND(G723*(1+$AA$768),0)</f>
        <v>375</v>
      </c>
      <c r="K723" s="324"/>
      <c r="L723" s="321">
        <f ca="1">L777+L830</f>
        <v>158141</v>
      </c>
      <c r="M723" s="321"/>
      <c r="N723" s="337">
        <f ca="1">J723</f>
        <v>375</v>
      </c>
      <c r="O723" s="324"/>
      <c r="P723" s="321">
        <f ca="1">L723</f>
        <v>158141</v>
      </c>
      <c r="Q723" s="321"/>
      <c r="R723" s="326" t="s">
        <v>31</v>
      </c>
      <c r="S723" s="324"/>
      <c r="T723" s="321">
        <f t="shared" si="238"/>
        <v>0</v>
      </c>
      <c r="U723" s="321"/>
      <c r="V723" s="337" t="str">
        <f>R723</f>
        <v xml:space="preserve"> </v>
      </c>
      <c r="W723" s="324"/>
      <c r="X723" s="321">
        <f t="shared" si="239"/>
        <v>0</v>
      </c>
      <c r="Y723" s="69"/>
      <c r="AA723" s="14">
        <f ca="1">(J723-G723)/G723</f>
        <v>5.0420168067226892E-2</v>
      </c>
      <c r="AB723" s="14"/>
      <c r="AC723" s="329"/>
      <c r="AD723" s="84"/>
      <c r="AE723" s="320"/>
      <c r="AF723" s="84"/>
      <c r="AG723" s="320"/>
      <c r="AH723" s="84"/>
      <c r="AI723" s="84"/>
      <c r="AJ723" s="744"/>
      <c r="AN723" s="20"/>
      <c r="AO723" s="20"/>
      <c r="AP723" s="20"/>
      <c r="AQ723" s="20"/>
      <c r="AR723" s="20"/>
      <c r="AS723" s="20"/>
    </row>
    <row r="724" spans="1:45">
      <c r="A724" s="309" t="s">
        <v>454</v>
      </c>
      <c r="B724" s="1"/>
      <c r="C724" s="319">
        <f t="shared" si="237"/>
        <v>13</v>
      </c>
      <c r="D724" s="337">
        <v>1457</v>
      </c>
      <c r="E724" s="324"/>
      <c r="F724" s="321">
        <f>F778+F831</f>
        <v>18941</v>
      </c>
      <c r="G724" s="337">
        <v>1457</v>
      </c>
      <c r="H724" s="324"/>
      <c r="I724" s="321">
        <f>I778+I831</f>
        <v>18941</v>
      </c>
      <c r="J724" s="337">
        <f ca="1">ROUND(G724*(1+$AA$768),0)</f>
        <v>1530</v>
      </c>
      <c r="K724" s="324"/>
      <c r="L724" s="321">
        <f ca="1">L778+L831</f>
        <v>19890</v>
      </c>
      <c r="M724" s="321"/>
      <c r="N724" s="337">
        <f ca="1">J724</f>
        <v>1530</v>
      </c>
      <c r="O724" s="324"/>
      <c r="P724" s="321">
        <f ca="1">L724</f>
        <v>19890</v>
      </c>
      <c r="Q724" s="321"/>
      <c r="R724" s="326" t="s">
        <v>31</v>
      </c>
      <c r="S724" s="324"/>
      <c r="T724" s="321">
        <f t="shared" si="238"/>
        <v>0</v>
      </c>
      <c r="U724" s="321"/>
      <c r="V724" s="337" t="str">
        <f>R724</f>
        <v xml:space="preserve"> </v>
      </c>
      <c r="W724" s="324"/>
      <c r="X724" s="321">
        <f t="shared" si="239"/>
        <v>0</v>
      </c>
      <c r="Y724" s="69"/>
      <c r="AA724" s="14">
        <f ca="1">(J724-G724)/G724</f>
        <v>5.0102951269732326E-2</v>
      </c>
      <c r="AB724" s="14"/>
      <c r="AD724" s="84"/>
      <c r="AE724" s="84"/>
      <c r="AJ724" s="20"/>
      <c r="AM724" s="20"/>
      <c r="AN724" s="20"/>
      <c r="AO724" s="20"/>
      <c r="AP724" s="20"/>
      <c r="AQ724" s="20"/>
      <c r="AR724" s="20"/>
      <c r="AS724" s="20"/>
    </row>
    <row r="725" spans="1:45">
      <c r="A725" s="309" t="s">
        <v>362</v>
      </c>
      <c r="B725" s="1"/>
      <c r="C725" s="319">
        <f t="shared" si="237"/>
        <v>5247.0299819759166</v>
      </c>
      <c r="D725" s="337"/>
      <c r="E725" s="324"/>
      <c r="F725" s="321"/>
      <c r="G725" s="337"/>
      <c r="H725" s="324"/>
      <c r="I725" s="321"/>
      <c r="J725" s="337"/>
      <c r="K725" s="324"/>
      <c r="L725" s="321"/>
      <c r="M725" s="321"/>
      <c r="N725" s="337"/>
      <c r="O725" s="324"/>
      <c r="P725" s="321"/>
      <c r="Q725" s="321"/>
      <c r="R725" s="337"/>
      <c r="S725" s="324"/>
      <c r="T725" s="321"/>
      <c r="U725" s="321"/>
      <c r="V725" s="337"/>
      <c r="W725" s="324"/>
      <c r="X725" s="321"/>
      <c r="Y725" s="69"/>
      <c r="AA725" s="320"/>
      <c r="AB725" s="320"/>
      <c r="AC725" s="69"/>
      <c r="AJ725" s="329"/>
      <c r="AK725" s="329"/>
      <c r="AL725" s="20"/>
      <c r="AM725" s="20"/>
      <c r="AN725" s="20"/>
      <c r="AO725" s="20"/>
      <c r="AP725" s="20"/>
      <c r="AQ725" s="20"/>
      <c r="AR725" s="20"/>
      <c r="AS725" s="20"/>
    </row>
    <row r="726" spans="1:45">
      <c r="A726" s="309" t="s">
        <v>455</v>
      </c>
      <c r="B726" s="1"/>
      <c r="C726" s="319">
        <f t="shared" si="237"/>
        <v>38716.743333333157</v>
      </c>
      <c r="D726" s="337"/>
      <c r="E726" s="324"/>
      <c r="F726" s="321"/>
      <c r="G726" s="337"/>
      <c r="H726" s="324"/>
      <c r="I726" s="321"/>
      <c r="J726" s="337"/>
      <c r="K726" s="324"/>
      <c r="L726" s="321"/>
      <c r="M726" s="321"/>
      <c r="N726" s="337"/>
      <c r="O726" s="324"/>
      <c r="P726" s="321"/>
      <c r="Q726" s="321"/>
      <c r="R726" s="337"/>
      <c r="S726" s="324"/>
      <c r="T726" s="321"/>
      <c r="U726" s="321"/>
      <c r="V726" s="337"/>
      <c r="W726" s="324"/>
      <c r="X726" s="321"/>
      <c r="Y726" s="69"/>
      <c r="AC726" s="69"/>
      <c r="AL726" s="20"/>
      <c r="AM726" s="20"/>
      <c r="AN726" s="20"/>
      <c r="AO726" s="20"/>
      <c r="AP726" s="20"/>
      <c r="AQ726" s="20"/>
      <c r="AR726" s="20"/>
      <c r="AS726" s="20"/>
    </row>
    <row r="727" spans="1:45">
      <c r="A727" s="309" t="s">
        <v>104</v>
      </c>
      <c r="B727" s="1"/>
      <c r="C727" s="319">
        <f t="shared" si="237"/>
        <v>5792</v>
      </c>
      <c r="D727" s="337"/>
      <c r="E727" s="321"/>
      <c r="F727" s="321"/>
      <c r="G727" s="337"/>
      <c r="H727" s="321"/>
      <c r="I727" s="321"/>
      <c r="J727" s="337"/>
      <c r="K727" s="321"/>
      <c r="L727" s="740" t="s">
        <v>31</v>
      </c>
      <c r="M727" s="740"/>
      <c r="N727" s="337"/>
      <c r="O727" s="321"/>
      <c r="P727" s="740" t="s">
        <v>31</v>
      </c>
      <c r="Q727" s="740"/>
      <c r="R727" s="337"/>
      <c r="S727" s="321"/>
      <c r="T727" s="740" t="s">
        <v>31</v>
      </c>
      <c r="U727" s="740"/>
      <c r="V727" s="337"/>
      <c r="W727" s="321"/>
      <c r="X727" s="740" t="s">
        <v>31</v>
      </c>
      <c r="Y727" s="69"/>
      <c r="AA727" s="320"/>
      <c r="AB727" s="320"/>
      <c r="AC727" s="294"/>
      <c r="AL727" s="20"/>
      <c r="AM727" s="20"/>
      <c r="AN727" s="20"/>
      <c r="AO727" s="20"/>
      <c r="AP727" s="20"/>
      <c r="AQ727" s="20"/>
      <c r="AR727" s="20"/>
      <c r="AS727" s="20"/>
    </row>
    <row r="728" spans="1:45">
      <c r="A728" s="309" t="s">
        <v>456</v>
      </c>
      <c r="B728" s="1"/>
      <c r="C728" s="319"/>
      <c r="D728" s="337"/>
      <c r="E728" s="324"/>
      <c r="F728" s="321"/>
      <c r="G728" s="337"/>
      <c r="H728" s="324"/>
      <c r="I728" s="321"/>
      <c r="J728" s="337"/>
      <c r="K728" s="324"/>
      <c r="L728" s="321"/>
      <c r="M728" s="321"/>
      <c r="N728" s="337"/>
      <c r="O728" s="324"/>
      <c r="P728" s="321"/>
      <c r="Q728" s="321"/>
      <c r="R728" s="337"/>
      <c r="S728" s="324"/>
      <c r="T728" s="321"/>
      <c r="U728" s="321"/>
      <c r="V728" s="337"/>
      <c r="W728" s="324"/>
      <c r="X728" s="321"/>
      <c r="Y728" s="69"/>
      <c r="AA728" s="320"/>
      <c r="AB728" s="320"/>
      <c r="AC728" s="69"/>
      <c r="AL728" s="20"/>
      <c r="AM728" s="20"/>
      <c r="AN728" s="20"/>
      <c r="AO728" s="20"/>
      <c r="AP728" s="20"/>
      <c r="AQ728" s="20"/>
      <c r="AR728" s="20"/>
      <c r="AS728" s="20"/>
    </row>
    <row r="729" spans="1:45">
      <c r="A729" s="309" t="s">
        <v>457</v>
      </c>
      <c r="B729" s="1"/>
      <c r="C729" s="319">
        <f>C783+C836</f>
        <v>3152.4964645755495</v>
      </c>
      <c r="D729" s="337">
        <v>23.87</v>
      </c>
      <c r="E729" s="324"/>
      <c r="F729" s="321">
        <f>F783+F836</f>
        <v>75251</v>
      </c>
      <c r="G729" s="337">
        <v>25.265901957370488</v>
      </c>
      <c r="H729" s="324"/>
      <c r="I729" s="321">
        <f>I783+I836</f>
        <v>79651</v>
      </c>
      <c r="J729" s="337">
        <f ca="1">G729*(1+$AA$768)</f>
        <v>26.524302109100866</v>
      </c>
      <c r="K729" s="324"/>
      <c r="L729" s="321">
        <f ca="1">L783+L836</f>
        <v>83618</v>
      </c>
      <c r="M729" s="321"/>
      <c r="N729" s="337">
        <f ca="1">J729</f>
        <v>26.524302109100866</v>
      </c>
      <c r="O729" s="324"/>
      <c r="P729" s="321">
        <f ca="1">L729</f>
        <v>83618</v>
      </c>
      <c r="Q729" s="321"/>
      <c r="R729" s="326" t="s">
        <v>31</v>
      </c>
      <c r="S729" s="324"/>
      <c r="T729" s="321">
        <f>R729*C729</f>
        <v>0</v>
      </c>
      <c r="U729" s="321"/>
      <c r="V729" s="326" t="s">
        <v>31</v>
      </c>
      <c r="W729" s="324"/>
      <c r="X729" s="321">
        <f>V729*C729</f>
        <v>0</v>
      </c>
      <c r="Y729" s="376"/>
      <c r="AA729" s="14">
        <f ca="1">(J729-G729)/G729</f>
        <v>4.980626275893868E-2</v>
      </c>
      <c r="AB729" s="14"/>
      <c r="AC729" s="69"/>
      <c r="AN729" s="20"/>
      <c r="AO729" s="20"/>
      <c r="AP729" s="20"/>
      <c r="AQ729" s="20"/>
      <c r="AR729" s="20"/>
      <c r="AS729" s="20"/>
    </row>
    <row r="730" spans="1:45">
      <c r="A730" s="309" t="s">
        <v>458</v>
      </c>
      <c r="B730" s="1"/>
      <c r="C730" s="319"/>
      <c r="D730" s="337"/>
      <c r="E730" s="324"/>
      <c r="F730" s="321"/>
      <c r="G730" s="337"/>
      <c r="H730" s="324"/>
      <c r="I730" s="321"/>
      <c r="J730" s="337"/>
      <c r="K730" s="324"/>
      <c r="L730" s="321"/>
      <c r="M730" s="321"/>
      <c r="N730" s="337"/>
      <c r="O730" s="324"/>
      <c r="P730" s="321"/>
      <c r="Q730" s="321"/>
      <c r="R730" s="337"/>
      <c r="S730" s="324"/>
      <c r="T730" s="321"/>
      <c r="U730" s="321"/>
      <c r="V730" s="337"/>
      <c r="W730" s="324"/>
      <c r="X730" s="321"/>
      <c r="Y730" s="376"/>
      <c r="AA730" s="320"/>
      <c r="AB730" s="320"/>
      <c r="AC730" s="69"/>
      <c r="AN730" s="20"/>
      <c r="AO730" s="20"/>
      <c r="AP730" s="20"/>
      <c r="AQ730" s="20"/>
      <c r="AR730" s="20"/>
      <c r="AS730" s="20"/>
    </row>
    <row r="731" spans="1:45">
      <c r="A731" s="309" t="s">
        <v>452</v>
      </c>
      <c r="B731" s="1"/>
      <c r="C731" s="319">
        <f>C785+C838</f>
        <v>51992.896589696982</v>
      </c>
      <c r="D731" s="337">
        <v>23.79</v>
      </c>
      <c r="E731" s="324"/>
      <c r="F731" s="321">
        <f>F785+F838</f>
        <v>1236911</v>
      </c>
      <c r="G731" s="337">
        <v>25.171223609796559</v>
      </c>
      <c r="H731" s="324"/>
      <c r="I731" s="321">
        <f>I785+I838</f>
        <v>1308725</v>
      </c>
      <c r="J731" s="337">
        <f ca="1">G731*(1+$AA$768)-0.01</f>
        <v>26.414908186870086</v>
      </c>
      <c r="K731" s="324"/>
      <c r="L731" s="321">
        <f ca="1">L785+L838</f>
        <v>1373387</v>
      </c>
      <c r="M731" s="321"/>
      <c r="N731" s="337">
        <f t="shared" ref="N731:N735" ca="1" si="240">J731</f>
        <v>26.414908186870086</v>
      </c>
      <c r="O731" s="324"/>
      <c r="P731" s="321">
        <f t="shared" ref="P731:P735" ca="1" si="241">L731</f>
        <v>1373387</v>
      </c>
      <c r="Q731" s="321"/>
      <c r="R731" s="326" t="s">
        <v>31</v>
      </c>
      <c r="S731" s="324"/>
      <c r="T731" s="321">
        <f t="shared" ref="T731:T735" si="242">R731*C731</f>
        <v>0</v>
      </c>
      <c r="U731" s="321"/>
      <c r="V731" s="326" t="s">
        <v>31</v>
      </c>
      <c r="W731" s="324"/>
      <c r="X731" s="321">
        <f t="shared" ref="X731:X735" si="243">V731*C731</f>
        <v>0</v>
      </c>
      <c r="Y731" s="376"/>
      <c r="AA731" s="14">
        <f ca="1">(J731-G731)/G731</f>
        <v>4.9408983701113705E-2</v>
      </c>
      <c r="AB731" s="14"/>
      <c r="AC731" s="69"/>
      <c r="AN731" s="20"/>
      <c r="AO731" s="20"/>
      <c r="AP731" s="20"/>
      <c r="AQ731" s="20"/>
      <c r="AR731" s="20"/>
      <c r="AS731" s="20"/>
    </row>
    <row r="732" spans="1:45">
      <c r="A732" s="309" t="s">
        <v>453</v>
      </c>
      <c r="B732" s="1"/>
      <c r="C732" s="319">
        <f>C786+C839</f>
        <v>40499.362465837236</v>
      </c>
      <c r="D732" s="337">
        <v>16.559999999999999</v>
      </c>
      <c r="E732" s="324"/>
      <c r="F732" s="321">
        <f>F786+F839</f>
        <v>670669</v>
      </c>
      <c r="G732" s="337">
        <v>17.5284179478029</v>
      </c>
      <c r="H732" s="324"/>
      <c r="I732" s="321">
        <f>I786+I839</f>
        <v>709890</v>
      </c>
      <c r="J732" s="337">
        <f ca="1">G732*(1+$AA$768)</f>
        <v>18.401442937859667</v>
      </c>
      <c r="K732" s="324"/>
      <c r="L732" s="321">
        <f ca="1">L786+L839</f>
        <v>745247</v>
      </c>
      <c r="M732" s="321"/>
      <c r="N732" s="337">
        <f t="shared" ca="1" si="240"/>
        <v>18.401442937859667</v>
      </c>
      <c r="O732" s="324"/>
      <c r="P732" s="321">
        <f t="shared" ca="1" si="241"/>
        <v>745247</v>
      </c>
      <c r="Q732" s="321"/>
      <c r="R732" s="326" t="s">
        <v>31</v>
      </c>
      <c r="S732" s="324"/>
      <c r="T732" s="321">
        <f t="shared" si="242"/>
        <v>0</v>
      </c>
      <c r="U732" s="321"/>
      <c r="V732" s="326" t="s">
        <v>31</v>
      </c>
      <c r="W732" s="324"/>
      <c r="X732" s="321">
        <f t="shared" si="243"/>
        <v>0</v>
      </c>
      <c r="Y732" s="376"/>
      <c r="AA732" s="14">
        <f ca="1">(J732-G732)/G732</f>
        <v>4.980626275893859E-2</v>
      </c>
      <c r="AB732" s="14"/>
      <c r="AC732" s="69"/>
      <c r="AF732" s="84"/>
      <c r="AG732" s="84"/>
      <c r="AH732" s="84"/>
      <c r="AI732" s="84"/>
      <c r="AJ732" s="84"/>
      <c r="AK732" s="237"/>
      <c r="AL732" s="20" t="s">
        <v>31</v>
      </c>
      <c r="AM732" s="20"/>
      <c r="AN732" s="20"/>
      <c r="AO732" s="20"/>
      <c r="AP732" s="20"/>
      <c r="AQ732" s="20"/>
      <c r="AR732" s="20"/>
      <c r="AS732" s="20"/>
    </row>
    <row r="733" spans="1:45">
      <c r="A733" s="309" t="s">
        <v>454</v>
      </c>
      <c r="B733" s="1" t="s">
        <v>31</v>
      </c>
      <c r="C733" s="319">
        <f>C787+C840</f>
        <v>5276</v>
      </c>
      <c r="D733" s="337">
        <v>12.96</v>
      </c>
      <c r="E733" s="324"/>
      <c r="F733" s="321">
        <f>F787+F840</f>
        <v>68377</v>
      </c>
      <c r="G733" s="337">
        <v>13.717892306976186</v>
      </c>
      <c r="H733" s="324"/>
      <c r="I733" s="321">
        <f>I787+I840</f>
        <v>72376</v>
      </c>
      <c r="J733" s="337">
        <f ca="1">G733*(1+$AA$768)</f>
        <v>14.401129255716265</v>
      </c>
      <c r="K733" s="324"/>
      <c r="L733" s="321">
        <f ca="1">L787+L840</f>
        <v>75981</v>
      </c>
      <c r="M733" s="321"/>
      <c r="N733" s="337">
        <f t="shared" ca="1" si="240"/>
        <v>14.401129255716265</v>
      </c>
      <c r="O733" s="324"/>
      <c r="P733" s="321">
        <f t="shared" ca="1" si="241"/>
        <v>75981</v>
      </c>
      <c r="Q733" s="321"/>
      <c r="R733" s="326" t="s">
        <v>31</v>
      </c>
      <c r="S733" s="324"/>
      <c r="T733" s="321">
        <f t="shared" si="242"/>
        <v>0</v>
      </c>
      <c r="U733" s="321"/>
      <c r="V733" s="326" t="s">
        <v>31</v>
      </c>
      <c r="W733" s="324"/>
      <c r="X733" s="321">
        <f t="shared" si="243"/>
        <v>0</v>
      </c>
      <c r="Y733" s="376"/>
      <c r="AA733" s="14">
        <f ca="1">(J733-G733)/G733</f>
        <v>4.9806262758938673E-2</v>
      </c>
      <c r="AB733" s="14"/>
      <c r="AC733" s="69"/>
      <c r="AL733" s="20" t="s">
        <v>31</v>
      </c>
      <c r="AM733" s="20"/>
      <c r="AN733" s="20"/>
      <c r="AO733" s="20"/>
      <c r="AP733" s="20"/>
      <c r="AQ733" s="20"/>
      <c r="AR733" s="20"/>
      <c r="AS733" s="20"/>
    </row>
    <row r="734" spans="1:45">
      <c r="A734" s="309" t="s">
        <v>460</v>
      </c>
      <c r="B734" s="1"/>
      <c r="C734" s="319">
        <f>C788+C841</f>
        <v>590.57780050582846</v>
      </c>
      <c r="D734" s="337">
        <v>71.61</v>
      </c>
      <c r="E734" s="324"/>
      <c r="F734" s="321">
        <f>F788+F841</f>
        <v>42292</v>
      </c>
      <c r="G734" s="337">
        <v>75.797705872111464</v>
      </c>
      <c r="H734" s="324"/>
      <c r="I734" s="321">
        <f>I788+I841</f>
        <v>44765</v>
      </c>
      <c r="J734" s="337">
        <f ca="1">3*J729</f>
        <v>79.572906327302604</v>
      </c>
      <c r="K734" s="324"/>
      <c r="L734" s="321">
        <f ca="1">L788+L841</f>
        <v>46994</v>
      </c>
      <c r="M734" s="321"/>
      <c r="N734" s="337">
        <f t="shared" ca="1" si="240"/>
        <v>79.572906327302604</v>
      </c>
      <c r="O734" s="324"/>
      <c r="P734" s="321">
        <f t="shared" ca="1" si="241"/>
        <v>46994</v>
      </c>
      <c r="Q734" s="321"/>
      <c r="R734" s="326" t="s">
        <v>31</v>
      </c>
      <c r="S734" s="324"/>
      <c r="T734" s="321">
        <f t="shared" si="242"/>
        <v>0</v>
      </c>
      <c r="U734" s="321"/>
      <c r="V734" s="326" t="s">
        <v>31</v>
      </c>
      <c r="W734" s="324"/>
      <c r="X734" s="321">
        <f t="shared" si="243"/>
        <v>0</v>
      </c>
      <c r="Y734" s="69"/>
      <c r="AA734" s="14">
        <f ca="1">(J734-G734)/G734</f>
        <v>4.980626275893877E-2</v>
      </c>
      <c r="AB734" s="14"/>
      <c r="AC734" s="69"/>
      <c r="AL734" s="20"/>
      <c r="AM734" s="20"/>
      <c r="AN734" s="20"/>
      <c r="AO734" s="20"/>
      <c r="AP734" s="20"/>
      <c r="AQ734" s="20"/>
      <c r="AR734" s="20"/>
      <c r="AS734" s="20"/>
    </row>
    <row r="735" spans="1:45">
      <c r="A735" s="309" t="s">
        <v>461</v>
      </c>
      <c r="B735" s="1"/>
      <c r="C735" s="319">
        <f>C789+C842</f>
        <v>1018.0903941811775</v>
      </c>
      <c r="D735" s="337">
        <v>142.74</v>
      </c>
      <c r="E735" s="324"/>
      <c r="F735" s="321">
        <f>F789+F842</f>
        <v>145322</v>
      </c>
      <c r="G735" s="337">
        <v>151.02734165877936</v>
      </c>
      <c r="H735" s="324"/>
      <c r="I735" s="321">
        <f>I789+I842</f>
        <v>153760</v>
      </c>
      <c r="J735" s="337">
        <f ca="1">6*J731</f>
        <v>158.4894491212205</v>
      </c>
      <c r="K735" s="324"/>
      <c r="L735" s="321">
        <f ca="1">L789+L842</f>
        <v>161356</v>
      </c>
      <c r="M735" s="321"/>
      <c r="N735" s="337">
        <f t="shared" ca="1" si="240"/>
        <v>158.4894491212205</v>
      </c>
      <c r="O735" s="324"/>
      <c r="P735" s="321">
        <f t="shared" ca="1" si="241"/>
        <v>161356</v>
      </c>
      <c r="Q735" s="321"/>
      <c r="R735" s="326" t="s">
        <v>31</v>
      </c>
      <c r="S735" s="324"/>
      <c r="T735" s="321">
        <f t="shared" si="242"/>
        <v>0</v>
      </c>
      <c r="U735" s="321"/>
      <c r="V735" s="326" t="s">
        <v>31</v>
      </c>
      <c r="W735" s="324"/>
      <c r="X735" s="321">
        <f t="shared" si="243"/>
        <v>0</v>
      </c>
      <c r="Y735" s="69"/>
      <c r="AA735" s="14">
        <f ca="1">(J735-G735)/G735</f>
        <v>4.9408983701113567E-2</v>
      </c>
      <c r="AB735" s="14"/>
      <c r="AC735" s="69"/>
      <c r="AL735" s="20"/>
      <c r="AM735" s="20"/>
      <c r="AN735" s="20"/>
      <c r="AO735" s="20"/>
      <c r="AP735" s="20"/>
      <c r="AQ735" s="20"/>
      <c r="AR735" s="20"/>
      <c r="AS735" s="20"/>
    </row>
    <row r="736" spans="1:45">
      <c r="A736" s="309" t="s">
        <v>462</v>
      </c>
      <c r="B736" s="1"/>
      <c r="C736" s="319"/>
      <c r="D736" s="337"/>
      <c r="E736" s="324"/>
      <c r="F736" s="321"/>
      <c r="G736" s="337"/>
      <c r="H736" s="324"/>
      <c r="I736" s="321"/>
      <c r="J736" s="337"/>
      <c r="K736" s="324"/>
      <c r="L736" s="321"/>
      <c r="M736" s="321"/>
      <c r="N736" s="337"/>
      <c r="O736" s="324"/>
      <c r="P736" s="321"/>
      <c r="Q736" s="321"/>
      <c r="R736" s="337"/>
      <c r="S736" s="324"/>
      <c r="T736" s="321"/>
      <c r="U736" s="321"/>
      <c r="V736" s="337"/>
      <c r="W736" s="324"/>
      <c r="X736" s="321"/>
      <c r="Y736" s="69"/>
      <c r="AA736" s="3"/>
      <c r="AB736" s="3"/>
      <c r="AC736" s="69"/>
      <c r="AL736" s="20"/>
      <c r="AM736" s="20"/>
      <c r="AN736" s="20"/>
      <c r="AO736" s="20"/>
      <c r="AP736" s="20"/>
      <c r="AQ736" s="20"/>
      <c r="AR736" s="20"/>
      <c r="AS736" s="20"/>
    </row>
    <row r="737" spans="1:47">
      <c r="A737" s="309" t="s">
        <v>457</v>
      </c>
      <c r="B737" s="1"/>
      <c r="C737" s="319">
        <f>C791+C844</f>
        <v>41.301659380740766</v>
      </c>
      <c r="D737" s="363">
        <v>-23.87</v>
      </c>
      <c r="E737" s="324"/>
      <c r="F737" s="321">
        <f>F791+F844</f>
        <v>-986</v>
      </c>
      <c r="G737" s="363">
        <v>-25.265901957370488</v>
      </c>
      <c r="H737" s="324"/>
      <c r="I737" s="321">
        <f>I791+I844</f>
        <v>-1043</v>
      </c>
      <c r="J737" s="363">
        <f ca="1">-J729</f>
        <v>-26.524302109100866</v>
      </c>
      <c r="K737" s="324"/>
      <c r="L737" s="321">
        <f ca="1">L791+L844</f>
        <v>-1095</v>
      </c>
      <c r="M737" s="321"/>
      <c r="N737" s="363">
        <f ca="1">J737</f>
        <v>-26.524302109100866</v>
      </c>
      <c r="O737" s="324"/>
      <c r="P737" s="321">
        <f ca="1">L737</f>
        <v>-1095</v>
      </c>
      <c r="Q737" s="321"/>
      <c r="R737" s="353" t="s">
        <v>31</v>
      </c>
      <c r="S737" s="324"/>
      <c r="T737" s="321">
        <f t="shared" ref="T737:T738" si="244">R737*C737</f>
        <v>0</v>
      </c>
      <c r="U737" s="321"/>
      <c r="V737" s="353" t="s">
        <v>31</v>
      </c>
      <c r="W737" s="324"/>
      <c r="X737" s="321">
        <f t="shared" ref="X737:X738" si="245">V737*C737</f>
        <v>0</v>
      </c>
      <c r="Y737" s="69"/>
      <c r="AA737" s="3"/>
      <c r="AB737" s="3"/>
      <c r="AC737" s="69"/>
      <c r="AL737" s="20"/>
      <c r="AM737" s="20"/>
      <c r="AN737" s="20"/>
      <c r="AO737" s="20"/>
      <c r="AP737" s="20"/>
      <c r="AQ737" s="20"/>
      <c r="AR737" s="20"/>
      <c r="AS737" s="20"/>
    </row>
    <row r="738" spans="1:47">
      <c r="A738" s="309" t="s">
        <v>463</v>
      </c>
      <c r="B738" s="1"/>
      <c r="C738" s="319">
        <f>C792+C845</f>
        <v>311.0071403485303</v>
      </c>
      <c r="D738" s="363">
        <v>-23.79</v>
      </c>
      <c r="E738" s="324"/>
      <c r="F738" s="321">
        <f>F792+F845</f>
        <v>-7399</v>
      </c>
      <c r="G738" s="363">
        <v>-25.171223609796559</v>
      </c>
      <c r="H738" s="324"/>
      <c r="I738" s="321">
        <f>I792+I845</f>
        <v>-7828</v>
      </c>
      <c r="J738" s="363">
        <f ca="1">-J731</f>
        <v>-26.414908186870086</v>
      </c>
      <c r="K738" s="324"/>
      <c r="L738" s="321">
        <f ca="1">L792+L845</f>
        <v>-8215</v>
      </c>
      <c r="M738" s="321"/>
      <c r="N738" s="363">
        <f ca="1">J738</f>
        <v>-26.414908186870086</v>
      </c>
      <c r="O738" s="324"/>
      <c r="P738" s="321">
        <f ca="1">L738</f>
        <v>-8215</v>
      </c>
      <c r="Q738" s="321"/>
      <c r="R738" s="353" t="s">
        <v>31</v>
      </c>
      <c r="S738" s="324"/>
      <c r="T738" s="321">
        <f t="shared" si="244"/>
        <v>0</v>
      </c>
      <c r="U738" s="321"/>
      <c r="V738" s="353" t="s">
        <v>31</v>
      </c>
      <c r="W738" s="324"/>
      <c r="X738" s="321">
        <f t="shared" si="245"/>
        <v>0</v>
      </c>
      <c r="Y738" s="69"/>
      <c r="AA738" s="3"/>
      <c r="AB738" s="3"/>
      <c r="AC738" s="69"/>
      <c r="AL738" s="20"/>
      <c r="AM738" s="20"/>
      <c r="AN738" s="20"/>
      <c r="AO738" s="20"/>
      <c r="AP738" s="20"/>
      <c r="AQ738" s="20"/>
      <c r="AR738" s="20"/>
      <c r="AS738" s="20"/>
    </row>
    <row r="739" spans="1:47">
      <c r="A739" s="323" t="s">
        <v>426</v>
      </c>
      <c r="B739" s="1"/>
      <c r="C739" s="319">
        <f>C793+C846</f>
        <v>0</v>
      </c>
      <c r="D739" s="337"/>
      <c r="E739" s="321"/>
      <c r="F739" s="321"/>
      <c r="G739" s="337"/>
      <c r="H739" s="321"/>
      <c r="I739" s="321"/>
      <c r="J739" s="337"/>
      <c r="K739" s="321"/>
      <c r="L739" s="321"/>
      <c r="M739" s="321"/>
      <c r="N739" s="337"/>
      <c r="O739" s="321"/>
      <c r="P739" s="321"/>
      <c r="Q739" s="883" t="s">
        <v>31</v>
      </c>
      <c r="R739" s="337"/>
      <c r="S739" s="321"/>
      <c r="T739" s="321"/>
      <c r="U739" s="321"/>
      <c r="V739" s="337"/>
      <c r="W739" s="321"/>
      <c r="X739" s="321"/>
      <c r="Y739" s="69"/>
      <c r="AA739" s="3"/>
      <c r="AB739" s="3"/>
      <c r="AC739" s="69"/>
      <c r="AD739" s="3" t="s">
        <v>31</v>
      </c>
      <c r="AL739" s="20"/>
      <c r="AM739" s="20"/>
      <c r="AN739" s="20"/>
      <c r="AO739" s="20"/>
      <c r="AP739" s="20"/>
      <c r="AQ739" s="20"/>
      <c r="AR739" s="20"/>
      <c r="AS739" s="20"/>
    </row>
    <row r="740" spans="1:47">
      <c r="A740" s="309" t="s">
        <v>464</v>
      </c>
      <c r="B740" s="1"/>
      <c r="C740" s="319">
        <f>C794+C847</f>
        <v>148745366.55847031</v>
      </c>
      <c r="D740" s="383">
        <v>6.4390000000000001</v>
      </c>
      <c r="E740" s="321" t="s">
        <v>374</v>
      </c>
      <c r="F740" s="321">
        <f>F794+F847</f>
        <v>9577714</v>
      </c>
      <c r="G740" s="383">
        <v>6.8159999999999998</v>
      </c>
      <c r="H740" s="321" t="s">
        <v>374</v>
      </c>
      <c r="I740" s="321">
        <f>I794+I847</f>
        <v>10138484</v>
      </c>
      <c r="J740" s="383">
        <f ca="1">ROUND(G740+(G740*$AA$768)-J742,3)</f>
        <v>3.9140000000000001</v>
      </c>
      <c r="K740" s="321" t="s">
        <v>374</v>
      </c>
      <c r="L740" s="321">
        <f ca="1">L794+L847</f>
        <v>5821893</v>
      </c>
      <c r="M740" s="321"/>
      <c r="N740" s="1308">
        <f ca="1">P740/C740*100</f>
        <v>0.10011647788394891</v>
      </c>
      <c r="O740" s="883" t="s">
        <v>31</v>
      </c>
      <c r="P740" s="321">
        <f ca="1">Y876-P720-P722-P723-P724-P729-P731-P732-P733-P734-P735-P737-P738-P741-P742-P745-P747-P748-P749-P750-P752-P753-P754-P755-P756-P758-P759-P761-P762-P763-P764-P765-P767</f>
        <v>148918.62201390968</v>
      </c>
      <c r="Q740" s="321"/>
      <c r="R740" s="1308">
        <f ca="1">T740/C740*100</f>
        <v>1.3911559920341985</v>
      </c>
      <c r="S740" s="321" t="s">
        <v>374</v>
      </c>
      <c r="T740" s="321">
        <f ca="1">Z876-T720-T722-T723-T724-T729-T731-T732-T733-T734-T735-T737-T738-T741-T742-T745-T747-T748-T749-T750-T752-T753-T754-T755-T756-T758-T759-T761-T762-T763-T764-T765-T767</f>
        <v>2069280.0797513926</v>
      </c>
      <c r="U740" s="321"/>
      <c r="V740" s="1308">
        <f ca="1">X740/C740*100</f>
        <v>2.4227485087524854</v>
      </c>
      <c r="W740" s="321" t="s">
        <v>374</v>
      </c>
      <c r="X740" s="321">
        <f ca="1">AA876-X720-X722-X723-X724-X729-X731-X732-X733-X734-X735-X737-X738-X741-X742-X745-X747-X748-X749-X750-X752-X753-X754-X755-X756-X758-X759-X761-X762-X763-X764-X765-X767</f>
        <v>3603726.1501337579</v>
      </c>
      <c r="Y740" s="338"/>
      <c r="AA740" s="14">
        <f ca="1">(J740-G740)/G740</f>
        <v>-0.42576291079812201</v>
      </c>
      <c r="AB740" s="14"/>
      <c r="AC740" s="69"/>
      <c r="AL740" s="20"/>
      <c r="AM740" s="20"/>
      <c r="AN740" s="20"/>
      <c r="AO740" s="20"/>
      <c r="AP740" s="20"/>
      <c r="AQ740" s="20"/>
      <c r="AR740" s="20"/>
      <c r="AS740" s="20"/>
    </row>
    <row r="741" spans="1:47">
      <c r="A741" s="323" t="s">
        <v>400</v>
      </c>
      <c r="B741" s="1"/>
      <c r="C741" s="319">
        <f>C795+C848</f>
        <v>54173</v>
      </c>
      <c r="D741" s="614">
        <v>56</v>
      </c>
      <c r="E741" s="323" t="s">
        <v>374</v>
      </c>
      <c r="F741" s="321">
        <f>F795+F848</f>
        <v>30337</v>
      </c>
      <c r="G741" s="614">
        <v>56</v>
      </c>
      <c r="H741" s="323" t="s">
        <v>374</v>
      </c>
      <c r="I741" s="321">
        <f>I795+I848</f>
        <v>30337</v>
      </c>
      <c r="J741" s="614">
        <f>G741</f>
        <v>56</v>
      </c>
      <c r="K741" s="323" t="s">
        <v>374</v>
      </c>
      <c r="L741" s="321">
        <f>L795+L848</f>
        <v>30337</v>
      </c>
      <c r="M741" s="321"/>
      <c r="N741" s="1310" t="s">
        <v>31</v>
      </c>
      <c r="O741" s="421" t="s">
        <v>31</v>
      </c>
      <c r="P741" s="321">
        <f>N741*C741</f>
        <v>0</v>
      </c>
      <c r="Q741" s="321"/>
      <c r="R741" s="614">
        <f ca="1">ROUND(T741/C741,2)*100</f>
        <v>11</v>
      </c>
      <c r="S741" s="323" t="s">
        <v>374</v>
      </c>
      <c r="T741" s="321">
        <f ca="1">L741*(Z876/($Z$876+$AA$876))</f>
        <v>5982.1505242850199</v>
      </c>
      <c r="U741" s="321"/>
      <c r="V741" s="614">
        <f ca="1">ROUND(X741/C741,2)*100</f>
        <v>45</v>
      </c>
      <c r="W741" s="323" t="s">
        <v>374</v>
      </c>
      <c r="X741" s="321">
        <f ca="1">L741*(AA876/($Z$876+$AA$876))</f>
        <v>24354.849475714978</v>
      </c>
      <c r="AA741" s="14">
        <f>(J741-G741)/G741</f>
        <v>0</v>
      </c>
      <c r="AB741" s="14"/>
      <c r="AC741" s="69"/>
      <c r="AL741" s="20"/>
      <c r="AM741" s="20"/>
      <c r="AN741" s="20"/>
      <c r="AO741" s="20"/>
      <c r="AP741" s="20"/>
      <c r="AQ741" s="20"/>
      <c r="AR741" s="20"/>
      <c r="AS741" s="20"/>
    </row>
    <row r="742" spans="1:47" s="1184" customFormat="1">
      <c r="A742" s="1005" t="s">
        <v>1035</v>
      </c>
      <c r="C742" s="1026">
        <f>C740</f>
        <v>148745366.55847031</v>
      </c>
      <c r="D742" s="269"/>
      <c r="E742" s="1185"/>
      <c r="F742" s="1203"/>
      <c r="G742" s="269"/>
      <c r="H742" s="1185"/>
      <c r="I742" s="1203"/>
      <c r="J742" s="1230">
        <f>ROUND(Y742/C742*100,3)</f>
        <v>3.2410000000000001</v>
      </c>
      <c r="K742" s="1009" t="s">
        <v>374</v>
      </c>
      <c r="L742" s="1041">
        <f>L796+L849</f>
        <v>4820837</v>
      </c>
      <c r="M742" s="1041"/>
      <c r="N742" s="1230" t="s">
        <v>31</v>
      </c>
      <c r="O742" s="1009" t="s">
        <v>31</v>
      </c>
      <c r="P742" s="1041">
        <f>N742*C742</f>
        <v>0</v>
      </c>
      <c r="Q742" s="1041"/>
      <c r="R742" s="1230" t="s">
        <v>31</v>
      </c>
      <c r="S742" s="1009" t="s">
        <v>31</v>
      </c>
      <c r="T742" s="1041">
        <f>R742*C742</f>
        <v>0</v>
      </c>
      <c r="U742" s="1041"/>
      <c r="V742" s="1230">
        <f>J742</f>
        <v>3.2410000000000001</v>
      </c>
      <c r="W742" s="1009" t="s">
        <v>374</v>
      </c>
      <c r="X742" s="1041">
        <f>L742</f>
        <v>4820837</v>
      </c>
      <c r="Y742" s="1204">
        <f>'NPC Spread'!I33</f>
        <v>4820591.7626756122</v>
      </c>
      <c r="Z742" s="815" t="s">
        <v>913</v>
      </c>
      <c r="AC742" s="1205"/>
      <c r="AD742" s="1205"/>
      <c r="AI742" s="1185"/>
      <c r="AJ742" s="1185"/>
      <c r="AK742" s="1185"/>
      <c r="AL742" s="1185"/>
      <c r="AM742" s="1185"/>
      <c r="AN742" s="1185"/>
      <c r="AO742" s="1185"/>
      <c r="AP742" s="1185"/>
      <c r="AQ742" s="1185"/>
      <c r="AR742" s="1185"/>
      <c r="AS742" s="1185"/>
      <c r="AU742" s="1204"/>
    </row>
    <row r="743" spans="1:47" s="1184" customFormat="1">
      <c r="A743" s="1509" t="s">
        <v>929</v>
      </c>
      <c r="B743" s="1510"/>
      <c r="C743" s="1517"/>
      <c r="D743" s="1512"/>
      <c r="E743" s="1513"/>
      <c r="F743" s="1514"/>
      <c r="G743" s="1522">
        <f>G740</f>
        <v>6.8159999999999998</v>
      </c>
      <c r="H743" s="1518" t="s">
        <v>374</v>
      </c>
      <c r="I743" s="1514"/>
      <c r="J743" s="1515">
        <f ca="1">J740+J742</f>
        <v>7.1550000000000002</v>
      </c>
      <c r="K743" s="1518" t="s">
        <v>374</v>
      </c>
      <c r="L743" s="1521"/>
      <c r="M743" s="1521"/>
      <c r="N743" s="1515">
        <f ca="1">N740+N742</f>
        <v>0.10011647788394891</v>
      </c>
      <c r="O743" s="1518" t="s">
        <v>374</v>
      </c>
      <c r="P743" s="1521"/>
      <c r="Q743" s="1521"/>
      <c r="R743" s="1515">
        <f ca="1">R740+R742</f>
        <v>1.3911559920341985</v>
      </c>
      <c r="S743" s="1518" t="s">
        <v>374</v>
      </c>
      <c r="T743" s="1521"/>
      <c r="U743" s="1521"/>
      <c r="V743" s="1515">
        <f ca="1">V740+V742</f>
        <v>5.6637485087524855</v>
      </c>
      <c r="W743" s="1518" t="s">
        <v>374</v>
      </c>
      <c r="X743" s="1521"/>
      <c r="Y743" s="1204"/>
      <c r="Z743" s="815"/>
      <c r="AA743" s="55">
        <f ca="1">(J743-G743)/G743</f>
        <v>4.9735915492957805E-2</v>
      </c>
      <c r="AC743" s="1205"/>
      <c r="AD743" s="1205"/>
      <c r="AI743" s="1185"/>
      <c r="AJ743" s="1185"/>
      <c r="AK743" s="1185"/>
      <c r="AL743" s="1185"/>
      <c r="AM743" s="1185"/>
      <c r="AN743" s="1185"/>
      <c r="AO743" s="1185"/>
      <c r="AP743" s="1185"/>
      <c r="AQ743" s="1185"/>
      <c r="AR743" s="1185"/>
      <c r="AS743" s="1185"/>
      <c r="AU743" s="1204"/>
    </row>
    <row r="744" spans="1:47">
      <c r="A744" s="360" t="s">
        <v>401</v>
      </c>
      <c r="B744" s="1"/>
      <c r="C744" s="319"/>
      <c r="D744" s="332">
        <v>-0.01</v>
      </c>
      <c r="E744" s="2"/>
      <c r="F744" s="321"/>
      <c r="G744" s="332">
        <v>-0.01</v>
      </c>
      <c r="H744" s="1"/>
      <c r="I744" s="321"/>
      <c r="J744" s="332">
        <v>-0.01</v>
      </c>
      <c r="K744" s="1"/>
      <c r="L744" s="321"/>
      <c r="M744" s="321"/>
      <c r="N744" s="332">
        <v>-0.01</v>
      </c>
      <c r="O744" s="1"/>
      <c r="P744" s="321"/>
      <c r="Q744" s="321"/>
      <c r="R744" s="332">
        <v>-0.01</v>
      </c>
      <c r="S744" s="1"/>
      <c r="T744" s="321"/>
      <c r="U744" s="321"/>
      <c r="V744" s="332">
        <v>-0.01</v>
      </c>
      <c r="W744" s="1"/>
      <c r="X744" s="321"/>
      <c r="AL744" s="20"/>
      <c r="AM744" s="20"/>
      <c r="AN744" s="20"/>
      <c r="AO744" s="20"/>
      <c r="AP744" s="20"/>
      <c r="AQ744" s="20"/>
      <c r="AR744" s="20"/>
      <c r="AS744" s="20"/>
    </row>
    <row r="745" spans="1:47">
      <c r="A745" s="309" t="s">
        <v>390</v>
      </c>
      <c r="B745" s="1"/>
      <c r="C745" s="319">
        <f>C798+C851</f>
        <v>0</v>
      </c>
      <c r="D745" s="384">
        <v>0</v>
      </c>
      <c r="E745" s="324"/>
      <c r="F745" s="321">
        <f>F798+F851</f>
        <v>0</v>
      </c>
      <c r="G745" s="384">
        <v>0</v>
      </c>
      <c r="H745" s="324"/>
      <c r="I745" s="321">
        <f>I798+I851</f>
        <v>0</v>
      </c>
      <c r="J745" s="384">
        <f>J720</f>
        <v>0</v>
      </c>
      <c r="K745" s="324"/>
      <c r="L745" s="321">
        <f>L798+L851</f>
        <v>0</v>
      </c>
      <c r="M745" s="321"/>
      <c r="N745" s="384">
        <f>N720</f>
        <v>0</v>
      </c>
      <c r="O745" s="324"/>
      <c r="P745" s="321">
        <f>L745</f>
        <v>0</v>
      </c>
      <c r="Q745" s="321"/>
      <c r="R745" s="384" t="str">
        <f>R720</f>
        <v xml:space="preserve"> </v>
      </c>
      <c r="S745" s="324"/>
      <c r="T745" s="321">
        <f>R745*C745*$R$744</f>
        <v>0</v>
      </c>
      <c r="U745" s="321"/>
      <c r="V745" s="384" t="str">
        <f>V720</f>
        <v xml:space="preserve"> </v>
      </c>
      <c r="W745" s="324"/>
      <c r="X745" s="321">
        <f>V745*C745*$V$744</f>
        <v>0</v>
      </c>
      <c r="AL745" s="20"/>
      <c r="AM745" s="20"/>
      <c r="AN745" s="20"/>
      <c r="AO745" s="20"/>
      <c r="AP745" s="20"/>
      <c r="AQ745" s="20"/>
      <c r="AR745" s="20"/>
      <c r="AS745" s="20"/>
    </row>
    <row r="746" spans="1:47">
      <c r="A746" s="309" t="s">
        <v>391</v>
      </c>
      <c r="B746" s="1"/>
      <c r="C746" s="319"/>
      <c r="D746" s="384"/>
      <c r="E746" s="324"/>
      <c r="F746" s="321"/>
      <c r="G746" s="384"/>
      <c r="H746" s="324"/>
      <c r="I746" s="321"/>
      <c r="J746" s="384"/>
      <c r="K746" s="324"/>
      <c r="L746" s="321"/>
      <c r="M746" s="321"/>
      <c r="N746" s="384"/>
      <c r="O746" s="324"/>
      <c r="P746" s="321"/>
      <c r="Q746" s="321"/>
      <c r="R746" s="384"/>
      <c r="S746" s="324"/>
      <c r="T746" s="321"/>
      <c r="U746" s="321"/>
      <c r="V746" s="384"/>
      <c r="W746" s="324"/>
      <c r="X746" s="321"/>
      <c r="AL746" s="20"/>
      <c r="AM746" s="20"/>
      <c r="AN746" s="20"/>
      <c r="AO746" s="20"/>
      <c r="AP746" s="20"/>
      <c r="AQ746" s="20"/>
      <c r="AR746" s="20"/>
      <c r="AS746" s="20"/>
    </row>
    <row r="747" spans="1:47">
      <c r="A747" s="309" t="s">
        <v>452</v>
      </c>
      <c r="B747" s="1"/>
      <c r="C747" s="319">
        <f>C800+C853</f>
        <v>1.00272540556427</v>
      </c>
      <c r="D747" s="384">
        <v>0</v>
      </c>
      <c r="E747" s="324"/>
      <c r="F747" s="321">
        <f>F800+F853</f>
        <v>0</v>
      </c>
      <c r="G747" s="384">
        <v>0</v>
      </c>
      <c r="H747" s="324"/>
      <c r="I747" s="321">
        <f>I800+I853</f>
        <v>0</v>
      </c>
      <c r="J747" s="384">
        <f>J722</f>
        <v>0</v>
      </c>
      <c r="K747" s="324"/>
      <c r="L747" s="321">
        <f>L800+L853</f>
        <v>0</v>
      </c>
      <c r="M747" s="321"/>
      <c r="N747" s="384">
        <f>N722</f>
        <v>0</v>
      </c>
      <c r="O747" s="324"/>
      <c r="P747" s="321">
        <f t="shared" ref="P747:P750" si="246">L747</f>
        <v>0</v>
      </c>
      <c r="Q747" s="321"/>
      <c r="R747" s="384" t="str">
        <f>R722</f>
        <v xml:space="preserve"> </v>
      </c>
      <c r="S747" s="324"/>
      <c r="T747" s="321">
        <f t="shared" ref="T747:T750" si="247">R747*C747*$R$744</f>
        <v>0</v>
      </c>
      <c r="U747" s="321"/>
      <c r="V747" s="384" t="str">
        <f>V722</f>
        <v xml:space="preserve"> </v>
      </c>
      <c r="W747" s="324"/>
      <c r="X747" s="321">
        <f t="shared" ref="X747:X750" si="248">V747*C747*$V$744</f>
        <v>0</v>
      </c>
      <c r="AL747" s="20"/>
      <c r="AM747" s="20"/>
      <c r="AN747" s="20"/>
      <c r="AO747" s="20"/>
      <c r="AP747" s="20"/>
      <c r="AQ747" s="20"/>
      <c r="AR747" s="20"/>
      <c r="AS747" s="20"/>
    </row>
    <row r="748" spans="1:47">
      <c r="A748" s="309" t="s">
        <v>453</v>
      </c>
      <c r="B748" s="1"/>
      <c r="C748" s="319">
        <f>C801+C854</f>
        <v>0</v>
      </c>
      <c r="D748" s="384">
        <v>357</v>
      </c>
      <c r="E748" s="324"/>
      <c r="F748" s="321">
        <f>F801+F854</f>
        <v>0</v>
      </c>
      <c r="G748" s="384">
        <v>357</v>
      </c>
      <c r="H748" s="324"/>
      <c r="I748" s="321">
        <f>I801+I854</f>
        <v>0</v>
      </c>
      <c r="J748" s="384">
        <f ca="1">J723</f>
        <v>375</v>
      </c>
      <c r="K748" s="324"/>
      <c r="L748" s="321">
        <f ca="1">L801+L854</f>
        <v>0</v>
      </c>
      <c r="M748" s="321"/>
      <c r="N748" s="384">
        <f ca="1">N723</f>
        <v>375</v>
      </c>
      <c r="O748" s="324"/>
      <c r="P748" s="321">
        <f t="shared" ca="1" si="246"/>
        <v>0</v>
      </c>
      <c r="Q748" s="321"/>
      <c r="R748" s="384" t="str">
        <f>R723</f>
        <v xml:space="preserve"> </v>
      </c>
      <c r="S748" s="324"/>
      <c r="T748" s="321">
        <f t="shared" si="247"/>
        <v>0</v>
      </c>
      <c r="U748" s="321"/>
      <c r="V748" s="384" t="str">
        <f>V723</f>
        <v xml:space="preserve"> </v>
      </c>
      <c r="W748" s="324"/>
      <c r="X748" s="321">
        <f t="shared" si="248"/>
        <v>0</v>
      </c>
      <c r="AL748" s="20"/>
      <c r="AM748" s="20"/>
      <c r="AN748" s="20"/>
      <c r="AO748" s="20"/>
      <c r="AP748" s="20"/>
      <c r="AQ748" s="20"/>
      <c r="AR748" s="20"/>
      <c r="AS748" s="20"/>
    </row>
    <row r="749" spans="1:47">
      <c r="A749" s="309" t="s">
        <v>454</v>
      </c>
      <c r="B749" s="1"/>
      <c r="C749" s="319">
        <f>C802+C855</f>
        <v>0</v>
      </c>
      <c r="D749" s="384">
        <v>1457</v>
      </c>
      <c r="E749" s="324"/>
      <c r="F749" s="321">
        <f>F802+F855</f>
        <v>0</v>
      </c>
      <c r="G749" s="384">
        <v>1457</v>
      </c>
      <c r="H749" s="324"/>
      <c r="I749" s="321">
        <f>I802+I855</f>
        <v>0</v>
      </c>
      <c r="J749" s="384">
        <f ca="1">J724</f>
        <v>1530</v>
      </c>
      <c r="K749" s="324"/>
      <c r="L749" s="321">
        <f ca="1">L802+L855</f>
        <v>0</v>
      </c>
      <c r="M749" s="321"/>
      <c r="N749" s="384">
        <f ca="1">N724</f>
        <v>1530</v>
      </c>
      <c r="O749" s="324"/>
      <c r="P749" s="321">
        <f t="shared" ca="1" si="246"/>
        <v>0</v>
      </c>
      <c r="Q749" s="321"/>
      <c r="R749" s="384" t="str">
        <f>R724</f>
        <v xml:space="preserve"> </v>
      </c>
      <c r="S749" s="324"/>
      <c r="T749" s="321">
        <f t="shared" si="247"/>
        <v>0</v>
      </c>
      <c r="U749" s="321"/>
      <c r="V749" s="384" t="str">
        <f>V724</f>
        <v xml:space="preserve"> </v>
      </c>
      <c r="W749" s="324"/>
      <c r="X749" s="321">
        <f t="shared" si="248"/>
        <v>0</v>
      </c>
      <c r="AL749" s="20"/>
      <c r="AM749" s="20"/>
      <c r="AN749" s="20"/>
      <c r="AO749" s="20"/>
      <c r="AP749" s="20"/>
      <c r="AQ749" s="20"/>
      <c r="AR749" s="20"/>
      <c r="AS749" s="20"/>
    </row>
    <row r="750" spans="1:47">
      <c r="A750" s="309" t="s">
        <v>390</v>
      </c>
      <c r="B750" s="1"/>
      <c r="C750" s="319">
        <f>C803+C856</f>
        <v>0</v>
      </c>
      <c r="D750" s="384">
        <v>23.87</v>
      </c>
      <c r="E750" s="324"/>
      <c r="F750" s="321">
        <f>F803+F856</f>
        <v>0</v>
      </c>
      <c r="G750" s="384">
        <v>25.265901957370488</v>
      </c>
      <c r="H750" s="324"/>
      <c r="I750" s="321">
        <f>I803+I856</f>
        <v>0</v>
      </c>
      <c r="J750" s="384">
        <f ca="1">J729</f>
        <v>26.524302109100866</v>
      </c>
      <c r="K750" s="324"/>
      <c r="L750" s="321">
        <f ca="1">L803+L856</f>
        <v>0</v>
      </c>
      <c r="M750" s="321"/>
      <c r="N750" s="384">
        <f ca="1">N729</f>
        <v>26.524302109100866</v>
      </c>
      <c r="O750" s="324"/>
      <c r="P750" s="321">
        <f t="shared" ca="1" si="246"/>
        <v>0</v>
      </c>
      <c r="Q750" s="321"/>
      <c r="R750" s="384" t="str">
        <f>R729</f>
        <v xml:space="preserve"> </v>
      </c>
      <c r="S750" s="324"/>
      <c r="T750" s="321">
        <f t="shared" si="247"/>
        <v>0</v>
      </c>
      <c r="U750" s="321"/>
      <c r="V750" s="384" t="str">
        <f>V729</f>
        <v xml:space="preserve"> </v>
      </c>
      <c r="W750" s="324"/>
      <c r="X750" s="321">
        <f t="shared" si="248"/>
        <v>0</v>
      </c>
      <c r="AL750" s="20"/>
      <c r="AM750" s="20"/>
      <c r="AN750" s="20"/>
      <c r="AO750" s="20"/>
      <c r="AP750" s="20"/>
      <c r="AQ750" s="20"/>
      <c r="AR750" s="20"/>
      <c r="AS750" s="20"/>
    </row>
    <row r="751" spans="1:47">
      <c r="A751" s="309" t="s">
        <v>391</v>
      </c>
      <c r="B751" s="1"/>
      <c r="C751" s="319"/>
      <c r="D751" s="384"/>
      <c r="E751" s="324"/>
      <c r="F751" s="321"/>
      <c r="G751" s="384"/>
      <c r="H751" s="324"/>
      <c r="I751" s="321"/>
      <c r="J751" s="384"/>
      <c r="K751" s="324"/>
      <c r="L751" s="321"/>
      <c r="M751" s="321"/>
      <c r="N751" s="384"/>
      <c r="O751" s="324"/>
      <c r="P751" s="321"/>
      <c r="Q751" s="321"/>
      <c r="R751" s="384"/>
      <c r="S751" s="324"/>
      <c r="T751" s="321"/>
      <c r="U751" s="321"/>
      <c r="V751" s="384"/>
      <c r="W751" s="324"/>
      <c r="X751" s="321"/>
      <c r="AL751" s="20"/>
      <c r="AM751" s="20"/>
      <c r="AN751" s="20"/>
      <c r="AO751" s="20"/>
      <c r="AP751" s="20"/>
      <c r="AQ751" s="20"/>
      <c r="AR751" s="20"/>
      <c r="AS751" s="20"/>
    </row>
    <row r="752" spans="1:47">
      <c r="A752" s="309" t="s">
        <v>452</v>
      </c>
      <c r="B752" s="1"/>
      <c r="C752" s="319">
        <f>C805+C858</f>
        <v>30.440941572089098</v>
      </c>
      <c r="D752" s="384">
        <v>23.79</v>
      </c>
      <c r="E752" s="324"/>
      <c r="F752" s="321">
        <f>F805+F858</f>
        <v>-7</v>
      </c>
      <c r="G752" s="384">
        <v>25.171223609796559</v>
      </c>
      <c r="H752" s="324"/>
      <c r="I752" s="321">
        <f>I805+I858</f>
        <v>-8</v>
      </c>
      <c r="J752" s="384">
        <f ca="1">J731</f>
        <v>26.414908186870086</v>
      </c>
      <c r="K752" s="324"/>
      <c r="L752" s="321">
        <f ca="1">L805+L858</f>
        <v>-8</v>
      </c>
      <c r="M752" s="321"/>
      <c r="N752" s="384">
        <f ca="1">N731</f>
        <v>26.414908186870086</v>
      </c>
      <c r="O752" s="324"/>
      <c r="P752" s="321">
        <f t="shared" ref="P752:P756" ca="1" si="249">L752</f>
        <v>-8</v>
      </c>
      <c r="Q752" s="321"/>
      <c r="R752" s="384" t="str">
        <f>R731</f>
        <v xml:space="preserve"> </v>
      </c>
      <c r="S752" s="324"/>
      <c r="T752" s="321">
        <f t="shared" ref="T752:T756" si="250">R752*C752*$R$744</f>
        <v>0</v>
      </c>
      <c r="U752" s="321"/>
      <c r="V752" s="384" t="str">
        <f>V731</f>
        <v xml:space="preserve"> </v>
      </c>
      <c r="W752" s="324"/>
      <c r="X752" s="321">
        <f t="shared" ref="X752:X756" si="251">V752*C752*$V$744</f>
        <v>0</v>
      </c>
      <c r="AL752" s="20"/>
      <c r="AM752" s="20"/>
      <c r="AN752" s="20"/>
      <c r="AO752" s="20"/>
      <c r="AP752" s="20"/>
      <c r="AQ752" s="20"/>
      <c r="AR752" s="20"/>
      <c r="AS752" s="20"/>
    </row>
    <row r="753" spans="1:47">
      <c r="A753" s="309" t="s">
        <v>453</v>
      </c>
      <c r="B753" s="1"/>
      <c r="C753" s="319">
        <f>C806+C859</f>
        <v>0</v>
      </c>
      <c r="D753" s="384">
        <v>16.559999999999999</v>
      </c>
      <c r="E753" s="324"/>
      <c r="F753" s="321">
        <f>F806+F859</f>
        <v>0</v>
      </c>
      <c r="G753" s="384">
        <v>17.5284179478029</v>
      </c>
      <c r="H753" s="324"/>
      <c r="I753" s="321">
        <f>I806+I859</f>
        <v>0</v>
      </c>
      <c r="J753" s="384">
        <f ca="1">J732</f>
        <v>18.401442937859667</v>
      </c>
      <c r="K753" s="324"/>
      <c r="L753" s="321">
        <f ca="1">L806+L859</f>
        <v>0</v>
      </c>
      <c r="M753" s="321"/>
      <c r="N753" s="384">
        <f ca="1">N732</f>
        <v>18.401442937859667</v>
      </c>
      <c r="O753" s="324"/>
      <c r="P753" s="321">
        <f t="shared" ca="1" si="249"/>
        <v>0</v>
      </c>
      <c r="Q753" s="321"/>
      <c r="R753" s="384" t="str">
        <f>R732</f>
        <v xml:space="preserve"> </v>
      </c>
      <c r="S753" s="324"/>
      <c r="T753" s="321">
        <f t="shared" si="250"/>
        <v>0</v>
      </c>
      <c r="U753" s="321"/>
      <c r="V753" s="384" t="str">
        <f>V732</f>
        <v xml:space="preserve"> </v>
      </c>
      <c r="W753" s="324"/>
      <c r="X753" s="321">
        <f t="shared" si="251"/>
        <v>0</v>
      </c>
      <c r="AL753" s="20"/>
      <c r="AM753" s="20"/>
      <c r="AN753" s="20"/>
      <c r="AO753" s="20"/>
      <c r="AP753" s="20"/>
      <c r="AQ753" s="20"/>
      <c r="AR753" s="20"/>
      <c r="AS753" s="20"/>
    </row>
    <row r="754" spans="1:47">
      <c r="A754" s="309" t="s">
        <v>454</v>
      </c>
      <c r="B754" s="1"/>
      <c r="C754" s="319">
        <f>C807+C860</f>
        <v>0</v>
      </c>
      <c r="D754" s="384">
        <v>12.96</v>
      </c>
      <c r="E754" s="324"/>
      <c r="F754" s="321">
        <f>F807+F860</f>
        <v>0</v>
      </c>
      <c r="G754" s="384">
        <v>13.717892306976186</v>
      </c>
      <c r="H754" s="324"/>
      <c r="I754" s="321">
        <f>I807+I860</f>
        <v>0</v>
      </c>
      <c r="J754" s="384">
        <f ca="1">J733</f>
        <v>14.401129255716265</v>
      </c>
      <c r="K754" s="324"/>
      <c r="L754" s="321">
        <f ca="1">L807+L860</f>
        <v>0</v>
      </c>
      <c r="M754" s="321"/>
      <c r="N754" s="384">
        <f ca="1">N733</f>
        <v>14.401129255716265</v>
      </c>
      <c r="O754" s="324"/>
      <c r="P754" s="321">
        <f t="shared" ca="1" si="249"/>
        <v>0</v>
      </c>
      <c r="Q754" s="321"/>
      <c r="R754" s="384" t="str">
        <f>R733</f>
        <v xml:space="preserve"> </v>
      </c>
      <c r="S754" s="324"/>
      <c r="T754" s="321">
        <f t="shared" si="250"/>
        <v>0</v>
      </c>
      <c r="U754" s="321"/>
      <c r="V754" s="384" t="str">
        <f>V733</f>
        <v xml:space="preserve"> </v>
      </c>
      <c r="W754" s="324"/>
      <c r="X754" s="321">
        <f t="shared" si="251"/>
        <v>0</v>
      </c>
      <c r="AL754" s="20"/>
      <c r="AM754" s="20"/>
      <c r="AN754" s="20"/>
      <c r="AO754" s="20"/>
      <c r="AP754" s="20"/>
      <c r="AQ754" s="20"/>
      <c r="AR754" s="20"/>
      <c r="AS754" s="20"/>
    </row>
    <row r="755" spans="1:47">
      <c r="A755" s="309" t="s">
        <v>465</v>
      </c>
      <c r="B755" s="1"/>
      <c r="C755" s="319">
        <f>C808+C861</f>
        <v>0</v>
      </c>
      <c r="D755" s="353">
        <v>71.61</v>
      </c>
      <c r="E755" s="324"/>
      <c r="F755" s="321">
        <f>F808+F861</f>
        <v>0</v>
      </c>
      <c r="G755" s="353">
        <v>75.797705872111464</v>
      </c>
      <c r="H755" s="324"/>
      <c r="I755" s="321">
        <f>I808+I861</f>
        <v>0</v>
      </c>
      <c r="J755" s="353">
        <f ca="1">J734</f>
        <v>79.572906327302604</v>
      </c>
      <c r="K755" s="324"/>
      <c r="L755" s="321">
        <f ca="1">L808+L861</f>
        <v>0</v>
      </c>
      <c r="M755" s="321"/>
      <c r="N755" s="353">
        <f ca="1">N734</f>
        <v>79.572906327302604</v>
      </c>
      <c r="O755" s="324"/>
      <c r="P755" s="321">
        <f t="shared" ca="1" si="249"/>
        <v>0</v>
      </c>
      <c r="Q755" s="321"/>
      <c r="R755" s="353" t="str">
        <f>R734</f>
        <v xml:space="preserve"> </v>
      </c>
      <c r="S755" s="324"/>
      <c r="T755" s="321">
        <f t="shared" si="250"/>
        <v>0</v>
      </c>
      <c r="U755" s="321"/>
      <c r="V755" s="353" t="str">
        <f>V734</f>
        <v xml:space="preserve"> </v>
      </c>
      <c r="W755" s="324"/>
      <c r="X755" s="321">
        <f t="shared" si="251"/>
        <v>0</v>
      </c>
      <c r="AL755" s="20"/>
      <c r="AM755" s="20"/>
      <c r="AN755" s="20"/>
      <c r="AO755" s="20"/>
      <c r="AP755" s="20"/>
      <c r="AQ755" s="20"/>
      <c r="AR755" s="20"/>
      <c r="AS755" s="20"/>
    </row>
    <row r="756" spans="1:47">
      <c r="A756" s="309" t="s">
        <v>466</v>
      </c>
      <c r="B756" s="1"/>
      <c r="C756" s="319">
        <f>C809+C862</f>
        <v>0</v>
      </c>
      <c r="D756" s="353">
        <v>142.74</v>
      </c>
      <c r="E756" s="324"/>
      <c r="F756" s="321">
        <f>F809+F862</f>
        <v>0</v>
      </c>
      <c r="G756" s="353">
        <v>151.02734165877936</v>
      </c>
      <c r="H756" s="324"/>
      <c r="I756" s="321">
        <f>I809+I862</f>
        <v>0</v>
      </c>
      <c r="J756" s="353">
        <f ca="1">J735</f>
        <v>158.4894491212205</v>
      </c>
      <c r="K756" s="324"/>
      <c r="L756" s="321">
        <f ca="1">L809+L862</f>
        <v>0</v>
      </c>
      <c r="M756" s="321"/>
      <c r="N756" s="353">
        <f ca="1">N735</f>
        <v>158.4894491212205</v>
      </c>
      <c r="O756" s="324"/>
      <c r="P756" s="321">
        <f t="shared" ca="1" si="249"/>
        <v>0</v>
      </c>
      <c r="Q756" s="321"/>
      <c r="R756" s="353" t="str">
        <f>R735</f>
        <v xml:space="preserve"> </v>
      </c>
      <c r="S756" s="324"/>
      <c r="T756" s="321">
        <f t="shared" si="250"/>
        <v>0</v>
      </c>
      <c r="U756" s="321"/>
      <c r="V756" s="353" t="str">
        <f>V735</f>
        <v xml:space="preserve"> </v>
      </c>
      <c r="W756" s="324"/>
      <c r="X756" s="321">
        <f t="shared" si="251"/>
        <v>0</v>
      </c>
      <c r="AL756" s="20"/>
      <c r="AM756" s="20"/>
      <c r="AN756" s="20"/>
      <c r="AO756" s="20"/>
      <c r="AP756" s="20"/>
      <c r="AQ756" s="20"/>
      <c r="AR756" s="20"/>
      <c r="AS756" s="20"/>
    </row>
    <row r="757" spans="1:47">
      <c r="A757" s="309" t="s">
        <v>462</v>
      </c>
      <c r="B757" s="1"/>
      <c r="C757" s="319"/>
      <c r="D757" s="337"/>
      <c r="E757" s="324"/>
      <c r="F757" s="321"/>
      <c r="G757" s="337"/>
      <c r="H757" s="324"/>
      <c r="I757" s="321"/>
      <c r="J757" s="337"/>
      <c r="K757" s="324"/>
      <c r="L757" s="321"/>
      <c r="M757" s="321"/>
      <c r="N757" s="337"/>
      <c r="O757" s="324"/>
      <c r="P757" s="321"/>
      <c r="Q757" s="321"/>
      <c r="R757" s="337"/>
      <c r="S757" s="324"/>
      <c r="T757" s="321"/>
      <c r="U757" s="321"/>
      <c r="V757" s="337"/>
      <c r="W757" s="324"/>
      <c r="X757" s="321"/>
      <c r="AL757" s="20"/>
      <c r="AM757" s="20"/>
      <c r="AN757" s="20"/>
      <c r="AO757" s="20"/>
      <c r="AP757" s="20"/>
      <c r="AQ757" s="20"/>
      <c r="AR757" s="20"/>
      <c r="AS757" s="20"/>
    </row>
    <row r="758" spans="1:47">
      <c r="A758" s="309" t="s">
        <v>457</v>
      </c>
      <c r="B758" s="1"/>
      <c r="C758" s="319">
        <f>C811+C864</f>
        <v>0</v>
      </c>
      <c r="D758" s="363">
        <v>-23.87</v>
      </c>
      <c r="E758" s="324"/>
      <c r="F758" s="321">
        <f>F811+F864</f>
        <v>0</v>
      </c>
      <c r="G758" s="363">
        <v>-25.265901957370488</v>
      </c>
      <c r="H758" s="324"/>
      <c r="I758" s="321">
        <f>I811+I864</f>
        <v>0</v>
      </c>
      <c r="J758" s="363">
        <f ca="1">J737</f>
        <v>-26.524302109100866</v>
      </c>
      <c r="K758" s="324"/>
      <c r="L758" s="321">
        <f ca="1">L811+L864</f>
        <v>0</v>
      </c>
      <c r="M758" s="321"/>
      <c r="N758" s="363">
        <f ca="1">N737</f>
        <v>-26.524302109100866</v>
      </c>
      <c r="O758" s="324"/>
      <c r="P758" s="321">
        <f t="shared" ref="P758:P759" ca="1" si="252">L758</f>
        <v>0</v>
      </c>
      <c r="Q758" s="321"/>
      <c r="R758" s="363" t="str">
        <f>R737</f>
        <v xml:space="preserve"> </v>
      </c>
      <c r="S758" s="324"/>
      <c r="T758" s="321">
        <f t="shared" ref="T758:T759" si="253">R758*C758*$R$744</f>
        <v>0</v>
      </c>
      <c r="U758" s="321"/>
      <c r="V758" s="363" t="str">
        <f>V737</f>
        <v xml:space="preserve"> </v>
      </c>
      <c r="W758" s="324"/>
      <c r="X758" s="321">
        <f t="shared" ref="X758:X759" si="254">V758*C758*$V$744</f>
        <v>0</v>
      </c>
      <c r="AL758" s="20"/>
      <c r="AM758" s="20"/>
      <c r="AN758" s="20"/>
      <c r="AO758" s="20"/>
      <c r="AP758" s="20"/>
      <c r="AQ758" s="20"/>
      <c r="AR758" s="20"/>
      <c r="AS758" s="20"/>
    </row>
    <row r="759" spans="1:47">
      <c r="A759" s="309" t="s">
        <v>463</v>
      </c>
      <c r="B759" s="1"/>
      <c r="C759" s="319">
        <f>C812+C865</f>
        <v>0</v>
      </c>
      <c r="D759" s="363">
        <v>-23.79</v>
      </c>
      <c r="E759" s="324"/>
      <c r="F759" s="321">
        <f>F812+F865</f>
        <v>0</v>
      </c>
      <c r="G759" s="363">
        <v>-25.171223609796559</v>
      </c>
      <c r="H759" s="324"/>
      <c r="I759" s="321">
        <f>I812+I865</f>
        <v>0</v>
      </c>
      <c r="J759" s="363">
        <f ca="1">J738</f>
        <v>-26.414908186870086</v>
      </c>
      <c r="K759" s="324"/>
      <c r="L759" s="321">
        <f ca="1">L812+L865</f>
        <v>0</v>
      </c>
      <c r="M759" s="321"/>
      <c r="N759" s="363">
        <f ca="1">N738</f>
        <v>-26.414908186870086</v>
      </c>
      <c r="O759" s="324"/>
      <c r="P759" s="321">
        <f t="shared" ca="1" si="252"/>
        <v>0</v>
      </c>
      <c r="Q759" s="321"/>
      <c r="R759" s="363" t="str">
        <f>R738</f>
        <v xml:space="preserve"> </v>
      </c>
      <c r="S759" s="324"/>
      <c r="T759" s="321">
        <f t="shared" si="253"/>
        <v>0</v>
      </c>
      <c r="U759" s="321"/>
      <c r="V759" s="363" t="str">
        <f>V738</f>
        <v xml:space="preserve"> </v>
      </c>
      <c r="W759" s="324"/>
      <c r="X759" s="321">
        <f t="shared" si="254"/>
        <v>0</v>
      </c>
      <c r="AL759" s="20"/>
      <c r="AM759" s="20"/>
      <c r="AN759" s="20"/>
      <c r="AO759" s="20"/>
      <c r="AP759" s="20"/>
      <c r="AQ759" s="20"/>
      <c r="AR759" s="20"/>
      <c r="AS759" s="20"/>
    </row>
    <row r="760" spans="1:47">
      <c r="A760" s="323" t="s">
        <v>426</v>
      </c>
      <c r="B760" s="1"/>
      <c r="C760" s="319"/>
      <c r="D760" s="384"/>
      <c r="E760" s="321"/>
      <c r="F760" s="321"/>
      <c r="G760" s="384"/>
      <c r="H760" s="321"/>
      <c r="I760" s="321"/>
      <c r="J760" s="384"/>
      <c r="K760" s="321"/>
      <c r="L760" s="321"/>
      <c r="M760" s="321"/>
      <c r="N760" s="384"/>
      <c r="O760" s="321"/>
      <c r="P760" s="321"/>
      <c r="Q760" s="321"/>
      <c r="R760" s="384"/>
      <c r="S760" s="321"/>
      <c r="T760" s="321"/>
      <c r="U760" s="321"/>
      <c r="V760" s="384"/>
      <c r="W760" s="321"/>
      <c r="X760" s="321"/>
      <c r="AL760" s="20"/>
      <c r="AM760" s="20"/>
      <c r="AN760" s="20"/>
      <c r="AO760" s="20"/>
      <c r="AP760" s="20"/>
      <c r="AQ760" s="20"/>
      <c r="AR760" s="20"/>
      <c r="AS760" s="20"/>
    </row>
    <row r="761" spans="1:47">
      <c r="A761" s="309" t="s">
        <v>464</v>
      </c>
      <c r="B761" s="1"/>
      <c r="C761" s="319">
        <f>C814+C867</f>
        <v>32140</v>
      </c>
      <c r="D761" s="385">
        <v>6.4390000000000001</v>
      </c>
      <c r="E761" s="321" t="s">
        <v>374</v>
      </c>
      <c r="F761" s="321">
        <f>F814+F867</f>
        <v>-21</v>
      </c>
      <c r="G761" s="385">
        <v>6.8159999999999998</v>
      </c>
      <c r="H761" s="321" t="s">
        <v>374</v>
      </c>
      <c r="I761" s="321">
        <f>I814+I867</f>
        <v>-22</v>
      </c>
      <c r="J761" s="385">
        <f ca="1">J740</f>
        <v>3.9140000000000001</v>
      </c>
      <c r="K761" s="321" t="s">
        <v>374</v>
      </c>
      <c r="L761" s="321">
        <f t="shared" ref="L761:L768" ca="1" si="255">L814+L867</f>
        <v>-13</v>
      </c>
      <c r="M761" s="321"/>
      <c r="N761" s="385">
        <f ca="1">N740</f>
        <v>0.10011647788394891</v>
      </c>
      <c r="O761" s="883" t="s">
        <v>31</v>
      </c>
      <c r="P761" s="321">
        <f ca="1">N761*C761*N744</f>
        <v>-32.177435991901177</v>
      </c>
      <c r="Q761" s="321"/>
      <c r="R761" s="385">
        <f ca="1">R740</f>
        <v>1.3911559920341985</v>
      </c>
      <c r="S761" s="321" t="s">
        <v>374</v>
      </c>
      <c r="T761" s="321">
        <f ca="1">R761*C761*R744/100</f>
        <v>-4.4711753583979137</v>
      </c>
      <c r="U761" s="321"/>
      <c r="V761" s="385">
        <f ca="1">V740</f>
        <v>2.4227485087524854</v>
      </c>
      <c r="W761" s="321" t="s">
        <v>374</v>
      </c>
      <c r="X761" s="321">
        <f ca="1">V761*C761*V744/100</f>
        <v>-7.786713707130489</v>
      </c>
      <c r="AL761" s="20"/>
      <c r="AM761" s="20"/>
      <c r="AN761" s="20"/>
      <c r="AO761" s="20"/>
      <c r="AP761" s="20"/>
      <c r="AQ761" s="20"/>
      <c r="AR761" s="20"/>
      <c r="AS761" s="20"/>
    </row>
    <row r="762" spans="1:47">
      <c r="A762" s="323" t="s">
        <v>400</v>
      </c>
      <c r="B762" s="1"/>
      <c r="C762" s="319">
        <f>C815+C868</f>
        <v>0</v>
      </c>
      <c r="D762" s="375">
        <v>56</v>
      </c>
      <c r="E762" s="321" t="s">
        <v>374</v>
      </c>
      <c r="F762" s="321">
        <f>F815+F868</f>
        <v>0</v>
      </c>
      <c r="G762" s="375">
        <v>56</v>
      </c>
      <c r="H762" s="323" t="s">
        <v>374</v>
      </c>
      <c r="I762" s="321">
        <f>I815+I868</f>
        <v>0</v>
      </c>
      <c r="J762" s="375">
        <f>J741</f>
        <v>56</v>
      </c>
      <c r="K762" s="323" t="s">
        <v>374</v>
      </c>
      <c r="L762" s="321">
        <f t="shared" si="255"/>
        <v>0</v>
      </c>
      <c r="M762" s="321"/>
      <c r="N762" s="375" t="str">
        <f>N741</f>
        <v xml:space="preserve"> </v>
      </c>
      <c r="O762" s="421" t="s">
        <v>31</v>
      </c>
      <c r="P762" s="321">
        <f>N762*C762</f>
        <v>0</v>
      </c>
      <c r="Q762" s="321"/>
      <c r="R762" s="375">
        <f ca="1">R741</f>
        <v>11</v>
      </c>
      <c r="S762" s="323" t="s">
        <v>374</v>
      </c>
      <c r="T762" s="321">
        <f ca="1">R762*C762</f>
        <v>0</v>
      </c>
      <c r="U762" s="321"/>
      <c r="V762" s="375">
        <f ca="1">V741</f>
        <v>45</v>
      </c>
      <c r="W762" s="323" t="s">
        <v>374</v>
      </c>
      <c r="X762" s="321">
        <f ca="1">V762*C762</f>
        <v>0</v>
      </c>
      <c r="AL762" s="20"/>
      <c r="AM762" s="20"/>
      <c r="AN762" s="20"/>
      <c r="AO762" s="20"/>
      <c r="AP762" s="20"/>
      <c r="AQ762" s="20"/>
      <c r="AR762" s="20"/>
      <c r="AS762" s="20"/>
    </row>
    <row r="763" spans="1:47">
      <c r="A763" s="323" t="s">
        <v>443</v>
      </c>
      <c r="B763" s="1"/>
      <c r="C763" s="319">
        <f>C816+C869</f>
        <v>12</v>
      </c>
      <c r="D763" s="337">
        <v>60</v>
      </c>
      <c r="E763" s="364" t="s">
        <v>31</v>
      </c>
      <c r="F763" s="321">
        <f>F816+F869</f>
        <v>720</v>
      </c>
      <c r="G763" s="337">
        <v>60</v>
      </c>
      <c r="H763" s="1"/>
      <c r="I763" s="321">
        <f>I816+I869</f>
        <v>720</v>
      </c>
      <c r="J763" s="337">
        <f>'Blocking - detail'!I623</f>
        <v>60</v>
      </c>
      <c r="K763" s="1"/>
      <c r="L763" s="321">
        <f t="shared" si="255"/>
        <v>720</v>
      </c>
      <c r="M763" s="321"/>
      <c r="N763" s="326" t="s">
        <v>31</v>
      </c>
      <c r="O763" s="1"/>
      <c r="P763" s="321">
        <f>N763*C763</f>
        <v>0</v>
      </c>
      <c r="Q763" s="321"/>
      <c r="R763" s="337">
        <f ca="1">T763/C763</f>
        <v>11.831395044239747</v>
      </c>
      <c r="S763" s="1"/>
      <c r="T763" s="1041">
        <f ca="1">L763*(Z876/(Z876+AA876))</f>
        <v>141.97674053087695</v>
      </c>
      <c r="U763" s="321"/>
      <c r="V763" s="337">
        <f ca="1">X763/C763</f>
        <v>48.168604955760252</v>
      </c>
      <c r="W763" s="1"/>
      <c r="X763" s="1041">
        <f ca="1">L763*(AA876/(Z876+AA876))</f>
        <v>578.02325946912299</v>
      </c>
      <c r="AL763" s="20"/>
      <c r="AM763" s="20"/>
      <c r="AN763" s="20"/>
      <c r="AO763" s="20"/>
      <c r="AP763" s="20"/>
      <c r="AQ763" s="20"/>
      <c r="AR763" s="20"/>
      <c r="AS763" s="20"/>
    </row>
    <row r="764" spans="1:47">
      <c r="A764" s="323" t="s">
        <v>444</v>
      </c>
      <c r="B764" s="1"/>
      <c r="C764" s="319">
        <f>C817+C870</f>
        <v>30.440941572089098</v>
      </c>
      <c r="D764" s="614">
        <v>-30</v>
      </c>
      <c r="E764" s="321" t="s">
        <v>374</v>
      </c>
      <c r="F764" s="321">
        <f>F817+F870</f>
        <v>-913</v>
      </c>
      <c r="G764" s="614">
        <v>-30</v>
      </c>
      <c r="H764" s="321" t="s">
        <v>374</v>
      </c>
      <c r="I764" s="321">
        <f>I817+I870</f>
        <v>-9</v>
      </c>
      <c r="J764" s="478">
        <f>'Blocking - detail'!I624</f>
        <v>-30</v>
      </c>
      <c r="K764" s="321" t="s">
        <v>374</v>
      </c>
      <c r="L764" s="321">
        <f t="shared" si="255"/>
        <v>-9</v>
      </c>
      <c r="M764" s="321"/>
      <c r="N764" s="478">
        <f>J764</f>
        <v>-30</v>
      </c>
      <c r="O764" s="321" t="s">
        <v>374</v>
      </c>
      <c r="P764" s="321">
        <f>L764</f>
        <v>-9</v>
      </c>
      <c r="Q764" s="321"/>
      <c r="R764" s="1312" t="s">
        <v>31</v>
      </c>
      <c r="S764" s="883" t="s">
        <v>31</v>
      </c>
      <c r="T764" s="321">
        <f>R764*C764</f>
        <v>0</v>
      </c>
      <c r="U764" s="321"/>
      <c r="V764" s="1312" t="s">
        <v>31</v>
      </c>
      <c r="W764" s="883" t="s">
        <v>31</v>
      </c>
      <c r="X764" s="321">
        <f>V764*C764</f>
        <v>0</v>
      </c>
      <c r="AL764" s="20"/>
      <c r="AM764" s="20"/>
      <c r="AN764" s="20"/>
      <c r="AO764" s="20"/>
      <c r="AP764" s="20"/>
      <c r="AQ764" s="20"/>
      <c r="AR764" s="20"/>
      <c r="AS764" s="20"/>
    </row>
    <row r="765" spans="1:47" s="1184" customFormat="1">
      <c r="A765" s="1005" t="s">
        <v>1035</v>
      </c>
      <c r="C765" s="1026">
        <f>C761</f>
        <v>32140</v>
      </c>
      <c r="D765" s="269"/>
      <c r="E765" s="1185"/>
      <c r="F765" s="1203"/>
      <c r="G765" s="269"/>
      <c r="H765" s="1185"/>
      <c r="I765" s="1203"/>
      <c r="J765" s="1230">
        <f>J742</f>
        <v>3.2410000000000001</v>
      </c>
      <c r="K765" s="1041" t="s">
        <v>374</v>
      </c>
      <c r="L765" s="1041">
        <f t="shared" si="255"/>
        <v>-10</v>
      </c>
      <c r="M765" s="1041"/>
      <c r="N765" s="1230" t="str">
        <f>N742</f>
        <v xml:space="preserve"> </v>
      </c>
      <c r="O765" s="1041" t="s">
        <v>31</v>
      </c>
      <c r="P765" s="1041">
        <f>N765*C765</f>
        <v>0</v>
      </c>
      <c r="Q765" s="1041"/>
      <c r="R765" s="1230" t="str">
        <f>R742</f>
        <v xml:space="preserve"> </v>
      </c>
      <c r="S765" s="1041" t="s">
        <v>31</v>
      </c>
      <c r="T765" s="1041">
        <f>R765*C765</f>
        <v>0</v>
      </c>
      <c r="U765" s="1041"/>
      <c r="V765" s="1230">
        <f>V742</f>
        <v>3.2410000000000001</v>
      </c>
      <c r="W765" s="1041" t="s">
        <v>374</v>
      </c>
      <c r="X765" s="1041">
        <f>V765*C765*V744/100</f>
        <v>-10.416574000000001</v>
      </c>
      <c r="Z765" s="815"/>
      <c r="AA765" s="1184" t="s">
        <v>31</v>
      </c>
      <c r="AC765" s="1205"/>
      <c r="AD765" s="1205"/>
      <c r="AI765" s="1185"/>
      <c r="AJ765" s="1185"/>
      <c r="AK765" s="1185"/>
      <c r="AL765" s="1185"/>
      <c r="AM765" s="1185"/>
      <c r="AN765" s="1185"/>
      <c r="AO765" s="1185"/>
      <c r="AP765" s="1185"/>
      <c r="AQ765" s="1185"/>
      <c r="AR765" s="1185"/>
      <c r="AS765" s="1185"/>
      <c r="AU765" s="1204"/>
    </row>
    <row r="766" spans="1:47">
      <c r="A766" s="1" t="s">
        <v>381</v>
      </c>
      <c r="B766" s="1"/>
      <c r="C766" s="319">
        <f>C819+C872</f>
        <v>148745366.55847031</v>
      </c>
      <c r="D766" s="324"/>
      <c r="E766" s="2"/>
      <c r="F766" s="2">
        <f t="shared" ref="F766" si="256">F819+F872</f>
        <v>12007758</v>
      </c>
      <c r="G766" s="324"/>
      <c r="H766" s="323"/>
      <c r="I766" s="2">
        <f>I819+I872</f>
        <v>12699289</v>
      </c>
      <c r="J766" s="2"/>
      <c r="K766" s="323"/>
      <c r="L766" s="1041">
        <f t="shared" ca="1" si="255"/>
        <v>13329051</v>
      </c>
      <c r="M766" s="1041"/>
      <c r="N766" s="2"/>
      <c r="O766" s="323"/>
      <c r="P766" s="1041">
        <f ca="1">SUM(P720:P765)</f>
        <v>2804173.4445779179</v>
      </c>
      <c r="Q766" s="1041"/>
      <c r="R766" s="2"/>
      <c r="S766" s="323"/>
      <c r="T766" s="1041">
        <f ca="1">SUM(T720:T765)</f>
        <v>2075399.73584085</v>
      </c>
      <c r="U766" s="1041"/>
      <c r="V766" s="2"/>
      <c r="W766" s="323"/>
      <c r="X766" s="1041">
        <f ca="1">SUM(X720:X765)</f>
        <v>8449477.8195812348</v>
      </c>
      <c r="AA766" s="276"/>
      <c r="AB766" s="276"/>
      <c r="AL766" s="20"/>
      <c r="AM766" s="20"/>
      <c r="AN766" s="20"/>
      <c r="AO766" s="20"/>
      <c r="AP766" s="20"/>
      <c r="AQ766" s="20"/>
      <c r="AR766" s="20"/>
      <c r="AS766" s="20"/>
    </row>
    <row r="767" spans="1:47" ht="14.25" customHeight="1">
      <c r="A767" s="1" t="s">
        <v>363</v>
      </c>
      <c r="B767" s="1"/>
      <c r="C767" s="340">
        <f>C820+C873</f>
        <v>-212000</v>
      </c>
      <c r="D767" s="309"/>
      <c r="E767" s="309"/>
      <c r="F767" s="310">
        <f ca="1">I767</f>
        <v>-33000.000000000007</v>
      </c>
      <c r="G767" s="309"/>
      <c r="H767" s="309"/>
      <c r="I767" s="310">
        <f ca="1">I820+I873</f>
        <v>-33000.000000000007</v>
      </c>
      <c r="J767" s="309"/>
      <c r="K767" s="309"/>
      <c r="L767" s="1528">
        <f t="shared" ca="1" si="255"/>
        <v>-33000.000000000007</v>
      </c>
      <c r="M767" s="1040"/>
      <c r="N767" s="309"/>
      <c r="O767" s="309"/>
      <c r="P767" s="1528">
        <f ca="1">$L$767*Y876/($Y$876+$Z$876+$AA$876)</f>
        <v>-6942.5590517337869</v>
      </c>
      <c r="Q767" s="51"/>
      <c r="R767" s="309"/>
      <c r="S767" s="309"/>
      <c r="T767" s="1528">
        <f ca="1">$L$767*Z876/($Y$876+$Z$876+$AA$876)</f>
        <v>-5138.2646283481126</v>
      </c>
      <c r="U767" s="51"/>
      <c r="V767" s="309"/>
      <c r="W767" s="309"/>
      <c r="X767" s="1528">
        <f ca="1">$L$767*AA876/($Y$876+$Z$876+$AA$876)</f>
        <v>-20919.176319918108</v>
      </c>
      <c r="AL767" s="20"/>
      <c r="AM767" s="20"/>
      <c r="AN767" s="20"/>
      <c r="AO767" s="20"/>
      <c r="AP767" s="20"/>
      <c r="AQ767" s="20"/>
      <c r="AR767" s="20"/>
      <c r="AS767" s="20"/>
    </row>
    <row r="768" spans="1:47" ht="17.25" customHeight="1" thickBot="1">
      <c r="A768" s="1" t="s">
        <v>382</v>
      </c>
      <c r="B768" s="1"/>
      <c r="C768" s="366">
        <f>SUM(C766:C767)</f>
        <v>148533366.55847031</v>
      </c>
      <c r="D768" s="342"/>
      <c r="E768" s="343"/>
      <c r="F768" s="344">
        <f ca="1">F766+F767</f>
        <v>11974758</v>
      </c>
      <c r="G768" s="342"/>
      <c r="H768" s="345"/>
      <c r="I768" s="344">
        <f ca="1">I766+I767</f>
        <v>12666289</v>
      </c>
      <c r="J768" s="342"/>
      <c r="K768" s="345"/>
      <c r="L768" s="344">
        <f t="shared" ca="1" si="255"/>
        <v>13296051</v>
      </c>
      <c r="M768" s="344"/>
      <c r="N768" s="342"/>
      <c r="O768" s="345"/>
      <c r="P768" s="344">
        <f ca="1">SUM(P766:P767)</f>
        <v>2797230.885526184</v>
      </c>
      <c r="Q768" s="344"/>
      <c r="R768" s="342"/>
      <c r="S768" s="345"/>
      <c r="T768" s="344">
        <f ca="1">SUM(T766:T767)</f>
        <v>2070261.4712125019</v>
      </c>
      <c r="U768" s="344"/>
      <c r="V768" s="342"/>
      <c r="W768" s="345"/>
      <c r="X768" s="344">
        <f ca="1">SUM(X766:X767)</f>
        <v>8428558.6432613172</v>
      </c>
      <c r="Y768" s="784" t="s">
        <v>364</v>
      </c>
      <c r="Z768" s="809">
        <f ca="1">'Rate Spread targets'!Q25*1000</f>
        <v>13296516.203664655</v>
      </c>
      <c r="AA768" s="818">
        <f ca="1">'Rate Spread targets'!V25+0.00005</f>
        <v>4.9806262758938624E-2</v>
      </c>
      <c r="AB768" s="777"/>
      <c r="AC768" s="320" t="s">
        <v>31</v>
      </c>
      <c r="AD768" s="320"/>
      <c r="AL768" s="20"/>
      <c r="AM768" s="20"/>
      <c r="AN768" s="20"/>
      <c r="AO768" s="20"/>
      <c r="AP768" s="20"/>
      <c r="AQ768" s="20"/>
      <c r="AR768" s="20"/>
      <c r="AS768" s="20"/>
    </row>
    <row r="769" spans="1:45" ht="16.5" thickTop="1">
      <c r="A769" s="1"/>
      <c r="B769" s="1"/>
      <c r="C769" s="26"/>
      <c r="D769" s="351" t="s">
        <v>31</v>
      </c>
      <c r="E769" s="352"/>
      <c r="F769" s="322"/>
      <c r="G769" s="351" t="s">
        <v>31</v>
      </c>
      <c r="H769" s="23"/>
      <c r="I769" s="322"/>
      <c r="J769" s="386" t="s">
        <v>31</v>
      </c>
      <c r="K769" s="23"/>
      <c r="L769" s="272" t="s">
        <v>31</v>
      </c>
      <c r="M769" s="272"/>
      <c r="N769" s="386" t="s">
        <v>31</v>
      </c>
      <c r="O769" s="23"/>
      <c r="P769" s="272" t="s">
        <v>31</v>
      </c>
      <c r="Q769" s="272"/>
      <c r="R769" s="386" t="s">
        <v>31</v>
      </c>
      <c r="S769" s="23"/>
      <c r="T769" s="272" t="s">
        <v>31</v>
      </c>
      <c r="U769" s="272"/>
      <c r="V769" s="386" t="s">
        <v>31</v>
      </c>
      <c r="W769" s="23"/>
      <c r="X769" s="272" t="s">
        <v>31</v>
      </c>
      <c r="Y769" s="112" t="s">
        <v>263</v>
      </c>
      <c r="Z769" s="811">
        <f ca="1">Z768-L768</f>
        <v>465.20366465486586</v>
      </c>
      <c r="AA769" s="813" t="s">
        <v>31</v>
      </c>
      <c r="AB769" s="823"/>
      <c r="AL769" s="20"/>
      <c r="AM769" s="20"/>
      <c r="AN769" s="20"/>
      <c r="AO769" s="20"/>
      <c r="AP769" s="20"/>
      <c r="AQ769" s="20"/>
      <c r="AR769" s="20"/>
      <c r="AS769" s="20"/>
    </row>
    <row r="770" spans="1:45" hidden="1">
      <c r="A770" s="293" t="s">
        <v>447</v>
      </c>
      <c r="B770" s="1"/>
      <c r="C770" s="21"/>
      <c r="D770" s="337"/>
      <c r="E770" s="2"/>
      <c r="F770" s="2"/>
      <c r="G770" s="337"/>
      <c r="H770" s="1"/>
      <c r="I770" s="2"/>
      <c r="J770" s="337"/>
      <c r="K770" s="1"/>
      <c r="L770" s="2"/>
      <c r="M770" s="2"/>
      <c r="N770" s="337"/>
      <c r="O770" s="1"/>
      <c r="P770" s="2"/>
      <c r="Q770" s="2"/>
      <c r="R770" s="337"/>
      <c r="S770" s="1"/>
      <c r="T770" s="2"/>
      <c r="U770" s="2"/>
      <c r="V770" s="337"/>
      <c r="W770" s="1"/>
      <c r="X770" s="2"/>
      <c r="AL770" s="20"/>
      <c r="AM770" s="20"/>
      <c r="AN770" s="20"/>
      <c r="AO770" s="20"/>
      <c r="AP770" s="20"/>
      <c r="AQ770" s="20"/>
      <c r="AR770" s="20"/>
      <c r="AS770" s="20"/>
    </row>
    <row r="771" spans="1:45" hidden="1">
      <c r="A771" s="309" t="s">
        <v>196</v>
      </c>
      <c r="B771" s="1"/>
      <c r="C771" s="21"/>
      <c r="D771" s="337"/>
      <c r="E771" s="2"/>
      <c r="F771" s="2"/>
      <c r="G771" s="337"/>
      <c r="H771" s="1"/>
      <c r="I771" s="2"/>
      <c r="J771" s="337"/>
      <c r="K771" s="1"/>
      <c r="L771" s="2"/>
      <c r="M771" s="2"/>
      <c r="N771" s="337"/>
      <c r="O771" s="1"/>
      <c r="P771" s="2"/>
      <c r="Q771" s="2"/>
      <c r="R771" s="337"/>
      <c r="S771" s="1"/>
      <c r="T771" s="2"/>
      <c r="U771" s="2"/>
      <c r="V771" s="337"/>
      <c r="W771" s="1"/>
      <c r="X771" s="2"/>
      <c r="Y771" s="84"/>
      <c r="Z771" s="346" t="s">
        <v>31</v>
      </c>
      <c r="AA771" s="237"/>
      <c r="AB771" s="237"/>
      <c r="AL771" s="20"/>
      <c r="AM771" s="20"/>
      <c r="AN771" s="20"/>
      <c r="AO771" s="20"/>
      <c r="AP771" s="20"/>
      <c r="AQ771" s="20"/>
      <c r="AR771" s="20"/>
      <c r="AS771" s="20"/>
    </row>
    <row r="772" spans="1:45" hidden="1">
      <c r="A772" s="323"/>
      <c r="B772" s="1"/>
      <c r="C772" s="21"/>
      <c r="D772" s="337"/>
      <c r="E772" s="2"/>
      <c r="F772" s="380"/>
      <c r="G772" s="337"/>
      <c r="H772" s="1"/>
      <c r="I772" s="380"/>
      <c r="J772" s="337"/>
      <c r="K772" s="1"/>
      <c r="L772" s="381"/>
      <c r="M772" s="381"/>
      <c r="N772" s="337"/>
      <c r="O772" s="1"/>
      <c r="P772" s="381"/>
      <c r="Q772" s="381"/>
      <c r="R772" s="337"/>
      <c r="S772" s="1"/>
      <c r="T772" s="381"/>
      <c r="U772" s="381"/>
      <c r="V772" s="337"/>
      <c r="W772" s="1"/>
      <c r="X772" s="381"/>
      <c r="Y772" s="20"/>
      <c r="Z772" s="74"/>
      <c r="AA772" s="74"/>
      <c r="AB772" s="74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</row>
    <row r="773" spans="1:45" hidden="1">
      <c r="A773" s="309" t="s">
        <v>449</v>
      </c>
      <c r="B773" s="1"/>
      <c r="C773" s="319"/>
      <c r="D773" s="2" t="s">
        <v>31</v>
      </c>
      <c r="E773" s="2"/>
      <c r="F773" s="1"/>
      <c r="G773" s="2" t="s">
        <v>31</v>
      </c>
      <c r="H773" s="1"/>
      <c r="I773" s="1"/>
      <c r="J773" s="2" t="s">
        <v>31</v>
      </c>
      <c r="K773" s="1"/>
      <c r="L773" s="1"/>
      <c r="M773" s="1"/>
      <c r="N773" s="2" t="s">
        <v>31</v>
      </c>
      <c r="O773" s="1"/>
      <c r="P773" s="1"/>
      <c r="Q773" s="1"/>
      <c r="R773" s="2" t="s">
        <v>31</v>
      </c>
      <c r="S773" s="1"/>
      <c r="T773" s="1"/>
      <c r="U773" s="1"/>
      <c r="V773" s="2" t="s">
        <v>31</v>
      </c>
      <c r="W773" s="1"/>
      <c r="X773" s="1"/>
      <c r="Y773" s="20"/>
      <c r="Z773" s="74"/>
      <c r="AA773" s="74"/>
      <c r="AB773" s="74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</row>
    <row r="774" spans="1:45" hidden="1">
      <c r="A774" s="309" t="s">
        <v>450</v>
      </c>
      <c r="B774" s="1"/>
      <c r="C774" s="319">
        <f>[51]Sheet1!$G$4+[51]Sheet1!$G$12</f>
        <v>986.1395345211788</v>
      </c>
      <c r="D774" s="337">
        <v>0</v>
      </c>
      <c r="E774" s="324"/>
      <c r="F774" s="321">
        <f>ROUND(D774*$C774,0)</f>
        <v>0</v>
      </c>
      <c r="G774" s="337">
        <v>0</v>
      </c>
      <c r="H774" s="324"/>
      <c r="I774" s="321">
        <f>ROUND(G774*C774,0)</f>
        <v>0</v>
      </c>
      <c r="J774" s="337">
        <f>$J$720</f>
        <v>0</v>
      </c>
      <c r="K774" s="324"/>
      <c r="L774" s="321">
        <f>ROUND(J774*$C774,0)</f>
        <v>0</v>
      </c>
      <c r="M774" s="321"/>
      <c r="N774" s="337">
        <f>$N$720</f>
        <v>0</v>
      </c>
      <c r="O774" s="324"/>
      <c r="P774" s="321">
        <f>ROUND(N774*$C774,0)</f>
        <v>0</v>
      </c>
      <c r="Q774" s="321"/>
      <c r="R774" s="337" t="str">
        <f>$R$720</f>
        <v xml:space="preserve"> </v>
      </c>
      <c r="S774" s="324"/>
      <c r="T774" s="321">
        <f>ROUND(R774*$C774,0)</f>
        <v>0</v>
      </c>
      <c r="U774" s="321"/>
      <c r="V774" s="337" t="str">
        <f>$V$720</f>
        <v xml:space="preserve"> </v>
      </c>
      <c r="W774" s="324"/>
      <c r="X774" s="321">
        <f>ROUND(V774*$C774,0)</f>
        <v>0</v>
      </c>
      <c r="Y774" s="20"/>
      <c r="Z774" s="74"/>
      <c r="AA774" s="74"/>
      <c r="AB774" s="74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</row>
    <row r="775" spans="1:45" hidden="1">
      <c r="A775" s="309" t="s">
        <v>451</v>
      </c>
      <c r="B775" s="1"/>
      <c r="C775" s="319"/>
      <c r="D775" s="337"/>
      <c r="E775" s="324"/>
      <c r="F775" s="321"/>
      <c r="G775" s="337"/>
      <c r="H775" s="324"/>
      <c r="I775" s="321"/>
      <c r="J775" s="337"/>
      <c r="K775" s="324"/>
      <c r="L775" s="321"/>
      <c r="M775" s="321"/>
      <c r="N775" s="337"/>
      <c r="O775" s="324"/>
      <c r="P775" s="321"/>
      <c r="Q775" s="321"/>
      <c r="R775" s="337"/>
      <c r="S775" s="324"/>
      <c r="T775" s="321"/>
      <c r="U775" s="321"/>
      <c r="V775" s="337"/>
      <c r="W775" s="324"/>
      <c r="X775" s="321"/>
      <c r="Y775" s="20"/>
      <c r="Z775" s="74"/>
      <c r="AA775" s="74"/>
      <c r="AB775" s="74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</row>
    <row r="776" spans="1:45" hidden="1">
      <c r="A776" s="309" t="s">
        <v>452</v>
      </c>
      <c r="B776" s="1"/>
      <c r="C776" s="319">
        <f>[51]Sheet1!$G$3+[51]Sheet1!$G$2+[51]Sheet1!$G$5+[51]Sheet1!$G$13</f>
        <v>3633.5207084889003</v>
      </c>
      <c r="D776" s="337">
        <v>0</v>
      </c>
      <c r="E776" s="324"/>
      <c r="F776" s="321">
        <f>ROUND(D776*$C776,0)</f>
        <v>0</v>
      </c>
      <c r="G776" s="337">
        <v>0</v>
      </c>
      <c r="H776" s="324"/>
      <c r="I776" s="321">
        <f t="shared" ref="I776:I778" si="257">ROUND(G776*C776,0)</f>
        <v>0</v>
      </c>
      <c r="J776" s="337">
        <f>$J$722</f>
        <v>0</v>
      </c>
      <c r="K776" s="324"/>
      <c r="L776" s="321">
        <f>ROUND(J776*$C776,0)</f>
        <v>0</v>
      </c>
      <c r="M776" s="321"/>
      <c r="N776" s="337">
        <f>$N$722</f>
        <v>0</v>
      </c>
      <c r="O776" s="324"/>
      <c r="P776" s="321">
        <f>ROUND(N776*$C776,0)</f>
        <v>0</v>
      </c>
      <c r="Q776" s="321"/>
      <c r="R776" s="337" t="str">
        <f>$R$722</f>
        <v xml:space="preserve"> </v>
      </c>
      <c r="S776" s="324"/>
      <c r="T776" s="321">
        <f>ROUND(R776*$C776,0)</f>
        <v>0</v>
      </c>
      <c r="U776" s="321"/>
      <c r="V776" s="337" t="str">
        <f>$V$722</f>
        <v xml:space="preserve"> </v>
      </c>
      <c r="W776" s="324"/>
      <c r="X776" s="321">
        <f>ROUND(V776*$C776,0)</f>
        <v>0</v>
      </c>
      <c r="Y776" s="20"/>
      <c r="Z776" s="74"/>
      <c r="AA776" s="74"/>
      <c r="AB776" s="74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</row>
    <row r="777" spans="1:45" hidden="1">
      <c r="A777" s="309" t="s">
        <v>453</v>
      </c>
      <c r="B777" s="1"/>
      <c r="C777" s="319">
        <f>[51]Sheet1!$G$6</f>
        <v>410.813657710592</v>
      </c>
      <c r="D777" s="337">
        <v>357</v>
      </c>
      <c r="E777" s="324"/>
      <c r="F777" s="321">
        <f>ROUND(D777*$C777,0)</f>
        <v>146660</v>
      </c>
      <c r="G777" s="337">
        <v>357</v>
      </c>
      <c r="H777" s="324"/>
      <c r="I777" s="321">
        <f t="shared" si="257"/>
        <v>146660</v>
      </c>
      <c r="J777" s="337">
        <f ca="1">$J$723</f>
        <v>375</v>
      </c>
      <c r="K777" s="324"/>
      <c r="L777" s="321">
        <f ca="1">ROUND(J777*$C777,0)</f>
        <v>154055</v>
      </c>
      <c r="M777" s="321"/>
      <c r="N777" s="337">
        <f ca="1">$N$723</f>
        <v>375</v>
      </c>
      <c r="O777" s="324"/>
      <c r="P777" s="321">
        <f ca="1">ROUND(N777*$C777,0)</f>
        <v>154055</v>
      </c>
      <c r="Q777" s="321"/>
      <c r="R777" s="337" t="str">
        <f>$R$723</f>
        <v xml:space="preserve"> </v>
      </c>
      <c r="S777" s="324"/>
      <c r="T777" s="321">
        <f>ROUND(R777*$C777,0)</f>
        <v>0</v>
      </c>
      <c r="U777" s="321"/>
      <c r="V777" s="337" t="str">
        <f>$V$723</f>
        <v xml:space="preserve"> </v>
      </c>
      <c r="W777" s="324"/>
      <c r="X777" s="321">
        <f>ROUND(V777*$C777,0)</f>
        <v>0</v>
      </c>
      <c r="Y777" s="20"/>
      <c r="Z777" s="74"/>
      <c r="AA777" s="74"/>
      <c r="AB777" s="74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</row>
    <row r="778" spans="1:45" hidden="1">
      <c r="A778" s="309" t="s">
        <v>454</v>
      </c>
      <c r="B778" s="1"/>
      <c r="C778" s="319">
        <f>[51]Sheet1!$G$7</f>
        <v>12</v>
      </c>
      <c r="D778" s="337">
        <v>1457</v>
      </c>
      <c r="E778" s="324"/>
      <c r="F778" s="321">
        <f>ROUND(D778*$C778,0)</f>
        <v>17484</v>
      </c>
      <c r="G778" s="337">
        <v>1457</v>
      </c>
      <c r="H778" s="324"/>
      <c r="I778" s="321">
        <f t="shared" si="257"/>
        <v>17484</v>
      </c>
      <c r="J778" s="337">
        <f ca="1">$J$724</f>
        <v>1530</v>
      </c>
      <c r="K778" s="324"/>
      <c r="L778" s="321">
        <f ca="1">ROUND(J778*$C778,0)</f>
        <v>18360</v>
      </c>
      <c r="M778" s="321"/>
      <c r="N778" s="337">
        <f ca="1">$N$724</f>
        <v>1530</v>
      </c>
      <c r="O778" s="324"/>
      <c r="P778" s="321">
        <f ca="1">ROUND(N778*$C778,0)</f>
        <v>18360</v>
      </c>
      <c r="Q778" s="321"/>
      <c r="R778" s="337" t="str">
        <f>$R$724</f>
        <v xml:space="preserve"> </v>
      </c>
      <c r="S778" s="324"/>
      <c r="T778" s="321">
        <f>ROUND(R778*$C778,0)</f>
        <v>0</v>
      </c>
      <c r="U778" s="321"/>
      <c r="V778" s="337" t="str">
        <f>$V$724</f>
        <v xml:space="preserve"> </v>
      </c>
      <c r="W778" s="324"/>
      <c r="X778" s="321">
        <f>ROUND(V778*$C778,0)</f>
        <v>0</v>
      </c>
      <c r="Y778" s="20"/>
      <c r="Z778" s="74"/>
      <c r="AA778" s="74"/>
      <c r="AB778" s="74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</row>
    <row r="779" spans="1:45" hidden="1">
      <c r="A779" s="309" t="s">
        <v>362</v>
      </c>
      <c r="B779" s="1"/>
      <c r="C779" s="319">
        <f>SUM(C774:C778)</f>
        <v>5042.4739007206717</v>
      </c>
      <c r="D779" s="337"/>
      <c r="E779" s="324"/>
      <c r="F779" s="321"/>
      <c r="G779" s="337"/>
      <c r="H779" s="324"/>
      <c r="I779" s="321"/>
      <c r="J779" s="337"/>
      <c r="K779" s="324"/>
      <c r="L779" s="321"/>
      <c r="M779" s="321"/>
      <c r="N779" s="337"/>
      <c r="O779" s="324"/>
      <c r="P779" s="321"/>
      <c r="Q779" s="321"/>
      <c r="R779" s="337"/>
      <c r="S779" s="324"/>
      <c r="T779" s="321"/>
      <c r="U779" s="321"/>
      <c r="V779" s="337"/>
      <c r="W779" s="324"/>
      <c r="X779" s="321"/>
      <c r="Y779" s="20"/>
      <c r="Z779" s="74"/>
      <c r="AA779" s="74"/>
      <c r="AB779" s="74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</row>
    <row r="780" spans="1:45" hidden="1">
      <c r="A780" s="309" t="s">
        <v>455</v>
      </c>
      <c r="B780" s="1"/>
      <c r="C780" s="319">
        <f>[51]Sheet1!$F$15</f>
        <v>37159.493333333157</v>
      </c>
      <c r="D780" s="337"/>
      <c r="E780" s="321"/>
      <c r="F780" s="321"/>
      <c r="G780" s="337"/>
      <c r="H780" s="321"/>
      <c r="I780" s="321"/>
      <c r="J780" s="337"/>
      <c r="K780" s="321"/>
      <c r="L780" s="321"/>
      <c r="M780" s="321"/>
      <c r="N780" s="337"/>
      <c r="O780" s="321"/>
      <c r="P780" s="321"/>
      <c r="Q780" s="321"/>
      <c r="R780" s="337"/>
      <c r="S780" s="321"/>
      <c r="T780" s="321"/>
      <c r="U780" s="321"/>
      <c r="V780" s="337"/>
      <c r="W780" s="321"/>
      <c r="X780" s="321"/>
      <c r="Y780" s="20"/>
      <c r="Z780" s="74"/>
      <c r="AA780" s="74"/>
      <c r="AB780" s="74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</row>
    <row r="781" spans="1:45" hidden="1">
      <c r="A781" s="309" t="s">
        <v>104</v>
      </c>
      <c r="B781" s="1"/>
      <c r="C781" s="319">
        <f>[51]Sheet1!$D$15</f>
        <v>5567</v>
      </c>
      <c r="D781" s="337"/>
      <c r="E781" s="321"/>
      <c r="F781" s="321"/>
      <c r="G781" s="337"/>
      <c r="H781" s="321"/>
      <c r="I781" s="321"/>
      <c r="J781" s="337"/>
      <c r="K781" s="321"/>
      <c r="L781" s="321"/>
      <c r="M781" s="321"/>
      <c r="N781" s="337"/>
      <c r="O781" s="321"/>
      <c r="P781" s="321"/>
      <c r="Q781" s="321"/>
      <c r="R781" s="337"/>
      <c r="S781" s="321"/>
      <c r="T781" s="321"/>
      <c r="U781" s="321"/>
      <c r="V781" s="337"/>
      <c r="W781" s="321"/>
      <c r="X781" s="321"/>
      <c r="Y781" s="20"/>
      <c r="Z781" s="74"/>
      <c r="AA781" s="74"/>
      <c r="AB781" s="74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</row>
    <row r="782" spans="1:45" hidden="1">
      <c r="A782" s="309" t="s">
        <v>456</v>
      </c>
      <c r="B782" s="1"/>
      <c r="C782" s="319"/>
      <c r="D782" s="337"/>
      <c r="E782" s="324"/>
      <c r="F782" s="321"/>
      <c r="G782" s="337"/>
      <c r="H782" s="324"/>
      <c r="I782" s="321"/>
      <c r="J782" s="337"/>
      <c r="K782" s="324"/>
      <c r="L782" s="321"/>
      <c r="M782" s="321"/>
      <c r="N782" s="337"/>
      <c r="O782" s="324"/>
      <c r="P782" s="321"/>
      <c r="Q782" s="321"/>
      <c r="R782" s="337"/>
      <c r="S782" s="324"/>
      <c r="T782" s="321"/>
      <c r="U782" s="321"/>
      <c r="V782" s="337"/>
      <c r="W782" s="324"/>
      <c r="X782" s="321"/>
      <c r="Y782" s="20"/>
      <c r="Z782" s="74"/>
      <c r="AA782" s="74"/>
      <c r="AB782" s="74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</row>
    <row r="783" spans="1:45" hidden="1">
      <c r="A783" s="309" t="s">
        <v>457</v>
      </c>
      <c r="B783" s="1"/>
      <c r="C783" s="319">
        <f>[51]Sheet1!$J$4+[51]Sheet1!$J$12</f>
        <v>2927.8802098625206</v>
      </c>
      <c r="D783" s="337">
        <v>23.87</v>
      </c>
      <c r="E783" s="324"/>
      <c r="F783" s="321">
        <f>ROUND(D783*$C783,0)</f>
        <v>69889</v>
      </c>
      <c r="G783" s="337">
        <v>25.265901957370488</v>
      </c>
      <c r="H783" s="324"/>
      <c r="I783" s="321">
        <f>ROUND(G783*C783,0)</f>
        <v>73976</v>
      </c>
      <c r="J783" s="337">
        <f ca="1">$J$729</f>
        <v>26.524302109100866</v>
      </c>
      <c r="K783" s="324"/>
      <c r="L783" s="321">
        <f ca="1">ROUND(J783*$C783,0)</f>
        <v>77660</v>
      </c>
      <c r="M783" s="321"/>
      <c r="N783" s="337">
        <f ca="1">$N$729</f>
        <v>26.524302109100866</v>
      </c>
      <c r="O783" s="324"/>
      <c r="P783" s="321">
        <f ca="1">ROUND(N783*$C783,0)</f>
        <v>77660</v>
      </c>
      <c r="Q783" s="321"/>
      <c r="R783" s="337" t="str">
        <f>$R$729</f>
        <v xml:space="preserve"> </v>
      </c>
      <c r="S783" s="324"/>
      <c r="T783" s="321">
        <f>ROUND(R783*$C783,0)</f>
        <v>0</v>
      </c>
      <c r="U783" s="321"/>
      <c r="V783" s="337" t="str">
        <f>$V$729</f>
        <v xml:space="preserve"> </v>
      </c>
      <c r="W783" s="324"/>
      <c r="X783" s="321">
        <f>ROUND(V783*$C783,0)</f>
        <v>0</v>
      </c>
      <c r="Y783" s="20"/>
      <c r="Z783" s="74"/>
      <c r="AA783" s="74"/>
      <c r="AB783" s="74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</row>
    <row r="784" spans="1:45" hidden="1">
      <c r="A784" s="309" t="s">
        <v>458</v>
      </c>
      <c r="B784" s="1"/>
      <c r="C784" s="319"/>
      <c r="D784" s="337"/>
      <c r="E784" s="324"/>
      <c r="F784" s="321"/>
      <c r="G784" s="337"/>
      <c r="H784" s="324"/>
      <c r="I784" s="321"/>
      <c r="J784" s="337"/>
      <c r="K784" s="324"/>
      <c r="L784" s="321"/>
      <c r="M784" s="321"/>
      <c r="N784" s="337"/>
      <c r="O784" s="324"/>
      <c r="P784" s="321"/>
      <c r="Q784" s="321"/>
      <c r="R784" s="337"/>
      <c r="S784" s="324"/>
      <c r="T784" s="321"/>
      <c r="U784" s="321"/>
      <c r="V784" s="337"/>
      <c r="W784" s="324"/>
      <c r="X784" s="321"/>
      <c r="Y784" s="20"/>
      <c r="Z784" s="74"/>
      <c r="AA784" s="74"/>
      <c r="AB784" s="74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</row>
    <row r="785" spans="1:47" hidden="1">
      <c r="A785" s="309" t="s">
        <v>452</v>
      </c>
      <c r="B785" s="1"/>
      <c r="C785" s="319">
        <f>[51]Sheet1!$J$2+[51]Sheet1!$J$3+[51]Sheet1!$J$5+[51]Sheet1!$J$13</f>
        <v>50218.019750688989</v>
      </c>
      <c r="D785" s="337">
        <v>23.79</v>
      </c>
      <c r="E785" s="324"/>
      <c r="F785" s="321">
        <f>ROUND(D785*$C785,0)</f>
        <v>1194687</v>
      </c>
      <c r="G785" s="337">
        <v>25.171223609796559</v>
      </c>
      <c r="H785" s="324"/>
      <c r="I785" s="321">
        <f t="shared" ref="I785:I789" si="258">ROUND(G785*C785,0)</f>
        <v>1264049</v>
      </c>
      <c r="J785" s="337">
        <f ca="1">$J$731</f>
        <v>26.414908186870086</v>
      </c>
      <c r="K785" s="324"/>
      <c r="L785" s="321">
        <f ca="1">ROUND(J785*$C785,0)</f>
        <v>1326504</v>
      </c>
      <c r="M785" s="321"/>
      <c r="N785" s="337">
        <f ca="1">$N$731</f>
        <v>26.414908186870086</v>
      </c>
      <c r="O785" s="324"/>
      <c r="P785" s="321">
        <f ca="1">ROUND(N785*$C785,0)</f>
        <v>1326504</v>
      </c>
      <c r="Q785" s="321"/>
      <c r="R785" s="337" t="str">
        <f>$R$731</f>
        <v xml:space="preserve"> </v>
      </c>
      <c r="S785" s="324"/>
      <c r="T785" s="321">
        <f>ROUND(R785*$C785,0)</f>
        <v>0</v>
      </c>
      <c r="U785" s="321"/>
      <c r="V785" s="337" t="str">
        <f>$V$731</f>
        <v xml:space="preserve"> </v>
      </c>
      <c r="W785" s="324"/>
      <c r="X785" s="321">
        <f>ROUND(V785*$C785,0)</f>
        <v>0</v>
      </c>
      <c r="Y785" s="20"/>
      <c r="Z785" s="74"/>
      <c r="AA785" s="74"/>
      <c r="AB785" s="74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</row>
    <row r="786" spans="1:47" hidden="1">
      <c r="A786" s="309" t="s">
        <v>453</v>
      </c>
      <c r="B786" s="1"/>
      <c r="C786" s="319">
        <f>[51]Sheet1!$J$6</f>
        <v>39269.471947631697</v>
      </c>
      <c r="D786" s="337">
        <v>16.559999999999999</v>
      </c>
      <c r="E786" s="324"/>
      <c r="F786" s="321">
        <f>ROUND(D786*$C786,0)</f>
        <v>650302</v>
      </c>
      <c r="G786" s="337">
        <v>17.5284179478029</v>
      </c>
      <c r="H786" s="324"/>
      <c r="I786" s="321">
        <f t="shared" si="258"/>
        <v>688332</v>
      </c>
      <c r="J786" s="337">
        <f ca="1">$J$732</f>
        <v>18.401442937859667</v>
      </c>
      <c r="K786" s="324"/>
      <c r="L786" s="321">
        <f ca="1">ROUND(J786*$C786,0)</f>
        <v>722615</v>
      </c>
      <c r="M786" s="321"/>
      <c r="N786" s="337">
        <f ca="1">$N$732</f>
        <v>18.401442937859667</v>
      </c>
      <c r="O786" s="324"/>
      <c r="P786" s="321">
        <f ca="1">ROUND(N786*$C786,0)</f>
        <v>722615</v>
      </c>
      <c r="Q786" s="321"/>
      <c r="R786" s="337" t="str">
        <f>$R$732</f>
        <v xml:space="preserve"> </v>
      </c>
      <c r="S786" s="324"/>
      <c r="T786" s="321">
        <f>ROUND(R786*$C786,0)</f>
        <v>0</v>
      </c>
      <c r="U786" s="321"/>
      <c r="V786" s="337" t="str">
        <f>$V$732</f>
        <v xml:space="preserve"> </v>
      </c>
      <c r="W786" s="324"/>
      <c r="X786" s="321">
        <f>ROUND(V786*$C786,0)</f>
        <v>0</v>
      </c>
      <c r="Y786" s="20"/>
      <c r="Z786" s="74"/>
      <c r="AA786" s="74"/>
      <c r="AB786" s="74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</row>
    <row r="787" spans="1:47" hidden="1">
      <c r="A787" s="309" t="s">
        <v>454</v>
      </c>
      <c r="B787" s="1"/>
      <c r="C787" s="319">
        <f>[51]Sheet1!$J$7</f>
        <v>4943</v>
      </c>
      <c r="D787" s="337">
        <v>12.96</v>
      </c>
      <c r="E787" s="324"/>
      <c r="F787" s="321">
        <f>ROUND(D787*$C787,0)</f>
        <v>64061</v>
      </c>
      <c r="G787" s="337">
        <v>13.717892306976186</v>
      </c>
      <c r="H787" s="324"/>
      <c r="I787" s="321">
        <f t="shared" si="258"/>
        <v>67808</v>
      </c>
      <c r="J787" s="337">
        <f ca="1">$J$733</f>
        <v>14.401129255716265</v>
      </c>
      <c r="K787" s="324"/>
      <c r="L787" s="321">
        <f ca="1">ROUND(J787*$C787,0)</f>
        <v>71185</v>
      </c>
      <c r="M787" s="321"/>
      <c r="N787" s="337">
        <f ca="1">$N$733</f>
        <v>14.401129255716265</v>
      </c>
      <c r="O787" s="324"/>
      <c r="P787" s="321">
        <f ca="1">ROUND(N787*$C787,0)</f>
        <v>71185</v>
      </c>
      <c r="Q787" s="321"/>
      <c r="R787" s="337" t="str">
        <f>$R$733</f>
        <v xml:space="preserve"> </v>
      </c>
      <c r="S787" s="324"/>
      <c r="T787" s="321">
        <f>ROUND(R787*$C787,0)</f>
        <v>0</v>
      </c>
      <c r="U787" s="321"/>
      <c r="V787" s="337" t="str">
        <f>$V$733</f>
        <v xml:space="preserve"> </v>
      </c>
      <c r="W787" s="324"/>
      <c r="X787" s="321">
        <f>ROUND(V787*$C787,0)</f>
        <v>0</v>
      </c>
      <c r="Y787" s="20"/>
      <c r="Z787" s="74"/>
      <c r="AA787" s="74"/>
      <c r="AB787" s="74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</row>
    <row r="788" spans="1:47" hidden="1">
      <c r="A788" s="309" t="s">
        <v>460</v>
      </c>
      <c r="B788" s="1"/>
      <c r="C788" s="319">
        <f>[51]Sheet1!$H$4</f>
        <v>555.50384435445301</v>
      </c>
      <c r="D788" s="337">
        <v>71.61</v>
      </c>
      <c r="E788" s="324"/>
      <c r="F788" s="321">
        <f>ROUND(D788*$C788,0)</f>
        <v>39780</v>
      </c>
      <c r="G788" s="337">
        <v>75.797705872111464</v>
      </c>
      <c r="H788" s="324"/>
      <c r="I788" s="321">
        <f t="shared" si="258"/>
        <v>42106</v>
      </c>
      <c r="J788" s="337">
        <f ca="1">$J$734</f>
        <v>79.572906327302604</v>
      </c>
      <c r="K788" s="324"/>
      <c r="L788" s="321">
        <f ca="1">ROUND(J788*$C788,0)</f>
        <v>44203</v>
      </c>
      <c r="M788" s="321"/>
      <c r="N788" s="337">
        <f ca="1">$N$734</f>
        <v>79.572906327302604</v>
      </c>
      <c r="O788" s="324"/>
      <c r="P788" s="321">
        <f ca="1">ROUND(N788*$C788,0)</f>
        <v>44203</v>
      </c>
      <c r="Q788" s="321"/>
      <c r="R788" s="337" t="str">
        <f>$R$734</f>
        <v xml:space="preserve"> </v>
      </c>
      <c r="S788" s="324"/>
      <c r="T788" s="321">
        <f>ROUND(R788*$C788,0)</f>
        <v>0</v>
      </c>
      <c r="U788" s="321"/>
      <c r="V788" s="337" t="str">
        <f>$V$734</f>
        <v xml:space="preserve"> </v>
      </c>
      <c r="W788" s="324"/>
      <c r="X788" s="321">
        <f>ROUND(V788*$C788,0)</f>
        <v>0</v>
      </c>
      <c r="Y788" s="20"/>
      <c r="Z788" s="74"/>
      <c r="AA788" s="74"/>
      <c r="AB788" s="74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</row>
    <row r="789" spans="1:47" hidden="1">
      <c r="A789" s="309" t="s">
        <v>461</v>
      </c>
      <c r="B789" s="1"/>
      <c r="C789" s="319">
        <f>[51]Sheet1!$H$5</f>
        <v>986.11783988665604</v>
      </c>
      <c r="D789" s="337">
        <v>142.74</v>
      </c>
      <c r="E789" s="324"/>
      <c r="F789" s="321">
        <f>ROUND(D789*$C789,0)</f>
        <v>140758</v>
      </c>
      <c r="G789" s="337">
        <v>151.02734165877936</v>
      </c>
      <c r="H789" s="324"/>
      <c r="I789" s="321">
        <f t="shared" si="258"/>
        <v>148931</v>
      </c>
      <c r="J789" s="337">
        <f ca="1">$J$735</f>
        <v>158.4894491212205</v>
      </c>
      <c r="K789" s="324"/>
      <c r="L789" s="321">
        <f ca="1">ROUND(J789*$C789,0)</f>
        <v>156289</v>
      </c>
      <c r="M789" s="321"/>
      <c r="N789" s="337">
        <f ca="1">$N$735</f>
        <v>158.4894491212205</v>
      </c>
      <c r="O789" s="324"/>
      <c r="P789" s="321">
        <f ca="1">ROUND(N789*$C789,0)</f>
        <v>156289</v>
      </c>
      <c r="Q789" s="321"/>
      <c r="R789" s="337" t="str">
        <f>$R$735</f>
        <v xml:space="preserve"> </v>
      </c>
      <c r="S789" s="324"/>
      <c r="T789" s="321">
        <f>ROUND(R789*$C789,0)</f>
        <v>0</v>
      </c>
      <c r="U789" s="321"/>
      <c r="V789" s="337" t="str">
        <f>$V$735</f>
        <v xml:space="preserve"> </v>
      </c>
      <c r="W789" s="324"/>
      <c r="X789" s="321">
        <f>ROUND(V789*$C789,0)</f>
        <v>0</v>
      </c>
      <c r="Y789" s="20"/>
      <c r="Z789" s="74"/>
      <c r="AA789" s="74"/>
      <c r="AB789" s="74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</row>
    <row r="790" spans="1:47" hidden="1">
      <c r="A790" s="309" t="s">
        <v>462</v>
      </c>
      <c r="B790" s="1"/>
      <c r="C790" s="319"/>
      <c r="D790" s="337"/>
      <c r="E790" s="324"/>
      <c r="F790" s="321"/>
      <c r="G790" s="337"/>
      <c r="H790" s="324"/>
      <c r="I790" s="321"/>
      <c r="J790" s="337"/>
      <c r="K790" s="324"/>
      <c r="L790" s="321"/>
      <c r="M790" s="321"/>
      <c r="N790" s="337"/>
      <c r="O790" s="324"/>
      <c r="P790" s="321"/>
      <c r="Q790" s="321"/>
      <c r="R790" s="337"/>
      <c r="S790" s="324"/>
      <c r="T790" s="321"/>
      <c r="U790" s="321"/>
      <c r="V790" s="337"/>
      <c r="W790" s="324"/>
      <c r="X790" s="321"/>
      <c r="Y790" s="20"/>
      <c r="Z790" s="74"/>
      <c r="AA790" s="74"/>
      <c r="AB790" s="74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</row>
    <row r="791" spans="1:47" hidden="1">
      <c r="A791" s="309" t="s">
        <v>457</v>
      </c>
      <c r="B791" s="1"/>
      <c r="C791" s="319">
        <f>[51]Sheet1!$K$4</f>
        <v>38.986619581829999</v>
      </c>
      <c r="D791" s="363">
        <v>-23.87</v>
      </c>
      <c r="E791" s="324"/>
      <c r="F791" s="321">
        <f>ROUND(D791*$C791,0)</f>
        <v>-931</v>
      </c>
      <c r="G791" s="363">
        <v>-25.265901957370488</v>
      </c>
      <c r="H791" s="324"/>
      <c r="I791" s="321">
        <f t="shared" ref="I791:I792" si="259">ROUND(G791*C791,0)</f>
        <v>-985</v>
      </c>
      <c r="J791" s="363">
        <f ca="1">-J783</f>
        <v>-26.524302109100866</v>
      </c>
      <c r="K791" s="324"/>
      <c r="L791" s="321">
        <f ca="1">ROUND(J791*$C791,0)</f>
        <v>-1034</v>
      </c>
      <c r="M791" s="321"/>
      <c r="N791" s="363">
        <f ca="1">-N783</f>
        <v>-26.524302109100866</v>
      </c>
      <c r="O791" s="324"/>
      <c r="P791" s="321">
        <f ca="1">ROUND(N791*$C791,0)</f>
        <v>-1034</v>
      </c>
      <c r="Q791" s="321"/>
      <c r="R791" s="363">
        <f>-R783</f>
        <v>0</v>
      </c>
      <c r="S791" s="324"/>
      <c r="T791" s="321">
        <f>ROUND(R791*$C791,0)</f>
        <v>0</v>
      </c>
      <c r="U791" s="321"/>
      <c r="V791" s="363">
        <f>-V783</f>
        <v>0</v>
      </c>
      <c r="W791" s="324"/>
      <c r="X791" s="321">
        <f>ROUND(V791*$C791,0)</f>
        <v>0</v>
      </c>
      <c r="Y791" s="20"/>
      <c r="Z791" s="74"/>
      <c r="AA791" s="74"/>
      <c r="AB791" s="74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</row>
    <row r="792" spans="1:47" hidden="1">
      <c r="A792" s="309" t="s">
        <v>463</v>
      </c>
      <c r="B792" s="1"/>
      <c r="C792" s="319">
        <f>[51]Sheet1!$K$5</f>
        <v>305.04833412742897</v>
      </c>
      <c r="D792" s="363">
        <v>-23.79</v>
      </c>
      <c r="E792" s="324"/>
      <c r="F792" s="321">
        <f>ROUND(D792*$C792,0)</f>
        <v>-7257</v>
      </c>
      <c r="G792" s="363">
        <v>-25.171223609796559</v>
      </c>
      <c r="H792" s="324"/>
      <c r="I792" s="321">
        <f t="shared" si="259"/>
        <v>-7678</v>
      </c>
      <c r="J792" s="363">
        <f ca="1">-J785</f>
        <v>-26.414908186870086</v>
      </c>
      <c r="K792" s="324"/>
      <c r="L792" s="321">
        <f ca="1">ROUND(J792*$C792,0)</f>
        <v>-8058</v>
      </c>
      <c r="M792" s="321"/>
      <c r="N792" s="363">
        <f ca="1">-N785</f>
        <v>-26.414908186870086</v>
      </c>
      <c r="O792" s="324"/>
      <c r="P792" s="321">
        <f ca="1">ROUND(N792*$C792,0)</f>
        <v>-8058</v>
      </c>
      <c r="Q792" s="321"/>
      <c r="R792" s="363">
        <f>-R785</f>
        <v>0</v>
      </c>
      <c r="S792" s="324"/>
      <c r="T792" s="321">
        <f>ROUND(R792*$C792,0)</f>
        <v>0</v>
      </c>
      <c r="U792" s="321"/>
      <c r="V792" s="363">
        <f>-V785</f>
        <v>0</v>
      </c>
      <c r="W792" s="324"/>
      <c r="X792" s="321">
        <f>ROUND(V792*$C792,0)</f>
        <v>0</v>
      </c>
      <c r="Y792" s="20"/>
      <c r="Z792" s="74"/>
      <c r="AA792" s="74"/>
      <c r="AB792" s="74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</row>
    <row r="793" spans="1:47" hidden="1">
      <c r="A793" s="323" t="s">
        <v>426</v>
      </c>
      <c r="B793" s="1"/>
      <c r="C793" s="64" t="s">
        <v>31</v>
      </c>
      <c r="D793" s="337"/>
      <c r="E793" s="321"/>
      <c r="F793" s="321"/>
      <c r="G793" s="337"/>
      <c r="H793" s="321"/>
      <c r="I793" s="321"/>
      <c r="J793" s="337"/>
      <c r="K793" s="321"/>
      <c r="L793" s="321"/>
      <c r="M793" s="321"/>
      <c r="N793" s="337"/>
      <c r="O793" s="321"/>
      <c r="P793" s="321"/>
      <c r="Q793" s="321"/>
      <c r="R793" s="337"/>
      <c r="S793" s="321"/>
      <c r="T793" s="321"/>
      <c r="U793" s="321"/>
      <c r="V793" s="337"/>
      <c r="W793" s="321"/>
      <c r="X793" s="321"/>
      <c r="Y793" s="20"/>
      <c r="Z793" s="74"/>
      <c r="AA793" s="74"/>
      <c r="AB793" s="74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</row>
    <row r="794" spans="1:47" hidden="1">
      <c r="A794" s="309" t="s">
        <v>464</v>
      </c>
      <c r="B794" s="1"/>
      <c r="C794" s="319">
        <f>[51]Sheet1!$L$15+Temperature!B92*1000</f>
        <v>143271776.55847031</v>
      </c>
      <c r="D794" s="382">
        <v>6.4390000000000001</v>
      </c>
      <c r="E794" s="321" t="s">
        <v>374</v>
      </c>
      <c r="F794" s="321">
        <f>ROUND(D794/100*$C794,0)</f>
        <v>9225270</v>
      </c>
      <c r="G794" s="382">
        <v>6.8159999999999998</v>
      </c>
      <c r="H794" s="321" t="s">
        <v>374</v>
      </c>
      <c r="I794" s="321">
        <f>ROUND(G794/100*C794,0)</f>
        <v>9765404</v>
      </c>
      <c r="J794" s="382">
        <f ca="1">$J$740</f>
        <v>3.9140000000000001</v>
      </c>
      <c r="K794" s="321" t="s">
        <v>374</v>
      </c>
      <c r="L794" s="321">
        <f ca="1">ROUND(J794/100*$C794,0)</f>
        <v>5607657</v>
      </c>
      <c r="M794" s="321"/>
      <c r="N794" s="382">
        <f ca="1">$N$740</f>
        <v>0.10011647788394891</v>
      </c>
      <c r="O794" s="321" t="s">
        <v>374</v>
      </c>
      <c r="P794" s="321">
        <f ca="1">ROUND(N794/100*$C794,0)</f>
        <v>143439</v>
      </c>
      <c r="Q794" s="321"/>
      <c r="R794" s="382">
        <f ca="1">$R$740</f>
        <v>1.3911559920341985</v>
      </c>
      <c r="S794" s="321" t="s">
        <v>374</v>
      </c>
      <c r="T794" s="321">
        <f ca="1">ROUND(R794/100*$C794,0)</f>
        <v>1993134</v>
      </c>
      <c r="U794" s="321"/>
      <c r="V794" s="382">
        <f ca="1">$V$740</f>
        <v>2.4227485087524854</v>
      </c>
      <c r="W794" s="321" t="s">
        <v>374</v>
      </c>
      <c r="X794" s="321">
        <f ca="1">ROUND(V794/100*$C794,0)</f>
        <v>3471115</v>
      </c>
      <c r="Y794" s="20"/>
      <c r="Z794" s="74"/>
      <c r="AA794" s="74"/>
      <c r="AB794" s="74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</row>
    <row r="795" spans="1:47" hidden="1">
      <c r="A795" s="323" t="s">
        <v>400</v>
      </c>
      <c r="B795" s="1"/>
      <c r="C795" s="275">
        <f>[51]Sheet1!$M$15</f>
        <v>52896</v>
      </c>
      <c r="D795" s="339">
        <v>56</v>
      </c>
      <c r="E795" s="323" t="s">
        <v>374</v>
      </c>
      <c r="F795" s="321">
        <f>ROUND(D795*$C795/100,0)</f>
        <v>29622</v>
      </c>
      <c r="G795" s="339">
        <v>56</v>
      </c>
      <c r="H795" s="323" t="s">
        <v>374</v>
      </c>
      <c r="I795" s="321">
        <f>ROUND(G795/100*C795,0)</f>
        <v>29622</v>
      </c>
      <c r="J795" s="339">
        <f>$J$741</f>
        <v>56</v>
      </c>
      <c r="K795" s="323" t="s">
        <v>374</v>
      </c>
      <c r="L795" s="321">
        <f>ROUND(J795*$C795/100,0)</f>
        <v>29622</v>
      </c>
      <c r="M795" s="321"/>
      <c r="N795" s="339" t="str">
        <f>$N$741</f>
        <v xml:space="preserve"> </v>
      </c>
      <c r="O795" s="323" t="s">
        <v>374</v>
      </c>
      <c r="P795" s="321">
        <f>ROUND(N795*$C795/100,0)</f>
        <v>0</v>
      </c>
      <c r="Q795" s="321"/>
      <c r="R795" s="339">
        <f ca="1">$R$741</f>
        <v>11</v>
      </c>
      <c r="S795" s="323" t="s">
        <v>374</v>
      </c>
      <c r="T795" s="321">
        <f ca="1">ROUND(R795*$C795/100,0)</f>
        <v>5819</v>
      </c>
      <c r="U795" s="321"/>
      <c r="V795" s="339">
        <f ca="1">$V$741</f>
        <v>45</v>
      </c>
      <c r="W795" s="323" t="s">
        <v>374</v>
      </c>
      <c r="X795" s="321">
        <f ca="1">ROUND(V795*$C795/100,0)</f>
        <v>23803</v>
      </c>
      <c r="Y795" s="20"/>
      <c r="Z795" s="74"/>
      <c r="AA795" s="74"/>
      <c r="AB795" s="74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</row>
    <row r="796" spans="1:47" s="1184" customFormat="1" hidden="1">
      <c r="A796" s="1005" t="s">
        <v>928</v>
      </c>
      <c r="C796" s="1202">
        <f>C794</f>
        <v>143271776.55847031</v>
      </c>
      <c r="D796" s="269"/>
      <c r="E796" s="1185"/>
      <c r="F796" s="1203"/>
      <c r="G796" s="269"/>
      <c r="H796" s="1185"/>
      <c r="I796" s="1203"/>
      <c r="J796" s="1230">
        <f>J742</f>
        <v>3.2410000000000001</v>
      </c>
      <c r="K796" s="1041" t="s">
        <v>374</v>
      </c>
      <c r="L796" s="1041">
        <f>ROUND(J796*$C796/100,0)</f>
        <v>4643438</v>
      </c>
      <c r="M796" s="1041"/>
      <c r="N796" s="1230" t="str">
        <f>N742</f>
        <v xml:space="preserve"> </v>
      </c>
      <c r="O796" s="1041" t="s">
        <v>374</v>
      </c>
      <c r="P796" s="1041">
        <f>ROUND(N796*$C796/100,0)</f>
        <v>0</v>
      </c>
      <c r="Q796" s="1041"/>
      <c r="R796" s="1230" t="str">
        <f>R742</f>
        <v xml:space="preserve"> </v>
      </c>
      <c r="S796" s="1041" t="s">
        <v>374</v>
      </c>
      <c r="T796" s="1041">
        <f>ROUND(R796*$C796/100,0)</f>
        <v>0</v>
      </c>
      <c r="U796" s="1041"/>
      <c r="V796" s="1230">
        <f>V742</f>
        <v>3.2410000000000001</v>
      </c>
      <c r="W796" s="1041" t="s">
        <v>374</v>
      </c>
      <c r="X796" s="1041">
        <f>ROUND(V796*$C796/100,0)</f>
        <v>4643438</v>
      </c>
      <c r="Z796" s="815"/>
      <c r="AC796" s="1205"/>
      <c r="AD796" s="1205"/>
      <c r="AI796" s="1185"/>
      <c r="AJ796" s="1185"/>
      <c r="AK796" s="1185"/>
      <c r="AL796" s="1185"/>
      <c r="AM796" s="1185"/>
      <c r="AN796" s="1185"/>
      <c r="AO796" s="1185"/>
      <c r="AP796" s="1185"/>
      <c r="AQ796" s="1185"/>
      <c r="AR796" s="1185"/>
      <c r="AS796" s="1185"/>
      <c r="AU796" s="1204"/>
    </row>
    <row r="797" spans="1:47" hidden="1">
      <c r="A797" s="360" t="s">
        <v>401</v>
      </c>
      <c r="B797" s="1"/>
      <c r="C797" s="319"/>
      <c r="D797" s="332">
        <v>-0.01</v>
      </c>
      <c r="E797" s="2"/>
      <c r="F797" s="321"/>
      <c r="G797" s="332">
        <v>-0.01</v>
      </c>
      <c r="H797" s="1"/>
      <c r="I797" s="321"/>
      <c r="J797" s="332">
        <v>-0.01</v>
      </c>
      <c r="K797" s="1"/>
      <c r="L797" s="321"/>
      <c r="M797" s="321"/>
      <c r="N797" s="332">
        <v>-0.01</v>
      </c>
      <c r="O797" s="1"/>
      <c r="P797" s="321"/>
      <c r="Q797" s="321"/>
      <c r="R797" s="332">
        <v>-0.01</v>
      </c>
      <c r="S797" s="1"/>
      <c r="T797" s="321"/>
      <c r="U797" s="321"/>
      <c r="V797" s="332">
        <v>-0.01</v>
      </c>
      <c r="W797" s="1"/>
      <c r="X797" s="321"/>
      <c r="Y797" s="20"/>
      <c r="Z797" s="74"/>
      <c r="AA797" s="74"/>
      <c r="AB797" s="74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</row>
    <row r="798" spans="1:47" hidden="1">
      <c r="A798" s="309" t="s">
        <v>390</v>
      </c>
      <c r="B798" s="1"/>
      <c r="C798" s="319">
        <v>0</v>
      </c>
      <c r="D798" s="384">
        <v>0</v>
      </c>
      <c r="E798" s="324"/>
      <c r="F798" s="321">
        <f>ROUND(D798*$C798*$D$744,0)</f>
        <v>0</v>
      </c>
      <c r="G798" s="384">
        <v>0</v>
      </c>
      <c r="H798" s="324"/>
      <c r="I798" s="321">
        <f>ROUND(G798*C798*$G$744,0)</f>
        <v>0</v>
      </c>
      <c r="J798" s="384">
        <f>J774</f>
        <v>0</v>
      </c>
      <c r="K798" s="324"/>
      <c r="L798" s="321">
        <f>ROUND(J798*$C798*$J$797,0)</f>
        <v>0</v>
      </c>
      <c r="M798" s="321"/>
      <c r="N798" s="384">
        <f>N774</f>
        <v>0</v>
      </c>
      <c r="O798" s="324"/>
      <c r="P798" s="321">
        <f>ROUND(N798*$C798*$J$797,0)</f>
        <v>0</v>
      </c>
      <c r="Q798" s="321"/>
      <c r="R798" s="384" t="str">
        <f>R774</f>
        <v xml:space="preserve"> </v>
      </c>
      <c r="S798" s="324"/>
      <c r="T798" s="321">
        <f>ROUND(R798*$C798*$J$797,0)</f>
        <v>0</v>
      </c>
      <c r="U798" s="321"/>
      <c r="V798" s="384" t="str">
        <f>V774</f>
        <v xml:space="preserve"> </v>
      </c>
      <c r="W798" s="324"/>
      <c r="X798" s="321">
        <f>ROUND(V798*$C798*$J$797,0)</f>
        <v>0</v>
      </c>
      <c r="Y798" s="20"/>
      <c r="Z798" s="74"/>
      <c r="AA798" s="74"/>
      <c r="AB798" s="74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</row>
    <row r="799" spans="1:47" hidden="1">
      <c r="A799" s="309" t="s">
        <v>391</v>
      </c>
      <c r="B799" s="1"/>
      <c r="C799" s="319"/>
      <c r="D799" s="384"/>
      <c r="E799" s="324"/>
      <c r="F799" s="321"/>
      <c r="G799" s="384"/>
      <c r="H799" s="324"/>
      <c r="I799" s="321"/>
      <c r="J799" s="384"/>
      <c r="K799" s="324"/>
      <c r="L799" s="321"/>
      <c r="M799" s="321"/>
      <c r="N799" s="384"/>
      <c r="O799" s="324"/>
      <c r="P799" s="321"/>
      <c r="Q799" s="321"/>
      <c r="R799" s="384"/>
      <c r="S799" s="324"/>
      <c r="T799" s="321"/>
      <c r="U799" s="321"/>
      <c r="V799" s="384"/>
      <c r="W799" s="324"/>
      <c r="X799" s="321"/>
      <c r="Y799" s="20"/>
      <c r="Z799" s="74"/>
      <c r="AA799" s="74"/>
      <c r="AB799" s="74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</row>
    <row r="800" spans="1:47" hidden="1">
      <c r="A800" s="309" t="s">
        <v>452</v>
      </c>
      <c r="B800" s="1"/>
      <c r="C800" s="319">
        <f>[51]Sheet1!$G$2+[51]Sheet1!$G$3</f>
        <v>1.00272540556427</v>
      </c>
      <c r="D800" s="384">
        <v>0</v>
      </c>
      <c r="E800" s="324"/>
      <c r="F800" s="321">
        <f>ROUND(D800*$C800*$D$744,0)</f>
        <v>0</v>
      </c>
      <c r="G800" s="384">
        <v>0</v>
      </c>
      <c r="H800" s="324"/>
      <c r="I800" s="321">
        <f t="shared" ref="I800:I803" si="260">ROUND(G800*C800*$G$744,0)</f>
        <v>0</v>
      </c>
      <c r="J800" s="384">
        <f>J776</f>
        <v>0</v>
      </c>
      <c r="K800" s="324"/>
      <c r="L800" s="321">
        <f>ROUND(J800*$C800*$J$797,0)</f>
        <v>0</v>
      </c>
      <c r="M800" s="321"/>
      <c r="N800" s="384">
        <f>N776</f>
        <v>0</v>
      </c>
      <c r="O800" s="324"/>
      <c r="P800" s="321">
        <f>ROUND(N800*$C800*$J$797,0)</f>
        <v>0</v>
      </c>
      <c r="Q800" s="321"/>
      <c r="R800" s="384" t="str">
        <f>R776</f>
        <v xml:space="preserve"> </v>
      </c>
      <c r="S800" s="324"/>
      <c r="T800" s="321">
        <f>ROUND(R800*$C800*$J$797,0)</f>
        <v>0</v>
      </c>
      <c r="U800" s="321"/>
      <c r="V800" s="384" t="str">
        <f>V776</f>
        <v xml:space="preserve"> </v>
      </c>
      <c r="W800" s="324"/>
      <c r="X800" s="321">
        <f>ROUND(V800*$C800*$J$797,0)</f>
        <v>0</v>
      </c>
      <c r="Y800" s="20"/>
      <c r="Z800" s="74"/>
      <c r="AA800" s="74"/>
      <c r="AB800" s="74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</row>
    <row r="801" spans="1:45" hidden="1">
      <c r="A801" s="309" t="s">
        <v>453</v>
      </c>
      <c r="B801" s="1"/>
      <c r="C801" s="319">
        <v>0</v>
      </c>
      <c r="D801" s="384">
        <v>357</v>
      </c>
      <c r="E801" s="324"/>
      <c r="F801" s="321">
        <f>ROUND(D801*$C801*$D$744,0)</f>
        <v>0</v>
      </c>
      <c r="G801" s="384">
        <v>357</v>
      </c>
      <c r="H801" s="324"/>
      <c r="I801" s="321">
        <f t="shared" si="260"/>
        <v>0</v>
      </c>
      <c r="J801" s="384">
        <f ca="1">J777</f>
        <v>375</v>
      </c>
      <c r="K801" s="324"/>
      <c r="L801" s="321">
        <f ca="1">ROUND(J801*$C801*$J$797,0)</f>
        <v>0</v>
      </c>
      <c r="M801" s="321"/>
      <c r="N801" s="384">
        <f ca="1">N777</f>
        <v>375</v>
      </c>
      <c r="O801" s="324"/>
      <c r="P801" s="321">
        <f ca="1">ROUND(N801*$C801*$J$797,0)</f>
        <v>0</v>
      </c>
      <c r="Q801" s="321"/>
      <c r="R801" s="384" t="str">
        <f>R777</f>
        <v xml:space="preserve"> </v>
      </c>
      <c r="S801" s="324"/>
      <c r="T801" s="321">
        <f>ROUND(R801*$C801*$J$797,0)</f>
        <v>0</v>
      </c>
      <c r="U801" s="321"/>
      <c r="V801" s="384" t="str">
        <f>V777</f>
        <v xml:space="preserve"> </v>
      </c>
      <c r="W801" s="324"/>
      <c r="X801" s="321">
        <f>ROUND(V801*$C801*$J$797,0)</f>
        <v>0</v>
      </c>
      <c r="Y801" s="20"/>
      <c r="Z801" s="74"/>
      <c r="AA801" s="74"/>
      <c r="AB801" s="74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</row>
    <row r="802" spans="1:45" hidden="1">
      <c r="A802" s="309" t="s">
        <v>454</v>
      </c>
      <c r="B802" s="1"/>
      <c r="C802" s="319">
        <v>0</v>
      </c>
      <c r="D802" s="384">
        <v>1457</v>
      </c>
      <c r="E802" s="324"/>
      <c r="F802" s="321">
        <f>ROUND(D802*$C802*$D$744,0)</f>
        <v>0</v>
      </c>
      <c r="G802" s="384">
        <v>1457</v>
      </c>
      <c r="H802" s="324"/>
      <c r="I802" s="321">
        <f t="shared" si="260"/>
        <v>0</v>
      </c>
      <c r="J802" s="384">
        <f ca="1">J778</f>
        <v>1530</v>
      </c>
      <c r="K802" s="324"/>
      <c r="L802" s="321">
        <f ca="1">ROUND(J802*$C802*$J$797,0)</f>
        <v>0</v>
      </c>
      <c r="M802" s="321"/>
      <c r="N802" s="384">
        <f ca="1">N778</f>
        <v>1530</v>
      </c>
      <c r="O802" s="324"/>
      <c r="P802" s="321">
        <f ca="1">ROUND(N802*$C802*$J$797,0)</f>
        <v>0</v>
      </c>
      <c r="Q802" s="321"/>
      <c r="R802" s="384" t="str">
        <f>R778</f>
        <v xml:space="preserve"> </v>
      </c>
      <c r="S802" s="324"/>
      <c r="T802" s="321">
        <f>ROUND(R802*$C802*$J$797,0)</f>
        <v>0</v>
      </c>
      <c r="U802" s="321"/>
      <c r="V802" s="384" t="str">
        <f>V778</f>
        <v xml:space="preserve"> </v>
      </c>
      <c r="W802" s="324"/>
      <c r="X802" s="321">
        <f>ROUND(V802*$C802*$J$797,0)</f>
        <v>0</v>
      </c>
      <c r="Y802" s="20"/>
      <c r="Z802" s="74"/>
      <c r="AA802" s="74"/>
      <c r="AB802" s="74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</row>
    <row r="803" spans="1:45" hidden="1">
      <c r="A803" s="309" t="s">
        <v>390</v>
      </c>
      <c r="B803" s="1"/>
      <c r="C803" s="319">
        <v>0</v>
      </c>
      <c r="D803" s="384">
        <v>23.87</v>
      </c>
      <c r="E803" s="324"/>
      <c r="F803" s="321">
        <f>ROUND(D803*$C803*$D$744,0)</f>
        <v>0</v>
      </c>
      <c r="G803" s="384">
        <v>25.265901957370488</v>
      </c>
      <c r="H803" s="324"/>
      <c r="I803" s="321">
        <f t="shared" si="260"/>
        <v>0</v>
      </c>
      <c r="J803" s="384">
        <f ca="1">J783</f>
        <v>26.524302109100866</v>
      </c>
      <c r="K803" s="324"/>
      <c r="L803" s="321">
        <f ca="1">ROUND(J803*$C803*$J$797,0)</f>
        <v>0</v>
      </c>
      <c r="M803" s="321"/>
      <c r="N803" s="384">
        <f ca="1">N783</f>
        <v>26.524302109100866</v>
      </c>
      <c r="O803" s="324"/>
      <c r="P803" s="321">
        <f ca="1">ROUND(N803*$C803*$J$797,0)</f>
        <v>0</v>
      </c>
      <c r="Q803" s="321"/>
      <c r="R803" s="384" t="str">
        <f>R783</f>
        <v xml:space="preserve"> </v>
      </c>
      <c r="S803" s="324"/>
      <c r="T803" s="321">
        <f>ROUND(R803*$C803*$J$797,0)</f>
        <v>0</v>
      </c>
      <c r="U803" s="321"/>
      <c r="V803" s="384" t="str">
        <f>V783</f>
        <v xml:space="preserve"> </v>
      </c>
      <c r="W803" s="324"/>
      <c r="X803" s="321">
        <f>ROUND(V803*$C803*$J$797,0)</f>
        <v>0</v>
      </c>
      <c r="Y803" s="20"/>
      <c r="Z803" s="74"/>
      <c r="AA803" s="74"/>
      <c r="AB803" s="74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</row>
    <row r="804" spans="1:45" hidden="1">
      <c r="A804" s="309" t="s">
        <v>391</v>
      </c>
      <c r="B804" s="1"/>
      <c r="C804" s="319"/>
      <c r="D804" s="384"/>
      <c r="E804" s="324"/>
      <c r="F804" s="321"/>
      <c r="G804" s="384"/>
      <c r="H804" s="324"/>
      <c r="I804" s="321"/>
      <c r="J804" s="384"/>
      <c r="K804" s="324"/>
      <c r="L804" s="321"/>
      <c r="M804" s="321"/>
      <c r="N804" s="384"/>
      <c r="O804" s="324"/>
      <c r="P804" s="321"/>
      <c r="Q804" s="321"/>
      <c r="R804" s="384"/>
      <c r="S804" s="324"/>
      <c r="T804" s="321"/>
      <c r="U804" s="321"/>
      <c r="V804" s="384"/>
      <c r="W804" s="324"/>
      <c r="X804" s="321"/>
      <c r="Y804" s="20"/>
      <c r="Z804" s="74"/>
      <c r="AA804" s="74"/>
      <c r="AB804" s="74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</row>
    <row r="805" spans="1:45" hidden="1">
      <c r="A805" s="309" t="s">
        <v>452</v>
      </c>
      <c r="B805" s="1"/>
      <c r="C805" s="319">
        <f>[51]Sheet1!$J$2+[51]Sheet1!$J$3</f>
        <v>30.440941572089098</v>
      </c>
      <c r="D805" s="384">
        <v>23.79</v>
      </c>
      <c r="E805" s="324"/>
      <c r="F805" s="321">
        <f>ROUND(D805*$C805*$D$744,0)</f>
        <v>-7</v>
      </c>
      <c r="G805" s="384">
        <v>25.171223609796559</v>
      </c>
      <c r="H805" s="324"/>
      <c r="I805" s="321">
        <f t="shared" ref="I805:I809" si="261">ROUND(G805*C805*$G$744,0)</f>
        <v>-8</v>
      </c>
      <c r="J805" s="384">
        <f ca="1">J785</f>
        <v>26.414908186870086</v>
      </c>
      <c r="K805" s="324"/>
      <c r="L805" s="321">
        <f ca="1">ROUND(J805*$C805*$J$797,0)</f>
        <v>-8</v>
      </c>
      <c r="M805" s="321"/>
      <c r="N805" s="384">
        <f ca="1">N785</f>
        <v>26.414908186870086</v>
      </c>
      <c r="O805" s="324"/>
      <c r="P805" s="321">
        <f ca="1">ROUND(N805*$C805*$J$797,0)</f>
        <v>-8</v>
      </c>
      <c r="Q805" s="321"/>
      <c r="R805" s="384" t="str">
        <f>R785</f>
        <v xml:space="preserve"> </v>
      </c>
      <c r="S805" s="324"/>
      <c r="T805" s="321">
        <f>ROUND(R805*$C805*$J$797,0)</f>
        <v>0</v>
      </c>
      <c r="U805" s="321"/>
      <c r="V805" s="384" t="str">
        <f>V785</f>
        <v xml:space="preserve"> </v>
      </c>
      <c r="W805" s="324"/>
      <c r="X805" s="321">
        <f>ROUND(V805*$C805*$J$797,0)</f>
        <v>0</v>
      </c>
      <c r="Y805" s="20"/>
      <c r="Z805" s="74"/>
      <c r="AA805" s="74"/>
      <c r="AB805" s="74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</row>
    <row r="806" spans="1:45" hidden="1">
      <c r="A806" s="309" t="s">
        <v>453</v>
      </c>
      <c r="B806" s="1"/>
      <c r="C806" s="319">
        <v>0</v>
      </c>
      <c r="D806" s="384">
        <v>16.559999999999999</v>
      </c>
      <c r="E806" s="324"/>
      <c r="F806" s="321">
        <f>ROUND(D806*$C806*$D$744,0)</f>
        <v>0</v>
      </c>
      <c r="G806" s="384">
        <v>17.5284179478029</v>
      </c>
      <c r="H806" s="324"/>
      <c r="I806" s="321">
        <f t="shared" si="261"/>
        <v>0</v>
      </c>
      <c r="J806" s="384">
        <f ca="1">J786</f>
        <v>18.401442937859667</v>
      </c>
      <c r="K806" s="324"/>
      <c r="L806" s="321">
        <f ca="1">ROUND(J806*$C806*$J$797,0)</f>
        <v>0</v>
      </c>
      <c r="M806" s="321"/>
      <c r="N806" s="384">
        <f ca="1">N786</f>
        <v>18.401442937859667</v>
      </c>
      <c r="O806" s="324"/>
      <c r="P806" s="321">
        <f ca="1">ROUND(N806*$C806*$J$797,0)</f>
        <v>0</v>
      </c>
      <c r="Q806" s="321"/>
      <c r="R806" s="384" t="str">
        <f>R786</f>
        <v xml:space="preserve"> </v>
      </c>
      <c r="S806" s="324"/>
      <c r="T806" s="321">
        <f>ROUND(R806*$C806*$J$797,0)</f>
        <v>0</v>
      </c>
      <c r="U806" s="321"/>
      <c r="V806" s="384" t="str">
        <f>V786</f>
        <v xml:space="preserve"> </v>
      </c>
      <c r="W806" s="324"/>
      <c r="X806" s="321">
        <f>ROUND(V806*$C806*$J$797,0)</f>
        <v>0</v>
      </c>
      <c r="Y806" s="20"/>
      <c r="Z806" s="74"/>
      <c r="AA806" s="74"/>
      <c r="AB806" s="74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</row>
    <row r="807" spans="1:45" hidden="1">
      <c r="A807" s="309" t="s">
        <v>454</v>
      </c>
      <c r="B807" s="1"/>
      <c r="C807" s="319">
        <v>0</v>
      </c>
      <c r="D807" s="384">
        <v>12.96</v>
      </c>
      <c r="E807" s="324"/>
      <c r="F807" s="321">
        <f>ROUND(D807*$C807*$D$744,0)</f>
        <v>0</v>
      </c>
      <c r="G807" s="384">
        <v>13.717892306976186</v>
      </c>
      <c r="H807" s="324"/>
      <c r="I807" s="321">
        <f t="shared" si="261"/>
        <v>0</v>
      </c>
      <c r="J807" s="384">
        <f ca="1">J787</f>
        <v>14.401129255716265</v>
      </c>
      <c r="K807" s="324"/>
      <c r="L807" s="321">
        <f t="shared" ref="L807:L812" ca="1" si="262">ROUND(J807*$C807*$J$797,0)</f>
        <v>0</v>
      </c>
      <c r="M807" s="321"/>
      <c r="N807" s="384">
        <f ca="1">N787</f>
        <v>14.401129255716265</v>
      </c>
      <c r="O807" s="324"/>
      <c r="P807" s="321">
        <f t="shared" ref="P807:P809" ca="1" si="263">ROUND(N807*$C807*$J$797,0)</f>
        <v>0</v>
      </c>
      <c r="Q807" s="321"/>
      <c r="R807" s="384" t="str">
        <f>R787</f>
        <v xml:space="preserve"> </v>
      </c>
      <c r="S807" s="324"/>
      <c r="T807" s="321">
        <f t="shared" ref="T807:T809" si="264">ROUND(R807*$C807*$J$797,0)</f>
        <v>0</v>
      </c>
      <c r="U807" s="321"/>
      <c r="V807" s="384" t="str">
        <f>V787</f>
        <v xml:space="preserve"> </v>
      </c>
      <c r="W807" s="324"/>
      <c r="X807" s="321">
        <f t="shared" ref="X807:X809" si="265">ROUND(V807*$C807*$J$797,0)</f>
        <v>0</v>
      </c>
      <c r="Y807" s="20"/>
      <c r="Z807" s="74"/>
      <c r="AA807" s="74"/>
      <c r="AB807" s="74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</row>
    <row r="808" spans="1:45" hidden="1">
      <c r="A808" s="309" t="s">
        <v>465</v>
      </c>
      <c r="B808" s="1"/>
      <c r="C808" s="319">
        <v>0</v>
      </c>
      <c r="D808" s="353">
        <v>71.61</v>
      </c>
      <c r="E808" s="324"/>
      <c r="F808" s="321">
        <f>ROUND(D808*$C808*$D$744,0)</f>
        <v>0</v>
      </c>
      <c r="G808" s="353">
        <v>75.797705872111464</v>
      </c>
      <c r="H808" s="324"/>
      <c r="I808" s="321">
        <f t="shared" si="261"/>
        <v>0</v>
      </c>
      <c r="J808" s="353">
        <f ca="1">J788</f>
        <v>79.572906327302604</v>
      </c>
      <c r="K808" s="324"/>
      <c r="L808" s="321">
        <f t="shared" ca="1" si="262"/>
        <v>0</v>
      </c>
      <c r="M808" s="321"/>
      <c r="N808" s="353">
        <f ca="1">N788</f>
        <v>79.572906327302604</v>
      </c>
      <c r="O808" s="324"/>
      <c r="P808" s="321">
        <f t="shared" ca="1" si="263"/>
        <v>0</v>
      </c>
      <c r="Q808" s="321"/>
      <c r="R808" s="353" t="str">
        <f>R788</f>
        <v xml:space="preserve"> </v>
      </c>
      <c r="S808" s="324"/>
      <c r="T808" s="321">
        <f t="shared" si="264"/>
        <v>0</v>
      </c>
      <c r="U808" s="321"/>
      <c r="V808" s="353" t="str">
        <f>V788</f>
        <v xml:space="preserve"> </v>
      </c>
      <c r="W808" s="324"/>
      <c r="X808" s="321">
        <f t="shared" si="265"/>
        <v>0</v>
      </c>
      <c r="Y808" s="20"/>
      <c r="Z808" s="74"/>
      <c r="AA808" s="74"/>
      <c r="AB808" s="74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</row>
    <row r="809" spans="1:45" hidden="1">
      <c r="A809" s="309" t="s">
        <v>466</v>
      </c>
      <c r="B809" s="1"/>
      <c r="C809" s="319">
        <v>0</v>
      </c>
      <c r="D809" s="353">
        <v>142.74</v>
      </c>
      <c r="E809" s="324"/>
      <c r="F809" s="321">
        <f>ROUND(D809*$C809*$D$744,0)</f>
        <v>0</v>
      </c>
      <c r="G809" s="353">
        <v>151.02734165877936</v>
      </c>
      <c r="H809" s="324"/>
      <c r="I809" s="321">
        <f t="shared" si="261"/>
        <v>0</v>
      </c>
      <c r="J809" s="353">
        <f ca="1">J789</f>
        <v>158.4894491212205</v>
      </c>
      <c r="K809" s="324"/>
      <c r="L809" s="321">
        <f t="shared" ca="1" si="262"/>
        <v>0</v>
      </c>
      <c r="M809" s="321"/>
      <c r="N809" s="353">
        <f ca="1">N789</f>
        <v>158.4894491212205</v>
      </c>
      <c r="O809" s="324"/>
      <c r="P809" s="321">
        <f t="shared" ca="1" si="263"/>
        <v>0</v>
      </c>
      <c r="Q809" s="321"/>
      <c r="R809" s="353" t="str">
        <f>R789</f>
        <v xml:space="preserve"> </v>
      </c>
      <c r="S809" s="324"/>
      <c r="T809" s="321">
        <f t="shared" si="264"/>
        <v>0</v>
      </c>
      <c r="U809" s="321"/>
      <c r="V809" s="353" t="str">
        <f>V789</f>
        <v xml:space="preserve"> </v>
      </c>
      <c r="W809" s="324"/>
      <c r="X809" s="321">
        <f t="shared" si="265"/>
        <v>0</v>
      </c>
      <c r="Y809" s="20"/>
      <c r="Z809" s="74"/>
      <c r="AA809" s="74"/>
      <c r="AB809" s="74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</row>
    <row r="810" spans="1:45" hidden="1">
      <c r="A810" s="309" t="s">
        <v>462</v>
      </c>
      <c r="B810" s="1"/>
      <c r="C810" s="319"/>
      <c r="D810" s="337"/>
      <c r="E810" s="324"/>
      <c r="F810" s="321"/>
      <c r="G810" s="337"/>
      <c r="H810" s="324"/>
      <c r="I810" s="321"/>
      <c r="J810" s="337"/>
      <c r="K810" s="324"/>
      <c r="L810" s="321"/>
      <c r="M810" s="321"/>
      <c r="N810" s="337"/>
      <c r="O810" s="324"/>
      <c r="P810" s="321"/>
      <c r="Q810" s="321"/>
      <c r="R810" s="337"/>
      <c r="S810" s="324"/>
      <c r="T810" s="321"/>
      <c r="U810" s="321"/>
      <c r="V810" s="337"/>
      <c r="W810" s="324"/>
      <c r="X810" s="321"/>
      <c r="Y810" s="20"/>
      <c r="Z810" s="74"/>
      <c r="AA810" s="74"/>
      <c r="AB810" s="74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</row>
    <row r="811" spans="1:45" hidden="1">
      <c r="A811" s="309" t="s">
        <v>457</v>
      </c>
      <c r="B811" s="1"/>
      <c r="C811" s="319">
        <v>0</v>
      </c>
      <c r="D811" s="363">
        <v>-23.87</v>
      </c>
      <c r="E811" s="324"/>
      <c r="F811" s="321">
        <f>ROUND(D811*$C811*$D$744,0)</f>
        <v>0</v>
      </c>
      <c r="G811" s="363">
        <v>-25.265901957370488</v>
      </c>
      <c r="H811" s="324"/>
      <c r="I811" s="321">
        <f t="shared" ref="I811:I812" si="266">ROUND(G811*C811*$G$744,0)</f>
        <v>0</v>
      </c>
      <c r="J811" s="363">
        <f ca="1">J791</f>
        <v>-26.524302109100866</v>
      </c>
      <c r="K811" s="324"/>
      <c r="L811" s="321">
        <f t="shared" ca="1" si="262"/>
        <v>0</v>
      </c>
      <c r="M811" s="321"/>
      <c r="N811" s="363">
        <f ca="1">N791</f>
        <v>-26.524302109100866</v>
      </c>
      <c r="O811" s="324"/>
      <c r="P811" s="321">
        <f t="shared" ref="P811:P812" ca="1" si="267">ROUND(N811*$C811*$J$797,0)</f>
        <v>0</v>
      </c>
      <c r="Q811" s="321"/>
      <c r="R811" s="363">
        <f>R791</f>
        <v>0</v>
      </c>
      <c r="S811" s="324"/>
      <c r="T811" s="321">
        <f t="shared" ref="T811:T812" si="268">ROUND(R811*$C811*$J$797,0)</f>
        <v>0</v>
      </c>
      <c r="U811" s="321"/>
      <c r="V811" s="363">
        <f>V791</f>
        <v>0</v>
      </c>
      <c r="W811" s="324"/>
      <c r="X811" s="321">
        <f t="shared" ref="X811:X812" si="269">ROUND(V811*$C811*$J$797,0)</f>
        <v>0</v>
      </c>
      <c r="Y811" s="20"/>
      <c r="Z811" s="74"/>
      <c r="AA811" s="74"/>
      <c r="AB811" s="74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</row>
    <row r="812" spans="1:45" hidden="1">
      <c r="A812" s="309" t="s">
        <v>463</v>
      </c>
      <c r="B812" s="1"/>
      <c r="C812" s="319">
        <v>0</v>
      </c>
      <c r="D812" s="363">
        <v>-23.79</v>
      </c>
      <c r="E812" s="324"/>
      <c r="F812" s="321">
        <f>ROUND(D812*$C812*$D$744,0)</f>
        <v>0</v>
      </c>
      <c r="G812" s="363">
        <v>-25.171223609796559</v>
      </c>
      <c r="H812" s="324"/>
      <c r="I812" s="321">
        <f t="shared" si="266"/>
        <v>0</v>
      </c>
      <c r="J812" s="363">
        <f ca="1">J792</f>
        <v>-26.414908186870086</v>
      </c>
      <c r="K812" s="324"/>
      <c r="L812" s="321">
        <f t="shared" ca="1" si="262"/>
        <v>0</v>
      </c>
      <c r="M812" s="321"/>
      <c r="N812" s="363">
        <f ca="1">N792</f>
        <v>-26.414908186870086</v>
      </c>
      <c r="O812" s="324"/>
      <c r="P812" s="321">
        <f t="shared" ca="1" si="267"/>
        <v>0</v>
      </c>
      <c r="Q812" s="321"/>
      <c r="R812" s="363">
        <f>R792</f>
        <v>0</v>
      </c>
      <c r="S812" s="324"/>
      <c r="T812" s="321">
        <f t="shared" si="268"/>
        <v>0</v>
      </c>
      <c r="U812" s="321"/>
      <c r="V812" s="363">
        <f>V792</f>
        <v>0</v>
      </c>
      <c r="W812" s="324"/>
      <c r="X812" s="321">
        <f t="shared" si="269"/>
        <v>0</v>
      </c>
      <c r="Y812" s="20"/>
      <c r="Z812" s="74"/>
      <c r="AA812" s="74"/>
      <c r="AB812" s="74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</row>
    <row r="813" spans="1:45" hidden="1">
      <c r="A813" s="323" t="s">
        <v>426</v>
      </c>
      <c r="B813" s="1"/>
      <c r="C813" s="319"/>
      <c r="D813" s="384"/>
      <c r="E813" s="321"/>
      <c r="F813" s="321"/>
      <c r="G813" s="384"/>
      <c r="H813" s="321"/>
      <c r="I813" s="321"/>
      <c r="J813" s="384"/>
      <c r="K813" s="321"/>
      <c r="L813" s="321"/>
      <c r="M813" s="321"/>
      <c r="N813" s="384"/>
      <c r="O813" s="321"/>
      <c r="P813" s="321"/>
      <c r="Q813" s="321"/>
      <c r="R813" s="384"/>
      <c r="S813" s="321"/>
      <c r="T813" s="321"/>
      <c r="U813" s="321"/>
      <c r="V813" s="384"/>
      <c r="W813" s="321"/>
      <c r="X813" s="321"/>
      <c r="Y813" s="20"/>
      <c r="Z813" s="74"/>
      <c r="AA813" s="74"/>
      <c r="AB813" s="74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</row>
    <row r="814" spans="1:45" hidden="1">
      <c r="A814" s="309" t="s">
        <v>464</v>
      </c>
      <c r="B814" s="1"/>
      <c r="C814" s="319">
        <f>[51]Sheet1!$L$2+[51]Sheet1!$L$3</f>
        <v>32140</v>
      </c>
      <c r="D814" s="385">
        <v>6.4390000000000001</v>
      </c>
      <c r="E814" s="321" t="s">
        <v>374</v>
      </c>
      <c r="F814" s="321">
        <f>ROUND(D814/100*$C814*$D$744,0)</f>
        <v>-21</v>
      </c>
      <c r="G814" s="385">
        <v>6.8159999999999998</v>
      </c>
      <c r="H814" s="321" t="s">
        <v>374</v>
      </c>
      <c r="I814" s="321">
        <f>ROUND(G814*C814/100*G797,0)</f>
        <v>-22</v>
      </c>
      <c r="J814" s="385">
        <f ca="1">J794</f>
        <v>3.9140000000000001</v>
      </c>
      <c r="K814" s="321" t="s">
        <v>374</v>
      </c>
      <c r="L814" s="321">
        <f ca="1">ROUND(J814/100*$C814*$J$797,0)</f>
        <v>-13</v>
      </c>
      <c r="M814" s="321"/>
      <c r="N814" s="385">
        <f ca="1">N794</f>
        <v>0.10011647788394891</v>
      </c>
      <c r="O814" s="321" t="s">
        <v>374</v>
      </c>
      <c r="P814" s="321">
        <f ca="1">ROUND(N814/100*$C814*$J$797,0)</f>
        <v>0</v>
      </c>
      <c r="Q814" s="321"/>
      <c r="R814" s="385">
        <f ca="1">R794</f>
        <v>1.3911559920341985</v>
      </c>
      <c r="S814" s="321" t="s">
        <v>374</v>
      </c>
      <c r="T814" s="321">
        <f ca="1">ROUND(R814/100*$C814*$J$797,0)</f>
        <v>-4</v>
      </c>
      <c r="U814" s="321"/>
      <c r="V814" s="385">
        <f ca="1">V794</f>
        <v>2.4227485087524854</v>
      </c>
      <c r="W814" s="321" t="s">
        <v>374</v>
      </c>
      <c r="X814" s="321">
        <f ca="1">ROUND(V814/100*$C814*$J$797,0)</f>
        <v>-8</v>
      </c>
      <c r="Y814" s="20"/>
      <c r="Z814" s="74"/>
      <c r="AA814" s="74"/>
      <c r="AB814" s="74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</row>
    <row r="815" spans="1:45" hidden="1">
      <c r="A815" s="323" t="s">
        <v>400</v>
      </c>
      <c r="B815" s="1"/>
      <c r="C815" s="319">
        <v>0</v>
      </c>
      <c r="D815" s="375">
        <v>56</v>
      </c>
      <c r="E815" s="321" t="s">
        <v>374</v>
      </c>
      <c r="F815" s="321">
        <f>ROUND(D815/100*$C815*$D$744,0)</f>
        <v>0</v>
      </c>
      <c r="G815" s="375">
        <v>56</v>
      </c>
      <c r="H815" s="323" t="s">
        <v>374</v>
      </c>
      <c r="I815" s="321">
        <f t="shared" ref="I815" si="270">ROUND(G815*C815,0)</f>
        <v>0</v>
      </c>
      <c r="J815" s="375">
        <f>J795</f>
        <v>56</v>
      </c>
      <c r="K815" s="323" t="s">
        <v>374</v>
      </c>
      <c r="L815" s="321">
        <f>ROUND(J815/100*$C815*$J$797,0)</f>
        <v>0</v>
      </c>
      <c r="M815" s="321"/>
      <c r="N815" s="375" t="str">
        <f>N795</f>
        <v xml:space="preserve"> </v>
      </c>
      <c r="O815" s="323" t="s">
        <v>374</v>
      </c>
      <c r="P815" s="321">
        <f>ROUND(N815/100*$C815*$J$797,0)</f>
        <v>0</v>
      </c>
      <c r="Q815" s="321"/>
      <c r="R815" s="375">
        <f ca="1">R795</f>
        <v>11</v>
      </c>
      <c r="S815" s="323" t="s">
        <v>374</v>
      </c>
      <c r="T815" s="321">
        <f ca="1">ROUND(R815/100*$C815*$J$797,0)</f>
        <v>0</v>
      </c>
      <c r="U815" s="321"/>
      <c r="V815" s="375">
        <f ca="1">V795</f>
        <v>45</v>
      </c>
      <c r="W815" s="323" t="s">
        <v>374</v>
      </c>
      <c r="X815" s="321">
        <f ca="1">ROUND(V815/100*$C815*$J$797,0)</f>
        <v>0</v>
      </c>
      <c r="Y815" s="20"/>
      <c r="Z815" s="74"/>
      <c r="AA815" s="74"/>
      <c r="AB815" s="74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</row>
    <row r="816" spans="1:45" hidden="1">
      <c r="A816" s="323" t="s">
        <v>443</v>
      </c>
      <c r="B816" s="1"/>
      <c r="C816" s="319">
        <f>[51]Sheet1!$E$2+[51]Sheet1!$E$3</f>
        <v>12</v>
      </c>
      <c r="D816" s="298">
        <v>60</v>
      </c>
      <c r="E816" s="364" t="s">
        <v>31</v>
      </c>
      <c r="F816" s="321">
        <f>ROUND(D816*$C816,0)</f>
        <v>720</v>
      </c>
      <c r="G816" s="298">
        <v>60</v>
      </c>
      <c r="H816" s="1"/>
      <c r="I816" s="321">
        <f>ROUND(G816*$C816,0)</f>
        <v>720</v>
      </c>
      <c r="J816" s="298">
        <f>$J$763</f>
        <v>60</v>
      </c>
      <c r="K816" s="1"/>
      <c r="L816" s="321">
        <f>ROUND(J816*$C816,0)</f>
        <v>720</v>
      </c>
      <c r="M816" s="321"/>
      <c r="N816" s="298">
        <v>0</v>
      </c>
      <c r="O816" s="1"/>
      <c r="P816" s="321">
        <f>ROUND(N816*$C816,0)</f>
        <v>0</v>
      </c>
      <c r="Q816" s="321"/>
      <c r="R816" s="298">
        <f ca="1">R763</f>
        <v>11.831395044239747</v>
      </c>
      <c r="S816" s="1"/>
      <c r="T816" s="321">
        <f ca="1">ROUND(R816*$C816,0)</f>
        <v>142</v>
      </c>
      <c r="U816" s="321"/>
      <c r="V816" s="298">
        <f ca="1">V763</f>
        <v>48.168604955760252</v>
      </c>
      <c r="W816" s="1"/>
      <c r="X816" s="321">
        <f ca="1">ROUND(V816*$C816,0)</f>
        <v>578</v>
      </c>
      <c r="Y816" s="20"/>
      <c r="Z816" s="74"/>
      <c r="AA816" s="74"/>
      <c r="AB816" s="74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</row>
    <row r="817" spans="1:47" hidden="1">
      <c r="A817" s="323" t="s">
        <v>444</v>
      </c>
      <c r="B817" s="1"/>
      <c r="C817" s="319">
        <v>30.440941572089098</v>
      </c>
      <c r="D817" s="339">
        <v>-30</v>
      </c>
      <c r="E817" s="321" t="s">
        <v>374</v>
      </c>
      <c r="F817" s="321">
        <f>ROUND(D817*$C817,0)</f>
        <v>-913</v>
      </c>
      <c r="G817" s="339">
        <v>-30</v>
      </c>
      <c r="H817" s="321" t="s">
        <v>374</v>
      </c>
      <c r="I817" s="321">
        <f>ROUND(G817*$C817/100,0)</f>
        <v>-9</v>
      </c>
      <c r="J817" s="339">
        <f>$J$764</f>
        <v>-30</v>
      </c>
      <c r="K817" s="321" t="s">
        <v>374</v>
      </c>
      <c r="L817" s="321">
        <f>ROUND(J817*$C817/100,0)</f>
        <v>-9</v>
      </c>
      <c r="M817" s="321"/>
      <c r="N817" s="339">
        <f>$J$764</f>
        <v>-30</v>
      </c>
      <c r="O817" s="321" t="s">
        <v>374</v>
      </c>
      <c r="P817" s="321">
        <f>ROUND(N817*$C817/100,0)</f>
        <v>-9</v>
      </c>
      <c r="Q817" s="321"/>
      <c r="R817" s="339">
        <v>0</v>
      </c>
      <c r="S817" s="321" t="s">
        <v>374</v>
      </c>
      <c r="T817" s="321">
        <f>ROUND(R817*$C817/100,0)</f>
        <v>0</v>
      </c>
      <c r="U817" s="321"/>
      <c r="V817" s="339">
        <v>0</v>
      </c>
      <c r="W817" s="321" t="s">
        <v>374</v>
      </c>
      <c r="X817" s="321">
        <f>ROUND(V817*$C817/100,0)</f>
        <v>0</v>
      </c>
      <c r="Y817" s="20"/>
      <c r="Z817" s="74"/>
      <c r="AA817" s="74"/>
      <c r="AB817" s="74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</row>
    <row r="818" spans="1:47" s="1184" customFormat="1" hidden="1">
      <c r="A818" s="1005" t="s">
        <v>928</v>
      </c>
      <c r="C818" s="1202">
        <f>C814</f>
        <v>32140</v>
      </c>
      <c r="D818" s="269"/>
      <c r="E818" s="1185"/>
      <c r="F818" s="1203"/>
      <c r="G818" s="269"/>
      <c r="H818" s="1185"/>
      <c r="I818" s="1203"/>
      <c r="J818" s="1230">
        <f>J765</f>
        <v>3.2410000000000001</v>
      </c>
      <c r="K818" s="1041" t="s">
        <v>374</v>
      </c>
      <c r="L818" s="321">
        <f>ROUND(J818/100*$C818*$J$797,0)</f>
        <v>-10</v>
      </c>
      <c r="M818" s="321"/>
      <c r="N818" s="1230" t="str">
        <f>N765</f>
        <v xml:space="preserve"> </v>
      </c>
      <c r="O818" s="1041" t="s">
        <v>374</v>
      </c>
      <c r="P818" s="321">
        <f>ROUND(N818/100*$C818*$J$797,0)</f>
        <v>0</v>
      </c>
      <c r="Q818" s="321"/>
      <c r="R818" s="1230" t="str">
        <f>R765</f>
        <v xml:space="preserve"> </v>
      </c>
      <c r="S818" s="1041" t="s">
        <v>374</v>
      </c>
      <c r="T818" s="321">
        <f>ROUND(R818/100*$C818*$J$797,0)</f>
        <v>0</v>
      </c>
      <c r="U818" s="321"/>
      <c r="V818" s="1230">
        <f>V765</f>
        <v>3.2410000000000001</v>
      </c>
      <c r="W818" s="1041" t="s">
        <v>374</v>
      </c>
      <c r="X818" s="321">
        <f>ROUND(V818/100*$C818*$J$797,0)</f>
        <v>-10</v>
      </c>
      <c r="Z818" s="815"/>
      <c r="AC818" s="1205"/>
      <c r="AD818" s="1205"/>
      <c r="AI818" s="1185"/>
      <c r="AJ818" s="1185"/>
      <c r="AK818" s="1185"/>
      <c r="AL818" s="1185"/>
      <c r="AM818" s="1185"/>
      <c r="AN818" s="1185"/>
      <c r="AO818" s="1185"/>
      <c r="AP818" s="1185"/>
      <c r="AQ818" s="1185"/>
      <c r="AR818" s="1185"/>
      <c r="AS818" s="1185"/>
      <c r="AU818" s="1204"/>
    </row>
    <row r="819" spans="1:47" hidden="1">
      <c r="A819" s="1" t="s">
        <v>381</v>
      </c>
      <c r="B819" s="1"/>
      <c r="C819" s="319">
        <f>SUM(C794:C794)</f>
        <v>143271776.55847031</v>
      </c>
      <c r="D819" s="330"/>
      <c r="E819" s="2"/>
      <c r="F819" s="2">
        <f>SUM(F774:F817)</f>
        <v>11570104</v>
      </c>
      <c r="G819" s="330"/>
      <c r="H819" s="323"/>
      <c r="I819" s="2">
        <f>SUM(I774:I817)</f>
        <v>12236390</v>
      </c>
      <c r="J819" s="330"/>
      <c r="K819" s="323"/>
      <c r="L819" s="2">
        <f ca="1">SUM(L774:L818)</f>
        <v>12843176</v>
      </c>
      <c r="M819" s="2"/>
      <c r="N819" s="330"/>
      <c r="O819" s="323"/>
      <c r="P819" s="2">
        <f ca="1">SUM(P774:P818)</f>
        <v>2705201</v>
      </c>
      <c r="Q819" s="2"/>
      <c r="R819" s="330"/>
      <c r="S819" s="323"/>
      <c r="T819" s="2">
        <f ca="1">SUM(T774:T818)</f>
        <v>1999091</v>
      </c>
      <c r="U819" s="2"/>
      <c r="V819" s="330"/>
      <c r="W819" s="323"/>
      <c r="X819" s="2">
        <f ca="1">SUM(X774:X818)</f>
        <v>8138916</v>
      </c>
      <c r="Y819" s="20"/>
      <c r="Z819" s="74"/>
      <c r="AA819" s="74"/>
      <c r="AB819" s="74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</row>
    <row r="820" spans="1:47" hidden="1">
      <c r="A820" s="1" t="s">
        <v>363</v>
      </c>
      <c r="B820" s="1"/>
      <c r="C820" s="349">
        <f>'Table 2'!H101</f>
        <v>-204808.5383765107</v>
      </c>
      <c r="D820" s="309"/>
      <c r="E820" s="309"/>
      <c r="F820" s="310">
        <f ca="1">I820</f>
        <v>-31873.500853653604</v>
      </c>
      <c r="G820" s="309"/>
      <c r="H820" s="309"/>
      <c r="I820" s="310">
        <f ca="1">'Table 3'!E101</f>
        <v>-31873.500853653604</v>
      </c>
      <c r="J820" s="309"/>
      <c r="K820" s="309"/>
      <c r="L820" s="310">
        <f ca="1">I820</f>
        <v>-31873.500853653604</v>
      </c>
      <c r="M820" s="51"/>
      <c r="N820" s="309"/>
      <c r="O820" s="309"/>
      <c r="P820" s="310">
        <f ca="1">$L$820*Y876/($Y$876+$Z$876+$AA$876)</f>
        <v>-6705.5655109690115</v>
      </c>
      <c r="Q820" s="51"/>
      <c r="R820" s="309"/>
      <c r="S820" s="309"/>
      <c r="T820" s="310">
        <f ca="1">$L$820*Z876/($Y$876+$Z$876+$AA$876)</f>
        <v>-4962.8630914530804</v>
      </c>
      <c r="U820" s="51"/>
      <c r="V820" s="309"/>
      <c r="W820" s="309"/>
      <c r="X820" s="310">
        <f ca="1">$L$820*AA876/($Y$876+$Z$876+$AA$876)</f>
        <v>-20205.072251231511</v>
      </c>
      <c r="Y820" s="444"/>
      <c r="Z820" s="287"/>
      <c r="AA820" s="74"/>
      <c r="AB820" s="74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</row>
    <row r="821" spans="1:47" ht="16.5" hidden="1" thickBot="1">
      <c r="A821" s="1" t="s">
        <v>382</v>
      </c>
      <c r="B821" s="1"/>
      <c r="C821" s="366">
        <f>SUM(C819:C820)</f>
        <v>143066968.0200938</v>
      </c>
      <c r="D821" s="342"/>
      <c r="E821" s="343"/>
      <c r="F821" s="344">
        <f ca="1">F819+F820</f>
        <v>11538230.499146346</v>
      </c>
      <c r="G821" s="342"/>
      <c r="H821" s="345"/>
      <c r="I821" s="344">
        <f ca="1">I819+I820</f>
        <v>12204516.499146346</v>
      </c>
      <c r="J821" s="342"/>
      <c r="K821" s="345"/>
      <c r="L821" s="344">
        <f ca="1">L819+L820</f>
        <v>12811302.499146346</v>
      </c>
      <c r="M821" s="344"/>
      <c r="N821" s="342"/>
      <c r="O821" s="345"/>
      <c r="P821" s="344">
        <f ca="1">P819+P820</f>
        <v>2698495.4344890309</v>
      </c>
      <c r="Q821" s="344"/>
      <c r="R821" s="342"/>
      <c r="S821" s="345"/>
      <c r="T821" s="344">
        <f ca="1">T819+T820</f>
        <v>1994128.136908547</v>
      </c>
      <c r="U821" s="344"/>
      <c r="V821" s="342"/>
      <c r="W821" s="345"/>
      <c r="X821" s="344">
        <f ca="1">X819+X820</f>
        <v>8118710.9277487686</v>
      </c>
      <c r="Y821" s="411"/>
      <c r="Z821" s="470"/>
      <c r="AA821" s="74"/>
      <c r="AB821" s="74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</row>
    <row r="822" spans="1:47" ht="16.5" hidden="1" thickTop="1">
      <c r="A822" s="1"/>
      <c r="B822" s="1"/>
      <c r="C822" s="26"/>
      <c r="D822" s="351" t="s">
        <v>31</v>
      </c>
      <c r="E822" s="352"/>
      <c r="F822" s="322"/>
      <c r="G822" s="351" t="s">
        <v>31</v>
      </c>
      <c r="H822" s="23"/>
      <c r="I822" s="322"/>
      <c r="J822" s="386" t="s">
        <v>31</v>
      </c>
      <c r="K822" s="23"/>
      <c r="L822" s="272" t="s">
        <v>31</v>
      </c>
      <c r="M822" s="272"/>
      <c r="N822" s="386" t="s">
        <v>31</v>
      </c>
      <c r="O822" s="23"/>
      <c r="P822" s="272" t="s">
        <v>31</v>
      </c>
      <c r="Q822" s="272"/>
      <c r="R822" s="386" t="s">
        <v>31</v>
      </c>
      <c r="S822" s="23"/>
      <c r="T822" s="272" t="s">
        <v>31</v>
      </c>
      <c r="U822" s="272"/>
      <c r="V822" s="386" t="s">
        <v>31</v>
      </c>
      <c r="W822" s="23"/>
      <c r="X822" s="272" t="s">
        <v>31</v>
      </c>
      <c r="Y822" s="20"/>
      <c r="Z822" s="74"/>
      <c r="AA822" s="74"/>
      <c r="AB822" s="74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</row>
    <row r="823" spans="1:47" hidden="1">
      <c r="A823" s="293" t="s">
        <v>467</v>
      </c>
      <c r="B823" s="1"/>
      <c r="C823" s="21"/>
      <c r="D823" s="337"/>
      <c r="E823" s="2"/>
      <c r="F823" s="2"/>
      <c r="G823" s="337"/>
      <c r="H823" s="1"/>
      <c r="I823" s="2"/>
      <c r="J823" s="337"/>
      <c r="K823" s="1"/>
      <c r="L823" s="2"/>
      <c r="M823" s="2"/>
      <c r="N823" s="337"/>
      <c r="O823" s="1"/>
      <c r="P823" s="2"/>
      <c r="Q823" s="2"/>
      <c r="R823" s="337"/>
      <c r="S823" s="1"/>
      <c r="T823" s="2"/>
      <c r="U823" s="2"/>
      <c r="V823" s="337"/>
      <c r="W823" s="1"/>
      <c r="X823" s="2"/>
      <c r="Y823" s="20"/>
      <c r="Z823" s="74"/>
      <c r="AA823" s="74"/>
      <c r="AB823" s="74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</row>
    <row r="824" spans="1:47" hidden="1">
      <c r="A824" s="309" t="s">
        <v>468</v>
      </c>
      <c r="B824" s="1"/>
      <c r="C824" s="21"/>
      <c r="D824" s="337"/>
      <c r="E824" s="2"/>
      <c r="F824" s="2"/>
      <c r="G824" s="337"/>
      <c r="H824" s="1"/>
      <c r="I824" s="2"/>
      <c r="J824" s="337"/>
      <c r="K824" s="1"/>
      <c r="L824" s="2"/>
      <c r="M824" s="2"/>
      <c r="N824" s="337"/>
      <c r="O824" s="1"/>
      <c r="P824" s="2"/>
      <c r="Q824" s="2"/>
      <c r="R824" s="337"/>
      <c r="S824" s="1"/>
      <c r="T824" s="2"/>
      <c r="U824" s="2"/>
      <c r="V824" s="337"/>
      <c r="W824" s="1"/>
      <c r="X824" s="2"/>
      <c r="Y824" s="20"/>
      <c r="Z824" s="74"/>
      <c r="AA824" s="74"/>
      <c r="AB824" s="74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</row>
    <row r="825" spans="1:47" hidden="1">
      <c r="A825" s="323"/>
      <c r="B825" s="1"/>
      <c r="C825" s="21"/>
      <c r="D825" s="337"/>
      <c r="E825" s="2"/>
      <c r="F825" s="380"/>
      <c r="G825" s="337"/>
      <c r="H825" s="1"/>
      <c r="I825" s="380"/>
      <c r="J825" s="337"/>
      <c r="K825" s="1"/>
      <c r="L825" s="381"/>
      <c r="M825" s="381"/>
      <c r="N825" s="337"/>
      <c r="O825" s="1"/>
      <c r="P825" s="381"/>
      <c r="Q825" s="381"/>
      <c r="R825" s="337"/>
      <c r="S825" s="1"/>
      <c r="T825" s="381"/>
      <c r="U825" s="381"/>
      <c r="V825" s="337"/>
      <c r="W825" s="1"/>
      <c r="X825" s="381"/>
      <c r="Y825" s="20"/>
      <c r="Z825" s="74"/>
      <c r="AA825" s="74"/>
      <c r="AB825" s="74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</row>
    <row r="826" spans="1:47" hidden="1">
      <c r="A826" s="309" t="s">
        <v>449</v>
      </c>
      <c r="B826" s="1"/>
      <c r="C826" s="319"/>
      <c r="D826" s="2" t="s">
        <v>31</v>
      </c>
      <c r="E826" s="2"/>
      <c r="F826" s="1"/>
      <c r="G826" s="2" t="s">
        <v>31</v>
      </c>
      <c r="H826" s="1"/>
      <c r="I826" s="1"/>
      <c r="J826" s="2" t="s">
        <v>31</v>
      </c>
      <c r="K826" s="1"/>
      <c r="L826" s="1"/>
      <c r="M826" s="1"/>
      <c r="N826" s="2" t="s">
        <v>31</v>
      </c>
      <c r="O826" s="1"/>
      <c r="P826" s="1"/>
      <c r="Q826" s="1"/>
      <c r="R826" s="2" t="s">
        <v>31</v>
      </c>
      <c r="S826" s="1"/>
      <c r="T826" s="1"/>
      <c r="U826" s="1"/>
      <c r="V826" s="2" t="s">
        <v>31</v>
      </c>
      <c r="W826" s="1"/>
      <c r="X826" s="1"/>
      <c r="Y826" s="20"/>
      <c r="Z826" s="74"/>
      <c r="AA826" s="74"/>
      <c r="AB826" s="74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</row>
    <row r="827" spans="1:47" hidden="1">
      <c r="A827" s="309" t="s">
        <v>450</v>
      </c>
      <c r="B827" s="1"/>
      <c r="C827" s="319">
        <f>[51]Sheet1!$G$8</f>
        <v>64.334199134199096</v>
      </c>
      <c r="D827" s="337">
        <v>0</v>
      </c>
      <c r="E827" s="324"/>
      <c r="F827" s="321">
        <f>ROUND(D827*$C827,0)</f>
        <v>0</v>
      </c>
      <c r="G827" s="337">
        <v>0</v>
      </c>
      <c r="H827" s="324"/>
      <c r="I827" s="321">
        <f>ROUND(G827*C827,0)</f>
        <v>0</v>
      </c>
      <c r="J827" s="337">
        <f>$J$720</f>
        <v>0</v>
      </c>
      <c r="K827" s="324"/>
      <c r="L827" s="321">
        <f>ROUND(J827*$C827,0)</f>
        <v>0</v>
      </c>
      <c r="M827" s="321"/>
      <c r="N827" s="337">
        <f>$N$720</f>
        <v>0</v>
      </c>
      <c r="O827" s="324"/>
      <c r="P827" s="321">
        <f>ROUND(N827*$C827,0)</f>
        <v>0</v>
      </c>
      <c r="Q827" s="321"/>
      <c r="R827" s="337" t="str">
        <f>$R$720</f>
        <v xml:space="preserve"> </v>
      </c>
      <c r="S827" s="324"/>
      <c r="T827" s="321">
        <f>ROUND(R827*$C827,0)</f>
        <v>0</v>
      </c>
      <c r="U827" s="321"/>
      <c r="V827" s="337" t="str">
        <f>$V$720</f>
        <v xml:space="preserve"> </v>
      </c>
      <c r="W827" s="324"/>
      <c r="X827" s="321">
        <f>ROUND(V827*$C827,0)</f>
        <v>0</v>
      </c>
      <c r="Y827" s="20"/>
      <c r="Z827" s="74"/>
      <c r="AA827" s="74"/>
      <c r="AB827" s="74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</row>
    <row r="828" spans="1:47" hidden="1">
      <c r="A828" s="309" t="s">
        <v>451</v>
      </c>
      <c r="B828" s="1"/>
      <c r="C828" s="319"/>
      <c r="D828" s="337"/>
      <c r="E828" s="324"/>
      <c r="F828" s="321"/>
      <c r="G828" s="337"/>
      <c r="H828" s="324"/>
      <c r="I828" s="321"/>
      <c r="J828" s="337"/>
      <c r="K828" s="324"/>
      <c r="L828" s="321"/>
      <c r="M828" s="321"/>
      <c r="N828" s="337"/>
      <c r="O828" s="324"/>
      <c r="P828" s="321"/>
      <c r="Q828" s="321"/>
      <c r="R828" s="337"/>
      <c r="S828" s="324"/>
      <c r="T828" s="321"/>
      <c r="U828" s="321"/>
      <c r="V828" s="337"/>
      <c r="W828" s="324"/>
      <c r="X828" s="321"/>
      <c r="Y828" s="20"/>
      <c r="Z828" s="74"/>
      <c r="AA828" s="74"/>
      <c r="AB828" s="74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</row>
    <row r="829" spans="1:47" hidden="1">
      <c r="A829" s="309" t="s">
        <v>452</v>
      </c>
      <c r="B829" s="1"/>
      <c r="C829" s="319">
        <f>[51]Sheet1!$G$9</f>
        <v>128.32599131287699</v>
      </c>
      <c r="D829" s="337">
        <v>0</v>
      </c>
      <c r="E829" s="324"/>
      <c r="F829" s="321">
        <f>ROUND(D829*$C829,0)</f>
        <v>0</v>
      </c>
      <c r="G829" s="337">
        <v>0</v>
      </c>
      <c r="H829" s="324"/>
      <c r="I829" s="321">
        <f t="shared" ref="I829:I831" si="271">ROUND(G829*C829,0)</f>
        <v>0</v>
      </c>
      <c r="J829" s="337">
        <f>$J$722</f>
        <v>0</v>
      </c>
      <c r="K829" s="324"/>
      <c r="L829" s="321">
        <f>ROUND(J829*$C829,0)</f>
        <v>0</v>
      </c>
      <c r="M829" s="321"/>
      <c r="N829" s="337">
        <f>$N$722</f>
        <v>0</v>
      </c>
      <c r="O829" s="324"/>
      <c r="P829" s="321">
        <f>ROUND(N829*$C829,0)</f>
        <v>0</v>
      </c>
      <c r="Q829" s="321"/>
      <c r="R829" s="337" t="str">
        <f>$R$722</f>
        <v xml:space="preserve"> </v>
      </c>
      <c r="S829" s="324"/>
      <c r="T829" s="321">
        <f>ROUND(R829*$C829,0)</f>
        <v>0</v>
      </c>
      <c r="U829" s="321"/>
      <c r="V829" s="337" t="str">
        <f>$V$722</f>
        <v xml:space="preserve"> </v>
      </c>
      <c r="W829" s="324"/>
      <c r="X829" s="321">
        <f>ROUND(V829*$C829,0)</f>
        <v>0</v>
      </c>
      <c r="Y829" s="20"/>
      <c r="Z829" s="74"/>
      <c r="AA829" s="74"/>
      <c r="AB829" s="74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</row>
    <row r="830" spans="1:47" hidden="1">
      <c r="A830" s="309" t="s">
        <v>453</v>
      </c>
      <c r="B830" s="1"/>
      <c r="C830" s="319">
        <f>[51]Sheet1!$G$10</f>
        <v>10.8958908081687</v>
      </c>
      <c r="D830" s="337">
        <v>357</v>
      </c>
      <c r="E830" s="324"/>
      <c r="F830" s="321">
        <f>ROUND(D830*$C830,0)</f>
        <v>3890</v>
      </c>
      <c r="G830" s="337">
        <v>357</v>
      </c>
      <c r="H830" s="324"/>
      <c r="I830" s="321">
        <f t="shared" si="271"/>
        <v>3890</v>
      </c>
      <c r="J830" s="337">
        <f ca="1">$J$723</f>
        <v>375</v>
      </c>
      <c r="K830" s="324"/>
      <c r="L830" s="321">
        <f ca="1">ROUND(J830*$C830,0)</f>
        <v>4086</v>
      </c>
      <c r="M830" s="321"/>
      <c r="N830" s="337">
        <f ca="1">$N$723</f>
        <v>375</v>
      </c>
      <c r="O830" s="324"/>
      <c r="P830" s="321">
        <f ca="1">ROUND(N830*$C830,0)</f>
        <v>4086</v>
      </c>
      <c r="Q830" s="321"/>
      <c r="R830" s="337" t="str">
        <f>$R$723</f>
        <v xml:space="preserve"> </v>
      </c>
      <c r="S830" s="324"/>
      <c r="T830" s="321">
        <f>ROUND(R830*$C830,0)</f>
        <v>0</v>
      </c>
      <c r="U830" s="321"/>
      <c r="V830" s="337" t="str">
        <f>$V$723</f>
        <v xml:space="preserve"> </v>
      </c>
      <c r="W830" s="324"/>
      <c r="X830" s="321">
        <f>ROUND(V830*$C830,0)</f>
        <v>0</v>
      </c>
      <c r="Y830" s="20"/>
      <c r="Z830" s="74"/>
      <c r="AA830" s="74"/>
      <c r="AB830" s="74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</row>
    <row r="831" spans="1:47" hidden="1">
      <c r="A831" s="309" t="s">
        <v>454</v>
      </c>
      <c r="B831" s="1"/>
      <c r="C831" s="319">
        <f>[51]Sheet1!$G$11</f>
        <v>1</v>
      </c>
      <c r="D831" s="337">
        <v>1457</v>
      </c>
      <c r="E831" s="324"/>
      <c r="F831" s="321">
        <f>ROUND(D831*$C831,0)</f>
        <v>1457</v>
      </c>
      <c r="G831" s="337">
        <v>1457</v>
      </c>
      <c r="H831" s="324"/>
      <c r="I831" s="321">
        <f t="shared" si="271"/>
        <v>1457</v>
      </c>
      <c r="J831" s="337">
        <f ca="1">$J$724</f>
        <v>1530</v>
      </c>
      <c r="K831" s="324"/>
      <c r="L831" s="321">
        <f ca="1">ROUND(J831*$C831,0)</f>
        <v>1530</v>
      </c>
      <c r="M831" s="321"/>
      <c r="N831" s="337">
        <f ca="1">$N$724</f>
        <v>1530</v>
      </c>
      <c r="O831" s="324"/>
      <c r="P831" s="321">
        <f ca="1">ROUND(N831*$C831,0)</f>
        <v>1530</v>
      </c>
      <c r="Q831" s="321"/>
      <c r="R831" s="337" t="str">
        <f>$R$724</f>
        <v xml:space="preserve"> </v>
      </c>
      <c r="S831" s="324"/>
      <c r="T831" s="321">
        <f>ROUND(R831*$C831,0)</f>
        <v>0</v>
      </c>
      <c r="U831" s="321"/>
      <c r="V831" s="337" t="str">
        <f>$V$724</f>
        <v xml:space="preserve"> </v>
      </c>
      <c r="W831" s="324"/>
      <c r="X831" s="321">
        <f>ROUND(V831*$C831,0)</f>
        <v>0</v>
      </c>
      <c r="Y831" s="20"/>
      <c r="Z831" s="74"/>
      <c r="AA831" s="74"/>
      <c r="AB831" s="74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</row>
    <row r="832" spans="1:47" hidden="1">
      <c r="A832" s="309" t="s">
        <v>362</v>
      </c>
      <c r="B832" s="1"/>
      <c r="C832" s="319">
        <f>SUM(C827:C831)</f>
        <v>204.55608125524481</v>
      </c>
      <c r="D832" s="337"/>
      <c r="E832" s="324"/>
      <c r="F832" s="321"/>
      <c r="G832" s="337"/>
      <c r="H832" s="324"/>
      <c r="I832" s="321"/>
      <c r="J832" s="337"/>
      <c r="K832" s="324"/>
      <c r="L832" s="321"/>
      <c r="M832" s="321"/>
      <c r="N832" s="337"/>
      <c r="O832" s="324"/>
      <c r="P832" s="321"/>
      <c r="Q832" s="321"/>
      <c r="R832" s="337"/>
      <c r="S832" s="324"/>
      <c r="T832" s="321"/>
      <c r="U832" s="321"/>
      <c r="V832" s="337"/>
      <c r="W832" s="324"/>
      <c r="X832" s="321"/>
      <c r="Y832" s="20"/>
      <c r="Z832" s="74"/>
      <c r="AA832" s="74"/>
      <c r="AB832" s="74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</row>
    <row r="833" spans="1:45" hidden="1">
      <c r="A833" s="309" t="s">
        <v>455</v>
      </c>
      <c r="B833" s="1"/>
      <c r="C833" s="319">
        <f>[51]Sheet1!$F$16</f>
        <v>1557.2500000000005</v>
      </c>
      <c r="D833" s="337"/>
      <c r="E833" s="321"/>
      <c r="F833" s="321"/>
      <c r="G833" s="337"/>
      <c r="H833" s="321"/>
      <c r="I833" s="321"/>
      <c r="J833" s="337"/>
      <c r="K833" s="321"/>
      <c r="L833" s="321"/>
      <c r="M833" s="321"/>
      <c r="N833" s="337"/>
      <c r="O833" s="321"/>
      <c r="P833" s="321"/>
      <c r="Q833" s="321"/>
      <c r="R833" s="337"/>
      <c r="S833" s="321"/>
      <c r="T833" s="321"/>
      <c r="U833" s="321"/>
      <c r="V833" s="337"/>
      <c r="W833" s="321"/>
      <c r="X833" s="321"/>
      <c r="Y833" s="20"/>
      <c r="Z833" s="74"/>
      <c r="AA833" s="74"/>
      <c r="AB833" s="74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</row>
    <row r="834" spans="1:45" hidden="1">
      <c r="A834" s="309" t="s">
        <v>104</v>
      </c>
      <c r="B834" s="1"/>
      <c r="C834" s="319">
        <f>[51]Sheet1!$D$16</f>
        <v>225</v>
      </c>
      <c r="D834" s="337"/>
      <c r="E834" s="321"/>
      <c r="F834" s="321"/>
      <c r="G834" s="337"/>
      <c r="H834" s="321"/>
      <c r="I834" s="321"/>
      <c r="J834" s="337"/>
      <c r="K834" s="321"/>
      <c r="L834" s="321"/>
      <c r="M834" s="321"/>
      <c r="N834" s="337"/>
      <c r="O834" s="321"/>
      <c r="P834" s="321"/>
      <c r="Q834" s="321"/>
      <c r="R834" s="337"/>
      <c r="S834" s="321"/>
      <c r="T834" s="321"/>
      <c r="U834" s="321"/>
      <c r="V834" s="337"/>
      <c r="W834" s="321"/>
      <c r="X834" s="321"/>
      <c r="Y834" s="20"/>
      <c r="Z834" s="74"/>
      <c r="AA834" s="74"/>
      <c r="AB834" s="74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</row>
    <row r="835" spans="1:45" hidden="1">
      <c r="A835" s="309" t="s">
        <v>456</v>
      </c>
      <c r="B835" s="1"/>
      <c r="C835" s="319"/>
      <c r="D835" s="337"/>
      <c r="E835" s="324"/>
      <c r="F835" s="321"/>
      <c r="G835" s="337"/>
      <c r="H835" s="324"/>
      <c r="I835" s="321"/>
      <c r="J835" s="337"/>
      <c r="K835" s="324"/>
      <c r="L835" s="321"/>
      <c r="M835" s="321"/>
      <c r="N835" s="337"/>
      <c r="O835" s="324"/>
      <c r="P835" s="321"/>
      <c r="Q835" s="321"/>
      <c r="R835" s="337"/>
      <c r="S835" s="324"/>
      <c r="T835" s="321"/>
      <c r="U835" s="321"/>
      <c r="V835" s="337"/>
      <c r="W835" s="324"/>
      <c r="X835" s="321"/>
      <c r="Y835" s="20"/>
      <c r="Z835" s="74"/>
      <c r="AA835" s="74"/>
      <c r="AB835" s="74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</row>
    <row r="836" spans="1:45" hidden="1">
      <c r="A836" s="309" t="s">
        <v>457</v>
      </c>
      <c r="B836" s="1"/>
      <c r="C836" s="319">
        <f>[51]Sheet1!$J$8</f>
        <v>224.61625471302901</v>
      </c>
      <c r="D836" s="337">
        <v>23.87</v>
      </c>
      <c r="E836" s="324"/>
      <c r="F836" s="321">
        <f>ROUND(D836*$C836,0)</f>
        <v>5362</v>
      </c>
      <c r="G836" s="337">
        <v>25.265901957370488</v>
      </c>
      <c r="H836" s="324"/>
      <c r="I836" s="321">
        <f>ROUND(G836*C836,0)</f>
        <v>5675</v>
      </c>
      <c r="J836" s="337">
        <f ca="1">$J$729</f>
        <v>26.524302109100866</v>
      </c>
      <c r="K836" s="324"/>
      <c r="L836" s="321">
        <f ca="1">ROUND(J836*$C836,0)</f>
        <v>5958</v>
      </c>
      <c r="M836" s="321"/>
      <c r="N836" s="337">
        <f ca="1">$N$729</f>
        <v>26.524302109100866</v>
      </c>
      <c r="O836" s="324"/>
      <c r="P836" s="321">
        <f ca="1">ROUND(N836*$C836,0)</f>
        <v>5958</v>
      </c>
      <c r="Q836" s="321"/>
      <c r="R836" s="337" t="str">
        <f>$R$729</f>
        <v xml:space="preserve"> </v>
      </c>
      <c r="S836" s="324"/>
      <c r="T836" s="321">
        <f>ROUND(R836*$C836,0)</f>
        <v>0</v>
      </c>
      <c r="U836" s="321"/>
      <c r="V836" s="337" t="str">
        <f>$V$729</f>
        <v xml:space="preserve"> </v>
      </c>
      <c r="W836" s="324"/>
      <c r="X836" s="321">
        <f>ROUND(V836*$C836,0)</f>
        <v>0</v>
      </c>
      <c r="Y836" s="20"/>
      <c r="Z836" s="74"/>
      <c r="AA836" s="74"/>
      <c r="AB836" s="74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</row>
    <row r="837" spans="1:45" hidden="1">
      <c r="A837" s="309" t="s">
        <v>458</v>
      </c>
      <c r="B837" s="1"/>
      <c r="C837" s="319"/>
      <c r="D837" s="337"/>
      <c r="E837" s="324"/>
      <c r="F837" s="321"/>
      <c r="G837" s="337"/>
      <c r="H837" s="324"/>
      <c r="I837" s="321"/>
      <c r="J837" s="337"/>
      <c r="K837" s="324"/>
      <c r="L837" s="321"/>
      <c r="M837" s="321"/>
      <c r="N837" s="337"/>
      <c r="O837" s="324"/>
      <c r="P837" s="321"/>
      <c r="Q837" s="321"/>
      <c r="R837" s="337"/>
      <c r="S837" s="324"/>
      <c r="T837" s="321"/>
      <c r="U837" s="321"/>
      <c r="V837" s="337"/>
      <c r="W837" s="324"/>
      <c r="X837" s="321"/>
      <c r="Y837" s="20"/>
      <c r="Z837" s="74"/>
      <c r="AA837" s="74"/>
      <c r="AB837" s="74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</row>
    <row r="838" spans="1:45" hidden="1">
      <c r="A838" s="309" t="s">
        <v>452</v>
      </c>
      <c r="B838" s="1"/>
      <c r="C838" s="319">
        <f>[51]Sheet1!$J$9</f>
        <v>1774.8768390079899</v>
      </c>
      <c r="D838" s="337">
        <v>23.79</v>
      </c>
      <c r="E838" s="324"/>
      <c r="F838" s="321">
        <f>ROUND(D838*$C838,0)</f>
        <v>42224</v>
      </c>
      <c r="G838" s="337">
        <v>25.171223609796559</v>
      </c>
      <c r="H838" s="324"/>
      <c r="I838" s="321">
        <f t="shared" ref="I838:I842" si="272">ROUND(G838*C838,0)</f>
        <v>44676</v>
      </c>
      <c r="J838" s="337">
        <f ca="1">$J$731</f>
        <v>26.414908186870086</v>
      </c>
      <c r="K838" s="324"/>
      <c r="L838" s="321">
        <f ca="1">ROUND(J838*$C838,0)</f>
        <v>46883</v>
      </c>
      <c r="M838" s="321"/>
      <c r="N838" s="337">
        <f ca="1">$N$731</f>
        <v>26.414908186870086</v>
      </c>
      <c r="O838" s="324"/>
      <c r="P838" s="321">
        <f ca="1">ROUND(N838*$C838,0)</f>
        <v>46883</v>
      </c>
      <c r="Q838" s="321"/>
      <c r="R838" s="337" t="str">
        <f>$R$731</f>
        <v xml:space="preserve"> </v>
      </c>
      <c r="S838" s="324"/>
      <c r="T838" s="321">
        <f>ROUND(R838*$C838,0)</f>
        <v>0</v>
      </c>
      <c r="U838" s="321"/>
      <c r="V838" s="337" t="str">
        <f>$V$731</f>
        <v xml:space="preserve"> </v>
      </c>
      <c r="W838" s="324"/>
      <c r="X838" s="321">
        <f>ROUND(V838*$C838,0)</f>
        <v>0</v>
      </c>
      <c r="Y838" s="20"/>
      <c r="Z838" s="74"/>
      <c r="AA838" s="74"/>
      <c r="AB838" s="74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</row>
    <row r="839" spans="1:45" hidden="1">
      <c r="A839" s="309" t="s">
        <v>453</v>
      </c>
      <c r="B839" s="1"/>
      <c r="C839" s="319">
        <f>[51]Sheet1!$J$10</f>
        <v>1229.89051820554</v>
      </c>
      <c r="D839" s="337">
        <v>16.559999999999999</v>
      </c>
      <c r="E839" s="324"/>
      <c r="F839" s="321">
        <f>ROUND(D839*$C839,0)</f>
        <v>20367</v>
      </c>
      <c r="G839" s="337">
        <v>17.5284179478029</v>
      </c>
      <c r="H839" s="324"/>
      <c r="I839" s="321">
        <f t="shared" si="272"/>
        <v>21558</v>
      </c>
      <c r="J839" s="337">
        <f ca="1">$J$732</f>
        <v>18.401442937859667</v>
      </c>
      <c r="K839" s="324"/>
      <c r="L839" s="321">
        <f ca="1">ROUND(J839*$C839,0)</f>
        <v>22632</v>
      </c>
      <c r="M839" s="321"/>
      <c r="N839" s="337">
        <f ca="1">$N$732</f>
        <v>18.401442937859667</v>
      </c>
      <c r="O839" s="324"/>
      <c r="P839" s="321">
        <f ca="1">ROUND(N839*$C839,0)</f>
        <v>22632</v>
      </c>
      <c r="Q839" s="321"/>
      <c r="R839" s="337" t="str">
        <f>$R$732</f>
        <v xml:space="preserve"> </v>
      </c>
      <c r="S839" s="324"/>
      <c r="T839" s="321">
        <f>ROUND(R839*$C839,0)</f>
        <v>0</v>
      </c>
      <c r="U839" s="321"/>
      <c r="V839" s="337" t="str">
        <f>$V$732</f>
        <v xml:space="preserve"> </v>
      </c>
      <c r="W839" s="324"/>
      <c r="X839" s="321">
        <f>ROUND(V839*$C839,0)</f>
        <v>0</v>
      </c>
      <c r="Y839" s="20"/>
      <c r="Z839" s="74"/>
      <c r="AA839" s="74"/>
      <c r="AB839" s="74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</row>
    <row r="840" spans="1:45" hidden="1">
      <c r="A840" s="309" t="s">
        <v>454</v>
      </c>
      <c r="B840" s="1"/>
      <c r="C840" s="319">
        <f>[51]Sheet1!$J$11</f>
        <v>333</v>
      </c>
      <c r="D840" s="337">
        <v>12.96</v>
      </c>
      <c r="E840" s="324"/>
      <c r="F840" s="321">
        <f>ROUND(D840*$C840,0)</f>
        <v>4316</v>
      </c>
      <c r="G840" s="337">
        <v>13.717892306976186</v>
      </c>
      <c r="H840" s="324"/>
      <c r="I840" s="321">
        <f t="shared" si="272"/>
        <v>4568</v>
      </c>
      <c r="J840" s="337">
        <f ca="1">$J$733</f>
        <v>14.401129255716265</v>
      </c>
      <c r="K840" s="324"/>
      <c r="L840" s="321">
        <f ca="1">ROUND(J840*$C840,0)</f>
        <v>4796</v>
      </c>
      <c r="M840" s="321"/>
      <c r="N840" s="337">
        <f ca="1">$N$733</f>
        <v>14.401129255716265</v>
      </c>
      <c r="O840" s="324"/>
      <c r="P840" s="321">
        <f ca="1">ROUND(N840*$C840,0)</f>
        <v>4796</v>
      </c>
      <c r="Q840" s="321"/>
      <c r="R840" s="337" t="str">
        <f>$R$733</f>
        <v xml:space="preserve"> </v>
      </c>
      <c r="S840" s="324"/>
      <c r="T840" s="321">
        <f>ROUND(R840*$C840,0)</f>
        <v>0</v>
      </c>
      <c r="U840" s="321"/>
      <c r="V840" s="337" t="str">
        <f>$V$733</f>
        <v xml:space="preserve"> </v>
      </c>
      <c r="W840" s="324"/>
      <c r="X840" s="321">
        <f>ROUND(V840*$C840,0)</f>
        <v>0</v>
      </c>
      <c r="Y840" s="20"/>
      <c r="Z840" s="74"/>
      <c r="AA840" s="74"/>
      <c r="AB840" s="74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</row>
    <row r="841" spans="1:45" hidden="1">
      <c r="A841" s="309" t="s">
        <v>460</v>
      </c>
      <c r="B841" s="1"/>
      <c r="C841" s="319">
        <f>[51]Sheet1!$H$8</f>
        <v>35.073956151375498</v>
      </c>
      <c r="D841" s="337">
        <v>71.61</v>
      </c>
      <c r="E841" s="324"/>
      <c r="F841" s="321">
        <f>ROUND(D841*$C841,0)</f>
        <v>2512</v>
      </c>
      <c r="G841" s="337">
        <v>75.797705872111464</v>
      </c>
      <c r="H841" s="324"/>
      <c r="I841" s="321">
        <f t="shared" si="272"/>
        <v>2659</v>
      </c>
      <c r="J841" s="337">
        <f ca="1">$J$734</f>
        <v>79.572906327302604</v>
      </c>
      <c r="K841" s="324"/>
      <c r="L841" s="321">
        <f ca="1">ROUND(J841*$C841,0)</f>
        <v>2791</v>
      </c>
      <c r="M841" s="321"/>
      <c r="N841" s="337">
        <f ca="1">$N$734</f>
        <v>79.572906327302604</v>
      </c>
      <c r="O841" s="324"/>
      <c r="P841" s="321">
        <f ca="1">ROUND(N841*$C841,0)</f>
        <v>2791</v>
      </c>
      <c r="Q841" s="321"/>
      <c r="R841" s="337" t="str">
        <f>$R$734</f>
        <v xml:space="preserve"> </v>
      </c>
      <c r="S841" s="324"/>
      <c r="T841" s="321">
        <f>ROUND(R841*$C841,0)</f>
        <v>0</v>
      </c>
      <c r="U841" s="321"/>
      <c r="V841" s="337" t="str">
        <f>$V$734</f>
        <v xml:space="preserve"> </v>
      </c>
      <c r="W841" s="324"/>
      <c r="X841" s="321">
        <f>ROUND(V841*$C841,0)</f>
        <v>0</v>
      </c>
      <c r="Y841" s="20"/>
      <c r="Z841" s="74"/>
      <c r="AA841" s="74"/>
      <c r="AB841" s="74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</row>
    <row r="842" spans="1:45" hidden="1">
      <c r="A842" s="309" t="s">
        <v>461</v>
      </c>
      <c r="B842" s="1"/>
      <c r="C842" s="319">
        <f>[51]Sheet1!$H$9</f>
        <v>31.972554294521501</v>
      </c>
      <c r="D842" s="337">
        <v>142.74</v>
      </c>
      <c r="E842" s="324"/>
      <c r="F842" s="321">
        <f>ROUND(D842*$C842,0)</f>
        <v>4564</v>
      </c>
      <c r="G842" s="337">
        <v>151.02734165877936</v>
      </c>
      <c r="H842" s="324"/>
      <c r="I842" s="321">
        <f t="shared" si="272"/>
        <v>4829</v>
      </c>
      <c r="J842" s="337">
        <f ca="1">$J$735</f>
        <v>158.4894491212205</v>
      </c>
      <c r="K842" s="324"/>
      <c r="L842" s="321">
        <f ca="1">ROUND(J842*$C842,0)</f>
        <v>5067</v>
      </c>
      <c r="M842" s="321"/>
      <c r="N842" s="337">
        <f ca="1">$N$735</f>
        <v>158.4894491212205</v>
      </c>
      <c r="O842" s="324"/>
      <c r="P842" s="321">
        <f ca="1">ROUND(N842*$C842,0)</f>
        <v>5067</v>
      </c>
      <c r="Q842" s="321"/>
      <c r="R842" s="337" t="str">
        <f>$R$735</f>
        <v xml:space="preserve"> </v>
      </c>
      <c r="S842" s="324"/>
      <c r="T842" s="321">
        <f>ROUND(R842*$C842,0)</f>
        <v>0</v>
      </c>
      <c r="U842" s="321"/>
      <c r="V842" s="337" t="str">
        <f>$V$735</f>
        <v xml:space="preserve"> </v>
      </c>
      <c r="W842" s="324"/>
      <c r="X842" s="321">
        <f>ROUND(V842*$C842,0)</f>
        <v>0</v>
      </c>
      <c r="Y842" s="20"/>
      <c r="Z842" s="74"/>
      <c r="AA842" s="74"/>
      <c r="AB842" s="74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</row>
    <row r="843" spans="1:45" hidden="1">
      <c r="A843" s="309" t="s">
        <v>462</v>
      </c>
      <c r="B843" s="1"/>
      <c r="C843" s="319"/>
      <c r="D843" s="337"/>
      <c r="E843" s="324"/>
      <c r="F843" s="321"/>
      <c r="G843" s="337"/>
      <c r="H843" s="324"/>
      <c r="I843" s="321"/>
      <c r="J843" s="337"/>
      <c r="K843" s="324"/>
      <c r="L843" s="321"/>
      <c r="M843" s="321"/>
      <c r="N843" s="337"/>
      <c r="O843" s="324"/>
      <c r="P843" s="321"/>
      <c r="Q843" s="321"/>
      <c r="R843" s="337"/>
      <c r="S843" s="324"/>
      <c r="T843" s="321"/>
      <c r="U843" s="321"/>
      <c r="V843" s="337"/>
      <c r="W843" s="324"/>
      <c r="X843" s="321"/>
      <c r="Y843" s="20"/>
      <c r="Z843" s="74"/>
      <c r="AA843" s="74"/>
      <c r="AB843" s="74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</row>
    <row r="844" spans="1:45" hidden="1">
      <c r="A844" s="309" t="s">
        <v>457</v>
      </c>
      <c r="B844" s="1"/>
      <c r="C844" s="319">
        <f>[51]Sheet1!$K$8</f>
        <v>2.3150397989107701</v>
      </c>
      <c r="D844" s="363">
        <v>-23.87</v>
      </c>
      <c r="E844" s="324"/>
      <c r="F844" s="321">
        <f>ROUND(D844*$C844,0)</f>
        <v>-55</v>
      </c>
      <c r="G844" s="363">
        <v>-25.265901957370488</v>
      </c>
      <c r="H844" s="324"/>
      <c r="I844" s="321">
        <f t="shared" ref="I844:I845" si="273">ROUND(G844*C844,0)</f>
        <v>-58</v>
      </c>
      <c r="J844" s="363">
        <f ca="1">-J836</f>
        <v>-26.524302109100866</v>
      </c>
      <c r="K844" s="324"/>
      <c r="L844" s="321">
        <f ca="1">ROUND(J844*$C844,0)</f>
        <v>-61</v>
      </c>
      <c r="M844" s="321"/>
      <c r="N844" s="363">
        <f ca="1">-N836</f>
        <v>-26.524302109100866</v>
      </c>
      <c r="O844" s="324"/>
      <c r="P844" s="321">
        <f ca="1">ROUND(N844*$C844,0)</f>
        <v>-61</v>
      </c>
      <c r="Q844" s="321"/>
      <c r="R844" s="363">
        <f>-R836</f>
        <v>0</v>
      </c>
      <c r="S844" s="324"/>
      <c r="T844" s="321">
        <f>ROUND(R844*$C844,0)</f>
        <v>0</v>
      </c>
      <c r="U844" s="321"/>
      <c r="V844" s="363">
        <f>-V836</f>
        <v>0</v>
      </c>
      <c r="W844" s="324"/>
      <c r="X844" s="321">
        <f>ROUND(V844*$C844,0)</f>
        <v>0</v>
      </c>
      <c r="Y844" s="20"/>
      <c r="Z844" s="74"/>
      <c r="AA844" s="74"/>
      <c r="AB844" s="74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</row>
    <row r="845" spans="1:45" hidden="1">
      <c r="A845" s="309" t="s">
        <v>463</v>
      </c>
      <c r="B845" s="1"/>
      <c r="C845" s="319">
        <f>[51]Sheet1!$K$9</f>
        <v>5.9588062211013</v>
      </c>
      <c r="D845" s="363">
        <v>-23.79</v>
      </c>
      <c r="E845" s="324"/>
      <c r="F845" s="321">
        <f>ROUND(D845*$C845,0)</f>
        <v>-142</v>
      </c>
      <c r="G845" s="363">
        <v>-25.171223609796559</v>
      </c>
      <c r="H845" s="324"/>
      <c r="I845" s="321">
        <f t="shared" si="273"/>
        <v>-150</v>
      </c>
      <c r="J845" s="363">
        <f ca="1">-J838</f>
        <v>-26.414908186870086</v>
      </c>
      <c r="K845" s="324"/>
      <c r="L845" s="321">
        <f ca="1">ROUND(J845*$C845,0)</f>
        <v>-157</v>
      </c>
      <c r="M845" s="321"/>
      <c r="N845" s="363">
        <f ca="1">-N838</f>
        <v>-26.414908186870086</v>
      </c>
      <c r="O845" s="324"/>
      <c r="P845" s="321">
        <f ca="1">ROUND(N845*$C845,0)</f>
        <v>-157</v>
      </c>
      <c r="Q845" s="321"/>
      <c r="R845" s="363">
        <f>-R838</f>
        <v>0</v>
      </c>
      <c r="S845" s="324"/>
      <c r="T845" s="321">
        <f>ROUND(R845*$C845,0)</f>
        <v>0</v>
      </c>
      <c r="U845" s="321"/>
      <c r="V845" s="363">
        <f>-V838</f>
        <v>0</v>
      </c>
      <c r="W845" s="324"/>
      <c r="X845" s="321">
        <f>ROUND(V845*$C845,0)</f>
        <v>0</v>
      </c>
      <c r="Y845" s="20"/>
      <c r="Z845" s="74"/>
      <c r="AA845" s="74"/>
      <c r="AB845" s="74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</row>
    <row r="846" spans="1:45" hidden="1">
      <c r="A846" s="323" t="s">
        <v>426</v>
      </c>
      <c r="B846" s="1"/>
      <c r="C846" s="319"/>
      <c r="D846" s="337"/>
      <c r="E846" s="321"/>
      <c r="F846" s="321"/>
      <c r="G846" s="337"/>
      <c r="H846" s="321"/>
      <c r="I846" s="321"/>
      <c r="J846" s="337"/>
      <c r="K846" s="321"/>
      <c r="L846" s="321"/>
      <c r="M846" s="321"/>
      <c r="N846" s="337"/>
      <c r="O846" s="321"/>
      <c r="P846" s="321"/>
      <c r="Q846" s="321"/>
      <c r="R846" s="337"/>
      <c r="S846" s="321"/>
      <c r="T846" s="321"/>
      <c r="U846" s="321"/>
      <c r="V846" s="337"/>
      <c r="W846" s="321"/>
      <c r="X846" s="321"/>
      <c r="Y846" s="20"/>
      <c r="Z846" s="74"/>
      <c r="AA846" s="74"/>
      <c r="AB846" s="74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</row>
    <row r="847" spans="1:45" hidden="1">
      <c r="A847" s="309" t="s">
        <v>464</v>
      </c>
      <c r="B847" s="1"/>
      <c r="C847" s="319">
        <f>[51]Sheet1!$L$16</f>
        <v>5473590</v>
      </c>
      <c r="D847" s="382">
        <v>6.4390000000000001</v>
      </c>
      <c r="E847" s="321" t="s">
        <v>374</v>
      </c>
      <c r="F847" s="321">
        <f>ROUND(D847/100*$C847,0)</f>
        <v>352444</v>
      </c>
      <c r="G847" s="382">
        <v>6.8159999999999998</v>
      </c>
      <c r="H847" s="321" t="s">
        <v>374</v>
      </c>
      <c r="I847" s="321">
        <f>ROUND(G847/100*C847,0)</f>
        <v>373080</v>
      </c>
      <c r="J847" s="382">
        <f ca="1">$J$740</f>
        <v>3.9140000000000001</v>
      </c>
      <c r="K847" s="321" t="s">
        <v>374</v>
      </c>
      <c r="L847" s="321">
        <f ca="1">ROUND(J847/100*$C847,0)</f>
        <v>214236</v>
      </c>
      <c r="M847" s="321"/>
      <c r="N847" s="382">
        <f ca="1">$N$740</f>
        <v>0.10011647788394891</v>
      </c>
      <c r="O847" s="321" t="s">
        <v>374</v>
      </c>
      <c r="P847" s="321">
        <f ca="1">ROUND(N847/100*$C847,0)</f>
        <v>5480</v>
      </c>
      <c r="Q847" s="321"/>
      <c r="R847" s="382">
        <f ca="1">$R$740</f>
        <v>1.3911559920341985</v>
      </c>
      <c r="S847" s="321" t="s">
        <v>374</v>
      </c>
      <c r="T847" s="321">
        <f ca="1">ROUND(R847/100*$C847,0)</f>
        <v>76146</v>
      </c>
      <c r="U847" s="321"/>
      <c r="V847" s="382">
        <f ca="1">$V$740</f>
        <v>2.4227485087524854</v>
      </c>
      <c r="W847" s="321" t="s">
        <v>374</v>
      </c>
      <c r="X847" s="321">
        <f ca="1">ROUND(V847/100*$C847,0)</f>
        <v>132611</v>
      </c>
      <c r="Y847" s="20"/>
      <c r="Z847" s="74"/>
      <c r="AA847" s="74"/>
      <c r="AB847" s="74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</row>
    <row r="848" spans="1:45" hidden="1">
      <c r="A848" s="323" t="s">
        <v>400</v>
      </c>
      <c r="B848" s="1"/>
      <c r="C848" s="319">
        <f>[51]Sheet1!$M$16</f>
        <v>1277</v>
      </c>
      <c r="D848" s="339">
        <v>56</v>
      </c>
      <c r="E848" s="323" t="s">
        <v>374</v>
      </c>
      <c r="F848" s="321">
        <f>ROUND(D848*$C848/100,0)</f>
        <v>715</v>
      </c>
      <c r="G848" s="339">
        <v>56</v>
      </c>
      <c r="H848" s="323" t="s">
        <v>374</v>
      </c>
      <c r="I848" s="321">
        <f>ROUND(G848*C848/100,0)</f>
        <v>715</v>
      </c>
      <c r="J848" s="339">
        <f>$J$741</f>
        <v>56</v>
      </c>
      <c r="K848" s="323" t="s">
        <v>374</v>
      </c>
      <c r="L848" s="321">
        <f>ROUND(J848*$C848/100,0)</f>
        <v>715</v>
      </c>
      <c r="M848" s="321"/>
      <c r="N848" s="339" t="str">
        <f>$N$741</f>
        <v xml:space="preserve"> </v>
      </c>
      <c r="O848" s="323" t="s">
        <v>374</v>
      </c>
      <c r="P848" s="321">
        <f>ROUND(N848*$C848/100,0)</f>
        <v>0</v>
      </c>
      <c r="Q848" s="321"/>
      <c r="R848" s="339">
        <f ca="1">$R$741</f>
        <v>11</v>
      </c>
      <c r="S848" s="323" t="s">
        <v>374</v>
      </c>
      <c r="T848" s="321">
        <f ca="1">ROUND(R848*$C848/100,0)</f>
        <v>140</v>
      </c>
      <c r="U848" s="321"/>
      <c r="V848" s="339">
        <f ca="1">$V$741</f>
        <v>45</v>
      </c>
      <c r="W848" s="323" t="s">
        <v>374</v>
      </c>
      <c r="X848" s="321">
        <f ca="1">ROUND(V848*$C848/100,0)</f>
        <v>575</v>
      </c>
      <c r="Y848" s="20"/>
      <c r="Z848" s="74"/>
      <c r="AA848" s="74"/>
      <c r="AB848" s="74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</row>
    <row r="849" spans="1:47" s="1184" customFormat="1" hidden="1">
      <c r="A849" s="1005" t="s">
        <v>928</v>
      </c>
      <c r="C849" s="1202">
        <f>C847</f>
        <v>5473590</v>
      </c>
      <c r="D849" s="269"/>
      <c r="E849" s="1185"/>
      <c r="F849" s="1203"/>
      <c r="G849" s="269"/>
      <c r="H849" s="1185"/>
      <c r="I849" s="1203"/>
      <c r="J849" s="1316">
        <f>J742</f>
        <v>3.2410000000000001</v>
      </c>
      <c r="K849" s="1041" t="s">
        <v>374</v>
      </c>
      <c r="L849" s="1041">
        <f>ROUND(J849*$C849/100,0)</f>
        <v>177399</v>
      </c>
      <c r="M849" s="1041"/>
      <c r="N849" s="1316" t="str">
        <f>N742</f>
        <v xml:space="preserve"> </v>
      </c>
      <c r="O849" s="1041" t="s">
        <v>374</v>
      </c>
      <c r="P849" s="1041">
        <f>ROUND(N849*$C849/100,0)</f>
        <v>0</v>
      </c>
      <c r="Q849" s="1041"/>
      <c r="R849" s="1316" t="str">
        <f>R742</f>
        <v xml:space="preserve"> </v>
      </c>
      <c r="S849" s="1041" t="s">
        <v>374</v>
      </c>
      <c r="T849" s="1041">
        <f>ROUND(R849*$C849/100,0)</f>
        <v>0</v>
      </c>
      <c r="U849" s="1041"/>
      <c r="V849" s="1316">
        <f>V742</f>
        <v>3.2410000000000001</v>
      </c>
      <c r="W849" s="1041" t="s">
        <v>374</v>
      </c>
      <c r="X849" s="1041">
        <f>ROUND(V849*$C849/100,0)</f>
        <v>177399</v>
      </c>
      <c r="Z849" s="815"/>
      <c r="AC849" s="1205"/>
      <c r="AD849" s="1205"/>
      <c r="AI849" s="1185"/>
      <c r="AJ849" s="1185"/>
      <c r="AK849" s="1185"/>
      <c r="AL849" s="1185"/>
      <c r="AM849" s="1185"/>
      <c r="AN849" s="1185"/>
      <c r="AO849" s="1185"/>
      <c r="AP849" s="1185"/>
      <c r="AQ849" s="1185"/>
      <c r="AR849" s="1185"/>
      <c r="AS849" s="1185"/>
      <c r="AU849" s="1204"/>
    </row>
    <row r="850" spans="1:47" hidden="1">
      <c r="A850" s="360" t="s">
        <v>401</v>
      </c>
      <c r="B850" s="1"/>
      <c r="C850" s="319"/>
      <c r="D850" s="332">
        <v>-0.01</v>
      </c>
      <c r="E850" s="2"/>
      <c r="F850" s="321"/>
      <c r="G850" s="332">
        <v>-0.01</v>
      </c>
      <c r="H850" s="1"/>
      <c r="I850" s="321"/>
      <c r="J850" s="332">
        <v>-0.01</v>
      </c>
      <c r="K850" s="1"/>
      <c r="L850" s="321"/>
      <c r="M850" s="321"/>
      <c r="N850" s="332">
        <v>-0.01</v>
      </c>
      <c r="O850" s="1"/>
      <c r="P850" s="321"/>
      <c r="Q850" s="321"/>
      <c r="R850" s="332">
        <v>-0.01</v>
      </c>
      <c r="S850" s="1"/>
      <c r="T850" s="321"/>
      <c r="U850" s="321"/>
      <c r="V850" s="332">
        <v>-0.01</v>
      </c>
      <c r="W850" s="1"/>
      <c r="X850" s="321"/>
      <c r="Y850" s="20"/>
      <c r="Z850" s="74"/>
      <c r="AA850" s="74"/>
      <c r="AB850" s="74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</row>
    <row r="851" spans="1:47" hidden="1">
      <c r="A851" s="309" t="s">
        <v>390</v>
      </c>
      <c r="B851" s="1"/>
      <c r="C851" s="319">
        <v>0</v>
      </c>
      <c r="D851" s="384">
        <v>0</v>
      </c>
      <c r="E851" s="324"/>
      <c r="F851" s="321">
        <f>ROUND(D851*$C851*$D$744,0)</f>
        <v>0</v>
      </c>
      <c r="G851" s="384">
        <v>0</v>
      </c>
      <c r="H851" s="324"/>
      <c r="I851" s="321">
        <f>ROUND(G851*C851,0)</f>
        <v>0</v>
      </c>
      <c r="J851" s="384">
        <f>J827</f>
        <v>0</v>
      </c>
      <c r="K851" s="324"/>
      <c r="L851" s="321">
        <f>ROUND(J851*$C851*$J$850,0)</f>
        <v>0</v>
      </c>
      <c r="M851" s="321"/>
      <c r="N851" s="384">
        <f>N827</f>
        <v>0</v>
      </c>
      <c r="O851" s="324"/>
      <c r="P851" s="321">
        <f>ROUND(N851*$C851*$J$850,0)</f>
        <v>0</v>
      </c>
      <c r="Q851" s="321"/>
      <c r="R851" s="384" t="str">
        <f>R827</f>
        <v xml:space="preserve"> </v>
      </c>
      <c r="S851" s="324"/>
      <c r="T851" s="321">
        <f>ROUND(R851*$C851*$J$850,0)</f>
        <v>0</v>
      </c>
      <c r="U851" s="321"/>
      <c r="V851" s="384" t="str">
        <f>V827</f>
        <v xml:space="preserve"> </v>
      </c>
      <c r="W851" s="324"/>
      <c r="X851" s="321">
        <f>ROUND(V851*$C851*$J$850,0)</f>
        <v>0</v>
      </c>
      <c r="Y851" s="20"/>
      <c r="Z851" s="74"/>
      <c r="AA851" s="74"/>
      <c r="AB851" s="74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</row>
    <row r="852" spans="1:47" hidden="1">
      <c r="A852" s="309" t="s">
        <v>391</v>
      </c>
      <c r="B852" s="1"/>
      <c r="C852" s="319"/>
      <c r="D852" s="384"/>
      <c r="E852" s="324"/>
      <c r="F852" s="321"/>
      <c r="G852" s="384"/>
      <c r="H852" s="324"/>
      <c r="I852" s="321"/>
      <c r="J852" s="384"/>
      <c r="K852" s="324"/>
      <c r="L852" s="321"/>
      <c r="M852" s="321"/>
      <c r="N852" s="384"/>
      <c r="O852" s="324"/>
      <c r="P852" s="321"/>
      <c r="Q852" s="321"/>
      <c r="R852" s="384"/>
      <c r="S852" s="324"/>
      <c r="T852" s="321"/>
      <c r="U852" s="321"/>
      <c r="V852" s="384"/>
      <c r="W852" s="324"/>
      <c r="X852" s="321"/>
      <c r="Y852" s="20"/>
      <c r="Z852" s="74"/>
      <c r="AA852" s="74"/>
      <c r="AB852" s="74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</row>
    <row r="853" spans="1:47" hidden="1">
      <c r="A853" s="309" t="s">
        <v>452</v>
      </c>
      <c r="B853" s="1"/>
      <c r="C853" s="319">
        <v>0</v>
      </c>
      <c r="D853" s="384">
        <v>0</v>
      </c>
      <c r="E853" s="324"/>
      <c r="F853" s="321">
        <f>ROUND(D853*$C853*$D$744,0)</f>
        <v>0</v>
      </c>
      <c r="G853" s="384">
        <v>0</v>
      </c>
      <c r="H853" s="324"/>
      <c r="I853" s="321">
        <f t="shared" ref="I853:I856" si="274">ROUND(G853*C853,0)</f>
        <v>0</v>
      </c>
      <c r="J853" s="384">
        <f>J829</f>
        <v>0</v>
      </c>
      <c r="K853" s="324"/>
      <c r="L853" s="321">
        <f t="shared" ref="L853:L856" si="275">ROUND(J853*$C853*$J$850,0)</f>
        <v>0</v>
      </c>
      <c r="M853" s="321"/>
      <c r="N853" s="384">
        <f>N829</f>
        <v>0</v>
      </c>
      <c r="O853" s="324"/>
      <c r="P853" s="321">
        <f t="shared" ref="P853:P856" si="276">ROUND(N853*$C853*$J$850,0)</f>
        <v>0</v>
      </c>
      <c r="Q853" s="321"/>
      <c r="R853" s="384" t="str">
        <f>R829</f>
        <v xml:space="preserve"> </v>
      </c>
      <c r="S853" s="324"/>
      <c r="T853" s="321">
        <f t="shared" ref="T853:T856" si="277">ROUND(R853*$C853*$J$850,0)</f>
        <v>0</v>
      </c>
      <c r="U853" s="321"/>
      <c r="V853" s="384" t="str">
        <f>V829</f>
        <v xml:space="preserve"> </v>
      </c>
      <c r="W853" s="324"/>
      <c r="X853" s="321">
        <f t="shared" ref="X853:X856" si="278">ROUND(V853*$C853*$J$850,0)</f>
        <v>0</v>
      </c>
      <c r="Y853" s="20"/>
      <c r="Z853" s="74"/>
      <c r="AA853" s="74"/>
      <c r="AB853" s="74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</row>
    <row r="854" spans="1:47" hidden="1">
      <c r="A854" s="309" t="s">
        <v>453</v>
      </c>
      <c r="B854" s="1"/>
      <c r="C854" s="319">
        <v>0</v>
      </c>
      <c r="D854" s="384">
        <v>357</v>
      </c>
      <c r="E854" s="324"/>
      <c r="F854" s="321">
        <f>ROUND(D854*$C854*$D$744,0)</f>
        <v>0</v>
      </c>
      <c r="G854" s="384">
        <v>357</v>
      </c>
      <c r="H854" s="324"/>
      <c r="I854" s="321">
        <f t="shared" si="274"/>
        <v>0</v>
      </c>
      <c r="J854" s="384">
        <f ca="1">J830</f>
        <v>375</v>
      </c>
      <c r="K854" s="324"/>
      <c r="L854" s="321">
        <f t="shared" ca="1" si="275"/>
        <v>0</v>
      </c>
      <c r="M854" s="321"/>
      <c r="N854" s="384">
        <f ca="1">N830</f>
        <v>375</v>
      </c>
      <c r="O854" s="324"/>
      <c r="P854" s="321">
        <f t="shared" ca="1" si="276"/>
        <v>0</v>
      </c>
      <c r="Q854" s="321"/>
      <c r="R854" s="384" t="str">
        <f>R830</f>
        <v xml:space="preserve"> </v>
      </c>
      <c r="S854" s="324"/>
      <c r="T854" s="321">
        <f t="shared" si="277"/>
        <v>0</v>
      </c>
      <c r="U854" s="321"/>
      <c r="V854" s="384" t="str">
        <f>V830</f>
        <v xml:space="preserve"> </v>
      </c>
      <c r="W854" s="324"/>
      <c r="X854" s="321">
        <f t="shared" si="278"/>
        <v>0</v>
      </c>
      <c r="Y854" s="20"/>
      <c r="Z854" s="74"/>
      <c r="AA854" s="74"/>
      <c r="AB854" s="74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</row>
    <row r="855" spans="1:47" hidden="1">
      <c r="A855" s="309" t="s">
        <v>454</v>
      </c>
      <c r="B855" s="1"/>
      <c r="C855" s="319">
        <v>0</v>
      </c>
      <c r="D855" s="384">
        <v>1457</v>
      </c>
      <c r="E855" s="324"/>
      <c r="F855" s="321">
        <f>ROUND(D855*$C855*$D$744,0)</f>
        <v>0</v>
      </c>
      <c r="G855" s="384">
        <v>1457</v>
      </c>
      <c r="H855" s="324"/>
      <c r="I855" s="321">
        <f t="shared" si="274"/>
        <v>0</v>
      </c>
      <c r="J855" s="384">
        <f ca="1">J831</f>
        <v>1530</v>
      </c>
      <c r="K855" s="324"/>
      <c r="L855" s="321">
        <f t="shared" ca="1" si="275"/>
        <v>0</v>
      </c>
      <c r="M855" s="321"/>
      <c r="N855" s="384">
        <f ca="1">N831</f>
        <v>1530</v>
      </c>
      <c r="O855" s="324"/>
      <c r="P855" s="321">
        <f t="shared" ca="1" si="276"/>
        <v>0</v>
      </c>
      <c r="Q855" s="321"/>
      <c r="R855" s="384" t="str">
        <f>R831</f>
        <v xml:space="preserve"> </v>
      </c>
      <c r="S855" s="324"/>
      <c r="T855" s="321">
        <f t="shared" si="277"/>
        <v>0</v>
      </c>
      <c r="U855" s="321"/>
      <c r="V855" s="384" t="str">
        <f>V831</f>
        <v xml:space="preserve"> </v>
      </c>
      <c r="W855" s="324"/>
      <c r="X855" s="321">
        <f t="shared" si="278"/>
        <v>0</v>
      </c>
      <c r="Y855" s="20"/>
      <c r="Z855" s="74"/>
      <c r="AA855" s="74"/>
      <c r="AB855" s="74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</row>
    <row r="856" spans="1:47" hidden="1">
      <c r="A856" s="309" t="s">
        <v>390</v>
      </c>
      <c r="B856" s="1"/>
      <c r="C856" s="319">
        <v>0</v>
      </c>
      <c r="D856" s="384">
        <v>23.87</v>
      </c>
      <c r="E856" s="324"/>
      <c r="F856" s="321">
        <f>ROUND(D856*$C856*$D$744,0)</f>
        <v>0</v>
      </c>
      <c r="G856" s="384">
        <v>25.265901957370488</v>
      </c>
      <c r="H856" s="324"/>
      <c r="I856" s="321">
        <f t="shared" si="274"/>
        <v>0</v>
      </c>
      <c r="J856" s="384">
        <f ca="1">J836</f>
        <v>26.524302109100866</v>
      </c>
      <c r="K856" s="324"/>
      <c r="L856" s="321">
        <f t="shared" ca="1" si="275"/>
        <v>0</v>
      </c>
      <c r="M856" s="321"/>
      <c r="N856" s="384">
        <f ca="1">N836</f>
        <v>26.524302109100866</v>
      </c>
      <c r="O856" s="324"/>
      <c r="P856" s="321">
        <f t="shared" ca="1" si="276"/>
        <v>0</v>
      </c>
      <c r="Q856" s="321"/>
      <c r="R856" s="384" t="str">
        <f>R836</f>
        <v xml:space="preserve"> </v>
      </c>
      <c r="S856" s="324"/>
      <c r="T856" s="321">
        <f t="shared" si="277"/>
        <v>0</v>
      </c>
      <c r="U856" s="321"/>
      <c r="V856" s="384" t="str">
        <f>V836</f>
        <v xml:space="preserve"> </v>
      </c>
      <c r="W856" s="324"/>
      <c r="X856" s="321">
        <f t="shared" si="278"/>
        <v>0</v>
      </c>
      <c r="Y856" s="20"/>
      <c r="Z856" s="74"/>
      <c r="AA856" s="74"/>
      <c r="AB856" s="74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</row>
    <row r="857" spans="1:47" hidden="1">
      <c r="A857" s="309" t="s">
        <v>391</v>
      </c>
      <c r="B857" s="1"/>
      <c r="C857" s="319"/>
      <c r="D857" s="384"/>
      <c r="E857" s="324"/>
      <c r="F857" s="321"/>
      <c r="G857" s="384"/>
      <c r="H857" s="324"/>
      <c r="I857" s="321"/>
      <c r="J857" s="384"/>
      <c r="K857" s="324"/>
      <c r="L857" s="321"/>
      <c r="M857" s="321"/>
      <c r="N857" s="384"/>
      <c r="O857" s="324"/>
      <c r="P857" s="321"/>
      <c r="Q857" s="321"/>
      <c r="R857" s="384"/>
      <c r="S857" s="324"/>
      <c r="T857" s="321"/>
      <c r="U857" s="321"/>
      <c r="V857" s="384"/>
      <c r="W857" s="324"/>
      <c r="X857" s="321"/>
      <c r="Y857" s="20"/>
      <c r="Z857" s="74"/>
      <c r="AA857" s="74"/>
      <c r="AB857" s="74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</row>
    <row r="858" spans="1:47" hidden="1">
      <c r="A858" s="309" t="s">
        <v>452</v>
      </c>
      <c r="B858" s="1"/>
      <c r="C858" s="319">
        <v>0</v>
      </c>
      <c r="D858" s="384">
        <v>23.79</v>
      </c>
      <c r="E858" s="324"/>
      <c r="F858" s="321">
        <f>ROUND(D858*$C858*$D$744,0)</f>
        <v>0</v>
      </c>
      <c r="G858" s="384">
        <v>25.171223609796559</v>
      </c>
      <c r="H858" s="324"/>
      <c r="I858" s="321">
        <f>ROUND(G858*$C858*$G$744,0)</f>
        <v>0</v>
      </c>
      <c r="J858" s="384">
        <f ca="1">J838</f>
        <v>26.414908186870086</v>
      </c>
      <c r="K858" s="324"/>
      <c r="L858" s="321">
        <f t="shared" ref="L858:L862" ca="1" si="279">ROUND(J858*$C858*$J$850,0)</f>
        <v>0</v>
      </c>
      <c r="M858" s="321"/>
      <c r="N858" s="384">
        <f ca="1">N838</f>
        <v>26.414908186870086</v>
      </c>
      <c r="O858" s="324"/>
      <c r="P858" s="321">
        <f t="shared" ref="P858:P862" ca="1" si="280">ROUND(N858*$C858*$J$850,0)</f>
        <v>0</v>
      </c>
      <c r="Q858" s="321"/>
      <c r="R858" s="384" t="str">
        <f>R838</f>
        <v xml:space="preserve"> </v>
      </c>
      <c r="S858" s="324"/>
      <c r="T858" s="321">
        <f t="shared" ref="T858:T862" si="281">ROUND(R858*$C858*$J$850,0)</f>
        <v>0</v>
      </c>
      <c r="U858" s="321"/>
      <c r="V858" s="384" t="str">
        <f>V838</f>
        <v xml:space="preserve"> </v>
      </c>
      <c r="W858" s="324"/>
      <c r="X858" s="321">
        <f t="shared" ref="X858:X862" si="282">ROUND(V858*$C858*$J$850,0)</f>
        <v>0</v>
      </c>
      <c r="Y858" s="20"/>
      <c r="Z858" s="74"/>
      <c r="AA858" s="74"/>
      <c r="AB858" s="74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</row>
    <row r="859" spans="1:47" hidden="1">
      <c r="A859" s="309" t="s">
        <v>453</v>
      </c>
      <c r="B859" s="1"/>
      <c r="C859" s="319">
        <v>0</v>
      </c>
      <c r="D859" s="384">
        <v>16.559999999999999</v>
      </c>
      <c r="E859" s="324"/>
      <c r="F859" s="321">
        <f>ROUND(D859*$C859*$D$744,0)</f>
        <v>0</v>
      </c>
      <c r="G859" s="384">
        <v>17.5284179478029</v>
      </c>
      <c r="H859" s="324"/>
      <c r="I859" s="321">
        <f t="shared" ref="I859:I862" si="283">ROUND(G859*$C859*$G$744,0)</f>
        <v>0</v>
      </c>
      <c r="J859" s="384">
        <f ca="1">J839</f>
        <v>18.401442937859667</v>
      </c>
      <c r="K859" s="324"/>
      <c r="L859" s="321">
        <f t="shared" ca="1" si="279"/>
        <v>0</v>
      </c>
      <c r="M859" s="321"/>
      <c r="N859" s="384">
        <f ca="1">N839</f>
        <v>18.401442937859667</v>
      </c>
      <c r="O859" s="324"/>
      <c r="P859" s="321">
        <f t="shared" ca="1" si="280"/>
        <v>0</v>
      </c>
      <c r="Q859" s="321"/>
      <c r="R859" s="384" t="str">
        <f>R839</f>
        <v xml:space="preserve"> </v>
      </c>
      <c r="S859" s="324"/>
      <c r="T859" s="321">
        <f t="shared" si="281"/>
        <v>0</v>
      </c>
      <c r="U859" s="321"/>
      <c r="V859" s="384" t="str">
        <f>V839</f>
        <v xml:space="preserve"> </v>
      </c>
      <c r="W859" s="324"/>
      <c r="X859" s="321">
        <f t="shared" si="282"/>
        <v>0</v>
      </c>
      <c r="Y859" s="20"/>
      <c r="Z859" s="74"/>
      <c r="AA859" s="74"/>
      <c r="AB859" s="74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</row>
    <row r="860" spans="1:47" hidden="1">
      <c r="A860" s="309" t="s">
        <v>454</v>
      </c>
      <c r="B860" s="1"/>
      <c r="C860" s="319">
        <v>0</v>
      </c>
      <c r="D860" s="384">
        <v>12.96</v>
      </c>
      <c r="E860" s="324"/>
      <c r="F860" s="321">
        <f>ROUND(D860*$C860*$D$744,0)</f>
        <v>0</v>
      </c>
      <c r="G860" s="384">
        <v>13.717892306976186</v>
      </c>
      <c r="H860" s="324"/>
      <c r="I860" s="321">
        <f t="shared" si="283"/>
        <v>0</v>
      </c>
      <c r="J860" s="384">
        <f ca="1">J840</f>
        <v>14.401129255716265</v>
      </c>
      <c r="K860" s="324"/>
      <c r="L860" s="321">
        <f t="shared" ca="1" si="279"/>
        <v>0</v>
      </c>
      <c r="M860" s="321"/>
      <c r="N860" s="384">
        <f ca="1">N840</f>
        <v>14.401129255716265</v>
      </c>
      <c r="O860" s="324"/>
      <c r="P860" s="321">
        <f t="shared" ca="1" si="280"/>
        <v>0</v>
      </c>
      <c r="Q860" s="321"/>
      <c r="R860" s="384" t="str">
        <f>R840</f>
        <v xml:space="preserve"> </v>
      </c>
      <c r="S860" s="324"/>
      <c r="T860" s="321">
        <f t="shared" si="281"/>
        <v>0</v>
      </c>
      <c r="U860" s="321"/>
      <c r="V860" s="384" t="str">
        <f>V840</f>
        <v xml:space="preserve"> </v>
      </c>
      <c r="W860" s="324"/>
      <c r="X860" s="321">
        <f t="shared" si="282"/>
        <v>0</v>
      </c>
      <c r="Y860" s="20"/>
      <c r="Z860" s="74"/>
      <c r="AA860" s="74"/>
      <c r="AB860" s="74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</row>
    <row r="861" spans="1:47" hidden="1">
      <c r="A861" s="309" t="s">
        <v>465</v>
      </c>
      <c r="B861" s="1"/>
      <c r="C861" s="319">
        <v>0</v>
      </c>
      <c r="D861" s="353">
        <v>71.61</v>
      </c>
      <c r="E861" s="324"/>
      <c r="F861" s="321">
        <f>ROUND(D861*$C861*$D$744,0)</f>
        <v>0</v>
      </c>
      <c r="G861" s="353">
        <v>75.797705872111464</v>
      </c>
      <c r="H861" s="324"/>
      <c r="I861" s="321">
        <f t="shared" si="283"/>
        <v>0</v>
      </c>
      <c r="J861" s="353">
        <f ca="1">J841</f>
        <v>79.572906327302604</v>
      </c>
      <c r="K861" s="324"/>
      <c r="L861" s="321">
        <f t="shared" ca="1" si="279"/>
        <v>0</v>
      </c>
      <c r="M861" s="321"/>
      <c r="N861" s="353">
        <f ca="1">N841</f>
        <v>79.572906327302604</v>
      </c>
      <c r="O861" s="324"/>
      <c r="P861" s="321">
        <f t="shared" ca="1" si="280"/>
        <v>0</v>
      </c>
      <c r="Q861" s="321"/>
      <c r="R861" s="353" t="str">
        <f>R841</f>
        <v xml:space="preserve"> </v>
      </c>
      <c r="S861" s="324"/>
      <c r="T861" s="321">
        <f t="shared" si="281"/>
        <v>0</v>
      </c>
      <c r="U861" s="321"/>
      <c r="V861" s="353" t="str">
        <f>V841</f>
        <v xml:space="preserve"> </v>
      </c>
      <c r="W861" s="324"/>
      <c r="X861" s="321">
        <f t="shared" si="282"/>
        <v>0</v>
      </c>
      <c r="Y861" s="20"/>
      <c r="Z861" s="74"/>
      <c r="AA861" s="74"/>
      <c r="AB861" s="74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</row>
    <row r="862" spans="1:47" hidden="1">
      <c r="A862" s="309" t="s">
        <v>466</v>
      </c>
      <c r="B862" s="1"/>
      <c r="C862" s="319">
        <v>0</v>
      </c>
      <c r="D862" s="353">
        <v>142.74</v>
      </c>
      <c r="E862" s="324"/>
      <c r="F862" s="321">
        <f>ROUND(D862*$C862*$D$744,0)</f>
        <v>0</v>
      </c>
      <c r="G862" s="353">
        <v>151.02734165877936</v>
      </c>
      <c r="H862" s="324"/>
      <c r="I862" s="321">
        <f t="shared" si="283"/>
        <v>0</v>
      </c>
      <c r="J862" s="353">
        <f ca="1">J842</f>
        <v>158.4894491212205</v>
      </c>
      <c r="K862" s="324"/>
      <c r="L862" s="321">
        <f t="shared" ca="1" si="279"/>
        <v>0</v>
      </c>
      <c r="M862" s="321"/>
      <c r="N862" s="353">
        <f ca="1">N842</f>
        <v>158.4894491212205</v>
      </c>
      <c r="O862" s="324"/>
      <c r="P862" s="321">
        <f t="shared" ca="1" si="280"/>
        <v>0</v>
      </c>
      <c r="Q862" s="321"/>
      <c r="R862" s="353" t="str">
        <f>R842</f>
        <v xml:space="preserve"> </v>
      </c>
      <c r="S862" s="324"/>
      <c r="T862" s="321">
        <f t="shared" si="281"/>
        <v>0</v>
      </c>
      <c r="U862" s="321"/>
      <c r="V862" s="353" t="str">
        <f>V842</f>
        <v xml:space="preserve"> </v>
      </c>
      <c r="W862" s="324"/>
      <c r="X862" s="321">
        <f t="shared" si="282"/>
        <v>0</v>
      </c>
      <c r="Y862" s="20"/>
      <c r="Z862" s="74"/>
      <c r="AA862" s="74"/>
      <c r="AB862" s="74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</row>
    <row r="863" spans="1:47" hidden="1">
      <c r="A863" s="309" t="s">
        <v>462</v>
      </c>
      <c r="B863" s="1"/>
      <c r="C863" s="319"/>
      <c r="D863" s="337"/>
      <c r="E863" s="324"/>
      <c r="F863" s="321"/>
      <c r="G863" s="337"/>
      <c r="H863" s="324"/>
      <c r="I863" s="321"/>
      <c r="J863" s="337"/>
      <c r="K863" s="324"/>
      <c r="L863" s="321"/>
      <c r="M863" s="321"/>
      <c r="N863" s="337"/>
      <c r="O863" s="324"/>
      <c r="P863" s="321"/>
      <c r="Q863" s="321"/>
      <c r="R863" s="337"/>
      <c r="S863" s="324"/>
      <c r="T863" s="321"/>
      <c r="U863" s="321"/>
      <c r="V863" s="337"/>
      <c r="W863" s="324"/>
      <c r="X863" s="321"/>
      <c r="Y863" s="20"/>
      <c r="Z863" s="74"/>
      <c r="AA863" s="74"/>
      <c r="AB863" s="74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</row>
    <row r="864" spans="1:47" hidden="1">
      <c r="A864" s="309" t="s">
        <v>457</v>
      </c>
      <c r="B864" s="1"/>
      <c r="C864" s="319">
        <v>0</v>
      </c>
      <c r="D864" s="363">
        <v>-23.87</v>
      </c>
      <c r="E864" s="324"/>
      <c r="F864" s="321">
        <f>ROUND(D864*$C864*$D$744,0)</f>
        <v>0</v>
      </c>
      <c r="G864" s="363">
        <v>-25.265901957370488</v>
      </c>
      <c r="H864" s="324"/>
      <c r="I864" s="321">
        <f t="shared" ref="I864:I865" si="284">ROUND(G864*$C864*$G$744,0)</f>
        <v>0</v>
      </c>
      <c r="J864" s="363">
        <f ca="1">J844</f>
        <v>-26.524302109100866</v>
      </c>
      <c r="K864" s="324"/>
      <c r="L864" s="321">
        <f t="shared" ref="L864:L865" ca="1" si="285">ROUND(J864*$C864*$J$850,0)</f>
        <v>0</v>
      </c>
      <c r="M864" s="321"/>
      <c r="N864" s="363">
        <f ca="1">N844</f>
        <v>-26.524302109100866</v>
      </c>
      <c r="O864" s="324"/>
      <c r="P864" s="321">
        <f t="shared" ref="P864:P865" ca="1" si="286">ROUND(N864*$C864*$J$850,0)</f>
        <v>0</v>
      </c>
      <c r="Q864" s="321"/>
      <c r="R864" s="363">
        <f>R844</f>
        <v>0</v>
      </c>
      <c r="S864" s="324"/>
      <c r="T864" s="321">
        <f t="shared" ref="T864:T865" si="287">ROUND(R864*$C864*$J$850,0)</f>
        <v>0</v>
      </c>
      <c r="U864" s="321"/>
      <c r="V864" s="363">
        <f>V844</f>
        <v>0</v>
      </c>
      <c r="W864" s="324"/>
      <c r="X864" s="321">
        <f t="shared" ref="X864:X865" si="288">ROUND(V864*$C864*$J$850,0)</f>
        <v>0</v>
      </c>
      <c r="Y864" s="20"/>
      <c r="Z864" s="74"/>
      <c r="AA864" s="74"/>
      <c r="AB864" s="74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</row>
    <row r="865" spans="1:47" hidden="1">
      <c r="A865" s="309" t="s">
        <v>463</v>
      </c>
      <c r="B865" s="1"/>
      <c r="C865" s="319">
        <v>0</v>
      </c>
      <c r="D865" s="363">
        <v>-23.79</v>
      </c>
      <c r="E865" s="324"/>
      <c r="F865" s="321">
        <f>ROUND(D865*$C865*$D$744,0)</f>
        <v>0</v>
      </c>
      <c r="G865" s="363">
        <v>-25.171223609796559</v>
      </c>
      <c r="H865" s="324"/>
      <c r="I865" s="321">
        <f t="shared" si="284"/>
        <v>0</v>
      </c>
      <c r="J865" s="363">
        <f ca="1">J845</f>
        <v>-26.414908186870086</v>
      </c>
      <c r="K865" s="324"/>
      <c r="L865" s="321">
        <f t="shared" ca="1" si="285"/>
        <v>0</v>
      </c>
      <c r="M865" s="321"/>
      <c r="N865" s="363">
        <f ca="1">N845</f>
        <v>-26.414908186870086</v>
      </c>
      <c r="O865" s="324"/>
      <c r="P865" s="321">
        <f t="shared" ca="1" si="286"/>
        <v>0</v>
      </c>
      <c r="Q865" s="321"/>
      <c r="R865" s="363">
        <f>R845</f>
        <v>0</v>
      </c>
      <c r="S865" s="324"/>
      <c r="T865" s="321">
        <f t="shared" si="287"/>
        <v>0</v>
      </c>
      <c r="U865" s="321"/>
      <c r="V865" s="363">
        <f>V845</f>
        <v>0</v>
      </c>
      <c r="W865" s="324"/>
      <c r="X865" s="321">
        <f t="shared" si="288"/>
        <v>0</v>
      </c>
      <c r="Y865" s="20"/>
      <c r="Z865" s="74"/>
      <c r="AA865" s="74"/>
      <c r="AB865" s="74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</row>
    <row r="866" spans="1:47" hidden="1">
      <c r="A866" s="323" t="s">
        <v>426</v>
      </c>
      <c r="B866" s="1"/>
      <c r="C866" s="319"/>
      <c r="D866" s="384"/>
      <c r="E866" s="321"/>
      <c r="F866" s="321"/>
      <c r="G866" s="384"/>
      <c r="H866" s="321"/>
      <c r="I866" s="321"/>
      <c r="J866" s="384"/>
      <c r="K866" s="321"/>
      <c r="L866" s="321"/>
      <c r="M866" s="321"/>
      <c r="N866" s="384"/>
      <c r="O866" s="321"/>
      <c r="P866" s="321"/>
      <c r="Q866" s="321"/>
      <c r="R866" s="384"/>
      <c r="S866" s="321"/>
      <c r="T866" s="321"/>
      <c r="U866" s="321"/>
      <c r="V866" s="384"/>
      <c r="W866" s="321"/>
      <c r="X866" s="321"/>
      <c r="Y866" s="20"/>
      <c r="Z866" s="74"/>
      <c r="AA866" s="74"/>
      <c r="AB866" s="74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</row>
    <row r="867" spans="1:47" hidden="1">
      <c r="A867" s="309" t="s">
        <v>464</v>
      </c>
      <c r="B867" s="1"/>
      <c r="C867" s="319">
        <v>0</v>
      </c>
      <c r="D867" s="385">
        <v>6.4390000000000001</v>
      </c>
      <c r="E867" s="321" t="s">
        <v>374</v>
      </c>
      <c r="F867" s="321">
        <f>ROUND(D867/100*$C867*$D$744,0)</f>
        <v>0</v>
      </c>
      <c r="G867" s="385">
        <v>6.8159999999999998</v>
      </c>
      <c r="H867" s="321" t="s">
        <v>374</v>
      </c>
      <c r="I867" s="321">
        <f>ROUND(G867/100*C867*$G$744,0)</f>
        <v>0</v>
      </c>
      <c r="J867" s="385">
        <f ca="1">J847</f>
        <v>3.9140000000000001</v>
      </c>
      <c r="K867" s="321" t="s">
        <v>374</v>
      </c>
      <c r="L867" s="321">
        <f ca="1">ROUND(J867/100*$C867*$J$850,0)</f>
        <v>0</v>
      </c>
      <c r="M867" s="321"/>
      <c r="N867" s="385">
        <f ca="1">N847</f>
        <v>0.10011647788394891</v>
      </c>
      <c r="O867" s="321" t="s">
        <v>374</v>
      </c>
      <c r="P867" s="321">
        <f ca="1">ROUND(N867/100*$C867*$J$850,0)</f>
        <v>0</v>
      </c>
      <c r="Q867" s="321"/>
      <c r="R867" s="385">
        <f ca="1">R847</f>
        <v>1.3911559920341985</v>
      </c>
      <c r="S867" s="321" t="s">
        <v>374</v>
      </c>
      <c r="T867" s="321">
        <f ca="1">ROUND(R867/100*$C867*$J$850,0)</f>
        <v>0</v>
      </c>
      <c r="U867" s="321"/>
      <c r="V867" s="385">
        <f ca="1">V847</f>
        <v>2.4227485087524854</v>
      </c>
      <c r="W867" s="321" t="s">
        <v>374</v>
      </c>
      <c r="X867" s="321">
        <f ca="1">ROUND(V867/100*$C867*$J$850,0)</f>
        <v>0</v>
      </c>
      <c r="Y867" s="20"/>
      <c r="Z867" s="74"/>
      <c r="AA867" s="74"/>
      <c r="AB867" s="74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</row>
    <row r="868" spans="1:47" hidden="1">
      <c r="A868" s="323" t="s">
        <v>400</v>
      </c>
      <c r="B868" s="1"/>
      <c r="C868" s="319">
        <v>0</v>
      </c>
      <c r="D868" s="375">
        <v>56</v>
      </c>
      <c r="E868" s="321" t="s">
        <v>374</v>
      </c>
      <c r="F868" s="321">
        <f>ROUND(D868/100*$C868*$D$744,0)</f>
        <v>0</v>
      </c>
      <c r="G868" s="375">
        <v>56</v>
      </c>
      <c r="H868" s="323" t="s">
        <v>374</v>
      </c>
      <c r="I868" s="321">
        <f>ROUND(G868/100*C868*$G$744,0)</f>
        <v>0</v>
      </c>
      <c r="J868" s="375">
        <f>J848</f>
        <v>56</v>
      </c>
      <c r="K868" s="323" t="s">
        <v>374</v>
      </c>
      <c r="L868" s="321">
        <f>ROUND(J868/100*$C868*$J$850,0)</f>
        <v>0</v>
      </c>
      <c r="M868" s="321"/>
      <c r="N868" s="375" t="str">
        <f>N848</f>
        <v xml:space="preserve"> </v>
      </c>
      <c r="O868" s="323" t="s">
        <v>374</v>
      </c>
      <c r="P868" s="321">
        <f>ROUND(N868/100*$C868*$J$850,0)</f>
        <v>0</v>
      </c>
      <c r="Q868" s="321"/>
      <c r="R868" s="375">
        <f ca="1">R848</f>
        <v>11</v>
      </c>
      <c r="S868" s="323" t="s">
        <v>374</v>
      </c>
      <c r="T868" s="321">
        <f ca="1">ROUND(R868/100*$C868*$J$850,0)</f>
        <v>0</v>
      </c>
      <c r="U868" s="321"/>
      <c r="V868" s="375">
        <f ca="1">V848</f>
        <v>45</v>
      </c>
      <c r="W868" s="323" t="s">
        <v>374</v>
      </c>
      <c r="X868" s="321">
        <f ca="1">ROUND(V868/100*$C868*$J$850,0)</f>
        <v>0</v>
      </c>
      <c r="Y868" s="20"/>
      <c r="Z868" s="74"/>
      <c r="AA868" s="74"/>
      <c r="AB868" s="74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</row>
    <row r="869" spans="1:47" hidden="1">
      <c r="A869" s="323" t="s">
        <v>443</v>
      </c>
      <c r="B869" s="1"/>
      <c r="C869" s="319">
        <v>0</v>
      </c>
      <c r="D869" s="298">
        <v>60</v>
      </c>
      <c r="E869" s="364" t="s">
        <v>31</v>
      </c>
      <c r="F869" s="321">
        <f>ROUND(D869*$C869,0)</f>
        <v>0</v>
      </c>
      <c r="G869" s="298">
        <v>60</v>
      </c>
      <c r="H869" s="1"/>
      <c r="I869" s="321">
        <f>ROUND(G869*$C869,0)</f>
        <v>0</v>
      </c>
      <c r="J869" s="298">
        <f>$J$763</f>
        <v>60</v>
      </c>
      <c r="K869" s="1"/>
      <c r="L869" s="321">
        <f>ROUND(J869*$C869,0)</f>
        <v>0</v>
      </c>
      <c r="M869" s="321"/>
      <c r="N869" s="298">
        <v>0</v>
      </c>
      <c r="O869" s="1"/>
      <c r="P869" s="321">
        <f>ROUND(N869*$C869,0)</f>
        <v>0</v>
      </c>
      <c r="Q869" s="321"/>
      <c r="R869" s="298">
        <f ca="1">R763</f>
        <v>11.831395044239747</v>
      </c>
      <c r="S869" s="1"/>
      <c r="T869" s="321">
        <f ca="1">ROUND(R869*$C869,0)</f>
        <v>0</v>
      </c>
      <c r="U869" s="321"/>
      <c r="V869" s="298">
        <f ca="1">V763</f>
        <v>48.168604955760252</v>
      </c>
      <c r="W869" s="1"/>
      <c r="X869" s="321">
        <f ca="1">ROUND(V869*$C869,0)</f>
        <v>0</v>
      </c>
      <c r="Y869" s="20"/>
      <c r="Z869" s="32" t="s">
        <v>31</v>
      </c>
      <c r="AA869" s="74"/>
      <c r="AB869" s="74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</row>
    <row r="870" spans="1:47" hidden="1">
      <c r="A870" s="323" t="s">
        <v>444</v>
      </c>
      <c r="B870" s="1"/>
      <c r="C870" s="319">
        <v>0</v>
      </c>
      <c r="D870" s="339">
        <v>-30</v>
      </c>
      <c r="E870" s="321" t="s">
        <v>374</v>
      </c>
      <c r="F870" s="321">
        <f>ROUND(D870*$C870/100,0)</f>
        <v>0</v>
      </c>
      <c r="G870" s="339">
        <v>-30</v>
      </c>
      <c r="H870" s="321" t="s">
        <v>374</v>
      </c>
      <c r="I870" s="321">
        <f>ROUND(G870*$C870/100,0)</f>
        <v>0</v>
      </c>
      <c r="J870" s="339">
        <f>$J$764</f>
        <v>-30</v>
      </c>
      <c r="K870" s="321" t="s">
        <v>374</v>
      </c>
      <c r="L870" s="321">
        <f>ROUND(J870*$C870/100,0)</f>
        <v>0</v>
      </c>
      <c r="M870" s="321"/>
      <c r="N870" s="339">
        <f>$J$764</f>
        <v>-30</v>
      </c>
      <c r="O870" s="321" t="s">
        <v>374</v>
      </c>
      <c r="P870" s="321">
        <f>ROUND(N870*$C870/100,0)</f>
        <v>0</v>
      </c>
      <c r="Q870" s="321"/>
      <c r="R870" s="339">
        <v>0</v>
      </c>
      <c r="S870" s="321" t="s">
        <v>374</v>
      </c>
      <c r="T870" s="321">
        <f>ROUND(R870*$C870/100,0)</f>
        <v>0</v>
      </c>
      <c r="U870" s="321"/>
      <c r="V870" s="339">
        <v>0</v>
      </c>
      <c r="W870" s="321" t="s">
        <v>374</v>
      </c>
      <c r="X870" s="321">
        <f>ROUND(V870*$C870/100,0)</f>
        <v>0</v>
      </c>
      <c r="Y870" s="20"/>
      <c r="Z870" s="74"/>
      <c r="AA870" s="74"/>
      <c r="AB870" s="74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</row>
    <row r="871" spans="1:47" s="1184" customFormat="1" hidden="1">
      <c r="A871" s="1005" t="s">
        <v>928</v>
      </c>
      <c r="C871" s="1202">
        <f>C867</f>
        <v>0</v>
      </c>
      <c r="D871" s="269"/>
      <c r="E871" s="1185"/>
      <c r="F871" s="1203"/>
      <c r="G871" s="269"/>
      <c r="H871" s="1185"/>
      <c r="I871" s="1203"/>
      <c r="J871" s="1316">
        <f>J765</f>
        <v>3.2410000000000001</v>
      </c>
      <c r="K871" s="1041" t="s">
        <v>374</v>
      </c>
      <c r="L871" s="321">
        <f>ROUND(J871/100*$C871*$J$850,0)</f>
        <v>0</v>
      </c>
      <c r="M871" s="321"/>
      <c r="N871" s="1316" t="str">
        <f>N765</f>
        <v xml:space="preserve"> </v>
      </c>
      <c r="O871" s="1041" t="s">
        <v>374</v>
      </c>
      <c r="P871" s="321">
        <f>ROUND(N871/100*$C871*$J$850,0)</f>
        <v>0</v>
      </c>
      <c r="Q871" s="321"/>
      <c r="R871" s="1316" t="str">
        <f>R765</f>
        <v xml:space="preserve"> </v>
      </c>
      <c r="S871" s="1041" t="s">
        <v>374</v>
      </c>
      <c r="T871" s="321">
        <f>ROUND(R871/100*$C871*$J$850,0)</f>
        <v>0</v>
      </c>
      <c r="U871" s="321"/>
      <c r="V871" s="1316">
        <f>V765</f>
        <v>3.2410000000000001</v>
      </c>
      <c r="W871" s="1041" t="s">
        <v>374</v>
      </c>
      <c r="X871" s="321">
        <f>ROUND(V871/100*$C871*$J$850,0)</f>
        <v>0</v>
      </c>
      <c r="Z871" s="815"/>
      <c r="AC871" s="1205"/>
      <c r="AD871" s="1205"/>
      <c r="AI871" s="1185"/>
      <c r="AJ871" s="1185"/>
      <c r="AK871" s="1185"/>
      <c r="AL871" s="1185"/>
      <c r="AM871" s="1185"/>
      <c r="AN871" s="1185"/>
      <c r="AO871" s="1185"/>
      <c r="AP871" s="1185"/>
      <c r="AQ871" s="1185"/>
      <c r="AR871" s="1185"/>
      <c r="AS871" s="1185"/>
      <c r="AU871" s="1204"/>
    </row>
    <row r="872" spans="1:47" hidden="1">
      <c r="A872" s="1" t="s">
        <v>381</v>
      </c>
      <c r="B872" s="1"/>
      <c r="C872" s="319">
        <f>SUM(C847:C847)</f>
        <v>5473590</v>
      </c>
      <c r="D872" s="330"/>
      <c r="E872" s="2"/>
      <c r="F872" s="2">
        <f>SUM(F827:F870)</f>
        <v>437654</v>
      </c>
      <c r="G872" s="330"/>
      <c r="H872" s="323"/>
      <c r="I872" s="2">
        <f>SUM(I827:I870)</f>
        <v>462899</v>
      </c>
      <c r="J872" s="330"/>
      <c r="K872" s="323"/>
      <c r="L872" s="2">
        <f ca="1">SUM(L827:L871)</f>
        <v>485875</v>
      </c>
      <c r="M872" s="2"/>
      <c r="N872" s="330"/>
      <c r="O872" s="323"/>
      <c r="P872" s="2">
        <f ca="1">SUM(P827:P871)</f>
        <v>99005</v>
      </c>
      <c r="Q872" s="2"/>
      <c r="R872" s="330"/>
      <c r="S872" s="323"/>
      <c r="T872" s="2">
        <f ca="1">SUM(T827:T871)</f>
        <v>76286</v>
      </c>
      <c r="U872" s="2"/>
      <c r="V872" s="330"/>
      <c r="W872" s="323"/>
      <c r="X872" s="2">
        <f ca="1">SUM(X827:X871)</f>
        <v>310585</v>
      </c>
      <c r="Y872" s="20"/>
      <c r="Z872" s="74"/>
      <c r="AA872" s="74"/>
      <c r="AB872" s="74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</row>
    <row r="873" spans="1:47" hidden="1">
      <c r="A873" s="1" t="s">
        <v>363</v>
      </c>
      <c r="B873" s="1"/>
      <c r="C873" s="349">
        <f>'Table 2'!H102</f>
        <v>-7191.4616234892947</v>
      </c>
      <c r="D873" s="309"/>
      <c r="E873" s="309"/>
      <c r="F873" s="310">
        <f ca="1">I873</f>
        <v>-1126.4991463464028</v>
      </c>
      <c r="G873" s="309"/>
      <c r="H873" s="309"/>
      <c r="I873" s="310">
        <f ca="1">'Table 3'!E102</f>
        <v>-1126.4991463464028</v>
      </c>
      <c r="J873" s="309"/>
      <c r="K873" s="309"/>
      <c r="L873" s="310">
        <f ca="1">I873</f>
        <v>-1126.4991463464028</v>
      </c>
      <c r="M873" s="51"/>
      <c r="N873" s="309"/>
      <c r="O873" s="309"/>
      <c r="P873" s="310">
        <f ca="1">$L$873*Y876/($Y$876+$Z$876+$AA$876)</f>
        <v>-236.99354076477576</v>
      </c>
      <c r="Q873" s="51"/>
      <c r="R873" s="309"/>
      <c r="S873" s="309"/>
      <c r="T873" s="310">
        <f ca="1">$L$873*Z876/($Y$876+$Z$876+$AA$876)</f>
        <v>-175.40153689503228</v>
      </c>
      <c r="U873" s="51"/>
      <c r="V873" s="309"/>
      <c r="W873" s="309"/>
      <c r="X873" s="310">
        <f ca="1">$L$873*AA876/($Y$876+$Z$876+$AA$876)</f>
        <v>-714.1040686865947</v>
      </c>
      <c r="Y873" s="444"/>
      <c r="Z873" s="287"/>
      <c r="AA873" s="74"/>
      <c r="AB873" s="74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</row>
    <row r="874" spans="1:47" ht="16.5" hidden="1" thickBot="1">
      <c r="A874" s="1" t="s">
        <v>382</v>
      </c>
      <c r="B874" s="1"/>
      <c r="C874" s="366">
        <f>SUM(C872:C873)</f>
        <v>5466398.5383765111</v>
      </c>
      <c r="D874" s="342"/>
      <c r="E874" s="343"/>
      <c r="F874" s="344">
        <f ca="1">F872+F873</f>
        <v>436527.50085365359</v>
      </c>
      <c r="G874" s="342"/>
      <c r="H874" s="345"/>
      <c r="I874" s="344">
        <f ca="1">I872+I873</f>
        <v>461772.50085365359</v>
      </c>
      <c r="J874" s="342"/>
      <c r="K874" s="345"/>
      <c r="L874" s="344">
        <f ca="1">L872+L873</f>
        <v>484748.50085365359</v>
      </c>
      <c r="M874" s="344"/>
      <c r="N874" s="342"/>
      <c r="O874" s="345"/>
      <c r="P874" s="344">
        <f ca="1">P872+P873</f>
        <v>98768.006459235228</v>
      </c>
      <c r="Q874" s="344"/>
      <c r="R874" s="342"/>
      <c r="S874" s="345"/>
      <c r="T874" s="344">
        <f ca="1">T872+T873</f>
        <v>76110.598463104965</v>
      </c>
      <c r="U874" s="344"/>
      <c r="V874" s="342"/>
      <c r="W874" s="345"/>
      <c r="X874" s="344">
        <f ca="1">X872+X873</f>
        <v>309870.8959313134</v>
      </c>
      <c r="Y874" s="411"/>
      <c r="Z874" s="470"/>
      <c r="AA874" s="74"/>
      <c r="AB874" s="74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</row>
    <row r="875" spans="1:47" ht="16.5" hidden="1" thickTop="1">
      <c r="A875" s="1"/>
      <c r="B875" s="1"/>
      <c r="C875" s="26"/>
      <c r="D875" s="351"/>
      <c r="E875" s="352"/>
      <c r="F875" s="322"/>
      <c r="G875" s="351"/>
      <c r="H875" s="23"/>
      <c r="I875" s="322"/>
      <c r="J875" s="351"/>
      <c r="K875" s="23"/>
      <c r="L875" s="322"/>
      <c r="M875" s="322"/>
      <c r="N875" s="351"/>
      <c r="O875" s="23"/>
      <c r="P875" s="322"/>
      <c r="Q875" s="322"/>
      <c r="R875" s="351"/>
      <c r="S875" s="23"/>
      <c r="T875" s="322"/>
      <c r="U875" s="322"/>
      <c r="V875" s="351"/>
      <c r="W875" s="23"/>
      <c r="X875" s="322"/>
      <c r="Y875" s="1586">
        <f>'Exh No.__(JRS-17) p11'!J39+'Exh No.__(JRS-17) p11'!K39+'Exh No.__(JRS-17) p11'!L39</f>
        <v>0.21038057732526627</v>
      </c>
      <c r="Z875" s="1586">
        <f>'Exh No.__(JRS-17) p11'!I39</f>
        <v>0.15570498873782163</v>
      </c>
      <c r="AA875" s="1586">
        <f>'Exh No.__(JRS-17) p11'!H39</f>
        <v>0.63391443393691227</v>
      </c>
      <c r="AB875" s="74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</row>
    <row r="876" spans="1:47" hidden="1">
      <c r="A876" s="1"/>
      <c r="B876" s="1"/>
      <c r="C876" s="26"/>
      <c r="D876" s="351"/>
      <c r="E876" s="352"/>
      <c r="F876" s="322"/>
      <c r="G876" s="351"/>
      <c r="H876" s="23"/>
      <c r="I876" s="322"/>
      <c r="J876" s="351"/>
      <c r="K876" s="23"/>
      <c r="L876" s="322"/>
      <c r="M876" s="322"/>
      <c r="N876" s="351"/>
      <c r="O876" s="23"/>
      <c r="P876" s="322"/>
      <c r="Q876" s="322"/>
      <c r="R876" s="351"/>
      <c r="S876" s="23"/>
      <c r="T876" s="322"/>
      <c r="U876" s="322"/>
      <c r="V876" s="351"/>
      <c r="W876" s="23"/>
      <c r="X876" s="322"/>
      <c r="Y876" s="411">
        <f ca="1">Y875*$L$768</f>
        <v>2797230.885526184</v>
      </c>
      <c r="Z876" s="411">
        <f t="shared" ref="Z876:AA876" ca="1" si="289">Z875*$L$768</f>
        <v>2070261.4712125019</v>
      </c>
      <c r="AA876" s="411">
        <f t="shared" ca="1" si="289"/>
        <v>8428558.6432613172</v>
      </c>
      <c r="AB876" s="32" t="s">
        <v>409</v>
      </c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</row>
    <row r="877" spans="1:47" hidden="1">
      <c r="A877" s="303"/>
      <c r="B877" s="378"/>
      <c r="C877" s="303"/>
      <c r="D877" s="1"/>
      <c r="E877" s="21"/>
      <c r="F877" s="379"/>
      <c r="G877" s="1"/>
      <c r="H877" s="303"/>
      <c r="I877" s="379" t="s">
        <v>31</v>
      </c>
      <c r="J877" s="303"/>
      <c r="K877" s="303"/>
      <c r="L877" s="303"/>
      <c r="M877" s="303"/>
      <c r="N877" s="303"/>
      <c r="O877" s="303"/>
      <c r="P877" s="303"/>
      <c r="Q877" s="303"/>
      <c r="R877" s="303"/>
      <c r="S877" s="303"/>
      <c r="T877" s="303"/>
      <c r="U877" s="303"/>
      <c r="V877" s="303"/>
      <c r="W877" s="303"/>
      <c r="X877" s="303"/>
      <c r="Y877" s="20"/>
      <c r="Z877" s="74"/>
      <c r="AA877" s="74"/>
      <c r="AB877" s="74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</row>
    <row r="878" spans="1:47">
      <c r="A878" s="293" t="s">
        <v>469</v>
      </c>
      <c r="B878" s="1"/>
      <c r="C878" s="1"/>
      <c r="D878" s="2"/>
      <c r="E878" s="2"/>
      <c r="F878" s="1"/>
      <c r="G878" s="2"/>
      <c r="H878" s="1"/>
      <c r="I878" s="1"/>
      <c r="J878" s="2"/>
      <c r="K878" s="1"/>
      <c r="L878" s="1"/>
      <c r="M878" s="1"/>
      <c r="N878" s="2"/>
      <c r="O878" s="1"/>
      <c r="P878" s="1"/>
      <c r="Q878" s="1"/>
      <c r="R878" s="2"/>
      <c r="S878" s="1"/>
      <c r="T878" s="1"/>
      <c r="U878" s="1"/>
      <c r="V878" s="2"/>
      <c r="W878" s="1"/>
      <c r="X878" s="1"/>
      <c r="Y878" s="20"/>
      <c r="Z878" s="74"/>
      <c r="AA878" s="74"/>
      <c r="AB878" s="74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</row>
    <row r="879" spans="1:47">
      <c r="A879" s="309" t="s">
        <v>470</v>
      </c>
      <c r="B879" s="1"/>
      <c r="C879" s="1"/>
      <c r="D879" s="2"/>
      <c r="E879" s="2"/>
      <c r="F879" s="1"/>
      <c r="G879" s="2"/>
      <c r="H879" s="1"/>
      <c r="I879" s="1"/>
      <c r="J879" s="2"/>
      <c r="K879" s="1"/>
      <c r="L879" s="1"/>
      <c r="M879" s="1"/>
      <c r="N879" s="2"/>
      <c r="O879" s="1"/>
      <c r="P879" s="1"/>
      <c r="Q879" s="1"/>
      <c r="R879" s="2"/>
      <c r="S879" s="1"/>
      <c r="T879" s="1"/>
      <c r="U879" s="1"/>
      <c r="V879" s="2"/>
      <c r="W879" s="1"/>
      <c r="X879" s="1"/>
      <c r="Y879" s="20"/>
      <c r="Z879" s="74"/>
      <c r="AA879" s="74"/>
      <c r="AB879" s="74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</row>
    <row r="880" spans="1:47">
      <c r="A880" s="323"/>
      <c r="B880" s="1"/>
      <c r="C880" s="1"/>
      <c r="D880" s="2"/>
      <c r="E880" s="2"/>
      <c r="F880" s="1"/>
      <c r="G880" s="2"/>
      <c r="H880" s="1"/>
      <c r="I880" s="1"/>
      <c r="J880" s="2"/>
      <c r="K880" s="1"/>
      <c r="L880" s="1"/>
      <c r="M880" s="1"/>
      <c r="N880" s="2"/>
      <c r="O880" s="1"/>
      <c r="P880" s="1"/>
      <c r="Q880" s="1"/>
      <c r="R880" s="2"/>
      <c r="S880" s="1"/>
      <c r="T880" s="1"/>
      <c r="U880" s="1"/>
      <c r="V880" s="2"/>
      <c r="W880" s="1"/>
      <c r="X880" s="1"/>
      <c r="Y880" s="20"/>
      <c r="Z880" s="74"/>
      <c r="AA880" s="74"/>
      <c r="AB880" s="74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</row>
    <row r="881" spans="1:47">
      <c r="A881" s="323" t="s">
        <v>393</v>
      </c>
      <c r="B881" s="1"/>
      <c r="C881" s="319"/>
      <c r="D881" s="2"/>
      <c r="E881" s="2"/>
      <c r="F881" s="1"/>
      <c r="G881" s="2"/>
      <c r="H881" s="1"/>
      <c r="I881" s="1"/>
      <c r="J881" s="2"/>
      <c r="K881" s="1"/>
      <c r="L881" s="1"/>
      <c r="M881" s="1"/>
      <c r="N881" s="2"/>
      <c r="O881" s="1"/>
      <c r="P881" s="1"/>
      <c r="Q881" s="1"/>
      <c r="R881" s="2"/>
      <c r="S881" s="1"/>
      <c r="T881" s="1"/>
      <c r="U881" s="1"/>
      <c r="V881" s="2"/>
      <c r="W881" s="1"/>
      <c r="X881" s="1"/>
      <c r="Y881" s="20"/>
      <c r="Z881" s="74"/>
      <c r="AA881" s="74"/>
      <c r="AB881" s="74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</row>
    <row r="882" spans="1:47">
      <c r="A882" s="323" t="s">
        <v>471</v>
      </c>
      <c r="B882" s="1"/>
      <c r="C882" s="319">
        <f>[52]Sheet1!$E$2</f>
        <v>12</v>
      </c>
      <c r="D882" s="384">
        <v>1386</v>
      </c>
      <c r="E882" s="337"/>
      <c r="F882" s="2">
        <f>ROUND(D882*$C882,0)</f>
        <v>16632</v>
      </c>
      <c r="G882" s="384">
        <v>1386</v>
      </c>
      <c r="H882" s="321"/>
      <c r="I882" s="2">
        <f>ROUND(G882*C882,0)</f>
        <v>16632</v>
      </c>
      <c r="J882" s="384">
        <f>J961</f>
        <v>1386</v>
      </c>
      <c r="K882" s="321"/>
      <c r="L882" s="2">
        <f>ROUND(J882*$C882,0)</f>
        <v>16632</v>
      </c>
      <c r="M882" s="2"/>
      <c r="N882" s="384">
        <f>N961</f>
        <v>1386</v>
      </c>
      <c r="O882" s="321"/>
      <c r="P882" s="2">
        <f>ROUND(N882*$C882,0)</f>
        <v>16632</v>
      </c>
      <c r="Q882" s="2"/>
      <c r="R882" s="384" t="str">
        <f>R961</f>
        <v xml:space="preserve"> </v>
      </c>
      <c r="S882" s="321"/>
      <c r="T882" s="2">
        <f>ROUND(R882*$C882,0)</f>
        <v>0</v>
      </c>
      <c r="U882" s="2"/>
      <c r="V882" s="384" t="str">
        <f>V961</f>
        <v xml:space="preserve"> </v>
      </c>
      <c r="W882" s="321"/>
      <c r="X882" s="2">
        <f>ROUND(V882*$C882,0)</f>
        <v>0</v>
      </c>
      <c r="Z882" s="14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</row>
    <row r="883" spans="1:47">
      <c r="A883" s="323" t="s">
        <v>472</v>
      </c>
      <c r="B883" s="1"/>
      <c r="C883" s="319">
        <v>0</v>
      </c>
      <c r="D883" s="384">
        <v>1675</v>
      </c>
      <c r="E883" s="337"/>
      <c r="F883" s="2">
        <f>ROUND(D883*$C883,0)</f>
        <v>0</v>
      </c>
      <c r="G883" s="384">
        <v>1675</v>
      </c>
      <c r="H883" s="324"/>
      <c r="I883" s="2">
        <f>ROUND(G883*C883,0)</f>
        <v>0</v>
      </c>
      <c r="J883" s="384">
        <f>J962</f>
        <v>1675</v>
      </c>
      <c r="K883" s="324"/>
      <c r="L883" s="2">
        <f>ROUND(J883*$C883,0)</f>
        <v>0</v>
      </c>
      <c r="M883" s="2"/>
      <c r="N883" s="384">
        <f>N962</f>
        <v>1675</v>
      </c>
      <c r="O883" s="324"/>
      <c r="P883" s="2">
        <f>ROUND(N883*$C883,0)</f>
        <v>0</v>
      </c>
      <c r="Q883" s="2"/>
      <c r="R883" s="384" t="str">
        <f>R962</f>
        <v xml:space="preserve"> </v>
      </c>
      <c r="S883" s="324"/>
      <c r="T883" s="2">
        <f>ROUND(R883*$C883,0)</f>
        <v>0</v>
      </c>
      <c r="U883" s="2"/>
      <c r="V883" s="384" t="str">
        <f>V962</f>
        <v xml:space="preserve"> </v>
      </c>
      <c r="W883" s="324"/>
      <c r="X883" s="2">
        <f>ROUND(V883*$C883,0)</f>
        <v>0</v>
      </c>
      <c r="Z883" s="14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</row>
    <row r="884" spans="1:47">
      <c r="A884" s="323" t="s">
        <v>394</v>
      </c>
      <c r="B884" s="1"/>
      <c r="C884" s="319">
        <f>SUM(C882:C883)</f>
        <v>12</v>
      </c>
      <c r="D884" s="384" t="s">
        <v>31</v>
      </c>
      <c r="E884" s="337"/>
      <c r="F884" s="2" t="s">
        <v>31</v>
      </c>
      <c r="G884" s="384" t="s">
        <v>31</v>
      </c>
      <c r="H884" s="321"/>
      <c r="I884" s="2" t="s">
        <v>31</v>
      </c>
      <c r="J884" s="384" t="str">
        <f>Z925</f>
        <v xml:space="preserve"> </v>
      </c>
      <c r="K884" s="321"/>
      <c r="L884" s="2" t="s">
        <v>31</v>
      </c>
      <c r="M884" s="2"/>
      <c r="N884" s="380" t="s">
        <v>31</v>
      </c>
      <c r="O884" s="321"/>
      <c r="P884" s="2" t="s">
        <v>31</v>
      </c>
      <c r="Q884" s="2"/>
      <c r="R884" s="380" t="s">
        <v>31</v>
      </c>
      <c r="S884" s="321"/>
      <c r="T884" s="2" t="s">
        <v>31</v>
      </c>
      <c r="U884" s="2"/>
      <c r="V884" s="380" t="s">
        <v>31</v>
      </c>
      <c r="W884" s="321"/>
      <c r="X884" s="2" t="s">
        <v>31</v>
      </c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</row>
    <row r="885" spans="1:47">
      <c r="A885" s="323" t="s">
        <v>473</v>
      </c>
      <c r="B885" s="1"/>
      <c r="C885" s="319">
        <f>[52]Sheet1!$F$2</f>
        <v>22168</v>
      </c>
      <c r="D885" s="384">
        <v>1.06</v>
      </c>
      <c r="E885" s="337"/>
      <c r="F885" s="2">
        <f>ROUND(D885*$C885,0)</f>
        <v>23498</v>
      </c>
      <c r="G885" s="384">
        <v>1.06</v>
      </c>
      <c r="H885" s="321"/>
      <c r="I885" s="2">
        <f t="shared" ref="I885:I887" si="290">ROUND(G885*C885,0)</f>
        <v>23498</v>
      </c>
      <c r="J885" s="384">
        <f ca="1">J964</f>
        <v>1.18</v>
      </c>
      <c r="K885" s="321"/>
      <c r="L885" s="2">
        <f ca="1">ROUND(J885*$C885,0)</f>
        <v>26158</v>
      </c>
      <c r="M885" s="2"/>
      <c r="N885" s="384">
        <f ca="1">N964</f>
        <v>1.18</v>
      </c>
      <c r="O885" s="321"/>
      <c r="P885" s="2">
        <f ca="1">ROUND(N885*$C885,0)</f>
        <v>26158</v>
      </c>
      <c r="Q885" s="2"/>
      <c r="R885" s="384" t="str">
        <f>R964</f>
        <v xml:space="preserve"> </v>
      </c>
      <c r="S885" s="321"/>
      <c r="T885" s="2">
        <f>ROUND(R885*$C885,0)</f>
        <v>0</v>
      </c>
      <c r="U885" s="2"/>
      <c r="V885" s="384" t="str">
        <f>V964</f>
        <v xml:space="preserve"> </v>
      </c>
      <c r="W885" s="321"/>
      <c r="X885" s="2">
        <f>ROUND(V885*$C885,0)</f>
        <v>0</v>
      </c>
      <c r="Z885" s="14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</row>
    <row r="886" spans="1:47">
      <c r="A886" s="323" t="s">
        <v>474</v>
      </c>
      <c r="B886" s="1"/>
      <c r="C886" s="319">
        <v>0</v>
      </c>
      <c r="D886" s="384">
        <v>0.96</v>
      </c>
      <c r="E886" s="337"/>
      <c r="F886" s="2">
        <f>ROUND(D886*$C886,0)</f>
        <v>0</v>
      </c>
      <c r="G886" s="384">
        <v>0.96</v>
      </c>
      <c r="H886" s="321"/>
      <c r="I886" s="2">
        <f t="shared" si="290"/>
        <v>0</v>
      </c>
      <c r="J886" s="384">
        <f ca="1">J965</f>
        <v>1.07</v>
      </c>
      <c r="K886" s="321"/>
      <c r="L886" s="2">
        <f ca="1">ROUND(J886*$C886,0)</f>
        <v>0</v>
      </c>
      <c r="M886" s="2"/>
      <c r="N886" s="384">
        <f ca="1">N965</f>
        <v>1.07</v>
      </c>
      <c r="O886" s="321"/>
      <c r="P886" s="2">
        <f ca="1">ROUND(N886*$C886,0)</f>
        <v>0</v>
      </c>
      <c r="Q886" s="2"/>
      <c r="R886" s="384" t="str">
        <f>R965</f>
        <v xml:space="preserve"> </v>
      </c>
      <c r="S886" s="321"/>
      <c r="T886" s="2">
        <f>ROUND(R886*$C886,0)</f>
        <v>0</v>
      </c>
      <c r="U886" s="2"/>
      <c r="V886" s="384" t="str">
        <f>V965</f>
        <v xml:space="preserve"> </v>
      </c>
      <c r="W886" s="321"/>
      <c r="X886" s="2">
        <f>ROUND(V886*$C886,0)</f>
        <v>0</v>
      </c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</row>
    <row r="887" spans="1:47">
      <c r="A887" s="309" t="s">
        <v>403</v>
      </c>
      <c r="B887" s="1"/>
      <c r="C887" s="319">
        <f>[52]Sheet1!$H$2</f>
        <v>18457.411764705899</v>
      </c>
      <c r="D887" s="384">
        <v>7.12</v>
      </c>
      <c r="E887" s="337"/>
      <c r="F887" s="2">
        <f>ROUND(D887*$C887,0)</f>
        <v>131417</v>
      </c>
      <c r="G887" s="384">
        <v>7.55</v>
      </c>
      <c r="H887" s="321"/>
      <c r="I887" s="2">
        <f t="shared" si="290"/>
        <v>139353</v>
      </c>
      <c r="J887" s="384">
        <f ca="1">J966</f>
        <v>8.48</v>
      </c>
      <c r="K887" s="321"/>
      <c r="L887" s="2">
        <f ca="1">ROUND(J887*$C887,0)</f>
        <v>156519</v>
      </c>
      <c r="M887" s="2"/>
      <c r="N887" s="384">
        <f ca="1">N966</f>
        <v>1.1100000000000001</v>
      </c>
      <c r="O887" s="321"/>
      <c r="P887" s="2">
        <f ca="1">ROUND(N887*$C887,0)</f>
        <v>20488</v>
      </c>
      <c r="Q887" s="2"/>
      <c r="R887" s="384">
        <f ca="1">R966</f>
        <v>1.46</v>
      </c>
      <c r="S887" s="321"/>
      <c r="T887" s="2">
        <f ca="1">ROUND(R887*$C887,0)</f>
        <v>26948</v>
      </c>
      <c r="U887" s="2"/>
      <c r="V887" s="384">
        <f ca="1">V966</f>
        <v>5.91</v>
      </c>
      <c r="W887" s="321"/>
      <c r="X887" s="2">
        <f ca="1">ROUND(V887*$C887,0)</f>
        <v>109083</v>
      </c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</row>
    <row r="888" spans="1:47">
      <c r="A888" s="323" t="s">
        <v>426</v>
      </c>
      <c r="B888" s="1"/>
      <c r="C888" s="319"/>
      <c r="D888" s="384"/>
      <c r="E888" s="337"/>
      <c r="F888" s="2"/>
      <c r="G888" s="384"/>
      <c r="H888" s="321"/>
      <c r="I888" s="2"/>
      <c r="J888" s="384"/>
      <c r="K888" s="321"/>
      <c r="L888" s="2"/>
      <c r="M888" s="2"/>
      <c r="N888" s="384"/>
      <c r="O888" s="321"/>
      <c r="P888" s="2"/>
      <c r="Q888" s="2"/>
      <c r="R888" s="384"/>
      <c r="S888" s="321"/>
      <c r="T888" s="2"/>
      <c r="U888" s="2"/>
      <c r="V888" s="384"/>
      <c r="W888" s="321"/>
      <c r="X888" s="2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</row>
    <row r="889" spans="1:47">
      <c r="A889" s="323" t="s">
        <v>464</v>
      </c>
      <c r="B889" s="1"/>
      <c r="C889" s="319">
        <f>[52]Sheet1!$G$2</f>
        <v>2027000</v>
      </c>
      <c r="D889" s="387">
        <v>4.2460000000000004</v>
      </c>
      <c r="E889" s="321" t="s">
        <v>374</v>
      </c>
      <c r="F889" s="2">
        <f>ROUND(D889/100*$C889,0)</f>
        <v>86066</v>
      </c>
      <c r="G889" s="387">
        <v>4.5140000000000002</v>
      </c>
      <c r="H889" s="321" t="s">
        <v>374</v>
      </c>
      <c r="I889" s="2">
        <f>ROUND(G889/100*C889,0)</f>
        <v>91499</v>
      </c>
      <c r="J889" s="387">
        <f ca="1">J968</f>
        <v>2.0669999999999997</v>
      </c>
      <c r="K889" s="321" t="s">
        <v>374</v>
      </c>
      <c r="L889" s="2">
        <f ca="1">ROUND(J889/100*$C889,0)</f>
        <v>41898</v>
      </c>
      <c r="M889" s="2"/>
      <c r="N889" s="387" t="str">
        <f>N968</f>
        <v xml:space="preserve"> </v>
      </c>
      <c r="O889" s="321" t="s">
        <v>31</v>
      </c>
      <c r="P889" s="2">
        <f>ROUND(N889/100*$C889,0)</f>
        <v>0</v>
      </c>
      <c r="Q889" s="2"/>
      <c r="R889" s="387">
        <f ca="1">R968</f>
        <v>0.995</v>
      </c>
      <c r="S889" s="321" t="s">
        <v>374</v>
      </c>
      <c r="T889" s="2">
        <f ca="1">ROUND(R889/100*$C889,0)</f>
        <v>20169</v>
      </c>
      <c r="U889" s="2"/>
      <c r="V889" s="387">
        <f ca="1">V968</f>
        <v>1.0720000000000001</v>
      </c>
      <c r="W889" s="321" t="s">
        <v>374</v>
      </c>
      <c r="X889" s="2">
        <f ca="1">ROUND(V889/100*$C889,0)</f>
        <v>21729</v>
      </c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</row>
    <row r="890" spans="1:47">
      <c r="A890" s="323" t="s">
        <v>400</v>
      </c>
      <c r="B890" s="1"/>
      <c r="C890" s="319">
        <f>[52]Sheet1!$J$2</f>
        <v>9916</v>
      </c>
      <c r="D890" s="384">
        <v>0.55000000000000004</v>
      </c>
      <c r="E890" s="321"/>
      <c r="F890" s="2">
        <f>ROUND(D890*$C890,0)</f>
        <v>5454</v>
      </c>
      <c r="G890" s="384">
        <v>0.55000000000000004</v>
      </c>
      <c r="H890" s="321"/>
      <c r="I890" s="2">
        <f>ROUND(G890*C890,0)</f>
        <v>5454</v>
      </c>
      <c r="J890" s="384">
        <f>J969</f>
        <v>0.55000000000000004</v>
      </c>
      <c r="K890" s="321"/>
      <c r="L890" s="2">
        <f>ROUND(J890*$C890,0)</f>
        <v>5454</v>
      </c>
      <c r="M890" s="2"/>
      <c r="N890" s="384" t="str">
        <f>N969</f>
        <v xml:space="preserve"> </v>
      </c>
      <c r="O890" s="321"/>
      <c r="P890" s="2">
        <f>ROUND(N890*$C890,0)</f>
        <v>0</v>
      </c>
      <c r="Q890" s="2"/>
      <c r="R890" s="384">
        <f ca="1">R969</f>
        <v>0.11</v>
      </c>
      <c r="S890" s="321"/>
      <c r="T890" s="2">
        <f ca="1">ROUND(R890*$C890,0)</f>
        <v>1091</v>
      </c>
      <c r="U890" s="2"/>
      <c r="V890" s="384">
        <f ca="1">V969</f>
        <v>0.44</v>
      </c>
      <c r="W890" s="321"/>
      <c r="X890" s="2">
        <f ca="1">ROUND(V890*$C890,0)</f>
        <v>4363</v>
      </c>
      <c r="Y890" s="319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</row>
    <row r="891" spans="1:47">
      <c r="A891" s="309" t="s">
        <v>428</v>
      </c>
      <c r="B891" s="1"/>
      <c r="C891" s="319">
        <v>0</v>
      </c>
      <c r="D891" s="388">
        <v>5.9999999999999995E-4</v>
      </c>
      <c r="E891" s="321"/>
      <c r="F891" s="2">
        <f>ROUND(D891*$C891,0)</f>
        <v>0</v>
      </c>
      <c r="G891" s="388">
        <v>5.9999999999999995E-4</v>
      </c>
      <c r="H891" s="321"/>
      <c r="I891" s="2">
        <f>ROUND(G891*C891,0)</f>
        <v>0</v>
      </c>
      <c r="J891" s="388">
        <v>5.9999999999999995E-4</v>
      </c>
      <c r="K891" s="321"/>
      <c r="L891" s="2">
        <f>ROUND(J891*$C891,0)</f>
        <v>0</v>
      </c>
      <c r="M891" s="2"/>
      <c r="N891" s="388">
        <v>5.9999999999999995E-4</v>
      </c>
      <c r="O891" s="321"/>
      <c r="P891" s="2">
        <f>ROUND(N891*$C891,0)</f>
        <v>0</v>
      </c>
      <c r="Q891" s="2"/>
      <c r="R891" s="388">
        <v>5.9999999999999995E-4</v>
      </c>
      <c r="S891" s="321"/>
      <c r="T891" s="2">
        <f>ROUND(R891*$C891,0)</f>
        <v>0</v>
      </c>
      <c r="U891" s="2"/>
      <c r="V891" s="388">
        <v>5.9999999999999995E-4</v>
      </c>
      <c r="W891" s="321"/>
      <c r="X891" s="2">
        <f>ROUND(V891*$C891,0)</f>
        <v>0</v>
      </c>
      <c r="Y891" s="319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</row>
    <row r="892" spans="1:47">
      <c r="A892" s="309" t="s">
        <v>433</v>
      </c>
      <c r="B892" s="1"/>
      <c r="C892" s="319">
        <f>[52]Sheet1!$R$2</f>
        <v>5796</v>
      </c>
      <c r="D892" s="334">
        <v>3.56</v>
      </c>
      <c r="E892" s="321"/>
      <c r="F892" s="321">
        <f>ROUND(D892*$C892,0)</f>
        <v>20634</v>
      </c>
      <c r="G892" s="334">
        <v>3.7749999999999999</v>
      </c>
      <c r="H892" s="321"/>
      <c r="I892" s="321">
        <f>ROUND(G892*$C892,0)</f>
        <v>21880</v>
      </c>
      <c r="J892" s="334">
        <f ca="1">ROUND(J887/2,3)</f>
        <v>4.24</v>
      </c>
      <c r="K892" s="321"/>
      <c r="L892" s="321">
        <f ca="1">ROUND($C892*J892,0)</f>
        <v>24575</v>
      </c>
      <c r="M892" s="321"/>
      <c r="N892" s="334">
        <f ca="1">ROUND(N887/2,3)</f>
        <v>0.55500000000000005</v>
      </c>
      <c r="O892" s="321"/>
      <c r="P892" s="321">
        <f ca="1">ROUND($C892*N892,0)</f>
        <v>3217</v>
      </c>
      <c r="Q892" s="321"/>
      <c r="R892" s="334">
        <f ca="1">ROUND(R887/2,3)</f>
        <v>0.73</v>
      </c>
      <c r="S892" s="321"/>
      <c r="T892" s="321">
        <f ca="1">ROUND($C892*R892,0)</f>
        <v>4231</v>
      </c>
      <c r="U892" s="321"/>
      <c r="V892" s="334">
        <f ca="1">ROUND(V887/2,3)</f>
        <v>2.9550000000000001</v>
      </c>
      <c r="W892" s="321"/>
      <c r="X892" s="321">
        <f ca="1">ROUND($C892*V892,0)</f>
        <v>17127</v>
      </c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</row>
    <row r="893" spans="1:47">
      <c r="A893" s="309" t="s">
        <v>434</v>
      </c>
      <c r="B893" s="1"/>
      <c r="C893" s="319">
        <f>[52]Sheet1!$P$2</f>
        <v>0</v>
      </c>
      <c r="D893" s="334">
        <v>28.48</v>
      </c>
      <c r="E893" s="321"/>
      <c r="F893" s="321">
        <f>ROUND(D893*$C893,0)</f>
        <v>0</v>
      </c>
      <c r="G893" s="334">
        <v>30.2</v>
      </c>
      <c r="H893" s="321"/>
      <c r="I893" s="321">
        <f>ROUND(G893*$C893,0)</f>
        <v>0</v>
      </c>
      <c r="J893" s="334">
        <f ca="1">J887*4</f>
        <v>33.92</v>
      </c>
      <c r="K893" s="321"/>
      <c r="L893" s="321">
        <f ca="1">ROUND($C893*J893,0)</f>
        <v>0</v>
      </c>
      <c r="M893" s="321"/>
      <c r="N893" s="334">
        <f ca="1">N887*4</f>
        <v>4.4400000000000004</v>
      </c>
      <c r="O893" s="321"/>
      <c r="P893" s="321">
        <f ca="1">ROUND($C893*N893,0)</f>
        <v>0</v>
      </c>
      <c r="Q893" s="321"/>
      <c r="R893" s="334">
        <f ca="1">R887*4</f>
        <v>5.84</v>
      </c>
      <c r="S893" s="321"/>
      <c r="T893" s="321">
        <f ca="1">ROUND($C893*R893,0)</f>
        <v>0</v>
      </c>
      <c r="U893" s="321"/>
      <c r="V893" s="334">
        <f ca="1">V887*4</f>
        <v>23.64</v>
      </c>
      <c r="W893" s="321"/>
      <c r="X893" s="321">
        <f ca="1">ROUND($C893*V893,0)</f>
        <v>0</v>
      </c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</row>
    <row r="894" spans="1:47">
      <c r="A894" s="3" t="s">
        <v>435</v>
      </c>
      <c r="B894" s="303"/>
      <c r="C894" s="319">
        <f>[52]Sheet1!$Q$2</f>
        <v>0</v>
      </c>
      <c r="D894" s="392">
        <v>16.984000000000002</v>
      </c>
      <c r="E894" s="321" t="s">
        <v>374</v>
      </c>
      <c r="F894" s="321">
        <f>ROUND($C894*D894/100,0)</f>
        <v>0</v>
      </c>
      <c r="G894" s="392">
        <v>18.056000000000001</v>
      </c>
      <c r="H894" s="321" t="s">
        <v>374</v>
      </c>
      <c r="I894" s="321">
        <f>ROUND($C894*G894/100,0)</f>
        <v>0</v>
      </c>
      <c r="J894" s="392">
        <f ca="1">(J889+J895)*4</f>
        <v>20.071999999999999</v>
      </c>
      <c r="K894" s="321" t="s">
        <v>374</v>
      </c>
      <c r="L894" s="321">
        <f ca="1">ROUND($C894*J894/100,0)</f>
        <v>0</v>
      </c>
      <c r="M894" s="321"/>
      <c r="N894" s="392" t="s">
        <v>31</v>
      </c>
      <c r="O894" s="321" t="s">
        <v>31</v>
      </c>
      <c r="P894" s="321">
        <f>ROUND($C894*N894/100,0)</f>
        <v>0</v>
      </c>
      <c r="Q894" s="321"/>
      <c r="R894" s="392">
        <f ca="1">(R889+R895)*4</f>
        <v>3.98</v>
      </c>
      <c r="S894" s="321" t="s">
        <v>374</v>
      </c>
      <c r="T894" s="321">
        <f ca="1">ROUND($C894*R894/100,0)</f>
        <v>0</v>
      </c>
      <c r="U894" s="321"/>
      <c r="V894" s="392">
        <f ca="1">(V889+V895)*4</f>
        <v>16.091999999999999</v>
      </c>
      <c r="W894" s="321" t="s">
        <v>374</v>
      </c>
      <c r="X894" s="321">
        <f ca="1">ROUND($C894*V894/100,0)</f>
        <v>0</v>
      </c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</row>
    <row r="895" spans="1:47" s="1184" customFormat="1">
      <c r="A895" s="1005" t="s">
        <v>1035</v>
      </c>
      <c r="C895" s="1202">
        <f>C889</f>
        <v>2027000</v>
      </c>
      <c r="D895" s="269"/>
      <c r="E895" s="1185"/>
      <c r="F895" s="1203"/>
      <c r="G895" s="269"/>
      <c r="H895" s="1185"/>
      <c r="I895" s="1203"/>
      <c r="J895" s="1317">
        <f>J950</f>
        <v>2.9510000000000001</v>
      </c>
      <c r="K895" s="1041" t="s">
        <v>374</v>
      </c>
      <c r="L895" s="1203">
        <f>ROUND(J895/100*$C895,0)</f>
        <v>59817</v>
      </c>
      <c r="M895" s="1203"/>
      <c r="N895" s="1317" t="str">
        <f>N950</f>
        <v xml:space="preserve"> </v>
      </c>
      <c r="O895" s="1041" t="s">
        <v>31</v>
      </c>
      <c r="P895" s="1203">
        <f>ROUND(N895/100*$C895,0)</f>
        <v>0</v>
      </c>
      <c r="Q895" s="1203"/>
      <c r="R895" s="1317" t="str">
        <f>R950</f>
        <v xml:space="preserve"> </v>
      </c>
      <c r="S895" s="1041" t="s">
        <v>31</v>
      </c>
      <c r="T895" s="1203">
        <f>ROUND(R895/100*$C895,0)</f>
        <v>0</v>
      </c>
      <c r="U895" s="1203"/>
      <c r="V895" s="1317">
        <f>V950</f>
        <v>2.9510000000000001</v>
      </c>
      <c r="W895" s="1041" t="s">
        <v>374</v>
      </c>
      <c r="X895" s="1203">
        <f>ROUND(V895/100*$C895,0)</f>
        <v>59817</v>
      </c>
      <c r="Z895" s="815"/>
      <c r="AC895" s="1205"/>
      <c r="AD895" s="1205"/>
      <c r="AI895" s="1185"/>
      <c r="AJ895" s="1185"/>
      <c r="AK895" s="1185"/>
      <c r="AL895" s="1185"/>
      <c r="AM895" s="1185"/>
      <c r="AN895" s="1185"/>
      <c r="AO895" s="1185"/>
      <c r="AP895" s="1185"/>
      <c r="AQ895" s="1185"/>
      <c r="AR895" s="1185"/>
      <c r="AS895" s="1185"/>
      <c r="AU895" s="1204"/>
    </row>
    <row r="896" spans="1:47">
      <c r="A896" s="1" t="s">
        <v>381</v>
      </c>
      <c r="B896" s="1"/>
      <c r="C896" s="319">
        <f>C889+C894</f>
        <v>2027000</v>
      </c>
      <c r="D896" s="330"/>
      <c r="E896" s="2"/>
      <c r="F896" s="2">
        <f>SUM(F882:F894)</f>
        <v>283701</v>
      </c>
      <c r="G896" s="330"/>
      <c r="H896" s="1"/>
      <c r="I896" s="2">
        <f>SUM(I882:I894)</f>
        <v>298316</v>
      </c>
      <c r="J896" s="330"/>
      <c r="K896" s="1"/>
      <c r="L896" s="2">
        <f ca="1">SUM(L882:L895)</f>
        <v>331053</v>
      </c>
      <c r="M896" s="2"/>
      <c r="N896" s="330"/>
      <c r="O896" s="1"/>
      <c r="P896" s="2">
        <f ca="1">SUM(P882:P895)</f>
        <v>66495</v>
      </c>
      <c r="Q896" s="2"/>
      <c r="R896" s="330"/>
      <c r="S896" s="1"/>
      <c r="T896" s="2">
        <f ca="1">SUM(T882:T895)</f>
        <v>52439</v>
      </c>
      <c r="U896" s="2"/>
      <c r="V896" s="330"/>
      <c r="W896" s="1"/>
      <c r="X896" s="2">
        <f ca="1">SUM(X882:X895)</f>
        <v>212119</v>
      </c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</row>
    <row r="897" spans="1:48">
      <c r="A897" s="1" t="s">
        <v>363</v>
      </c>
      <c r="B897" s="1"/>
      <c r="C897" s="319">
        <f ca="1">'Table 2'!H79</f>
        <v>-32467.553478183199</v>
      </c>
      <c r="D897" s="309"/>
      <c r="E897" s="309"/>
      <c r="F897" s="341">
        <f ca="1">I897</f>
        <v>-6187.9871972134688</v>
      </c>
      <c r="G897" s="309"/>
      <c r="H897" s="309"/>
      <c r="I897" s="341">
        <f ca="1">'Table 3'!E79</f>
        <v>-6187.9871972134688</v>
      </c>
      <c r="J897" s="309"/>
      <c r="K897" s="309"/>
      <c r="L897" s="341">
        <f ca="1">I897</f>
        <v>-6187.9871972134688</v>
      </c>
      <c r="M897" s="322"/>
      <c r="N897" s="309"/>
      <c r="O897" s="309"/>
      <c r="P897" s="764">
        <f ca="1">$L$897*Y955/(Y955+$Z$955+$AA$955)</f>
        <v>-678.70208216607148</v>
      </c>
      <c r="Q897" s="51"/>
      <c r="R897" s="309"/>
      <c r="S897" s="309"/>
      <c r="T897" s="764">
        <f ca="1">$L$897*Z955/(Y955+$Z$955+$AA$955)</f>
        <v>-1091.9688477532522</v>
      </c>
      <c r="U897" s="51"/>
      <c r="V897" s="309"/>
      <c r="W897" s="309"/>
      <c r="X897" s="764">
        <f ca="1">$L$897*AA955/($Y$955+$Z$955+$AA$955)</f>
        <v>-4417.3162672941453</v>
      </c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</row>
    <row r="898" spans="1:48" ht="16.5" thickBot="1">
      <c r="A898" s="1" t="s">
        <v>382</v>
      </c>
      <c r="B898" s="1"/>
      <c r="C898" s="393">
        <f ca="1">SUM(C896)+C897</f>
        <v>1994532.4465218168</v>
      </c>
      <c r="D898" s="342"/>
      <c r="E898" s="343"/>
      <c r="F898" s="344">
        <f ca="1">F896+F897</f>
        <v>277513.01280278654</v>
      </c>
      <c r="G898" s="342"/>
      <c r="H898" s="345"/>
      <c r="I898" s="344">
        <f ca="1">I896+I897</f>
        <v>292128.01280278654</v>
      </c>
      <c r="J898" s="342"/>
      <c r="K898" s="345"/>
      <c r="L898" s="344">
        <f ca="1">L896+L897</f>
        <v>324865.01280278654</v>
      </c>
      <c r="M898" s="344"/>
      <c r="N898" s="342"/>
      <c r="O898" s="345"/>
      <c r="P898" s="344">
        <f ca="1">P896+P897</f>
        <v>65816.29791783393</v>
      </c>
      <c r="Q898" s="344"/>
      <c r="R898" s="342"/>
      <c r="S898" s="345"/>
      <c r="T898" s="344">
        <f ca="1">T896+T897</f>
        <v>51347.031152246745</v>
      </c>
      <c r="U898" s="344"/>
      <c r="V898" s="342"/>
      <c r="W898" s="345"/>
      <c r="X898" s="344">
        <f ca="1">X896+X897</f>
        <v>207701.68373270586</v>
      </c>
      <c r="Y898" s="784" t="s">
        <v>364</v>
      </c>
      <c r="Z898" s="809">
        <f ca="1">'Rate Spread targets'!Q26*1000</f>
        <v>324732.95853244304</v>
      </c>
      <c r="AA898" s="818">
        <f ca="1">'Rate Spread targets'!V26</f>
        <v>0.11161184241398937</v>
      </c>
      <c r="AB898" s="777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</row>
    <row r="899" spans="1:48" ht="16.5" thickTop="1">
      <c r="A899" s="1"/>
      <c r="B899" s="1"/>
      <c r="C899" s="21"/>
      <c r="D899" s="337"/>
      <c r="E899" s="2"/>
      <c r="F899" s="2"/>
      <c r="G899" s="337"/>
      <c r="H899" s="1"/>
      <c r="I899" s="2"/>
      <c r="J899" s="337"/>
      <c r="K899" s="1"/>
      <c r="L899" s="380"/>
      <c r="M899" s="380"/>
      <c r="N899" s="337"/>
      <c r="O899" s="1"/>
      <c r="P899" s="380"/>
      <c r="Q899" s="380"/>
      <c r="R899" s="337"/>
      <c r="S899" s="1"/>
      <c r="T899" s="380"/>
      <c r="U899" s="380"/>
      <c r="V899" s="337"/>
      <c r="W899" s="1"/>
      <c r="X899" s="380"/>
      <c r="Y899" s="112" t="s">
        <v>263</v>
      </c>
      <c r="Z899" s="811">
        <f ca="1">Z898-L898</f>
        <v>-132.05427034350578</v>
      </c>
      <c r="AA899" s="816" t="s">
        <v>31</v>
      </c>
      <c r="AB899" s="826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</row>
    <row r="900" spans="1:48">
      <c r="A900" s="293" t="s">
        <v>476</v>
      </c>
      <c r="B900" s="1"/>
      <c r="C900" s="1"/>
      <c r="D900" s="2"/>
      <c r="E900" s="2"/>
      <c r="F900" s="1"/>
      <c r="G900" s="2"/>
      <c r="H900" s="1"/>
      <c r="I900" s="1"/>
      <c r="J900" s="2"/>
      <c r="K900" s="1"/>
      <c r="L900" s="1"/>
      <c r="M900" s="1"/>
      <c r="N900" s="2"/>
      <c r="O900" s="1"/>
      <c r="P900" s="1"/>
      <c r="Q900" s="1"/>
      <c r="R900" s="2"/>
      <c r="S900" s="1"/>
      <c r="T900" s="1"/>
      <c r="U900" s="1"/>
      <c r="V900" s="2"/>
      <c r="W900" s="1"/>
      <c r="X900" s="1"/>
      <c r="Y900" s="20"/>
      <c r="Z900" s="74"/>
      <c r="AA900" s="74"/>
      <c r="AB900" s="74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</row>
    <row r="901" spans="1:48">
      <c r="A901" s="309" t="s">
        <v>477</v>
      </c>
      <c r="B901" s="1"/>
      <c r="C901" s="1"/>
      <c r="D901" s="2"/>
      <c r="E901" s="2"/>
      <c r="F901" s="1"/>
      <c r="G901" s="2"/>
      <c r="H901" s="1"/>
      <c r="I901" s="1"/>
      <c r="J901" s="2"/>
      <c r="K901" s="1"/>
      <c r="L901" s="1"/>
      <c r="M901" s="1"/>
      <c r="N901" s="2"/>
      <c r="O901" s="1"/>
      <c r="P901" s="1"/>
      <c r="Q901" s="1"/>
      <c r="R901" s="2"/>
      <c r="S901" s="1"/>
      <c r="T901" s="1"/>
      <c r="U901" s="1"/>
      <c r="V901" s="2"/>
      <c r="W901" s="1"/>
      <c r="X901" s="1"/>
      <c r="Y901" s="20"/>
      <c r="Z901" s="74"/>
      <c r="AA901" s="74"/>
      <c r="AB901" s="74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</row>
    <row r="902" spans="1:48">
      <c r="A902" s="323"/>
      <c r="B902" s="1"/>
      <c r="C902" s="1"/>
      <c r="D902" s="2"/>
      <c r="E902" s="2"/>
      <c r="F902" s="1"/>
      <c r="G902" s="2"/>
      <c r="H902" s="1"/>
      <c r="I902" s="1"/>
      <c r="J902" s="2"/>
      <c r="K902" s="1"/>
      <c r="L902" s="1"/>
      <c r="M902" s="1"/>
      <c r="N902" s="2"/>
      <c r="O902" s="1"/>
      <c r="P902" s="1"/>
      <c r="Q902" s="1"/>
      <c r="R902" s="2"/>
      <c r="S902" s="1"/>
      <c r="T902" s="1"/>
      <c r="U902" s="1"/>
      <c r="V902" s="2"/>
      <c r="W902" s="1"/>
      <c r="X902" s="1"/>
      <c r="Y902" s="20"/>
      <c r="Z902" s="74"/>
      <c r="AA902" s="74"/>
      <c r="AB902" s="74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</row>
    <row r="903" spans="1:48">
      <c r="A903" s="323" t="s">
        <v>393</v>
      </c>
      <c r="B903" s="1"/>
      <c r="C903" s="319"/>
      <c r="D903" s="2"/>
      <c r="E903" s="2"/>
      <c r="F903" s="1"/>
      <c r="G903" s="2"/>
      <c r="H903" s="1"/>
      <c r="I903" s="1"/>
      <c r="J903" s="2"/>
      <c r="K903" s="1"/>
      <c r="L903" s="1"/>
      <c r="M903" s="1"/>
      <c r="N903" s="2"/>
      <c r="O903" s="1"/>
      <c r="P903" s="1"/>
      <c r="Q903" s="1"/>
      <c r="R903" s="2"/>
      <c r="S903" s="1"/>
      <c r="T903" s="1"/>
      <c r="U903" s="1"/>
      <c r="V903" s="2"/>
      <c r="W903" s="1"/>
      <c r="X903" s="1"/>
      <c r="Y903" s="20"/>
      <c r="Z903" s="74"/>
      <c r="AA903" s="74"/>
      <c r="AB903" s="74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</row>
    <row r="904" spans="1:48">
      <c r="A904" s="323" t="s">
        <v>471</v>
      </c>
      <c r="B904" s="1"/>
      <c r="C904" s="319">
        <f t="shared" ref="C904:C909" si="291">C923+C1091</f>
        <v>732.15151515151501</v>
      </c>
      <c r="D904" s="337"/>
      <c r="E904" s="337"/>
      <c r="F904" s="2">
        <f>F923+F1091</f>
        <v>1019061</v>
      </c>
      <c r="G904" s="337"/>
      <c r="H904" s="321"/>
      <c r="I904" s="2">
        <f>I923+I1091</f>
        <v>1019061</v>
      </c>
      <c r="J904" s="337"/>
      <c r="K904" s="321"/>
      <c r="L904" s="2">
        <f>L923+L1091</f>
        <v>1019061</v>
      </c>
      <c r="M904" s="2"/>
      <c r="N904" s="337"/>
      <c r="O904" s="321"/>
      <c r="P904" s="2">
        <f>P923+P1091</f>
        <v>1019061</v>
      </c>
      <c r="Q904" s="2"/>
      <c r="R904" s="337"/>
      <c r="S904" s="321"/>
      <c r="T904" s="2">
        <f>T923+T1091</f>
        <v>0</v>
      </c>
      <c r="U904" s="2"/>
      <c r="V904" s="337"/>
      <c r="W904" s="321"/>
      <c r="X904" s="2">
        <f>X923+X1091</f>
        <v>0</v>
      </c>
      <c r="Z904" s="55" t="s">
        <v>31</v>
      </c>
      <c r="AA904" s="3"/>
      <c r="AB904" s="3"/>
      <c r="AJ904" s="329"/>
      <c r="AK904" s="329"/>
      <c r="AQ904" s="20"/>
      <c r="AR904" s="20"/>
      <c r="AS904" s="20"/>
      <c r="AT904" s="20"/>
      <c r="AU904" s="20"/>
      <c r="AV904" s="20"/>
    </row>
    <row r="905" spans="1:48">
      <c r="A905" s="323" t="s">
        <v>472</v>
      </c>
      <c r="B905" s="1"/>
      <c r="C905" s="319">
        <f t="shared" si="291"/>
        <v>12</v>
      </c>
      <c r="D905" s="337"/>
      <c r="E905" s="337"/>
      <c r="F905" s="2">
        <f>F924+F1092</f>
        <v>30336</v>
      </c>
      <c r="G905" s="337"/>
      <c r="H905" s="324"/>
      <c r="I905" s="2">
        <f>I924+I1092</f>
        <v>30336</v>
      </c>
      <c r="J905" s="337"/>
      <c r="K905" s="324"/>
      <c r="L905" s="2">
        <f ca="1">L924+L1092</f>
        <v>32964</v>
      </c>
      <c r="M905" s="2"/>
      <c r="N905" s="337"/>
      <c r="O905" s="324"/>
      <c r="P905" s="2">
        <f ca="1">P924+P1092</f>
        <v>32964</v>
      </c>
      <c r="Q905" s="2"/>
      <c r="R905" s="337"/>
      <c r="S905" s="324"/>
      <c r="T905" s="2">
        <f>T924+T1092</f>
        <v>0</v>
      </c>
      <c r="U905" s="2"/>
      <c r="V905" s="337"/>
      <c r="W905" s="324"/>
      <c r="X905" s="2">
        <f>X924+X1092</f>
        <v>0</v>
      </c>
      <c r="Z905" s="55" t="s">
        <v>31</v>
      </c>
      <c r="AA905" s="3"/>
      <c r="AB905" s="3"/>
      <c r="AC905" s="106"/>
      <c r="AD905" s="106"/>
      <c r="AE905" s="106"/>
      <c r="AF905" s="106"/>
      <c r="AG905" s="106"/>
      <c r="AH905" s="106"/>
      <c r="AI905" s="237"/>
      <c r="AJ905" s="329"/>
      <c r="AK905" s="329"/>
      <c r="AQ905" s="20"/>
      <c r="AR905" s="20"/>
      <c r="AS905" s="20"/>
      <c r="AT905" s="20"/>
      <c r="AU905" s="20"/>
      <c r="AV905" s="20"/>
    </row>
    <row r="906" spans="1:48">
      <c r="A906" s="323" t="s">
        <v>394</v>
      </c>
      <c r="B906" s="1"/>
      <c r="C906" s="319">
        <f t="shared" si="291"/>
        <v>744.15151515151501</v>
      </c>
      <c r="D906" s="337"/>
      <c r="E906" s="337"/>
      <c r="F906" s="2"/>
      <c r="G906" s="337"/>
      <c r="H906" s="321"/>
      <c r="I906" s="2"/>
      <c r="J906" s="337"/>
      <c r="K906" s="321"/>
      <c r="L906" s="2"/>
      <c r="M906" s="2"/>
      <c r="N906" s="337"/>
      <c r="O906" s="321"/>
      <c r="P906" s="2"/>
      <c r="Q906" s="2"/>
      <c r="R906" s="337"/>
      <c r="S906" s="321"/>
      <c r="T906" s="2"/>
      <c r="U906" s="2"/>
      <c r="V906" s="337"/>
      <c r="W906" s="321"/>
      <c r="X906" s="2"/>
      <c r="Z906" s="320"/>
      <c r="AA906" s="3"/>
      <c r="AB906" s="3"/>
      <c r="AC906" s="106"/>
      <c r="AD906" s="106"/>
      <c r="AE906" s="106"/>
      <c r="AF906" s="106"/>
      <c r="AG906" s="106"/>
      <c r="AH906" s="106"/>
      <c r="AI906" s="237"/>
      <c r="AQ906" s="20"/>
      <c r="AR906" s="20"/>
      <c r="AS906" s="20"/>
      <c r="AT906" s="20"/>
      <c r="AU906" s="20"/>
      <c r="AV906" s="20"/>
    </row>
    <row r="907" spans="1:48">
      <c r="A907" s="323" t="s">
        <v>473</v>
      </c>
      <c r="B907" s="1"/>
      <c r="C907" s="319">
        <f t="shared" si="291"/>
        <v>1083307.8484848479</v>
      </c>
      <c r="D907" s="337"/>
      <c r="E907" s="337"/>
      <c r="F907" s="2">
        <f>F926+F1094</f>
        <v>1030814</v>
      </c>
      <c r="G907" s="337"/>
      <c r="H907" s="321"/>
      <c r="I907" s="2">
        <f>I926+I1094</f>
        <v>1030814</v>
      </c>
      <c r="J907" s="337"/>
      <c r="K907" s="321"/>
      <c r="L907" s="2">
        <f ca="1">L926+L1094</f>
        <v>1151944</v>
      </c>
      <c r="M907" s="2"/>
      <c r="N907" s="337"/>
      <c r="O907" s="321"/>
      <c r="P907" s="2">
        <f ca="1">P926+P1094</f>
        <v>1151944</v>
      </c>
      <c r="Q907" s="2"/>
      <c r="R907" s="337"/>
      <c r="S907" s="321"/>
      <c r="T907" s="2">
        <f>T926+T1094</f>
        <v>0</v>
      </c>
      <c r="U907" s="2"/>
      <c r="V907" s="337"/>
      <c r="W907" s="321"/>
      <c r="X907" s="2">
        <f>X926+X1094</f>
        <v>0</v>
      </c>
      <c r="Z907" s="55" t="s">
        <v>31</v>
      </c>
      <c r="AA907" s="3"/>
      <c r="AB907" s="3"/>
      <c r="AC907" s="106"/>
      <c r="AD907" s="106"/>
      <c r="AE907" s="106"/>
      <c r="AF907" s="106"/>
      <c r="AG907" s="106"/>
      <c r="AH907" s="106"/>
      <c r="AI907" s="237"/>
      <c r="AQ907" s="20"/>
      <c r="AR907" s="20"/>
      <c r="AS907" s="20"/>
      <c r="AT907" s="20"/>
      <c r="AU907" s="20"/>
      <c r="AV907" s="20"/>
    </row>
    <row r="908" spans="1:48">
      <c r="A908" s="323" t="s">
        <v>474</v>
      </c>
      <c r="B908" s="1"/>
      <c r="C908" s="319">
        <f t="shared" si="291"/>
        <v>693243</v>
      </c>
      <c r="D908" s="337"/>
      <c r="E908" s="337"/>
      <c r="F908" s="2">
        <f>F927+F1095</f>
        <v>159446</v>
      </c>
      <c r="G908" s="337"/>
      <c r="H908" s="321"/>
      <c r="I908" s="2">
        <f>I927+I1095</f>
        <v>159446</v>
      </c>
      <c r="J908" s="337"/>
      <c r="K908" s="321"/>
      <c r="L908" s="2">
        <f ca="1">L927+L1095</f>
        <v>187176</v>
      </c>
      <c r="M908" s="2"/>
      <c r="N908" s="337"/>
      <c r="O908" s="321"/>
      <c r="P908" s="2">
        <f ca="1">P927+P1095</f>
        <v>187176</v>
      </c>
      <c r="Q908" s="2"/>
      <c r="R908" s="337"/>
      <c r="S908" s="321"/>
      <c r="T908" s="2">
        <f>T927+T1095</f>
        <v>0</v>
      </c>
      <c r="U908" s="2"/>
      <c r="V908" s="337"/>
      <c r="W908" s="321"/>
      <c r="X908" s="2">
        <f>X927+X1095</f>
        <v>0</v>
      </c>
      <c r="Z908" s="55" t="s">
        <v>31</v>
      </c>
      <c r="AA908" s="3"/>
      <c r="AB908" s="3"/>
      <c r="AC908" s="106"/>
      <c r="AD908" s="106"/>
      <c r="AE908" s="106"/>
      <c r="AF908" s="106"/>
      <c r="AG908" s="106"/>
      <c r="AH908" s="106"/>
      <c r="AI908" s="237"/>
      <c r="AQ908" s="20"/>
      <c r="AR908" s="20"/>
      <c r="AS908" s="20"/>
      <c r="AT908" s="20"/>
      <c r="AU908" s="20"/>
      <c r="AV908" s="20"/>
    </row>
    <row r="909" spans="1:48">
      <c r="A909" s="309" t="s">
        <v>403</v>
      </c>
      <c r="B909" s="1"/>
      <c r="C909" s="319">
        <f t="shared" si="291"/>
        <v>1561051.3030303041</v>
      </c>
      <c r="D909" s="337"/>
      <c r="E909" s="337"/>
      <c r="F909" s="2">
        <f>F928+F1096</f>
        <v>10975647</v>
      </c>
      <c r="G909" s="337"/>
      <c r="H909" s="321"/>
      <c r="I909" s="2">
        <f>I928+I1096</f>
        <v>11622887</v>
      </c>
      <c r="J909" s="337"/>
      <c r="K909" s="321"/>
      <c r="L909" s="2">
        <f ca="1">L928+L1096</f>
        <v>13052432</v>
      </c>
      <c r="M909" s="2"/>
      <c r="N909" s="337"/>
      <c r="O909" s="321"/>
      <c r="P909" s="2">
        <f ca="1">P928+P1096</f>
        <v>1835249.2226843834</v>
      </c>
      <c r="Q909" s="2"/>
      <c r="R909" s="337"/>
      <c r="S909" s="321"/>
      <c r="T909" s="2">
        <f ca="1">T928+T1096</f>
        <v>2222754.7920219256</v>
      </c>
      <c r="U909" s="2"/>
      <c r="V909" s="337"/>
      <c r="W909" s="321"/>
      <c r="X909" s="2">
        <f ca="1">X928+X1096</f>
        <v>8994427.985293692</v>
      </c>
      <c r="Z909" s="55" t="s">
        <v>31</v>
      </c>
      <c r="AA909" s="3"/>
      <c r="AB909" s="3"/>
      <c r="AC909" s="106"/>
      <c r="AD909" s="106"/>
      <c r="AE909" s="106"/>
      <c r="AF909" s="106"/>
      <c r="AG909" s="106"/>
      <c r="AH909" s="106"/>
      <c r="AI909" s="237"/>
      <c r="AQ909" s="20"/>
      <c r="AR909" s="20"/>
      <c r="AS909" s="20"/>
      <c r="AT909" s="20"/>
      <c r="AU909" s="20"/>
      <c r="AV909" s="20"/>
    </row>
    <row r="910" spans="1:48">
      <c r="A910" s="323" t="s">
        <v>426</v>
      </c>
      <c r="B910" s="1"/>
      <c r="C910" s="319"/>
      <c r="D910" s="337"/>
      <c r="E910" s="337"/>
      <c r="F910" s="2"/>
      <c r="G910" s="337"/>
      <c r="H910" s="321"/>
      <c r="I910" s="2"/>
      <c r="J910" s="337"/>
      <c r="K910" s="321"/>
      <c r="L910" s="2"/>
      <c r="M910" s="2"/>
      <c r="N910" s="337"/>
      <c r="O910" s="321"/>
      <c r="P910" s="2"/>
      <c r="Q910" s="2"/>
      <c r="R910" s="337"/>
      <c r="S910" s="321"/>
      <c r="T910" s="2"/>
      <c r="U910" s="2"/>
      <c r="V910" s="337"/>
      <c r="W910" s="321"/>
      <c r="X910" s="2"/>
      <c r="Z910" s="320"/>
      <c r="AL910" s="20"/>
      <c r="AM910" s="20"/>
      <c r="AN910" s="20"/>
      <c r="AO910" s="20"/>
      <c r="AP910" s="20"/>
      <c r="AQ910" s="20"/>
      <c r="AR910" s="20"/>
      <c r="AS910" s="20"/>
    </row>
    <row r="911" spans="1:48">
      <c r="A911" s="323" t="s">
        <v>464</v>
      </c>
      <c r="B911" s="1"/>
      <c r="C911" s="319">
        <f>C930+C1098</f>
        <v>846205772.82823956</v>
      </c>
      <c r="D911" s="992"/>
      <c r="E911" s="321"/>
      <c r="F911" s="2">
        <f>F930+F1098</f>
        <v>35623151</v>
      </c>
      <c r="G911" s="992"/>
      <c r="H911" s="321"/>
      <c r="I911" s="2">
        <f>I930+I1098</f>
        <v>37776458</v>
      </c>
      <c r="J911" s="395"/>
      <c r="K911" s="321"/>
      <c r="L911" s="2">
        <f ca="1">L930+L1098</f>
        <v>16827705</v>
      </c>
      <c r="M911" s="2"/>
      <c r="N911" s="395"/>
      <c r="O911" s="321"/>
      <c r="P911" s="2">
        <f>P930+P1098</f>
        <v>0</v>
      </c>
      <c r="Q911" s="2"/>
      <c r="R911" s="395"/>
      <c r="S911" s="321"/>
      <c r="T911" s="2">
        <f ca="1">T930+T1098</f>
        <v>8299313.8948233891</v>
      </c>
      <c r="U911" s="2"/>
      <c r="V911" s="395"/>
      <c r="W911" s="321"/>
      <c r="X911" s="2">
        <f ca="1">X930+X1098</f>
        <v>8528391.105176609</v>
      </c>
      <c r="Z911" s="55" t="s">
        <v>31</v>
      </c>
      <c r="AL911" s="20"/>
      <c r="AM911" s="20"/>
      <c r="AN911" s="20"/>
      <c r="AO911" s="20"/>
      <c r="AP911" s="20"/>
      <c r="AQ911" s="20"/>
      <c r="AR911" s="20"/>
      <c r="AS911" s="20"/>
    </row>
    <row r="912" spans="1:48">
      <c r="A912" s="323" t="s">
        <v>400</v>
      </c>
      <c r="B912" s="1"/>
      <c r="C912" s="319">
        <f>C931+C1099</f>
        <v>365869.4545454543</v>
      </c>
      <c r="D912" s="337"/>
      <c r="E912" s="321"/>
      <c r="F912" s="2">
        <f>F931+F1099</f>
        <v>197389</v>
      </c>
      <c r="G912" s="337"/>
      <c r="H912" s="321"/>
      <c r="I912" s="2">
        <f>I931+I1099</f>
        <v>197389</v>
      </c>
      <c r="J912" s="337"/>
      <c r="K912" s="321"/>
      <c r="L912" s="2">
        <f>L931+L1099</f>
        <v>197389</v>
      </c>
      <c r="M912" s="2"/>
      <c r="N912" s="337"/>
      <c r="O912" s="321"/>
      <c r="P912" s="2">
        <f>P931+P1099</f>
        <v>0</v>
      </c>
      <c r="Q912" s="2"/>
      <c r="R912" s="337"/>
      <c r="S912" s="321"/>
      <c r="T912" s="2">
        <f ca="1">T931+T1099</f>
        <v>39112.4774124779</v>
      </c>
      <c r="U912" s="2"/>
      <c r="V912" s="337"/>
      <c r="W912" s="321"/>
      <c r="X912" s="2">
        <f ca="1">X931+X1099</f>
        <v>158276.52258752211</v>
      </c>
      <c r="Y912" s="320"/>
      <c r="Z912" s="55" t="s">
        <v>31</v>
      </c>
      <c r="AL912" s="20"/>
      <c r="AM912" s="20"/>
      <c r="AN912" s="20"/>
      <c r="AO912" s="20"/>
      <c r="AP912" s="20"/>
      <c r="AQ912" s="20"/>
      <c r="AR912" s="20"/>
      <c r="AS912" s="20"/>
    </row>
    <row r="913" spans="1:47" s="1184" customFormat="1">
      <c r="A913" s="1005" t="s">
        <v>1035</v>
      </c>
      <c r="C913" s="1026">
        <f>C933+C1115</f>
        <v>390931772.82823956</v>
      </c>
      <c r="D913" s="269"/>
      <c r="E913" s="1185"/>
      <c r="F913" s="1203"/>
      <c r="G913" s="269"/>
      <c r="H913" s="1185"/>
      <c r="I913" s="1203"/>
      <c r="J913" s="265"/>
      <c r="K913" s="1185"/>
      <c r="L913" s="1203">
        <f ca="1">L933+L1115</f>
        <v>29276382</v>
      </c>
      <c r="M913" s="1203"/>
      <c r="N913" s="265"/>
      <c r="O913" s="1185"/>
      <c r="P913" s="1203">
        <f ca="1">P933+P1115</f>
        <v>3211050.8293612809</v>
      </c>
      <c r="Q913" s="1203"/>
      <c r="R913" s="265"/>
      <c r="S913" s="1185"/>
      <c r="T913" s="1203">
        <f ca="1">T933+T1115</f>
        <v>5166283.6557451254</v>
      </c>
      <c r="U913" s="1203"/>
      <c r="V913" s="265"/>
      <c r="W913" s="1185"/>
      <c r="X913" s="1203">
        <f ca="1">X933+X1115</f>
        <v>20899047.514893595</v>
      </c>
      <c r="Z913" s="815"/>
      <c r="AC913" s="1205"/>
      <c r="AD913" s="1205"/>
      <c r="AI913" s="1185"/>
      <c r="AJ913" s="1185"/>
      <c r="AK913" s="1185"/>
      <c r="AL913" s="1185"/>
      <c r="AM913" s="1185"/>
      <c r="AN913" s="1185"/>
      <c r="AO913" s="1185"/>
      <c r="AP913" s="1185"/>
      <c r="AQ913" s="1185"/>
      <c r="AR913" s="1185"/>
      <c r="AS913" s="1185"/>
      <c r="AU913" s="1204"/>
    </row>
    <row r="914" spans="1:47">
      <c r="A914" s="1" t="s">
        <v>381</v>
      </c>
      <c r="B914" s="1"/>
      <c r="C914" s="319">
        <f>C933+C1102</f>
        <v>846205772.82823956</v>
      </c>
      <c r="D914" s="324"/>
      <c r="E914" s="2"/>
      <c r="F914" s="2">
        <f>F933+F1102</f>
        <v>49035844</v>
      </c>
      <c r="G914" s="324"/>
      <c r="H914" s="1"/>
      <c r="I914" s="2">
        <f>I933+I1102</f>
        <v>51836391</v>
      </c>
      <c r="J914" s="2"/>
      <c r="K914" s="1"/>
      <c r="L914" s="2">
        <f ca="1">L933+L1102</f>
        <v>57526097</v>
      </c>
      <c r="M914" s="2"/>
      <c r="N914" s="2"/>
      <c r="O914" s="1"/>
      <c r="P914" s="2">
        <f ca="1">P933+P1102</f>
        <v>4226394.2226843834</v>
      </c>
      <c r="Q914" s="2"/>
      <c r="R914" s="2"/>
      <c r="S914" s="1"/>
      <c r="T914" s="2">
        <f ca="1">T933+T1102</f>
        <v>10561181.164257793</v>
      </c>
      <c r="U914" s="2"/>
      <c r="V914" s="2"/>
      <c r="W914" s="1"/>
      <c r="X914" s="2">
        <f ca="1">X933+X1102</f>
        <v>42738521.613057822</v>
      </c>
      <c r="AL914" s="20"/>
      <c r="AM914" s="20"/>
      <c r="AN914" s="20"/>
      <c r="AO914" s="20"/>
      <c r="AP914" s="20"/>
      <c r="AQ914" s="20"/>
      <c r="AR914" s="20"/>
      <c r="AS914" s="20"/>
    </row>
    <row r="915" spans="1:47">
      <c r="A915" s="1" t="s">
        <v>363</v>
      </c>
      <c r="B915" s="1"/>
      <c r="C915" s="340">
        <f ca="1">C934+C1103</f>
        <v>-11321735.570943061</v>
      </c>
      <c r="D915" s="309"/>
      <c r="E915" s="309"/>
      <c r="F915" s="764">
        <f ca="1">I915</f>
        <v>-860116.38955672784</v>
      </c>
      <c r="G915" s="309"/>
      <c r="H915" s="309"/>
      <c r="I915" s="764">
        <f ca="1">I934+I1103</f>
        <v>-860116.38955672784</v>
      </c>
      <c r="J915" s="309"/>
      <c r="K915" s="309"/>
      <c r="L915" s="764">
        <f ca="1">L934+L1103</f>
        <v>-860116.38955672784</v>
      </c>
      <c r="M915" s="51"/>
      <c r="N915" s="309"/>
      <c r="O915" s="309"/>
      <c r="P915" s="764">
        <f ca="1">P934+P1103</f>
        <v>-55597.249040667724</v>
      </c>
      <c r="Q915" s="51"/>
      <c r="R915" s="309"/>
      <c r="S915" s="309"/>
      <c r="T915" s="764">
        <f ca="1">T934+T1103</f>
        <v>-159402.28236072973</v>
      </c>
      <c r="U915" s="51"/>
      <c r="V915" s="309"/>
      <c r="W915" s="309"/>
      <c r="X915" s="764">
        <f ca="1">X934+X1103</f>
        <v>-645116.85815533041</v>
      </c>
      <c r="AC915" s="276"/>
      <c r="AD915" s="276"/>
      <c r="AL915" s="20"/>
      <c r="AM915" s="20"/>
      <c r="AN915" s="20"/>
      <c r="AO915" s="20"/>
      <c r="AP915" s="20"/>
      <c r="AQ915" s="20"/>
      <c r="AR915" s="20"/>
      <c r="AS915" s="20"/>
    </row>
    <row r="916" spans="1:47" ht="16.5" thickBot="1">
      <c r="A916" s="1" t="s">
        <v>382</v>
      </c>
      <c r="B916" s="1"/>
      <c r="C916" s="767">
        <f ca="1">SUM(C914:C915)</f>
        <v>834884037.25729644</v>
      </c>
      <c r="D916" s="342"/>
      <c r="E916" s="343"/>
      <c r="F916" s="765">
        <f ca="1">F914+F915</f>
        <v>48175727.610443272</v>
      </c>
      <c r="G916" s="342"/>
      <c r="H916" s="345"/>
      <c r="I916" s="765">
        <f ca="1">I914+I915</f>
        <v>50976274.610443272</v>
      </c>
      <c r="J916" s="342"/>
      <c r="K916" s="345"/>
      <c r="L916" s="765">
        <f ca="1">L914+L915</f>
        <v>56665980.610443272</v>
      </c>
      <c r="M916" s="51"/>
      <c r="N916" s="342"/>
      <c r="O916" s="345"/>
      <c r="P916" s="765">
        <f ca="1">P914+P915</f>
        <v>4170796.9736437155</v>
      </c>
      <c r="Q916" s="51"/>
      <c r="R916" s="342"/>
      <c r="S916" s="345"/>
      <c r="T916" s="765">
        <f ca="1">T914+T915</f>
        <v>10401778.881897064</v>
      </c>
      <c r="U916" s="51"/>
      <c r="V916" s="342"/>
      <c r="W916" s="345"/>
      <c r="X916" s="765">
        <f ca="1">X914+X915</f>
        <v>42093404.754902489</v>
      </c>
      <c r="Y916" s="784" t="s">
        <v>364</v>
      </c>
      <c r="Z916" s="809">
        <f ca="1">('Rate Spread targets'!Q26+'Rate Spread targets'!Q27+'Rate Spread targets'!Q28)*1000</f>
        <v>56990563.497648761</v>
      </c>
      <c r="AA916" s="818">
        <f ca="1">'Rate Spread targets'!V27</f>
        <v>0.11161184241398937</v>
      </c>
      <c r="AB916" s="777"/>
      <c r="AL916" s="20"/>
      <c r="AM916" s="20"/>
      <c r="AN916" s="20"/>
      <c r="AO916" s="20"/>
      <c r="AP916" s="20"/>
      <c r="AQ916" s="20"/>
      <c r="AR916" s="20"/>
      <c r="AS916" s="20"/>
    </row>
    <row r="917" spans="1:47" ht="16.5" thickTop="1">
      <c r="A917" s="1"/>
      <c r="B917" s="1"/>
      <c r="C917" s="21"/>
      <c r="D917" s="337" t="s">
        <v>31</v>
      </c>
      <c r="E917" s="2"/>
      <c r="F917" s="2"/>
      <c r="G917" s="337" t="s">
        <v>31</v>
      </c>
      <c r="H917" s="1"/>
      <c r="I917" s="2"/>
      <c r="J917" s="353" t="s">
        <v>31</v>
      </c>
      <c r="K917" s="1"/>
      <c r="L917" s="2" t="s">
        <v>31</v>
      </c>
      <c r="M917" s="2"/>
      <c r="N917" s="353" t="s">
        <v>31</v>
      </c>
      <c r="O917" s="1"/>
      <c r="P917" s="2" t="s">
        <v>31</v>
      </c>
      <c r="Q917" s="2"/>
      <c r="R917" s="353" t="s">
        <v>31</v>
      </c>
      <c r="S917" s="1"/>
      <c r="T917" s="2" t="s">
        <v>31</v>
      </c>
      <c r="U917" s="2"/>
      <c r="V917" s="353" t="s">
        <v>31</v>
      </c>
      <c r="W917" s="1"/>
      <c r="X917" s="2" t="s">
        <v>31</v>
      </c>
      <c r="Y917" s="112" t="s">
        <v>263</v>
      </c>
      <c r="Z917" s="811">
        <f ca="1">Z916-L916-L898</f>
        <v>-282.12559729756322</v>
      </c>
      <c r="AA917" s="814" t="s">
        <v>31</v>
      </c>
      <c r="AB917" s="825"/>
      <c r="AL917" s="20"/>
      <c r="AM917" s="20"/>
      <c r="AN917" s="20"/>
      <c r="AO917" s="20"/>
      <c r="AP917" s="20"/>
      <c r="AQ917" s="20"/>
      <c r="AR917" s="20"/>
      <c r="AS917" s="20"/>
    </row>
    <row r="918" spans="1:47">
      <c r="A918" s="1"/>
      <c r="B918" s="1"/>
      <c r="C918" s="21"/>
      <c r="D918" s="337"/>
      <c r="E918" s="2"/>
      <c r="F918" s="2"/>
      <c r="G918" s="337"/>
      <c r="H918" s="1"/>
      <c r="I918" s="2" t="s">
        <v>31</v>
      </c>
      <c r="J918" s="337"/>
      <c r="K918" s="1"/>
      <c r="L918" s="380"/>
      <c r="M918" s="380"/>
      <c r="N918" s="337"/>
      <c r="O918" s="1"/>
      <c r="P918" s="380"/>
      <c r="Q918" s="380"/>
      <c r="R918" s="337"/>
      <c r="S918" s="1"/>
      <c r="T918" s="380"/>
      <c r="U918" s="380"/>
      <c r="V918" s="337"/>
      <c r="W918" s="1"/>
      <c r="X918" s="380"/>
      <c r="AA918" s="74"/>
      <c r="AB918" s="74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</row>
    <row r="919" spans="1:47">
      <c r="A919" s="293" t="s">
        <v>476</v>
      </c>
      <c r="B919" s="1"/>
      <c r="C919" s="1"/>
      <c r="D919" s="2"/>
      <c r="E919" s="2"/>
      <c r="F919" s="1"/>
      <c r="G919" s="2"/>
      <c r="H919" s="1"/>
      <c r="I919" s="1"/>
      <c r="J919" s="2"/>
      <c r="K919" s="1"/>
      <c r="L919" s="1"/>
      <c r="M919" s="1"/>
      <c r="N919" s="2"/>
      <c r="O919" s="1"/>
      <c r="P919" s="1"/>
      <c r="Q919" s="1"/>
      <c r="R919" s="2"/>
      <c r="S919" s="1"/>
      <c r="T919" s="1"/>
      <c r="U919" s="1"/>
      <c r="V919" s="2"/>
      <c r="W919" s="1"/>
      <c r="X919" s="1"/>
      <c r="Y919" s="416"/>
      <c r="Z919" s="74"/>
      <c r="AA919" s="74"/>
      <c r="AB919" s="74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</row>
    <row r="920" spans="1:47">
      <c r="A920" s="309" t="s">
        <v>478</v>
      </c>
      <c r="B920" s="1"/>
      <c r="C920" s="1"/>
      <c r="D920" s="2"/>
      <c r="E920" s="2"/>
      <c r="F920" s="1"/>
      <c r="G920" s="2"/>
      <c r="H920" s="1"/>
      <c r="I920" s="1"/>
      <c r="J920" s="2"/>
      <c r="K920" s="1"/>
      <c r="L920" s="1"/>
      <c r="M920" s="1"/>
      <c r="N920" s="2"/>
      <c r="O920" s="1"/>
      <c r="P920" s="1"/>
      <c r="Q920" s="1"/>
      <c r="R920" s="2"/>
      <c r="S920" s="1"/>
      <c r="T920" s="1"/>
      <c r="U920" s="1"/>
      <c r="V920" s="2"/>
      <c r="W920" s="1"/>
      <c r="X920" s="1"/>
      <c r="Y920" s="20"/>
      <c r="AA920" s="74"/>
      <c r="AB920" s="74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</row>
    <row r="921" spans="1:47">
      <c r="A921" s="323"/>
      <c r="B921" s="1"/>
      <c r="C921" s="1"/>
      <c r="D921" s="2"/>
      <c r="E921" s="2"/>
      <c r="F921" s="1"/>
      <c r="G921" s="2"/>
      <c r="H921" s="1"/>
      <c r="I921" s="1"/>
      <c r="J921" s="2"/>
      <c r="K921" s="1"/>
      <c r="L921" s="1"/>
      <c r="M921" s="1"/>
      <c r="N921" s="2"/>
      <c r="O921" s="1"/>
      <c r="P921" s="1"/>
      <c r="Q921" s="1"/>
      <c r="R921" s="2"/>
      <c r="S921" s="1"/>
      <c r="T921" s="1"/>
      <c r="U921" s="1"/>
      <c r="V921" s="2"/>
      <c r="W921" s="1"/>
      <c r="X921" s="1"/>
      <c r="Y921" s="20"/>
      <c r="Z921" s="74"/>
      <c r="AA921" s="74"/>
      <c r="AB921" s="74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</row>
    <row r="922" spans="1:47">
      <c r="A922" s="323" t="s">
        <v>393</v>
      </c>
      <c r="B922" s="1"/>
      <c r="C922" s="319"/>
      <c r="D922" s="2"/>
      <c r="E922" s="2"/>
      <c r="F922" s="1"/>
      <c r="G922" s="2"/>
      <c r="H922" s="1"/>
      <c r="I922" s="1"/>
      <c r="J922" s="2"/>
      <c r="K922" s="1"/>
      <c r="L922" s="1"/>
      <c r="M922" s="1"/>
      <c r="N922" s="2"/>
      <c r="O922" s="1"/>
      <c r="P922" s="1"/>
      <c r="Q922" s="1"/>
      <c r="R922" s="2"/>
      <c r="S922" s="1"/>
      <c r="T922" s="1"/>
      <c r="U922" s="1"/>
      <c r="V922" s="2"/>
      <c r="W922" s="1"/>
      <c r="X922" s="1"/>
      <c r="AA922" s="20"/>
      <c r="AB922" s="20"/>
      <c r="AC922" s="69" t="s">
        <v>31</v>
      </c>
      <c r="AK922" s="19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</row>
    <row r="923" spans="1:47">
      <c r="A923" s="323" t="s">
        <v>471</v>
      </c>
      <c r="B923" s="1"/>
      <c r="C923" s="319">
        <f>C941+C997</f>
        <v>732.15151515151501</v>
      </c>
      <c r="D923" s="413"/>
      <c r="E923" s="337"/>
      <c r="F923" s="2">
        <f>F1054+F1073</f>
        <v>1019061</v>
      </c>
      <c r="G923" s="413"/>
      <c r="H923" s="321"/>
      <c r="I923" s="321">
        <f>I941+I997</f>
        <v>1019061</v>
      </c>
      <c r="K923" s="321"/>
      <c r="L923" s="321">
        <f>L941+L997</f>
        <v>1019061</v>
      </c>
      <c r="M923" s="2"/>
      <c r="O923" s="321"/>
      <c r="P923" s="321">
        <f>P941+P997</f>
        <v>1019061</v>
      </c>
      <c r="Q923" s="2"/>
      <c r="S923" s="321"/>
      <c r="T923" s="321">
        <f>T941+T997</f>
        <v>0</v>
      </c>
      <c r="U923" s="2"/>
      <c r="W923" s="321"/>
      <c r="X923" s="321">
        <f>X941+X997</f>
        <v>0</v>
      </c>
      <c r="Z923" s="337">
        <f>J961</f>
        <v>1386</v>
      </c>
      <c r="AA923" s="14">
        <f>(Z923-G941)/G941</f>
        <v>0</v>
      </c>
      <c r="AB923" s="14"/>
      <c r="AE923" s="106"/>
      <c r="AF923" s="237"/>
      <c r="AG923" s="106"/>
      <c r="AH923" s="237"/>
      <c r="AI923" s="106"/>
      <c r="AJ923" s="106"/>
      <c r="AK923" s="735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</row>
    <row r="924" spans="1:47">
      <c r="A924" s="323" t="s">
        <v>472</v>
      </c>
      <c r="B924" s="1"/>
      <c r="C924" s="319">
        <f>C942+C998</f>
        <v>0</v>
      </c>
      <c r="D924" s="413"/>
      <c r="E924" s="337"/>
      <c r="F924" s="2">
        <f>F1055+F1074</f>
        <v>0</v>
      </c>
      <c r="G924" s="413"/>
      <c r="H924" s="324"/>
      <c r="I924" s="321">
        <f>I942+I998</f>
        <v>0</v>
      </c>
      <c r="K924" s="324"/>
      <c r="L924" s="321">
        <f>L942+L998</f>
        <v>0</v>
      </c>
      <c r="M924" s="2"/>
      <c r="O924" s="324"/>
      <c r="P924" s="321">
        <f>P942+P998</f>
        <v>0</v>
      </c>
      <c r="Q924" s="2"/>
      <c r="S924" s="324"/>
      <c r="T924" s="321">
        <f>T942+T998</f>
        <v>0</v>
      </c>
      <c r="U924" s="2"/>
      <c r="W924" s="324"/>
      <c r="X924" s="321">
        <f>X942+X998</f>
        <v>0</v>
      </c>
      <c r="Z924" s="337">
        <f>J962</f>
        <v>1675</v>
      </c>
      <c r="AA924" s="14">
        <f>(Z924-G942)/G942</f>
        <v>0</v>
      </c>
      <c r="AB924" s="14"/>
      <c r="AE924" s="106"/>
      <c r="AF924" s="237"/>
      <c r="AG924" s="106"/>
      <c r="AH924" s="237"/>
      <c r="AI924" s="106"/>
      <c r="AJ924" s="106"/>
      <c r="AK924" s="735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</row>
    <row r="925" spans="1:47">
      <c r="A925" s="323" t="s">
        <v>394</v>
      </c>
      <c r="B925" s="1"/>
      <c r="C925" s="319">
        <f t="shared" ref="C925:C929" si="292">C1056+C1075</f>
        <v>732.15151515151501</v>
      </c>
      <c r="D925" s="413"/>
      <c r="E925" s="337"/>
      <c r="F925" s="2"/>
      <c r="G925" s="413"/>
      <c r="H925" s="321"/>
      <c r="I925" s="321">
        <f t="shared" ref="I925:I929" si="293">I1056+I1075</f>
        <v>0</v>
      </c>
      <c r="K925" s="321"/>
      <c r="L925" s="321">
        <f t="shared" ref="L925:L929" si="294">L1056+L1075</f>
        <v>0</v>
      </c>
      <c r="M925" s="2"/>
      <c r="O925" s="321"/>
      <c r="P925" s="321">
        <f t="shared" ref="P925:P929" si="295">P1056+P1075</f>
        <v>0</v>
      </c>
      <c r="Q925" s="2"/>
      <c r="S925" s="321"/>
      <c r="T925" s="321">
        <f t="shared" ref="T925:T929" si="296">T1056+T1075</f>
        <v>0</v>
      </c>
      <c r="U925" s="2"/>
      <c r="W925" s="321"/>
      <c r="X925" s="321">
        <f t="shared" ref="X925:X929" si="297">X1056+X1075</f>
        <v>0</v>
      </c>
      <c r="Z925" s="337" t="s">
        <v>31</v>
      </c>
      <c r="AA925" s="320"/>
      <c r="AB925" s="320"/>
      <c r="AE925" s="106"/>
      <c r="AF925" s="237"/>
      <c r="AG925" s="106"/>
      <c r="AH925" s="237"/>
      <c r="AI925" s="106"/>
      <c r="AJ925" s="106"/>
      <c r="AK925" s="735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</row>
    <row r="926" spans="1:47">
      <c r="A926" s="323" t="s">
        <v>473</v>
      </c>
      <c r="B926" s="1"/>
      <c r="C926" s="319">
        <f>C944+C1000</f>
        <v>1083307.8484848479</v>
      </c>
      <c r="D926" s="413"/>
      <c r="E926" s="337"/>
      <c r="F926" s="2">
        <f>F1057+F1076</f>
        <v>1030814</v>
      </c>
      <c r="G926" s="413"/>
      <c r="H926" s="321"/>
      <c r="I926" s="321">
        <f>I944+I1000</f>
        <v>1030814</v>
      </c>
      <c r="K926" s="321"/>
      <c r="L926" s="321">
        <f ca="1">L944+L1000</f>
        <v>1151944</v>
      </c>
      <c r="M926" s="2"/>
      <c r="O926" s="321"/>
      <c r="P926" s="321">
        <f ca="1">P944+P1000</f>
        <v>1151944</v>
      </c>
      <c r="Q926" s="2"/>
      <c r="S926" s="321"/>
      <c r="T926" s="321">
        <f>T944+T1000</f>
        <v>0</v>
      </c>
      <c r="U926" s="2"/>
      <c r="W926" s="321"/>
      <c r="X926" s="321">
        <f>X944+X1000</f>
        <v>0</v>
      </c>
      <c r="Z926" s="337">
        <f ca="1">J964</f>
        <v>1.18</v>
      </c>
      <c r="AA926" s="14">
        <f ca="1">(Z926-G944)/G944</f>
        <v>0.11320754716981121</v>
      </c>
      <c r="AB926" s="14"/>
      <c r="AE926" s="106"/>
      <c r="AF926" s="237"/>
      <c r="AG926" s="106"/>
      <c r="AH926" s="237"/>
      <c r="AI926" s="106"/>
      <c r="AJ926" s="106"/>
      <c r="AK926" s="735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</row>
    <row r="927" spans="1:47">
      <c r="A927" s="323" t="s">
        <v>474</v>
      </c>
      <c r="B927" s="1"/>
      <c r="C927" s="319">
        <f t="shared" ref="C927:C928" si="298">C945+C1001</f>
        <v>0</v>
      </c>
      <c r="D927" s="413"/>
      <c r="E927" s="337"/>
      <c r="F927" s="2">
        <f>F1058+F1077</f>
        <v>0</v>
      </c>
      <c r="G927" s="413"/>
      <c r="H927" s="321"/>
      <c r="I927" s="321">
        <f t="shared" ref="I927:I928" si="299">I945+I1001</f>
        <v>0</v>
      </c>
      <c r="K927" s="321"/>
      <c r="L927" s="321">
        <f t="shared" ref="L927:L928" ca="1" si="300">L945+L1001</f>
        <v>0</v>
      </c>
      <c r="M927" s="2"/>
      <c r="O927" s="321"/>
      <c r="P927" s="321">
        <f t="shared" ref="P927:P928" ca="1" si="301">P945+P1001</f>
        <v>0</v>
      </c>
      <c r="Q927" s="2"/>
      <c r="S927" s="321"/>
      <c r="T927" s="321">
        <f t="shared" ref="T927:T928" si="302">T945+T1001</f>
        <v>0</v>
      </c>
      <c r="U927" s="2"/>
      <c r="W927" s="321"/>
      <c r="X927" s="321">
        <f t="shared" ref="X927:X928" si="303">X945+X1001</f>
        <v>0</v>
      </c>
      <c r="Z927" s="337">
        <f ca="1">J965</f>
        <v>1.07</v>
      </c>
      <c r="AA927" s="14">
        <f ca="1">(Z927-G945)/G945</f>
        <v>0.11458333333333344</v>
      </c>
      <c r="AB927" s="14"/>
      <c r="AE927" s="106"/>
      <c r="AF927" s="237"/>
      <c r="AG927" s="106"/>
      <c r="AH927" s="237"/>
      <c r="AI927" s="106"/>
      <c r="AJ927" s="106"/>
      <c r="AK927" s="735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</row>
    <row r="928" spans="1:47">
      <c r="A928" s="309" t="s">
        <v>403</v>
      </c>
      <c r="B928" s="1"/>
      <c r="C928" s="319">
        <f t="shared" si="298"/>
        <v>879355.30303030403</v>
      </c>
      <c r="D928" s="323"/>
      <c r="E928" s="319">
        <f>E1059+E1078</f>
        <v>0</v>
      </c>
      <c r="F928" s="319">
        <f>F1059+F1078</f>
        <v>6237860</v>
      </c>
      <c r="G928" s="413"/>
      <c r="H928" s="321"/>
      <c r="I928" s="321">
        <f t="shared" si="299"/>
        <v>6612421</v>
      </c>
      <c r="K928" s="321"/>
      <c r="L928" s="321">
        <f t="shared" ca="1" si="300"/>
        <v>7428440</v>
      </c>
      <c r="M928" s="2"/>
      <c r="O928" s="321"/>
      <c r="P928" s="321">
        <f t="shared" ca="1" si="301"/>
        <v>1040045.8293612811</v>
      </c>
      <c r="Q928" s="2"/>
      <c r="S928" s="321"/>
      <c r="T928" s="321">
        <f t="shared" ca="1" si="302"/>
        <v>1266212.8163330569</v>
      </c>
      <c r="U928" s="2"/>
      <c r="W928" s="321"/>
      <c r="X928" s="321">
        <f t="shared" ca="1" si="303"/>
        <v>5122181.3543056622</v>
      </c>
      <c r="Z928" s="337">
        <f ca="1">J966</f>
        <v>8.48</v>
      </c>
      <c r="AA928" s="14">
        <f ca="1">(Z928-G946)/G946</f>
        <v>0.12317880794701995</v>
      </c>
      <c r="AB928" s="14"/>
      <c r="AD928" s="74"/>
      <c r="AE928" s="739"/>
      <c r="AF928" s="735"/>
      <c r="AG928" s="739"/>
      <c r="AH928" s="735"/>
      <c r="AI928" s="739"/>
      <c r="AJ928" s="74"/>
      <c r="AK928" s="735"/>
      <c r="AL928" s="20"/>
      <c r="AM928" s="20"/>
      <c r="AN928" s="20"/>
      <c r="AO928" s="20"/>
      <c r="AP928" s="20"/>
      <c r="AQ928" s="20"/>
      <c r="AR928" s="20"/>
      <c r="AS928" s="20"/>
    </row>
    <row r="929" spans="1:47">
      <c r="A929" s="323" t="s">
        <v>426</v>
      </c>
      <c r="B929" s="1"/>
      <c r="C929" s="319">
        <f t="shared" si="292"/>
        <v>0</v>
      </c>
      <c r="D929" s="413"/>
      <c r="E929" s="337"/>
      <c r="F929" s="2"/>
      <c r="G929" s="413"/>
      <c r="H929" s="321"/>
      <c r="I929" s="321">
        <f t="shared" si="293"/>
        <v>0</v>
      </c>
      <c r="K929" s="321"/>
      <c r="L929" s="321">
        <f t="shared" si="294"/>
        <v>0</v>
      </c>
      <c r="M929" s="2"/>
      <c r="O929" s="321"/>
      <c r="P929" s="321">
        <f t="shared" si="295"/>
        <v>0</v>
      </c>
      <c r="Q929" s="2"/>
      <c r="S929" s="321"/>
      <c r="T929" s="321">
        <f t="shared" si="296"/>
        <v>0</v>
      </c>
      <c r="U929" s="2"/>
      <c r="W929" s="321"/>
      <c r="X929" s="321">
        <f t="shared" si="297"/>
        <v>0</v>
      </c>
      <c r="Z929" s="337" t="s">
        <v>31</v>
      </c>
      <c r="AA929" s="320"/>
      <c r="AB929" s="320"/>
      <c r="AD929" s="74"/>
      <c r="AE929" s="20"/>
      <c r="AF929" s="20"/>
      <c r="AG929" s="416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</row>
    <row r="930" spans="1:47">
      <c r="A930" s="323" t="s">
        <v>464</v>
      </c>
      <c r="B930" s="1"/>
      <c r="C930" s="319">
        <f>C948+C1004</f>
        <v>390931772.82823956</v>
      </c>
      <c r="D930" s="413"/>
      <c r="E930" s="321"/>
      <c r="F930" s="2">
        <f>F1061+F1080</f>
        <v>16560829</v>
      </c>
      <c r="G930" s="413"/>
      <c r="H930" s="321"/>
      <c r="I930" s="321">
        <f>I948+I1004</f>
        <v>17607820</v>
      </c>
      <c r="K930" s="321"/>
      <c r="L930" s="321">
        <f ca="1">L948+L1004</f>
        <v>7685803</v>
      </c>
      <c r="M930" s="2"/>
      <c r="O930" s="321"/>
      <c r="P930" s="321">
        <f>P948+P1004</f>
        <v>0</v>
      </c>
      <c r="Q930" s="2"/>
      <c r="S930" s="321"/>
      <c r="T930" s="321">
        <f ca="1">T948+T1004</f>
        <v>3880204.3378129657</v>
      </c>
      <c r="U930" s="2"/>
      <c r="W930" s="321"/>
      <c r="X930" s="321">
        <f ca="1">X948+X1004</f>
        <v>3805598.6621870347</v>
      </c>
      <c r="Z930" s="808" t="s">
        <v>31</v>
      </c>
      <c r="AA930" s="55" t="s">
        <v>31</v>
      </c>
      <c r="AB930" s="14"/>
      <c r="AD930" s="74"/>
      <c r="AE930" s="20"/>
      <c r="AF930" s="20"/>
      <c r="AG930" s="739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</row>
    <row r="931" spans="1:47">
      <c r="A931" s="323" t="s">
        <v>400</v>
      </c>
      <c r="B931" s="1"/>
      <c r="C931" s="319">
        <f>C949+C1005</f>
        <v>182554.4545454543</v>
      </c>
      <c r="D931" s="413"/>
      <c r="E931" s="321"/>
      <c r="F931" s="2">
        <f>F1062+F1081</f>
        <v>100232</v>
      </c>
      <c r="G931" s="413"/>
      <c r="H931" s="321"/>
      <c r="I931" s="321">
        <f>I949+I1005</f>
        <v>100232</v>
      </c>
      <c r="K931" s="321"/>
      <c r="L931" s="321">
        <f>L949+L1005</f>
        <v>100232</v>
      </c>
      <c r="M931" s="2"/>
      <c r="O931" s="321"/>
      <c r="P931" s="321">
        <f>P949+P1005</f>
        <v>0</v>
      </c>
      <c r="Q931" s="2"/>
      <c r="S931" s="321"/>
      <c r="T931" s="321">
        <f ca="1">T949+T1005</f>
        <v>19866.501599103089</v>
      </c>
      <c r="U931" s="2"/>
      <c r="W931" s="321"/>
      <c r="X931" s="321">
        <f ca="1">X949+X1005</f>
        <v>80365.498400896904</v>
      </c>
      <c r="Z931" s="337">
        <f>J949</f>
        <v>0.55000000000000004</v>
      </c>
      <c r="AA931" s="14">
        <f>(Z931-G949)/G949</f>
        <v>0</v>
      </c>
      <c r="AB931" s="14"/>
      <c r="AD931" s="74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</row>
    <row r="932" spans="1:47" s="1184" customFormat="1">
      <c r="A932" s="1005" t="s">
        <v>1035</v>
      </c>
      <c r="C932" s="319">
        <f>C950+C1006</f>
        <v>390931772.82823956</v>
      </c>
      <c r="D932" s="269"/>
      <c r="E932" s="1185"/>
      <c r="F932" s="1203"/>
      <c r="G932" s="269"/>
      <c r="H932" s="1185"/>
      <c r="I932" s="321">
        <f>I950+I1006</f>
        <v>0</v>
      </c>
      <c r="J932" s="265"/>
      <c r="K932" s="1185"/>
      <c r="L932" s="321">
        <f>L950+L1006</f>
        <v>11890902</v>
      </c>
      <c r="M932" s="1203"/>
      <c r="N932" s="265"/>
      <c r="O932" s="1185"/>
      <c r="P932" s="321">
        <f>P950+P1006</f>
        <v>0</v>
      </c>
      <c r="Q932" s="1203"/>
      <c r="R932" s="265"/>
      <c r="S932" s="1185"/>
      <c r="T932" s="321">
        <f>T950+T1006</f>
        <v>0</v>
      </c>
      <c r="U932" s="1203"/>
      <c r="V932" s="265"/>
      <c r="W932" s="1185"/>
      <c r="X932" s="321">
        <f>X950+X1006</f>
        <v>11890902</v>
      </c>
      <c r="Z932" s="815"/>
      <c r="AC932" s="1205"/>
      <c r="AD932" s="1205"/>
      <c r="AI932" s="1185"/>
      <c r="AJ932" s="1185"/>
      <c r="AK932" s="1185"/>
      <c r="AL932" s="1185"/>
      <c r="AM932" s="1185"/>
      <c r="AN932" s="1185"/>
      <c r="AO932" s="1185"/>
      <c r="AP932" s="1185"/>
      <c r="AQ932" s="1185"/>
      <c r="AR932" s="1185"/>
      <c r="AS932" s="1185"/>
      <c r="AU932" s="1204"/>
    </row>
    <row r="933" spans="1:47">
      <c r="A933" s="1" t="s">
        <v>381</v>
      </c>
      <c r="B933" s="1"/>
      <c r="C933" s="319">
        <f>C952+C1008</f>
        <v>390931772.82823956</v>
      </c>
      <c r="D933" s="324"/>
      <c r="E933" s="2"/>
      <c r="F933" s="2">
        <f>F1064+F1083</f>
        <v>24948796</v>
      </c>
      <c r="G933" s="324"/>
      <c r="H933" s="1"/>
      <c r="I933" s="321">
        <f>I952+I1008</f>
        <v>26370348</v>
      </c>
      <c r="J933" s="2"/>
      <c r="K933" s="1"/>
      <c r="L933" s="321">
        <f ca="1">L952+L1008</f>
        <v>29276382</v>
      </c>
      <c r="M933" s="2"/>
      <c r="N933" s="2"/>
      <c r="O933" s="1"/>
      <c r="P933" s="321">
        <f ca="1">P952+P1008</f>
        <v>3211050.8293612809</v>
      </c>
      <c r="Q933" s="2"/>
      <c r="R933" s="2"/>
      <c r="S933" s="1"/>
      <c r="T933" s="321">
        <f ca="1">T952+T1008</f>
        <v>5166283.6557451254</v>
      </c>
      <c r="U933" s="2"/>
      <c r="V933" s="2"/>
      <c r="W933" s="1"/>
      <c r="X933" s="321">
        <f ca="1">X952+X1008</f>
        <v>20899047.514893595</v>
      </c>
      <c r="Y933" s="20"/>
      <c r="AA933" s="74"/>
      <c r="AB933" s="74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</row>
    <row r="934" spans="1:47">
      <c r="A934" s="1" t="s">
        <v>363</v>
      </c>
      <c r="B934" s="1"/>
      <c r="C934" s="308">
        <f ca="1">C953+C1009</f>
        <v>-4029366.0878516054</v>
      </c>
      <c r="D934" s="309"/>
      <c r="E934" s="309"/>
      <c r="F934" s="764">
        <f ca="1">I934</f>
        <v>-334737.78451534611</v>
      </c>
      <c r="G934" s="309"/>
      <c r="H934" s="309"/>
      <c r="I934" s="764">
        <f ca="1">I953+I1009</f>
        <v>-334737.78451534611</v>
      </c>
      <c r="J934" s="309"/>
      <c r="K934" s="309"/>
      <c r="L934" s="764">
        <f ca="1">L953+L1009</f>
        <v>-334737.78451534611</v>
      </c>
      <c r="M934" s="51"/>
      <c r="N934" s="309"/>
      <c r="O934" s="309"/>
      <c r="P934" s="764">
        <f ca="1">P953+P1009</f>
        <v>-36714.237455521659</v>
      </c>
      <c r="Q934" s="51"/>
      <c r="R934" s="309"/>
      <c r="S934" s="309"/>
      <c r="T934" s="764">
        <f ca="1">T953+T1009</f>
        <v>-59069.8107813311</v>
      </c>
      <c r="U934" s="51"/>
      <c r="V934" s="309"/>
      <c r="W934" s="309"/>
      <c r="X934" s="764">
        <f ca="1">X953+X1009</f>
        <v>-238953.73627849336</v>
      </c>
      <c r="Y934" s="444"/>
      <c r="Z934" s="287"/>
      <c r="AA934" s="74"/>
      <c r="AB934" s="74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</row>
    <row r="935" spans="1:47" ht="16.5" thickBot="1">
      <c r="A935" s="1" t="s">
        <v>382</v>
      </c>
      <c r="B935" s="1"/>
      <c r="C935" s="1594">
        <f ca="1">C954+C1010</f>
        <v>386902406.74038792</v>
      </c>
      <c r="D935" s="342"/>
      <c r="E935" s="343"/>
      <c r="F935" s="766">
        <f ca="1">F1066+F1085</f>
        <v>24614058.215484656</v>
      </c>
      <c r="G935" s="342"/>
      <c r="H935" s="345"/>
      <c r="I935" s="766">
        <f ca="1">I954+I1010</f>
        <v>26035610.215484656</v>
      </c>
      <c r="J935" s="342"/>
      <c r="K935" s="345"/>
      <c r="L935" s="766">
        <f ca="1">L954+L1010</f>
        <v>28941644.215484656</v>
      </c>
      <c r="M935" s="51"/>
      <c r="N935" s="342"/>
      <c r="O935" s="345"/>
      <c r="P935" s="766">
        <f ca="1">P954+P1010</f>
        <v>3174336.5919057596</v>
      </c>
      <c r="Q935" s="51"/>
      <c r="R935" s="342"/>
      <c r="S935" s="345"/>
      <c r="T935" s="766">
        <f ca="1">T954+T1010</f>
        <v>5107213.8449637936</v>
      </c>
      <c r="U935" s="51"/>
      <c r="V935" s="342"/>
      <c r="W935" s="345"/>
      <c r="X935" s="766">
        <f ca="1">X954+X1010</f>
        <v>20660093.778615098</v>
      </c>
      <c r="Y935" s="784" t="s">
        <v>364</v>
      </c>
      <c r="Z935" s="809">
        <f ca="1">('Rate Spread targets'!Q27+'Rate Spread targets'!Q26)*1000</f>
        <v>29266225.598539826</v>
      </c>
      <c r="AA935" s="818">
        <f ca="1">'Rate Spread targets'!V27-0.0002</f>
        <v>0.11141184241398937</v>
      </c>
      <c r="AB935" s="777"/>
      <c r="AC935" s="69" t="s">
        <v>721</v>
      </c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</row>
    <row r="936" spans="1:47" ht="16.5" thickTop="1">
      <c r="A936" s="1"/>
      <c r="B936" s="1"/>
      <c r="C936" s="350"/>
      <c r="D936" s="351"/>
      <c r="E936" s="352"/>
      <c r="F936" s="51"/>
      <c r="G936" s="351"/>
      <c r="H936" s="23"/>
      <c r="I936" s="51"/>
      <c r="J936" s="351"/>
      <c r="K936" s="23"/>
      <c r="L936" s="51"/>
      <c r="M936" s="51"/>
      <c r="N936" s="351"/>
      <c r="O936" s="23"/>
      <c r="P936" s="51"/>
      <c r="Q936" s="51"/>
      <c r="R936" s="351"/>
      <c r="S936" s="23"/>
      <c r="T936" s="51"/>
      <c r="U936" s="51"/>
      <c r="V936" s="351"/>
      <c r="W936" s="23"/>
      <c r="X936" s="51"/>
      <c r="Y936" s="787" t="s">
        <v>263</v>
      </c>
      <c r="Z936" s="812">
        <f ca="1">Z935-L898-L954-L1010</f>
        <v>-283.62974761705846</v>
      </c>
      <c r="AA936" s="785"/>
      <c r="AB936" s="74"/>
      <c r="AC936" s="744">
        <f ca="1">'Rate Spread targets'!V27</f>
        <v>0.11161184241398937</v>
      </c>
      <c r="AD936" s="7" t="s">
        <v>1045</v>
      </c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</row>
    <row r="937" spans="1:47">
      <c r="A937" s="293" t="s">
        <v>476</v>
      </c>
      <c r="B937" s="1"/>
      <c r="C937" s="1"/>
      <c r="D937" s="2"/>
      <c r="E937" s="2"/>
      <c r="F937" s="1"/>
      <c r="G937" s="2"/>
      <c r="H937" s="1"/>
      <c r="I937" s="1"/>
      <c r="J937" s="2"/>
      <c r="K937" s="1"/>
      <c r="N937" s="2"/>
      <c r="O937" s="1"/>
      <c r="R937" s="2"/>
      <c r="S937" s="1"/>
      <c r="V937" s="2"/>
      <c r="W937" s="1"/>
      <c r="AA937" s="74"/>
      <c r="AB937" s="74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</row>
    <row r="938" spans="1:47">
      <c r="A938" s="309" t="s">
        <v>698</v>
      </c>
      <c r="B938" s="1"/>
      <c r="C938" s="1"/>
      <c r="D938" s="2"/>
      <c r="E938" s="2"/>
      <c r="F938" s="1"/>
      <c r="G938" s="2"/>
      <c r="H938" s="1"/>
      <c r="I938" s="1"/>
      <c r="J938" s="2"/>
      <c r="K938" s="1"/>
      <c r="L938" s="1"/>
      <c r="M938" s="1"/>
      <c r="N938" s="2"/>
      <c r="O938" s="1"/>
      <c r="P938" s="1"/>
      <c r="Q938" s="1"/>
      <c r="R938" s="2"/>
      <c r="S938" s="1"/>
      <c r="T938" s="1"/>
      <c r="U938" s="1"/>
      <c r="V938" s="2"/>
      <c r="W938" s="1"/>
      <c r="X938" s="1"/>
      <c r="Y938" s="2">
        <f ca="1">L898+L954+L1010</f>
        <v>29266509.228287444</v>
      </c>
      <c r="Z938" s="32" t="s">
        <v>721</v>
      </c>
      <c r="AA938" s="827">
        <f ca="1">(Y938-(I935+I898))/(I935+I898)</f>
        <v>0.11162261545287173</v>
      </c>
      <c r="AB938" s="74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</row>
    <row r="939" spans="1:47">
      <c r="A939" s="323"/>
      <c r="B939" s="1"/>
      <c r="C939" s="1"/>
      <c r="D939" s="2"/>
      <c r="E939" s="2"/>
      <c r="F939" s="1"/>
      <c r="G939" s="2"/>
      <c r="H939" s="1"/>
      <c r="I939" s="1"/>
      <c r="J939" s="2"/>
      <c r="K939" s="1"/>
      <c r="L939" s="1"/>
      <c r="M939" s="1"/>
      <c r="N939" s="2"/>
      <c r="O939" s="1"/>
      <c r="P939" s="1"/>
      <c r="Q939" s="1"/>
      <c r="R939" s="2"/>
      <c r="S939" s="1"/>
      <c r="T939" s="1"/>
      <c r="U939" s="1"/>
      <c r="V939" s="2"/>
      <c r="W939" s="1"/>
      <c r="X939" s="1"/>
      <c r="Y939" s="20"/>
      <c r="Z939" s="74"/>
      <c r="AA939" s="74"/>
      <c r="AB939" s="74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</row>
    <row r="940" spans="1:47">
      <c r="A940" s="323" t="s">
        <v>393</v>
      </c>
      <c r="B940" s="1"/>
      <c r="C940" s="319"/>
      <c r="D940" s="2"/>
      <c r="E940" s="2"/>
      <c r="F940" s="1"/>
      <c r="G940" s="2"/>
      <c r="H940" s="1"/>
      <c r="I940" s="1"/>
      <c r="J940" s="2"/>
      <c r="K940" s="1"/>
      <c r="L940" s="1"/>
      <c r="M940" s="1"/>
      <c r="N940" s="2"/>
      <c r="O940" s="1"/>
      <c r="P940" s="1"/>
      <c r="Q940" s="1"/>
      <c r="R940" s="2"/>
      <c r="S940" s="1"/>
      <c r="T940" s="1"/>
      <c r="U940" s="1"/>
      <c r="V940" s="2"/>
      <c r="W940" s="1"/>
      <c r="X940" s="1"/>
      <c r="Y940" s="20"/>
      <c r="Z940" s="74"/>
      <c r="AA940" s="74"/>
      <c r="AB940" s="74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</row>
    <row r="941" spans="1:47">
      <c r="A941" s="323" t="s">
        <v>471</v>
      </c>
      <c r="B941" s="1"/>
      <c r="C941" s="319">
        <f t="shared" ref="C941:C946" si="304">C961+C979</f>
        <v>601.87878787878799</v>
      </c>
      <c r="D941" s="337">
        <v>1386</v>
      </c>
      <c r="E941" s="337"/>
      <c r="F941" s="2">
        <f>ROUND(D941*$C941,0)</f>
        <v>834204</v>
      </c>
      <c r="G941" s="337">
        <v>1386</v>
      </c>
      <c r="H941" s="321"/>
      <c r="I941" s="2">
        <f>ROUND(G941*C941,0)</f>
        <v>834204</v>
      </c>
      <c r="J941" s="326">
        <f>G941</f>
        <v>1386</v>
      </c>
      <c r="K941" s="321"/>
      <c r="L941" s="2">
        <f>ROUND(J941*$C941,0)</f>
        <v>834204</v>
      </c>
      <c r="M941" s="2"/>
      <c r="N941" s="326">
        <f>J941</f>
        <v>1386</v>
      </c>
      <c r="O941" s="321"/>
      <c r="P941" s="2">
        <f>ROUND(N941*$C941,0)</f>
        <v>834204</v>
      </c>
      <c r="Q941" s="2"/>
      <c r="R941" s="326" t="s">
        <v>31</v>
      </c>
      <c r="S941" s="321"/>
      <c r="T941" s="2">
        <f>ROUND(R941*$C941,0)</f>
        <v>0</v>
      </c>
      <c r="U941" s="2"/>
      <c r="V941" s="326" t="s">
        <v>31</v>
      </c>
      <c r="W941" s="321"/>
      <c r="X941" s="2">
        <f>ROUND(V941*$C941,0)</f>
        <v>0</v>
      </c>
      <c r="Y941" s="20"/>
      <c r="AA941" s="827">
        <f>(J941-G941)/G941</f>
        <v>0</v>
      </c>
      <c r="AB941" s="777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</row>
    <row r="942" spans="1:47">
      <c r="A942" s="323" t="s">
        <v>472</v>
      </c>
      <c r="B942" s="1"/>
      <c r="C942" s="319">
        <f t="shared" si="304"/>
        <v>0</v>
      </c>
      <c r="D942" s="337">
        <v>1675</v>
      </c>
      <c r="E942" s="337"/>
      <c r="F942" s="2">
        <f>ROUND(D942*$C942,0)</f>
        <v>0</v>
      </c>
      <c r="G942" s="337">
        <v>1675</v>
      </c>
      <c r="H942" s="324"/>
      <c r="I942" s="2">
        <f>ROUND(G942*C942,0)</f>
        <v>0</v>
      </c>
      <c r="J942" s="326">
        <f>G942</f>
        <v>1675</v>
      </c>
      <c r="K942" s="324"/>
      <c r="L942" s="2">
        <f>ROUND(J942*$C942,0)</f>
        <v>0</v>
      </c>
      <c r="M942" s="2"/>
      <c r="N942" s="326">
        <f>J942</f>
        <v>1675</v>
      </c>
      <c r="O942" s="1580"/>
      <c r="P942" s="2">
        <f>L942</f>
        <v>0</v>
      </c>
      <c r="Q942" s="2"/>
      <c r="R942" s="326" t="s">
        <v>31</v>
      </c>
      <c r="S942" s="1580"/>
      <c r="T942" s="2">
        <f>ROUND(R942*$C942,0)</f>
        <v>0</v>
      </c>
      <c r="U942" s="2"/>
      <c r="V942" s="326" t="s">
        <v>31</v>
      </c>
      <c r="W942" s="1580"/>
      <c r="X942" s="2">
        <f>ROUND(V942*$C942,0)</f>
        <v>0</v>
      </c>
      <c r="Y942" s="20"/>
      <c r="AA942" s="827">
        <f>(J942-G942)/G942</f>
        <v>0</v>
      </c>
      <c r="AB942" s="777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</row>
    <row r="943" spans="1:47">
      <c r="A943" s="323" t="s">
        <v>394</v>
      </c>
      <c r="B943" s="1"/>
      <c r="C943" s="319">
        <f t="shared" si="304"/>
        <v>601.87878787878799</v>
      </c>
      <c r="D943" s="337" t="s">
        <v>31</v>
      </c>
      <c r="E943" s="337"/>
      <c r="F943" s="2" t="s">
        <v>31</v>
      </c>
      <c r="G943" s="337" t="s">
        <v>31</v>
      </c>
      <c r="H943" s="321"/>
      <c r="I943" s="2" t="s">
        <v>31</v>
      </c>
      <c r="J943" s="326" t="s">
        <v>31</v>
      </c>
      <c r="K943" s="321"/>
      <c r="L943" s="2" t="s">
        <v>31</v>
      </c>
      <c r="M943" s="2"/>
      <c r="N943" s="326" t="s">
        <v>31</v>
      </c>
      <c r="O943" s="321"/>
      <c r="P943" s="2" t="s">
        <v>31</v>
      </c>
      <c r="Q943" s="2"/>
      <c r="R943" s="326" t="s">
        <v>31</v>
      </c>
      <c r="S943" s="321"/>
      <c r="T943" s="2" t="s">
        <v>31</v>
      </c>
      <c r="U943" s="2"/>
      <c r="V943" s="326" t="s">
        <v>31</v>
      </c>
      <c r="W943" s="321"/>
      <c r="X943" s="2" t="s">
        <v>31</v>
      </c>
      <c r="Y943" s="20"/>
      <c r="AA943" s="1588"/>
      <c r="AB943" s="74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</row>
    <row r="944" spans="1:47">
      <c r="A944" s="323" t="s">
        <v>473</v>
      </c>
      <c r="B944" s="1"/>
      <c r="C944" s="319">
        <f t="shared" si="304"/>
        <v>861624.39393939299</v>
      </c>
      <c r="D944" s="337">
        <v>1.06</v>
      </c>
      <c r="E944" s="337"/>
      <c r="F944" s="2">
        <f>ROUND(D944*$C944,0)</f>
        <v>913322</v>
      </c>
      <c r="G944" s="337">
        <v>1.06</v>
      </c>
      <c r="H944" s="321"/>
      <c r="I944" s="2">
        <f t="shared" ref="I944:I946" si="305">ROUND(G944*C944,0)</f>
        <v>913322</v>
      </c>
      <c r="J944" s="326">
        <f ca="1">ROUND(G944*(1+$AC$936),2)</f>
        <v>1.18</v>
      </c>
      <c r="K944" s="321"/>
      <c r="L944" s="2">
        <f ca="1">ROUND(J944*$C944,0)</f>
        <v>1016717</v>
      </c>
      <c r="M944" s="2"/>
      <c r="N944" s="326">
        <f ca="1">J944</f>
        <v>1.18</v>
      </c>
      <c r="O944" s="321"/>
      <c r="P944" s="2">
        <f ca="1">ROUND(N944*$C944,0)</f>
        <v>1016717</v>
      </c>
      <c r="Q944" s="2"/>
      <c r="R944" s="326" t="s">
        <v>31</v>
      </c>
      <c r="S944" s="321"/>
      <c r="T944" s="2">
        <f>ROUND(R944*$C944,0)</f>
        <v>0</v>
      </c>
      <c r="U944" s="2"/>
      <c r="V944" s="326" t="s">
        <v>31</v>
      </c>
      <c r="W944" s="321"/>
      <c r="X944" s="2">
        <f>ROUND(V944*$C944,0)</f>
        <v>0</v>
      </c>
      <c r="Y944" s="20"/>
      <c r="AA944" s="827">
        <f ca="1">(J944-G944)/G944</f>
        <v>0.11320754716981121</v>
      </c>
      <c r="AB944" s="777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</row>
    <row r="945" spans="1:47">
      <c r="A945" s="323" t="s">
        <v>474</v>
      </c>
      <c r="B945" s="1"/>
      <c r="C945" s="319">
        <f t="shared" si="304"/>
        <v>0</v>
      </c>
      <c r="D945" s="337">
        <v>0.96</v>
      </c>
      <c r="E945" s="337"/>
      <c r="F945" s="2">
        <f>ROUND(D945*$C945,0)</f>
        <v>0</v>
      </c>
      <c r="G945" s="337">
        <v>0.96</v>
      </c>
      <c r="H945" s="321"/>
      <c r="I945" s="2">
        <f t="shared" si="305"/>
        <v>0</v>
      </c>
      <c r="J945" s="326">
        <f ca="1">ROUND(G945*(1+$AC$936),2)</f>
        <v>1.07</v>
      </c>
      <c r="K945" s="321"/>
      <c r="L945" s="2">
        <f ca="1">ROUND(J945*$C945,0)</f>
        <v>0</v>
      </c>
      <c r="M945" s="2"/>
      <c r="N945" s="326">
        <f ca="1">J945</f>
        <v>1.07</v>
      </c>
      <c r="O945" s="321"/>
      <c r="P945" s="2">
        <f ca="1">L945</f>
        <v>0</v>
      </c>
      <c r="Q945" s="2"/>
      <c r="R945" s="326" t="s">
        <v>31</v>
      </c>
      <c r="S945" s="321"/>
      <c r="T945" s="2">
        <f>ROUND(R945*$C945,0)</f>
        <v>0</v>
      </c>
      <c r="U945" s="2"/>
      <c r="V945" s="326" t="s">
        <v>31</v>
      </c>
      <c r="W945" s="321"/>
      <c r="X945" s="2">
        <f>ROUND(V945*$C945,0)</f>
        <v>0</v>
      </c>
      <c r="Y945" s="20"/>
      <c r="AA945" s="827">
        <f ca="1">(J945-G945)/G945</f>
        <v>0.11458333333333344</v>
      </c>
      <c r="AB945" s="777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</row>
    <row r="946" spans="1:47">
      <c r="A946" s="309" t="s">
        <v>403</v>
      </c>
      <c r="B946" s="1"/>
      <c r="C946" s="319">
        <f t="shared" si="304"/>
        <v>701278.81818181905</v>
      </c>
      <c r="D946" s="337">
        <v>7.12</v>
      </c>
      <c r="E946" s="337"/>
      <c r="F946" s="2">
        <f>ROUND(D946*$C946,0)</f>
        <v>4993105</v>
      </c>
      <c r="G946" s="337">
        <v>7.55</v>
      </c>
      <c r="H946" s="321"/>
      <c r="I946" s="2">
        <f t="shared" si="305"/>
        <v>5294655</v>
      </c>
      <c r="J946" s="326">
        <f ca="1">ROUND(G946*(1+($AC$936*1.1)),2)</f>
        <v>8.48</v>
      </c>
      <c r="K946" s="321"/>
      <c r="L946" s="2">
        <f ca="1">ROUND(J946*$C946,0)</f>
        <v>5946844</v>
      </c>
      <c r="M946" s="2"/>
      <c r="N946" s="326">
        <f ca="1">ROUND(P946/$C$946,2)</f>
        <v>1.1100000000000001</v>
      </c>
      <c r="O946" s="321"/>
      <c r="P946" s="2">
        <f ca="1">(Y956-P941-P942-P953-P945-P944)</f>
        <v>777242.31863625185</v>
      </c>
      <c r="Q946" s="2"/>
      <c r="R946" s="326">
        <f ca="1">ROUND(T946/$C$946,2)</f>
        <v>1.46</v>
      </c>
      <c r="S946" s="321"/>
      <c r="T946" s="2">
        <f ca="1">($L$946-$P$946)*(Z956/($Z$956+$AA$956))</f>
        <v>1024641.8316459706</v>
      </c>
      <c r="U946" s="2"/>
      <c r="V946" s="326">
        <f ca="1">ROUND(X946/$C$946,2)</f>
        <v>5.91</v>
      </c>
      <c r="W946" s="321"/>
      <c r="X946" s="2">
        <f ca="1">($L$946-$P$946)*(AA956/($Z$956+$AA$956))</f>
        <v>4144959.8497177777</v>
      </c>
      <c r="Y946" s="20"/>
      <c r="AA946" s="827">
        <f ca="1">(J946-G946)/G946</f>
        <v>0.12317880794701995</v>
      </c>
      <c r="AB946" s="777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</row>
    <row r="947" spans="1:47">
      <c r="A947" s="323" t="s">
        <v>426</v>
      </c>
      <c r="B947" s="1"/>
      <c r="C947" s="319"/>
      <c r="D947" s="337" t="s">
        <v>31</v>
      </c>
      <c r="E947" s="337"/>
      <c r="F947" s="2"/>
      <c r="G947" s="337" t="s">
        <v>31</v>
      </c>
      <c r="H947" s="321"/>
      <c r="I947" s="2"/>
      <c r="J947" s="326" t="s">
        <v>31</v>
      </c>
      <c r="K947" s="321"/>
      <c r="L947" s="2"/>
      <c r="M947" s="2"/>
      <c r="N947" s="426" t="s">
        <v>31</v>
      </c>
      <c r="O947" s="321"/>
      <c r="P947" s="2"/>
      <c r="Q947" s="2"/>
      <c r="R947" s="426" t="s">
        <v>31</v>
      </c>
      <c r="S947" s="321"/>
      <c r="T947" s="2"/>
      <c r="U947" s="2"/>
      <c r="V947" s="426" t="s">
        <v>31</v>
      </c>
      <c r="W947" s="321"/>
      <c r="X947" s="2"/>
      <c r="Y947" s="20"/>
      <c r="AA947" s="1588"/>
      <c r="AB947" s="74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</row>
    <row r="948" spans="1:47">
      <c r="A948" s="323" t="s">
        <v>464</v>
      </c>
      <c r="B948" s="1"/>
      <c r="C948" s="319">
        <f>C968+C986</f>
        <v>320313336.81593531</v>
      </c>
      <c r="D948" s="395">
        <v>4.2460000000000004</v>
      </c>
      <c r="E948" s="321" t="s">
        <v>374</v>
      </c>
      <c r="F948" s="2">
        <f>ROUND(D948/100*$C948,0)</f>
        <v>13600504</v>
      </c>
      <c r="G948" s="395">
        <v>4.5140000000000002</v>
      </c>
      <c r="H948" s="321" t="s">
        <v>374</v>
      </c>
      <c r="I948" s="2">
        <f>ROUND(G948/100*C948,0)</f>
        <v>14458944</v>
      </c>
      <c r="J948" s="808">
        <f ca="1">ROUND(G948*(1+$AA$935)-J950,3)+0.001</f>
        <v>2.0669999999999997</v>
      </c>
      <c r="K948" s="321" t="s">
        <v>374</v>
      </c>
      <c r="L948" s="2">
        <f ca="1">ROUND(J948/100*$C948,0)</f>
        <v>6620877</v>
      </c>
      <c r="M948" s="2"/>
      <c r="N948" s="802" t="s">
        <v>31</v>
      </c>
      <c r="O948" s="883" t="s">
        <v>31</v>
      </c>
      <c r="P948" s="2">
        <v>0</v>
      </c>
      <c r="Q948" s="2"/>
      <c r="R948" s="802">
        <f ca="1">ROUND(T948/C948*100,3)</f>
        <v>0.995</v>
      </c>
      <c r="S948" s="321" t="s">
        <v>374</v>
      </c>
      <c r="T948" s="2">
        <f ca="1">L948-X948</f>
        <v>3185816.0761922523</v>
      </c>
      <c r="U948" s="2"/>
      <c r="V948" s="802">
        <f ca="1">ROUND(X948/C948*100,3)</f>
        <v>1.0720000000000001</v>
      </c>
      <c r="W948" s="321" t="s">
        <v>374</v>
      </c>
      <c r="X948" s="2">
        <f ca="1">AA956-X941-X942-X944-X945-X946-X949-X950-X953</f>
        <v>3435060.9238077477</v>
      </c>
      <c r="Y948" s="20"/>
      <c r="AA948" s="827">
        <f ca="1">((J948+J950)-G948)/G948</f>
        <v>0.11165263624280007</v>
      </c>
      <c r="AB948" s="777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</row>
    <row r="949" spans="1:47">
      <c r="A949" s="323" t="s">
        <v>400</v>
      </c>
      <c r="B949" s="1"/>
      <c r="C949" s="319">
        <f>C969+C987</f>
        <v>165243.12121212101</v>
      </c>
      <c r="D949" s="337">
        <v>0.55000000000000004</v>
      </c>
      <c r="E949" s="321"/>
      <c r="F949" s="2">
        <f>ROUND(D949*$C949,0)</f>
        <v>90884</v>
      </c>
      <c r="G949" s="337">
        <v>0.55000000000000004</v>
      </c>
      <c r="H949" s="321"/>
      <c r="I949" s="2">
        <f>ROUND(G949*C949,0)</f>
        <v>90884</v>
      </c>
      <c r="J949" s="326">
        <f>G949</f>
        <v>0.55000000000000004</v>
      </c>
      <c r="K949" s="321"/>
      <c r="L949" s="2">
        <f>ROUND(J949*$C949,0)</f>
        <v>90884</v>
      </c>
      <c r="M949" s="2"/>
      <c r="N949" s="326" t="s">
        <v>31</v>
      </c>
      <c r="O949" s="321"/>
      <c r="P949" s="2">
        <f>ROUND(N949*$C949,0)</f>
        <v>0</v>
      </c>
      <c r="Q949" s="2"/>
      <c r="R949" s="326">
        <f ca="1">ROUND(T949/$C$949,2)</f>
        <v>0.11</v>
      </c>
      <c r="S949" s="321"/>
      <c r="T949" s="2">
        <f ca="1">$L$949*(Z956/(Z956+AA956))</f>
        <v>18013.679576710882</v>
      </c>
      <c r="U949" s="2"/>
      <c r="V949" s="326">
        <f ca="1">ROUND(X949/$C$949,2)</f>
        <v>0.44</v>
      </c>
      <c r="W949" s="321"/>
      <c r="X949" s="2">
        <f ca="1">$L$949*(AA956/(Z956+AA956))</f>
        <v>72870.320423289115</v>
      </c>
      <c r="Y949" s="20"/>
      <c r="AA949" s="827">
        <f>(J949-G949)/G949</f>
        <v>0</v>
      </c>
      <c r="AB949" s="777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</row>
    <row r="950" spans="1:47" s="1184" customFormat="1">
      <c r="A950" s="1005" t="s">
        <v>1035</v>
      </c>
      <c r="C950" s="1026">
        <f>C971+C988</f>
        <v>320313336.81593531</v>
      </c>
      <c r="D950" s="269"/>
      <c r="E950" s="1185"/>
      <c r="F950" s="1203"/>
      <c r="G950" s="269"/>
      <c r="H950" s="1185"/>
      <c r="I950" s="1203"/>
      <c r="J950" s="1230">
        <f>ROUND(Y950/(C950+C895)*100,3)</f>
        <v>2.9510000000000001</v>
      </c>
      <c r="K950" s="1041" t="s">
        <v>374</v>
      </c>
      <c r="L950" s="1203">
        <f>ROUND(J950/100*$C950,0)</f>
        <v>9452447</v>
      </c>
      <c r="M950" s="1203"/>
      <c r="N950" s="1230" t="s">
        <v>31</v>
      </c>
      <c r="O950" s="1041" t="s">
        <v>31</v>
      </c>
      <c r="P950" s="1041">
        <f>ROUND(N950*$C950/100,0)</f>
        <v>0</v>
      </c>
      <c r="Q950" s="1041"/>
      <c r="R950" s="1230" t="s">
        <v>31</v>
      </c>
      <c r="S950" s="1041" t="s">
        <v>31</v>
      </c>
      <c r="T950" s="1041">
        <f>ROUND(R950*$C950/100,0)</f>
        <v>0</v>
      </c>
      <c r="U950" s="1041"/>
      <c r="V950" s="1230">
        <f>J950</f>
        <v>2.9510000000000001</v>
      </c>
      <c r="W950" s="1041" t="s">
        <v>374</v>
      </c>
      <c r="X950" s="1041">
        <f>ROUND(V950*$C950/100,0)</f>
        <v>9452447</v>
      </c>
      <c r="Y950" s="1204">
        <f>'NPC Spread'!G47</f>
        <v>9512953.169853868</v>
      </c>
      <c r="Z950" s="815" t="s">
        <v>913</v>
      </c>
      <c r="AC950" s="1205"/>
      <c r="AD950" s="1205"/>
      <c r="AI950" s="1185"/>
      <c r="AJ950" s="1185"/>
      <c r="AK950" s="1185"/>
      <c r="AL950" s="1185"/>
      <c r="AM950" s="1185"/>
      <c r="AN950" s="1185"/>
      <c r="AO950" s="1185"/>
      <c r="AP950" s="1185"/>
      <c r="AQ950" s="1185"/>
      <c r="AR950" s="1185"/>
      <c r="AS950" s="1185"/>
      <c r="AU950" s="1204"/>
    </row>
    <row r="951" spans="1:47" s="1510" customFormat="1">
      <c r="A951" s="1509" t="s">
        <v>929</v>
      </c>
      <c r="C951" s="1517"/>
      <c r="D951" s="1512"/>
      <c r="E951" s="1513"/>
      <c r="F951" s="1514"/>
      <c r="G951" s="1523">
        <f>G948</f>
        <v>4.5140000000000002</v>
      </c>
      <c r="H951" s="1521" t="s">
        <v>374</v>
      </c>
      <c r="I951" s="1514"/>
      <c r="J951" s="1515">
        <f ca="1">J948+J950</f>
        <v>5.0179999999999998</v>
      </c>
      <c r="K951" s="1521" t="s">
        <v>374</v>
      </c>
      <c r="L951" s="1514"/>
      <c r="M951" s="1514"/>
      <c r="N951" s="1526" t="s">
        <v>31</v>
      </c>
      <c r="O951" s="1521" t="s">
        <v>31</v>
      </c>
      <c r="P951" s="1521"/>
      <c r="Q951" s="1521"/>
      <c r="R951" s="1526">
        <f ca="1">R948+R950</f>
        <v>0.995</v>
      </c>
      <c r="S951" s="1521" t="s">
        <v>374</v>
      </c>
      <c r="T951" s="1521"/>
      <c r="U951" s="1521"/>
      <c r="V951" s="1526">
        <f ca="1">V948+V950</f>
        <v>4.0229999999999997</v>
      </c>
      <c r="W951" s="1521" t="s">
        <v>374</v>
      </c>
      <c r="X951" s="1521"/>
      <c r="Y951" s="1590"/>
      <c r="Z951" s="1591"/>
      <c r="AA951" s="1592">
        <f ca="1">(J951-G951)/G951</f>
        <v>0.11165263624280007</v>
      </c>
      <c r="AC951" s="1593"/>
      <c r="AD951" s="1593"/>
      <c r="AI951" s="1513"/>
      <c r="AJ951" s="1513"/>
      <c r="AK951" s="1513"/>
      <c r="AL951" s="1513"/>
      <c r="AM951" s="1513"/>
      <c r="AN951" s="1513"/>
      <c r="AO951" s="1513"/>
      <c r="AP951" s="1513"/>
      <c r="AQ951" s="1513"/>
      <c r="AR951" s="1513"/>
      <c r="AS951" s="1513"/>
      <c r="AU951" s="1590"/>
    </row>
    <row r="952" spans="1:47">
      <c r="A952" s="1" t="s">
        <v>381</v>
      </c>
      <c r="B952" s="1"/>
      <c r="C952" s="319">
        <f>C948</f>
        <v>320313336.81593531</v>
      </c>
      <c r="D952" s="330"/>
      <c r="E952" s="2"/>
      <c r="F952" s="2">
        <f>SUM(F941:F949)</f>
        <v>20432019</v>
      </c>
      <c r="G952" s="330"/>
      <c r="H952" s="1"/>
      <c r="I952" s="2">
        <f>SUM(I941:I949)</f>
        <v>21592009</v>
      </c>
      <c r="J952" s="330"/>
      <c r="K952" s="1"/>
      <c r="L952" s="2">
        <f ca="1">SUM(L941:L951)</f>
        <v>23961973</v>
      </c>
      <c r="M952" s="2"/>
      <c r="N952" s="803"/>
      <c r="O952" s="1"/>
      <c r="P952" s="2">
        <f ca="1">SUM(P941:P951)</f>
        <v>2628163.3186362516</v>
      </c>
      <c r="Q952" s="2"/>
      <c r="R952" s="803"/>
      <c r="S952" s="1"/>
      <c r="T952" s="2">
        <f ca="1">SUM(T941:T951)</f>
        <v>4228471.5874149334</v>
      </c>
      <c r="U952" s="2"/>
      <c r="V952" s="803"/>
      <c r="W952" s="1"/>
      <c r="X952" s="2">
        <f ca="1">SUM(X941:X951)</f>
        <v>17105338.093948815</v>
      </c>
      <c r="Y952" s="20"/>
      <c r="Z952" s="74"/>
      <c r="AA952" s="74"/>
      <c r="AB952" s="74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</row>
    <row r="953" spans="1:47">
      <c r="A953" s="1" t="s">
        <v>363</v>
      </c>
      <c r="B953" s="1"/>
      <c r="C953" s="319">
        <f ca="1">C972+C990</f>
        <v>-3730095.0495166555</v>
      </c>
      <c r="D953" s="309"/>
      <c r="E953" s="309"/>
      <c r="F953" s="1589">
        <f ca="1">I953</f>
        <v>-313022.78765037033</v>
      </c>
      <c r="G953" s="309"/>
      <c r="H953" s="309"/>
      <c r="I953" s="340">
        <f ca="1">I972+I990</f>
        <v>-313022.78765037033</v>
      </c>
      <c r="J953" s="309"/>
      <c r="K953" s="309"/>
      <c r="L953" s="341">
        <f ca="1">I953</f>
        <v>-313022.78765037033</v>
      </c>
      <c r="M953" s="322"/>
      <c r="N953" s="309"/>
      <c r="O953" s="309"/>
      <c r="P953" s="764">
        <f ca="1">$L$953*Y956/($Y956+$Z$956+$AA$956)</f>
        <v>-34332.523803443401</v>
      </c>
      <c r="Q953" s="51"/>
      <c r="R953" s="309"/>
      <c r="S953" s="309"/>
      <c r="T953" s="764">
        <f ca="1">$L$953*Z956/($Y956+$Z$956+$AA$956)</f>
        <v>-55237.853902640243</v>
      </c>
      <c r="U953" s="51"/>
      <c r="V953" s="309"/>
      <c r="W953" s="309"/>
      <c r="X953" s="764">
        <f ca="1">$L$953*AA956/($Y956+$Z$956+$AA$956)</f>
        <v>-223452.40994428669</v>
      </c>
      <c r="Y953" s="444"/>
      <c r="Z953" s="287"/>
      <c r="AA953" s="74"/>
      <c r="AB953" s="74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</row>
    <row r="954" spans="1:47" ht="18" customHeight="1" thickBot="1">
      <c r="A954" s="1" t="s">
        <v>382</v>
      </c>
      <c r="B954" s="1"/>
      <c r="C954" s="393">
        <f ca="1">SUM(C952)+C953</f>
        <v>316583241.76641864</v>
      </c>
      <c r="D954" s="342"/>
      <c r="E954" s="343"/>
      <c r="F954" s="344">
        <f ca="1">F952+F953</f>
        <v>20118996.212349631</v>
      </c>
      <c r="G954" s="342"/>
      <c r="H954" s="345"/>
      <c r="I954" s="344">
        <f ca="1">I952+I953</f>
        <v>21278986.212349631</v>
      </c>
      <c r="J954" s="342"/>
      <c r="K954" s="345"/>
      <c r="L954" s="344">
        <f ca="1">L952+L953</f>
        <v>23648950.212349631</v>
      </c>
      <c r="M954" s="344"/>
      <c r="N954" s="342"/>
      <c r="O954" s="345"/>
      <c r="P954" s="344">
        <f ca="1">P952+P953</f>
        <v>2593830.7948328084</v>
      </c>
      <c r="Q954" s="344"/>
      <c r="R954" s="342"/>
      <c r="S954" s="345"/>
      <c r="T954" s="344">
        <f ca="1">T952+T953</f>
        <v>4173233.7335122931</v>
      </c>
      <c r="U954" s="344"/>
      <c r="V954" s="342"/>
      <c r="W954" s="345"/>
      <c r="X954" s="344">
        <f ca="1">X952+X953</f>
        <v>16881885.684004527</v>
      </c>
      <c r="Y954" s="7" t="s">
        <v>31</v>
      </c>
      <c r="Z954" s="32" t="s">
        <v>31</v>
      </c>
      <c r="AA954" s="74"/>
      <c r="AB954" s="74"/>
      <c r="AC954" s="801" t="s">
        <v>31</v>
      </c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</row>
    <row r="955" spans="1:47" ht="16.5" thickTop="1">
      <c r="A955" s="1"/>
      <c r="B955" s="1"/>
      <c r="C955" s="21"/>
      <c r="D955" s="337"/>
      <c r="E955" s="2"/>
      <c r="F955" s="2"/>
      <c r="G955" s="337"/>
      <c r="H955" s="1"/>
      <c r="I955" s="2" t="s">
        <v>31</v>
      </c>
      <c r="J955" s="337"/>
      <c r="K955" s="1"/>
      <c r="L955" s="380"/>
      <c r="M955" s="380"/>
      <c r="N955" s="337"/>
      <c r="O955" s="1"/>
      <c r="P955" s="380"/>
      <c r="Q955" s="380"/>
      <c r="R955" s="337"/>
      <c r="S955" s="1"/>
      <c r="T955" s="380"/>
      <c r="U955" s="380"/>
      <c r="V955" s="337"/>
      <c r="W955" s="1"/>
      <c r="X955" s="380"/>
      <c r="Y955" s="1579">
        <f>'Exh No.__(JRS-17) p11'!J36+'Exh No.__(JRS-17) p11'!K36+'Exh No.__(JRS-17) p11'!L36</f>
        <v>0.10968058926684592</v>
      </c>
      <c r="Z955" s="1579">
        <f>'Exh No.__(JRS-17) p11'!I36</f>
        <v>0.17646591903825851</v>
      </c>
      <c r="AA955" s="1579">
        <f>'Exh No.__(JRS-17) p11'!H36</f>
        <v>0.71385349169489565</v>
      </c>
      <c r="AB955" s="74"/>
      <c r="AC955" s="7" t="s">
        <v>31</v>
      </c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</row>
    <row r="956" spans="1:47">
      <c r="A956" s="1"/>
      <c r="B956" s="1"/>
      <c r="C956" s="21"/>
      <c r="D956" s="337"/>
      <c r="E956" s="2"/>
      <c r="F956" s="2"/>
      <c r="G956" s="337"/>
      <c r="H956" s="1"/>
      <c r="I956" s="2"/>
      <c r="J956" s="337"/>
      <c r="K956" s="1"/>
      <c r="L956" s="380"/>
      <c r="M956" s="380"/>
      <c r="N956" s="337"/>
      <c r="O956" s="1"/>
      <c r="P956" s="380"/>
      <c r="Q956" s="380"/>
      <c r="R956" s="337"/>
      <c r="S956" s="1"/>
      <c r="T956" s="380"/>
      <c r="U956" s="380"/>
      <c r="V956" s="337"/>
      <c r="W956" s="1"/>
      <c r="X956" s="380"/>
      <c r="Y956" s="411">
        <f ca="1">Y955*L954</f>
        <v>2593830.7948328084</v>
      </c>
      <c r="Z956" s="411">
        <f ca="1">Z955*L954</f>
        <v>4173233.7335122963</v>
      </c>
      <c r="AA956" s="411">
        <f ca="1">AA955*L954</f>
        <v>16881885.684004527</v>
      </c>
      <c r="AB956" s="74" t="s">
        <v>958</v>
      </c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</row>
    <row r="957" spans="1:47" hidden="1">
      <c r="A957" s="293" t="s">
        <v>476</v>
      </c>
      <c r="B957" s="1"/>
      <c r="C957" s="1"/>
      <c r="D957" s="2"/>
      <c r="E957" s="2"/>
      <c r="F957" s="1"/>
      <c r="G957" s="2"/>
      <c r="H957" s="1"/>
      <c r="I957" s="1"/>
      <c r="J957" s="2"/>
      <c r="K957" s="1"/>
      <c r="L957" s="1"/>
      <c r="M957" s="1"/>
      <c r="N957" s="2"/>
      <c r="O957" s="1"/>
      <c r="P957" s="1"/>
      <c r="Q957" s="1"/>
      <c r="R957" s="2"/>
      <c r="S957" s="1"/>
      <c r="T957" s="1"/>
      <c r="U957" s="1"/>
      <c r="V957" s="2"/>
      <c r="W957" s="1"/>
      <c r="X957" s="1"/>
      <c r="Y957" s="20"/>
      <c r="Z957" s="74"/>
      <c r="AA957" s="74"/>
      <c r="AB957" s="74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</row>
    <row r="958" spans="1:47" hidden="1">
      <c r="A958" s="309" t="s">
        <v>697</v>
      </c>
      <c r="B958" s="1"/>
      <c r="C958" s="1"/>
      <c r="D958" s="2"/>
      <c r="E958" s="2"/>
      <c r="F958" s="1"/>
      <c r="G958" s="2"/>
      <c r="H958" s="1"/>
      <c r="I958" s="1"/>
      <c r="J958" s="2"/>
      <c r="K958" s="1"/>
      <c r="L958" s="1"/>
      <c r="M958" s="1"/>
      <c r="N958" s="2"/>
      <c r="O958" s="1"/>
      <c r="P958" s="1"/>
      <c r="Q958" s="1"/>
      <c r="R958" s="2"/>
      <c r="S958" s="1"/>
      <c r="T958" s="1"/>
      <c r="U958" s="1"/>
      <c r="V958" s="2"/>
      <c r="W958" s="1"/>
      <c r="X958" s="1"/>
      <c r="Y958" s="20"/>
      <c r="Z958" s="74"/>
      <c r="AA958" s="74"/>
      <c r="AB958" s="74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</row>
    <row r="959" spans="1:47" hidden="1">
      <c r="A959" s="323"/>
      <c r="B959" s="1"/>
      <c r="C959" s="1"/>
      <c r="D959" s="2"/>
      <c r="E959" s="2"/>
      <c r="F959" s="1"/>
      <c r="G959" s="2"/>
      <c r="H959" s="1"/>
      <c r="I959" s="1"/>
      <c r="J959" s="2"/>
      <c r="K959" s="1"/>
      <c r="L959" s="1"/>
      <c r="M959" s="1"/>
      <c r="N959" s="2"/>
      <c r="O959" s="1"/>
      <c r="P959" s="1"/>
      <c r="Q959" s="1"/>
      <c r="R959" s="2"/>
      <c r="S959" s="1"/>
      <c r="T959" s="1"/>
      <c r="U959" s="1"/>
      <c r="V959" s="2"/>
      <c r="W959" s="1"/>
      <c r="X959" s="1"/>
      <c r="Y959" s="20"/>
      <c r="Z959" s="74"/>
      <c r="AA959" s="74"/>
      <c r="AB959" s="74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</row>
    <row r="960" spans="1:47" hidden="1">
      <c r="A960" s="323" t="s">
        <v>393</v>
      </c>
      <c r="B960" s="1"/>
      <c r="C960" s="319"/>
      <c r="D960" s="2"/>
      <c r="E960" s="2"/>
      <c r="F960" s="1"/>
      <c r="G960" s="2"/>
      <c r="H960" s="1"/>
      <c r="I960" s="1"/>
      <c r="J960" s="2"/>
      <c r="K960" s="1"/>
      <c r="L960" s="1"/>
      <c r="M960" s="1"/>
      <c r="N960" s="2"/>
      <c r="O960" s="1"/>
      <c r="P960" s="1"/>
      <c r="Q960" s="1"/>
      <c r="R960" s="2"/>
      <c r="S960" s="1"/>
      <c r="T960" s="1"/>
      <c r="U960" s="1"/>
      <c r="V960" s="2"/>
      <c r="W960" s="1"/>
      <c r="X960" s="1"/>
      <c r="Y960" s="20"/>
      <c r="Z960" s="74" t="s">
        <v>31</v>
      </c>
      <c r="AA960" s="74"/>
      <c r="AB960" s="74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</row>
    <row r="961" spans="1:47" hidden="1">
      <c r="A961" s="323" t="s">
        <v>471</v>
      </c>
      <c r="B961" s="1"/>
      <c r="C961" s="319">
        <f>[53]Sheet1!$E$3</f>
        <v>263.39393939393898</v>
      </c>
      <c r="D961" s="337">
        <v>1386</v>
      </c>
      <c r="E961" s="337"/>
      <c r="F961" s="2">
        <f>ROUND(D961*$C961,0)</f>
        <v>365064</v>
      </c>
      <c r="G961" s="337">
        <v>1386</v>
      </c>
      <c r="H961" s="321"/>
      <c r="I961" s="2">
        <f>ROUND(G961*C961,0)</f>
        <v>365064</v>
      </c>
      <c r="J961" s="337">
        <f>J941</f>
        <v>1386</v>
      </c>
      <c r="K961" s="321"/>
      <c r="L961" s="2">
        <f>ROUND(J961*$C961,0)</f>
        <v>365064</v>
      </c>
      <c r="M961" s="2"/>
      <c r="N961" s="337">
        <f>N941</f>
        <v>1386</v>
      </c>
      <c r="O961" s="321"/>
      <c r="P961" s="2">
        <f>ROUND(N961*$C961,0)</f>
        <v>365064</v>
      </c>
      <c r="Q961" s="2"/>
      <c r="R961" s="337" t="str">
        <f>R941</f>
        <v xml:space="preserve"> </v>
      </c>
      <c r="S961" s="321"/>
      <c r="T961" s="2">
        <f>ROUND(R961*$C961,0)</f>
        <v>0</v>
      </c>
      <c r="U961" s="2"/>
      <c r="V961" s="337" t="str">
        <f>V941</f>
        <v xml:space="preserve"> </v>
      </c>
      <c r="W961" s="321"/>
      <c r="X961" s="2">
        <f>ROUND(V961*$C961,0)</f>
        <v>0</v>
      </c>
      <c r="Y961" s="20"/>
      <c r="Z961" s="74"/>
      <c r="AA961" s="74"/>
      <c r="AB961" s="74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</row>
    <row r="962" spans="1:47" hidden="1">
      <c r="A962" s="323" t="s">
        <v>472</v>
      </c>
      <c r="B962" s="1"/>
      <c r="C962" s="319">
        <v>0</v>
      </c>
      <c r="D962" s="337">
        <v>1675</v>
      </c>
      <c r="E962" s="337"/>
      <c r="F962" s="2">
        <f>ROUND(D962*$C962,0)</f>
        <v>0</v>
      </c>
      <c r="G962" s="337">
        <v>1675</v>
      </c>
      <c r="H962" s="324"/>
      <c r="I962" s="2">
        <f>ROUND(G962*C962,0)</f>
        <v>0</v>
      </c>
      <c r="J962" s="337">
        <f>J942</f>
        <v>1675</v>
      </c>
      <c r="K962" s="324"/>
      <c r="L962" s="2">
        <f>ROUND(J962*$C962,0)</f>
        <v>0</v>
      </c>
      <c r="M962" s="2"/>
      <c r="N962" s="337">
        <f>N942</f>
        <v>1675</v>
      </c>
      <c r="O962" s="324"/>
      <c r="P962" s="2">
        <f>ROUND(N962*$C962,0)</f>
        <v>0</v>
      </c>
      <c r="Q962" s="2"/>
      <c r="R962" s="337" t="str">
        <f>R942</f>
        <v xml:space="preserve"> </v>
      </c>
      <c r="S962" s="324"/>
      <c r="T962" s="2">
        <f>ROUND(R962*$C962,0)</f>
        <v>0</v>
      </c>
      <c r="U962" s="2"/>
      <c r="V962" s="337" t="str">
        <f>V942</f>
        <v xml:space="preserve"> </v>
      </c>
      <c r="W962" s="324"/>
      <c r="X962" s="2">
        <f>ROUND(V962*$C962,0)</f>
        <v>0</v>
      </c>
      <c r="Y962" s="20"/>
      <c r="Z962" s="74"/>
      <c r="AA962" s="74"/>
      <c r="AB962" s="74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</row>
    <row r="963" spans="1:47" hidden="1">
      <c r="A963" s="323" t="s">
        <v>394</v>
      </c>
      <c r="B963" s="1"/>
      <c r="C963" s="319">
        <f>SUM(C961:C962)</f>
        <v>263.39393939393898</v>
      </c>
      <c r="D963" s="337" t="s">
        <v>31</v>
      </c>
      <c r="E963" s="337"/>
      <c r="F963" s="2" t="s">
        <v>31</v>
      </c>
      <c r="G963" s="337" t="s">
        <v>31</v>
      </c>
      <c r="H963" s="321"/>
      <c r="I963" s="2" t="s">
        <v>31</v>
      </c>
      <c r="J963" s="337" t="s">
        <v>31</v>
      </c>
      <c r="K963" s="321"/>
      <c r="L963" s="2" t="s">
        <v>31</v>
      </c>
      <c r="M963" s="2"/>
      <c r="N963" s="337" t="s">
        <v>31</v>
      </c>
      <c r="O963" s="321"/>
      <c r="P963" s="2" t="s">
        <v>31</v>
      </c>
      <c r="Q963" s="2"/>
      <c r="R963" s="337" t="s">
        <v>31</v>
      </c>
      <c r="S963" s="321"/>
      <c r="T963" s="2" t="s">
        <v>31</v>
      </c>
      <c r="U963" s="2"/>
      <c r="V963" s="337" t="s">
        <v>31</v>
      </c>
      <c r="W963" s="321"/>
      <c r="X963" s="2" t="s">
        <v>31</v>
      </c>
      <c r="Y963" s="20"/>
      <c r="Z963" s="74"/>
      <c r="AA963" s="74"/>
      <c r="AB963" s="74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</row>
    <row r="964" spans="1:47" hidden="1">
      <c r="A964" s="323" t="s">
        <v>473</v>
      </c>
      <c r="B964" s="1"/>
      <c r="C964" s="319">
        <f>[53]Sheet1!$G$3</f>
        <v>315169.15151515102</v>
      </c>
      <c r="D964" s="337">
        <v>1.06</v>
      </c>
      <c r="E964" s="337"/>
      <c r="F964" s="2">
        <f>ROUND(D964*$C964,0)</f>
        <v>334079</v>
      </c>
      <c r="G964" s="337">
        <v>1.06</v>
      </c>
      <c r="H964" s="321"/>
      <c r="I964" s="2">
        <f t="shared" ref="I964:I966" si="306">ROUND(G964*C964,0)</f>
        <v>334079</v>
      </c>
      <c r="J964" s="337">
        <f ca="1">J944</f>
        <v>1.18</v>
      </c>
      <c r="K964" s="321"/>
      <c r="L964" s="2">
        <f ca="1">ROUND(J964*$C964,0)</f>
        <v>371900</v>
      </c>
      <c r="M964" s="2"/>
      <c r="N964" s="337">
        <f ca="1">N944</f>
        <v>1.18</v>
      </c>
      <c r="O964" s="321"/>
      <c r="P964" s="2">
        <f ca="1">ROUND(N964*$C964,0)</f>
        <v>371900</v>
      </c>
      <c r="Q964" s="2"/>
      <c r="R964" s="337" t="str">
        <f>R944</f>
        <v xml:space="preserve"> </v>
      </c>
      <c r="S964" s="321"/>
      <c r="T964" s="2">
        <f>ROUND(R964*$C964,0)</f>
        <v>0</v>
      </c>
      <c r="U964" s="2"/>
      <c r="V964" s="337" t="str">
        <f>V944</f>
        <v xml:space="preserve"> </v>
      </c>
      <c r="W964" s="321"/>
      <c r="X964" s="2">
        <f>ROUND(V964*$C964,0)</f>
        <v>0</v>
      </c>
      <c r="Y964" s="20"/>
      <c r="Z964" s="74"/>
      <c r="AA964" s="74"/>
      <c r="AB964" s="74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</row>
    <row r="965" spans="1:47" hidden="1">
      <c r="A965" s="323" t="s">
        <v>474</v>
      </c>
      <c r="B965" s="1"/>
      <c r="C965" s="319">
        <v>0</v>
      </c>
      <c r="D965" s="337">
        <v>0.96</v>
      </c>
      <c r="E965" s="337"/>
      <c r="F965" s="2">
        <f>ROUND(D965*$C965,0)</f>
        <v>0</v>
      </c>
      <c r="G965" s="337">
        <v>0.96</v>
      </c>
      <c r="H965" s="321"/>
      <c r="I965" s="2">
        <f t="shared" si="306"/>
        <v>0</v>
      </c>
      <c r="J965" s="337">
        <f ca="1">J945</f>
        <v>1.07</v>
      </c>
      <c r="K965" s="321"/>
      <c r="L965" s="2">
        <f ca="1">ROUND(J965*$C965,0)</f>
        <v>0</v>
      </c>
      <c r="M965" s="2"/>
      <c r="N965" s="337">
        <f ca="1">N945</f>
        <v>1.07</v>
      </c>
      <c r="O965" s="321"/>
      <c r="P965" s="2">
        <f ca="1">ROUND(N965*$C965,0)</f>
        <v>0</v>
      </c>
      <c r="Q965" s="2"/>
      <c r="R965" s="337" t="str">
        <f>R945</f>
        <v xml:space="preserve"> </v>
      </c>
      <c r="S965" s="321"/>
      <c r="T965" s="2">
        <f>ROUND(R965*$C965,0)</f>
        <v>0</v>
      </c>
      <c r="U965" s="2"/>
      <c r="V965" s="337" t="str">
        <f>V945</f>
        <v xml:space="preserve"> </v>
      </c>
      <c r="W965" s="321"/>
      <c r="X965" s="2">
        <f>ROUND(V965*$C965,0)</f>
        <v>0</v>
      </c>
      <c r="Y965" s="20"/>
      <c r="Z965" s="74"/>
      <c r="AA965" s="74"/>
      <c r="AB965" s="74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</row>
    <row r="966" spans="1:47" hidden="1">
      <c r="A966" s="309" t="s">
        <v>403</v>
      </c>
      <c r="B966" s="1"/>
      <c r="C966" s="319">
        <f>[53]Sheet1!$J$3</f>
        <v>234019.363636364</v>
      </c>
      <c r="D966" s="337">
        <v>7.12</v>
      </c>
      <c r="E966" s="337"/>
      <c r="F966" s="2">
        <f>ROUND(D966*$C966,0)</f>
        <v>1666218</v>
      </c>
      <c r="G966" s="337">
        <v>7.55</v>
      </c>
      <c r="H966" s="321"/>
      <c r="I966" s="2">
        <f t="shared" si="306"/>
        <v>1766846</v>
      </c>
      <c r="J966" s="337">
        <f ca="1">J946</f>
        <v>8.48</v>
      </c>
      <c r="K966" s="321"/>
      <c r="L966" s="2">
        <f ca="1">ROUND(J966*$C966,0)</f>
        <v>1984484</v>
      </c>
      <c r="M966" s="2"/>
      <c r="N966" s="337">
        <f ca="1">N946</f>
        <v>1.1100000000000001</v>
      </c>
      <c r="O966" s="321"/>
      <c r="P966" s="2">
        <f ca="1">ROUND(N966*$C966,0)</f>
        <v>259761</v>
      </c>
      <c r="Q966" s="2"/>
      <c r="R966" s="337">
        <f ca="1">R946</f>
        <v>1.46</v>
      </c>
      <c r="S966" s="321"/>
      <c r="T966" s="2">
        <f ca="1">ROUND(R966*$C966,0)</f>
        <v>341668</v>
      </c>
      <c r="U966" s="2"/>
      <c r="V966" s="337">
        <f ca="1">V946</f>
        <v>5.91</v>
      </c>
      <c r="W966" s="321"/>
      <c r="X966" s="2">
        <f ca="1">ROUND(V966*$C966,0)</f>
        <v>1383054</v>
      </c>
      <c r="Y966" s="20"/>
      <c r="Z966" s="74"/>
      <c r="AA966" s="74"/>
      <c r="AB966" s="74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</row>
    <row r="967" spans="1:47" hidden="1">
      <c r="A967" s="323" t="s">
        <v>426</v>
      </c>
      <c r="B967" s="1"/>
      <c r="C967" s="319"/>
      <c r="D967" s="337" t="s">
        <v>31</v>
      </c>
      <c r="E967" s="337"/>
      <c r="F967" s="2"/>
      <c r="G967" s="337" t="s">
        <v>31</v>
      </c>
      <c r="H967" s="321"/>
      <c r="I967" s="2"/>
      <c r="J967" s="337" t="s">
        <v>31</v>
      </c>
      <c r="K967" s="321"/>
      <c r="L967" s="2"/>
      <c r="M967" s="2"/>
      <c r="N967" s="337" t="s">
        <v>31</v>
      </c>
      <c r="O967" s="321"/>
      <c r="P967" s="2"/>
      <c r="Q967" s="2"/>
      <c r="R967" s="337" t="s">
        <v>31</v>
      </c>
      <c r="S967" s="321"/>
      <c r="T967" s="2"/>
      <c r="U967" s="2"/>
      <c r="V967" s="337" t="s">
        <v>31</v>
      </c>
      <c r="W967" s="321"/>
      <c r="X967" s="2"/>
      <c r="Y967" s="20"/>
      <c r="Z967" s="74"/>
      <c r="AA967" s="74"/>
      <c r="AB967" s="74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</row>
    <row r="968" spans="1:47" hidden="1">
      <c r="A968" s="323" t="s">
        <v>464</v>
      </c>
      <c r="B968" s="1"/>
      <c r="C968" s="319">
        <f>[53]Sheet1!$H$3+Temperature!B127*1000</f>
        <v>106526781.81593531</v>
      </c>
      <c r="D968" s="395">
        <v>4.2460000000000004</v>
      </c>
      <c r="E968" s="321" t="s">
        <v>374</v>
      </c>
      <c r="F968" s="2">
        <f>ROUND(D968/100*$C968,0)</f>
        <v>4523127</v>
      </c>
      <c r="G968" s="395">
        <v>4.5140000000000002</v>
      </c>
      <c r="H968" s="321" t="s">
        <v>374</v>
      </c>
      <c r="I968" s="2">
        <f>ROUND(G968/100*C968,0)</f>
        <v>4808619</v>
      </c>
      <c r="J968" s="395">
        <f ca="1">J948</f>
        <v>2.0669999999999997</v>
      </c>
      <c r="K968" s="321" t="s">
        <v>374</v>
      </c>
      <c r="L968" s="2">
        <f ca="1">ROUND(J968/100*$C968,0)</f>
        <v>2201909</v>
      </c>
      <c r="M968" s="2"/>
      <c r="N968" s="395" t="str">
        <f>N948</f>
        <v xml:space="preserve"> </v>
      </c>
      <c r="O968" s="321" t="s">
        <v>374</v>
      </c>
      <c r="P968" s="2">
        <f>ROUND(N968/100*$C968,0)</f>
        <v>0</v>
      </c>
      <c r="Q968" s="2"/>
      <c r="R968" s="395">
        <f ca="1">R948</f>
        <v>0.995</v>
      </c>
      <c r="S968" s="321" t="s">
        <v>374</v>
      </c>
      <c r="T968" s="2">
        <f ca="1">ROUND(R968/100*$C968,0)</f>
        <v>1059941</v>
      </c>
      <c r="U968" s="2"/>
      <c r="V968" s="395">
        <f ca="1">V948</f>
        <v>1.0720000000000001</v>
      </c>
      <c r="W968" s="321" t="s">
        <v>374</v>
      </c>
      <c r="X968" s="2">
        <f ca="1">ROUND(V968/100*$C968,0)</f>
        <v>1141967</v>
      </c>
      <c r="Y968" s="20"/>
      <c r="Z968" s="74"/>
      <c r="AA968" s="74"/>
      <c r="AB968" s="74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</row>
    <row r="969" spans="1:47" hidden="1">
      <c r="A969" s="323" t="s">
        <v>400</v>
      </c>
      <c r="B969" s="1"/>
      <c r="C969" s="319">
        <f>[53]Sheet1!$L$3</f>
        <v>29387</v>
      </c>
      <c r="D969" s="337">
        <v>0.55000000000000004</v>
      </c>
      <c r="E969" s="321"/>
      <c r="F969" s="2">
        <f>ROUND(D969*$C969,0)</f>
        <v>16163</v>
      </c>
      <c r="G969" s="337">
        <v>0.55000000000000004</v>
      </c>
      <c r="H969" s="321"/>
      <c r="I969" s="2">
        <f>ROUND(G969*C969,0)</f>
        <v>16163</v>
      </c>
      <c r="J969" s="337">
        <f>J949</f>
        <v>0.55000000000000004</v>
      </c>
      <c r="K969" s="321"/>
      <c r="L969" s="2">
        <f>ROUND(J969*$C969,0)</f>
        <v>16163</v>
      </c>
      <c r="M969" s="2"/>
      <c r="N969" s="337" t="str">
        <f>N949</f>
        <v xml:space="preserve"> </v>
      </c>
      <c r="O969" s="321"/>
      <c r="P969" s="2">
        <f>ROUND(N969*$C969,0)</f>
        <v>0</v>
      </c>
      <c r="Q969" s="2"/>
      <c r="R969" s="337">
        <f ca="1">R949</f>
        <v>0.11</v>
      </c>
      <c r="S969" s="321"/>
      <c r="T969" s="2">
        <f ca="1">ROUND(R969*$C969,0)</f>
        <v>3233</v>
      </c>
      <c r="U969" s="2"/>
      <c r="V969" s="337">
        <f ca="1">V949</f>
        <v>0.44</v>
      </c>
      <c r="W969" s="321"/>
      <c r="X969" s="2">
        <f ca="1">ROUND(V969*$C969,0)</f>
        <v>12930</v>
      </c>
      <c r="Y969" s="20"/>
      <c r="Z969" s="74"/>
      <c r="AA969" s="74"/>
      <c r="AB969" s="74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</row>
    <row r="970" spans="1:47" s="1184" customFormat="1" hidden="1">
      <c r="A970" s="1005" t="s">
        <v>928</v>
      </c>
      <c r="C970" s="1202">
        <f>C968</f>
        <v>106526781.81593531</v>
      </c>
      <c r="D970" s="269"/>
      <c r="E970" s="1185"/>
      <c r="F970" s="1203"/>
      <c r="G970" s="269"/>
      <c r="H970" s="1185"/>
      <c r="I970" s="1203"/>
      <c r="J970" s="1230">
        <f>J950</f>
        <v>2.9510000000000001</v>
      </c>
      <c r="K970" s="1041" t="s">
        <v>374</v>
      </c>
      <c r="L970" s="1203">
        <f>ROUND(J970*$C970/100,0)</f>
        <v>3143605</v>
      </c>
      <c r="M970" s="1203"/>
      <c r="N970" s="1230" t="str">
        <f>N950</f>
        <v xml:space="preserve"> </v>
      </c>
      <c r="O970" s="1041" t="s">
        <v>374</v>
      </c>
      <c r="P970" s="1203">
        <f>ROUND(N970*$C970/100,0)</f>
        <v>0</v>
      </c>
      <c r="Q970" s="1203"/>
      <c r="R970" s="1230" t="str">
        <f>R950</f>
        <v xml:space="preserve"> </v>
      </c>
      <c r="S970" s="1041" t="s">
        <v>374</v>
      </c>
      <c r="T970" s="1203">
        <f>ROUND(R970*$C970/100,0)</f>
        <v>0</v>
      </c>
      <c r="U970" s="1203"/>
      <c r="V970" s="1230">
        <f>V950</f>
        <v>2.9510000000000001</v>
      </c>
      <c r="W970" s="1041" t="s">
        <v>374</v>
      </c>
      <c r="X970" s="1203">
        <f>ROUND(V970*$C970/100,0)</f>
        <v>3143605</v>
      </c>
      <c r="Z970" s="815"/>
      <c r="AC970" s="1205"/>
      <c r="AD970" s="1205"/>
      <c r="AI970" s="1185"/>
      <c r="AJ970" s="1185"/>
      <c r="AK970" s="1185"/>
      <c r="AL970" s="1185"/>
      <c r="AM970" s="1185"/>
      <c r="AN970" s="1185"/>
      <c r="AO970" s="1185"/>
      <c r="AP970" s="1185"/>
      <c r="AQ970" s="1185"/>
      <c r="AR970" s="1185"/>
      <c r="AS970" s="1185"/>
      <c r="AU970" s="1204"/>
    </row>
    <row r="971" spans="1:47" hidden="1">
      <c r="A971" s="1" t="s">
        <v>381</v>
      </c>
      <c r="B971" s="1"/>
      <c r="C971" s="319">
        <f>C968</f>
        <v>106526781.81593531</v>
      </c>
      <c r="D971" s="330"/>
      <c r="E971" s="2"/>
      <c r="F971" s="2">
        <f>SUM(F961:F969)</f>
        <v>6904651</v>
      </c>
      <c r="G971" s="330"/>
      <c r="H971" s="1"/>
      <c r="I971" s="2">
        <f>SUM(I961:I969)</f>
        <v>7290771</v>
      </c>
      <c r="J971" s="330"/>
      <c r="K971" s="1"/>
      <c r="L971" s="2">
        <f ca="1">SUM(L961:L970)</f>
        <v>8083125</v>
      </c>
      <c r="M971" s="2"/>
      <c r="N971" s="330"/>
      <c r="O971" s="1"/>
      <c r="P971" s="2">
        <f ca="1">SUM(P961:P970)</f>
        <v>996725</v>
      </c>
      <c r="Q971" s="2"/>
      <c r="R971" s="330"/>
      <c r="S971" s="1"/>
      <c r="T971" s="2">
        <f ca="1">SUM(T961:T970)</f>
        <v>1404842</v>
      </c>
      <c r="U971" s="2"/>
      <c r="V971" s="330"/>
      <c r="W971" s="1"/>
      <c r="X971" s="2">
        <f ca="1">SUM(X961:X970)</f>
        <v>5681556</v>
      </c>
      <c r="Y971" s="20"/>
      <c r="Z971" s="74"/>
      <c r="AA971" s="777"/>
      <c r="AB971" s="777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</row>
    <row r="972" spans="1:47" hidden="1">
      <c r="A972" s="1" t="s">
        <v>363</v>
      </c>
      <c r="B972" s="1"/>
      <c r="C972" s="319">
        <f>C971/($C$971+$C$1028)*$C$1065</f>
        <v>-305760.36408051598</v>
      </c>
      <c r="D972" s="309"/>
      <c r="E972" s="309"/>
      <c r="F972" s="764">
        <f>I972</f>
        <v>-17282.278191490568</v>
      </c>
      <c r="G972" s="309"/>
      <c r="H972" s="309"/>
      <c r="I972" s="340">
        <f>I971/($I$971+$I$1028)*$I$1065</f>
        <v>-17282.278191490568</v>
      </c>
      <c r="J972" s="309"/>
      <c r="K972" s="309"/>
      <c r="L972" s="341">
        <f>I972</f>
        <v>-17282.278191490568</v>
      </c>
      <c r="M972" s="322"/>
      <c r="N972" s="309"/>
      <c r="O972" s="309"/>
      <c r="P972" s="341">
        <f ca="1">$L$972*Y956/($Y956+$Z$956+$AA$956)</f>
        <v>-1895.5304559162455</v>
      </c>
      <c r="Q972" s="51"/>
      <c r="R972" s="309"/>
      <c r="S972" s="309"/>
      <c r="T972" s="341">
        <f ca="1">$L$972*Z956/($Y956+$Z$956+$AA$956)</f>
        <v>-3049.7331041362349</v>
      </c>
      <c r="U972" s="51"/>
      <c r="V972" s="309"/>
      <c r="W972" s="309"/>
      <c r="X972" s="341">
        <f ca="1">$L$972*AA956/($Y956+$Z$956+$AA$956)</f>
        <v>-12337.014631438087</v>
      </c>
      <c r="Y972" s="444"/>
      <c r="Z972" s="777" t="s">
        <v>31</v>
      </c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</row>
    <row r="973" spans="1:47" ht="16.5" hidden="1" thickBot="1">
      <c r="A973" s="1" t="s">
        <v>382</v>
      </c>
      <c r="B973" s="1"/>
      <c r="C973" s="393">
        <f>SUM(C971)+C972</f>
        <v>106221021.4518548</v>
      </c>
      <c r="D973" s="342"/>
      <c r="E973" s="343"/>
      <c r="F973" s="344">
        <f>F971+F972</f>
        <v>6887368.721808509</v>
      </c>
      <c r="G973" s="342"/>
      <c r="H973" s="345"/>
      <c r="I973" s="344">
        <f>I971+I972</f>
        <v>7273488.721808509</v>
      </c>
      <c r="J973" s="342"/>
      <c r="K973" s="345"/>
      <c r="L973" s="344">
        <f ca="1">L971+L972</f>
        <v>8065842.721808509</v>
      </c>
      <c r="M973" s="344"/>
      <c r="N973" s="342"/>
      <c r="O973" s="345"/>
      <c r="P973" s="344">
        <f ca="1">P971+P972</f>
        <v>994829.46954408381</v>
      </c>
      <c r="Q973" s="344"/>
      <c r="R973" s="342"/>
      <c r="S973" s="345"/>
      <c r="T973" s="344">
        <f ca="1">T971+T972</f>
        <v>1401792.2668958637</v>
      </c>
      <c r="U973" s="344"/>
      <c r="V973" s="342"/>
      <c r="W973" s="345"/>
      <c r="X973" s="344">
        <f ca="1">X971+X972</f>
        <v>5669218.9853685619</v>
      </c>
      <c r="Y973" s="411"/>
      <c r="Z973" s="777" t="s">
        <v>31</v>
      </c>
      <c r="AA973" s="74"/>
      <c r="AB973" s="74"/>
      <c r="AC973" s="801" t="s">
        <v>31</v>
      </c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</row>
    <row r="974" spans="1:47" ht="16.5" hidden="1" thickTop="1">
      <c r="A974" s="1"/>
      <c r="B974" s="1"/>
      <c r="C974" s="21"/>
      <c r="D974" s="337"/>
      <c r="E974" s="2"/>
      <c r="F974" s="2"/>
      <c r="G974" s="337"/>
      <c r="H974" s="1"/>
      <c r="I974" s="2"/>
      <c r="J974" s="337"/>
      <c r="K974" s="1"/>
      <c r="L974" s="380"/>
      <c r="M974" s="380"/>
      <c r="N974" s="337"/>
      <c r="O974" s="1"/>
      <c r="P974" s="380"/>
      <c r="Q974" s="380"/>
      <c r="R974" s="337"/>
      <c r="S974" s="1"/>
      <c r="T974" s="380"/>
      <c r="U974" s="380"/>
      <c r="V974" s="337"/>
      <c r="W974" s="1"/>
      <c r="X974" s="380"/>
      <c r="Y974" s="20"/>
      <c r="Z974" s="74"/>
      <c r="AA974" s="74"/>
      <c r="AB974" s="74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</row>
    <row r="975" spans="1:47" hidden="1">
      <c r="A975" s="293" t="s">
        <v>476</v>
      </c>
      <c r="B975" s="1"/>
      <c r="C975" s="1"/>
      <c r="D975" s="2"/>
      <c r="E975" s="2"/>
      <c r="F975" s="1"/>
      <c r="G975" s="2"/>
      <c r="H975" s="1"/>
      <c r="I975" s="1"/>
      <c r="J975" s="2"/>
      <c r="K975" s="1"/>
      <c r="L975" s="1"/>
      <c r="M975" s="1"/>
      <c r="N975" s="2"/>
      <c r="O975" s="1"/>
      <c r="P975" s="1"/>
      <c r="Q975" s="1"/>
      <c r="R975" s="2"/>
      <c r="S975" s="1"/>
      <c r="T975" s="1"/>
      <c r="U975" s="1"/>
      <c r="V975" s="2"/>
      <c r="W975" s="1"/>
      <c r="X975" s="1"/>
      <c r="Y975" s="20"/>
      <c r="Z975" s="74"/>
      <c r="AA975" s="74"/>
      <c r="AB975" s="74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</row>
    <row r="976" spans="1:47" hidden="1">
      <c r="A976" s="309" t="s">
        <v>696</v>
      </c>
      <c r="B976" s="1"/>
      <c r="C976" s="1"/>
      <c r="D976" s="2"/>
      <c r="E976" s="2"/>
      <c r="F976" s="1"/>
      <c r="G976" s="2"/>
      <c r="H976" s="1"/>
      <c r="I976" s="1"/>
      <c r="J976" s="2"/>
      <c r="K976" s="1"/>
      <c r="L976" s="1"/>
      <c r="M976" s="1"/>
      <c r="N976" s="2"/>
      <c r="O976" s="1"/>
      <c r="P976" s="1"/>
      <c r="Q976" s="1"/>
      <c r="R976" s="2"/>
      <c r="S976" s="1"/>
      <c r="T976" s="1"/>
      <c r="U976" s="1"/>
      <c r="V976" s="2"/>
      <c r="W976" s="1"/>
      <c r="X976" s="1"/>
      <c r="Y976" s="20"/>
      <c r="Z976" s="74"/>
      <c r="AA976" s="74"/>
      <c r="AB976" s="74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</row>
    <row r="977" spans="1:47" hidden="1">
      <c r="A977" s="323"/>
      <c r="B977" s="1"/>
      <c r="C977" s="1"/>
      <c r="D977" s="2"/>
      <c r="E977" s="2"/>
      <c r="F977" s="1"/>
      <c r="G977" s="2"/>
      <c r="H977" s="1"/>
      <c r="I977" s="1"/>
      <c r="J977" s="2"/>
      <c r="K977" s="1"/>
      <c r="L977" s="1"/>
      <c r="M977" s="1"/>
      <c r="N977" s="2"/>
      <c r="O977" s="1"/>
      <c r="P977" s="1"/>
      <c r="Q977" s="1"/>
      <c r="R977" s="2"/>
      <c r="S977" s="1"/>
      <c r="T977" s="1"/>
      <c r="U977" s="1"/>
      <c r="V977" s="2"/>
      <c r="W977" s="1"/>
      <c r="X977" s="1"/>
      <c r="Y977" s="20"/>
      <c r="Z977" s="74"/>
      <c r="AA977" s="74"/>
      <c r="AB977" s="74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</row>
    <row r="978" spans="1:47" hidden="1">
      <c r="A978" s="323" t="s">
        <v>393</v>
      </c>
      <c r="B978" s="1"/>
      <c r="C978" s="319"/>
      <c r="D978" s="2"/>
      <c r="E978" s="2"/>
      <c r="F978" s="1"/>
      <c r="G978" s="2"/>
      <c r="H978" s="1"/>
      <c r="I978" s="1"/>
      <c r="J978" s="2"/>
      <c r="K978" s="1"/>
      <c r="L978" s="1"/>
      <c r="M978" s="1"/>
      <c r="N978" s="2"/>
      <c r="O978" s="1"/>
      <c r="P978" s="1"/>
      <c r="Q978" s="1"/>
      <c r="R978" s="2"/>
      <c r="S978" s="1"/>
      <c r="T978" s="1"/>
      <c r="U978" s="1"/>
      <c r="V978" s="2"/>
      <c r="W978" s="1"/>
      <c r="X978" s="1"/>
      <c r="Y978" s="20"/>
      <c r="Z978" s="74"/>
      <c r="AA978" s="74"/>
      <c r="AB978" s="74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</row>
    <row r="979" spans="1:47" hidden="1">
      <c r="A979" s="323" t="s">
        <v>471</v>
      </c>
      <c r="B979" s="1"/>
      <c r="C979" s="319">
        <f>[53]Sheet1!$E$6</f>
        <v>338.48484848484901</v>
      </c>
      <c r="D979" s="337">
        <v>1386</v>
      </c>
      <c r="E979" s="337"/>
      <c r="F979" s="2">
        <f>ROUND(D979*$C979,0)</f>
        <v>469140</v>
      </c>
      <c r="G979" s="337">
        <v>1386</v>
      </c>
      <c r="H979" s="321"/>
      <c r="I979" s="2">
        <f>ROUND(G979*C979,0)</f>
        <v>469140</v>
      </c>
      <c r="J979" s="337">
        <f>J941</f>
        <v>1386</v>
      </c>
      <c r="K979" s="321"/>
      <c r="L979" s="2">
        <f>ROUND(J979*$C979,0)</f>
        <v>469140</v>
      </c>
      <c r="M979" s="2"/>
      <c r="N979" s="337">
        <f>N941</f>
        <v>1386</v>
      </c>
      <c r="O979" s="321"/>
      <c r="P979" s="2">
        <f>ROUND(N979*$C979,0)</f>
        <v>469140</v>
      </c>
      <c r="Q979" s="2"/>
      <c r="R979" s="337" t="str">
        <f>R941</f>
        <v xml:space="preserve"> </v>
      </c>
      <c r="S979" s="321"/>
      <c r="T979" s="2">
        <f>ROUND(R979*$C979,0)</f>
        <v>0</v>
      </c>
      <c r="U979" s="2"/>
      <c r="V979" s="337" t="str">
        <f>V941</f>
        <v xml:space="preserve"> </v>
      </c>
      <c r="W979" s="321"/>
      <c r="X979" s="2">
        <f>ROUND(V979*$C979,0)</f>
        <v>0</v>
      </c>
      <c r="Y979" s="20"/>
      <c r="Z979" s="74"/>
      <c r="AA979" s="74"/>
      <c r="AB979" s="74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</row>
    <row r="980" spans="1:47" hidden="1">
      <c r="A980" s="323" t="s">
        <v>472</v>
      </c>
      <c r="B980" s="1"/>
      <c r="C980" s="319">
        <v>0</v>
      </c>
      <c r="D980" s="337">
        <v>1675</v>
      </c>
      <c r="E980" s="337"/>
      <c r="F980" s="2">
        <f>ROUND(D980*$C980,0)</f>
        <v>0</v>
      </c>
      <c r="G980" s="337">
        <v>1675</v>
      </c>
      <c r="H980" s="324"/>
      <c r="I980" s="2">
        <f>ROUND(G980*C980,0)</f>
        <v>0</v>
      </c>
      <c r="J980" s="337">
        <f>J942</f>
        <v>1675</v>
      </c>
      <c r="K980" s="324"/>
      <c r="L980" s="2">
        <f>ROUND(J980*$C980,0)</f>
        <v>0</v>
      </c>
      <c r="M980" s="2"/>
      <c r="N980" s="337">
        <f>N942</f>
        <v>1675</v>
      </c>
      <c r="O980" s="324"/>
      <c r="P980" s="2">
        <f>ROUND(N980*$C980,0)</f>
        <v>0</v>
      </c>
      <c r="Q980" s="2"/>
      <c r="R980" s="337" t="str">
        <f>R942</f>
        <v xml:space="preserve"> </v>
      </c>
      <c r="S980" s="324"/>
      <c r="T980" s="2">
        <f>ROUND(R980*$C980,0)</f>
        <v>0</v>
      </c>
      <c r="U980" s="2"/>
      <c r="V980" s="337" t="str">
        <f>V942</f>
        <v xml:space="preserve"> </v>
      </c>
      <c r="W980" s="324"/>
      <c r="X980" s="2">
        <f>ROUND(V980*$C980,0)</f>
        <v>0</v>
      </c>
      <c r="Y980" s="20"/>
      <c r="Z980" s="74"/>
      <c r="AA980" s="74"/>
      <c r="AB980" s="74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</row>
    <row r="981" spans="1:47" hidden="1">
      <c r="A981" s="323" t="s">
        <v>394</v>
      </c>
      <c r="B981" s="1"/>
      <c r="C981" s="319">
        <f>SUM(C979:C980)</f>
        <v>338.48484848484901</v>
      </c>
      <c r="D981" s="337" t="s">
        <v>31</v>
      </c>
      <c r="E981" s="337"/>
      <c r="F981" s="2" t="s">
        <v>31</v>
      </c>
      <c r="G981" s="337" t="s">
        <v>31</v>
      </c>
      <c r="H981" s="321"/>
      <c r="I981" s="2" t="s">
        <v>31</v>
      </c>
      <c r="J981" s="337" t="s">
        <v>31</v>
      </c>
      <c r="K981" s="321"/>
      <c r="L981" s="2" t="s">
        <v>31</v>
      </c>
      <c r="M981" s="2"/>
      <c r="N981" s="337" t="s">
        <v>31</v>
      </c>
      <c r="O981" s="321"/>
      <c r="P981" s="2" t="s">
        <v>31</v>
      </c>
      <c r="Q981" s="2"/>
      <c r="R981" s="337" t="s">
        <v>31</v>
      </c>
      <c r="S981" s="321"/>
      <c r="T981" s="2" t="s">
        <v>31</v>
      </c>
      <c r="U981" s="2"/>
      <c r="V981" s="337" t="s">
        <v>31</v>
      </c>
      <c r="W981" s="321"/>
      <c r="X981" s="2" t="s">
        <v>31</v>
      </c>
      <c r="Y981" s="20"/>
      <c r="Z981" s="74"/>
      <c r="AA981" s="74"/>
      <c r="AB981" s="74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</row>
    <row r="982" spans="1:47" hidden="1">
      <c r="A982" s="323" t="s">
        <v>473</v>
      </c>
      <c r="B982" s="1"/>
      <c r="C982" s="319">
        <f>[53]Sheet1!$G$6</f>
        <v>546455.24242424197</v>
      </c>
      <c r="D982" s="337">
        <v>1.06</v>
      </c>
      <c r="E982" s="337"/>
      <c r="F982" s="2">
        <f>ROUND(D982*$C982,0)</f>
        <v>579243</v>
      </c>
      <c r="G982" s="337">
        <v>1.06</v>
      </c>
      <c r="H982" s="321"/>
      <c r="I982" s="2">
        <f t="shared" ref="I982:I984" si="307">ROUND(G982*C982,0)</f>
        <v>579243</v>
      </c>
      <c r="J982" s="337">
        <f ca="1">J944</f>
        <v>1.18</v>
      </c>
      <c r="K982" s="321"/>
      <c r="L982" s="2">
        <f ca="1">ROUND(J982*$C982,0)</f>
        <v>644817</v>
      </c>
      <c r="M982" s="2"/>
      <c r="N982" s="337">
        <f ca="1">N944</f>
        <v>1.18</v>
      </c>
      <c r="O982" s="321"/>
      <c r="P982" s="2">
        <f ca="1">ROUND(N982*$C982,0)</f>
        <v>644817</v>
      </c>
      <c r="Q982" s="2"/>
      <c r="R982" s="337" t="str">
        <f>R944</f>
        <v xml:space="preserve"> </v>
      </c>
      <c r="S982" s="321"/>
      <c r="T982" s="2">
        <f>ROUND(R982*$C982,0)</f>
        <v>0</v>
      </c>
      <c r="U982" s="2"/>
      <c r="V982" s="337" t="str">
        <f>V944</f>
        <v xml:space="preserve"> </v>
      </c>
      <c r="W982" s="321"/>
      <c r="X982" s="2">
        <f>ROUND(V982*$C982,0)</f>
        <v>0</v>
      </c>
      <c r="Y982" s="20"/>
      <c r="Z982" s="74"/>
      <c r="AA982" s="74"/>
      <c r="AB982" s="74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</row>
    <row r="983" spans="1:47" hidden="1">
      <c r="A983" s="323" t="s">
        <v>474</v>
      </c>
      <c r="B983" s="1"/>
      <c r="C983" s="319">
        <v>0</v>
      </c>
      <c r="D983" s="337">
        <v>0.96</v>
      </c>
      <c r="E983" s="337"/>
      <c r="F983" s="2">
        <f>ROUND(D983*$C983,0)</f>
        <v>0</v>
      </c>
      <c r="G983" s="337">
        <v>0.96</v>
      </c>
      <c r="H983" s="321"/>
      <c r="I983" s="2">
        <f t="shared" si="307"/>
        <v>0</v>
      </c>
      <c r="J983" s="337">
        <f ca="1">J945</f>
        <v>1.07</v>
      </c>
      <c r="K983" s="321"/>
      <c r="L983" s="2">
        <f ca="1">ROUND(J983*$C983,0)</f>
        <v>0</v>
      </c>
      <c r="M983" s="2"/>
      <c r="N983" s="337">
        <f ca="1">N945</f>
        <v>1.07</v>
      </c>
      <c r="O983" s="321"/>
      <c r="P983" s="2">
        <f ca="1">ROUND(N983*$C983,0)</f>
        <v>0</v>
      </c>
      <c r="Q983" s="2"/>
      <c r="R983" s="337" t="str">
        <f>R945</f>
        <v xml:space="preserve"> </v>
      </c>
      <c r="S983" s="321"/>
      <c r="T983" s="2">
        <f>ROUND(R983*$C983,0)</f>
        <v>0</v>
      </c>
      <c r="U983" s="2"/>
      <c r="V983" s="337" t="str">
        <f>V945</f>
        <v xml:space="preserve"> </v>
      </c>
      <c r="W983" s="321"/>
      <c r="X983" s="2">
        <f>ROUND(V983*$C983,0)</f>
        <v>0</v>
      </c>
      <c r="Y983" s="20"/>
      <c r="Z983" s="74"/>
      <c r="AA983" s="74"/>
      <c r="AB983" s="74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</row>
    <row r="984" spans="1:47" hidden="1">
      <c r="A984" s="309" t="s">
        <v>403</v>
      </c>
      <c r="B984" s="1"/>
      <c r="C984" s="319">
        <f>[53]Sheet1!$J$6</f>
        <v>467259.454545455</v>
      </c>
      <c r="D984" s="337">
        <v>7.12</v>
      </c>
      <c r="E984" s="337"/>
      <c r="F984" s="2">
        <f>ROUND(D984*$C984,0)</f>
        <v>3326887</v>
      </c>
      <c r="G984" s="337">
        <v>7.55</v>
      </c>
      <c r="H984" s="321"/>
      <c r="I984" s="2">
        <f t="shared" si="307"/>
        <v>3527809</v>
      </c>
      <c r="J984" s="337">
        <f ca="1">J946</f>
        <v>8.48</v>
      </c>
      <c r="K984" s="321"/>
      <c r="L984" s="2">
        <f ca="1">ROUND(J984*$C984,0)</f>
        <v>3962360</v>
      </c>
      <c r="M984" s="2"/>
      <c r="N984" s="337">
        <f ca="1">N946</f>
        <v>1.1100000000000001</v>
      </c>
      <c r="O984" s="321"/>
      <c r="P984" s="2">
        <f ca="1">ROUND(N984*$C984,0)</f>
        <v>518658</v>
      </c>
      <c r="Q984" s="2"/>
      <c r="R984" s="337">
        <f ca="1">R946</f>
        <v>1.46</v>
      </c>
      <c r="S984" s="321"/>
      <c r="T984" s="2">
        <f ca="1">ROUND(R984*$C984,0)</f>
        <v>682199</v>
      </c>
      <c r="U984" s="2"/>
      <c r="V984" s="337">
        <f ca="1">V946</f>
        <v>5.91</v>
      </c>
      <c r="W984" s="321"/>
      <c r="X984" s="2">
        <f ca="1">ROUND(V984*$C984,0)</f>
        <v>2761503</v>
      </c>
      <c r="Y984" s="20"/>
      <c r="Z984" s="74"/>
      <c r="AA984" s="74"/>
      <c r="AB984" s="74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</row>
    <row r="985" spans="1:47" hidden="1">
      <c r="A985" s="323" t="s">
        <v>426</v>
      </c>
      <c r="B985" s="1"/>
      <c r="C985" s="319"/>
      <c r="D985" s="337" t="s">
        <v>31</v>
      </c>
      <c r="E985" s="337"/>
      <c r="F985" s="2"/>
      <c r="G985" s="337" t="s">
        <v>31</v>
      </c>
      <c r="H985" s="321"/>
      <c r="I985" s="2"/>
      <c r="J985" s="337" t="s">
        <v>31</v>
      </c>
      <c r="K985" s="321"/>
      <c r="L985" s="2"/>
      <c r="M985" s="2"/>
      <c r="N985" s="337" t="s">
        <v>31</v>
      </c>
      <c r="O985" s="321"/>
      <c r="P985" s="2"/>
      <c r="Q985" s="2"/>
      <c r="R985" s="337" t="s">
        <v>31</v>
      </c>
      <c r="S985" s="321"/>
      <c r="T985" s="2"/>
      <c r="U985" s="2"/>
      <c r="V985" s="337" t="s">
        <v>31</v>
      </c>
      <c r="W985" s="321"/>
      <c r="X985" s="2"/>
      <c r="Y985" s="20"/>
      <c r="Z985" s="74"/>
      <c r="AA985" s="74"/>
      <c r="AB985" s="74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</row>
    <row r="986" spans="1:47" hidden="1">
      <c r="A986" s="323" t="s">
        <v>464</v>
      </c>
      <c r="B986" s="1"/>
      <c r="C986" s="319">
        <f>[53]Sheet1!$H$6</f>
        <v>213786555</v>
      </c>
      <c r="D986" s="395">
        <v>4.2460000000000004</v>
      </c>
      <c r="E986" s="321" t="s">
        <v>374</v>
      </c>
      <c r="F986" s="2">
        <f>ROUND(D986/100*$C986,0)</f>
        <v>9077377</v>
      </c>
      <c r="G986" s="395">
        <v>4.5140000000000002</v>
      </c>
      <c r="H986" s="321" t="s">
        <v>374</v>
      </c>
      <c r="I986" s="2">
        <f>ROUND(G986/100*C986,0)</f>
        <v>9650325</v>
      </c>
      <c r="J986" s="395">
        <f ca="1">J948</f>
        <v>2.0669999999999997</v>
      </c>
      <c r="K986" s="321" t="s">
        <v>374</v>
      </c>
      <c r="L986" s="2">
        <f ca="1">ROUND(J986/100*$C986,0)</f>
        <v>4418968</v>
      </c>
      <c r="M986" s="2"/>
      <c r="N986" s="395" t="str">
        <f>N948</f>
        <v xml:space="preserve"> </v>
      </c>
      <c r="O986" s="321" t="s">
        <v>374</v>
      </c>
      <c r="P986" s="2">
        <f>ROUND(N986/100*$C986,0)</f>
        <v>0</v>
      </c>
      <c r="Q986" s="2"/>
      <c r="R986" s="395">
        <f ca="1">R948</f>
        <v>0.995</v>
      </c>
      <c r="S986" s="321" t="s">
        <v>374</v>
      </c>
      <c r="T986" s="2">
        <f ca="1">ROUND(R986/100*$C986,0)</f>
        <v>2127176</v>
      </c>
      <c r="U986" s="2"/>
      <c r="V986" s="395">
        <f ca="1">V948</f>
        <v>1.0720000000000001</v>
      </c>
      <c r="W986" s="321" t="s">
        <v>374</v>
      </c>
      <c r="X986" s="2">
        <f ca="1">ROUND(V986/100*$C986,0)</f>
        <v>2291792</v>
      </c>
      <c r="Y986" s="20"/>
      <c r="Z986" s="74"/>
      <c r="AA986" s="74"/>
      <c r="AB986" s="74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</row>
    <row r="987" spans="1:47" hidden="1">
      <c r="A987" s="323" t="s">
        <v>400</v>
      </c>
      <c r="B987" s="1"/>
      <c r="C987" s="319">
        <f>[53]Sheet1!$L$6</f>
        <v>135856.12121212101</v>
      </c>
      <c r="D987" s="337">
        <v>0.55000000000000004</v>
      </c>
      <c r="E987" s="321"/>
      <c r="F987" s="2">
        <f>ROUND(D987*$C987,0)</f>
        <v>74721</v>
      </c>
      <c r="G987" s="337">
        <v>0.55000000000000004</v>
      </c>
      <c r="H987" s="321"/>
      <c r="I987" s="2">
        <f>ROUND(G987*C987,0)</f>
        <v>74721</v>
      </c>
      <c r="J987" s="337">
        <f>J949</f>
        <v>0.55000000000000004</v>
      </c>
      <c r="K987" s="321"/>
      <c r="L987" s="2">
        <f>ROUND(J987*$C987,0)</f>
        <v>74721</v>
      </c>
      <c r="M987" s="2"/>
      <c r="N987" s="337" t="str">
        <f>N949</f>
        <v xml:space="preserve"> </v>
      </c>
      <c r="O987" s="321"/>
      <c r="P987" s="2">
        <f>ROUND(N987*$C987,0)</f>
        <v>0</v>
      </c>
      <c r="Q987" s="2"/>
      <c r="R987" s="337">
        <f ca="1">R949</f>
        <v>0.11</v>
      </c>
      <c r="S987" s="321"/>
      <c r="T987" s="2">
        <f ca="1">ROUND(R987*$C987,0)</f>
        <v>14944</v>
      </c>
      <c r="U987" s="2"/>
      <c r="V987" s="337">
        <f ca="1">V949</f>
        <v>0.44</v>
      </c>
      <c r="W987" s="321"/>
      <c r="X987" s="2">
        <f ca="1">ROUND(V987*$C987,0)</f>
        <v>59777</v>
      </c>
      <c r="Y987" s="20"/>
      <c r="Z987" s="74"/>
      <c r="AA987" s="74"/>
      <c r="AB987" s="74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</row>
    <row r="988" spans="1:47" s="1184" customFormat="1" hidden="1">
      <c r="A988" s="1005" t="s">
        <v>928</v>
      </c>
      <c r="C988" s="1202">
        <f>C986</f>
        <v>213786555</v>
      </c>
      <c r="D988" s="269"/>
      <c r="E988" s="1185"/>
      <c r="F988" s="1203"/>
      <c r="G988" s="269"/>
      <c r="H988" s="1185"/>
      <c r="I988" s="1203"/>
      <c r="J988" s="1230">
        <f>J950</f>
        <v>2.9510000000000001</v>
      </c>
      <c r="K988" s="1041" t="s">
        <v>374</v>
      </c>
      <c r="L988" s="1203">
        <f>ROUND(J988*$C988/100,0)</f>
        <v>6308841</v>
      </c>
      <c r="M988" s="1203"/>
      <c r="N988" s="1230" t="str">
        <f>N950</f>
        <v xml:space="preserve"> </v>
      </c>
      <c r="O988" s="1041" t="s">
        <v>374</v>
      </c>
      <c r="P988" s="1203">
        <f>ROUND(N988*$C988/100,0)</f>
        <v>0</v>
      </c>
      <c r="Q988" s="1203"/>
      <c r="R988" s="1230" t="str">
        <f>R950</f>
        <v xml:space="preserve"> </v>
      </c>
      <c r="S988" s="1041" t="s">
        <v>374</v>
      </c>
      <c r="T988" s="1203">
        <f>ROUND(R988*$C988/100,0)</f>
        <v>0</v>
      </c>
      <c r="U988" s="1203"/>
      <c r="V988" s="1230">
        <f>V950</f>
        <v>2.9510000000000001</v>
      </c>
      <c r="W988" s="1041" t="s">
        <v>374</v>
      </c>
      <c r="X988" s="1203">
        <f>ROUND(V988*$C988/100,0)</f>
        <v>6308841</v>
      </c>
      <c r="Z988" s="815"/>
      <c r="AC988" s="1205"/>
      <c r="AD988" s="1205"/>
      <c r="AI988" s="1185"/>
      <c r="AJ988" s="1185"/>
      <c r="AK988" s="1185"/>
      <c r="AL988" s="1185"/>
      <c r="AM988" s="1185"/>
      <c r="AN988" s="1185"/>
      <c r="AO988" s="1185"/>
      <c r="AP988" s="1185"/>
      <c r="AQ988" s="1185"/>
      <c r="AR988" s="1185"/>
      <c r="AS988" s="1185"/>
      <c r="AU988" s="1204"/>
    </row>
    <row r="989" spans="1:47" hidden="1">
      <c r="A989" s="1" t="s">
        <v>381</v>
      </c>
      <c r="B989" s="1"/>
      <c r="C989" s="319">
        <f>C986</f>
        <v>213786555</v>
      </c>
      <c r="D989" s="330"/>
      <c r="E989" s="2"/>
      <c r="F989" s="2">
        <f>SUM(F979:F987)</f>
        <v>13527368</v>
      </c>
      <c r="G989" s="330"/>
      <c r="H989" s="1"/>
      <c r="I989" s="2">
        <f>SUM(I979:I987)</f>
        <v>14301238</v>
      </c>
      <c r="J989" s="330"/>
      <c r="K989" s="1"/>
      <c r="L989" s="2">
        <f ca="1">SUM(L979:L988)</f>
        <v>15878847</v>
      </c>
      <c r="M989" s="2"/>
      <c r="N989" s="330"/>
      <c r="O989" s="1"/>
      <c r="P989" s="2">
        <f ca="1">SUM(P979:P988)</f>
        <v>1632615</v>
      </c>
      <c r="Q989" s="2"/>
      <c r="R989" s="330"/>
      <c r="S989" s="1"/>
      <c r="T989" s="2">
        <f ca="1">SUM(T979:T988)</f>
        <v>2824319</v>
      </c>
      <c r="U989" s="2"/>
      <c r="V989" s="330"/>
      <c r="W989" s="1"/>
      <c r="X989" s="2">
        <f ca="1">SUM(X979:X988)</f>
        <v>11421913</v>
      </c>
      <c r="Y989" s="7" t="s">
        <v>31</v>
      </c>
      <c r="Z989" s="74"/>
      <c r="AA989" s="74"/>
      <c r="AB989" s="74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</row>
    <row r="990" spans="1:47" hidden="1">
      <c r="A990" s="1" t="s">
        <v>363</v>
      </c>
      <c r="B990" s="1"/>
      <c r="C990" s="319">
        <f ca="1">C989/($C$989+$C$1046)*$C$1084</f>
        <v>-3424334.6854361393</v>
      </c>
      <c r="D990" s="309"/>
      <c r="E990" s="309"/>
      <c r="F990" s="764">
        <f ca="1">I990</f>
        <v>-295740.50945887977</v>
      </c>
      <c r="G990" s="309"/>
      <c r="H990" s="309"/>
      <c r="I990" s="340">
        <f ca="1">I989/($I$989+$I$1046)*$I$1084</f>
        <v>-295740.50945887977</v>
      </c>
      <c r="J990" s="309"/>
      <c r="K990" s="309"/>
      <c r="L990" s="341">
        <f ca="1">I990</f>
        <v>-295740.50945887977</v>
      </c>
      <c r="M990" s="322"/>
      <c r="N990" s="309"/>
      <c r="O990" s="309"/>
      <c r="P990" s="341">
        <f ca="1">$L$990*Y956/($Y956+$Z$956+$AA$956)</f>
        <v>-32436.993347527154</v>
      </c>
      <c r="Q990" s="51"/>
      <c r="R990" s="309"/>
      <c r="S990" s="309"/>
      <c r="T990" s="341">
        <f ca="1">$L$990*Z956/($Y956+$Z$956+$AA$956)</f>
        <v>-52188.120798504002</v>
      </c>
      <c r="U990" s="51"/>
      <c r="V990" s="309"/>
      <c r="W990" s="309"/>
      <c r="X990" s="341">
        <f ca="1">$L$990*AA956/($Y956+$Z$956+$AA$956)</f>
        <v>-211115.39531284862</v>
      </c>
      <c r="Y990" s="444"/>
      <c r="Z990" s="287"/>
      <c r="AA990" s="74"/>
      <c r="AB990" s="74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</row>
    <row r="991" spans="1:47" ht="16.5" hidden="1" thickBot="1">
      <c r="A991" s="1" t="s">
        <v>382</v>
      </c>
      <c r="B991" s="1"/>
      <c r="C991" s="393">
        <f ca="1">SUM(C989)+C990</f>
        <v>210362220.31456387</v>
      </c>
      <c r="D991" s="342"/>
      <c r="E991" s="343"/>
      <c r="F991" s="344">
        <f ca="1">F989+F990</f>
        <v>13231627.490541121</v>
      </c>
      <c r="G991" s="342"/>
      <c r="H991" s="345"/>
      <c r="I991" s="344">
        <f ca="1">I989+I990</f>
        <v>14005497.490541121</v>
      </c>
      <c r="J991" s="342"/>
      <c r="K991" s="345"/>
      <c r="L991" s="344">
        <f ca="1">L989+L990</f>
        <v>15583106.490541121</v>
      </c>
      <c r="M991" s="344"/>
      <c r="N991" s="342"/>
      <c r="O991" s="345"/>
      <c r="P991" s="344">
        <f ca="1">P989+P990</f>
        <v>1600178.0066524728</v>
      </c>
      <c r="Q991" s="344"/>
      <c r="R991" s="342"/>
      <c r="S991" s="345"/>
      <c r="T991" s="344">
        <f ca="1">T989+T990</f>
        <v>2772130.879201496</v>
      </c>
      <c r="U991" s="344"/>
      <c r="V991" s="342"/>
      <c r="W991" s="345"/>
      <c r="X991" s="344">
        <f ca="1">X989+X990</f>
        <v>11210797.604687151</v>
      </c>
      <c r="Y991" s="411"/>
      <c r="Z991" s="470"/>
      <c r="AA991" s="74"/>
      <c r="AB991" s="74"/>
      <c r="AC991" s="801" t="s">
        <v>31</v>
      </c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</row>
    <row r="992" spans="1:47" ht="16.5" hidden="1" thickTop="1">
      <c r="A992" s="1"/>
      <c r="B992" s="1"/>
      <c r="C992" s="21"/>
      <c r="D992" s="337"/>
      <c r="E992" s="2"/>
      <c r="F992" s="2"/>
      <c r="G992" s="337"/>
      <c r="H992" s="1"/>
      <c r="I992" s="2"/>
      <c r="J992" s="337"/>
      <c r="K992" s="1"/>
      <c r="L992" s="380"/>
      <c r="M992" s="380"/>
      <c r="N992" s="337"/>
      <c r="O992" s="1"/>
      <c r="P992" s="380"/>
      <c r="Q992" s="380"/>
      <c r="R992" s="337"/>
      <c r="S992" s="1"/>
      <c r="T992" s="380"/>
      <c r="U992" s="380"/>
      <c r="V992" s="337"/>
      <c r="W992" s="1"/>
      <c r="X992" s="380"/>
      <c r="Z992" s="74"/>
      <c r="AA992" s="777" t="s">
        <v>31</v>
      </c>
      <c r="AB992" s="777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</row>
    <row r="993" spans="1:47">
      <c r="A993" s="293" t="s">
        <v>476</v>
      </c>
      <c r="B993" s="1"/>
      <c r="C993" s="1"/>
      <c r="D993" s="2"/>
      <c r="E993" s="2"/>
      <c r="F993" s="1"/>
      <c r="G993" s="2"/>
      <c r="H993" s="1"/>
      <c r="I993" s="1"/>
      <c r="J993" s="2"/>
      <c r="K993" s="1"/>
      <c r="L993" s="1"/>
      <c r="M993" s="1"/>
      <c r="N993" s="2"/>
      <c r="O993" s="1"/>
      <c r="P993" s="1"/>
      <c r="Q993" s="1"/>
      <c r="R993" s="2"/>
      <c r="S993" s="1"/>
      <c r="T993" s="1"/>
      <c r="U993" s="1"/>
      <c r="V993" s="2"/>
      <c r="W993" s="1"/>
      <c r="X993" s="1"/>
      <c r="Y993" s="20"/>
      <c r="Z993" s="74"/>
      <c r="AA993" s="74"/>
      <c r="AB993" s="74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</row>
    <row r="994" spans="1:47">
      <c r="A994" s="309" t="s">
        <v>699</v>
      </c>
      <c r="B994" s="1"/>
      <c r="C994" s="1"/>
      <c r="D994" s="2"/>
      <c r="E994" s="2"/>
      <c r="F994" s="1"/>
      <c r="G994" s="2"/>
      <c r="H994" s="1"/>
      <c r="I994" s="1"/>
      <c r="J994" s="2"/>
      <c r="K994" s="1"/>
      <c r="L994" s="1"/>
      <c r="M994" s="1"/>
      <c r="N994" s="2"/>
      <c r="O994" s="1"/>
      <c r="P994" s="1"/>
      <c r="Q994" s="1"/>
      <c r="R994" s="2"/>
      <c r="S994" s="1"/>
      <c r="T994" s="1"/>
      <c r="U994" s="1"/>
      <c r="V994" s="2"/>
      <c r="W994" s="1"/>
      <c r="X994" s="1"/>
      <c r="Y994" s="20"/>
      <c r="Z994" s="74"/>
      <c r="AA994" s="74"/>
      <c r="AB994" s="74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</row>
    <row r="995" spans="1:47">
      <c r="A995" s="1" t="s">
        <v>31</v>
      </c>
      <c r="B995" s="1"/>
      <c r="C995" s="1"/>
      <c r="D995" s="2"/>
      <c r="E995" s="2"/>
      <c r="F995" s="1"/>
      <c r="G995" s="2"/>
      <c r="H995" s="1"/>
      <c r="I995" s="1"/>
      <c r="J995" s="2"/>
      <c r="K995" s="1"/>
      <c r="L995" s="1"/>
      <c r="M995" s="1"/>
      <c r="N995" s="2"/>
      <c r="O995" s="1"/>
      <c r="P995" s="1"/>
      <c r="Q995" s="1"/>
      <c r="R995" s="2"/>
      <c r="S995" s="1"/>
      <c r="T995" s="1"/>
      <c r="U995" s="1"/>
      <c r="V995" s="2"/>
      <c r="W995" s="1"/>
      <c r="X995" s="1"/>
      <c r="Y995" s="20"/>
      <c r="Z995" s="74"/>
      <c r="AA995" s="74"/>
      <c r="AB995" s="74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</row>
    <row r="996" spans="1:47">
      <c r="A996" s="323" t="s">
        <v>393</v>
      </c>
      <c r="B996" s="1"/>
      <c r="C996" s="319"/>
      <c r="D996" s="2"/>
      <c r="E996" s="2"/>
      <c r="F996" s="1"/>
      <c r="G996" s="2"/>
      <c r="H996" s="1"/>
      <c r="I996" s="1"/>
      <c r="J996" s="2"/>
      <c r="K996" s="1"/>
      <c r="L996" s="1"/>
      <c r="M996" s="1"/>
      <c r="N996" s="2"/>
      <c r="O996" s="1"/>
      <c r="P996" s="1"/>
      <c r="Q996" s="1"/>
      <c r="R996" s="2"/>
      <c r="S996" s="1"/>
      <c r="T996" s="1"/>
      <c r="U996" s="1"/>
      <c r="V996" s="2"/>
      <c r="W996" s="1"/>
      <c r="X996" s="1"/>
      <c r="Z996" s="74"/>
      <c r="AA996" s="74"/>
      <c r="AB996" s="74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</row>
    <row r="997" spans="1:47">
      <c r="A997" s="323" t="s">
        <v>471</v>
      </c>
      <c r="B997" s="1"/>
      <c r="C997" s="319">
        <f t="shared" ref="C997:C1002" si="308">C1018+C1036</f>
        <v>130.272727272727</v>
      </c>
      <c r="D997" s="337">
        <v>1419</v>
      </c>
      <c r="E997" s="337"/>
      <c r="F997" s="2">
        <f>ROUND(D997*$C997,0)</f>
        <v>184857</v>
      </c>
      <c r="G997" s="337">
        <v>1419</v>
      </c>
      <c r="H997" s="321"/>
      <c r="I997" s="2">
        <f>ROUND(G997*C997,0)</f>
        <v>184857</v>
      </c>
      <c r="J997" s="326">
        <f>G997</f>
        <v>1419</v>
      </c>
      <c r="K997" s="321"/>
      <c r="L997" s="2">
        <f>ROUND(J997*$C997,0)</f>
        <v>184857</v>
      </c>
      <c r="M997" s="2"/>
      <c r="N997" s="326">
        <f>J997</f>
        <v>1419</v>
      </c>
      <c r="O997" s="321"/>
      <c r="P997" s="2">
        <f>ROUND(N997*$C997,0)</f>
        <v>184857</v>
      </c>
      <c r="Q997" s="2"/>
      <c r="R997" s="326" t="s">
        <v>31</v>
      </c>
      <c r="S997" s="321"/>
      <c r="T997" s="2">
        <f>ROUND(R997*$C997,0)</f>
        <v>0</v>
      </c>
      <c r="U997" s="2"/>
      <c r="V997" s="326" t="s">
        <v>31</v>
      </c>
      <c r="W997" s="321"/>
      <c r="X997" s="2">
        <f>ROUND(V997*$C997,0)</f>
        <v>0</v>
      </c>
      <c r="Y997" s="20"/>
      <c r="AA997" s="827">
        <f>(J997-G997)/G997</f>
        <v>0</v>
      </c>
      <c r="AB997" s="777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</row>
    <row r="998" spans="1:47">
      <c r="A998" s="323" t="s">
        <v>472</v>
      </c>
      <c r="B998" s="1"/>
      <c r="C998" s="319">
        <f t="shared" si="308"/>
        <v>0</v>
      </c>
      <c r="D998" s="337">
        <v>1707</v>
      </c>
      <c r="E998" s="337"/>
      <c r="F998" s="2">
        <f>ROUND(D998*$C998,0)</f>
        <v>0</v>
      </c>
      <c r="G998" s="337">
        <v>1707</v>
      </c>
      <c r="H998" s="324"/>
      <c r="I998" s="2">
        <f>ROUND(G998*C998,0)</f>
        <v>0</v>
      </c>
      <c r="J998" s="326">
        <f>G998</f>
        <v>1707</v>
      </c>
      <c r="K998" s="324"/>
      <c r="L998" s="2">
        <f>ROUND(J998*$C998,0)</f>
        <v>0</v>
      </c>
      <c r="M998" s="2"/>
      <c r="N998" s="326">
        <f>J998</f>
        <v>1707</v>
      </c>
      <c r="O998" s="1580"/>
      <c r="P998" s="2">
        <f>L998</f>
        <v>0</v>
      </c>
      <c r="Q998" s="2"/>
      <c r="R998" s="326" t="s">
        <v>31</v>
      </c>
      <c r="S998" s="1580"/>
      <c r="T998" s="2">
        <f>ROUND(R998*$C998,0)</f>
        <v>0</v>
      </c>
      <c r="U998" s="2"/>
      <c r="V998" s="326" t="s">
        <v>31</v>
      </c>
      <c r="W998" s="1580"/>
      <c r="X998" s="2">
        <f>ROUND(V998*$C998,0)</f>
        <v>0</v>
      </c>
      <c r="Y998" s="20"/>
      <c r="AA998" s="827">
        <f>(J998-G998)/G998</f>
        <v>0</v>
      </c>
      <c r="AB998" s="777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</row>
    <row r="999" spans="1:47">
      <c r="A999" s="323" t="s">
        <v>394</v>
      </c>
      <c r="B999" s="1"/>
      <c r="C999" s="319">
        <f t="shared" si="308"/>
        <v>130.272727272727</v>
      </c>
      <c r="D999" s="337" t="s">
        <v>31</v>
      </c>
      <c r="E999" s="337"/>
      <c r="F999" s="2" t="s">
        <v>31</v>
      </c>
      <c r="G999" s="337" t="s">
        <v>31</v>
      </c>
      <c r="H999" s="321"/>
      <c r="I999" s="2" t="s">
        <v>31</v>
      </c>
      <c r="J999" s="326" t="s">
        <v>31</v>
      </c>
      <c r="K999" s="321"/>
      <c r="L999" s="2" t="s">
        <v>31</v>
      </c>
      <c r="M999" s="2"/>
      <c r="N999" s="326" t="s">
        <v>31</v>
      </c>
      <c r="O999" s="321"/>
      <c r="P999" s="2" t="s">
        <v>31</v>
      </c>
      <c r="Q999" s="2"/>
      <c r="R999" s="326" t="s">
        <v>31</v>
      </c>
      <c r="S999" s="321"/>
      <c r="T999" s="2" t="s">
        <v>31</v>
      </c>
      <c r="U999" s="2"/>
      <c r="V999" s="326" t="s">
        <v>31</v>
      </c>
      <c r="W999" s="321"/>
      <c r="X999" s="2" t="s">
        <v>31</v>
      </c>
      <c r="Y999" s="20"/>
      <c r="AA999" s="1588"/>
      <c r="AB999" s="74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</row>
    <row r="1000" spans="1:47">
      <c r="A1000" s="323" t="s">
        <v>473</v>
      </c>
      <c r="B1000" s="1"/>
      <c r="C1000" s="319">
        <f t="shared" si="308"/>
        <v>221683.454545455</v>
      </c>
      <c r="D1000" s="337">
        <v>0.53</v>
      </c>
      <c r="E1000" s="337"/>
      <c r="F1000" s="2">
        <f>ROUND(D1000*$C1000,0)</f>
        <v>117492</v>
      </c>
      <c r="G1000" s="337">
        <v>0.53</v>
      </c>
      <c r="H1000" s="321"/>
      <c r="I1000" s="2">
        <f t="shared" ref="I1000:I1002" si="309">ROUND(G1000*C1000,0)</f>
        <v>117492</v>
      </c>
      <c r="J1000" s="326">
        <f ca="1">ROUND(G1000*(1+$AA$946),2)+0.01</f>
        <v>0.61</v>
      </c>
      <c r="K1000" s="321"/>
      <c r="L1000" s="2">
        <f ca="1">ROUND(J1000*$C1000,0)</f>
        <v>135227</v>
      </c>
      <c r="M1000" s="2"/>
      <c r="N1000" s="326">
        <f ca="1">J1000</f>
        <v>0.61</v>
      </c>
      <c r="O1000" s="321"/>
      <c r="P1000" s="2">
        <f ca="1">ROUND(N1000*$C1000,0)</f>
        <v>135227</v>
      </c>
      <c r="Q1000" s="2"/>
      <c r="R1000" s="326" t="s">
        <v>31</v>
      </c>
      <c r="S1000" s="321"/>
      <c r="T1000" s="2">
        <f>ROUND(R1000*$C1000,0)</f>
        <v>0</v>
      </c>
      <c r="U1000" s="2"/>
      <c r="V1000" s="326" t="s">
        <v>31</v>
      </c>
      <c r="W1000" s="321"/>
      <c r="X1000" s="2">
        <f>ROUND(V1000*$C1000,0)</f>
        <v>0</v>
      </c>
      <c r="AA1000" s="827">
        <f ca="1">(J1000-G1000)/G1000</f>
        <v>0.15094339622641501</v>
      </c>
      <c r="AB1000" s="777"/>
      <c r="AC1000" s="20" t="s">
        <v>31</v>
      </c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</row>
    <row r="1001" spans="1:47">
      <c r="A1001" s="323" t="s">
        <v>474</v>
      </c>
      <c r="B1001" s="1"/>
      <c r="C1001" s="319">
        <f t="shared" si="308"/>
        <v>0</v>
      </c>
      <c r="D1001" s="337">
        <v>0.43</v>
      </c>
      <c r="E1001" s="337"/>
      <c r="F1001" s="2">
        <f>ROUND(D1001*$C1001,0)</f>
        <v>0</v>
      </c>
      <c r="G1001" s="337">
        <v>0.43</v>
      </c>
      <c r="H1001" s="321"/>
      <c r="I1001" s="2">
        <f t="shared" si="309"/>
        <v>0</v>
      </c>
      <c r="J1001" s="326">
        <f ca="1">ROUND(G1001*(1+$AA$946),2)</f>
        <v>0.48</v>
      </c>
      <c r="K1001" s="321"/>
      <c r="L1001" s="2">
        <f ca="1">ROUND(J1001*$C1001,0)</f>
        <v>0</v>
      </c>
      <c r="M1001" s="2"/>
      <c r="N1001" s="326">
        <f ca="1">J1001</f>
        <v>0.48</v>
      </c>
      <c r="O1001" s="321"/>
      <c r="P1001" s="2">
        <f ca="1">L1001</f>
        <v>0</v>
      </c>
      <c r="Q1001" s="2"/>
      <c r="R1001" s="326" t="s">
        <v>31</v>
      </c>
      <c r="S1001" s="321"/>
      <c r="T1001" s="2">
        <f>ROUND(R1001*$C1001,0)</f>
        <v>0</v>
      </c>
      <c r="U1001" s="2"/>
      <c r="V1001" s="326" t="s">
        <v>31</v>
      </c>
      <c r="W1001" s="321"/>
      <c r="X1001" s="2">
        <f>ROUND(V1001*$C1001,0)</f>
        <v>0</v>
      </c>
      <c r="Y1001" s="20"/>
      <c r="AA1001" s="827">
        <f ca="1">(J1001-G1001)/G1001</f>
        <v>0.11627906976744183</v>
      </c>
      <c r="AB1001" s="777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</row>
    <row r="1002" spans="1:47">
      <c r="A1002" s="309" t="s">
        <v>403</v>
      </c>
      <c r="B1002" s="1"/>
      <c r="C1002" s="319">
        <f t="shared" si="308"/>
        <v>178076.48484848501</v>
      </c>
      <c r="D1002" s="337">
        <v>6.99</v>
      </c>
      <c r="E1002" s="337"/>
      <c r="F1002" s="2">
        <f>ROUND(D1002*$C1002,0)</f>
        <v>1244755</v>
      </c>
      <c r="G1002" s="337">
        <v>7.4</v>
      </c>
      <c r="H1002" s="321"/>
      <c r="I1002" s="2">
        <f t="shared" si="309"/>
        <v>1317766</v>
      </c>
      <c r="J1002" s="326">
        <f ca="1">ROUND(G1002*(1+$AA$946),2)+0.01</f>
        <v>8.32</v>
      </c>
      <c r="K1002" s="321"/>
      <c r="L1002" s="2">
        <f ca="1">ROUND(J1002*$C1002,0)</f>
        <v>1481596</v>
      </c>
      <c r="M1002" s="2"/>
      <c r="N1002" s="326">
        <f ca="1">P1002/$C$1002</f>
        <v>1.4757900850785193</v>
      </c>
      <c r="O1002" s="321"/>
      <c r="P1002" s="2">
        <f ca="1">(Y1012-P997-P998-P1009-P1001-P1000)</f>
        <v>262803.51072502934</v>
      </c>
      <c r="Q1002" s="2"/>
      <c r="R1002" s="326">
        <f ca="1">T1002/$C$1002</f>
        <v>1.356557464016797</v>
      </c>
      <c r="S1002" s="321"/>
      <c r="T1002" s="2">
        <f ca="1">($L$1002-$P$1002)*(Z1012/($Z$1012+$AA$1012))</f>
        <v>241570.9846870864</v>
      </c>
      <c r="U1002" s="2"/>
      <c r="V1002" s="326">
        <f ca="1">X1002/$C$1002-0.01</f>
        <v>5.4776504633351539</v>
      </c>
      <c r="W1002" s="321"/>
      <c r="X1002" s="2">
        <f ca="1">($L$1002-$P$1002)*(AA1012/($Z$1012+$AA$1012))</f>
        <v>977221.50458788429</v>
      </c>
      <c r="Y1002" s="20"/>
      <c r="AA1002" s="827">
        <f ca="1">(J1002-G1002)/G1002</f>
        <v>0.1243243243243243</v>
      </c>
      <c r="AB1002" s="777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</row>
    <row r="1003" spans="1:47">
      <c r="A1003" s="323" t="s">
        <v>426</v>
      </c>
      <c r="B1003" s="1"/>
      <c r="C1003" s="319"/>
      <c r="D1003" s="337" t="s">
        <v>31</v>
      </c>
      <c r="E1003" s="337"/>
      <c r="F1003" s="2"/>
      <c r="G1003" s="337" t="s">
        <v>31</v>
      </c>
      <c r="H1003" s="321"/>
      <c r="I1003" s="2"/>
      <c r="J1003" s="326" t="s">
        <v>31</v>
      </c>
      <c r="K1003" s="321"/>
      <c r="L1003" s="2"/>
      <c r="M1003" s="2"/>
      <c r="N1003" s="426" t="s">
        <v>31</v>
      </c>
      <c r="O1003" s="321"/>
      <c r="P1003" s="2"/>
      <c r="Q1003" s="2"/>
      <c r="R1003" s="426" t="s">
        <v>31</v>
      </c>
      <c r="S1003" s="321"/>
      <c r="T1003" s="2"/>
      <c r="U1003" s="2"/>
      <c r="V1003" s="426" t="s">
        <v>31</v>
      </c>
      <c r="W1003" s="321"/>
      <c r="X1003" s="2"/>
      <c r="Y1003" s="20"/>
      <c r="AA1003" s="1588"/>
      <c r="AB1003" s="74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</row>
    <row r="1004" spans="1:47">
      <c r="A1004" s="323" t="s">
        <v>464</v>
      </c>
      <c r="B1004" s="1"/>
      <c r="C1004" s="319">
        <f>C1025+C1043</f>
        <v>70618436.012304217</v>
      </c>
      <c r="D1004" s="395">
        <v>4.1920000000000002</v>
      </c>
      <c r="E1004" s="321" t="s">
        <v>374</v>
      </c>
      <c r="F1004" s="2">
        <f>ROUND(D1004/100*$C1004,0)</f>
        <v>2960325</v>
      </c>
      <c r="G1004" s="395">
        <v>4.4589999999999996</v>
      </c>
      <c r="H1004" s="321" t="s">
        <v>374</v>
      </c>
      <c r="I1004" s="2">
        <f>ROUND(G1004/100*C1004,0)</f>
        <v>3148876</v>
      </c>
      <c r="J1004" s="808">
        <f ca="1">ROUND(G1004*(1+$AA$948)-J1006,3)+0.004</f>
        <v>1.508</v>
      </c>
      <c r="K1004" s="321" t="s">
        <v>374</v>
      </c>
      <c r="L1004" s="2">
        <f ca="1">ROUND(J1004/100*$C1004,0)</f>
        <v>1064926</v>
      </c>
      <c r="M1004" s="2"/>
      <c r="N1004" s="802" t="s">
        <v>31</v>
      </c>
      <c r="O1004" s="883" t="s">
        <v>31</v>
      </c>
      <c r="P1004" s="2">
        <v>0</v>
      </c>
      <c r="Q1004" s="2"/>
      <c r="R1004" s="802">
        <f ca="1">ROUND(T1004/C1004*100,3)</f>
        <v>0.98299999999999998</v>
      </c>
      <c r="S1004" s="321" t="s">
        <v>374</v>
      </c>
      <c r="T1004" s="2">
        <f ca="1">L1004-X1004</f>
        <v>694388.26162071317</v>
      </c>
      <c r="U1004" s="2"/>
      <c r="V1004" s="802">
        <f ca="1">ROUND(X1004/C1004*100,3)</f>
        <v>0.52500000000000002</v>
      </c>
      <c r="W1004" s="321" t="s">
        <v>374</v>
      </c>
      <c r="X1004" s="2">
        <f ca="1">AA1012-X997-X998-X1000-X1001-X1002-X1005-X1006-X1009</f>
        <v>370537.73837928689</v>
      </c>
      <c r="Y1004" s="20"/>
      <c r="AA1004" s="827">
        <f ca="1">(J1004-G1004)/G1004</f>
        <v>-0.66180758017492713</v>
      </c>
      <c r="AB1004" s="777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</row>
    <row r="1005" spans="1:47">
      <c r="A1005" s="323" t="s">
        <v>400</v>
      </c>
      <c r="B1005" s="1"/>
      <c r="C1005" s="319">
        <f>C1026+C1044</f>
        <v>17311.333333333299</v>
      </c>
      <c r="D1005" s="337">
        <v>0.54</v>
      </c>
      <c r="E1005" s="321"/>
      <c r="F1005" s="2">
        <f>ROUND(D1005*$C1005,0)</f>
        <v>9348</v>
      </c>
      <c r="G1005" s="337">
        <v>0.54</v>
      </c>
      <c r="H1005" s="321"/>
      <c r="I1005" s="2">
        <f>ROUND(G1005*C1005,0)</f>
        <v>9348</v>
      </c>
      <c r="J1005" s="326">
        <f>G1005</f>
        <v>0.54</v>
      </c>
      <c r="K1005" s="321"/>
      <c r="L1005" s="2">
        <f>ROUND(J1005*$C1005,0)</f>
        <v>9348</v>
      </c>
      <c r="M1005" s="2"/>
      <c r="N1005" s="326" t="s">
        <v>31</v>
      </c>
      <c r="O1005" s="321"/>
      <c r="P1005" s="2">
        <f>ROUND(N1005*$C1005,0)</f>
        <v>0</v>
      </c>
      <c r="Q1005" s="2"/>
      <c r="R1005" s="326">
        <f ca="1">ROUND(T1005/$C$1005,2)</f>
        <v>0.11</v>
      </c>
      <c r="S1005" s="321"/>
      <c r="T1005" s="2">
        <f ca="1">$L$1005*(Z1012/(Z1012+AA1012))</f>
        <v>1852.8220223922069</v>
      </c>
      <c r="U1005" s="2"/>
      <c r="V1005" s="326">
        <f ca="1">ROUND(X1005/$C$1005,2)</f>
        <v>0.43</v>
      </c>
      <c r="W1005" s="321"/>
      <c r="X1005" s="2">
        <f ca="1">$L$1005*(AA1012/(Z1012+AA1012))</f>
        <v>7495.1779776077929</v>
      </c>
      <c r="Y1005" s="20"/>
      <c r="AA1005" s="827">
        <f>(J1005-G1005)/G1005</f>
        <v>0</v>
      </c>
      <c r="AB1005" s="777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</row>
    <row r="1006" spans="1:47" s="1184" customFormat="1">
      <c r="A1006" s="1005" t="s">
        <v>1035</v>
      </c>
      <c r="C1006" s="1202">
        <f>C1004</f>
        <v>70618436.012304217</v>
      </c>
      <c r="D1006" s="269"/>
      <c r="E1006" s="1185"/>
      <c r="F1006" s="1203"/>
      <c r="G1006" s="269"/>
      <c r="H1006" s="1185"/>
      <c r="I1006" s="1203"/>
      <c r="J1006" s="1230">
        <f>ROUND(Y1006/C1006*100,3)</f>
        <v>3.4529999999999998</v>
      </c>
      <c r="K1006" s="1041" t="s">
        <v>374</v>
      </c>
      <c r="L1006" s="1203">
        <f>ROUND(J1006/100*$C1006,0)</f>
        <v>2438455</v>
      </c>
      <c r="M1006" s="1203"/>
      <c r="N1006" s="1230" t="s">
        <v>31</v>
      </c>
      <c r="O1006" s="1041" t="s">
        <v>31</v>
      </c>
      <c r="P1006" s="1041">
        <f>ROUND(N1006*$C1006/100,0)</f>
        <v>0</v>
      </c>
      <c r="Q1006" s="1041"/>
      <c r="R1006" s="1230" t="s">
        <v>31</v>
      </c>
      <c r="S1006" s="1041" t="s">
        <v>31</v>
      </c>
      <c r="T1006" s="1041">
        <f>ROUND(R1006*$C1006/100,0)</f>
        <v>0</v>
      </c>
      <c r="U1006" s="1041"/>
      <c r="V1006" s="1230">
        <f>J1006</f>
        <v>3.4529999999999998</v>
      </c>
      <c r="W1006" s="1041" t="s">
        <v>374</v>
      </c>
      <c r="X1006" s="1041">
        <f>ROUND(V1006*$C1006/100,0)</f>
        <v>2438455</v>
      </c>
      <c r="Y1006" s="1204">
        <f>'NPC Spread'!G48</f>
        <v>2438646.2051787861</v>
      </c>
      <c r="Z1006" s="815" t="s">
        <v>913</v>
      </c>
      <c r="AC1006" s="1205"/>
      <c r="AD1006" s="1205"/>
      <c r="AI1006" s="1185"/>
      <c r="AJ1006" s="1185"/>
      <c r="AK1006" s="1185"/>
      <c r="AL1006" s="1185"/>
      <c r="AM1006" s="1185"/>
      <c r="AN1006" s="1185"/>
      <c r="AO1006" s="1185"/>
      <c r="AP1006" s="1185"/>
      <c r="AQ1006" s="1185"/>
      <c r="AR1006" s="1185"/>
      <c r="AS1006" s="1185"/>
      <c r="AU1006" s="1204"/>
    </row>
    <row r="1007" spans="1:47" s="1510" customFormat="1">
      <c r="A1007" s="1509" t="s">
        <v>929</v>
      </c>
      <c r="C1007" s="1524"/>
      <c r="D1007" s="1512"/>
      <c r="E1007" s="1513"/>
      <c r="F1007" s="1514"/>
      <c r="G1007" s="1523">
        <f>G1004</f>
        <v>4.4589999999999996</v>
      </c>
      <c r="H1007" s="1521" t="s">
        <v>374</v>
      </c>
      <c r="I1007" s="1514"/>
      <c r="J1007" s="1515">
        <f ca="1">J1004+J1006</f>
        <v>4.9610000000000003</v>
      </c>
      <c r="K1007" s="1521" t="s">
        <v>374</v>
      </c>
      <c r="L1007" s="1514"/>
      <c r="M1007" s="1514"/>
      <c r="N1007" s="1526" t="s">
        <v>31</v>
      </c>
      <c r="O1007" s="1521" t="s">
        <v>31</v>
      </c>
      <c r="P1007" s="1521"/>
      <c r="Q1007" s="1521"/>
      <c r="R1007" s="1526">
        <f ca="1">R1004+R1006</f>
        <v>0.98299999999999998</v>
      </c>
      <c r="S1007" s="1521" t="s">
        <v>374</v>
      </c>
      <c r="T1007" s="1521"/>
      <c r="U1007" s="1521"/>
      <c r="V1007" s="1526">
        <f ca="1">V1004+V1006</f>
        <v>3.9779999999999998</v>
      </c>
      <c r="W1007" s="1521" t="s">
        <v>374</v>
      </c>
      <c r="X1007" s="1521"/>
      <c r="Y1007" s="1590"/>
      <c r="Z1007" s="1591"/>
      <c r="AA1007" s="1592">
        <f ca="1">(J1007-G1007)/G1007</f>
        <v>0.1125812962547658</v>
      </c>
      <c r="AC1007" s="1593"/>
      <c r="AD1007" s="1593"/>
      <c r="AI1007" s="1513"/>
      <c r="AJ1007" s="1513"/>
      <c r="AK1007" s="1513"/>
      <c r="AL1007" s="1513"/>
      <c r="AM1007" s="1513"/>
      <c r="AN1007" s="1513"/>
      <c r="AO1007" s="1513"/>
      <c r="AP1007" s="1513"/>
      <c r="AQ1007" s="1513"/>
      <c r="AR1007" s="1513"/>
      <c r="AS1007" s="1513"/>
      <c r="AU1007" s="1590"/>
    </row>
    <row r="1008" spans="1:47">
      <c r="A1008" s="1" t="s">
        <v>381</v>
      </c>
      <c r="B1008" s="1"/>
      <c r="C1008" s="319">
        <f>C1004</f>
        <v>70618436.012304217</v>
      </c>
      <c r="D1008" s="330"/>
      <c r="E1008" s="2"/>
      <c r="F1008" s="2">
        <f>SUM(F997:F1005)</f>
        <v>4516777</v>
      </c>
      <c r="G1008" s="330"/>
      <c r="H1008" s="1"/>
      <c r="I1008" s="2">
        <f>SUM(I997:I1005)</f>
        <v>4778339</v>
      </c>
      <c r="J1008" s="330"/>
      <c r="K1008" s="1"/>
      <c r="L1008" s="2">
        <f ca="1">SUM(L997:L1007)</f>
        <v>5314409</v>
      </c>
      <c r="M1008" s="2"/>
      <c r="N1008" s="803"/>
      <c r="O1008" s="1"/>
      <c r="P1008" s="2">
        <f ca="1">SUM(P997:P1007)</f>
        <v>582887.51072502928</v>
      </c>
      <c r="Q1008" s="2"/>
      <c r="R1008" s="803"/>
      <c r="S1008" s="1"/>
      <c r="T1008" s="2">
        <f ca="1">SUM(T997:T1007)</f>
        <v>937812.06833019177</v>
      </c>
      <c r="U1008" s="2"/>
      <c r="V1008" s="803"/>
      <c r="W1008" s="1"/>
      <c r="X1008" s="2">
        <f ca="1">SUM(X997:X1007)</f>
        <v>3793709.4209447792</v>
      </c>
      <c r="Y1008" s="20"/>
      <c r="Z1008" s="74"/>
      <c r="AA1008" s="74"/>
      <c r="AB1008" s="74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</row>
    <row r="1009" spans="1:45">
      <c r="A1009" s="1" t="s">
        <v>363</v>
      </c>
      <c r="B1009" s="1"/>
      <c r="C1009" s="319">
        <f ca="1">C1029+C1047</f>
        <v>-299271.03833494976</v>
      </c>
      <c r="D1009" s="309"/>
      <c r="E1009" s="309"/>
      <c r="F1009" s="1589">
        <f ca="1">I1009</f>
        <v>-21714.996864975801</v>
      </c>
      <c r="G1009" s="309"/>
      <c r="H1009" s="309"/>
      <c r="I1009" s="340">
        <f ca="1">I1029+I1047</f>
        <v>-21714.996864975801</v>
      </c>
      <c r="J1009" s="309"/>
      <c r="K1009" s="309"/>
      <c r="L1009" s="341">
        <f ca="1">I1009</f>
        <v>-21714.996864975801</v>
      </c>
      <c r="M1009" s="322"/>
      <c r="N1009" s="309"/>
      <c r="O1009" s="309"/>
      <c r="P1009" s="764">
        <f ca="1">$L$1009*Y1012/(Y1012+$Z$1012+$AA$1012)</f>
        <v>-2381.7136520782569</v>
      </c>
      <c r="Q1009" s="51"/>
      <c r="R1009" s="309"/>
      <c r="S1009" s="309"/>
      <c r="T1009" s="764">
        <f ca="1">$L$1009*Z1012/(Y1012+$Z$1012+$AA$1012)</f>
        <v>-3831.9568786908562</v>
      </c>
      <c r="U1009" s="51"/>
      <c r="V1009" s="309"/>
      <c r="W1009" s="309"/>
      <c r="X1009" s="764">
        <f ca="1">$L$1009*AA1012/(Y1012+$Z$1012+$AA$1012)</f>
        <v>-15501.326334206688</v>
      </c>
      <c r="Y1009" s="444"/>
      <c r="Z1009" s="287"/>
      <c r="AA1009" s="74"/>
      <c r="AB1009" s="74"/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</row>
    <row r="1010" spans="1:45" ht="16.5" thickBot="1">
      <c r="A1010" s="1" t="s">
        <v>382</v>
      </c>
      <c r="B1010" s="1"/>
      <c r="C1010" s="393">
        <f ca="1">SUM(C1008)+C1009</f>
        <v>70319164.973969266</v>
      </c>
      <c r="D1010" s="342"/>
      <c r="E1010" s="343"/>
      <c r="F1010" s="344">
        <f ca="1">F1008+F1009</f>
        <v>4495062.0031350246</v>
      </c>
      <c r="G1010" s="342"/>
      <c r="H1010" s="345"/>
      <c r="I1010" s="344">
        <f ca="1">I1008+I1009</f>
        <v>4756624.0031350246</v>
      </c>
      <c r="J1010" s="342"/>
      <c r="K1010" s="345"/>
      <c r="L1010" s="344">
        <f ca="1">L1008+L1009</f>
        <v>5292694.0031350246</v>
      </c>
      <c r="M1010" s="344"/>
      <c r="N1010" s="342"/>
      <c r="O1010" s="345"/>
      <c r="P1010" s="344">
        <f ca="1">P1008+P1009</f>
        <v>580505.79707295098</v>
      </c>
      <c r="Q1010" s="344"/>
      <c r="R1010" s="342"/>
      <c r="S1010" s="345"/>
      <c r="T1010" s="344">
        <f ca="1">T1008+T1009</f>
        <v>933980.11145150091</v>
      </c>
      <c r="U1010" s="344"/>
      <c r="V1010" s="342"/>
      <c r="W1010" s="345"/>
      <c r="X1010" s="344">
        <f ca="1">X1008+X1009</f>
        <v>3778208.0946105723</v>
      </c>
      <c r="Y1010" s="411" t="s">
        <v>31</v>
      </c>
      <c r="Z1010" s="777" t="s">
        <v>31</v>
      </c>
      <c r="AA1010" s="728">
        <f ca="1">(L1010-I1010)/I1010</f>
        <v>0.11269967936222912</v>
      </c>
      <c r="AB1010" s="74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</row>
    <row r="1011" spans="1:45" ht="16.5" thickTop="1">
      <c r="A1011" s="1"/>
      <c r="B1011" s="1"/>
      <c r="C1011" s="21"/>
      <c r="D1011" s="337" t="s">
        <v>31</v>
      </c>
      <c r="E1011" s="2"/>
      <c r="F1011" s="2"/>
      <c r="G1011" s="337" t="s">
        <v>31</v>
      </c>
      <c r="H1011" s="1"/>
      <c r="I1011" s="2"/>
      <c r="J1011" s="353" t="s">
        <v>31</v>
      </c>
      <c r="K1011" s="1"/>
      <c r="L1011" s="2" t="s">
        <v>31</v>
      </c>
      <c r="M1011" s="2"/>
      <c r="N1011" s="353" t="s">
        <v>31</v>
      </c>
      <c r="O1011" s="1"/>
      <c r="P1011" s="2" t="s">
        <v>31</v>
      </c>
      <c r="Q1011" s="2"/>
      <c r="R1011" s="353" t="s">
        <v>31</v>
      </c>
      <c r="S1011" s="1"/>
      <c r="T1011" s="2" t="s">
        <v>31</v>
      </c>
      <c r="U1011" s="2"/>
      <c r="V1011" s="353" t="s">
        <v>31</v>
      </c>
      <c r="W1011" s="1"/>
      <c r="X1011" s="2" t="s">
        <v>31</v>
      </c>
      <c r="Y1011" s="1579">
        <f>Y955</f>
        <v>0.10968058926684592</v>
      </c>
      <c r="Z1011" s="1579">
        <f>Z955</f>
        <v>0.17646591903825851</v>
      </c>
      <c r="AA1011" s="1579">
        <f>AA955</f>
        <v>0.71385349169489565</v>
      </c>
      <c r="AB1011" s="74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</row>
    <row r="1012" spans="1:45">
      <c r="A1012" s="1"/>
      <c r="B1012" s="1"/>
      <c r="C1012" s="21"/>
      <c r="D1012" s="337" t="s">
        <v>31</v>
      </c>
      <c r="E1012" s="2"/>
      <c r="F1012" s="2"/>
      <c r="G1012" s="337" t="s">
        <v>31</v>
      </c>
      <c r="H1012" s="1"/>
      <c r="I1012" s="2"/>
      <c r="J1012" s="353" t="s">
        <v>31</v>
      </c>
      <c r="K1012" s="1"/>
      <c r="L1012" s="2" t="s">
        <v>31</v>
      </c>
      <c r="M1012" s="2"/>
      <c r="N1012" s="353" t="s">
        <v>31</v>
      </c>
      <c r="O1012" s="1"/>
      <c r="P1012" s="2" t="s">
        <v>31</v>
      </c>
      <c r="Q1012" s="2"/>
      <c r="R1012" s="353" t="s">
        <v>31</v>
      </c>
      <c r="S1012" s="1"/>
      <c r="T1012" s="2" t="s">
        <v>31</v>
      </c>
      <c r="U1012" s="2"/>
      <c r="V1012" s="353" t="s">
        <v>31</v>
      </c>
      <c r="W1012" s="1"/>
      <c r="X1012" s="2" t="s">
        <v>31</v>
      </c>
      <c r="Y1012" s="411">
        <f ca="1">Y1011*L1010</f>
        <v>580505.7970729511</v>
      </c>
      <c r="Z1012" s="411">
        <f ca="1">Z1011*L1010</f>
        <v>933980.11145150161</v>
      </c>
      <c r="AA1012" s="411">
        <f ca="1">AA1011*L1010</f>
        <v>3778208.0946105723</v>
      </c>
      <c r="AB1012" s="74" t="s">
        <v>958</v>
      </c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</row>
    <row r="1013" spans="1:45">
      <c r="A1013" s="1"/>
      <c r="B1013" s="1"/>
      <c r="C1013" s="21"/>
      <c r="D1013" s="337"/>
      <c r="E1013" s="2"/>
      <c r="F1013" s="2"/>
      <c r="G1013" s="337"/>
      <c r="H1013" s="1"/>
      <c r="I1013" s="2"/>
      <c r="J1013" s="337"/>
      <c r="K1013" s="1"/>
      <c r="L1013" s="380"/>
      <c r="M1013" s="380"/>
      <c r="N1013" s="337"/>
      <c r="O1013" s="1"/>
      <c r="P1013" s="380"/>
      <c r="Q1013" s="380"/>
      <c r="R1013" s="337"/>
      <c r="S1013" s="1"/>
      <c r="T1013" s="380"/>
      <c r="U1013" s="380"/>
      <c r="V1013" s="337"/>
      <c r="W1013" s="1"/>
      <c r="X1013" s="380"/>
      <c r="Y1013" s="20"/>
      <c r="Z1013" s="74"/>
      <c r="AA1013" s="74"/>
      <c r="AB1013" s="74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</row>
    <row r="1014" spans="1:45" hidden="1">
      <c r="A1014" s="293" t="s">
        <v>476</v>
      </c>
      <c r="B1014" s="1"/>
      <c r="C1014" s="1"/>
      <c r="D1014" s="2"/>
      <c r="E1014" s="2"/>
      <c r="F1014" s="1"/>
      <c r="G1014" s="2"/>
      <c r="H1014" s="1"/>
      <c r="I1014" s="1"/>
      <c r="J1014" s="2"/>
      <c r="K1014" s="1"/>
      <c r="L1014" s="1"/>
      <c r="M1014" s="1"/>
      <c r="N1014" s="2"/>
      <c r="O1014" s="1"/>
      <c r="P1014" s="1"/>
      <c r="Q1014" s="1"/>
      <c r="R1014" s="2"/>
      <c r="S1014" s="1"/>
      <c r="T1014" s="1"/>
      <c r="U1014" s="1"/>
      <c r="V1014" s="2"/>
      <c r="W1014" s="1"/>
      <c r="X1014" s="1"/>
      <c r="Y1014" s="20"/>
      <c r="Z1014" s="74"/>
      <c r="AA1014" s="74"/>
      <c r="AB1014" s="74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</row>
    <row r="1015" spans="1:45" hidden="1">
      <c r="A1015" s="309" t="s">
        <v>695</v>
      </c>
      <c r="B1015" s="1"/>
      <c r="C1015" s="1"/>
      <c r="D1015" s="2"/>
      <c r="E1015" s="2"/>
      <c r="F1015" s="1"/>
      <c r="G1015" s="2"/>
      <c r="H1015" s="1"/>
      <c r="I1015" s="1"/>
      <c r="J1015" s="2"/>
      <c r="K1015" s="1"/>
      <c r="L1015" s="1"/>
      <c r="M1015" s="1"/>
      <c r="N1015" s="2"/>
      <c r="O1015" s="1"/>
      <c r="P1015" s="1"/>
      <c r="Q1015" s="1"/>
      <c r="R1015" s="2"/>
      <c r="S1015" s="1"/>
      <c r="T1015" s="1"/>
      <c r="U1015" s="1"/>
      <c r="V1015" s="2"/>
      <c r="W1015" s="1"/>
      <c r="X1015" s="1"/>
      <c r="Y1015" s="20"/>
      <c r="Z1015" s="74"/>
      <c r="AA1015" s="74"/>
      <c r="AB1015" s="74"/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</row>
    <row r="1016" spans="1:45" hidden="1">
      <c r="A1016" s="1" t="s">
        <v>31</v>
      </c>
      <c r="B1016" s="1"/>
      <c r="C1016" s="1"/>
      <c r="D1016" s="2"/>
      <c r="E1016" s="2"/>
      <c r="F1016" s="1"/>
      <c r="G1016" s="2"/>
      <c r="H1016" s="1"/>
      <c r="I1016" s="1"/>
      <c r="J1016" s="2"/>
      <c r="K1016" s="1"/>
      <c r="L1016" s="1"/>
      <c r="M1016" s="1"/>
      <c r="N1016" s="2"/>
      <c r="O1016" s="1"/>
      <c r="P1016" s="1"/>
      <c r="Q1016" s="1"/>
      <c r="R1016" s="2"/>
      <c r="S1016" s="1"/>
      <c r="T1016" s="1"/>
      <c r="U1016" s="1"/>
      <c r="V1016" s="2"/>
      <c r="W1016" s="1"/>
      <c r="X1016" s="1"/>
      <c r="Y1016" s="20"/>
      <c r="Z1016" s="74"/>
      <c r="AA1016" s="74"/>
      <c r="AB1016" s="74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</row>
    <row r="1017" spans="1:45" hidden="1">
      <c r="A1017" s="323" t="s">
        <v>393</v>
      </c>
      <c r="B1017" s="1"/>
      <c r="C1017" s="319"/>
      <c r="D1017" s="2"/>
      <c r="E1017" s="2"/>
      <c r="F1017" s="1"/>
      <c r="G1017" s="2"/>
      <c r="H1017" s="1"/>
      <c r="I1017" s="1"/>
      <c r="J1017" s="2"/>
      <c r="K1017" s="1"/>
      <c r="L1017" s="1"/>
      <c r="M1017" s="1"/>
      <c r="N1017" s="2"/>
      <c r="O1017" s="1"/>
      <c r="P1017" s="1"/>
      <c r="Q1017" s="1"/>
      <c r="R1017" s="2"/>
      <c r="S1017" s="1"/>
      <c r="T1017" s="1"/>
      <c r="U1017" s="1"/>
      <c r="V1017" s="2"/>
      <c r="W1017" s="1"/>
      <c r="X1017" s="1"/>
      <c r="Z1017" s="74"/>
      <c r="AA1017" s="74"/>
      <c r="AB1017" s="74"/>
      <c r="AC1017" s="20"/>
      <c r="AD1017" s="20"/>
      <c r="AE1017" s="20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</row>
    <row r="1018" spans="1:45" hidden="1">
      <c r="A1018" s="323" t="s">
        <v>471</v>
      </c>
      <c r="B1018" s="1"/>
      <c r="C1018" s="319">
        <f>[53]Sheet1!$E$2+[53]Sheet1!$E$4</f>
        <v>106.272727272727</v>
      </c>
      <c r="D1018" s="337">
        <v>1419</v>
      </c>
      <c r="E1018" s="337"/>
      <c r="F1018" s="2">
        <f>ROUND(D1018*$C1018,0)</f>
        <v>150801</v>
      </c>
      <c r="G1018" s="337">
        <v>1419</v>
      </c>
      <c r="H1018" s="321"/>
      <c r="I1018" s="2">
        <f>ROUND(G1018*C1018,0)</f>
        <v>150801</v>
      </c>
      <c r="J1018" s="337">
        <f>J997</f>
        <v>1419</v>
      </c>
      <c r="K1018" s="321"/>
      <c r="L1018" s="2">
        <f>ROUND(J1018*$C1018,0)</f>
        <v>150801</v>
      </c>
      <c r="M1018" s="2"/>
      <c r="N1018" s="337">
        <f>N997</f>
        <v>1419</v>
      </c>
      <c r="O1018" s="321"/>
      <c r="P1018" s="2">
        <f>ROUND(N1018*$C1018,0)</f>
        <v>150801</v>
      </c>
      <c r="Q1018" s="2"/>
      <c r="R1018" s="337" t="str">
        <f>R997</f>
        <v xml:space="preserve"> </v>
      </c>
      <c r="S1018" s="321"/>
      <c r="T1018" s="2">
        <f>ROUND(R1018*$C1018,0)</f>
        <v>0</v>
      </c>
      <c r="U1018" s="2"/>
      <c r="V1018" s="337" t="str">
        <f>V997</f>
        <v xml:space="preserve"> </v>
      </c>
      <c r="W1018" s="321"/>
      <c r="X1018" s="2">
        <f>ROUND(V1018*$C1018,0)</f>
        <v>0</v>
      </c>
      <c r="Y1018" s="20"/>
      <c r="Z1018" s="74"/>
      <c r="AA1018" s="74"/>
      <c r="AB1018" s="74"/>
      <c r="AC1018" s="20"/>
      <c r="AD1018" s="20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</row>
    <row r="1019" spans="1:45" hidden="1">
      <c r="A1019" s="323" t="s">
        <v>472</v>
      </c>
      <c r="B1019" s="1"/>
      <c r="C1019" s="319">
        <v>0</v>
      </c>
      <c r="D1019" s="337">
        <v>1707</v>
      </c>
      <c r="E1019" s="337"/>
      <c r="F1019" s="2">
        <f>ROUND(D1019*$C1019,0)</f>
        <v>0</v>
      </c>
      <c r="G1019" s="337">
        <v>1707</v>
      </c>
      <c r="H1019" s="324"/>
      <c r="I1019" s="2">
        <f>ROUND(G1019*C1019,0)</f>
        <v>0</v>
      </c>
      <c r="J1019" s="337">
        <f>J998</f>
        <v>1707</v>
      </c>
      <c r="K1019" s="324"/>
      <c r="L1019" s="2">
        <f>ROUND(J1019*$C1019,0)</f>
        <v>0</v>
      </c>
      <c r="M1019" s="2"/>
      <c r="N1019" s="337">
        <f>N998</f>
        <v>1707</v>
      </c>
      <c r="O1019" s="324"/>
      <c r="P1019" s="2">
        <f>ROUND(N1019*$C1019,0)</f>
        <v>0</v>
      </c>
      <c r="Q1019" s="2"/>
      <c r="R1019" s="337" t="str">
        <f>R998</f>
        <v xml:space="preserve"> </v>
      </c>
      <c r="S1019" s="324"/>
      <c r="T1019" s="2">
        <f>ROUND(R1019*$C1019,0)</f>
        <v>0</v>
      </c>
      <c r="U1019" s="2"/>
      <c r="V1019" s="337" t="str">
        <f>V998</f>
        <v xml:space="preserve"> </v>
      </c>
      <c r="W1019" s="324"/>
      <c r="X1019" s="2">
        <f>ROUND(V1019*$C1019,0)</f>
        <v>0</v>
      </c>
      <c r="Y1019" s="20"/>
      <c r="Z1019" s="74"/>
      <c r="AA1019" s="74"/>
      <c r="AB1019" s="74"/>
      <c r="AC1019" s="20"/>
      <c r="AD1019" s="20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</row>
    <row r="1020" spans="1:45" hidden="1">
      <c r="A1020" s="323" t="s">
        <v>394</v>
      </c>
      <c r="B1020" s="1"/>
      <c r="C1020" s="319">
        <f>SUM(C1018:C1019)</f>
        <v>106.272727272727</v>
      </c>
      <c r="D1020" s="337" t="s">
        <v>31</v>
      </c>
      <c r="E1020" s="337"/>
      <c r="F1020" s="2" t="s">
        <v>31</v>
      </c>
      <c r="G1020" s="337" t="s">
        <v>31</v>
      </c>
      <c r="H1020" s="321"/>
      <c r="I1020" s="2" t="s">
        <v>31</v>
      </c>
      <c r="J1020" s="337" t="s">
        <v>31</v>
      </c>
      <c r="K1020" s="321"/>
      <c r="L1020" s="2" t="s">
        <v>31</v>
      </c>
      <c r="M1020" s="2"/>
      <c r="N1020" s="337" t="s">
        <v>31</v>
      </c>
      <c r="O1020" s="321"/>
      <c r="P1020" s="2" t="s">
        <v>31</v>
      </c>
      <c r="Q1020" s="2"/>
      <c r="R1020" s="337" t="s">
        <v>31</v>
      </c>
      <c r="S1020" s="321"/>
      <c r="T1020" s="2" t="s">
        <v>31</v>
      </c>
      <c r="U1020" s="2"/>
      <c r="V1020" s="337" t="s">
        <v>31</v>
      </c>
      <c r="W1020" s="321"/>
      <c r="X1020" s="2" t="s">
        <v>31</v>
      </c>
      <c r="Y1020" s="20"/>
      <c r="Z1020" s="74"/>
      <c r="AA1020" s="74"/>
      <c r="AB1020" s="74"/>
      <c r="AC1020" s="20"/>
      <c r="AD1020" s="20"/>
      <c r="AE1020" s="20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</row>
    <row r="1021" spans="1:45" hidden="1">
      <c r="A1021" s="323" t="s">
        <v>473</v>
      </c>
      <c r="B1021" s="1"/>
      <c r="C1021" s="319">
        <f>[53]Sheet1!$G$2+[53]Sheet1!$G$4</f>
        <v>191834.454545455</v>
      </c>
      <c r="D1021" s="337">
        <v>0.53</v>
      </c>
      <c r="E1021" s="337"/>
      <c r="F1021" s="2">
        <f>ROUND(D1021*$C1021,0)</f>
        <v>101672</v>
      </c>
      <c r="G1021" s="337">
        <v>0.53</v>
      </c>
      <c r="H1021" s="321"/>
      <c r="I1021" s="2">
        <f t="shared" ref="I1021:I1023" si="310">ROUND(G1021*C1021,0)</f>
        <v>101672</v>
      </c>
      <c r="J1021" s="337">
        <f ca="1">J1000</f>
        <v>0.61</v>
      </c>
      <c r="K1021" s="321"/>
      <c r="L1021" s="2">
        <f ca="1">ROUND(J1021*$C1021,0)</f>
        <v>117019</v>
      </c>
      <c r="M1021" s="2"/>
      <c r="N1021" s="337">
        <f ca="1">N1000</f>
        <v>0.61</v>
      </c>
      <c r="O1021" s="321"/>
      <c r="P1021" s="2">
        <f ca="1">ROUND(N1021*$C1021,0)</f>
        <v>117019</v>
      </c>
      <c r="Q1021" s="2"/>
      <c r="R1021" s="337" t="str">
        <f>R1000</f>
        <v xml:space="preserve"> </v>
      </c>
      <c r="S1021" s="321"/>
      <c r="T1021" s="2">
        <f>ROUND(R1021*$C1021,0)</f>
        <v>0</v>
      </c>
      <c r="U1021" s="2"/>
      <c r="V1021" s="337" t="str">
        <f>V1000</f>
        <v xml:space="preserve"> </v>
      </c>
      <c r="W1021" s="321"/>
      <c r="X1021" s="2">
        <f>ROUND(V1021*$C1021,0)</f>
        <v>0</v>
      </c>
      <c r="Y1021" s="7" t="s">
        <v>31</v>
      </c>
      <c r="Z1021" s="74"/>
      <c r="AA1021" s="74" t="s">
        <v>31</v>
      </c>
      <c r="AB1021" s="74"/>
      <c r="AC1021" s="20"/>
      <c r="AD1021" s="20"/>
      <c r="AE1021" s="20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</row>
    <row r="1022" spans="1:45" hidden="1">
      <c r="A1022" s="323" t="s">
        <v>474</v>
      </c>
      <c r="B1022" s="1"/>
      <c r="C1022" s="319">
        <v>0</v>
      </c>
      <c r="D1022" s="337">
        <v>0.43</v>
      </c>
      <c r="E1022" s="337"/>
      <c r="F1022" s="2">
        <f>ROUND(D1022*$C1022,0)</f>
        <v>0</v>
      </c>
      <c r="G1022" s="337">
        <v>0.43</v>
      </c>
      <c r="H1022" s="321"/>
      <c r="I1022" s="2">
        <f t="shared" si="310"/>
        <v>0</v>
      </c>
      <c r="J1022" s="337">
        <f ca="1">J1001</f>
        <v>0.48</v>
      </c>
      <c r="K1022" s="321"/>
      <c r="L1022" s="2">
        <f ca="1">ROUND(J1022*$C1022,0)</f>
        <v>0</v>
      </c>
      <c r="M1022" s="2"/>
      <c r="N1022" s="337">
        <f ca="1">N1001</f>
        <v>0.48</v>
      </c>
      <c r="O1022" s="321"/>
      <c r="P1022" s="2">
        <f ca="1">ROUND(N1022*$C1022,0)</f>
        <v>0</v>
      </c>
      <c r="Q1022" s="2"/>
      <c r="R1022" s="337" t="str">
        <f>R1001</f>
        <v xml:space="preserve"> </v>
      </c>
      <c r="S1022" s="321"/>
      <c r="T1022" s="2">
        <f>ROUND(R1022*$C1022,0)</f>
        <v>0</v>
      </c>
      <c r="U1022" s="2"/>
      <c r="V1022" s="337" t="str">
        <f>V1001</f>
        <v xml:space="preserve"> </v>
      </c>
      <c r="W1022" s="321"/>
      <c r="X1022" s="2">
        <f>ROUND(V1022*$C1022,0)</f>
        <v>0</v>
      </c>
      <c r="Y1022" s="20"/>
      <c r="Z1022" s="74"/>
      <c r="AA1022" s="74"/>
      <c r="AB1022" s="74"/>
      <c r="AC1022" s="20"/>
      <c r="AD1022" s="20"/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</row>
    <row r="1023" spans="1:45" hidden="1">
      <c r="A1023" s="309" t="s">
        <v>403</v>
      </c>
      <c r="B1023" s="1"/>
      <c r="C1023" s="319">
        <f>[53]Sheet1!$J$2+[53]Sheet1!$J$4</f>
        <v>152726.48484848501</v>
      </c>
      <c r="D1023" s="337">
        <v>6.99</v>
      </c>
      <c r="E1023" s="337"/>
      <c r="F1023" s="2">
        <f>ROUND(D1023*$C1023,0)</f>
        <v>1067558</v>
      </c>
      <c r="G1023" s="337">
        <v>7.4</v>
      </c>
      <c r="H1023" s="321"/>
      <c r="I1023" s="2">
        <f t="shared" si="310"/>
        <v>1130176</v>
      </c>
      <c r="J1023" s="337">
        <f ca="1">J1002</f>
        <v>8.32</v>
      </c>
      <c r="K1023" s="321"/>
      <c r="L1023" s="2">
        <f ca="1">ROUND(J1023*$C1023,0)</f>
        <v>1270684</v>
      </c>
      <c r="M1023" s="2"/>
      <c r="N1023" s="337">
        <f ca="1">N1002</f>
        <v>1.4757900850785193</v>
      </c>
      <c r="O1023" s="321"/>
      <c r="P1023" s="2">
        <f ca="1">ROUND(N1023*$C1023,0)</f>
        <v>225392</v>
      </c>
      <c r="Q1023" s="2"/>
      <c r="R1023" s="337">
        <f ca="1">R1002</f>
        <v>1.356557464016797</v>
      </c>
      <c r="S1023" s="321"/>
      <c r="T1023" s="2">
        <f ca="1">ROUND(R1023*$C1023,0)</f>
        <v>207182</v>
      </c>
      <c r="U1023" s="2"/>
      <c r="V1023" s="337">
        <f ca="1">V1002</f>
        <v>5.4776504633351539</v>
      </c>
      <c r="W1023" s="321"/>
      <c r="X1023" s="2">
        <f ca="1">ROUND(V1023*$C1023,0)</f>
        <v>836582</v>
      </c>
      <c r="Y1023" s="20"/>
      <c r="Z1023" s="74"/>
      <c r="AA1023" s="74"/>
      <c r="AB1023" s="74"/>
      <c r="AC1023" s="20"/>
      <c r="AD1023" s="20"/>
      <c r="AE1023" s="20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</row>
    <row r="1024" spans="1:45" hidden="1">
      <c r="A1024" s="323" t="s">
        <v>426</v>
      </c>
      <c r="B1024" s="1"/>
      <c r="C1024" s="319"/>
      <c r="D1024" s="337" t="s">
        <v>31</v>
      </c>
      <c r="E1024" s="337"/>
      <c r="F1024" s="2"/>
      <c r="G1024" s="337" t="s">
        <v>31</v>
      </c>
      <c r="H1024" s="321"/>
      <c r="I1024" s="2"/>
      <c r="J1024" s="337" t="s">
        <v>31</v>
      </c>
      <c r="K1024" s="321"/>
      <c r="L1024" s="2"/>
      <c r="M1024" s="2"/>
      <c r="N1024" s="337" t="s">
        <v>31</v>
      </c>
      <c r="O1024" s="321"/>
      <c r="P1024" s="2"/>
      <c r="Q1024" s="2"/>
      <c r="R1024" s="337" t="s">
        <v>31</v>
      </c>
      <c r="S1024" s="321"/>
      <c r="T1024" s="2"/>
      <c r="U1024" s="2"/>
      <c r="V1024" s="337" t="s">
        <v>31</v>
      </c>
      <c r="W1024" s="321"/>
      <c r="X1024" s="2"/>
      <c r="Y1024" s="20"/>
      <c r="Z1024" s="74"/>
      <c r="AA1024" s="74"/>
      <c r="AB1024" s="74"/>
      <c r="AC1024" s="20"/>
      <c r="AD1024" s="20"/>
      <c r="AE1024" s="20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</row>
    <row r="1025" spans="1:47" hidden="1">
      <c r="A1025" s="323" t="s">
        <v>464</v>
      </c>
      <c r="B1025" s="1"/>
      <c r="C1025" s="319">
        <f>[53]Sheet1!$H$2+[53]Sheet1!$H$4+Temperature!F127*1000</f>
        <v>63272636.012304217</v>
      </c>
      <c r="D1025" s="395">
        <v>4.1920000000000002</v>
      </c>
      <c r="E1025" s="321" t="s">
        <v>374</v>
      </c>
      <c r="F1025" s="2">
        <f>ROUND(D1025/100*$C1025,0)</f>
        <v>2652389</v>
      </c>
      <c r="G1025" s="395">
        <v>4.4589999999999996</v>
      </c>
      <c r="H1025" s="321" t="s">
        <v>374</v>
      </c>
      <c r="I1025" s="2">
        <f>ROUND(G1025/100*C1025,0)</f>
        <v>2821327</v>
      </c>
      <c r="J1025" s="395">
        <f ca="1">J1004</f>
        <v>1.508</v>
      </c>
      <c r="K1025" s="321" t="s">
        <v>374</v>
      </c>
      <c r="L1025" s="2">
        <f ca="1">ROUND(J1025/100*$C1025,0)</f>
        <v>954151</v>
      </c>
      <c r="M1025" s="2"/>
      <c r="N1025" s="395" t="str">
        <f>N1004</f>
        <v xml:space="preserve"> </v>
      </c>
      <c r="O1025" s="321" t="s">
        <v>374</v>
      </c>
      <c r="P1025" s="2">
        <f>ROUND(N1025/100*$C1025,0)</f>
        <v>0</v>
      </c>
      <c r="Q1025" s="2"/>
      <c r="R1025" s="395">
        <f ca="1">R1004</f>
        <v>0.98299999999999998</v>
      </c>
      <c r="S1025" s="321" t="s">
        <v>374</v>
      </c>
      <c r="T1025" s="2">
        <f ca="1">ROUND(R1025/100*$C1025,0)</f>
        <v>621970</v>
      </c>
      <c r="U1025" s="2"/>
      <c r="V1025" s="395">
        <f ca="1">V1004</f>
        <v>0.52500000000000002</v>
      </c>
      <c r="W1025" s="321" t="s">
        <v>374</v>
      </c>
      <c r="X1025" s="2">
        <f ca="1">ROUND(V1025/100*$C1025,0)</f>
        <v>332181</v>
      </c>
      <c r="Y1025" s="20"/>
      <c r="Z1025" s="74"/>
      <c r="AA1025" s="74"/>
      <c r="AB1025" s="74"/>
      <c r="AC1025" s="20"/>
      <c r="AD1025" s="20"/>
      <c r="AE1025" s="20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</row>
    <row r="1026" spans="1:47" hidden="1">
      <c r="A1026" s="323" t="s">
        <v>400</v>
      </c>
      <c r="B1026" s="1"/>
      <c r="C1026" s="319">
        <f>[53]Sheet1!$L$2+[53]Sheet1!$L$4</f>
        <v>12916.333333333299</v>
      </c>
      <c r="D1026" s="337">
        <v>0.54</v>
      </c>
      <c r="E1026" s="321"/>
      <c r="F1026" s="2">
        <f>ROUND(D1026*$C1026,0)</f>
        <v>6975</v>
      </c>
      <c r="G1026" s="337">
        <v>0.54</v>
      </c>
      <c r="H1026" s="321"/>
      <c r="I1026" s="2">
        <f>ROUND(G1026*C1026,0)</f>
        <v>6975</v>
      </c>
      <c r="J1026" s="337">
        <f>J1005</f>
        <v>0.54</v>
      </c>
      <c r="K1026" s="321"/>
      <c r="L1026" s="2">
        <f>ROUND(J1026*$C1026,0)</f>
        <v>6975</v>
      </c>
      <c r="M1026" s="2"/>
      <c r="N1026" s="337" t="str">
        <f>N1005</f>
        <v xml:space="preserve"> </v>
      </c>
      <c r="O1026" s="321"/>
      <c r="P1026" s="2">
        <f>ROUND(N1026*$C1026,0)</f>
        <v>0</v>
      </c>
      <c r="Q1026" s="2"/>
      <c r="R1026" s="337">
        <f ca="1">R1005</f>
        <v>0.11</v>
      </c>
      <c r="S1026" s="321"/>
      <c r="T1026" s="2">
        <f ca="1">ROUND(R1026*$C1026,0)</f>
        <v>1421</v>
      </c>
      <c r="U1026" s="2"/>
      <c r="V1026" s="337">
        <f ca="1">V1005</f>
        <v>0.43</v>
      </c>
      <c r="W1026" s="321"/>
      <c r="X1026" s="2">
        <f ca="1">ROUND(V1026*$C1026,0)</f>
        <v>5554</v>
      </c>
      <c r="Y1026" s="20"/>
      <c r="Z1026" s="74"/>
      <c r="AA1026" s="74"/>
      <c r="AB1026" s="74"/>
      <c r="AC1026" s="20"/>
      <c r="AD1026" s="20"/>
      <c r="AE1026" s="20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</row>
    <row r="1027" spans="1:47" s="1184" customFormat="1" hidden="1">
      <c r="A1027" s="1005" t="s">
        <v>928</v>
      </c>
      <c r="C1027" s="1202">
        <f>C1025</f>
        <v>63272636.012304217</v>
      </c>
      <c r="D1027" s="269"/>
      <c r="E1027" s="1185"/>
      <c r="F1027" s="1203"/>
      <c r="G1027" s="269"/>
      <c r="H1027" s="1185"/>
      <c r="I1027" s="1203"/>
      <c r="J1027" s="1230">
        <f>J1006</f>
        <v>3.4529999999999998</v>
      </c>
      <c r="K1027" s="1041" t="s">
        <v>374</v>
      </c>
      <c r="L1027" s="1203">
        <f>ROUND(J1027/100*$C1027,0)</f>
        <v>2184804</v>
      </c>
      <c r="M1027" s="1203"/>
      <c r="N1027" s="1230" t="str">
        <f>N1006</f>
        <v xml:space="preserve"> </v>
      </c>
      <c r="O1027" s="1041" t="s">
        <v>374</v>
      </c>
      <c r="P1027" s="1203">
        <f>ROUND(N1027/100*$C1027,0)</f>
        <v>0</v>
      </c>
      <c r="Q1027" s="1203"/>
      <c r="R1027" s="1230" t="str">
        <f>R1006</f>
        <v xml:space="preserve"> </v>
      </c>
      <c r="S1027" s="1041" t="s">
        <v>374</v>
      </c>
      <c r="T1027" s="1203">
        <f>ROUND(R1027/100*$C1027,0)</f>
        <v>0</v>
      </c>
      <c r="U1027" s="1203"/>
      <c r="V1027" s="1230">
        <f>V1006</f>
        <v>3.4529999999999998</v>
      </c>
      <c r="W1027" s="1041" t="s">
        <v>374</v>
      </c>
      <c r="X1027" s="1203">
        <f>ROUND(V1027/100*$C1027,0)</f>
        <v>2184804</v>
      </c>
      <c r="Z1027" s="815"/>
      <c r="AC1027" s="1205"/>
      <c r="AD1027" s="1205"/>
      <c r="AI1027" s="1185"/>
      <c r="AJ1027" s="1185"/>
      <c r="AK1027" s="1185"/>
      <c r="AL1027" s="1185"/>
      <c r="AM1027" s="1185"/>
      <c r="AN1027" s="1185"/>
      <c r="AO1027" s="1185"/>
      <c r="AP1027" s="1185"/>
      <c r="AQ1027" s="1185"/>
      <c r="AR1027" s="1185"/>
      <c r="AS1027" s="1185"/>
      <c r="AU1027" s="1204"/>
    </row>
    <row r="1028" spans="1:47" hidden="1">
      <c r="A1028" s="1" t="s">
        <v>381</v>
      </c>
      <c r="B1028" s="1"/>
      <c r="C1028" s="319">
        <f>C1025</f>
        <v>63272636.012304217</v>
      </c>
      <c r="D1028" s="330"/>
      <c r="E1028" s="2"/>
      <c r="F1028" s="2">
        <f>SUM(F1018:F1026)</f>
        <v>3979395</v>
      </c>
      <c r="G1028" s="330"/>
      <c r="H1028" s="1"/>
      <c r="I1028" s="2">
        <f>SUM(I1018:I1026)</f>
        <v>4210951</v>
      </c>
      <c r="J1028" s="330"/>
      <c r="K1028" s="1"/>
      <c r="L1028" s="2">
        <f ca="1">SUM(L1018:L1027)</f>
        <v>4684434</v>
      </c>
      <c r="M1028" s="2"/>
      <c r="N1028" s="330"/>
      <c r="O1028" s="1"/>
      <c r="P1028" s="2">
        <f ca="1">SUM(P1018:P1027)</f>
        <v>493212</v>
      </c>
      <c r="Q1028" s="2"/>
      <c r="R1028" s="330"/>
      <c r="S1028" s="1"/>
      <c r="T1028" s="2">
        <f ca="1">SUM(T1018:T1027)</f>
        <v>830573</v>
      </c>
      <c r="U1028" s="2"/>
      <c r="V1028" s="330"/>
      <c r="W1028" s="1"/>
      <c r="X1028" s="2">
        <f ca="1">SUM(X1018:X1027)</f>
        <v>3359121</v>
      </c>
      <c r="Y1028" s="20"/>
      <c r="Z1028" s="74"/>
      <c r="AA1028" s="74"/>
      <c r="AB1028" s="74"/>
      <c r="AC1028" s="20"/>
      <c r="AD1028" s="20"/>
      <c r="AE1028" s="20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</row>
    <row r="1029" spans="1:47" hidden="1">
      <c r="A1029" s="1" t="s">
        <v>363</v>
      </c>
      <c r="B1029" s="1"/>
      <c r="C1029" s="319">
        <f>C1028/($C$971+$C$1028)*$C$1065</f>
        <v>-181609.39337193142</v>
      </c>
      <c r="D1029" s="309"/>
      <c r="E1029" s="309"/>
      <c r="F1029" s="764">
        <f>I1029</f>
        <v>-9981.7737565389725</v>
      </c>
      <c r="G1029" s="309"/>
      <c r="H1029" s="309"/>
      <c r="I1029" s="340">
        <f>I1028/($I$971+$I$1028)*$I$1065</f>
        <v>-9981.7737565389725</v>
      </c>
      <c r="J1029" s="309"/>
      <c r="K1029" s="309"/>
      <c r="L1029" s="341">
        <f>I1029</f>
        <v>-9981.7737565389725</v>
      </c>
      <c r="M1029" s="322"/>
      <c r="N1029" s="309"/>
      <c r="O1029" s="309"/>
      <c r="P1029" s="341">
        <f ca="1">$L$1029*Y1012/(Y1012+$Z$1012+$AA$1012)</f>
        <v>-1094.8068275455325</v>
      </c>
      <c r="Q1029" s="51"/>
      <c r="R1029" s="309"/>
      <c r="S1029" s="309"/>
      <c r="T1029" s="341">
        <f ca="1">$L$1029*Z1012/(Y1012+$Z$1012+$AA$1012)</f>
        <v>-1761.4428795796198</v>
      </c>
      <c r="U1029" s="51"/>
      <c r="V1029" s="309"/>
      <c r="W1029" s="309"/>
      <c r="X1029" s="341">
        <f ca="1">$L$1029*AA1012/(Y1012+$Z$1012+$AA$1012)</f>
        <v>-7125.5240494138188</v>
      </c>
      <c r="Y1029" s="444"/>
      <c r="Z1029" s="287"/>
      <c r="AA1029" s="74"/>
      <c r="AB1029" s="74"/>
      <c r="AC1029" s="20"/>
      <c r="AD1029" s="20"/>
      <c r="AE1029" s="20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</row>
    <row r="1030" spans="1:47" ht="16.5" hidden="1" thickBot="1">
      <c r="A1030" s="1" t="s">
        <v>382</v>
      </c>
      <c r="B1030" s="1"/>
      <c r="C1030" s="393">
        <f>SUM(C1028)+C1029</f>
        <v>63091026.618932284</v>
      </c>
      <c r="D1030" s="342"/>
      <c r="E1030" s="343"/>
      <c r="F1030" s="344">
        <f>F1028+F1029</f>
        <v>3969413.226243461</v>
      </c>
      <c r="G1030" s="342"/>
      <c r="H1030" s="345"/>
      <c r="I1030" s="344">
        <f>I1028+I1029</f>
        <v>4200969.2262434615</v>
      </c>
      <c r="J1030" s="342"/>
      <c r="K1030" s="345"/>
      <c r="L1030" s="344">
        <f ca="1">L1028+L1029</f>
        <v>4674452.2262434615</v>
      </c>
      <c r="M1030" s="344"/>
      <c r="N1030" s="342"/>
      <c r="O1030" s="345"/>
      <c r="P1030" s="344">
        <f ca="1">P1028+P1029</f>
        <v>492117.19317245448</v>
      </c>
      <c r="Q1030" s="344"/>
      <c r="R1030" s="342"/>
      <c r="S1030" s="345"/>
      <c r="T1030" s="344">
        <f ca="1">T1028+T1029</f>
        <v>828811.55712042039</v>
      </c>
      <c r="U1030" s="344"/>
      <c r="V1030" s="342"/>
      <c r="W1030" s="345"/>
      <c r="X1030" s="344">
        <f ca="1">X1028+X1029</f>
        <v>3351995.4759505861</v>
      </c>
      <c r="Y1030" s="411" t="s">
        <v>31</v>
      </c>
      <c r="Z1030" s="470"/>
      <c r="AA1030" s="74"/>
      <c r="AB1030" s="74"/>
      <c r="AC1030" s="801" t="s">
        <v>31</v>
      </c>
      <c r="AD1030" s="20"/>
      <c r="AE1030" s="20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</row>
    <row r="1031" spans="1:47" ht="16.5" hidden="1" thickTop="1">
      <c r="A1031" s="1"/>
      <c r="B1031" s="1"/>
      <c r="C1031" s="21"/>
      <c r="D1031" s="337" t="s">
        <v>31</v>
      </c>
      <c r="E1031" s="2"/>
      <c r="F1031" s="2"/>
      <c r="G1031" s="337" t="s">
        <v>31</v>
      </c>
      <c r="H1031" s="1"/>
      <c r="I1031" s="2"/>
      <c r="J1031" s="353" t="s">
        <v>31</v>
      </c>
      <c r="K1031" s="1"/>
      <c r="L1031" s="2" t="s">
        <v>31</v>
      </c>
      <c r="M1031" s="2"/>
      <c r="N1031" s="353" t="s">
        <v>31</v>
      </c>
      <c r="O1031" s="1"/>
      <c r="P1031" s="2" t="s">
        <v>31</v>
      </c>
      <c r="Q1031" s="2"/>
      <c r="R1031" s="353" t="s">
        <v>31</v>
      </c>
      <c r="S1031" s="1"/>
      <c r="T1031" s="2" t="s">
        <v>31</v>
      </c>
      <c r="U1031" s="2"/>
      <c r="V1031" s="353" t="s">
        <v>31</v>
      </c>
      <c r="W1031" s="1"/>
      <c r="X1031" s="2" t="s">
        <v>31</v>
      </c>
      <c r="Y1031" s="20"/>
      <c r="Z1031" s="74"/>
      <c r="AA1031" s="74"/>
      <c r="AB1031" s="74"/>
      <c r="AC1031" s="20"/>
      <c r="AD1031" s="20"/>
      <c r="AE1031" s="20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</row>
    <row r="1032" spans="1:47" hidden="1">
      <c r="A1032" s="293" t="s">
        <v>476</v>
      </c>
      <c r="B1032" s="1"/>
      <c r="C1032" s="1"/>
      <c r="D1032" s="2"/>
      <c r="E1032" s="2"/>
      <c r="F1032" s="1"/>
      <c r="G1032" s="2"/>
      <c r="H1032" s="1"/>
      <c r="I1032" s="1"/>
      <c r="J1032" s="2"/>
      <c r="K1032" s="1"/>
      <c r="L1032" s="1"/>
      <c r="M1032" s="1"/>
      <c r="N1032" s="2"/>
      <c r="O1032" s="1"/>
      <c r="P1032" s="1"/>
      <c r="Q1032" s="1"/>
      <c r="R1032" s="2"/>
      <c r="S1032" s="1"/>
      <c r="T1032" s="1"/>
      <c r="U1032" s="1"/>
      <c r="V1032" s="2"/>
      <c r="W1032" s="1"/>
      <c r="X1032" s="1"/>
      <c r="Y1032" s="20"/>
      <c r="Z1032" s="74"/>
      <c r="AA1032" s="74"/>
      <c r="AB1032" s="74"/>
      <c r="AC1032" s="20"/>
      <c r="AD1032" s="20"/>
      <c r="AE1032" s="20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</row>
    <row r="1033" spans="1:47" hidden="1">
      <c r="A1033" s="309" t="s">
        <v>694</v>
      </c>
      <c r="B1033" s="1"/>
      <c r="C1033" s="1"/>
      <c r="D1033" s="2"/>
      <c r="E1033" s="2"/>
      <c r="F1033" s="1"/>
      <c r="G1033" s="2"/>
      <c r="H1033" s="1"/>
      <c r="I1033" s="1"/>
      <c r="J1033" s="2"/>
      <c r="K1033" s="1"/>
      <c r="L1033" s="1"/>
      <c r="M1033" s="1"/>
      <c r="N1033" s="2"/>
      <c r="O1033" s="1"/>
      <c r="P1033" s="1"/>
      <c r="Q1033" s="1"/>
      <c r="R1033" s="2"/>
      <c r="S1033" s="1"/>
      <c r="T1033" s="1"/>
      <c r="U1033" s="1"/>
      <c r="V1033" s="2"/>
      <c r="W1033" s="1"/>
      <c r="X1033" s="1"/>
      <c r="Y1033" s="20"/>
      <c r="Z1033" s="74"/>
      <c r="AA1033" s="74"/>
      <c r="AB1033" s="74"/>
      <c r="AC1033" s="20"/>
      <c r="AD1033" s="20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</row>
    <row r="1034" spans="1:47" hidden="1">
      <c r="A1034" s="1" t="s">
        <v>31</v>
      </c>
      <c r="B1034" s="1"/>
      <c r="C1034" s="1"/>
      <c r="D1034" s="2"/>
      <c r="E1034" s="2"/>
      <c r="F1034" s="1"/>
      <c r="G1034" s="2"/>
      <c r="H1034" s="1"/>
      <c r="I1034" s="1"/>
      <c r="J1034" s="2"/>
      <c r="K1034" s="1"/>
      <c r="L1034" s="1"/>
      <c r="M1034" s="1"/>
      <c r="N1034" s="2"/>
      <c r="O1034" s="1"/>
      <c r="P1034" s="1"/>
      <c r="Q1034" s="1"/>
      <c r="R1034" s="2"/>
      <c r="S1034" s="1"/>
      <c r="T1034" s="1"/>
      <c r="U1034" s="1"/>
      <c r="V1034" s="2"/>
      <c r="W1034" s="1"/>
      <c r="X1034" s="1"/>
      <c r="Y1034" s="20"/>
      <c r="Z1034" s="74"/>
      <c r="AA1034" s="74"/>
      <c r="AB1034" s="74"/>
      <c r="AC1034" s="20"/>
      <c r="AD1034" s="20"/>
      <c r="AE1034" s="20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</row>
    <row r="1035" spans="1:47" hidden="1">
      <c r="A1035" s="323" t="s">
        <v>393</v>
      </c>
      <c r="B1035" s="1"/>
      <c r="C1035" s="319"/>
      <c r="D1035" s="2"/>
      <c r="E1035" s="2"/>
      <c r="F1035" s="1"/>
      <c r="G1035" s="2"/>
      <c r="H1035" s="1"/>
      <c r="I1035" s="1"/>
      <c r="J1035" s="2"/>
      <c r="K1035" s="1"/>
      <c r="L1035" s="1"/>
      <c r="M1035" s="1"/>
      <c r="N1035" s="2"/>
      <c r="O1035" s="1"/>
      <c r="P1035" s="1"/>
      <c r="Q1035" s="1"/>
      <c r="R1035" s="2"/>
      <c r="S1035" s="1"/>
      <c r="T1035" s="1"/>
      <c r="U1035" s="1"/>
      <c r="V1035" s="2"/>
      <c r="W1035" s="1"/>
      <c r="X1035" s="1"/>
      <c r="Z1035" s="74"/>
      <c r="AA1035" s="74"/>
      <c r="AB1035" s="74"/>
      <c r="AC1035" s="20"/>
      <c r="AD1035" s="20"/>
      <c r="AE1035" s="20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</row>
    <row r="1036" spans="1:47" hidden="1">
      <c r="A1036" s="323" t="s">
        <v>471</v>
      </c>
      <c r="B1036" s="1"/>
      <c r="C1036" s="319">
        <f>[53]Sheet1!$E$5</f>
        <v>24</v>
      </c>
      <c r="D1036" s="337">
        <v>1419</v>
      </c>
      <c r="E1036" s="337"/>
      <c r="F1036" s="2">
        <f>ROUND(D1036*$C1036,0)</f>
        <v>34056</v>
      </c>
      <c r="G1036" s="337">
        <v>1419</v>
      </c>
      <c r="H1036" s="321"/>
      <c r="I1036" s="2">
        <f>ROUND(G1036*C1036,0)</f>
        <v>34056</v>
      </c>
      <c r="J1036" s="337">
        <f>J997</f>
        <v>1419</v>
      </c>
      <c r="K1036" s="321"/>
      <c r="L1036" s="2">
        <f>ROUND(J1036*$C1036,0)</f>
        <v>34056</v>
      </c>
      <c r="M1036" s="2"/>
      <c r="N1036" s="337">
        <f>N997</f>
        <v>1419</v>
      </c>
      <c r="O1036" s="321"/>
      <c r="P1036" s="2">
        <f>ROUND(N1036*$C1036,0)</f>
        <v>34056</v>
      </c>
      <c r="Q1036" s="2"/>
      <c r="R1036" s="337" t="str">
        <f>R997</f>
        <v xml:space="preserve"> </v>
      </c>
      <c r="S1036" s="321"/>
      <c r="T1036" s="2">
        <f>ROUND(R1036*$C1036,0)</f>
        <v>0</v>
      </c>
      <c r="U1036" s="2"/>
      <c r="V1036" s="337" t="str">
        <f>V997</f>
        <v xml:space="preserve"> </v>
      </c>
      <c r="W1036" s="321"/>
      <c r="X1036" s="2">
        <f>ROUND(V1036*$C1036,0)</f>
        <v>0</v>
      </c>
      <c r="Y1036" s="20"/>
      <c r="Z1036" s="74"/>
      <c r="AA1036" s="74"/>
      <c r="AB1036" s="74"/>
      <c r="AC1036" s="20"/>
      <c r="AD1036" s="20"/>
      <c r="AE1036" s="20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</row>
    <row r="1037" spans="1:47" hidden="1">
      <c r="A1037" s="323" t="s">
        <v>472</v>
      </c>
      <c r="B1037" s="1"/>
      <c r="C1037" s="319">
        <v>0</v>
      </c>
      <c r="D1037" s="337">
        <v>1707</v>
      </c>
      <c r="E1037" s="337"/>
      <c r="F1037" s="2">
        <f>ROUND(D1037*$C1037,0)</f>
        <v>0</v>
      </c>
      <c r="G1037" s="337">
        <v>1707</v>
      </c>
      <c r="H1037" s="324"/>
      <c r="I1037" s="2">
        <f>ROUND(G1037*C1037,0)</f>
        <v>0</v>
      </c>
      <c r="J1037" s="337">
        <f>J998</f>
        <v>1707</v>
      </c>
      <c r="K1037" s="324"/>
      <c r="L1037" s="2">
        <f>ROUND(J1037*$C1037,0)</f>
        <v>0</v>
      </c>
      <c r="M1037" s="2"/>
      <c r="N1037" s="337">
        <f>N998</f>
        <v>1707</v>
      </c>
      <c r="O1037" s="324"/>
      <c r="P1037" s="2">
        <f>ROUND(N1037*$C1037,0)</f>
        <v>0</v>
      </c>
      <c r="Q1037" s="2"/>
      <c r="R1037" s="337" t="str">
        <f>R998</f>
        <v xml:space="preserve"> </v>
      </c>
      <c r="S1037" s="324"/>
      <c r="T1037" s="2">
        <f>ROUND(R1037*$C1037,0)</f>
        <v>0</v>
      </c>
      <c r="U1037" s="2"/>
      <c r="V1037" s="337" t="str">
        <f>V998</f>
        <v xml:space="preserve"> </v>
      </c>
      <c r="W1037" s="324"/>
      <c r="X1037" s="2">
        <f>ROUND(V1037*$C1037,0)</f>
        <v>0</v>
      </c>
      <c r="Y1037" s="20"/>
      <c r="Z1037" s="74"/>
      <c r="AA1037" s="74"/>
      <c r="AB1037" s="74"/>
      <c r="AC1037" s="20"/>
      <c r="AD1037" s="20"/>
      <c r="AE1037" s="20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</row>
    <row r="1038" spans="1:47" hidden="1">
      <c r="A1038" s="323" t="s">
        <v>394</v>
      </c>
      <c r="B1038" s="1"/>
      <c r="C1038" s="319">
        <f>SUM(C1036:C1037)</f>
        <v>24</v>
      </c>
      <c r="D1038" s="337" t="s">
        <v>31</v>
      </c>
      <c r="E1038" s="337"/>
      <c r="F1038" s="2" t="s">
        <v>31</v>
      </c>
      <c r="G1038" s="337" t="s">
        <v>31</v>
      </c>
      <c r="H1038" s="321"/>
      <c r="I1038" s="2" t="s">
        <v>31</v>
      </c>
      <c r="J1038" s="337" t="s">
        <v>31</v>
      </c>
      <c r="K1038" s="321"/>
      <c r="L1038" s="2" t="s">
        <v>31</v>
      </c>
      <c r="M1038" s="2"/>
      <c r="N1038" s="337" t="s">
        <v>31</v>
      </c>
      <c r="O1038" s="321"/>
      <c r="P1038" s="2" t="s">
        <v>31</v>
      </c>
      <c r="Q1038" s="2"/>
      <c r="R1038" s="337" t="s">
        <v>31</v>
      </c>
      <c r="S1038" s="321"/>
      <c r="T1038" s="2" t="s">
        <v>31</v>
      </c>
      <c r="U1038" s="2"/>
      <c r="V1038" s="337" t="s">
        <v>31</v>
      </c>
      <c r="W1038" s="321"/>
      <c r="X1038" s="2" t="s">
        <v>31</v>
      </c>
      <c r="Y1038" s="20"/>
      <c r="Z1038" s="74"/>
      <c r="AA1038" s="74"/>
      <c r="AB1038" s="74"/>
      <c r="AC1038" s="20"/>
      <c r="AD1038" s="20"/>
      <c r="AE1038" s="20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</row>
    <row r="1039" spans="1:47" hidden="1">
      <c r="A1039" s="323" t="s">
        <v>473</v>
      </c>
      <c r="B1039" s="1"/>
      <c r="C1039" s="319">
        <f>[53]Sheet1!$G$5</f>
        <v>29849</v>
      </c>
      <c r="D1039" s="337">
        <v>0.53</v>
      </c>
      <c r="E1039" s="337"/>
      <c r="F1039" s="2">
        <f>ROUND(D1039*$C1039,0)</f>
        <v>15820</v>
      </c>
      <c r="G1039" s="337">
        <v>0.53</v>
      </c>
      <c r="H1039" s="321"/>
      <c r="I1039" s="2">
        <f t="shared" ref="I1039:I1041" si="311">ROUND(G1039*C1039,0)</f>
        <v>15820</v>
      </c>
      <c r="J1039" s="337">
        <f ca="1">J1000</f>
        <v>0.61</v>
      </c>
      <c r="K1039" s="321"/>
      <c r="L1039" s="2">
        <f ca="1">ROUND(J1039*$C1039,0)</f>
        <v>18208</v>
      </c>
      <c r="M1039" s="2"/>
      <c r="N1039" s="337">
        <f ca="1">N1000</f>
        <v>0.61</v>
      </c>
      <c r="O1039" s="321"/>
      <c r="P1039" s="2">
        <f ca="1">ROUND(N1039*$C1039,0)</f>
        <v>18208</v>
      </c>
      <c r="Q1039" s="2"/>
      <c r="R1039" s="337" t="str">
        <f>R1000</f>
        <v xml:space="preserve"> </v>
      </c>
      <c r="S1039" s="321"/>
      <c r="T1039" s="2">
        <f>ROUND(R1039*$C1039,0)</f>
        <v>0</v>
      </c>
      <c r="U1039" s="2"/>
      <c r="V1039" s="337" t="str">
        <f>V1000</f>
        <v xml:space="preserve"> </v>
      </c>
      <c r="W1039" s="321"/>
      <c r="X1039" s="2">
        <f>ROUND(V1039*$C1039,0)</f>
        <v>0</v>
      </c>
      <c r="Y1039" s="7" t="s">
        <v>31</v>
      </c>
      <c r="Z1039" s="74"/>
      <c r="AA1039" s="74" t="s">
        <v>31</v>
      </c>
      <c r="AB1039" s="74"/>
      <c r="AC1039" s="20"/>
      <c r="AD1039" s="20"/>
      <c r="AE1039" s="20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</row>
    <row r="1040" spans="1:47" hidden="1">
      <c r="A1040" s="323" t="s">
        <v>474</v>
      </c>
      <c r="B1040" s="1"/>
      <c r="C1040" s="319">
        <v>0</v>
      </c>
      <c r="D1040" s="337">
        <v>0.43</v>
      </c>
      <c r="E1040" s="337"/>
      <c r="F1040" s="2">
        <f>ROUND(D1040*$C1040,0)</f>
        <v>0</v>
      </c>
      <c r="G1040" s="337">
        <v>0.43</v>
      </c>
      <c r="H1040" s="321"/>
      <c r="I1040" s="2">
        <f t="shared" si="311"/>
        <v>0</v>
      </c>
      <c r="J1040" s="337">
        <f ca="1">J1001</f>
        <v>0.48</v>
      </c>
      <c r="K1040" s="321"/>
      <c r="L1040" s="2">
        <f ca="1">ROUND(J1040*$C1040,0)</f>
        <v>0</v>
      </c>
      <c r="M1040" s="2"/>
      <c r="N1040" s="337">
        <f ca="1">N1001</f>
        <v>0.48</v>
      </c>
      <c r="O1040" s="321"/>
      <c r="P1040" s="2">
        <f ca="1">ROUND(N1040*$C1040,0)</f>
        <v>0</v>
      </c>
      <c r="Q1040" s="2"/>
      <c r="R1040" s="337" t="str">
        <f>R1001</f>
        <v xml:space="preserve"> </v>
      </c>
      <c r="S1040" s="321"/>
      <c r="T1040" s="2">
        <f>ROUND(R1040*$C1040,0)</f>
        <v>0</v>
      </c>
      <c r="U1040" s="2"/>
      <c r="V1040" s="337" t="str">
        <f>V1001</f>
        <v xml:space="preserve"> </v>
      </c>
      <c r="W1040" s="321"/>
      <c r="X1040" s="2">
        <f>ROUND(V1040*$C1040,0)</f>
        <v>0</v>
      </c>
      <c r="Y1040" s="20"/>
      <c r="Z1040" s="74"/>
      <c r="AA1040" s="74"/>
      <c r="AB1040" s="74"/>
      <c r="AC1040" s="20"/>
      <c r="AD1040" s="20"/>
      <c r="AE1040" s="20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  <c r="AQ1040" s="20"/>
      <c r="AR1040" s="20"/>
      <c r="AS1040" s="20"/>
    </row>
    <row r="1041" spans="1:47" hidden="1">
      <c r="A1041" s="309" t="s">
        <v>403</v>
      </c>
      <c r="B1041" s="1"/>
      <c r="C1041" s="319">
        <f>[53]Sheet1!$J$5</f>
        <v>25350</v>
      </c>
      <c r="D1041" s="337">
        <v>6.99</v>
      </c>
      <c r="E1041" s="337"/>
      <c r="F1041" s="2">
        <f>ROUND(D1041*$C1041,0)</f>
        <v>177197</v>
      </c>
      <c r="G1041" s="337">
        <v>7.4</v>
      </c>
      <c r="H1041" s="321"/>
      <c r="I1041" s="2">
        <f t="shared" si="311"/>
        <v>187590</v>
      </c>
      <c r="J1041" s="337">
        <f ca="1">J1002</f>
        <v>8.32</v>
      </c>
      <c r="K1041" s="321"/>
      <c r="L1041" s="2">
        <f ca="1">ROUND(J1041*$C1041,0)</f>
        <v>210912</v>
      </c>
      <c r="M1041" s="2"/>
      <c r="N1041" s="337">
        <f ca="1">N1002</f>
        <v>1.4757900850785193</v>
      </c>
      <c r="O1041" s="321"/>
      <c r="P1041" s="2">
        <f ca="1">ROUND(N1041*$C1041,0)</f>
        <v>37411</v>
      </c>
      <c r="Q1041" s="2"/>
      <c r="R1041" s="337">
        <f ca="1">R1002</f>
        <v>1.356557464016797</v>
      </c>
      <c r="S1041" s="321"/>
      <c r="T1041" s="2">
        <f ca="1">ROUND(R1041*$C1041,0)</f>
        <v>34389</v>
      </c>
      <c r="U1041" s="2"/>
      <c r="V1041" s="337">
        <f ca="1">V1002</f>
        <v>5.4776504633351539</v>
      </c>
      <c r="W1041" s="321"/>
      <c r="X1041" s="2">
        <f ca="1">ROUND(V1041*$C1041,0)</f>
        <v>138858</v>
      </c>
      <c r="Y1041" s="20"/>
      <c r="Z1041" s="74"/>
      <c r="AA1041" s="74"/>
      <c r="AB1041" s="74"/>
      <c r="AC1041" s="20"/>
      <c r="AD1041" s="20"/>
      <c r="AE1041" s="20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  <c r="AQ1041" s="20"/>
      <c r="AR1041" s="20"/>
      <c r="AS1041" s="20"/>
    </row>
    <row r="1042" spans="1:47" hidden="1">
      <c r="A1042" s="323" t="s">
        <v>426</v>
      </c>
      <c r="B1042" s="1"/>
      <c r="C1042" s="319"/>
      <c r="D1042" s="337" t="s">
        <v>31</v>
      </c>
      <c r="E1042" s="337"/>
      <c r="F1042" s="2"/>
      <c r="G1042" s="337" t="s">
        <v>31</v>
      </c>
      <c r="H1042" s="321"/>
      <c r="I1042" s="2"/>
      <c r="J1042" s="337" t="s">
        <v>31</v>
      </c>
      <c r="K1042" s="321"/>
      <c r="L1042" s="2"/>
      <c r="M1042" s="2"/>
      <c r="N1042" s="337" t="s">
        <v>31</v>
      </c>
      <c r="O1042" s="321"/>
      <c r="P1042" s="2"/>
      <c r="Q1042" s="2"/>
      <c r="R1042" s="337" t="s">
        <v>31</v>
      </c>
      <c r="S1042" s="321"/>
      <c r="T1042" s="2"/>
      <c r="U1042" s="2"/>
      <c r="V1042" s="337" t="s">
        <v>31</v>
      </c>
      <c r="W1042" s="321"/>
      <c r="X1042" s="2"/>
      <c r="Y1042" s="20"/>
      <c r="Z1042" s="74"/>
      <c r="AA1042" s="74"/>
      <c r="AB1042" s="74"/>
      <c r="AC1042" s="20"/>
      <c r="AD1042" s="20"/>
      <c r="AE1042" s="20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</row>
    <row r="1043" spans="1:47" hidden="1">
      <c r="A1043" s="323" t="s">
        <v>464</v>
      </c>
      <c r="B1043" s="1"/>
      <c r="C1043" s="319">
        <f>[53]Sheet1!$H$5</f>
        <v>7345800</v>
      </c>
      <c r="D1043" s="395">
        <v>4.1920000000000002</v>
      </c>
      <c r="E1043" s="321" t="s">
        <v>374</v>
      </c>
      <c r="F1043" s="2">
        <f>ROUND(D1043/100*$C1043,0)</f>
        <v>307936</v>
      </c>
      <c r="G1043" s="395">
        <v>4.4589999999999996</v>
      </c>
      <c r="H1043" s="321" t="s">
        <v>374</v>
      </c>
      <c r="I1043" s="2">
        <f>ROUND(G1043/100*C1043,0)</f>
        <v>327549</v>
      </c>
      <c r="J1043" s="395">
        <f ca="1">J1004</f>
        <v>1.508</v>
      </c>
      <c r="K1043" s="321" t="s">
        <v>374</v>
      </c>
      <c r="L1043" s="2">
        <f ca="1">ROUND(J1043/100*$C1043,0)</f>
        <v>110775</v>
      </c>
      <c r="M1043" s="2"/>
      <c r="N1043" s="395" t="str">
        <f>N1004</f>
        <v xml:space="preserve"> </v>
      </c>
      <c r="O1043" s="321" t="s">
        <v>374</v>
      </c>
      <c r="P1043" s="2">
        <f>ROUND(N1043/100*$C1043,0)</f>
        <v>0</v>
      </c>
      <c r="Q1043" s="2"/>
      <c r="R1043" s="395">
        <f ca="1">R1004</f>
        <v>0.98299999999999998</v>
      </c>
      <c r="S1043" s="321" t="s">
        <v>374</v>
      </c>
      <c r="T1043" s="2">
        <f ca="1">ROUND(R1043/100*$C1043,0)</f>
        <v>72209</v>
      </c>
      <c r="U1043" s="2"/>
      <c r="V1043" s="395">
        <f ca="1">V1004</f>
        <v>0.52500000000000002</v>
      </c>
      <c r="W1043" s="321" t="s">
        <v>374</v>
      </c>
      <c r="X1043" s="2">
        <f ca="1">ROUND(V1043/100*$C1043,0)</f>
        <v>38565</v>
      </c>
      <c r="Y1043" s="20"/>
      <c r="Z1043" s="74"/>
      <c r="AA1043" s="74"/>
      <c r="AB1043" s="74"/>
      <c r="AC1043" s="20"/>
      <c r="AD1043" s="20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</row>
    <row r="1044" spans="1:47" hidden="1">
      <c r="A1044" s="323" t="s">
        <v>400</v>
      </c>
      <c r="B1044" s="1"/>
      <c r="C1044" s="319">
        <f>[53]Sheet1!$L$5</f>
        <v>4395</v>
      </c>
      <c r="D1044" s="337">
        <v>0.54</v>
      </c>
      <c r="E1044" s="321"/>
      <c r="F1044" s="2">
        <f>ROUND(D1044*$C1044,0)</f>
        <v>2373</v>
      </c>
      <c r="G1044" s="337">
        <v>0.54</v>
      </c>
      <c r="H1044" s="321"/>
      <c r="I1044" s="2">
        <f>ROUND(G1044*C1044,0)</f>
        <v>2373</v>
      </c>
      <c r="J1044" s="337">
        <f>J1005</f>
        <v>0.54</v>
      </c>
      <c r="K1044" s="321"/>
      <c r="L1044" s="2">
        <f>ROUND(J1044*$C1044,0)</f>
        <v>2373</v>
      </c>
      <c r="M1044" s="2"/>
      <c r="N1044" s="337" t="str">
        <f>N1005</f>
        <v xml:space="preserve"> </v>
      </c>
      <c r="O1044" s="321"/>
      <c r="P1044" s="2">
        <f>ROUND(N1044*$C1044,0)</f>
        <v>0</v>
      </c>
      <c r="Q1044" s="2"/>
      <c r="R1044" s="337">
        <f ca="1">R1005</f>
        <v>0.11</v>
      </c>
      <c r="S1044" s="321"/>
      <c r="T1044" s="2">
        <f ca="1">ROUND(R1044*$C1044,0)</f>
        <v>483</v>
      </c>
      <c r="U1044" s="2"/>
      <c r="V1044" s="337">
        <f ca="1">V1005</f>
        <v>0.43</v>
      </c>
      <c r="W1044" s="321"/>
      <c r="X1044" s="2">
        <f ca="1">ROUND(V1044*$C1044,0)</f>
        <v>1890</v>
      </c>
      <c r="Y1044" s="20"/>
      <c r="Z1044" s="74"/>
      <c r="AA1044" s="74"/>
      <c r="AB1044" s="74"/>
      <c r="AC1044" s="20"/>
      <c r="AD1044" s="20"/>
      <c r="AE1044" s="20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</row>
    <row r="1045" spans="1:47" s="1184" customFormat="1" hidden="1">
      <c r="A1045" s="1005" t="s">
        <v>928</v>
      </c>
      <c r="C1045" s="1202">
        <f>C1043</f>
        <v>7345800</v>
      </c>
      <c r="D1045" s="269"/>
      <c r="E1045" s="1185"/>
      <c r="F1045" s="1203"/>
      <c r="G1045" s="269"/>
      <c r="H1045" s="1185"/>
      <c r="I1045" s="1203"/>
      <c r="J1045" s="1230">
        <f>J1006</f>
        <v>3.4529999999999998</v>
      </c>
      <c r="K1045" s="1041" t="s">
        <v>374</v>
      </c>
      <c r="L1045" s="1203">
        <f>ROUND(J1045/100*$C1045,0)</f>
        <v>253650</v>
      </c>
      <c r="M1045" s="1203"/>
      <c r="N1045" s="1230" t="str">
        <f>N1006</f>
        <v xml:space="preserve"> </v>
      </c>
      <c r="O1045" s="1041" t="s">
        <v>374</v>
      </c>
      <c r="P1045" s="1203">
        <f>ROUND(N1045/100*$C1045,0)</f>
        <v>0</v>
      </c>
      <c r="Q1045" s="1203"/>
      <c r="R1045" s="1230" t="str">
        <f>R1006</f>
        <v xml:space="preserve"> </v>
      </c>
      <c r="S1045" s="1041" t="s">
        <v>374</v>
      </c>
      <c r="T1045" s="1203">
        <f>ROUND(R1045/100*$C1045,0)</f>
        <v>0</v>
      </c>
      <c r="U1045" s="1203"/>
      <c r="V1045" s="1230">
        <f>V1006</f>
        <v>3.4529999999999998</v>
      </c>
      <c r="W1045" s="1041" t="s">
        <v>374</v>
      </c>
      <c r="X1045" s="1203">
        <f>ROUND(V1045/100*$C1045,0)</f>
        <v>253650</v>
      </c>
      <c r="Z1045" s="815"/>
      <c r="AC1045" s="1205"/>
      <c r="AD1045" s="1205"/>
      <c r="AI1045" s="1185"/>
      <c r="AJ1045" s="1185"/>
      <c r="AK1045" s="1185"/>
      <c r="AL1045" s="1185"/>
      <c r="AM1045" s="1185"/>
      <c r="AN1045" s="1185"/>
      <c r="AO1045" s="1185"/>
      <c r="AP1045" s="1185"/>
      <c r="AQ1045" s="1185"/>
      <c r="AR1045" s="1185"/>
      <c r="AS1045" s="1185"/>
      <c r="AU1045" s="1204"/>
    </row>
    <row r="1046" spans="1:47" hidden="1">
      <c r="A1046" s="1" t="s">
        <v>381</v>
      </c>
      <c r="B1046" s="1"/>
      <c r="C1046" s="319">
        <f>C1043</f>
        <v>7345800</v>
      </c>
      <c r="D1046" s="330"/>
      <c r="E1046" s="2"/>
      <c r="F1046" s="2">
        <f>SUM(F1036:F1044)</f>
        <v>537382</v>
      </c>
      <c r="G1046" s="330"/>
      <c r="H1046" s="1"/>
      <c r="I1046" s="2">
        <f>SUM(I1036:I1044)</f>
        <v>567388</v>
      </c>
      <c r="J1046" s="330"/>
      <c r="K1046" s="1"/>
      <c r="L1046" s="2">
        <f ca="1">SUM(L1036:L1045)</f>
        <v>629974</v>
      </c>
      <c r="M1046" s="2"/>
      <c r="N1046" s="330"/>
      <c r="O1046" s="1"/>
      <c r="P1046" s="2">
        <f ca="1">SUM(P1036:P1045)</f>
        <v>89675</v>
      </c>
      <c r="Q1046" s="2"/>
      <c r="R1046" s="330"/>
      <c r="S1046" s="1"/>
      <c r="T1046" s="2">
        <f ca="1">SUM(T1036:T1045)</f>
        <v>107081</v>
      </c>
      <c r="U1046" s="2"/>
      <c r="V1046" s="330"/>
      <c r="W1046" s="1"/>
      <c r="X1046" s="2">
        <f ca="1">SUM(X1036:X1045)</f>
        <v>432963</v>
      </c>
      <c r="Y1046" s="20"/>
      <c r="Z1046" s="74"/>
      <c r="AA1046" s="74"/>
      <c r="AB1046" s="74"/>
      <c r="AC1046" s="20"/>
      <c r="AD1046" s="20"/>
      <c r="AE1046" s="20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</row>
    <row r="1047" spans="1:47" hidden="1">
      <c r="A1047" s="1" t="s">
        <v>363</v>
      </c>
      <c r="B1047" s="1"/>
      <c r="C1047" s="319">
        <f ca="1">C1046/($C$989+$C$1046)*$C$1084</f>
        <v>-117661.64496301836</v>
      </c>
      <c r="D1047" s="309"/>
      <c r="E1047" s="309"/>
      <c r="F1047" s="764">
        <f ca="1">I1047</f>
        <v>-11733.223108436829</v>
      </c>
      <c r="G1047" s="309"/>
      <c r="H1047" s="309"/>
      <c r="I1047" s="340">
        <f ca="1">I1046/($I$989+$I$1046)*$I$1084</f>
        <v>-11733.223108436829</v>
      </c>
      <c r="J1047" s="309"/>
      <c r="K1047" s="309"/>
      <c r="L1047" s="341">
        <f ca="1">I1047</f>
        <v>-11733.223108436829</v>
      </c>
      <c r="M1047" s="322"/>
      <c r="N1047" s="309"/>
      <c r="O1047" s="309"/>
      <c r="P1047" s="341">
        <f ca="1">$L$1047*Y1012/($Y$1012+$Z$1012+$AA$1012)</f>
        <v>-1286.9068245327246</v>
      </c>
      <c r="Q1047" s="51"/>
      <c r="R1047" s="309"/>
      <c r="S1047" s="309"/>
      <c r="T1047" s="341">
        <f ca="1">$L$1047*Z1012/($Y$1012+$Z$1012+$AA$1012)</f>
        <v>-2070.5139991112374</v>
      </c>
      <c r="U1047" s="51"/>
      <c r="V1047" s="309"/>
      <c r="W1047" s="309"/>
      <c r="X1047" s="341">
        <f ca="1">$L$1047*AA1012/($Y$1012+$Z$1012+$AA$1012)</f>
        <v>-8375.802284792866</v>
      </c>
      <c r="Y1047" s="444"/>
      <c r="Z1047" s="287"/>
      <c r="AA1047" s="74"/>
      <c r="AB1047" s="74"/>
      <c r="AC1047" s="20"/>
      <c r="AD1047" s="20"/>
      <c r="AE1047" s="20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</row>
    <row r="1048" spans="1:47" ht="16.5" hidden="1" thickBot="1">
      <c r="A1048" s="1" t="s">
        <v>382</v>
      </c>
      <c r="B1048" s="1"/>
      <c r="C1048" s="393">
        <f ca="1">SUM(C1046)+C1047</f>
        <v>7228138.3550369814</v>
      </c>
      <c r="D1048" s="342"/>
      <c r="E1048" s="343"/>
      <c r="F1048" s="344">
        <f ca="1">F1046+F1047</f>
        <v>525648.7768915632</v>
      </c>
      <c r="G1048" s="342"/>
      <c r="H1048" s="345"/>
      <c r="I1048" s="344">
        <f ca="1">I1046+I1047</f>
        <v>555654.7768915632</v>
      </c>
      <c r="J1048" s="342"/>
      <c r="K1048" s="345"/>
      <c r="L1048" s="344">
        <f ca="1">L1046+L1047</f>
        <v>618240.7768915632</v>
      </c>
      <c r="M1048" s="344"/>
      <c r="N1048" s="342"/>
      <c r="O1048" s="345"/>
      <c r="P1048" s="344">
        <f ca="1">P1046+P1047</f>
        <v>88388.093175467278</v>
      </c>
      <c r="Q1048" s="344"/>
      <c r="R1048" s="342"/>
      <c r="S1048" s="345"/>
      <c r="T1048" s="344">
        <f ca="1">T1046+T1047</f>
        <v>105010.48600088876</v>
      </c>
      <c r="U1048" s="344"/>
      <c r="V1048" s="342"/>
      <c r="W1048" s="345"/>
      <c r="X1048" s="344">
        <f ca="1">X1046+X1047</f>
        <v>424587.19771520712</v>
      </c>
      <c r="Y1048" s="411" t="s">
        <v>31</v>
      </c>
      <c r="Z1048" s="470"/>
      <c r="AA1048" s="74"/>
      <c r="AB1048" s="74"/>
      <c r="AC1048" s="801" t="s">
        <v>31</v>
      </c>
      <c r="AD1048" s="20"/>
      <c r="AE1048" s="20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</row>
    <row r="1049" spans="1:47" ht="16.5" hidden="1" thickTop="1">
      <c r="A1049" s="1"/>
      <c r="B1049" s="1"/>
      <c r="C1049" s="21"/>
      <c r="D1049" s="337" t="s">
        <v>31</v>
      </c>
      <c r="E1049" s="2"/>
      <c r="F1049" s="2"/>
      <c r="G1049" s="337" t="s">
        <v>31</v>
      </c>
      <c r="H1049" s="1"/>
      <c r="I1049" s="2"/>
      <c r="J1049" s="353" t="s">
        <v>31</v>
      </c>
      <c r="K1049" s="1"/>
      <c r="L1049" s="2" t="s">
        <v>31</v>
      </c>
      <c r="M1049" s="2"/>
      <c r="N1049" s="353" t="s">
        <v>31</v>
      </c>
      <c r="O1049" s="1"/>
      <c r="P1049" s="2" t="s">
        <v>31</v>
      </c>
      <c r="Q1049" s="2"/>
      <c r="R1049" s="353" t="s">
        <v>31</v>
      </c>
      <c r="S1049" s="1"/>
      <c r="T1049" s="2" t="s">
        <v>31</v>
      </c>
      <c r="U1049" s="2"/>
      <c r="V1049" s="353" t="s">
        <v>31</v>
      </c>
      <c r="W1049" s="1"/>
      <c r="X1049" s="2" t="s">
        <v>31</v>
      </c>
      <c r="Y1049" s="20"/>
      <c r="Z1049" s="74"/>
      <c r="AA1049" s="74"/>
      <c r="AB1049" s="74"/>
      <c r="AC1049" s="20"/>
      <c r="AD1049" s="20"/>
      <c r="AE1049" s="20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</row>
    <row r="1050" spans="1:47" hidden="1">
      <c r="A1050" s="293" t="s">
        <v>476</v>
      </c>
      <c r="B1050" s="1"/>
      <c r="C1050" s="1"/>
      <c r="D1050" s="2"/>
      <c r="E1050" s="2"/>
      <c r="F1050" s="1"/>
      <c r="G1050" s="2"/>
      <c r="H1050" s="1"/>
      <c r="I1050" s="1"/>
      <c r="J1050" s="2"/>
      <c r="K1050" s="1"/>
      <c r="L1050" s="1"/>
      <c r="M1050" s="1"/>
      <c r="N1050" s="2"/>
      <c r="O1050" s="1"/>
      <c r="P1050" s="1"/>
      <c r="Q1050" s="1"/>
      <c r="R1050" s="2"/>
      <c r="S1050" s="1"/>
      <c r="T1050" s="1"/>
      <c r="U1050" s="1"/>
      <c r="V1050" s="2"/>
      <c r="W1050" s="1"/>
      <c r="X1050" s="1"/>
      <c r="Y1050" s="20"/>
      <c r="Z1050" s="74"/>
      <c r="AA1050" s="74"/>
      <c r="AB1050" s="74"/>
      <c r="AC1050" s="20"/>
      <c r="AD1050" s="20"/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</row>
    <row r="1051" spans="1:47" hidden="1">
      <c r="A1051" s="309" t="s">
        <v>700</v>
      </c>
      <c r="B1051" s="1"/>
      <c r="C1051" s="1"/>
      <c r="D1051" s="2"/>
      <c r="E1051" s="2"/>
      <c r="F1051" s="1"/>
      <c r="G1051" s="2"/>
      <c r="H1051" s="1"/>
      <c r="I1051" s="1"/>
      <c r="J1051" s="2"/>
      <c r="K1051" s="1"/>
      <c r="L1051" s="1"/>
      <c r="M1051" s="1"/>
      <c r="N1051" s="2"/>
      <c r="O1051" s="1"/>
      <c r="P1051" s="1"/>
      <c r="Q1051" s="1"/>
      <c r="R1051" s="2"/>
      <c r="S1051" s="1"/>
      <c r="T1051" s="1"/>
      <c r="U1051" s="1"/>
      <c r="V1051" s="2"/>
      <c r="W1051" s="1"/>
      <c r="X1051" s="1"/>
      <c r="Y1051" s="20"/>
      <c r="Z1051" s="74"/>
      <c r="AA1051" s="74"/>
      <c r="AB1051" s="74"/>
      <c r="AC1051" s="20"/>
      <c r="AD1051" s="20"/>
      <c r="AE1051" s="20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20"/>
      <c r="AS1051" s="20"/>
    </row>
    <row r="1052" spans="1:47" hidden="1">
      <c r="A1052" s="323"/>
      <c r="B1052" s="1"/>
      <c r="C1052" s="1"/>
      <c r="D1052" s="2"/>
      <c r="E1052" s="2"/>
      <c r="F1052" s="1"/>
      <c r="G1052" s="2"/>
      <c r="H1052" s="1"/>
      <c r="I1052" s="1"/>
      <c r="J1052" s="2"/>
      <c r="K1052" s="1"/>
      <c r="L1052" s="1"/>
      <c r="M1052" s="1"/>
      <c r="N1052" s="2"/>
      <c r="O1052" s="1"/>
      <c r="P1052" s="1"/>
      <c r="Q1052" s="1"/>
      <c r="R1052" s="2"/>
      <c r="S1052" s="1"/>
      <c r="T1052" s="1"/>
      <c r="U1052" s="1"/>
      <c r="V1052" s="2"/>
      <c r="W1052" s="1"/>
      <c r="X1052" s="1"/>
      <c r="Y1052" s="20"/>
      <c r="Z1052" s="74"/>
      <c r="AA1052" s="74"/>
      <c r="AB1052" s="74"/>
      <c r="AC1052" s="20"/>
      <c r="AD1052" s="20"/>
      <c r="AE1052" s="20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20"/>
      <c r="AS1052" s="20"/>
    </row>
    <row r="1053" spans="1:47" hidden="1">
      <c r="A1053" s="323" t="s">
        <v>393</v>
      </c>
      <c r="B1053" s="1"/>
      <c r="C1053" s="319"/>
      <c r="D1053" s="2"/>
      <c r="E1053" s="2"/>
      <c r="F1053" s="1"/>
      <c r="G1053" s="2"/>
      <c r="H1053" s="1"/>
      <c r="I1053" s="1"/>
      <c r="J1053" s="2"/>
      <c r="K1053" s="1"/>
      <c r="L1053" s="1"/>
      <c r="M1053" s="1"/>
      <c r="N1053" s="2"/>
      <c r="O1053" s="1"/>
      <c r="P1053" s="1"/>
      <c r="Q1053" s="1"/>
      <c r="R1053" s="2"/>
      <c r="S1053" s="1"/>
      <c r="T1053" s="1"/>
      <c r="U1053" s="1"/>
      <c r="V1053" s="2"/>
      <c r="W1053" s="1"/>
      <c r="X1053" s="1"/>
      <c r="Y1053" s="20"/>
      <c r="Z1053" s="74"/>
      <c r="AA1053" s="74"/>
      <c r="AB1053" s="74"/>
      <c r="AC1053" s="20"/>
      <c r="AD1053" s="20"/>
      <c r="AE1053" s="20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</row>
    <row r="1054" spans="1:47" hidden="1">
      <c r="A1054" s="323" t="s">
        <v>471</v>
      </c>
      <c r="B1054" s="1"/>
      <c r="C1054" s="319">
        <f t="shared" ref="C1054:C1059" si="312">C1018+C961</f>
        <v>369.66666666666595</v>
      </c>
      <c r="D1054" s="337"/>
      <c r="E1054" s="337"/>
      <c r="F1054" s="2">
        <f>F1018+F961</f>
        <v>515865</v>
      </c>
      <c r="G1054" s="337"/>
      <c r="H1054" s="321"/>
      <c r="I1054" s="2">
        <f>I1018+I961</f>
        <v>515865</v>
      </c>
      <c r="J1054" s="337"/>
      <c r="K1054" s="321"/>
      <c r="L1054" s="2">
        <f>L1018+L961</f>
        <v>515865</v>
      </c>
      <c r="M1054" s="2"/>
      <c r="N1054" s="337"/>
      <c r="O1054" s="321"/>
      <c r="P1054" s="2">
        <f>P1018+P961</f>
        <v>515865</v>
      </c>
      <c r="Q1054" s="2"/>
      <c r="R1054" s="337"/>
      <c r="S1054" s="321"/>
      <c r="T1054" s="2">
        <f>T1018+T961</f>
        <v>0</v>
      </c>
      <c r="U1054" s="2"/>
      <c r="V1054" s="337"/>
      <c r="W1054" s="321"/>
      <c r="X1054" s="2">
        <f>X1018+X961</f>
        <v>0</v>
      </c>
      <c r="Y1054" s="20"/>
      <c r="Z1054" s="74"/>
      <c r="AA1054" s="74"/>
      <c r="AB1054" s="74"/>
      <c r="AC1054" s="20"/>
      <c r="AD1054" s="20"/>
      <c r="AE1054" s="20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</row>
    <row r="1055" spans="1:47" hidden="1">
      <c r="A1055" s="323" t="s">
        <v>472</v>
      </c>
      <c r="B1055" s="1"/>
      <c r="C1055" s="319">
        <f t="shared" si="312"/>
        <v>0</v>
      </c>
      <c r="D1055" s="337"/>
      <c r="E1055" s="337"/>
      <c r="F1055" s="2">
        <f>F1019+F962</f>
        <v>0</v>
      </c>
      <c r="G1055" s="337"/>
      <c r="H1055" s="324"/>
      <c r="I1055" s="2">
        <f>I1019+I962</f>
        <v>0</v>
      </c>
      <c r="J1055" s="337"/>
      <c r="K1055" s="324"/>
      <c r="L1055" s="2">
        <f>L1019+L962</f>
        <v>0</v>
      </c>
      <c r="M1055" s="2"/>
      <c r="N1055" s="337"/>
      <c r="O1055" s="324"/>
      <c r="P1055" s="2">
        <f>P1019+P962</f>
        <v>0</v>
      </c>
      <c r="Q1055" s="2"/>
      <c r="R1055" s="337"/>
      <c r="S1055" s="324"/>
      <c r="T1055" s="2">
        <f>T1019+T962</f>
        <v>0</v>
      </c>
      <c r="U1055" s="2"/>
      <c r="V1055" s="337"/>
      <c r="W1055" s="324"/>
      <c r="X1055" s="2">
        <f>X1019+X962</f>
        <v>0</v>
      </c>
      <c r="Y1055" s="20"/>
      <c r="Z1055" s="74"/>
      <c r="AA1055" s="74"/>
      <c r="AB1055" s="74"/>
      <c r="AC1055" s="20"/>
      <c r="AD1055" s="20"/>
      <c r="AE1055" s="20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</row>
    <row r="1056" spans="1:47" hidden="1">
      <c r="A1056" s="323" t="s">
        <v>394</v>
      </c>
      <c r="B1056" s="1"/>
      <c r="C1056" s="319">
        <f t="shared" si="312"/>
        <v>369.66666666666595</v>
      </c>
      <c r="D1056" s="337"/>
      <c r="E1056" s="337"/>
      <c r="F1056" s="2" t="s">
        <v>31</v>
      </c>
      <c r="G1056" s="337"/>
      <c r="H1056" s="321"/>
      <c r="I1056" s="2" t="s">
        <v>31</v>
      </c>
      <c r="J1056" s="337"/>
      <c r="K1056" s="321"/>
      <c r="L1056" s="2" t="s">
        <v>31</v>
      </c>
      <c r="M1056" s="2"/>
      <c r="N1056" s="337"/>
      <c r="O1056" s="321"/>
      <c r="P1056" s="2" t="s">
        <v>31</v>
      </c>
      <c r="Q1056" s="2"/>
      <c r="R1056" s="337"/>
      <c r="S1056" s="321"/>
      <c r="T1056" s="2" t="s">
        <v>31</v>
      </c>
      <c r="U1056" s="2"/>
      <c r="V1056" s="337"/>
      <c r="W1056" s="321"/>
      <c r="X1056" s="2" t="s">
        <v>31</v>
      </c>
      <c r="Y1056" s="20"/>
      <c r="Z1056" s="74"/>
      <c r="AA1056" s="74"/>
      <c r="AB1056" s="74"/>
      <c r="AC1056" s="20"/>
      <c r="AD1056" s="20"/>
      <c r="AE1056" s="20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  <c r="AQ1056" s="20"/>
      <c r="AR1056" s="20"/>
      <c r="AS1056" s="20"/>
    </row>
    <row r="1057" spans="1:47" hidden="1">
      <c r="A1057" s="323" t="s">
        <v>473</v>
      </c>
      <c r="B1057" s="1"/>
      <c r="C1057" s="319">
        <f t="shared" si="312"/>
        <v>507003.60606060602</v>
      </c>
      <c r="D1057" s="337"/>
      <c r="E1057" s="337"/>
      <c r="F1057" s="2">
        <f>F1021+F964</f>
        <v>435751</v>
      </c>
      <c r="G1057" s="337"/>
      <c r="H1057" s="321"/>
      <c r="I1057" s="2">
        <f>I1021+I964</f>
        <v>435751</v>
      </c>
      <c r="J1057" s="337"/>
      <c r="K1057" s="321"/>
      <c r="L1057" s="2">
        <f ca="1">L1021+L964</f>
        <v>488919</v>
      </c>
      <c r="M1057" s="2"/>
      <c r="N1057" s="337"/>
      <c r="O1057" s="321"/>
      <c r="P1057" s="2">
        <f ca="1">P1021+P964</f>
        <v>488919</v>
      </c>
      <c r="Q1057" s="2"/>
      <c r="R1057" s="337"/>
      <c r="S1057" s="321"/>
      <c r="T1057" s="2">
        <f>T1021+T964</f>
        <v>0</v>
      </c>
      <c r="U1057" s="2"/>
      <c r="V1057" s="337"/>
      <c r="W1057" s="321"/>
      <c r="X1057" s="2">
        <f>X1021+X964</f>
        <v>0</v>
      </c>
      <c r="Y1057" s="20"/>
      <c r="Z1057" s="74"/>
      <c r="AA1057" s="74"/>
      <c r="AB1057" s="74"/>
      <c r="AC1057" s="20"/>
      <c r="AD1057" s="20"/>
      <c r="AE1057" s="20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  <c r="AQ1057" s="20"/>
      <c r="AR1057" s="20"/>
      <c r="AS1057" s="20"/>
    </row>
    <row r="1058" spans="1:47" hidden="1">
      <c r="A1058" s="323" t="s">
        <v>474</v>
      </c>
      <c r="B1058" s="1"/>
      <c r="C1058" s="319">
        <f t="shared" si="312"/>
        <v>0</v>
      </c>
      <c r="D1058" s="337"/>
      <c r="E1058" s="337"/>
      <c r="F1058" s="2">
        <f>F1022+F965</f>
        <v>0</v>
      </c>
      <c r="G1058" s="337"/>
      <c r="H1058" s="321"/>
      <c r="I1058" s="2">
        <f>I1022+I965</f>
        <v>0</v>
      </c>
      <c r="J1058" s="337"/>
      <c r="K1058" s="321"/>
      <c r="L1058" s="2">
        <f ca="1">L1022+L965</f>
        <v>0</v>
      </c>
      <c r="M1058" s="2"/>
      <c r="N1058" s="337"/>
      <c r="O1058" s="321"/>
      <c r="P1058" s="2">
        <f ca="1">P1022+P965</f>
        <v>0</v>
      </c>
      <c r="Q1058" s="2"/>
      <c r="R1058" s="337"/>
      <c r="S1058" s="321"/>
      <c r="T1058" s="2">
        <f>T1022+T965</f>
        <v>0</v>
      </c>
      <c r="U1058" s="2"/>
      <c r="V1058" s="337"/>
      <c r="W1058" s="321"/>
      <c r="X1058" s="2">
        <f>X1022+X965</f>
        <v>0</v>
      </c>
      <c r="Y1058" s="20"/>
      <c r="Z1058" s="74"/>
      <c r="AA1058" s="74"/>
      <c r="AB1058" s="74"/>
      <c r="AC1058" s="20"/>
      <c r="AD1058" s="20"/>
      <c r="AE1058" s="20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  <c r="AQ1058" s="20"/>
      <c r="AR1058" s="20"/>
      <c r="AS1058" s="20"/>
    </row>
    <row r="1059" spans="1:47" hidden="1">
      <c r="A1059" s="309" t="s">
        <v>403</v>
      </c>
      <c r="B1059" s="1"/>
      <c r="C1059" s="319">
        <f t="shared" si="312"/>
        <v>386745.84848484898</v>
      </c>
      <c r="D1059" s="337"/>
      <c r="E1059" s="337"/>
      <c r="F1059" s="2">
        <f>F1023+F966</f>
        <v>2733776</v>
      </c>
      <c r="G1059" s="337"/>
      <c r="H1059" s="321"/>
      <c r="I1059" s="2">
        <f>I1023+I966</f>
        <v>2897022</v>
      </c>
      <c r="J1059" s="337"/>
      <c r="K1059" s="321"/>
      <c r="L1059" s="2">
        <f ca="1">L1023+L966</f>
        <v>3255168</v>
      </c>
      <c r="M1059" s="2"/>
      <c r="N1059" s="337"/>
      <c r="O1059" s="321"/>
      <c r="P1059" s="2">
        <f ca="1">P1023+P966</f>
        <v>485153</v>
      </c>
      <c r="Q1059" s="2"/>
      <c r="R1059" s="337"/>
      <c r="S1059" s="321"/>
      <c r="T1059" s="2">
        <f ca="1">T1023+T966</f>
        <v>548850</v>
      </c>
      <c r="U1059" s="2"/>
      <c r="V1059" s="337"/>
      <c r="W1059" s="321"/>
      <c r="X1059" s="2">
        <f ca="1">X1023+X966</f>
        <v>2219636</v>
      </c>
      <c r="Y1059" s="20"/>
      <c r="Z1059" s="74"/>
      <c r="AA1059" s="74"/>
      <c r="AB1059" s="74"/>
      <c r="AC1059" s="20"/>
      <c r="AD1059" s="20"/>
      <c r="AE1059" s="20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  <c r="AQ1059" s="20"/>
      <c r="AR1059" s="20"/>
      <c r="AS1059" s="20"/>
    </row>
    <row r="1060" spans="1:47" hidden="1">
      <c r="A1060" s="323" t="s">
        <v>426</v>
      </c>
      <c r="B1060" s="1"/>
      <c r="C1060" s="319"/>
      <c r="D1060" s="337"/>
      <c r="E1060" s="337"/>
      <c r="F1060" s="2"/>
      <c r="G1060" s="337"/>
      <c r="H1060" s="321"/>
      <c r="I1060" s="2"/>
      <c r="J1060" s="337"/>
      <c r="K1060" s="321"/>
      <c r="L1060" s="2"/>
      <c r="M1060" s="2"/>
      <c r="N1060" s="337"/>
      <c r="O1060" s="321"/>
      <c r="P1060" s="2"/>
      <c r="Q1060" s="2"/>
      <c r="R1060" s="337"/>
      <c r="S1060" s="321"/>
      <c r="T1060" s="2"/>
      <c r="U1060" s="2"/>
      <c r="V1060" s="337"/>
      <c r="W1060" s="321"/>
      <c r="X1060" s="2"/>
      <c r="Y1060" s="20"/>
      <c r="Z1060" s="74"/>
      <c r="AA1060" s="74"/>
      <c r="AB1060" s="74"/>
      <c r="AC1060" s="20"/>
      <c r="AD1060" s="20"/>
      <c r="AE1060" s="20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  <c r="AQ1060" s="20"/>
      <c r="AR1060" s="20"/>
      <c r="AS1060" s="20"/>
    </row>
    <row r="1061" spans="1:47" hidden="1">
      <c r="A1061" s="323" t="s">
        <v>464</v>
      </c>
      <c r="B1061" s="1"/>
      <c r="C1061" s="319">
        <f>C1025+C968</f>
        <v>169799417.82823953</v>
      </c>
      <c r="D1061" s="395"/>
      <c r="E1061" s="263" t="s">
        <v>31</v>
      </c>
      <c r="F1061" s="2">
        <f>F1025+F968</f>
        <v>7175516</v>
      </c>
      <c r="G1061" s="395"/>
      <c r="H1061" s="321"/>
      <c r="I1061" s="2">
        <f>I1025+I968</f>
        <v>7629946</v>
      </c>
      <c r="J1061" s="395"/>
      <c r="K1061" s="321"/>
      <c r="L1061" s="2">
        <f ca="1">L1025+L968</f>
        <v>3156060</v>
      </c>
      <c r="M1061" s="2"/>
      <c r="N1061" s="395"/>
      <c r="O1061" s="321"/>
      <c r="P1061" s="2">
        <f>P1025+P968</f>
        <v>0</v>
      </c>
      <c r="Q1061" s="2"/>
      <c r="R1061" s="395"/>
      <c r="S1061" s="321"/>
      <c r="T1061" s="2">
        <f ca="1">T1025+T968</f>
        <v>1681911</v>
      </c>
      <c r="U1061" s="2"/>
      <c r="V1061" s="395"/>
      <c r="W1061" s="321"/>
      <c r="X1061" s="2">
        <f ca="1">X1025+X968</f>
        <v>1474148</v>
      </c>
      <c r="Y1061" s="20"/>
      <c r="Z1061" s="74"/>
      <c r="AA1061" s="74"/>
      <c r="AB1061" s="74"/>
      <c r="AC1061" s="20"/>
      <c r="AD1061" s="20"/>
      <c r="AE1061" s="20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</row>
    <row r="1062" spans="1:47" hidden="1">
      <c r="A1062" s="323" t="s">
        <v>400</v>
      </c>
      <c r="B1062" s="1"/>
      <c r="C1062" s="319">
        <f>C1026+C969</f>
        <v>42303.333333333299</v>
      </c>
      <c r="D1062" s="337"/>
      <c r="E1062" s="321"/>
      <c r="F1062" s="2">
        <f>F1026+F969</f>
        <v>23138</v>
      </c>
      <c r="G1062" s="337"/>
      <c r="H1062" s="321"/>
      <c r="I1062" s="2">
        <f>I1026+I969</f>
        <v>23138</v>
      </c>
      <c r="J1062" s="337"/>
      <c r="K1062" s="321"/>
      <c r="L1062" s="2">
        <f>L1026+L969</f>
        <v>23138</v>
      </c>
      <c r="M1062" s="2"/>
      <c r="N1062" s="337"/>
      <c r="O1062" s="321"/>
      <c r="P1062" s="2">
        <f>P1026+P969</f>
        <v>0</v>
      </c>
      <c r="Q1062" s="2"/>
      <c r="R1062" s="337"/>
      <c r="S1062" s="321"/>
      <c r="T1062" s="2">
        <f ca="1">T1026+T969</f>
        <v>4654</v>
      </c>
      <c r="U1062" s="2"/>
      <c r="V1062" s="337"/>
      <c r="W1062" s="321"/>
      <c r="X1062" s="2">
        <f ca="1">X1026+X969</f>
        <v>18484</v>
      </c>
      <c r="Y1062" s="20"/>
      <c r="Z1062" s="74"/>
      <c r="AA1062" s="74"/>
      <c r="AB1062" s="74"/>
      <c r="AC1062" s="20"/>
      <c r="AD1062" s="20"/>
      <c r="AE1062" s="20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</row>
    <row r="1063" spans="1:47" s="1184" customFormat="1" hidden="1">
      <c r="A1063" s="1005" t="s">
        <v>928</v>
      </c>
      <c r="C1063" s="1026">
        <f>C1027+C970</f>
        <v>169799417.82823953</v>
      </c>
      <c r="D1063" s="269"/>
      <c r="E1063" s="1185"/>
      <c r="F1063" s="1203"/>
      <c r="G1063" s="269"/>
      <c r="H1063" s="1185"/>
      <c r="I1063" s="1203"/>
      <c r="J1063" s="265"/>
      <c r="K1063" s="1185"/>
      <c r="L1063" s="1203">
        <f>L1027+L970</f>
        <v>5328409</v>
      </c>
      <c r="M1063" s="1203"/>
      <c r="N1063" s="265"/>
      <c r="O1063" s="1185"/>
      <c r="P1063" s="1203">
        <f>P1027+P970</f>
        <v>0</v>
      </c>
      <c r="Q1063" s="1203"/>
      <c r="R1063" s="265"/>
      <c r="S1063" s="1185"/>
      <c r="T1063" s="1203">
        <f>T1027+T970</f>
        <v>0</v>
      </c>
      <c r="U1063" s="1203"/>
      <c r="V1063" s="265"/>
      <c r="W1063" s="1185"/>
      <c r="X1063" s="1203">
        <f>X1027+X970</f>
        <v>5328409</v>
      </c>
      <c r="Z1063" s="815"/>
      <c r="AC1063" s="1205"/>
      <c r="AD1063" s="1205"/>
      <c r="AI1063" s="1185"/>
      <c r="AJ1063" s="1185"/>
      <c r="AK1063" s="1185"/>
      <c r="AL1063" s="1185"/>
      <c r="AM1063" s="1185"/>
      <c r="AN1063" s="1185"/>
      <c r="AO1063" s="1185"/>
      <c r="AP1063" s="1185"/>
      <c r="AQ1063" s="1185"/>
      <c r="AR1063" s="1185"/>
      <c r="AS1063" s="1185"/>
      <c r="AU1063" s="1204"/>
    </row>
    <row r="1064" spans="1:47" hidden="1">
      <c r="A1064" s="1" t="s">
        <v>381</v>
      </c>
      <c r="B1064" s="1"/>
      <c r="C1064" s="319">
        <f>C1028+C971</f>
        <v>169799417.82823953</v>
      </c>
      <c r="D1064" s="330"/>
      <c r="E1064" s="2"/>
      <c r="F1064" s="2">
        <f>F1028+F971</f>
        <v>10884046</v>
      </c>
      <c r="G1064" s="330"/>
      <c r="H1064" s="1"/>
      <c r="I1064" s="2">
        <f>I1028+I971</f>
        <v>11501722</v>
      </c>
      <c r="J1064" s="330"/>
      <c r="K1064" s="1"/>
      <c r="L1064" s="2">
        <f ca="1">L1028+L971</f>
        <v>12767559</v>
      </c>
      <c r="M1064" s="2"/>
      <c r="N1064" s="330"/>
      <c r="O1064" s="1"/>
      <c r="P1064" s="2">
        <f ca="1">P1028+P971</f>
        <v>1489937</v>
      </c>
      <c r="Q1064" s="2"/>
      <c r="R1064" s="330"/>
      <c r="S1064" s="1"/>
      <c r="T1064" s="2">
        <f ca="1">T1028+T971</f>
        <v>2235415</v>
      </c>
      <c r="U1064" s="2"/>
      <c r="V1064" s="330"/>
      <c r="W1064" s="1"/>
      <c r="X1064" s="2">
        <f ca="1">X1028+X971</f>
        <v>9040677</v>
      </c>
      <c r="Y1064" s="20"/>
      <c r="Z1064" s="74"/>
      <c r="AA1064" s="74"/>
      <c r="AB1064" s="74"/>
      <c r="AC1064" s="20"/>
      <c r="AD1064" s="20"/>
      <c r="AE1064" s="20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  <c r="AQ1064" s="20"/>
      <c r="AR1064" s="20"/>
      <c r="AS1064" s="20"/>
    </row>
    <row r="1065" spans="1:47" hidden="1">
      <c r="A1065" s="1" t="s">
        <v>363</v>
      </c>
      <c r="B1065" s="1"/>
      <c r="C1065" s="340">
        <f>'Table 2'!H49</f>
        <v>-487369.75745244743</v>
      </c>
      <c r="D1065" s="309"/>
      <c r="E1065" s="309"/>
      <c r="F1065" s="764">
        <f>I1065</f>
        <v>-27264.051948029541</v>
      </c>
      <c r="G1065" s="309"/>
      <c r="H1065" s="309"/>
      <c r="I1065" s="764">
        <f>'Table 3'!E49</f>
        <v>-27264.051948029541</v>
      </c>
      <c r="J1065" s="309"/>
      <c r="K1065" s="309"/>
      <c r="L1065" s="764">
        <f>I1065</f>
        <v>-27264.051948029541</v>
      </c>
      <c r="M1065" s="51"/>
      <c r="N1065" s="309"/>
      <c r="O1065" s="309"/>
      <c r="P1065" s="764">
        <f ca="1">$L$1065*Y1012/($Y$1012+$Z$1012+$AA$1012)</f>
        <v>-2990.3372834617776</v>
      </c>
      <c r="Q1065" s="51"/>
      <c r="R1065" s="309"/>
      <c r="S1065" s="309"/>
      <c r="T1065" s="764">
        <f ca="1">$L$1065*Z1012/($Y$1012+$Z$1012+$AA$1012)</f>
        <v>-4811.1759837158543</v>
      </c>
      <c r="U1065" s="51"/>
      <c r="V1065" s="309"/>
      <c r="W1065" s="309"/>
      <c r="X1065" s="764">
        <f ca="1">$L$1065*AA1012/($Y$1012+$Z$1012+$AA$1012)</f>
        <v>-19462.538680851907</v>
      </c>
      <c r="Y1065" s="444"/>
      <c r="Z1065" s="287"/>
      <c r="AA1065" s="74"/>
      <c r="AB1065" s="74"/>
      <c r="AC1065" s="20"/>
      <c r="AD1065" s="20"/>
      <c r="AE1065" s="20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  <c r="AQ1065" s="20"/>
      <c r="AR1065" s="20"/>
      <c r="AS1065" s="20"/>
    </row>
    <row r="1066" spans="1:47" ht="16.5" hidden="1" thickBot="1">
      <c r="A1066" s="1" t="s">
        <v>382</v>
      </c>
      <c r="B1066" s="1"/>
      <c r="C1066" s="763">
        <f>C1064+C1065</f>
        <v>169312048.07078707</v>
      </c>
      <c r="D1066" s="342"/>
      <c r="E1066" s="343"/>
      <c r="F1066" s="766">
        <f>F1064+F1065</f>
        <v>10856781.94805197</v>
      </c>
      <c r="G1066" s="342"/>
      <c r="H1066" s="345"/>
      <c r="I1066" s="766">
        <f>I1064+I1065</f>
        <v>11474457.94805197</v>
      </c>
      <c r="J1066" s="342"/>
      <c r="K1066" s="345"/>
      <c r="L1066" s="766">
        <f ca="1">L1064+L1065</f>
        <v>12740294.94805197</v>
      </c>
      <c r="M1066" s="51"/>
      <c r="N1066" s="342"/>
      <c r="O1066" s="345"/>
      <c r="P1066" s="766">
        <f ca="1">P1064+P1065</f>
        <v>1486946.6627165382</v>
      </c>
      <c r="Q1066" s="51"/>
      <c r="R1066" s="342"/>
      <c r="S1066" s="345"/>
      <c r="T1066" s="766">
        <f ca="1">T1064+T1065</f>
        <v>2230603.8240162842</v>
      </c>
      <c r="U1066" s="51"/>
      <c r="V1066" s="342"/>
      <c r="W1066" s="345"/>
      <c r="X1066" s="766">
        <f ca="1">X1064+X1065</f>
        <v>9021214.4613191485</v>
      </c>
      <c r="Y1066" s="411"/>
      <c r="Z1066" s="470"/>
      <c r="AA1066" s="74"/>
      <c r="AB1066" s="74"/>
      <c r="AC1066" s="20"/>
      <c r="AD1066" s="20"/>
      <c r="AE1066" s="20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</row>
    <row r="1067" spans="1:47" ht="16.5" hidden="1" thickTop="1">
      <c r="A1067" s="1"/>
      <c r="B1067" s="1"/>
      <c r="C1067" s="21"/>
      <c r="D1067" s="337" t="s">
        <v>31</v>
      </c>
      <c r="E1067" s="2"/>
      <c r="F1067" s="2"/>
      <c r="G1067" s="337" t="s">
        <v>31</v>
      </c>
      <c r="H1067" s="1"/>
      <c r="I1067" s="2"/>
      <c r="J1067" s="353" t="s">
        <v>31</v>
      </c>
      <c r="K1067" s="1"/>
      <c r="L1067" s="2" t="s">
        <v>31</v>
      </c>
      <c r="M1067" s="2"/>
      <c r="N1067" s="353" t="s">
        <v>31</v>
      </c>
      <c r="O1067" s="1"/>
      <c r="P1067" s="2" t="s">
        <v>31</v>
      </c>
      <c r="Q1067" s="2"/>
      <c r="R1067" s="353" t="s">
        <v>31</v>
      </c>
      <c r="S1067" s="1"/>
      <c r="T1067" s="2" t="s">
        <v>31</v>
      </c>
      <c r="U1067" s="2"/>
      <c r="V1067" s="353" t="s">
        <v>31</v>
      </c>
      <c r="W1067" s="1"/>
      <c r="X1067" s="2" t="s">
        <v>31</v>
      </c>
      <c r="Y1067" s="20"/>
      <c r="Z1067" s="74"/>
      <c r="AA1067" s="74"/>
      <c r="AB1067" s="74"/>
      <c r="AC1067" s="20"/>
      <c r="AD1067" s="20"/>
      <c r="AE1067" s="20"/>
      <c r="AF1067" s="20"/>
      <c r="AG1067" s="20"/>
      <c r="AH1067" s="20"/>
      <c r="AI1067" s="20"/>
      <c r="AJ1067" s="20"/>
      <c r="AK1067" s="20"/>
      <c r="AL1067" s="20"/>
      <c r="AM1067" s="20"/>
      <c r="AN1067" s="20"/>
      <c r="AO1067" s="20"/>
      <c r="AP1067" s="20"/>
      <c r="AQ1067" s="20"/>
      <c r="AR1067" s="20"/>
      <c r="AS1067" s="20"/>
    </row>
    <row r="1068" spans="1:47" hidden="1">
      <c r="A1068" s="1"/>
      <c r="B1068" s="1"/>
      <c r="C1068" s="21"/>
      <c r="D1068" s="337"/>
      <c r="E1068" s="2"/>
      <c r="F1068" s="2"/>
      <c r="G1068" s="337"/>
      <c r="H1068" s="1"/>
      <c r="I1068" s="2"/>
      <c r="J1068" s="337"/>
      <c r="K1068" s="1"/>
      <c r="L1068" s="380"/>
      <c r="M1068" s="380"/>
      <c r="N1068" s="337"/>
      <c r="O1068" s="1"/>
      <c r="P1068" s="380"/>
      <c r="Q1068" s="380"/>
      <c r="R1068" s="337"/>
      <c r="S1068" s="1"/>
      <c r="T1068" s="380"/>
      <c r="U1068" s="380"/>
      <c r="V1068" s="337"/>
      <c r="W1068" s="1"/>
      <c r="X1068" s="380"/>
      <c r="Y1068" s="20"/>
      <c r="Z1068" s="74"/>
      <c r="AA1068" s="74"/>
      <c r="AB1068" s="74"/>
      <c r="AC1068" s="20"/>
      <c r="AD1068" s="20"/>
      <c r="AE1068" s="20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</row>
    <row r="1069" spans="1:47" hidden="1">
      <c r="A1069" s="293" t="s">
        <v>476</v>
      </c>
      <c r="B1069" s="1"/>
      <c r="C1069" s="1"/>
      <c r="D1069" s="2"/>
      <c r="E1069" s="2"/>
      <c r="F1069" s="1"/>
      <c r="G1069" s="2"/>
      <c r="H1069" s="1"/>
      <c r="I1069" s="1"/>
      <c r="J1069" s="2"/>
      <c r="K1069" s="1"/>
      <c r="L1069" s="1"/>
      <c r="M1069" s="1"/>
      <c r="N1069" s="2"/>
      <c r="O1069" s="1"/>
      <c r="P1069" s="1"/>
      <c r="Q1069" s="1"/>
      <c r="R1069" s="2"/>
      <c r="S1069" s="1"/>
      <c r="T1069" s="1"/>
      <c r="U1069" s="1"/>
      <c r="V1069" s="2"/>
      <c r="W1069" s="1"/>
      <c r="X1069" s="1"/>
      <c r="Y1069" s="20"/>
      <c r="Z1069" s="74"/>
      <c r="AA1069" s="74"/>
      <c r="AB1069" s="74"/>
      <c r="AC1069" s="20"/>
      <c r="AD1069" s="20"/>
      <c r="AE1069" s="20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</row>
    <row r="1070" spans="1:47" hidden="1">
      <c r="A1070" s="309" t="s">
        <v>701</v>
      </c>
      <c r="B1070" s="1"/>
      <c r="C1070" s="1"/>
      <c r="D1070" s="2"/>
      <c r="E1070" s="2"/>
      <c r="F1070" s="1"/>
      <c r="G1070" s="2"/>
      <c r="H1070" s="1"/>
      <c r="I1070" s="1"/>
      <c r="J1070" s="2"/>
      <c r="K1070" s="1"/>
      <c r="L1070" s="1"/>
      <c r="M1070" s="1"/>
      <c r="N1070" s="2"/>
      <c r="O1070" s="1"/>
      <c r="P1070" s="1"/>
      <c r="Q1070" s="1"/>
      <c r="R1070" s="2"/>
      <c r="S1070" s="1"/>
      <c r="T1070" s="1"/>
      <c r="U1070" s="1"/>
      <c r="V1070" s="2"/>
      <c r="W1070" s="1"/>
      <c r="X1070" s="1"/>
      <c r="Y1070" s="20"/>
      <c r="Z1070" s="74"/>
      <c r="AA1070" s="74"/>
      <c r="AB1070" s="74"/>
      <c r="AC1070" s="20"/>
      <c r="AD1070" s="20"/>
      <c r="AE1070" s="20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</row>
    <row r="1071" spans="1:47" hidden="1">
      <c r="A1071" s="323"/>
      <c r="B1071" s="1"/>
      <c r="C1071" s="1"/>
      <c r="D1071" s="2"/>
      <c r="E1071" s="2"/>
      <c r="F1071" s="1"/>
      <c r="G1071" s="2"/>
      <c r="H1071" s="1"/>
      <c r="I1071" s="1"/>
      <c r="J1071" s="2"/>
      <c r="K1071" s="1"/>
      <c r="L1071" s="1"/>
      <c r="M1071" s="1"/>
      <c r="N1071" s="2"/>
      <c r="O1071" s="1"/>
      <c r="P1071" s="1"/>
      <c r="Q1071" s="1"/>
      <c r="R1071" s="2"/>
      <c r="S1071" s="1"/>
      <c r="T1071" s="1"/>
      <c r="U1071" s="1"/>
      <c r="V1071" s="2"/>
      <c r="W1071" s="1"/>
      <c r="X1071" s="1"/>
      <c r="Y1071" s="20"/>
      <c r="Z1071" s="74"/>
      <c r="AA1071" s="74"/>
      <c r="AB1071" s="74"/>
      <c r="AC1071" s="20"/>
      <c r="AD1071" s="20"/>
      <c r="AE1071" s="20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</row>
    <row r="1072" spans="1:47" hidden="1">
      <c r="A1072" s="323" t="s">
        <v>393</v>
      </c>
      <c r="B1072" s="1"/>
      <c r="C1072" s="319"/>
      <c r="D1072" s="2"/>
      <c r="E1072" s="2"/>
      <c r="F1072" s="1"/>
      <c r="G1072" s="2"/>
      <c r="H1072" s="1"/>
      <c r="I1072" s="1"/>
      <c r="J1072" s="2"/>
      <c r="K1072" s="1"/>
      <c r="L1072" s="1"/>
      <c r="M1072" s="1"/>
      <c r="N1072" s="2"/>
      <c r="O1072" s="1"/>
      <c r="P1072" s="1"/>
      <c r="Q1072" s="1"/>
      <c r="R1072" s="2"/>
      <c r="S1072" s="1"/>
      <c r="T1072" s="1"/>
      <c r="U1072" s="1"/>
      <c r="V1072" s="2"/>
      <c r="W1072" s="1"/>
      <c r="X1072" s="1"/>
      <c r="Y1072" s="20"/>
      <c r="Z1072" s="74"/>
      <c r="AA1072" s="74"/>
      <c r="AB1072" s="74"/>
      <c r="AC1072" s="20"/>
      <c r="AD1072" s="20"/>
      <c r="AE1072" s="20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</row>
    <row r="1073" spans="1:47" hidden="1">
      <c r="A1073" s="323" t="s">
        <v>471</v>
      </c>
      <c r="B1073" s="1"/>
      <c r="C1073" s="319">
        <f t="shared" ref="C1073:C1078" si="313">C1036+C979</f>
        <v>362.48484848484901</v>
      </c>
      <c r="D1073" s="337"/>
      <c r="E1073" s="337"/>
      <c r="F1073" s="2">
        <f>F1036+F979</f>
        <v>503196</v>
      </c>
      <c r="G1073" s="337"/>
      <c r="H1073" s="321"/>
      <c r="I1073" s="2">
        <f>I1036+I979</f>
        <v>503196</v>
      </c>
      <c r="J1073" s="337"/>
      <c r="K1073" s="321"/>
      <c r="L1073" s="2">
        <f>L1036+L979</f>
        <v>503196</v>
      </c>
      <c r="M1073" s="2"/>
      <c r="N1073" s="337"/>
      <c r="O1073" s="321"/>
      <c r="P1073" s="2">
        <f>P1036+P979</f>
        <v>503196</v>
      </c>
      <c r="Q1073" s="2"/>
      <c r="R1073" s="337"/>
      <c r="S1073" s="321"/>
      <c r="T1073" s="2">
        <f>T1036+T979</f>
        <v>0</v>
      </c>
      <c r="U1073" s="2"/>
      <c r="V1073" s="337"/>
      <c r="W1073" s="321"/>
      <c r="X1073" s="2">
        <f>X1036+X979</f>
        <v>0</v>
      </c>
      <c r="Y1073" s="20"/>
      <c r="Z1073" s="74"/>
      <c r="AA1073" s="74"/>
      <c r="AB1073" s="74"/>
      <c r="AC1073" s="20"/>
      <c r="AD1073" s="20"/>
      <c r="AE1073" s="20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</row>
    <row r="1074" spans="1:47" hidden="1">
      <c r="A1074" s="323" t="s">
        <v>472</v>
      </c>
      <c r="B1074" s="1"/>
      <c r="C1074" s="319">
        <f t="shared" si="313"/>
        <v>0</v>
      </c>
      <c r="D1074" s="337"/>
      <c r="E1074" s="337"/>
      <c r="F1074" s="2">
        <f>F1037+F980</f>
        <v>0</v>
      </c>
      <c r="G1074" s="337"/>
      <c r="H1074" s="324"/>
      <c r="I1074" s="2">
        <f>I1037+I980</f>
        <v>0</v>
      </c>
      <c r="J1074" s="337"/>
      <c r="K1074" s="324"/>
      <c r="L1074" s="2">
        <f>L1037+L980</f>
        <v>0</v>
      </c>
      <c r="M1074" s="2"/>
      <c r="N1074" s="337"/>
      <c r="O1074" s="324"/>
      <c r="P1074" s="2">
        <f>P1037+P980</f>
        <v>0</v>
      </c>
      <c r="Q1074" s="2"/>
      <c r="R1074" s="337"/>
      <c r="S1074" s="324"/>
      <c r="T1074" s="2">
        <f>T1037+T980</f>
        <v>0</v>
      </c>
      <c r="U1074" s="2"/>
      <c r="V1074" s="337"/>
      <c r="W1074" s="324"/>
      <c r="X1074" s="2">
        <f>X1037+X980</f>
        <v>0</v>
      </c>
      <c r="Y1074" s="20"/>
      <c r="Z1074" s="74"/>
      <c r="AA1074" s="74"/>
      <c r="AB1074" s="74"/>
      <c r="AC1074" s="20"/>
      <c r="AD1074" s="20"/>
      <c r="AE1074" s="20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  <c r="AQ1074" s="20"/>
      <c r="AR1074" s="20"/>
      <c r="AS1074" s="20"/>
    </row>
    <row r="1075" spans="1:47" hidden="1">
      <c r="A1075" s="323" t="s">
        <v>394</v>
      </c>
      <c r="B1075" s="1"/>
      <c r="C1075" s="319">
        <f t="shared" si="313"/>
        <v>362.48484848484901</v>
      </c>
      <c r="D1075" s="337"/>
      <c r="E1075" s="337"/>
      <c r="F1075" s="2" t="s">
        <v>31</v>
      </c>
      <c r="G1075" s="337"/>
      <c r="H1075" s="321"/>
      <c r="I1075" s="2" t="s">
        <v>31</v>
      </c>
      <c r="J1075" s="337"/>
      <c r="K1075" s="321"/>
      <c r="L1075" s="2" t="s">
        <v>31</v>
      </c>
      <c r="M1075" s="2"/>
      <c r="N1075" s="337"/>
      <c r="O1075" s="321"/>
      <c r="P1075" s="2" t="s">
        <v>31</v>
      </c>
      <c r="Q1075" s="2"/>
      <c r="R1075" s="337"/>
      <c r="S1075" s="321"/>
      <c r="T1075" s="2" t="s">
        <v>31</v>
      </c>
      <c r="U1075" s="2"/>
      <c r="V1075" s="337"/>
      <c r="W1075" s="321"/>
      <c r="X1075" s="2" t="s">
        <v>31</v>
      </c>
      <c r="Y1075" s="20"/>
      <c r="Z1075" s="74"/>
      <c r="AA1075" s="74"/>
      <c r="AB1075" s="74"/>
      <c r="AC1075" s="20"/>
      <c r="AD1075" s="20"/>
      <c r="AE1075" s="20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  <c r="AQ1075" s="20"/>
      <c r="AR1075" s="20"/>
      <c r="AS1075" s="20"/>
    </row>
    <row r="1076" spans="1:47" hidden="1">
      <c r="A1076" s="323" t="s">
        <v>473</v>
      </c>
      <c r="B1076" s="1"/>
      <c r="C1076" s="319">
        <f t="shared" si="313"/>
        <v>576304.24242424197</v>
      </c>
      <c r="D1076" s="337"/>
      <c r="E1076" s="337"/>
      <c r="F1076" s="2">
        <f>F1039+F982</f>
        <v>595063</v>
      </c>
      <c r="G1076" s="337"/>
      <c r="H1076" s="321"/>
      <c r="I1076" s="2">
        <f>I1039+I982</f>
        <v>595063</v>
      </c>
      <c r="J1076" s="337"/>
      <c r="K1076" s="321"/>
      <c r="L1076" s="2">
        <f ca="1">L1039+L982</f>
        <v>663025</v>
      </c>
      <c r="M1076" s="2"/>
      <c r="N1076" s="337"/>
      <c r="O1076" s="321"/>
      <c r="P1076" s="2">
        <f ca="1">P1039+P982</f>
        <v>663025</v>
      </c>
      <c r="Q1076" s="2"/>
      <c r="R1076" s="337"/>
      <c r="S1076" s="321"/>
      <c r="T1076" s="2">
        <f>T1039+T982</f>
        <v>0</v>
      </c>
      <c r="U1076" s="2"/>
      <c r="V1076" s="337"/>
      <c r="W1076" s="321"/>
      <c r="X1076" s="2">
        <f>X1039+X982</f>
        <v>0</v>
      </c>
      <c r="Y1076" s="20"/>
      <c r="Z1076" s="74"/>
      <c r="AA1076" s="74"/>
      <c r="AB1076" s="74"/>
      <c r="AC1076" s="20"/>
      <c r="AD1076" s="20"/>
      <c r="AE1076" s="20"/>
      <c r="AF1076" s="20"/>
      <c r="AG1076" s="20"/>
      <c r="AH1076" s="20"/>
      <c r="AI1076" s="20"/>
      <c r="AJ1076" s="20"/>
      <c r="AK1076" s="20"/>
      <c r="AL1076" s="20"/>
      <c r="AM1076" s="20"/>
      <c r="AN1076" s="20"/>
      <c r="AO1076" s="20"/>
      <c r="AP1076" s="20"/>
      <c r="AQ1076" s="20"/>
      <c r="AR1076" s="20"/>
      <c r="AS1076" s="20"/>
    </row>
    <row r="1077" spans="1:47" hidden="1">
      <c r="A1077" s="323" t="s">
        <v>474</v>
      </c>
      <c r="B1077" s="1"/>
      <c r="C1077" s="319">
        <f t="shared" si="313"/>
        <v>0</v>
      </c>
      <c r="D1077" s="337"/>
      <c r="E1077" s="337"/>
      <c r="F1077" s="2">
        <f>F1040+F983</f>
        <v>0</v>
      </c>
      <c r="G1077" s="337"/>
      <c r="H1077" s="321"/>
      <c r="I1077" s="2">
        <f>I1040+I983</f>
        <v>0</v>
      </c>
      <c r="J1077" s="337"/>
      <c r="K1077" s="321"/>
      <c r="L1077" s="2">
        <f ca="1">L1040+L983</f>
        <v>0</v>
      </c>
      <c r="M1077" s="2"/>
      <c r="N1077" s="337"/>
      <c r="O1077" s="321"/>
      <c r="P1077" s="2">
        <f ca="1">P1040+P983</f>
        <v>0</v>
      </c>
      <c r="Q1077" s="2"/>
      <c r="R1077" s="337"/>
      <c r="S1077" s="321"/>
      <c r="T1077" s="2">
        <f>T1040+T983</f>
        <v>0</v>
      </c>
      <c r="U1077" s="2"/>
      <c r="V1077" s="337"/>
      <c r="W1077" s="321"/>
      <c r="X1077" s="2">
        <f>X1040+X983</f>
        <v>0</v>
      </c>
      <c r="Y1077" s="20"/>
      <c r="Z1077" s="74"/>
      <c r="AA1077" s="74"/>
      <c r="AB1077" s="74"/>
      <c r="AC1077" s="20"/>
      <c r="AD1077" s="20"/>
      <c r="AE1077" s="20"/>
      <c r="AF1077" s="20"/>
      <c r="AG1077" s="20"/>
      <c r="AH1077" s="20"/>
      <c r="AI1077" s="20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</row>
    <row r="1078" spans="1:47" hidden="1">
      <c r="A1078" s="309" t="s">
        <v>403</v>
      </c>
      <c r="B1078" s="1"/>
      <c r="C1078" s="319">
        <f t="shared" si="313"/>
        <v>492609.454545455</v>
      </c>
      <c r="D1078" s="337"/>
      <c r="E1078" s="337"/>
      <c r="F1078" s="2">
        <f>F1041+F984</f>
        <v>3504084</v>
      </c>
      <c r="G1078" s="337"/>
      <c r="H1078" s="321"/>
      <c r="I1078" s="2">
        <f>I1041+I984</f>
        <v>3715399</v>
      </c>
      <c r="J1078" s="337"/>
      <c r="K1078" s="321"/>
      <c r="L1078" s="2">
        <f ca="1">L1041+L984</f>
        <v>4173272</v>
      </c>
      <c r="M1078" s="2"/>
      <c r="N1078" s="337"/>
      <c r="O1078" s="321"/>
      <c r="P1078" s="2">
        <f ca="1">P1041+P984</f>
        <v>556069</v>
      </c>
      <c r="Q1078" s="2"/>
      <c r="R1078" s="337"/>
      <c r="S1078" s="321"/>
      <c r="T1078" s="2">
        <f ca="1">T1041+T984</f>
        <v>716588</v>
      </c>
      <c r="U1078" s="2"/>
      <c r="V1078" s="337"/>
      <c r="W1078" s="321"/>
      <c r="X1078" s="2">
        <f ca="1">X1041+X984</f>
        <v>2900361</v>
      </c>
      <c r="Y1078" s="20"/>
      <c r="Z1078" s="74"/>
      <c r="AA1078" s="74"/>
      <c r="AB1078" s="74"/>
      <c r="AC1078" s="20"/>
      <c r="AD1078" s="20"/>
      <c r="AE1078" s="20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"/>
      <c r="AP1078" s="20"/>
      <c r="AQ1078" s="20"/>
      <c r="AR1078" s="20"/>
      <c r="AS1078" s="20"/>
    </row>
    <row r="1079" spans="1:47" hidden="1">
      <c r="A1079" s="323" t="s">
        <v>426</v>
      </c>
      <c r="B1079" s="1"/>
      <c r="C1079" s="319"/>
      <c r="D1079" s="337"/>
      <c r="E1079" s="337"/>
      <c r="F1079" s="2"/>
      <c r="G1079" s="337"/>
      <c r="H1079" s="321"/>
      <c r="I1079" s="2"/>
      <c r="J1079" s="337"/>
      <c r="K1079" s="321"/>
      <c r="L1079" s="2"/>
      <c r="M1079" s="2"/>
      <c r="N1079" s="337"/>
      <c r="O1079" s="321"/>
      <c r="P1079" s="2"/>
      <c r="Q1079" s="2"/>
      <c r="R1079" s="337"/>
      <c r="S1079" s="321"/>
      <c r="T1079" s="2"/>
      <c r="U1079" s="2"/>
      <c r="V1079" s="337"/>
      <c r="W1079" s="321"/>
      <c r="X1079" s="2"/>
      <c r="Y1079" s="20"/>
      <c r="Z1079" s="74"/>
      <c r="AA1079" s="74"/>
      <c r="AB1079" s="74"/>
      <c r="AC1079" s="20"/>
      <c r="AD1079" s="20"/>
      <c r="AE1079" s="20"/>
      <c r="AF1079" s="20"/>
      <c r="AG1079" s="20"/>
      <c r="AH1079" s="20"/>
      <c r="AI1079" s="20"/>
      <c r="AJ1079" s="20"/>
      <c r="AK1079" s="20"/>
      <c r="AL1079" s="20"/>
      <c r="AM1079" s="20"/>
      <c r="AN1079" s="20"/>
      <c r="AO1079" s="20"/>
      <c r="AP1079" s="20"/>
      <c r="AQ1079" s="20"/>
      <c r="AR1079" s="20"/>
      <c r="AS1079" s="20"/>
    </row>
    <row r="1080" spans="1:47" hidden="1">
      <c r="A1080" s="323" t="s">
        <v>464</v>
      </c>
      <c r="B1080" s="1"/>
      <c r="C1080" s="319">
        <f>C1043+C986</f>
        <v>221132355</v>
      </c>
      <c r="D1080" s="395"/>
      <c r="E1080" s="321"/>
      <c r="F1080" s="2">
        <f>F1043+F986</f>
        <v>9385313</v>
      </c>
      <c r="G1080" s="395"/>
      <c r="H1080" s="321"/>
      <c r="I1080" s="2">
        <f>I1043+I986</f>
        <v>9977874</v>
      </c>
      <c r="J1080" s="395"/>
      <c r="K1080" s="321"/>
      <c r="L1080" s="2">
        <f ca="1">L1043+L986</f>
        <v>4529743</v>
      </c>
      <c r="M1080" s="2"/>
      <c r="N1080" s="395"/>
      <c r="O1080" s="321"/>
      <c r="P1080" s="2">
        <f>P1043+P986</f>
        <v>0</v>
      </c>
      <c r="Q1080" s="2"/>
      <c r="R1080" s="395"/>
      <c r="S1080" s="321"/>
      <c r="T1080" s="2">
        <f ca="1">T1043+T986</f>
        <v>2199385</v>
      </c>
      <c r="U1080" s="2"/>
      <c r="V1080" s="395"/>
      <c r="W1080" s="321"/>
      <c r="X1080" s="2">
        <f ca="1">X1043+X986</f>
        <v>2330357</v>
      </c>
      <c r="Y1080" s="20"/>
      <c r="Z1080" s="74"/>
      <c r="AA1080" s="74"/>
      <c r="AB1080" s="74"/>
      <c r="AC1080" s="20"/>
      <c r="AD1080" s="20"/>
      <c r="AE1080" s="20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/>
      <c r="AP1080" s="20"/>
      <c r="AQ1080" s="20"/>
      <c r="AR1080" s="20"/>
      <c r="AS1080" s="20"/>
    </row>
    <row r="1081" spans="1:47" hidden="1">
      <c r="A1081" s="323" t="s">
        <v>400</v>
      </c>
      <c r="B1081" s="1"/>
      <c r="C1081" s="319">
        <f>C1044+C987</f>
        <v>140251.12121212101</v>
      </c>
      <c r="D1081" s="337"/>
      <c r="E1081" s="321"/>
      <c r="F1081" s="2">
        <f>F1044+F987</f>
        <v>77094</v>
      </c>
      <c r="G1081" s="337"/>
      <c r="H1081" s="321"/>
      <c r="I1081" s="2">
        <f>I1044+I987</f>
        <v>77094</v>
      </c>
      <c r="J1081" s="337"/>
      <c r="K1081" s="321"/>
      <c r="L1081" s="2">
        <f>L1044+L987</f>
        <v>77094</v>
      </c>
      <c r="M1081" s="2"/>
      <c r="N1081" s="337"/>
      <c r="O1081" s="321"/>
      <c r="P1081" s="2">
        <f>P1044+P987</f>
        <v>0</v>
      </c>
      <c r="Q1081" s="2"/>
      <c r="R1081" s="337"/>
      <c r="S1081" s="321"/>
      <c r="T1081" s="2">
        <f ca="1">T1044+T987</f>
        <v>15427</v>
      </c>
      <c r="U1081" s="2"/>
      <c r="V1081" s="337"/>
      <c r="W1081" s="321"/>
      <c r="X1081" s="2">
        <f ca="1">X1044+X987</f>
        <v>61667</v>
      </c>
      <c r="Y1081" s="20"/>
      <c r="Z1081" s="74"/>
      <c r="AA1081" s="74"/>
      <c r="AB1081" s="74"/>
      <c r="AC1081" s="20"/>
      <c r="AD1081" s="20"/>
      <c r="AE1081" s="20"/>
      <c r="AF1081" s="20"/>
      <c r="AG1081" s="20"/>
      <c r="AH1081" s="20"/>
      <c r="AI1081" s="20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</row>
    <row r="1082" spans="1:47" s="1184" customFormat="1" hidden="1">
      <c r="A1082" s="1005" t="s">
        <v>928</v>
      </c>
      <c r="C1082" s="1026">
        <f>C1045+C988</f>
        <v>221132355</v>
      </c>
      <c r="D1082" s="269"/>
      <c r="E1082" s="1185"/>
      <c r="F1082" s="1203"/>
      <c r="G1082" s="269"/>
      <c r="H1082" s="1185"/>
      <c r="I1082" s="1203"/>
      <c r="J1082" s="265"/>
      <c r="K1082" s="1185"/>
      <c r="L1082" s="1203">
        <f>L1045+L988</f>
        <v>6562491</v>
      </c>
      <c r="M1082" s="1203"/>
      <c r="N1082" s="265"/>
      <c r="O1082" s="1185"/>
      <c r="P1082" s="1203">
        <f>P1045+P988</f>
        <v>0</v>
      </c>
      <c r="Q1082" s="1203"/>
      <c r="R1082" s="265"/>
      <c r="S1082" s="1185"/>
      <c r="T1082" s="1203">
        <f>T1045+T988</f>
        <v>0</v>
      </c>
      <c r="U1082" s="1203"/>
      <c r="V1082" s="265"/>
      <c r="W1082" s="1185"/>
      <c r="X1082" s="1203">
        <f>X1045+X988</f>
        <v>6562491</v>
      </c>
      <c r="Z1082" s="815"/>
      <c r="AC1082" s="1205"/>
      <c r="AD1082" s="1205"/>
      <c r="AI1082" s="1185"/>
      <c r="AJ1082" s="1185"/>
      <c r="AK1082" s="1185"/>
      <c r="AL1082" s="1185"/>
      <c r="AM1082" s="1185"/>
      <c r="AN1082" s="1185"/>
      <c r="AO1082" s="1185"/>
      <c r="AP1082" s="1185"/>
      <c r="AQ1082" s="1185"/>
      <c r="AR1082" s="1185"/>
      <c r="AS1082" s="1185"/>
      <c r="AU1082" s="1204"/>
    </row>
    <row r="1083" spans="1:47" hidden="1">
      <c r="A1083" s="1" t="s">
        <v>381</v>
      </c>
      <c r="B1083" s="1"/>
      <c r="C1083" s="350">
        <f>C1046+C989</f>
        <v>221132355</v>
      </c>
      <c r="D1083" s="330"/>
      <c r="E1083" s="2"/>
      <c r="F1083" s="51">
        <f>F1046+F989</f>
        <v>14064750</v>
      </c>
      <c r="G1083" s="330"/>
      <c r="H1083" s="1"/>
      <c r="I1083" s="51">
        <f>I1046+I989</f>
        <v>14868626</v>
      </c>
      <c r="J1083" s="330"/>
      <c r="K1083" s="1"/>
      <c r="L1083" s="51">
        <f ca="1">L1046+L989</f>
        <v>16508821</v>
      </c>
      <c r="M1083" s="51"/>
      <c r="N1083" s="330"/>
      <c r="O1083" s="1"/>
      <c r="P1083" s="51">
        <f ca="1">P1046+P989</f>
        <v>1722290</v>
      </c>
      <c r="Q1083" s="51"/>
      <c r="R1083" s="330"/>
      <c r="S1083" s="1"/>
      <c r="T1083" s="51">
        <f ca="1">T1046+T989</f>
        <v>2931400</v>
      </c>
      <c r="U1083" s="51"/>
      <c r="V1083" s="330"/>
      <c r="W1083" s="1"/>
      <c r="X1083" s="51">
        <f ca="1">X1046+X989</f>
        <v>11854876</v>
      </c>
      <c r="Y1083" s="20"/>
      <c r="Z1083" s="74"/>
      <c r="AA1083" s="74"/>
      <c r="AB1083" s="74"/>
      <c r="AC1083" s="20"/>
      <c r="AD1083" s="20"/>
      <c r="AE1083" s="20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</row>
    <row r="1084" spans="1:47" hidden="1">
      <c r="A1084" s="1" t="s">
        <v>363</v>
      </c>
      <c r="B1084" s="1"/>
      <c r="C1084" s="340">
        <f ca="1">'Table 2'!H80</f>
        <v>-3541996.3303991579</v>
      </c>
      <c r="D1084" s="309"/>
      <c r="E1084" s="309"/>
      <c r="F1084" s="764">
        <f ca="1">I1084</f>
        <v>-307473.73256731662</v>
      </c>
      <c r="G1084" s="309"/>
      <c r="H1084" s="309"/>
      <c r="I1084" s="764">
        <f ca="1">'Table 3'!E80</f>
        <v>-307473.73256731662</v>
      </c>
      <c r="J1084" s="309"/>
      <c r="K1084" s="309"/>
      <c r="L1084" s="764">
        <f ca="1">I1084</f>
        <v>-307473.73256731662</v>
      </c>
      <c r="M1084" s="51"/>
      <c r="N1084" s="309"/>
      <c r="O1084" s="309"/>
      <c r="P1084" s="764">
        <f ca="1">$L$1084*Y1012/($Y$1012+$Z$1012+$AA$1012)</f>
        <v>-33723.900172059868</v>
      </c>
      <c r="Q1084" s="51"/>
      <c r="R1084" s="309"/>
      <c r="S1084" s="309"/>
      <c r="T1084" s="764">
        <f ca="1">$L$1084*Z1012/($Y$1012+$Z$1012+$AA$1012)</f>
        <v>-54258.634797615239</v>
      </c>
      <c r="U1084" s="51"/>
      <c r="V1084" s="309"/>
      <c r="W1084" s="309"/>
      <c r="X1084" s="764">
        <f ca="1">$L$1084*AA1012/($Y$1012+$Z$1012+$AA$1012)</f>
        <v>-219491.19759764147</v>
      </c>
      <c r="Y1084" s="444"/>
      <c r="Z1084" s="287"/>
      <c r="AA1084" s="74"/>
      <c r="AB1084" s="74"/>
      <c r="AC1084" s="20"/>
      <c r="AD1084" s="20"/>
      <c r="AE1084" s="20"/>
      <c r="AF1084" s="20"/>
      <c r="AG1084" s="20"/>
      <c r="AH1084" s="20"/>
      <c r="AI1084" s="20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</row>
    <row r="1085" spans="1:47" ht="16.5" hidden="1" thickBot="1">
      <c r="A1085" s="1" t="s">
        <v>382</v>
      </c>
      <c r="B1085" s="1"/>
      <c r="C1085" s="763">
        <f ca="1">C1083+C1084</f>
        <v>217590358.66960084</v>
      </c>
      <c r="D1085" s="342"/>
      <c r="E1085" s="343"/>
      <c r="F1085" s="765">
        <f ca="1">F1083+F1084</f>
        <v>13757276.267432684</v>
      </c>
      <c r="G1085" s="342"/>
      <c r="H1085" s="345"/>
      <c r="I1085" s="765">
        <f ca="1">I1083+I1084</f>
        <v>14561152.267432684</v>
      </c>
      <c r="J1085" s="342"/>
      <c r="K1085" s="345"/>
      <c r="L1085" s="765">
        <f ca="1">L1083+L1084</f>
        <v>16201347.267432684</v>
      </c>
      <c r="M1085" s="51"/>
      <c r="N1085" s="342"/>
      <c r="O1085" s="345"/>
      <c r="P1085" s="765">
        <f ca="1">P1083+P1084</f>
        <v>1688566.0998279401</v>
      </c>
      <c r="Q1085" s="51"/>
      <c r="R1085" s="342"/>
      <c r="S1085" s="345"/>
      <c r="T1085" s="765">
        <f ca="1">T1083+T1084</f>
        <v>2877141.3652023845</v>
      </c>
      <c r="U1085" s="51"/>
      <c r="V1085" s="342"/>
      <c r="W1085" s="345"/>
      <c r="X1085" s="765">
        <f ca="1">X1083+X1084</f>
        <v>11635384.802402359</v>
      </c>
      <c r="Y1085" s="411"/>
      <c r="Z1085" s="470"/>
      <c r="AA1085" s="74"/>
      <c r="AB1085" s="74"/>
      <c r="AC1085" s="20"/>
      <c r="AD1085" s="20"/>
      <c r="AE1085" s="20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</row>
    <row r="1086" spans="1:47" ht="16.5" hidden="1" thickTop="1">
      <c r="A1086" s="1"/>
      <c r="B1086" s="1"/>
      <c r="C1086" s="21"/>
      <c r="D1086" s="337" t="s">
        <v>31</v>
      </c>
      <c r="E1086" s="2"/>
      <c r="F1086" s="2"/>
      <c r="G1086" s="337" t="s">
        <v>31</v>
      </c>
      <c r="H1086" s="1"/>
      <c r="I1086" s="2"/>
      <c r="J1086" s="353" t="s">
        <v>31</v>
      </c>
      <c r="K1086" s="1"/>
      <c r="L1086" s="2" t="s">
        <v>31</v>
      </c>
      <c r="M1086" s="2"/>
      <c r="N1086" s="353" t="s">
        <v>31</v>
      </c>
      <c r="O1086" s="1"/>
      <c r="P1086" s="2" t="s">
        <v>31</v>
      </c>
      <c r="Q1086" s="2"/>
      <c r="R1086" s="353" t="s">
        <v>31</v>
      </c>
      <c r="S1086" s="1"/>
      <c r="T1086" s="2" t="s">
        <v>31</v>
      </c>
      <c r="U1086" s="2"/>
      <c r="V1086" s="353" t="s">
        <v>31</v>
      </c>
      <c r="W1086" s="1"/>
      <c r="X1086" s="2" t="s">
        <v>31</v>
      </c>
      <c r="Y1086" s="20"/>
      <c r="Z1086" s="74"/>
      <c r="AA1086" s="74"/>
      <c r="AB1086" s="74"/>
      <c r="AC1086" s="20"/>
      <c r="AD1086" s="20"/>
      <c r="AE1086" s="20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</row>
    <row r="1087" spans="1:47">
      <c r="A1087" s="293" t="s">
        <v>476</v>
      </c>
      <c r="B1087" s="1"/>
      <c r="C1087" s="1"/>
      <c r="D1087" s="2"/>
      <c r="E1087" s="2"/>
      <c r="F1087" s="1"/>
      <c r="G1087" s="2"/>
      <c r="H1087" s="1"/>
      <c r="I1087" s="1"/>
      <c r="J1087" s="2"/>
      <c r="K1087" s="1"/>
      <c r="L1087" s="1"/>
      <c r="M1087" s="1"/>
      <c r="N1087" s="2"/>
      <c r="O1087" s="1"/>
      <c r="P1087" s="1"/>
      <c r="Q1087" s="1"/>
      <c r="R1087" s="2"/>
      <c r="S1087" s="1"/>
      <c r="T1087" s="1"/>
      <c r="U1087" s="1"/>
      <c r="V1087" s="2"/>
      <c r="W1087" s="1"/>
      <c r="X1087" s="1"/>
      <c r="Y1087" s="20"/>
      <c r="Z1087" s="74"/>
      <c r="AA1087" s="74"/>
      <c r="AB1087" s="74"/>
      <c r="AC1087" s="20"/>
      <c r="AD1087" s="20"/>
      <c r="AE1087" s="20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</row>
    <row r="1088" spans="1:47">
      <c r="A1088" s="421" t="s">
        <v>838</v>
      </c>
      <c r="B1088" s="1"/>
      <c r="C1088" s="1"/>
      <c r="D1088" s="2"/>
      <c r="E1088" s="2"/>
      <c r="F1088" s="1"/>
      <c r="G1088" s="2"/>
      <c r="H1088" s="1"/>
      <c r="I1088" s="1"/>
      <c r="J1088" s="2"/>
      <c r="K1088" s="1"/>
      <c r="L1088" s="1"/>
      <c r="M1088" s="1"/>
      <c r="N1088" s="2"/>
      <c r="O1088" s="1"/>
      <c r="P1088" s="1"/>
      <c r="Q1088" s="1"/>
      <c r="R1088" s="2"/>
      <c r="S1088" s="1"/>
      <c r="T1088" s="1"/>
      <c r="U1088" s="1"/>
      <c r="V1088" s="2"/>
      <c r="W1088" s="1"/>
      <c r="X1088" s="1"/>
      <c r="Y1088" s="20"/>
      <c r="Z1088" s="74"/>
      <c r="AA1088" s="74"/>
      <c r="AB1088" s="74"/>
      <c r="AC1088" s="20"/>
      <c r="AD1088" s="20"/>
      <c r="AE1088" s="20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</row>
    <row r="1089" spans="1:47">
      <c r="A1089" s="323"/>
      <c r="B1089" s="1"/>
      <c r="C1089" s="1"/>
      <c r="D1089" s="2"/>
      <c r="E1089" s="2"/>
      <c r="F1089" s="1"/>
      <c r="G1089" s="2"/>
      <c r="H1089" s="1"/>
      <c r="I1089" s="1"/>
      <c r="J1089" s="2"/>
      <c r="K1089" s="1"/>
      <c r="L1089" s="1"/>
      <c r="M1089" s="1"/>
      <c r="N1089" s="2"/>
      <c r="O1089" s="1"/>
      <c r="P1089" s="1"/>
      <c r="Q1089" s="1"/>
      <c r="R1089" s="2"/>
      <c r="S1089" s="1"/>
      <c r="T1089" s="1"/>
      <c r="U1089" s="1"/>
      <c r="V1089" s="2"/>
      <c r="W1089" s="1"/>
      <c r="X1089" s="1"/>
      <c r="Y1089" s="20"/>
      <c r="Z1089" s="74"/>
      <c r="AA1089" s="74"/>
      <c r="AB1089" s="74"/>
      <c r="AC1089" s="20"/>
      <c r="AD1089" s="20"/>
      <c r="AE1089" s="20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</row>
    <row r="1090" spans="1:47">
      <c r="A1090" s="323" t="s">
        <v>393</v>
      </c>
      <c r="B1090" s="1"/>
      <c r="C1090" s="319"/>
      <c r="D1090" s="2"/>
      <c r="E1090" s="2"/>
      <c r="F1090" s="1"/>
      <c r="G1090" s="2"/>
      <c r="H1090" s="1"/>
      <c r="I1090" s="1"/>
      <c r="J1090" s="2"/>
      <c r="K1090" s="1"/>
      <c r="L1090" s="1" t="s">
        <v>31</v>
      </c>
      <c r="M1090" s="1"/>
      <c r="N1090" s="2"/>
      <c r="O1090" s="1"/>
      <c r="P1090" s="1"/>
      <c r="Q1090" s="1"/>
      <c r="R1090" s="2"/>
      <c r="S1090" s="1"/>
      <c r="T1090" s="1"/>
      <c r="U1090" s="1"/>
      <c r="V1090" s="2"/>
      <c r="W1090" s="1"/>
      <c r="X1090" s="1"/>
      <c r="Y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</row>
    <row r="1091" spans="1:47">
      <c r="A1091" s="309" t="s">
        <v>673</v>
      </c>
      <c r="B1091" s="1"/>
      <c r="C1091" s="319">
        <v>0</v>
      </c>
      <c r="D1091" s="337" t="s">
        <v>31</v>
      </c>
      <c r="E1091" s="337"/>
      <c r="F1091" s="2">
        <f>ROUND(D1091*$C1091,0)</f>
        <v>0</v>
      </c>
      <c r="G1091" s="337" t="s">
        <v>31</v>
      </c>
      <c r="H1091" s="321"/>
      <c r="I1091" s="2">
        <f>ROUND(C1091*G1091,0)</f>
        <v>0</v>
      </c>
      <c r="J1091" s="337" t="s">
        <v>31</v>
      </c>
      <c r="K1091" s="321"/>
      <c r="L1091" s="2">
        <f>ROUND(J1091*$C1091,0)</f>
        <v>0</v>
      </c>
      <c r="M1091" s="2"/>
      <c r="N1091" s="326" t="s">
        <v>31</v>
      </c>
      <c r="O1091" s="321"/>
      <c r="P1091" s="2">
        <f>ROUND(N1091*$C1091,0)</f>
        <v>0</v>
      </c>
      <c r="Q1091" s="2"/>
      <c r="R1091" s="326" t="s">
        <v>31</v>
      </c>
      <c r="S1091" s="321"/>
      <c r="T1091" s="2">
        <f>ROUND(R1091*$C1091,0)</f>
        <v>0</v>
      </c>
      <c r="U1091" s="2"/>
      <c r="V1091" s="326" t="s">
        <v>31</v>
      </c>
      <c r="W1091" s="321"/>
      <c r="X1091" s="2">
        <f>ROUND(V1091*$C1091,0)</f>
        <v>0</v>
      </c>
      <c r="Y1091" s="20"/>
      <c r="AA1091" s="778"/>
      <c r="AB1091" s="778"/>
      <c r="AD1091" s="106"/>
      <c r="AE1091" s="735"/>
      <c r="AF1091" s="106"/>
      <c r="AG1091" s="735"/>
      <c r="AH1091" s="106"/>
      <c r="AI1091" s="106"/>
      <c r="AJ1091" s="735"/>
      <c r="AK1091" s="20"/>
      <c r="AL1091" s="20"/>
      <c r="AM1091" s="20"/>
      <c r="AN1091" s="20"/>
      <c r="AO1091" s="20"/>
      <c r="AP1091" s="20"/>
      <c r="AQ1091" s="20"/>
      <c r="AR1091" s="20"/>
      <c r="AS1091" s="20"/>
    </row>
    <row r="1092" spans="1:47">
      <c r="A1092" s="309" t="s">
        <v>674</v>
      </c>
      <c r="B1092" s="1"/>
      <c r="C1092" s="319">
        <f>[54]Sheet1!$D$2</f>
        <v>12</v>
      </c>
      <c r="D1092" s="337">
        <v>2528</v>
      </c>
      <c r="E1092" s="337"/>
      <c r="F1092" s="2">
        <f>ROUND(D1092*$C1092,0)</f>
        <v>30336</v>
      </c>
      <c r="G1092" s="337">
        <v>2528</v>
      </c>
      <c r="H1092" s="324"/>
      <c r="I1092" s="2">
        <f>ROUND(C1092*G1092,0)</f>
        <v>30336</v>
      </c>
      <c r="J1092" s="326">
        <f ca="1">ROUND(G1092*(1+$AC$1104),0)-63</f>
        <v>2747</v>
      </c>
      <c r="K1092" s="324"/>
      <c r="L1092" s="2">
        <f ca="1">ROUND(J1092*$C1092,0)</f>
        <v>32964</v>
      </c>
      <c r="M1092" s="2"/>
      <c r="N1092" s="326">
        <f ca="1">J1092</f>
        <v>2747</v>
      </c>
      <c r="O1092" s="1580"/>
      <c r="P1092" s="2">
        <f ca="1">L1092</f>
        <v>32964</v>
      </c>
      <c r="Q1092" s="2"/>
      <c r="R1092" s="326" t="s">
        <v>31</v>
      </c>
      <c r="S1092" s="1580"/>
      <c r="T1092" s="2">
        <f>ROUND(R1092*$C1092,0)</f>
        <v>0</v>
      </c>
      <c r="U1092" s="2"/>
      <c r="V1092" s="326" t="s">
        <v>31</v>
      </c>
      <c r="W1092" s="1580"/>
      <c r="X1092" s="2">
        <f>ROUND(V1092*$C1092,0)</f>
        <v>0</v>
      </c>
      <c r="Y1092" s="20"/>
      <c r="AA1092" s="827">
        <f ca="1">(J1092-G1092)/G1092</f>
        <v>8.6629746835443042E-2</v>
      </c>
      <c r="AB1092" s="777"/>
      <c r="AD1092" s="106"/>
      <c r="AE1092" s="735"/>
      <c r="AF1092" s="106"/>
      <c r="AG1092" s="735"/>
      <c r="AH1092" s="106"/>
      <c r="AI1092" s="106"/>
      <c r="AJ1092" s="735"/>
      <c r="AK1092" s="20"/>
      <c r="AL1092" s="20"/>
      <c r="AM1092" s="20"/>
      <c r="AN1092" s="20"/>
      <c r="AO1092" s="20"/>
      <c r="AP1092" s="20"/>
      <c r="AQ1092" s="20"/>
      <c r="AR1092" s="20"/>
      <c r="AS1092" s="20"/>
    </row>
    <row r="1093" spans="1:47">
      <c r="A1093" s="323" t="s">
        <v>394</v>
      </c>
      <c r="B1093" s="1"/>
      <c r="C1093" s="319">
        <f>SUM(C1091:C1092)</f>
        <v>12</v>
      </c>
      <c r="D1093" s="337" t="s">
        <v>31</v>
      </c>
      <c r="E1093" s="337"/>
      <c r="F1093" s="2" t="s">
        <v>31</v>
      </c>
      <c r="G1093" s="337" t="s">
        <v>31</v>
      </c>
      <c r="H1093" s="321"/>
      <c r="I1093" s="2" t="s">
        <v>31</v>
      </c>
      <c r="J1093" s="337" t="s">
        <v>31</v>
      </c>
      <c r="K1093" s="321"/>
      <c r="L1093" s="2" t="s">
        <v>31</v>
      </c>
      <c r="M1093" s="2"/>
      <c r="N1093" s="326" t="s">
        <v>31</v>
      </c>
      <c r="O1093" s="321"/>
      <c r="P1093" s="2" t="s">
        <v>31</v>
      </c>
      <c r="Q1093" s="2"/>
      <c r="R1093" s="326" t="s">
        <v>31</v>
      </c>
      <c r="S1093" s="321"/>
      <c r="T1093" s="2" t="s">
        <v>31</v>
      </c>
      <c r="U1093" s="2"/>
      <c r="V1093" s="326" t="s">
        <v>31</v>
      </c>
      <c r="W1093" s="321"/>
      <c r="X1093" s="2" t="s">
        <v>31</v>
      </c>
      <c r="Y1093" s="20"/>
      <c r="AA1093" s="394"/>
      <c r="AD1093" s="106"/>
      <c r="AE1093" s="735"/>
      <c r="AF1093" s="106"/>
      <c r="AG1093" s="735"/>
      <c r="AH1093" s="106"/>
      <c r="AI1093" s="106"/>
      <c r="AJ1093" s="735"/>
      <c r="AK1093" s="20"/>
      <c r="AL1093" s="20"/>
      <c r="AM1093" s="20"/>
      <c r="AN1093" s="20"/>
      <c r="AO1093" s="20"/>
      <c r="AP1093" s="20"/>
      <c r="AQ1093" s="20"/>
      <c r="AR1093" s="20"/>
      <c r="AS1093" s="20"/>
    </row>
    <row r="1094" spans="1:47">
      <c r="A1094" s="323" t="s">
        <v>473</v>
      </c>
      <c r="B1094" s="1"/>
      <c r="C1094" s="319">
        <v>0</v>
      </c>
      <c r="D1094" s="337" t="s">
        <v>31</v>
      </c>
      <c r="E1094" s="337"/>
      <c r="F1094" s="2">
        <f>ROUND(D1094*$C1094,0)</f>
        <v>0</v>
      </c>
      <c r="G1094" s="337" t="s">
        <v>31</v>
      </c>
      <c r="H1094" s="321"/>
      <c r="I1094" s="2">
        <f t="shared" ref="I1094:I1096" si="314">ROUND(C1094*G1094,0)</f>
        <v>0</v>
      </c>
      <c r="J1094" s="337" t="s">
        <v>31</v>
      </c>
      <c r="K1094" s="321"/>
      <c r="L1094" s="2">
        <f>ROUND(J1094*$C1094,0)</f>
        <v>0</v>
      </c>
      <c r="M1094" s="2"/>
      <c r="N1094" s="326" t="s">
        <v>31</v>
      </c>
      <c r="O1094" s="321"/>
      <c r="P1094" s="2">
        <f>ROUND(N1094*$C1094,0)</f>
        <v>0</v>
      </c>
      <c r="Q1094" s="2"/>
      <c r="R1094" s="326" t="s">
        <v>31</v>
      </c>
      <c r="S1094" s="321"/>
      <c r="T1094" s="2">
        <f>ROUND(R1094*$C1094,0)</f>
        <v>0</v>
      </c>
      <c r="U1094" s="2"/>
      <c r="V1094" s="326" t="s">
        <v>31</v>
      </c>
      <c r="W1094" s="321"/>
      <c r="X1094" s="2">
        <f>ROUND(V1094*$C1094,0)</f>
        <v>0</v>
      </c>
      <c r="Y1094" s="20"/>
      <c r="AA1094" s="394"/>
      <c r="AD1094" s="106"/>
      <c r="AE1094" s="735"/>
      <c r="AF1094" s="106"/>
      <c r="AG1094" s="735"/>
      <c r="AH1094" s="106"/>
      <c r="AI1094" s="106"/>
      <c r="AJ1094" s="735"/>
      <c r="AK1094" s="20"/>
      <c r="AL1094" s="20"/>
      <c r="AM1094" s="20"/>
      <c r="AN1094" s="20"/>
      <c r="AO1094" s="20"/>
      <c r="AP1094" s="20"/>
      <c r="AQ1094" s="20"/>
      <c r="AR1094" s="20"/>
      <c r="AS1094" s="20"/>
    </row>
    <row r="1095" spans="1:47">
      <c r="A1095" s="309" t="s">
        <v>675</v>
      </c>
      <c r="B1095" s="1"/>
      <c r="C1095" s="319">
        <f>[54]Sheet1!$E$2</f>
        <v>693243</v>
      </c>
      <c r="D1095" s="337">
        <v>0.23</v>
      </c>
      <c r="E1095" s="337"/>
      <c r="F1095" s="2">
        <f>ROUND(D1095*$C1095,0)</f>
        <v>159446</v>
      </c>
      <c r="G1095" s="337">
        <v>0.23</v>
      </c>
      <c r="H1095" s="321"/>
      <c r="I1095" s="2">
        <f t="shared" si="314"/>
        <v>159446</v>
      </c>
      <c r="J1095" s="326">
        <f ca="1">ROUND(G1095*(1+$AC$1104),2)+0.01</f>
        <v>0.27</v>
      </c>
      <c r="K1095" s="321"/>
      <c r="L1095" s="2">
        <f ca="1">ROUND(J1095*$C1095,0)</f>
        <v>187176</v>
      </c>
      <c r="M1095" s="2"/>
      <c r="N1095" s="326">
        <f ca="1">ROUND(P1095/$C$1095,2)</f>
        <v>0.27</v>
      </c>
      <c r="O1095" s="321"/>
      <c r="P1095" s="2">
        <f ca="1">L1095</f>
        <v>187176</v>
      </c>
      <c r="Q1095" s="2"/>
      <c r="R1095" s="326" t="s">
        <v>31</v>
      </c>
      <c r="S1095" s="321"/>
      <c r="T1095" s="2">
        <f>ROUND(R1095*$C1095,0)</f>
        <v>0</v>
      </c>
      <c r="U1095" s="2"/>
      <c r="V1095" s="326" t="s">
        <v>31</v>
      </c>
      <c r="W1095" s="321"/>
      <c r="X1095" s="2">
        <f>ROUND(V1095*$C1095,0)</f>
        <v>0</v>
      </c>
      <c r="Y1095" s="20"/>
      <c r="AA1095" s="827">
        <f ca="1">(J1095-G1095)/G1095</f>
        <v>0.17391304347826089</v>
      </c>
      <c r="AB1095" s="777"/>
      <c r="AD1095" s="106"/>
      <c r="AE1095" s="735"/>
      <c r="AF1095" s="106"/>
      <c r="AG1095" s="735"/>
      <c r="AH1095" s="106"/>
      <c r="AI1095" s="106"/>
      <c r="AJ1095" s="735"/>
      <c r="AK1095" s="20"/>
      <c r="AL1095" s="20"/>
      <c r="AM1095" s="20"/>
      <c r="AN1095" s="20"/>
      <c r="AO1095" s="20"/>
      <c r="AP1095" s="20"/>
      <c r="AQ1095" s="20"/>
      <c r="AR1095" s="20"/>
      <c r="AS1095" s="20"/>
    </row>
    <row r="1096" spans="1:47">
      <c r="A1096" s="309" t="s">
        <v>403</v>
      </c>
      <c r="B1096" s="1"/>
      <c r="C1096" s="319">
        <f>[54]Sheet1!$G$2</f>
        <v>681696</v>
      </c>
      <c r="D1096" s="337">
        <v>6.95</v>
      </c>
      <c r="E1096" s="337"/>
      <c r="F1096" s="2">
        <f>ROUND(D1096*$C1096,0)</f>
        <v>4737787</v>
      </c>
      <c r="G1096" s="337">
        <v>7.35</v>
      </c>
      <c r="H1096" s="321"/>
      <c r="I1096" s="2">
        <f t="shared" si="314"/>
        <v>5010466</v>
      </c>
      <c r="J1096" s="326">
        <f ca="1">ROUND(G1096*(1+($AC$1104*1.1)),2)</f>
        <v>8.25</v>
      </c>
      <c r="K1096" s="321"/>
      <c r="L1096" s="2">
        <f ca="1">ROUND(J1096*$C1096,0)</f>
        <v>5623992</v>
      </c>
      <c r="M1096" s="2"/>
      <c r="N1096" s="326">
        <f ca="1">P1096/$C$1096</f>
        <v>1.1665073483240362</v>
      </c>
      <c r="O1096" s="321"/>
      <c r="P1096" s="2">
        <f ca="1">(Y1107-P1092-P1103-P1095-P1098)</f>
        <v>795203.39332310227</v>
      </c>
      <c r="Q1096" s="2"/>
      <c r="R1096" s="326">
        <f ca="1">T1096/$C$1096</f>
        <v>1.4031796808091419</v>
      </c>
      <c r="S1096" s="321"/>
      <c r="T1096" s="2">
        <f ca="1">($L$1096-P1096)*(Z1107/(Z1107+AA1107))</f>
        <v>956541.97568886878</v>
      </c>
      <c r="U1096" s="2"/>
      <c r="V1096" s="326">
        <f ca="1">X1096/$C$1096</f>
        <v>5.6803129708668223</v>
      </c>
      <c r="W1096" s="321"/>
      <c r="X1096" s="2">
        <f ca="1">($L$1096-P1096)*(AA1107/(Z1107+AA1107))</f>
        <v>3872246.6309880293</v>
      </c>
      <c r="Y1096" s="20"/>
      <c r="AA1096" s="827">
        <f ca="1">(J1096-G1096)/G1096</f>
        <v>0.12244897959183679</v>
      </c>
      <c r="AB1096" s="777"/>
      <c r="AC1096" s="74"/>
      <c r="AD1096" s="739"/>
      <c r="AE1096" s="735"/>
      <c r="AF1096" s="739"/>
      <c r="AG1096" s="735"/>
      <c r="AH1096" s="739"/>
      <c r="AI1096" s="74"/>
      <c r="AJ1096" s="735"/>
      <c r="AK1096" s="20"/>
      <c r="AL1096" s="20"/>
      <c r="AM1096" s="20"/>
      <c r="AN1096" s="20"/>
      <c r="AO1096" s="20"/>
      <c r="AP1096" s="20"/>
      <c r="AQ1096" s="20"/>
      <c r="AR1096" s="20"/>
      <c r="AS1096" s="20"/>
    </row>
    <row r="1097" spans="1:47">
      <c r="A1097" s="323" t="s">
        <v>426</v>
      </c>
      <c r="B1097" s="1"/>
      <c r="C1097" s="275" t="s">
        <v>31</v>
      </c>
      <c r="D1097" s="337" t="s">
        <v>31</v>
      </c>
      <c r="E1097" s="337"/>
      <c r="F1097" s="2"/>
      <c r="G1097" s="413" t="s">
        <v>31</v>
      </c>
      <c r="H1097" s="321"/>
      <c r="I1097" s="2"/>
      <c r="J1097" s="413" t="s">
        <v>31</v>
      </c>
      <c r="K1097" s="321"/>
      <c r="L1097" s="2"/>
      <c r="M1097" s="2"/>
      <c r="N1097" s="426" t="s">
        <v>31</v>
      </c>
      <c r="O1097" s="321"/>
      <c r="P1097" s="2"/>
      <c r="Q1097" s="2"/>
      <c r="R1097" s="426" t="s">
        <v>31</v>
      </c>
      <c r="S1097" s="321"/>
      <c r="T1097" s="2"/>
      <c r="U1097" s="2"/>
      <c r="V1097" s="426" t="s">
        <v>31</v>
      </c>
      <c r="W1097" s="321"/>
      <c r="X1097" s="2"/>
      <c r="Y1097" s="20"/>
      <c r="AA1097" s="394"/>
      <c r="AC1097" s="74"/>
      <c r="AD1097" s="20"/>
      <c r="AE1097" s="20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</row>
    <row r="1098" spans="1:47">
      <c r="A1098" s="323" t="s">
        <v>464</v>
      </c>
      <c r="B1098" s="1"/>
      <c r="C1098" s="319">
        <f>[54]Sheet1!$F$2</f>
        <v>455274000</v>
      </c>
      <c r="D1098" s="413">
        <v>4.1870000000000003</v>
      </c>
      <c r="E1098" s="321" t="s">
        <v>374</v>
      </c>
      <c r="F1098" s="2">
        <f>ROUND(D1098/100*$C1098,0)</f>
        <v>19062322</v>
      </c>
      <c r="G1098" s="382">
        <v>4.43</v>
      </c>
      <c r="H1098" s="321" t="s">
        <v>374</v>
      </c>
      <c r="I1098" s="2">
        <f>ROUND(C1098/100*G1098,0)</f>
        <v>20168638</v>
      </c>
      <c r="J1098" s="382">
        <f ca="1">ROUND(G1098*(1+$AA$1104)-J1100,3)+0.001</f>
        <v>2.008</v>
      </c>
      <c r="K1098" s="321" t="s">
        <v>374</v>
      </c>
      <c r="L1098" s="2">
        <f ca="1">ROUND(J1098/100*$C1098,0)</f>
        <v>9141902</v>
      </c>
      <c r="M1098" s="2"/>
      <c r="N1098" s="802" t="s">
        <v>31</v>
      </c>
      <c r="O1098" s="883" t="s">
        <v>31</v>
      </c>
      <c r="P1098" s="2">
        <v>0</v>
      </c>
      <c r="Q1098" s="2"/>
      <c r="R1098" s="802">
        <f ca="1">ROUND(T1098/C1098*100,3)</f>
        <v>0.97099999999999997</v>
      </c>
      <c r="S1098" s="321" t="s">
        <v>374</v>
      </c>
      <c r="T1098" s="2">
        <f ca="1">Z1107-T1091-T1092-T1094-T1095-T1096-T1099-T1103</f>
        <v>4419109.5570104234</v>
      </c>
      <c r="U1098" s="2"/>
      <c r="V1098" s="802">
        <f ca="1">ROUND(X1098/C1098*100,3)</f>
        <v>1.0369999999999999</v>
      </c>
      <c r="W1098" s="321" t="s">
        <v>374</v>
      </c>
      <c r="X1098" s="2">
        <f ca="1">AA1107-X1091-X1092-X1094-X1095-X1096-X1099-X1100-X1103</f>
        <v>4722792.4429895738</v>
      </c>
      <c r="Y1098" s="20"/>
      <c r="AA1098" s="827">
        <f ca="1">((J1098+J1100)-G1098)/G1098</f>
        <v>0.10609480812641099</v>
      </c>
      <c r="AB1098" s="777"/>
      <c r="AC1098" s="74"/>
      <c r="AD1098" s="20"/>
      <c r="AE1098" s="20"/>
      <c r="AF1098" s="20"/>
      <c r="AG1098" s="20"/>
      <c r="AH1098" s="20"/>
      <c r="AI1098" s="20"/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</row>
    <row r="1099" spans="1:47">
      <c r="A1099" s="323" t="s">
        <v>400</v>
      </c>
      <c r="B1099" s="1"/>
      <c r="C1099" s="319">
        <f>[54]Sheet1!$H$2</f>
        <v>183315</v>
      </c>
      <c r="D1099" s="337">
        <v>0.53</v>
      </c>
      <c r="E1099" s="321"/>
      <c r="F1099" s="2">
        <f>ROUND(D1099*$C1099,0)</f>
        <v>97157</v>
      </c>
      <c r="G1099" s="337">
        <v>0.53</v>
      </c>
      <c r="H1099" s="321"/>
      <c r="I1099" s="2">
        <f>ROUND(C1099*G1099,0)</f>
        <v>97157</v>
      </c>
      <c r="J1099" s="326">
        <f>G1099</f>
        <v>0.53</v>
      </c>
      <c r="K1099" s="321"/>
      <c r="L1099" s="2">
        <f>ROUND(J1099*$C1099,0)</f>
        <v>97157</v>
      </c>
      <c r="M1099" s="2"/>
      <c r="N1099" s="326" t="s">
        <v>31</v>
      </c>
      <c r="O1099" s="321"/>
      <c r="P1099" s="2">
        <f>ROUND(N1099*$C1099,0)</f>
        <v>0</v>
      </c>
      <c r="Q1099" s="2"/>
      <c r="R1099" s="326">
        <f ca="1">ROUND(T1099/$C$1099,2)</f>
        <v>0.1</v>
      </c>
      <c r="S1099" s="321"/>
      <c r="T1099" s="2">
        <f ca="1">$L$1099*(Z1107/(Z1107+AA1107))</f>
        <v>19245.975813374811</v>
      </c>
      <c r="U1099" s="2"/>
      <c r="V1099" s="326">
        <f ca="1">ROUND(X1099/$C$1099,2)</f>
        <v>0.43</v>
      </c>
      <c r="W1099" s="321"/>
      <c r="X1099" s="2">
        <f ca="1">$L$1099*(AA1107/(Z1107+AA1107))</f>
        <v>77911.024186625189</v>
      </c>
      <c r="Y1099" s="20"/>
      <c r="AA1099" s="827">
        <f>(J1099-G1099)/G1099</f>
        <v>0</v>
      </c>
      <c r="AB1099" s="777"/>
      <c r="AC1099" s="74"/>
      <c r="AD1099" s="20"/>
      <c r="AE1099" s="20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</row>
    <row r="1100" spans="1:47" s="1184" customFormat="1">
      <c r="A1100" s="1005" t="s">
        <v>1035</v>
      </c>
      <c r="C1100" s="1202">
        <f>C1098</f>
        <v>455274000</v>
      </c>
      <c r="D1100" s="269"/>
      <c r="E1100" s="1185"/>
      <c r="F1100" s="1203"/>
      <c r="G1100" s="269"/>
      <c r="H1100" s="1185"/>
      <c r="I1100" s="1203"/>
      <c r="J1100" s="1230">
        <f>ROUND(Y1100/C1100*100,3)</f>
        <v>2.8919999999999999</v>
      </c>
      <c r="K1100" s="1041" t="s">
        <v>374</v>
      </c>
      <c r="L1100" s="1041">
        <f>ROUND(J1100*$C1100/100,0)</f>
        <v>13166524</v>
      </c>
      <c r="M1100" s="1041"/>
      <c r="N1100" s="1230" t="s">
        <v>31</v>
      </c>
      <c r="O1100" s="1041" t="s">
        <v>31</v>
      </c>
      <c r="P1100" s="1041">
        <f>ROUND(N1100*$C1100/100,0)</f>
        <v>0</v>
      </c>
      <c r="Q1100" s="1041"/>
      <c r="R1100" s="1230" t="s">
        <v>31</v>
      </c>
      <c r="S1100" s="1041" t="s">
        <v>31</v>
      </c>
      <c r="T1100" s="1041">
        <f>ROUND(R1100*$C1100/100,0)</f>
        <v>0</v>
      </c>
      <c r="U1100" s="1041"/>
      <c r="V1100" s="1230">
        <f>J1100</f>
        <v>2.8919999999999999</v>
      </c>
      <c r="W1100" s="1041" t="s">
        <v>374</v>
      </c>
      <c r="X1100" s="1041">
        <f>ROUND(V1100*$C1100/100,0)</f>
        <v>13166524</v>
      </c>
      <c r="Y1100" s="1204">
        <f>'NPC Spread'!H33</f>
        <v>13164524.379283957</v>
      </c>
      <c r="Z1100" s="815" t="s">
        <v>913</v>
      </c>
      <c r="AC1100" s="1205"/>
      <c r="AD1100" s="1205"/>
      <c r="AI1100" s="1185"/>
      <c r="AJ1100" s="1185"/>
      <c r="AK1100" s="1185"/>
      <c r="AL1100" s="1185"/>
      <c r="AM1100" s="1185"/>
      <c r="AN1100" s="1185"/>
      <c r="AO1100" s="1185"/>
      <c r="AP1100" s="1185"/>
      <c r="AQ1100" s="1185"/>
      <c r="AR1100" s="1185"/>
      <c r="AS1100" s="1185"/>
      <c r="AU1100" s="1204"/>
    </row>
    <row r="1101" spans="1:47" s="1184" customFormat="1">
      <c r="A1101" s="1509" t="s">
        <v>929</v>
      </c>
      <c r="B1101" s="1510"/>
      <c r="C1101" s="1524"/>
      <c r="D1101" s="1512"/>
      <c r="E1101" s="1513"/>
      <c r="F1101" s="1514"/>
      <c r="G1101" s="1526">
        <f>G1098</f>
        <v>4.43</v>
      </c>
      <c r="H1101" s="1521" t="s">
        <v>374</v>
      </c>
      <c r="I1101" s="1514"/>
      <c r="J1101" s="1526">
        <f ca="1">J1098+J1100</f>
        <v>4.9000000000000004</v>
      </c>
      <c r="K1101" s="1521" t="s">
        <v>374</v>
      </c>
      <c r="L1101" s="1521"/>
      <c r="M1101" s="1521"/>
      <c r="N1101" s="1526" t="s">
        <v>31</v>
      </c>
      <c r="O1101" s="1521" t="s">
        <v>31</v>
      </c>
      <c r="P1101" s="1521"/>
      <c r="Q1101" s="1521"/>
      <c r="R1101" s="1526">
        <f ca="1">R1098+R1100</f>
        <v>0.97099999999999997</v>
      </c>
      <c r="S1101" s="1521" t="s">
        <v>374</v>
      </c>
      <c r="T1101" s="1521"/>
      <c r="U1101" s="1521"/>
      <c r="V1101" s="1526">
        <f ca="1">V1098+V1100</f>
        <v>3.9289999999999998</v>
      </c>
      <c r="W1101" s="1521" t="s">
        <v>374</v>
      </c>
      <c r="X1101" s="1521"/>
      <c r="Y1101" s="1204"/>
      <c r="Z1101" s="815"/>
      <c r="AA1101" s="827">
        <f ca="1">(J1101-G1101)/G1101</f>
        <v>0.10609480812641099</v>
      </c>
      <c r="AC1101" s="1205"/>
      <c r="AD1101" s="1205"/>
      <c r="AI1101" s="1185"/>
      <c r="AJ1101" s="1185"/>
      <c r="AK1101" s="1185"/>
      <c r="AL1101" s="1185"/>
      <c r="AM1101" s="1185"/>
      <c r="AN1101" s="1185"/>
      <c r="AO1101" s="1185"/>
      <c r="AP1101" s="1185"/>
      <c r="AQ1101" s="1185"/>
      <c r="AR1101" s="1185"/>
      <c r="AS1101" s="1185"/>
      <c r="AU1101" s="1204"/>
    </row>
    <row r="1102" spans="1:47">
      <c r="A1102" s="1" t="s">
        <v>381</v>
      </c>
      <c r="B1102" s="1"/>
      <c r="C1102" s="319">
        <f>C1098</f>
        <v>455274000</v>
      </c>
      <c r="D1102" s="330"/>
      <c r="E1102" s="2"/>
      <c r="F1102" s="2">
        <f>SUM(F1091:F1099)</f>
        <v>24087048</v>
      </c>
      <c r="G1102" s="330"/>
      <c r="H1102" s="1"/>
      <c r="I1102" s="2">
        <f>SUM(I1091:I1099)</f>
        <v>25466043</v>
      </c>
      <c r="J1102" s="330"/>
      <c r="K1102" s="1"/>
      <c r="L1102" s="2">
        <f ca="1">SUM(L1091:L1101)</f>
        <v>28249715</v>
      </c>
      <c r="M1102" s="2"/>
      <c r="N1102" s="803"/>
      <c r="O1102" s="1"/>
      <c r="P1102" s="2">
        <f ca="1">SUM(P1091:P1101)</f>
        <v>1015343.3933231023</v>
      </c>
      <c r="Q1102" s="2"/>
      <c r="R1102" s="803"/>
      <c r="S1102" s="1"/>
      <c r="T1102" s="2">
        <f ca="1">SUM(T1091:T1101)</f>
        <v>5394897.5085126674</v>
      </c>
      <c r="U1102" s="2"/>
      <c r="V1102" s="803"/>
      <c r="W1102" s="1"/>
      <c r="X1102" s="2">
        <f ca="1">SUM(X1091:X1101)</f>
        <v>21839474.098164231</v>
      </c>
      <c r="Y1102" s="20"/>
      <c r="Z1102" s="74"/>
      <c r="AA1102" s="74"/>
      <c r="AB1102" s="74"/>
      <c r="AC1102" s="20"/>
      <c r="AD1102" s="20"/>
      <c r="AE1102" s="20"/>
      <c r="AF1102" s="20"/>
      <c r="AG1102" s="20"/>
      <c r="AH1102" s="20"/>
      <c r="AI1102" s="20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</row>
    <row r="1103" spans="1:47">
      <c r="A1103" s="1" t="s">
        <v>363</v>
      </c>
      <c r="B1103" s="1"/>
      <c r="C1103" s="319">
        <f ca="1">'Table 2'!H81</f>
        <v>-7292369.4830914559</v>
      </c>
      <c r="D1103" s="309"/>
      <c r="E1103" s="309"/>
      <c r="F1103" s="341">
        <f ca="1">I1103</f>
        <v>-525378.60504138179</v>
      </c>
      <c r="G1103" s="309"/>
      <c r="H1103" s="309"/>
      <c r="I1103" s="341">
        <f ca="1">'Table 3'!E81</f>
        <v>-525378.60504138179</v>
      </c>
      <c r="J1103" s="309"/>
      <c r="K1103" s="309"/>
      <c r="L1103" s="341">
        <f ca="1">I1103</f>
        <v>-525378.60504138179</v>
      </c>
      <c r="M1103" s="322"/>
      <c r="N1103" s="309"/>
      <c r="O1103" s="309"/>
      <c r="P1103" s="341">
        <f ca="1">$L$1103*Y1106/($Y1106+$Z$1106+$AA$1106)</f>
        <v>-18883.011585146065</v>
      </c>
      <c r="Q1103" s="51"/>
      <c r="R1103" s="309"/>
      <c r="S1103" s="309"/>
      <c r="T1103" s="341">
        <f ca="1">$L$1103*Z1107/($Y$1107+$Z$1107+$AA$1107)</f>
        <v>-100332.47157939864</v>
      </c>
      <c r="U1103" s="51"/>
      <c r="V1103" s="309"/>
      <c r="W1103" s="309"/>
      <c r="X1103" s="341">
        <f ca="1">$L$1103*AA1107/($Y$1107+$Z$1107+$AA$1107)</f>
        <v>-406163.12187683705</v>
      </c>
      <c r="Y1103" s="444"/>
      <c r="Z1103" s="287"/>
      <c r="AC1103" s="20"/>
      <c r="AD1103" s="20"/>
      <c r="AE1103" s="20"/>
      <c r="AF1103" s="20"/>
      <c r="AG1103" s="20"/>
      <c r="AH1103" s="20"/>
      <c r="AI1103" s="20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</row>
    <row r="1104" spans="1:47" ht="16.5" thickBot="1">
      <c r="A1104" s="1" t="s">
        <v>382</v>
      </c>
      <c r="B1104" s="1"/>
      <c r="C1104" s="393">
        <f ca="1">SUM(C1102)+C1103</f>
        <v>447981630.51690853</v>
      </c>
      <c r="D1104" s="342"/>
      <c r="E1104" s="343"/>
      <c r="F1104" s="344">
        <f ca="1">F1102+F1103</f>
        <v>23561669.394958619</v>
      </c>
      <c r="G1104" s="342"/>
      <c r="H1104" s="345"/>
      <c r="I1104" s="344">
        <f ca="1">I1102+I1103</f>
        <v>24940664.394958619</v>
      </c>
      <c r="J1104" s="342"/>
      <c r="K1104" s="345"/>
      <c r="L1104" s="344">
        <f ca="1">L1102+L1103</f>
        <v>27724336.394958619</v>
      </c>
      <c r="M1104" s="344"/>
      <c r="N1104" s="342"/>
      <c r="O1104" s="345"/>
      <c r="P1104" s="344">
        <f ca="1">P1102+P1103</f>
        <v>996460.3817379562</v>
      </c>
      <c r="Q1104" s="344"/>
      <c r="R1104" s="342"/>
      <c r="S1104" s="345"/>
      <c r="T1104" s="344">
        <f ca="1">T1102+T1103</f>
        <v>5294565.0369332684</v>
      </c>
      <c r="U1104" s="344"/>
      <c r="V1104" s="342"/>
      <c r="W1104" s="345"/>
      <c r="X1104" s="344">
        <f ca="1">X1102+X1103</f>
        <v>21433310.976287395</v>
      </c>
      <c r="Y1104" s="784" t="s">
        <v>364</v>
      </c>
      <c r="Z1104" s="809">
        <f ca="1">'Rate Spread targets'!Q28*1000</f>
        <v>27724337.899108935</v>
      </c>
      <c r="AA1104" s="818">
        <f ca="1">'Rate Spread targets'!V28-0.0057</f>
        <v>0.10591184241398938</v>
      </c>
      <c r="AB1104" s="777"/>
      <c r="AC1104" s="801">
        <f ca="1">'Rate Spread targets'!V28</f>
        <v>0.11161184241398937</v>
      </c>
      <c r="AD1104" s="7" t="s">
        <v>1045</v>
      </c>
      <c r="AE1104" s="20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</row>
    <row r="1105" spans="1:45" ht="16.5" thickTop="1">
      <c r="A1105" s="1"/>
      <c r="B1105" s="1"/>
      <c r="C1105" s="21"/>
      <c r="D1105" s="337" t="s">
        <v>31</v>
      </c>
      <c r="E1105" s="2"/>
      <c r="F1105" s="380" t="s">
        <v>31</v>
      </c>
      <c r="G1105" s="337" t="s">
        <v>31</v>
      </c>
      <c r="H1105" s="1"/>
      <c r="I1105" s="2"/>
      <c r="J1105" s="353" t="s">
        <v>31</v>
      </c>
      <c r="K1105" s="1"/>
      <c r="L1105" s="2" t="s">
        <v>31</v>
      </c>
      <c r="M1105" s="2"/>
      <c r="N1105" s="353" t="s">
        <v>31</v>
      </c>
      <c r="O1105" s="1"/>
      <c r="P1105" s="2" t="s">
        <v>31</v>
      </c>
      <c r="Q1105" s="2"/>
      <c r="R1105" s="353" t="s">
        <v>31</v>
      </c>
      <c r="S1105" s="1"/>
      <c r="T1105" s="2" t="s">
        <v>31</v>
      </c>
      <c r="U1105" s="2"/>
      <c r="V1105" s="353" t="s">
        <v>31</v>
      </c>
      <c r="W1105" s="1"/>
      <c r="X1105" s="2" t="s">
        <v>31</v>
      </c>
      <c r="Y1105" s="112" t="s">
        <v>263</v>
      </c>
      <c r="Z1105" s="812">
        <f ca="1">Z1104-L1104</f>
        <v>1.504150316119194</v>
      </c>
      <c r="AA1105" s="785"/>
      <c r="AB1105" s="74"/>
      <c r="AC1105" s="20"/>
      <c r="AD1105" s="20"/>
      <c r="AE1105" s="20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</row>
    <row r="1106" spans="1:45">
      <c r="A1106" s="1"/>
      <c r="B1106" s="1"/>
      <c r="C1106" s="21"/>
      <c r="D1106" s="337"/>
      <c r="E1106" s="2"/>
      <c r="F1106" s="380"/>
      <c r="G1106" s="337"/>
      <c r="H1106" s="1"/>
      <c r="I1106" s="2"/>
      <c r="J1106" s="353"/>
      <c r="K1106" s="1"/>
      <c r="L1106" s="2"/>
      <c r="M1106" s="2"/>
      <c r="N1106" s="353"/>
      <c r="O1106" s="1"/>
      <c r="P1106" s="2"/>
      <c r="Q1106" s="2"/>
      <c r="R1106" s="353"/>
      <c r="S1106" s="1"/>
      <c r="T1106" s="2"/>
      <c r="U1106" s="2"/>
      <c r="V1106" s="353"/>
      <c r="W1106" s="1"/>
      <c r="X1106" s="2"/>
      <c r="Y1106" s="1579">
        <f>'Exh No.__(JRS-17) p11'!J38+'Exh No.__(JRS-17) p11'!K38+'Exh No.__(JRS-17) p11'!L38</f>
        <v>3.5941721653584904E-2</v>
      </c>
      <c r="Z1106" s="1579">
        <f>'Exh No.__(JRS-17) p11'!I38</f>
        <v>0.19097174992783705</v>
      </c>
      <c r="AA1106" s="1579">
        <f>'Exh No.__(JRS-17) p11'!H38</f>
        <v>0.77308652841857795</v>
      </c>
      <c r="AB1106" s="74"/>
      <c r="AC1106" s="20"/>
      <c r="AD1106" s="20"/>
      <c r="AE1106" s="20"/>
      <c r="AF1106" s="20"/>
      <c r="AG1106" s="20"/>
      <c r="AH1106" s="20"/>
      <c r="AI1106" s="20"/>
      <c r="AJ1106" s="20"/>
      <c r="AK1106" s="20"/>
      <c r="AL1106" s="20"/>
      <c r="AM1106" s="20"/>
      <c r="AN1106" s="20"/>
      <c r="AO1106" s="20"/>
      <c r="AP1106" s="20"/>
      <c r="AQ1106" s="20"/>
      <c r="AR1106" s="20"/>
      <c r="AS1106" s="20"/>
    </row>
    <row r="1107" spans="1:45">
      <c r="A1107" s="1"/>
      <c r="B1107" s="1"/>
      <c r="C1107" s="21"/>
      <c r="D1107" s="337"/>
      <c r="E1107" s="2"/>
      <c r="F1107" s="380"/>
      <c r="G1107" s="337"/>
      <c r="H1107" s="1"/>
      <c r="I1107" s="2"/>
      <c r="J1107" s="353"/>
      <c r="K1107" s="1"/>
      <c r="L1107" s="2"/>
      <c r="M1107" s="2"/>
      <c r="N1107" s="353"/>
      <c r="O1107" s="1"/>
      <c r="P1107" s="2"/>
      <c r="Q1107" s="2"/>
      <c r="R1107" s="353"/>
      <c r="S1107" s="1"/>
      <c r="T1107" s="2"/>
      <c r="U1107" s="2"/>
      <c r="V1107" s="353"/>
      <c r="W1107" s="1"/>
      <c r="X1107" s="2"/>
      <c r="Y1107" s="411">
        <f ca="1">Y1106*L1104</f>
        <v>996460.3817379562</v>
      </c>
      <c r="Z1107" s="411">
        <f ca="1">Z1106*L1104</f>
        <v>5294565.0369332684</v>
      </c>
      <c r="AA1107" s="411">
        <f ca="1">AA1106*L1104</f>
        <v>21433310.976287391</v>
      </c>
      <c r="AB1107" s="74" t="s">
        <v>958</v>
      </c>
      <c r="AC1107" s="20"/>
      <c r="AD1107" s="20"/>
      <c r="AE1107" s="20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</row>
    <row r="1108" spans="1:45">
      <c r="A1108" s="293" t="s">
        <v>482</v>
      </c>
      <c r="B1108" s="1"/>
      <c r="C1108" s="1"/>
      <c r="D1108" s="1"/>
      <c r="E1108" s="1"/>
      <c r="F1108" s="2"/>
      <c r="G1108" s="1"/>
      <c r="H1108" s="1"/>
      <c r="I1108" s="2"/>
      <c r="J1108" s="1"/>
      <c r="K1108" s="1"/>
      <c r="L1108" s="1"/>
      <c r="M1108" s="1"/>
      <c r="N1108" s="1"/>
      <c r="O1108" s="1"/>
      <c r="P1108" s="2" t="s">
        <v>31</v>
      </c>
      <c r="Q1108" s="1"/>
      <c r="R1108" s="1"/>
      <c r="S1108" s="1"/>
      <c r="T1108" s="2" t="s">
        <v>31</v>
      </c>
      <c r="U1108" s="1"/>
      <c r="V1108" s="1"/>
      <c r="W1108" s="1"/>
      <c r="X1108" s="2" t="s">
        <v>31</v>
      </c>
      <c r="Z1108" s="3"/>
      <c r="AA1108" s="3"/>
      <c r="AB1108" s="3"/>
      <c r="AC1108" s="20"/>
      <c r="AD1108" s="20"/>
      <c r="AE1108" s="20"/>
      <c r="AF1108" s="20"/>
      <c r="AG1108" s="20"/>
      <c r="AH1108" s="20"/>
      <c r="AI1108" s="20"/>
      <c r="AJ1108" s="20"/>
      <c r="AK1108" s="20"/>
      <c r="AL1108" s="20"/>
      <c r="AM1108" s="20"/>
      <c r="AN1108" s="20"/>
      <c r="AO1108" s="20"/>
      <c r="AP1108" s="20"/>
      <c r="AQ1108" s="20"/>
      <c r="AR1108" s="20"/>
      <c r="AS1108" s="20"/>
    </row>
    <row r="1109" spans="1:45">
      <c r="A1109" s="1" t="s">
        <v>591</v>
      </c>
      <c r="B1109" s="1"/>
      <c r="C1109" s="1"/>
      <c r="D1109" s="1"/>
      <c r="E1109" s="1"/>
      <c r="F1109" s="2"/>
      <c r="G1109" s="1"/>
      <c r="H1109" s="1"/>
      <c r="I1109" s="2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Z1109" s="3"/>
      <c r="AA1109" s="3"/>
      <c r="AB1109" s="278"/>
      <c r="AC1109" s="278"/>
      <c r="AD1109" s="278"/>
      <c r="AE1109" s="278"/>
      <c r="AF1109" s="278"/>
      <c r="AG1109" s="278"/>
      <c r="AH1109" s="278"/>
      <c r="AI1109" s="278"/>
      <c r="AJ1109" s="278"/>
      <c r="AK1109" s="278"/>
      <c r="AL1109" s="278"/>
      <c r="AM1109" s="278"/>
      <c r="AN1109" s="278"/>
      <c r="AO1109" s="20"/>
      <c r="AP1109" s="20"/>
      <c r="AQ1109" s="20"/>
      <c r="AR1109" s="20"/>
      <c r="AS1109" s="20"/>
    </row>
    <row r="1110" spans="1:45">
      <c r="A1110" s="1" t="s">
        <v>592</v>
      </c>
      <c r="B1110" s="1"/>
      <c r="C1110" s="1"/>
      <c r="D1110" s="1"/>
      <c r="E1110" s="1"/>
      <c r="F1110" s="2"/>
      <c r="G1110" s="1"/>
      <c r="H1110" s="1"/>
      <c r="I1110" s="2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278"/>
      <c r="Z1110" s="278"/>
      <c r="AA1110" s="411" t="s">
        <v>31</v>
      </c>
      <c r="AB1110" s="278"/>
      <c r="AC1110" s="278"/>
      <c r="AD1110" s="278"/>
      <c r="AE1110" s="278"/>
      <c r="AF1110" s="278"/>
      <c r="AG1110" s="278"/>
      <c r="AH1110" s="278"/>
      <c r="AI1110" s="278"/>
      <c r="AJ1110" s="278"/>
      <c r="AK1110" s="278"/>
      <c r="AL1110" s="278"/>
      <c r="AM1110" s="278"/>
      <c r="AN1110" s="278"/>
      <c r="AO1110" s="20"/>
      <c r="AP1110" s="20"/>
      <c r="AQ1110" s="20"/>
      <c r="AR1110" s="20"/>
      <c r="AS1110" s="20"/>
    </row>
    <row r="1111" spans="1:45">
      <c r="A1111" s="1" t="s">
        <v>484</v>
      </c>
      <c r="B1111" s="1"/>
      <c r="C1111" s="1"/>
      <c r="D1111" s="1"/>
      <c r="E1111" s="1"/>
      <c r="F1111" s="2"/>
      <c r="G1111" s="1"/>
      <c r="H1111" s="1"/>
      <c r="I1111" s="2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278"/>
      <c r="Z1111" s="278"/>
      <c r="AA1111" s="74"/>
      <c r="AB1111" s="74"/>
      <c r="AC1111" s="279"/>
      <c r="AD1111" s="279"/>
      <c r="AE1111" s="280"/>
      <c r="AF1111" s="280"/>
      <c r="AG1111" s="280"/>
      <c r="AH1111" s="280"/>
      <c r="AI1111" s="281"/>
      <c r="AJ1111" s="282"/>
      <c r="AK1111" s="278"/>
      <c r="AL1111" s="278"/>
      <c r="AM1111" s="278"/>
      <c r="AN1111" s="278"/>
      <c r="AO1111" s="20"/>
      <c r="AP1111" s="20"/>
      <c r="AQ1111" s="20"/>
      <c r="AR1111" s="20"/>
      <c r="AS1111" s="20"/>
    </row>
    <row r="1112" spans="1:45">
      <c r="A1112" s="3" t="s">
        <v>358</v>
      </c>
      <c r="C1112" s="264">
        <f>[55]Sheet1!$F$8</f>
        <v>14351.0304600299</v>
      </c>
      <c r="D1112" s="265">
        <v>8.4600000000000009</v>
      </c>
      <c r="F1112" s="2">
        <f t="shared" ref="F1112:F1121" si="315">ROUND(D1112*$C1112,0)</f>
        <v>121410</v>
      </c>
      <c r="G1112" s="265">
        <v>8.4600000000000009</v>
      </c>
      <c r="I1112" s="2">
        <f>ROUND(C1112*G1112,0)</f>
        <v>121410</v>
      </c>
      <c r="J1112" s="265">
        <f t="shared" ref="J1112:J1121" si="316">ROUND(G1112+(G1112*$AA$1140),2)</f>
        <v>8.84</v>
      </c>
      <c r="L1112" s="2">
        <f>ROUND(J1112*$C1112,0)</f>
        <v>126863</v>
      </c>
      <c r="M1112" s="2"/>
      <c r="N1112" s="265">
        <f>ROUND(P1112/C1112,2)</f>
        <v>5.17</v>
      </c>
      <c r="P1112" s="2">
        <f t="shared" ref="P1112:P1121" si="317">($Y$1142-$P$1136-$P$1138)*(L1112/($L$1112+$L$1113+$L$1114+$L$1115+$L$1116+$L$1117+$L$1118+$L$1119+$L$1120+$L$1121+$L$1128+$L$1129+L$1130+$L$1131+$L$1132+$L$1133+$L$1134))</f>
        <v>74243.026537641359</v>
      </c>
      <c r="Q1112" s="2"/>
      <c r="R1112" s="265">
        <f>ROUND(T1112/C1112,2)</f>
        <v>0.72</v>
      </c>
      <c r="T1112" s="2">
        <f>($Z$1142-$T$1136-$T$1138)*(L1112/($L$1112+$L$1113+$L$1114+$L$1115+$L$1116+$L$1117+$L$1118+$L$1119+$L$1120+$L$1121+$L$1128+$L$1129+L$1130+$L$1131+$L$1132+$L$1133+$L$1134))</f>
        <v>10399.584982016033</v>
      </c>
      <c r="U1112" s="2"/>
      <c r="V1112" s="265">
        <f>ROUND(X1112/C1112,2)+0.01</f>
        <v>2.9499999999999997</v>
      </c>
      <c r="X1112" s="2">
        <f>($AA$1142-$X$1136-$X$1138)*(L1112/($L$1112+$L$1113+$L$1114+$L$1115+$L$1116+$L$1117+$L$1118+$L$1119+$L$1120+$L$1121+$L$1128+$L$1129+L$1130+$L$1131+$L$1132+$L$1133+$L$1134))</f>
        <v>42220.388480342619</v>
      </c>
      <c r="AA1112" s="281"/>
      <c r="AB1112" s="281"/>
      <c r="AC1112" s="74"/>
      <c r="AD1112" s="403"/>
      <c r="AE1112" s="403"/>
      <c r="AF1112" s="283"/>
      <c r="AG1112" s="283"/>
      <c r="AH1112" s="283"/>
      <c r="AI1112" s="284"/>
      <c r="AJ1112" s="278"/>
      <c r="AK1112" s="281"/>
      <c r="AL1112" s="281"/>
      <c r="AM1112" s="285"/>
      <c r="AN1112" s="281"/>
      <c r="AO1112" s="20"/>
      <c r="AP1112" s="20"/>
      <c r="AQ1112" s="20"/>
      <c r="AR1112" s="20"/>
      <c r="AS1112" s="20"/>
    </row>
    <row r="1113" spans="1:45">
      <c r="A1113" s="3" t="s">
        <v>485</v>
      </c>
      <c r="C1113" s="264">
        <f>[55]Sheet1!$F$2+[55]Sheet1!$F$4</f>
        <v>17709.609827367789</v>
      </c>
      <c r="D1113" s="265">
        <v>10.15</v>
      </c>
      <c r="F1113" s="2">
        <f t="shared" si="315"/>
        <v>179753</v>
      </c>
      <c r="G1113" s="265">
        <v>10.15</v>
      </c>
      <c r="I1113" s="2">
        <f t="shared" ref="I1113:I1134" si="318">ROUND(C1113*G1113,0)</f>
        <v>179753</v>
      </c>
      <c r="J1113" s="265">
        <f t="shared" si="316"/>
        <v>10.61</v>
      </c>
      <c r="L1113" s="2">
        <f t="shared" ref="L1113:L1131" si="319">ROUND(J1113*$C1113,0)</f>
        <v>187899</v>
      </c>
      <c r="M1113" s="2"/>
      <c r="N1113" s="265">
        <f>ROUND(P1113/C1113,2)</f>
        <v>6.21</v>
      </c>
      <c r="P1113" s="2">
        <f t="shared" si="317"/>
        <v>109962.64035531459</v>
      </c>
      <c r="Q1113" s="2"/>
      <c r="R1113" s="265">
        <f>ROUND(T1113/C1113,2)</f>
        <v>0.87</v>
      </c>
      <c r="T1113" s="2">
        <f t="shared" ref="T1113:T1121" si="320">($Z$1142-$T$1136-$T$1138)*(L1113/($L$1112+$L$1113+$L$1114+$L$1115+$L$1116+$L$1117+$L$1118+$L$1119+$L$1120+$L$1121+$L$1128+$L$1129+P$1130+$L$1131+$L$1132+$L$1133+$L$1134))</f>
        <v>15403.006538831896</v>
      </c>
      <c r="U1113" s="2"/>
      <c r="V1113" s="265">
        <f>ROUND(X1113/C1113,2)</f>
        <v>3.53</v>
      </c>
      <c r="X1113" s="2">
        <f t="shared" ref="X1113:X1121" si="321">($AA$1142-$X$1136-$X$1138)*(L1113/($L$1112+$L$1113+$L$1114+$L$1115+$L$1116+$L$1117+$L$1118+$L$1119+$L$1120+$L$1121+$L$1128+$L$1129+T$1130+$L$1131+$L$1132+$L$1133+$L$1134))</f>
        <v>62533.353105853545</v>
      </c>
      <c r="AA1113" s="281"/>
      <c r="AB1113" s="281"/>
      <c r="AC1113" s="74"/>
      <c r="AD1113" s="403"/>
      <c r="AE1113" s="403"/>
      <c r="AF1113" s="283"/>
      <c r="AG1113" s="283"/>
      <c r="AH1113" s="283"/>
      <c r="AI1113" s="278"/>
      <c r="AJ1113" s="278"/>
      <c r="AK1113" s="281"/>
      <c r="AL1113" s="281"/>
      <c r="AM1113" s="285"/>
      <c r="AN1113" s="281"/>
      <c r="AO1113" s="20"/>
      <c r="AP1113" s="20"/>
      <c r="AQ1113" s="20"/>
      <c r="AR1113" s="20"/>
      <c r="AS1113" s="20"/>
    </row>
    <row r="1114" spans="1:45">
      <c r="A1114" s="3" t="s">
        <v>594</v>
      </c>
      <c r="C1114" s="264">
        <v>0</v>
      </c>
      <c r="D1114" s="265">
        <v>32.24</v>
      </c>
      <c r="F1114" s="2">
        <f t="shared" si="315"/>
        <v>0</v>
      </c>
      <c r="G1114" s="265">
        <v>32.24</v>
      </c>
      <c r="I1114" s="2">
        <f t="shared" si="318"/>
        <v>0</v>
      </c>
      <c r="J1114" s="265">
        <f t="shared" si="316"/>
        <v>33.700000000000003</v>
      </c>
      <c r="L1114" s="2">
        <f t="shared" si="319"/>
        <v>0</v>
      </c>
      <c r="M1114" s="2"/>
      <c r="N1114" s="265">
        <f>ROUND(SUM($P$1112:$P$1121)/SUM($L$1112:$L$1121)*J1114,2)</f>
        <v>19.72</v>
      </c>
      <c r="P1114" s="2">
        <f t="shared" si="317"/>
        <v>0</v>
      </c>
      <c r="Q1114" s="2"/>
      <c r="R1114" s="265">
        <f t="shared" ref="R1114:R1118" si="322">ROUND(SUM($T$1112:$T$1121)/SUM($L$1112:$L$1121)*J1114,2)</f>
        <v>2.76</v>
      </c>
      <c r="T1114" s="2">
        <f t="shared" si="320"/>
        <v>0</v>
      </c>
      <c r="U1114" s="2"/>
      <c r="V1114" s="265">
        <f t="shared" ref="V1114" si="323">ROUND(SUM($X$1112:$X$1121)/SUM($L$1112:$L$1121)*J1114,2)</f>
        <v>11.22</v>
      </c>
      <c r="X1114" s="2">
        <f t="shared" si="321"/>
        <v>0</v>
      </c>
      <c r="AA1114" s="281"/>
      <c r="AB1114" s="281"/>
      <c r="AC1114" s="74"/>
      <c r="AD1114" s="403"/>
      <c r="AE1114" s="403"/>
      <c r="AF1114" s="283"/>
      <c r="AG1114" s="283"/>
      <c r="AH1114" s="283"/>
      <c r="AI1114" s="278"/>
      <c r="AJ1114" s="278"/>
      <c r="AK1114" s="281"/>
      <c r="AL1114" s="281"/>
      <c r="AM1114" s="285"/>
      <c r="AN1114" s="281"/>
      <c r="AO1114" s="20"/>
      <c r="AP1114" s="20"/>
      <c r="AQ1114" s="20"/>
      <c r="AR1114" s="20"/>
      <c r="AS1114" s="20"/>
    </row>
    <row r="1115" spans="1:45">
      <c r="A1115" s="3" t="s">
        <v>595</v>
      </c>
      <c r="C1115" s="264">
        <v>0</v>
      </c>
      <c r="D1115" s="265">
        <v>25.07</v>
      </c>
      <c r="F1115" s="2">
        <f t="shared" si="315"/>
        <v>0</v>
      </c>
      <c r="G1115" s="265">
        <v>25.07</v>
      </c>
      <c r="I1115" s="2">
        <f t="shared" si="318"/>
        <v>0</v>
      </c>
      <c r="J1115" s="265">
        <f t="shared" si="316"/>
        <v>26.21</v>
      </c>
      <c r="L1115" s="2">
        <f t="shared" si="319"/>
        <v>0</v>
      </c>
      <c r="M1115" s="2"/>
      <c r="N1115" s="265">
        <f>ROUND(SUM($P$1112:$P$1121)/SUM($L$1112:$L$1121)*J1115,2)</f>
        <v>15.34</v>
      </c>
      <c r="P1115" s="2">
        <f t="shared" si="317"/>
        <v>0</v>
      </c>
      <c r="Q1115" s="2"/>
      <c r="R1115" s="265">
        <f t="shared" si="322"/>
        <v>2.15</v>
      </c>
      <c r="T1115" s="2">
        <f t="shared" si="320"/>
        <v>0</v>
      </c>
      <c r="U1115" s="2"/>
      <c r="V1115" s="265">
        <f>ROUND(SUM($X$1112:$X$1121)/SUM($L$1112:$L$1121)*J1115,2)</f>
        <v>8.7200000000000006</v>
      </c>
      <c r="X1115" s="2">
        <f t="shared" si="321"/>
        <v>0</v>
      </c>
      <c r="AA1115" s="281"/>
      <c r="AB1115" s="281"/>
      <c r="AC1115" s="74"/>
      <c r="AD1115" s="403"/>
      <c r="AE1115" s="403"/>
      <c r="AF1115" s="283"/>
      <c r="AG1115" s="283"/>
      <c r="AH1115" s="283"/>
      <c r="AI1115" s="278"/>
      <c r="AJ1115" s="278"/>
      <c r="AK1115" s="281"/>
      <c r="AL1115" s="281"/>
      <c r="AM1115" s="285"/>
      <c r="AN1115" s="281"/>
      <c r="AO1115" s="20"/>
      <c r="AP1115" s="20"/>
      <c r="AQ1115" s="20"/>
      <c r="AR1115" s="20"/>
      <c r="AS1115" s="20"/>
    </row>
    <row r="1116" spans="1:45">
      <c r="A1116" s="3" t="s">
        <v>589</v>
      </c>
      <c r="C1116" s="264">
        <f>[55]Sheet1!$F$6</f>
        <v>831.58410223590397</v>
      </c>
      <c r="D1116" s="265">
        <v>12.97</v>
      </c>
      <c r="F1116" s="2">
        <f t="shared" si="315"/>
        <v>10786</v>
      </c>
      <c r="G1116" s="265">
        <v>12.97</v>
      </c>
      <c r="I1116" s="2">
        <f t="shared" si="318"/>
        <v>10786</v>
      </c>
      <c r="J1116" s="265">
        <f t="shared" si="316"/>
        <v>13.56</v>
      </c>
      <c r="L1116" s="2">
        <f t="shared" si="319"/>
        <v>11276</v>
      </c>
      <c r="M1116" s="2"/>
      <c r="N1116" s="265">
        <f>ROUND(P1116/C1116,2)</f>
        <v>7.94</v>
      </c>
      <c r="P1116" s="2">
        <f t="shared" si="317"/>
        <v>6598.9639787679935</v>
      </c>
      <c r="Q1116" s="2"/>
      <c r="R1116" s="265">
        <f>ROUND(T1116/C1116,2)</f>
        <v>1.1100000000000001</v>
      </c>
      <c r="T1116" s="2">
        <f t="shared" si="320"/>
        <v>924.34926067657852</v>
      </c>
      <c r="U1116" s="2"/>
      <c r="V1116" s="265">
        <f>ROUND(X1116/C1116,2)</f>
        <v>4.51</v>
      </c>
      <c r="X1116" s="2">
        <f t="shared" si="321"/>
        <v>3752.6867605554285</v>
      </c>
      <c r="AA1116" s="281"/>
      <c r="AB1116" s="281"/>
      <c r="AC1116" s="74"/>
      <c r="AD1116" s="403"/>
      <c r="AE1116" s="403"/>
      <c r="AF1116" s="283"/>
      <c r="AG1116" s="283"/>
      <c r="AH1116" s="283"/>
      <c r="AI1116" s="278"/>
      <c r="AJ1116" s="278"/>
      <c r="AK1116" s="281"/>
      <c r="AL1116" s="281"/>
      <c r="AM1116" s="285"/>
      <c r="AN1116" s="281"/>
      <c r="AO1116" s="20"/>
      <c r="AP1116" s="20"/>
      <c r="AQ1116" s="20"/>
      <c r="AR1116" s="20"/>
      <c r="AS1116" s="20"/>
    </row>
    <row r="1117" spans="1:45">
      <c r="A1117" s="3" t="s">
        <v>596</v>
      </c>
      <c r="C1117" s="264">
        <v>0</v>
      </c>
      <c r="D1117" s="265">
        <v>33.4</v>
      </c>
      <c r="F1117" s="2">
        <f t="shared" si="315"/>
        <v>0</v>
      </c>
      <c r="G1117" s="265">
        <v>33.4</v>
      </c>
      <c r="I1117" s="2">
        <f t="shared" si="318"/>
        <v>0</v>
      </c>
      <c r="J1117" s="265">
        <f t="shared" si="316"/>
        <v>34.92</v>
      </c>
      <c r="L1117" s="2">
        <f t="shared" si="319"/>
        <v>0</v>
      </c>
      <c r="M1117" s="2"/>
      <c r="N1117" s="265">
        <f t="shared" ref="N1117:N1118" si="324">ROUND(SUM($P$1112:$P$1121)/SUM($L$1112:$L$1121)*J1117,2)</f>
        <v>20.440000000000001</v>
      </c>
      <c r="P1117" s="2">
        <f t="shared" si="317"/>
        <v>0</v>
      </c>
      <c r="Q1117" s="2"/>
      <c r="R1117" s="265">
        <f t="shared" si="322"/>
        <v>2.86</v>
      </c>
      <c r="T1117" s="2">
        <f t="shared" si="320"/>
        <v>0</v>
      </c>
      <c r="U1117" s="2"/>
      <c r="V1117" s="265">
        <f t="shared" ref="V1117:V1118" si="325">ROUND(SUM($X$1112:$X$1121)/SUM($L$1112:$L$1121)*J1117,2)</f>
        <v>11.62</v>
      </c>
      <c r="X1117" s="2">
        <f t="shared" si="321"/>
        <v>0</v>
      </c>
      <c r="AA1117" s="281"/>
      <c r="AB1117" s="281"/>
      <c r="AC1117" s="74"/>
      <c r="AD1117" s="403"/>
      <c r="AE1117" s="403"/>
      <c r="AF1117" s="283"/>
      <c r="AG1117" s="283"/>
      <c r="AH1117" s="283"/>
      <c r="AI1117" s="278"/>
      <c r="AJ1117" s="278"/>
      <c r="AK1117" s="281"/>
      <c r="AL1117" s="281"/>
      <c r="AM1117" s="285"/>
      <c r="AN1117" s="281"/>
      <c r="AO1117" s="20"/>
      <c r="AP1117" s="20"/>
      <c r="AQ1117" s="20"/>
      <c r="AR1117" s="20"/>
      <c r="AS1117" s="20"/>
    </row>
    <row r="1118" spans="1:45">
      <c r="A1118" s="3" t="s">
        <v>597</v>
      </c>
      <c r="C1118" s="264">
        <v>0</v>
      </c>
      <c r="D1118" s="265">
        <v>26.27</v>
      </c>
      <c r="F1118" s="2">
        <f t="shared" si="315"/>
        <v>0</v>
      </c>
      <c r="G1118" s="265">
        <v>26.27</v>
      </c>
      <c r="I1118" s="2">
        <f t="shared" si="318"/>
        <v>0</v>
      </c>
      <c r="J1118" s="265">
        <f t="shared" si="316"/>
        <v>27.46</v>
      </c>
      <c r="L1118" s="2">
        <f t="shared" si="319"/>
        <v>0</v>
      </c>
      <c r="M1118" s="2"/>
      <c r="N1118" s="265">
        <f t="shared" si="324"/>
        <v>16.07</v>
      </c>
      <c r="P1118" s="2">
        <f t="shared" si="317"/>
        <v>0</v>
      </c>
      <c r="Q1118" s="2"/>
      <c r="R1118" s="265">
        <f t="shared" si="322"/>
        <v>2.25</v>
      </c>
      <c r="T1118" s="2">
        <f t="shared" si="320"/>
        <v>0</v>
      </c>
      <c r="U1118" s="2"/>
      <c r="V1118" s="265">
        <f t="shared" si="325"/>
        <v>9.14</v>
      </c>
      <c r="X1118" s="2">
        <f t="shared" si="321"/>
        <v>0</v>
      </c>
      <c r="AA1118" s="281"/>
      <c r="AB1118" s="281"/>
      <c r="AC1118" s="74"/>
      <c r="AD1118" s="403"/>
      <c r="AE1118" s="403"/>
      <c r="AF1118" s="283"/>
      <c r="AG1118" s="283"/>
      <c r="AH1118" s="283"/>
      <c r="AI1118" s="278"/>
      <c r="AJ1118" s="278"/>
      <c r="AK1118" s="281"/>
      <c r="AL1118" s="281"/>
      <c r="AM1118" s="285"/>
      <c r="AN1118" s="281"/>
      <c r="AO1118" s="20"/>
      <c r="AP1118" s="20"/>
      <c r="AQ1118" s="20"/>
      <c r="AR1118" s="20"/>
      <c r="AS1118" s="20"/>
    </row>
    <row r="1119" spans="1:45">
      <c r="A1119" s="3" t="s">
        <v>359</v>
      </c>
      <c r="C1119" s="264">
        <f>[55]Sheet1!$F$9</f>
        <v>19415.719457651699</v>
      </c>
      <c r="D1119" s="265">
        <v>14.81</v>
      </c>
      <c r="F1119" s="2">
        <f t="shared" si="315"/>
        <v>287547</v>
      </c>
      <c r="G1119" s="265">
        <v>14.81</v>
      </c>
      <c r="I1119" s="2">
        <f t="shared" si="318"/>
        <v>287547</v>
      </c>
      <c r="J1119" s="265">
        <f t="shared" si="316"/>
        <v>15.48</v>
      </c>
      <c r="L1119" s="2">
        <f t="shared" si="319"/>
        <v>300555</v>
      </c>
      <c r="M1119" s="2"/>
      <c r="N1119" s="265">
        <f t="shared" ref="N1119:N1121" si="326">ROUND(P1119/C1119,2)</f>
        <v>9.06</v>
      </c>
      <c r="P1119" s="2">
        <f t="shared" si="317"/>
        <v>175891.41704847591</v>
      </c>
      <c r="Q1119" s="2"/>
      <c r="R1119" s="265">
        <f t="shared" ref="R1119:R1121" si="327">ROUND(T1119/C1119,2)</f>
        <v>1.27</v>
      </c>
      <c r="T1119" s="2">
        <f t="shared" si="320"/>
        <v>24637.973753338869</v>
      </c>
      <c r="U1119" s="2"/>
      <c r="V1119" s="265">
        <f>ROUND(X1119/C1119,2)</f>
        <v>5.15</v>
      </c>
      <c r="X1119" s="2">
        <f t="shared" si="321"/>
        <v>100025.60919818525</v>
      </c>
      <c r="AA1119" s="281"/>
      <c r="AB1119" s="281"/>
      <c r="AC1119" s="74"/>
      <c r="AD1119" s="403"/>
      <c r="AE1119" s="403"/>
      <c r="AF1119" s="283"/>
      <c r="AG1119" s="283"/>
      <c r="AH1119" s="283"/>
      <c r="AI1119" s="278"/>
      <c r="AJ1119" s="278"/>
      <c r="AK1119" s="281"/>
      <c r="AL1119" s="281"/>
      <c r="AM1119" s="285"/>
      <c r="AN1119" s="281"/>
      <c r="AO1119" s="20"/>
      <c r="AP1119" s="20"/>
      <c r="AQ1119" s="20"/>
      <c r="AR1119" s="20"/>
      <c r="AS1119" s="20"/>
    </row>
    <row r="1120" spans="1:45">
      <c r="A1120" s="3" t="s">
        <v>590</v>
      </c>
      <c r="C1120" s="264">
        <f>[55]Sheet1!$F$7</f>
        <v>1586.8222491951999</v>
      </c>
      <c r="D1120" s="265">
        <v>18.79</v>
      </c>
      <c r="F1120" s="2">
        <f t="shared" si="315"/>
        <v>29816</v>
      </c>
      <c r="G1120" s="265">
        <v>18.79</v>
      </c>
      <c r="I1120" s="2">
        <f t="shared" si="318"/>
        <v>29816</v>
      </c>
      <c r="J1120" s="265">
        <f t="shared" si="316"/>
        <v>19.64</v>
      </c>
      <c r="L1120" s="2">
        <f t="shared" si="319"/>
        <v>31165</v>
      </c>
      <c r="M1120" s="2"/>
      <c r="N1120" s="265">
        <f t="shared" si="326"/>
        <v>11.49</v>
      </c>
      <c r="P1120" s="2">
        <f t="shared" si="317"/>
        <v>18238.445583389901</v>
      </c>
      <c r="Q1120" s="2"/>
      <c r="R1120" s="265">
        <f t="shared" si="327"/>
        <v>1.61</v>
      </c>
      <c r="T1120" s="2">
        <f t="shared" si="320"/>
        <v>2554.7485552488092</v>
      </c>
      <c r="U1120" s="2"/>
      <c r="V1120" s="265">
        <f t="shared" ref="V1120:V1121" si="328">ROUND(X1120/C1120,2)</f>
        <v>6.54</v>
      </c>
      <c r="X1120" s="2">
        <f t="shared" si="321"/>
        <v>10371.805861361294</v>
      </c>
      <c r="AA1120" s="281"/>
      <c r="AB1120" s="281"/>
      <c r="AC1120" s="74"/>
      <c r="AD1120" s="403"/>
      <c r="AE1120" s="403"/>
      <c r="AF1120" s="283"/>
      <c r="AG1120" s="283"/>
      <c r="AH1120" s="283"/>
      <c r="AI1120" s="278"/>
      <c r="AJ1120" s="278"/>
      <c r="AK1120" s="281"/>
      <c r="AL1120" s="281"/>
      <c r="AM1120" s="285"/>
      <c r="AN1120" s="281"/>
      <c r="AO1120" s="20"/>
      <c r="AP1120" s="20"/>
      <c r="AQ1120" s="20"/>
      <c r="AR1120" s="20"/>
      <c r="AS1120" s="20"/>
    </row>
    <row r="1121" spans="1:47">
      <c r="A1121" s="3" t="s">
        <v>360</v>
      </c>
      <c r="C1121" s="264">
        <f>[55]Sheet1!$F$3+[55]Sheet1!$F$5</f>
        <v>2398.8688877327099</v>
      </c>
      <c r="D1121" s="265">
        <v>24.8</v>
      </c>
      <c r="F1121" s="2">
        <f t="shared" si="315"/>
        <v>59492</v>
      </c>
      <c r="G1121" s="265">
        <v>24.8</v>
      </c>
      <c r="I1121" s="2">
        <f t="shared" si="318"/>
        <v>59492</v>
      </c>
      <c r="J1121" s="265">
        <f t="shared" si="316"/>
        <v>25.93</v>
      </c>
      <c r="L1121" s="2">
        <f>ROUND(J1121*$C1121,0)</f>
        <v>62203</v>
      </c>
      <c r="M1121" s="2"/>
      <c r="N1121" s="265">
        <f t="shared" si="326"/>
        <v>15.17</v>
      </c>
      <c r="P1121" s="2">
        <f t="shared" si="317"/>
        <v>36402.567964819573</v>
      </c>
      <c r="Q1121" s="2"/>
      <c r="R1121" s="265">
        <f t="shared" si="327"/>
        <v>2.13</v>
      </c>
      <c r="T1121" s="2">
        <f t="shared" si="320"/>
        <v>5099.0862949508</v>
      </c>
      <c r="U1121" s="2"/>
      <c r="V1121" s="265">
        <f t="shared" si="328"/>
        <v>8.6300000000000008</v>
      </c>
      <c r="X1121" s="2">
        <f t="shared" si="321"/>
        <v>20701.345740229634</v>
      </c>
      <c r="AA1121" s="281"/>
      <c r="AB1121" s="281"/>
      <c r="AC1121" s="74"/>
      <c r="AD1121" s="403"/>
      <c r="AE1121" s="403"/>
      <c r="AF1121" s="283"/>
      <c r="AG1121" s="283"/>
      <c r="AH1121" s="283"/>
      <c r="AI1121" s="278"/>
      <c r="AJ1121" s="278"/>
      <c r="AK1121" s="281"/>
      <c r="AL1121" s="281"/>
      <c r="AM1121" s="285"/>
      <c r="AN1121" s="281"/>
      <c r="AO1121" s="20"/>
      <c r="AP1121" s="20"/>
      <c r="AQ1121" s="20"/>
      <c r="AR1121" s="20"/>
      <c r="AS1121" s="20"/>
    </row>
    <row r="1122" spans="1:47">
      <c r="A1122" s="768" t="s">
        <v>1069</v>
      </c>
      <c r="C1122" s="264"/>
      <c r="D1122" s="265"/>
      <c r="F1122" s="2"/>
      <c r="G1122" s="265"/>
      <c r="I1122" s="2"/>
      <c r="J1122" s="265"/>
      <c r="L1122" s="2"/>
      <c r="M1122" s="2"/>
      <c r="N1122" s="265"/>
      <c r="P1122" s="2"/>
      <c r="Q1122" s="2"/>
      <c r="R1122" s="265"/>
      <c r="T1122" s="2"/>
      <c r="U1122" s="2"/>
      <c r="V1122" s="265"/>
      <c r="X1122" s="2"/>
      <c r="AA1122" s="281"/>
      <c r="AB1122" s="281"/>
      <c r="AC1122" s="74"/>
      <c r="AD1122" s="403"/>
      <c r="AE1122" s="403"/>
      <c r="AF1122" s="283"/>
      <c r="AG1122" s="283"/>
      <c r="AH1122" s="283"/>
      <c r="AI1122" s="278"/>
      <c r="AJ1122" s="278"/>
      <c r="AK1122" s="281"/>
      <c r="AL1122" s="281"/>
      <c r="AM1122" s="285"/>
      <c r="AN1122" s="281"/>
      <c r="AO1122" s="20"/>
      <c r="AP1122" s="20"/>
      <c r="AQ1122" s="20"/>
      <c r="AR1122" s="20"/>
      <c r="AS1122" s="20"/>
    </row>
    <row r="1123" spans="1:47">
      <c r="A1123" s="4" t="s">
        <v>1070</v>
      </c>
      <c r="C1123" s="264">
        <v>0</v>
      </c>
      <c r="D1123" s="265">
        <v>24.8</v>
      </c>
      <c r="F1123" s="2">
        <f t="shared" ref="F1123:F1126" si="329">ROUND(D1123*$C1123,0)</f>
        <v>0</v>
      </c>
      <c r="G1123" s="265">
        <v>9.35</v>
      </c>
      <c r="I1123" s="2">
        <f t="shared" ref="I1123:I1126" si="330">ROUND(C1123*G1123,0)</f>
        <v>0</v>
      </c>
      <c r="J1123" s="265">
        <f>ROUND(G1123+(G1123*$AA$1140),2)</f>
        <v>9.77</v>
      </c>
      <c r="L1123" s="2">
        <f>ROUND(J1123*$C1123,0)</f>
        <v>0</v>
      </c>
      <c r="M1123" s="2"/>
      <c r="N1123" s="265">
        <f t="shared" ref="N1123:N1126" si="331">ROUND(SUM($P$1112:$P$1121)/SUM($L$1112:$L$1121)*J1123,2)</f>
        <v>5.72</v>
      </c>
      <c r="P1123" s="2">
        <f>ROUND(N1123*$C1123,0)</f>
        <v>0</v>
      </c>
      <c r="Q1123" s="2"/>
      <c r="R1123" s="265">
        <f t="shared" ref="R1123:R1126" si="332">ROUND(SUM($T$1112:$T$1121)/SUM($L$1112:$L$1121)*J1123,2)</f>
        <v>0.8</v>
      </c>
      <c r="T1123" s="2">
        <f>ROUND(R1123*$C1123,0)</f>
        <v>0</v>
      </c>
      <c r="U1123" s="2"/>
      <c r="V1123" s="265">
        <f>ROUND(SUM($X$1112:$X$1121)/SUM($L$1112:$L$1121)*J1123,2)</f>
        <v>3.25</v>
      </c>
      <c r="X1123" s="2">
        <f>ROUND(V1123*$C1123,0)</f>
        <v>0</v>
      </c>
      <c r="AA1123" s="281"/>
      <c r="AB1123" s="281"/>
      <c r="AC1123" s="74"/>
      <c r="AD1123" s="403"/>
      <c r="AE1123" s="403"/>
      <c r="AF1123" s="283"/>
      <c r="AG1123" s="283"/>
      <c r="AH1123" s="283"/>
      <c r="AI1123" s="278"/>
      <c r="AJ1123" s="278"/>
      <c r="AK1123" s="281"/>
      <c r="AL1123" s="281"/>
      <c r="AM1123" s="285"/>
      <c r="AN1123" s="281"/>
      <c r="AO1123" s="20"/>
      <c r="AP1123" s="20"/>
      <c r="AQ1123" s="20"/>
      <c r="AR1123" s="20"/>
      <c r="AS1123" s="20"/>
    </row>
    <row r="1124" spans="1:47">
      <c r="A1124" s="4" t="s">
        <v>1071</v>
      </c>
      <c r="C1124" s="264">
        <v>0</v>
      </c>
      <c r="D1124" s="265">
        <v>24.8</v>
      </c>
      <c r="F1124" s="2">
        <f t="shared" si="329"/>
        <v>0</v>
      </c>
      <c r="G1124" s="265">
        <v>11.79</v>
      </c>
      <c r="I1124" s="2">
        <f t="shared" si="330"/>
        <v>0</v>
      </c>
      <c r="J1124" s="265">
        <f t="shared" ref="J1124:J1126" si="333">ROUND(G1124+(G1124*$AA$1140),2)</f>
        <v>12.33</v>
      </c>
      <c r="L1124" s="2">
        <f>ROUND(J1124*$C1124,0)</f>
        <v>0</v>
      </c>
      <c r="M1124" s="2"/>
      <c r="N1124" s="265">
        <f t="shared" si="331"/>
        <v>7.22</v>
      </c>
      <c r="P1124" s="2">
        <f>ROUND(N1124*$C1124,0)</f>
        <v>0</v>
      </c>
      <c r="Q1124" s="2"/>
      <c r="R1124" s="265">
        <f t="shared" si="332"/>
        <v>1.01</v>
      </c>
      <c r="T1124" s="2">
        <f>ROUND(R1124*$C1124,0)</f>
        <v>0</v>
      </c>
      <c r="U1124" s="2"/>
      <c r="V1124" s="265">
        <f>ROUND(SUM($X$1112:$X$1121)/SUM($L$1112:$L$1121)*J1124,2)</f>
        <v>4.0999999999999996</v>
      </c>
      <c r="X1124" s="2">
        <f>ROUND(V1124*$C1124,0)</f>
        <v>0</v>
      </c>
      <c r="AA1124" s="281"/>
      <c r="AB1124" s="281"/>
      <c r="AC1124" s="74"/>
      <c r="AD1124" s="403"/>
      <c r="AE1124" s="403"/>
      <c r="AF1124" s="283"/>
      <c r="AG1124" s="283"/>
      <c r="AH1124" s="283"/>
      <c r="AI1124" s="278"/>
      <c r="AJ1124" s="278"/>
      <c r="AK1124" s="281"/>
      <c r="AL1124" s="281"/>
      <c r="AM1124" s="285"/>
      <c r="AN1124" s="281"/>
      <c r="AO1124" s="20"/>
      <c r="AP1124" s="20"/>
      <c r="AQ1124" s="20"/>
      <c r="AR1124" s="20"/>
      <c r="AS1124" s="20"/>
    </row>
    <row r="1125" spans="1:47">
      <c r="A1125" s="4" t="s">
        <v>1072</v>
      </c>
      <c r="C1125" s="264">
        <v>0</v>
      </c>
      <c r="D1125" s="265">
        <v>24.8</v>
      </c>
      <c r="F1125" s="2">
        <f t="shared" si="329"/>
        <v>0</v>
      </c>
      <c r="G1125" s="265">
        <v>19.600000000000001</v>
      </c>
      <c r="I1125" s="2">
        <f t="shared" si="330"/>
        <v>0</v>
      </c>
      <c r="J1125" s="265">
        <f t="shared" si="333"/>
        <v>20.49</v>
      </c>
      <c r="L1125" s="2">
        <f>ROUND(J1125*$C1125,0)</f>
        <v>0</v>
      </c>
      <c r="M1125" s="2"/>
      <c r="N1125" s="265">
        <f t="shared" si="331"/>
        <v>11.99</v>
      </c>
      <c r="P1125" s="2">
        <f>ROUND(N1125*$C1125,0)</f>
        <v>0</v>
      </c>
      <c r="Q1125" s="2"/>
      <c r="R1125" s="265">
        <f t="shared" si="332"/>
        <v>1.68</v>
      </c>
      <c r="T1125" s="2">
        <f>ROUND(R1125*$C1125,0)</f>
        <v>0</v>
      </c>
      <c r="U1125" s="2"/>
      <c r="V1125" s="265">
        <f>ROUND(SUM($X$1112:$X$1121)/SUM($L$1112:$L$1121)*J1125,2)</f>
        <v>6.82</v>
      </c>
      <c r="X1125" s="2">
        <f>ROUND(V1125*$C1125,0)</f>
        <v>0</v>
      </c>
      <c r="AA1125" s="281"/>
      <c r="AB1125" s="281"/>
      <c r="AC1125" s="74"/>
      <c r="AD1125" s="403"/>
      <c r="AE1125" s="403"/>
      <c r="AF1125" s="283"/>
      <c r="AG1125" s="283"/>
      <c r="AH1125" s="283"/>
      <c r="AI1125" s="278"/>
      <c r="AJ1125" s="278"/>
      <c r="AK1125" s="281"/>
      <c r="AL1125" s="281"/>
      <c r="AM1125" s="285"/>
      <c r="AN1125" s="281"/>
      <c r="AO1125" s="20"/>
      <c r="AP1125" s="20"/>
      <c r="AQ1125" s="20"/>
      <c r="AR1125" s="20"/>
      <c r="AS1125" s="20"/>
    </row>
    <row r="1126" spans="1:47">
      <c r="A1126" s="4" t="s">
        <v>1073</v>
      </c>
      <c r="C1126" s="264">
        <v>0</v>
      </c>
      <c r="D1126" s="265">
        <v>24.8</v>
      </c>
      <c r="F1126" s="2">
        <f t="shared" si="329"/>
        <v>0</v>
      </c>
      <c r="G1126" s="265">
        <v>24.73</v>
      </c>
      <c r="I1126" s="2">
        <f t="shared" si="330"/>
        <v>0</v>
      </c>
      <c r="J1126" s="265">
        <f t="shared" si="333"/>
        <v>25.85</v>
      </c>
      <c r="L1126" s="2">
        <f>ROUND(J1126*$C1126,0)</f>
        <v>0</v>
      </c>
      <c r="M1126" s="2"/>
      <c r="N1126" s="265">
        <f t="shared" si="331"/>
        <v>15.13</v>
      </c>
      <c r="P1126" s="2">
        <f>ROUND(N1126*$C1126,0)</f>
        <v>0</v>
      </c>
      <c r="Q1126" s="2"/>
      <c r="R1126" s="265">
        <f t="shared" si="332"/>
        <v>2.12</v>
      </c>
      <c r="T1126" s="2">
        <f>ROUND(R1126*$C1126,0)</f>
        <v>0</v>
      </c>
      <c r="U1126" s="2"/>
      <c r="V1126" s="265">
        <f>ROUND(SUM($X$1112:$X$1121)/SUM($L$1112:$L$1121)*J1126,2)</f>
        <v>8.6</v>
      </c>
      <c r="X1126" s="2">
        <f>ROUND(V1126*$C1126,0)</f>
        <v>0</v>
      </c>
      <c r="AA1126" s="281"/>
      <c r="AB1126" s="281"/>
      <c r="AC1126" s="74"/>
      <c r="AD1126" s="403"/>
      <c r="AE1126" s="403"/>
      <c r="AF1126" s="283"/>
      <c r="AG1126" s="283"/>
      <c r="AH1126" s="283"/>
      <c r="AI1126" s="278"/>
      <c r="AJ1126" s="278"/>
      <c r="AK1126" s="281"/>
      <c r="AL1126" s="281"/>
      <c r="AM1126" s="285"/>
      <c r="AN1126" s="281"/>
      <c r="AO1126" s="20"/>
      <c r="AP1126" s="20"/>
      <c r="AQ1126" s="20"/>
      <c r="AR1126" s="20"/>
      <c r="AS1126" s="20"/>
    </row>
    <row r="1127" spans="1:47">
      <c r="A1127" s="3" t="s">
        <v>593</v>
      </c>
      <c r="C1127" s="264"/>
      <c r="D1127" s="265"/>
      <c r="F1127" s="2"/>
      <c r="G1127" s="265"/>
      <c r="I1127" s="2"/>
      <c r="J1127" s="265"/>
      <c r="L1127" s="2"/>
      <c r="M1127" s="2"/>
      <c r="N1127" s="265"/>
      <c r="P1127" s="2"/>
      <c r="Q1127" s="2"/>
      <c r="R1127" s="265"/>
      <c r="T1127" s="2"/>
      <c r="U1127" s="2"/>
      <c r="V1127" s="265"/>
      <c r="X1127" s="2"/>
      <c r="AA1127" s="281"/>
      <c r="AB1127" s="281"/>
      <c r="AC1127" s="74"/>
      <c r="AD1127" s="403"/>
      <c r="AE1127" s="403"/>
      <c r="AF1127" s="283"/>
      <c r="AG1127" s="283"/>
      <c r="AH1127" s="283"/>
      <c r="AI1127" s="278"/>
      <c r="AJ1127" s="278"/>
      <c r="AK1127" s="281"/>
      <c r="AL1127" s="281"/>
      <c r="AM1127" s="285"/>
      <c r="AN1127" s="281"/>
      <c r="AO1127" s="20"/>
      <c r="AP1127" s="20"/>
      <c r="AQ1127" s="20"/>
      <c r="AR1127" s="20"/>
      <c r="AS1127" s="20"/>
    </row>
    <row r="1128" spans="1:47">
      <c r="A1128" s="3" t="s">
        <v>598</v>
      </c>
      <c r="C1128" s="264">
        <v>0</v>
      </c>
      <c r="D1128" s="265">
        <v>30.92</v>
      </c>
      <c r="F1128" s="2">
        <f t="shared" ref="F1128:F1134" si="334">ROUND(D1128*$C1128,0)</f>
        <v>0</v>
      </c>
      <c r="G1128" s="265">
        <v>30.92</v>
      </c>
      <c r="I1128" s="2">
        <f t="shared" si="318"/>
        <v>0</v>
      </c>
      <c r="J1128" s="265">
        <f t="shared" ref="J1128:J1134" si="335">ROUND(G1128+(G1128*$AA$1140),2)</f>
        <v>32.32</v>
      </c>
      <c r="L1128" s="2">
        <f>ROUND(J1128*$C1128,0)</f>
        <v>0</v>
      </c>
      <c r="M1128" s="2"/>
      <c r="N1128" s="265">
        <f t="shared" ref="N1128:N1134" si="336">ROUND(SUM($P$1112:$P$1121)/SUM($L$1112:$L$1121)*J1128,2)</f>
        <v>18.91</v>
      </c>
      <c r="P1128" s="2">
        <f t="shared" ref="P1128:P1134" si="337">($Y$1142-$P$1136-$P$1138)*(L1128/($L$1112+$L$1113+$L$1114+$L$1115+$L$1116+$L$1117+$L$1118+$L$1119+$L$1120+$L$1121+$L$1128+$L$1129+L$1130+$L$1131+$L$1132+$L$1133+$L$1134))</f>
        <v>0</v>
      </c>
      <c r="Q1128" s="2"/>
      <c r="R1128" s="265">
        <f t="shared" ref="R1128:R1134" si="338">ROUND(SUM($T$1112:$T$1121)/SUM($L$1112:$L$1121)*J1128,2)</f>
        <v>2.65</v>
      </c>
      <c r="T1128" s="2">
        <f t="shared" ref="T1128:T1134" si="339">($Z$1142-$T$1136-$T$1138)*(L1128/($L$1112+$L$1113+$L$1114+$L$1115+$L$1116+$L$1117+$L$1118+$L$1119+$L$1120+$L$1121+$L$1128+$L$1129+P$1130+$L$1131+$L$1132+$L$1133+$L$1134))</f>
        <v>0</v>
      </c>
      <c r="U1128" s="2"/>
      <c r="V1128" s="265">
        <f>ROUND(SUM($X$1112:$X$1121)/SUM($L$1112:$L$1121)*J1128,2)</f>
        <v>10.76</v>
      </c>
      <c r="X1128" s="2">
        <f t="shared" ref="X1128:X1134" si="340">($AA$1142-$X$1136-$X$1138)*(L1128/($L$1112+$L$1113+$L$1114+$L$1115+$L$1116+$L$1117+$L$1118+$L$1119+$L$1120+$L$1121+$L$1128+$L$1129+T$1130+$L$1131+$L$1132+$L$1133+$L$1134))</f>
        <v>0</v>
      </c>
      <c r="AA1128" s="281"/>
      <c r="AB1128" s="281"/>
      <c r="AC1128" s="74"/>
      <c r="AD1128" s="403"/>
      <c r="AE1128" s="403"/>
      <c r="AF1128" s="283"/>
      <c r="AG1128" s="283"/>
      <c r="AH1128" s="283"/>
      <c r="AI1128" s="278"/>
      <c r="AJ1128" s="278"/>
      <c r="AK1128" s="281"/>
      <c r="AL1128" s="281"/>
      <c r="AM1128" s="285"/>
      <c r="AN1128" s="281"/>
      <c r="AO1128" s="20"/>
      <c r="AP1128" s="20"/>
      <c r="AQ1128" s="20"/>
      <c r="AR1128" s="20"/>
      <c r="AS1128" s="20"/>
    </row>
    <row r="1129" spans="1:47">
      <c r="A1129" s="3" t="s">
        <v>599</v>
      </c>
      <c r="C1129" s="264">
        <v>0</v>
      </c>
      <c r="D1129" s="265">
        <v>25.79</v>
      </c>
      <c r="F1129" s="2">
        <f t="shared" si="334"/>
        <v>0</v>
      </c>
      <c r="G1129" s="265">
        <v>25.79</v>
      </c>
      <c r="I1129" s="2">
        <f t="shared" si="318"/>
        <v>0</v>
      </c>
      <c r="J1129" s="265">
        <f t="shared" si="335"/>
        <v>26.96</v>
      </c>
      <c r="L1129" s="2">
        <f t="shared" si="319"/>
        <v>0</v>
      </c>
      <c r="M1129" s="2"/>
      <c r="N1129" s="265">
        <f t="shared" si="336"/>
        <v>15.78</v>
      </c>
      <c r="P1129" s="2">
        <f t="shared" si="337"/>
        <v>0</v>
      </c>
      <c r="Q1129" s="2"/>
      <c r="R1129" s="265">
        <f t="shared" si="338"/>
        <v>2.21</v>
      </c>
      <c r="T1129" s="2">
        <f t="shared" si="339"/>
        <v>0</v>
      </c>
      <c r="U1129" s="2"/>
      <c r="V1129" s="265">
        <f>ROUND(SUM($X$1112:$X$1121)/SUM($L$1112:$L$1121)*J1129,2)</f>
        <v>8.9700000000000006</v>
      </c>
      <c r="X1129" s="2">
        <f t="shared" si="340"/>
        <v>0</v>
      </c>
      <c r="AA1129" s="281"/>
      <c r="AB1129" s="281"/>
      <c r="AC1129" s="74"/>
      <c r="AD1129" s="403"/>
      <c r="AE1129" s="403"/>
      <c r="AF1129" s="283"/>
      <c r="AG1129" s="283"/>
      <c r="AH1129" s="283"/>
      <c r="AI1129" s="278"/>
      <c r="AJ1129" s="278"/>
      <c r="AK1129" s="281"/>
      <c r="AL1129" s="281"/>
      <c r="AM1129" s="285"/>
      <c r="AN1129" s="281"/>
      <c r="AO1129" s="20"/>
      <c r="AP1129" s="20"/>
      <c r="AQ1129" s="20"/>
      <c r="AR1129" s="20"/>
      <c r="AS1129" s="20"/>
    </row>
    <row r="1130" spans="1:47">
      <c r="A1130" s="3" t="s">
        <v>600</v>
      </c>
      <c r="C1130" s="264">
        <v>0</v>
      </c>
      <c r="D1130" s="265">
        <v>23.77</v>
      </c>
      <c r="F1130" s="2">
        <f t="shared" si="334"/>
        <v>0</v>
      </c>
      <c r="G1130" s="265">
        <v>23.77</v>
      </c>
      <c r="I1130" s="2">
        <f t="shared" si="318"/>
        <v>0</v>
      </c>
      <c r="J1130" s="265">
        <f t="shared" si="335"/>
        <v>24.85</v>
      </c>
      <c r="L1130" s="2">
        <f>ROUND(J1130*$C1130,0)</f>
        <v>0</v>
      </c>
      <c r="M1130" s="2"/>
      <c r="N1130" s="265">
        <f t="shared" si="336"/>
        <v>14.54</v>
      </c>
      <c r="P1130" s="2">
        <f t="shared" si="337"/>
        <v>0</v>
      </c>
      <c r="Q1130" s="2"/>
      <c r="R1130" s="265">
        <f t="shared" si="338"/>
        <v>2.04</v>
      </c>
      <c r="T1130" s="2">
        <f t="shared" si="339"/>
        <v>0</v>
      </c>
      <c r="U1130" s="2"/>
      <c r="V1130" s="265">
        <f t="shared" ref="V1130:V1133" si="341">ROUND(SUM($X$1112:$X$1121)/SUM($L$1112:$L$1121)*J1130,2)</f>
        <v>8.27</v>
      </c>
      <c r="X1130" s="2">
        <f t="shared" si="340"/>
        <v>0</v>
      </c>
      <c r="AA1130" s="281"/>
      <c r="AB1130" s="281"/>
      <c r="AC1130" s="74"/>
      <c r="AD1130" s="403"/>
      <c r="AE1130" s="403"/>
      <c r="AF1130" s="283"/>
      <c r="AG1130" s="283"/>
      <c r="AH1130" s="283"/>
      <c r="AI1130" s="278"/>
      <c r="AJ1130" s="278"/>
      <c r="AK1130" s="281"/>
      <c r="AL1130" s="281"/>
      <c r="AM1130" s="285"/>
      <c r="AN1130" s="281"/>
      <c r="AO1130" s="20"/>
      <c r="AP1130" s="20"/>
      <c r="AQ1130" s="20"/>
      <c r="AR1130" s="20"/>
      <c r="AS1130" s="20"/>
    </row>
    <row r="1131" spans="1:47">
      <c r="A1131" s="3" t="s">
        <v>601</v>
      </c>
      <c r="C1131" s="264">
        <v>0</v>
      </c>
      <c r="D1131" s="265">
        <v>34.74</v>
      </c>
      <c r="F1131" s="2">
        <f t="shared" si="334"/>
        <v>0</v>
      </c>
      <c r="G1131" s="265">
        <v>34.74</v>
      </c>
      <c r="I1131" s="2">
        <f t="shared" si="318"/>
        <v>0</v>
      </c>
      <c r="J1131" s="265">
        <f t="shared" si="335"/>
        <v>36.32</v>
      </c>
      <c r="L1131" s="2">
        <f t="shared" si="319"/>
        <v>0</v>
      </c>
      <c r="M1131" s="2"/>
      <c r="N1131" s="265">
        <f t="shared" si="336"/>
        <v>21.26</v>
      </c>
      <c r="P1131" s="2">
        <f t="shared" si="337"/>
        <v>0</v>
      </c>
      <c r="Q1131" s="2"/>
      <c r="R1131" s="265">
        <f t="shared" si="338"/>
        <v>2.98</v>
      </c>
      <c r="T1131" s="2">
        <f t="shared" si="339"/>
        <v>0</v>
      </c>
      <c r="U1131" s="2"/>
      <c r="V1131" s="265">
        <f>ROUND(SUM($X$1112:$X$1121)/SUM($L$1112:$L$1121)*J1131,2)-0.01</f>
        <v>12.08</v>
      </c>
      <c r="X1131" s="2">
        <f t="shared" si="340"/>
        <v>0</v>
      </c>
      <c r="AA1131" s="281"/>
      <c r="AB1131" s="281"/>
      <c r="AC1131" s="74"/>
      <c r="AD1131" s="403"/>
      <c r="AE1131" s="403"/>
      <c r="AF1131" s="283"/>
      <c r="AG1131" s="283"/>
      <c r="AH1131" s="283"/>
      <c r="AI1131" s="278"/>
      <c r="AJ1131" s="278"/>
      <c r="AK1131" s="281"/>
      <c r="AL1131" s="281"/>
      <c r="AM1131" s="285"/>
      <c r="AN1131" s="281"/>
      <c r="AO1131" s="20"/>
      <c r="AP1131" s="20"/>
      <c r="AQ1131" s="20"/>
      <c r="AR1131" s="20"/>
      <c r="AS1131" s="20"/>
    </row>
    <row r="1132" spans="1:47">
      <c r="A1132" s="3" t="s">
        <v>602</v>
      </c>
      <c r="C1132" s="264">
        <v>0</v>
      </c>
      <c r="D1132" s="265">
        <v>27.97</v>
      </c>
      <c r="F1132" s="2">
        <f t="shared" si="334"/>
        <v>0</v>
      </c>
      <c r="G1132" s="265">
        <v>27.97</v>
      </c>
      <c r="I1132" s="2">
        <f t="shared" si="318"/>
        <v>0</v>
      </c>
      <c r="J1132" s="265">
        <f t="shared" si="335"/>
        <v>29.24</v>
      </c>
      <c r="L1132" s="2">
        <f>ROUND(J1132*$C1132,0)</f>
        <v>0</v>
      </c>
      <c r="M1132" s="2"/>
      <c r="N1132" s="265">
        <f t="shared" si="336"/>
        <v>17.11</v>
      </c>
      <c r="P1132" s="2">
        <f t="shared" si="337"/>
        <v>0</v>
      </c>
      <c r="Q1132" s="2"/>
      <c r="R1132" s="265">
        <f t="shared" si="338"/>
        <v>2.4</v>
      </c>
      <c r="T1132" s="2">
        <f t="shared" si="339"/>
        <v>0</v>
      </c>
      <c r="U1132" s="2"/>
      <c r="V1132" s="265">
        <f t="shared" si="341"/>
        <v>9.73</v>
      </c>
      <c r="X1132" s="2">
        <f t="shared" si="340"/>
        <v>0</v>
      </c>
      <c r="AA1132" s="281"/>
      <c r="AB1132" s="281"/>
      <c r="AC1132" s="74"/>
      <c r="AD1132" s="403"/>
      <c r="AE1132" s="403"/>
      <c r="AF1132" s="283"/>
      <c r="AG1132" s="283"/>
      <c r="AH1132" s="283"/>
      <c r="AI1132" s="278"/>
      <c r="AJ1132" s="278"/>
      <c r="AK1132" s="281"/>
      <c r="AL1132" s="281"/>
      <c r="AM1132" s="285"/>
      <c r="AN1132" s="281"/>
      <c r="AO1132" s="20"/>
      <c r="AP1132" s="20"/>
      <c r="AQ1132" s="20"/>
      <c r="AR1132" s="20"/>
      <c r="AS1132" s="20"/>
    </row>
    <row r="1133" spans="1:47">
      <c r="A1133" s="3" t="s">
        <v>603</v>
      </c>
      <c r="C1133" s="264">
        <v>0</v>
      </c>
      <c r="D1133" s="265">
        <v>27.49</v>
      </c>
      <c r="F1133" s="2">
        <f t="shared" si="334"/>
        <v>0</v>
      </c>
      <c r="G1133" s="265">
        <v>27.49</v>
      </c>
      <c r="I1133" s="2">
        <f t="shared" si="318"/>
        <v>0</v>
      </c>
      <c r="J1133" s="265">
        <f t="shared" si="335"/>
        <v>28.74</v>
      </c>
      <c r="L1133" s="2">
        <f>ROUND(J1133*$C1133,0)</f>
        <v>0</v>
      </c>
      <c r="M1133" s="2"/>
      <c r="N1133" s="265">
        <f t="shared" si="336"/>
        <v>16.82</v>
      </c>
      <c r="P1133" s="2">
        <f t="shared" si="337"/>
        <v>0</v>
      </c>
      <c r="Q1133" s="2"/>
      <c r="R1133" s="265">
        <f t="shared" si="338"/>
        <v>2.36</v>
      </c>
      <c r="T1133" s="2">
        <f t="shared" si="339"/>
        <v>0</v>
      </c>
      <c r="U1133" s="2"/>
      <c r="V1133" s="265">
        <f t="shared" si="341"/>
        <v>9.56</v>
      </c>
      <c r="X1133" s="2">
        <f t="shared" si="340"/>
        <v>0</v>
      </c>
      <c r="AA1133" s="281"/>
      <c r="AB1133" s="281"/>
      <c r="AC1133" s="74"/>
      <c r="AD1133" s="403"/>
      <c r="AE1133" s="403"/>
      <c r="AF1133" s="283"/>
      <c r="AG1133" s="283"/>
      <c r="AH1133" s="283"/>
      <c r="AI1133" s="278"/>
      <c r="AJ1133" s="278"/>
      <c r="AK1133" s="281"/>
      <c r="AL1133" s="281"/>
      <c r="AM1133" s="285"/>
      <c r="AN1133" s="281"/>
      <c r="AO1133" s="20"/>
      <c r="AP1133" s="20"/>
      <c r="AQ1133" s="20"/>
      <c r="AR1133" s="20"/>
      <c r="AS1133" s="20"/>
    </row>
    <row r="1134" spans="1:47">
      <c r="A1134" s="3" t="s">
        <v>604</v>
      </c>
      <c r="C1134" s="264">
        <v>0</v>
      </c>
      <c r="D1134" s="265">
        <v>29.93</v>
      </c>
      <c r="F1134" s="2">
        <f t="shared" si="334"/>
        <v>0</v>
      </c>
      <c r="G1134" s="265">
        <v>29.93</v>
      </c>
      <c r="I1134" s="2">
        <f t="shared" si="318"/>
        <v>0</v>
      </c>
      <c r="J1134" s="265">
        <f t="shared" si="335"/>
        <v>31.29</v>
      </c>
      <c r="L1134" s="2">
        <f>ROUND(J1134*$C1134,0)</f>
        <v>0</v>
      </c>
      <c r="M1134" s="2"/>
      <c r="N1134" s="265">
        <f t="shared" si="336"/>
        <v>18.309999999999999</v>
      </c>
      <c r="P1134" s="2">
        <f t="shared" si="337"/>
        <v>0</v>
      </c>
      <c r="Q1134" s="2"/>
      <c r="R1134" s="265">
        <f t="shared" si="338"/>
        <v>2.56</v>
      </c>
      <c r="T1134" s="2">
        <f t="shared" si="339"/>
        <v>0</v>
      </c>
      <c r="U1134" s="2"/>
      <c r="V1134" s="265">
        <f>ROUND(SUM($X$1112:$X$1121)/SUM($L$1112:$L$1121)*J1134,2)+0.01</f>
        <v>10.42</v>
      </c>
      <c r="X1134" s="2">
        <f t="shared" si="340"/>
        <v>0</v>
      </c>
      <c r="AA1134" s="281"/>
      <c r="AB1134" s="281"/>
      <c r="AC1134" s="74"/>
      <c r="AD1134" s="403"/>
      <c r="AE1134" s="403"/>
      <c r="AF1134" s="283"/>
      <c r="AG1134" s="283"/>
      <c r="AH1134" s="283"/>
      <c r="AI1134" s="278"/>
      <c r="AJ1134" s="278"/>
      <c r="AK1134" s="281"/>
      <c r="AL1134" s="281"/>
      <c r="AM1134" s="285"/>
      <c r="AN1134" s="281"/>
      <c r="AO1134" s="20"/>
      <c r="AP1134" s="20"/>
      <c r="AQ1134" s="20"/>
      <c r="AR1134" s="20"/>
      <c r="AS1134" s="20"/>
    </row>
    <row r="1135" spans="1:47">
      <c r="A1135" s="3" t="s">
        <v>362</v>
      </c>
      <c r="C1135" s="264">
        <f>[55]Sheet1!$M$11*12</f>
        <v>1956</v>
      </c>
      <c r="D1135" s="265"/>
      <c r="F1135" s="2"/>
      <c r="G1135" s="265"/>
      <c r="I1135" s="2"/>
      <c r="J1135" s="265"/>
      <c r="L1135" s="2"/>
      <c r="M1135" s="2"/>
      <c r="N1135" s="265"/>
      <c r="P1135" s="2"/>
      <c r="Q1135" s="2"/>
      <c r="R1135" s="265"/>
      <c r="T1135" s="2"/>
      <c r="U1135" s="2"/>
      <c r="V1135" s="265"/>
      <c r="X1135" s="2"/>
      <c r="AA1135" s="281"/>
      <c r="AB1135" s="281"/>
      <c r="AC1135" s="74"/>
      <c r="AD1135" s="403"/>
      <c r="AE1135" s="403"/>
      <c r="AF1135" s="283"/>
      <c r="AG1135" s="283"/>
      <c r="AH1135" s="283"/>
      <c r="AI1135" s="278"/>
      <c r="AJ1135" s="278"/>
      <c r="AK1135" s="281"/>
      <c r="AL1135" s="281"/>
      <c r="AM1135" s="281"/>
      <c r="AN1135" s="281"/>
      <c r="AO1135" s="20"/>
      <c r="AP1135" s="20"/>
      <c r="AQ1135" s="20"/>
      <c r="AR1135" s="20"/>
      <c r="AS1135" s="20"/>
    </row>
    <row r="1136" spans="1:47" s="1184" customFormat="1">
      <c r="A1136" s="1005" t="s">
        <v>1035</v>
      </c>
      <c r="C1136" s="1202">
        <f>C1137</f>
        <v>3532347.7960070018</v>
      </c>
      <c r="D1136" s="269"/>
      <c r="E1136" s="1185"/>
      <c r="F1136" s="1203"/>
      <c r="G1136" s="269"/>
      <c r="H1136" s="1185"/>
      <c r="I1136" s="1203"/>
      <c r="J1136" s="1230">
        <v>0</v>
      </c>
      <c r="K1136" s="1041" t="s">
        <v>374</v>
      </c>
      <c r="L1136" s="1041">
        <f>ROUND(J1136*$C1136/100,0)</f>
        <v>0</v>
      </c>
      <c r="M1136" s="1041"/>
      <c r="N1136" s="1230" t="s">
        <v>31</v>
      </c>
      <c r="O1136" s="1219" t="s">
        <v>31</v>
      </c>
      <c r="P1136" s="1203">
        <f>N1136*C1136</f>
        <v>0</v>
      </c>
      <c r="Q1136" s="1203"/>
      <c r="R1136" s="1230" t="s">
        <v>31</v>
      </c>
      <c r="S1136" s="1219" t="s">
        <v>31</v>
      </c>
      <c r="T1136" s="1203">
        <f>R1136*C1136</f>
        <v>0</v>
      </c>
      <c r="U1136" s="1203"/>
      <c r="V1136" s="1230">
        <f>J1136</f>
        <v>0</v>
      </c>
      <c r="W1136" s="1219" t="s">
        <v>374</v>
      </c>
      <c r="X1136" s="1203">
        <f>L1136</f>
        <v>0</v>
      </c>
      <c r="Y1136" s="1204">
        <f>'NPC Spread'!J51</f>
        <v>81344.211632389153</v>
      </c>
      <c r="Z1136" s="815" t="s">
        <v>913</v>
      </c>
      <c r="AC1136" s="1205"/>
      <c r="AD1136" s="1205"/>
      <c r="AI1136" s="1185"/>
      <c r="AJ1136" s="1185"/>
      <c r="AK1136" s="1185"/>
      <c r="AL1136" s="1185"/>
      <c r="AM1136" s="1185"/>
      <c r="AN1136" s="1185"/>
      <c r="AO1136" s="1185"/>
      <c r="AP1136" s="1185"/>
      <c r="AQ1136" s="1185"/>
      <c r="AR1136" s="1185"/>
      <c r="AS1136" s="1185"/>
      <c r="AU1136" s="1204"/>
    </row>
    <row r="1137" spans="1:47">
      <c r="A1137" s="3" t="s">
        <v>381</v>
      </c>
      <c r="C1137" s="264">
        <f>[55]Sheet1!$E$11</f>
        <v>3532347.7960070018</v>
      </c>
      <c r="D1137" s="269"/>
      <c r="E1137" s="20"/>
      <c r="F1137" s="272">
        <f>SUM(F1112:F1129)</f>
        <v>688804</v>
      </c>
      <c r="G1137" s="269"/>
      <c r="H1137" s="20"/>
      <c r="I1137" s="272">
        <f>SUM(I1112:I1134)</f>
        <v>688804</v>
      </c>
      <c r="J1137" s="269"/>
      <c r="K1137" s="20"/>
      <c r="L1137" s="272">
        <f>SUM(L1112:L1136)</f>
        <v>719961</v>
      </c>
      <c r="M1137" s="272"/>
      <c r="N1137" s="269"/>
      <c r="O1137" s="20"/>
      <c r="P1137" s="272">
        <f>SUM(P1112:P1136)</f>
        <v>421337.06146840932</v>
      </c>
      <c r="Q1137" s="272"/>
      <c r="R1137" s="269"/>
      <c r="S1137" s="20"/>
      <c r="T1137" s="272">
        <f>SUM(T1112:T1136)</f>
        <v>59018.749385062983</v>
      </c>
      <c r="U1137" s="272"/>
      <c r="V1137" s="269"/>
      <c r="W1137" s="20"/>
      <c r="X1137" s="272">
        <f>SUM(X1112:X1136)</f>
        <v>239605.18914652779</v>
      </c>
      <c r="AA1137" s="281"/>
      <c r="AB1137" s="281"/>
      <c r="AC1137" s="405"/>
      <c r="AD1137" s="20"/>
      <c r="AE1137" s="20"/>
      <c r="AF1137" s="287"/>
      <c r="AG1137" s="287"/>
      <c r="AH1137" s="287"/>
      <c r="AI1137" s="278"/>
      <c r="AJ1137" s="278"/>
      <c r="AK1137" s="288"/>
      <c r="AL1137" s="278"/>
      <c r="AM1137" s="278"/>
      <c r="AN1137" s="278"/>
      <c r="AO1137" s="20"/>
      <c r="AP1137" s="20"/>
      <c r="AQ1137" s="20"/>
      <c r="AR1137" s="20"/>
      <c r="AS1137" s="20"/>
    </row>
    <row r="1138" spans="1:47">
      <c r="A1138" s="3" t="s">
        <v>363</v>
      </c>
      <c r="C1138" s="264">
        <f>'Table 2'!H124</f>
        <v>-345752.19227076345</v>
      </c>
      <c r="D1138" s="269"/>
      <c r="E1138" s="20"/>
      <c r="F1138" s="272">
        <f>I1138</f>
        <v>-67823.106174674016</v>
      </c>
      <c r="G1138" s="269"/>
      <c r="H1138" s="20"/>
      <c r="I1138" s="272">
        <f>'Table 3'!E124</f>
        <v>-67823.106174674016</v>
      </c>
      <c r="J1138" s="269"/>
      <c r="K1138" s="20"/>
      <c r="L1138" s="272">
        <f>I1138</f>
        <v>-67823.106174674016</v>
      </c>
      <c r="M1138" s="272"/>
      <c r="N1138" s="269"/>
      <c r="O1138" s="20"/>
      <c r="P1138" s="272">
        <f>$L$1138*Y1142/($Y$1142+$Z$1142+$AA$1142)</f>
        <v>-39691.57809283708</v>
      </c>
      <c r="Q1138" s="51"/>
      <c r="R1138" s="309"/>
      <c r="S1138" s="309"/>
      <c r="T1138" s="272">
        <f>$L$1138*Z1142/($Y$1142+$Z$1142+$AA$1142)</f>
        <v>-5559.7940802899093</v>
      </c>
      <c r="U1138" s="51"/>
      <c r="V1138" s="309"/>
      <c r="W1138" s="309"/>
      <c r="X1138" s="272">
        <f>$L$1138*AA1142/($Y$1142+$Z$1142+$AA$1142)</f>
        <v>-22571.734001547029</v>
      </c>
      <c r="Y1138" s="289"/>
      <c r="AA1138" s="287"/>
      <c r="AB1138" s="287"/>
      <c r="AC1138" s="403"/>
      <c r="AD1138" s="20"/>
      <c r="AE1138" s="20"/>
      <c r="AF1138" s="20"/>
      <c r="AG1138" s="20"/>
      <c r="AH1138" s="20"/>
      <c r="AI1138" s="281"/>
      <c r="AJ1138" s="278"/>
      <c r="AK1138" s="20"/>
      <c r="AL1138" s="20"/>
      <c r="AM1138" s="20"/>
      <c r="AN1138" s="20"/>
      <c r="AO1138" s="20"/>
      <c r="AP1138" s="20"/>
      <c r="AQ1138" s="20"/>
      <c r="AR1138" s="20"/>
      <c r="AS1138" s="20"/>
    </row>
    <row r="1139" spans="1:47" ht="16.5" thickBot="1">
      <c r="A1139" s="3" t="s">
        <v>9</v>
      </c>
      <c r="C1139" s="273">
        <f>C1137+C1138</f>
        <v>3186595.6037362386</v>
      </c>
      <c r="D1139" s="274"/>
      <c r="E1139" s="274"/>
      <c r="F1139" s="274">
        <f>F1137+F1138</f>
        <v>620980.893825326</v>
      </c>
      <c r="G1139" s="312"/>
      <c r="H1139" s="312"/>
      <c r="I1139" s="274">
        <f>I1137+I1138</f>
        <v>620980.893825326</v>
      </c>
      <c r="J1139" s="312"/>
      <c r="K1139" s="312"/>
      <c r="L1139" s="274">
        <f>L1137+L1138</f>
        <v>652137.893825326</v>
      </c>
      <c r="M1139" s="312"/>
      <c r="N1139" s="312"/>
      <c r="O1139" s="274"/>
      <c r="P1139" s="274">
        <f>P1137+P1138</f>
        <v>381645.48337557225</v>
      </c>
      <c r="Q1139" s="312"/>
      <c r="R1139" s="312"/>
      <c r="S1139" s="274"/>
      <c r="T1139" s="274">
        <f>T1137+T1138</f>
        <v>53458.955304773073</v>
      </c>
      <c r="U1139" s="312"/>
      <c r="V1139" s="312"/>
      <c r="W1139" s="274"/>
      <c r="X1139" s="274">
        <f>X1137+X1138</f>
        <v>217033.45514498075</v>
      </c>
      <c r="Y1139" s="788" t="s">
        <v>409</v>
      </c>
      <c r="Z1139" s="817">
        <f ca="1">'Rate Spread targets'!Q36*1000</f>
        <v>651878.58234677941</v>
      </c>
      <c r="AA1139" s="1134">
        <f>(L1139-I1139)/I1139</f>
        <v>5.0173846425561795E-2</v>
      </c>
      <c r="AB1139" s="777"/>
      <c r="AI1139" s="278"/>
      <c r="AJ1139" s="278"/>
      <c r="AK1139" s="20"/>
      <c r="AL1139" s="20"/>
      <c r="AM1139" s="20"/>
      <c r="AN1139" s="20"/>
      <c r="AO1139" s="20"/>
      <c r="AP1139" s="20"/>
      <c r="AQ1139" s="20"/>
      <c r="AR1139" s="20"/>
      <c r="AS1139" s="20"/>
    </row>
    <row r="1140" spans="1:47" ht="16.5" thickTop="1">
      <c r="C1140" s="350"/>
      <c r="D1140" s="51"/>
      <c r="E1140" s="51"/>
      <c r="F1140" s="51"/>
      <c r="G1140" s="51"/>
      <c r="H1140" s="51"/>
      <c r="I1140" s="51"/>
      <c r="J1140" s="51"/>
      <c r="K1140" s="51"/>
      <c r="L1140" s="51"/>
      <c r="M1140" s="51"/>
      <c r="N1140" s="51"/>
      <c r="O1140" s="51"/>
      <c r="P1140" s="51"/>
      <c r="Q1140" s="51"/>
      <c r="R1140" s="51"/>
      <c r="S1140" s="51"/>
      <c r="T1140" s="51"/>
      <c r="U1140" s="51"/>
      <c r="V1140" s="51"/>
      <c r="W1140" s="51"/>
      <c r="X1140" s="51"/>
      <c r="Y1140" s="789" t="s">
        <v>263</v>
      </c>
      <c r="Z1140" s="812">
        <f ca="1">Z1139-L1139</f>
        <v>-259.31147854658775</v>
      </c>
      <c r="AA1140" s="1135">
        <v>4.5400000000000003E-2</v>
      </c>
      <c r="AB1140" s="777"/>
      <c r="AI1140" s="278"/>
      <c r="AJ1140" s="278"/>
      <c r="AK1140" s="20"/>
      <c r="AL1140" s="20"/>
      <c r="AM1140" s="20"/>
      <c r="AN1140" s="20"/>
      <c r="AO1140" s="20"/>
      <c r="AP1140" s="20"/>
      <c r="AQ1140" s="20"/>
      <c r="AR1140" s="20"/>
      <c r="AS1140" s="20"/>
    </row>
    <row r="1141" spans="1:47">
      <c r="C1141" s="350"/>
      <c r="D1141" s="51"/>
      <c r="E1141" s="51"/>
      <c r="F1141" s="51"/>
      <c r="G1141" s="51"/>
      <c r="H1141" s="51"/>
      <c r="I1141" s="51"/>
      <c r="J1141" s="51"/>
      <c r="K1141" s="51"/>
      <c r="L1141" s="51"/>
      <c r="M1141" s="51"/>
      <c r="N1141" s="51"/>
      <c r="O1141" s="51"/>
      <c r="P1141" s="51"/>
      <c r="Q1141" s="51"/>
      <c r="R1141" s="51"/>
      <c r="S1141" s="51"/>
      <c r="T1141" s="51"/>
      <c r="U1141" s="51"/>
      <c r="V1141" s="51"/>
      <c r="W1141" s="51"/>
      <c r="X1141" s="51"/>
      <c r="Y1141" s="744">
        <f>Y29</f>
        <v>0.58522206267896359</v>
      </c>
      <c r="Z1141" s="744">
        <f>Z29</f>
        <v>8.1974925565500054E-2</v>
      </c>
      <c r="AA1141" s="744">
        <f>AA29</f>
        <v>0.33280301175553639</v>
      </c>
      <c r="AB1141" s="777"/>
      <c r="AI1141" s="278"/>
      <c r="AJ1141" s="278"/>
      <c r="AK1141" s="20"/>
      <c r="AL1141" s="20"/>
      <c r="AM1141" s="20"/>
      <c r="AN1141" s="20"/>
      <c r="AO1141" s="20"/>
      <c r="AP1141" s="20"/>
      <c r="AQ1141" s="20"/>
      <c r="AR1141" s="20"/>
      <c r="AS1141" s="20"/>
    </row>
    <row r="1142" spans="1:47">
      <c r="C1142" s="350"/>
      <c r="D1142" s="51"/>
      <c r="E1142" s="51"/>
      <c r="F1142" s="51"/>
      <c r="G1142" s="51"/>
      <c r="H1142" s="51"/>
      <c r="I1142" s="51"/>
      <c r="J1142" s="51"/>
      <c r="K1142" s="51"/>
      <c r="L1142" s="51"/>
      <c r="M1142" s="51"/>
      <c r="N1142" s="51"/>
      <c r="O1142" s="51"/>
      <c r="P1142" s="51"/>
      <c r="Q1142" s="51"/>
      <c r="R1142" s="51"/>
      <c r="S1142" s="51"/>
      <c r="T1142" s="51"/>
      <c r="U1142" s="51"/>
      <c r="V1142" s="51"/>
      <c r="W1142" s="51"/>
      <c r="X1142" s="51"/>
      <c r="Y1142" s="416">
        <f>L1139*Y1141</f>
        <v>381645.48337557225</v>
      </c>
      <c r="Z1142" s="416">
        <f>L1139*Z1141</f>
        <v>53458.955304773073</v>
      </c>
      <c r="AA1142" s="416">
        <f>L1139*AA1141</f>
        <v>217033.45514498072</v>
      </c>
      <c r="AB1142" s="777"/>
      <c r="AI1142" s="278"/>
      <c r="AJ1142" s="278"/>
      <c r="AK1142" s="20"/>
      <c r="AL1142" s="20"/>
      <c r="AM1142" s="20"/>
      <c r="AN1142" s="20"/>
      <c r="AO1142" s="20"/>
      <c r="AP1142" s="20"/>
      <c r="AQ1142" s="20"/>
      <c r="AR1142" s="20"/>
      <c r="AS1142" s="20"/>
    </row>
    <row r="1143" spans="1:47">
      <c r="A1143" s="1"/>
      <c r="B1143" s="1"/>
      <c r="C1143" s="21"/>
      <c r="D1143" s="21" t="s">
        <v>31</v>
      </c>
      <c r="E1143" s="21"/>
      <c r="F1143" s="2"/>
      <c r="G1143" s="21" t="s">
        <v>31</v>
      </c>
      <c r="H1143" s="21"/>
      <c r="I1143" s="2"/>
      <c r="J1143" s="21" t="s">
        <v>31</v>
      </c>
      <c r="K1143" s="21"/>
      <c r="L1143" s="2" t="s">
        <v>31</v>
      </c>
      <c r="M1143" s="2"/>
      <c r="N1143" s="21" t="s">
        <v>31</v>
      </c>
      <c r="O1143" s="21"/>
      <c r="P1143" s="2" t="s">
        <v>31</v>
      </c>
      <c r="Q1143" s="2"/>
      <c r="R1143" s="21" t="s">
        <v>31</v>
      </c>
      <c r="S1143" s="21"/>
      <c r="T1143" s="2" t="s">
        <v>31</v>
      </c>
      <c r="U1143" s="2"/>
      <c r="V1143" s="21" t="s">
        <v>31</v>
      </c>
      <c r="W1143" s="21"/>
      <c r="X1143" s="2" t="s">
        <v>31</v>
      </c>
      <c r="Z1143" s="3"/>
      <c r="AA1143" s="3"/>
      <c r="AB1143" s="241"/>
      <c r="AD1143" s="277"/>
      <c r="AE1143" s="277"/>
      <c r="AF1143" s="277"/>
      <c r="AG1143" s="277"/>
      <c r="AH1143" s="277"/>
      <c r="AI1143" s="278"/>
      <c r="AJ1143" s="278"/>
      <c r="AK1143" s="20"/>
      <c r="AL1143" s="20"/>
      <c r="AM1143" s="20"/>
      <c r="AN1143" s="20"/>
      <c r="AO1143" s="20"/>
      <c r="AP1143" s="20"/>
      <c r="AQ1143" s="20"/>
      <c r="AR1143" s="20"/>
      <c r="AS1143" s="20"/>
    </row>
    <row r="1144" spans="1:47">
      <c r="A1144" s="293" t="s">
        <v>486</v>
      </c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278"/>
      <c r="Z1144" s="287"/>
      <c r="AA1144" s="278"/>
      <c r="AB1144" s="278"/>
      <c r="AC1144" s="20"/>
      <c r="AD1144" s="20"/>
      <c r="AE1144" s="20"/>
      <c r="AF1144" s="20"/>
      <c r="AG1144" s="20"/>
      <c r="AH1144" s="20"/>
      <c r="AI1144" s="20"/>
      <c r="AJ1144" s="278"/>
      <c r="AK1144" s="278"/>
      <c r="AL1144" s="278"/>
      <c r="AM1144" s="278"/>
      <c r="AN1144" s="278"/>
      <c r="AO1144" s="20"/>
      <c r="AP1144" s="20"/>
      <c r="AQ1144" s="20"/>
      <c r="AR1144" s="20"/>
      <c r="AS1144" s="20"/>
    </row>
    <row r="1145" spans="1:47">
      <c r="A1145" s="1" t="s">
        <v>487</v>
      </c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20"/>
      <c r="Z1145" s="74"/>
      <c r="AA1145" s="74"/>
      <c r="AB1145" s="74"/>
      <c r="AC1145" s="20"/>
      <c r="AD1145" s="20"/>
      <c r="AE1145" s="20"/>
      <c r="AF1145" s="20"/>
      <c r="AG1145" s="20"/>
      <c r="AH1145" s="20"/>
      <c r="AI1145" s="20"/>
      <c r="AJ1145" s="278"/>
      <c r="AK1145" s="278"/>
      <c r="AL1145" s="278"/>
      <c r="AM1145" s="278"/>
      <c r="AN1145" s="278"/>
      <c r="AO1145" s="20"/>
      <c r="AP1145" s="20"/>
      <c r="AQ1145" s="20"/>
      <c r="AR1145" s="20"/>
      <c r="AS1145" s="20"/>
    </row>
    <row r="1146" spans="1:47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20"/>
      <c r="Z1146" s="74"/>
      <c r="AA1146" s="74" t="s">
        <v>31</v>
      </c>
      <c r="AB1146" s="74"/>
      <c r="AC1146" s="20"/>
      <c r="AD1146" s="20"/>
      <c r="AE1146" s="20"/>
      <c r="AF1146" s="20"/>
      <c r="AG1146" s="20"/>
      <c r="AH1146" s="20"/>
      <c r="AI1146" s="20"/>
      <c r="AJ1146" s="278"/>
      <c r="AK1146" s="278"/>
      <c r="AL1146" s="278"/>
      <c r="AM1146" s="278"/>
      <c r="AN1146" s="278"/>
      <c r="AO1146" s="20"/>
      <c r="AP1146" s="20"/>
      <c r="AQ1146" s="20"/>
      <c r="AR1146" s="20"/>
      <c r="AS1146" s="20"/>
    </row>
    <row r="1147" spans="1:47">
      <c r="A1147" s="1" t="s">
        <v>488</v>
      </c>
      <c r="B1147" s="1"/>
      <c r="C1147" s="21"/>
      <c r="D1147" s="298"/>
      <c r="E1147" s="1"/>
      <c r="F1147" s="412">
        <f>I1147</f>
        <v>19991.993064481801</v>
      </c>
      <c r="G1147" s="298"/>
      <c r="H1147" s="1"/>
      <c r="I1147" s="412">
        <f>[56]Sheet1!$J$2</f>
        <v>19991.993064481801</v>
      </c>
      <c r="J1147" s="298"/>
      <c r="K1147" s="1"/>
      <c r="L1147" s="2">
        <f>I1147</f>
        <v>19991.993064481801</v>
      </c>
      <c r="M1147" s="2"/>
      <c r="N1147" s="298"/>
      <c r="O1147" s="1"/>
      <c r="P1147" s="2">
        <f>L1147</f>
        <v>19991.993064481801</v>
      </c>
      <c r="Q1147" s="2"/>
      <c r="R1147" s="298"/>
      <c r="S1147" s="1"/>
      <c r="T1147" s="2" t="s">
        <v>31</v>
      </c>
      <c r="U1147" s="2"/>
      <c r="V1147" s="298"/>
      <c r="W1147" s="1"/>
      <c r="X1147" s="2" t="str">
        <f>T1147</f>
        <v xml:space="preserve"> </v>
      </c>
      <c r="Y1147" s="20"/>
      <c r="Z1147" s="74"/>
      <c r="AA1147" s="74" t="s">
        <v>31</v>
      </c>
      <c r="AB1147" s="74"/>
      <c r="AC1147" s="20"/>
      <c r="AD1147" s="20"/>
      <c r="AE1147" s="20"/>
      <c r="AF1147" s="20"/>
      <c r="AG1147" s="20"/>
      <c r="AH1147" s="20"/>
      <c r="AI1147" s="20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</row>
    <row r="1148" spans="1:47">
      <c r="A1148" s="1" t="s">
        <v>489</v>
      </c>
      <c r="B1148" s="1"/>
      <c r="C1148" s="264">
        <f>[56]Sheet1!$C$2</f>
        <v>219861.25205811099</v>
      </c>
      <c r="D1148" s="413">
        <v>7.8140000000000001</v>
      </c>
      <c r="E1148" s="1" t="s">
        <v>374</v>
      </c>
      <c r="F1148" s="414">
        <f>ROUND(C1148*D1148/100,0)</f>
        <v>17180</v>
      </c>
      <c r="G1148" s="382">
        <v>7.8140000000000001</v>
      </c>
      <c r="H1148" s="1" t="s">
        <v>374</v>
      </c>
      <c r="I1148" s="414">
        <f>ROUND(G1148*C1148/100,0)</f>
        <v>17180</v>
      </c>
      <c r="J1148" s="382">
        <v>6.27</v>
      </c>
      <c r="K1148" s="1" t="s">
        <v>374</v>
      </c>
      <c r="L1148" s="2">
        <f>ROUND(J1148*$C1148/100,0)</f>
        <v>13785</v>
      </c>
      <c r="M1148" s="2"/>
      <c r="N1148" s="382">
        <f>P1148/C1148*100</f>
        <v>1.2453434907335099</v>
      </c>
      <c r="O1148" s="1" t="s">
        <v>374</v>
      </c>
      <c r="P1148" s="2">
        <f>Y1158-P1147-P1151-P1154</f>
        <v>2738.0277911508801</v>
      </c>
      <c r="Q1148" s="2"/>
      <c r="R1148" s="382">
        <f>T1148/C1148*100</f>
        <v>1.4481430950752086</v>
      </c>
      <c r="S1148" s="1" t="s">
        <v>374</v>
      </c>
      <c r="T1148" s="2">
        <f>Z1158-T1151-T1154</f>
        <v>3183.9055404254341</v>
      </c>
      <c r="U1148" s="2"/>
      <c r="V1148" s="382">
        <f>X1148/C1148*100+0.001</f>
        <v>3.5773767352445627</v>
      </c>
      <c r="W1148" s="1" t="s">
        <v>374</v>
      </c>
      <c r="X1148" s="2">
        <f>AA1158-X1151-X1154</f>
        <v>7863.0666684236894</v>
      </c>
      <c r="Y1148" s="20"/>
      <c r="Z1148" s="74"/>
      <c r="AA1148" s="74"/>
      <c r="AB1148" s="74"/>
      <c r="AC1148" s="20"/>
      <c r="AD1148" s="20"/>
      <c r="AE1148" s="20"/>
      <c r="AF1148" s="20"/>
      <c r="AG1148" s="20"/>
      <c r="AH1148" s="20"/>
      <c r="AI1148" s="20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</row>
    <row r="1149" spans="1:47">
      <c r="A1149" s="1" t="s">
        <v>490</v>
      </c>
      <c r="B1149" s="1"/>
      <c r="C1149" s="264">
        <v>0</v>
      </c>
      <c r="D1149" s="382">
        <v>8.7439999999999998</v>
      </c>
      <c r="E1149" s="1" t="s">
        <v>374</v>
      </c>
      <c r="F1149" s="414">
        <f>ROUND(C1149*D1149/100,0)</f>
        <v>0</v>
      </c>
      <c r="G1149" s="382">
        <v>8.7439999999999998</v>
      </c>
      <c r="H1149" s="1" t="s">
        <v>374</v>
      </c>
      <c r="I1149" s="414">
        <f>ROUND(G1149*C1149/100,0)</f>
        <v>0</v>
      </c>
      <c r="J1149" s="382">
        <f>ROUND(G1149/G1148*J1148,3)</f>
        <v>7.016</v>
      </c>
      <c r="K1149" s="1" t="s">
        <v>374</v>
      </c>
      <c r="L1149" s="2">
        <f>ROUND(J1149*$C1149/100,0)</f>
        <v>0</v>
      </c>
      <c r="M1149" s="2"/>
      <c r="N1149" s="382">
        <f>J1149/J1148*N1148</f>
        <v>1.393513545611851</v>
      </c>
      <c r="O1149" s="1" t="s">
        <v>374</v>
      </c>
      <c r="P1149" s="2">
        <f>ROUND(N1149*$C1149/100,0)</f>
        <v>0</v>
      </c>
      <c r="Q1149" s="2"/>
      <c r="R1149" s="382">
        <f>N1149/N1148*R1148</f>
        <v>1.6204420980937262</v>
      </c>
      <c r="S1149" s="1" t="s">
        <v>374</v>
      </c>
      <c r="T1149" s="2">
        <f>ROUND(R1149*$C1149/100,0)</f>
        <v>0</v>
      </c>
      <c r="U1149" s="2"/>
      <c r="V1149" s="382">
        <f>R1149/R1148*V1148-0.001</f>
        <v>4.0020103946532455</v>
      </c>
      <c r="W1149" s="1" t="s">
        <v>374</v>
      </c>
      <c r="X1149" s="2">
        <f>ROUND(V1149*$C1149/100,0)</f>
        <v>0</v>
      </c>
      <c r="Y1149" s="20"/>
      <c r="Z1149" s="74"/>
      <c r="AA1149" s="20"/>
      <c r="AB1149" s="20"/>
      <c r="AC1149" s="20"/>
      <c r="AD1149" s="20"/>
      <c r="AE1149" s="20"/>
      <c r="AF1149" s="20"/>
      <c r="AG1149" s="20"/>
      <c r="AH1149" s="20"/>
      <c r="AI1149" s="20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</row>
    <row r="1150" spans="1:47">
      <c r="A1150" s="1" t="s">
        <v>362</v>
      </c>
      <c r="B1150" s="1"/>
      <c r="C1150" s="264">
        <f>[56]Sheet1!$L$2*12</f>
        <v>180</v>
      </c>
      <c r="D1150" s="415"/>
      <c r="E1150" s="1"/>
      <c r="F1150" s="2"/>
      <c r="G1150" s="415"/>
      <c r="H1150" s="1"/>
      <c r="I1150" s="2"/>
      <c r="J1150" s="415"/>
      <c r="K1150" s="1"/>
      <c r="L1150" s="2"/>
      <c r="M1150" s="2"/>
      <c r="N1150" s="415"/>
      <c r="O1150" s="1"/>
      <c r="P1150" s="2"/>
      <c r="Q1150" s="2"/>
      <c r="R1150" s="415"/>
      <c r="S1150" s="1"/>
      <c r="T1150" s="2"/>
      <c r="U1150" s="2"/>
      <c r="V1150" s="415"/>
      <c r="W1150" s="1"/>
      <c r="X1150" s="2"/>
      <c r="Y1150" s="20"/>
      <c r="Z1150" s="74"/>
      <c r="AA1150" s="74"/>
      <c r="AB1150" s="74"/>
      <c r="AC1150" s="20"/>
      <c r="AD1150" s="20"/>
      <c r="AE1150" s="20"/>
      <c r="AF1150" s="20"/>
      <c r="AG1150" s="20"/>
      <c r="AH1150" s="20"/>
      <c r="AI1150" s="20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</row>
    <row r="1151" spans="1:47" s="1184" customFormat="1">
      <c r="A1151" s="1005" t="s">
        <v>1035</v>
      </c>
      <c r="C1151" s="1202">
        <f>C1153</f>
        <v>219861.25205811099</v>
      </c>
      <c r="D1151" s="269"/>
      <c r="E1151" s="1185"/>
      <c r="F1151" s="1203"/>
      <c r="G1151" s="269"/>
      <c r="H1151" s="1185"/>
      <c r="I1151" s="1203"/>
      <c r="J1151" s="1230">
        <f>ROUND(Y1151/C1151*100,3)</f>
        <v>2.3029999999999999</v>
      </c>
      <c r="K1151" s="1041" t="s">
        <v>374</v>
      </c>
      <c r="L1151" s="1041">
        <f>ROUND(J1151*$C1151/100,0)</f>
        <v>5063</v>
      </c>
      <c r="M1151" s="1041"/>
      <c r="N1151" s="1230" t="s">
        <v>31</v>
      </c>
      <c r="O1151" s="1219" t="s">
        <v>31</v>
      </c>
      <c r="P1151" s="1203">
        <f>N1151*C1151</f>
        <v>0</v>
      </c>
      <c r="Q1151" s="1203"/>
      <c r="R1151" s="1230" t="s">
        <v>31</v>
      </c>
      <c r="S1151" s="1219" t="s">
        <v>31</v>
      </c>
      <c r="T1151" s="1203">
        <f>R1151*C1151</f>
        <v>0</v>
      </c>
      <c r="U1151" s="1203"/>
      <c r="V1151" s="1230">
        <f>J1151</f>
        <v>2.3029999999999999</v>
      </c>
      <c r="W1151" s="1219" t="s">
        <v>374</v>
      </c>
      <c r="X1151" s="1203">
        <f>L1151</f>
        <v>5063</v>
      </c>
      <c r="Y1151" s="1204">
        <f>'NPC Spread'!J52</f>
        <v>5063.0462372345582</v>
      </c>
      <c r="Z1151" s="815" t="s">
        <v>913</v>
      </c>
      <c r="AC1151" s="1205"/>
      <c r="AD1151" s="1205"/>
      <c r="AI1151" s="1185"/>
      <c r="AJ1151" s="1185"/>
      <c r="AK1151" s="1185"/>
      <c r="AL1151" s="1185"/>
      <c r="AM1151" s="1185"/>
      <c r="AN1151" s="1185"/>
      <c r="AO1151" s="1185"/>
      <c r="AP1151" s="1185"/>
      <c r="AQ1151" s="1185"/>
      <c r="AR1151" s="1185"/>
      <c r="AS1151" s="1185"/>
      <c r="AU1151" s="1204"/>
    </row>
    <row r="1152" spans="1:47" s="1184" customFormat="1">
      <c r="A1152" s="1509" t="s">
        <v>931</v>
      </c>
      <c r="B1152" s="1510"/>
      <c r="C1152" s="1524"/>
      <c r="D1152" s="1512"/>
      <c r="E1152" s="1513"/>
      <c r="F1152" s="1514"/>
      <c r="G1152" s="1526">
        <f>G1148</f>
        <v>7.8140000000000001</v>
      </c>
      <c r="H1152" s="1516" t="s">
        <v>374</v>
      </c>
      <c r="I1152" s="1514"/>
      <c r="J1152" s="1526">
        <f>J1148+J1151</f>
        <v>8.5730000000000004</v>
      </c>
      <c r="K1152" s="1516" t="s">
        <v>374</v>
      </c>
      <c r="L1152" s="1521"/>
      <c r="M1152" s="1521"/>
      <c r="N1152" s="1526">
        <f>N1148+N1151</f>
        <v>1.2453434907335099</v>
      </c>
      <c r="O1152" s="1516" t="s">
        <v>374</v>
      </c>
      <c r="P1152" s="1521"/>
      <c r="Q1152" s="1521"/>
      <c r="R1152" s="1526">
        <f>R1148+R1151</f>
        <v>1.4481430950752086</v>
      </c>
      <c r="S1152" s="1516" t="s">
        <v>374</v>
      </c>
      <c r="T1152" s="1521"/>
      <c r="U1152" s="1521"/>
      <c r="V1152" s="1526">
        <f>V1148+V1151</f>
        <v>5.8803767352445622</v>
      </c>
      <c r="W1152" s="1516" t="s">
        <v>374</v>
      </c>
      <c r="X1152" s="1521"/>
      <c r="Y1152" s="1204"/>
      <c r="Z1152" s="815"/>
      <c r="AA1152" s="826" t="s">
        <v>31</v>
      </c>
      <c r="AC1152" s="1205"/>
      <c r="AD1152" s="1205"/>
      <c r="AI1152" s="1185"/>
      <c r="AJ1152" s="1185"/>
      <c r="AK1152" s="1185"/>
      <c r="AL1152" s="1185"/>
      <c r="AM1152" s="1185"/>
      <c r="AN1152" s="1185"/>
      <c r="AO1152" s="1185"/>
      <c r="AP1152" s="1185"/>
      <c r="AQ1152" s="1185"/>
      <c r="AR1152" s="1185"/>
      <c r="AS1152" s="1185"/>
      <c r="AU1152" s="1204"/>
    </row>
    <row r="1153" spans="1:47">
      <c r="A1153" s="3" t="s">
        <v>491</v>
      </c>
      <c r="C1153" s="264">
        <f>SUM(C1148:C1149)</f>
        <v>219861.25205811099</v>
      </c>
      <c r="D1153" s="269"/>
      <c r="E1153" s="20"/>
      <c r="F1153" s="272">
        <f>SUM(F1147:F1149)</f>
        <v>37171.993064481801</v>
      </c>
      <c r="G1153" s="269"/>
      <c r="H1153" s="20"/>
      <c r="I1153" s="272">
        <f>SUM(I1147:I1149)</f>
        <v>37171.993064481801</v>
      </c>
      <c r="J1153" s="269"/>
      <c r="K1153" s="20"/>
      <c r="L1153" s="272">
        <f>SUM(L1147:L1152)</f>
        <v>38839.993064481801</v>
      </c>
      <c r="M1153" s="272"/>
      <c r="N1153" s="269"/>
      <c r="O1153" s="20"/>
      <c r="P1153" s="272">
        <f>SUM(P1147:P1152)</f>
        <v>22730.020855632683</v>
      </c>
      <c r="Q1153" s="272"/>
      <c r="R1153" s="269"/>
      <c r="S1153" s="20"/>
      <c r="T1153" s="272">
        <f>SUM(T1147:T1152)</f>
        <v>3183.9055404254341</v>
      </c>
      <c r="U1153" s="272"/>
      <c r="V1153" s="269"/>
      <c r="W1153" s="20"/>
      <c r="X1153" s="272">
        <f>SUM(X1147:X1152)</f>
        <v>12926.066668423689</v>
      </c>
      <c r="Y1153" s="20"/>
      <c r="Z1153" s="74"/>
      <c r="AA1153" s="74"/>
      <c r="AB1153" s="74"/>
      <c r="AC1153" s="20"/>
      <c r="AD1153" s="20"/>
      <c r="AE1153" s="20"/>
      <c r="AF1153" s="20"/>
      <c r="AG1153" s="20"/>
      <c r="AH1153" s="20"/>
      <c r="AI1153" s="20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</row>
    <row r="1154" spans="1:47">
      <c r="A1154" s="3" t="s">
        <v>492</v>
      </c>
      <c r="C1154" s="264">
        <f>'Table 2'!H121</f>
        <v>-21520.392182337586</v>
      </c>
      <c r="D1154" s="269"/>
      <c r="E1154" s="20"/>
      <c r="F1154" s="272">
        <f>I1154</f>
        <v>-3660.1423456783405</v>
      </c>
      <c r="G1154" s="269"/>
      <c r="H1154" s="20"/>
      <c r="I1154" s="272">
        <f>'Table 3'!E121</f>
        <v>-3660.1423456783405</v>
      </c>
      <c r="J1154" s="269"/>
      <c r="K1154" s="20"/>
      <c r="L1154" s="272">
        <f>I1154</f>
        <v>-3660.1423456783405</v>
      </c>
      <c r="M1154" s="272"/>
      <c r="N1154" s="269"/>
      <c r="O1154" s="20"/>
      <c r="P1154" s="272">
        <f>$L$1154*Y1158/($Y$1158+$Z$1158+$AA$1158)</f>
        <v>-2141.9960532364985</v>
      </c>
      <c r="Q1154" s="51"/>
      <c r="R1154" s="309"/>
      <c r="S1154" s="309"/>
      <c r="T1154" s="272">
        <f>$L$1154*Z1158/($Y$1158+$Z$1158+$AA$1158)</f>
        <v>-300.03989634611673</v>
      </c>
      <c r="U1154" s="51"/>
      <c r="V1154" s="309"/>
      <c r="W1154" s="309"/>
      <c r="X1154" s="272">
        <f>$L$1154*AA1158/($Y$1158+$Z$1158+$AA$1158)</f>
        <v>-1218.1063960957254</v>
      </c>
      <c r="Y1154" s="289"/>
      <c r="Z1154" s="290"/>
      <c r="AA1154" s="74"/>
      <c r="AB1154" s="74"/>
      <c r="AC1154" s="20"/>
      <c r="AD1154" s="20"/>
      <c r="AE1154" s="20"/>
      <c r="AF1154" s="20"/>
      <c r="AG1154" s="20"/>
      <c r="AH1154" s="20"/>
      <c r="AI1154" s="20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</row>
    <row r="1155" spans="1:47" ht="16.5" thickBot="1">
      <c r="A1155" s="1" t="s">
        <v>9</v>
      </c>
      <c r="B1155" s="1"/>
      <c r="C1155" s="393">
        <f>C1153+C1154</f>
        <v>198340.8598757734</v>
      </c>
      <c r="D1155" s="417"/>
      <c r="E1155" s="418"/>
      <c r="F1155" s="274">
        <f>F1153+F1154</f>
        <v>33511.850718803464</v>
      </c>
      <c r="G1155" s="999"/>
      <c r="H1155" s="345"/>
      <c r="I1155" s="274">
        <f>I1153+I1154</f>
        <v>33511.850718803464</v>
      </c>
      <c r="J1155" s="999"/>
      <c r="K1155" s="345"/>
      <c r="L1155" s="274">
        <f>L1153+L1154</f>
        <v>35179.850718803464</v>
      </c>
      <c r="M1155" s="312"/>
      <c r="N1155" s="999"/>
      <c r="O1155" s="345"/>
      <c r="P1155" s="274">
        <f>P1153+P1154</f>
        <v>20588.024802396183</v>
      </c>
      <c r="Q1155" s="312"/>
      <c r="R1155" s="999"/>
      <c r="S1155" s="345"/>
      <c r="T1155" s="274">
        <f>T1153+T1154</f>
        <v>2883.8656440793175</v>
      </c>
      <c r="U1155" s="312"/>
      <c r="V1155" s="999"/>
      <c r="W1155" s="345"/>
      <c r="X1155" s="274">
        <f>X1153+X1154</f>
        <v>11707.960272327964</v>
      </c>
      <c r="Y1155" s="788" t="s">
        <v>409</v>
      </c>
      <c r="Z1155" s="809">
        <f ca="1">'Rate Spread targets'!Q37*1000</f>
        <v>35179.275168706576</v>
      </c>
      <c r="AA1155" s="1134">
        <f>(L1155-I1155)/I1155</f>
        <v>4.9773437283309664E-2</v>
      </c>
      <c r="AB1155" s="827"/>
      <c r="AC1155" s="20"/>
      <c r="AD1155" s="20"/>
      <c r="AE1155" s="20"/>
      <c r="AF1155" s="20"/>
      <c r="AG1155" s="20"/>
      <c r="AH1155" s="20"/>
      <c r="AI1155" s="20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</row>
    <row r="1156" spans="1:47" ht="16.5" thickTop="1">
      <c r="A1156" s="1"/>
      <c r="B1156" s="1"/>
      <c r="C1156" s="1"/>
      <c r="D1156" s="419" t="s">
        <v>31</v>
      </c>
      <c r="E1156" s="1"/>
      <c r="F1156" s="1"/>
      <c r="G1156" s="419" t="s">
        <v>31</v>
      </c>
      <c r="H1156" s="1"/>
      <c r="I1156" s="1"/>
      <c r="J1156" s="419" t="s">
        <v>31</v>
      </c>
      <c r="K1156" s="1"/>
      <c r="L1156" s="2" t="s">
        <v>31</v>
      </c>
      <c r="M1156" s="2"/>
      <c r="N1156" s="419" t="s">
        <v>31</v>
      </c>
      <c r="O1156" s="1"/>
      <c r="P1156" s="2" t="s">
        <v>31</v>
      </c>
      <c r="Q1156" s="2"/>
      <c r="R1156" s="419" t="s">
        <v>31</v>
      </c>
      <c r="S1156" s="1"/>
      <c r="T1156" s="2" t="s">
        <v>31</v>
      </c>
      <c r="U1156" s="2"/>
      <c r="V1156" s="419" t="s">
        <v>31</v>
      </c>
      <c r="W1156" s="1"/>
      <c r="X1156" s="2" t="s">
        <v>31</v>
      </c>
      <c r="Y1156" s="789" t="s">
        <v>263</v>
      </c>
      <c r="Z1156" s="811">
        <f ca="1">Z1155-L1155</f>
        <v>-0.57555009688803693</v>
      </c>
      <c r="AA1156" s="810" t="s">
        <v>31</v>
      </c>
      <c r="AB1156" s="241"/>
      <c r="AC1156" s="20"/>
      <c r="AD1156" s="20"/>
      <c r="AE1156" s="20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</row>
    <row r="1157" spans="1:47">
      <c r="A1157" s="1"/>
      <c r="B1157" s="1"/>
      <c r="C1157" s="1"/>
      <c r="D1157" s="419"/>
      <c r="E1157" s="1"/>
      <c r="F1157" s="1"/>
      <c r="G1157" s="419"/>
      <c r="H1157" s="1"/>
      <c r="I1157" s="1"/>
      <c r="J1157" s="419"/>
      <c r="K1157" s="1"/>
      <c r="L1157" s="2"/>
      <c r="M1157" s="2"/>
      <c r="N1157" s="419"/>
      <c r="O1157" s="1"/>
      <c r="P1157" s="2"/>
      <c r="Q1157" s="2"/>
      <c r="R1157" s="419"/>
      <c r="S1157" s="1"/>
      <c r="T1157" s="2"/>
      <c r="U1157" s="2"/>
      <c r="V1157" s="419"/>
      <c r="W1157" s="1"/>
      <c r="X1157" s="2"/>
      <c r="Y1157" s="744">
        <f>Y1141</f>
        <v>0.58522206267896359</v>
      </c>
      <c r="Z1157" s="744">
        <f>Z1141</f>
        <v>8.1974925565500054E-2</v>
      </c>
      <c r="AA1157" s="744">
        <f>AA1141</f>
        <v>0.33280301175553639</v>
      </c>
      <c r="AB1157" s="241"/>
      <c r="AC1157" s="20"/>
      <c r="AD1157" s="20"/>
      <c r="AE1157" s="20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</row>
    <row r="1158" spans="1:47">
      <c r="A1158" s="1"/>
      <c r="B1158" s="1"/>
      <c r="C1158" s="1"/>
      <c r="D1158" s="419"/>
      <c r="E1158" s="1"/>
      <c r="F1158" s="1"/>
      <c r="G1158" s="419"/>
      <c r="H1158" s="1"/>
      <c r="I1158" s="1"/>
      <c r="J1158" s="419"/>
      <c r="K1158" s="1"/>
      <c r="L1158" s="2"/>
      <c r="M1158" s="2"/>
      <c r="N1158" s="419"/>
      <c r="O1158" s="1"/>
      <c r="P1158" s="2"/>
      <c r="Q1158" s="2"/>
      <c r="R1158" s="419"/>
      <c r="S1158" s="1"/>
      <c r="T1158" s="2"/>
      <c r="U1158" s="2"/>
      <c r="V1158" s="419"/>
      <c r="W1158" s="1"/>
      <c r="X1158" s="2"/>
      <c r="Y1158" s="416">
        <f>L1155*Y1157</f>
        <v>20588.024802396183</v>
      </c>
      <c r="Z1158" s="416">
        <f>L1155*Z1157</f>
        <v>2883.8656440793175</v>
      </c>
      <c r="AA1158" s="416">
        <f>L1155*AA1157</f>
        <v>11707.960272327964</v>
      </c>
      <c r="AB1158" s="241"/>
      <c r="AC1158" s="20"/>
      <c r="AD1158" s="20"/>
      <c r="AE1158" s="20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</row>
    <row r="1159" spans="1:47">
      <c r="A1159" s="293" t="s">
        <v>493</v>
      </c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20"/>
      <c r="Z1159" s="74"/>
      <c r="AA1159" s="74"/>
      <c r="AB1159" s="74"/>
      <c r="AC1159" s="20"/>
      <c r="AD1159" s="20"/>
      <c r="AE1159" s="20"/>
      <c r="AF1159" s="20"/>
      <c r="AG1159" s="20"/>
      <c r="AH1159" s="20"/>
      <c r="AI1159" s="20"/>
      <c r="AJ1159" s="20"/>
      <c r="AK1159" s="20"/>
      <c r="AL1159" s="20"/>
      <c r="AM1159" s="20"/>
      <c r="AN1159" s="20"/>
      <c r="AO1159" s="20"/>
      <c r="AP1159" s="20"/>
      <c r="AQ1159" s="20"/>
      <c r="AR1159" s="20"/>
      <c r="AS1159" s="20"/>
    </row>
    <row r="1160" spans="1:47">
      <c r="A1160" s="1" t="s">
        <v>494</v>
      </c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20"/>
      <c r="Z1160" s="74"/>
      <c r="AA1160" s="74"/>
      <c r="AB1160" s="74"/>
      <c r="AC1160" s="20"/>
      <c r="AD1160" s="20"/>
      <c r="AE1160" s="20"/>
      <c r="AF1160" s="20"/>
      <c r="AG1160" s="20"/>
      <c r="AH1160" s="20"/>
      <c r="AI1160" s="20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</row>
    <row r="1161" spans="1:47">
      <c r="A1161" s="1"/>
      <c r="B1161" s="1"/>
      <c r="C1161" s="1"/>
      <c r="D1161" s="419"/>
      <c r="E1161" s="1"/>
      <c r="F1161" s="1"/>
      <c r="G1161" s="419"/>
      <c r="H1161" s="1"/>
      <c r="I1161" s="1"/>
      <c r="J1161" s="419"/>
      <c r="K1161" s="1"/>
      <c r="L1161" s="1"/>
      <c r="M1161" s="1"/>
      <c r="N1161" s="419"/>
      <c r="O1161" s="1"/>
      <c r="P1161" s="1"/>
      <c r="Q1161" s="1"/>
      <c r="R1161" s="419"/>
      <c r="S1161" s="1"/>
      <c r="T1161" s="1"/>
      <c r="U1161" s="1"/>
      <c r="V1161" s="419"/>
      <c r="W1161" s="1"/>
      <c r="X1161" s="1"/>
      <c r="Y1161" s="20"/>
      <c r="Z1161" s="74"/>
      <c r="AA1161" s="74"/>
      <c r="AB1161" s="74"/>
      <c r="AC1161" s="20"/>
      <c r="AD1161" s="20"/>
      <c r="AE1161" s="20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</row>
    <row r="1162" spans="1:47">
      <c r="A1162" s="1" t="s">
        <v>488</v>
      </c>
      <c r="B1162" s="1"/>
      <c r="C1162" s="21"/>
      <c r="D1162" s="298"/>
      <c r="E1162" s="1"/>
      <c r="F1162" s="412">
        <f>I1162</f>
        <v>2258.3975613477051</v>
      </c>
      <c r="G1162" s="298"/>
      <c r="H1162" s="1"/>
      <c r="I1162" s="412">
        <f>I1176+I1204</f>
        <v>2258.3975613477051</v>
      </c>
      <c r="J1162" s="298"/>
      <c r="K1162" s="1"/>
      <c r="L1162" s="2">
        <f>L1176+L1204</f>
        <v>2258.3975613477051</v>
      </c>
      <c r="M1162" s="2"/>
      <c r="N1162" s="298"/>
      <c r="O1162" s="1"/>
      <c r="P1162" s="2">
        <f>P1176+P1204</f>
        <v>2258.3975613477051</v>
      </c>
      <c r="Q1162" s="2"/>
      <c r="R1162" s="298"/>
      <c r="S1162" s="1"/>
      <c r="T1162" s="2">
        <f>T1176+T1204</f>
        <v>0</v>
      </c>
      <c r="U1162" s="2"/>
      <c r="V1162" s="298"/>
      <c r="W1162" s="1"/>
      <c r="X1162" s="2">
        <f>X1176+X1204</f>
        <v>0</v>
      </c>
      <c r="Y1162" s="20"/>
      <c r="Z1162" s="74"/>
      <c r="AA1162" s="74"/>
      <c r="AB1162" s="74"/>
      <c r="AC1162" s="20"/>
      <c r="AD1162" s="20"/>
      <c r="AE1162" s="20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</row>
    <row r="1163" spans="1:47">
      <c r="A1163" s="1" t="s">
        <v>616</v>
      </c>
      <c r="B1163" s="1"/>
      <c r="C1163" s="264">
        <f>C1192+C1205+C1206</f>
        <v>2344657.3691355633</v>
      </c>
      <c r="D1163" s="382" t="s">
        <v>31</v>
      </c>
      <c r="E1163" s="1" t="s">
        <v>374</v>
      </c>
      <c r="F1163" s="414">
        <f>F1192+F1205+F1206</f>
        <v>160210</v>
      </c>
      <c r="G1163" s="830" t="s">
        <v>31</v>
      </c>
      <c r="H1163" s="1" t="s">
        <v>31</v>
      </c>
      <c r="I1163" s="414">
        <f>I1192+I1206</f>
        <v>160210</v>
      </c>
      <c r="J1163" s="830" t="s">
        <v>31</v>
      </c>
      <c r="K1163" s="1" t="s">
        <v>31</v>
      </c>
      <c r="L1163" s="2">
        <f>L1192+L1206</f>
        <v>167572</v>
      </c>
      <c r="M1163" s="2"/>
      <c r="N1163" s="830" t="s">
        <v>31</v>
      </c>
      <c r="O1163" s="1" t="s">
        <v>31</v>
      </c>
      <c r="P1163" s="2">
        <f>P1192+P1206</f>
        <v>98066.712742683914</v>
      </c>
      <c r="Q1163" s="2"/>
      <c r="R1163" s="830" t="s">
        <v>31</v>
      </c>
      <c r="S1163" s="1" t="s">
        <v>31</v>
      </c>
      <c r="T1163" s="2">
        <f>T1192+T1206</f>
        <v>13736.651891671638</v>
      </c>
      <c r="U1163" s="2"/>
      <c r="V1163" s="830" t="s">
        <v>31</v>
      </c>
      <c r="W1163" s="1" t="s">
        <v>31</v>
      </c>
      <c r="X1163" s="2">
        <f>X1192+X1206</f>
        <v>55756.635365644441</v>
      </c>
      <c r="Y1163" s="20"/>
      <c r="Z1163" s="74"/>
      <c r="AA1163" s="74"/>
      <c r="AB1163" s="74"/>
      <c r="AC1163" s="20"/>
      <c r="AD1163" s="20"/>
      <c r="AE1163" s="20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</row>
    <row r="1164" spans="1:47">
      <c r="A1164" s="1" t="s">
        <v>618</v>
      </c>
      <c r="B1164" s="1"/>
      <c r="C1164" s="264">
        <f>C1193</f>
        <v>2268876.9813546995</v>
      </c>
      <c r="D1164" s="424" t="s">
        <v>31</v>
      </c>
      <c r="E1164" s="1" t="s">
        <v>374</v>
      </c>
      <c r="F1164" s="414">
        <f>SUM(F1178:F1190)</f>
        <v>155023.69771631877</v>
      </c>
      <c r="G1164" s="424" t="s">
        <v>31</v>
      </c>
      <c r="H1164" s="1" t="s">
        <v>31</v>
      </c>
      <c r="I1164" s="2">
        <f>I1178+I1179+I1180+I1181+I1182+I1183+I1186+I1187+I1188+I1189+I1190</f>
        <v>155023.69771631877</v>
      </c>
      <c r="J1164" s="424" t="s">
        <v>31</v>
      </c>
      <c r="K1164" s="1" t="s">
        <v>31</v>
      </c>
      <c r="L1164" s="2">
        <f>L1178+L1179+L1180+L1181+L1182+L1183+L1186+L1187+L1188+L1189+L1190</f>
        <v>162003.23625996034</v>
      </c>
      <c r="M1164" s="2"/>
      <c r="N1164" s="424" t="s">
        <v>31</v>
      </c>
      <c r="O1164" s="1" t="s">
        <v>31</v>
      </c>
      <c r="P1164" s="2">
        <f>P1178+P1179+P1180+P1181+P1182+P1183+P1186+P1187+P1188+P1189+P1190</f>
        <v>93871.253347130143</v>
      </c>
      <c r="Q1164" s="2"/>
      <c r="R1164" s="424" t="s">
        <v>31</v>
      </c>
      <c r="S1164" s="1" t="s">
        <v>31</v>
      </c>
      <c r="T1164" s="2">
        <f>T1178+T1179+T1180+T1181+T1182+T1183+T1186+T1187+T1188+T1189+T1190</f>
        <v>13465.385540959485</v>
      </c>
      <c r="U1164" s="2"/>
      <c r="V1164" s="424" t="s">
        <v>31</v>
      </c>
      <c r="W1164" s="1" t="s">
        <v>31</v>
      </c>
      <c r="X1164" s="2">
        <f>X1178+X1179+X1180+X1181+X1182+X1183+X1186+X1187+X1188+X1189+X1190</f>
        <v>54678.597371870688</v>
      </c>
      <c r="Y1164" s="20"/>
      <c r="Z1164" s="74"/>
      <c r="AA1164" s="32" t="s">
        <v>31</v>
      </c>
      <c r="AC1164" s="20"/>
      <c r="AD1164" s="20"/>
      <c r="AE1164" s="20"/>
      <c r="AF1164" s="20"/>
      <c r="AG1164" s="20"/>
      <c r="AH1164" s="20"/>
      <c r="AI1164" s="20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</row>
    <row r="1165" spans="1:47">
      <c r="A1165" s="1" t="s">
        <v>362</v>
      </c>
      <c r="B1165" s="1"/>
      <c r="C1165" s="264">
        <f>C1194+C1207</f>
        <v>2605</v>
      </c>
      <c r="D1165" s="415"/>
      <c r="E1165" s="1"/>
      <c r="F1165" s="2"/>
      <c r="G1165" s="415"/>
      <c r="H1165" s="1"/>
      <c r="I1165" s="2"/>
      <c r="J1165" s="415"/>
      <c r="K1165" s="1"/>
      <c r="L1165" s="2"/>
      <c r="M1165" s="2"/>
      <c r="N1165" s="415"/>
      <c r="O1165" s="1"/>
      <c r="P1165" s="2"/>
      <c r="Q1165" s="2"/>
      <c r="R1165" s="415"/>
      <c r="S1165" s="1"/>
      <c r="T1165" s="2"/>
      <c r="U1165" s="2"/>
      <c r="V1165" s="415"/>
      <c r="W1165" s="1"/>
      <c r="X1165" s="2"/>
      <c r="Y1165" s="20"/>
      <c r="Z1165" s="74"/>
      <c r="AA1165" s="74"/>
      <c r="AB1165" s="74"/>
      <c r="AC1165" s="20"/>
      <c r="AD1165" s="20"/>
      <c r="AE1165" s="20"/>
      <c r="AF1165" s="20"/>
      <c r="AG1165" s="20"/>
      <c r="AH1165" s="20"/>
      <c r="AI1165" s="20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</row>
    <row r="1166" spans="1:47" s="1184" customFormat="1">
      <c r="A1166" s="1005" t="s">
        <v>1035</v>
      </c>
      <c r="C1166" s="1202">
        <f>C1167</f>
        <v>4613534.3504902627</v>
      </c>
      <c r="D1166" s="269"/>
      <c r="E1166" s="1185"/>
      <c r="F1166" s="1203"/>
      <c r="G1166" s="269"/>
      <c r="H1166" s="1185"/>
      <c r="I1166" s="1203"/>
      <c r="J1166" s="1230">
        <v>0</v>
      </c>
      <c r="K1166" s="1041" t="s">
        <v>374</v>
      </c>
      <c r="L1166" s="1041">
        <f>ROUND(J1166*$C1166/100,0)</f>
        <v>0</v>
      </c>
      <c r="M1166" s="1041"/>
      <c r="N1166" s="1230" t="s">
        <v>31</v>
      </c>
      <c r="O1166" s="1219" t="s">
        <v>31</v>
      </c>
      <c r="P1166" s="1203">
        <f>N1166*C1166</f>
        <v>0</v>
      </c>
      <c r="Q1166" s="1203"/>
      <c r="R1166" s="1230" t="s">
        <v>31</v>
      </c>
      <c r="S1166" s="1219" t="s">
        <v>31</v>
      </c>
      <c r="T1166" s="1203">
        <f>R1166*C1166</f>
        <v>0</v>
      </c>
      <c r="U1166" s="1203"/>
      <c r="V1166" s="1230">
        <f>J1166</f>
        <v>0</v>
      </c>
      <c r="W1166" s="1219" t="s">
        <v>374</v>
      </c>
      <c r="X1166" s="1203">
        <f>L1166</f>
        <v>0</v>
      </c>
      <c r="Y1166" s="1274">
        <f>'NPC Spread'!J53</f>
        <v>106242.17553090378</v>
      </c>
      <c r="Z1166" s="1334" t="s">
        <v>913</v>
      </c>
      <c r="AC1166" s="1205"/>
      <c r="AD1166" s="1205"/>
      <c r="AI1166" s="1185"/>
      <c r="AJ1166" s="1185"/>
      <c r="AK1166" s="1185"/>
      <c r="AL1166" s="1185"/>
      <c r="AM1166" s="1185"/>
      <c r="AN1166" s="1185"/>
      <c r="AO1166" s="1185"/>
      <c r="AP1166" s="1185"/>
      <c r="AQ1166" s="1185"/>
      <c r="AR1166" s="1185"/>
      <c r="AS1166" s="1185"/>
      <c r="AU1166" s="1204"/>
    </row>
    <row r="1167" spans="1:47">
      <c r="A1167" s="3" t="s">
        <v>491</v>
      </c>
      <c r="C1167" s="264">
        <f>C1197+C1209</f>
        <v>4613534.3504902627</v>
      </c>
      <c r="D1167" s="269"/>
      <c r="E1167" s="20"/>
      <c r="F1167" s="272">
        <f>F1162+F1163+F1164</f>
        <v>317492.09527766646</v>
      </c>
      <c r="G1167" s="269"/>
      <c r="H1167" s="20"/>
      <c r="I1167" s="272">
        <f>I1197+I1209</f>
        <v>317492.09527766646</v>
      </c>
      <c r="J1167" s="269"/>
      <c r="K1167" s="20"/>
      <c r="L1167" s="272">
        <f>L1197+L1209</f>
        <v>331833.63382130803</v>
      </c>
      <c r="M1167" s="272"/>
      <c r="N1167" s="269"/>
      <c r="O1167" s="20"/>
      <c r="P1167" s="272">
        <f>P1197+P1209</f>
        <v>194196.36365116175</v>
      </c>
      <c r="Q1167" s="272"/>
      <c r="R1167" s="269"/>
      <c r="S1167" s="20"/>
      <c r="T1167" s="272">
        <f>T1197+T1209</f>
        <v>27202.037432631121</v>
      </c>
      <c r="U1167" s="272"/>
      <c r="V1167" s="269"/>
      <c r="W1167" s="20"/>
      <c r="X1167" s="272">
        <f>X1197+X1209</f>
        <v>110435.23273751512</v>
      </c>
      <c r="AA1167" s="74"/>
      <c r="AB1167" s="74"/>
      <c r="AC1167" s="20"/>
      <c r="AD1167" s="20"/>
      <c r="AE1167" s="20"/>
      <c r="AF1167" s="20"/>
      <c r="AG1167" s="20"/>
      <c r="AH1167" s="20"/>
      <c r="AI1167" s="20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</row>
    <row r="1168" spans="1:47">
      <c r="A1168" s="3" t="s">
        <v>492</v>
      </c>
      <c r="C1168" s="264">
        <f>C1198+C1210</f>
        <v>-451580.56565144623</v>
      </c>
      <c r="D1168" s="269"/>
      <c r="E1168" s="20"/>
      <c r="F1168" s="272">
        <f>I1168</f>
        <v>-31262.808254224292</v>
      </c>
      <c r="G1168" s="269"/>
      <c r="H1168" s="20"/>
      <c r="I1168" s="272">
        <f>I1198+I1210</f>
        <v>-31262.808254224292</v>
      </c>
      <c r="J1168" s="269"/>
      <c r="K1168" s="20"/>
      <c r="L1168" s="272">
        <f>I1168</f>
        <v>-31262.808254224292</v>
      </c>
      <c r="M1168" s="272"/>
      <c r="N1168" s="269"/>
      <c r="O1168" s="20"/>
      <c r="P1168" s="272">
        <f>P1198+P1210</f>
        <v>-18295.685131674069</v>
      </c>
      <c r="Q1168" s="272"/>
      <c r="R1168" s="269"/>
      <c r="S1168" s="20"/>
      <c r="T1168" s="272">
        <f>T1198+T1210</f>
        <v>-2562.7663796085371</v>
      </c>
      <c r="U1168" s="272"/>
      <c r="V1168" s="269"/>
      <c r="W1168" s="20"/>
      <c r="X1168" s="272">
        <f>X1198+X1210</f>
        <v>-10404.356742941687</v>
      </c>
      <c r="Y1168" s="289"/>
      <c r="Z1168" s="290"/>
      <c r="AA1168" s="74"/>
      <c r="AB1168" s="74"/>
      <c r="AC1168" s="20"/>
      <c r="AD1168" s="20"/>
      <c r="AE1168" s="20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</row>
    <row r="1169" spans="1:45" ht="16.5" thickBot="1">
      <c r="A1169" s="1" t="s">
        <v>9</v>
      </c>
      <c r="B1169" s="1"/>
      <c r="C1169" s="393">
        <f>C1167+C1168</f>
        <v>4161953.7848388166</v>
      </c>
      <c r="D1169" s="417"/>
      <c r="E1169" s="418"/>
      <c r="F1169" s="274">
        <f>F1167+F1168</f>
        <v>286229.28702344216</v>
      </c>
      <c r="G1169" s="999"/>
      <c r="H1169" s="345"/>
      <c r="I1169" s="274">
        <f>I1167+I1168</f>
        <v>286229.28702344216</v>
      </c>
      <c r="J1169" s="999"/>
      <c r="K1169" s="345"/>
      <c r="L1169" s="274">
        <f>L1167+L1168</f>
        <v>300570.82556708372</v>
      </c>
      <c r="M1169" s="312"/>
      <c r="N1169" s="999"/>
      <c r="O1169" s="345"/>
      <c r="P1169" s="274">
        <f>P1167+P1168</f>
        <v>175900.67851948767</v>
      </c>
      <c r="Q1169" s="312"/>
      <c r="R1169" s="999"/>
      <c r="S1169" s="345"/>
      <c r="T1169" s="274">
        <f>T1167+T1168</f>
        <v>24639.271053022585</v>
      </c>
      <c r="U1169" s="312"/>
      <c r="V1169" s="999"/>
      <c r="W1169" s="345"/>
      <c r="X1169" s="274">
        <f>X1167+X1168</f>
        <v>100030.87599457343</v>
      </c>
      <c r="Y1169" s="788" t="s">
        <v>409</v>
      </c>
      <c r="Z1169" s="809">
        <f ca="1">'Rate Spread targets'!Q38*1000</f>
        <v>300470.98663788423</v>
      </c>
      <c r="AA1169" s="1134">
        <f>(L1169-I1169)/I1169</f>
        <v>5.0105070283974804E-2</v>
      </c>
      <c r="AB1169" s="827"/>
      <c r="AC1169" s="20"/>
      <c r="AD1169" s="20"/>
      <c r="AE1169" s="20"/>
      <c r="AF1169" s="20"/>
      <c r="AG1169" s="20"/>
      <c r="AH1169" s="20"/>
      <c r="AI1169" s="20"/>
      <c r="AJ1169" s="20"/>
      <c r="AK1169" s="20"/>
      <c r="AL1169" s="20"/>
      <c r="AM1169" s="20"/>
      <c r="AN1169" s="20"/>
      <c r="AO1169" s="20"/>
      <c r="AP1169" s="20"/>
      <c r="AQ1169" s="20"/>
      <c r="AR1169" s="20"/>
      <c r="AS1169" s="20"/>
    </row>
    <row r="1170" spans="1:45" ht="16.5" thickTop="1">
      <c r="A1170" s="1"/>
      <c r="B1170" s="1"/>
      <c r="C1170" s="26"/>
      <c r="D1170" s="422"/>
      <c r="E1170" s="23"/>
      <c r="F1170" s="51"/>
      <c r="G1170" s="422"/>
      <c r="H1170" s="23"/>
      <c r="I1170" s="51"/>
      <c r="J1170" s="422"/>
      <c r="K1170" s="23"/>
      <c r="L1170" s="51"/>
      <c r="M1170" s="51"/>
      <c r="N1170" s="422"/>
      <c r="O1170" s="23"/>
      <c r="P1170" s="51"/>
      <c r="Q1170" s="51"/>
      <c r="R1170" s="422"/>
      <c r="S1170" s="23"/>
      <c r="T1170" s="51"/>
      <c r="U1170" s="51"/>
      <c r="V1170" s="422"/>
      <c r="W1170" s="23"/>
      <c r="X1170" s="51"/>
      <c r="Y1170" s="789" t="s">
        <v>263</v>
      </c>
      <c r="Z1170" s="811">
        <f ca="1">Z1169-L1169</f>
        <v>-99.838929199497215</v>
      </c>
      <c r="AA1170" s="785"/>
      <c r="AB1170" s="827"/>
      <c r="AC1170" s="20"/>
      <c r="AD1170" s="20"/>
      <c r="AE1170" s="20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</row>
    <row r="1171" spans="1:45">
      <c r="A1171" s="1"/>
      <c r="B1171" s="1"/>
      <c r="C1171" s="26"/>
      <c r="D1171" s="422"/>
      <c r="E1171" s="23"/>
      <c r="F1171" s="51"/>
      <c r="G1171" s="422"/>
      <c r="H1171" s="23"/>
      <c r="I1171" s="51"/>
      <c r="J1171" s="422"/>
      <c r="K1171" s="23"/>
      <c r="L1171" s="51"/>
      <c r="M1171" s="51"/>
      <c r="N1171" s="422"/>
      <c r="O1171" s="23"/>
      <c r="P1171" s="51"/>
      <c r="Q1171" s="51"/>
      <c r="R1171" s="422"/>
      <c r="S1171" s="23"/>
      <c r="T1171" s="51"/>
      <c r="U1171" s="51"/>
      <c r="V1171" s="422"/>
      <c r="W1171" s="23"/>
      <c r="X1171" s="51"/>
      <c r="Y1171" s="744">
        <f>Y29</f>
        <v>0.58522206267896359</v>
      </c>
      <c r="Z1171" s="744">
        <f>Z29</f>
        <v>8.1974925565500054E-2</v>
      </c>
      <c r="AA1171" s="744">
        <f>AA29</f>
        <v>0.33280301175553639</v>
      </c>
      <c r="AB1171" s="827"/>
      <c r="AC1171" s="20"/>
      <c r="AD1171" s="20"/>
      <c r="AE1171" s="20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</row>
    <row r="1172" spans="1:45">
      <c r="A1172" s="1"/>
      <c r="B1172" s="1"/>
      <c r="C1172" s="26"/>
      <c r="D1172" s="422" t="s">
        <v>31</v>
      </c>
      <c r="E1172" s="23"/>
      <c r="F1172" s="51"/>
      <c r="G1172" s="422" t="s">
        <v>31</v>
      </c>
      <c r="H1172" s="23"/>
      <c r="I1172" s="51"/>
      <c r="J1172" s="422" t="s">
        <v>31</v>
      </c>
      <c r="K1172" s="23"/>
      <c r="L1172" s="51" t="s">
        <v>31</v>
      </c>
      <c r="M1172" s="51"/>
      <c r="N1172" s="422" t="s">
        <v>31</v>
      </c>
      <c r="O1172" s="23"/>
      <c r="P1172" s="51" t="s">
        <v>31</v>
      </c>
      <c r="Q1172" s="51"/>
      <c r="R1172" s="422" t="s">
        <v>31</v>
      </c>
      <c r="S1172" s="23"/>
      <c r="T1172" s="51" t="s">
        <v>31</v>
      </c>
      <c r="U1172" s="51"/>
      <c r="V1172" s="422" t="s">
        <v>31</v>
      </c>
      <c r="W1172" s="23"/>
      <c r="X1172" s="51" t="s">
        <v>31</v>
      </c>
      <c r="Y1172" s="416">
        <f>L1169*Y1171</f>
        <v>175900.6785194877</v>
      </c>
      <c r="Z1172" s="416">
        <f>L1169*Z1171</f>
        <v>24639.271053022589</v>
      </c>
      <c r="AA1172" s="416">
        <f>L1169*AA1171</f>
        <v>100030.87599457345</v>
      </c>
      <c r="AB1172" s="74"/>
      <c r="AC1172" s="20"/>
      <c r="AD1172" s="20"/>
      <c r="AE1172" s="20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</row>
    <row r="1173" spans="1:45">
      <c r="A1173" s="293" t="s">
        <v>497</v>
      </c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416"/>
      <c r="Z1173" s="74"/>
      <c r="AA1173" s="74"/>
      <c r="AB1173" s="74"/>
      <c r="AC1173" s="20"/>
      <c r="AD1173" s="20"/>
      <c r="AE1173" s="20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</row>
    <row r="1174" spans="1:45">
      <c r="A1174" s="1" t="s">
        <v>498</v>
      </c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20"/>
      <c r="Z1174" s="74"/>
      <c r="AA1174" s="74"/>
      <c r="AB1174" s="74"/>
      <c r="AC1174" s="20"/>
      <c r="AD1174" s="20"/>
      <c r="AE1174" s="20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</row>
    <row r="1175" spans="1:45">
      <c r="A1175" s="1"/>
      <c r="B1175" s="1"/>
      <c r="C1175" s="1"/>
      <c r="D1175" s="419"/>
      <c r="E1175" s="1"/>
      <c r="F1175" s="1"/>
      <c r="G1175" s="419"/>
      <c r="H1175" s="1"/>
      <c r="I1175" s="1"/>
      <c r="J1175" s="419"/>
      <c r="K1175" s="1"/>
      <c r="L1175" s="1"/>
      <c r="M1175" s="1"/>
      <c r="N1175" s="419"/>
      <c r="O1175" s="1"/>
      <c r="P1175" s="1"/>
      <c r="Q1175" s="1"/>
      <c r="R1175" s="419"/>
      <c r="S1175" s="1"/>
      <c r="T1175" s="1"/>
      <c r="U1175" s="1"/>
      <c r="V1175" s="419"/>
      <c r="W1175" s="1"/>
      <c r="X1175" s="1"/>
      <c r="Y1175" s="20"/>
      <c r="Z1175" s="74"/>
      <c r="AA1175" s="74"/>
      <c r="AB1175" s="74"/>
      <c r="AC1175" s="20"/>
      <c r="AD1175" s="20"/>
      <c r="AE1175" s="20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</row>
    <row r="1176" spans="1:45">
      <c r="A1176" s="1" t="s">
        <v>488</v>
      </c>
      <c r="B1176" s="1"/>
      <c r="C1176" s="21"/>
      <c r="D1176" s="298"/>
      <c r="E1176" s="1"/>
      <c r="F1176" s="412">
        <f>I1176</f>
        <v>2258.3975613477051</v>
      </c>
      <c r="G1176" s="298"/>
      <c r="H1176" s="1"/>
      <c r="I1176" s="412">
        <f>[57]Sheet1!$L$27</f>
        <v>2258.3975613477051</v>
      </c>
      <c r="J1176" s="298"/>
      <c r="K1176" s="1"/>
      <c r="L1176" s="2">
        <f>I1176</f>
        <v>2258.3975613477051</v>
      </c>
      <c r="M1176" s="2"/>
      <c r="N1176" s="298"/>
      <c r="O1176" s="1"/>
      <c r="P1176" s="2">
        <f>L1176</f>
        <v>2258.3975613477051</v>
      </c>
      <c r="Q1176" s="2"/>
      <c r="R1176" s="298"/>
      <c r="S1176" s="1"/>
      <c r="T1176" s="2" t="s">
        <v>31</v>
      </c>
      <c r="U1176" s="2"/>
      <c r="V1176" s="298"/>
      <c r="W1176" s="1"/>
      <c r="X1176" s="2" t="str">
        <f>T1176</f>
        <v xml:space="preserve"> </v>
      </c>
      <c r="Y1176" s="20"/>
      <c r="Z1176" s="74"/>
      <c r="AA1176" s="74"/>
      <c r="AB1176" s="74"/>
      <c r="AC1176" s="20"/>
      <c r="AD1176" s="20"/>
      <c r="AE1176" s="20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</row>
    <row r="1177" spans="1:45">
      <c r="A1177" s="1" t="s">
        <v>592</v>
      </c>
      <c r="B1177" s="1"/>
      <c r="C1177" s="21"/>
      <c r="D1177" s="298"/>
      <c r="E1177" s="1"/>
      <c r="F1177" s="412"/>
      <c r="G1177" s="298"/>
      <c r="H1177" s="1"/>
      <c r="I1177" s="412"/>
      <c r="J1177" s="298"/>
      <c r="K1177" s="1"/>
      <c r="L1177" s="2"/>
      <c r="M1177" s="2"/>
      <c r="N1177" s="298"/>
      <c r="O1177" s="1"/>
      <c r="P1177" s="2"/>
      <c r="Q1177" s="2"/>
      <c r="R1177" s="298"/>
      <c r="S1177" s="1"/>
      <c r="T1177" s="2"/>
      <c r="U1177" s="2"/>
      <c r="V1177" s="298"/>
      <c r="W1177" s="1"/>
      <c r="X1177" s="2"/>
      <c r="Y1177" s="20"/>
      <c r="AC1177" s="416">
        <f ca="1">Z1169-L1169</f>
        <v>-99.838929199497215</v>
      </c>
      <c r="AD1177" s="74"/>
      <c r="AE1177" s="20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</row>
    <row r="1178" spans="1:45">
      <c r="A1178" s="3" t="s">
        <v>605</v>
      </c>
      <c r="B1178" s="1"/>
      <c r="C1178" s="21">
        <f>[57]Sheet1!$F$2+[57]Sheet1!$F$15</f>
        <v>4296.0131979250182</v>
      </c>
      <c r="D1178" s="298">
        <v>2.12</v>
      </c>
      <c r="E1178" s="1"/>
      <c r="F1178" s="412">
        <f t="shared" ref="F1178:F1183" si="342">D1178*C1178</f>
        <v>9107.5479796010386</v>
      </c>
      <c r="G1178" s="298">
        <v>2.12</v>
      </c>
      <c r="H1178" s="1"/>
      <c r="I1178" s="412">
        <f>C1178*G1178</f>
        <v>9107.5479796010386</v>
      </c>
      <c r="J1178" s="298">
        <f>ROUND(AC1178*$J$1192/100,2)</f>
        <v>2.2200000000000002</v>
      </c>
      <c r="K1178" s="1"/>
      <c r="L1178" s="2">
        <f t="shared" ref="L1178:L1183" si="343">J1178*$C1178</f>
        <v>9537.1492993935408</v>
      </c>
      <c r="M1178" s="2"/>
      <c r="N1178" s="298">
        <f>ROUND(P1178/C1178,2)</f>
        <v>1.29</v>
      </c>
      <c r="O1178" s="1"/>
      <c r="P1178" s="2">
        <f>($Y$1201-$P$1176-$P$1192-$P$1195-$P$1198)*(L1178/($L$1178+$L$1179+$L$1180+$L$1181+$L$1182+$L$1183+$L$1186+$L$1187+$L$1188+$L$1189+$L$1190))</f>
        <v>5526.2115668861079</v>
      </c>
      <c r="Q1178" s="2"/>
      <c r="R1178" s="298">
        <f>ROUND(T1178/C1178,2)</f>
        <v>0.18</v>
      </c>
      <c r="S1178" s="1"/>
      <c r="T1178" s="2">
        <f>($Z$1201-$T$1176-$T$1192-$T$1195-$T$1198)*(L1178/($L$1178+$L$1179+$L$1180+$L$1181+$L$1182+$L$1183+$L$1186+$L$1187+$L$1188+$L$1189+$L$1190))</f>
        <v>792.70880781636265</v>
      </c>
      <c r="U1178" s="2"/>
      <c r="V1178" s="298">
        <f>ROUND(X1178/C1178,2)</f>
        <v>0.75</v>
      </c>
      <c r="W1178" s="1"/>
      <c r="X1178" s="2">
        <f>($AA$1201-$X$1176-$X$1192-$X$1195-$X$1198)*(L1178/($L$1178+$L$1179+$L$1180+$L$1181+$L$1182+$L$1183+$L$1186+$L$1187+$L$1188+$L$1189+$L$1190))</f>
        <v>3218.9353660822094</v>
      </c>
      <c r="Y1178" s="20"/>
      <c r="AC1178" s="74">
        <v>31</v>
      </c>
      <c r="AD1178" s="664">
        <f t="shared" ref="AD1178:AD1183" si="344">D1178/AC1178</f>
        <v>6.8387096774193551E-2</v>
      </c>
      <c r="AE1178" s="20"/>
      <c r="AF1178" s="20"/>
      <c r="AG1178" s="7" t="s">
        <v>31</v>
      </c>
      <c r="AH1178" s="20"/>
      <c r="AI1178" s="20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</row>
    <row r="1179" spans="1:45">
      <c r="A1179" s="3" t="s">
        <v>606</v>
      </c>
      <c r="B1179" s="1"/>
      <c r="C1179" s="21">
        <f>[57]Sheet1!$F$3</f>
        <v>8148.0150869990703</v>
      </c>
      <c r="D1179" s="298">
        <v>3</v>
      </c>
      <c r="E1179" s="1"/>
      <c r="F1179" s="412">
        <f t="shared" si="342"/>
        <v>24444.045260997213</v>
      </c>
      <c r="G1179" s="298">
        <v>3</v>
      </c>
      <c r="H1179" s="1"/>
      <c r="I1179" s="412">
        <f t="shared" ref="I1179:I1183" si="345">C1179*G1179</f>
        <v>24444.045260997213</v>
      </c>
      <c r="J1179" s="298">
        <f>ROUND(AC1179*$J$1192/100,2)-0.01</f>
        <v>3.1300000000000003</v>
      </c>
      <c r="K1179" s="1"/>
      <c r="L1179" s="2">
        <f t="shared" si="343"/>
        <v>25503.287222307092</v>
      </c>
      <c r="M1179" s="2"/>
      <c r="N1179" s="298">
        <f t="shared" ref="N1179:N1183" si="346">ROUND(P1179/C1179,2)</f>
        <v>1.81</v>
      </c>
      <c r="O1179" s="1"/>
      <c r="P1179" s="2">
        <f t="shared" ref="P1179:P1183" si="347">($Y$1201-$P$1176-$P$1192-$P$1195-$P$1198)*(L1179/($L$1178+$L$1179+$L$1180+$L$1181+$L$1182+$L$1183+$L$1186+$L$1187+$L$1188+$L$1189+$L$1190))</f>
        <v>14777.64019595396</v>
      </c>
      <c r="Q1179" s="2"/>
      <c r="R1179" s="298">
        <f t="shared" ref="R1179:R1183" si="348">ROUND(T1179/C1179,2)</f>
        <v>0.26</v>
      </c>
      <c r="S1179" s="1"/>
      <c r="T1179" s="2">
        <f t="shared" ref="T1179:T1183" si="349">($Z$1201-$T$1176-$T$1192-$T$1195-$T$1198)*(L1179/($L$1178+$L$1179+$L$1180+$L$1181+$L$1182+$L$1183+$L$1186+$L$1187+$L$1188+$L$1189+$L$1190))</f>
        <v>2119.7823138491594</v>
      </c>
      <c r="U1179" s="2"/>
      <c r="V1179" s="298">
        <f t="shared" ref="V1179:V1180" si="350">ROUND(X1179/C1179,2)</f>
        <v>1.06</v>
      </c>
      <c r="W1179" s="1"/>
      <c r="X1179" s="2">
        <f t="shared" ref="X1179:X1183" si="351">($AA$1201-$X$1176-$X$1192-$X$1195-$X$1198)*(L1179/($L$1178+$L$1179+$L$1180+$L$1181+$L$1182+$L$1183+$L$1186+$L$1187+$L$1188+$L$1189+$L$1190))</f>
        <v>8607.7538071525269</v>
      </c>
      <c r="Y1179" s="20"/>
      <c r="AC1179" s="74">
        <v>44</v>
      </c>
      <c r="AD1179" s="664">
        <f t="shared" si="344"/>
        <v>6.8181818181818177E-2</v>
      </c>
      <c r="AE1179" s="20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</row>
    <row r="1180" spans="1:45">
      <c r="A1180" s="3" t="s">
        <v>607</v>
      </c>
      <c r="B1180" s="1"/>
      <c r="C1180" s="21">
        <f>[57]Sheet1!$F$4</f>
        <v>80.070551745979301</v>
      </c>
      <c r="D1180" s="298">
        <v>4.3600000000000003</v>
      </c>
      <c r="E1180" s="1"/>
      <c r="F1180" s="412">
        <f t="shared" si="342"/>
        <v>349.1076056124698</v>
      </c>
      <c r="G1180" s="298">
        <v>4.3600000000000003</v>
      </c>
      <c r="H1180" s="1"/>
      <c r="I1180" s="412">
        <f t="shared" si="345"/>
        <v>349.1076056124698</v>
      </c>
      <c r="J1180" s="298">
        <f>ROUND(AC1180*$J$1192/100,2)-0.01</f>
        <v>4.5600000000000005</v>
      </c>
      <c r="K1180" s="1"/>
      <c r="L1180" s="2">
        <f t="shared" si="343"/>
        <v>365.12171596166564</v>
      </c>
      <c r="M1180" s="2"/>
      <c r="N1180" s="298">
        <f t="shared" si="346"/>
        <v>2.64</v>
      </c>
      <c r="O1180" s="1"/>
      <c r="P1180" s="2">
        <f t="shared" si="347"/>
        <v>211.56634825848508</v>
      </c>
      <c r="Q1180" s="2"/>
      <c r="R1180" s="298">
        <f t="shared" si="348"/>
        <v>0.38</v>
      </c>
      <c r="S1180" s="1"/>
      <c r="T1180" s="2">
        <f t="shared" si="349"/>
        <v>30.348188025770082</v>
      </c>
      <c r="U1180" s="2"/>
      <c r="V1180" s="298">
        <f t="shared" si="350"/>
        <v>1.54</v>
      </c>
      <c r="W1180" s="1"/>
      <c r="X1180" s="2">
        <f t="shared" si="351"/>
        <v>123.23422519015878</v>
      </c>
      <c r="Y1180" s="20"/>
      <c r="AC1180" s="74">
        <v>64</v>
      </c>
      <c r="AD1180" s="664">
        <f t="shared" si="344"/>
        <v>6.8125000000000005E-2</v>
      </c>
      <c r="AE1180" s="20"/>
      <c r="AF1180" s="20"/>
      <c r="AG1180" s="20"/>
      <c r="AH1180" s="20"/>
      <c r="AI1180" s="20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</row>
    <row r="1181" spans="1:45">
      <c r="A1181" s="3" t="s">
        <v>608</v>
      </c>
      <c r="B1181" s="1"/>
      <c r="C1181" s="21">
        <f>[57]Sheet1!$F$5</f>
        <v>11687.0132195632</v>
      </c>
      <c r="D1181" s="298">
        <v>5.81</v>
      </c>
      <c r="E1181" s="1"/>
      <c r="F1181" s="412">
        <f t="shared" si="342"/>
        <v>67901.54680566219</v>
      </c>
      <c r="G1181" s="298">
        <v>5.81</v>
      </c>
      <c r="H1181" s="1"/>
      <c r="I1181" s="412">
        <f t="shared" si="345"/>
        <v>67901.54680566219</v>
      </c>
      <c r="J1181" s="298">
        <f>ROUND(AC1181*$J$1192/100,2)</f>
        <v>6.07</v>
      </c>
      <c r="K1181" s="1"/>
      <c r="L1181" s="2">
        <f t="shared" si="343"/>
        <v>70940.170242748631</v>
      </c>
      <c r="M1181" s="2"/>
      <c r="N1181" s="298">
        <f t="shared" si="346"/>
        <v>3.52</v>
      </c>
      <c r="O1181" s="1"/>
      <c r="P1181" s="2">
        <f t="shared" si="347"/>
        <v>41105.615215363781</v>
      </c>
      <c r="Q1181" s="2"/>
      <c r="R1181" s="298">
        <f t="shared" si="348"/>
        <v>0.5</v>
      </c>
      <c r="S1181" s="1"/>
      <c r="T1181" s="2">
        <f t="shared" si="349"/>
        <v>5896.4053108610769</v>
      </c>
      <c r="U1181" s="2"/>
      <c r="V1181" s="298">
        <f>ROUND(X1181/C1181,2)</f>
        <v>2.0499999999999998</v>
      </c>
      <c r="W1181" s="1"/>
      <c r="X1181" s="2">
        <f t="shared" si="351"/>
        <v>23943.404438976017</v>
      </c>
      <c r="Y1181" s="20"/>
      <c r="AC1181" s="74">
        <v>85</v>
      </c>
      <c r="AD1181" s="664">
        <f t="shared" si="344"/>
        <v>6.8352941176470589E-2</v>
      </c>
      <c r="AE1181" s="20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</row>
    <row r="1182" spans="1:45">
      <c r="A1182" s="3" t="s">
        <v>609</v>
      </c>
      <c r="B1182" s="1"/>
      <c r="C1182" s="21">
        <f>[57]Sheet1!$F$6</f>
        <v>4355.9970834218002</v>
      </c>
      <c r="D1182" s="298">
        <v>7.86</v>
      </c>
      <c r="E1182" s="1"/>
      <c r="F1182" s="412">
        <f t="shared" si="342"/>
        <v>34238.137075695347</v>
      </c>
      <c r="G1182" s="298">
        <v>7.86</v>
      </c>
      <c r="H1182" s="1"/>
      <c r="I1182" s="412">
        <f t="shared" si="345"/>
        <v>34238.137075695347</v>
      </c>
      <c r="J1182" s="298">
        <f>ROUND(AC1182*$J$1192/100,2)</f>
        <v>8.2200000000000006</v>
      </c>
      <c r="K1182" s="1"/>
      <c r="L1182" s="2">
        <f t="shared" si="343"/>
        <v>35806.296025727199</v>
      </c>
      <c r="M1182" s="2"/>
      <c r="N1182" s="298">
        <f t="shared" si="346"/>
        <v>4.76</v>
      </c>
      <c r="O1182" s="1"/>
      <c r="P1182" s="2">
        <f t="shared" si="347"/>
        <v>20747.621857749917</v>
      </c>
      <c r="Q1182" s="2"/>
      <c r="R1182" s="298">
        <f t="shared" si="348"/>
        <v>0.68</v>
      </c>
      <c r="S1182" s="1"/>
      <c r="T1182" s="2">
        <f t="shared" si="349"/>
        <v>2976.1478345189466</v>
      </c>
      <c r="U1182" s="2"/>
      <c r="V1182" s="298">
        <f>ROUND(X1182/C1182,2)+0.01</f>
        <v>2.78</v>
      </c>
      <c r="W1182" s="1"/>
      <c r="X1182" s="2">
        <f t="shared" si="351"/>
        <v>12085.178598698389</v>
      </c>
      <c r="Y1182" s="20"/>
      <c r="AC1182" s="74">
        <v>115</v>
      </c>
      <c r="AD1182" s="664">
        <f t="shared" si="344"/>
        <v>6.8347826086956526E-2</v>
      </c>
      <c r="AE1182" s="20"/>
      <c r="AF1182" s="20"/>
      <c r="AG1182" s="20"/>
      <c r="AH1182" s="20"/>
      <c r="AI1182" s="20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</row>
    <row r="1183" spans="1:45">
      <c r="A1183" s="3" t="s">
        <v>610</v>
      </c>
      <c r="B1183" s="1"/>
      <c r="C1183" s="21">
        <f>[57]Sheet1!$F$8</f>
        <v>1577.99775467585</v>
      </c>
      <c r="D1183" s="298">
        <v>12.03</v>
      </c>
      <c r="E1183" s="1"/>
      <c r="F1183" s="412">
        <f t="shared" si="342"/>
        <v>18983.312988750477</v>
      </c>
      <c r="G1183" s="298">
        <v>12.03</v>
      </c>
      <c r="H1183" s="1"/>
      <c r="I1183" s="412">
        <f t="shared" si="345"/>
        <v>18983.312988750477</v>
      </c>
      <c r="J1183" s="298">
        <f>ROUND(AC1183*$J$1192/100,2)</f>
        <v>12.58</v>
      </c>
      <c r="K1183" s="1"/>
      <c r="L1183" s="2">
        <f t="shared" si="343"/>
        <v>19851.211753822194</v>
      </c>
      <c r="M1183" s="2"/>
      <c r="N1183" s="298">
        <f t="shared" si="346"/>
        <v>7.29</v>
      </c>
      <c r="O1183" s="1"/>
      <c r="P1183" s="2">
        <f t="shared" si="347"/>
        <v>11502.598162917879</v>
      </c>
      <c r="Q1183" s="2"/>
      <c r="R1183" s="298">
        <f t="shared" si="348"/>
        <v>1.05</v>
      </c>
      <c r="S1183" s="1"/>
      <c r="T1183" s="2">
        <f t="shared" si="349"/>
        <v>1649.9930858881712</v>
      </c>
      <c r="U1183" s="2"/>
      <c r="V1183" s="298">
        <f>ROUND(X1183/C1183,2)-0.01</f>
        <v>4.24</v>
      </c>
      <c r="W1183" s="1"/>
      <c r="X1183" s="2">
        <f t="shared" si="351"/>
        <v>6700.0909357713881</v>
      </c>
      <c r="AA1183" s="827" t="s">
        <v>31</v>
      </c>
      <c r="AB1183" s="777"/>
      <c r="AC1183" s="74">
        <v>176</v>
      </c>
      <c r="AD1183" s="664">
        <f t="shared" si="344"/>
        <v>6.835227272727272E-2</v>
      </c>
      <c r="AE1183" s="20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</row>
    <row r="1184" spans="1:45">
      <c r="B1184" s="1"/>
      <c r="C1184" s="21"/>
      <c r="D1184" s="298"/>
      <c r="E1184" s="1"/>
      <c r="F1184" s="412"/>
      <c r="G1184" s="298"/>
      <c r="H1184" s="1"/>
      <c r="I1184" s="412"/>
      <c r="J1184" s="298"/>
      <c r="K1184" s="1"/>
      <c r="L1184" s="2"/>
      <c r="M1184" s="2"/>
      <c r="N1184" s="298"/>
      <c r="O1184" s="1"/>
      <c r="P1184" s="2"/>
      <c r="Q1184" s="2"/>
      <c r="R1184" s="298"/>
      <c r="S1184" s="1"/>
      <c r="T1184" s="2"/>
      <c r="U1184" s="2"/>
      <c r="V1184" s="298"/>
      <c r="W1184" s="1"/>
      <c r="X1184" s="2"/>
      <c r="Y1184" s="20"/>
      <c r="Z1184" s="88" t="s">
        <v>74</v>
      </c>
      <c r="AC1184" s="74"/>
      <c r="AD1184" s="74"/>
      <c r="AE1184" s="20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</row>
    <row r="1185" spans="1:47">
      <c r="A1185" s="3" t="s">
        <v>593</v>
      </c>
      <c r="B1185" s="1"/>
      <c r="C1185" s="21"/>
      <c r="D1185" s="298" t="s">
        <v>31</v>
      </c>
      <c r="E1185" s="1"/>
      <c r="F1185" s="412"/>
      <c r="G1185" s="298" t="s">
        <v>31</v>
      </c>
      <c r="H1185" s="1"/>
      <c r="I1185" s="412"/>
      <c r="J1185" s="298" t="s">
        <v>31</v>
      </c>
      <c r="K1185" s="1"/>
      <c r="L1185" s="2"/>
      <c r="M1185" s="2"/>
      <c r="N1185" s="298" t="s">
        <v>31</v>
      </c>
      <c r="O1185" s="1"/>
      <c r="P1185" s="2"/>
      <c r="Q1185" s="2"/>
      <c r="R1185" s="298" t="s">
        <v>31</v>
      </c>
      <c r="S1185" s="1"/>
      <c r="T1185" s="2"/>
      <c r="U1185" s="2"/>
      <c r="V1185" s="298" t="s">
        <v>31</v>
      </c>
      <c r="W1185" s="1"/>
      <c r="X1185" s="2"/>
      <c r="Y1185" s="20"/>
      <c r="AC1185" s="74"/>
      <c r="AD1185" s="74"/>
      <c r="AE1185" s="20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</row>
    <row r="1186" spans="1:47">
      <c r="A1186" s="3" t="s">
        <v>611</v>
      </c>
      <c r="B1186" s="1"/>
      <c r="C1186" s="21">
        <v>0</v>
      </c>
      <c r="D1186" s="298">
        <v>2.67</v>
      </c>
      <c r="E1186" s="1"/>
      <c r="F1186" s="412">
        <f>D1186*C1186</f>
        <v>0</v>
      </c>
      <c r="G1186" s="298">
        <v>2.67</v>
      </c>
      <c r="H1186" s="1"/>
      <c r="I1186" s="412">
        <f t="shared" ref="I1186:I1190" si="352">C1186*G1186</f>
        <v>0</v>
      </c>
      <c r="J1186" s="298">
        <f>ROUND(AC1186*$J$1192/100,2)+0.01</f>
        <v>2.8</v>
      </c>
      <c r="K1186" s="1"/>
      <c r="L1186" s="2">
        <f>J1186*$C1186</f>
        <v>0</v>
      </c>
      <c r="M1186" s="2"/>
      <c r="N1186" s="298">
        <f>ROUND(SUM($P$1178:$P$1183)/SUM($L$1178:$L$1183)*J1186,2)</f>
        <v>1.62</v>
      </c>
      <c r="O1186" s="1"/>
      <c r="P1186" s="2">
        <f t="shared" ref="P1186:P1190" si="353">(Y1209-$P$1176-$P$1195-$P$1198)*(L1186/($L$1178+$L$1179+$L$1180+$L$1181+$L$1182+$L$1183+$L$1186+$L$1187+$L$1188+$L$1189+$L$1190))</f>
        <v>0</v>
      </c>
      <c r="Q1186" s="2"/>
      <c r="R1186" s="298">
        <f>ROUND(SUM($T$1178:$T$1183)/SUM($L$1178:$L$1183)*J1186,2)</f>
        <v>0.23</v>
      </c>
      <c r="S1186" s="1"/>
      <c r="T1186" s="2">
        <f t="shared" ref="T1186:T1190" si="354">($Z$1201-$T$1176-$T$1192-$T$1195-$T$1198)*(L1186/($L$1178+$L$1179+$L$1180+$L$1181+$L$1182+$L$1183+$L$1186+$L$1187+$L$1188+$L$1189+$L$1190))</f>
        <v>0</v>
      </c>
      <c r="U1186" s="2"/>
      <c r="V1186" s="298">
        <f>ROUND(SUM($X$1178:$X$1183)/SUM($L$1178:$L$1183)*J1186,2)</f>
        <v>0.95</v>
      </c>
      <c r="W1186" s="1"/>
      <c r="X1186" s="2">
        <f t="shared" ref="X1186:X1190" si="355">($AA$1201-$X$1176-$X$1192-$X$1195-$X$1198)*(L1186/($L$1178+$L$1179+$L$1180+$L$1181+$L$1182+$L$1183+$L$1186+$L$1187+$L$1188+$L$1189+$L$1190))</f>
        <v>0</v>
      </c>
      <c r="Y1186" s="20"/>
      <c r="AC1186" s="74">
        <v>39</v>
      </c>
      <c r="AD1186" s="664">
        <f>D1186/AC1186</f>
        <v>6.8461538461538463E-2</v>
      </c>
      <c r="AE1186" s="20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</row>
    <row r="1187" spans="1:47">
      <c r="A1187" s="3" t="s">
        <v>612</v>
      </c>
      <c r="B1187" s="1"/>
      <c r="C1187" s="21">
        <v>0</v>
      </c>
      <c r="D1187" s="298">
        <v>4.6500000000000004</v>
      </c>
      <c r="E1187" s="1"/>
      <c r="F1187" s="412">
        <f>D1187*C1187</f>
        <v>0</v>
      </c>
      <c r="G1187" s="298">
        <v>4.6500000000000004</v>
      </c>
      <c r="H1187" s="1"/>
      <c r="I1187" s="412">
        <f t="shared" si="352"/>
        <v>0</v>
      </c>
      <c r="J1187" s="298">
        <f>ROUND(AC1187*$J$1192/100,2)</f>
        <v>4.8600000000000003</v>
      </c>
      <c r="K1187" s="1"/>
      <c r="L1187" s="2">
        <f>J1187*$C1187</f>
        <v>0</v>
      </c>
      <c r="M1187" s="2"/>
      <c r="N1187" s="298">
        <f t="shared" ref="N1187:N1190" si="356">ROUND(SUM($P$1178:$P$1183)/SUM($L$1178:$L$1183)*J1187,2)</f>
        <v>2.82</v>
      </c>
      <c r="O1187" s="1"/>
      <c r="P1187" s="2">
        <f t="shared" si="353"/>
        <v>0</v>
      </c>
      <c r="Q1187" s="2"/>
      <c r="R1187" s="298">
        <f t="shared" ref="R1187:R1190" si="357">ROUND(SUM($T$1178:$T$1183)/SUM($L$1178:$L$1183)*J1187,2)</f>
        <v>0.4</v>
      </c>
      <c r="S1187" s="1"/>
      <c r="T1187" s="2">
        <f t="shared" si="354"/>
        <v>0</v>
      </c>
      <c r="U1187" s="2"/>
      <c r="V1187" s="298">
        <f t="shared" ref="V1187:V1190" si="358">ROUND(SUM($X$1178:$X$1183)/SUM($L$1178:$L$1183)*J1187,2)</f>
        <v>1.64</v>
      </c>
      <c r="W1187" s="1"/>
      <c r="X1187" s="2">
        <f t="shared" si="355"/>
        <v>0</v>
      </c>
      <c r="Y1187" s="20"/>
      <c r="AC1187" s="74">
        <v>68</v>
      </c>
      <c r="AD1187" s="664">
        <f>D1187/AC1187</f>
        <v>6.8382352941176477E-2</v>
      </c>
      <c r="AE1187" s="20"/>
      <c r="AF1187" s="20"/>
      <c r="AG1187" s="20"/>
      <c r="AH1187" s="20"/>
      <c r="AI1187" s="20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</row>
    <row r="1188" spans="1:47">
      <c r="A1188" s="3" t="s">
        <v>613</v>
      </c>
      <c r="B1188" s="1"/>
      <c r="C1188" s="21">
        <v>0</v>
      </c>
      <c r="D1188" s="298">
        <v>6.43</v>
      </c>
      <c r="E1188" s="1"/>
      <c r="F1188" s="412">
        <f>D1188*C1188</f>
        <v>0</v>
      </c>
      <c r="G1188" s="298">
        <v>6.43</v>
      </c>
      <c r="H1188" s="1"/>
      <c r="I1188" s="412">
        <f t="shared" si="352"/>
        <v>0</v>
      </c>
      <c r="J1188" s="298">
        <f>ROUND(AC1188*$J$1192/100,2)+0.01</f>
        <v>6.7299999999999995</v>
      </c>
      <c r="K1188" s="1"/>
      <c r="L1188" s="2">
        <f>J1188*$C1188</f>
        <v>0</v>
      </c>
      <c r="M1188" s="2"/>
      <c r="N1188" s="298">
        <f t="shared" si="356"/>
        <v>3.9</v>
      </c>
      <c r="O1188" s="1"/>
      <c r="P1188" s="2">
        <f t="shared" si="353"/>
        <v>0</v>
      </c>
      <c r="Q1188" s="2"/>
      <c r="R1188" s="298">
        <f t="shared" si="357"/>
        <v>0.56000000000000005</v>
      </c>
      <c r="S1188" s="1"/>
      <c r="T1188" s="2">
        <f t="shared" si="354"/>
        <v>0</v>
      </c>
      <c r="U1188" s="2"/>
      <c r="V1188" s="298">
        <f t="shared" si="358"/>
        <v>2.27</v>
      </c>
      <c r="W1188" s="1"/>
      <c r="X1188" s="2">
        <f t="shared" si="355"/>
        <v>0</v>
      </c>
      <c r="Y1188" s="20" t="s">
        <v>31</v>
      </c>
      <c r="AC1188" s="74">
        <v>94</v>
      </c>
      <c r="AD1188" s="664">
        <f>D1188/AC1188</f>
        <v>6.8404255319148927E-2</v>
      </c>
      <c r="AE1188" s="20"/>
      <c r="AF1188" s="20"/>
      <c r="AG1188" s="20"/>
      <c r="AH1188" s="20"/>
      <c r="AI1188" s="20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</row>
    <row r="1189" spans="1:47">
      <c r="A1189" s="3" t="s">
        <v>614</v>
      </c>
      <c r="B1189" s="1"/>
      <c r="C1189" s="21">
        <v>0</v>
      </c>
      <c r="D1189" s="298">
        <v>10.18</v>
      </c>
      <c r="E1189" s="1"/>
      <c r="F1189" s="412">
        <f>D1189*C1189</f>
        <v>0</v>
      </c>
      <c r="G1189" s="298">
        <v>10.18</v>
      </c>
      <c r="H1189" s="1"/>
      <c r="I1189" s="412">
        <f t="shared" si="352"/>
        <v>0</v>
      </c>
      <c r="J1189" s="298">
        <f>ROUND(AC1189*$J$1192/100,2)</f>
        <v>10.65</v>
      </c>
      <c r="K1189" s="1"/>
      <c r="L1189" s="2">
        <f>J1189*$C1189</f>
        <v>0</v>
      </c>
      <c r="M1189" s="2"/>
      <c r="N1189" s="298">
        <f t="shared" si="356"/>
        <v>6.17</v>
      </c>
      <c r="O1189" s="1"/>
      <c r="P1189" s="2">
        <f t="shared" si="353"/>
        <v>0</v>
      </c>
      <c r="Q1189" s="2"/>
      <c r="R1189" s="298">
        <f t="shared" si="357"/>
        <v>0.89</v>
      </c>
      <c r="S1189" s="1"/>
      <c r="T1189" s="2">
        <f t="shared" si="354"/>
        <v>0</v>
      </c>
      <c r="U1189" s="2"/>
      <c r="V1189" s="298">
        <f t="shared" si="358"/>
        <v>3.59</v>
      </c>
      <c r="W1189" s="1"/>
      <c r="X1189" s="2">
        <f t="shared" si="355"/>
        <v>0</v>
      </c>
      <c r="Y1189" s="20"/>
      <c r="AC1189" s="74">
        <v>149</v>
      </c>
      <c r="AD1189" s="664">
        <f>D1189/AC1189</f>
        <v>6.8322147651006707E-2</v>
      </c>
      <c r="AE1189" s="20"/>
      <c r="AF1189" s="20"/>
      <c r="AG1189" s="20"/>
      <c r="AH1189" s="20"/>
      <c r="AI1189" s="20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</row>
    <row r="1190" spans="1:47">
      <c r="A1190" s="3" t="s">
        <v>615</v>
      </c>
      <c r="B1190" s="1"/>
      <c r="C1190" s="21">
        <v>0</v>
      </c>
      <c r="D1190" s="298">
        <v>24.19</v>
      </c>
      <c r="E1190" s="1"/>
      <c r="F1190" s="412">
        <f>D1190*C1190</f>
        <v>0</v>
      </c>
      <c r="G1190" s="298">
        <v>24.19</v>
      </c>
      <c r="H1190" s="1"/>
      <c r="I1190" s="412">
        <f t="shared" si="352"/>
        <v>0</v>
      </c>
      <c r="J1190" s="298">
        <f>ROUND(AC1190*$J$1192/100,2)</f>
        <v>25.3</v>
      </c>
      <c r="K1190" s="1"/>
      <c r="L1190" s="2">
        <f>J1190*$C1190</f>
        <v>0</v>
      </c>
      <c r="M1190" s="2"/>
      <c r="N1190" s="298">
        <f t="shared" si="356"/>
        <v>14.66</v>
      </c>
      <c r="O1190" s="1"/>
      <c r="P1190" s="2">
        <f t="shared" si="353"/>
        <v>0</v>
      </c>
      <c r="Q1190" s="2"/>
      <c r="R1190" s="298">
        <f t="shared" si="357"/>
        <v>2.1</v>
      </c>
      <c r="S1190" s="1"/>
      <c r="T1190" s="2">
        <f t="shared" si="354"/>
        <v>0</v>
      </c>
      <c r="U1190" s="2"/>
      <c r="V1190" s="298">
        <f t="shared" si="358"/>
        <v>8.5399999999999991</v>
      </c>
      <c r="W1190" s="1"/>
      <c r="X1190" s="2">
        <f t="shared" si="355"/>
        <v>0</v>
      </c>
      <c r="Y1190" s="20"/>
      <c r="AC1190" s="74">
        <v>354</v>
      </c>
      <c r="AD1190" s="664">
        <f>D1190/AC1190</f>
        <v>6.8333333333333343E-2</v>
      </c>
      <c r="AE1190" s="20" t="s">
        <v>31</v>
      </c>
      <c r="AF1190" s="20"/>
      <c r="AG1190" s="20"/>
      <c r="AH1190" s="20"/>
      <c r="AI1190" s="20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</row>
    <row r="1191" spans="1:47">
      <c r="A1191" s="1"/>
      <c r="B1191" s="1"/>
      <c r="C1191" s="21"/>
      <c r="D1191" s="298"/>
      <c r="E1191" s="1"/>
      <c r="F1191" s="412"/>
      <c r="G1191" s="298"/>
      <c r="H1191" s="1"/>
      <c r="I1191" s="412"/>
      <c r="J1191" s="298"/>
      <c r="K1191" s="1"/>
      <c r="L1191" s="2"/>
      <c r="M1191" s="2"/>
      <c r="N1191" s="298"/>
      <c r="O1191" s="1"/>
      <c r="P1191" s="2"/>
      <c r="Q1191" s="2"/>
      <c r="R1191" s="298"/>
      <c r="S1191" s="1"/>
      <c r="T1191" s="2"/>
      <c r="U1191" s="2"/>
      <c r="V1191" s="298"/>
      <c r="W1191" s="1"/>
      <c r="X1191" s="2"/>
      <c r="Y1191" s="20"/>
      <c r="AC1191" s="74"/>
      <c r="AD1191" s="74"/>
      <c r="AE1191" s="20"/>
      <c r="AF1191" s="20"/>
      <c r="AG1191" s="20"/>
      <c r="AH1191" s="20"/>
      <c r="AI1191" s="20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</row>
    <row r="1192" spans="1:47">
      <c r="A1192" s="1" t="s">
        <v>616</v>
      </c>
      <c r="B1192" s="1"/>
      <c r="C1192" s="264">
        <f>[57]Sheet1!$E$7+[57]Sheet1!$E$9+[57]Sheet1!$E$10+[57]Sheet1!$E$11+[57]Sheet1!$E$12+[57]Sheet1!$E$13+[57]Sheet1!$E$14+[57]Sheet1!$E$16+[57]Sheet1!$E$17+[57]Sheet1!$E$18+[57]Sheet1!$E$19+[57]Sheet1!$E$20+[57]Sheet1!$E$21+[57]Sheet1!$E$22+[57]Sheet1!$E$23</f>
        <v>1191736.3691355635</v>
      </c>
      <c r="D1192" s="382">
        <v>6.8330000000000002</v>
      </c>
      <c r="E1192" s="1" t="s">
        <v>374</v>
      </c>
      <c r="F1192" s="414">
        <f>ROUND(C1192*D1192/100,0)</f>
        <v>81431</v>
      </c>
      <c r="G1192" s="382">
        <v>6.8330000000000002</v>
      </c>
      <c r="H1192" s="1" t="s">
        <v>374</v>
      </c>
      <c r="I1192" s="414">
        <f>ROUND(G1192*C1192/100,0)</f>
        <v>81431</v>
      </c>
      <c r="J1192" s="382">
        <v>7.1470000000000002</v>
      </c>
      <c r="K1192" s="1" t="s">
        <v>374</v>
      </c>
      <c r="L1192" s="2">
        <f>ROUND(J1192*C1192/100,0)</f>
        <v>85173</v>
      </c>
      <c r="M1192" s="2"/>
      <c r="N1192" s="382">
        <f>N1206</f>
        <v>4.1825686879399306</v>
      </c>
      <c r="O1192" s="1" t="s">
        <v>374</v>
      </c>
      <c r="P1192" s="2">
        <f>ROUND(N1192*C1192/100,0)</f>
        <v>49845</v>
      </c>
      <c r="Q1192" s="2"/>
      <c r="R1192" s="382">
        <f>R1206</f>
        <v>0.58587291684960541</v>
      </c>
      <c r="S1192" s="1" t="s">
        <v>374</v>
      </c>
      <c r="T1192" s="2">
        <f>ROUND(R1192*C1192/100,0)</f>
        <v>6982</v>
      </c>
      <c r="U1192" s="2"/>
      <c r="V1192" s="382">
        <f>V1206</f>
        <v>2.3775355081262677</v>
      </c>
      <c r="W1192" s="1" t="s">
        <v>374</v>
      </c>
      <c r="X1192" s="2">
        <f>ROUND(V1192*C1192/100,0)</f>
        <v>28334</v>
      </c>
      <c r="Y1192" s="20"/>
      <c r="AC1192" s="74"/>
      <c r="AD1192" s="74"/>
      <c r="AE1192" s="20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</row>
    <row r="1193" spans="1:47">
      <c r="A1193" s="1" t="s">
        <v>617</v>
      </c>
      <c r="B1193" s="1"/>
      <c r="C1193" s="264">
        <f>[57]Sheet1!$E$27-C1192</f>
        <v>2268876.9813546995</v>
      </c>
      <c r="D1193" s="421">
        <v>0</v>
      </c>
      <c r="E1193" s="1" t="s">
        <v>31</v>
      </c>
      <c r="F1193" s="414" t="s">
        <v>31</v>
      </c>
      <c r="G1193" s="421">
        <v>0</v>
      </c>
      <c r="H1193" s="1" t="s">
        <v>374</v>
      </c>
      <c r="I1193" s="414">
        <f>ROUND(G1193*C1193/100,0)</f>
        <v>0</v>
      </c>
      <c r="J1193" s="421">
        <v>0</v>
      </c>
      <c r="K1193" s="1" t="s">
        <v>374</v>
      </c>
      <c r="L1193" s="2">
        <v>0</v>
      </c>
      <c r="M1193" s="2"/>
      <c r="N1193" s="421">
        <v>0</v>
      </c>
      <c r="O1193" s="1" t="s">
        <v>374</v>
      </c>
      <c r="P1193" s="2">
        <v>0</v>
      </c>
      <c r="Q1193" s="2"/>
      <c r="R1193" s="421">
        <v>0</v>
      </c>
      <c r="S1193" s="1" t="s">
        <v>374</v>
      </c>
      <c r="T1193" s="2">
        <v>0</v>
      </c>
      <c r="U1193" s="2"/>
      <c r="V1193" s="421">
        <v>0</v>
      </c>
      <c r="W1193" s="1" t="s">
        <v>374</v>
      </c>
      <c r="X1193" s="2">
        <v>0</v>
      </c>
      <c r="Y1193" s="20"/>
      <c r="AC1193" s="74"/>
      <c r="AD1193" s="74">
        <v>211950</v>
      </c>
      <c r="AE1193" s="2">
        <f>C1193*0.06146</f>
        <v>139445.17927405983</v>
      </c>
      <c r="AF1193" s="2"/>
      <c r="AG1193" s="20"/>
      <c r="AH1193" s="20"/>
      <c r="AI1193" s="20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</row>
    <row r="1194" spans="1:47">
      <c r="A1194" s="1" t="s">
        <v>362</v>
      </c>
      <c r="B1194" s="1"/>
      <c r="C1194" s="264">
        <f>[57]Sheet1!$M$27</f>
        <v>1346</v>
      </c>
      <c r="D1194" s="415"/>
      <c r="E1194" s="1"/>
      <c r="F1194" s="2"/>
      <c r="G1194" s="415"/>
      <c r="H1194" s="1"/>
      <c r="I1194" s="2"/>
      <c r="J1194" s="415"/>
      <c r="K1194" s="1"/>
      <c r="L1194" s="2"/>
      <c r="M1194" s="2"/>
      <c r="N1194" s="415"/>
      <c r="O1194" s="1"/>
      <c r="P1194" s="2"/>
      <c r="Q1194" s="2"/>
      <c r="R1194" s="415"/>
      <c r="S1194" s="1"/>
      <c r="T1194" s="2"/>
      <c r="U1194" s="2"/>
      <c r="V1194" s="415"/>
      <c r="W1194" s="1"/>
      <c r="X1194" s="2"/>
      <c r="Y1194" s="20"/>
      <c r="Z1194" s="74"/>
      <c r="AA1194" s="74"/>
      <c r="AB1194" s="74"/>
      <c r="AC1194" s="20"/>
      <c r="AD1194" s="20"/>
      <c r="AE1194" s="20"/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</row>
    <row r="1195" spans="1:47" s="1184" customFormat="1">
      <c r="A1195" s="1005" t="s">
        <v>1035</v>
      </c>
      <c r="C1195" s="1202">
        <f>C1197</f>
        <v>3460613.3504902627</v>
      </c>
      <c r="D1195" s="269"/>
      <c r="E1195" s="1185"/>
      <c r="F1195" s="1203"/>
      <c r="G1195" s="269"/>
      <c r="H1195" s="1185"/>
      <c r="I1195" s="1203"/>
      <c r="J1195" s="1230">
        <v>0</v>
      </c>
      <c r="K1195" s="1219" t="s">
        <v>374</v>
      </c>
      <c r="L1195" s="1041">
        <f>ROUND(J1195*$C1195/100,0)</f>
        <v>0</v>
      </c>
      <c r="M1195" s="1041"/>
      <c r="N1195" s="1230" t="str">
        <f>N1166</f>
        <v xml:space="preserve"> </v>
      </c>
      <c r="O1195" s="1219" t="s">
        <v>374</v>
      </c>
      <c r="P1195" s="1041">
        <f>ROUND(N1195*$C1195/100,0)</f>
        <v>0</v>
      </c>
      <c r="Q1195" s="1041"/>
      <c r="R1195" s="1230" t="str">
        <f>R1166</f>
        <v xml:space="preserve"> </v>
      </c>
      <c r="S1195" s="1219" t="s">
        <v>374</v>
      </c>
      <c r="T1195" s="1041">
        <f>ROUND(R1195*$C1195/100,0)</f>
        <v>0</v>
      </c>
      <c r="U1195" s="1041"/>
      <c r="V1195" s="1230">
        <f>V1166</f>
        <v>0</v>
      </c>
      <c r="W1195" s="1219" t="s">
        <v>374</v>
      </c>
      <c r="X1195" s="1041">
        <f>ROUND(V1195*$C1195/100,0)</f>
        <v>0</v>
      </c>
      <c r="Z1195" s="815"/>
      <c r="AC1195" s="1205"/>
      <c r="AD1195" s="1205"/>
      <c r="AI1195" s="1185"/>
      <c r="AJ1195" s="1185"/>
      <c r="AK1195" s="1185"/>
      <c r="AL1195" s="1185"/>
      <c r="AM1195" s="1185"/>
      <c r="AN1195" s="1185"/>
      <c r="AO1195" s="1185"/>
      <c r="AP1195" s="1185"/>
      <c r="AQ1195" s="1185"/>
      <c r="AR1195" s="1185"/>
      <c r="AS1195" s="1185"/>
      <c r="AU1195" s="1204"/>
    </row>
    <row r="1196" spans="1:47" s="1184" customFormat="1">
      <c r="A1196" s="1509" t="s">
        <v>932</v>
      </c>
      <c r="B1196" s="1510"/>
      <c r="C1196" s="1524"/>
      <c r="D1196" s="1512"/>
      <c r="E1196" s="1513"/>
      <c r="F1196" s="1514"/>
      <c r="G1196" s="1526">
        <f>G1192</f>
        <v>6.8330000000000002</v>
      </c>
      <c r="H1196" s="1516" t="s">
        <v>374</v>
      </c>
      <c r="I1196" s="1514"/>
      <c r="J1196" s="1526">
        <f>J1192+J1195</f>
        <v>7.1470000000000002</v>
      </c>
      <c r="K1196" s="1516" t="s">
        <v>374</v>
      </c>
      <c r="L1196" s="1521"/>
      <c r="M1196" s="1521"/>
      <c r="N1196" s="1526">
        <f>N1192+N1195</f>
        <v>4.1825686879399306</v>
      </c>
      <c r="O1196" s="1516" t="s">
        <v>374</v>
      </c>
      <c r="P1196" s="1521"/>
      <c r="Q1196" s="1521"/>
      <c r="R1196" s="1526">
        <f>R1192+R1195</f>
        <v>0.58587291684960541</v>
      </c>
      <c r="S1196" s="1516" t="s">
        <v>374</v>
      </c>
      <c r="T1196" s="1521"/>
      <c r="U1196" s="1521"/>
      <c r="V1196" s="1526">
        <f>V1192+V1195</f>
        <v>2.3775355081262677</v>
      </c>
      <c r="W1196" s="1516" t="s">
        <v>374</v>
      </c>
      <c r="X1196" s="1521"/>
      <c r="Z1196" s="815"/>
      <c r="AA1196" s="826" t="s">
        <v>31</v>
      </c>
      <c r="AC1196" s="1205"/>
      <c r="AD1196" s="1205"/>
      <c r="AI1196" s="1185"/>
      <c r="AJ1196" s="1185"/>
      <c r="AK1196" s="1185"/>
      <c r="AL1196" s="1185"/>
      <c r="AM1196" s="1185"/>
      <c r="AN1196" s="1185"/>
      <c r="AO1196" s="1185"/>
      <c r="AP1196" s="1185"/>
      <c r="AQ1196" s="1185"/>
      <c r="AR1196" s="1185"/>
      <c r="AS1196" s="1185"/>
      <c r="AU1196" s="1204"/>
    </row>
    <row r="1197" spans="1:47">
      <c r="A1197" s="3" t="s">
        <v>491</v>
      </c>
      <c r="C1197" s="264">
        <f>C1192+C1193</f>
        <v>3460613.3504902627</v>
      </c>
      <c r="D1197" s="269"/>
      <c r="E1197" s="20"/>
      <c r="F1197" s="272">
        <f>SUM(F1176:F1193)</f>
        <v>238713.09527766646</v>
      </c>
      <c r="G1197" s="269"/>
      <c r="H1197" s="20"/>
      <c r="I1197" s="272">
        <f>SUM(I1176:I1193)</f>
        <v>238713.09527766646</v>
      </c>
      <c r="J1197" s="269"/>
      <c r="K1197" s="20"/>
      <c r="L1197" s="272">
        <f>SUM(L1176:L1196)</f>
        <v>249434.63382130803</v>
      </c>
      <c r="M1197" s="272"/>
      <c r="N1197" s="269"/>
      <c r="O1197" s="20"/>
      <c r="P1197" s="272">
        <f>SUM(P1176:P1195)</f>
        <v>145974.65090847784</v>
      </c>
      <c r="Q1197" s="272"/>
      <c r="R1197" s="269"/>
      <c r="S1197" s="20"/>
      <c r="T1197" s="272">
        <f>SUM(T1176:T1196)</f>
        <v>20447.385540959483</v>
      </c>
      <c r="U1197" s="272"/>
      <c r="V1197" s="269"/>
      <c r="W1197" s="20"/>
      <c r="X1197" s="272">
        <f>SUM(X1176:X1196)</f>
        <v>83012.597371870681</v>
      </c>
      <c r="Y1197" s="20"/>
      <c r="Z1197" s="74"/>
      <c r="AA1197" s="74"/>
      <c r="AB1197" s="74"/>
      <c r="AC1197" s="20"/>
      <c r="AD1197" s="20"/>
      <c r="AE1197" s="20"/>
      <c r="AF1197" s="20"/>
      <c r="AG1197" s="20"/>
      <c r="AH1197" s="20"/>
      <c r="AI1197" s="20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</row>
    <row r="1198" spans="1:47">
      <c r="A1198" s="3" t="s">
        <v>492</v>
      </c>
      <c r="C1198" s="264">
        <f>'Table 2'!H122</f>
        <v>-338730.70309951692</v>
      </c>
      <c r="D1198" s="269"/>
      <c r="E1198" s="20"/>
      <c r="F1198" s="272">
        <f>I1198</f>
        <v>-23505.811910458691</v>
      </c>
      <c r="G1198" s="269"/>
      <c r="H1198" s="20"/>
      <c r="I1198" s="272">
        <f>'Table 3'!E122</f>
        <v>-23505.811910458691</v>
      </c>
      <c r="J1198" s="269"/>
      <c r="K1198" s="20"/>
      <c r="L1198" s="272">
        <f>I1198</f>
        <v>-23505.811910458691</v>
      </c>
      <c r="M1198" s="272"/>
      <c r="N1198" s="269"/>
      <c r="O1198" s="20"/>
      <c r="P1198" s="272">
        <f>$L$1198*Y1172/($Y$1172+$Z$1172+$AA$1172)</f>
        <v>-13756.119731182385</v>
      </c>
      <c r="Q1198" s="51"/>
      <c r="R1198" s="309"/>
      <c r="S1198" s="309"/>
      <c r="T1198" s="272">
        <f>$L$1198*Z1172/($Y$1172+$Z$1172+$AA$1172)</f>
        <v>-1926.8871817164959</v>
      </c>
      <c r="U1198" s="51"/>
      <c r="V1198" s="309"/>
      <c r="W1198" s="309"/>
      <c r="X1198" s="272">
        <f>$L$1198*AA1172/($Y$1172+$Z$1172+$AA$1172)</f>
        <v>-7822.8049975598115</v>
      </c>
      <c r="Y1198" s="444"/>
      <c r="Z1198" s="287"/>
      <c r="AA1198" s="74"/>
      <c r="AB1198" s="74"/>
      <c r="AC1198" s="20"/>
      <c r="AD1198" s="20"/>
      <c r="AE1198" s="20"/>
      <c r="AF1198" s="20"/>
      <c r="AG1198" s="20"/>
      <c r="AH1198" s="20"/>
      <c r="AI1198" s="20"/>
      <c r="AJ1198" s="20"/>
      <c r="AK1198" s="20"/>
      <c r="AL1198" s="20"/>
      <c r="AM1198" s="20"/>
      <c r="AN1198" s="20"/>
      <c r="AO1198" s="20"/>
      <c r="AP1198" s="20"/>
      <c r="AQ1198" s="20"/>
      <c r="AR1198" s="20"/>
      <c r="AS1198" s="20"/>
    </row>
    <row r="1199" spans="1:47" ht="16.5" thickBot="1">
      <c r="A1199" s="1" t="s">
        <v>9</v>
      </c>
      <c r="B1199" s="1"/>
      <c r="C1199" s="393">
        <f>C1197+C1198</f>
        <v>3121882.6473907456</v>
      </c>
      <c r="D1199" s="417"/>
      <c r="E1199" s="418"/>
      <c r="F1199" s="274">
        <f>F1197+F1198</f>
        <v>215207.28336720777</v>
      </c>
      <c r="G1199" s="999"/>
      <c r="H1199" s="345"/>
      <c r="I1199" s="274">
        <f>I1197+I1198</f>
        <v>215207.28336720777</v>
      </c>
      <c r="J1199" s="999"/>
      <c r="K1199" s="345"/>
      <c r="L1199" s="274">
        <f>L1197+L1198</f>
        <v>225928.82191084934</v>
      </c>
      <c r="M1199" s="312"/>
      <c r="N1199" s="999"/>
      <c r="O1199" s="345"/>
      <c r="P1199" s="274">
        <f>P1197+P1198</f>
        <v>132218.53117729546</v>
      </c>
      <c r="Q1199" s="312"/>
      <c r="R1199" s="999"/>
      <c r="S1199" s="345"/>
      <c r="T1199" s="274">
        <f>T1197+T1198</f>
        <v>18520.498359242989</v>
      </c>
      <c r="U1199" s="312"/>
      <c r="V1199" s="999"/>
      <c r="W1199" s="345"/>
      <c r="X1199" s="274">
        <f>X1197+X1198</f>
        <v>75189.792374310869</v>
      </c>
      <c r="Y1199" s="411"/>
      <c r="Z1199" s="470"/>
      <c r="AA1199" s="74"/>
      <c r="AB1199" s="74"/>
      <c r="AC1199" s="20"/>
      <c r="AD1199" s="20"/>
      <c r="AE1199" s="20"/>
      <c r="AF1199" s="20"/>
      <c r="AG1199" s="20"/>
      <c r="AH1199" s="20"/>
      <c r="AI1199" s="20"/>
      <c r="AJ1199" s="20"/>
      <c r="AK1199" s="20"/>
      <c r="AL1199" s="20"/>
      <c r="AM1199" s="20"/>
      <c r="AN1199" s="20"/>
      <c r="AO1199" s="20"/>
      <c r="AP1199" s="20"/>
      <c r="AQ1199" s="20"/>
      <c r="AR1199" s="20"/>
      <c r="AS1199" s="20"/>
    </row>
    <row r="1200" spans="1:47" ht="16.5" thickTop="1">
      <c r="A1200" s="1"/>
      <c r="B1200" s="1"/>
      <c r="C1200" s="26"/>
      <c r="D1200" s="422" t="s">
        <v>31</v>
      </c>
      <c r="E1200" s="23"/>
      <c r="F1200" s="51"/>
      <c r="G1200" s="422" t="s">
        <v>31</v>
      </c>
      <c r="H1200" s="23"/>
      <c r="I1200" s="51"/>
      <c r="J1200" s="422" t="s">
        <v>31</v>
      </c>
      <c r="K1200" s="23"/>
      <c r="L1200" s="51" t="s">
        <v>31</v>
      </c>
      <c r="M1200" s="51"/>
      <c r="N1200" s="422" t="s">
        <v>31</v>
      </c>
      <c r="O1200" s="23"/>
      <c r="P1200" s="51" t="s">
        <v>31</v>
      </c>
      <c r="Q1200" s="51"/>
      <c r="R1200" s="422" t="s">
        <v>31</v>
      </c>
      <c r="S1200" s="23"/>
      <c r="T1200" s="51" t="s">
        <v>31</v>
      </c>
      <c r="U1200" s="51"/>
      <c r="V1200" s="422" t="s">
        <v>31</v>
      </c>
      <c r="W1200" s="23"/>
      <c r="X1200" s="51" t="s">
        <v>31</v>
      </c>
      <c r="Y1200" s="744">
        <f>Y1171</f>
        <v>0.58522206267896359</v>
      </c>
      <c r="Z1200" s="744">
        <f>Z1171</f>
        <v>8.1974925565500054E-2</v>
      </c>
      <c r="AA1200" s="744">
        <f>AA1171</f>
        <v>0.33280301175553639</v>
      </c>
      <c r="AB1200" s="74"/>
      <c r="AC1200" s="20"/>
      <c r="AD1200" s="20"/>
      <c r="AE1200" s="20"/>
      <c r="AF1200" s="20"/>
      <c r="AG1200" s="20"/>
      <c r="AH1200" s="20"/>
      <c r="AI1200" s="20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</row>
    <row r="1201" spans="1:47">
      <c r="A1201" s="293" t="s">
        <v>499</v>
      </c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416">
        <f>L1199*Y1200</f>
        <v>132218.53117729546</v>
      </c>
      <c r="Z1201" s="416">
        <f>L1199*Z1200</f>
        <v>18520.498359242993</v>
      </c>
      <c r="AA1201" s="416">
        <f>L1199*AA1200</f>
        <v>75189.792374310884</v>
      </c>
      <c r="AB1201" s="74"/>
      <c r="AC1201" s="20"/>
      <c r="AD1201" s="20"/>
      <c r="AE1201" s="20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</row>
    <row r="1202" spans="1:47">
      <c r="A1202" s="1" t="s">
        <v>500</v>
      </c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20"/>
      <c r="Z1202" s="74"/>
      <c r="AA1202" s="74"/>
      <c r="AB1202" s="74"/>
      <c r="AC1202" s="20"/>
      <c r="AD1202" s="20"/>
      <c r="AE1202" s="20"/>
      <c r="AF1202" s="20"/>
      <c r="AG1202" s="20"/>
      <c r="AH1202" s="20"/>
      <c r="AI1202" s="20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</row>
    <row r="1203" spans="1:47">
      <c r="A1203" s="1"/>
      <c r="B1203" s="1"/>
      <c r="C1203" s="1"/>
      <c r="D1203" s="419"/>
      <c r="E1203" s="1"/>
      <c r="F1203" s="1"/>
      <c r="G1203" s="419"/>
      <c r="H1203" s="1"/>
      <c r="I1203" s="1"/>
      <c r="J1203" s="419"/>
      <c r="K1203" s="1"/>
      <c r="L1203" s="1"/>
      <c r="M1203" s="1"/>
      <c r="N1203" s="419"/>
      <c r="O1203" s="1"/>
      <c r="P1203" s="1"/>
      <c r="Q1203" s="1"/>
      <c r="R1203" s="419"/>
      <c r="S1203" s="1"/>
      <c r="T1203" s="1"/>
      <c r="U1203" s="1"/>
      <c r="V1203" s="419"/>
      <c r="W1203" s="1"/>
      <c r="X1203" s="1"/>
      <c r="Y1203" s="20"/>
      <c r="Z1203" s="74"/>
      <c r="AA1203" s="74"/>
      <c r="AB1203" s="74"/>
      <c r="AC1203" s="20"/>
      <c r="AD1203" s="20"/>
      <c r="AE1203" s="20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</row>
    <row r="1204" spans="1:47">
      <c r="A1204" s="1" t="s">
        <v>488</v>
      </c>
      <c r="B1204" s="1"/>
      <c r="C1204" s="21"/>
      <c r="D1204" s="298"/>
      <c r="E1204" s="1"/>
      <c r="F1204" s="412">
        <v>0</v>
      </c>
      <c r="G1204" s="298"/>
      <c r="H1204" s="1"/>
      <c r="I1204" s="412">
        <v>0</v>
      </c>
      <c r="J1204" s="298"/>
      <c r="K1204" s="1"/>
      <c r="L1204" s="2">
        <f>I1204</f>
        <v>0</v>
      </c>
      <c r="M1204" s="2"/>
      <c r="N1204" s="298"/>
      <c r="O1204" s="1"/>
      <c r="P1204" s="2">
        <f>L1204</f>
        <v>0</v>
      </c>
      <c r="Q1204" s="2"/>
      <c r="R1204" s="298"/>
      <c r="S1204" s="1"/>
      <c r="T1204" s="2">
        <f>P1204</f>
        <v>0</v>
      </c>
      <c r="U1204" s="2"/>
      <c r="V1204" s="298"/>
      <c r="W1204" s="1"/>
      <c r="X1204" s="2">
        <f>T1204</f>
        <v>0</v>
      </c>
      <c r="Y1204" s="20"/>
      <c r="Z1204" s="74"/>
      <c r="AA1204" s="74"/>
      <c r="AB1204" s="74"/>
      <c r="AC1204" s="20"/>
      <c r="AD1204" s="20"/>
      <c r="AE1204" s="20"/>
      <c r="AF1204" s="20"/>
      <c r="AG1204" s="20"/>
      <c r="AH1204" s="20"/>
      <c r="AI1204" s="20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</row>
    <row r="1205" spans="1:47">
      <c r="A1205" s="1" t="s">
        <v>495</v>
      </c>
      <c r="B1205" s="1"/>
      <c r="C1205" s="264">
        <v>0</v>
      </c>
      <c r="D1205" s="382">
        <v>6.8330000000000002</v>
      </c>
      <c r="E1205" s="1" t="s">
        <v>374</v>
      </c>
      <c r="F1205" s="414">
        <f>ROUND(C1205*D1205/100,0)</f>
        <v>0</v>
      </c>
      <c r="G1205" s="382">
        <v>6.8330000000000002</v>
      </c>
      <c r="H1205" s="1" t="s">
        <v>374</v>
      </c>
      <c r="I1205" s="414">
        <f>ROUND(G1205*C1205/100,0)</f>
        <v>0</v>
      </c>
      <c r="J1205" s="382">
        <f>J1192</f>
        <v>7.1470000000000002</v>
      </c>
      <c r="K1205" s="1" t="s">
        <v>374</v>
      </c>
      <c r="L1205" s="2">
        <f>ROUND(C1205*J1205/100,0)</f>
        <v>0</v>
      </c>
      <c r="M1205" s="2"/>
      <c r="N1205" s="382">
        <f>N1206</f>
        <v>4.1825686879399306</v>
      </c>
      <c r="O1205" s="1" t="s">
        <v>374</v>
      </c>
      <c r="P1205" s="2">
        <f>ROUND(F1205*N1205/100,0)</f>
        <v>0</v>
      </c>
      <c r="Q1205" s="2"/>
      <c r="R1205" s="382">
        <f>R1206</f>
        <v>0.58587291684960541</v>
      </c>
      <c r="S1205" s="1" t="s">
        <v>374</v>
      </c>
      <c r="T1205" s="2">
        <f>ROUND(J1205*R1205/100,0)</f>
        <v>0</v>
      </c>
      <c r="U1205" s="2"/>
      <c r="V1205" s="382">
        <f>V1206</f>
        <v>2.3775355081262677</v>
      </c>
      <c r="W1205" s="1" t="s">
        <v>374</v>
      </c>
      <c r="X1205" s="2">
        <f>ROUND(N1205*V1205/100,0)</f>
        <v>0</v>
      </c>
      <c r="Y1205" s="20"/>
      <c r="Z1205" s="74"/>
      <c r="AA1205" s="74"/>
      <c r="AB1205" s="74"/>
      <c r="AC1205" s="20"/>
      <c r="AD1205" s="20"/>
      <c r="AE1205" s="20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</row>
    <row r="1206" spans="1:47">
      <c r="A1206" s="1" t="s">
        <v>496</v>
      </c>
      <c r="B1206" s="1"/>
      <c r="C1206" s="264">
        <f>[57]Sheet1!$E$28</f>
        <v>1152921</v>
      </c>
      <c r="D1206" s="424">
        <v>6.8330000000000002</v>
      </c>
      <c r="E1206" s="1" t="s">
        <v>374</v>
      </c>
      <c r="F1206" s="414">
        <f>ROUND(C1206*D1206/100,0)</f>
        <v>78779</v>
      </c>
      <c r="G1206" s="424">
        <v>6.8330000000000002</v>
      </c>
      <c r="H1206" s="1" t="s">
        <v>374</v>
      </c>
      <c r="I1206" s="414">
        <f>ROUND(G1206*C1206/100,0)</f>
        <v>78779</v>
      </c>
      <c r="J1206" s="424">
        <f>J1205</f>
        <v>7.1470000000000002</v>
      </c>
      <c r="K1206" s="1" t="s">
        <v>374</v>
      </c>
      <c r="L1206" s="2">
        <f>ROUND(J1206*$C1206/100,0)</f>
        <v>82399</v>
      </c>
      <c r="M1206" s="2"/>
      <c r="N1206" s="424">
        <f>P1206/C1206*100</f>
        <v>4.1825686879399306</v>
      </c>
      <c r="O1206" s="1" t="s">
        <v>374</v>
      </c>
      <c r="P1206" s="2">
        <f>Y1213-P1208-P1210</f>
        <v>48221.712742683922</v>
      </c>
      <c r="Q1206" s="2"/>
      <c r="R1206" s="424">
        <f>T1206/C1206*100</f>
        <v>0.58587291684960541</v>
      </c>
      <c r="S1206" s="1" t="s">
        <v>374</v>
      </c>
      <c r="T1206" s="2">
        <f>Z1213-T1208-T1210</f>
        <v>6754.6518916716386</v>
      </c>
      <c r="U1206" s="2"/>
      <c r="V1206" s="424">
        <f>X1206/C1206*100-0.001</f>
        <v>2.3775355081262677</v>
      </c>
      <c r="W1206" s="1" t="s">
        <v>374</v>
      </c>
      <c r="X1206" s="2">
        <f>AA1213-X1208-X1210</f>
        <v>27422.635365644444</v>
      </c>
      <c r="Y1206" s="20"/>
      <c r="Z1206" s="74"/>
      <c r="AA1206" s="74"/>
      <c r="AB1206" s="74"/>
      <c r="AC1206" s="20"/>
      <c r="AD1206" s="20"/>
      <c r="AE1206" s="20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</row>
    <row r="1207" spans="1:47">
      <c r="A1207" s="1" t="s">
        <v>362</v>
      </c>
      <c r="B1207" s="1"/>
      <c r="C1207" s="264">
        <f>[57]Sheet1!$M$28</f>
        <v>1259</v>
      </c>
      <c r="D1207" s="415"/>
      <c r="E1207" s="1"/>
      <c r="F1207" s="2"/>
      <c r="G1207" s="415"/>
      <c r="H1207" s="1"/>
      <c r="I1207" s="2"/>
      <c r="J1207" s="415"/>
      <c r="K1207" s="1"/>
      <c r="L1207" s="2"/>
      <c r="M1207" s="2"/>
      <c r="N1207" s="415"/>
      <c r="O1207" s="1"/>
      <c r="P1207" s="2"/>
      <c r="Q1207" s="2"/>
      <c r="R1207" s="415"/>
      <c r="S1207" s="1"/>
      <c r="T1207" s="2"/>
      <c r="U1207" s="2"/>
      <c r="V1207" s="415"/>
      <c r="W1207" s="1"/>
      <c r="X1207" s="2"/>
      <c r="Y1207" s="20"/>
      <c r="Z1207" s="74"/>
      <c r="AA1207" s="74"/>
      <c r="AB1207" s="74"/>
      <c r="AC1207" s="20"/>
      <c r="AD1207" s="20"/>
      <c r="AE1207" s="20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</row>
    <row r="1208" spans="1:47" s="1184" customFormat="1">
      <c r="A1208" s="1005" t="s">
        <v>1035</v>
      </c>
      <c r="C1208" s="1202">
        <f>C1209</f>
        <v>1152921</v>
      </c>
      <c r="D1208" s="269"/>
      <c r="E1208" s="1185"/>
      <c r="F1208" s="1203"/>
      <c r="G1208" s="269"/>
      <c r="H1208" s="1185"/>
      <c r="I1208" s="1203"/>
      <c r="J1208" s="1230">
        <f>J1166</f>
        <v>0</v>
      </c>
      <c r="K1208" s="1219" t="s">
        <v>374</v>
      </c>
      <c r="L1208" s="1041">
        <f>ROUND(J1208*$C1208/100,0)</f>
        <v>0</v>
      </c>
      <c r="M1208" s="1041"/>
      <c r="N1208" s="1230" t="str">
        <f>N1166</f>
        <v xml:space="preserve"> </v>
      </c>
      <c r="O1208" s="1219" t="s">
        <v>31</v>
      </c>
      <c r="P1208" s="1041">
        <f>ROUND(N1208*$C1208/100,0)</f>
        <v>0</v>
      </c>
      <c r="Q1208" s="1041"/>
      <c r="R1208" s="1230" t="str">
        <f>R1166</f>
        <v xml:space="preserve"> </v>
      </c>
      <c r="S1208" s="1219" t="s">
        <v>31</v>
      </c>
      <c r="T1208" s="1041">
        <f>ROUND(R1208*$C1208/100,0)</f>
        <v>0</v>
      </c>
      <c r="U1208" s="1041"/>
      <c r="V1208" s="1230">
        <f>V1166</f>
        <v>0</v>
      </c>
      <c r="W1208" s="1219" t="s">
        <v>374</v>
      </c>
      <c r="X1208" s="1041">
        <f>ROUND(V1208*$C1208/100,0)</f>
        <v>0</v>
      </c>
      <c r="Z1208" s="815"/>
      <c r="AC1208" s="1205"/>
      <c r="AD1208" s="1205"/>
      <c r="AI1208" s="1185"/>
      <c r="AJ1208" s="1185"/>
      <c r="AK1208" s="1185"/>
      <c r="AL1208" s="1185"/>
      <c r="AM1208" s="1185"/>
      <c r="AN1208" s="1185"/>
      <c r="AO1208" s="1185"/>
      <c r="AP1208" s="1185"/>
      <c r="AQ1208" s="1185"/>
      <c r="AR1208" s="1185"/>
      <c r="AS1208" s="1185"/>
      <c r="AU1208" s="1204"/>
    </row>
    <row r="1209" spans="1:47">
      <c r="A1209" s="3" t="s">
        <v>491</v>
      </c>
      <c r="C1209" s="264">
        <f>C1205+C1206</f>
        <v>1152921</v>
      </c>
      <c r="D1209" s="269"/>
      <c r="E1209" s="20"/>
      <c r="F1209" s="272">
        <f>SUM(F1204:F1206)</f>
        <v>78779</v>
      </c>
      <c r="G1209" s="269"/>
      <c r="H1209" s="20"/>
      <c r="I1209" s="272">
        <f>SUM(I1204:I1206)</f>
        <v>78779</v>
      </c>
      <c r="J1209" s="269"/>
      <c r="K1209" s="20"/>
      <c r="L1209" s="272">
        <f>SUM(L1204:L1208)</f>
        <v>82399</v>
      </c>
      <c r="M1209" s="272"/>
      <c r="N1209" s="269"/>
      <c r="O1209" s="20"/>
      <c r="P1209" s="272">
        <f>SUM(P1204:P1208)</f>
        <v>48221.712742683922</v>
      </c>
      <c r="Q1209" s="272"/>
      <c r="R1209" s="269"/>
      <c r="S1209" s="20"/>
      <c r="T1209" s="272">
        <f>SUM(T1204:T1208)</f>
        <v>6754.6518916716386</v>
      </c>
      <c r="U1209" s="272"/>
      <c r="V1209" s="269"/>
      <c r="W1209" s="20"/>
      <c r="X1209" s="272">
        <f>SUM(X1204:X1208)</f>
        <v>27422.635365644444</v>
      </c>
      <c r="Y1209" s="20"/>
      <c r="Z1209" s="74"/>
      <c r="AA1209" s="74"/>
      <c r="AB1209" s="74"/>
      <c r="AC1209" s="20"/>
      <c r="AD1209" s="20"/>
      <c r="AE1209" s="20"/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</row>
    <row r="1210" spans="1:47">
      <c r="A1210" s="3" t="s">
        <v>492</v>
      </c>
      <c r="C1210" s="264">
        <f>'Table 2'!H123</f>
        <v>-112849.8625519293</v>
      </c>
      <c r="D1210" s="269"/>
      <c r="E1210" s="20"/>
      <c r="F1210" s="272">
        <f>I1210</f>
        <v>-7756.9963437655988</v>
      </c>
      <c r="G1210" s="269"/>
      <c r="H1210" s="20"/>
      <c r="I1210" s="272">
        <f>'Table 3'!E123</f>
        <v>-7756.9963437655988</v>
      </c>
      <c r="J1210" s="269"/>
      <c r="K1210" s="20"/>
      <c r="L1210" s="272">
        <f>I1210</f>
        <v>-7756.9963437655988</v>
      </c>
      <c r="M1210" s="272"/>
      <c r="N1210" s="269"/>
      <c r="O1210" s="20"/>
      <c r="P1210" s="272">
        <f>$L$1210*Y1172/($Y$1172+$Z$1172+$AA$1172)</f>
        <v>-4539.5654004916823</v>
      </c>
      <c r="Q1210" s="51"/>
      <c r="R1210" s="309"/>
      <c r="S1210" s="309"/>
      <c r="T1210" s="272">
        <f>$L$1210*Z1172/($Y$1172+$Z$1172+$AA$1172)</f>
        <v>-635.87919789204102</v>
      </c>
      <c r="U1210" s="51"/>
      <c r="V1210" s="309"/>
      <c r="W1210" s="309"/>
      <c r="X1210" s="272">
        <f>$L$1210*AA1172/($Y$1172+$Z$1172+$AA$1172)</f>
        <v>-2581.5517453818757</v>
      </c>
      <c r="Y1210" s="444"/>
      <c r="Z1210" s="287"/>
      <c r="AA1210" s="74"/>
      <c r="AB1210" s="74"/>
      <c r="AC1210" s="20"/>
      <c r="AD1210" s="20"/>
      <c r="AE1210" s="20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</row>
    <row r="1211" spans="1:47" ht="16.5" thickBot="1">
      <c r="A1211" s="1" t="s">
        <v>9</v>
      </c>
      <c r="B1211" s="1"/>
      <c r="C1211" s="393">
        <f>C1209+C1210</f>
        <v>1040071.1374480707</v>
      </c>
      <c r="D1211" s="417"/>
      <c r="E1211" s="418"/>
      <c r="F1211" s="274">
        <f>F1209+F1210</f>
        <v>71022.003656234403</v>
      </c>
      <c r="G1211" s="999"/>
      <c r="H1211" s="345"/>
      <c r="I1211" s="274">
        <f>I1209+I1210</f>
        <v>71022.003656234403</v>
      </c>
      <c r="J1211" s="999"/>
      <c r="K1211" s="345"/>
      <c r="L1211" s="274">
        <f>L1209+L1210</f>
        <v>74642.003656234403</v>
      </c>
      <c r="M1211" s="312"/>
      <c r="N1211" s="999"/>
      <c r="O1211" s="345"/>
      <c r="P1211" s="274">
        <f>P1209+P1210</f>
        <v>43682.147342192242</v>
      </c>
      <c r="Q1211" s="312"/>
      <c r="R1211" s="999"/>
      <c r="S1211" s="345"/>
      <c r="T1211" s="274">
        <f>T1209+T1210</f>
        <v>6118.7726937795978</v>
      </c>
      <c r="U1211" s="312"/>
      <c r="V1211" s="999"/>
      <c r="W1211" s="345"/>
      <c r="X1211" s="274">
        <f>X1209+X1210</f>
        <v>24841.083620262569</v>
      </c>
      <c r="Y1211" s="411"/>
      <c r="Z1211" s="470"/>
      <c r="AA1211" s="74"/>
      <c r="AB1211" s="74"/>
      <c r="AC1211" s="20"/>
      <c r="AD1211" s="20"/>
      <c r="AE1211" s="20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</row>
    <row r="1212" spans="1:47" ht="16.5" thickTop="1">
      <c r="A1212" s="1"/>
      <c r="B1212" s="1"/>
      <c r="C1212" s="26"/>
      <c r="D1212" s="422"/>
      <c r="E1212" s="23"/>
      <c r="F1212" s="51"/>
      <c r="G1212" s="422"/>
      <c r="H1212" s="23"/>
      <c r="I1212" s="51"/>
      <c r="J1212" s="422"/>
      <c r="K1212" s="23"/>
      <c r="L1212" s="51"/>
      <c r="M1212" s="51"/>
      <c r="N1212" s="422"/>
      <c r="O1212" s="23"/>
      <c r="P1212" s="51"/>
      <c r="Q1212" s="51"/>
      <c r="R1212" s="422"/>
      <c r="S1212" s="23"/>
      <c r="T1212" s="51"/>
      <c r="U1212" s="51"/>
      <c r="V1212" s="422"/>
      <c r="W1212" s="23"/>
      <c r="X1212" s="51"/>
      <c r="Y1212" s="744">
        <f>Y1171</f>
        <v>0.58522206267896359</v>
      </c>
      <c r="Z1212" s="744">
        <f t="shared" ref="Z1212:AA1212" si="359">Z1171</f>
        <v>8.1974925565500054E-2</v>
      </c>
      <c r="AA1212" s="744">
        <f t="shared" si="359"/>
        <v>0.33280301175553639</v>
      </c>
      <c r="AB1212" s="74"/>
      <c r="AC1212" s="20"/>
      <c r="AD1212" s="20"/>
      <c r="AE1212" s="20"/>
      <c r="AF1212" s="20"/>
      <c r="AG1212" s="20"/>
      <c r="AH1212" s="20"/>
      <c r="AI1212" s="20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</row>
    <row r="1213" spans="1:47">
      <c r="A1213" s="1"/>
      <c r="B1213" s="1"/>
      <c r="C1213" s="26"/>
      <c r="D1213" s="422"/>
      <c r="E1213" s="23"/>
      <c r="F1213" s="51"/>
      <c r="G1213" s="422"/>
      <c r="H1213" s="23"/>
      <c r="I1213" s="51"/>
      <c r="J1213" s="422"/>
      <c r="K1213" s="23"/>
      <c r="L1213" s="51"/>
      <c r="M1213" s="51"/>
      <c r="N1213" s="422"/>
      <c r="O1213" s="23"/>
      <c r="P1213" s="51"/>
      <c r="Q1213" s="51"/>
      <c r="R1213" s="422"/>
      <c r="S1213" s="23"/>
      <c r="T1213" s="51"/>
      <c r="U1213" s="51"/>
      <c r="V1213" s="422"/>
      <c r="W1213" s="23"/>
      <c r="X1213" s="51"/>
      <c r="Y1213" s="416">
        <f>L1211*Y1212</f>
        <v>43682.147342192242</v>
      </c>
      <c r="Z1213" s="416">
        <f>L1211*Z1212</f>
        <v>6118.7726937795978</v>
      </c>
      <c r="AA1213" s="416">
        <f>L1211*AA1212</f>
        <v>24841.083620262569</v>
      </c>
      <c r="AB1213" s="74"/>
      <c r="AC1213" s="20"/>
      <c r="AD1213" s="20"/>
      <c r="AE1213" s="20"/>
      <c r="AF1213" s="20"/>
      <c r="AG1213" s="20"/>
      <c r="AH1213" s="20"/>
      <c r="AI1213" s="20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</row>
    <row r="1214" spans="1:47">
      <c r="A1214" s="1"/>
      <c r="B1214" s="1"/>
      <c r="C1214" s="26"/>
      <c r="D1214" s="422" t="s">
        <v>31</v>
      </c>
      <c r="E1214" s="23"/>
      <c r="F1214" s="51"/>
      <c r="G1214" s="422" t="s">
        <v>31</v>
      </c>
      <c r="H1214" s="23"/>
      <c r="I1214" s="51"/>
      <c r="J1214" s="422" t="s">
        <v>31</v>
      </c>
      <c r="K1214" s="23"/>
      <c r="L1214" s="51" t="s">
        <v>31</v>
      </c>
      <c r="M1214" s="51"/>
      <c r="N1214" s="422" t="s">
        <v>31</v>
      </c>
      <c r="O1214" s="23"/>
      <c r="P1214" s="51" t="s">
        <v>31</v>
      </c>
      <c r="Q1214" s="51"/>
      <c r="R1214" s="422" t="s">
        <v>31</v>
      </c>
      <c r="S1214" s="23"/>
      <c r="T1214" s="51" t="s">
        <v>31</v>
      </c>
      <c r="U1214" s="51"/>
      <c r="V1214" s="422" t="s">
        <v>31</v>
      </c>
      <c r="W1214" s="23"/>
      <c r="X1214" s="51" t="s">
        <v>31</v>
      </c>
      <c r="Y1214" s="20"/>
      <c r="Z1214" s="74"/>
      <c r="AA1214" s="74"/>
      <c r="AB1214" s="74"/>
      <c r="AC1214" s="20"/>
      <c r="AD1214" s="20"/>
      <c r="AE1214" s="20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</row>
    <row r="1215" spans="1:47">
      <c r="A1215" s="293" t="s">
        <v>501</v>
      </c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 t="s">
        <v>31</v>
      </c>
      <c r="M1215" s="1"/>
      <c r="N1215" s="1"/>
      <c r="O1215" s="1"/>
      <c r="P1215" s="1" t="s">
        <v>31</v>
      </c>
      <c r="Q1215" s="1"/>
      <c r="R1215" s="1"/>
      <c r="S1215" s="1"/>
      <c r="T1215" s="1" t="s">
        <v>31</v>
      </c>
      <c r="U1215" s="1"/>
      <c r="V1215" s="1"/>
      <c r="W1215" s="1"/>
      <c r="X1215" s="1" t="s">
        <v>31</v>
      </c>
      <c r="Y1215" s="20"/>
      <c r="Z1215" s="74"/>
      <c r="AA1215" s="74"/>
      <c r="AB1215" s="74"/>
      <c r="AC1215" s="20"/>
      <c r="AD1215" s="20"/>
      <c r="AE1215" s="20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</row>
    <row r="1216" spans="1:47">
      <c r="A1216" s="1" t="s">
        <v>192</v>
      </c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20"/>
      <c r="Z1216" s="74"/>
      <c r="AA1216" s="74"/>
      <c r="AB1216" s="74"/>
      <c r="AC1216" s="20"/>
      <c r="AD1216" s="20"/>
      <c r="AE1216" s="20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</row>
    <row r="1217" spans="1:47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20"/>
      <c r="Z1217" s="74"/>
      <c r="AA1217" s="74"/>
      <c r="AB1217" s="74"/>
      <c r="AC1217" s="20"/>
      <c r="AD1217" s="20"/>
      <c r="AE1217" s="20"/>
      <c r="AF1217" s="20"/>
      <c r="AG1217" s="20"/>
      <c r="AH1217" s="20"/>
      <c r="AI1217" s="20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</row>
    <row r="1218" spans="1:47">
      <c r="A1218" s="1" t="s">
        <v>502</v>
      </c>
      <c r="B1218" s="1"/>
      <c r="C1218" s="21">
        <f>[58]Sheet1!$E$2</f>
        <v>178</v>
      </c>
      <c r="D1218" s="298">
        <v>3.75</v>
      </c>
      <c r="E1218" s="1"/>
      <c r="F1218" s="2">
        <f>ROUND(D1218*C1218,0)</f>
        <v>668</v>
      </c>
      <c r="G1218" s="298">
        <v>3.75</v>
      </c>
      <c r="H1218" s="1"/>
      <c r="I1218" s="2">
        <f>ROUND(C1218*G1218,0)</f>
        <v>668</v>
      </c>
      <c r="J1218" s="298">
        <v>3.75</v>
      </c>
      <c r="K1218" s="1"/>
      <c r="L1218" s="2">
        <f>ROUND(J1218*$C1218,0)</f>
        <v>668</v>
      </c>
      <c r="M1218" s="2"/>
      <c r="N1218" s="298">
        <v>3.75</v>
      </c>
      <c r="O1218" s="1"/>
      <c r="P1218" s="2">
        <f>ROUND(N1218*$C1218,0)</f>
        <v>668</v>
      </c>
      <c r="Q1218" s="2"/>
      <c r="R1218" s="301" t="s">
        <v>31</v>
      </c>
      <c r="S1218" s="1"/>
      <c r="T1218" s="2">
        <f>ROUND(R1218*$C1218,0)</f>
        <v>0</v>
      </c>
      <c r="U1218" s="2"/>
      <c r="V1218" s="301" t="s">
        <v>31</v>
      </c>
      <c r="W1218" s="1"/>
      <c r="X1218" s="2">
        <f>ROUND(V1218*$C1218,0)</f>
        <v>0</v>
      </c>
      <c r="Y1218" s="20"/>
      <c r="Z1218" s="425"/>
      <c r="AA1218" s="425"/>
      <c r="AB1218" s="425"/>
      <c r="AC1218" s="20"/>
      <c r="AD1218" s="20"/>
      <c r="AE1218" s="20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</row>
    <row r="1219" spans="1:47">
      <c r="A1219" s="1" t="s">
        <v>503</v>
      </c>
      <c r="B1219" s="1"/>
      <c r="C1219" s="21">
        <f>[58]Sheet1!$E$3</f>
        <v>181.73333333333301</v>
      </c>
      <c r="D1219" s="298">
        <v>6.75</v>
      </c>
      <c r="E1219" s="1"/>
      <c r="F1219" s="2">
        <f>ROUND(D1219*C1219,0)</f>
        <v>1227</v>
      </c>
      <c r="G1219" s="298">
        <v>6.75</v>
      </c>
      <c r="H1219" s="1"/>
      <c r="I1219" s="2">
        <f>ROUND(C1219*G1219,0)</f>
        <v>1227</v>
      </c>
      <c r="J1219" s="298">
        <v>6.75</v>
      </c>
      <c r="K1219" s="1"/>
      <c r="L1219" s="2">
        <f>ROUND(J1219*$C1219,0)</f>
        <v>1227</v>
      </c>
      <c r="M1219" s="2"/>
      <c r="N1219" s="298">
        <v>6.75</v>
      </c>
      <c r="O1219" s="1"/>
      <c r="P1219" s="2">
        <f>ROUND(N1219*$C1219,0)</f>
        <v>1227</v>
      </c>
      <c r="Q1219" s="2"/>
      <c r="R1219" s="301" t="s">
        <v>31</v>
      </c>
      <c r="S1219" s="1"/>
      <c r="T1219" s="2">
        <f>ROUND(R1219*$C1219,0)</f>
        <v>0</v>
      </c>
      <c r="U1219" s="2"/>
      <c r="V1219" s="301" t="s">
        <v>31</v>
      </c>
      <c r="W1219" s="1"/>
      <c r="X1219" s="2">
        <f>ROUND(V1219*$C1219,0)</f>
        <v>0</v>
      </c>
      <c r="Y1219" s="20"/>
      <c r="Z1219" s="425"/>
      <c r="AA1219" s="425"/>
      <c r="AB1219" s="425"/>
      <c r="AC1219" s="20"/>
      <c r="AD1219" s="20"/>
      <c r="AE1219" s="20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</row>
    <row r="1220" spans="1:47">
      <c r="A1220" s="1" t="s">
        <v>504</v>
      </c>
      <c r="B1220" s="1"/>
      <c r="C1220" s="21">
        <f>SUM(C1218:C1219)</f>
        <v>359.73333333333301</v>
      </c>
      <c r="D1220" s="374"/>
      <c r="E1220" s="1"/>
      <c r="F1220" s="414"/>
      <c r="G1220" s="374"/>
      <c r="H1220" s="1"/>
      <c r="I1220" s="414"/>
      <c r="J1220" s="374"/>
      <c r="K1220" s="1"/>
      <c r="L1220" s="2"/>
      <c r="M1220" s="2"/>
      <c r="N1220" s="374"/>
      <c r="O1220" s="1"/>
      <c r="P1220" s="2"/>
      <c r="Q1220" s="2"/>
      <c r="R1220" s="374"/>
      <c r="S1220" s="1"/>
      <c r="T1220" s="2"/>
      <c r="U1220" s="2"/>
      <c r="V1220" s="374"/>
      <c r="W1220" s="1"/>
      <c r="X1220" s="2"/>
      <c r="Y1220" s="20"/>
      <c r="Z1220" s="425"/>
      <c r="AA1220" s="425"/>
      <c r="AB1220" s="425"/>
      <c r="AC1220" s="20"/>
      <c r="AD1220" s="20"/>
      <c r="AE1220" s="20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</row>
    <row r="1221" spans="1:47">
      <c r="A1221" s="1" t="s">
        <v>464</v>
      </c>
      <c r="B1221" s="1"/>
      <c r="C1221" s="21">
        <f>[58]Sheet1!$D$5</f>
        <v>295386</v>
      </c>
      <c r="D1221" s="327">
        <v>8.1110000000000007</v>
      </c>
      <c r="E1221" s="1" t="s">
        <v>374</v>
      </c>
      <c r="F1221" s="414">
        <f>ROUND(C1221*D1221/100,0)</f>
        <v>23959</v>
      </c>
      <c r="G1221" s="327">
        <v>8.1110000000000007</v>
      </c>
      <c r="H1221" s="2" t="s">
        <v>374</v>
      </c>
      <c r="I1221" s="414">
        <f>ROUND(G1221*C1221/100,0)</f>
        <v>23959</v>
      </c>
      <c r="J1221" s="327">
        <v>6.242</v>
      </c>
      <c r="K1221" s="2" t="s">
        <v>374</v>
      </c>
      <c r="L1221" s="2">
        <f>ROUND(J1221*$C1221/100,0)</f>
        <v>18438</v>
      </c>
      <c r="M1221" s="2"/>
      <c r="N1221" s="327">
        <f>P1221/C1221*100</f>
        <v>4.7346813636585203</v>
      </c>
      <c r="O1221" s="2" t="s">
        <v>374</v>
      </c>
      <c r="P1221" s="2">
        <f>Y1229-P1218-P1219-P1225</f>
        <v>13985.585892856356</v>
      </c>
      <c r="Q1221" s="2"/>
      <c r="R1221" s="327">
        <f>T1221/C1221*100</f>
        <v>0.7530727861663753</v>
      </c>
      <c r="S1221" s="2" t="s">
        <v>374</v>
      </c>
      <c r="T1221" s="2">
        <f>Z1229-T1218-T1219-T1222-T1225</f>
        <v>2224.4715801454095</v>
      </c>
      <c r="U1221" s="2"/>
      <c r="V1221" s="327">
        <f>X1221/C1221*100</f>
        <v>0.75424784079077356</v>
      </c>
      <c r="W1221" s="2" t="s">
        <v>374</v>
      </c>
      <c r="X1221" s="2">
        <f>AA1229-X1218-X1219-X1222-X1225</f>
        <v>2227.9425269982344</v>
      </c>
      <c r="Y1221" s="20"/>
      <c r="Z1221" s="425"/>
      <c r="AA1221" s="425"/>
      <c r="AB1221" s="425"/>
      <c r="AC1221" s="20"/>
      <c r="AD1221" s="20"/>
      <c r="AE1221" s="20"/>
      <c r="AF1221" s="20"/>
      <c r="AG1221" s="20"/>
      <c r="AH1221" s="20"/>
      <c r="AI1221" s="20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</row>
    <row r="1222" spans="1:47" s="1184" customFormat="1">
      <c r="A1222" s="1005" t="s">
        <v>1035</v>
      </c>
      <c r="C1222" s="1202">
        <f>C1224</f>
        <v>295386</v>
      </c>
      <c r="D1222" s="269"/>
      <c r="E1222" s="1185"/>
      <c r="F1222" s="1203"/>
      <c r="G1222" s="269"/>
      <c r="H1222" s="1185"/>
      <c r="I1222" s="1203"/>
      <c r="J1222" s="1230">
        <f>ROUND(Y1222/C1222*100,3)</f>
        <v>2.3029999999999999</v>
      </c>
      <c r="K1222" s="1041" t="s">
        <v>374</v>
      </c>
      <c r="L1222" s="1041">
        <f>ROUND(J1222*$C1222/100,0)</f>
        <v>6803</v>
      </c>
      <c r="M1222" s="1041"/>
      <c r="N1222" s="1230" t="s">
        <v>31</v>
      </c>
      <c r="O1222" s="1219" t="s">
        <v>31</v>
      </c>
      <c r="P1222" s="1203">
        <f>N1222*C1222</f>
        <v>0</v>
      </c>
      <c r="Q1222" s="1203"/>
      <c r="R1222" s="1230" t="s">
        <v>31</v>
      </c>
      <c r="S1222" s="1219" t="s">
        <v>31</v>
      </c>
      <c r="T1222" s="1203">
        <f>R1222*C1222</f>
        <v>0</v>
      </c>
      <c r="U1222" s="1203"/>
      <c r="V1222" s="1230">
        <f>J1222</f>
        <v>2.3029999999999999</v>
      </c>
      <c r="W1222" s="1219" t="s">
        <v>374</v>
      </c>
      <c r="X1222" s="1203">
        <f>L1222</f>
        <v>6803</v>
      </c>
      <c r="Y1222" s="1204">
        <f>'NPC Spread'!J54</f>
        <v>6802.2580688136959</v>
      </c>
      <c r="Z1222" s="815" t="s">
        <v>913</v>
      </c>
      <c r="AC1222" s="1205"/>
      <c r="AD1222" s="1205"/>
      <c r="AI1222" s="1185"/>
      <c r="AJ1222" s="1185"/>
      <c r="AK1222" s="1185"/>
      <c r="AL1222" s="1185"/>
      <c r="AM1222" s="1185"/>
      <c r="AN1222" s="1185"/>
      <c r="AO1222" s="1185"/>
      <c r="AP1222" s="1185"/>
      <c r="AQ1222" s="1185"/>
      <c r="AR1222" s="1185"/>
      <c r="AS1222" s="1185"/>
      <c r="AU1222" s="1204"/>
    </row>
    <row r="1223" spans="1:47" s="1184" customFormat="1">
      <c r="A1223" s="1509" t="s">
        <v>931</v>
      </c>
      <c r="B1223" s="1510"/>
      <c r="C1223" s="1524"/>
      <c r="D1223" s="1512"/>
      <c r="E1223" s="1513"/>
      <c r="F1223" s="1514"/>
      <c r="G1223" s="1520">
        <f>G1221</f>
        <v>8.1110000000000007</v>
      </c>
      <c r="H1223" s="1514" t="s">
        <v>374</v>
      </c>
      <c r="I1223" s="1514"/>
      <c r="J1223" s="1520">
        <f>J1221+J1222</f>
        <v>8.5449999999999999</v>
      </c>
      <c r="K1223" s="1514" t="s">
        <v>374</v>
      </c>
      <c r="L1223" s="1521"/>
      <c r="M1223" s="1521"/>
      <c r="N1223" s="1520">
        <f>N1221+N1222</f>
        <v>4.7346813636585203</v>
      </c>
      <c r="O1223" s="1514" t="s">
        <v>374</v>
      </c>
      <c r="P1223" s="1521"/>
      <c r="Q1223" s="1521"/>
      <c r="R1223" s="1520">
        <f>R1221+R1222</f>
        <v>0.7530727861663753</v>
      </c>
      <c r="S1223" s="1514" t="s">
        <v>374</v>
      </c>
      <c r="T1223" s="1521"/>
      <c r="U1223" s="1521"/>
      <c r="V1223" s="1520">
        <f>V1221+V1222</f>
        <v>3.0572478407907733</v>
      </c>
      <c r="W1223" s="1514" t="s">
        <v>374</v>
      </c>
      <c r="X1223" s="1521"/>
      <c r="Y1223" s="1204"/>
      <c r="Z1223" s="815"/>
      <c r="AA1223" s="1190"/>
      <c r="AC1223" s="1205"/>
      <c r="AD1223" s="1205"/>
      <c r="AI1223" s="1185"/>
      <c r="AJ1223" s="1185"/>
      <c r="AK1223" s="1185"/>
      <c r="AL1223" s="1185"/>
      <c r="AM1223" s="1185"/>
      <c r="AN1223" s="1185"/>
      <c r="AO1223" s="1185"/>
      <c r="AP1223" s="1185"/>
      <c r="AQ1223" s="1185"/>
      <c r="AR1223" s="1185"/>
      <c r="AS1223" s="1185"/>
      <c r="AU1223" s="1204"/>
    </row>
    <row r="1224" spans="1:47">
      <c r="A1224" s="1" t="s">
        <v>381</v>
      </c>
      <c r="B1224" s="1"/>
      <c r="C1224" s="319">
        <f>SUM(C1221)</f>
        <v>295386</v>
      </c>
      <c r="D1224" s="21"/>
      <c r="E1224" s="21"/>
      <c r="F1224" s="414">
        <f>SUM(F1218:F1221)</f>
        <v>25854</v>
      </c>
      <c r="G1224" s="21"/>
      <c r="H1224" s="2"/>
      <c r="I1224" s="414">
        <f>SUM(I1218:I1221)</f>
        <v>25854</v>
      </c>
      <c r="J1224" s="21"/>
      <c r="K1224" s="2"/>
      <c r="L1224" s="414">
        <f>SUM(L1218:L1223)</f>
        <v>27136</v>
      </c>
      <c r="M1224" s="414"/>
      <c r="N1224" s="21"/>
      <c r="O1224" s="2"/>
      <c r="P1224" s="414">
        <f>SUM(P1218:P1223)</f>
        <v>15880.585892856356</v>
      </c>
      <c r="Q1224" s="414"/>
      <c r="R1224" s="21"/>
      <c r="S1224" s="2"/>
      <c r="T1224" s="414">
        <f>SUM(T1218:T1223)</f>
        <v>2224.4715801454095</v>
      </c>
      <c r="U1224" s="414"/>
      <c r="V1224" s="21"/>
      <c r="W1224" s="2"/>
      <c r="X1224" s="414">
        <f>SUM(X1218:X1223)</f>
        <v>9030.9425269982348</v>
      </c>
      <c r="Y1224" s="20"/>
      <c r="Z1224" s="74"/>
      <c r="AA1224" s="74"/>
      <c r="AB1224" s="74"/>
      <c r="AC1224" s="20"/>
      <c r="AD1224" s="20"/>
      <c r="AE1224" s="20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</row>
    <row r="1225" spans="1:47">
      <c r="A1225" s="1" t="s">
        <v>363</v>
      </c>
      <c r="B1225" s="1"/>
      <c r="C1225" s="349">
        <f>'Table 2'!H53</f>
        <v>-835.54696208078599</v>
      </c>
      <c r="D1225" s="427"/>
      <c r="E1225" s="427"/>
      <c r="F1225" s="428">
        <f>I1225</f>
        <v>-63.975508227073483</v>
      </c>
      <c r="G1225" s="1000"/>
      <c r="H1225" s="1000"/>
      <c r="I1225" s="428">
        <f>'Table 3'!E53</f>
        <v>-63.975508227073483</v>
      </c>
      <c r="J1225" s="1000"/>
      <c r="K1225" s="1000"/>
      <c r="L1225" s="428">
        <f>I1225</f>
        <v>-63.975508227073483</v>
      </c>
      <c r="M1225" s="1529"/>
      <c r="N1225" s="1000"/>
      <c r="O1225" s="1000"/>
      <c r="P1225" s="428">
        <f>$L$1225*Y1229/($Y$1229+$Z$1229+$AA$1229)</f>
        <v>-37.439878885582949</v>
      </c>
      <c r="Q1225" s="51"/>
      <c r="R1225" s="309"/>
      <c r="S1225" s="309"/>
      <c r="T1225" s="428">
        <f>$L$1225*Z1229/($Y$1229+$Z$1229+$AA$1229)</f>
        <v>-5.244387524929385</v>
      </c>
      <c r="U1225" s="51"/>
      <c r="V1225" s="309"/>
      <c r="W1225" s="309"/>
      <c r="X1225" s="428">
        <f>$L$1225*AA1229/($Y$1229+$Z$1229+$AA$1229)</f>
        <v>-21.291241816561151</v>
      </c>
      <c r="Y1225" s="289"/>
      <c r="Z1225" s="290"/>
      <c r="AA1225" s="74"/>
      <c r="AB1225" s="74"/>
      <c r="AC1225" s="20"/>
      <c r="AD1225" s="20"/>
      <c r="AE1225" s="20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</row>
    <row r="1226" spans="1:47" ht="16.5" thickBot="1">
      <c r="A1226" s="1" t="s">
        <v>382</v>
      </c>
      <c r="B1226" s="1"/>
      <c r="C1226" s="366">
        <f>C1224+C1225</f>
        <v>294550.45303791919</v>
      </c>
      <c r="D1226" s="345"/>
      <c r="E1226" s="345"/>
      <c r="F1226" s="312">
        <f>F1224+F1225</f>
        <v>25790.024491772925</v>
      </c>
      <c r="G1226" s="345"/>
      <c r="H1226" s="345"/>
      <c r="I1226" s="312">
        <f>I1224+I1225</f>
        <v>25790.024491772925</v>
      </c>
      <c r="J1226" s="345"/>
      <c r="K1226" s="345"/>
      <c r="L1226" s="312">
        <f>L1224+L1225</f>
        <v>27072.024491772925</v>
      </c>
      <c r="M1226" s="312"/>
      <c r="N1226" s="345"/>
      <c r="O1226" s="345"/>
      <c r="P1226" s="312">
        <f>P1224+P1225</f>
        <v>15843.146013970772</v>
      </c>
      <c r="Q1226" s="312"/>
      <c r="R1226" s="345"/>
      <c r="S1226" s="345"/>
      <c r="T1226" s="312">
        <f>T1224+T1225</f>
        <v>2219.2271926204799</v>
      </c>
      <c r="U1226" s="312"/>
      <c r="V1226" s="345"/>
      <c r="W1226" s="345"/>
      <c r="X1226" s="312">
        <f>X1224+X1225</f>
        <v>9009.6512851816733</v>
      </c>
      <c r="Y1226" s="788" t="s">
        <v>409</v>
      </c>
      <c r="Z1226" s="809">
        <f ca="1">'Rate Spread targets'!Q29*1000</f>
        <v>27073.239726945041</v>
      </c>
      <c r="AA1226" s="818">
        <f>(L1226-I1226)/I1226</f>
        <v>4.9709142401511128E-2</v>
      </c>
      <c r="AB1226" s="74"/>
      <c r="AC1226" s="20"/>
      <c r="AD1226" s="20"/>
      <c r="AE1226" s="20"/>
      <c r="AF1226" s="20"/>
      <c r="AG1226" s="20"/>
      <c r="AH1226" s="20"/>
      <c r="AI1226" s="20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</row>
    <row r="1227" spans="1:47" ht="16.5" thickTop="1">
      <c r="A1227" s="1"/>
      <c r="B1227" s="313"/>
      <c r="C1227" s="1"/>
      <c r="D1227" s="1" t="s">
        <v>31</v>
      </c>
      <c r="E1227" s="1"/>
      <c r="F1227" s="1"/>
      <c r="G1227" s="1" t="s">
        <v>31</v>
      </c>
      <c r="H1227" s="1"/>
      <c r="I1227" s="1"/>
      <c r="J1227" s="1" t="s">
        <v>31</v>
      </c>
      <c r="K1227" s="1"/>
      <c r="L1227" s="2" t="s">
        <v>31</v>
      </c>
      <c r="M1227" s="2"/>
      <c r="N1227" s="1" t="s">
        <v>31</v>
      </c>
      <c r="O1227" s="1"/>
      <c r="P1227" s="2" t="s">
        <v>31</v>
      </c>
      <c r="Q1227" s="2"/>
      <c r="R1227" s="1" t="s">
        <v>31</v>
      </c>
      <c r="S1227" s="1"/>
      <c r="T1227" s="2" t="s">
        <v>31</v>
      </c>
      <c r="U1227" s="2"/>
      <c r="V1227" s="1" t="s">
        <v>31</v>
      </c>
      <c r="W1227" s="1"/>
      <c r="X1227" s="2" t="s">
        <v>31</v>
      </c>
      <c r="Y1227" s="789" t="s">
        <v>263</v>
      </c>
      <c r="Z1227" s="811">
        <f ca="1">Z1226-L1226</f>
        <v>1.2152351721160812</v>
      </c>
      <c r="AA1227" s="814" t="s">
        <v>31</v>
      </c>
      <c r="AB1227" s="276"/>
      <c r="AC1227" s="20"/>
      <c r="AD1227" s="20"/>
      <c r="AE1227" s="20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</row>
    <row r="1228" spans="1:47">
      <c r="A1228" s="1"/>
      <c r="B1228" s="313"/>
      <c r="C1228" s="1"/>
      <c r="D1228" s="1"/>
      <c r="E1228" s="1"/>
      <c r="F1228" s="1"/>
      <c r="G1228" s="1"/>
      <c r="H1228" s="1"/>
      <c r="I1228" s="1"/>
      <c r="J1228" s="1"/>
      <c r="K1228" s="1"/>
      <c r="L1228" s="2"/>
      <c r="M1228" s="2"/>
      <c r="N1228" s="1"/>
      <c r="O1228" s="1"/>
      <c r="P1228" s="2"/>
      <c r="Q1228" s="2"/>
      <c r="R1228" s="1"/>
      <c r="S1228" s="1"/>
      <c r="T1228" s="2"/>
      <c r="U1228" s="2"/>
      <c r="V1228" s="1"/>
      <c r="W1228" s="1"/>
      <c r="X1228" s="2"/>
      <c r="Y1228" s="744">
        <f>Y29</f>
        <v>0.58522206267896359</v>
      </c>
      <c r="Z1228" s="744">
        <f t="shared" ref="Z1228:AA1228" si="360">Z29</f>
        <v>8.1974925565500054E-2</v>
      </c>
      <c r="AA1228" s="744">
        <f t="shared" si="360"/>
        <v>0.33280301175553639</v>
      </c>
      <c r="AB1228" s="276"/>
      <c r="AC1228" s="20"/>
      <c r="AD1228" s="20"/>
      <c r="AE1228" s="20"/>
      <c r="AF1228" s="20"/>
      <c r="AG1228" s="20"/>
      <c r="AH1228" s="20"/>
      <c r="AI1228" s="20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</row>
    <row r="1229" spans="1:47">
      <c r="A1229" s="1"/>
      <c r="B1229" s="313"/>
      <c r="C1229" s="1"/>
      <c r="D1229" s="1"/>
      <c r="E1229" s="1"/>
      <c r="F1229" s="1"/>
      <c r="G1229" s="1"/>
      <c r="H1229" s="1"/>
      <c r="I1229" s="1"/>
      <c r="J1229" s="1"/>
      <c r="K1229" s="1"/>
      <c r="L1229" s="2"/>
      <c r="M1229" s="2"/>
      <c r="N1229" s="1"/>
      <c r="O1229" s="1"/>
      <c r="P1229" s="2"/>
      <c r="Q1229" s="2"/>
      <c r="R1229" s="1"/>
      <c r="S1229" s="1"/>
      <c r="T1229" s="2"/>
      <c r="U1229" s="2"/>
      <c r="V1229" s="1"/>
      <c r="W1229" s="1"/>
      <c r="X1229" s="2"/>
      <c r="Y1229" s="416">
        <f>L1226*Y1228</f>
        <v>15843.146013970772</v>
      </c>
      <c r="Z1229" s="416">
        <f>L1226*Z1228</f>
        <v>2219.2271926204799</v>
      </c>
      <c r="AA1229" s="416">
        <f>L1226*AA1228</f>
        <v>9009.6512851816733</v>
      </c>
      <c r="AB1229" s="276"/>
      <c r="AC1229" s="20"/>
      <c r="AD1229" s="20"/>
      <c r="AE1229" s="20"/>
      <c r="AF1229" s="20"/>
      <c r="AG1229" s="20"/>
      <c r="AH1229" s="20"/>
      <c r="AI1229" s="20"/>
      <c r="AJ1229" s="20"/>
      <c r="AK1229" s="20"/>
      <c r="AL1229" s="20"/>
      <c r="AM1229" s="20"/>
      <c r="AN1229" s="20"/>
      <c r="AO1229" s="20"/>
      <c r="AP1229" s="20"/>
      <c r="AQ1229" s="20"/>
      <c r="AR1229" s="20"/>
      <c r="AS1229" s="20"/>
    </row>
    <row r="1230" spans="1:47">
      <c r="A1230" s="262" t="s">
        <v>505</v>
      </c>
      <c r="B1230" s="303"/>
      <c r="C1230" s="303"/>
      <c r="D1230" s="303"/>
      <c r="E1230" s="303"/>
      <c r="F1230" s="303"/>
      <c r="G1230" s="303"/>
      <c r="H1230" s="303"/>
      <c r="I1230" s="303"/>
      <c r="J1230" s="303"/>
      <c r="K1230" s="303"/>
      <c r="L1230" s="303"/>
      <c r="M1230" s="303"/>
      <c r="N1230" s="303"/>
      <c r="O1230" s="303"/>
      <c r="P1230" s="303"/>
      <c r="Q1230" s="303"/>
      <c r="R1230" s="303"/>
      <c r="S1230" s="303"/>
      <c r="T1230" s="303"/>
      <c r="U1230" s="303"/>
      <c r="V1230" s="303"/>
      <c r="W1230" s="303"/>
      <c r="X1230" s="303"/>
      <c r="Y1230" s="20"/>
      <c r="Z1230" s="74"/>
      <c r="AA1230" s="74"/>
      <c r="AB1230" s="74"/>
      <c r="AC1230" s="20"/>
      <c r="AD1230" s="20"/>
      <c r="AE1230" s="20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</row>
    <row r="1231" spans="1:47">
      <c r="A1231" s="303" t="s">
        <v>506</v>
      </c>
      <c r="B1231" s="303"/>
      <c r="C1231" s="303"/>
      <c r="D1231" s="303"/>
      <c r="E1231" s="303"/>
      <c r="F1231" s="303"/>
      <c r="G1231" s="303"/>
      <c r="H1231" s="303"/>
      <c r="I1231" s="303"/>
      <c r="J1231" s="303"/>
      <c r="K1231" s="303"/>
      <c r="L1231" s="303"/>
      <c r="M1231" s="303"/>
      <c r="N1231" s="303"/>
      <c r="O1231" s="303"/>
      <c r="P1231" s="303"/>
      <c r="Q1231" s="303"/>
      <c r="R1231" s="303"/>
      <c r="S1231" s="303"/>
      <c r="T1231" s="303"/>
      <c r="U1231" s="303"/>
      <c r="V1231" s="303"/>
      <c r="W1231" s="303"/>
      <c r="X1231" s="303"/>
      <c r="Y1231" s="278"/>
      <c r="Z1231" s="278"/>
      <c r="AA1231" s="278"/>
      <c r="AB1231" s="278"/>
      <c r="AC1231" s="278"/>
      <c r="AD1231" s="278"/>
      <c r="AE1231" s="278"/>
      <c r="AF1231" s="278"/>
      <c r="AG1231" s="278"/>
      <c r="AH1231" s="278"/>
      <c r="AI1231" s="278"/>
      <c r="AJ1231" s="278"/>
      <c r="AK1231" s="278"/>
      <c r="AL1231" s="278"/>
      <c r="AM1231" s="278"/>
      <c r="AN1231" s="278"/>
      <c r="AO1231" s="20"/>
      <c r="AP1231" s="20"/>
      <c r="AQ1231" s="20"/>
      <c r="AR1231" s="20"/>
      <c r="AS1231" s="20"/>
    </row>
    <row r="1232" spans="1:47">
      <c r="A1232" s="430" t="s">
        <v>507</v>
      </c>
      <c r="B1232" s="303"/>
      <c r="C1232" s="303"/>
      <c r="D1232" s="303"/>
      <c r="E1232" s="303"/>
      <c r="F1232" s="303"/>
      <c r="G1232" s="303"/>
      <c r="H1232" s="303"/>
      <c r="I1232" s="303"/>
      <c r="J1232" s="303"/>
      <c r="K1232" s="303"/>
      <c r="L1232" s="303"/>
      <c r="M1232" s="303"/>
      <c r="N1232" s="303"/>
      <c r="O1232" s="303"/>
      <c r="P1232" s="303"/>
      <c r="Q1232" s="303"/>
      <c r="R1232" s="303"/>
      <c r="S1232" s="303"/>
      <c r="T1232" s="303"/>
      <c r="U1232" s="303"/>
      <c r="V1232" s="303"/>
      <c r="W1232" s="303"/>
      <c r="X1232" s="303"/>
      <c r="Y1232" s="278"/>
      <c r="Z1232" s="278"/>
      <c r="AA1232" s="278"/>
      <c r="AB1232" s="278"/>
      <c r="AC1232" s="278"/>
      <c r="AD1232" s="278"/>
      <c r="AE1232" s="278"/>
      <c r="AF1232" s="278"/>
      <c r="AG1232" s="278"/>
      <c r="AH1232" s="278"/>
      <c r="AI1232" s="278"/>
      <c r="AJ1232" s="278"/>
      <c r="AK1232" s="278"/>
      <c r="AL1232" s="278"/>
      <c r="AM1232" s="278"/>
      <c r="AN1232" s="278"/>
      <c r="AO1232" s="20"/>
      <c r="AP1232" s="20"/>
      <c r="AQ1232" s="20"/>
      <c r="AR1232" s="20"/>
      <c r="AS1232" s="20"/>
    </row>
    <row r="1233" spans="1:45">
      <c r="A1233" s="3" t="s">
        <v>508</v>
      </c>
      <c r="F1233" s="263"/>
      <c r="I1233" s="263"/>
      <c r="Y1233" s="278"/>
      <c r="Z1233" s="278"/>
      <c r="AA1233" s="74"/>
      <c r="AB1233" s="74"/>
      <c r="AC1233" s="279"/>
      <c r="AD1233" s="279"/>
      <c r="AE1233" s="280"/>
      <c r="AF1233" s="280"/>
      <c r="AG1233" s="280"/>
      <c r="AH1233" s="280"/>
      <c r="AI1233" s="431"/>
      <c r="AJ1233" s="282"/>
      <c r="AK1233" s="278"/>
      <c r="AL1233" s="278"/>
      <c r="AM1233" s="278"/>
      <c r="AN1233" s="278"/>
      <c r="AO1233" s="20"/>
      <c r="AP1233" s="20"/>
      <c r="AQ1233" s="20"/>
      <c r="AR1233" s="20"/>
      <c r="AS1233" s="20"/>
    </row>
    <row r="1234" spans="1:45">
      <c r="A1234" s="3" t="s">
        <v>354</v>
      </c>
      <c r="C1234" s="264">
        <f>[59]Sheet1!$F$2</f>
        <v>13341.9529241649</v>
      </c>
      <c r="D1234" s="265">
        <v>9.75</v>
      </c>
      <c r="F1234" s="2">
        <f>ROUND(D1234*$C1234,0)</f>
        <v>130084</v>
      </c>
      <c r="G1234" s="265">
        <v>9.75</v>
      </c>
      <c r="I1234" s="2">
        <f>ROUND(C1234*G1234,0)</f>
        <v>130084</v>
      </c>
      <c r="J1234" s="265">
        <f>ROUND(G1234+(G1234*$AA$1267),2)</f>
        <v>10.19</v>
      </c>
      <c r="L1234" s="2">
        <f>ROUND(J1234*$C1234,0)</f>
        <v>135955</v>
      </c>
      <c r="M1234" s="2"/>
      <c r="N1234" s="265">
        <f>ROUND(P1234/C1234,2)</f>
        <v>5.96</v>
      </c>
      <c r="P1234" s="2">
        <f>($Y$1269-$P$1263-$P$1265)*(L1234/($L$1234+$L$1235+$L$1236+$L$1238+$L$1239+$L$1242+$L$1243+$L$1244+$L$1246+$L$1247+$L$1250+$L$1251+L$1252+$L$1254+$L$1255+$L$1257+$L$1258+$L$1259+$L$1261))</f>
        <v>79563.865531518488</v>
      </c>
      <c r="Q1234" s="2"/>
      <c r="R1234" s="265">
        <f>ROUND(T1234/C1234,2)</f>
        <v>0.84</v>
      </c>
      <c r="T1234" s="2">
        <f>($Z$1269-$T$1263-$T$1265)*(L1234/($L$1234+$L$1235+$L$1236+$L$1238+$L$1239+$L$1242+$L$1243+$L$1244+$L$1246+$L$1247+$L$1250+$L$1251+L$1252+$L$1254+$L$1255+$L$1257+$L$1258+$L$1259+$L$1261))</f>
        <v>11144.901005257561</v>
      </c>
      <c r="U1234" s="2"/>
      <c r="V1234" s="265">
        <f>ROUND(X1234/C1234,2)</f>
        <v>3.39</v>
      </c>
      <c r="X1234" s="2">
        <f>($AA$1269-$X$1263-$X$1265)*(L1234/($L$1234+$L$1235+$L$1236+$L$1238+$L$1239+$L$1242+$L$1243+$L$1244+$L$1246+$L$1247+$L$1250+$L$1251+L$1252+$L$1254+$L$1255+$L$1257+$L$1258+$L$1259+$L$1261))</f>
        <v>45246.233463223951</v>
      </c>
      <c r="Y1234" s="20"/>
      <c r="Z1234" s="281"/>
      <c r="AA1234" s="74"/>
      <c r="AB1234" s="74"/>
      <c r="AC1234" s="403"/>
      <c r="AD1234" s="403"/>
      <c r="AE1234" s="283"/>
      <c r="AF1234" s="283"/>
      <c r="AG1234" s="283"/>
      <c r="AH1234" s="283"/>
      <c r="AI1234" s="284"/>
      <c r="AJ1234" s="278"/>
      <c r="AK1234" s="281"/>
      <c r="AL1234" s="281"/>
      <c r="AM1234" s="432"/>
      <c r="AN1234" s="281"/>
      <c r="AO1234" s="20"/>
      <c r="AP1234" s="20"/>
      <c r="AQ1234" s="20"/>
      <c r="AR1234" s="20"/>
      <c r="AS1234" s="20"/>
    </row>
    <row r="1235" spans="1:45">
      <c r="A1235" s="3" t="s">
        <v>355</v>
      </c>
      <c r="C1235" s="264">
        <f>[59]Sheet1!$F$4</f>
        <v>1917.0889268557601</v>
      </c>
      <c r="D1235" s="265">
        <v>17.850000000000001</v>
      </c>
      <c r="F1235" s="2">
        <f>ROUND(D1235*$C1235,0)</f>
        <v>34220</v>
      </c>
      <c r="G1235" s="265">
        <v>17.850000000000001</v>
      </c>
      <c r="I1235" s="2">
        <f t="shared" ref="I1235:I1239" si="361">ROUND(C1235*G1235,0)</f>
        <v>34220</v>
      </c>
      <c r="J1235" s="265">
        <f t="shared" ref="J1235:J1239" si="362">ROUND(G1235+(G1235*$AA$1267),2)</f>
        <v>18.66</v>
      </c>
      <c r="L1235" s="2">
        <f>ROUND(J1235*$C1235,0)</f>
        <v>35773</v>
      </c>
      <c r="M1235" s="2"/>
      <c r="N1235" s="265">
        <f>ROUND(P1235/C1235,2)</f>
        <v>10.92</v>
      </c>
      <c r="P1235" s="2">
        <f t="shared" ref="P1235:P1239" si="363">($Y$1269-$P$1263-$P$1265)*(L1235/($L$1234+$L$1235+$L$1236+$L$1238+$L$1239+$L$1242+$L$1243+$L$1244+$L$1246+$L$1247+$L$1250+$L$1251+L$1252+$L$1254+$L$1255+$L$1257+$L$1258+$L$1259+$L$1261))</f>
        <v>20935.148848214565</v>
      </c>
      <c r="Q1235" s="2"/>
      <c r="R1235" s="265">
        <f>ROUND(T1235/C1235,2)</f>
        <v>1.53</v>
      </c>
      <c r="T1235" s="2">
        <f t="shared" ref="T1235:T1239" si="364">($Z$1269-$T$1263-$T$1265)*(L1235/($L$1234+$L$1235+$L$1236+$L$1238+$L$1239+$L$1242+$L$1243+$L$1244+$L$1246+$L$1247+$L$1250+$L$1251+L$1252+$L$1254+$L$1255+$L$1257+$L$1258+$L$1259+$L$1261))</f>
        <v>2932.489012254634</v>
      </c>
      <c r="U1235" s="2"/>
      <c r="V1235" s="265">
        <f>ROUND(X1235/C1235,2)</f>
        <v>6.21</v>
      </c>
      <c r="X1235" s="2">
        <f t="shared" ref="X1235:X1236" si="365">($AA$1269-$X$1263-$X$1265)*(L1235/($L$1234+$L$1235+$L$1236+$L$1238+$L$1239+$L$1242+$L$1243+$L$1244+$L$1246+$L$1247+$L$1250+$L$1251+L$1252+$L$1254+$L$1255+$L$1257+$L$1258+$L$1259+$L$1261))</f>
        <v>11905.362139530806</v>
      </c>
      <c r="Y1235" s="20"/>
      <c r="Z1235" s="281"/>
      <c r="AA1235" s="74"/>
      <c r="AB1235" s="74"/>
      <c r="AC1235" s="403"/>
      <c r="AD1235" s="403"/>
      <c r="AE1235" s="283"/>
      <c r="AF1235" s="283"/>
      <c r="AG1235" s="283"/>
      <c r="AH1235" s="283"/>
      <c r="AI1235" s="278"/>
      <c r="AJ1235" s="278"/>
      <c r="AK1235" s="281"/>
      <c r="AL1235" s="281"/>
      <c r="AM1235" s="432"/>
      <c r="AN1235" s="281"/>
      <c r="AO1235" s="20"/>
      <c r="AP1235" s="20"/>
      <c r="AQ1235" s="20"/>
      <c r="AR1235" s="20"/>
      <c r="AS1235" s="20"/>
    </row>
    <row r="1236" spans="1:45">
      <c r="A1236" s="3" t="s">
        <v>356</v>
      </c>
      <c r="C1236" s="264">
        <v>0</v>
      </c>
      <c r="D1236" s="265">
        <v>36.1</v>
      </c>
      <c r="F1236" s="2">
        <f>ROUND(D1236*$C1236,0)</f>
        <v>0</v>
      </c>
      <c r="G1236" s="265">
        <v>36.1</v>
      </c>
      <c r="I1236" s="2">
        <f t="shared" si="361"/>
        <v>0</v>
      </c>
      <c r="J1236" s="265">
        <f t="shared" si="362"/>
        <v>37.729999999999997</v>
      </c>
      <c r="L1236" s="2">
        <f>ROUND(J1236*$C1236,0)</f>
        <v>0</v>
      </c>
      <c r="M1236" s="2"/>
      <c r="N1236" s="265">
        <f>ROUND(SUM($P$1234:$P$1261)/SUM($L$1234:$L$1261)*J1236,2)</f>
        <v>22.08</v>
      </c>
      <c r="P1236" s="2">
        <f t="shared" si="363"/>
        <v>0</v>
      </c>
      <c r="Q1236" s="2"/>
      <c r="R1236" s="265">
        <f>ROUND(SUM($T$1234:$T$1261)/SUM($L$1234:$L$1261)*J1236,2)</f>
        <v>3.09</v>
      </c>
      <c r="T1236" s="2">
        <f t="shared" si="364"/>
        <v>0</v>
      </c>
      <c r="U1236" s="2"/>
      <c r="V1236" s="265">
        <f>ROUND(SUM($X$1234:$X$1261)/SUM($L$1234:$L$1261)*J1236,2)</f>
        <v>12.56</v>
      </c>
      <c r="X1236" s="2">
        <f t="shared" si="365"/>
        <v>0</v>
      </c>
      <c r="Y1236" s="20"/>
      <c r="Z1236" s="281"/>
      <c r="AA1236" s="74"/>
      <c r="AB1236" s="74"/>
      <c r="AC1236" s="403"/>
      <c r="AD1236" s="403"/>
      <c r="AE1236" s="283"/>
      <c r="AF1236" s="283"/>
      <c r="AG1236" s="283"/>
      <c r="AH1236" s="283"/>
      <c r="AI1236" s="278"/>
      <c r="AJ1236" s="278"/>
      <c r="AK1236" s="281"/>
      <c r="AL1236" s="281"/>
      <c r="AM1236" s="432"/>
      <c r="AN1236" s="281"/>
      <c r="AO1236" s="20"/>
      <c r="AP1236" s="20"/>
      <c r="AQ1236" s="20"/>
      <c r="AR1236" s="20"/>
      <c r="AS1236" s="20"/>
    </row>
    <row r="1237" spans="1:45">
      <c r="A1237" s="3" t="s">
        <v>509</v>
      </c>
      <c r="C1237" s="264"/>
      <c r="D1237" s="433"/>
      <c r="F1237" s="263"/>
      <c r="G1237" s="433"/>
      <c r="I1237" s="263"/>
      <c r="J1237" s="433"/>
      <c r="N1237" s="433"/>
      <c r="R1237" s="433"/>
      <c r="V1237" s="433"/>
      <c r="Y1237" s="20"/>
      <c r="Z1237" s="281"/>
      <c r="AA1237" s="74"/>
      <c r="AB1237" s="74"/>
      <c r="AC1237" s="20"/>
      <c r="AD1237" s="20"/>
      <c r="AE1237" s="287"/>
      <c r="AF1237" s="287"/>
      <c r="AG1237" s="287"/>
      <c r="AH1237" s="287"/>
      <c r="AI1237" s="278"/>
      <c r="AJ1237" s="278"/>
      <c r="AK1237" s="281"/>
      <c r="AL1237" s="281"/>
      <c r="AM1237" s="432"/>
      <c r="AN1237" s="281"/>
      <c r="AO1237" s="20"/>
      <c r="AP1237" s="20"/>
      <c r="AQ1237" s="20"/>
      <c r="AR1237" s="20"/>
      <c r="AS1237" s="20"/>
    </row>
    <row r="1238" spans="1:45">
      <c r="A1238" s="3" t="s">
        <v>354</v>
      </c>
      <c r="C1238" s="264">
        <f>[59]Sheet1!$F$3</f>
        <v>4255.2648184670697</v>
      </c>
      <c r="D1238" s="265">
        <v>9.15</v>
      </c>
      <c r="F1238" s="2">
        <f>ROUND(D1238*$C1238,0)</f>
        <v>38936</v>
      </c>
      <c r="G1238" s="265">
        <v>9.15</v>
      </c>
      <c r="I1238" s="2">
        <f t="shared" si="361"/>
        <v>38936</v>
      </c>
      <c r="J1238" s="265">
        <f t="shared" si="362"/>
        <v>9.56</v>
      </c>
      <c r="L1238" s="2">
        <f>ROUND(J1238*$C1238,0)</f>
        <v>40680</v>
      </c>
      <c r="M1238" s="2"/>
      <c r="N1238" s="265">
        <f>ROUND(P1238/C1238,2)</f>
        <v>5.59</v>
      </c>
      <c r="P1238" s="2">
        <f t="shared" si="363"/>
        <v>23806.833509780237</v>
      </c>
      <c r="Q1238" s="2"/>
      <c r="R1238" s="265">
        <f>ROUND(T1238/C1238,2)</f>
        <v>0.78</v>
      </c>
      <c r="T1238" s="2">
        <f t="shared" si="364"/>
        <v>3334.7399720045428</v>
      </c>
      <c r="U1238" s="2"/>
      <c r="V1238" s="265">
        <f>ROUND(X1238/C1238,2)+0.01</f>
        <v>3.19</v>
      </c>
      <c r="X1238" s="2">
        <f t="shared" ref="X1238:X1239" si="366">($AA$1269-$X$1263-$X$1265)*(L1238/($L$1234+$L$1235+$L$1236+$L$1238+$L$1239+$L$1242+$L$1243+$L$1244+$L$1246+$L$1247+$L$1250+$L$1251+L$1252+$L$1254+$L$1255+$L$1257+$L$1258+$L$1259+$L$1261))</f>
        <v>13538.426518215223</v>
      </c>
      <c r="Y1238" s="20"/>
      <c r="Z1238" s="281"/>
      <c r="AA1238" s="74"/>
      <c r="AB1238" s="74"/>
      <c r="AC1238" s="403"/>
      <c r="AD1238" s="403"/>
      <c r="AE1238" s="283"/>
      <c r="AF1238" s="283"/>
      <c r="AG1238" s="283"/>
      <c r="AH1238" s="283"/>
      <c r="AI1238" s="20"/>
      <c r="AJ1238" s="20"/>
      <c r="AK1238" s="281"/>
      <c r="AL1238" s="281"/>
      <c r="AM1238" s="432"/>
      <c r="AN1238" s="281"/>
      <c r="AO1238" s="20"/>
      <c r="AP1238" s="20"/>
      <c r="AQ1238" s="20"/>
      <c r="AR1238" s="20"/>
      <c r="AS1238" s="20"/>
    </row>
    <row r="1239" spans="1:45">
      <c r="A1239" s="3" t="s">
        <v>355</v>
      </c>
      <c r="C1239" s="264">
        <v>0</v>
      </c>
      <c r="D1239" s="265">
        <v>16.649999999999999</v>
      </c>
      <c r="F1239" s="2">
        <f>ROUND(D1239*$C1239,0)</f>
        <v>0</v>
      </c>
      <c r="G1239" s="265">
        <v>16.649999999999999</v>
      </c>
      <c r="I1239" s="2">
        <f t="shared" si="361"/>
        <v>0</v>
      </c>
      <c r="J1239" s="265">
        <f t="shared" si="362"/>
        <v>17.399999999999999</v>
      </c>
      <c r="L1239" s="2">
        <f>ROUND(J1239*$C1239,0)</f>
        <v>0</v>
      </c>
      <c r="M1239" s="2"/>
      <c r="N1239" s="265">
        <f>ROUND(SUM($P$1234:$P$1261)/SUM($L$1234:$L$1261)*J1239,2)</f>
        <v>10.18</v>
      </c>
      <c r="P1239" s="2">
        <f t="shared" si="363"/>
        <v>0</v>
      </c>
      <c r="Q1239" s="2"/>
      <c r="R1239" s="265">
        <f>ROUND(SUM($T$1234:$T$1261)/SUM($L$1234:$L$1261)*J1239,2)</f>
        <v>1.43</v>
      </c>
      <c r="T1239" s="2">
        <f t="shared" si="364"/>
        <v>0</v>
      </c>
      <c r="U1239" s="2"/>
      <c r="V1239" s="265">
        <f>ROUND(SUM($X$1234:$X$1261)/SUM($L$1234:$L$1261)*J1239,2)</f>
        <v>5.79</v>
      </c>
      <c r="X1239" s="2">
        <f t="shared" si="366"/>
        <v>0</v>
      </c>
      <c r="Y1239" s="20"/>
      <c r="Z1239" s="281"/>
      <c r="AA1239" s="74"/>
      <c r="AB1239" s="74"/>
      <c r="AC1239" s="403"/>
      <c r="AD1239" s="403"/>
      <c r="AE1239" s="283"/>
      <c r="AF1239" s="283"/>
      <c r="AG1239" s="283"/>
      <c r="AH1239" s="283"/>
      <c r="AI1239" s="20"/>
      <c r="AJ1239" s="20"/>
      <c r="AK1239" s="281"/>
      <c r="AL1239" s="281"/>
      <c r="AM1239" s="432"/>
      <c r="AN1239" s="281"/>
      <c r="AO1239" s="20"/>
      <c r="AP1239" s="20"/>
      <c r="AQ1239" s="20"/>
      <c r="AR1239" s="20"/>
      <c r="AS1239" s="20"/>
    </row>
    <row r="1240" spans="1:45">
      <c r="A1240" s="430" t="s">
        <v>510</v>
      </c>
      <c r="C1240" s="264"/>
      <c r="D1240" s="265"/>
      <c r="F1240" s="2"/>
      <c r="G1240" s="265"/>
      <c r="I1240" s="2"/>
      <c r="J1240" s="265"/>
      <c r="L1240" s="2"/>
      <c r="M1240" s="2"/>
      <c r="N1240" s="265"/>
      <c r="P1240" s="2"/>
      <c r="Q1240" s="2"/>
      <c r="R1240" s="265"/>
      <c r="T1240" s="2"/>
      <c r="U1240" s="2"/>
      <c r="V1240" s="265"/>
      <c r="X1240" s="2"/>
      <c r="Y1240" s="20"/>
      <c r="Z1240" s="281"/>
      <c r="AA1240" s="74"/>
      <c r="AB1240" s="74"/>
      <c r="AC1240" s="20"/>
      <c r="AD1240" s="20"/>
      <c r="AE1240" s="20"/>
      <c r="AF1240" s="20"/>
      <c r="AG1240" s="20"/>
      <c r="AH1240" s="20"/>
      <c r="AI1240" s="20"/>
      <c r="AJ1240" s="20"/>
      <c r="AK1240" s="20"/>
      <c r="AL1240" s="20"/>
      <c r="AM1240" s="432"/>
      <c r="AN1240" s="20"/>
      <c r="AO1240" s="20"/>
      <c r="AP1240" s="20"/>
      <c r="AQ1240" s="20"/>
      <c r="AR1240" s="20"/>
      <c r="AS1240" s="20"/>
    </row>
    <row r="1241" spans="1:45">
      <c r="A1241" s="3" t="s">
        <v>508</v>
      </c>
      <c r="C1241" s="264"/>
      <c r="D1241" s="433"/>
      <c r="F1241" s="263"/>
      <c r="G1241" s="433"/>
      <c r="I1241" s="263"/>
      <c r="J1241" s="433"/>
      <c r="N1241" s="433"/>
      <c r="R1241" s="433"/>
      <c r="V1241" s="433"/>
      <c r="Y1241" s="20"/>
      <c r="Z1241" s="74"/>
      <c r="AA1241" s="74"/>
      <c r="AB1241" s="74"/>
      <c r="AC1241" s="20"/>
      <c r="AD1241" s="20"/>
      <c r="AE1241" s="20"/>
      <c r="AF1241" s="20"/>
      <c r="AG1241" s="20"/>
      <c r="AH1241" s="20"/>
      <c r="AI1241" s="20"/>
      <c r="AJ1241" s="20"/>
      <c r="AK1241" s="20"/>
      <c r="AL1241" s="20"/>
      <c r="AM1241" s="432"/>
      <c r="AN1241" s="20"/>
      <c r="AO1241" s="20"/>
      <c r="AP1241" s="20"/>
      <c r="AQ1241" s="20"/>
      <c r="AR1241" s="20"/>
      <c r="AS1241" s="20"/>
    </row>
    <row r="1242" spans="1:45">
      <c r="A1242" s="3" t="s">
        <v>354</v>
      </c>
      <c r="C1242" s="264">
        <f>[59]Sheet1!$F$5</f>
        <v>478.66694057746798</v>
      </c>
      <c r="D1242" s="265">
        <v>12.74</v>
      </c>
      <c r="F1242" s="2">
        <f>ROUND(D1242*$C1242,0)</f>
        <v>6098</v>
      </c>
      <c r="G1242" s="265">
        <v>12.74</v>
      </c>
      <c r="I1242" s="2">
        <f t="shared" ref="I1242:I1244" si="367">ROUND(C1242*G1242,0)</f>
        <v>6098</v>
      </c>
      <c r="J1242" s="265">
        <f t="shared" ref="J1242:J1244" si="368">ROUND(G1242+(G1242*$AA$1267),2)</f>
        <v>13.32</v>
      </c>
      <c r="L1242" s="2">
        <f>ROUND(J1242*$C1242,0)</f>
        <v>6376</v>
      </c>
      <c r="M1242" s="2"/>
      <c r="N1242" s="265">
        <f t="shared" ref="N1242:N1243" si="369">ROUND(P1242/C1242,2)</f>
        <v>7.8</v>
      </c>
      <c r="P1242" s="2">
        <f t="shared" ref="P1242:P1244" si="370">($Y$1269-$P$1263-$P$1265)*(L1242/($L$1234+$L$1235+$L$1236+$L$1238+$L$1239+$L$1242+$L$1243+$L$1244+$L$1246+$L$1247+$L$1250+$L$1251+L$1252+$L$1254+$L$1255+$L$1257+$L$1258+$L$1259+$L$1261))</f>
        <v>3731.3758716410716</v>
      </c>
      <c r="Q1242" s="2"/>
      <c r="R1242" s="265">
        <f t="shared" ref="R1242:R1243" si="371">ROUND(T1242/C1242,2)</f>
        <v>1.0900000000000001</v>
      </c>
      <c r="T1242" s="2">
        <f t="shared" ref="T1242:T1244" si="372">($Z$1269-$T$1263-$T$1265)*(L1242/($L$1234+$L$1235+$L$1236+$L$1238+$L$1239+$L$1242+$L$1243+$L$1244+$L$1246+$L$1247+$L$1250+$L$1251+L$1252+$L$1254+$L$1255+$L$1257+$L$1258+$L$1259+$L$1261))</f>
        <v>522.67212540562844</v>
      </c>
      <c r="U1242" s="2"/>
      <c r="V1242" s="265">
        <f>ROUND(X1242/C1242,2)</f>
        <v>4.43</v>
      </c>
      <c r="X1242" s="2">
        <f t="shared" ref="X1242:X1244" si="373">($AA$1269-$X$1263-$X$1265)*(L1242/($L$1234+$L$1235+$L$1236+$L$1238+$L$1239+$L$1242+$L$1243+$L$1244+$L$1246+$L$1247+$L$1250+$L$1251+L$1252+$L$1254+$L$1255+$L$1257+$L$1258+$L$1259+$L$1261))</f>
        <v>2121.9520029533001</v>
      </c>
      <c r="Y1242" s="20"/>
      <c r="Z1242" s="281"/>
      <c r="AA1242" s="74"/>
      <c r="AB1242" s="74"/>
      <c r="AC1242" s="403"/>
      <c r="AD1242" s="403"/>
      <c r="AE1242" s="283"/>
      <c r="AF1242" s="283"/>
      <c r="AG1242" s="283"/>
      <c r="AH1242" s="283"/>
      <c r="AI1242" s="20"/>
      <c r="AJ1242" s="20"/>
      <c r="AK1242" s="281"/>
      <c r="AL1242" s="281"/>
      <c r="AM1242" s="432"/>
      <c r="AN1242" s="281"/>
      <c r="AO1242" s="20"/>
      <c r="AP1242" s="20"/>
      <c r="AQ1242" s="20"/>
      <c r="AR1242" s="20"/>
      <c r="AS1242" s="20"/>
    </row>
    <row r="1243" spans="1:45">
      <c r="A1243" s="3" t="s">
        <v>355</v>
      </c>
      <c r="C1243" s="264">
        <f>[59]Sheet1!$F$6</f>
        <v>396.000225274076</v>
      </c>
      <c r="D1243" s="265">
        <v>21.39</v>
      </c>
      <c r="F1243" s="2">
        <f>ROUND(D1243*$C1243,0)</f>
        <v>8470</v>
      </c>
      <c r="G1243" s="265">
        <v>21.39</v>
      </c>
      <c r="I1243" s="2">
        <f t="shared" si="367"/>
        <v>8470</v>
      </c>
      <c r="J1243" s="265">
        <f t="shared" si="368"/>
        <v>22.36</v>
      </c>
      <c r="L1243" s="2">
        <f>ROUND(J1243*$C1243,0)</f>
        <v>8855</v>
      </c>
      <c r="M1243" s="2"/>
      <c r="N1243" s="265">
        <f t="shared" si="369"/>
        <v>13.09</v>
      </c>
      <c r="P1243" s="2">
        <f t="shared" si="370"/>
        <v>5182.1413650222221</v>
      </c>
      <c r="Q1243" s="2"/>
      <c r="R1243" s="265">
        <f t="shared" si="371"/>
        <v>1.83</v>
      </c>
      <c r="T1243" s="2">
        <f t="shared" si="372"/>
        <v>725.88796588250318</v>
      </c>
      <c r="U1243" s="2"/>
      <c r="V1243" s="265">
        <f t="shared" ref="V1243" si="374">ROUND(X1243/C1243,2)</f>
        <v>7.44</v>
      </c>
      <c r="X1243" s="2">
        <f t="shared" si="373"/>
        <v>2946.9706690952753</v>
      </c>
      <c r="Y1243" s="20"/>
      <c r="Z1243" s="281"/>
      <c r="AA1243" s="74"/>
      <c r="AB1243" s="74"/>
      <c r="AC1243" s="403"/>
      <c r="AD1243" s="403"/>
      <c r="AE1243" s="283"/>
      <c r="AF1243" s="283"/>
      <c r="AG1243" s="283"/>
      <c r="AH1243" s="283"/>
      <c r="AI1243" s="429"/>
      <c r="AJ1243" s="429"/>
      <c r="AK1243" s="281"/>
      <c r="AL1243" s="281"/>
      <c r="AM1243" s="432"/>
      <c r="AN1243" s="281"/>
      <c r="AO1243" s="20"/>
      <c r="AP1243" s="20"/>
      <c r="AQ1243" s="20"/>
      <c r="AR1243" s="20"/>
      <c r="AS1243" s="20"/>
    </row>
    <row r="1244" spans="1:45">
      <c r="A1244" s="3" t="s">
        <v>356</v>
      </c>
      <c r="C1244" s="264">
        <v>0</v>
      </c>
      <c r="D1244" s="265">
        <v>39.67</v>
      </c>
      <c r="F1244" s="2">
        <f>ROUND(D1244*$C1244,0)</f>
        <v>0</v>
      </c>
      <c r="G1244" s="265">
        <v>39.67</v>
      </c>
      <c r="I1244" s="2">
        <f t="shared" si="367"/>
        <v>0</v>
      </c>
      <c r="J1244" s="265">
        <f t="shared" si="368"/>
        <v>41.47</v>
      </c>
      <c r="L1244" s="2">
        <f>ROUND(J1244*$C1244,0)</f>
        <v>0</v>
      </c>
      <c r="M1244" s="2"/>
      <c r="N1244" s="265">
        <f>ROUND(SUM($P$1234:$P$1261)/SUM($L$1234:$L$1261)*J1244,2)</f>
        <v>24.27</v>
      </c>
      <c r="P1244" s="2">
        <f t="shared" si="370"/>
        <v>0</v>
      </c>
      <c r="Q1244" s="2"/>
      <c r="R1244" s="265">
        <f>ROUND(SUM($T$1234:$T$1261)/SUM($L$1234:$L$1261)*J1244,2)</f>
        <v>3.4</v>
      </c>
      <c r="T1244" s="2">
        <f t="shared" si="372"/>
        <v>0</v>
      </c>
      <c r="U1244" s="2"/>
      <c r="V1244" s="265">
        <f>ROUND(SUM($X$1234:$X$1261)/SUM($L$1234:$L$1261)*J1244,2)</f>
        <v>13.8</v>
      </c>
      <c r="X1244" s="2">
        <f t="shared" si="373"/>
        <v>0</v>
      </c>
      <c r="Y1244" s="20"/>
      <c r="Z1244" s="281"/>
      <c r="AA1244" s="74"/>
      <c r="AB1244" s="74"/>
      <c r="AC1244" s="403"/>
      <c r="AD1244" s="403"/>
      <c r="AE1244" s="283"/>
      <c r="AF1244" s="283"/>
      <c r="AG1244" s="283"/>
      <c r="AH1244" s="283"/>
      <c r="AI1244" s="429"/>
      <c r="AJ1244" s="429"/>
      <c r="AK1244" s="281"/>
      <c r="AL1244" s="281"/>
      <c r="AM1244" s="432"/>
      <c r="AN1244" s="281"/>
      <c r="AO1244" s="20"/>
      <c r="AP1244" s="20"/>
      <c r="AQ1244" s="20"/>
      <c r="AR1244" s="20"/>
      <c r="AS1244" s="20"/>
    </row>
    <row r="1245" spans="1:45">
      <c r="A1245" s="3" t="s">
        <v>509</v>
      </c>
      <c r="C1245" s="264"/>
      <c r="D1245" s="433"/>
      <c r="F1245" s="263"/>
      <c r="G1245" s="433"/>
      <c r="I1245" s="263"/>
      <c r="J1245" s="433"/>
      <c r="N1245" s="433"/>
      <c r="R1245" s="433"/>
      <c r="V1245" s="433"/>
      <c r="Y1245" s="20"/>
      <c r="Z1245" s="20"/>
      <c r="AA1245" s="435"/>
      <c r="AB1245" s="435"/>
      <c r="AC1245" s="435"/>
      <c r="AD1245" s="435"/>
      <c r="AE1245" s="729"/>
      <c r="AF1245" s="729"/>
      <c r="AG1245" s="729"/>
      <c r="AH1245" s="729"/>
      <c r="AI1245" s="429"/>
      <c r="AJ1245" s="429"/>
      <c r="AK1245" s="437"/>
      <c r="AL1245" s="20"/>
      <c r="AM1245" s="432"/>
      <c r="AN1245" s="20"/>
      <c r="AO1245" s="20"/>
      <c r="AP1245" s="20"/>
      <c r="AQ1245" s="20"/>
      <c r="AR1245" s="20"/>
      <c r="AS1245" s="20"/>
    </row>
    <row r="1246" spans="1:45">
      <c r="A1246" s="3" t="s">
        <v>354</v>
      </c>
      <c r="C1246" s="264">
        <v>0</v>
      </c>
      <c r="D1246" s="265">
        <v>12.06</v>
      </c>
      <c r="F1246" s="2">
        <f>ROUND(D1246*$C1246,0)</f>
        <v>0</v>
      </c>
      <c r="G1246" s="265">
        <v>12.06</v>
      </c>
      <c r="I1246" s="2">
        <f t="shared" ref="I1246:I1247" si="375">ROUND(C1246*G1246,0)</f>
        <v>0</v>
      </c>
      <c r="J1246" s="265">
        <f t="shared" ref="J1246:J1247" si="376">ROUND(G1246+(G1246*$AA$1267),2)</f>
        <v>12.61</v>
      </c>
      <c r="L1246" s="2">
        <f>ROUND(J1246*$C1246,0)</f>
        <v>0</v>
      </c>
      <c r="M1246" s="2"/>
      <c r="N1246" s="265">
        <f t="shared" ref="N1246:N1247" si="377">ROUND(SUM($P$1234:$P$1261)/SUM($L$1234:$L$1261)*J1246,2)</f>
        <v>7.38</v>
      </c>
      <c r="P1246" s="2">
        <f t="shared" ref="P1246:P1247" si="378">($Y$1269-$P$1263-$P$1265)*(L1246/($L$1234+$L$1235+$L$1236+$L$1238+$L$1239+$L$1242+$L$1243+$L$1244+$L$1246+$L$1247+$L$1250+$L$1251+L$1252+$L$1254+$L$1255+$L$1257+$L$1258+$L$1259+$L$1261))</f>
        <v>0</v>
      </c>
      <c r="Q1246" s="2"/>
      <c r="R1246" s="265">
        <f t="shared" ref="R1246:R1247" si="379">ROUND(SUM($T$1234:$T$1261)/SUM($L$1234:$L$1261)*J1246,2)</f>
        <v>1.03</v>
      </c>
      <c r="T1246" s="2">
        <f t="shared" ref="T1246:T1247" si="380">($Z$1269-$T$1263-$T$1265)*(L1246/($L$1234+$L$1235+$L$1236+$L$1238+$L$1239+$L$1242+$L$1243+$L$1244+$L$1246+$L$1247+$L$1250+$L$1251+L$1252+$L$1254+$L$1255+$L$1257+$L$1258+$L$1259+$L$1261))</f>
        <v>0</v>
      </c>
      <c r="U1246" s="2"/>
      <c r="V1246" s="265">
        <f>ROUND(SUM($X$1234:$X$1261)/SUM($L$1234:$L$1261)*J1246,2)</f>
        <v>4.2</v>
      </c>
      <c r="X1246" s="2">
        <f t="shared" ref="X1246:X1247" si="381">($AA$1269-$X$1263-$X$1265)*(L1246/($L$1234+$L$1235+$L$1236+$L$1238+$L$1239+$L$1242+$L$1243+$L$1244+$L$1246+$L$1247+$L$1250+$L$1251+L$1252+$L$1254+$L$1255+$L$1257+$L$1258+$L$1259+$L$1261))</f>
        <v>0</v>
      </c>
      <c r="Y1246" s="20"/>
      <c r="Z1246" s="281"/>
      <c r="AA1246" s="74"/>
      <c r="AB1246" s="74"/>
      <c r="AC1246" s="403"/>
      <c r="AD1246" s="403"/>
      <c r="AE1246" s="283"/>
      <c r="AF1246" s="283"/>
      <c r="AG1246" s="283"/>
      <c r="AH1246" s="283"/>
      <c r="AI1246" s="429"/>
      <c r="AJ1246" s="429"/>
      <c r="AK1246" s="281"/>
      <c r="AL1246" s="281"/>
      <c r="AM1246" s="432"/>
      <c r="AN1246" s="281"/>
      <c r="AO1246" s="20"/>
      <c r="AP1246" s="20"/>
      <c r="AQ1246" s="20"/>
      <c r="AR1246" s="20"/>
      <c r="AS1246" s="20"/>
    </row>
    <row r="1247" spans="1:45">
      <c r="A1247" s="3" t="s">
        <v>355</v>
      </c>
      <c r="C1247" s="264">
        <v>0</v>
      </c>
      <c r="D1247" s="265">
        <v>20.22</v>
      </c>
      <c r="F1247" s="2">
        <f>ROUND(D1247*$C1247,0)</f>
        <v>0</v>
      </c>
      <c r="G1247" s="265">
        <v>20.22</v>
      </c>
      <c r="I1247" s="2">
        <f t="shared" si="375"/>
        <v>0</v>
      </c>
      <c r="J1247" s="265">
        <f t="shared" si="376"/>
        <v>21.13</v>
      </c>
      <c r="L1247" s="2">
        <f>ROUND(J1247*$C1247,0)</f>
        <v>0</v>
      </c>
      <c r="M1247" s="2"/>
      <c r="N1247" s="265">
        <f t="shared" si="377"/>
        <v>12.37</v>
      </c>
      <c r="P1247" s="2">
        <f t="shared" si="378"/>
        <v>0</v>
      </c>
      <c r="Q1247" s="2"/>
      <c r="R1247" s="265">
        <f t="shared" si="379"/>
        <v>1.73</v>
      </c>
      <c r="T1247" s="2">
        <f t="shared" si="380"/>
        <v>0</v>
      </c>
      <c r="U1247" s="2"/>
      <c r="V1247" s="265">
        <f>ROUND(SUM($X$1234:$X$1261)/SUM($L$1234:$L$1261)*J1247,2)</f>
        <v>7.03</v>
      </c>
      <c r="X1247" s="2">
        <f t="shared" si="381"/>
        <v>0</v>
      </c>
      <c r="Y1247" s="20"/>
      <c r="Z1247" s="281"/>
      <c r="AA1247" s="74"/>
      <c r="AB1247" s="74"/>
      <c r="AC1247" s="403"/>
      <c r="AD1247" s="403"/>
      <c r="AE1247" s="283"/>
      <c r="AF1247" s="283"/>
      <c r="AG1247" s="283"/>
      <c r="AH1247" s="283"/>
      <c r="AI1247" s="429"/>
      <c r="AJ1247" s="429"/>
      <c r="AK1247" s="281"/>
      <c r="AL1247" s="281"/>
      <c r="AM1247" s="432"/>
      <c r="AN1247" s="281"/>
      <c r="AO1247" s="20"/>
      <c r="AP1247" s="20"/>
      <c r="AQ1247" s="20"/>
      <c r="AR1247" s="20"/>
      <c r="AS1247" s="20"/>
    </row>
    <row r="1248" spans="1:45">
      <c r="A1248" s="430" t="s">
        <v>511</v>
      </c>
      <c r="B1248" s="303"/>
      <c r="C1248" s="264"/>
      <c r="D1248" s="433"/>
      <c r="E1248" s="303"/>
      <c r="F1248" s="303"/>
      <c r="G1248" s="433"/>
      <c r="H1248" s="303"/>
      <c r="I1248" s="303"/>
      <c r="J1248" s="433"/>
      <c r="K1248" s="303"/>
      <c r="L1248" s="303"/>
      <c r="M1248" s="303"/>
      <c r="N1248" s="433"/>
      <c r="O1248" s="303"/>
      <c r="P1248" s="303"/>
      <c r="Q1248" s="303"/>
      <c r="R1248" s="433"/>
      <c r="S1248" s="303"/>
      <c r="T1248" s="303"/>
      <c r="U1248" s="303"/>
      <c r="V1248" s="433"/>
      <c r="W1248" s="303"/>
      <c r="X1248" s="303"/>
      <c r="Y1248" s="20"/>
      <c r="Z1248" s="20"/>
      <c r="AA1248" s="435"/>
      <c r="AB1248" s="435"/>
      <c r="AC1248" s="435"/>
      <c r="AD1248" s="435"/>
      <c r="AE1248" s="729"/>
      <c r="AF1248" s="729"/>
      <c r="AG1248" s="729"/>
      <c r="AH1248" s="729"/>
      <c r="AI1248" s="429"/>
      <c r="AJ1248" s="429"/>
      <c r="AK1248" s="437"/>
      <c r="AL1248" s="20"/>
      <c r="AM1248" s="432"/>
      <c r="AN1248" s="20"/>
      <c r="AO1248" s="20"/>
      <c r="AP1248" s="20"/>
      <c r="AQ1248" s="20"/>
      <c r="AR1248" s="20"/>
      <c r="AS1248" s="20"/>
    </row>
    <row r="1249" spans="1:47">
      <c r="A1249" s="3" t="s">
        <v>508</v>
      </c>
      <c r="C1249" s="264"/>
      <c r="D1249" s="433"/>
      <c r="F1249" s="263"/>
      <c r="G1249" s="433"/>
      <c r="I1249" s="263"/>
      <c r="J1249" s="433"/>
      <c r="N1249" s="433"/>
      <c r="R1249" s="433"/>
      <c r="V1249" s="433"/>
      <c r="Y1249" s="20"/>
      <c r="Z1249" s="20"/>
      <c r="AA1249" s="435"/>
      <c r="AB1249" s="435"/>
      <c r="AC1249" s="435"/>
      <c r="AD1249" s="435"/>
      <c r="AE1249" s="729"/>
      <c r="AF1249" s="729"/>
      <c r="AG1249" s="729"/>
      <c r="AH1249" s="729"/>
      <c r="AI1249" s="429"/>
      <c r="AJ1249" s="429"/>
      <c r="AK1249" s="437"/>
      <c r="AL1249" s="20"/>
      <c r="AM1249" s="432"/>
      <c r="AN1249" s="20"/>
      <c r="AO1249" s="20"/>
      <c r="AP1249" s="20"/>
      <c r="AQ1249" s="20"/>
      <c r="AR1249" s="20"/>
      <c r="AS1249" s="20"/>
    </row>
    <row r="1250" spans="1:47">
      <c r="A1250" s="3" t="s">
        <v>354</v>
      </c>
      <c r="C1250" s="264">
        <v>0</v>
      </c>
      <c r="D1250" s="265">
        <v>12.73</v>
      </c>
      <c r="F1250" s="2">
        <f>ROUND(D1250*$C1250,0)</f>
        <v>0</v>
      </c>
      <c r="G1250" s="265">
        <v>12.73</v>
      </c>
      <c r="I1250" s="2">
        <f t="shared" ref="I1250:I1252" si="382">ROUND(C1250*G1250,0)</f>
        <v>0</v>
      </c>
      <c r="J1250" s="265">
        <f t="shared" ref="J1250:J1252" si="383">ROUND(G1250+(G1250*$AA$1267),2)</f>
        <v>13.31</v>
      </c>
      <c r="L1250" s="2">
        <f>ROUND(J1250*$C1250,0)</f>
        <v>0</v>
      </c>
      <c r="M1250" s="2"/>
      <c r="N1250" s="265">
        <f t="shared" ref="N1250:N1252" si="384">ROUND(SUM($P$1234:$P$1261)/SUM($L$1234:$L$1261)*J1250,2)</f>
        <v>7.79</v>
      </c>
      <c r="P1250" s="2">
        <f t="shared" ref="P1250:P1252" si="385">($Y$1269-$P$1263-$P$1265)*(L1250/($L$1234+$L$1235+$L$1236+$L$1238+$L$1239+$L$1242+$L$1243+$L$1244+$L$1246+$L$1247+$L$1250+$L$1251+L$1252+$L$1254+$L$1255+$L$1257+$L$1258+$L$1259+$L$1261))</f>
        <v>0</v>
      </c>
      <c r="Q1250" s="2"/>
      <c r="R1250" s="265">
        <f t="shared" ref="R1250:R1252" si="386">ROUND(SUM($T$1234:$T$1261)/SUM($L$1234:$L$1261)*J1250,2)</f>
        <v>1.0900000000000001</v>
      </c>
      <c r="T1250" s="2">
        <f t="shared" ref="T1250:T1252" si="387">($Z$1269-$T$1263-$T$1265)*(L1250/($L$1234+$L$1235+$L$1236+$L$1238+$L$1239+$L$1242+$L$1243+$L$1244+$L$1246+$L$1247+$L$1250+$L$1251+L$1252+$L$1254+$L$1255+$L$1257+$L$1258+$L$1259+$L$1261))</f>
        <v>0</v>
      </c>
      <c r="U1250" s="2"/>
      <c r="V1250" s="265">
        <f>ROUND(SUM($X$1234:$X$1261)/SUM($L$1234:$L$1261)*J1250,2)</f>
        <v>4.43</v>
      </c>
      <c r="X1250" s="2">
        <f t="shared" ref="X1250:X1252" si="388">($AA$1269-$X$1263-$X$1265)*(L1250/($L$1234+$L$1235+$L$1236+$L$1238+$L$1239+$L$1242+$L$1243+$L$1244+$L$1246+$L$1247+$L$1250+$L$1251+L$1252+$L$1254+$L$1255+$L$1257+$L$1258+$L$1259+$L$1261))</f>
        <v>0</v>
      </c>
      <c r="Y1250" s="20"/>
      <c r="Z1250" s="281"/>
      <c r="AA1250" s="74"/>
      <c r="AB1250" s="74"/>
      <c r="AC1250" s="403"/>
      <c r="AD1250" s="403"/>
      <c r="AE1250" s="283"/>
      <c r="AF1250" s="283"/>
      <c r="AG1250" s="283"/>
      <c r="AH1250" s="283"/>
      <c r="AI1250" s="429"/>
      <c r="AJ1250" s="429"/>
      <c r="AK1250" s="281"/>
      <c r="AL1250" s="281"/>
      <c r="AM1250" s="432"/>
      <c r="AN1250" s="281"/>
      <c r="AO1250" s="20"/>
      <c r="AP1250" s="20"/>
      <c r="AQ1250" s="20"/>
      <c r="AR1250" s="20"/>
      <c r="AS1250" s="20"/>
    </row>
    <row r="1251" spans="1:47">
      <c r="A1251" s="3" t="s">
        <v>355</v>
      </c>
      <c r="C1251" s="264">
        <v>0</v>
      </c>
      <c r="D1251" s="265">
        <v>20.7</v>
      </c>
      <c r="F1251" s="2">
        <f>ROUND(D1251*$C1251,0)</f>
        <v>0</v>
      </c>
      <c r="G1251" s="265">
        <v>20.7</v>
      </c>
      <c r="I1251" s="2">
        <f t="shared" si="382"/>
        <v>0</v>
      </c>
      <c r="J1251" s="265">
        <f t="shared" si="383"/>
        <v>21.64</v>
      </c>
      <c r="L1251" s="2">
        <f>ROUND(J1251*$C1251,0)</f>
        <v>0</v>
      </c>
      <c r="M1251" s="2"/>
      <c r="N1251" s="265">
        <f t="shared" si="384"/>
        <v>12.66</v>
      </c>
      <c r="P1251" s="2">
        <f t="shared" si="385"/>
        <v>0</v>
      </c>
      <c r="Q1251" s="2"/>
      <c r="R1251" s="265">
        <f t="shared" si="386"/>
        <v>1.77</v>
      </c>
      <c r="T1251" s="2">
        <f t="shared" si="387"/>
        <v>0</v>
      </c>
      <c r="U1251" s="2"/>
      <c r="V1251" s="265">
        <f>ROUND(SUM($X$1234:$X$1261)/SUM($L$1234:$L$1261)*J1251,2)+0.01</f>
        <v>7.21</v>
      </c>
      <c r="X1251" s="2">
        <f t="shared" si="388"/>
        <v>0</v>
      </c>
      <c r="Y1251" s="20"/>
      <c r="Z1251" s="281"/>
      <c r="AA1251" s="74"/>
      <c r="AB1251" s="74"/>
      <c r="AC1251" s="403"/>
      <c r="AD1251" s="403"/>
      <c r="AE1251" s="283"/>
      <c r="AF1251" s="283"/>
      <c r="AG1251" s="283"/>
      <c r="AH1251" s="283"/>
      <c r="AI1251" s="429"/>
      <c r="AJ1251" s="429"/>
      <c r="AK1251" s="281"/>
      <c r="AL1251" s="281"/>
      <c r="AM1251" s="432"/>
      <c r="AN1251" s="281"/>
      <c r="AO1251" s="20"/>
      <c r="AP1251" s="20"/>
      <c r="AQ1251" s="20"/>
      <c r="AR1251" s="20"/>
      <c r="AS1251" s="20"/>
    </row>
    <row r="1252" spans="1:47">
      <c r="A1252" s="3" t="s">
        <v>356</v>
      </c>
      <c r="C1252" s="264">
        <v>0</v>
      </c>
      <c r="D1252" s="265">
        <v>38.99</v>
      </c>
      <c r="F1252" s="2">
        <f>ROUND(D1252*$C1252,0)</f>
        <v>0</v>
      </c>
      <c r="G1252" s="265">
        <v>38.99</v>
      </c>
      <c r="I1252" s="2">
        <f t="shared" si="382"/>
        <v>0</v>
      </c>
      <c r="J1252" s="265">
        <f t="shared" si="383"/>
        <v>40.75</v>
      </c>
      <c r="L1252" s="2">
        <f>ROUND(J1252*$C1252,0)</f>
        <v>0</v>
      </c>
      <c r="M1252" s="2"/>
      <c r="N1252" s="265">
        <f t="shared" si="384"/>
        <v>23.85</v>
      </c>
      <c r="P1252" s="2">
        <f t="shared" si="385"/>
        <v>0</v>
      </c>
      <c r="Q1252" s="2"/>
      <c r="R1252" s="265">
        <f t="shared" si="386"/>
        <v>3.34</v>
      </c>
      <c r="T1252" s="2">
        <f t="shared" si="387"/>
        <v>0</v>
      </c>
      <c r="U1252" s="2"/>
      <c r="V1252" s="265">
        <f>ROUND(SUM($X$1234:$X$1261)/SUM($L$1234:$L$1261)*J1252,2)</f>
        <v>13.56</v>
      </c>
      <c r="X1252" s="2">
        <f t="shared" si="388"/>
        <v>0</v>
      </c>
      <c r="Y1252" s="20"/>
      <c r="Z1252" s="281"/>
      <c r="AA1252" s="74"/>
      <c r="AB1252" s="74"/>
      <c r="AC1252" s="403"/>
      <c r="AD1252" s="403"/>
      <c r="AE1252" s="283"/>
      <c r="AF1252" s="283"/>
      <c r="AG1252" s="283"/>
      <c r="AH1252" s="283"/>
      <c r="AI1252" s="429"/>
      <c r="AJ1252" s="429"/>
      <c r="AK1252" s="281"/>
      <c r="AL1252" s="281"/>
      <c r="AM1252" s="432"/>
      <c r="AN1252" s="281"/>
      <c r="AO1252" s="20"/>
      <c r="AP1252" s="20"/>
      <c r="AQ1252" s="20"/>
      <c r="AR1252" s="20"/>
      <c r="AS1252" s="20"/>
    </row>
    <row r="1253" spans="1:47">
      <c r="A1253" s="3" t="s">
        <v>509</v>
      </c>
      <c r="C1253" s="264"/>
      <c r="D1253" s="433"/>
      <c r="F1253" s="263"/>
      <c r="G1253" s="433"/>
      <c r="I1253" s="263"/>
      <c r="J1253" s="433"/>
      <c r="N1253" s="433"/>
      <c r="R1253" s="433"/>
      <c r="V1253" s="433"/>
      <c r="Y1253" s="20"/>
      <c r="Z1253" s="20"/>
      <c r="AA1253" s="435"/>
      <c r="AB1253" s="435"/>
      <c r="AC1253" s="435"/>
      <c r="AD1253" s="435"/>
      <c r="AE1253" s="729"/>
      <c r="AF1253" s="729"/>
      <c r="AG1253" s="729"/>
      <c r="AH1253" s="729"/>
      <c r="AI1253" s="429"/>
      <c r="AJ1253" s="429"/>
      <c r="AK1253" s="437"/>
      <c r="AL1253" s="20"/>
      <c r="AM1253" s="432"/>
      <c r="AN1253" s="20"/>
      <c r="AO1253" s="20"/>
      <c r="AP1253" s="20"/>
      <c r="AQ1253" s="20"/>
      <c r="AR1253" s="20"/>
      <c r="AS1253" s="20"/>
    </row>
    <row r="1254" spans="1:47">
      <c r="A1254" s="3" t="s">
        <v>354</v>
      </c>
      <c r="C1254" s="264">
        <v>0</v>
      </c>
      <c r="D1254" s="265">
        <v>12.06</v>
      </c>
      <c r="F1254" s="2">
        <f>ROUND(D1254*$C1254,0)</f>
        <v>0</v>
      </c>
      <c r="G1254" s="265">
        <v>12.06</v>
      </c>
      <c r="I1254" s="2">
        <f t="shared" ref="I1254:I1255" si="389">ROUND(C1254*G1254,0)</f>
        <v>0</v>
      </c>
      <c r="J1254" s="265">
        <f t="shared" ref="J1254:J1255" si="390">ROUND(G1254+(G1254*$AA$1267),2)</f>
        <v>12.61</v>
      </c>
      <c r="L1254" s="2">
        <f>ROUND(J1254*$C1254,0)</f>
        <v>0</v>
      </c>
      <c r="M1254" s="2"/>
      <c r="N1254" s="265">
        <f t="shared" ref="N1254:N1255" si="391">ROUND(SUM($P$1234:$P$1261)/SUM($L$1234:$L$1261)*J1254,2)</f>
        <v>7.38</v>
      </c>
      <c r="P1254" s="2">
        <f t="shared" ref="P1254:P1255" si="392">($Y$1269-$P$1263-$P$1265)*(L1254/($L$1234+$L$1235+$L$1236+$L$1238+$L$1239+$L$1242+$L$1243+$L$1244+$L$1246+$L$1247+$L$1250+$L$1251+L$1252+$L$1254+$L$1255+$L$1257+$L$1258+$L$1259+$L$1261))</f>
        <v>0</v>
      </c>
      <c r="Q1254" s="2"/>
      <c r="R1254" s="265">
        <f t="shared" ref="R1254:R1255" si="393">ROUND(SUM($T$1234:$T$1261)/SUM($L$1234:$L$1261)*J1254,2)</f>
        <v>1.03</v>
      </c>
      <c r="T1254" s="2">
        <f t="shared" ref="T1254:T1255" si="394">($Z$1269-$T$1263-$T$1265)*(L1254/($L$1234+$L$1235+$L$1236+$L$1238+$L$1239+$L$1242+$L$1243+$L$1244+$L$1246+$L$1247+$L$1250+$L$1251+L$1252+$L$1254+$L$1255+$L$1257+$L$1258+$L$1259+$L$1261))</f>
        <v>0</v>
      </c>
      <c r="U1254" s="2"/>
      <c r="V1254" s="265">
        <f>ROUND(SUM($X$1234:$X$1261)/SUM($L$1234:$L$1261)*J1254,2)</f>
        <v>4.2</v>
      </c>
      <c r="X1254" s="2">
        <f t="shared" ref="X1254:X1255" si="395">($AA$1269-$X$1263-$X$1265)*(L1254/($L$1234+$L$1235+$L$1236+$L$1238+$L$1239+$L$1242+$L$1243+$L$1244+$L$1246+$L$1247+$L$1250+$L$1251+L$1252+$L$1254+$L$1255+$L$1257+$L$1258+$L$1259+$L$1261))</f>
        <v>0</v>
      </c>
      <c r="Y1254" s="20"/>
      <c r="Z1254" s="281"/>
      <c r="AA1254" s="74"/>
      <c r="AB1254" s="74"/>
      <c r="AC1254" s="403"/>
      <c r="AD1254" s="403"/>
      <c r="AE1254" s="283"/>
      <c r="AF1254" s="283"/>
      <c r="AG1254" s="283"/>
      <c r="AH1254" s="283"/>
      <c r="AI1254" s="429"/>
      <c r="AJ1254" s="429"/>
      <c r="AK1254" s="281"/>
      <c r="AL1254" s="281"/>
      <c r="AM1254" s="432"/>
      <c r="AN1254" s="281"/>
      <c r="AO1254" s="20"/>
      <c r="AP1254" s="20"/>
      <c r="AQ1254" s="20"/>
      <c r="AR1254" s="20"/>
      <c r="AS1254" s="20"/>
    </row>
    <row r="1255" spans="1:47">
      <c r="A1255" s="3" t="s">
        <v>355</v>
      </c>
      <c r="C1255" s="264">
        <v>0</v>
      </c>
      <c r="D1255" s="265">
        <v>19.53</v>
      </c>
      <c r="F1255" s="2">
        <f>ROUND(D1255*$C1255,0)</f>
        <v>0</v>
      </c>
      <c r="G1255" s="265">
        <v>19.53</v>
      </c>
      <c r="I1255" s="2">
        <f t="shared" si="389"/>
        <v>0</v>
      </c>
      <c r="J1255" s="265">
        <f t="shared" si="390"/>
        <v>20.41</v>
      </c>
      <c r="L1255" s="2">
        <f>ROUND(J1255*$C1255,0)</f>
        <v>0</v>
      </c>
      <c r="M1255" s="2"/>
      <c r="N1255" s="265">
        <f t="shared" si="391"/>
        <v>11.94</v>
      </c>
      <c r="P1255" s="2">
        <f t="shared" si="392"/>
        <v>0</v>
      </c>
      <c r="Q1255" s="2"/>
      <c r="R1255" s="265">
        <f t="shared" si="393"/>
        <v>1.67</v>
      </c>
      <c r="T1255" s="2">
        <f t="shared" si="394"/>
        <v>0</v>
      </c>
      <c r="U1255" s="2"/>
      <c r="V1255" s="265">
        <f>ROUND(SUM($X$1234:$X$1261)/SUM($L$1234:$L$1261)*J1255,2)+0.01</f>
        <v>6.8</v>
      </c>
      <c r="X1255" s="2">
        <f t="shared" si="395"/>
        <v>0</v>
      </c>
      <c r="Y1255" s="20"/>
      <c r="Z1255" s="281"/>
      <c r="AA1255" s="74"/>
      <c r="AB1255" s="74"/>
      <c r="AC1255" s="403"/>
      <c r="AD1255" s="403"/>
      <c r="AE1255" s="283"/>
      <c r="AF1255" s="283"/>
      <c r="AG1255" s="283"/>
      <c r="AH1255" s="283"/>
      <c r="AI1255" s="429"/>
      <c r="AJ1255" s="429"/>
      <c r="AK1255" s="281"/>
      <c r="AL1255" s="281"/>
      <c r="AM1255" s="432"/>
      <c r="AN1255" s="281"/>
      <c r="AO1255" s="20"/>
      <c r="AP1255" s="20"/>
      <c r="AQ1255" s="20"/>
      <c r="AR1255" s="20"/>
      <c r="AS1255" s="20"/>
    </row>
    <row r="1256" spans="1:47">
      <c r="A1256" s="430" t="s">
        <v>512</v>
      </c>
      <c r="B1256" s="303"/>
      <c r="C1256" s="264"/>
      <c r="D1256" s="433"/>
      <c r="E1256" s="303"/>
      <c r="F1256" s="303"/>
      <c r="G1256" s="433"/>
      <c r="H1256" s="303"/>
      <c r="I1256" s="303"/>
      <c r="J1256" s="433"/>
      <c r="K1256" s="303"/>
      <c r="L1256" s="303"/>
      <c r="M1256" s="303"/>
      <c r="N1256" s="433"/>
      <c r="O1256" s="303"/>
      <c r="P1256" s="303"/>
      <c r="Q1256" s="303"/>
      <c r="R1256" s="433"/>
      <c r="S1256" s="303"/>
      <c r="T1256" s="303"/>
      <c r="U1256" s="303"/>
      <c r="V1256" s="433"/>
      <c r="W1256" s="303"/>
      <c r="X1256" s="303"/>
      <c r="Y1256" s="20"/>
      <c r="Z1256" s="20"/>
      <c r="AA1256" s="435"/>
      <c r="AB1256" s="435"/>
      <c r="AC1256" s="435"/>
      <c r="AD1256" s="435"/>
      <c r="AE1256" s="729"/>
      <c r="AF1256" s="729"/>
      <c r="AG1256" s="729"/>
      <c r="AH1256" s="729"/>
      <c r="AI1256" s="429"/>
      <c r="AJ1256" s="429"/>
      <c r="AK1256" s="437"/>
      <c r="AL1256" s="20"/>
      <c r="AM1256" s="432"/>
      <c r="AN1256" s="20"/>
      <c r="AO1256" s="20"/>
      <c r="AP1256" s="20"/>
      <c r="AQ1256" s="20"/>
      <c r="AR1256" s="20"/>
      <c r="AS1256" s="20"/>
    </row>
    <row r="1257" spans="1:47">
      <c r="A1257" s="3" t="s">
        <v>354</v>
      </c>
      <c r="C1257" s="264">
        <f>[59]Sheet1!$F$7</f>
        <v>419.99912545184998</v>
      </c>
      <c r="D1257" s="265">
        <v>10.19</v>
      </c>
      <c r="F1257" s="2">
        <f>ROUND(D1257*$C1257,0)</f>
        <v>4280</v>
      </c>
      <c r="G1257" s="265">
        <v>10.19</v>
      </c>
      <c r="I1257" s="2">
        <f t="shared" ref="I1257:I1259" si="396">ROUND(C1257*G1257,0)</f>
        <v>4280</v>
      </c>
      <c r="J1257" s="265">
        <f t="shared" ref="J1257:J1259" si="397">ROUND(G1257+(G1257*$AA$1267),2)</f>
        <v>10.65</v>
      </c>
      <c r="L1257" s="2">
        <f>ROUND(J1257*$C1257,0)</f>
        <v>4473</v>
      </c>
      <c r="M1257" s="2"/>
      <c r="N1257" s="265">
        <f t="shared" ref="N1257:N1258" si="398">ROUND(P1257/C1257,2)</f>
        <v>6.23</v>
      </c>
      <c r="P1257" s="2">
        <f t="shared" ref="P1257:P1259" si="399">($Y$1269-$P$1263-$P$1265)*(L1257/($L$1234+$L$1235+$L$1236+$L$1238+$L$1239+$L$1242+$L$1243+$L$1244+$L$1246+$L$1247+$L$1250+$L$1251+L$1252+$L$1254+$L$1255+$L$1257+$L$1258+$L$1259+$L$1261))</f>
        <v>2617.6982863630042</v>
      </c>
      <c r="Q1257" s="2"/>
      <c r="R1257" s="265">
        <f t="shared" ref="R1257:R1258" si="400">ROUND(T1257/C1257,2)</f>
        <v>0.87</v>
      </c>
      <c r="T1257" s="2">
        <f t="shared" ref="T1257:T1259" si="401">($Z$1269-$T$1263-$T$1265)*(L1257/($L$1234+$L$1235+$L$1236+$L$1238+$L$1239+$L$1242+$L$1243+$L$1244+$L$1246+$L$1247+$L$1250+$L$1251+L$1252+$L$1254+$L$1255+$L$1257+$L$1258+$L$1259+$L$1261))</f>
        <v>366.67384205448184</v>
      </c>
      <c r="U1257" s="2"/>
      <c r="V1257" s="265">
        <f>ROUND(X1257/C1257,2)+0.01</f>
        <v>3.55</v>
      </c>
      <c r="X1257" s="2">
        <f t="shared" ref="X1257:X1259" si="402">($AA$1269-$X$1263-$X$1265)*(L1257/($L$1234+$L$1235+$L$1236+$L$1238+$L$1239+$L$1242+$L$1243+$L$1244+$L$1246+$L$1247+$L$1250+$L$1251+L$1252+$L$1254+$L$1255+$L$1257+$L$1258+$L$1259+$L$1261))</f>
        <v>1488.6278715825144</v>
      </c>
      <c r="Y1257" s="20"/>
      <c r="Z1257" s="281"/>
      <c r="AA1257" s="74"/>
      <c r="AB1257" s="74"/>
      <c r="AC1257" s="403"/>
      <c r="AD1257" s="403"/>
      <c r="AE1257" s="283"/>
      <c r="AF1257" s="283"/>
      <c r="AG1257" s="283"/>
      <c r="AH1257" s="283"/>
      <c r="AI1257" s="429"/>
      <c r="AJ1257" s="429"/>
      <c r="AK1257" s="281"/>
      <c r="AL1257" s="281"/>
      <c r="AM1257" s="432"/>
      <c r="AN1257" s="281"/>
      <c r="AO1257" s="20"/>
      <c r="AP1257" s="20"/>
      <c r="AQ1257" s="20"/>
      <c r="AR1257" s="20"/>
      <c r="AS1257" s="20"/>
    </row>
    <row r="1258" spans="1:47">
      <c r="A1258" s="3" t="s">
        <v>355</v>
      </c>
      <c r="C1258" s="264">
        <f>[59]Sheet1!$F$8</f>
        <v>789.011016126664</v>
      </c>
      <c r="D1258" s="265">
        <v>17.84</v>
      </c>
      <c r="F1258" s="2">
        <f>ROUND(D1258*$C1258,0)</f>
        <v>14076</v>
      </c>
      <c r="G1258" s="265">
        <v>17.84</v>
      </c>
      <c r="I1258" s="2">
        <f t="shared" si="396"/>
        <v>14076</v>
      </c>
      <c r="J1258" s="265">
        <f t="shared" si="397"/>
        <v>18.649999999999999</v>
      </c>
      <c r="L1258" s="2">
        <f>ROUND(J1258*$C1258,0)</f>
        <v>14715</v>
      </c>
      <c r="M1258" s="2"/>
      <c r="N1258" s="265">
        <f t="shared" si="398"/>
        <v>10.91</v>
      </c>
      <c r="P1258" s="2">
        <f t="shared" si="399"/>
        <v>8611.542652320948</v>
      </c>
      <c r="Q1258" s="2"/>
      <c r="R1258" s="265">
        <f t="shared" si="400"/>
        <v>1.53</v>
      </c>
      <c r="T1258" s="2">
        <f t="shared" si="401"/>
        <v>1206.2610296963335</v>
      </c>
      <c r="U1258" s="2"/>
      <c r="V1258" s="265">
        <f>ROUND(X1258/C1258,2)</f>
        <v>6.21</v>
      </c>
      <c r="X1258" s="2">
        <f t="shared" si="402"/>
        <v>4897.196317982718</v>
      </c>
      <c r="Y1258" s="20"/>
      <c r="Z1258" s="281"/>
      <c r="AA1258" s="74"/>
      <c r="AB1258" s="74"/>
      <c r="AC1258" s="403"/>
      <c r="AD1258" s="403"/>
      <c r="AE1258" s="283"/>
      <c r="AF1258" s="283"/>
      <c r="AG1258" s="283"/>
      <c r="AH1258" s="283"/>
      <c r="AI1258" s="429"/>
      <c r="AJ1258" s="429"/>
      <c r="AK1258" s="281"/>
      <c r="AL1258" s="281"/>
      <c r="AM1258" s="432"/>
      <c r="AN1258" s="281"/>
      <c r="AO1258" s="20"/>
      <c r="AP1258" s="20"/>
      <c r="AQ1258" s="20"/>
      <c r="AR1258" s="20"/>
      <c r="AS1258" s="20"/>
    </row>
    <row r="1259" spans="1:47">
      <c r="A1259" s="3" t="s">
        <v>356</v>
      </c>
      <c r="C1259" s="264">
        <v>0</v>
      </c>
      <c r="D1259" s="265">
        <v>38.11</v>
      </c>
      <c r="F1259" s="2">
        <f>ROUND(D1259*$C1259,0)</f>
        <v>0</v>
      </c>
      <c r="G1259" s="265">
        <v>38.11</v>
      </c>
      <c r="I1259" s="2">
        <f t="shared" si="396"/>
        <v>0</v>
      </c>
      <c r="J1259" s="265">
        <f t="shared" si="397"/>
        <v>39.83</v>
      </c>
      <c r="L1259" s="2">
        <f>ROUND(J1259*$C1259,0)</f>
        <v>0</v>
      </c>
      <c r="M1259" s="2"/>
      <c r="N1259" s="265">
        <f>ROUND(SUM($P$1234:$P$1261)/SUM($L$1234:$L$1261)*J1259,2)</f>
        <v>23.31</v>
      </c>
      <c r="P1259" s="2">
        <f t="shared" si="399"/>
        <v>0</v>
      </c>
      <c r="Q1259" s="2"/>
      <c r="R1259" s="265">
        <f>ROUND(SUM($T$1234:$T$1261)/SUM($L$1234:$L$1261)*J1259,2)</f>
        <v>3.27</v>
      </c>
      <c r="T1259" s="2">
        <f t="shared" si="401"/>
        <v>0</v>
      </c>
      <c r="U1259" s="2"/>
      <c r="V1259" s="265">
        <f>ROUND(SUM($X$1234:$X$1261)/SUM($L$1234:$L$1261)*J1259,2)-0.01</f>
        <v>13.25</v>
      </c>
      <c r="X1259" s="2">
        <f t="shared" si="402"/>
        <v>0</v>
      </c>
      <c r="Y1259" s="20"/>
      <c r="Z1259" s="281"/>
      <c r="AA1259" s="74"/>
      <c r="AB1259" s="74"/>
      <c r="AC1259" s="403"/>
      <c r="AD1259" s="403"/>
      <c r="AE1259" s="283"/>
      <c r="AF1259" s="283"/>
      <c r="AG1259" s="283"/>
      <c r="AH1259" s="283"/>
      <c r="AI1259" s="429"/>
      <c r="AJ1259" s="429"/>
      <c r="AK1259" s="281"/>
      <c r="AL1259" s="281"/>
      <c r="AM1259" s="432"/>
      <c r="AN1259" s="281"/>
      <c r="AO1259" s="20"/>
      <c r="AP1259" s="20"/>
      <c r="AQ1259" s="20"/>
      <c r="AR1259" s="20"/>
      <c r="AS1259" s="20"/>
    </row>
    <row r="1260" spans="1:47">
      <c r="A1260" s="5" t="s">
        <v>513</v>
      </c>
      <c r="C1260" s="264"/>
      <c r="D1260" s="265"/>
      <c r="F1260" s="2"/>
      <c r="G1260" s="265"/>
      <c r="I1260" s="2"/>
      <c r="J1260" s="265"/>
      <c r="L1260" s="2"/>
      <c r="M1260" s="2"/>
      <c r="N1260" s="265"/>
      <c r="P1260" s="2"/>
      <c r="Q1260" s="2"/>
      <c r="R1260" s="265"/>
      <c r="T1260" s="2"/>
      <c r="U1260" s="2"/>
      <c r="V1260" s="265"/>
      <c r="X1260" s="2"/>
      <c r="Y1260" s="20"/>
      <c r="Z1260" s="20"/>
      <c r="AA1260" s="435"/>
      <c r="AB1260" s="435"/>
      <c r="AC1260" s="435"/>
      <c r="AD1260" s="435"/>
      <c r="AE1260" s="730"/>
      <c r="AF1260" s="730"/>
      <c r="AG1260" s="730"/>
      <c r="AH1260" s="730"/>
      <c r="AI1260" s="429"/>
      <c r="AJ1260" s="429"/>
      <c r="AK1260" s="437"/>
      <c r="AL1260" s="20"/>
      <c r="AM1260" s="432"/>
      <c r="AN1260" s="20"/>
      <c r="AO1260" s="20"/>
      <c r="AP1260" s="20"/>
      <c r="AQ1260" s="20"/>
      <c r="AR1260" s="20"/>
      <c r="AS1260" s="20"/>
    </row>
    <row r="1261" spans="1:47">
      <c r="A1261" s="3" t="s">
        <v>514</v>
      </c>
      <c r="C1261" s="264">
        <v>0</v>
      </c>
      <c r="D1261" s="265">
        <v>36.57</v>
      </c>
      <c r="F1261" s="2">
        <f>ROUND(D1261*$C1261,0)</f>
        <v>0</v>
      </c>
      <c r="G1261" s="265">
        <v>36.57</v>
      </c>
      <c r="I1261" s="2">
        <f t="shared" ref="I1261" si="403">ROUND(C1261*G1261,0)</f>
        <v>0</v>
      </c>
      <c r="J1261" s="265">
        <f t="shared" ref="J1261" si="404">ROUND(G1261+(G1261*$AA$1267),2)</f>
        <v>38.22</v>
      </c>
      <c r="L1261" s="2">
        <f>ROUND(J1261*$C1261,0)</f>
        <v>0</v>
      </c>
      <c r="M1261" s="2"/>
      <c r="N1261" s="265">
        <f>ROUND(SUM($P$1234:$P$1261)/SUM($L$1234:$L$1261)*J1261,2)</f>
        <v>22.37</v>
      </c>
      <c r="P1261" s="2">
        <f t="shared" ref="P1261" si="405">($Y$1269-$P$1263-$P$1265)*(L1261/($L$1234+$L$1235+$L$1236+$L$1238+$L$1239+$L$1242+$L$1243+$L$1244+$L$1246+$L$1247+$L$1250+$L$1251+L$1252+$L$1254+$L$1255+$L$1257+$L$1258+$L$1259+$L$1261))</f>
        <v>0</v>
      </c>
      <c r="Q1261" s="2"/>
      <c r="R1261" s="265">
        <f>ROUND(SUM($T$1234:$T$1261)/SUM($L$1234:$L$1261)*J1261,2)</f>
        <v>3.13</v>
      </c>
      <c r="T1261" s="2">
        <f t="shared" ref="T1261" si="406">($Z$1269-$T$1263-$T$1265)*(L1261/($L$1234+$L$1235+$L$1236+$L$1238+$L$1239+$L$1242+$L$1243+$L$1244+$L$1246+$L$1247+$L$1250+$L$1251+L$1252+$L$1254+$L$1255+$L$1257+$L$1258+$L$1259+$L$1261))</f>
        <v>0</v>
      </c>
      <c r="U1261" s="2"/>
      <c r="V1261" s="265">
        <f>ROUND(SUM($X$1234:$X$1261)/SUM($L$1234:$L$1261)*J1261,2)</f>
        <v>12.72</v>
      </c>
      <c r="X1261" s="2">
        <f>($AA$1269-$X$1263-$X$1265)*(L1261/($L$1234+$L$1235+$L$1236+$L$1238+$L$1239+$L$1242+$L$1243+$L$1244+$L$1246+$L$1247+$L$1250+$L$1251+L$1252+$L$1254+$L$1255+$L$1257+$L$1258+$L$1259+$L$1261))</f>
        <v>0</v>
      </c>
      <c r="Y1261" s="20"/>
      <c r="Z1261" s="281"/>
      <c r="AA1261" s="74"/>
      <c r="AB1261" s="74"/>
      <c r="AC1261" s="403"/>
      <c r="AD1261" s="403"/>
      <c r="AE1261" s="283"/>
      <c r="AF1261" s="283"/>
      <c r="AG1261" s="283"/>
      <c r="AH1261" s="283"/>
      <c r="AI1261" s="429"/>
      <c r="AJ1261" s="429"/>
      <c r="AK1261" s="281"/>
      <c r="AL1261" s="281"/>
      <c r="AM1261" s="432"/>
      <c r="AN1261" s="281"/>
      <c r="AO1261" s="20"/>
      <c r="AP1261" s="20"/>
      <c r="AQ1261" s="20"/>
      <c r="AR1261" s="20"/>
      <c r="AS1261" s="20"/>
    </row>
    <row r="1262" spans="1:47">
      <c r="A1262" s="3" t="s">
        <v>362</v>
      </c>
      <c r="C1262" s="264">
        <f>[59]Sheet1!$L$10</f>
        <v>407</v>
      </c>
      <c r="D1262" s="439"/>
      <c r="F1262" s="2"/>
      <c r="G1262" s="439"/>
      <c r="I1262" s="2"/>
      <c r="J1262" s="439"/>
      <c r="L1262" s="2"/>
      <c r="M1262" s="2"/>
      <c r="N1262" s="439"/>
      <c r="P1262" s="2"/>
      <c r="Q1262" s="2"/>
      <c r="R1262" s="439"/>
      <c r="T1262" s="2"/>
      <c r="U1262" s="2"/>
      <c r="V1262" s="439"/>
      <c r="X1262" s="2"/>
      <c r="Y1262" s="20"/>
      <c r="Z1262" s="281"/>
      <c r="AA1262" s="440"/>
      <c r="AB1262" s="440"/>
      <c r="AC1262" s="20"/>
      <c r="AD1262" s="20"/>
      <c r="AE1262" s="287"/>
      <c r="AF1262" s="287"/>
      <c r="AG1262" s="287"/>
      <c r="AH1262" s="287"/>
      <c r="AI1262" s="278"/>
      <c r="AJ1262" s="278"/>
      <c r="AK1262" s="281"/>
      <c r="AL1262" s="281"/>
      <c r="AM1262" s="281"/>
      <c r="AN1262" s="281"/>
      <c r="AO1262" s="20"/>
      <c r="AP1262" s="20"/>
      <c r="AQ1262" s="20"/>
      <c r="AR1262" s="20"/>
      <c r="AS1262" s="20"/>
    </row>
    <row r="1263" spans="1:47" s="1184" customFormat="1">
      <c r="A1263" s="1005" t="s">
        <v>1035</v>
      </c>
      <c r="C1263" s="1202">
        <f>C1264</f>
        <v>1932402.666666667</v>
      </c>
      <c r="D1263" s="269"/>
      <c r="E1263" s="1185"/>
      <c r="F1263" s="1203"/>
      <c r="G1263" s="269"/>
      <c r="H1263" s="1185"/>
      <c r="I1263" s="1203"/>
      <c r="J1263" s="1230">
        <v>0</v>
      </c>
      <c r="K1263" s="1041" t="s">
        <v>374</v>
      </c>
      <c r="L1263" s="1041">
        <f>ROUND(J1263*$C1263/100,0)</f>
        <v>0</v>
      </c>
      <c r="M1263" s="1041"/>
      <c r="N1263" s="1230" t="s">
        <v>31</v>
      </c>
      <c r="O1263" s="1219" t="s">
        <v>31</v>
      </c>
      <c r="P1263" s="1203">
        <f>N1263*C1263</f>
        <v>0</v>
      </c>
      <c r="Q1263" s="1203"/>
      <c r="R1263" s="1230" t="s">
        <v>31</v>
      </c>
      <c r="S1263" s="1219" t="s">
        <v>31</v>
      </c>
      <c r="T1263" s="1203">
        <f>R1263*C1263</f>
        <v>0</v>
      </c>
      <c r="U1263" s="1203"/>
      <c r="V1263" s="1230">
        <f>J1263</f>
        <v>0</v>
      </c>
      <c r="W1263" s="1219" t="s">
        <v>374</v>
      </c>
      <c r="X1263" s="1203">
        <f>L1263</f>
        <v>0</v>
      </c>
      <c r="Y1263" s="1204">
        <f>'NPC Spread'!J55</f>
        <v>44500.08338760279</v>
      </c>
      <c r="Z1263" s="815" t="s">
        <v>913</v>
      </c>
      <c r="AC1263" s="1205"/>
      <c r="AD1263" s="1205"/>
      <c r="AI1263" s="1185"/>
      <c r="AJ1263" s="1185"/>
      <c r="AK1263" s="1185"/>
      <c r="AL1263" s="1185"/>
      <c r="AM1263" s="1185"/>
      <c r="AN1263" s="1185"/>
      <c r="AO1263" s="1185"/>
      <c r="AP1263" s="1185"/>
      <c r="AQ1263" s="1185"/>
      <c r="AR1263" s="1185"/>
      <c r="AS1263" s="1185"/>
      <c r="AU1263" s="1204"/>
    </row>
    <row r="1264" spans="1:47">
      <c r="A1264" s="3" t="s">
        <v>381</v>
      </c>
      <c r="C1264" s="264">
        <f>[59]Sheet1!$E$10</f>
        <v>1932402.666666667</v>
      </c>
      <c r="D1264" s="269"/>
      <c r="E1264" s="20"/>
      <c r="F1264" s="272">
        <f>SUM(F1234:F1261)</f>
        <v>236164</v>
      </c>
      <c r="G1264" s="269"/>
      <c r="H1264" s="20"/>
      <c r="I1264" s="272">
        <f>SUM(I1234:I1261)</f>
        <v>236164</v>
      </c>
      <c r="J1264" s="269"/>
      <c r="K1264" s="20"/>
      <c r="L1264" s="272">
        <f>SUM(L1234:L1263)</f>
        <v>246827</v>
      </c>
      <c r="M1264" s="272"/>
      <c r="N1264" s="269"/>
      <c r="O1264" s="20"/>
      <c r="P1264" s="272">
        <f>SUM(P1234:P1263)</f>
        <v>144448.60606486053</v>
      </c>
      <c r="Q1264" s="272"/>
      <c r="R1264" s="269"/>
      <c r="S1264" s="20"/>
      <c r="T1264" s="272">
        <f>SUM(T1234:T1263)</f>
        <v>20233.624952555685</v>
      </c>
      <c r="U1264" s="272"/>
      <c r="V1264" s="269"/>
      <c r="W1264" s="20"/>
      <c r="X1264" s="272">
        <f>SUM(X1234:X1263)</f>
        <v>82144.768982583788</v>
      </c>
      <c r="Y1264" s="20"/>
      <c r="Z1264" s="281"/>
      <c r="AA1264" s="731"/>
      <c r="AB1264" s="731"/>
      <c r="AC1264" s="20"/>
      <c r="AD1264" s="20"/>
      <c r="AE1264" s="287"/>
      <c r="AF1264" s="287"/>
      <c r="AG1264" s="287"/>
      <c r="AH1264" s="287"/>
      <c r="AI1264" s="278"/>
      <c r="AJ1264" s="278"/>
      <c r="AK1264" s="288"/>
      <c r="AL1264" s="278"/>
      <c r="AM1264" s="278"/>
      <c r="AN1264" s="278"/>
      <c r="AO1264" s="20"/>
      <c r="AP1264" s="20"/>
      <c r="AQ1264" s="20"/>
      <c r="AR1264" s="20"/>
      <c r="AS1264" s="20"/>
    </row>
    <row r="1265" spans="1:45">
      <c r="A1265" s="3" t="s">
        <v>363</v>
      </c>
      <c r="C1265" s="264">
        <f>'Table 2'!H125</f>
        <v>-189146.84989545256</v>
      </c>
      <c r="D1265" s="269"/>
      <c r="E1265" s="20"/>
      <c r="F1265" s="272">
        <f>I1265</f>
        <v>-23253.943225423351</v>
      </c>
      <c r="G1265" s="269"/>
      <c r="H1265" s="20"/>
      <c r="I1265" s="272">
        <f>'Table 3'!E125</f>
        <v>-23253.943225423351</v>
      </c>
      <c r="J1265" s="269"/>
      <c r="K1265" s="20"/>
      <c r="L1265" s="272">
        <f>I1265</f>
        <v>-23253.943225423351</v>
      </c>
      <c r="M1265" s="272"/>
      <c r="N1265" s="269"/>
      <c r="O1265" s="20"/>
      <c r="P1265" s="272">
        <f>$L$1265*Y1269/($Y$1269+$Z$1269+$AA$1269)</f>
        <v>-13608.720619801765</v>
      </c>
      <c r="Q1265" s="51"/>
      <c r="R1265" s="309"/>
      <c r="S1265" s="309"/>
      <c r="T1265" s="272">
        <f>$L$1265*Z1269/($Y$1269+$Z$1269+$AA$1269)</f>
        <v>-1906.2402650084437</v>
      </c>
      <c r="U1265" s="51"/>
      <c r="V1265" s="309"/>
      <c r="W1265" s="309"/>
      <c r="X1265" s="272">
        <f>$L$1265*AA1269/($Y$1269+$Z$1269+$AA$1269)</f>
        <v>-7738.9823406131436</v>
      </c>
      <c r="Y1265" s="444"/>
      <c r="Z1265" s="287"/>
      <c r="AA1265" s="278"/>
      <c r="AB1265" s="278"/>
      <c r="AC1265" s="278"/>
      <c r="AD1265" s="278"/>
      <c r="AE1265" s="283"/>
      <c r="AF1265" s="283"/>
      <c r="AG1265" s="283"/>
      <c r="AH1265" s="283"/>
      <c r="AI1265" s="281"/>
      <c r="AJ1265" s="278"/>
      <c r="AK1265" s="20"/>
      <c r="AL1265" s="20"/>
      <c r="AM1265" s="20"/>
      <c r="AN1265" s="20"/>
      <c r="AO1265" s="20"/>
      <c r="AP1265" s="20"/>
      <c r="AQ1265" s="20"/>
      <c r="AR1265" s="20"/>
      <c r="AS1265" s="20"/>
    </row>
    <row r="1266" spans="1:45" ht="16.5" thickBot="1">
      <c r="A1266" s="3" t="s">
        <v>9</v>
      </c>
      <c r="C1266" s="273">
        <f>C1264+C1265</f>
        <v>1743255.8167712144</v>
      </c>
      <c r="D1266" s="274"/>
      <c r="E1266" s="274"/>
      <c r="F1266" s="274">
        <f>F1264+F1265</f>
        <v>212910.05677457666</v>
      </c>
      <c r="G1266" s="312"/>
      <c r="H1266" s="312"/>
      <c r="I1266" s="274">
        <f>I1264+I1265</f>
        <v>212910.05677457666</v>
      </c>
      <c r="J1266" s="312"/>
      <c r="K1266" s="312"/>
      <c r="L1266" s="274">
        <f>L1264+L1265</f>
        <v>223573.05677457666</v>
      </c>
      <c r="M1266" s="312"/>
      <c r="N1266" s="312"/>
      <c r="O1266" s="312"/>
      <c r="P1266" s="274">
        <f>P1264+P1265</f>
        <v>130839.88544505877</v>
      </c>
      <c r="Q1266" s="312"/>
      <c r="R1266" s="312"/>
      <c r="S1266" s="312"/>
      <c r="T1266" s="274">
        <f>T1264+T1265</f>
        <v>18327.384687547241</v>
      </c>
      <c r="U1266" s="312"/>
      <c r="V1266" s="312"/>
      <c r="W1266" s="312"/>
      <c r="X1266" s="274">
        <f>X1264+X1265</f>
        <v>74405.786641970641</v>
      </c>
      <c r="Y1266" s="788" t="s">
        <v>409</v>
      </c>
      <c r="Z1266" s="809">
        <f ca="1">'Rate Spread targets'!Q39*1000</f>
        <v>223503.66550347305</v>
      </c>
      <c r="AA1266" s="818">
        <f>(L1266-I1266)/I1266</f>
        <v>5.0082180999508598E-2</v>
      </c>
      <c r="AB1266" s="728"/>
      <c r="AC1266" s="278"/>
      <c r="AD1266" s="278"/>
      <c r="AE1266" s="278"/>
      <c r="AF1266" s="278"/>
      <c r="AG1266" s="278"/>
      <c r="AH1266" s="278"/>
      <c r="AI1266" s="278"/>
      <c r="AJ1266" s="278"/>
      <c r="AK1266" s="20"/>
      <c r="AL1266" s="20"/>
      <c r="AM1266" s="20"/>
      <c r="AN1266" s="20"/>
      <c r="AO1266" s="20"/>
      <c r="AP1266" s="20"/>
      <c r="AQ1266" s="20"/>
      <c r="AR1266" s="20"/>
      <c r="AS1266" s="20"/>
    </row>
    <row r="1267" spans="1:45" ht="16.5" thickTop="1">
      <c r="C1267" s="769" t="s">
        <v>31</v>
      </c>
      <c r="D1267" s="275"/>
      <c r="E1267" s="275"/>
      <c r="F1267" s="263"/>
      <c r="G1267" s="275" t="s">
        <v>31</v>
      </c>
      <c r="H1267" s="275"/>
      <c r="I1267" s="263"/>
      <c r="J1267" s="275" t="s">
        <v>31</v>
      </c>
      <c r="K1267" s="275"/>
      <c r="L1267" s="2" t="s">
        <v>31</v>
      </c>
      <c r="M1267" s="2"/>
      <c r="N1267" s="275" t="s">
        <v>31</v>
      </c>
      <c r="O1267" s="275"/>
      <c r="P1267" s="2" t="s">
        <v>31</v>
      </c>
      <c r="Q1267" s="2"/>
      <c r="R1267" s="275" t="s">
        <v>31</v>
      </c>
      <c r="S1267" s="275"/>
      <c r="T1267" s="2" t="s">
        <v>31</v>
      </c>
      <c r="U1267" s="2"/>
      <c r="V1267" s="275" t="s">
        <v>31</v>
      </c>
      <c r="W1267" s="275"/>
      <c r="X1267" s="2" t="s">
        <v>31</v>
      </c>
      <c r="Y1267" s="789" t="s">
        <v>263</v>
      </c>
      <c r="Z1267" s="811">
        <f ca="1">Z1266-L1266</f>
        <v>-69.391271103610052</v>
      </c>
      <c r="AA1267" s="1135">
        <v>4.5249999999999999E-2</v>
      </c>
      <c r="AB1267" s="294"/>
      <c r="AC1267" s="278"/>
      <c r="AD1267" s="278"/>
      <c r="AE1267" s="278"/>
      <c r="AF1267" s="278"/>
      <c r="AG1267" s="278"/>
      <c r="AH1267" s="278"/>
      <c r="AI1267" s="278"/>
      <c r="AJ1267" s="278"/>
      <c r="AK1267" s="20"/>
      <c r="AL1267" s="20"/>
      <c r="AM1267" s="20"/>
      <c r="AN1267" s="20"/>
      <c r="AO1267" s="20"/>
      <c r="AP1267" s="20"/>
      <c r="AQ1267" s="20"/>
      <c r="AR1267" s="20"/>
      <c r="AS1267" s="20"/>
    </row>
    <row r="1268" spans="1:45">
      <c r="C1268" s="26"/>
      <c r="D1268" s="275"/>
      <c r="E1268" s="275"/>
      <c r="F1268" s="263"/>
      <c r="G1268" s="275"/>
      <c r="H1268" s="275"/>
      <c r="I1268" s="263"/>
      <c r="J1268" s="275"/>
      <c r="K1268" s="275"/>
      <c r="L1268" s="2"/>
      <c r="M1268" s="2"/>
      <c r="N1268" s="275"/>
      <c r="O1268" s="275"/>
      <c r="P1268" s="2"/>
      <c r="Q1268" s="2"/>
      <c r="R1268" s="275"/>
      <c r="S1268" s="275"/>
      <c r="T1268" s="2"/>
      <c r="U1268" s="2"/>
      <c r="V1268" s="275"/>
      <c r="W1268" s="275"/>
      <c r="X1268" s="2"/>
      <c r="Y1268" s="744">
        <f>Y29</f>
        <v>0.58522206267896359</v>
      </c>
      <c r="Z1268" s="744">
        <f>Z29</f>
        <v>8.1974925565500054E-2</v>
      </c>
      <c r="AA1268" s="744">
        <f>AA29</f>
        <v>0.33280301175553639</v>
      </c>
      <c r="AB1268" s="294"/>
      <c r="AC1268" s="278"/>
      <c r="AD1268" s="278"/>
      <c r="AE1268" s="278"/>
      <c r="AF1268" s="278"/>
      <c r="AG1268" s="278"/>
      <c r="AH1268" s="278"/>
      <c r="AI1268" s="278"/>
      <c r="AJ1268" s="278"/>
      <c r="AK1268" s="20"/>
      <c r="AL1268" s="20"/>
      <c r="AM1268" s="20"/>
      <c r="AN1268" s="20"/>
      <c r="AO1268" s="20"/>
      <c r="AP1268" s="20"/>
      <c r="AQ1268" s="20"/>
      <c r="AR1268" s="20"/>
      <c r="AS1268" s="20"/>
    </row>
    <row r="1269" spans="1:45">
      <c r="C1269" s="26"/>
      <c r="D1269" s="275"/>
      <c r="E1269" s="275"/>
      <c r="F1269" s="263"/>
      <c r="G1269" s="275"/>
      <c r="H1269" s="275"/>
      <c r="I1269" s="263"/>
      <c r="J1269" s="275"/>
      <c r="K1269" s="275"/>
      <c r="L1269" s="2"/>
      <c r="M1269" s="2"/>
      <c r="N1269" s="275"/>
      <c r="O1269" s="275"/>
      <c r="P1269" s="2"/>
      <c r="Q1269" s="2"/>
      <c r="R1269" s="275"/>
      <c r="S1269" s="275"/>
      <c r="T1269" s="2"/>
      <c r="U1269" s="2"/>
      <c r="V1269" s="275"/>
      <c r="W1269" s="275"/>
      <c r="X1269" s="2"/>
      <c r="Y1269" s="416">
        <f>L1266*Y1268</f>
        <v>130839.88544505878</v>
      </c>
      <c r="Z1269" s="416">
        <f>L1266*Z1268</f>
        <v>18327.384687547241</v>
      </c>
      <c r="AA1269" s="416">
        <f>L1266*AA1268</f>
        <v>74405.786641970641</v>
      </c>
      <c r="AB1269" s="294"/>
      <c r="AC1269" s="278"/>
      <c r="AD1269" s="278"/>
      <c r="AE1269" s="278"/>
      <c r="AF1269" s="278"/>
      <c r="AG1269" s="278"/>
      <c r="AH1269" s="278"/>
      <c r="AI1269" s="278"/>
      <c r="AJ1269" s="278"/>
      <c r="AK1269" s="20"/>
      <c r="AL1269" s="20"/>
      <c r="AM1269" s="20"/>
      <c r="AN1269" s="20"/>
      <c r="AO1269" s="20"/>
      <c r="AP1269" s="20"/>
      <c r="AQ1269" s="20"/>
      <c r="AR1269" s="20"/>
      <c r="AS1269" s="20"/>
    </row>
    <row r="1270" spans="1:45">
      <c r="A1270" s="303"/>
      <c r="B1270" s="313"/>
      <c r="C1270" s="445"/>
      <c r="D1270" s="446"/>
      <c r="E1270" s="2"/>
      <c r="F1270" s="2"/>
      <c r="G1270" s="446"/>
      <c r="H1270" s="303"/>
      <c r="I1270" s="2"/>
      <c r="J1270" s="446"/>
      <c r="K1270" s="303"/>
      <c r="L1270" s="2"/>
      <c r="M1270" s="2"/>
      <c r="N1270" s="446"/>
      <c r="O1270" s="303"/>
      <c r="P1270" s="2"/>
      <c r="Q1270" s="2"/>
      <c r="R1270" s="446"/>
      <c r="S1270" s="303"/>
      <c r="T1270" s="2"/>
      <c r="U1270" s="2"/>
      <c r="V1270" s="446"/>
      <c r="W1270" s="303"/>
      <c r="X1270" s="2"/>
      <c r="Y1270" s="20"/>
      <c r="Z1270" s="74"/>
      <c r="AA1270" s="74"/>
      <c r="AB1270" s="74"/>
      <c r="AC1270" s="20"/>
      <c r="AD1270" s="20"/>
      <c r="AE1270" s="20"/>
      <c r="AF1270" s="20"/>
      <c r="AG1270" s="20"/>
      <c r="AH1270" s="20"/>
      <c r="AI1270" s="20"/>
      <c r="AJ1270" s="20"/>
      <c r="AK1270" s="20"/>
      <c r="AL1270" s="20"/>
      <c r="AM1270" s="20"/>
      <c r="AN1270" s="20"/>
    </row>
    <row r="1271" spans="1:45" s="4" customFormat="1" ht="19.899999999999999" customHeight="1" thickBot="1">
      <c r="A1271" s="447" t="s">
        <v>515</v>
      </c>
      <c r="B1271" s="448"/>
      <c r="C1271" s="449">
        <f ca="1">C27+C100+C204+C596+C636+C768+C898+C916+C1139+C1155+C1169+C1226+C1266</f>
        <v>4010161433.2736087</v>
      </c>
      <c r="D1271" s="450"/>
      <c r="E1271" s="451"/>
      <c r="F1271" s="451">
        <f ca="1">F27+F100+F204+F596+F636+F768+F898+F916+F1139+F1155+F1169+F1226+F1266</f>
        <v>303763847.08834213</v>
      </c>
      <c r="G1271" s="450"/>
      <c r="H1271" s="451"/>
      <c r="I1271" s="451">
        <f ca="1">I27+I100+I204+I596+I636+I768+I898+I916+I1139+I1155+I1169+I1226+I1266</f>
        <v>320954139.52952307</v>
      </c>
      <c r="J1271" s="450"/>
      <c r="K1271" s="451"/>
      <c r="L1271" s="451">
        <f ca="1">L27+L100+L204+L596+L636+L768+L898+L954+L1010+L1104+L1139+L1155+L1169+L1226+L1266</f>
        <v>352892908.0637337</v>
      </c>
      <c r="M1271" s="451"/>
      <c r="N1271" s="450"/>
      <c r="O1271" s="451"/>
      <c r="P1271" s="451">
        <f ca="1">P27+P100+P204+P596+P636+P768+P898+P954+P1010+P1104+P1139+P1155+P1169+P1226+P1266</f>
        <v>66827270.824688345</v>
      </c>
      <c r="Q1271" s="451"/>
      <c r="R1271" s="450"/>
      <c r="S1271" s="451"/>
      <c r="T1271" s="451">
        <f ca="1">T27+T100+T204+T596+T636+T768+T898+T954+T1010+T1104+T1139+T1155+T1169+T1226+T1266</f>
        <v>56646519.503058299</v>
      </c>
      <c r="U1271" s="451"/>
      <c r="V1271" s="450"/>
      <c r="W1271" s="451"/>
      <c r="X1271" s="451">
        <f ca="1">X27+X100+X204+X596+X636+X768+X898+X954+X1010+X1104+X1139+X1155+X1169+X1226+X1266</f>
        <v>229419117.73598707</v>
      </c>
      <c r="Y1271" s="790" t="s">
        <v>409</v>
      </c>
      <c r="Z1271" s="791">
        <f ca="1">Z27+Z100+Z204+Z636+Z768+Z935+Z1104+Z1139+Z1155+Z1169+Z1226+Z1266</f>
        <v>352892668.75369823</v>
      </c>
      <c r="AA1271" s="74"/>
      <c r="AB1271" s="74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</row>
    <row r="1272" spans="1:45" ht="17.25" thickTop="1" thickBot="1">
      <c r="A1272" s="1"/>
      <c r="B1272" s="313"/>
      <c r="C1272" s="449"/>
      <c r="D1272" s="337"/>
      <c r="E1272" s="2"/>
      <c r="F1272" s="2"/>
      <c r="G1272" s="337" t="s">
        <v>31</v>
      </c>
      <c r="H1272" s="1"/>
      <c r="I1272" s="2"/>
      <c r="J1272" s="353" t="s">
        <v>31</v>
      </c>
      <c r="K1272" s="1"/>
      <c r="L1272" s="2" t="s">
        <v>31</v>
      </c>
      <c r="M1272" s="2"/>
      <c r="N1272" s="353" t="s">
        <v>31</v>
      </c>
      <c r="O1272" s="1"/>
      <c r="P1272" s="2" t="s">
        <v>31</v>
      </c>
      <c r="Q1272" s="2"/>
      <c r="R1272" s="353" t="s">
        <v>31</v>
      </c>
      <c r="S1272" s="1"/>
      <c r="T1272" s="2" t="s">
        <v>31</v>
      </c>
      <c r="U1272" s="2"/>
      <c r="V1272" s="353" t="s">
        <v>31</v>
      </c>
      <c r="W1272" s="1"/>
      <c r="X1272" s="2" t="s">
        <v>31</v>
      </c>
      <c r="Y1272" s="112" t="s">
        <v>263</v>
      </c>
      <c r="Z1272" s="786">
        <f ca="1">Z1271-L1271</f>
        <v>-239.31003546714783</v>
      </c>
      <c r="AA1272" s="314" t="s">
        <v>31</v>
      </c>
      <c r="AB1272" s="314"/>
      <c r="AC1272" s="20"/>
      <c r="AD1272" s="20"/>
      <c r="AE1272" s="20"/>
      <c r="AF1272" s="20"/>
      <c r="AG1272" s="20"/>
      <c r="AH1272" s="20"/>
      <c r="AI1272" s="20"/>
      <c r="AJ1272" s="20"/>
      <c r="AK1272" s="20"/>
      <c r="AL1272" s="20"/>
      <c r="AM1272" s="20"/>
      <c r="AN1272" s="20"/>
    </row>
    <row r="1273" spans="1:45" ht="16.5" thickTop="1">
      <c r="A1273" s="1" t="s">
        <v>34</v>
      </c>
      <c r="B1273" s="313"/>
      <c r="C1273" s="453"/>
      <c r="D1273" s="454"/>
      <c r="E1273" s="455"/>
      <c r="F1273" s="455">
        <f ca="1">I1273</f>
        <v>651518.29</v>
      </c>
      <c r="G1273" s="454"/>
      <c r="H1273" s="457"/>
      <c r="I1273" s="455">
        <f ca="1">'Table 3'!D24+'Table 3'!D56+'Table 3'!D87+'Table 3'!D105+'Table 3'!D129</f>
        <v>651518.29</v>
      </c>
      <c r="J1273" s="456"/>
      <c r="K1273" s="457"/>
      <c r="L1273" s="773">
        <f ca="1">I1273</f>
        <v>651518.29</v>
      </c>
      <c r="M1273" s="455"/>
      <c r="N1273" s="456"/>
      <c r="O1273" s="457"/>
      <c r="P1273" s="773">
        <f ca="1">L1273</f>
        <v>651518.29</v>
      </c>
      <c r="Q1273" s="455"/>
      <c r="R1273" s="456"/>
      <c r="S1273" s="457"/>
      <c r="T1273" s="773" t="s">
        <v>31</v>
      </c>
      <c r="U1273" s="455"/>
      <c r="V1273" s="456"/>
      <c r="W1273" s="457"/>
      <c r="X1273" s="773" t="str">
        <f>T1273</f>
        <v xml:space="preserve"> </v>
      </c>
      <c r="AC1273" s="20"/>
      <c r="AD1273" s="20"/>
      <c r="AE1273" s="20"/>
      <c r="AF1273" s="20"/>
      <c r="AG1273" s="20"/>
      <c r="AH1273" s="20"/>
      <c r="AI1273" s="20"/>
      <c r="AJ1273" s="20"/>
      <c r="AK1273" s="20"/>
      <c r="AL1273" s="20"/>
      <c r="AM1273" s="20"/>
      <c r="AN1273" s="20"/>
    </row>
    <row r="1274" spans="1:45" s="4" customFormat="1" ht="19.899999999999999" customHeight="1" thickBot="1">
      <c r="A1274" s="459" t="s">
        <v>516</v>
      </c>
      <c r="B1274" s="460"/>
      <c r="C1274" s="461">
        <f ca="1">C1271+C1273</f>
        <v>4010161433.2736087</v>
      </c>
      <c r="D1274" s="462"/>
      <c r="E1274" s="463"/>
      <c r="F1274" s="464">
        <f ca="1">F1271+F1273</f>
        <v>304415365.37834215</v>
      </c>
      <c r="G1274" s="1178"/>
      <c r="H1274" s="463"/>
      <c r="I1274" s="464">
        <f ca="1">I1271+I1273</f>
        <v>321605657.8195231</v>
      </c>
      <c r="J1274" s="465"/>
      <c r="K1274" s="463"/>
      <c r="L1274" s="464">
        <f ca="1">L1271+L1273</f>
        <v>353544426.35373372</v>
      </c>
      <c r="M1274" s="464"/>
      <c r="N1274" s="465"/>
      <c r="O1274" s="463"/>
      <c r="P1274" s="464">
        <f ca="1">P1271+P1273</f>
        <v>67478789.114688352</v>
      </c>
      <c r="Q1274" s="464"/>
      <c r="R1274" s="465"/>
      <c r="S1274" s="463"/>
      <c r="T1274" s="464">
        <f ca="1">T1271+T1273</f>
        <v>56646519.503058299</v>
      </c>
      <c r="U1274" s="464"/>
      <c r="V1274" s="465"/>
      <c r="W1274" s="463"/>
      <c r="X1274" s="464">
        <f ca="1">X1271+X1273</f>
        <v>229419117.73598707</v>
      </c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</row>
    <row r="1275" spans="1:45" ht="16.5" thickTop="1">
      <c r="A1275" s="1"/>
      <c r="B1275" s="313"/>
      <c r="C1275" s="21"/>
      <c r="D1275" s="466" t="s">
        <v>31</v>
      </c>
      <c r="E1275" s="2"/>
      <c r="F1275" s="2" t="s">
        <v>31</v>
      </c>
      <c r="G1275" s="337"/>
      <c r="H1275" s="466"/>
      <c r="I1275" s="2" t="s">
        <v>31</v>
      </c>
      <c r="J1275" s="337"/>
      <c r="K1275" s="1"/>
      <c r="L1275" s="2"/>
      <c r="M1275" s="2"/>
      <c r="N1275" s="337"/>
      <c r="O1275" s="1"/>
      <c r="P1275" s="2"/>
      <c r="Q1275" s="2"/>
      <c r="R1275" s="337"/>
      <c r="S1275" s="1"/>
      <c r="T1275" s="2"/>
      <c r="U1275" s="2"/>
      <c r="V1275" s="337"/>
      <c r="W1275" s="1"/>
      <c r="X1275" s="2"/>
      <c r="Y1275" s="20"/>
      <c r="Z1275" s="74"/>
      <c r="AA1275" s="74"/>
      <c r="AB1275" s="74"/>
      <c r="AC1275" s="20"/>
      <c r="AD1275" s="20"/>
      <c r="AE1275" s="20"/>
      <c r="AF1275" s="20"/>
      <c r="AG1275" s="20"/>
      <c r="AH1275" s="20"/>
      <c r="AI1275" s="20"/>
      <c r="AJ1275" s="20"/>
      <c r="AK1275" s="20"/>
      <c r="AL1275" s="20"/>
      <c r="AM1275" s="20"/>
      <c r="AN1275" s="20"/>
    </row>
    <row r="1276" spans="1:45">
      <c r="C1276" s="467"/>
      <c r="D1276" s="270"/>
      <c r="G1276" s="270"/>
      <c r="H1276" s="270"/>
      <c r="I1276" s="468"/>
      <c r="L1276" s="264"/>
      <c r="M1276" s="264"/>
      <c r="P1276" s="264"/>
      <c r="Q1276" s="264"/>
      <c r="T1276" s="264"/>
      <c r="U1276" s="264"/>
      <c r="X1276" s="264"/>
      <c r="Y1276" s="416">
        <f>Y23+Y94+Y182+Y615+Y742+Y950+Y1006+Y1100+Y1136+Y1151+Y1166+Y1222+Y1263</f>
        <v>136662340.00000003</v>
      </c>
      <c r="Z1276" s="74"/>
      <c r="AA1276" s="74"/>
      <c r="AB1276" s="74"/>
      <c r="AC1276" s="20"/>
      <c r="AD1276" s="20"/>
      <c r="AE1276" s="20"/>
      <c r="AF1276" s="20"/>
      <c r="AG1276" s="20"/>
      <c r="AH1276" s="20"/>
      <c r="AI1276" s="20"/>
      <c r="AJ1276" s="20"/>
      <c r="AK1276" s="20"/>
      <c r="AL1276" s="20"/>
      <c r="AM1276" s="20"/>
      <c r="AN1276" s="20"/>
    </row>
    <row r="1277" spans="1:45">
      <c r="A1277" s="469"/>
      <c r="Y1277" s="1695">
        <f>-(Y23+Y1136+Y1166+Y1263)</f>
        <v>-309635.95694831619</v>
      </c>
      <c r="Z1277" s="74"/>
      <c r="AA1277" s="74"/>
      <c r="AB1277" s="74"/>
      <c r="AC1277" s="20"/>
      <c r="AD1277" s="20"/>
      <c r="AE1277" s="20"/>
      <c r="AF1277" s="20"/>
      <c r="AG1277" s="20"/>
      <c r="AH1277" s="20"/>
      <c r="AI1277" s="20"/>
      <c r="AJ1277" s="20"/>
      <c r="AK1277" s="20"/>
      <c r="AL1277" s="20"/>
      <c r="AM1277" s="20"/>
      <c r="AN1277" s="20"/>
    </row>
    <row r="1278" spans="1:45">
      <c r="A1278" s="1" t="s">
        <v>168</v>
      </c>
      <c r="B1278" s="3" t="s">
        <v>517</v>
      </c>
      <c r="C1278" s="264">
        <f ca="1">'Table 2'!L140</f>
        <v>4010161433.2736092</v>
      </c>
      <c r="F1278" s="889" t="s">
        <v>31</v>
      </c>
      <c r="I1278" s="84">
        <f ca="1">'Table 3'!N140</f>
        <v>321605657.8195231</v>
      </c>
      <c r="L1278" s="84">
        <f ca="1">L23+L94+L95+L182+L183+L184+L615+L616+L742+L895+L950+L1006+L1100+L1136+L1166+L1222+L1263</f>
        <v>136360318.94299099</v>
      </c>
      <c r="M1278" s="84"/>
      <c r="P1278" s="84">
        <f>P23+P94+P95+P182+P183+P184+P615+P616+P742+P895+P950+P1006+P1100+P1136+P1166+P1222+P1263</f>
        <v>0</v>
      </c>
      <c r="Q1278" s="84"/>
      <c r="T1278" s="84">
        <f>T23+T94+T95+T182+T183+T184+T615+T616+T742+T895+T950+T1006+T1100+T1136+T1166+T1222+T1263</f>
        <v>0</v>
      </c>
      <c r="U1278" s="84"/>
      <c r="X1278" s="84">
        <f ca="1">X23+X94+X95+X182+X183+X184+X615+X616+X742+X895+X950+X1006+X1100+X1136+X1151+X1166+X1222+X1263</f>
        <v>136365381.94299099</v>
      </c>
      <c r="Y1278" s="84">
        <f>SUM(Y1276:Y1277)</f>
        <v>136352704.04305172</v>
      </c>
      <c r="Z1278" s="74"/>
      <c r="AA1278" s="74"/>
      <c r="AB1278" s="74"/>
      <c r="AC1278" s="20"/>
      <c r="AD1278" s="20"/>
      <c r="AE1278" s="20"/>
      <c r="AF1278" s="20"/>
      <c r="AG1278" s="20"/>
      <c r="AH1278" s="20"/>
      <c r="AI1278" s="20"/>
      <c r="AJ1278" s="20"/>
      <c r="AK1278" s="20"/>
      <c r="AL1278" s="20"/>
      <c r="AM1278" s="20"/>
      <c r="AN1278" s="20"/>
    </row>
    <row r="1279" spans="1:45">
      <c r="B1279" s="3" t="s">
        <v>518</v>
      </c>
      <c r="C1279" s="264">
        <f ca="1">'Table 1 - kWh'!F21</f>
        <v>4010161433.2736092</v>
      </c>
      <c r="F1279" s="889" t="s">
        <v>31</v>
      </c>
      <c r="I1279" s="84">
        <f ca="1">'Table 1-Revenues'!J21</f>
        <v>321605657.8195231</v>
      </c>
      <c r="Y1279" s="20"/>
      <c r="Z1279" s="74"/>
      <c r="AA1279" s="74"/>
      <c r="AB1279" s="74"/>
      <c r="AC1279" s="20"/>
      <c r="AD1279" s="20"/>
      <c r="AE1279" s="20"/>
      <c r="AF1279" s="20"/>
      <c r="AG1279" s="20"/>
      <c r="AH1279" s="20"/>
      <c r="AI1279" s="20"/>
      <c r="AJ1279" s="20"/>
      <c r="AK1279" s="20"/>
      <c r="AL1279" s="20"/>
      <c r="AM1279" s="20"/>
      <c r="AN1279" s="20"/>
    </row>
    <row r="1280" spans="1:45">
      <c r="Y1280" s="20"/>
      <c r="Z1280" s="74"/>
      <c r="AA1280" s="74"/>
      <c r="AB1280" s="74"/>
      <c r="AC1280" s="20"/>
      <c r="AD1280" s="20"/>
      <c r="AE1280" s="20"/>
      <c r="AF1280" s="20"/>
      <c r="AG1280" s="20"/>
      <c r="AH1280" s="20"/>
      <c r="AI1280" s="20"/>
      <c r="AJ1280" s="20"/>
      <c r="AK1280" s="20"/>
      <c r="AL1280" s="20"/>
      <c r="AM1280" s="20"/>
      <c r="AN1280" s="20"/>
    </row>
    <row r="1281" spans="2:40">
      <c r="B1281" s="3" t="s">
        <v>251</v>
      </c>
      <c r="C1281" s="264">
        <f ca="1">C1274-C1279</f>
        <v>0</v>
      </c>
      <c r="F1281" s="659" t="s">
        <v>31</v>
      </c>
      <c r="I1281" s="264">
        <f ca="1">I1274-I1279</f>
        <v>0</v>
      </c>
      <c r="Y1281" s="20"/>
      <c r="Z1281" s="74"/>
      <c r="AA1281" s="74"/>
      <c r="AB1281" s="74"/>
      <c r="AC1281" s="20"/>
      <c r="AD1281" s="20"/>
      <c r="AE1281" s="20"/>
      <c r="AF1281" s="20"/>
      <c r="AG1281" s="20"/>
      <c r="AH1281" s="20"/>
      <c r="AI1281" s="20"/>
      <c r="AJ1281" s="20"/>
      <c r="AK1281" s="20"/>
      <c r="AL1281" s="20"/>
      <c r="AM1281" s="20"/>
      <c r="AN1281" s="20"/>
    </row>
    <row r="1282" spans="2:40">
      <c r="Y1282" s="20"/>
      <c r="Z1282" s="74"/>
      <c r="AA1282" s="74"/>
      <c r="AB1282" s="74"/>
      <c r="AC1282" s="20"/>
      <c r="AD1282" s="20"/>
      <c r="AE1282" s="20"/>
      <c r="AF1282" s="20"/>
      <c r="AG1282" s="20"/>
      <c r="AH1282" s="20"/>
      <c r="AI1282" s="20"/>
      <c r="AJ1282" s="20"/>
      <c r="AK1282" s="20"/>
      <c r="AL1282" s="20"/>
      <c r="AM1282" s="20"/>
      <c r="AN1282" s="20"/>
    </row>
    <row r="1284" spans="2:40">
      <c r="B1284" s="3" t="s">
        <v>519</v>
      </c>
      <c r="C1284" s="264">
        <f>C24+C88+C176+C605+C725+C884+C906+C1135+C1150+C1165+C1220+C1262</f>
        <v>1535623.9159594239</v>
      </c>
    </row>
    <row r="1285" spans="2:40">
      <c r="B1285" s="3" t="s">
        <v>40</v>
      </c>
      <c r="C1285" s="264">
        <f>((C24+C88+C216+C354+C605+C884+C906+C1135+C1150+C1165+C1220+C1262)/12)+C459+C725</f>
        <v>132780.63205734163</v>
      </c>
    </row>
    <row r="1286" spans="2:40">
      <c r="B1286" s="768" t="s">
        <v>98</v>
      </c>
      <c r="C1286" s="264">
        <f>'Table 2'!F140</f>
        <v>132778.43714676326</v>
      </c>
      <c r="D1286" s="88" t="s">
        <v>31</v>
      </c>
      <c r="Z1286" s="3"/>
      <c r="AA1286" s="3"/>
      <c r="AB1286" s="3"/>
    </row>
    <row r="1287" spans="2:40">
      <c r="B1287" s="3" t="s">
        <v>251</v>
      </c>
      <c r="C1287" s="264">
        <f>C1285-C1286</f>
        <v>2.1949105783714913</v>
      </c>
      <c r="Z1287" s="3"/>
      <c r="AA1287" s="3"/>
      <c r="AB1287" s="3"/>
    </row>
  </sheetData>
  <mergeCells count="4">
    <mergeCell ref="A1:X1"/>
    <mergeCell ref="A2:X2"/>
    <mergeCell ref="A3:X3"/>
    <mergeCell ref="A4:X4"/>
  </mergeCells>
  <phoneticPr fontId="0" type="noConversion"/>
  <printOptions horizontalCentered="1"/>
  <pageMargins left="0" right="0" top="0.25" bottom="0.05" header="0.5" footer="0.25"/>
  <pageSetup scale="51" fitToHeight="10" orientation="landscape" r:id="rId1"/>
  <headerFooter alignWithMargins="0"/>
  <rowBreaks count="10" manualBreakCount="10">
    <brk id="103" max="23" man="1"/>
    <brk id="163" max="23" man="1"/>
    <brk id="556" max="23" man="1"/>
    <brk id="597" max="23" man="1"/>
    <brk id="715" max="23" man="1"/>
    <brk id="876" max="23" man="1"/>
    <brk id="936" max="23" man="1"/>
    <brk id="1107" max="23" man="1"/>
    <brk id="1172" max="23" man="1"/>
    <brk id="1229" max="2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11">
    <pageSetUpPr fitToPage="1"/>
  </sheetPr>
  <dimension ref="B1:AL63"/>
  <sheetViews>
    <sheetView view="pageBreakPreview" topLeftCell="B1" zoomScale="60" zoomScaleNormal="55" workbookViewId="0">
      <selection activeCell="V55" sqref="V55"/>
    </sheetView>
  </sheetViews>
  <sheetFormatPr defaultColWidth="10.25" defaultRowHeight="15.75"/>
  <cols>
    <col min="1" max="1" width="0" style="155" hidden="1" customWidth="1"/>
    <col min="2" max="2" width="4.625" style="155" customWidth="1"/>
    <col min="3" max="3" width="2.125" style="155" customWidth="1"/>
    <col min="4" max="4" width="35.875" style="156" customWidth="1"/>
    <col min="5" max="5" width="2.125" style="156" customWidth="1"/>
    <col min="6" max="6" width="5.625" style="156" bestFit="1" customWidth="1"/>
    <col min="7" max="7" width="2.125" style="156" customWidth="1"/>
    <col min="8" max="8" width="9.25" style="155" hidden="1" customWidth="1"/>
    <col min="9" max="9" width="9.75" style="155" bestFit="1" customWidth="1"/>
    <col min="10" max="10" width="2" style="155" customWidth="1"/>
    <col min="11" max="11" width="11" style="155" hidden="1" customWidth="1"/>
    <col min="12" max="12" width="12" style="155" bestFit="1" customWidth="1"/>
    <col min="13" max="13" width="2.125" style="155" customWidth="1"/>
    <col min="14" max="14" width="10.25" style="155" hidden="1" customWidth="1"/>
    <col min="15" max="15" width="11.375" style="155" customWidth="1"/>
    <col min="16" max="16" width="3.75" style="155" customWidth="1"/>
    <col min="17" max="17" width="14.25" style="155" customWidth="1"/>
    <col min="18" max="18" width="2" style="155" hidden="1" customWidth="1"/>
    <col min="19" max="19" width="20.25" style="155" hidden="1" customWidth="1"/>
    <col min="20" max="20" width="4.625" style="155" customWidth="1"/>
    <col min="21" max="21" width="14.5" style="155" customWidth="1"/>
    <col min="22" max="22" width="13.875" style="155" customWidth="1"/>
    <col min="23" max="23" width="14.125" style="155" hidden="1" customWidth="1"/>
    <col min="24" max="24" width="12.25" style="155" hidden="1" customWidth="1"/>
    <col min="25" max="25" width="14.5" style="155" hidden="1" customWidth="1"/>
    <col min="26" max="26" width="15.25" style="155" hidden="1" customWidth="1"/>
    <col min="27" max="27" width="6.75" style="155" hidden="1" customWidth="1"/>
    <col min="28" max="28" width="20.75" style="155" hidden="1" customWidth="1"/>
    <col min="29" max="29" width="3.875" style="155" customWidth="1"/>
    <col min="30" max="30" width="11.75" style="155" bestFit="1" customWidth="1"/>
    <col min="31" max="31" width="2.125" style="155" customWidth="1"/>
    <col min="32" max="32" width="8.25" style="155" customWidth="1"/>
    <col min="33" max="33" width="3.125" style="155" customWidth="1"/>
    <col min="34" max="34" width="9" style="155" bestFit="1" customWidth="1"/>
    <col min="35" max="35" width="0.125" style="155" hidden="1" customWidth="1"/>
    <col min="36" max="36" width="10.25" style="155" customWidth="1"/>
    <col min="37" max="37" width="13.5" style="155" bestFit="1" customWidth="1"/>
    <col min="38" max="16384" width="10.25" style="155"/>
  </cols>
  <sheetData>
    <row r="1" spans="2:38">
      <c r="Q1" s="157" t="s">
        <v>31</v>
      </c>
    </row>
    <row r="2" spans="2:38">
      <c r="B2" s="158" t="s">
        <v>625</v>
      </c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139"/>
      <c r="Z2" s="1139"/>
      <c r="AA2" s="1139"/>
      <c r="AB2" s="1139"/>
      <c r="AC2" s="1139"/>
      <c r="AD2" s="1139"/>
      <c r="AE2" s="1139"/>
      <c r="AF2" s="1139"/>
    </row>
    <row r="3" spans="2:38">
      <c r="B3" s="159" t="s">
        <v>185</v>
      </c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140"/>
      <c r="Z3" s="1140"/>
      <c r="AA3" s="1140"/>
      <c r="AB3" s="1140"/>
      <c r="AC3" s="1140"/>
      <c r="AD3" s="1140"/>
      <c r="AE3" s="1140"/>
      <c r="AF3" s="1140"/>
      <c r="AG3" s="160"/>
      <c r="AH3" s="160"/>
      <c r="AI3" s="160"/>
    </row>
    <row r="4" spans="2:38">
      <c r="B4" s="159" t="s">
        <v>300</v>
      </c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9"/>
      <c r="Y4" s="1140"/>
      <c r="Z4" s="1140"/>
      <c r="AA4" s="1140"/>
      <c r="AB4" s="1140"/>
      <c r="AC4" s="1140"/>
      <c r="AD4" s="1140"/>
      <c r="AE4" s="1140"/>
      <c r="AF4" s="1140"/>
      <c r="AG4" s="160"/>
      <c r="AH4" s="160"/>
      <c r="AI4" s="160"/>
    </row>
    <row r="5" spans="2:38">
      <c r="B5" s="159" t="s">
        <v>301</v>
      </c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59"/>
      <c r="V5" s="159"/>
      <c r="W5" s="159"/>
      <c r="X5" s="159"/>
      <c r="Y5" s="1140"/>
      <c r="Z5" s="1140"/>
      <c r="AA5" s="1140"/>
      <c r="AB5" s="1140"/>
      <c r="AC5" s="1140"/>
      <c r="AD5" s="1140"/>
      <c r="AE5" s="1140"/>
      <c r="AF5" s="1140"/>
      <c r="AG5" s="160"/>
      <c r="AH5" s="160"/>
      <c r="AI5" s="160"/>
    </row>
    <row r="6" spans="2:38">
      <c r="B6" s="159" t="s">
        <v>302</v>
      </c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159"/>
      <c r="S6" s="159"/>
      <c r="T6" s="159"/>
      <c r="U6" s="159"/>
      <c r="V6" s="159"/>
      <c r="W6" s="159"/>
      <c r="X6" s="159"/>
      <c r="Y6" s="1140"/>
      <c r="Z6" s="1140"/>
      <c r="AA6" s="1140"/>
      <c r="AB6" s="1140"/>
      <c r="AC6" s="1140"/>
      <c r="AD6" s="1140"/>
      <c r="AE6" s="1140"/>
      <c r="AF6" s="1140"/>
      <c r="AG6" s="160"/>
      <c r="AH6" s="160"/>
      <c r="AI6" s="160"/>
    </row>
    <row r="7" spans="2:38">
      <c r="B7" s="158" t="s">
        <v>840</v>
      </c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139"/>
      <c r="Z7" s="1139"/>
      <c r="AA7" s="1139"/>
      <c r="AB7" s="1139"/>
      <c r="AC7" s="1139"/>
      <c r="AD7" s="1139"/>
      <c r="AE7" s="1139"/>
      <c r="AF7" s="1139"/>
      <c r="AG7" s="161"/>
      <c r="AH7" s="161"/>
      <c r="AI7" s="161"/>
    </row>
    <row r="8" spans="2:38">
      <c r="M8" s="162"/>
      <c r="N8" s="163"/>
      <c r="O8" s="163"/>
      <c r="P8" s="164"/>
      <c r="Q8" s="164"/>
      <c r="R8" s="163"/>
      <c r="S8" s="163"/>
      <c r="T8" s="163"/>
      <c r="U8" s="164"/>
      <c r="V8" s="164"/>
      <c r="W8" s="164"/>
      <c r="X8" s="164"/>
      <c r="Y8" s="164"/>
      <c r="Z8" s="164"/>
      <c r="AA8" s="164"/>
      <c r="AB8" s="1137" t="s">
        <v>672</v>
      </c>
      <c r="AC8" s="164"/>
      <c r="AD8" s="164"/>
      <c r="AE8" s="164"/>
      <c r="AF8" s="164"/>
      <c r="AG8" s="164"/>
      <c r="AH8" s="164"/>
      <c r="AI8" s="164"/>
      <c r="AJ8" s="162"/>
      <c r="AK8" s="162"/>
      <c r="AL8" s="162"/>
    </row>
    <row r="9" spans="2:38">
      <c r="N9" s="166" t="s">
        <v>304</v>
      </c>
      <c r="O9" s="166" t="s">
        <v>197</v>
      </c>
      <c r="P9" s="167"/>
      <c r="Q9" s="1730" t="s">
        <v>305</v>
      </c>
      <c r="R9" s="1730"/>
      <c r="S9" s="1730"/>
      <c r="T9" s="168"/>
      <c r="U9" s="1713" t="s">
        <v>171</v>
      </c>
      <c r="V9" s="1713"/>
      <c r="W9" s="1713"/>
      <c r="X9" s="1713"/>
      <c r="Y9" s="1713"/>
      <c r="Z9" s="1713"/>
      <c r="AA9" s="167"/>
      <c r="AB9" s="1138" t="s">
        <v>306</v>
      </c>
      <c r="AC9" s="167"/>
      <c r="AD9" s="1137" t="s">
        <v>305</v>
      </c>
      <c r="AE9" s="167"/>
      <c r="AF9" s="1137" t="s">
        <v>307</v>
      </c>
      <c r="AG9" s="167"/>
      <c r="AH9" s="167"/>
      <c r="AI9" s="167"/>
    </row>
    <row r="10" spans="2:38">
      <c r="F10" s="154" t="s">
        <v>308</v>
      </c>
      <c r="G10" s="154"/>
      <c r="H10" s="166" t="s">
        <v>309</v>
      </c>
      <c r="N10" s="1137" t="s">
        <v>187</v>
      </c>
      <c r="O10" s="1137" t="s">
        <v>187</v>
      </c>
      <c r="P10" s="169"/>
      <c r="Q10" s="1137" t="s">
        <v>187</v>
      </c>
      <c r="R10" s="1137"/>
      <c r="S10" s="1137" t="s">
        <v>201</v>
      </c>
      <c r="T10" s="1137"/>
      <c r="U10" s="170" t="s">
        <v>187</v>
      </c>
      <c r="V10" s="170"/>
      <c r="W10" s="170" t="s">
        <v>31</v>
      </c>
      <c r="X10" s="1137"/>
      <c r="Y10" s="170" t="s">
        <v>201</v>
      </c>
      <c r="Z10" s="168"/>
      <c r="AA10" s="168"/>
      <c r="AB10" s="168"/>
      <c r="AC10" s="168"/>
      <c r="AD10" s="1137" t="s">
        <v>187</v>
      </c>
      <c r="AE10" s="168"/>
      <c r="AF10" s="1137" t="s">
        <v>171</v>
      </c>
      <c r="AG10" s="171"/>
      <c r="AH10" s="168"/>
      <c r="AI10" s="171"/>
    </row>
    <row r="11" spans="2:38">
      <c r="B11" s="171" t="s">
        <v>186</v>
      </c>
      <c r="F11" s="154" t="s">
        <v>310</v>
      </c>
      <c r="G11" s="154"/>
      <c r="H11" s="166" t="s">
        <v>311</v>
      </c>
      <c r="I11" s="166" t="s">
        <v>309</v>
      </c>
      <c r="K11" s="166" t="s">
        <v>312</v>
      </c>
      <c r="N11" s="166" t="s">
        <v>37</v>
      </c>
      <c r="O11" s="166" t="s">
        <v>37</v>
      </c>
      <c r="P11" s="171"/>
      <c r="Q11" s="166" t="s">
        <v>37</v>
      </c>
      <c r="R11" s="166"/>
      <c r="S11" s="166" t="s">
        <v>37</v>
      </c>
      <c r="T11" s="166"/>
      <c r="U11" s="172" t="s">
        <v>252</v>
      </c>
      <c r="V11" s="166" t="s">
        <v>187</v>
      </c>
      <c r="W11" s="1713" t="s">
        <v>672</v>
      </c>
      <c r="X11" s="1713"/>
      <c r="Y11" s="172" t="s">
        <v>252</v>
      </c>
      <c r="Z11" s="166" t="s">
        <v>201</v>
      </c>
      <c r="AA11" s="171"/>
      <c r="AB11" s="171"/>
      <c r="AC11" s="171"/>
      <c r="AD11" s="166" t="s">
        <v>189</v>
      </c>
      <c r="AE11" s="171"/>
      <c r="AF11" s="166" t="s">
        <v>314</v>
      </c>
      <c r="AG11" s="171"/>
      <c r="AH11" s="1137"/>
      <c r="AI11" s="173"/>
      <c r="AJ11" s="162"/>
    </row>
    <row r="12" spans="2:38">
      <c r="B12" s="174" t="s">
        <v>188</v>
      </c>
      <c r="D12" s="175" t="s">
        <v>202</v>
      </c>
      <c r="F12" s="175" t="s">
        <v>188</v>
      </c>
      <c r="G12" s="176"/>
      <c r="H12" s="177" t="s">
        <v>304</v>
      </c>
      <c r="I12" s="1138" t="s">
        <v>311</v>
      </c>
      <c r="K12" s="177" t="s">
        <v>304</v>
      </c>
      <c r="L12" s="1138" t="s">
        <v>312</v>
      </c>
      <c r="N12" s="178" t="s">
        <v>198</v>
      </c>
      <c r="O12" s="178" t="s">
        <v>198</v>
      </c>
      <c r="P12" s="1137"/>
      <c r="Q12" s="178" t="s">
        <v>198</v>
      </c>
      <c r="R12" s="179"/>
      <c r="S12" s="178" t="s">
        <v>198</v>
      </c>
      <c r="T12" s="179"/>
      <c r="U12" s="180" t="s">
        <v>198</v>
      </c>
      <c r="V12" s="1138" t="s">
        <v>315</v>
      </c>
      <c r="W12" s="180" t="s">
        <v>198</v>
      </c>
      <c r="X12" s="1138" t="s">
        <v>315</v>
      </c>
      <c r="Y12" s="180" t="s">
        <v>198</v>
      </c>
      <c r="Z12" s="1138" t="s">
        <v>315</v>
      </c>
      <c r="AA12" s="173"/>
      <c r="AB12" s="181" t="s">
        <v>316</v>
      </c>
      <c r="AC12" s="173"/>
      <c r="AD12" s="178" t="s">
        <v>316</v>
      </c>
      <c r="AE12" s="173"/>
      <c r="AF12" s="1138" t="s">
        <v>25</v>
      </c>
      <c r="AG12" s="173"/>
      <c r="AH12" s="1128"/>
      <c r="AI12" s="173"/>
      <c r="AJ12" s="162"/>
    </row>
    <row r="13" spans="2:38">
      <c r="B13" s="182"/>
      <c r="D13" s="172" t="s">
        <v>317</v>
      </c>
      <c r="F13" s="172" t="s">
        <v>318</v>
      </c>
      <c r="G13" s="154"/>
      <c r="H13" s="172"/>
      <c r="I13" s="172" t="s">
        <v>319</v>
      </c>
      <c r="K13" s="172"/>
      <c r="L13" s="172" t="s">
        <v>320</v>
      </c>
      <c r="N13" s="172"/>
      <c r="O13" s="172" t="s">
        <v>321</v>
      </c>
      <c r="P13" s="172"/>
      <c r="Q13" s="172" t="s">
        <v>322</v>
      </c>
      <c r="R13" s="172"/>
      <c r="S13" s="172"/>
      <c r="T13" s="172"/>
      <c r="U13" s="172" t="s">
        <v>323</v>
      </c>
      <c r="V13" s="172" t="s">
        <v>324</v>
      </c>
      <c r="W13" s="172" t="s">
        <v>324</v>
      </c>
      <c r="X13" s="172" t="s">
        <v>324</v>
      </c>
      <c r="Y13" s="172"/>
      <c r="Z13" s="172"/>
      <c r="AA13" s="172"/>
      <c r="AB13" s="172"/>
      <c r="AC13" s="172"/>
      <c r="AD13" s="172" t="s">
        <v>325</v>
      </c>
      <c r="AE13" s="172"/>
      <c r="AF13" s="172" t="s">
        <v>326</v>
      </c>
      <c r="AG13" s="172"/>
      <c r="AH13" s="169"/>
      <c r="AI13" s="169"/>
      <c r="AJ13" s="162"/>
    </row>
    <row r="14" spans="2:38">
      <c r="P14" s="172"/>
      <c r="Q14" s="172" t="s">
        <v>327</v>
      </c>
      <c r="V14" s="1133" t="s">
        <v>31</v>
      </c>
      <c r="X14" s="172" t="s">
        <v>328</v>
      </c>
      <c r="Z14" s="172"/>
      <c r="AD14" s="1133" t="s">
        <v>1060</v>
      </c>
      <c r="AF14" s="172" t="s">
        <v>329</v>
      </c>
      <c r="AH14" s="162"/>
      <c r="AI14" s="162"/>
      <c r="AJ14" s="162"/>
    </row>
    <row r="15" spans="2:38">
      <c r="D15" s="183" t="s">
        <v>17</v>
      </c>
      <c r="AH15" s="162"/>
      <c r="AI15" s="162"/>
      <c r="AJ15" s="162"/>
    </row>
    <row r="16" spans="2:38">
      <c r="B16" s="171">
        <v>1</v>
      </c>
      <c r="D16" s="156" t="s">
        <v>330</v>
      </c>
      <c r="F16" s="184" t="s">
        <v>331</v>
      </c>
      <c r="G16" s="184"/>
      <c r="H16" s="185">
        <v>101336.91666666667</v>
      </c>
      <c r="I16" s="185">
        <f>'Exh No.__(JRS-17) p1-10'!C89/12</f>
        <v>104635.09245519141</v>
      </c>
      <c r="J16" s="157"/>
      <c r="K16" s="185">
        <v>1569938.6044392167</v>
      </c>
      <c r="L16" s="185">
        <f>'Exh No.__(JRS-17) p1-10'!C101/1000</f>
        <v>1572834.8567787264</v>
      </c>
      <c r="N16" s="186">
        <v>102672.94442530281</v>
      </c>
      <c r="O16" s="186">
        <f>'Exh No.__(JRS-17) p1-10'!I101/1000</f>
        <v>140088.11881608813</v>
      </c>
      <c r="P16" s="187"/>
      <c r="Q16" s="188">
        <f ca="1">O16+U16</f>
        <v>155723.61185746157</v>
      </c>
      <c r="R16" s="186"/>
      <c r="S16" s="188">
        <f ca="1">Q16+W16</f>
        <v>156596.53520297376</v>
      </c>
      <c r="T16" s="186"/>
      <c r="U16" s="186">
        <f ca="1">O16*V16</f>
        <v>15635.493041373447</v>
      </c>
      <c r="V16" s="187">
        <f ca="1">$V$50</f>
        <v>0.11161184241398937</v>
      </c>
      <c r="W16" s="186">
        <f ca="1">(AB16/100)*L16</f>
        <v>872.92334551219324</v>
      </c>
      <c r="X16" s="189">
        <f ca="1">W16/O16</f>
        <v>6.2312446829141388E-3</v>
      </c>
      <c r="Y16" s="186">
        <f ca="1">U16+W16</f>
        <v>16508.416386885641</v>
      </c>
      <c r="Z16" s="189">
        <f ca="1">Y16/O16</f>
        <v>0.11784308709690351</v>
      </c>
      <c r="AA16" s="187"/>
      <c r="AB16" s="190">
        <f ca="1">ROUND((((O16/$O$44)*$W$53)/L16)*100,4)</f>
        <v>5.5500000000000001E-2</v>
      </c>
      <c r="AC16" s="187"/>
      <c r="AD16" s="191">
        <f ca="1">Q16/L16*100</f>
        <v>9.900824055768588</v>
      </c>
      <c r="AE16" s="187"/>
      <c r="AF16" s="192">
        <f ca="1">(U16/L16)*100</f>
        <v>0.99409629523318221</v>
      </c>
      <c r="AG16" s="187"/>
      <c r="AH16" s="186"/>
      <c r="AI16" s="194"/>
      <c r="AJ16" s="195" t="s">
        <v>31</v>
      </c>
      <c r="AK16" s="157" t="s">
        <v>31</v>
      </c>
    </row>
    <row r="17" spans="2:38">
      <c r="H17" s="196"/>
      <c r="I17" s="196"/>
      <c r="K17" s="196"/>
      <c r="L17" s="196"/>
      <c r="N17" s="196"/>
      <c r="O17" s="196"/>
      <c r="P17" s="162"/>
      <c r="Q17" s="197"/>
      <c r="R17" s="162"/>
      <c r="S17" s="197"/>
      <c r="T17" s="162"/>
      <c r="U17" s="196"/>
      <c r="V17" s="1628"/>
      <c r="W17" s="196"/>
      <c r="X17" s="199"/>
      <c r="Y17" s="196"/>
      <c r="Z17" s="199"/>
      <c r="AA17" s="162"/>
      <c r="AB17" s="200"/>
      <c r="AC17" s="162"/>
      <c r="AD17" s="197"/>
      <c r="AE17" s="162"/>
      <c r="AF17" s="201"/>
      <c r="AG17" s="162"/>
      <c r="AH17" s="186"/>
      <c r="AI17" s="162"/>
      <c r="AJ17" s="162"/>
    </row>
    <row r="18" spans="2:38">
      <c r="V18" s="1148"/>
      <c r="X18" s="202"/>
      <c r="Z18" s="202"/>
      <c r="AB18" s="203"/>
      <c r="AF18" s="204"/>
      <c r="AH18" s="186"/>
      <c r="AI18" s="162"/>
      <c r="AJ18" s="162"/>
    </row>
    <row r="19" spans="2:38">
      <c r="B19" s="86">
        <f>MAX(B$13:B18)+1</f>
        <v>2</v>
      </c>
      <c r="D19" s="183" t="s">
        <v>332</v>
      </c>
      <c r="H19" s="205">
        <f>SUM(H16:H16)</f>
        <v>101336.91666666667</v>
      </c>
      <c r="I19" s="205">
        <f>SUM(I16:I16)</f>
        <v>104635.09245519141</v>
      </c>
      <c r="K19" s="205">
        <f>SUM(K16:K16)</f>
        <v>1569938.6044392167</v>
      </c>
      <c r="L19" s="205">
        <f>SUM(L16:L16)</f>
        <v>1572834.8567787264</v>
      </c>
      <c r="M19" s="205"/>
      <c r="N19" s="206">
        <f>SUM(N16:N16)</f>
        <v>102672.94442530281</v>
      </c>
      <c r="O19" s="206">
        <f>SUM(O16:O16)</f>
        <v>140088.11881608813</v>
      </c>
      <c r="P19" s="187"/>
      <c r="Q19" s="206">
        <f ca="1">SUM(Q16:Q16)</f>
        <v>155723.61185746157</v>
      </c>
      <c r="R19" s="206"/>
      <c r="S19" s="206">
        <f ca="1">SUM(S16:S16)</f>
        <v>156596.53520297376</v>
      </c>
      <c r="T19" s="206"/>
      <c r="U19" s="186">
        <f ca="1">SUM(U16)</f>
        <v>15635.493041373447</v>
      </c>
      <c r="V19" s="187">
        <f ca="1">U19/O19</f>
        <v>0.11161184241398937</v>
      </c>
      <c r="W19" s="186">
        <f ca="1">SUM(W16)</f>
        <v>872.92334551219324</v>
      </c>
      <c r="X19" s="189">
        <f ca="1">W19/O19</f>
        <v>6.2312446829141388E-3</v>
      </c>
      <c r="Y19" s="186">
        <f ca="1">U19+W19</f>
        <v>16508.416386885641</v>
      </c>
      <c r="Z19" s="189">
        <f ca="1">Y19/O19</f>
        <v>0.11784308709690351</v>
      </c>
      <c r="AA19" s="187"/>
      <c r="AB19" s="207"/>
      <c r="AC19" s="187"/>
      <c r="AD19" s="191">
        <f ca="1">Q19/L19*100</f>
        <v>9.900824055768588</v>
      </c>
      <c r="AE19" s="187"/>
      <c r="AF19" s="192">
        <f ca="1">(U19/L19)*100</f>
        <v>0.99409629523318221</v>
      </c>
      <c r="AG19" s="187"/>
      <c r="AH19" s="186"/>
      <c r="AI19" s="194"/>
      <c r="AJ19" s="162"/>
    </row>
    <row r="20" spans="2:38">
      <c r="L20" s="1117" t="s">
        <v>31</v>
      </c>
      <c r="V20" s="1148"/>
      <c r="X20" s="202"/>
      <c r="Z20" s="202"/>
      <c r="AB20" s="203"/>
      <c r="AF20" s="204"/>
      <c r="AH20" s="186"/>
      <c r="AI20" s="162"/>
      <c r="AJ20" s="162"/>
    </row>
    <row r="21" spans="2:38">
      <c r="D21" s="183" t="s">
        <v>333</v>
      </c>
      <c r="H21" s="208"/>
      <c r="I21" s="208"/>
      <c r="V21" s="1148"/>
      <c r="X21" s="202"/>
      <c r="Z21" s="202"/>
      <c r="AB21" s="203"/>
      <c r="AF21" s="204"/>
      <c r="AH21" s="186"/>
      <c r="AI21" s="162"/>
      <c r="AJ21" s="162"/>
    </row>
    <row r="22" spans="2:38">
      <c r="B22" s="86">
        <f>MAX(B$13:B21)+1</f>
        <v>3</v>
      </c>
      <c r="D22" s="156" t="s">
        <v>334</v>
      </c>
      <c r="F22" s="154">
        <v>24</v>
      </c>
      <c r="G22" s="154"/>
      <c r="H22" s="185">
        <v>17306.416666666664</v>
      </c>
      <c r="I22" s="185">
        <f>'Exh No.__(JRS-17) p1-10'!C177/12</f>
        <v>18788.493749999969</v>
      </c>
      <c r="K22" s="185">
        <v>513041.74113523914</v>
      </c>
      <c r="L22" s="185">
        <f ca="1">'Exh No.__(JRS-17) p1-10'!C205/1000</f>
        <v>543201.5574379696</v>
      </c>
      <c r="N22" s="206">
        <v>33647.646251191611</v>
      </c>
      <c r="O22" s="186">
        <f ca="1">'Exh No.__(JRS-17) p1-10'!I205/1000</f>
        <v>48473.096458215186</v>
      </c>
      <c r="P22" s="187"/>
      <c r="Q22" s="188">
        <f t="shared" ref="Q22:Q29" ca="1" si="0">O22+U22</f>
        <v>50884.936582329516</v>
      </c>
      <c r="R22" s="186"/>
      <c r="S22" s="188">
        <f t="shared" ref="S22:S29" ca="1" si="1">Q22+W22</f>
        <v>51186.956648265026</v>
      </c>
      <c r="T22" s="186"/>
      <c r="U22" s="186">
        <f t="shared" ref="U22:U29" ca="1" si="2">O22*V22</f>
        <v>2411.840124114332</v>
      </c>
      <c r="V22" s="187">
        <f ca="1">$V$51</f>
        <v>4.9756262758938623E-2</v>
      </c>
      <c r="W22" s="186">
        <f t="shared" ref="W22:W29" ca="1" si="3">(AB22/100)*L22</f>
        <v>302.02006593551107</v>
      </c>
      <c r="X22" s="189">
        <f ca="1">W22/O22</f>
        <v>6.2306740852806596E-3</v>
      </c>
      <c r="Y22" s="186">
        <f t="shared" ref="Y22:Y29" ca="1" si="4">U22+W22</f>
        <v>2713.8601900498429</v>
      </c>
      <c r="Z22" s="189">
        <f ca="1">Y22/O22</f>
        <v>5.5986936844219279E-2</v>
      </c>
      <c r="AA22" s="187"/>
      <c r="AB22" s="190">
        <f ca="1">ROUND((((O22/$O$44)*$W$53)/L22)*100,4)</f>
        <v>5.5599999999999997E-2</v>
      </c>
      <c r="AC22" s="187"/>
      <c r="AD22" s="191">
        <f ca="1">Q22/L22*100</f>
        <v>9.3675976965769792</v>
      </c>
      <c r="AE22" s="187"/>
      <c r="AF22" s="192">
        <f ca="1">(U22/L22)*100</f>
        <v>0.44400464083532198</v>
      </c>
      <c r="AG22" s="187"/>
      <c r="AH22" s="186"/>
      <c r="AI22" s="194"/>
      <c r="AJ22" s="162"/>
      <c r="AK22" s="209"/>
      <c r="AL22" s="14"/>
    </row>
    <row r="23" spans="2:38">
      <c r="B23" s="86">
        <f>MAX(B$13:B22)+1</f>
        <v>4</v>
      </c>
      <c r="D23" s="52" t="s">
        <v>335</v>
      </c>
      <c r="E23" s="52"/>
      <c r="F23" s="154">
        <v>33</v>
      </c>
      <c r="G23" s="154"/>
      <c r="H23" s="185">
        <v>0</v>
      </c>
      <c r="I23" s="185">
        <v>0</v>
      </c>
      <c r="K23" s="185">
        <v>0</v>
      </c>
      <c r="L23" s="185">
        <v>0</v>
      </c>
      <c r="N23" s="186">
        <v>0</v>
      </c>
      <c r="O23" s="186">
        <v>0</v>
      </c>
      <c r="P23" s="187"/>
      <c r="Q23" s="188">
        <f t="shared" ca="1" si="0"/>
        <v>0</v>
      </c>
      <c r="R23" s="186"/>
      <c r="S23" s="188">
        <f t="shared" ca="1" si="1"/>
        <v>0</v>
      </c>
      <c r="T23" s="186"/>
      <c r="U23" s="186">
        <f t="shared" ca="1" si="2"/>
        <v>0</v>
      </c>
      <c r="V23" s="187">
        <f t="shared" ref="V23:V27" ca="1" si="5">$V$50</f>
        <v>0.11161184241398937</v>
      </c>
      <c r="W23" s="186">
        <f t="shared" si="3"/>
        <v>0</v>
      </c>
      <c r="X23" s="189">
        <v>0</v>
      </c>
      <c r="Y23" s="186">
        <f t="shared" ca="1" si="4"/>
        <v>0</v>
      </c>
      <c r="Z23" s="189">
        <f ca="1">V23+X23</f>
        <v>0.11161184241398937</v>
      </c>
      <c r="AA23" s="187"/>
      <c r="AB23" s="190">
        <v>0</v>
      </c>
      <c r="AC23" s="187"/>
      <c r="AD23" s="191">
        <f ca="1">AD24</f>
        <v>8.2908248423005251</v>
      </c>
      <c r="AE23" s="187"/>
      <c r="AF23" s="192">
        <f ca="1">AF24</f>
        <v>0.83244366466205</v>
      </c>
      <c r="AG23" s="187"/>
      <c r="AH23" s="186"/>
      <c r="AI23" s="194"/>
      <c r="AJ23" s="162"/>
      <c r="AK23" s="209"/>
      <c r="AL23" s="14"/>
    </row>
    <row r="24" spans="2:38">
      <c r="B24" s="86">
        <f>MAX(B$13:B23)+1</f>
        <v>5</v>
      </c>
      <c r="D24" s="156" t="s">
        <v>336</v>
      </c>
      <c r="F24" s="154">
        <v>36</v>
      </c>
      <c r="G24" s="154"/>
      <c r="H24" s="185">
        <v>1058.6666666666667</v>
      </c>
      <c r="I24" s="185">
        <f>'Exh No.__(JRS-17) p1-10'!C606/12</f>
        <v>1053.9138888888895</v>
      </c>
      <c r="K24" s="185">
        <v>901191.51506367233</v>
      </c>
      <c r="L24" s="185">
        <f ca="1">'Exh No.__(JRS-17) p1-10'!C637/1000</f>
        <v>895773.15120793856</v>
      </c>
      <c r="N24" s="206">
        <v>49005.26783999426</v>
      </c>
      <c r="O24" s="186">
        <f ca="1">'Exh No.__(JRS-17) p1-10'!I637/1000</f>
        <v>66810.176104031925</v>
      </c>
      <c r="P24" s="187"/>
      <c r="Q24" s="1686">
        <f t="shared" ca="1" si="0"/>
        <v>74266.982951006008</v>
      </c>
      <c r="R24" s="186"/>
      <c r="S24" s="188">
        <f t="shared" ca="1" si="1"/>
        <v>74683.517466317702</v>
      </c>
      <c r="T24" s="186"/>
      <c r="U24" s="186">
        <f t="shared" ca="1" si="2"/>
        <v>7456.8068469740901</v>
      </c>
      <c r="V24" s="187">
        <f t="shared" ca="1" si="5"/>
        <v>0.11161184241398937</v>
      </c>
      <c r="W24" s="186">
        <f t="shared" ca="1" si="3"/>
        <v>416.53451531169139</v>
      </c>
      <c r="X24" s="189">
        <f t="shared" ref="X24:X29" ca="1" si="6">W24/O24</f>
        <v>6.2345968773244104E-3</v>
      </c>
      <c r="Y24" s="186">
        <f t="shared" ca="1" si="4"/>
        <v>7873.3413622857815</v>
      </c>
      <c r="Z24" s="189">
        <f t="shared" ref="Z24:Z29" ca="1" si="7">Y24/O24</f>
        <v>0.11784643929131379</v>
      </c>
      <c r="AA24" s="187"/>
      <c r="AB24" s="190">
        <f t="shared" ref="AB24:AB29" ca="1" si="8">ROUND((((O24/$O$44)*$W$53)/L24)*100,4)</f>
        <v>4.65E-2</v>
      </c>
      <c r="AC24" s="187"/>
      <c r="AD24" s="191">
        <f t="shared" ref="AD24:AD29" ca="1" si="9">Q24/L24*100</f>
        <v>8.2908248423005251</v>
      </c>
      <c r="AE24" s="187"/>
      <c r="AF24" s="192">
        <f t="shared" ref="AF24:AF29" ca="1" si="10">(U24/L24)*100</f>
        <v>0.83244366466205</v>
      </c>
      <c r="AG24" s="187"/>
      <c r="AH24" s="186"/>
      <c r="AI24" s="194"/>
      <c r="AJ24" s="162"/>
      <c r="AK24" s="209"/>
      <c r="AL24" s="14"/>
    </row>
    <row r="25" spans="2:38">
      <c r="B25" s="86">
        <f>MAX(B$13:B24)+1</f>
        <v>6</v>
      </c>
      <c r="D25" s="156" t="s">
        <v>196</v>
      </c>
      <c r="F25" s="154" t="s">
        <v>337</v>
      </c>
      <c r="G25" s="154"/>
      <c r="H25" s="185">
        <v>5259</v>
      </c>
      <c r="I25" s="185">
        <f>'Exh No.__(JRS-17) p1-10'!C726</f>
        <v>5247.0299819759166</v>
      </c>
      <c r="K25" s="185">
        <v>168033.04399999999</v>
      </c>
      <c r="L25" s="185">
        <f>'Exh No.__(JRS-17) p1-10'!C769/1000</f>
        <v>148533.3665584703</v>
      </c>
      <c r="N25" s="206">
        <v>10140.337</v>
      </c>
      <c r="O25" s="186">
        <f ca="1">'Exh No.__(JRS-17) p1-10'!I769/1000</f>
        <v>12666.289000000001</v>
      </c>
      <c r="P25" s="187"/>
      <c r="Q25" s="188">
        <f t="shared" ca="1" si="0"/>
        <v>13296.516203664654</v>
      </c>
      <c r="R25" s="186"/>
      <c r="S25" s="188">
        <f t="shared" ca="1" si="1"/>
        <v>13375.387421307201</v>
      </c>
      <c r="T25" s="186"/>
      <c r="U25" s="186">
        <f t="shared" ca="1" si="2"/>
        <v>630.22720366465398</v>
      </c>
      <c r="V25" s="187">
        <f ca="1">$V$51</f>
        <v>4.9756262758938623E-2</v>
      </c>
      <c r="W25" s="186">
        <f t="shared" ca="1" si="3"/>
        <v>78.871217642547734</v>
      </c>
      <c r="X25" s="189">
        <f t="shared" ca="1" si="6"/>
        <v>6.2268607358120232E-3</v>
      </c>
      <c r="Y25" s="186">
        <f t="shared" ca="1" si="4"/>
        <v>709.09842130720176</v>
      </c>
      <c r="Z25" s="189">
        <f t="shared" ca="1" si="7"/>
        <v>5.5983123494750653E-2</v>
      </c>
      <c r="AA25" s="187"/>
      <c r="AB25" s="190">
        <f t="shared" ca="1" si="8"/>
        <v>5.3100000000000001E-2</v>
      </c>
      <c r="AC25" s="187"/>
      <c r="AD25" s="191">
        <f t="shared" ca="1" si="9"/>
        <v>8.9518715637745068</v>
      </c>
      <c r="AE25" s="187"/>
      <c r="AF25" s="192">
        <f t="shared" ca="1" si="10"/>
        <v>0.42430008708956612</v>
      </c>
      <c r="AG25" s="187"/>
      <c r="AH25" s="186"/>
      <c r="AI25" s="194"/>
      <c r="AJ25" s="162"/>
    </row>
    <row r="26" spans="2:38">
      <c r="B26" s="86">
        <f>MAX(B$13:B25)+1</f>
        <v>7</v>
      </c>
      <c r="D26" s="156" t="s">
        <v>338</v>
      </c>
      <c r="F26" s="154">
        <v>47</v>
      </c>
      <c r="G26" s="154"/>
      <c r="H26" s="185">
        <v>1.0833333333333333</v>
      </c>
      <c r="I26" s="185">
        <f>'Exh No.__(JRS-17) p1-10'!C885/12</f>
        <v>1</v>
      </c>
      <c r="K26" s="185">
        <v>1616.6904507017675</v>
      </c>
      <c r="L26" s="185">
        <f ca="1">'Exh No.__(JRS-17) p1-10'!C899/1000</f>
        <v>1994.5324465218168</v>
      </c>
      <c r="N26" s="206">
        <v>165.62561725051643</v>
      </c>
      <c r="O26" s="186">
        <f ca="1">'Exh No.__(JRS-17) p1-10'!I899/1000</f>
        <v>292.12801280278654</v>
      </c>
      <c r="P26" s="187"/>
      <c r="Q26" s="188">
        <f t="shared" ca="1" si="0"/>
        <v>324.73295853244304</v>
      </c>
      <c r="R26" s="186"/>
      <c r="S26" s="188">
        <f t="shared" ca="1" si="1"/>
        <v>326.55396665611744</v>
      </c>
      <c r="T26" s="186"/>
      <c r="U26" s="186">
        <f t="shared" ca="1" si="2"/>
        <v>32.604945729656485</v>
      </c>
      <c r="V26" s="187">
        <f t="shared" ca="1" si="5"/>
        <v>0.11161184241398937</v>
      </c>
      <c r="W26" s="186">
        <f t="shared" ca="1" si="3"/>
        <v>1.8210081236744189</v>
      </c>
      <c r="X26" s="189">
        <f t="shared" ca="1" si="6"/>
        <v>6.2335963819524836E-3</v>
      </c>
      <c r="Y26" s="186">
        <f t="shared" ca="1" si="4"/>
        <v>34.425953853330903</v>
      </c>
      <c r="Z26" s="189">
        <f t="shared" ca="1" si="7"/>
        <v>0.11784543879594186</v>
      </c>
      <c r="AA26" s="187"/>
      <c r="AB26" s="190">
        <f t="shared" ca="1" si="8"/>
        <v>9.1300000000000006E-2</v>
      </c>
      <c r="AC26" s="187"/>
      <c r="AD26" s="191">
        <f t="shared" ca="1" si="9"/>
        <v>16.281156974845484</v>
      </c>
      <c r="AE26" s="187"/>
      <c r="AF26" s="192">
        <f t="shared" ca="1" si="10"/>
        <v>1.6347162357030047</v>
      </c>
      <c r="AG26" s="187"/>
      <c r="AH26" s="186"/>
      <c r="AI26" s="194"/>
      <c r="AJ26" s="162"/>
    </row>
    <row r="27" spans="2:38">
      <c r="B27" s="86">
        <f>MAX(B$13:B25)+1</f>
        <v>7</v>
      </c>
      <c r="D27" s="156" t="s">
        <v>339</v>
      </c>
      <c r="F27" s="154">
        <v>48</v>
      </c>
      <c r="G27" s="154"/>
      <c r="H27" s="185">
        <v>63.666666666666671</v>
      </c>
      <c r="I27" s="185">
        <f>('Exh No.__(JRS-17) p1-10'!C926)/12</f>
        <v>61.012626262626249</v>
      </c>
      <c r="K27" s="185">
        <v>856497.09877425549</v>
      </c>
      <c r="L27" s="185">
        <f ca="1">('Exh No.__(JRS-17) p1-10'!C936)/1000</f>
        <v>386902.4067403879</v>
      </c>
      <c r="N27" s="206">
        <v>38996.209349631463</v>
      </c>
      <c r="O27" s="186">
        <f ca="1">('Exh No.__(JRS-17) p1-10'!I936)/1000</f>
        <v>26035.610215484656</v>
      </c>
      <c r="P27" s="187"/>
      <c r="Q27" s="188">
        <f t="shared" ca="1" si="0"/>
        <v>28941.492640007382</v>
      </c>
      <c r="R27" s="186"/>
      <c r="S27" s="188">
        <f t="shared" ca="1" si="1"/>
        <v>29103.604748431604</v>
      </c>
      <c r="T27" s="186"/>
      <c r="U27" s="186">
        <f t="shared" ca="1" si="2"/>
        <v>2905.8824245227252</v>
      </c>
      <c r="V27" s="187">
        <f t="shared" ca="1" si="5"/>
        <v>0.11161184241398937</v>
      </c>
      <c r="W27" s="186">
        <f t="shared" ca="1" si="3"/>
        <v>162.11210842422253</v>
      </c>
      <c r="X27" s="189">
        <f t="shared" ca="1" si="6"/>
        <v>6.2265530587720386E-3</v>
      </c>
      <c r="Y27" s="186">
        <f t="shared" ca="1" si="4"/>
        <v>3067.9945329469479</v>
      </c>
      <c r="Z27" s="189">
        <f t="shared" ca="1" si="7"/>
        <v>0.11783839547276141</v>
      </c>
      <c r="AA27" s="187"/>
      <c r="AB27" s="190">
        <f t="shared" ca="1" si="8"/>
        <v>4.19E-2</v>
      </c>
      <c r="AC27" s="187"/>
      <c r="AD27" s="191">
        <f t="shared" ca="1" si="9"/>
        <v>7.4803082471976365</v>
      </c>
      <c r="AE27" s="187"/>
      <c r="AF27" s="192">
        <f t="shared" ca="1" si="10"/>
        <v>0.75106341389925146</v>
      </c>
      <c r="AG27" s="187"/>
      <c r="AH27" s="186"/>
      <c r="AI27" s="194"/>
      <c r="AJ27" s="162"/>
    </row>
    <row r="28" spans="2:38">
      <c r="B28" s="86">
        <f>MAX(B$13:B26)+1</f>
        <v>8</v>
      </c>
      <c r="D28" s="156" t="s">
        <v>670</v>
      </c>
      <c r="F28" s="184" t="s">
        <v>671</v>
      </c>
      <c r="G28" s="154"/>
      <c r="H28" s="185">
        <v>63.666666666666671</v>
      </c>
      <c r="I28" s="185">
        <f>('Exh No.__(JRS-17) p1-10'!C1095)/12</f>
        <v>1</v>
      </c>
      <c r="K28" s="185">
        <v>856497.09877425549</v>
      </c>
      <c r="L28" s="185">
        <f ca="1">('Exh No.__(JRS-17) p1-10'!C1106)/1000</f>
        <v>447981.63051690854</v>
      </c>
      <c r="N28" s="206">
        <v>38996.209349631463</v>
      </c>
      <c r="O28" s="186">
        <f ca="1">('Exh No.__(JRS-17) p1-10'!I1106)/1000</f>
        <v>24940.664394958618</v>
      </c>
      <c r="P28" s="187"/>
      <c r="Q28" s="188">
        <f t="shared" ref="Q28" ca="1" si="11">O28+U28</f>
        <v>27724.337899108934</v>
      </c>
      <c r="R28" s="186"/>
      <c r="S28" s="188">
        <f t="shared" ca="1" si="1"/>
        <v>27879.7875248983</v>
      </c>
      <c r="T28" s="186"/>
      <c r="U28" s="186">
        <f ca="1">O28*V28</f>
        <v>2783.6735041503171</v>
      </c>
      <c r="V28" s="187">
        <f t="shared" ref="V28" ca="1" si="12">$V$50</f>
        <v>0.11161184241398937</v>
      </c>
      <c r="W28" s="186">
        <f t="shared" ca="1" si="3"/>
        <v>155.44962578936727</v>
      </c>
      <c r="X28" s="189">
        <f t="shared" ca="1" si="6"/>
        <v>6.2327780578607635E-3</v>
      </c>
      <c r="Y28" s="186">
        <f t="shared" ca="1" si="4"/>
        <v>2939.1231299396845</v>
      </c>
      <c r="Z28" s="189">
        <f t="shared" ca="1" si="7"/>
        <v>0.11784462047185015</v>
      </c>
      <c r="AA28" s="187"/>
      <c r="AB28" s="190">
        <f t="shared" ca="1" si="8"/>
        <v>3.4700000000000002E-2</v>
      </c>
      <c r="AC28" s="187"/>
      <c r="AD28" s="191">
        <f t="shared" ca="1" si="9"/>
        <v>6.1887220391422968</v>
      </c>
      <c r="AE28" s="187"/>
      <c r="AF28" s="192">
        <f t="shared" ca="1" si="10"/>
        <v>0.62138117157579531</v>
      </c>
      <c r="AG28" s="187"/>
      <c r="AH28" s="186"/>
      <c r="AI28" s="194"/>
      <c r="AJ28" s="162"/>
    </row>
    <row r="29" spans="2:38">
      <c r="B29" s="86">
        <f>MAX(B$13:B28)+1</f>
        <v>9</v>
      </c>
      <c r="D29" s="156" t="s">
        <v>192</v>
      </c>
      <c r="F29" s="154" t="s">
        <v>193</v>
      </c>
      <c r="G29" s="154"/>
      <c r="H29" s="185">
        <v>28</v>
      </c>
      <c r="I29" s="185">
        <f>'Exh No.__(JRS-17) p1-10'!C1226/12</f>
        <v>29.977777777777749</v>
      </c>
      <c r="K29" s="185">
        <v>233.86177246899351</v>
      </c>
      <c r="L29" s="185">
        <f>'Exh No.__(JRS-17) p1-10'!C1232/1000</f>
        <v>294.55045303791917</v>
      </c>
      <c r="N29" s="206">
        <v>18.659249899021408</v>
      </c>
      <c r="O29" s="186">
        <f>'Exh No.__(JRS-17) p1-10'!I1232/1000</f>
        <v>25.790024491772925</v>
      </c>
      <c r="P29" s="187"/>
      <c r="Q29" s="188">
        <f t="shared" ca="1" si="0"/>
        <v>27.07323972694504</v>
      </c>
      <c r="R29" s="186"/>
      <c r="S29" s="188">
        <f t="shared" ca="1" si="1"/>
        <v>27.234064274303744</v>
      </c>
      <c r="T29" s="186"/>
      <c r="U29" s="186">
        <f t="shared" ca="1" si="2"/>
        <v>1.2832152351721162</v>
      </c>
      <c r="V29" s="187">
        <f ca="1">$V$51</f>
        <v>4.9756262758938623E-2</v>
      </c>
      <c r="W29" s="186">
        <f t="shared" ca="1" si="3"/>
        <v>0.16082454735870388</v>
      </c>
      <c r="X29" s="189">
        <f t="shared" ca="1" si="6"/>
        <v>6.235920691351312E-3</v>
      </c>
      <c r="Y29" s="186">
        <f t="shared" ca="1" si="4"/>
        <v>1.4440397825308202</v>
      </c>
      <c r="Z29" s="189">
        <f t="shared" ca="1" si="7"/>
        <v>5.5992183450289938E-2</v>
      </c>
      <c r="AA29" s="187"/>
      <c r="AB29" s="190">
        <f t="shared" ca="1" si="8"/>
        <v>5.4600000000000003E-2</v>
      </c>
      <c r="AC29" s="187"/>
      <c r="AD29" s="191">
        <f t="shared" ca="1" si="9"/>
        <v>9.1913760266597677</v>
      </c>
      <c r="AE29" s="187"/>
      <c r="AF29" s="192">
        <f t="shared" ca="1" si="10"/>
        <v>0.43565210032351254</v>
      </c>
      <c r="AG29" s="187"/>
      <c r="AH29" s="186"/>
      <c r="AI29" s="194"/>
      <c r="AJ29" s="162"/>
    </row>
    <row r="30" spans="2:38">
      <c r="B30" s="171"/>
      <c r="F30" s="154"/>
      <c r="G30" s="154"/>
      <c r="H30" s="196"/>
      <c r="I30" s="196"/>
      <c r="K30" s="196"/>
      <c r="L30" s="196"/>
      <c r="N30" s="196"/>
      <c r="O30" s="196"/>
      <c r="P30" s="162"/>
      <c r="Q30" s="197"/>
      <c r="R30" s="162"/>
      <c r="S30" s="197"/>
      <c r="T30" s="162"/>
      <c r="U30" s="196"/>
      <c r="V30" s="1629"/>
      <c r="W30" s="196"/>
      <c r="X30" s="199"/>
      <c r="Y30" s="196"/>
      <c r="Z30" s="199"/>
      <c r="AA30" s="162"/>
      <c r="AB30" s="200"/>
      <c r="AC30" s="162"/>
      <c r="AD30" s="197"/>
      <c r="AE30" s="162"/>
      <c r="AF30" s="201"/>
      <c r="AG30" s="162"/>
      <c r="AH30" s="186"/>
      <c r="AI30" s="162"/>
      <c r="AJ30" s="162"/>
    </row>
    <row r="31" spans="2:38">
      <c r="B31" s="171"/>
      <c r="V31" s="1148"/>
      <c r="X31" s="202"/>
      <c r="Z31" s="202"/>
      <c r="AB31" s="203"/>
      <c r="AF31" s="204"/>
      <c r="AH31" s="186"/>
      <c r="AI31" s="162"/>
      <c r="AJ31" s="162"/>
    </row>
    <row r="32" spans="2:38">
      <c r="B32" s="86">
        <f>MAX(B$13:B31)+1</f>
        <v>10</v>
      </c>
      <c r="D32" s="183" t="s">
        <v>340</v>
      </c>
      <c r="H32" s="205">
        <f>SUM(H22:H29)</f>
        <v>23780.5</v>
      </c>
      <c r="I32" s="205">
        <f>SUM(I22:I29)</f>
        <v>25182.428024905177</v>
      </c>
      <c r="K32" s="205">
        <f>SUM(K22:K29)</f>
        <v>3297111.0499705928</v>
      </c>
      <c r="L32" s="205">
        <f ca="1">SUM(L22:L29)</f>
        <v>2424681.1953612347</v>
      </c>
      <c r="M32" s="205"/>
      <c r="N32" s="186">
        <f>SUM(N22:N29)</f>
        <v>170969.95465759834</v>
      </c>
      <c r="O32" s="186">
        <f ca="1">SUM(O22:O29)</f>
        <v>179243.75420998497</v>
      </c>
      <c r="P32" s="187"/>
      <c r="Q32" s="188">
        <f ca="1">SUM(Q22:Q29)</f>
        <v>195466.07247437586</v>
      </c>
      <c r="R32" s="206"/>
      <c r="S32" s="188">
        <f ca="1">SUM(S22:S29)</f>
        <v>196583.04184015025</v>
      </c>
      <c r="T32" s="206"/>
      <c r="U32" s="186">
        <f ca="1">SUM(U22:U29)</f>
        <v>16222.318264390946</v>
      </c>
      <c r="V32" s="187">
        <f ca="1">U32/O32</f>
        <v>9.0504231714464187E-2</v>
      </c>
      <c r="W32" s="186">
        <f ca="1">SUM(W22:W29)</f>
        <v>1116.9693657743733</v>
      </c>
      <c r="X32" s="189">
        <f ca="1">W32/O32</f>
        <v>6.2315664537233358E-3</v>
      </c>
      <c r="Y32" s="186">
        <f ca="1">U32+W32</f>
        <v>17339.28763016532</v>
      </c>
      <c r="Z32" s="189"/>
      <c r="AA32" s="187"/>
      <c r="AB32" s="190"/>
      <c r="AC32" s="187"/>
      <c r="AD32" s="191">
        <f ca="1">Q32/L32*100</f>
        <v>8.0615164108308637</v>
      </c>
      <c r="AE32" s="187"/>
      <c r="AF32" s="192">
        <f ca="1">(U32/L32)*100</f>
        <v>0.66904953506574738</v>
      </c>
      <c r="AG32" s="187"/>
      <c r="AH32" s="186"/>
      <c r="AI32" s="194"/>
      <c r="AJ32" s="162"/>
    </row>
    <row r="33" spans="2:37">
      <c r="B33" s="171"/>
      <c r="V33" s="1148"/>
      <c r="X33" s="202"/>
      <c r="Z33" s="202"/>
      <c r="AB33" s="203"/>
      <c r="AF33" s="204"/>
      <c r="AH33" s="186"/>
      <c r="AI33" s="162"/>
      <c r="AJ33" s="162"/>
      <c r="AK33" s="157" t="s">
        <v>31</v>
      </c>
    </row>
    <row r="34" spans="2:37">
      <c r="B34" s="171"/>
      <c r="D34" s="183" t="s">
        <v>194</v>
      </c>
      <c r="V34" s="1148"/>
      <c r="X34" s="202"/>
      <c r="Z34" s="202"/>
      <c r="AB34" s="203"/>
      <c r="AF34" s="204"/>
      <c r="AH34" s="186"/>
      <c r="AI34" s="162"/>
      <c r="AJ34" s="162"/>
    </row>
    <row r="35" spans="2:37">
      <c r="B35" s="86">
        <f>MAX(B$13:B34)+1</f>
        <v>11</v>
      </c>
      <c r="D35" s="156" t="s">
        <v>190</v>
      </c>
      <c r="F35" s="154" t="s">
        <v>191</v>
      </c>
      <c r="G35" s="154"/>
      <c r="H35" s="185">
        <v>2828</v>
      </c>
      <c r="I35" s="185">
        <f>'Exh No.__(JRS-17) p1-10'!C24/12</f>
        <v>2531.9166666666665</v>
      </c>
      <c r="K35" s="185">
        <v>3735.0893644456642</v>
      </c>
      <c r="L35" s="185">
        <f ca="1">'Exh No.__(JRS-17) p1-10'!C27/1000</f>
        <v>3355.2350684260427</v>
      </c>
      <c r="N35" s="206">
        <v>473.92026673033644</v>
      </c>
      <c r="O35" s="186">
        <f ca="1">'Exh No.__(JRS-17) p1-10'!I27/1000</f>
        <v>468.63441510785196</v>
      </c>
      <c r="P35" s="187"/>
      <c r="Q35" s="188">
        <f ca="1">O35+U35</f>
        <v>491.95191220383975</v>
      </c>
      <c r="R35" s="186"/>
      <c r="S35" s="188">
        <f ca="1">Q35+W35</f>
        <v>494.87096671337042</v>
      </c>
      <c r="T35" s="186"/>
      <c r="U35" s="186">
        <f ca="1">O35*V35</f>
        <v>23.317497095987797</v>
      </c>
      <c r="V35" s="187">
        <f ca="1">$V$51</f>
        <v>4.9756262758938623E-2</v>
      </c>
      <c r="W35" s="186">
        <f ca="1">(AB35/100)*L35</f>
        <v>2.9190545095306568</v>
      </c>
      <c r="X35" s="189">
        <f ca="1">W35/O35</f>
        <v>6.2288522042472337E-3</v>
      </c>
      <c r="Y35" s="186">
        <f ca="1">U35+W35</f>
        <v>26.236551605518454</v>
      </c>
      <c r="Z35" s="189">
        <f ca="1">Y35/O35</f>
        <v>5.5985114963185853E-2</v>
      </c>
      <c r="AA35" s="187"/>
      <c r="AB35" s="190">
        <f ca="1">ROUND((((O35/$O$44)*$W$53)/L35)*100,4)</f>
        <v>8.6999999999999994E-2</v>
      </c>
      <c r="AC35" s="187"/>
      <c r="AD35" s="191">
        <f ca="1">Q35/L35*100</f>
        <v>14.662218955484892</v>
      </c>
      <c r="AE35" s="187"/>
      <c r="AF35" s="192">
        <f ca="1">(U35/L35)*100</f>
        <v>0.6949586726549728</v>
      </c>
      <c r="AG35" s="187"/>
      <c r="AH35" s="186"/>
      <c r="AI35" s="194"/>
      <c r="AJ35" s="162"/>
    </row>
    <row r="36" spans="2:37">
      <c r="B36" s="86">
        <f>MAX(B$13:B35)+1</f>
        <v>12</v>
      </c>
      <c r="D36" s="156" t="s">
        <v>341</v>
      </c>
      <c r="F36" s="154" t="s">
        <v>342</v>
      </c>
      <c r="G36" s="154"/>
      <c r="H36" s="185">
        <v>178</v>
      </c>
      <c r="I36" s="185">
        <f>'Exh No.__(JRS-17) p1-10'!C1137/12</f>
        <v>163</v>
      </c>
      <c r="K36" s="185">
        <v>2902.2385934150548</v>
      </c>
      <c r="L36" s="185">
        <f>'Exh No.__(JRS-17) p1-10'!C1141/1000</f>
        <v>3186.5956037362384</v>
      </c>
      <c r="N36" s="206">
        <v>522.31224201957195</v>
      </c>
      <c r="O36" s="186">
        <f>'Exh No.__(JRS-17) p1-10'!I1141/1000</f>
        <v>620.98089382532601</v>
      </c>
      <c r="P36" s="187"/>
      <c r="Q36" s="188">
        <f ca="1">O36+U36</f>
        <v>651.87858234677947</v>
      </c>
      <c r="R36" s="186"/>
      <c r="S36" s="188">
        <f ca="1">Q36+W36</f>
        <v>655.74710940971522</v>
      </c>
      <c r="T36" s="186"/>
      <c r="U36" s="186">
        <f ca="1">O36*V36</f>
        <v>30.897688521453489</v>
      </c>
      <c r="V36" s="187">
        <f t="shared" ref="V36:V39" ca="1" si="13">$V$51</f>
        <v>4.9756262758938623E-2</v>
      </c>
      <c r="W36" s="186">
        <f ca="1">(AB36/100)*L36</f>
        <v>3.8685270629357937</v>
      </c>
      <c r="X36" s="189">
        <f ca="1">W36/O36</f>
        <v>6.2297038466113596E-3</v>
      </c>
      <c r="Y36" s="186">
        <f ca="1">U36+W36</f>
        <v>34.766215584389286</v>
      </c>
      <c r="Z36" s="189">
        <f ca="1">Y36/O36</f>
        <v>5.598596660554999E-2</v>
      </c>
      <c r="AA36" s="187"/>
      <c r="AB36" s="190">
        <f ca="1">ROUND((((O36/$O$44)*$W$53)/L36)*100,4)</f>
        <v>0.12139999999999999</v>
      </c>
      <c r="AC36" s="187"/>
      <c r="AD36" s="191">
        <f ca="1">Q36/L36*100</f>
        <v>20.456897059120429</v>
      </c>
      <c r="AE36" s="187"/>
      <c r="AF36" s="192">
        <f ca="1">(U36/L36)*100</f>
        <v>0.9696143585093252</v>
      </c>
      <c r="AG36" s="187"/>
      <c r="AH36" s="186"/>
      <c r="AI36" s="194"/>
      <c r="AJ36" s="162"/>
    </row>
    <row r="37" spans="2:37">
      <c r="B37" s="86">
        <f>MAX(B$13:B36)+1</f>
        <v>13</v>
      </c>
      <c r="D37" s="156" t="s">
        <v>341</v>
      </c>
      <c r="F37" s="154">
        <v>52</v>
      </c>
      <c r="G37" s="154"/>
      <c r="H37" s="185">
        <v>30</v>
      </c>
      <c r="I37" s="185">
        <f>'Exh No.__(JRS-17) p1-10'!C1153/12</f>
        <v>15</v>
      </c>
      <c r="K37" s="185">
        <v>466.2387672357238</v>
      </c>
      <c r="L37" s="185">
        <f>'Exh No.__(JRS-17) p1-10'!C1158/1000</f>
        <v>198.34085987577339</v>
      </c>
      <c r="N37" s="206">
        <v>60.670270195709442</v>
      </c>
      <c r="O37" s="186">
        <f>'Exh No.__(JRS-17) p1-10'!I1158/1000</f>
        <v>33.511850718803466</v>
      </c>
      <c r="P37" s="187"/>
      <c r="Q37" s="188">
        <f ca="1">O37+U37</f>
        <v>35.179275168706575</v>
      </c>
      <c r="R37" s="186"/>
      <c r="S37" s="188">
        <f ca="1">Q37+W37</f>
        <v>35.388128094155761</v>
      </c>
      <c r="T37" s="186"/>
      <c r="U37" s="186">
        <f ca="1">O37*V37</f>
        <v>1.6674244499031114</v>
      </c>
      <c r="V37" s="187">
        <f t="shared" ca="1" si="13"/>
        <v>4.9756262758938623E-2</v>
      </c>
      <c r="W37" s="186">
        <f ca="1">(AB37/100)*L37</f>
        <v>0.2088529254491894</v>
      </c>
      <c r="X37" s="189">
        <f ca="1">W37/O37</f>
        <v>6.2322110229502256E-3</v>
      </c>
      <c r="Y37" s="186">
        <f ca="1">U37+W37</f>
        <v>1.8762773753523008</v>
      </c>
      <c r="Z37" s="189">
        <f ca="1">Y37/O37</f>
        <v>5.5988473781888849E-2</v>
      </c>
      <c r="AA37" s="187"/>
      <c r="AB37" s="190">
        <f ca="1">ROUND((((O37/$O$44)*$W$53)/L37)*100,4)</f>
        <v>0.1053</v>
      </c>
      <c r="AC37" s="187"/>
      <c r="AD37" s="191">
        <f ca="1">Q37/L37*100</f>
        <v>17.736776572785036</v>
      </c>
      <c r="AE37" s="187"/>
      <c r="AF37" s="192">
        <f ca="1">(U37/L37)*100</f>
        <v>0.84068630686963219</v>
      </c>
      <c r="AG37" s="187"/>
      <c r="AH37" s="186"/>
      <c r="AI37" s="194"/>
      <c r="AJ37" s="162"/>
    </row>
    <row r="38" spans="2:37">
      <c r="B38" s="86">
        <f>MAX(B$13:B37)+1</f>
        <v>14</v>
      </c>
      <c r="D38" s="156" t="s">
        <v>341</v>
      </c>
      <c r="F38" s="154">
        <v>53</v>
      </c>
      <c r="G38" s="154"/>
      <c r="H38" s="185">
        <v>272.33333333333337</v>
      </c>
      <c r="I38" s="185">
        <f>'Exh No.__(JRS-17) p1-10'!C1168/12</f>
        <v>217.08333333333334</v>
      </c>
      <c r="K38" s="185">
        <v>4499.9316487570059</v>
      </c>
      <c r="L38" s="185">
        <f>'Exh No.__(JRS-17) p1-10'!C1172/1000</f>
        <v>4161.9537848388163</v>
      </c>
      <c r="N38" s="185">
        <v>278.83306975907675</v>
      </c>
      <c r="O38" s="186">
        <f>'Exh No.__(JRS-17) p1-10'!I1172/1000</f>
        <v>286.22928702344217</v>
      </c>
      <c r="P38" s="187"/>
      <c r="Q38" s="188">
        <f ca="1">O38+U38</f>
        <v>300.47098663788421</v>
      </c>
      <c r="R38" s="186"/>
      <c r="S38" s="188">
        <f ca="1">Q38+W38</f>
        <v>302.25646481158009</v>
      </c>
      <c r="T38" s="186"/>
      <c r="U38" s="186">
        <f ca="1">O38*V38</f>
        <v>14.24169961444205</v>
      </c>
      <c r="V38" s="187">
        <f t="shared" ca="1" si="13"/>
        <v>4.9756262758938623E-2</v>
      </c>
      <c r="W38" s="186">
        <f ca="1">(AB38/100)*L38</f>
        <v>1.7854781736958523</v>
      </c>
      <c r="X38" s="189">
        <f ca="1">W38/O38</f>
        <v>6.2379297110488263E-3</v>
      </c>
      <c r="Y38" s="186">
        <f ca="1">U38+W38</f>
        <v>16.027177788137902</v>
      </c>
      <c r="Z38" s="189">
        <f ca="1">Y38/O38</f>
        <v>5.599419246998745E-2</v>
      </c>
      <c r="AA38" s="187"/>
      <c r="AB38" s="190">
        <f ca="1">ROUND((((O38/$O$44)*$W$53)/L38)*100,4)</f>
        <v>4.2900000000000001E-2</v>
      </c>
      <c r="AC38" s="187"/>
      <c r="AD38" s="191">
        <f ca="1">Q38/L38*100</f>
        <v>7.2194695609653632</v>
      </c>
      <c r="AE38" s="187"/>
      <c r="AF38" s="192">
        <f ca="1">(U38/L38)*100</f>
        <v>0.34218783654738738</v>
      </c>
      <c r="AG38" s="187"/>
      <c r="AH38" s="186"/>
      <c r="AI38" s="194"/>
      <c r="AJ38" s="162"/>
    </row>
    <row r="39" spans="2:37">
      <c r="B39" s="86">
        <f>MAX(B$13:B38)+1</f>
        <v>15</v>
      </c>
      <c r="D39" s="156" t="s">
        <v>341</v>
      </c>
      <c r="F39" s="154">
        <v>57</v>
      </c>
      <c r="G39" s="154"/>
      <c r="H39" s="185">
        <v>50.666666666666664</v>
      </c>
      <c r="I39" s="185">
        <f>'Exh No.__(JRS-17) p1-10'!C1268/12</f>
        <v>33.916666666666664</v>
      </c>
      <c r="K39" s="185">
        <v>2174.0459905922153</v>
      </c>
      <c r="L39" s="185">
        <f>'Exh No.__(JRS-17) p1-10'!C1272/1000</f>
        <v>1743.2558167712143</v>
      </c>
      <c r="N39" s="185">
        <v>235.8029580256418</v>
      </c>
      <c r="O39" s="186">
        <f>'Exh No.__(JRS-17) p1-10'!I1272/1000</f>
        <v>212.91005677457667</v>
      </c>
      <c r="P39" s="187"/>
      <c r="Q39" s="188">
        <f ca="1">O39+U39</f>
        <v>223.50366550347306</v>
      </c>
      <c r="R39" s="186"/>
      <c r="S39" s="188">
        <f ca="1">Q39+W39</f>
        <v>224.83028318003596</v>
      </c>
      <c r="T39" s="186"/>
      <c r="U39" s="186">
        <f ca="1">O39*V39</f>
        <v>10.593608728896378</v>
      </c>
      <c r="V39" s="187">
        <f t="shared" ca="1" si="13"/>
        <v>4.9756262758938623E-2</v>
      </c>
      <c r="W39" s="186">
        <f ca="1">(AB39/100)*L39</f>
        <v>1.3266176765628941</v>
      </c>
      <c r="X39" s="189">
        <f ca="1">W39/O39</f>
        <v>6.2308831093285579E-3</v>
      </c>
      <c r="Y39" s="186">
        <f ca="1">U39+W39</f>
        <v>11.920226405459271</v>
      </c>
      <c r="Z39" s="189">
        <f ca="1">Y39/O39</f>
        <v>5.5987145868267182E-2</v>
      </c>
      <c r="AA39" s="187"/>
      <c r="AB39" s="190">
        <f ca="1">ROUND((((O39/$O$44)*$W$53)/L39)*100,4)</f>
        <v>7.6100000000000001E-2</v>
      </c>
      <c r="AC39" s="187"/>
      <c r="AD39" s="191">
        <f ca="1">Q39/L39*100</f>
        <v>12.821048027101224</v>
      </c>
      <c r="AE39" s="187"/>
      <c r="AF39" s="192">
        <f ca="1">(U39/L39)*100</f>
        <v>0.60769100134238574</v>
      </c>
      <c r="AG39" s="187"/>
      <c r="AH39" s="186"/>
      <c r="AI39" s="194"/>
      <c r="AJ39" s="162"/>
    </row>
    <row r="40" spans="2:37">
      <c r="B40" s="171"/>
      <c r="H40" s="196"/>
      <c r="I40" s="196"/>
      <c r="K40" s="196"/>
      <c r="L40" s="196"/>
      <c r="N40" s="196"/>
      <c r="O40" s="196"/>
      <c r="P40" s="162"/>
      <c r="Q40" s="197"/>
      <c r="R40" s="162"/>
      <c r="S40" s="197"/>
      <c r="T40" s="162"/>
      <c r="U40" s="196"/>
      <c r="V40" s="1629"/>
      <c r="W40" s="196"/>
      <c r="X40" s="199"/>
      <c r="Y40" s="196"/>
      <c r="Z40" s="199"/>
      <c r="AA40" s="162"/>
      <c r="AB40" s="200"/>
      <c r="AC40" s="162"/>
      <c r="AD40" s="197"/>
      <c r="AE40" s="162"/>
      <c r="AF40" s="201"/>
      <c r="AG40" s="162"/>
      <c r="AH40" s="186"/>
      <c r="AI40" s="162"/>
      <c r="AJ40" s="162"/>
    </row>
    <row r="41" spans="2:37">
      <c r="B41" s="171"/>
      <c r="V41" s="1148"/>
      <c r="X41" s="202"/>
      <c r="Z41" s="202"/>
      <c r="AB41" s="203"/>
      <c r="AF41" s="204"/>
      <c r="AH41" s="186"/>
      <c r="AI41" s="162"/>
      <c r="AJ41" s="162"/>
    </row>
    <row r="42" spans="2:37">
      <c r="B42" s="86">
        <f>MAX(B$13:B41)+1</f>
        <v>16</v>
      </c>
      <c r="D42" s="183" t="s">
        <v>343</v>
      </c>
      <c r="H42" s="210">
        <f>SUM(H35:H39)</f>
        <v>3359</v>
      </c>
      <c r="I42" s="210">
        <f>SUM(I35:I39)</f>
        <v>2960.9166666666665</v>
      </c>
      <c r="K42" s="210">
        <f>SUM(K35:K39)</f>
        <v>13777.544364445665</v>
      </c>
      <c r="L42" s="210">
        <f ca="1">SUM(L35:L39)</f>
        <v>12645.381133648085</v>
      </c>
      <c r="M42" s="205"/>
      <c r="N42" s="211">
        <f>SUM(N35:N39)</f>
        <v>1571.5388067303365</v>
      </c>
      <c r="O42" s="211">
        <f ca="1">SUM(O35:O39)</f>
        <v>1622.2665034500001</v>
      </c>
      <c r="P42" s="194"/>
      <c r="Q42" s="211">
        <f ca="1">SUM(Q35:Q39)</f>
        <v>1702.9844218606831</v>
      </c>
      <c r="R42" s="212"/>
      <c r="S42" s="211">
        <f ca="1">SUM(S35:S39)</f>
        <v>1713.0929522088577</v>
      </c>
      <c r="T42" s="212"/>
      <c r="U42" s="211">
        <f ca="1">SUM(U35:U39)</f>
        <v>80.717918410682813</v>
      </c>
      <c r="V42" s="1630">
        <f ca="1">U42/O42</f>
        <v>4.9756262758938623E-2</v>
      </c>
      <c r="W42" s="211">
        <f ca="1">SUM(W35:W39)</f>
        <v>10.108530348174385</v>
      </c>
      <c r="X42" s="213">
        <f ca="1">W42/O42</f>
        <v>6.2311157424979405E-3</v>
      </c>
      <c r="Y42" s="211">
        <f ca="1">U42+W42</f>
        <v>90.826448758857197</v>
      </c>
      <c r="Z42" s="213">
        <f ca="1">Y42/O42</f>
        <v>5.5987378501436563E-2</v>
      </c>
      <c r="AA42" s="194"/>
      <c r="AB42" s="190"/>
      <c r="AC42" s="194"/>
      <c r="AD42" s="214">
        <f ca="1">Q42/L42*100</f>
        <v>13.467244710633619</v>
      </c>
      <c r="AE42" s="194"/>
      <c r="AF42" s="215">
        <f ca="1">(U42/L42)*100</f>
        <v>0.63831937968164976</v>
      </c>
      <c r="AG42" s="194"/>
      <c r="AH42" s="186"/>
      <c r="AI42" s="194"/>
      <c r="AJ42" s="162"/>
    </row>
    <row r="43" spans="2:37">
      <c r="B43" s="171"/>
      <c r="D43" s="183"/>
      <c r="H43" s="217"/>
      <c r="I43" s="217"/>
      <c r="K43" s="217"/>
      <c r="L43" s="217"/>
      <c r="M43" s="205"/>
      <c r="N43" s="212"/>
      <c r="O43" s="212"/>
      <c r="P43" s="212"/>
      <c r="Q43" s="212"/>
      <c r="R43" s="212"/>
      <c r="S43" s="212"/>
      <c r="T43" s="212"/>
      <c r="U43" s="212"/>
      <c r="V43" s="219"/>
      <c r="W43" s="212"/>
      <c r="X43" s="218"/>
      <c r="Y43" s="212"/>
      <c r="Z43" s="219"/>
      <c r="AA43" s="212"/>
      <c r="AB43" s="220"/>
      <c r="AC43" s="212"/>
      <c r="AD43" s="212"/>
      <c r="AE43" s="212"/>
      <c r="AF43" s="221"/>
      <c r="AG43" s="212"/>
      <c r="AH43" s="186"/>
      <c r="AI43" s="212"/>
      <c r="AJ43" s="162"/>
    </row>
    <row r="44" spans="2:37" ht="16.5" thickBot="1">
      <c r="B44" s="86">
        <f>MAX(B$13:B43)+1</f>
        <v>17</v>
      </c>
      <c r="D44" s="222" t="s">
        <v>344</v>
      </c>
      <c r="H44" s="223">
        <f>H42+H32+H19</f>
        <v>128476.41666666667</v>
      </c>
      <c r="I44" s="223">
        <f>I42+I32+I19</f>
        <v>132778.43714676326</v>
      </c>
      <c r="K44" s="223">
        <f>K42+K32+K19</f>
        <v>4880827.1987742558</v>
      </c>
      <c r="L44" s="223">
        <f ca="1">L42+L32+L19</f>
        <v>4010161.4332736093</v>
      </c>
      <c r="N44" s="224">
        <f>N42+N32+N19</f>
        <v>275214.43788963149</v>
      </c>
      <c r="O44" s="224">
        <f ca="1">O42+O32+O19</f>
        <v>320954.13952952309</v>
      </c>
      <c r="P44" s="194"/>
      <c r="Q44" s="224">
        <f ca="1">Q42+Q32+Q19</f>
        <v>352892.66875369812</v>
      </c>
      <c r="R44" s="225"/>
      <c r="S44" s="224">
        <f ca="1">S42+S32+S19</f>
        <v>354892.66999533284</v>
      </c>
      <c r="T44" s="225"/>
      <c r="U44" s="224">
        <f ca="1">U42+U32+U19</f>
        <v>31938.529224175076</v>
      </c>
      <c r="V44" s="1631">
        <f ca="1">U44/O44</f>
        <v>9.9511192692491188E-2</v>
      </c>
      <c r="W44" s="224">
        <f ca="1">W42+W32+W19</f>
        <v>2000.0012416347408</v>
      </c>
      <c r="X44" s="226">
        <f ca="1">W44/O44</f>
        <v>6.2314237310242574E-3</v>
      </c>
      <c r="Y44" s="224">
        <f ca="1">U44+W44</f>
        <v>33938.530465809818</v>
      </c>
      <c r="Z44" s="226">
        <f ca="1">Y44/O44</f>
        <v>0.10574261642351546</v>
      </c>
      <c r="AA44" s="194"/>
      <c r="AB44" s="227">
        <f ca="1">ROUND((((O44/$O$44)*$W$53)/L44)*100,4)</f>
        <v>4.99E-2</v>
      </c>
      <c r="AC44" s="194"/>
      <c r="AD44" s="228">
        <f ca="1">Q44/L44*100</f>
        <v>8.7999616630301514</v>
      </c>
      <c r="AE44" s="194"/>
      <c r="AF44" s="228">
        <f ca="1">(U44/L44)*100</f>
        <v>0.79643998765662527</v>
      </c>
      <c r="AG44" s="194"/>
      <c r="AH44" s="186"/>
      <c r="AI44" s="194"/>
      <c r="AJ44" s="195" t="s">
        <v>31</v>
      </c>
    </row>
    <row r="45" spans="2:37" ht="16.5" thickTop="1">
      <c r="B45" s="1714" t="s">
        <v>31</v>
      </c>
      <c r="C45" s="1715"/>
      <c r="D45" s="1715"/>
      <c r="H45" s="229"/>
      <c r="I45" s="229"/>
      <c r="K45" s="229"/>
      <c r="L45" s="229"/>
      <c r="N45" s="225"/>
      <c r="O45" s="225"/>
      <c r="P45" s="194"/>
      <c r="Q45" s="225"/>
      <c r="R45" s="225"/>
      <c r="S45" s="225"/>
      <c r="T45" s="225"/>
      <c r="U45" s="225"/>
      <c r="V45" s="1148"/>
      <c r="W45" s="225"/>
      <c r="X45" s="202"/>
      <c r="Y45" s="194"/>
      <c r="AA45" s="194"/>
      <c r="AB45" s="194"/>
      <c r="AC45" s="194"/>
      <c r="AD45" s="194"/>
      <c r="AE45" s="194"/>
      <c r="AF45" s="192"/>
      <c r="AG45" s="194"/>
      <c r="AH45" s="186"/>
      <c r="AI45" s="194"/>
      <c r="AJ45" s="162"/>
    </row>
    <row r="46" spans="2:37">
      <c r="B46" s="86">
        <v>18</v>
      </c>
      <c r="D46" s="230" t="s">
        <v>345</v>
      </c>
      <c r="H46" s="229"/>
      <c r="I46" s="229"/>
      <c r="K46" s="229"/>
      <c r="L46" s="229"/>
      <c r="N46" s="225">
        <v>311.00673999999998</v>
      </c>
      <c r="O46" s="188">
        <f ca="1">'Exh No.__(JRS-17) p1-10'!I1279/1000</f>
        <v>651.51829000000009</v>
      </c>
      <c r="P46" s="231"/>
      <c r="Q46" s="188">
        <f ca="1">O46</f>
        <v>651.51829000000009</v>
      </c>
      <c r="R46" s="225"/>
      <c r="S46" s="188">
        <f ca="1">Q46</f>
        <v>651.51829000000009</v>
      </c>
      <c r="T46" s="225"/>
      <c r="U46" s="776" t="s">
        <v>31</v>
      </c>
      <c r="V46" s="187"/>
      <c r="W46" s="209"/>
      <c r="X46" s="189"/>
      <c r="Y46" s="194"/>
      <c r="AA46" s="194"/>
      <c r="AB46" s="194"/>
      <c r="AC46" s="194"/>
      <c r="AD46" s="191"/>
      <c r="AE46" s="187"/>
      <c r="AF46" s="192"/>
      <c r="AG46" s="194"/>
      <c r="AH46" s="192"/>
      <c r="AI46" s="194"/>
      <c r="AJ46" s="162"/>
    </row>
    <row r="47" spans="2:37">
      <c r="B47" s="86"/>
      <c r="D47" s="230"/>
      <c r="H47" s="229"/>
      <c r="I47" s="229"/>
      <c r="K47" s="229"/>
      <c r="L47" s="229"/>
      <c r="N47" s="225"/>
      <c r="O47" s="225"/>
      <c r="P47" s="231"/>
      <c r="Q47" s="188"/>
      <c r="R47" s="225"/>
      <c r="S47" s="188"/>
      <c r="T47" s="225"/>
      <c r="U47" s="209"/>
      <c r="V47" s="187"/>
      <c r="W47" s="209"/>
      <c r="X47" s="189"/>
      <c r="Y47" s="194"/>
      <c r="AA47" s="194"/>
      <c r="AB47" s="194"/>
      <c r="AC47" s="194"/>
      <c r="AD47" s="191"/>
      <c r="AE47" s="187"/>
      <c r="AF47" s="192"/>
      <c r="AG47" s="194"/>
      <c r="AH47" s="192"/>
      <c r="AI47" s="194"/>
      <c r="AJ47" s="162"/>
    </row>
    <row r="48" spans="2:37" ht="16.5" thickBot="1">
      <c r="B48" s="86">
        <v>19</v>
      </c>
      <c r="D48" s="87" t="s">
        <v>195</v>
      </c>
      <c r="H48" s="232">
        <f>SUM(H44:H46)</f>
        <v>128476.41666666667</v>
      </c>
      <c r="I48" s="232">
        <f>SUM(I44:I46)</f>
        <v>132778.43714676326</v>
      </c>
      <c r="K48" s="232">
        <f>SUM(K44:K46)</f>
        <v>4880827.1987742558</v>
      </c>
      <c r="L48" s="232">
        <f ca="1">SUM(L44:L46)</f>
        <v>4010161.4332736093</v>
      </c>
      <c r="N48" s="224">
        <f>SUM(N44:N46)</f>
        <v>275525.44462963147</v>
      </c>
      <c r="O48" s="224">
        <f ca="1">SUM(O44:O46)</f>
        <v>321605.65781952307</v>
      </c>
      <c r="Q48" s="233">
        <f ca="1">SUM(Q44:Q46)</f>
        <v>353544.1870436981</v>
      </c>
      <c r="R48" s="225"/>
      <c r="S48" s="233">
        <f ca="1">SUM(S44:S46)</f>
        <v>355544.18828533281</v>
      </c>
      <c r="T48" s="225"/>
      <c r="U48" s="224">
        <f ca="1">SUM(U44:U46)</f>
        <v>31938.529224175076</v>
      </c>
      <c r="V48" s="1631">
        <f ca="1">U48/O48</f>
        <v>9.9309599963873049E-2</v>
      </c>
      <c r="W48" s="224">
        <f ca="1">SUM(W44:W46)</f>
        <v>2000.0012416347408</v>
      </c>
      <c r="X48" s="226">
        <f ca="1">W48/O48</f>
        <v>6.2187999278205822E-3</v>
      </c>
      <c r="AD48" s="228">
        <f ca="1">Q48/L48*100</f>
        <v>8.8162083478791491</v>
      </c>
      <c r="AE48" s="187"/>
      <c r="AF48" s="192">
        <f ca="1">(U48/L48)*100</f>
        <v>0.79643998765662527</v>
      </c>
      <c r="AH48" s="162"/>
      <c r="AI48" s="162"/>
      <c r="AJ48" s="162"/>
    </row>
    <row r="49" spans="14:35" ht="18.75" customHeight="1" thickTop="1">
      <c r="V49" s="234" t="s">
        <v>31</v>
      </c>
      <c r="X49" s="234" t="s">
        <v>31</v>
      </c>
    </row>
    <row r="50" spans="14:35" ht="18.75" customHeight="1">
      <c r="U50" s="155">
        <v>35895</v>
      </c>
      <c r="V50" s="801">
        <f ca="1">(U50/O48)</f>
        <v>0.11161184241398937</v>
      </c>
      <c r="X50" s="234"/>
      <c r="AD50" s="1148">
        <f ca="1">V50/V48</f>
        <v>1.1238776760211666</v>
      </c>
    </row>
    <row r="51" spans="14:35" ht="18.75" customHeight="1">
      <c r="U51" s="815" t="s">
        <v>1025</v>
      </c>
      <c r="V51" s="801">
        <f ca="1">V53/2</f>
        <v>4.9756262758938623E-2</v>
      </c>
      <c r="X51" s="234"/>
    </row>
    <row r="52" spans="14:35" ht="18.75" customHeight="1">
      <c r="U52" s="1627"/>
      <c r="V52" s="801" t="s">
        <v>31</v>
      </c>
      <c r="X52" s="234"/>
    </row>
    <row r="53" spans="14:35">
      <c r="N53" s="235"/>
      <c r="O53" s="235"/>
      <c r="P53" s="162"/>
      <c r="S53" s="209"/>
      <c r="U53" s="776" t="s">
        <v>39</v>
      </c>
      <c r="V53" s="801">
        <f ca="1">V55</f>
        <v>9.9512525517877246E-2</v>
      </c>
      <c r="W53" s="209">
        <v>2000</v>
      </c>
      <c r="X53" s="236"/>
      <c r="Y53" s="162"/>
      <c r="AA53" s="162"/>
      <c r="AB53" s="162"/>
      <c r="AC53" s="162"/>
      <c r="AD53" s="162"/>
      <c r="AE53" s="162"/>
      <c r="AF53" s="162"/>
      <c r="AG53" s="162"/>
      <c r="AH53" s="162"/>
      <c r="AI53" s="162"/>
    </row>
    <row r="54" spans="14:35">
      <c r="P54" s="162"/>
      <c r="U54" s="801"/>
      <c r="Y54" s="162"/>
      <c r="Z54" s="162"/>
      <c r="AA54" s="162"/>
      <c r="AB54" s="162"/>
      <c r="AC54" s="162"/>
      <c r="AD54" s="225"/>
      <c r="AE54" s="162"/>
      <c r="AF54" s="162"/>
      <c r="AG54" s="162"/>
      <c r="AH54" s="162"/>
      <c r="AI54" s="162"/>
    </row>
    <row r="55" spans="14:35">
      <c r="P55" s="193"/>
      <c r="U55" s="238"/>
      <c r="V55" s="239">
        <f ca="1">31938.957/O44</f>
        <v>9.9512525517877246E-2</v>
      </c>
      <c r="W55" s="238"/>
    </row>
    <row r="56" spans="14:35">
      <c r="P56" s="162"/>
      <c r="U56" s="240"/>
      <c r="V56" s="241"/>
      <c r="W56" s="240"/>
    </row>
    <row r="57" spans="14:35" hidden="1">
      <c r="P57" s="182"/>
      <c r="U57" s="242"/>
      <c r="V57" s="243"/>
      <c r="W57" s="242"/>
    </row>
    <row r="58" spans="14:35" hidden="1">
      <c r="P58" s="182"/>
      <c r="U58" s="242"/>
      <c r="V58" s="243"/>
      <c r="W58" s="242"/>
    </row>
    <row r="59" spans="14:35">
      <c r="P59" s="157"/>
      <c r="U59" s="242"/>
      <c r="V59" s="243"/>
      <c r="W59" s="242"/>
    </row>
    <row r="60" spans="14:35">
      <c r="P60" s="244"/>
      <c r="V60" s="202"/>
    </row>
    <row r="61" spans="14:35">
      <c r="P61" s="157"/>
      <c r="V61" s="245"/>
      <c r="AD61" s="157"/>
    </row>
    <row r="63" spans="14:35">
      <c r="P63" s="157"/>
      <c r="V63" s="245"/>
      <c r="X63" s="14"/>
    </row>
  </sheetData>
  <mergeCells count="4">
    <mergeCell ref="Q9:S9"/>
    <mergeCell ref="U9:Z9"/>
    <mergeCell ref="W11:X11"/>
    <mergeCell ref="B45:D45"/>
  </mergeCells>
  <printOptions horizontalCentered="1"/>
  <pageMargins left="0.25" right="0.25" top="0.5" bottom="0.25" header="0.5" footer="0.25"/>
  <pageSetup scale="76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T60"/>
  <sheetViews>
    <sheetView view="pageBreakPreview" zoomScale="60" zoomScaleNormal="75" workbookViewId="0">
      <selection activeCell="Q40" sqref="Q40"/>
    </sheetView>
  </sheetViews>
  <sheetFormatPr defaultRowHeight="15"/>
  <cols>
    <col min="1" max="1" width="6.75" style="1083" bestFit="1" customWidth="1"/>
    <col min="2" max="2" width="22.625" style="1083" customWidth="1"/>
    <col min="3" max="3" width="4.75" style="1083" customWidth="1"/>
    <col min="4" max="4" width="15.125" style="1083" bestFit="1" customWidth="1"/>
    <col min="5" max="5" width="14.25" style="1083" bestFit="1" customWidth="1"/>
    <col min="6" max="7" width="17.625" style="1083" bestFit="1" customWidth="1"/>
    <col min="8" max="8" width="18.75" style="1083" bestFit="1" customWidth="1"/>
    <col min="9" max="9" width="16.375" style="1083" bestFit="1" customWidth="1"/>
    <col min="10" max="10" width="15.25" style="1083" bestFit="1" customWidth="1"/>
    <col min="11" max="11" width="15.375" style="1083" bestFit="1" customWidth="1"/>
    <col min="12" max="12" width="14.25" style="1083" customWidth="1"/>
    <col min="13" max="13" width="10.75" style="1083" bestFit="1" customWidth="1"/>
    <col min="14" max="16384" width="9" style="1083"/>
  </cols>
  <sheetData>
    <row r="1" spans="1:11" ht="15.75">
      <c r="A1" s="1077"/>
      <c r="B1" s="1078" t="s">
        <v>743</v>
      </c>
      <c r="C1" s="1079"/>
      <c r="D1" s="1080"/>
      <c r="E1" s="1080"/>
      <c r="F1" s="1080"/>
      <c r="G1" s="1081"/>
      <c r="H1" s="1080"/>
      <c r="I1" s="1080"/>
      <c r="J1" s="1080"/>
      <c r="K1" s="1082"/>
    </row>
    <row r="2" spans="1:11" ht="15.75">
      <c r="A2" s="1084"/>
      <c r="B2" s="1078" t="s">
        <v>799</v>
      </c>
      <c r="C2" s="1079"/>
      <c r="D2" s="1080"/>
      <c r="E2" s="1080"/>
      <c r="F2" s="1080"/>
      <c r="G2" s="1081"/>
      <c r="H2" s="1080"/>
      <c r="I2" s="1080"/>
      <c r="J2" s="1080"/>
      <c r="K2" s="1082"/>
    </row>
    <row r="3" spans="1:11" ht="15.75">
      <c r="A3" s="1084"/>
      <c r="B3" s="1078" t="s">
        <v>47</v>
      </c>
      <c r="C3" s="1079"/>
      <c r="D3" s="1080"/>
      <c r="E3" s="1080"/>
      <c r="F3" s="1080"/>
      <c r="G3" s="1081"/>
      <c r="H3" s="1080"/>
      <c r="I3" s="1080"/>
      <c r="J3" s="1080"/>
      <c r="K3" s="1082"/>
    </row>
    <row r="4" spans="1:11" ht="15.75">
      <c r="A4" s="1084"/>
      <c r="B4" s="1085" t="s">
        <v>970</v>
      </c>
      <c r="C4" s="1079"/>
      <c r="D4" s="1080"/>
      <c r="E4" s="1080"/>
      <c r="F4" s="1080"/>
      <c r="G4" s="1081"/>
      <c r="H4" s="1080"/>
      <c r="I4" s="1080"/>
      <c r="J4" s="1080"/>
      <c r="K4" s="1082"/>
    </row>
    <row r="5" spans="1:11" ht="15.75">
      <c r="A5" s="1084"/>
      <c r="B5" s="1078" t="s">
        <v>969</v>
      </c>
      <c r="C5" s="1079"/>
      <c r="D5" s="1080"/>
      <c r="E5" s="1080"/>
      <c r="F5" s="1080"/>
      <c r="G5" s="1081"/>
      <c r="H5" s="1080"/>
      <c r="I5" s="1080"/>
      <c r="J5" s="1080"/>
      <c r="K5" s="1082"/>
    </row>
    <row r="6" spans="1:11" ht="15.75">
      <c r="A6" s="1084"/>
      <c r="B6" s="1085" t="s">
        <v>800</v>
      </c>
      <c r="C6" s="1079"/>
      <c r="D6" s="1080"/>
      <c r="E6" s="1080"/>
      <c r="F6" s="1080"/>
      <c r="G6" s="1081"/>
      <c r="H6" s="1080"/>
      <c r="I6" s="1080"/>
      <c r="J6" s="1080"/>
      <c r="K6" s="1082"/>
    </row>
    <row r="7" spans="1:11" ht="15.75">
      <c r="A7" s="1084"/>
      <c r="B7" s="1086"/>
      <c r="C7" s="1087"/>
      <c r="D7" s="1082"/>
      <c r="E7" s="1082"/>
      <c r="F7" s="1082"/>
      <c r="G7" s="1088"/>
      <c r="H7" s="1082"/>
      <c r="I7" s="1082"/>
      <c r="J7" s="1082"/>
      <c r="K7" s="1082"/>
    </row>
    <row r="8" spans="1:11" ht="15.75">
      <c r="A8" s="1089"/>
      <c r="B8" s="1080"/>
      <c r="C8" s="1079"/>
      <c r="D8" s="1080"/>
      <c r="E8" s="1080"/>
      <c r="F8" s="1080"/>
      <c r="G8" s="1081"/>
      <c r="H8" s="1080"/>
      <c r="I8" s="1080"/>
      <c r="J8" s="1080"/>
      <c r="K8" s="1080"/>
    </row>
    <row r="9" spans="1:11" ht="15.75">
      <c r="A9" s="1084"/>
      <c r="B9" s="1090" t="s">
        <v>3</v>
      </c>
      <c r="C9" s="1087"/>
      <c r="D9" s="1090" t="s">
        <v>4</v>
      </c>
      <c r="E9" s="1090" t="s">
        <v>5</v>
      </c>
      <c r="F9" s="1090" t="s">
        <v>6</v>
      </c>
      <c r="G9" s="1090" t="s">
        <v>7</v>
      </c>
      <c r="H9" s="1090" t="s">
        <v>801</v>
      </c>
      <c r="I9" s="1090" t="s">
        <v>802</v>
      </c>
      <c r="J9" s="1090" t="s">
        <v>803</v>
      </c>
      <c r="K9" s="1090" t="s">
        <v>8</v>
      </c>
    </row>
    <row r="10" spans="1:11" ht="15.75">
      <c r="A10" s="1084"/>
      <c r="B10" s="1086"/>
      <c r="C10" s="1087"/>
      <c r="D10" s="1086"/>
      <c r="E10" s="1086"/>
      <c r="F10" s="1086"/>
      <c r="G10" s="1091"/>
      <c r="H10" s="1086"/>
      <c r="I10" s="1086"/>
      <c r="J10" s="1086"/>
      <c r="K10" s="1086"/>
    </row>
    <row r="11" spans="1:11" ht="15.75">
      <c r="A11" s="1084"/>
      <c r="B11" s="1086"/>
      <c r="C11" s="1087"/>
      <c r="D11" s="1092"/>
      <c r="E11" s="1093" t="s">
        <v>804</v>
      </c>
      <c r="F11" s="1093" t="s">
        <v>805</v>
      </c>
      <c r="G11" s="1094" t="s">
        <v>805</v>
      </c>
      <c r="H11" s="1093" t="s">
        <v>805</v>
      </c>
      <c r="I11" s="1093" t="s">
        <v>806</v>
      </c>
      <c r="J11" s="1093" t="s">
        <v>807</v>
      </c>
      <c r="K11" s="1086"/>
    </row>
    <row r="12" spans="1:11" ht="15.75">
      <c r="A12" s="1084"/>
      <c r="B12" s="1086"/>
      <c r="C12" s="1087"/>
      <c r="D12" s="1093" t="s">
        <v>17</v>
      </c>
      <c r="E12" s="1093" t="s">
        <v>808</v>
      </c>
      <c r="F12" s="1093" t="s">
        <v>809</v>
      </c>
      <c r="G12" s="1094" t="s">
        <v>810</v>
      </c>
      <c r="H12" s="1093" t="s">
        <v>811</v>
      </c>
      <c r="I12" s="1093" t="s">
        <v>812</v>
      </c>
      <c r="J12" s="1093" t="s">
        <v>722</v>
      </c>
      <c r="K12" s="1086"/>
    </row>
    <row r="13" spans="1:11" ht="15.75">
      <c r="A13" s="1084"/>
      <c r="B13" s="1095" t="s">
        <v>202</v>
      </c>
      <c r="C13" s="1096"/>
      <c r="D13" s="1097" t="s">
        <v>66</v>
      </c>
      <c r="E13" s="1097" t="s">
        <v>67</v>
      </c>
      <c r="F13" s="1097" t="s">
        <v>68</v>
      </c>
      <c r="G13" s="1098" t="s">
        <v>813</v>
      </c>
      <c r="H13" s="1097" t="s">
        <v>813</v>
      </c>
      <c r="I13" s="1097" t="s">
        <v>794</v>
      </c>
      <c r="J13" s="1097" t="s">
        <v>814</v>
      </c>
      <c r="K13" s="1095" t="s">
        <v>9</v>
      </c>
    </row>
    <row r="14" spans="1:11" ht="15.75">
      <c r="A14" s="1084"/>
      <c r="B14" s="1082"/>
      <c r="C14" s="1084"/>
      <c r="D14" s="1082"/>
      <c r="E14" s="1082"/>
      <c r="F14" s="1082"/>
      <c r="G14" s="1088"/>
      <c r="H14" s="1082"/>
      <c r="I14" s="1082"/>
      <c r="J14" s="1082"/>
      <c r="K14" s="1082"/>
    </row>
    <row r="15" spans="1:11" ht="15.75">
      <c r="A15" s="1084"/>
      <c r="B15" s="1082"/>
      <c r="C15" s="1084"/>
      <c r="D15" s="1099"/>
      <c r="E15" s="1082"/>
      <c r="F15" s="1082"/>
      <c r="G15" s="1088"/>
      <c r="H15" s="1082"/>
      <c r="I15" s="1082"/>
      <c r="J15" s="1082"/>
      <c r="K15" s="1082"/>
    </row>
    <row r="16" spans="1:11" ht="15.75">
      <c r="A16" s="1100">
        <v>1</v>
      </c>
      <c r="B16" s="1088" t="s">
        <v>815</v>
      </c>
      <c r="C16" s="1100"/>
      <c r="D16" s="305">
        <v>69587573.312795997</v>
      </c>
      <c r="E16" s="305">
        <v>19268452.758709002</v>
      </c>
      <c r="F16" s="305">
        <v>28793590.487508014</v>
      </c>
      <c r="G16" s="1118">
        <v>8759113.0141130015</v>
      </c>
      <c r="H16" s="305">
        <v>0</v>
      </c>
      <c r="I16" s="1118">
        <v>4769558.9889639998</v>
      </c>
      <c r="J16" s="1118">
        <v>171532.64266599983</v>
      </c>
      <c r="K16" s="1099">
        <v>131349821.20475602</v>
      </c>
    </row>
    <row r="17" spans="1:11" ht="15.75">
      <c r="A17" s="1100">
        <v>2</v>
      </c>
      <c r="B17" s="1088"/>
      <c r="C17" s="1100"/>
      <c r="D17" s="1118"/>
      <c r="E17" s="1119"/>
      <c r="F17" s="1119"/>
      <c r="G17" s="1119"/>
      <c r="H17" s="1119"/>
      <c r="I17" s="1119"/>
      <c r="J17" s="1119"/>
      <c r="K17" s="1088"/>
    </row>
    <row r="18" spans="1:11" ht="15.75">
      <c r="A18" s="1100">
        <v>3</v>
      </c>
      <c r="B18" s="1088" t="s">
        <v>816</v>
      </c>
      <c r="C18" s="1100"/>
      <c r="D18" s="305">
        <v>0</v>
      </c>
      <c r="E18" s="307">
        <v>0</v>
      </c>
      <c r="F18" s="307">
        <v>533854.04754599999</v>
      </c>
      <c r="G18" s="1118">
        <v>2245399.2289469996</v>
      </c>
      <c r="H18" s="305">
        <v>11490152.732678002</v>
      </c>
      <c r="I18" s="305">
        <v>0</v>
      </c>
      <c r="J18" s="305">
        <v>0</v>
      </c>
      <c r="K18" s="1099">
        <v>14269406.009171002</v>
      </c>
    </row>
    <row r="19" spans="1:11" ht="15.75">
      <c r="A19" s="1100">
        <v>4</v>
      </c>
      <c r="B19" s="1088"/>
      <c r="C19" s="1100"/>
      <c r="D19" s="1119"/>
      <c r="E19" s="1119"/>
      <c r="F19" s="1119"/>
      <c r="G19" s="1119"/>
      <c r="H19" s="1119"/>
      <c r="I19" s="1119"/>
      <c r="J19" s="1119"/>
      <c r="K19" s="1088"/>
    </row>
    <row r="20" spans="1:11" ht="15.75">
      <c r="A20" s="1100">
        <v>5</v>
      </c>
      <c r="B20" s="1088" t="s">
        <v>817</v>
      </c>
      <c r="C20" s="1100"/>
      <c r="D20" s="305">
        <v>0</v>
      </c>
      <c r="E20" s="305">
        <v>0</v>
      </c>
      <c r="F20" s="305">
        <v>0</v>
      </c>
      <c r="G20" s="305">
        <v>0</v>
      </c>
      <c r="H20" s="305">
        <v>0</v>
      </c>
      <c r="I20" s="305">
        <v>0</v>
      </c>
      <c r="J20" s="305">
        <v>0</v>
      </c>
      <c r="K20" s="1099">
        <v>0</v>
      </c>
    </row>
    <row r="21" spans="1:11" ht="15.75">
      <c r="A21" s="1100">
        <v>6</v>
      </c>
      <c r="B21" s="1082"/>
      <c r="C21" s="1101"/>
      <c r="D21" s="1120"/>
      <c r="E21" s="1120"/>
      <c r="F21" s="1120"/>
      <c r="G21" s="1119"/>
      <c r="H21" s="1120"/>
      <c r="I21" s="1120"/>
      <c r="J21" s="1120"/>
      <c r="K21" s="1082"/>
    </row>
    <row r="22" spans="1:11" ht="15.75">
      <c r="A22" s="1100">
        <v>7</v>
      </c>
      <c r="B22" s="1102" t="s">
        <v>818</v>
      </c>
      <c r="C22" s="1103"/>
      <c r="D22" s="1121">
        <v>0</v>
      </c>
      <c r="E22" s="1121">
        <v>0</v>
      </c>
      <c r="F22" s="1121">
        <v>0</v>
      </c>
      <c r="G22" s="1121">
        <v>0</v>
      </c>
      <c r="H22" s="1121">
        <v>0</v>
      </c>
      <c r="I22" s="1121">
        <v>0</v>
      </c>
      <c r="J22" s="1121">
        <v>0</v>
      </c>
      <c r="K22" s="1104">
        <v>0</v>
      </c>
    </row>
    <row r="23" spans="1:11" ht="15.75">
      <c r="A23" s="1100">
        <v>8</v>
      </c>
      <c r="B23" s="1105"/>
      <c r="C23" s="1101"/>
      <c r="D23" s="1122"/>
      <c r="E23" s="1122"/>
      <c r="F23" s="1122"/>
      <c r="G23" s="1123"/>
      <c r="H23" s="1122"/>
      <c r="I23" s="1122"/>
      <c r="J23" s="1122"/>
      <c r="K23" s="1082"/>
    </row>
    <row r="24" spans="1:11" ht="15.75">
      <c r="A24" s="1100">
        <v>9</v>
      </c>
      <c r="B24" s="1102" t="s">
        <v>819</v>
      </c>
      <c r="C24" s="1103"/>
      <c r="D24" s="1118">
        <v>69587573.312795997</v>
      </c>
      <c r="E24" s="1118">
        <v>19268452.758709002</v>
      </c>
      <c r="F24" s="1118">
        <v>29327444.535054013</v>
      </c>
      <c r="G24" s="1118">
        <v>11004512.24306</v>
      </c>
      <c r="H24" s="1118">
        <v>11490152.732678002</v>
      </c>
      <c r="I24" s="1118">
        <v>4769558.9889639998</v>
      </c>
      <c r="J24" s="1118">
        <v>171532.64266599983</v>
      </c>
      <c r="K24" s="1099">
        <v>145619227.213927</v>
      </c>
    </row>
    <row r="25" spans="1:11" ht="15.75">
      <c r="A25" s="1100">
        <v>10</v>
      </c>
      <c r="B25" s="1102"/>
      <c r="C25" s="1103"/>
      <c r="D25" s="1119"/>
      <c r="E25" s="1119"/>
      <c r="F25" s="1119"/>
      <c r="G25" s="1119"/>
      <c r="H25" s="1119"/>
      <c r="I25" s="1119"/>
      <c r="J25" s="1119"/>
      <c r="K25" s="1099"/>
    </row>
    <row r="26" spans="1:11" ht="15.75">
      <c r="A26" s="1100">
        <v>11</v>
      </c>
      <c r="B26" s="1102" t="s">
        <v>820</v>
      </c>
      <c r="C26" s="1103"/>
      <c r="D26" s="1118">
        <v>1724927.9887686002</v>
      </c>
      <c r="E26" s="1118">
        <v>595729.14975529991</v>
      </c>
      <c r="F26" s="1118">
        <v>981962.22261010017</v>
      </c>
      <c r="G26" s="1118">
        <v>422493.48878500005</v>
      </c>
      <c r="H26" s="1118">
        <v>479698.73047480005</v>
      </c>
      <c r="I26" s="1118">
        <v>162896.54249220001</v>
      </c>
      <c r="J26" s="1118">
        <v>14191.225617799999</v>
      </c>
      <c r="K26" s="1099">
        <v>4381899.3485038001</v>
      </c>
    </row>
    <row r="27" spans="1:11" ht="15.75">
      <c r="A27" s="1100">
        <v>12</v>
      </c>
      <c r="B27" s="1102"/>
      <c r="C27" s="1103"/>
      <c r="D27" s="1119"/>
      <c r="E27" s="1119"/>
      <c r="F27" s="1119"/>
      <c r="G27" s="1119"/>
      <c r="H27" s="1119"/>
      <c r="I27" s="1119"/>
      <c r="J27" s="1119"/>
      <c r="K27" s="1088"/>
    </row>
    <row r="28" spans="1:11" ht="15.75">
      <c r="A28" s="1100">
        <v>13</v>
      </c>
      <c r="B28" s="1102" t="s">
        <v>821</v>
      </c>
      <c r="C28" s="1103"/>
      <c r="D28" s="1124">
        <v>0.39364847331730179</v>
      </c>
      <c r="E28" s="1124">
        <v>0.13595226689967482</v>
      </c>
      <c r="F28" s="1124">
        <v>0.22409511139168253</v>
      </c>
      <c r="G28" s="1124">
        <v>9.6417889865329856E-2</v>
      </c>
      <c r="H28" s="1124">
        <v>0.10947278618770494</v>
      </c>
      <c r="I28" s="1124">
        <v>3.7174870880551159E-2</v>
      </c>
      <c r="J28" s="1124">
        <v>3.2386014577549787E-3</v>
      </c>
      <c r="K28" s="1106">
        <v>1</v>
      </c>
    </row>
    <row r="29" spans="1:11" ht="15.75">
      <c r="A29" s="1100">
        <v>14</v>
      </c>
      <c r="B29" s="1102"/>
      <c r="C29" s="1103"/>
      <c r="D29" s="1125"/>
      <c r="E29" s="1125"/>
      <c r="F29" s="1125"/>
      <c r="G29" s="1125"/>
      <c r="H29" s="1125"/>
      <c r="I29" s="1125"/>
      <c r="J29" s="1125"/>
      <c r="K29" s="1107"/>
    </row>
    <row r="30" spans="1:11" ht="15.75">
      <c r="A30" s="1100">
        <v>15</v>
      </c>
      <c r="B30" s="1082"/>
      <c r="C30" s="1101"/>
      <c r="D30" s="1126"/>
      <c r="E30" s="1127"/>
      <c r="F30" s="1127"/>
      <c r="G30" s="1126"/>
      <c r="H30" s="1127"/>
      <c r="I30" s="1127"/>
      <c r="J30" s="1127"/>
      <c r="K30" s="1108"/>
    </row>
    <row r="31" spans="1:11" ht="15.75">
      <c r="A31" s="1109">
        <v>16</v>
      </c>
      <c r="B31" s="1110" t="s">
        <v>1037</v>
      </c>
      <c r="C31" s="1109"/>
      <c r="D31" s="1681">
        <v>0.42986524523464786</v>
      </c>
      <c r="E31" s="1681">
        <v>0.13439073648238098</v>
      </c>
      <c r="F31" s="1681">
        <v>0.21433542262855332</v>
      </c>
      <c r="G31" s="1681">
        <v>8.745349578408107E-2</v>
      </c>
      <c r="H31" s="1681">
        <v>9.6328837771136933E-2</v>
      </c>
      <c r="I31" s="1681">
        <v>3.5273739368692297E-2</v>
      </c>
      <c r="J31" s="1681">
        <v>2.3525227305076475E-3</v>
      </c>
      <c r="K31" s="1682">
        <v>0.99999999999999978</v>
      </c>
    </row>
    <row r="32" spans="1:11" ht="15.75">
      <c r="A32" s="1100">
        <v>17</v>
      </c>
      <c r="B32" s="1082"/>
      <c r="C32" s="1111" t="s">
        <v>31</v>
      </c>
      <c r="D32" s="1112"/>
      <c r="E32" s="1113"/>
      <c r="F32" s="1113"/>
      <c r="G32" s="1112"/>
      <c r="H32" s="1113"/>
      <c r="I32" s="1113"/>
      <c r="J32" s="1113"/>
      <c r="K32" s="1113"/>
    </row>
    <row r="33" spans="1:20" ht="15.75">
      <c r="A33" s="1100">
        <v>18</v>
      </c>
      <c r="B33" s="1083" t="s">
        <v>822</v>
      </c>
      <c r="D33" s="1114">
        <f t="shared" ref="D33:J33" si="0">$C$60*D31</f>
        <v>58746390.298440829</v>
      </c>
      <c r="E33" s="1114">
        <f t="shared" si="0"/>
        <v>18366152.522005554</v>
      </c>
      <c r="F33" s="1114">
        <f t="shared" si="0"/>
        <v>29291580.401307046</v>
      </c>
      <c r="G33" s="1114">
        <f t="shared" si="0"/>
        <v>11951599.375032654</v>
      </c>
      <c r="H33" s="1114">
        <f t="shared" si="0"/>
        <v>13164524.379283957</v>
      </c>
      <c r="I33" s="1114">
        <f t="shared" si="0"/>
        <v>4820591.7626756122</v>
      </c>
      <c r="J33" s="1114">
        <f t="shared" si="0"/>
        <v>321501.26125436451</v>
      </c>
      <c r="K33" s="1114">
        <v>136662340</v>
      </c>
    </row>
    <row r="34" spans="1:20" ht="15.75">
      <c r="A34" s="1100"/>
      <c r="B34" s="1687"/>
      <c r="D34" s="1114"/>
      <c r="E34" s="1114"/>
      <c r="F34" s="1114"/>
      <c r="G34" s="1114"/>
      <c r="H34" s="1114"/>
      <c r="I34" s="1114"/>
      <c r="J34" s="1114"/>
      <c r="K34" s="1114"/>
    </row>
    <row r="35" spans="1:20" ht="15.75">
      <c r="A35" s="1100"/>
      <c r="B35" s="1688">
        <v>447</v>
      </c>
      <c r="D35" s="1114"/>
      <c r="E35" s="1114"/>
      <c r="F35" s="1114"/>
      <c r="G35" s="1114"/>
      <c r="H35" s="1114"/>
      <c r="I35" s="1114"/>
      <c r="J35" s="1114"/>
      <c r="K35" s="1114">
        <v>-22569946</v>
      </c>
    </row>
    <row r="36" spans="1:20" ht="15.75">
      <c r="A36" s="1100"/>
      <c r="B36" s="1688" t="s">
        <v>1078</v>
      </c>
      <c r="C36" s="1689" t="s">
        <v>802</v>
      </c>
      <c r="D36" s="1114"/>
      <c r="E36" s="1114"/>
      <c r="F36" s="1114"/>
      <c r="G36" s="1114"/>
      <c r="H36" s="1114"/>
      <c r="I36" s="1114"/>
      <c r="J36" s="1114"/>
      <c r="K36" s="1114">
        <v>56678904</v>
      </c>
    </row>
    <row r="37" spans="1:20" ht="15.75">
      <c r="A37" s="1100"/>
      <c r="B37" s="1688" t="s">
        <v>1079</v>
      </c>
      <c r="C37" s="1689" t="s">
        <v>802</v>
      </c>
      <c r="D37" s="1114"/>
      <c r="E37" s="1114"/>
      <c r="F37" s="1114"/>
      <c r="G37" s="1114"/>
      <c r="H37" s="1114"/>
      <c r="I37" s="1114"/>
      <c r="J37" s="1114"/>
      <c r="K37" s="1114">
        <v>0</v>
      </c>
    </row>
    <row r="38" spans="1:20" ht="15.75">
      <c r="A38" s="1100"/>
      <c r="B38" s="1688" t="s">
        <v>1080</v>
      </c>
      <c r="C38" s="1689" t="s">
        <v>802</v>
      </c>
      <c r="D38" s="1114"/>
      <c r="E38" s="1114"/>
      <c r="F38" s="1114"/>
      <c r="G38" s="1114"/>
      <c r="H38" s="1114"/>
      <c r="I38" s="1114"/>
      <c r="J38" s="1114"/>
      <c r="K38" s="1114">
        <v>20939704</v>
      </c>
    </row>
    <row r="39" spans="1:20" ht="15.75">
      <c r="A39" s="1100"/>
      <c r="B39" s="1688">
        <v>555</v>
      </c>
      <c r="C39" s="1689" t="s">
        <v>802</v>
      </c>
      <c r="D39" s="1114"/>
      <c r="E39" s="1114"/>
      <c r="F39" s="1114"/>
      <c r="G39" s="1114"/>
      <c r="H39" s="1114"/>
      <c r="I39" s="1114"/>
      <c r="J39" s="1114"/>
      <c r="K39" s="1114">
        <v>56274790</v>
      </c>
    </row>
    <row r="40" spans="1:20" ht="15.75">
      <c r="A40" s="1100"/>
      <c r="B40" s="1688" t="s">
        <v>1081</v>
      </c>
      <c r="C40" s="1689" t="s">
        <v>1082</v>
      </c>
      <c r="D40" s="1114"/>
      <c r="E40" s="1114"/>
      <c r="F40" s="1114"/>
      <c r="G40" s="1114"/>
      <c r="H40" s="1114"/>
      <c r="I40" s="1114"/>
      <c r="J40" s="1114"/>
      <c r="K40" s="1114">
        <v>25338889</v>
      </c>
    </row>
    <row r="41" spans="1:20" ht="15.75">
      <c r="A41" s="1100"/>
      <c r="B41" s="1688"/>
      <c r="D41" s="1114"/>
      <c r="E41" s="1114"/>
      <c r="F41" s="1114"/>
      <c r="G41" s="1114"/>
      <c r="H41" s="1114"/>
      <c r="I41" s="1114"/>
      <c r="J41" s="1114"/>
      <c r="K41" s="1114"/>
    </row>
    <row r="42" spans="1:20" ht="15.75">
      <c r="A42" s="1100"/>
      <c r="B42" s="1692" t="s">
        <v>935</v>
      </c>
      <c r="D42" s="1114">
        <f>$K$42*D31</f>
        <v>49397983.430638</v>
      </c>
      <c r="E42" s="1114">
        <f t="shared" ref="E42:J42" si="1">$K$42*E31</f>
        <v>15443517.352430074</v>
      </c>
      <c r="F42" s="1114">
        <f t="shared" si="1"/>
        <v>24630364.452526528</v>
      </c>
      <c r="G42" s="1114">
        <f t="shared" si="1"/>
        <v>10049722.287586337</v>
      </c>
      <c r="H42" s="1114">
        <f t="shared" si="1"/>
        <v>11069632.599662187</v>
      </c>
      <c r="I42" s="1114">
        <f t="shared" si="1"/>
        <v>4053483.3001448261</v>
      </c>
      <c r="J42" s="1114">
        <f t="shared" si="1"/>
        <v>270340.25232344912</v>
      </c>
      <c r="K42" s="1114">
        <f>(K36+K38+K39)+(L42/L44)*K35</f>
        <v>114915043.67531139</v>
      </c>
      <c r="L42" s="1115">
        <f>SUM(K36:K39)</f>
        <v>133893398</v>
      </c>
    </row>
    <row r="43" spans="1:20" ht="15.75">
      <c r="A43" s="1100"/>
      <c r="B43" s="1692" t="s">
        <v>818</v>
      </c>
      <c r="D43" s="1690">
        <f>$K$43*D31</f>
        <v>9348407.2976680715</v>
      </c>
      <c r="E43" s="1690">
        <f t="shared" ref="E43:J43" si="2">$K$43*E31</f>
        <v>2922635.3039662158</v>
      </c>
      <c r="F43" s="1690">
        <f t="shared" si="2"/>
        <v>4661216.1631159401</v>
      </c>
      <c r="G43" s="1690">
        <f t="shared" si="2"/>
        <v>1901877.1748998128</v>
      </c>
      <c r="H43" s="1690">
        <f t="shared" si="2"/>
        <v>2094891.8759506093</v>
      </c>
      <c r="I43" s="1690">
        <f t="shared" si="2"/>
        <v>767108.49780452531</v>
      </c>
      <c r="J43" s="1690">
        <f t="shared" si="2"/>
        <v>51161.011283438107</v>
      </c>
      <c r="K43" s="1690">
        <f>(K40)+(L43/L44)*K35</f>
        <v>21747297.32468861</v>
      </c>
      <c r="L43" s="1691">
        <f>K40</f>
        <v>25338889</v>
      </c>
    </row>
    <row r="44" spans="1:20" ht="15.75">
      <c r="A44" s="1100"/>
      <c r="B44" s="1688"/>
      <c r="D44" s="1114">
        <f>SUM(D42:D43)</f>
        <v>58746390.72830607</v>
      </c>
      <c r="E44" s="1114">
        <f t="shared" ref="E44:J44" si="3">SUM(E42:E43)</f>
        <v>18366152.656396288</v>
      </c>
      <c r="F44" s="1114">
        <f t="shared" si="3"/>
        <v>29291580.615642469</v>
      </c>
      <c r="G44" s="1114">
        <f t="shared" si="3"/>
        <v>11951599.46248615</v>
      </c>
      <c r="H44" s="1114">
        <f t="shared" si="3"/>
        <v>13164524.475612797</v>
      </c>
      <c r="I44" s="1114">
        <f t="shared" si="3"/>
        <v>4820591.7979493514</v>
      </c>
      <c r="J44" s="1114">
        <f t="shared" si="3"/>
        <v>321501.26360688725</v>
      </c>
      <c r="K44" s="1114">
        <f>SUM(K42:K43)</f>
        <v>136662341</v>
      </c>
      <c r="L44" s="1115">
        <f>SUM(L42:L43)</f>
        <v>159232287</v>
      </c>
      <c r="T44" s="1687" t="s">
        <v>31</v>
      </c>
    </row>
    <row r="45" spans="1:20" ht="15.75">
      <c r="A45" s="1100"/>
      <c r="B45" s="1688"/>
      <c r="D45" s="1114"/>
      <c r="E45" s="1114"/>
      <c r="F45" s="1114"/>
      <c r="G45" s="1114"/>
      <c r="H45" s="1114"/>
      <c r="I45" s="1114"/>
      <c r="J45" s="1114"/>
      <c r="K45" s="1114"/>
    </row>
    <row r="46" spans="1:20" ht="15.75">
      <c r="A46" s="1100"/>
      <c r="B46" s="1687"/>
      <c r="D46" s="1114"/>
      <c r="E46" s="1114"/>
      <c r="F46" s="1114"/>
      <c r="G46" s="1114"/>
      <c r="H46" s="1114"/>
      <c r="I46" s="1114"/>
      <c r="J46" s="1114"/>
      <c r="K46" s="1114"/>
    </row>
    <row r="47" spans="1:20">
      <c r="B47" s="1083" t="s">
        <v>815</v>
      </c>
      <c r="D47" s="1141" t="s">
        <v>31</v>
      </c>
      <c r="E47" s="1141" t="s">
        <v>31</v>
      </c>
      <c r="F47" s="1141" t="s">
        <v>31</v>
      </c>
      <c r="G47" s="1115">
        <f>G33*G16/G24</f>
        <v>9512953.169853868</v>
      </c>
      <c r="H47" s="1141" t="s">
        <v>31</v>
      </c>
      <c r="I47" s="1141" t="s">
        <v>31</v>
      </c>
      <c r="J47" s="1141" t="s">
        <v>31</v>
      </c>
      <c r="K47" s="1141" t="s">
        <v>31</v>
      </c>
    </row>
    <row r="48" spans="1:20">
      <c r="B48" s="1083" t="s">
        <v>816</v>
      </c>
      <c r="D48" s="1141" t="s">
        <v>31</v>
      </c>
      <c r="E48" s="1141" t="s">
        <v>31</v>
      </c>
      <c r="F48" s="1141" t="s">
        <v>31</v>
      </c>
      <c r="G48" s="1115">
        <f>G33-G47</f>
        <v>2438646.2051787861</v>
      </c>
      <c r="H48" s="1141" t="s">
        <v>31</v>
      </c>
      <c r="I48" s="1141" t="s">
        <v>31</v>
      </c>
      <c r="J48" s="1141" t="s">
        <v>31</v>
      </c>
      <c r="K48" s="1141" t="s">
        <v>31</v>
      </c>
    </row>
    <row r="50" spans="2:13" ht="15.75">
      <c r="I50" s="1083" t="s">
        <v>823</v>
      </c>
      <c r="J50" s="1114">
        <f t="shared" ref="J50:J55" si="4">M50/$M$56*$J$33</f>
        <v>77549.486397420507</v>
      </c>
      <c r="M50" s="1116">
        <f>'Rate Design Work'!C25</f>
        <v>3367563</v>
      </c>
    </row>
    <row r="51" spans="2:13" ht="15.75">
      <c r="I51" s="1083" t="s">
        <v>824</v>
      </c>
      <c r="J51" s="1114">
        <f t="shared" si="4"/>
        <v>81344.211632389153</v>
      </c>
      <c r="M51" s="1116">
        <f>'Rate Design Work'!C1137</f>
        <v>3532347.7960070018</v>
      </c>
    </row>
    <row r="52" spans="2:13" ht="15.75">
      <c r="I52" s="1083" t="s">
        <v>825</v>
      </c>
      <c r="J52" s="1114">
        <f t="shared" si="4"/>
        <v>5063.0462372345582</v>
      </c>
      <c r="M52" s="1116">
        <f>'Rate Design Work'!C1153</f>
        <v>219861.25205811099</v>
      </c>
    </row>
    <row r="53" spans="2:13" ht="15.75">
      <c r="D53" s="1083" t="s">
        <v>31</v>
      </c>
      <c r="G53" s="1083" t="s">
        <v>31</v>
      </c>
      <c r="I53" s="1083" t="s">
        <v>826</v>
      </c>
      <c r="J53" s="1114">
        <f t="shared" si="4"/>
        <v>106242.17553090378</v>
      </c>
      <c r="M53" s="1116">
        <f>'Rate Design Work'!C1167</f>
        <v>4613534.3504902627</v>
      </c>
    </row>
    <row r="54" spans="2:13" ht="15.75">
      <c r="I54" s="1083" t="s">
        <v>827</v>
      </c>
      <c r="J54" s="1114">
        <f t="shared" si="4"/>
        <v>6802.2580688136959</v>
      </c>
      <c r="M54" s="1116">
        <f>'Rate Design Work'!C1224</f>
        <v>295386</v>
      </c>
    </row>
    <row r="55" spans="2:13" ht="15.75">
      <c r="I55" s="1083" t="s">
        <v>828</v>
      </c>
      <c r="J55" s="1114">
        <f t="shared" si="4"/>
        <v>44500.08338760279</v>
      </c>
      <c r="M55" s="1116">
        <f>'Rate Design Work'!C1264</f>
        <v>1932402.666666667</v>
      </c>
    </row>
    <row r="56" spans="2:13">
      <c r="M56" s="1116">
        <f>SUM(M50:M55)</f>
        <v>13961095.065222044</v>
      </c>
    </row>
    <row r="57" spans="2:13">
      <c r="B57" s="1694" t="s">
        <v>1083</v>
      </c>
      <c r="C57" s="1693"/>
      <c r="D57" s="1693"/>
    </row>
    <row r="60" spans="2:13" ht="15.75">
      <c r="C60" s="1114">
        <v>136662340</v>
      </c>
      <c r="L60" s="1083" t="s">
        <v>31</v>
      </c>
    </row>
  </sheetData>
  <pageMargins left="0.7" right="0.7" top="0.75" bottom="0.75" header="0.3" footer="0.3"/>
  <pageSetup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1">
    <pageSetUpPr fitToPage="1"/>
  </sheetPr>
  <dimension ref="B1:AJ59"/>
  <sheetViews>
    <sheetView view="pageBreakPreview" topLeftCell="B1" zoomScale="70" zoomScaleNormal="55" zoomScaleSheetLayoutView="70" workbookViewId="0">
      <selection activeCell="B1" sqref="B1"/>
    </sheetView>
  </sheetViews>
  <sheetFormatPr defaultColWidth="10.25" defaultRowHeight="15.75"/>
  <cols>
    <col min="1" max="1" width="0" style="155" hidden="1" customWidth="1"/>
    <col min="2" max="2" width="4.625" style="155" customWidth="1"/>
    <col min="3" max="3" width="2.125" style="155" customWidth="1"/>
    <col min="4" max="4" width="35.875" style="156" customWidth="1"/>
    <col min="5" max="5" width="2.125" style="156" customWidth="1"/>
    <col min="6" max="6" width="5.625" style="156" bestFit="1" customWidth="1"/>
    <col min="7" max="7" width="2.125" style="156" customWidth="1"/>
    <col min="8" max="8" width="9.25" style="155" hidden="1" customWidth="1"/>
    <col min="9" max="9" width="9.25" style="155" customWidth="1"/>
    <col min="10" max="10" width="2" style="155" customWidth="1"/>
    <col min="11" max="11" width="11" style="155" hidden="1" customWidth="1"/>
    <col min="12" max="12" width="11" style="155" bestFit="1" customWidth="1"/>
    <col min="13" max="13" width="2.875" style="155" customWidth="1"/>
    <col min="14" max="14" width="10.25" style="155" hidden="1" customWidth="1"/>
    <col min="15" max="15" width="10" style="155" hidden="1" customWidth="1"/>
    <col min="16" max="16" width="2.75" style="155" hidden="1" customWidth="1"/>
    <col min="17" max="17" width="14.625" style="155" customWidth="1"/>
    <col min="18" max="18" width="2" style="155" hidden="1" customWidth="1"/>
    <col min="19" max="19" width="20.25" style="155" hidden="1" customWidth="1"/>
    <col min="20" max="20" width="2.625" style="155" hidden="1" customWidth="1"/>
    <col min="21" max="21" width="10.5" style="155" hidden="1" customWidth="1"/>
    <col min="22" max="22" width="7.25" style="155" hidden="1" customWidth="1"/>
    <col min="23" max="23" width="11.875" style="155" customWidth="1"/>
    <col min="24" max="24" width="10.5" style="155" customWidth="1"/>
    <col min="25" max="25" width="10" style="155" hidden="1" customWidth="1"/>
    <col min="26" max="26" width="7.75" style="155" hidden="1" customWidth="1"/>
    <col min="27" max="27" width="2.625" style="155" customWidth="1"/>
    <col min="28" max="28" width="11.5" style="155" customWidth="1"/>
    <col min="29" max="29" width="3.875" style="155" customWidth="1"/>
    <col min="30" max="30" width="2.125" style="155" customWidth="1"/>
    <col min="31" max="31" width="3.125" style="155" customWidth="1"/>
    <col min="32" max="32" width="7.25" style="155" customWidth="1"/>
    <col min="33" max="33" width="0.125" style="155" customWidth="1"/>
    <col min="34" max="34" width="10.25" style="155" customWidth="1"/>
    <col min="35" max="35" width="13.5" style="155" bestFit="1" customWidth="1"/>
    <col min="36" max="16384" width="10.25" style="155"/>
  </cols>
  <sheetData>
    <row r="1" spans="2:36" ht="18.75">
      <c r="C1" s="1149"/>
      <c r="D1" s="1150"/>
      <c r="Q1" s="157" t="s">
        <v>31</v>
      </c>
    </row>
    <row r="2" spans="2:36">
      <c r="B2" s="1716" t="s">
        <v>1067</v>
      </c>
      <c r="C2" s="1716"/>
      <c r="D2" s="1716"/>
      <c r="E2" s="1716"/>
      <c r="F2" s="1716"/>
      <c r="G2" s="1716"/>
      <c r="H2" s="1716"/>
      <c r="I2" s="1716"/>
      <c r="J2" s="1716"/>
      <c r="K2" s="1716"/>
      <c r="L2" s="1716"/>
      <c r="M2" s="1716"/>
      <c r="N2" s="1716"/>
      <c r="O2" s="1716"/>
      <c r="P2" s="1716"/>
      <c r="Q2" s="1716"/>
      <c r="R2" s="1716"/>
      <c r="S2" s="1716"/>
      <c r="T2" s="1716"/>
      <c r="U2" s="1716"/>
      <c r="V2" s="1716"/>
      <c r="W2" s="1716"/>
      <c r="X2" s="1716"/>
      <c r="Y2" s="1716"/>
      <c r="Z2" s="1716"/>
      <c r="AA2" s="1716"/>
      <c r="AB2" s="1716"/>
      <c r="AC2" s="161"/>
      <c r="AD2" s="161"/>
    </row>
    <row r="3" spans="2:36">
      <c r="B3" s="1717" t="s">
        <v>185</v>
      </c>
      <c r="C3" s="1717"/>
      <c r="D3" s="1717"/>
      <c r="E3" s="1717"/>
      <c r="F3" s="1717"/>
      <c r="G3" s="1717"/>
      <c r="H3" s="1717"/>
      <c r="I3" s="1717"/>
      <c r="J3" s="1717"/>
      <c r="K3" s="1717"/>
      <c r="L3" s="1717"/>
      <c r="M3" s="1717"/>
      <c r="N3" s="1717"/>
      <c r="O3" s="1717"/>
      <c r="P3" s="1717"/>
      <c r="Q3" s="1717"/>
      <c r="R3" s="1717"/>
      <c r="S3" s="1717"/>
      <c r="T3" s="1717"/>
      <c r="U3" s="1717"/>
      <c r="V3" s="1717"/>
      <c r="W3" s="1717"/>
      <c r="X3" s="1717"/>
      <c r="Y3" s="1717"/>
      <c r="Z3" s="1717"/>
      <c r="AA3" s="1717"/>
      <c r="AB3" s="1717"/>
      <c r="AC3" s="160"/>
      <c r="AD3" s="160"/>
      <c r="AE3" s="160"/>
      <c r="AF3" s="160"/>
      <c r="AG3" s="160"/>
    </row>
    <row r="4" spans="2:36">
      <c r="B4" s="1717" t="s">
        <v>1053</v>
      </c>
      <c r="C4" s="1717"/>
      <c r="D4" s="1717"/>
      <c r="E4" s="1717"/>
      <c r="F4" s="1717"/>
      <c r="G4" s="1717"/>
      <c r="H4" s="1717"/>
      <c r="I4" s="1717"/>
      <c r="J4" s="1717"/>
      <c r="K4" s="1717"/>
      <c r="L4" s="1717"/>
      <c r="M4" s="1717"/>
      <c r="N4" s="1717"/>
      <c r="O4" s="1717"/>
      <c r="P4" s="1717"/>
      <c r="Q4" s="1717"/>
      <c r="R4" s="1717"/>
      <c r="S4" s="1717"/>
      <c r="T4" s="1717"/>
      <c r="U4" s="1717"/>
      <c r="V4" s="1717"/>
      <c r="W4" s="1717"/>
      <c r="X4" s="1717"/>
      <c r="Y4" s="1717"/>
      <c r="Z4" s="1717"/>
      <c r="AA4" s="1717"/>
      <c r="AB4" s="1717"/>
      <c r="AC4" s="160"/>
      <c r="AD4" s="160"/>
      <c r="AE4" s="160"/>
      <c r="AF4" s="160"/>
      <c r="AG4" s="160"/>
    </row>
    <row r="5" spans="2:36">
      <c r="B5" s="1717" t="s">
        <v>301</v>
      </c>
      <c r="C5" s="1717"/>
      <c r="D5" s="1717"/>
      <c r="E5" s="1717"/>
      <c r="F5" s="1717"/>
      <c r="G5" s="1717"/>
      <c r="H5" s="1717"/>
      <c r="I5" s="1717"/>
      <c r="J5" s="1717"/>
      <c r="K5" s="1717"/>
      <c r="L5" s="1717"/>
      <c r="M5" s="1717"/>
      <c r="N5" s="1717"/>
      <c r="O5" s="1717"/>
      <c r="P5" s="1717"/>
      <c r="Q5" s="1717"/>
      <c r="R5" s="1717"/>
      <c r="S5" s="1717"/>
      <c r="T5" s="1717"/>
      <c r="U5" s="1717"/>
      <c r="V5" s="1717"/>
      <c r="W5" s="1717"/>
      <c r="X5" s="1717"/>
      <c r="Y5" s="1717"/>
      <c r="Z5" s="1717"/>
      <c r="AA5" s="1717"/>
      <c r="AB5" s="1717"/>
      <c r="AC5" s="160"/>
      <c r="AD5" s="160"/>
      <c r="AE5" s="160"/>
      <c r="AF5" s="160"/>
      <c r="AG5" s="160"/>
    </row>
    <row r="6" spans="2:36">
      <c r="B6" s="1717" t="s">
        <v>302</v>
      </c>
      <c r="C6" s="1717"/>
      <c r="D6" s="1717"/>
      <c r="E6" s="1717"/>
      <c r="F6" s="1717"/>
      <c r="G6" s="1717"/>
      <c r="H6" s="1717"/>
      <c r="I6" s="1717"/>
      <c r="J6" s="1717"/>
      <c r="K6" s="1717"/>
      <c r="L6" s="1717"/>
      <c r="M6" s="1717"/>
      <c r="N6" s="1717"/>
      <c r="O6" s="1717"/>
      <c r="P6" s="1717"/>
      <c r="Q6" s="1717"/>
      <c r="R6" s="1717"/>
      <c r="S6" s="1717"/>
      <c r="T6" s="1717"/>
      <c r="U6" s="1717"/>
      <c r="V6" s="1717"/>
      <c r="W6" s="1717"/>
      <c r="X6" s="1717"/>
      <c r="Y6" s="1717"/>
      <c r="Z6" s="1717"/>
      <c r="AA6" s="1717"/>
      <c r="AB6" s="1717"/>
      <c r="AC6" s="160"/>
      <c r="AD6" s="160"/>
      <c r="AE6" s="160"/>
      <c r="AF6" s="160"/>
      <c r="AG6" s="160"/>
      <c r="AH6" s="1117" t="s">
        <v>31</v>
      </c>
    </row>
    <row r="7" spans="2:36">
      <c r="B7" s="1716" t="s">
        <v>840</v>
      </c>
      <c r="C7" s="1716"/>
      <c r="D7" s="1716"/>
      <c r="E7" s="1716"/>
      <c r="F7" s="1716"/>
      <c r="G7" s="1716"/>
      <c r="H7" s="1716"/>
      <c r="I7" s="1716"/>
      <c r="J7" s="1716"/>
      <c r="K7" s="1716"/>
      <c r="L7" s="1716"/>
      <c r="M7" s="1716"/>
      <c r="N7" s="1716"/>
      <c r="O7" s="1716"/>
      <c r="P7" s="1716"/>
      <c r="Q7" s="1716"/>
      <c r="R7" s="1716"/>
      <c r="S7" s="1716"/>
      <c r="T7" s="1716"/>
      <c r="U7" s="1716"/>
      <c r="V7" s="1716"/>
      <c r="W7" s="1716"/>
      <c r="X7" s="1716"/>
      <c r="Y7" s="1716"/>
      <c r="Z7" s="1716"/>
      <c r="AA7" s="1716"/>
      <c r="AB7" s="1716"/>
      <c r="AC7" s="161"/>
      <c r="AD7" s="161"/>
      <c r="AE7" s="161"/>
      <c r="AF7" s="161"/>
      <c r="AG7" s="161"/>
    </row>
    <row r="8" spans="2:36">
      <c r="M8" s="162"/>
      <c r="N8" s="163"/>
      <c r="O8" s="163"/>
      <c r="P8" s="164"/>
      <c r="Q8" s="164"/>
      <c r="R8" s="163"/>
      <c r="S8" s="163"/>
      <c r="T8" s="163"/>
      <c r="U8" s="164"/>
      <c r="V8" s="164"/>
      <c r="W8" s="164"/>
      <c r="X8" s="164"/>
      <c r="Y8" s="164"/>
      <c r="Z8" s="164"/>
      <c r="AA8" s="164"/>
      <c r="AC8" s="164"/>
      <c r="AD8" s="164"/>
      <c r="AE8" s="164"/>
      <c r="AF8" s="164"/>
      <c r="AG8" s="164"/>
      <c r="AH8" s="162"/>
      <c r="AI8" s="162"/>
      <c r="AJ8" s="162"/>
    </row>
    <row r="9" spans="2:36">
      <c r="N9" s="166" t="s">
        <v>304</v>
      </c>
      <c r="O9" s="166" t="s">
        <v>197</v>
      </c>
      <c r="P9" s="167"/>
      <c r="Q9" s="1128" t="s">
        <v>305</v>
      </c>
      <c r="R9" s="1130"/>
      <c r="S9" s="1130"/>
      <c r="T9" s="168"/>
      <c r="AA9" s="167"/>
      <c r="AC9" s="167"/>
      <c r="AD9" s="167"/>
      <c r="AE9" s="167"/>
      <c r="AF9" s="167"/>
      <c r="AG9" s="167"/>
    </row>
    <row r="10" spans="2:36">
      <c r="F10" s="154" t="s">
        <v>308</v>
      </c>
      <c r="G10" s="154"/>
      <c r="H10" s="166" t="s">
        <v>309</v>
      </c>
      <c r="N10" s="1669" t="s">
        <v>187</v>
      </c>
      <c r="O10" s="1669" t="s">
        <v>187</v>
      </c>
      <c r="P10" s="169"/>
      <c r="Q10" s="1128" t="s">
        <v>187</v>
      </c>
      <c r="R10" s="1669"/>
      <c r="S10" s="1669" t="s">
        <v>201</v>
      </c>
      <c r="T10" s="1669"/>
      <c r="U10" s="1670" t="s">
        <v>31</v>
      </c>
      <c r="V10" s="168"/>
      <c r="W10" s="1713" t="s">
        <v>171</v>
      </c>
      <c r="X10" s="1713"/>
      <c r="Y10" s="1713"/>
      <c r="Z10" s="1713"/>
      <c r="AA10" s="168"/>
      <c r="AB10" s="1128" t="s">
        <v>313</v>
      </c>
      <c r="AC10" s="168"/>
      <c r="AD10" s="168"/>
      <c r="AE10" s="171"/>
      <c r="AF10" s="168"/>
      <c r="AG10" s="171"/>
    </row>
    <row r="11" spans="2:36">
      <c r="B11" s="171" t="s">
        <v>186</v>
      </c>
      <c r="F11" s="154" t="s">
        <v>310</v>
      </c>
      <c r="G11" s="154"/>
      <c r="H11" s="166" t="s">
        <v>311</v>
      </c>
      <c r="I11" s="166" t="s">
        <v>309</v>
      </c>
      <c r="K11" s="166" t="s">
        <v>312</v>
      </c>
      <c r="N11" s="166" t="s">
        <v>37</v>
      </c>
      <c r="O11" s="166" t="s">
        <v>37</v>
      </c>
      <c r="P11" s="171"/>
      <c r="Q11" s="1131" t="s">
        <v>37</v>
      </c>
      <c r="R11" s="166"/>
      <c r="S11" s="166" t="s">
        <v>37</v>
      </c>
      <c r="T11" s="166"/>
      <c r="U11" s="172" t="s">
        <v>252</v>
      </c>
      <c r="V11" s="166" t="s">
        <v>187</v>
      </c>
      <c r="W11" s="172" t="s">
        <v>252</v>
      </c>
      <c r="X11" s="1671" t="s">
        <v>313</v>
      </c>
      <c r="Y11" s="1133" t="s">
        <v>201</v>
      </c>
      <c r="Z11" s="166" t="s">
        <v>201</v>
      </c>
      <c r="AA11" s="171"/>
      <c r="AB11" s="1668" t="s">
        <v>306</v>
      </c>
      <c r="AC11" s="171"/>
      <c r="AD11" s="171"/>
      <c r="AE11" s="171"/>
      <c r="AF11" s="1669"/>
      <c r="AG11" s="173"/>
      <c r="AH11" s="162"/>
    </row>
    <row r="12" spans="2:36">
      <c r="B12" s="174" t="s">
        <v>188</v>
      </c>
      <c r="D12" s="175" t="s">
        <v>202</v>
      </c>
      <c r="F12" s="175" t="s">
        <v>188</v>
      </c>
      <c r="G12" s="176"/>
      <c r="H12" s="177" t="s">
        <v>304</v>
      </c>
      <c r="I12" s="1668" t="s">
        <v>311</v>
      </c>
      <c r="K12" s="177" t="s">
        <v>304</v>
      </c>
      <c r="L12" s="1668" t="s">
        <v>312</v>
      </c>
      <c r="N12" s="178" t="s">
        <v>198</v>
      </c>
      <c r="O12" s="178" t="s">
        <v>198</v>
      </c>
      <c r="P12" s="1669"/>
      <c r="Q12" s="1132" t="s">
        <v>198</v>
      </c>
      <c r="R12" s="179"/>
      <c r="S12" s="178" t="s">
        <v>198</v>
      </c>
      <c r="T12" s="179"/>
      <c r="U12" s="180" t="s">
        <v>198</v>
      </c>
      <c r="V12" s="1668" t="s">
        <v>315</v>
      </c>
      <c r="W12" s="180" t="s">
        <v>198</v>
      </c>
      <c r="X12" s="1668" t="s">
        <v>315</v>
      </c>
      <c r="Y12" s="180" t="s">
        <v>198</v>
      </c>
      <c r="Z12" s="1668" t="s">
        <v>315</v>
      </c>
      <c r="AA12" s="173"/>
      <c r="AB12" s="181" t="s">
        <v>316</v>
      </c>
      <c r="AC12" s="173"/>
      <c r="AD12" s="173"/>
      <c r="AE12" s="173"/>
      <c r="AF12" s="1669"/>
      <c r="AG12" s="173"/>
      <c r="AH12" s="162"/>
    </row>
    <row r="13" spans="2:36">
      <c r="B13" s="182"/>
      <c r="D13" s="172" t="s">
        <v>317</v>
      </c>
      <c r="F13" s="172" t="s">
        <v>318</v>
      </c>
      <c r="G13" s="154"/>
      <c r="H13" s="172"/>
      <c r="I13" s="172" t="s">
        <v>319</v>
      </c>
      <c r="K13" s="172"/>
      <c r="L13" s="172" t="s">
        <v>320</v>
      </c>
      <c r="N13" s="172"/>
      <c r="O13" s="172" t="s">
        <v>321</v>
      </c>
      <c r="P13" s="172"/>
      <c r="Q13" s="1133" t="s">
        <v>321</v>
      </c>
      <c r="R13" s="172"/>
      <c r="S13" s="172"/>
      <c r="T13" s="172"/>
      <c r="U13" s="1133" t="s">
        <v>323</v>
      </c>
      <c r="V13" s="1133" t="s">
        <v>324</v>
      </c>
      <c r="W13" s="1133" t="s">
        <v>322</v>
      </c>
      <c r="X13" s="1133" t="s">
        <v>323</v>
      </c>
      <c r="Y13" s="1133" t="s">
        <v>324</v>
      </c>
      <c r="Z13" s="1133" t="s">
        <v>325</v>
      </c>
      <c r="AA13" s="172"/>
      <c r="AB13" s="1133" t="s">
        <v>324</v>
      </c>
      <c r="AC13" s="172"/>
      <c r="AD13" s="172"/>
      <c r="AE13" s="172"/>
      <c r="AF13" s="169"/>
      <c r="AG13" s="169"/>
      <c r="AH13" s="162"/>
    </row>
    <row r="14" spans="2:36">
      <c r="P14" s="172"/>
      <c r="Q14" s="1133" t="s">
        <v>31</v>
      </c>
      <c r="V14" s="1133" t="s">
        <v>328</v>
      </c>
      <c r="X14" s="1133" t="s">
        <v>31</v>
      </c>
      <c r="Y14" s="1133" t="s">
        <v>1054</v>
      </c>
      <c r="Z14" s="1133" t="s">
        <v>1055</v>
      </c>
      <c r="AF14" s="162"/>
      <c r="AG14" s="162"/>
      <c r="AH14" s="162"/>
    </row>
    <row r="15" spans="2:36">
      <c r="D15" s="183" t="s">
        <v>17</v>
      </c>
      <c r="AF15" s="162"/>
      <c r="AG15" s="162"/>
      <c r="AH15" s="162"/>
    </row>
    <row r="16" spans="2:36">
      <c r="B16" s="171">
        <v>1</v>
      </c>
      <c r="D16" s="156" t="s">
        <v>330</v>
      </c>
      <c r="F16" s="184" t="s">
        <v>833</v>
      </c>
      <c r="G16" s="184"/>
      <c r="H16" s="185">
        <v>101336.91666666667</v>
      </c>
      <c r="I16" s="185">
        <f>'Exh No.__(JRS-17) p1-10'!C89/12</f>
        <v>104635.09245519141</v>
      </c>
      <c r="J16" s="157"/>
      <c r="K16" s="185">
        <v>1569938.6044392167</v>
      </c>
      <c r="L16" s="185">
        <f>'Exh No.__(JRS-17) p1-10'!C101/1000</f>
        <v>1572834.8567787264</v>
      </c>
      <c r="N16" s="186">
        <v>102672.94442530281</v>
      </c>
      <c r="O16" s="186">
        <f>'Exh No.__(JRS-17) p1-10'!I101/1000</f>
        <v>140088.11881608813</v>
      </c>
      <c r="P16" s="187"/>
      <c r="Q16" s="186">
        <f ca="1">'Exh No.__(JRS-17) p1-10'!L101/1000</f>
        <v>155724.38775907914</v>
      </c>
      <c r="R16" s="186"/>
      <c r="S16" s="188">
        <f ca="1">Q16+W16</f>
        <v>158303.83692419625</v>
      </c>
      <c r="T16" s="186"/>
      <c r="U16" s="186">
        <f ca="1">('Rate Design Work'!L100-'Rate Design Work'!I100)/1000</f>
        <v>15636.268942990988</v>
      </c>
      <c r="V16" s="189">
        <f ca="1">U16/O16</f>
        <v>0.11161738108225117</v>
      </c>
      <c r="W16" s="186">
        <f ca="1">(AB16/100)*L16</f>
        <v>2579.4491651171115</v>
      </c>
      <c r="X16" s="189">
        <f ca="1">W16/O16</f>
        <v>1.8413047351313851E-2</v>
      </c>
      <c r="Y16" s="186">
        <f ca="1">O16+W16</f>
        <v>142667.56798120524</v>
      </c>
      <c r="Z16" s="189">
        <f ca="1">W16/O16</f>
        <v>1.8413047351313851E-2</v>
      </c>
      <c r="AA16" s="187"/>
      <c r="AB16" s="190">
        <f ca="1">ROUND((((Q16/$Q$44)*$W$51)/L16)*100,3)</f>
        <v>0.16400000000000001</v>
      </c>
      <c r="AC16" s="187"/>
      <c r="AD16" s="187"/>
      <c r="AE16" s="187"/>
      <c r="AF16" s="193" t="s">
        <v>31</v>
      </c>
      <c r="AG16" s="194"/>
      <c r="AH16" s="195" t="s">
        <v>31</v>
      </c>
      <c r="AI16" s="157" t="s">
        <v>31</v>
      </c>
    </row>
    <row r="17" spans="2:36">
      <c r="H17" s="196"/>
      <c r="I17" s="196"/>
      <c r="K17" s="196"/>
      <c r="L17" s="196"/>
      <c r="N17" s="196"/>
      <c r="O17" s="196"/>
      <c r="P17" s="162"/>
      <c r="Q17" s="196"/>
      <c r="R17" s="162"/>
      <c r="S17" s="197"/>
      <c r="T17" s="162"/>
      <c r="U17" s="196"/>
      <c r="V17" s="198"/>
      <c r="W17" s="196"/>
      <c r="X17" s="199"/>
      <c r="Y17" s="196"/>
      <c r="Z17" s="199"/>
      <c r="AA17" s="162"/>
      <c r="AB17" s="200"/>
      <c r="AC17" s="162"/>
      <c r="AD17" s="162"/>
      <c r="AE17" s="162"/>
      <c r="AF17" s="20"/>
      <c r="AG17" s="162"/>
      <c r="AH17" s="162"/>
    </row>
    <row r="18" spans="2:36">
      <c r="V18" s="202"/>
      <c r="X18" s="202"/>
      <c r="Z18" s="202"/>
      <c r="AB18" s="203"/>
      <c r="AF18" s="20"/>
      <c r="AG18" s="162"/>
      <c r="AH18" s="162"/>
    </row>
    <row r="19" spans="2:36">
      <c r="B19" s="86">
        <f>MAX(B$13:B18)+1</f>
        <v>2</v>
      </c>
      <c r="D19" s="183" t="s">
        <v>332</v>
      </c>
      <c r="H19" s="205">
        <f>SUM(H16:H16)</f>
        <v>101336.91666666667</v>
      </c>
      <c r="I19" s="205">
        <f>SUM(I16:I16)</f>
        <v>104635.09245519141</v>
      </c>
      <c r="K19" s="205">
        <f>SUM(K16:K16)</f>
        <v>1569938.6044392167</v>
      </c>
      <c r="L19" s="205">
        <f>SUM(L16:L16)</f>
        <v>1572834.8567787264</v>
      </c>
      <c r="M19" s="205"/>
      <c r="N19" s="206">
        <f>SUM(N16:N16)</f>
        <v>102672.94442530281</v>
      </c>
      <c r="O19" s="206">
        <f>SUM(O16:O16)</f>
        <v>140088.11881608813</v>
      </c>
      <c r="P19" s="187"/>
      <c r="Q19" s="206">
        <f ca="1">SUM(Q16:Q16)</f>
        <v>155724.38775907914</v>
      </c>
      <c r="R19" s="206"/>
      <c r="S19" s="206">
        <f ca="1">SUM(S16:S16)</f>
        <v>158303.83692419625</v>
      </c>
      <c r="T19" s="206"/>
      <c r="U19" s="186">
        <f ca="1">SUM(U16)</f>
        <v>15636.268942990988</v>
      </c>
      <c r="V19" s="189">
        <f ca="1">U19/O19</f>
        <v>0.11161738108225117</v>
      </c>
      <c r="W19" s="186">
        <f ca="1">SUM(W16)</f>
        <v>2579.4491651171115</v>
      </c>
      <c r="X19" s="189">
        <f ca="1">W19/O19</f>
        <v>1.8413047351313851E-2</v>
      </c>
      <c r="Y19" s="186">
        <f ca="1">U19+W19</f>
        <v>18215.7181081081</v>
      </c>
      <c r="Z19" s="189">
        <f ca="1">W19/O19</f>
        <v>1.8413047351313851E-2</v>
      </c>
      <c r="AA19" s="187"/>
      <c r="AB19" s="207"/>
      <c r="AC19" s="187"/>
      <c r="AD19" s="187"/>
      <c r="AE19" s="187"/>
      <c r="AF19" s="192"/>
      <c r="AG19" s="194"/>
      <c r="AH19" s="162"/>
    </row>
    <row r="20" spans="2:36">
      <c r="L20" s="1117" t="s">
        <v>31</v>
      </c>
      <c r="V20" s="202"/>
      <c r="X20" s="202"/>
      <c r="Z20" s="202"/>
      <c r="AB20" s="203"/>
      <c r="AF20" s="20"/>
      <c r="AG20" s="162"/>
      <c r="AH20" s="162"/>
    </row>
    <row r="21" spans="2:36">
      <c r="D21" s="183" t="s">
        <v>333</v>
      </c>
      <c r="H21" s="208"/>
      <c r="I21" s="208"/>
      <c r="V21" s="202"/>
      <c r="X21" s="202"/>
      <c r="Z21" s="202"/>
      <c r="AB21" s="203"/>
      <c r="AF21" s="20"/>
      <c r="AG21" s="162"/>
      <c r="AH21" s="162"/>
    </row>
    <row r="22" spans="2:36">
      <c r="B22" s="86">
        <f>MAX(B$13:B21)+1</f>
        <v>3</v>
      </c>
      <c r="D22" s="156" t="s">
        <v>334</v>
      </c>
      <c r="F22" s="154">
        <v>24</v>
      </c>
      <c r="G22" s="154"/>
      <c r="H22" s="185">
        <v>17306.416666666664</v>
      </c>
      <c r="I22" s="185">
        <f>'Exh No.__(JRS-17) p1-10'!C177/12</f>
        <v>18788.493749999969</v>
      </c>
      <c r="K22" s="185">
        <v>513041.74113523914</v>
      </c>
      <c r="L22" s="185">
        <f ca="1">'Exh No.__(JRS-17) p1-10'!C205/1000</f>
        <v>543201.5574379696</v>
      </c>
      <c r="N22" s="206">
        <v>33647.646251191611</v>
      </c>
      <c r="O22" s="186">
        <f ca="1">'Exh No.__(JRS-17) p1-10'!I205/1000</f>
        <v>48473.096458215186</v>
      </c>
      <c r="P22" s="187"/>
      <c r="Q22" s="186">
        <f ca="1">'Exh No.__(JRS-17) p1-10'!L205/1000</f>
        <v>50884.225458215187</v>
      </c>
      <c r="R22" s="186"/>
      <c r="S22" s="188">
        <f t="shared" ref="S22:S29" ca="1" si="0">Q22+W22</f>
        <v>51726.187872244038</v>
      </c>
      <c r="T22" s="186"/>
      <c r="U22" s="186">
        <f ca="1">('Rate Design Work'!L204-'Rate Design Work'!I204)/1000</f>
        <v>2411.1289999999999</v>
      </c>
      <c r="V22" s="189">
        <f ca="1">U22/O22</f>
        <v>4.974159226816556E-2</v>
      </c>
      <c r="W22" s="186">
        <f t="shared" ref="W22:W29" ca="1" si="1">(AB22/100)*L22</f>
        <v>841.96241402885289</v>
      </c>
      <c r="X22" s="189">
        <f ca="1">W22/O22</f>
        <v>1.7369684949973062E-2</v>
      </c>
      <c r="Y22" s="186">
        <f t="shared" ref="Y22:Y29" ca="1" si="2">O22+W22</f>
        <v>49315.058872244037</v>
      </c>
      <c r="Z22" s="189">
        <f t="shared" ref="Z22:Z29" ca="1" si="3">W22/O22</f>
        <v>1.7369684949973062E-2</v>
      </c>
      <c r="AA22" s="187"/>
      <c r="AB22" s="190">
        <f t="shared" ref="AB22:AB29" ca="1" si="4">ROUND((((Q22/$Q$44)*$W$51)/L22)*100,3)</f>
        <v>0.155</v>
      </c>
      <c r="AC22" s="187"/>
      <c r="AD22" s="187"/>
      <c r="AE22" s="187"/>
      <c r="AF22" s="192"/>
      <c r="AG22" s="194"/>
      <c r="AH22" s="162"/>
      <c r="AI22" s="209"/>
      <c r="AJ22" s="14"/>
    </row>
    <row r="23" spans="2:36">
      <c r="B23" s="86">
        <f>MAX(B$13:B22)+1</f>
        <v>4</v>
      </c>
      <c r="D23" s="156" t="s">
        <v>335</v>
      </c>
      <c r="E23" s="52"/>
      <c r="F23" s="154">
        <v>33</v>
      </c>
      <c r="G23" s="154"/>
      <c r="H23" s="185">
        <v>0</v>
      </c>
      <c r="I23" s="185">
        <v>0</v>
      </c>
      <c r="K23" s="185">
        <v>0</v>
      </c>
      <c r="L23" s="185">
        <v>0</v>
      </c>
      <c r="N23" s="186">
        <v>0</v>
      </c>
      <c r="O23" s="186">
        <v>0</v>
      </c>
      <c r="P23" s="187"/>
      <c r="Q23" s="186">
        <f ca="1">'Exh No.__(JRS-17) p1-10'!L597/100</f>
        <v>0</v>
      </c>
      <c r="R23" s="186"/>
      <c r="S23" s="188">
        <f t="shared" ca="1" si="0"/>
        <v>0</v>
      </c>
      <c r="T23" s="186"/>
      <c r="U23" s="186">
        <f ca="1">('Rate Design Work'!L596-'Rate Design Work'!I596)/1000</f>
        <v>0</v>
      </c>
      <c r="V23" s="189">
        <f ca="1">V24</f>
        <v>0.1116095995374872</v>
      </c>
      <c r="W23" s="186">
        <f t="shared" ca="1" si="1"/>
        <v>0</v>
      </c>
      <c r="X23" s="189">
        <f ca="1">X24</f>
        <v>1.8502674603672446E-2</v>
      </c>
      <c r="Y23" s="186">
        <f t="shared" ca="1" si="2"/>
        <v>0</v>
      </c>
      <c r="Z23" s="189">
        <f ca="1">Z24</f>
        <v>1.8502674603672446E-2</v>
      </c>
      <c r="AA23" s="187"/>
      <c r="AB23" s="190">
        <f ca="1">AB24</f>
        <v>0.13800000000000001</v>
      </c>
      <c r="AC23" s="187"/>
      <c r="AD23" s="187"/>
      <c r="AE23" s="187"/>
      <c r="AF23" s="192"/>
      <c r="AG23" s="194"/>
      <c r="AH23" s="162"/>
      <c r="AI23" s="209"/>
      <c r="AJ23" s="14"/>
    </row>
    <row r="24" spans="2:36">
      <c r="B24" s="86">
        <f>MAX(B$13:B23)+1</f>
        <v>5</v>
      </c>
      <c r="D24" s="156" t="s">
        <v>336</v>
      </c>
      <c r="F24" s="154">
        <v>36</v>
      </c>
      <c r="G24" s="154"/>
      <c r="H24" s="185">
        <v>1058.6666666666667</v>
      </c>
      <c r="I24" s="185">
        <f>'Exh No.__(JRS-17) p1-10'!C606/12</f>
        <v>1053.9138888888895</v>
      </c>
      <c r="K24" s="185">
        <v>901191.51506367233</v>
      </c>
      <c r="L24" s="185">
        <f ca="1">'Exh No.__(JRS-17) p1-10'!C637/1000</f>
        <v>895773.15120793856</v>
      </c>
      <c r="N24" s="206">
        <v>49005.26783999426</v>
      </c>
      <c r="O24" s="186">
        <f ca="1">'Exh No.__(JRS-17) p1-10'!I637/1000</f>
        <v>66810.176104031925</v>
      </c>
      <c r="P24" s="187"/>
      <c r="Q24" s="186">
        <f ca="1">'Exh No.__(JRS-17) p1-10'!L637/1000</f>
        <v>74266.833104031917</v>
      </c>
      <c r="R24" s="186"/>
      <c r="S24" s="188">
        <f t="shared" ca="1" si="0"/>
        <v>75503.000052698873</v>
      </c>
      <c r="T24" s="186"/>
      <c r="U24" s="186">
        <f ca="1">('Rate Design Work'!L636-'Rate Design Work'!I636)/1000</f>
        <v>7456.6570000000002</v>
      </c>
      <c r="V24" s="189">
        <f ca="1">U24/O24</f>
        <v>0.1116095995374872</v>
      </c>
      <c r="W24" s="186">
        <f t="shared" ca="1" si="1"/>
        <v>1236.1669486669552</v>
      </c>
      <c r="X24" s="189">
        <f t="shared" ref="X24:X29" ca="1" si="5">W24/O24</f>
        <v>1.8502674603672446E-2</v>
      </c>
      <c r="Y24" s="186">
        <f t="shared" ca="1" si="2"/>
        <v>68046.343052698881</v>
      </c>
      <c r="Z24" s="189">
        <f t="shared" ca="1" si="3"/>
        <v>1.8502674603672446E-2</v>
      </c>
      <c r="AA24" s="187"/>
      <c r="AB24" s="190">
        <f t="shared" ca="1" si="4"/>
        <v>0.13800000000000001</v>
      </c>
      <c r="AC24" s="187"/>
      <c r="AD24" s="187"/>
      <c r="AE24" s="187"/>
      <c r="AF24" s="192"/>
      <c r="AG24" s="194"/>
      <c r="AH24" s="162"/>
      <c r="AI24" s="209"/>
      <c r="AJ24" s="14"/>
    </row>
    <row r="25" spans="2:36">
      <c r="B25" s="86">
        <f>MAX(B$13:B24)+1</f>
        <v>6</v>
      </c>
      <c r="D25" s="156" t="s">
        <v>196</v>
      </c>
      <c r="F25" s="154" t="s">
        <v>337</v>
      </c>
      <c r="G25" s="154"/>
      <c r="H25" s="185">
        <v>5259</v>
      </c>
      <c r="I25" s="185">
        <f>'Exh No.__(JRS-17) p1-10'!C726</f>
        <v>5247.0299819759166</v>
      </c>
      <c r="K25" s="185">
        <v>168033.04399999999</v>
      </c>
      <c r="L25" s="185">
        <f>'Exh No.__(JRS-17) p1-10'!C769/1000</f>
        <v>148533.3665584703</v>
      </c>
      <c r="N25" s="206">
        <v>10140.337</v>
      </c>
      <c r="O25" s="186">
        <f ca="1">'Exh No.__(JRS-17) p1-10'!I769/1000</f>
        <v>12666.289000000001</v>
      </c>
      <c r="P25" s="187"/>
      <c r="Q25" s="186">
        <f ca="1">'Exh No.__(JRS-17) p1-10'!L769/1000</f>
        <v>13296.050999999999</v>
      </c>
      <c r="R25" s="186"/>
      <c r="S25" s="188">
        <f t="shared" ca="1" si="0"/>
        <v>13517.36571617212</v>
      </c>
      <c r="T25" s="186"/>
      <c r="U25" s="186">
        <f ca="1">('Rate Design Work'!L768-'Rate Design Work'!I768)/1000</f>
        <v>629.76199999999994</v>
      </c>
      <c r="V25" s="189">
        <f ca="1">U25/O25</f>
        <v>4.9719535058768985E-2</v>
      </c>
      <c r="W25" s="186">
        <f t="shared" ca="1" si="1"/>
        <v>221.31471617212074</v>
      </c>
      <c r="X25" s="189">
        <f t="shared" ca="1" si="5"/>
        <v>1.7472735398041266E-2</v>
      </c>
      <c r="Y25" s="186">
        <f t="shared" ca="1" si="2"/>
        <v>12887.603716172121</v>
      </c>
      <c r="Z25" s="189">
        <f t="shared" ca="1" si="3"/>
        <v>1.7472735398041266E-2</v>
      </c>
      <c r="AA25" s="187"/>
      <c r="AB25" s="190">
        <f t="shared" ca="1" si="4"/>
        <v>0.14899999999999999</v>
      </c>
      <c r="AC25" s="187"/>
      <c r="AD25" s="187"/>
      <c r="AE25" s="187"/>
      <c r="AF25" s="192"/>
      <c r="AG25" s="194"/>
      <c r="AH25" s="162"/>
    </row>
    <row r="26" spans="2:36">
      <c r="B26" s="86">
        <f>MAX(B$13:B25)+1</f>
        <v>7</v>
      </c>
      <c r="D26" s="156" t="s">
        <v>338</v>
      </c>
      <c r="F26" s="154">
        <v>47</v>
      </c>
      <c r="G26" s="154"/>
      <c r="H26" s="185">
        <v>1.0833333333333333</v>
      </c>
      <c r="I26" s="185">
        <f>'Exh No.__(JRS-17) p1-10'!C885/12</f>
        <v>1</v>
      </c>
      <c r="K26" s="185">
        <v>1616.6904507017675</v>
      </c>
      <c r="L26" s="185">
        <f ca="1">'Exh No.__(JRS-17) p1-10'!C899/1000</f>
        <v>1994.5324465218168</v>
      </c>
      <c r="N26" s="206">
        <v>165.62561725051643</v>
      </c>
      <c r="O26" s="186">
        <f ca="1">'Exh No.__(JRS-17) p1-10'!I899/1000</f>
        <v>292.12801280278654</v>
      </c>
      <c r="P26" s="187"/>
      <c r="Q26" s="186">
        <f ca="1">'Exh No.__(JRS-17) p1-10'!L899/1000</f>
        <v>324.86501280278657</v>
      </c>
      <c r="R26" s="186"/>
      <c r="S26" s="188">
        <f t="shared" ca="1" si="0"/>
        <v>327.11883446735624</v>
      </c>
      <c r="T26" s="186"/>
      <c r="U26" s="186">
        <f ca="1">('Rate Design Work'!L898-'Rate Design Work'!I898)/1000</f>
        <v>32.737000000000002</v>
      </c>
      <c r="V26" s="189">
        <f ca="1">U26/O26</f>
        <v>0.11206388489042476</v>
      </c>
      <c r="W26" s="186">
        <f t="shared" ca="1" si="1"/>
        <v>2.2538216645696529</v>
      </c>
      <c r="X26" s="189">
        <f t="shared" ca="1" si="5"/>
        <v>7.7151850072358216E-3</v>
      </c>
      <c r="Y26" s="186">
        <f t="shared" ca="1" si="2"/>
        <v>294.38183446735621</v>
      </c>
      <c r="Z26" s="189">
        <f t="shared" ca="1" si="3"/>
        <v>7.7151850072358216E-3</v>
      </c>
      <c r="AA26" s="187"/>
      <c r="AB26" s="190">
        <f ca="1">AB27</f>
        <v>0.113</v>
      </c>
      <c r="AC26" s="187"/>
      <c r="AD26" s="187"/>
      <c r="AE26" s="187"/>
      <c r="AF26" s="192"/>
      <c r="AG26" s="194"/>
      <c r="AH26" s="162"/>
    </row>
    <row r="27" spans="2:36">
      <c r="B27" s="86">
        <f>MAX(B$13:B26)+1</f>
        <v>8</v>
      </c>
      <c r="D27" s="156" t="s">
        <v>339</v>
      </c>
      <c r="F27" s="154">
        <v>48</v>
      </c>
      <c r="G27" s="154"/>
      <c r="H27" s="185">
        <v>63.666666666666671</v>
      </c>
      <c r="I27" s="185">
        <f>('Exh No.__(JRS-17) p1-10'!C926+'Exh No.__(JRS-17) p1-10'!C1095)/12</f>
        <v>62.012626262626249</v>
      </c>
      <c r="K27" s="185">
        <v>856497.09877425549</v>
      </c>
      <c r="L27" s="185">
        <f ca="1">('Exh No.__(JRS-17) p1-10'!C936+'Exh No.__(JRS-17) p1-10'!C1106)/1000</f>
        <v>834884.0372572965</v>
      </c>
      <c r="N27" s="206">
        <v>38996.209349631463</v>
      </c>
      <c r="O27" s="186">
        <f ca="1">('Exh No.__(JRS-17) p1-10'!I936+'Exh No.__(JRS-17) p1-10'!I1106)/1000</f>
        <v>50976.274610443281</v>
      </c>
      <c r="P27" s="187"/>
      <c r="Q27" s="186">
        <f ca="1">'Exh No.__(JRS-17) p1-10'!L917/1000</f>
        <v>56665.980610443272</v>
      </c>
      <c r="R27" s="186"/>
      <c r="S27" s="188">
        <f t="shared" ca="1" si="0"/>
        <v>57609.399572544018</v>
      </c>
      <c r="T27" s="186"/>
      <c r="U27" s="186">
        <f ca="1">('Rate Design Work'!L935+'Rate Design Work'!L1104-'Rate Design Work'!I935-'Rate Design Work'!I1104)/1000</f>
        <v>5689.7060000000038</v>
      </c>
      <c r="V27" s="189">
        <f ca="1">U27/O27</f>
        <v>0.11161478635856177</v>
      </c>
      <c r="W27" s="186">
        <f t="shared" ca="1" si="1"/>
        <v>943.41896210074503</v>
      </c>
      <c r="X27" s="189">
        <f t="shared" ca="1" si="5"/>
        <v>1.8507020556332906E-2</v>
      </c>
      <c r="Y27" s="186">
        <f t="shared" ca="1" si="2"/>
        <v>51919.693572544027</v>
      </c>
      <c r="Z27" s="189">
        <f t="shared" ca="1" si="3"/>
        <v>1.8507020556332906E-2</v>
      </c>
      <c r="AA27" s="187"/>
      <c r="AB27" s="190">
        <f t="shared" ca="1" si="4"/>
        <v>0.113</v>
      </c>
      <c r="AC27" s="187"/>
      <c r="AD27" s="187"/>
      <c r="AE27" s="187"/>
      <c r="AF27" s="192"/>
      <c r="AG27" s="194"/>
      <c r="AH27" s="162"/>
      <c r="AI27" s="157" t="s">
        <v>31</v>
      </c>
    </row>
    <row r="28" spans="2:36" hidden="1">
      <c r="B28" s="86">
        <f>MAX(B$13:B26)+1</f>
        <v>8</v>
      </c>
      <c r="D28" s="156" t="s">
        <v>670</v>
      </c>
      <c r="F28" s="184" t="s">
        <v>671</v>
      </c>
      <c r="G28" s="154"/>
      <c r="H28" s="185">
        <v>63.666666666666671</v>
      </c>
      <c r="I28" s="185">
        <v>0</v>
      </c>
      <c r="K28" s="185">
        <v>856497.09877425549</v>
      </c>
      <c r="L28" s="185">
        <v>0</v>
      </c>
      <c r="N28" s="206">
        <v>38996.209349631463</v>
      </c>
      <c r="O28" s="186">
        <v>0</v>
      </c>
      <c r="P28" s="187"/>
      <c r="Q28" s="186">
        <v>0</v>
      </c>
      <c r="R28" s="186"/>
      <c r="S28" s="188">
        <f t="shared" si="0"/>
        <v>0</v>
      </c>
      <c r="T28" s="186"/>
      <c r="U28" s="186">
        <v>0</v>
      </c>
      <c r="V28" s="189">
        <v>0</v>
      </c>
      <c r="W28" s="186">
        <v>0</v>
      </c>
      <c r="X28" s="189">
        <v>0</v>
      </c>
      <c r="Y28" s="186">
        <f t="shared" si="2"/>
        <v>0</v>
      </c>
      <c r="Z28" s="189" t="e">
        <f t="shared" si="3"/>
        <v>#DIV/0!</v>
      </c>
      <c r="AA28" s="187"/>
      <c r="AB28" s="190" t="e">
        <f t="shared" ca="1" si="4"/>
        <v>#DIV/0!</v>
      </c>
      <c r="AC28" s="187"/>
      <c r="AD28" s="187"/>
      <c r="AE28" s="187"/>
      <c r="AF28" s="192"/>
      <c r="AG28" s="194"/>
      <c r="AH28" s="162"/>
    </row>
    <row r="29" spans="2:36">
      <c r="B29" s="86">
        <f>MAX(B$13:B28)+1</f>
        <v>9</v>
      </c>
      <c r="D29" s="156" t="s">
        <v>192</v>
      </c>
      <c r="F29" s="154" t="s">
        <v>193</v>
      </c>
      <c r="G29" s="154"/>
      <c r="H29" s="185">
        <v>28</v>
      </c>
      <c r="I29" s="185">
        <f>'Exh No.__(JRS-17) p1-10'!C1226/12</f>
        <v>29.977777777777749</v>
      </c>
      <c r="K29" s="185">
        <v>233.86177246899351</v>
      </c>
      <c r="L29" s="185">
        <f>'Exh No.__(JRS-17) p1-10'!C1232/1000</f>
        <v>294.55045303791917</v>
      </c>
      <c r="N29" s="206">
        <v>18.659249899021408</v>
      </c>
      <c r="O29" s="186">
        <f>'Exh No.__(JRS-17) p1-10'!I1232/1000</f>
        <v>25.790024491772925</v>
      </c>
      <c r="P29" s="187"/>
      <c r="Q29" s="186">
        <f>'Exh No.__(JRS-17) p1-10'!L1232/1000</f>
        <v>27.072024491772925</v>
      </c>
      <c r="R29" s="186"/>
      <c r="S29" s="188">
        <f t="shared" ca="1" si="0"/>
        <v>27.522686684920942</v>
      </c>
      <c r="T29" s="186"/>
      <c r="U29" s="186">
        <f>('Rate Design Work'!L1226-'Rate Design Work'!I1226)/1000</f>
        <v>1.282</v>
      </c>
      <c r="V29" s="189">
        <f>U29/O29</f>
        <v>4.9709142401511128E-2</v>
      </c>
      <c r="W29" s="186">
        <f t="shared" ca="1" si="1"/>
        <v>0.45066219314801631</v>
      </c>
      <c r="X29" s="189">
        <f t="shared" ca="1" si="5"/>
        <v>1.7474283255984442E-2</v>
      </c>
      <c r="Y29" s="186">
        <f t="shared" ca="1" si="2"/>
        <v>26.240686684920941</v>
      </c>
      <c r="Z29" s="189">
        <f t="shared" ca="1" si="3"/>
        <v>1.7474283255984442E-2</v>
      </c>
      <c r="AA29" s="187"/>
      <c r="AB29" s="190">
        <f t="shared" ca="1" si="4"/>
        <v>0.153</v>
      </c>
      <c r="AC29" s="187"/>
      <c r="AD29" s="187"/>
      <c r="AE29" s="187"/>
      <c r="AF29" s="192"/>
      <c r="AG29" s="194"/>
      <c r="AH29" s="162"/>
    </row>
    <row r="30" spans="2:36">
      <c r="B30" s="171"/>
      <c r="F30" s="154"/>
      <c r="G30" s="154"/>
      <c r="H30" s="196"/>
      <c r="I30" s="196"/>
      <c r="K30" s="196"/>
      <c r="L30" s="196"/>
      <c r="N30" s="196"/>
      <c r="O30" s="196"/>
      <c r="P30" s="162"/>
      <c r="Q30" s="196"/>
      <c r="R30" s="162"/>
      <c r="S30" s="197"/>
      <c r="T30" s="162"/>
      <c r="U30" s="196"/>
      <c r="V30" s="199"/>
      <c r="W30" s="196"/>
      <c r="X30" s="199"/>
      <c r="Y30" s="196"/>
      <c r="Z30" s="199"/>
      <c r="AA30" s="162"/>
      <c r="AB30" s="200"/>
      <c r="AC30" s="162"/>
      <c r="AD30" s="162"/>
      <c r="AE30" s="162"/>
      <c r="AF30" s="20"/>
      <c r="AG30" s="162"/>
      <c r="AH30" s="162"/>
    </row>
    <row r="31" spans="2:36">
      <c r="B31" s="171"/>
      <c r="V31" s="202"/>
      <c r="X31" s="202"/>
      <c r="Z31" s="202"/>
      <c r="AB31" s="203"/>
      <c r="AF31" s="20"/>
      <c r="AG31" s="162"/>
      <c r="AH31" s="162"/>
    </row>
    <row r="32" spans="2:36">
      <c r="B32" s="86">
        <f>MAX(B$13:B31)+1</f>
        <v>10</v>
      </c>
      <c r="D32" s="183" t="s">
        <v>340</v>
      </c>
      <c r="H32" s="205">
        <f>SUM(H22:H29)</f>
        <v>23780.5</v>
      </c>
      <c r="I32" s="205">
        <f>SUM(I22:I29)</f>
        <v>25182.428024905177</v>
      </c>
      <c r="K32" s="205">
        <f>SUM(K22:K29)</f>
        <v>3297111.0499705928</v>
      </c>
      <c r="L32" s="205">
        <f ca="1">SUM(L22:L29)</f>
        <v>2424681.1953612347</v>
      </c>
      <c r="M32" s="205"/>
      <c r="N32" s="186">
        <f>SUM(N22:N29)</f>
        <v>170969.95465759834</v>
      </c>
      <c r="O32" s="186">
        <f ca="1">SUM(O22:O29)</f>
        <v>179243.75420998497</v>
      </c>
      <c r="P32" s="187"/>
      <c r="Q32" s="186">
        <f ca="1">SUM(Q22:Q29)</f>
        <v>195465.02720998495</v>
      </c>
      <c r="R32" s="206"/>
      <c r="S32" s="188">
        <f ca="1">SUM(S22:S29)</f>
        <v>198710.59473481128</v>
      </c>
      <c r="T32" s="206"/>
      <c r="U32" s="186">
        <f ca="1">SUM(U22:U29)</f>
        <v>16221.273000000003</v>
      </c>
      <c r="V32" s="189">
        <f ca="1">U32/O32</f>
        <v>9.0498400189703121E-2</v>
      </c>
      <c r="W32" s="186">
        <f ca="1">SUM(W22:W29)</f>
        <v>3245.5675248263919</v>
      </c>
      <c r="X32" s="189">
        <f ca="1">W32/O32</f>
        <v>1.8107004838920041E-2</v>
      </c>
      <c r="Y32" s="186">
        <f ca="1">U32+W32</f>
        <v>19466.840524826395</v>
      </c>
      <c r="Z32" s="189"/>
      <c r="AA32" s="187"/>
      <c r="AB32" s="190"/>
      <c r="AC32" s="187"/>
      <c r="AD32" s="187"/>
      <c r="AE32" s="187"/>
      <c r="AF32" s="192"/>
      <c r="AG32" s="194"/>
      <c r="AH32" s="162"/>
    </row>
    <row r="33" spans="2:35">
      <c r="B33" s="171"/>
      <c r="V33" s="202"/>
      <c r="X33" s="202"/>
      <c r="Z33" s="202"/>
      <c r="AB33" s="203"/>
      <c r="AF33" s="20"/>
      <c r="AG33" s="162"/>
      <c r="AH33" s="162"/>
    </row>
    <row r="34" spans="2:35">
      <c r="B34" s="171"/>
      <c r="D34" s="183" t="s">
        <v>194</v>
      </c>
      <c r="V34" s="202"/>
      <c r="X34" s="202"/>
      <c r="Z34" s="202"/>
      <c r="AB34" s="203"/>
      <c r="AF34" s="20"/>
      <c r="AG34" s="162"/>
      <c r="AH34" s="162"/>
    </row>
    <row r="35" spans="2:35">
      <c r="B35" s="86">
        <f>MAX(B$13:B34)+1</f>
        <v>11</v>
      </c>
      <c r="D35" s="156" t="s">
        <v>190</v>
      </c>
      <c r="F35" s="154" t="s">
        <v>191</v>
      </c>
      <c r="G35" s="154"/>
      <c r="H35" s="185">
        <v>2828</v>
      </c>
      <c r="I35" s="185">
        <f>'Exh No.__(JRS-17) p1-10'!C24/12</f>
        <v>2531.9166666666665</v>
      </c>
      <c r="K35" s="185">
        <v>3735.0893644456642</v>
      </c>
      <c r="L35" s="185">
        <f ca="1">'Exh No.__(JRS-17) p1-10'!C27/1000</f>
        <v>3355.2350684260427</v>
      </c>
      <c r="N35" s="206">
        <v>473.92026673033644</v>
      </c>
      <c r="O35" s="186">
        <f ca="1">'Exh No.__(JRS-17) p1-10'!I27/1000</f>
        <v>468.63441510785196</v>
      </c>
      <c r="P35" s="187"/>
      <c r="Q35" s="186">
        <f ca="1">'Exh No.__(JRS-17) p1-10'!L27/1000</f>
        <v>492.03146778386667</v>
      </c>
      <c r="R35" s="186"/>
      <c r="S35" s="188">
        <f ca="1">Q35+W35</f>
        <v>500.18468900014193</v>
      </c>
      <c r="T35" s="186"/>
      <c r="U35" s="186">
        <f ca="1">('Rate Design Work'!L27-'Rate Design Work'!I27)/1000</f>
        <v>23.39705267601472</v>
      </c>
      <c r="V35" s="189">
        <f ca="1">U35/O35</f>
        <v>4.9926023189376952E-2</v>
      </c>
      <c r="W35" s="186">
        <f ca="1">(AB35/100)*L35</f>
        <v>8.1532212162752842</v>
      </c>
      <c r="X35" s="189">
        <f ca="1">W35/O35</f>
        <v>1.7397828570483654E-2</v>
      </c>
      <c r="Y35" s="186">
        <f t="shared" ref="Y35:Y39" ca="1" si="6">O35+W35</f>
        <v>476.78763632412722</v>
      </c>
      <c r="Z35" s="189">
        <f t="shared" ref="Z35:Z39" ca="1" si="7">W35/O35</f>
        <v>1.7397828570483654E-2</v>
      </c>
      <c r="AA35" s="187"/>
      <c r="AB35" s="190">
        <f t="shared" ref="AB35:AB39" ca="1" si="8">ROUND((((Q35/$Q$44)*$W$51)/L35)*100,3)</f>
        <v>0.24299999999999999</v>
      </c>
      <c r="AC35" s="187"/>
      <c r="AD35" s="187"/>
      <c r="AE35" s="187"/>
      <c r="AF35" s="192"/>
      <c r="AG35" s="194"/>
      <c r="AH35" s="162"/>
    </row>
    <row r="36" spans="2:35">
      <c r="B36" s="86">
        <f>MAX(B$13:B35)+1</f>
        <v>12</v>
      </c>
      <c r="D36" s="156" t="s">
        <v>341</v>
      </c>
      <c r="F36" s="154" t="s">
        <v>342</v>
      </c>
      <c r="G36" s="154"/>
      <c r="H36" s="185">
        <v>178</v>
      </c>
      <c r="I36" s="185">
        <f>'Exh No.__(JRS-17) p1-10'!C1137/12</f>
        <v>163</v>
      </c>
      <c r="K36" s="185">
        <v>2902.2385934150548</v>
      </c>
      <c r="L36" s="185">
        <f>'Exh No.__(JRS-17) p1-10'!C1141/1000</f>
        <v>3186.5956037362384</v>
      </c>
      <c r="N36" s="206">
        <v>522.31224201957195</v>
      </c>
      <c r="O36" s="186">
        <f>'Exh No.__(JRS-17) p1-10'!I1141/1000</f>
        <v>620.98089382532601</v>
      </c>
      <c r="P36" s="187"/>
      <c r="Q36" s="186">
        <f>'Exh No.__(JRS-17) p1-10'!L1141/1000</f>
        <v>652.13789382532605</v>
      </c>
      <c r="R36" s="186"/>
      <c r="S36" s="188">
        <f ca="1">Q36+W36</f>
        <v>662.97231887802923</v>
      </c>
      <c r="T36" s="186"/>
      <c r="U36" s="186">
        <f>('Rate Design Work'!L1139-'Rate Design Work'!I1139)/1000</f>
        <v>31.157</v>
      </c>
      <c r="V36" s="189">
        <f>U36/O36</f>
        <v>5.0173846425561795E-2</v>
      </c>
      <c r="W36" s="186">
        <f ca="1">(AB36/100)*L36</f>
        <v>10.834425052703212</v>
      </c>
      <c r="X36" s="189">
        <f ca="1">W36/O36</f>
        <v>1.7447276011926378E-2</v>
      </c>
      <c r="Y36" s="186">
        <f t="shared" ca="1" si="6"/>
        <v>631.81531887802919</v>
      </c>
      <c r="Z36" s="189">
        <f t="shared" ca="1" si="7"/>
        <v>1.7447276011926378E-2</v>
      </c>
      <c r="AA36" s="187"/>
      <c r="AB36" s="190">
        <f t="shared" ca="1" si="8"/>
        <v>0.34</v>
      </c>
      <c r="AC36" s="187"/>
      <c r="AD36" s="187"/>
      <c r="AE36" s="187"/>
      <c r="AF36" s="192"/>
      <c r="AG36" s="194"/>
      <c r="AH36" s="193" t="s">
        <v>31</v>
      </c>
    </row>
    <row r="37" spans="2:35">
      <c r="B37" s="86">
        <f>MAX(B$13:B36)+1</f>
        <v>13</v>
      </c>
      <c r="D37" s="156" t="s">
        <v>341</v>
      </c>
      <c r="F37" s="154">
        <v>52</v>
      </c>
      <c r="G37" s="154"/>
      <c r="H37" s="185">
        <v>30</v>
      </c>
      <c r="I37" s="185">
        <f>'Exh No.__(JRS-17) p1-10'!C1153/12</f>
        <v>15</v>
      </c>
      <c r="K37" s="185">
        <v>466.2387672357238</v>
      </c>
      <c r="L37" s="185">
        <f>'Exh No.__(JRS-17) p1-10'!C1158/1000</f>
        <v>198.34085987577339</v>
      </c>
      <c r="N37" s="206">
        <v>60.670270195709442</v>
      </c>
      <c r="O37" s="186">
        <f>'Exh No.__(JRS-17) p1-10'!I1158/1000</f>
        <v>33.511850718803466</v>
      </c>
      <c r="P37" s="187"/>
      <c r="Q37" s="186">
        <f>'Exh No.__(JRS-17) p1-10'!L1158/1000</f>
        <v>35.179850718803465</v>
      </c>
      <c r="R37" s="186"/>
      <c r="S37" s="188">
        <f ca="1">Q37+W37</f>
        <v>35.762972846838238</v>
      </c>
      <c r="T37" s="186"/>
      <c r="U37" s="186">
        <f>('Rate Design Work'!L1155-'Rate Design Work'!I1155)/1000</f>
        <v>1.6679999999999999</v>
      </c>
      <c r="V37" s="189">
        <f>U37/O37</f>
        <v>4.9773437283309657E-2</v>
      </c>
      <c r="W37" s="186">
        <f ca="1">(AB37/100)*L37</f>
        <v>0.5831221280347737</v>
      </c>
      <c r="X37" s="189">
        <f ca="1">W37/O37</f>
        <v>1.7400475220772708E-2</v>
      </c>
      <c r="Y37" s="186">
        <f t="shared" ca="1" si="6"/>
        <v>34.094972846838239</v>
      </c>
      <c r="Z37" s="189">
        <f t="shared" ca="1" si="7"/>
        <v>1.7400475220772708E-2</v>
      </c>
      <c r="AA37" s="187"/>
      <c r="AB37" s="190">
        <f t="shared" ca="1" si="8"/>
        <v>0.29399999999999998</v>
      </c>
      <c r="AC37" s="187"/>
      <c r="AD37" s="187"/>
      <c r="AE37" s="187"/>
      <c r="AF37" s="192"/>
      <c r="AG37" s="194"/>
      <c r="AH37" s="162"/>
    </row>
    <row r="38" spans="2:35">
      <c r="B38" s="86">
        <f>MAX(B$13:B37)+1</f>
        <v>14</v>
      </c>
      <c r="D38" s="156" t="s">
        <v>341</v>
      </c>
      <c r="F38" s="154">
        <v>53</v>
      </c>
      <c r="G38" s="154"/>
      <c r="H38" s="185">
        <v>272.33333333333337</v>
      </c>
      <c r="I38" s="185">
        <f>'Exh No.__(JRS-17) p1-10'!C1168/12</f>
        <v>217.08333333333334</v>
      </c>
      <c r="K38" s="185">
        <v>4499.9316487570059</v>
      </c>
      <c r="L38" s="185">
        <f>'Exh No.__(JRS-17) p1-10'!C1172/1000</f>
        <v>4161.9537848388163</v>
      </c>
      <c r="N38" s="185">
        <v>278.83306975907675</v>
      </c>
      <c r="O38" s="186">
        <f>'Exh No.__(JRS-17) p1-10'!I1172/1000</f>
        <v>286.22928702344217</v>
      </c>
      <c r="P38" s="187"/>
      <c r="Q38" s="186">
        <f>'Exh No.__(JRS-17) p1-10'!L1172/1000</f>
        <v>300.57122386920241</v>
      </c>
      <c r="R38" s="186"/>
      <c r="S38" s="188">
        <f ca="1">Q38+W38</f>
        <v>305.565568411009</v>
      </c>
      <c r="T38" s="186"/>
      <c r="U38" s="186">
        <f>('Rate Design Work'!L1169-'Rate Design Work'!I1169)/1000</f>
        <v>14.341538543641567</v>
      </c>
      <c r="V38" s="189">
        <f>U38/O38</f>
        <v>5.0105070283974804E-2</v>
      </c>
      <c r="W38" s="186">
        <f ca="1">(AB38/100)*L38</f>
        <v>4.9943445418065791</v>
      </c>
      <c r="X38" s="189">
        <f ca="1">W38/O38</f>
        <v>1.7448754436500211E-2</v>
      </c>
      <c r="Y38" s="186">
        <f t="shared" ca="1" si="6"/>
        <v>291.22363156524875</v>
      </c>
      <c r="Z38" s="189">
        <f t="shared" ca="1" si="7"/>
        <v>1.7448754436500211E-2</v>
      </c>
      <c r="AA38" s="187"/>
      <c r="AB38" s="190">
        <f t="shared" ca="1" si="8"/>
        <v>0.12</v>
      </c>
      <c r="AC38" s="187"/>
      <c r="AD38" s="187"/>
      <c r="AE38" s="187"/>
      <c r="AF38" s="192"/>
      <c r="AG38" s="194"/>
      <c r="AH38" s="162"/>
      <c r="AI38" s="157" t="s">
        <v>31</v>
      </c>
    </row>
    <row r="39" spans="2:35">
      <c r="B39" s="86">
        <f>MAX(B$13:B38)+1</f>
        <v>15</v>
      </c>
      <c r="D39" s="156" t="s">
        <v>341</v>
      </c>
      <c r="F39" s="154">
        <v>57</v>
      </c>
      <c r="G39" s="154"/>
      <c r="H39" s="185">
        <v>50.666666666666664</v>
      </c>
      <c r="I39" s="185">
        <f>'Exh No.__(JRS-17) p1-10'!C1268/12</f>
        <v>33.916666666666664</v>
      </c>
      <c r="K39" s="185">
        <v>2174.0459905922153</v>
      </c>
      <c r="L39" s="185">
        <f>'Exh No.__(JRS-17) p1-10'!C1272/1000</f>
        <v>1743.2558167712143</v>
      </c>
      <c r="N39" s="185">
        <v>235.8029580256418</v>
      </c>
      <c r="O39" s="186">
        <f>'Exh No.__(JRS-17) p1-10'!I1272/1000</f>
        <v>212.91005677457667</v>
      </c>
      <c r="P39" s="187"/>
      <c r="Q39" s="186">
        <f>'Exh No.__(JRS-17) p1-10'!L1272/1000</f>
        <v>223.57305677457666</v>
      </c>
      <c r="R39" s="186"/>
      <c r="S39" s="188">
        <f ca="1">Q39+W39</f>
        <v>227.28619166429934</v>
      </c>
      <c r="T39" s="186"/>
      <c r="U39" s="186">
        <f>('Rate Design Work'!L1266-'Rate Design Work'!I1266)/1000</f>
        <v>10.663</v>
      </c>
      <c r="V39" s="189">
        <f>U39/O39</f>
        <v>5.0082180999508598E-2</v>
      </c>
      <c r="W39" s="186">
        <f ca="1">(AB39/100)*L39</f>
        <v>3.7131348897226863</v>
      </c>
      <c r="X39" s="189">
        <f ca="1">W39/O39</f>
        <v>1.7439922500485976E-2</v>
      </c>
      <c r="Y39" s="186">
        <f t="shared" ca="1" si="6"/>
        <v>216.62319166429936</v>
      </c>
      <c r="Z39" s="189">
        <f t="shared" ca="1" si="7"/>
        <v>1.7439922500485976E-2</v>
      </c>
      <c r="AA39" s="187"/>
      <c r="AB39" s="190">
        <f t="shared" ca="1" si="8"/>
        <v>0.21299999999999999</v>
      </c>
      <c r="AC39" s="187"/>
      <c r="AD39" s="187"/>
      <c r="AE39" s="187"/>
      <c r="AF39" s="192"/>
      <c r="AG39" s="194"/>
      <c r="AH39" s="162"/>
    </row>
    <row r="40" spans="2:35">
      <c r="B40" s="171"/>
      <c r="H40" s="196"/>
      <c r="I40" s="196"/>
      <c r="K40" s="196"/>
      <c r="L40" s="196"/>
      <c r="N40" s="196"/>
      <c r="O40" s="196"/>
      <c r="P40" s="162"/>
      <c r="Q40" s="197"/>
      <c r="R40" s="162"/>
      <c r="S40" s="197"/>
      <c r="T40" s="162"/>
      <c r="U40" s="196"/>
      <c r="V40" s="199"/>
      <c r="W40" s="196"/>
      <c r="X40" s="199"/>
      <c r="Y40" s="196"/>
      <c r="Z40" s="199"/>
      <c r="AA40" s="162"/>
      <c r="AB40" s="200"/>
      <c r="AC40" s="162"/>
      <c r="AD40" s="162"/>
      <c r="AE40" s="162"/>
      <c r="AF40" s="20"/>
      <c r="AG40" s="162"/>
      <c r="AH40" s="162"/>
    </row>
    <row r="41" spans="2:35">
      <c r="B41" s="171"/>
      <c r="V41" s="202"/>
      <c r="X41" s="202"/>
      <c r="Z41" s="202"/>
      <c r="AB41" s="203"/>
      <c r="AF41" s="20"/>
      <c r="AG41" s="162"/>
      <c r="AH41" s="162"/>
    </row>
    <row r="42" spans="2:35">
      <c r="B42" s="86">
        <f>MAX(B$13:B41)+1</f>
        <v>16</v>
      </c>
      <c r="D42" s="183" t="s">
        <v>343</v>
      </c>
      <c r="H42" s="210">
        <f>SUM(H35:H39)</f>
        <v>3359</v>
      </c>
      <c r="I42" s="210">
        <f>SUM(I35:I39)</f>
        <v>2960.9166666666665</v>
      </c>
      <c r="K42" s="210">
        <f>SUM(K35:K39)</f>
        <v>13777.544364445665</v>
      </c>
      <c r="L42" s="210">
        <f ca="1">SUM(L35:L39)</f>
        <v>12645.381133648085</v>
      </c>
      <c r="M42" s="205"/>
      <c r="N42" s="211">
        <f>SUM(N35:N39)</f>
        <v>1571.5388067303365</v>
      </c>
      <c r="O42" s="211">
        <f ca="1">SUM(O35:O39)</f>
        <v>1622.2665034500001</v>
      </c>
      <c r="P42" s="194"/>
      <c r="Q42" s="211">
        <f ca="1">SUM(Q35:Q39)</f>
        <v>1703.4934929717751</v>
      </c>
      <c r="R42" s="212"/>
      <c r="S42" s="211">
        <f ca="1">SUM(S35:S39)</f>
        <v>1731.7717408003177</v>
      </c>
      <c r="T42" s="212"/>
      <c r="U42" s="211">
        <f ca="1">SUM(U35:U39)</f>
        <v>81.226591219656285</v>
      </c>
      <c r="V42" s="213">
        <f ca="1">U42/O42</f>
        <v>5.0069819630076444E-2</v>
      </c>
      <c r="W42" s="211">
        <f ca="1">SUM(W35:W39)</f>
        <v>28.278247828542533</v>
      </c>
      <c r="X42" s="213">
        <f ca="1">W42/O42</f>
        <v>1.743132079002092E-2</v>
      </c>
      <c r="Y42" s="211">
        <f ca="1">U42+W42</f>
        <v>109.50483904819882</v>
      </c>
      <c r="Z42" s="189">
        <f ca="1">W42/O42</f>
        <v>1.743132079002092E-2</v>
      </c>
      <c r="AA42" s="194"/>
      <c r="AB42" s="190"/>
      <c r="AC42" s="194"/>
      <c r="AD42" s="194"/>
      <c r="AE42" s="194"/>
      <c r="AF42" s="216"/>
      <c r="AG42" s="194"/>
      <c r="AH42" s="162"/>
    </row>
    <row r="43" spans="2:35">
      <c r="B43" s="171"/>
      <c r="D43" s="183"/>
      <c r="H43" s="217"/>
      <c r="I43" s="217"/>
      <c r="K43" s="217"/>
      <c r="L43" s="217"/>
      <c r="M43" s="205"/>
      <c r="N43" s="212"/>
      <c r="O43" s="212"/>
      <c r="P43" s="212"/>
      <c r="Q43" s="212"/>
      <c r="R43" s="212"/>
      <c r="S43" s="212"/>
      <c r="T43" s="212"/>
      <c r="U43" s="212"/>
      <c r="V43" s="218"/>
      <c r="W43" s="212"/>
      <c r="X43" s="218"/>
      <c r="Y43" s="212"/>
      <c r="Z43" s="219"/>
      <c r="AA43" s="212"/>
      <c r="AB43" s="220"/>
      <c r="AC43" s="212"/>
      <c r="AD43" s="212"/>
      <c r="AE43" s="212"/>
      <c r="AF43" s="20"/>
      <c r="AG43" s="212"/>
      <c r="AH43" s="162"/>
    </row>
    <row r="44" spans="2:35" ht="16.5" thickBot="1">
      <c r="B44" s="86">
        <f>MAX(B$13:B43)+1</f>
        <v>17</v>
      </c>
      <c r="D44" s="222" t="s">
        <v>344</v>
      </c>
      <c r="H44" s="223">
        <f>H42+H32+H19</f>
        <v>128476.41666666667</v>
      </c>
      <c r="I44" s="223">
        <f>I42+I32+I19</f>
        <v>132778.43714676326</v>
      </c>
      <c r="K44" s="223">
        <f>K42+K32+K19</f>
        <v>4880827.1987742558</v>
      </c>
      <c r="L44" s="223">
        <f ca="1">L42+L32+L19</f>
        <v>4010161.4332736093</v>
      </c>
      <c r="N44" s="224">
        <f>N42+N32+N19</f>
        <v>275214.43788963149</v>
      </c>
      <c r="O44" s="224">
        <f ca="1">O42+O32+O19</f>
        <v>320954.13952952309</v>
      </c>
      <c r="P44" s="194"/>
      <c r="Q44" s="224">
        <f ca="1">Q42+Q32+Q19</f>
        <v>352892.90846203588</v>
      </c>
      <c r="R44" s="225"/>
      <c r="S44" s="224">
        <f ca="1">S42+S32+S19</f>
        <v>358746.20339980786</v>
      </c>
      <c r="T44" s="225"/>
      <c r="U44" s="224">
        <f ca="1">U42+U32+U19</f>
        <v>31938.768534210649</v>
      </c>
      <c r="V44" s="226">
        <f ca="1">U44/O44</f>
        <v>9.951193831314567E-2</v>
      </c>
      <c r="W44" s="224">
        <f ca="1">W42+W32+W19</f>
        <v>5853.2949377720461</v>
      </c>
      <c r="X44" s="226">
        <f ca="1">W44/O44</f>
        <v>1.8237169168007033E-2</v>
      </c>
      <c r="Y44" s="224">
        <f ca="1">O44+W44</f>
        <v>326807.43446729513</v>
      </c>
      <c r="Z44" s="226">
        <f ca="1">W44/O44</f>
        <v>1.8237169168007033E-2</v>
      </c>
      <c r="AA44" s="194"/>
      <c r="AB44" s="190">
        <f ca="1">ROUND((((Q44/$Q$44)*$W$51)/L44)*100,4)</f>
        <v>0.14599999999999999</v>
      </c>
      <c r="AC44" s="194"/>
      <c r="AD44" s="194"/>
      <c r="AE44" s="194"/>
      <c r="AF44" s="193" t="s">
        <v>31</v>
      </c>
      <c r="AG44" s="194"/>
      <c r="AH44" s="195" t="s">
        <v>31</v>
      </c>
    </row>
    <row r="45" spans="2:35" ht="16.5" thickTop="1">
      <c r="B45" s="1714" t="s">
        <v>31</v>
      </c>
      <c r="C45" s="1715"/>
      <c r="D45" s="1715"/>
      <c r="H45" s="229"/>
      <c r="I45" s="229"/>
      <c r="K45" s="229"/>
      <c r="L45" s="229"/>
      <c r="N45" s="225"/>
      <c r="O45" s="225"/>
      <c r="P45" s="194"/>
      <c r="Q45" s="225"/>
      <c r="R45" s="225"/>
      <c r="S45" s="225"/>
      <c r="T45" s="225"/>
      <c r="U45" s="225"/>
      <c r="V45" s="202"/>
      <c r="W45" s="225"/>
      <c r="X45" s="202"/>
      <c r="Y45" s="194"/>
      <c r="AA45" s="194"/>
      <c r="AB45" s="194"/>
      <c r="AC45" s="194"/>
      <c r="AD45" s="194"/>
      <c r="AE45" s="194"/>
      <c r="AF45" s="192"/>
      <c r="AG45" s="194"/>
      <c r="AH45" s="162"/>
    </row>
    <row r="46" spans="2:35">
      <c r="B46" s="86">
        <v>18</v>
      </c>
      <c r="D46" s="230" t="s">
        <v>345</v>
      </c>
      <c r="H46" s="229"/>
      <c r="I46" s="229"/>
      <c r="K46" s="229"/>
      <c r="L46" s="229"/>
      <c r="N46" s="225">
        <v>311.00673999999998</v>
      </c>
      <c r="O46" s="188">
        <f ca="1">'Exh No.__(JRS-17) p1-10'!I1279/1000</f>
        <v>651.51829000000009</v>
      </c>
      <c r="P46" s="231"/>
      <c r="Q46" s="188">
        <f ca="1">O46</f>
        <v>651.51829000000009</v>
      </c>
      <c r="R46" s="225"/>
      <c r="S46" s="188">
        <f ca="1">Q46</f>
        <v>651.51829000000009</v>
      </c>
      <c r="T46" s="225"/>
      <c r="U46" s="209"/>
      <c r="V46" s="189"/>
      <c r="W46" s="209"/>
      <c r="X46" s="189"/>
      <c r="Y46" s="194"/>
      <c r="AA46" s="194"/>
      <c r="AB46" s="194"/>
      <c r="AC46" s="194"/>
      <c r="AD46" s="187"/>
      <c r="AE46" s="194"/>
      <c r="AF46" s="192"/>
      <c r="AG46" s="194"/>
      <c r="AH46" s="162"/>
    </row>
    <row r="47" spans="2:35">
      <c r="B47" s="86"/>
      <c r="D47" s="230"/>
      <c r="H47" s="229"/>
      <c r="I47" s="229"/>
      <c r="K47" s="229"/>
      <c r="L47" s="229"/>
      <c r="N47" s="225"/>
      <c r="O47" s="225"/>
      <c r="P47" s="231"/>
      <c r="Q47" s="188"/>
      <c r="R47" s="225"/>
      <c r="S47" s="188"/>
      <c r="T47" s="225"/>
      <c r="U47" s="209"/>
      <c r="V47" s="189"/>
      <c r="W47" s="209"/>
      <c r="X47" s="189"/>
      <c r="Y47" s="194"/>
      <c r="AA47" s="194"/>
      <c r="AB47" s="194"/>
      <c r="AC47" s="194"/>
      <c r="AD47" s="187"/>
      <c r="AE47" s="194"/>
      <c r="AF47" s="192"/>
      <c r="AG47" s="194"/>
      <c r="AH47" s="162"/>
    </row>
    <row r="48" spans="2:35" ht="16.5" thickBot="1">
      <c r="B48" s="86">
        <v>19</v>
      </c>
      <c r="D48" s="87" t="s">
        <v>195</v>
      </c>
      <c r="H48" s="232">
        <f>SUM(H44:H46)</f>
        <v>128476.41666666667</v>
      </c>
      <c r="I48" s="232">
        <f>SUM(I44:I46)</f>
        <v>132778.43714676326</v>
      </c>
      <c r="K48" s="232">
        <f>SUM(K44:K46)</f>
        <v>4880827.1987742558</v>
      </c>
      <c r="L48" s="232">
        <f ca="1">SUM(L44:L46)</f>
        <v>4010161.4332736093</v>
      </c>
      <c r="N48" s="224">
        <f>SUM(N44:N46)</f>
        <v>275525.44462963147</v>
      </c>
      <c r="O48" s="224">
        <f ca="1">SUM(O44:O46)</f>
        <v>321605.65781952307</v>
      </c>
      <c r="Q48" s="233">
        <f ca="1">SUM(Q44:Q46)</f>
        <v>353544.42675203586</v>
      </c>
      <c r="R48" s="225"/>
      <c r="S48" s="233">
        <f ca="1">SUM(S44:S46)</f>
        <v>359397.72168980783</v>
      </c>
      <c r="T48" s="225"/>
      <c r="U48" s="224">
        <f ca="1">SUM(U44:U46)</f>
        <v>31938.768534210649</v>
      </c>
      <c r="V48" s="226">
        <f ca="1">U48/O48</f>
        <v>9.9310344074027071E-2</v>
      </c>
      <c r="W48" s="224">
        <f ca="1">SUM(W44:W46)</f>
        <v>5853.2949377720461</v>
      </c>
      <c r="X48" s="226">
        <f ca="1">W48/O48</f>
        <v>1.8200223769249627E-2</v>
      </c>
      <c r="AD48" s="187"/>
      <c r="AF48" s="162"/>
      <c r="AG48" s="162"/>
      <c r="AH48" s="162"/>
    </row>
    <row r="49" spans="10:33" ht="18.75" customHeight="1" thickTop="1">
      <c r="J49" s="1117"/>
      <c r="U49" s="186" t="s">
        <v>31</v>
      </c>
      <c r="V49" s="234" t="s">
        <v>31</v>
      </c>
      <c r="X49" s="234" t="s">
        <v>31</v>
      </c>
    </row>
    <row r="50" spans="10:33" ht="18.75" customHeight="1" thickBot="1">
      <c r="U50" s="1672" t="s">
        <v>31</v>
      </c>
      <c r="V50" s="226" t="s">
        <v>31</v>
      </c>
      <c r="X50" s="234"/>
    </row>
    <row r="51" spans="10:33" ht="16.5" thickTop="1">
      <c r="N51" s="235"/>
      <c r="O51" s="235"/>
      <c r="P51" s="162"/>
      <c r="S51" s="209"/>
      <c r="U51" s="209"/>
      <c r="V51" s="236"/>
      <c r="W51" s="209">
        <v>5856.3370000000004</v>
      </c>
      <c r="X51" s="236"/>
      <c r="Y51" s="162"/>
      <c r="AA51" s="162"/>
      <c r="AB51" s="162"/>
      <c r="AC51" s="162"/>
      <c r="AD51" s="162"/>
      <c r="AE51" s="162"/>
      <c r="AF51" s="162"/>
      <c r="AG51" s="162"/>
    </row>
    <row r="52" spans="10:33">
      <c r="P52" s="162"/>
      <c r="U52" s="237"/>
      <c r="Y52" s="162"/>
      <c r="Z52" s="162"/>
      <c r="AA52" s="162"/>
      <c r="AB52" s="162"/>
      <c r="AC52" s="162"/>
      <c r="AD52" s="162"/>
      <c r="AE52" s="162"/>
      <c r="AF52" s="162"/>
      <c r="AG52" s="162"/>
    </row>
    <row r="53" spans="10:33">
      <c r="Q53" s="193"/>
      <c r="U53" s="238"/>
      <c r="V53" s="239"/>
      <c r="W53" s="238"/>
    </row>
    <row r="54" spans="10:33">
      <c r="Q54" s="162"/>
      <c r="U54" s="240"/>
      <c r="V54" s="241"/>
      <c r="W54" s="240"/>
    </row>
    <row r="55" spans="10:33">
      <c r="Q55" s="182"/>
      <c r="U55" s="242"/>
      <c r="V55" s="243"/>
      <c r="W55" s="242"/>
    </row>
    <row r="56" spans="10:33">
      <c r="Q56" s="244"/>
      <c r="V56" s="202"/>
    </row>
    <row r="57" spans="10:33">
      <c r="Q57" s="157"/>
      <c r="V57" s="245"/>
    </row>
    <row r="59" spans="10:33">
      <c r="Q59" s="182"/>
      <c r="X59" s="14"/>
    </row>
  </sheetData>
  <mergeCells count="8">
    <mergeCell ref="W10:Z10"/>
    <mergeCell ref="B45:D45"/>
    <mergeCell ref="B2:AB2"/>
    <mergeCell ref="B3:AB3"/>
    <mergeCell ref="B4:AB4"/>
    <mergeCell ref="B5:AB5"/>
    <mergeCell ref="B6:AB6"/>
    <mergeCell ref="B7:AB7"/>
  </mergeCells>
  <printOptions horizontalCentered="1"/>
  <pageMargins left="0.25" right="0.25" top="0.5" bottom="0.5" header="0.5" footer="0.25"/>
  <pageSetup scale="73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2"/>
  <dimension ref="A1:T2235"/>
  <sheetViews>
    <sheetView zoomScaleNormal="100" workbookViewId="0">
      <pane xSplit="1" ySplit="11" topLeftCell="B155" activePane="bottomRight" state="frozen"/>
      <selection pane="topRight" activeCell="B1" sqref="B1"/>
      <selection pane="bottomLeft" activeCell="A12" sqref="A12"/>
      <selection pane="bottomRight" activeCell="G174" sqref="G174"/>
    </sheetView>
  </sheetViews>
  <sheetFormatPr defaultRowHeight="12.75"/>
  <cols>
    <col min="1" max="1" width="3.875" style="1598" bestFit="1" customWidth="1"/>
    <col min="2" max="2" width="38.625" style="1598" bestFit="1" customWidth="1"/>
    <col min="3" max="3" width="16.25" style="1598" bestFit="1" customWidth="1"/>
    <col min="4" max="4" width="13.25" style="1598" bestFit="1" customWidth="1"/>
    <col min="5" max="5" width="13.125" style="1598" bestFit="1" customWidth="1"/>
    <col min="6" max="7" width="16.5" style="1598" bestFit="1" customWidth="1"/>
    <col min="8" max="8" width="17.75" style="1598" customWidth="1"/>
    <col min="9" max="9" width="12.5" style="1598" bestFit="1" customWidth="1"/>
    <col min="10" max="10" width="14.375" style="1598" bestFit="1" customWidth="1"/>
    <col min="11" max="11" width="11.625" style="1598" customWidth="1"/>
    <col min="12" max="16384" width="9" style="1598"/>
  </cols>
  <sheetData>
    <row r="1" spans="1:20" ht="14.25" customHeight="1">
      <c r="A1" s="1597"/>
      <c r="B1" s="1530" t="s">
        <v>968</v>
      </c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  <c r="O1" s="1597"/>
      <c r="P1" s="1597"/>
      <c r="Q1" s="1597"/>
      <c r="R1" s="1597"/>
      <c r="S1" s="1597"/>
      <c r="T1" s="1597"/>
    </row>
    <row r="2" spans="1:20" ht="14.25" customHeight="1">
      <c r="A2" s="1532"/>
      <c r="B2" s="1731" t="s">
        <v>743</v>
      </c>
      <c r="C2" s="1731"/>
      <c r="D2" s="1731"/>
      <c r="E2" s="1731"/>
      <c r="F2" s="1731"/>
      <c r="G2" s="1731"/>
      <c r="H2" s="1731"/>
      <c r="I2" s="1731"/>
      <c r="J2" s="1731"/>
      <c r="K2" s="1597"/>
      <c r="L2" s="1597"/>
      <c r="M2" s="1597"/>
      <c r="N2" s="1597"/>
      <c r="O2" s="1597"/>
      <c r="P2" s="1597"/>
      <c r="Q2" s="1597"/>
      <c r="R2" s="1597"/>
      <c r="S2" s="1597"/>
      <c r="T2" s="1597"/>
    </row>
    <row r="3" spans="1:20" ht="14.25" customHeight="1">
      <c r="A3" s="1534"/>
      <c r="B3" s="1731" t="s">
        <v>799</v>
      </c>
      <c r="C3" s="1731"/>
      <c r="D3" s="1731"/>
      <c r="E3" s="1731"/>
      <c r="F3" s="1731"/>
      <c r="G3" s="1731"/>
      <c r="H3" s="1731"/>
      <c r="I3" s="1731"/>
      <c r="J3" s="1731"/>
      <c r="K3" s="1597"/>
      <c r="L3" s="1597"/>
      <c r="M3" s="1597"/>
      <c r="N3" s="1597"/>
      <c r="O3" s="1597"/>
      <c r="P3" s="1597"/>
      <c r="Q3" s="1597"/>
      <c r="R3" s="1597"/>
      <c r="S3" s="1597"/>
      <c r="T3" s="1597"/>
    </row>
    <row r="4" spans="1:20" ht="14.25" customHeight="1">
      <c r="A4" s="1534"/>
      <c r="B4" s="1731" t="s">
        <v>47</v>
      </c>
      <c r="C4" s="1731"/>
      <c r="D4" s="1731"/>
      <c r="E4" s="1731"/>
      <c r="F4" s="1731"/>
      <c r="G4" s="1731"/>
      <c r="H4" s="1731"/>
      <c r="I4" s="1731"/>
      <c r="J4" s="1731"/>
      <c r="K4" s="1597"/>
      <c r="L4" s="1597"/>
      <c r="M4" s="1597"/>
      <c r="N4" s="1597"/>
      <c r="O4" s="1597"/>
      <c r="P4" s="1597"/>
      <c r="Q4" s="1597"/>
      <c r="R4" s="1597"/>
      <c r="S4" s="1597"/>
      <c r="T4" s="1597"/>
    </row>
    <row r="5" spans="1:20" ht="14.25" customHeight="1">
      <c r="A5" s="1534"/>
      <c r="B5" s="1731" t="s">
        <v>969</v>
      </c>
      <c r="C5" s="1731"/>
      <c r="D5" s="1731"/>
      <c r="E5" s="1731"/>
      <c r="F5" s="1731"/>
      <c r="G5" s="1731"/>
      <c r="H5" s="1731"/>
      <c r="I5" s="1731"/>
      <c r="J5" s="1731"/>
      <c r="K5" s="1597"/>
      <c r="L5" s="1597"/>
      <c r="M5" s="1597"/>
      <c r="N5" s="1597"/>
      <c r="O5" s="1597"/>
      <c r="P5" s="1597"/>
      <c r="Q5" s="1597"/>
      <c r="R5" s="1597"/>
      <c r="S5" s="1597"/>
      <c r="T5" s="1597"/>
    </row>
    <row r="6" spans="1:20" ht="14.25" customHeight="1">
      <c r="A6" s="1534"/>
      <c r="B6" s="1731" t="s">
        <v>970</v>
      </c>
      <c r="C6" s="1731"/>
      <c r="D6" s="1731"/>
      <c r="E6" s="1731"/>
      <c r="F6" s="1731"/>
      <c r="G6" s="1731"/>
      <c r="H6" s="1731"/>
      <c r="I6" s="1731"/>
      <c r="J6" s="1731"/>
      <c r="K6" s="1597"/>
      <c r="L6" s="1597"/>
      <c r="M6" s="1597"/>
      <c r="N6" s="1597"/>
      <c r="O6" s="1597"/>
      <c r="P6" s="1597"/>
      <c r="Q6" s="1597"/>
      <c r="R6" s="1597"/>
      <c r="S6" s="1597"/>
      <c r="T6" s="1597"/>
    </row>
    <row r="7" spans="1:20" ht="14.25" customHeight="1">
      <c r="A7" s="1534"/>
      <c r="B7" s="1731" t="s">
        <v>1036</v>
      </c>
      <c r="C7" s="1731"/>
      <c r="D7" s="1731"/>
      <c r="E7" s="1731"/>
      <c r="F7" s="1731"/>
      <c r="G7" s="1731"/>
      <c r="H7" s="1731"/>
      <c r="I7" s="1731"/>
      <c r="J7" s="1731"/>
      <c r="K7" s="1597"/>
      <c r="L7" s="1597"/>
      <c r="M7" s="1597"/>
      <c r="N7" s="1597"/>
      <c r="O7" s="1597"/>
      <c r="P7" s="1597"/>
      <c r="Q7" s="1597"/>
      <c r="R7" s="1597"/>
      <c r="S7" s="1597"/>
      <c r="T7" s="1597"/>
    </row>
    <row r="8" spans="1:20" ht="14.25" customHeight="1">
      <c r="A8" s="1599"/>
      <c r="B8" s="1534"/>
      <c r="C8" s="1534"/>
      <c r="D8" s="1534"/>
      <c r="E8" s="1534"/>
      <c r="F8" s="1534"/>
      <c r="G8" s="1534"/>
      <c r="H8" s="1534"/>
      <c r="I8" s="1534"/>
      <c r="J8" s="1534"/>
      <c r="K8" s="1597"/>
      <c r="L8" s="1597"/>
      <c r="M8" s="1597"/>
      <c r="N8" s="1597"/>
      <c r="O8" s="1597"/>
      <c r="P8" s="1597"/>
      <c r="Q8" s="1597"/>
      <c r="R8" s="1597"/>
      <c r="S8" s="1597"/>
      <c r="T8" s="1597"/>
    </row>
    <row r="9" spans="1:20" ht="14.25" customHeight="1">
      <c r="A9" s="1534"/>
      <c r="B9" s="1600"/>
      <c r="C9" s="1601" t="s">
        <v>76</v>
      </c>
      <c r="D9" s="1602"/>
      <c r="E9" s="1667" t="s">
        <v>804</v>
      </c>
      <c r="F9" s="1667" t="s">
        <v>805</v>
      </c>
      <c r="G9" s="1667" t="s">
        <v>805</v>
      </c>
      <c r="H9" s="1667" t="s">
        <v>805</v>
      </c>
      <c r="I9" s="1601" t="s">
        <v>806</v>
      </c>
      <c r="J9" s="1667" t="s">
        <v>807</v>
      </c>
      <c r="K9" s="1597"/>
      <c r="L9" s="1597"/>
      <c r="M9" s="1597"/>
      <c r="N9" s="1597"/>
      <c r="O9" s="1597"/>
      <c r="P9" s="1597"/>
      <c r="Q9" s="1597"/>
      <c r="R9" s="1597"/>
      <c r="S9" s="1597"/>
      <c r="T9" s="1597"/>
    </row>
    <row r="10" spans="1:20" ht="14.25" customHeight="1">
      <c r="A10" s="1534"/>
      <c r="B10" s="1603" t="s">
        <v>202</v>
      </c>
      <c r="C10" s="1601" t="s">
        <v>971</v>
      </c>
      <c r="D10" s="1667" t="s">
        <v>17</v>
      </c>
      <c r="E10" s="1667" t="s">
        <v>808</v>
      </c>
      <c r="F10" s="1667" t="s">
        <v>809</v>
      </c>
      <c r="G10" s="1667" t="s">
        <v>810</v>
      </c>
      <c r="H10" s="1667" t="s">
        <v>811</v>
      </c>
      <c r="I10" s="1667" t="s">
        <v>812</v>
      </c>
      <c r="J10" s="1667" t="s">
        <v>722</v>
      </c>
      <c r="K10" s="1597"/>
      <c r="L10" s="1597"/>
      <c r="M10" s="1597"/>
      <c r="N10" s="1597"/>
      <c r="O10" s="1597"/>
      <c r="P10" s="1597"/>
      <c r="Q10" s="1597"/>
      <c r="R10" s="1597"/>
      <c r="S10" s="1597"/>
      <c r="T10" s="1597"/>
    </row>
    <row r="11" spans="1:20" ht="14.25" customHeight="1" thickBot="1">
      <c r="A11" s="1534"/>
      <c r="B11" s="1604"/>
      <c r="C11" s="1605" t="s">
        <v>575</v>
      </c>
      <c r="D11" s="1606" t="s">
        <v>66</v>
      </c>
      <c r="E11" s="1606" t="s">
        <v>67</v>
      </c>
      <c r="F11" s="1606" t="s">
        <v>68</v>
      </c>
      <c r="G11" s="1606" t="s">
        <v>813</v>
      </c>
      <c r="H11" s="1606" t="s">
        <v>813</v>
      </c>
      <c r="I11" s="1606" t="s">
        <v>794</v>
      </c>
      <c r="J11" s="1606" t="s">
        <v>814</v>
      </c>
      <c r="K11" s="1597"/>
      <c r="L11" s="1597"/>
      <c r="M11" s="1597"/>
      <c r="N11" s="1597"/>
      <c r="O11" s="1597"/>
      <c r="P11" s="1597"/>
      <c r="Q11" s="1597"/>
      <c r="R11" s="1597"/>
      <c r="S11" s="1597"/>
      <c r="T11" s="1597"/>
    </row>
    <row r="12" spans="1:20" ht="14.25" customHeight="1">
      <c r="A12" s="1534"/>
      <c r="B12" s="1532"/>
      <c r="C12" s="1607"/>
      <c r="D12" s="1607"/>
      <c r="E12" s="1607"/>
      <c r="F12" s="1607"/>
      <c r="G12" s="1607"/>
      <c r="H12" s="1607"/>
      <c r="I12" s="1607"/>
      <c r="J12" s="1607"/>
      <c r="K12" s="1597"/>
      <c r="L12" s="1597"/>
      <c r="M12" s="1597"/>
      <c r="N12" s="1597"/>
      <c r="O12" s="1597"/>
      <c r="P12" s="1597"/>
      <c r="Q12" s="1597"/>
      <c r="R12" s="1597"/>
      <c r="S12" s="1597"/>
      <c r="T12" s="1597"/>
    </row>
    <row r="13" spans="1:20" ht="14.25" customHeight="1">
      <c r="A13" s="1608">
        <v>14</v>
      </c>
      <c r="B13" s="1609" t="s">
        <v>972</v>
      </c>
      <c r="C13" s="1610"/>
      <c r="D13" s="1611"/>
      <c r="E13" s="1612"/>
      <c r="F13" s="1612"/>
      <c r="G13" s="1612"/>
      <c r="H13" s="1612"/>
      <c r="I13" s="1612"/>
      <c r="J13" s="1612"/>
      <c r="K13" s="1612"/>
      <c r="L13" s="1612"/>
      <c r="M13" s="1612"/>
      <c r="N13" s="1612"/>
      <c r="O13" s="1612"/>
      <c r="P13" s="1612"/>
      <c r="Q13" s="1612"/>
      <c r="R13" s="1612"/>
      <c r="S13" s="1612"/>
      <c r="T13" s="1612"/>
    </row>
    <row r="14" spans="1:20" ht="14.25" customHeight="1">
      <c r="A14" s="1608">
        <v>15</v>
      </c>
      <c r="B14" s="1612" t="s">
        <v>973</v>
      </c>
      <c r="C14" s="1613">
        <v>19902497.919628788</v>
      </c>
      <c r="D14" s="1613">
        <v>13110026.714119</v>
      </c>
      <c r="E14" s="1613">
        <v>2515590.9746659999</v>
      </c>
      <c r="F14" s="1613">
        <v>2340591.3211147944</v>
      </c>
      <c r="G14" s="1613">
        <v>850873.7073574001</v>
      </c>
      <c r="H14" s="1613">
        <v>684180</v>
      </c>
      <c r="I14" s="1613">
        <v>365067.20237159234</v>
      </c>
      <c r="J14" s="1613">
        <v>36168</v>
      </c>
      <c r="K14" s="1612"/>
      <c r="L14" s="1612"/>
      <c r="M14" s="1612"/>
      <c r="N14" s="1612"/>
      <c r="O14" s="1612"/>
      <c r="P14" s="1612"/>
      <c r="Q14" s="1612"/>
      <c r="R14" s="1612"/>
      <c r="S14" s="1612"/>
      <c r="T14" s="1612"/>
    </row>
    <row r="15" spans="1:20" ht="14.25" customHeight="1">
      <c r="A15" s="1608">
        <v>16</v>
      </c>
      <c r="B15" s="1612" t="s">
        <v>974</v>
      </c>
      <c r="C15" s="1613">
        <v>4008166903</v>
      </c>
      <c r="D15" s="1613">
        <v>1572834858.0000002</v>
      </c>
      <c r="E15" s="1613">
        <v>543201558.99999988</v>
      </c>
      <c r="F15" s="1613">
        <v>895773150.00000012</v>
      </c>
      <c r="G15" s="1613">
        <v>386902405</v>
      </c>
      <c r="H15" s="1613">
        <v>447981631.00000006</v>
      </c>
      <c r="I15" s="1613">
        <v>148533366</v>
      </c>
      <c r="J15" s="1613">
        <v>12939934</v>
      </c>
      <c r="K15" s="1612"/>
      <c r="L15" s="1612"/>
      <c r="M15" s="1612"/>
      <c r="N15" s="1612"/>
      <c r="O15" s="1612"/>
      <c r="P15" s="1612"/>
      <c r="Q15" s="1612"/>
      <c r="R15" s="1612"/>
      <c r="S15" s="1612"/>
      <c r="T15" s="1612"/>
    </row>
    <row r="16" spans="1:20" ht="14.25" customHeight="1">
      <c r="A16" s="1608">
        <v>17</v>
      </c>
      <c r="B16" s="1612" t="s">
        <v>975</v>
      </c>
      <c r="C16" s="1613">
        <v>132777.43714676326</v>
      </c>
      <c r="D16" s="1613">
        <v>104635.09245519142</v>
      </c>
      <c r="E16" s="1613">
        <v>18788.493749999969</v>
      </c>
      <c r="F16" s="1613">
        <v>1053.913888888889</v>
      </c>
      <c r="G16" s="1613">
        <v>61.012626262626249</v>
      </c>
      <c r="H16" s="1613">
        <v>1</v>
      </c>
      <c r="I16" s="1613">
        <v>5247.0299819759166</v>
      </c>
      <c r="J16" s="1613">
        <v>2990.8944444444446</v>
      </c>
      <c r="K16" s="1612"/>
      <c r="L16" s="1612"/>
      <c r="M16" s="1612"/>
      <c r="N16" s="1612"/>
      <c r="O16" s="1612"/>
      <c r="P16" s="1612"/>
      <c r="Q16" s="1612"/>
      <c r="R16" s="1612"/>
      <c r="S16" s="1612"/>
      <c r="T16" s="1612"/>
    </row>
    <row r="17" spans="1:20" ht="14.25" customHeight="1">
      <c r="A17" s="1608">
        <v>18</v>
      </c>
      <c r="B17" s="1614"/>
      <c r="C17" s="1615"/>
      <c r="D17" s="1615"/>
      <c r="E17" s="1615"/>
      <c r="F17" s="1615"/>
      <c r="G17" s="1615"/>
      <c r="H17" s="1615"/>
      <c r="I17" s="1615"/>
      <c r="J17" s="1615"/>
      <c r="K17" s="1612"/>
      <c r="L17" s="1612"/>
      <c r="M17" s="1612"/>
      <c r="N17" s="1612"/>
      <c r="O17" s="1612"/>
      <c r="P17" s="1612"/>
      <c r="Q17" s="1612"/>
      <c r="R17" s="1612"/>
      <c r="S17" s="1612"/>
      <c r="T17" s="1612"/>
    </row>
    <row r="18" spans="1:20" ht="14.25" hidden="1" customHeight="1">
      <c r="A18" s="1608"/>
      <c r="B18" s="1611" t="s">
        <v>976</v>
      </c>
      <c r="C18" s="1615"/>
      <c r="D18" s="1615">
        <v>3.3955991574621709E-2</v>
      </c>
      <c r="E18" s="1615">
        <v>4.2352509495764759E-2</v>
      </c>
      <c r="F18" s="1615">
        <v>4.5866721459316515E-2</v>
      </c>
      <c r="G18" s="1615">
        <v>5.2592808389128075E-2</v>
      </c>
      <c r="H18" s="1615">
        <v>5.7189975092912591E-2</v>
      </c>
      <c r="I18" s="1615">
        <v>4.6785446859086192E-2</v>
      </c>
      <c r="J18" s="1615">
        <v>0.11333140322876864</v>
      </c>
      <c r="K18" s="1612"/>
      <c r="L18" s="1612"/>
      <c r="M18" s="1612"/>
      <c r="N18" s="1612"/>
      <c r="O18" s="1612"/>
      <c r="P18" s="1612"/>
      <c r="Q18" s="1612"/>
      <c r="R18" s="1612"/>
      <c r="S18" s="1612"/>
      <c r="T18" s="1612"/>
    </row>
    <row r="19" spans="1:20" ht="14.25" customHeight="1">
      <c r="A19" s="1608">
        <v>19</v>
      </c>
      <c r="B19" s="1612"/>
      <c r="C19" s="1613"/>
      <c r="D19" s="1613"/>
      <c r="E19" s="1613"/>
      <c r="F19" s="1613"/>
      <c r="G19" s="1613"/>
      <c r="H19" s="1613"/>
      <c r="I19" s="1613"/>
      <c r="J19" s="1613"/>
      <c r="K19" s="1612"/>
      <c r="L19" s="1612"/>
      <c r="M19" s="1612"/>
      <c r="N19" s="1612"/>
      <c r="O19" s="1612"/>
      <c r="P19" s="1612"/>
      <c r="Q19" s="1612"/>
      <c r="R19" s="1612"/>
      <c r="S19" s="1612"/>
      <c r="T19" s="1612"/>
    </row>
    <row r="20" spans="1:20" ht="14.25" customHeight="1">
      <c r="A20" s="1608">
        <v>20</v>
      </c>
      <c r="B20" s="1616" t="s">
        <v>977</v>
      </c>
      <c r="C20" s="1617">
        <v>1</v>
      </c>
      <c r="D20" s="1617">
        <v>0.46452533025723569</v>
      </c>
      <c r="E20" s="1617">
        <v>0.13537911858357465</v>
      </c>
      <c r="F20" s="1617">
        <v>0.19918344713137748</v>
      </c>
      <c r="G20" s="1617">
        <v>7.9443087866696918E-2</v>
      </c>
      <c r="H20" s="1617">
        <v>8.0761885374931328E-2</v>
      </c>
      <c r="I20" s="1617">
        <v>3.6103176581119931E-2</v>
      </c>
      <c r="J20" s="1617">
        <v>4.6039533920582175E-3</v>
      </c>
      <c r="K20" s="1612"/>
      <c r="L20" s="1612"/>
      <c r="M20" s="1612"/>
      <c r="N20" s="1612"/>
      <c r="O20" s="1612"/>
      <c r="P20" s="1612"/>
      <c r="Q20" s="1612"/>
      <c r="R20" s="1612"/>
      <c r="S20" s="1612"/>
      <c r="T20" s="1612"/>
    </row>
    <row r="21" spans="1:20" ht="14.25" customHeight="1">
      <c r="A21" s="1608">
        <v>21</v>
      </c>
      <c r="B21" s="1612" t="s">
        <v>978</v>
      </c>
      <c r="C21" s="1613">
        <v>352600968.7872988</v>
      </c>
      <c r="D21" s="1613">
        <v>163792081.47494122</v>
      </c>
      <c r="E21" s="1613">
        <v>47734808.366139024</v>
      </c>
      <c r="F21" s="1613">
        <v>70232276.424917415</v>
      </c>
      <c r="G21" s="1613">
        <v>28011709.745251838</v>
      </c>
      <c r="H21" s="1613">
        <v>28476719.024289563</v>
      </c>
      <c r="I21" s="1613">
        <v>12730015.038801806</v>
      </c>
      <c r="J21" s="1613">
        <v>1623358.4262912979</v>
      </c>
      <c r="K21" s="1612"/>
      <c r="L21" s="1612"/>
      <c r="M21" s="1612"/>
      <c r="N21" s="1612"/>
      <c r="O21" s="1612"/>
      <c r="P21" s="1612"/>
      <c r="Q21" s="1612"/>
      <c r="R21" s="1612"/>
      <c r="S21" s="1612"/>
      <c r="T21" s="1612"/>
    </row>
    <row r="22" spans="1:20" ht="14.25" customHeight="1">
      <c r="A22" s="1608">
        <v>22</v>
      </c>
      <c r="B22" s="1612" t="s">
        <v>973</v>
      </c>
      <c r="C22" s="1633">
        <v>17.716417819069182</v>
      </c>
      <c r="D22" s="1633">
        <v>12.493649711525254</v>
      </c>
      <c r="E22" s="1633">
        <v>18.975584205407984</v>
      </c>
      <c r="F22" s="1633">
        <v>30.006210734587643</v>
      </c>
      <c r="G22" s="1633">
        <v>32.921113325089301</v>
      </c>
      <c r="H22" s="1633">
        <v>41.621677079554452</v>
      </c>
      <c r="I22" s="1633">
        <v>34.870333341652142</v>
      </c>
      <c r="J22" s="1633">
        <v>44.883831737759841</v>
      </c>
      <c r="K22" s="1612"/>
      <c r="L22" s="1612"/>
      <c r="M22" s="1612"/>
      <c r="N22" s="1612"/>
      <c r="O22" s="1612"/>
      <c r="P22" s="1612"/>
      <c r="Q22" s="1612"/>
      <c r="R22" s="1612"/>
      <c r="S22" s="1612"/>
      <c r="T22" s="1612"/>
    </row>
    <row r="23" spans="1:20" ht="14.25" customHeight="1">
      <c r="A23" s="1608">
        <v>23</v>
      </c>
      <c r="B23" s="1612" t="s">
        <v>979</v>
      </c>
      <c r="C23" s="1618">
        <v>8.7970630295706231E-2</v>
      </c>
      <c r="D23" s="1618">
        <v>0.10413813035859179</v>
      </c>
      <c r="E23" s="1618">
        <v>8.7876788229429653E-2</v>
      </c>
      <c r="F23" s="1618">
        <v>7.8404087491255353E-2</v>
      </c>
      <c r="G23" s="1618">
        <v>7.2399936995097863E-2</v>
      </c>
      <c r="H23" s="1618">
        <v>6.3566711341987048E-2</v>
      </c>
      <c r="I23" s="1618">
        <v>8.5704750263330104E-2</v>
      </c>
      <c r="J23" s="1618">
        <v>0.12545337760542657</v>
      </c>
      <c r="K23" s="1612"/>
      <c r="L23" s="1612"/>
      <c r="M23" s="1612"/>
      <c r="N23" s="1612"/>
      <c r="O23" s="1612"/>
      <c r="P23" s="1612"/>
      <c r="Q23" s="1612"/>
      <c r="R23" s="1612"/>
      <c r="S23" s="1612"/>
      <c r="T23" s="1612"/>
    </row>
    <row r="24" spans="1:20" ht="14.25" customHeight="1">
      <c r="A24" s="1608">
        <v>24</v>
      </c>
      <c r="B24" s="1612" t="s">
        <v>980</v>
      </c>
      <c r="C24" s="1633">
        <v>2655.5789625428406</v>
      </c>
      <c r="D24" s="1633">
        <v>1565.3647130391078</v>
      </c>
      <c r="E24" s="1633">
        <v>2540.6405112245416</v>
      </c>
      <c r="F24" s="1633">
        <v>66639.482755997524</v>
      </c>
      <c r="G24" s="1633">
        <v>459113.32557095028</v>
      </c>
      <c r="H24" s="1633">
        <v>28476719.024289563</v>
      </c>
      <c r="I24" s="1633">
        <v>2426.1372781422456</v>
      </c>
      <c r="J24" s="1633">
        <v>542.76687340359649</v>
      </c>
      <c r="K24" s="1612"/>
      <c r="L24" s="1612"/>
      <c r="M24" s="1612"/>
      <c r="N24" s="1612"/>
      <c r="O24" s="1612"/>
      <c r="P24" s="1612"/>
      <c r="Q24" s="1612"/>
      <c r="R24" s="1612"/>
      <c r="S24" s="1612"/>
      <c r="T24" s="1612"/>
    </row>
    <row r="25" spans="1:20" ht="14.25" customHeight="1">
      <c r="A25" s="1608">
        <v>25</v>
      </c>
      <c r="B25" s="1612"/>
      <c r="C25" s="1633"/>
      <c r="D25" s="1633"/>
      <c r="E25" s="1633"/>
      <c r="F25" s="1633"/>
      <c r="G25" s="1633"/>
      <c r="H25" s="1633"/>
      <c r="I25" s="1633"/>
      <c r="J25" s="1633"/>
      <c r="K25" s="1612"/>
      <c r="L25" s="1612"/>
      <c r="M25" s="1612"/>
      <c r="N25" s="1612"/>
      <c r="O25" s="1612"/>
      <c r="P25" s="1612"/>
      <c r="Q25" s="1612"/>
      <c r="R25" s="1612"/>
      <c r="S25" s="1612"/>
      <c r="T25" s="1612"/>
    </row>
    <row r="26" spans="1:20" ht="14.25" customHeight="1">
      <c r="A26" s="1608">
        <v>26</v>
      </c>
      <c r="B26" s="1616" t="s">
        <v>981</v>
      </c>
      <c r="C26" s="1617">
        <v>1</v>
      </c>
      <c r="D26" s="1617">
        <v>0.42998043040641626</v>
      </c>
      <c r="E26" s="1617">
        <v>0.13442076999687699</v>
      </c>
      <c r="F26" s="1617">
        <v>0.21428911873387665</v>
      </c>
      <c r="G26" s="1617">
        <v>8.7421142873449542E-2</v>
      </c>
      <c r="H26" s="1617">
        <v>9.6246695977413907E-2</v>
      </c>
      <c r="I26" s="1617">
        <v>3.5279898855050618E-2</v>
      </c>
      <c r="J26" s="1617">
        <v>2.3619431569160501E-3</v>
      </c>
      <c r="K26" s="1612"/>
      <c r="L26" s="1612"/>
      <c r="M26" s="1612"/>
      <c r="N26" s="1612"/>
      <c r="O26" s="1612"/>
      <c r="P26" s="1612"/>
      <c r="Q26" s="1612"/>
      <c r="R26" s="1612"/>
      <c r="S26" s="1612"/>
      <c r="T26" s="1612"/>
    </row>
    <row r="27" spans="1:20" ht="14.25" customHeight="1">
      <c r="A27" s="1608">
        <v>27</v>
      </c>
      <c r="B27" s="1612" t="s">
        <v>978</v>
      </c>
      <c r="C27" s="1613">
        <v>228734790.60938901</v>
      </c>
      <c r="D27" s="1613">
        <v>98351483.715146586</v>
      </c>
      <c r="E27" s="1613">
        <v>30746706.678788498</v>
      </c>
      <c r="F27" s="1613">
        <v>49015376.703463778</v>
      </c>
      <c r="G27" s="1613">
        <v>19996256.809991959</v>
      </c>
      <c r="H27" s="1613">
        <v>22014967.851239294</v>
      </c>
      <c r="I27" s="1613">
        <v>8069740.2773304265</v>
      </c>
      <c r="J27" s="1613">
        <v>540258.57342847192</v>
      </c>
      <c r="K27" s="1612"/>
      <c r="L27" s="1612"/>
      <c r="M27" s="1612"/>
      <c r="N27" s="1612"/>
      <c r="O27" s="1612"/>
      <c r="P27" s="1612"/>
      <c r="Q27" s="1612"/>
      <c r="R27" s="1612"/>
      <c r="S27" s="1612"/>
      <c r="T27" s="1612"/>
    </row>
    <row r="28" spans="1:20" ht="14.25" customHeight="1">
      <c r="A28" s="1608">
        <v>28</v>
      </c>
      <c r="B28" s="1612" t="s">
        <v>973</v>
      </c>
      <c r="C28" s="1633">
        <v>11.492767969783326</v>
      </c>
      <c r="D28" s="1633">
        <v>7.5020048288098282</v>
      </c>
      <c r="E28" s="1633">
        <v>12.222458654221718</v>
      </c>
      <c r="F28" s="1633">
        <v>20.941450248614256</v>
      </c>
      <c r="G28" s="1633">
        <v>23.500851697598353</v>
      </c>
      <c r="H28" s="1633">
        <v>32.17715784039185</v>
      </c>
      <c r="I28" s="1633">
        <v>22.104807621464854</v>
      </c>
      <c r="J28" s="1633">
        <v>14.937474381455207</v>
      </c>
      <c r="K28" s="1612"/>
      <c r="L28" s="1612"/>
      <c r="M28" s="1612"/>
      <c r="N28" s="1612"/>
      <c r="O28" s="1612"/>
      <c r="P28" s="1612"/>
      <c r="Q28" s="1612"/>
      <c r="R28" s="1612"/>
      <c r="S28" s="1612"/>
      <c r="T28" s="1612"/>
    </row>
    <row r="29" spans="1:20" ht="14.25" customHeight="1">
      <c r="A29" s="1608">
        <v>29</v>
      </c>
      <c r="B29" s="1612" t="s">
        <v>979</v>
      </c>
      <c r="C29" s="1618">
        <v>5.7067182117138751E-2</v>
      </c>
      <c r="D29" s="1618">
        <v>6.253134791290757E-2</v>
      </c>
      <c r="E29" s="1618">
        <v>5.6602758532930689E-2</v>
      </c>
      <c r="F29" s="1618">
        <v>5.4718515177044291E-2</v>
      </c>
      <c r="G29" s="1618">
        <v>5.168294782244106E-2</v>
      </c>
      <c r="H29" s="1618">
        <v>4.9142568194362621E-2</v>
      </c>
      <c r="I29" s="1618">
        <v>5.4329478248883331E-2</v>
      </c>
      <c r="J29" s="1618">
        <v>4.1751261901990529E-2</v>
      </c>
      <c r="K29" s="1612"/>
      <c r="L29" s="1612"/>
      <c r="M29" s="1612"/>
      <c r="N29" s="1612"/>
      <c r="O29" s="1612"/>
      <c r="P29" s="1612"/>
      <c r="Q29" s="1612"/>
      <c r="R29" s="1612"/>
      <c r="S29" s="1612"/>
      <c r="T29" s="1612"/>
    </row>
    <row r="30" spans="1:20" ht="14.25" customHeight="1">
      <c r="A30" s="1608">
        <v>30</v>
      </c>
      <c r="B30" s="1612" t="s">
        <v>980</v>
      </c>
      <c r="C30" s="1633">
        <v>1722.6932190034738</v>
      </c>
      <c r="D30" s="1633">
        <v>939.94740585969566</v>
      </c>
      <c r="E30" s="1633">
        <v>1636.4646941848944</v>
      </c>
      <c r="F30" s="1633">
        <v>46507.952139371911</v>
      </c>
      <c r="G30" s="1633">
        <v>327739.65054247831</v>
      </c>
      <c r="H30" s="1633">
        <v>22014967.851239294</v>
      </c>
      <c r="I30" s="1633">
        <v>1537.9634393267825</v>
      </c>
      <c r="J30" s="1633">
        <v>180.63445014985288</v>
      </c>
      <c r="K30" s="1612"/>
      <c r="L30" s="1612"/>
      <c r="M30" s="1612"/>
      <c r="N30" s="1612"/>
      <c r="O30" s="1612"/>
      <c r="P30" s="1612"/>
      <c r="Q30" s="1612"/>
      <c r="R30" s="1612"/>
      <c r="S30" s="1612"/>
      <c r="T30" s="1612"/>
    </row>
    <row r="31" spans="1:20" ht="14.25" customHeight="1">
      <c r="A31" s="1608">
        <v>31</v>
      </c>
      <c r="B31" s="1619"/>
      <c r="C31" s="1620"/>
      <c r="D31" s="1620"/>
      <c r="E31" s="1620"/>
      <c r="F31" s="1620"/>
      <c r="G31" s="1620"/>
      <c r="H31" s="1620"/>
      <c r="I31" s="1620"/>
      <c r="J31" s="1620"/>
      <c r="K31" s="1612"/>
      <c r="L31" s="1612"/>
      <c r="M31" s="1612"/>
      <c r="N31" s="1612"/>
      <c r="O31" s="1612"/>
      <c r="P31" s="1612"/>
      <c r="Q31" s="1612"/>
      <c r="R31" s="1612"/>
      <c r="S31" s="1612"/>
      <c r="T31" s="1612"/>
    </row>
    <row r="32" spans="1:20" ht="14.25" customHeight="1">
      <c r="A32" s="1608">
        <v>32</v>
      </c>
      <c r="B32" s="1616" t="s">
        <v>982</v>
      </c>
      <c r="C32" s="1617">
        <v>1</v>
      </c>
      <c r="D32" s="1617">
        <v>0.45128899240100112</v>
      </c>
      <c r="E32" s="1617">
        <v>0.13350202528436439</v>
      </c>
      <c r="F32" s="1617">
        <v>0.20854689152678016</v>
      </c>
      <c r="G32" s="1617">
        <v>8.2146836608382054E-2</v>
      </c>
      <c r="H32" s="1617">
        <v>8.851329996058338E-2</v>
      </c>
      <c r="I32" s="1617">
        <v>3.4161345860522122E-2</v>
      </c>
      <c r="J32" s="1617">
        <v>1.8406083583668333E-3</v>
      </c>
      <c r="K32" s="1612"/>
      <c r="L32" s="1612"/>
      <c r="M32" s="1612"/>
      <c r="N32" s="1612"/>
      <c r="O32" s="1612"/>
      <c r="P32" s="1612"/>
      <c r="Q32" s="1612"/>
      <c r="R32" s="1612"/>
      <c r="S32" s="1612"/>
      <c r="T32" s="1612"/>
    </row>
    <row r="33" spans="1:20" ht="14.25" customHeight="1">
      <c r="A33" s="1608">
        <v>33</v>
      </c>
      <c r="B33" s="1612" t="s">
        <v>978</v>
      </c>
      <c r="C33" s="1613">
        <v>98355959.962037265</v>
      </c>
      <c r="D33" s="1613">
        <v>44386962.067901008</v>
      </c>
      <c r="E33" s="1613">
        <v>13130719.853719831</v>
      </c>
      <c r="F33" s="1613">
        <v>20511829.713215318</v>
      </c>
      <c r="G33" s="1613">
        <v>8079630.9724620422</v>
      </c>
      <c r="H33" s="1613">
        <v>8705810.5870309342</v>
      </c>
      <c r="I33" s="1613">
        <v>3359971.9657068211</v>
      </c>
      <c r="J33" s="1613">
        <v>181034.80200131939</v>
      </c>
      <c r="K33" s="1612"/>
      <c r="L33" s="1612"/>
      <c r="M33" s="1612"/>
      <c r="N33" s="1612"/>
      <c r="O33" s="1612"/>
      <c r="P33" s="1612"/>
      <c r="Q33" s="1612"/>
      <c r="R33" s="1612"/>
      <c r="S33" s="1612"/>
      <c r="T33" s="1612"/>
    </row>
    <row r="34" spans="1:20" ht="14.25" customHeight="1">
      <c r="A34" s="1608">
        <v>34</v>
      </c>
      <c r="B34" s="1612" t="s">
        <v>973</v>
      </c>
      <c r="C34" s="1633">
        <v>4.9418902270068292</v>
      </c>
      <c r="D34" s="1633">
        <v>3.385726286895963</v>
      </c>
      <c r="E34" s="1633">
        <v>5.2197356350681066</v>
      </c>
      <c r="F34" s="1633">
        <v>8.7635246393401953</v>
      </c>
      <c r="G34" s="1633">
        <v>9.4956876709181035</v>
      </c>
      <c r="H34" s="1633">
        <v>12.724444717809545</v>
      </c>
      <c r="I34" s="1633">
        <v>9.2037080950558625</v>
      </c>
      <c r="J34" s="1633">
        <v>5.0053860318878396</v>
      </c>
      <c r="K34" s="1612"/>
      <c r="L34" s="1612"/>
      <c r="M34" s="1612"/>
      <c r="N34" s="1612"/>
      <c r="O34" s="1612"/>
      <c r="P34" s="1612"/>
      <c r="Q34" s="1612"/>
      <c r="R34" s="1612"/>
      <c r="S34" s="1612"/>
      <c r="T34" s="1612"/>
    </row>
    <row r="35" spans="1:20" ht="14.25" customHeight="1">
      <c r="A35" s="1608">
        <v>35</v>
      </c>
      <c r="B35" s="1612" t="s">
        <v>979</v>
      </c>
      <c r="C35" s="1618">
        <v>2.4538888310369662E-2</v>
      </c>
      <c r="D35" s="1618">
        <v>2.8220993349767812E-2</v>
      </c>
      <c r="E35" s="1618">
        <v>2.4172831679446328E-2</v>
      </c>
      <c r="F35" s="1618">
        <v>2.2898464542295462E-2</v>
      </c>
      <c r="G35" s="1618">
        <v>2.0882865725432857E-2</v>
      </c>
      <c r="H35" s="1618">
        <v>1.9433409730656864E-2</v>
      </c>
      <c r="I35" s="1618">
        <v>2.2620991203463475E-2</v>
      </c>
      <c r="J35" s="1618">
        <v>1.3990396087129918E-2</v>
      </c>
      <c r="K35" s="1612"/>
      <c r="L35" s="1612"/>
      <c r="M35" s="1612"/>
      <c r="N35" s="1612"/>
      <c r="O35" s="1612"/>
      <c r="P35" s="1612"/>
      <c r="Q35" s="1612"/>
      <c r="R35" s="1612"/>
      <c r="S35" s="1612"/>
      <c r="T35" s="1612"/>
    </row>
    <row r="36" spans="1:20" ht="14.25" customHeight="1">
      <c r="A36" s="1608">
        <v>36</v>
      </c>
      <c r="B36" s="1612" t="s">
        <v>980</v>
      </c>
      <c r="C36" s="1633">
        <v>740.75808417149369</v>
      </c>
      <c r="D36" s="1633">
        <v>424.20722366073437</v>
      </c>
      <c r="E36" s="1633">
        <v>698.87027818394711</v>
      </c>
      <c r="F36" s="1633">
        <v>19462.529082751105</v>
      </c>
      <c r="G36" s="1633">
        <v>132425.55627229708</v>
      </c>
      <c r="H36" s="1633">
        <v>8705810.5870309342</v>
      </c>
      <c r="I36" s="1633">
        <v>640.3569213914667</v>
      </c>
      <c r="J36" s="1633">
        <v>60.52864966117064</v>
      </c>
      <c r="K36" s="1612"/>
      <c r="L36" s="1612"/>
      <c r="M36" s="1612"/>
      <c r="N36" s="1612"/>
      <c r="O36" s="1612"/>
      <c r="P36" s="1612"/>
      <c r="Q36" s="1612"/>
      <c r="R36" s="1612"/>
      <c r="S36" s="1612"/>
      <c r="T36" s="1612"/>
    </row>
    <row r="37" spans="1:20" ht="14.25" customHeight="1">
      <c r="A37" s="1608">
        <v>37</v>
      </c>
      <c r="B37" s="1612"/>
      <c r="C37" s="1613"/>
      <c r="D37" s="1613"/>
      <c r="E37" s="1613"/>
      <c r="F37" s="1613"/>
      <c r="G37" s="1613"/>
      <c r="H37" s="1613"/>
      <c r="I37" s="1613"/>
      <c r="J37" s="1613"/>
      <c r="K37" s="1612"/>
      <c r="L37" s="1612"/>
      <c r="M37" s="1612"/>
      <c r="N37" s="1612"/>
      <c r="O37" s="1612"/>
      <c r="P37" s="1612"/>
      <c r="Q37" s="1612"/>
      <c r="R37" s="1612"/>
      <c r="S37" s="1612"/>
      <c r="T37" s="1612"/>
    </row>
    <row r="38" spans="1:20" ht="14.25" customHeight="1">
      <c r="A38" s="1608">
        <v>38</v>
      </c>
      <c r="B38" s="1616" t="s">
        <v>983</v>
      </c>
      <c r="C38" s="1617">
        <v>1</v>
      </c>
      <c r="D38" s="1617">
        <v>0.41390555030523818</v>
      </c>
      <c r="E38" s="1617">
        <v>0.13511385811333385</v>
      </c>
      <c r="F38" s="1617">
        <v>0.21862097434624772</v>
      </c>
      <c r="G38" s="1617">
        <v>9.140000549446535E-2</v>
      </c>
      <c r="H38" s="1617">
        <v>0.10208066139361938</v>
      </c>
      <c r="I38" s="1617">
        <v>3.6123719535133512E-2</v>
      </c>
      <c r="J38" s="1617">
        <v>2.7552308119619499E-3</v>
      </c>
      <c r="K38" s="1612"/>
      <c r="L38" s="1612"/>
      <c r="M38" s="1612"/>
      <c r="N38" s="1612"/>
      <c r="O38" s="1612"/>
      <c r="P38" s="1612"/>
      <c r="Q38" s="1612"/>
      <c r="R38" s="1612"/>
      <c r="S38" s="1612"/>
      <c r="T38" s="1612"/>
    </row>
    <row r="39" spans="1:20" ht="14.25" customHeight="1">
      <c r="A39" s="1608">
        <v>39</v>
      </c>
      <c r="B39" s="1612" t="s">
        <v>978</v>
      </c>
      <c r="C39" s="1613">
        <v>130378830.64735176</v>
      </c>
      <c r="D39" s="1613">
        <v>53964521.647245578</v>
      </c>
      <c r="E39" s="1613">
        <v>17615986.825068668</v>
      </c>
      <c r="F39" s="1613">
        <v>28503546.990248464</v>
      </c>
      <c r="G39" s="1613">
        <v>11916625.837529918</v>
      </c>
      <c r="H39" s="1613">
        <v>13309157.26420836</v>
      </c>
      <c r="I39" s="1613">
        <v>4709768.311623605</v>
      </c>
      <c r="J39" s="1613">
        <v>359223.77142715256</v>
      </c>
      <c r="K39" s="1612"/>
      <c r="L39" s="1612"/>
      <c r="M39" s="1612"/>
      <c r="N39" s="1612"/>
      <c r="O39" s="1612"/>
      <c r="P39" s="1612"/>
      <c r="Q39" s="1612"/>
      <c r="R39" s="1612"/>
      <c r="S39" s="1612"/>
      <c r="T39" s="1612"/>
    </row>
    <row r="40" spans="1:20" ht="14.25" customHeight="1">
      <c r="A40" s="1608">
        <v>40</v>
      </c>
      <c r="B40" s="1612" t="s">
        <v>973</v>
      </c>
      <c r="C40" s="1633">
        <v>6.550877742776497</v>
      </c>
      <c r="D40" s="1633">
        <v>4.1162785419138652</v>
      </c>
      <c r="E40" s="1633">
        <v>7.0027230191536116</v>
      </c>
      <c r="F40" s="1633">
        <v>12.177925609274062</v>
      </c>
      <c r="G40" s="1633">
        <v>14.00516402668025</v>
      </c>
      <c r="H40" s="1633">
        <v>19.452713122582303</v>
      </c>
      <c r="I40" s="1633">
        <v>12.90109952640899</v>
      </c>
      <c r="J40" s="1633">
        <v>9.9320883495673673</v>
      </c>
      <c r="K40" s="1612"/>
      <c r="L40" s="1612"/>
      <c r="M40" s="1612"/>
      <c r="N40" s="1612"/>
      <c r="O40" s="1612"/>
      <c r="P40" s="1612"/>
      <c r="Q40" s="1612"/>
      <c r="R40" s="1612"/>
      <c r="S40" s="1612"/>
      <c r="T40" s="1612"/>
    </row>
    <row r="41" spans="1:20" ht="14.25" customHeight="1">
      <c r="A41" s="1608">
        <v>41</v>
      </c>
      <c r="B41" s="1612" t="s">
        <v>979</v>
      </c>
      <c r="C41" s="1618">
        <v>3.2528293806769096E-2</v>
      </c>
      <c r="D41" s="1618">
        <v>3.4310354563139758E-2</v>
      </c>
      <c r="E41" s="1618">
        <v>3.2429926853484364E-2</v>
      </c>
      <c r="F41" s="1618">
        <v>3.1820050634748832E-2</v>
      </c>
      <c r="G41" s="1618">
        <v>3.0800082097008206E-2</v>
      </c>
      <c r="H41" s="1618">
        <v>2.9709158463705754E-2</v>
      </c>
      <c r="I41" s="1618">
        <v>3.1708487045419849E-2</v>
      </c>
      <c r="J41" s="1618">
        <v>2.7760865814860612E-2</v>
      </c>
      <c r="K41" s="1612"/>
      <c r="L41" s="1612"/>
      <c r="M41" s="1612"/>
      <c r="N41" s="1612"/>
      <c r="O41" s="1612"/>
      <c r="P41" s="1612"/>
      <c r="Q41" s="1612"/>
      <c r="R41" s="1612"/>
      <c r="S41" s="1612"/>
      <c r="T41" s="1612"/>
    </row>
    <row r="42" spans="1:20" ht="14.25" customHeight="1">
      <c r="A42" s="1608">
        <v>42</v>
      </c>
      <c r="B42" s="1612" t="s">
        <v>980</v>
      </c>
      <c r="C42" s="1633">
        <v>981.93513483198024</v>
      </c>
      <c r="D42" s="1633">
        <v>515.74018219896129</v>
      </c>
      <c r="E42" s="1633">
        <v>937.59441600094726</v>
      </c>
      <c r="F42" s="1633">
        <v>27045.423056620813</v>
      </c>
      <c r="G42" s="1633">
        <v>195314.09427018123</v>
      </c>
      <c r="H42" s="1633">
        <v>13309157.26420836</v>
      </c>
      <c r="I42" s="1633">
        <v>897.60651793531576</v>
      </c>
      <c r="J42" s="1633">
        <v>120.10580048868223</v>
      </c>
      <c r="K42" s="1612"/>
      <c r="L42" s="1612"/>
      <c r="M42" s="1612"/>
      <c r="N42" s="1612"/>
      <c r="O42" s="1612"/>
      <c r="P42" s="1612"/>
      <c r="Q42" s="1612"/>
      <c r="R42" s="1612"/>
      <c r="S42" s="1612"/>
      <c r="T42" s="1612"/>
    </row>
    <row r="43" spans="1:20" ht="14.25" customHeight="1">
      <c r="A43" s="1608">
        <v>43</v>
      </c>
      <c r="B43" s="1612"/>
      <c r="C43" s="1613"/>
      <c r="D43" s="1613"/>
      <c r="E43" s="1613"/>
      <c r="F43" s="1613"/>
      <c r="G43" s="1613"/>
      <c r="H43" s="1613"/>
      <c r="I43" s="1613"/>
      <c r="J43" s="1613"/>
      <c r="K43" s="1612"/>
      <c r="L43" s="1612"/>
      <c r="M43" s="1612"/>
      <c r="N43" s="1612"/>
      <c r="O43" s="1612"/>
      <c r="P43" s="1612"/>
      <c r="Q43" s="1612"/>
      <c r="R43" s="1612"/>
      <c r="S43" s="1612"/>
      <c r="T43" s="1612"/>
    </row>
    <row r="44" spans="1:20" ht="14.25" customHeight="1">
      <c r="A44" s="1608">
        <v>44</v>
      </c>
      <c r="B44" s="1616" t="s">
        <v>984</v>
      </c>
      <c r="C44" s="1617">
        <v>1</v>
      </c>
      <c r="D44" s="1617">
        <v>0.42997212855978689</v>
      </c>
      <c r="E44" s="1617">
        <v>0.13417796707006976</v>
      </c>
      <c r="F44" s="1617">
        <v>0.21458473809808562</v>
      </c>
      <c r="G44" s="1617">
        <v>8.7523150575374617E-2</v>
      </c>
      <c r="H44" s="1617">
        <v>9.6290082886466608E-2</v>
      </c>
      <c r="I44" s="1617">
        <v>3.5095701442293903E-2</v>
      </c>
      <c r="J44" s="1617">
        <v>2.3562313679227134E-3</v>
      </c>
      <c r="K44" s="1612"/>
      <c r="L44" s="1612"/>
      <c r="M44" s="1612"/>
      <c r="N44" s="1612"/>
      <c r="O44" s="1612"/>
      <c r="P44" s="1612"/>
      <c r="Q44" s="1612"/>
      <c r="R44" s="1612"/>
      <c r="S44" s="1612"/>
      <c r="T44" s="1612"/>
    </row>
    <row r="45" spans="1:20" ht="14.25" customHeight="1">
      <c r="A45" s="1608">
        <v>45</v>
      </c>
      <c r="B45" s="1612" t="s">
        <v>978</v>
      </c>
      <c r="C45" s="1613">
        <v>56477766.985453956</v>
      </c>
      <c r="D45" s="1613">
        <v>24283865.687039297</v>
      </c>
      <c r="E45" s="1613">
        <v>7578071.9587653149</v>
      </c>
      <c r="F45" s="1613">
        <v>12119266.836938344</v>
      </c>
      <c r="G45" s="1613">
        <v>4943112.104028808</v>
      </c>
      <c r="H45" s="1613">
        <v>5438248.864271909</v>
      </c>
      <c r="I45" s="1613">
        <v>1982126.8482489353</v>
      </c>
      <c r="J45" s="1613">
        <v>133074.68616135643</v>
      </c>
      <c r="K45" s="1612"/>
      <c r="L45" s="1612"/>
      <c r="M45" s="1612"/>
      <c r="N45" s="1612"/>
      <c r="O45" s="1612"/>
      <c r="P45" s="1612"/>
      <c r="Q45" s="1612"/>
      <c r="R45" s="1612"/>
      <c r="S45" s="1612"/>
      <c r="T45" s="1612"/>
    </row>
    <row r="46" spans="1:20" ht="14.25" customHeight="1">
      <c r="A46" s="1608">
        <v>46</v>
      </c>
      <c r="B46" s="1612" t="s">
        <v>973</v>
      </c>
      <c r="C46" s="1633">
        <v>2.8377225418399821</v>
      </c>
      <c r="D46" s="1633">
        <v>1.8523124488286891</v>
      </c>
      <c r="E46" s="1633">
        <v>3.0124420206156413</v>
      </c>
      <c r="F46" s="1633">
        <v>5.1778654084584437</v>
      </c>
      <c r="G46" s="1633">
        <v>5.8094545186745421</v>
      </c>
      <c r="H46" s="1633">
        <v>7.9485645068138631</v>
      </c>
      <c r="I46" s="1633">
        <v>5.4294848602460331</v>
      </c>
      <c r="J46" s="1633">
        <v>3.679348765797291</v>
      </c>
      <c r="K46" s="1612"/>
      <c r="L46" s="1612"/>
      <c r="M46" s="1612"/>
      <c r="N46" s="1612"/>
      <c r="O46" s="1612"/>
      <c r="P46" s="1612"/>
      <c r="Q46" s="1612"/>
      <c r="R46" s="1612"/>
      <c r="S46" s="1612"/>
      <c r="T46" s="1612"/>
    </row>
    <row r="47" spans="1:20" ht="14.25" customHeight="1">
      <c r="A47" s="1608">
        <v>47</v>
      </c>
      <c r="B47" s="1612" t="s">
        <v>979</v>
      </c>
      <c r="C47" s="1618">
        <v>1.4090672457572048E-2</v>
      </c>
      <c r="D47" s="1618">
        <v>1.5439552069642199E-2</v>
      </c>
      <c r="E47" s="1618">
        <v>1.3950755172198091E-2</v>
      </c>
      <c r="F47" s="1618">
        <v>1.3529392834489784E-2</v>
      </c>
      <c r="G47" s="1618">
        <v>1.2776121420151958E-2</v>
      </c>
      <c r="H47" s="1618">
        <v>1.213944610213696E-2</v>
      </c>
      <c r="I47" s="1618">
        <v>1.334465717452963E-2</v>
      </c>
      <c r="J47" s="1618">
        <v>1.0284031291145412E-2</v>
      </c>
      <c r="K47" s="1612"/>
      <c r="L47" s="1612"/>
      <c r="M47" s="1612"/>
      <c r="N47" s="1612"/>
      <c r="O47" s="1612"/>
      <c r="P47" s="1612"/>
      <c r="Q47" s="1612"/>
      <c r="R47" s="1612"/>
      <c r="S47" s="1612"/>
      <c r="T47" s="1612"/>
    </row>
    <row r="48" spans="1:20" ht="14.25" customHeight="1">
      <c r="A48" s="1608">
        <v>48</v>
      </c>
      <c r="B48" s="1612" t="s">
        <v>980</v>
      </c>
      <c r="C48" s="1633">
        <v>425.3566584737377</v>
      </c>
      <c r="D48" s="1633">
        <v>232.08146633442826</v>
      </c>
      <c r="E48" s="1633">
        <v>403.3357894251277</v>
      </c>
      <c r="F48" s="1633">
        <v>11499.29511766406</v>
      </c>
      <c r="G48" s="1633">
        <v>81017.854939588942</v>
      </c>
      <c r="H48" s="1633">
        <v>5438248.864271909</v>
      </c>
      <c r="I48" s="1633">
        <v>377.7616775695476</v>
      </c>
      <c r="J48" s="1633">
        <v>44.493274046679005</v>
      </c>
      <c r="K48" s="1612"/>
      <c r="L48" s="1612"/>
      <c r="M48" s="1612"/>
      <c r="N48" s="1612"/>
      <c r="O48" s="1612"/>
      <c r="P48" s="1612"/>
      <c r="Q48" s="1612"/>
      <c r="R48" s="1612"/>
      <c r="S48" s="1612"/>
      <c r="T48" s="1612"/>
    </row>
    <row r="49" spans="1:20" ht="14.25" customHeight="1">
      <c r="A49" s="1608">
        <v>49</v>
      </c>
      <c r="B49" s="1612"/>
      <c r="C49" s="1613"/>
      <c r="D49" s="1613"/>
      <c r="E49" s="1613"/>
      <c r="F49" s="1613"/>
      <c r="G49" s="1613"/>
      <c r="H49" s="1613"/>
      <c r="I49" s="1613"/>
      <c r="J49" s="1613"/>
      <c r="K49" s="1612"/>
      <c r="L49" s="1612"/>
      <c r="M49" s="1612"/>
      <c r="N49" s="1612"/>
      <c r="O49" s="1612"/>
      <c r="P49" s="1612"/>
      <c r="Q49" s="1612"/>
      <c r="R49" s="1612"/>
      <c r="S49" s="1612"/>
      <c r="T49" s="1612"/>
    </row>
    <row r="50" spans="1:20" ht="14.25" customHeight="1">
      <c r="A50" s="1608">
        <v>50</v>
      </c>
      <c r="B50" s="1616" t="s">
        <v>985</v>
      </c>
      <c r="C50" s="1617">
        <v>1</v>
      </c>
      <c r="D50" s="1617">
        <v>0.44995249416101202</v>
      </c>
      <c r="E50" s="1617">
        <v>0.13331648916425134</v>
      </c>
      <c r="F50" s="1617">
        <v>0.20920043300788757</v>
      </c>
      <c r="G50" s="1617">
        <v>8.2577600169695758E-2</v>
      </c>
      <c r="H50" s="1617">
        <v>8.9038721682712887E-2</v>
      </c>
      <c r="I50" s="1617">
        <v>3.4046869621816037E-2</v>
      </c>
      <c r="J50" s="1617">
        <v>1.8673921926244592E-3</v>
      </c>
      <c r="K50" s="1612"/>
      <c r="L50" s="1612"/>
      <c r="M50" s="1612"/>
      <c r="N50" s="1612"/>
      <c r="O50" s="1612"/>
      <c r="P50" s="1612"/>
      <c r="Q50" s="1612"/>
      <c r="R50" s="1612"/>
      <c r="S50" s="1612"/>
      <c r="T50" s="1612"/>
    </row>
    <row r="51" spans="1:20" ht="14.25" customHeight="1">
      <c r="A51" s="1608">
        <v>51</v>
      </c>
      <c r="B51" s="1612" t="s">
        <v>978</v>
      </c>
      <c r="C51" s="1613">
        <v>24285439.18559381</v>
      </c>
      <c r="D51" s="1613">
        <v>10927293.933353512</v>
      </c>
      <c r="E51" s="1613">
        <v>3237649.4900353025</v>
      </c>
      <c r="F51" s="1613">
        <v>5080524.3934129458</v>
      </c>
      <c r="G51" s="1613">
        <v>2005433.2870134274</v>
      </c>
      <c r="H51" s="1613">
        <v>2162344.4605885367</v>
      </c>
      <c r="I51" s="1613">
        <v>826843.1816604546</v>
      </c>
      <c r="J51" s="1613">
        <v>45350.439529633986</v>
      </c>
      <c r="K51" s="1612"/>
      <c r="L51" s="1612"/>
      <c r="M51" s="1612"/>
      <c r="N51" s="1612"/>
      <c r="O51" s="1612"/>
      <c r="P51" s="1612"/>
      <c r="Q51" s="1612"/>
      <c r="R51" s="1612"/>
      <c r="S51" s="1612"/>
      <c r="T51" s="1612"/>
    </row>
    <row r="52" spans="1:20" ht="14.25" customHeight="1">
      <c r="A52" s="1608">
        <v>52</v>
      </c>
      <c r="B52" s="1612" t="s">
        <v>973</v>
      </c>
      <c r="C52" s="1633">
        <v>1.2202206619322069</v>
      </c>
      <c r="D52" s="1633">
        <v>0.83350661075200039</v>
      </c>
      <c r="E52" s="1633">
        <v>1.2870333542459826</v>
      </c>
      <c r="F52" s="1633">
        <v>2.1706157531991344</v>
      </c>
      <c r="G52" s="1633">
        <v>2.3569106315927884</v>
      </c>
      <c r="H52" s="1633">
        <v>3.1604906027485993</v>
      </c>
      <c r="I52" s="1633">
        <v>2.2649067795984386</v>
      </c>
      <c r="J52" s="1633">
        <v>1.2538829774837974</v>
      </c>
      <c r="K52" s="1612"/>
      <c r="L52" s="1612"/>
      <c r="M52" s="1612"/>
      <c r="N52" s="1612"/>
      <c r="O52" s="1612"/>
      <c r="P52" s="1612"/>
      <c r="Q52" s="1612"/>
      <c r="R52" s="1612"/>
      <c r="S52" s="1612"/>
      <c r="T52" s="1612"/>
    </row>
    <row r="53" spans="1:20" ht="14.25" customHeight="1">
      <c r="A53" s="1608">
        <v>53</v>
      </c>
      <c r="B53" s="1612" t="s">
        <v>979</v>
      </c>
      <c r="C53" s="1618">
        <v>6.0589890025330136E-3</v>
      </c>
      <c r="D53" s="1618">
        <v>6.9475151048270511E-3</v>
      </c>
      <c r="E53" s="1618">
        <v>5.9603096426961892E-3</v>
      </c>
      <c r="F53" s="1618">
        <v>5.6716640741162486E-3</v>
      </c>
      <c r="G53" s="1618">
        <v>5.1833053015357382E-3</v>
      </c>
      <c r="H53" s="1618">
        <v>4.8268596544051969E-3</v>
      </c>
      <c r="I53" s="1618">
        <v>5.5667167851057428E-3</v>
      </c>
      <c r="J53" s="1618">
        <v>3.5046886274407571E-3</v>
      </c>
      <c r="K53" s="1612"/>
      <c r="L53" s="1612"/>
      <c r="M53" s="1612"/>
      <c r="N53" s="1612"/>
      <c r="O53" s="1612"/>
      <c r="P53" s="1612"/>
      <c r="Q53" s="1612"/>
      <c r="R53" s="1612"/>
      <c r="S53" s="1612"/>
      <c r="T53" s="1612"/>
    </row>
    <row r="54" spans="1:20" ht="14.25" customHeight="1">
      <c r="A54" s="1608">
        <v>54</v>
      </c>
      <c r="B54" s="1612" t="s">
        <v>980</v>
      </c>
      <c r="C54" s="1633">
        <v>182.90335848816179</v>
      </c>
      <c r="D54" s="1633">
        <v>104.43240099427426</v>
      </c>
      <c r="E54" s="1633">
        <v>172.32086473325239</v>
      </c>
      <c r="F54" s="1633">
        <v>4820.6257142784179</v>
      </c>
      <c r="G54" s="1633">
        <v>32869.152007670105</v>
      </c>
      <c r="H54" s="1633">
        <v>2162344.4605885367</v>
      </c>
      <c r="I54" s="1633">
        <v>157.58308690835489</v>
      </c>
      <c r="J54" s="1633">
        <v>15.162835189276558</v>
      </c>
      <c r="K54" s="1612"/>
      <c r="L54" s="1612"/>
      <c r="M54" s="1612"/>
      <c r="N54" s="1612"/>
      <c r="O54" s="1612"/>
      <c r="P54" s="1612"/>
      <c r="Q54" s="1612"/>
      <c r="R54" s="1612"/>
      <c r="S54" s="1612"/>
      <c r="T54" s="1612"/>
    </row>
    <row r="55" spans="1:20" ht="14.25" customHeight="1">
      <c r="A55" s="1608">
        <v>55</v>
      </c>
      <c r="B55" s="1612"/>
      <c r="C55" s="1613"/>
      <c r="D55" s="1613"/>
      <c r="E55" s="1613"/>
      <c r="F55" s="1613"/>
      <c r="G55" s="1613"/>
      <c r="H55" s="1613"/>
      <c r="I55" s="1613"/>
      <c r="J55" s="1613"/>
      <c r="K55" s="1612"/>
      <c r="L55" s="1612"/>
      <c r="M55" s="1612"/>
      <c r="N55" s="1612"/>
      <c r="O55" s="1612"/>
      <c r="P55" s="1612"/>
      <c r="Q55" s="1612"/>
      <c r="R55" s="1612"/>
      <c r="S55" s="1612"/>
      <c r="T55" s="1612"/>
    </row>
    <row r="56" spans="1:20" ht="14.25" customHeight="1">
      <c r="A56" s="1608">
        <v>56</v>
      </c>
      <c r="B56" s="1616" t="s">
        <v>986</v>
      </c>
      <c r="C56" s="1617">
        <v>1</v>
      </c>
      <c r="D56" s="1617">
        <v>0.41489922184949329</v>
      </c>
      <c r="E56" s="1617">
        <v>0.13482785388228025</v>
      </c>
      <c r="F56" s="1617">
        <v>0.21864658210755353</v>
      </c>
      <c r="G56" s="1617">
        <v>9.1254004223582194E-2</v>
      </c>
      <c r="H56" s="1617">
        <v>0.10176040776080826</v>
      </c>
      <c r="I56" s="1617">
        <v>3.5886925411883375E-2</v>
      </c>
      <c r="J56" s="1617">
        <v>2.7250047643992848E-3</v>
      </c>
      <c r="K56" s="1612"/>
      <c r="L56" s="1612"/>
      <c r="M56" s="1612"/>
      <c r="N56" s="1612"/>
      <c r="O56" s="1612"/>
      <c r="P56" s="1612"/>
      <c r="Q56" s="1612"/>
      <c r="R56" s="1612"/>
      <c r="S56" s="1612"/>
      <c r="T56" s="1612"/>
    </row>
    <row r="57" spans="1:20" ht="14.25" customHeight="1">
      <c r="A57" s="1608">
        <v>57</v>
      </c>
      <c r="B57" s="1612" t="s">
        <v>978</v>
      </c>
      <c r="C57" s="1613">
        <v>32192327.799860146</v>
      </c>
      <c r="D57" s="1613">
        <v>13356571.753685785</v>
      </c>
      <c r="E57" s="1613">
        <v>4340422.468730012</v>
      </c>
      <c r="F57" s="1613">
        <v>7038742.4435253991</v>
      </c>
      <c r="G57" s="1613">
        <v>2937678.8170153801</v>
      </c>
      <c r="H57" s="1613">
        <v>3275904.4036833718</v>
      </c>
      <c r="I57" s="1613">
        <v>1155283.6665884806</v>
      </c>
      <c r="J57" s="1613">
        <v>87724.246631722446</v>
      </c>
      <c r="K57" s="1612"/>
      <c r="L57" s="1612"/>
      <c r="M57" s="1612"/>
      <c r="N57" s="1612"/>
      <c r="O57" s="1612"/>
      <c r="P57" s="1612"/>
      <c r="Q57" s="1612"/>
      <c r="R57" s="1612"/>
      <c r="S57" s="1612"/>
      <c r="T57" s="1612"/>
    </row>
    <row r="58" spans="1:20" ht="14.25" customHeight="1">
      <c r="A58" s="1608">
        <v>58</v>
      </c>
      <c r="B58" s="1612" t="s">
        <v>973</v>
      </c>
      <c r="C58" s="1633">
        <v>1.6175018799077749</v>
      </c>
      <c r="D58" s="1633">
        <v>1.0188058380766887</v>
      </c>
      <c r="E58" s="1633">
        <v>1.7254086663696584</v>
      </c>
      <c r="F58" s="1633">
        <v>3.0072496552593102</v>
      </c>
      <c r="G58" s="1633">
        <v>3.4525438870817529</v>
      </c>
      <c r="H58" s="1633">
        <v>4.7880739040652633</v>
      </c>
      <c r="I58" s="1633">
        <v>3.1645780806475945</v>
      </c>
      <c r="J58" s="1633">
        <v>2.425465788313494</v>
      </c>
      <c r="K58" s="1612"/>
      <c r="L58" s="1612"/>
      <c r="M58" s="1612"/>
      <c r="N58" s="1612"/>
      <c r="O58" s="1612"/>
      <c r="P58" s="1612"/>
      <c r="Q58" s="1612"/>
      <c r="R58" s="1612"/>
      <c r="S58" s="1612"/>
      <c r="T58" s="1612"/>
    </row>
    <row r="59" spans="1:20" ht="14.25" customHeight="1">
      <c r="A59" s="1608">
        <v>59</v>
      </c>
      <c r="B59" s="1612" t="s">
        <v>979</v>
      </c>
      <c r="C59" s="1618">
        <v>8.0316834550390338E-3</v>
      </c>
      <c r="D59" s="1618">
        <v>8.4920369648151476E-3</v>
      </c>
      <c r="E59" s="1618">
        <v>7.9904455295019012E-3</v>
      </c>
      <c r="F59" s="1618">
        <v>7.8577287603735363E-3</v>
      </c>
      <c r="G59" s="1618">
        <v>7.592816118616218E-3</v>
      </c>
      <c r="H59" s="1618">
        <v>7.3125864477317625E-3</v>
      </c>
      <c r="I59" s="1618">
        <v>7.777940389423886E-3</v>
      </c>
      <c r="J59" s="1618">
        <v>6.7793426637046562E-3</v>
      </c>
      <c r="K59" s="1612"/>
      <c r="L59" s="1612"/>
      <c r="M59" s="1612"/>
      <c r="N59" s="1612"/>
      <c r="O59" s="1612"/>
      <c r="P59" s="1612"/>
      <c r="Q59" s="1612"/>
      <c r="R59" s="1612"/>
      <c r="S59" s="1612"/>
      <c r="T59" s="1612"/>
    </row>
    <row r="60" spans="1:20" ht="14.25" customHeight="1">
      <c r="A60" s="1608">
        <v>60</v>
      </c>
      <c r="B60" s="1612" t="s">
        <v>980</v>
      </c>
      <c r="C60" s="1633">
        <v>242.45329998557594</v>
      </c>
      <c r="D60" s="1633">
        <v>127.64906534015401</v>
      </c>
      <c r="E60" s="1633">
        <v>231.01492469187528</v>
      </c>
      <c r="F60" s="1633">
        <v>6678.6694033856429</v>
      </c>
      <c r="G60" s="1633">
        <v>48148.70293191883</v>
      </c>
      <c r="H60" s="1633">
        <v>3275904.4036833718</v>
      </c>
      <c r="I60" s="1633">
        <v>220.17859066119269</v>
      </c>
      <c r="J60" s="1633">
        <v>29.330438857402449</v>
      </c>
      <c r="K60" s="1612"/>
      <c r="L60" s="1612"/>
      <c r="M60" s="1612"/>
      <c r="N60" s="1612"/>
      <c r="O60" s="1612"/>
      <c r="P60" s="1612"/>
      <c r="Q60" s="1612"/>
      <c r="R60" s="1612"/>
      <c r="S60" s="1612"/>
      <c r="T60" s="1612"/>
    </row>
    <row r="61" spans="1:20" ht="14.25" customHeight="1">
      <c r="A61" s="1608">
        <v>61</v>
      </c>
      <c r="B61" s="1612"/>
      <c r="C61" s="1613"/>
      <c r="D61" s="1613"/>
      <c r="E61" s="1613"/>
      <c r="F61" s="1613"/>
      <c r="G61" s="1613"/>
      <c r="H61" s="1613"/>
      <c r="I61" s="1613"/>
      <c r="J61" s="1613"/>
      <c r="K61" s="1612"/>
      <c r="L61" s="1612"/>
      <c r="M61" s="1612"/>
      <c r="N61" s="1612"/>
      <c r="O61" s="1612"/>
      <c r="P61" s="1612"/>
      <c r="Q61" s="1612"/>
      <c r="R61" s="1612"/>
      <c r="S61" s="1612"/>
      <c r="T61" s="1612"/>
    </row>
    <row r="62" spans="1:20" ht="14.25" customHeight="1">
      <c r="A62" s="1608">
        <v>62</v>
      </c>
      <c r="B62" s="1616" t="s">
        <v>987</v>
      </c>
      <c r="C62" s="1617">
        <v>1</v>
      </c>
      <c r="D62" s="1617">
        <v>0.60126714247926305</v>
      </c>
      <c r="E62" s="1617">
        <v>0.14256568828687508</v>
      </c>
      <c r="F62" s="1617">
        <v>0.14323213818633196</v>
      </c>
      <c r="G62" s="1617">
        <v>4.6398078282880825E-2</v>
      </c>
      <c r="H62" s="1617">
        <v>8.8224229808332947E-3</v>
      </c>
      <c r="I62" s="1617">
        <v>4.2498788069421117E-2</v>
      </c>
      <c r="J62" s="1617">
        <v>1.5215741714394602E-2</v>
      </c>
      <c r="K62" s="1612"/>
      <c r="L62" s="1612"/>
      <c r="M62" s="1612"/>
      <c r="N62" s="1612"/>
      <c r="O62" s="1612"/>
      <c r="P62" s="1612"/>
      <c r="Q62" s="1612"/>
      <c r="R62" s="1612"/>
      <c r="S62" s="1612"/>
      <c r="T62" s="1612"/>
    </row>
    <row r="63" spans="1:20" ht="14.25" customHeight="1">
      <c r="A63" s="1608">
        <v>63</v>
      </c>
      <c r="B63" s="1612" t="s">
        <v>978</v>
      </c>
      <c r="C63" s="1613">
        <v>54640221.414968051</v>
      </c>
      <c r="D63" s="1613">
        <v>32853369.794612076</v>
      </c>
      <c r="E63" s="1613">
        <v>7789820.774172172</v>
      </c>
      <c r="F63" s="1613">
        <v>7826235.7442404786</v>
      </c>
      <c r="G63" s="1613">
        <v>2535201.2706056288</v>
      </c>
      <c r="H63" s="1613">
        <v>482059.14508923364</v>
      </c>
      <c r="I63" s="1613">
        <v>2322143.1899809726</v>
      </c>
      <c r="J63" s="1613">
        <v>831391.4962674866</v>
      </c>
      <c r="K63" s="1612"/>
      <c r="L63" s="1612"/>
      <c r="M63" s="1612"/>
      <c r="N63" s="1612"/>
      <c r="O63" s="1612"/>
      <c r="P63" s="1612"/>
      <c r="Q63" s="1612"/>
      <c r="R63" s="1612"/>
      <c r="S63" s="1612"/>
      <c r="T63" s="1612"/>
    </row>
    <row r="64" spans="1:20" ht="14.25" customHeight="1">
      <c r="A64" s="1608">
        <v>64</v>
      </c>
      <c r="B64" s="1612" t="s">
        <v>973</v>
      </c>
      <c r="C64" s="1633">
        <v>2.7453951577143125</v>
      </c>
      <c r="D64" s="1633">
        <v>2.5059727574185828</v>
      </c>
      <c r="E64" s="1633">
        <v>3.0966166012765419</v>
      </c>
      <c r="F64" s="1633">
        <v>3.3437002323468157</v>
      </c>
      <c r="G64" s="1633">
        <v>2.9795271010069482</v>
      </c>
      <c r="H64" s="1633">
        <v>0.70457941636591781</v>
      </c>
      <c r="I64" s="1633">
        <v>6.3608649993633879</v>
      </c>
      <c r="J64" s="1633">
        <v>22.986935862295027</v>
      </c>
      <c r="K64" s="1612"/>
      <c r="L64" s="1612"/>
      <c r="M64" s="1612"/>
      <c r="N64" s="1612"/>
      <c r="O64" s="1612"/>
      <c r="P64" s="1612"/>
      <c r="Q64" s="1612"/>
      <c r="R64" s="1612"/>
      <c r="S64" s="1612"/>
      <c r="T64" s="1612"/>
    </row>
    <row r="65" spans="1:20" ht="14.25" customHeight="1">
      <c r="A65" s="1608">
        <v>65</v>
      </c>
      <c r="B65" s="1612" t="s">
        <v>979</v>
      </c>
      <c r="C65" s="1618">
        <v>1.3632222094861216E-2</v>
      </c>
      <c r="D65" s="1618">
        <v>2.0887996999499402E-2</v>
      </c>
      <c r="E65" s="1618">
        <v>1.4340571460274792E-2</v>
      </c>
      <c r="F65" s="1618">
        <v>8.7368501101428159E-3</v>
      </c>
      <c r="G65" s="1618">
        <v>6.5525601232838777E-3</v>
      </c>
      <c r="H65" s="1618">
        <v>1.0760689986622099E-3</v>
      </c>
      <c r="I65" s="1618">
        <v>1.5633815165684541E-2</v>
      </c>
      <c r="J65" s="1618">
        <v>6.4250056937499578E-2</v>
      </c>
      <c r="K65" s="1612"/>
      <c r="L65" s="1612"/>
      <c r="M65" s="1612"/>
      <c r="N65" s="1612"/>
      <c r="O65" s="1612"/>
      <c r="P65" s="1612"/>
      <c r="Q65" s="1612"/>
      <c r="R65" s="1612"/>
      <c r="S65" s="1612"/>
      <c r="T65" s="1612"/>
    </row>
    <row r="66" spans="1:20" ht="14.25" customHeight="1">
      <c r="A66" s="1608">
        <v>66</v>
      </c>
      <c r="B66" s="1612" t="s">
        <v>980</v>
      </c>
      <c r="C66" s="1633">
        <v>411.51736762754672</v>
      </c>
      <c r="D66" s="1633">
        <v>313.9804154010863</v>
      </c>
      <c r="E66" s="1633">
        <v>414.60592199798799</v>
      </c>
      <c r="F66" s="1633">
        <v>7425.8777939547344</v>
      </c>
      <c r="G66" s="1633">
        <v>41552.075789902294</v>
      </c>
      <c r="H66" s="1633">
        <v>482059.14508923364</v>
      </c>
      <c r="I66" s="1633">
        <v>442.56335449916838</v>
      </c>
      <c r="J66" s="1633">
        <v>277.97420193540688</v>
      </c>
      <c r="K66" s="1612"/>
      <c r="L66" s="1612"/>
      <c r="M66" s="1612"/>
      <c r="N66" s="1612"/>
      <c r="O66" s="1612"/>
      <c r="P66" s="1612"/>
      <c r="Q66" s="1612"/>
      <c r="R66" s="1612"/>
      <c r="S66" s="1612"/>
      <c r="T66" s="1612"/>
    </row>
    <row r="67" spans="1:20" ht="14.25" customHeight="1">
      <c r="A67" s="1608">
        <v>67</v>
      </c>
      <c r="B67" s="1612"/>
      <c r="C67" s="1633"/>
      <c r="D67" s="1633"/>
      <c r="E67" s="1633"/>
      <c r="F67" s="1633"/>
      <c r="G67" s="1633"/>
      <c r="H67" s="1633"/>
      <c r="I67" s="1633"/>
      <c r="J67" s="1633"/>
      <c r="K67" s="1612"/>
      <c r="L67" s="1612"/>
      <c r="M67" s="1612"/>
      <c r="N67" s="1612"/>
      <c r="O67" s="1612"/>
      <c r="P67" s="1612"/>
      <c r="Q67" s="1612"/>
      <c r="R67" s="1612"/>
      <c r="S67" s="1612"/>
      <c r="T67" s="1612"/>
    </row>
    <row r="68" spans="1:20" ht="14.25" customHeight="1">
      <c r="A68" s="1608">
        <v>68</v>
      </c>
      <c r="B68" s="1616" t="s">
        <v>988</v>
      </c>
      <c r="C68" s="1617">
        <v>1</v>
      </c>
      <c r="D68" s="1617">
        <v>0.52064702737853763</v>
      </c>
      <c r="E68" s="1617">
        <v>0.1217336674147346</v>
      </c>
      <c r="F68" s="1617">
        <v>0.19043680660635254</v>
      </c>
      <c r="G68" s="1617">
        <v>6.4104755205648623E-2</v>
      </c>
      <c r="H68" s="1617">
        <v>4.21624672766047E-2</v>
      </c>
      <c r="I68" s="1617">
        <v>5.5616078726940146E-2</v>
      </c>
      <c r="J68" s="1617">
        <v>5.2991973911814087E-3</v>
      </c>
      <c r="K68" s="1612"/>
      <c r="L68" s="1612"/>
      <c r="M68" s="1612"/>
      <c r="N68" s="1612"/>
      <c r="O68" s="1612"/>
      <c r="P68" s="1612"/>
      <c r="Q68" s="1612"/>
      <c r="R68" s="1612"/>
      <c r="S68" s="1612"/>
      <c r="T68" s="1612"/>
    </row>
    <row r="69" spans="1:20" ht="14.25" customHeight="1">
      <c r="A69" s="1608">
        <v>69</v>
      </c>
      <c r="B69" s="1612" t="s">
        <v>978</v>
      </c>
      <c r="C69" s="1613">
        <v>7690164.1373757422</v>
      </c>
      <c r="D69" s="1613">
        <v>4003861.0981777166</v>
      </c>
      <c r="E69" s="1613">
        <v>936151.883464018</v>
      </c>
      <c r="F69" s="1613">
        <v>1464490.3006005322</v>
      </c>
      <c r="G69" s="1613">
        <v>492976.08951773</v>
      </c>
      <c r="H69" s="1613">
        <v>324236.29379382374</v>
      </c>
      <c r="I69" s="1613">
        <v>427696.77408738103</v>
      </c>
      <c r="J69" s="1613">
        <v>40751.697734538364</v>
      </c>
      <c r="K69" s="1612"/>
      <c r="L69" s="1612"/>
      <c r="M69" s="1612"/>
      <c r="N69" s="1612"/>
      <c r="O69" s="1612"/>
      <c r="P69" s="1612"/>
      <c r="Q69" s="1612"/>
      <c r="R69" s="1612"/>
      <c r="S69" s="1612"/>
      <c r="T69" s="1612"/>
    </row>
    <row r="70" spans="1:20" ht="14.25" customHeight="1">
      <c r="A70" s="1608">
        <v>70</v>
      </c>
      <c r="B70" s="1612" t="s">
        <v>973</v>
      </c>
      <c r="C70" s="1633">
        <v>0.38639190761031744</v>
      </c>
      <c r="D70" s="1633">
        <v>0.30540449577159978</v>
      </c>
      <c r="E70" s="1633">
        <v>0.37213994361238029</v>
      </c>
      <c r="F70" s="1633">
        <v>0.62569244249910905</v>
      </c>
      <c r="G70" s="1633">
        <v>0.57937633429617874</v>
      </c>
      <c r="H70" s="1633">
        <v>0.47390495745830591</v>
      </c>
      <c r="I70" s="1633">
        <v>1.1715562814433265</v>
      </c>
      <c r="J70" s="1633">
        <v>1.1267335140051526</v>
      </c>
      <c r="K70" s="1612"/>
      <c r="L70" s="1612"/>
      <c r="M70" s="1612"/>
      <c r="N70" s="1612"/>
      <c r="O70" s="1612"/>
      <c r="P70" s="1612"/>
      <c r="Q70" s="1612"/>
      <c r="R70" s="1612"/>
      <c r="S70" s="1612"/>
      <c r="T70" s="1612"/>
    </row>
    <row r="71" spans="1:20" ht="14.25" customHeight="1">
      <c r="A71" s="1608">
        <v>71</v>
      </c>
      <c r="B71" s="1612" t="s">
        <v>979</v>
      </c>
      <c r="C71" s="1618">
        <v>1.9186237308680611E-3</v>
      </c>
      <c r="D71" s="1618">
        <v>2.5456334959850667E-3</v>
      </c>
      <c r="E71" s="1618">
        <v>1.723396901119752E-3</v>
      </c>
      <c r="F71" s="1618">
        <v>1.6348897046094004E-3</v>
      </c>
      <c r="G71" s="1618">
        <v>1.2741613470139323E-3</v>
      </c>
      <c r="H71" s="1618">
        <v>7.2377140346145956E-4</v>
      </c>
      <c r="I71" s="1618">
        <v>2.8794659786231533E-3</v>
      </c>
      <c r="J71" s="1618">
        <v>3.1492971861014408E-3</v>
      </c>
      <c r="K71" s="1612"/>
      <c r="L71" s="1612"/>
      <c r="M71" s="1612"/>
      <c r="N71" s="1612"/>
      <c r="O71" s="1612"/>
      <c r="P71" s="1612"/>
      <c r="Q71" s="1612"/>
      <c r="R71" s="1612"/>
      <c r="S71" s="1612"/>
      <c r="T71" s="1612"/>
    </row>
    <row r="72" spans="1:20" ht="14.25" customHeight="1">
      <c r="A72" s="1608">
        <v>72</v>
      </c>
      <c r="B72" s="1612" t="s">
        <v>980</v>
      </c>
      <c r="C72" s="1633">
        <v>57.91770275604545</v>
      </c>
      <c r="D72" s="1633">
        <v>38.264993170358373</v>
      </c>
      <c r="E72" s="1633">
        <v>49.825808067451895</v>
      </c>
      <c r="F72" s="1633">
        <v>1389.573015442943</v>
      </c>
      <c r="G72" s="1633">
        <v>8079.9027957874723</v>
      </c>
      <c r="H72" s="1633">
        <v>324236.29379382374</v>
      </c>
      <c r="I72" s="1633">
        <v>81.512165083211471</v>
      </c>
      <c r="J72" s="1633">
        <v>13.625254415191488</v>
      </c>
      <c r="K72" s="1612"/>
      <c r="L72" s="1612"/>
      <c r="M72" s="1612"/>
      <c r="N72" s="1612"/>
      <c r="O72" s="1612"/>
      <c r="P72" s="1612"/>
      <c r="Q72" s="1612"/>
      <c r="R72" s="1612"/>
      <c r="S72" s="1612"/>
      <c r="T72" s="1612"/>
    </row>
    <row r="73" spans="1:20" ht="14.25" customHeight="1">
      <c r="A73" s="1608">
        <v>73</v>
      </c>
      <c r="B73" s="1612"/>
      <c r="C73" s="1613"/>
      <c r="D73" s="1613"/>
      <c r="E73" s="1613"/>
      <c r="F73" s="1613"/>
      <c r="G73" s="1613"/>
      <c r="H73" s="1613"/>
      <c r="I73" s="1613"/>
      <c r="J73" s="1613"/>
      <c r="K73" s="1612"/>
      <c r="L73" s="1612"/>
      <c r="M73" s="1612"/>
      <c r="N73" s="1612"/>
      <c r="O73" s="1612"/>
      <c r="P73" s="1612"/>
      <c r="Q73" s="1612"/>
      <c r="R73" s="1612"/>
      <c r="S73" s="1612"/>
      <c r="T73" s="1612"/>
    </row>
    <row r="74" spans="1:20" ht="14.25" customHeight="1">
      <c r="A74" s="1608">
        <v>74</v>
      </c>
      <c r="B74" s="1616" t="s">
        <v>989</v>
      </c>
      <c r="C74" s="1617">
        <v>1</v>
      </c>
      <c r="D74" s="1617">
        <v>0.59093246132966992</v>
      </c>
      <c r="E74" s="1617">
        <v>0.13841936346060185</v>
      </c>
      <c r="F74" s="1617">
        <v>0.14941184782069089</v>
      </c>
      <c r="G74" s="1617">
        <v>5.0051243736133767E-2</v>
      </c>
      <c r="H74" s="1617">
        <v>3.8121275164285265E-3</v>
      </c>
      <c r="I74" s="1617">
        <v>4.2858115397839069E-2</v>
      </c>
      <c r="J74" s="1617">
        <v>2.4514840738635735E-2</v>
      </c>
      <c r="K74" s="1612"/>
      <c r="L74" s="1612"/>
      <c r="M74" s="1612"/>
      <c r="N74" s="1612"/>
      <c r="O74" s="1612"/>
      <c r="P74" s="1612"/>
      <c r="Q74" s="1612"/>
      <c r="R74" s="1612"/>
      <c r="S74" s="1612"/>
      <c r="T74" s="1612"/>
    </row>
    <row r="75" spans="1:20" ht="14.25" customHeight="1">
      <c r="A75" s="1608">
        <v>75</v>
      </c>
      <c r="B75" s="1612" t="s">
        <v>978</v>
      </c>
      <c r="C75" s="1613">
        <v>28743517.414183822</v>
      </c>
      <c r="D75" s="1613">
        <v>16985477.492835876</v>
      </c>
      <c r="E75" s="1613">
        <v>3978659.3840900492</v>
      </c>
      <c r="F75" s="1613">
        <v>4294622.0497194119</v>
      </c>
      <c r="G75" s="1613">
        <v>1438648.7959311199</v>
      </c>
      <c r="H75" s="1613">
        <v>109573.95365355267</v>
      </c>
      <c r="I75" s="1613">
        <v>1231892.9862768871</v>
      </c>
      <c r="J75" s="1613">
        <v>704642.75167691929</v>
      </c>
      <c r="K75" s="1612"/>
      <c r="L75" s="1612"/>
      <c r="M75" s="1612"/>
      <c r="N75" s="1612"/>
      <c r="O75" s="1612"/>
      <c r="P75" s="1612"/>
      <c r="Q75" s="1612"/>
      <c r="R75" s="1612"/>
      <c r="S75" s="1612"/>
      <c r="T75" s="1612"/>
    </row>
    <row r="76" spans="1:20" ht="14.25" customHeight="1">
      <c r="A76" s="1608">
        <v>76</v>
      </c>
      <c r="B76" s="1612" t="s">
        <v>973</v>
      </c>
      <c r="C76" s="1633">
        <v>1.4442165767461581</v>
      </c>
      <c r="D76" s="1633">
        <v>1.2956096782429254</v>
      </c>
      <c r="E76" s="1633">
        <v>1.5816002776915288</v>
      </c>
      <c r="F76" s="1633">
        <v>1.8348449005074228</v>
      </c>
      <c r="G76" s="1633">
        <v>1.6907900473258264</v>
      </c>
      <c r="H76" s="1633">
        <v>0.16015369296610932</v>
      </c>
      <c r="I76" s="1633">
        <v>3.374427990994862</v>
      </c>
      <c r="J76" s="1633">
        <v>19.482491475252136</v>
      </c>
      <c r="K76" s="1612"/>
      <c r="L76" s="1612"/>
      <c r="M76" s="1612"/>
      <c r="N76" s="1612"/>
      <c r="O76" s="1612"/>
      <c r="P76" s="1612"/>
      <c r="Q76" s="1612"/>
      <c r="R76" s="1612"/>
      <c r="S76" s="1612"/>
      <c r="T76" s="1612"/>
    </row>
    <row r="77" spans="1:20" ht="14.25" customHeight="1">
      <c r="A77" s="1608">
        <v>77</v>
      </c>
      <c r="B77" s="1612" t="s">
        <v>979</v>
      </c>
      <c r="C77" s="1618">
        <v>7.1712376529705158E-3</v>
      </c>
      <c r="D77" s="1618">
        <v>1.0799275846692782E-2</v>
      </c>
      <c r="E77" s="1618">
        <v>7.3244623808048567E-3</v>
      </c>
      <c r="F77" s="1618">
        <v>4.7943187956899702E-3</v>
      </c>
      <c r="G77" s="1618">
        <v>3.7183764622272636E-3</v>
      </c>
      <c r="H77" s="1618">
        <v>2.4459474690727366E-4</v>
      </c>
      <c r="I77" s="1618">
        <v>8.2937121769453958E-3</v>
      </c>
      <c r="J77" s="1618">
        <v>5.4454895340031818E-2</v>
      </c>
      <c r="K77" s="1612"/>
      <c r="L77" s="1612"/>
      <c r="M77" s="1612"/>
      <c r="N77" s="1612"/>
      <c r="O77" s="1612"/>
      <c r="P77" s="1612"/>
      <c r="Q77" s="1612"/>
      <c r="R77" s="1612"/>
      <c r="S77" s="1612"/>
      <c r="T77" s="1612"/>
    </row>
    <row r="78" spans="1:20" ht="14.25" customHeight="1">
      <c r="A78" s="1608">
        <v>78</v>
      </c>
      <c r="B78" s="1612" t="s">
        <v>980</v>
      </c>
      <c r="C78" s="1633">
        <v>216.47892919045174</v>
      </c>
      <c r="D78" s="1633">
        <v>162.33060146728192</v>
      </c>
      <c r="E78" s="1633">
        <v>211.76042300304439</v>
      </c>
      <c r="F78" s="1633">
        <v>4074.9268939297385</v>
      </c>
      <c r="G78" s="1633">
        <v>23579.525813862158</v>
      </c>
      <c r="H78" s="1633">
        <v>109573.95365355267</v>
      </c>
      <c r="I78" s="1633">
        <v>234.77910179826782</v>
      </c>
      <c r="J78" s="1633">
        <v>235.59599469843741</v>
      </c>
      <c r="K78" s="1612"/>
      <c r="L78" s="1612"/>
      <c r="M78" s="1612"/>
      <c r="N78" s="1612"/>
      <c r="O78" s="1612"/>
      <c r="P78" s="1612"/>
      <c r="Q78" s="1612"/>
      <c r="R78" s="1612"/>
      <c r="S78" s="1612"/>
      <c r="T78" s="1612"/>
    </row>
    <row r="79" spans="1:20" ht="14.25" customHeight="1">
      <c r="A79" s="1608">
        <v>79</v>
      </c>
      <c r="B79" s="1612"/>
      <c r="C79" s="1613"/>
      <c r="D79" s="1613"/>
      <c r="E79" s="1613"/>
      <c r="F79" s="1613"/>
      <c r="G79" s="1613"/>
      <c r="H79" s="1613"/>
      <c r="I79" s="1613"/>
      <c r="J79" s="1613"/>
      <c r="K79" s="1612"/>
      <c r="L79" s="1612"/>
      <c r="M79" s="1612"/>
      <c r="N79" s="1612"/>
      <c r="O79" s="1612"/>
      <c r="P79" s="1612"/>
      <c r="Q79" s="1612"/>
      <c r="R79" s="1612"/>
      <c r="S79" s="1612"/>
      <c r="T79" s="1612"/>
    </row>
    <row r="80" spans="1:20" ht="14.25" customHeight="1">
      <c r="A80" s="1608">
        <v>80</v>
      </c>
      <c r="B80" s="1616" t="s">
        <v>990</v>
      </c>
      <c r="C80" s="1617">
        <v>1</v>
      </c>
      <c r="D80" s="1617">
        <v>0.61544066126107755</v>
      </c>
      <c r="E80" s="1617">
        <v>0.1376522574413607</v>
      </c>
      <c r="F80" s="1617">
        <v>0.14626271332131602</v>
      </c>
      <c r="G80" s="1617">
        <v>4.4713310507751874E-2</v>
      </c>
      <c r="H80" s="1617">
        <v>1.5475828940462776E-3</v>
      </c>
      <c r="I80" s="1617">
        <v>4.9416727989069986E-2</v>
      </c>
      <c r="J80" s="1617">
        <v>4.966746585377782E-3</v>
      </c>
      <c r="K80" s="1612"/>
      <c r="L80" s="1612"/>
      <c r="M80" s="1612"/>
      <c r="N80" s="1612"/>
      <c r="O80" s="1612"/>
      <c r="P80" s="1612"/>
      <c r="Q80" s="1612"/>
      <c r="R80" s="1612"/>
      <c r="S80" s="1612"/>
      <c r="T80" s="1612"/>
    </row>
    <row r="81" spans="1:20" ht="14.25" customHeight="1">
      <c r="A81" s="1608">
        <v>81</v>
      </c>
      <c r="B81" s="1612" t="s">
        <v>978</v>
      </c>
      <c r="C81" s="1613">
        <v>10012655.830731826</v>
      </c>
      <c r="D81" s="1613">
        <v>6162195.5254451782</v>
      </c>
      <c r="E81" s="1613">
        <v>1378264.6780836387</v>
      </c>
      <c r="F81" s="1613">
        <v>1464478.2093553324</v>
      </c>
      <c r="G81" s="1613">
        <v>447698.98916676443</v>
      </c>
      <c r="H81" s="1613">
        <v>15495.414887613295</v>
      </c>
      <c r="I81" s="1613">
        <v>494792.6896354502</v>
      </c>
      <c r="J81" s="1613">
        <v>49730.324157850235</v>
      </c>
      <c r="K81" s="1612"/>
      <c r="L81" s="1612"/>
      <c r="M81" s="1612"/>
      <c r="N81" s="1612"/>
      <c r="O81" s="1612"/>
      <c r="P81" s="1612"/>
      <c r="Q81" s="1612"/>
      <c r="R81" s="1612"/>
      <c r="S81" s="1612"/>
      <c r="T81" s="1612"/>
    </row>
    <row r="82" spans="1:20" ht="14.25" customHeight="1">
      <c r="A82" s="1608">
        <v>82</v>
      </c>
      <c r="B82" s="1612" t="s">
        <v>973</v>
      </c>
      <c r="C82" s="1633">
        <v>0.50308538511926537</v>
      </c>
      <c r="D82" s="1633">
        <v>0.47003683972731558</v>
      </c>
      <c r="E82" s="1633">
        <v>0.547889021690672</v>
      </c>
      <c r="F82" s="1633">
        <v>0.62568727660573387</v>
      </c>
      <c r="G82" s="1633">
        <v>0.52616385404269328</v>
      </c>
      <c r="H82" s="1633">
        <v>2.2648155291901687E-2</v>
      </c>
      <c r="I82" s="1633">
        <v>1.3553468687987307</v>
      </c>
      <c r="J82" s="1633">
        <v>1.3749813138091749</v>
      </c>
      <c r="K82" s="1612"/>
      <c r="L82" s="1612"/>
      <c r="M82" s="1612"/>
      <c r="N82" s="1612"/>
      <c r="O82" s="1612"/>
      <c r="P82" s="1612"/>
      <c r="Q82" s="1612"/>
      <c r="R82" s="1612"/>
      <c r="S82" s="1612"/>
      <c r="T82" s="1612"/>
    </row>
    <row r="83" spans="1:20" ht="14.25" customHeight="1">
      <c r="A83" s="1608">
        <v>83</v>
      </c>
      <c r="B83" s="1612" t="s">
        <v>979</v>
      </c>
      <c r="C83" s="1618">
        <v>2.4980635969120038E-3</v>
      </c>
      <c r="D83" s="1618">
        <v>3.9178909941511341E-3</v>
      </c>
      <c r="E83" s="1618">
        <v>2.5372988262790295E-3</v>
      </c>
      <c r="F83" s="1618">
        <v>1.6348762064986343E-3</v>
      </c>
      <c r="G83" s="1618">
        <v>1.1571367439981782E-3</v>
      </c>
      <c r="H83" s="1618">
        <v>3.4589397902373577E-5</v>
      </c>
      <c r="I83" s="1618">
        <v>3.3311888295553082E-3</v>
      </c>
      <c r="J83" s="1618">
        <v>3.8431667547802204E-3</v>
      </c>
      <c r="K83" s="1612"/>
      <c r="L83" s="1612"/>
      <c r="M83" s="1612"/>
      <c r="N83" s="1612"/>
      <c r="O83" s="1612"/>
      <c r="P83" s="1612"/>
      <c r="Q83" s="1612"/>
      <c r="R83" s="1612"/>
      <c r="S83" s="1612"/>
      <c r="T83" s="1612"/>
    </row>
    <row r="84" spans="1:20" ht="14.25" customHeight="1">
      <c r="A84" s="1608">
        <v>84</v>
      </c>
      <c r="B84" s="1612" t="s">
        <v>980</v>
      </c>
      <c r="C84" s="1633">
        <v>75.409316868079841</v>
      </c>
      <c r="D84" s="1633">
        <v>58.892245238699971</v>
      </c>
      <c r="E84" s="1633">
        <v>73.356847889077912</v>
      </c>
      <c r="F84" s="1633">
        <v>1389.561542735991</v>
      </c>
      <c r="G84" s="1633">
        <v>7337.8088535258785</v>
      </c>
      <c r="H84" s="1633">
        <v>15495.414887613295</v>
      </c>
      <c r="I84" s="1633">
        <v>94.299573536860578</v>
      </c>
      <c r="J84" s="1633">
        <v>16.62724147628272</v>
      </c>
      <c r="K84" s="1612"/>
      <c r="L84" s="1612"/>
      <c r="M84" s="1612"/>
      <c r="N84" s="1612"/>
      <c r="O84" s="1612"/>
      <c r="P84" s="1612"/>
      <c r="Q84" s="1612"/>
      <c r="R84" s="1612"/>
      <c r="S84" s="1612"/>
      <c r="T84" s="1612"/>
    </row>
    <row r="85" spans="1:20" ht="14.25" customHeight="1">
      <c r="A85" s="1608">
        <v>85</v>
      </c>
      <c r="B85" s="1612"/>
      <c r="C85" s="1613"/>
      <c r="D85" s="1613"/>
      <c r="E85" s="1613"/>
      <c r="F85" s="1613"/>
      <c r="G85" s="1613"/>
      <c r="H85" s="1613"/>
      <c r="I85" s="1613"/>
      <c r="J85" s="1613"/>
      <c r="K85" s="1612"/>
      <c r="L85" s="1612"/>
      <c r="M85" s="1612"/>
      <c r="N85" s="1612"/>
      <c r="O85" s="1612"/>
      <c r="P85" s="1612"/>
      <c r="Q85" s="1612"/>
      <c r="R85" s="1612"/>
      <c r="S85" s="1612"/>
      <c r="T85" s="1612"/>
    </row>
    <row r="86" spans="1:20" ht="14.25" customHeight="1">
      <c r="A86" s="1608">
        <v>86</v>
      </c>
      <c r="B86" s="1616" t="s">
        <v>991</v>
      </c>
      <c r="C86" s="1617">
        <v>1</v>
      </c>
      <c r="D86" s="1617">
        <v>0.66543902197424976</v>
      </c>
      <c r="E86" s="1617">
        <v>0.16666227826330057</v>
      </c>
      <c r="F86" s="1617">
        <v>8.1488589997063973E-2</v>
      </c>
      <c r="G86" s="1617">
        <v>1.5544531111511876E-2</v>
      </c>
      <c r="H86" s="1617">
        <v>9.2107918035070381E-3</v>
      </c>
      <c r="I86" s="1617">
        <v>5.4976550636545878E-2</v>
      </c>
      <c r="J86" s="1617">
        <v>6.6782362138204472E-3</v>
      </c>
      <c r="K86" s="1612"/>
      <c r="L86" s="1612"/>
      <c r="M86" s="1612"/>
      <c r="N86" s="1612"/>
      <c r="O86" s="1612"/>
      <c r="P86" s="1612"/>
      <c r="Q86" s="1612"/>
      <c r="R86" s="1612"/>
      <c r="S86" s="1612"/>
      <c r="T86" s="1612"/>
    </row>
    <row r="87" spans="1:20" ht="14.25" customHeight="1">
      <c r="A87" s="1608">
        <v>87</v>
      </c>
      <c r="B87" s="1612" t="s">
        <v>978</v>
      </c>
      <c r="C87" s="1613">
        <v>2575738.1686996031</v>
      </c>
      <c r="D87" s="1613">
        <v>1713996.6878412089</v>
      </c>
      <c r="E87" s="1613">
        <v>429278.39140521747</v>
      </c>
      <c r="F87" s="1613">
        <v>209893.27156895035</v>
      </c>
      <c r="G87" s="1613">
        <v>40038.642098459604</v>
      </c>
      <c r="H87" s="1613">
        <v>23724.588012238532</v>
      </c>
      <c r="I87" s="1613">
        <v>141605.19985799768</v>
      </c>
      <c r="J87" s="1613">
        <v>17201.387915529249</v>
      </c>
      <c r="K87" s="1612"/>
      <c r="L87" s="1612"/>
      <c r="M87" s="1612"/>
      <c r="N87" s="1612"/>
      <c r="O87" s="1612"/>
      <c r="P87" s="1612"/>
      <c r="Q87" s="1612"/>
      <c r="R87" s="1612"/>
      <c r="S87" s="1612"/>
      <c r="T87" s="1612"/>
    </row>
    <row r="88" spans="1:20" ht="14.25" customHeight="1">
      <c r="A88" s="1608">
        <v>88</v>
      </c>
      <c r="B88" s="1612" t="s">
        <v>973</v>
      </c>
      <c r="C88" s="1633">
        <v>0.12941783383679131</v>
      </c>
      <c r="D88" s="1633">
        <v>0.13073937416125167</v>
      </c>
      <c r="E88" s="1633">
        <v>0.17064713450175009</v>
      </c>
      <c r="F88" s="1633">
        <v>8.9675318230685752E-2</v>
      </c>
      <c r="G88" s="1633">
        <v>4.7055916468273021E-2</v>
      </c>
      <c r="H88" s="1633">
        <v>3.4675944944661537E-2</v>
      </c>
      <c r="I88" s="1633">
        <v>0.38788803523867765</v>
      </c>
      <c r="J88" s="1633">
        <v>0.4755968788854581</v>
      </c>
      <c r="K88" s="1612"/>
      <c r="L88" s="1612"/>
      <c r="M88" s="1612"/>
      <c r="N88" s="1612"/>
      <c r="O88" s="1612"/>
      <c r="P88" s="1612"/>
      <c r="Q88" s="1612"/>
      <c r="R88" s="1612"/>
      <c r="S88" s="1612"/>
      <c r="T88" s="1612"/>
    </row>
    <row r="89" spans="1:20" ht="14.25" customHeight="1">
      <c r="A89" s="1608">
        <v>89</v>
      </c>
      <c r="B89" s="1612" t="s">
        <v>979</v>
      </c>
      <c r="C89" s="1618">
        <v>6.4262248330321161E-4</v>
      </c>
      <c r="D89" s="1618">
        <v>1.0897499372697706E-3</v>
      </c>
      <c r="E89" s="1618">
        <v>7.9027459382755114E-4</v>
      </c>
      <c r="F89" s="1618">
        <v>2.3431520756002827E-4</v>
      </c>
      <c r="G89" s="1618">
        <v>1.0348512074630192E-4</v>
      </c>
      <c r="H89" s="1618">
        <v>5.2958841100872121E-5</v>
      </c>
      <c r="I89" s="1618">
        <v>9.5335616280316227E-4</v>
      </c>
      <c r="J89" s="1618">
        <v>1.3293257844691673E-3</v>
      </c>
      <c r="K89" s="1612"/>
      <c r="L89" s="1612"/>
      <c r="M89" s="1612"/>
      <c r="N89" s="1612"/>
      <c r="O89" s="1612"/>
      <c r="P89" s="1612"/>
      <c r="Q89" s="1612"/>
      <c r="R89" s="1612"/>
      <c r="S89" s="1612"/>
      <c r="T89" s="1612"/>
    </row>
    <row r="90" spans="1:20" ht="14.25" customHeight="1">
      <c r="A90" s="1608">
        <v>90</v>
      </c>
      <c r="B90" s="1612" t="s">
        <v>980</v>
      </c>
      <c r="C90" s="1633">
        <v>19.398914635267097</v>
      </c>
      <c r="D90" s="1633">
        <v>16.380706010033919</v>
      </c>
      <c r="E90" s="1633">
        <v>22.847940719314884</v>
      </c>
      <c r="F90" s="1633">
        <v>199.1559972610616</v>
      </c>
      <c r="G90" s="1633">
        <v>656.23534915731989</v>
      </c>
      <c r="H90" s="1633">
        <v>23724.588012238532</v>
      </c>
      <c r="I90" s="1633">
        <v>26.987686432977512</v>
      </c>
      <c r="J90" s="1633">
        <v>5.7512520869737305</v>
      </c>
      <c r="K90" s="1612"/>
      <c r="L90" s="1612"/>
      <c r="M90" s="1612"/>
      <c r="N90" s="1612"/>
      <c r="O90" s="1612"/>
      <c r="P90" s="1612"/>
      <c r="Q90" s="1612"/>
      <c r="R90" s="1612"/>
      <c r="S90" s="1612"/>
      <c r="T90" s="1612"/>
    </row>
    <row r="91" spans="1:20" ht="14.25" customHeight="1">
      <c r="A91" s="1608">
        <v>91</v>
      </c>
      <c r="B91" s="1612"/>
      <c r="C91" s="1613"/>
      <c r="D91" s="1613"/>
      <c r="E91" s="1613"/>
      <c r="F91" s="1613"/>
      <c r="G91" s="1613"/>
      <c r="H91" s="1613"/>
      <c r="I91" s="1613"/>
      <c r="J91" s="1613"/>
      <c r="K91" s="1612"/>
      <c r="L91" s="1612"/>
      <c r="M91" s="1612"/>
      <c r="N91" s="1612"/>
      <c r="O91" s="1612"/>
      <c r="P91" s="1612"/>
      <c r="Q91" s="1612"/>
      <c r="R91" s="1612"/>
      <c r="S91" s="1612"/>
      <c r="T91" s="1612"/>
    </row>
    <row r="92" spans="1:20" ht="14.25" customHeight="1">
      <c r="A92" s="1608">
        <v>92</v>
      </c>
      <c r="B92" s="1616" t="s">
        <v>992</v>
      </c>
      <c r="C92" s="1617">
        <v>1</v>
      </c>
      <c r="D92" s="1617">
        <v>0.70981407155725218</v>
      </c>
      <c r="E92" s="1617">
        <v>0.19000333258944513</v>
      </c>
      <c r="F92" s="1617">
        <v>6.990774581246352E-2</v>
      </c>
      <c r="G92" s="1617">
        <v>2.0618680378930842E-2</v>
      </c>
      <c r="H92" s="1617">
        <v>1.6070951094199351E-3</v>
      </c>
      <c r="I92" s="1617">
        <v>4.6555466441273894E-3</v>
      </c>
      <c r="J92" s="1617">
        <v>3.3935279083610877E-3</v>
      </c>
      <c r="K92" s="1612"/>
      <c r="L92" s="1612"/>
      <c r="M92" s="1612"/>
      <c r="N92" s="1612"/>
      <c r="O92" s="1612"/>
      <c r="P92" s="1612"/>
      <c r="Q92" s="1612"/>
      <c r="R92" s="1612"/>
      <c r="S92" s="1612"/>
      <c r="T92" s="1612"/>
    </row>
    <row r="93" spans="1:20" ht="14.25" customHeight="1">
      <c r="A93" s="1608">
        <v>93</v>
      </c>
      <c r="B93" s="1612" t="s">
        <v>978</v>
      </c>
      <c r="C93" s="1613">
        <v>5618145.8639770625</v>
      </c>
      <c r="D93" s="1613">
        <v>3987838.9903120948</v>
      </c>
      <c r="E93" s="1613">
        <v>1067466.4371292493</v>
      </c>
      <c r="F93" s="1613">
        <v>392751.91299625172</v>
      </c>
      <c r="G93" s="1613">
        <v>115838.75389155532</v>
      </c>
      <c r="H93" s="1613">
        <v>9028.8947420053737</v>
      </c>
      <c r="I93" s="1613">
        <v>26155.540123256586</v>
      </c>
      <c r="J93" s="1613">
        <v>19065.334782649577</v>
      </c>
      <c r="K93" s="1612"/>
      <c r="L93" s="1612"/>
      <c r="M93" s="1612"/>
      <c r="N93" s="1612"/>
      <c r="O93" s="1612"/>
      <c r="P93" s="1612"/>
      <c r="Q93" s="1612"/>
      <c r="R93" s="1612"/>
      <c r="S93" s="1612"/>
      <c r="T93" s="1612"/>
    </row>
    <row r="94" spans="1:20" ht="14.25" customHeight="1">
      <c r="A94" s="1608">
        <v>94</v>
      </c>
      <c r="B94" s="1612" t="s">
        <v>973</v>
      </c>
      <c r="C94" s="1633">
        <v>0.28228345440178043</v>
      </c>
      <c r="D94" s="1633">
        <v>0.30418236951549027</v>
      </c>
      <c r="E94" s="1633">
        <v>0.42434022378021091</v>
      </c>
      <c r="F94" s="1633">
        <v>0.16780029450386447</v>
      </c>
      <c r="G94" s="1633">
        <v>0.13614094887397729</v>
      </c>
      <c r="H94" s="1633">
        <v>1.3196665704939305E-2</v>
      </c>
      <c r="I94" s="1633">
        <v>7.1645822887791338E-2</v>
      </c>
      <c r="J94" s="1633">
        <v>0.52713268034310934</v>
      </c>
      <c r="K94" s="1612"/>
      <c r="L94" s="1612"/>
      <c r="M94" s="1612"/>
      <c r="N94" s="1612"/>
      <c r="O94" s="1612"/>
      <c r="P94" s="1612"/>
      <c r="Q94" s="1612"/>
      <c r="R94" s="1612"/>
      <c r="S94" s="1612"/>
      <c r="T94" s="1612"/>
    </row>
    <row r="95" spans="1:20" ht="14.25" customHeight="1">
      <c r="A95" s="1608">
        <v>95</v>
      </c>
      <c r="B95" s="1612" t="s">
        <v>979</v>
      </c>
      <c r="C95" s="1618">
        <v>1.4016746308074244E-3</v>
      </c>
      <c r="D95" s="1618">
        <v>2.5354467254006486E-3</v>
      </c>
      <c r="E95" s="1618">
        <v>1.9651387582436037E-3</v>
      </c>
      <c r="F95" s="1618">
        <v>4.3845019578478287E-4</v>
      </c>
      <c r="G95" s="1618">
        <v>2.9940044929820304E-4</v>
      </c>
      <c r="H95" s="1618">
        <v>2.0154609290230859E-5</v>
      </c>
      <c r="I95" s="1618">
        <v>1.7609201775752248E-4</v>
      </c>
      <c r="J95" s="1618">
        <v>1.4733718721169349E-3</v>
      </c>
      <c r="K95" s="1612"/>
      <c r="L95" s="1612"/>
      <c r="M95" s="1612"/>
      <c r="N95" s="1612"/>
      <c r="O95" s="1612"/>
      <c r="P95" s="1612"/>
      <c r="Q95" s="1612"/>
      <c r="R95" s="1612"/>
      <c r="S95" s="1612"/>
      <c r="T95" s="1612"/>
    </row>
    <row r="96" spans="1:20" ht="14.25" customHeight="1">
      <c r="A96" s="1608">
        <v>96</v>
      </c>
      <c r="B96" s="1612" t="s">
        <v>980</v>
      </c>
      <c r="C96" s="1633">
        <v>42.312504177702586</v>
      </c>
      <c r="D96" s="1633">
        <v>38.111869514712126</v>
      </c>
      <c r="E96" s="1633">
        <v>56.814902319098948</v>
      </c>
      <c r="F96" s="1633">
        <v>372.66034458500087</v>
      </c>
      <c r="G96" s="1633">
        <v>1898.6029775694681</v>
      </c>
      <c r="H96" s="1633">
        <v>9028.8947420053737</v>
      </c>
      <c r="I96" s="1633">
        <v>4.984827647850981</v>
      </c>
      <c r="J96" s="1633">
        <v>6.3744592585215569</v>
      </c>
      <c r="K96" s="1612"/>
      <c r="L96" s="1612"/>
      <c r="M96" s="1612"/>
      <c r="N96" s="1612"/>
      <c r="O96" s="1612"/>
      <c r="P96" s="1612"/>
      <c r="Q96" s="1612"/>
      <c r="R96" s="1612"/>
      <c r="S96" s="1612"/>
      <c r="T96" s="1612"/>
    </row>
    <row r="97" spans="1:20" ht="14.25" customHeight="1">
      <c r="A97" s="1608">
        <v>97</v>
      </c>
      <c r="B97" s="1612"/>
      <c r="C97" s="1633"/>
      <c r="D97" s="1633"/>
      <c r="E97" s="1633"/>
      <c r="F97" s="1633"/>
      <c r="G97" s="1633"/>
      <c r="H97" s="1633"/>
      <c r="I97" s="1633"/>
      <c r="J97" s="1633"/>
      <c r="K97" s="1612"/>
      <c r="L97" s="1612"/>
      <c r="M97" s="1612"/>
      <c r="N97" s="1612"/>
      <c r="O97" s="1612"/>
      <c r="P97" s="1612"/>
      <c r="Q97" s="1612"/>
      <c r="R97" s="1612"/>
      <c r="S97" s="1612"/>
      <c r="T97" s="1612"/>
    </row>
    <row r="98" spans="1:20" ht="14.25" customHeight="1">
      <c r="A98" s="1608">
        <v>98</v>
      </c>
      <c r="B98" s="1616" t="s">
        <v>993</v>
      </c>
      <c r="C98" s="1617">
        <v>1</v>
      </c>
      <c r="D98" s="1617">
        <v>0.84579778092731894</v>
      </c>
      <c r="E98" s="1617">
        <v>0.1137938244938881</v>
      </c>
      <c r="F98" s="1617">
        <v>-1.6668954611826094E-5</v>
      </c>
      <c r="G98" s="1617">
        <v>4.2949507593900956E-3</v>
      </c>
      <c r="H98" s="1617">
        <v>2.176031866609026E-3</v>
      </c>
      <c r="I98" s="1617">
        <v>1.9527846700123103E-2</v>
      </c>
      <c r="J98" s="1617">
        <v>1.4426234207282592E-2</v>
      </c>
      <c r="K98" s="1612"/>
      <c r="L98" s="1612"/>
      <c r="M98" s="1612"/>
      <c r="N98" s="1612"/>
      <c r="O98" s="1612"/>
      <c r="P98" s="1612"/>
      <c r="Q98" s="1612"/>
      <c r="R98" s="1612"/>
      <c r="S98" s="1612"/>
      <c r="T98" s="1612"/>
    </row>
    <row r="99" spans="1:20" ht="14.25" customHeight="1">
      <c r="A99" s="1608">
        <v>99</v>
      </c>
      <c r="B99" s="1612" t="s">
        <v>978</v>
      </c>
      <c r="C99" s="1613">
        <v>6798118.281724032</v>
      </c>
      <c r="D99" s="1613">
        <v>5749833.3571636248</v>
      </c>
      <c r="E99" s="1613">
        <v>773583.87863919663</v>
      </c>
      <c r="F99" s="1613">
        <v>-113.31752508388308</v>
      </c>
      <c r="G99" s="1613">
        <v>29197.583276514324</v>
      </c>
      <c r="H99" s="1613">
        <v>14792.922014008889</v>
      </c>
      <c r="I99" s="1613">
        <v>132752.61165481119</v>
      </c>
      <c r="J99" s="1613">
        <v>98071.246500960391</v>
      </c>
      <c r="K99" s="1612"/>
      <c r="L99" s="1612"/>
      <c r="M99" s="1612"/>
      <c r="N99" s="1612"/>
      <c r="O99" s="1612"/>
      <c r="P99" s="1612"/>
      <c r="Q99" s="1612"/>
      <c r="R99" s="1612"/>
      <c r="S99" s="1612"/>
      <c r="T99" s="1612"/>
    </row>
    <row r="100" spans="1:20" ht="14.25" customHeight="1">
      <c r="A100" s="1608">
        <v>100</v>
      </c>
      <c r="B100" s="1612" t="s">
        <v>973</v>
      </c>
      <c r="C100" s="1633">
        <v>0.34157110877119629</v>
      </c>
      <c r="D100" s="1633">
        <v>0.43858288640794857</v>
      </c>
      <c r="E100" s="1633">
        <v>0.30751576326588903</v>
      </c>
      <c r="F100" s="1633">
        <v>-4.8414058473869485E-5</v>
      </c>
      <c r="G100" s="1633">
        <v>3.4314826071185911E-2</v>
      </c>
      <c r="H100" s="1633">
        <v>2.1621389128604885E-2</v>
      </c>
      <c r="I100" s="1633">
        <v>0.36363883359668608</v>
      </c>
      <c r="J100" s="1633">
        <v>2.7115474038089027</v>
      </c>
      <c r="K100" s="1612"/>
      <c r="L100" s="1612"/>
      <c r="M100" s="1612"/>
      <c r="N100" s="1612"/>
      <c r="O100" s="1612"/>
      <c r="P100" s="1612"/>
      <c r="Q100" s="1612"/>
      <c r="R100" s="1612"/>
      <c r="S100" s="1612"/>
      <c r="T100" s="1612"/>
    </row>
    <row r="101" spans="1:20" ht="14.25" customHeight="1">
      <c r="A101" s="1608">
        <v>101</v>
      </c>
      <c r="B101" s="1612" t="s">
        <v>979</v>
      </c>
      <c r="C101" s="1618">
        <v>1.6960666674423741E-3</v>
      </c>
      <c r="D101" s="1618">
        <v>3.6557133305622756E-3</v>
      </c>
      <c r="E101" s="1618">
        <v>1.4241194006573107E-3</v>
      </c>
      <c r="F101" s="1618">
        <v>-1.2650248010211411E-7</v>
      </c>
      <c r="G101" s="1618">
        <v>7.5464982639522033E-5</v>
      </c>
      <c r="H101" s="1618">
        <v>3.3021269155584838E-5</v>
      </c>
      <c r="I101" s="1618">
        <v>8.937561655662687E-4</v>
      </c>
      <c r="J101" s="1618">
        <v>7.578960333256753E-3</v>
      </c>
      <c r="K101" s="1612"/>
      <c r="L101" s="1612"/>
      <c r="M101" s="1612"/>
      <c r="N101" s="1612"/>
      <c r="O101" s="1612"/>
      <c r="P101" s="1612"/>
      <c r="Q101" s="1612"/>
      <c r="R101" s="1612"/>
      <c r="S101" s="1612"/>
      <c r="T101" s="1612"/>
    </row>
    <row r="102" spans="1:20" ht="14.25" customHeight="1">
      <c r="A102" s="1608">
        <v>102</v>
      </c>
      <c r="B102" s="1612" t="s">
        <v>980</v>
      </c>
      <c r="C102" s="1633">
        <v>51.199348532460746</v>
      </c>
      <c r="D102" s="1633">
        <v>54.951290453782647</v>
      </c>
      <c r="E102" s="1633">
        <v>41.173278120775272</v>
      </c>
      <c r="F102" s="1633">
        <v>-0.10752066774957343</v>
      </c>
      <c r="G102" s="1633">
        <v>478.5498521377292</v>
      </c>
      <c r="H102" s="1633">
        <v>14792.922014008889</v>
      </c>
      <c r="I102" s="1633">
        <v>25.300524698892509</v>
      </c>
      <c r="J102" s="1633">
        <v>32.789939037509903</v>
      </c>
      <c r="K102" s="1612"/>
      <c r="L102" s="1612"/>
      <c r="M102" s="1612"/>
      <c r="N102" s="1612"/>
      <c r="O102" s="1612"/>
      <c r="P102" s="1612"/>
      <c r="Q102" s="1612"/>
      <c r="R102" s="1612"/>
      <c r="S102" s="1612"/>
      <c r="T102" s="1612"/>
    </row>
    <row r="103" spans="1:20" ht="14.25" customHeight="1">
      <c r="A103" s="1608">
        <v>103</v>
      </c>
      <c r="B103" s="1612"/>
      <c r="C103" s="1633"/>
      <c r="D103" s="1633"/>
      <c r="E103" s="1633"/>
      <c r="F103" s="1633"/>
      <c r="G103" s="1633"/>
      <c r="H103" s="1633"/>
      <c r="I103" s="1633"/>
      <c r="J103" s="1633"/>
      <c r="K103" s="1612"/>
      <c r="L103" s="1612"/>
      <c r="M103" s="1612"/>
      <c r="N103" s="1612"/>
      <c r="O103" s="1612"/>
      <c r="P103" s="1612"/>
      <c r="Q103" s="1612"/>
      <c r="R103" s="1612"/>
      <c r="S103" s="1612"/>
      <c r="T103" s="1612"/>
    </row>
    <row r="104" spans="1:20" ht="14.25" customHeight="1">
      <c r="A104" s="1608">
        <v>104</v>
      </c>
      <c r="B104" s="1616" t="s">
        <v>994</v>
      </c>
      <c r="C104" s="1617">
        <v>1</v>
      </c>
      <c r="D104" s="1617">
        <v>0.42915936771476565</v>
      </c>
      <c r="E104" s="1617">
        <v>0.14228821895276567</v>
      </c>
      <c r="F104" s="1617">
        <v>0.21369666880560331</v>
      </c>
      <c r="G104" s="1617">
        <v>8.5367373771990274E-2</v>
      </c>
      <c r="H104" s="1617">
        <v>8.8511582096127084E-2</v>
      </c>
      <c r="I104" s="1617">
        <v>3.7520912437037222E-2</v>
      </c>
      <c r="J104" s="1617">
        <v>3.4558280430180177E-3</v>
      </c>
      <c r="K104" s="1612"/>
      <c r="L104" s="1612"/>
      <c r="M104" s="1612"/>
      <c r="N104" s="1612"/>
      <c r="O104" s="1612"/>
      <c r="P104" s="1612"/>
      <c r="Q104" s="1612"/>
      <c r="R104" s="1612"/>
      <c r="S104" s="1612"/>
      <c r="T104" s="1612"/>
    </row>
    <row r="105" spans="1:20" ht="14.25" customHeight="1">
      <c r="A105" s="1608">
        <v>105</v>
      </c>
      <c r="B105" s="1612" t="s">
        <v>978</v>
      </c>
      <c r="C105" s="1613">
        <v>5950071.4957637498</v>
      </c>
      <c r="D105" s="1613">
        <v>2553528.9209796209</v>
      </c>
      <c r="E105" s="1613">
        <v>846625.0757738424</v>
      </c>
      <c r="F105" s="1613">
        <v>1271510.4577998868</v>
      </c>
      <c r="G105" s="1613">
        <v>507941.97734892927</v>
      </c>
      <c r="H105" s="1613">
        <v>526650.2416751188</v>
      </c>
      <c r="I105" s="1613">
        <v>223252.11158666274</v>
      </c>
      <c r="J105" s="1613">
        <v>20562.423933022528</v>
      </c>
      <c r="K105" s="1612"/>
      <c r="L105" s="1612"/>
      <c r="M105" s="1612"/>
      <c r="N105" s="1612"/>
      <c r="O105" s="1612"/>
      <c r="P105" s="1612"/>
      <c r="Q105" s="1612"/>
      <c r="R105" s="1612"/>
      <c r="S105" s="1612"/>
      <c r="T105" s="1612"/>
    </row>
    <row r="106" spans="1:20" ht="14.25" customHeight="1">
      <c r="A106" s="1608">
        <v>106</v>
      </c>
      <c r="B106" s="1612" t="s">
        <v>973</v>
      </c>
      <c r="C106" s="1633">
        <v>0.29896104096036646</v>
      </c>
      <c r="D106" s="1633">
        <v>0.19477679006020387</v>
      </c>
      <c r="E106" s="1633">
        <v>0.33655116602819363</v>
      </c>
      <c r="F106" s="1633">
        <v>0.54324325922659678</v>
      </c>
      <c r="G106" s="1633">
        <v>0.59696518173827395</v>
      </c>
      <c r="H106" s="1633">
        <v>0.76975392685421784</v>
      </c>
      <c r="I106" s="1633">
        <v>0.6115370269811865</v>
      </c>
      <c r="J106" s="1633">
        <v>0.56852532440340986</v>
      </c>
      <c r="K106" s="1612"/>
      <c r="L106" s="1612"/>
      <c r="M106" s="1612"/>
      <c r="N106" s="1612"/>
      <c r="O106" s="1612"/>
      <c r="P106" s="1612"/>
      <c r="Q106" s="1612"/>
      <c r="R106" s="1612"/>
      <c r="S106" s="1612"/>
      <c r="T106" s="1612"/>
    </row>
    <row r="107" spans="1:20" ht="14.25" customHeight="1">
      <c r="A107" s="1608">
        <v>107</v>
      </c>
      <c r="B107" s="1612" t="s">
        <v>979</v>
      </c>
      <c r="C107" s="1618">
        <v>1.4844869586918372E-3</v>
      </c>
      <c r="D107" s="1618">
        <v>1.6235200459803266E-3</v>
      </c>
      <c r="E107" s="1618">
        <v>1.5585836633687617E-3</v>
      </c>
      <c r="F107" s="1618">
        <v>1.4194558720585526E-3</v>
      </c>
      <c r="G107" s="1618">
        <v>1.3128426465814531E-3</v>
      </c>
      <c r="H107" s="1618">
        <v>1.1756067776696824E-3</v>
      </c>
      <c r="I107" s="1618">
        <v>1.5030435086663472E-3</v>
      </c>
      <c r="J107" s="1618">
        <v>1.5890671415343021E-3</v>
      </c>
      <c r="K107" s="1612"/>
      <c r="L107" s="1612"/>
      <c r="M107" s="1612"/>
      <c r="N107" s="1612"/>
      <c r="O107" s="1612"/>
      <c r="P107" s="1612"/>
      <c r="Q107" s="1612"/>
      <c r="R107" s="1612"/>
      <c r="S107" s="1612"/>
      <c r="T107" s="1612"/>
    </row>
    <row r="108" spans="1:20" ht="14.25" customHeight="1">
      <c r="A108" s="1608">
        <v>108</v>
      </c>
      <c r="B108" s="1612" t="s">
        <v>980</v>
      </c>
      <c r="C108" s="1633">
        <v>44.812368905621675</v>
      </c>
      <c r="D108" s="1633">
        <v>24.404134990114674</v>
      </c>
      <c r="E108" s="1633">
        <v>45.060827495756214</v>
      </c>
      <c r="F108" s="1633">
        <v>1206.4652256745601</v>
      </c>
      <c r="G108" s="1633">
        <v>8325.1944468430956</v>
      </c>
      <c r="H108" s="1633">
        <v>526650.2416751188</v>
      </c>
      <c r="I108" s="1633">
        <v>42.548282047854983</v>
      </c>
      <c r="J108" s="1633">
        <v>6.8750082341478205</v>
      </c>
      <c r="K108" s="1612"/>
      <c r="L108" s="1612"/>
      <c r="M108" s="1612"/>
      <c r="N108" s="1612"/>
      <c r="O108" s="1612"/>
      <c r="P108" s="1612"/>
      <c r="Q108" s="1612"/>
      <c r="R108" s="1612"/>
      <c r="S108" s="1612"/>
      <c r="T108" s="1612"/>
    </row>
    <row r="109" spans="1:20" ht="14.25" customHeight="1">
      <c r="A109" s="1608">
        <v>109</v>
      </c>
      <c r="B109" s="1612"/>
      <c r="C109" s="1633"/>
      <c r="D109" s="1633"/>
      <c r="E109" s="1633"/>
      <c r="F109" s="1633"/>
      <c r="G109" s="1633"/>
      <c r="H109" s="1633"/>
      <c r="I109" s="1633"/>
      <c r="J109" s="1633"/>
      <c r="K109" s="1612"/>
      <c r="L109" s="1612"/>
      <c r="M109" s="1612"/>
      <c r="N109" s="1612"/>
      <c r="O109" s="1612"/>
      <c r="P109" s="1612"/>
      <c r="Q109" s="1612"/>
      <c r="R109" s="1612"/>
      <c r="S109" s="1612"/>
      <c r="T109" s="1612"/>
    </row>
    <row r="110" spans="1:20" ht="14.25" customHeight="1">
      <c r="A110" s="1608">
        <v>110</v>
      </c>
      <c r="B110" s="1616" t="s">
        <v>995</v>
      </c>
      <c r="C110" s="1597"/>
      <c r="D110" s="1597"/>
      <c r="E110" s="1597"/>
      <c r="F110" s="1597"/>
      <c r="G110" s="1597"/>
      <c r="H110" s="1597"/>
      <c r="I110" s="1597"/>
      <c r="J110" s="1597"/>
      <c r="K110" s="1597"/>
      <c r="L110" s="1597"/>
      <c r="M110" s="1597"/>
      <c r="N110" s="1597"/>
      <c r="O110" s="1597"/>
      <c r="P110" s="1597"/>
      <c r="Q110" s="1597"/>
      <c r="R110" s="1597"/>
      <c r="S110" s="1597"/>
      <c r="T110" s="1597"/>
    </row>
    <row r="111" spans="1:20" ht="14.25" customHeight="1">
      <c r="A111" s="1608">
        <v>111</v>
      </c>
      <c r="B111" s="1612" t="s">
        <v>996</v>
      </c>
      <c r="C111" s="1613">
        <v>98355959.962037265</v>
      </c>
      <c r="D111" s="1613">
        <v>44386962.067901008</v>
      </c>
      <c r="E111" s="1613">
        <v>13130719.853719831</v>
      </c>
      <c r="F111" s="1613">
        <v>20511829.713215318</v>
      </c>
      <c r="G111" s="1613">
        <v>8079630.9724620422</v>
      </c>
      <c r="H111" s="1613">
        <v>8705810.5870309342</v>
      </c>
      <c r="I111" s="1613">
        <v>3359971.9657068211</v>
      </c>
      <c r="J111" s="1613">
        <v>181034.80200131939</v>
      </c>
      <c r="K111" s="1612"/>
      <c r="L111" s="1597"/>
      <c r="M111" s="1597"/>
      <c r="N111" s="1597"/>
      <c r="O111" s="1597"/>
      <c r="P111" s="1597"/>
      <c r="Q111" s="1597"/>
      <c r="R111" s="1597"/>
      <c r="S111" s="1597"/>
      <c r="T111" s="1597"/>
    </row>
    <row r="112" spans="1:20" ht="14.25" customHeight="1">
      <c r="A112" s="1608">
        <v>112</v>
      </c>
      <c r="B112" s="1612" t="s">
        <v>997</v>
      </c>
      <c r="C112" s="1613">
        <v>24285439.18559381</v>
      </c>
      <c r="D112" s="1613">
        <v>10927293.933353512</v>
      </c>
      <c r="E112" s="1613">
        <v>3237649.4900353025</v>
      </c>
      <c r="F112" s="1613">
        <v>5080524.3934129458</v>
      </c>
      <c r="G112" s="1613">
        <v>2005433.2870134274</v>
      </c>
      <c r="H112" s="1613">
        <v>2162344.4605885367</v>
      </c>
      <c r="I112" s="1613">
        <v>826843.1816604546</v>
      </c>
      <c r="J112" s="1613">
        <v>45350.439529633986</v>
      </c>
      <c r="K112" s="1612"/>
      <c r="L112" s="1597"/>
      <c r="M112" s="1597"/>
      <c r="N112" s="1597"/>
      <c r="O112" s="1597"/>
      <c r="P112" s="1597"/>
      <c r="Q112" s="1597"/>
      <c r="R112" s="1597"/>
      <c r="S112" s="1597"/>
      <c r="T112" s="1597"/>
    </row>
    <row r="113" spans="1:20" ht="14.25" customHeight="1">
      <c r="A113" s="1608">
        <v>113</v>
      </c>
      <c r="B113" s="1612" t="s">
        <v>998</v>
      </c>
      <c r="C113" s="1613">
        <v>7690164.1373757422</v>
      </c>
      <c r="D113" s="1613">
        <v>4003861.0981777166</v>
      </c>
      <c r="E113" s="1613">
        <v>936151.883464018</v>
      </c>
      <c r="F113" s="1613">
        <v>1464490.3006005322</v>
      </c>
      <c r="G113" s="1613">
        <v>492976.08951773</v>
      </c>
      <c r="H113" s="1613">
        <v>324236.29379382374</v>
      </c>
      <c r="I113" s="1613">
        <v>427696.77408738103</v>
      </c>
      <c r="J113" s="1613">
        <v>40751.697734538364</v>
      </c>
      <c r="K113" s="1612"/>
      <c r="L113" s="1597"/>
      <c r="M113" s="1597"/>
      <c r="N113" s="1597"/>
      <c r="O113" s="1597"/>
      <c r="P113" s="1597"/>
      <c r="Q113" s="1597"/>
      <c r="R113" s="1597"/>
      <c r="S113" s="1597"/>
      <c r="T113" s="1597"/>
    </row>
    <row r="114" spans="1:20" ht="14.25" customHeight="1">
      <c r="A114" s="1608">
        <v>114</v>
      </c>
      <c r="B114" s="1597" t="s">
        <v>999</v>
      </c>
      <c r="C114" s="1613">
        <v>130331563.28500682</v>
      </c>
      <c r="D114" s="1613">
        <v>59318117.099432237</v>
      </c>
      <c r="E114" s="1613">
        <v>17304521.227219153</v>
      </c>
      <c r="F114" s="1613">
        <v>27056844.407228794</v>
      </c>
      <c r="G114" s="1613">
        <v>10578040.348993199</v>
      </c>
      <c r="H114" s="1613">
        <v>11192391.341413295</v>
      </c>
      <c r="I114" s="1613">
        <v>4614511.9214546569</v>
      </c>
      <c r="J114" s="1613">
        <v>267136.93926549173</v>
      </c>
      <c r="K114" s="1612"/>
      <c r="L114" s="1597"/>
      <c r="M114" s="1597"/>
      <c r="N114" s="1597"/>
      <c r="O114" s="1597"/>
      <c r="P114" s="1597"/>
      <c r="Q114" s="1597"/>
      <c r="R114" s="1597"/>
      <c r="S114" s="1597"/>
      <c r="T114" s="1597"/>
    </row>
    <row r="115" spans="1:20" ht="14.25" customHeight="1">
      <c r="A115" s="1608">
        <v>115</v>
      </c>
      <c r="B115" s="1597"/>
      <c r="C115" s="1597"/>
      <c r="D115" s="1597"/>
      <c r="E115" s="1597"/>
      <c r="F115" s="1597"/>
      <c r="G115" s="1597"/>
      <c r="H115" s="1597"/>
      <c r="I115" s="1597"/>
      <c r="J115" s="1597"/>
      <c r="K115" s="1597"/>
      <c r="L115" s="1597"/>
      <c r="M115" s="1597"/>
      <c r="N115" s="1597"/>
      <c r="O115" s="1597"/>
      <c r="P115" s="1597"/>
      <c r="Q115" s="1597"/>
      <c r="R115" s="1597"/>
      <c r="S115" s="1597"/>
      <c r="T115" s="1597"/>
    </row>
    <row r="116" spans="1:20" ht="14.25" customHeight="1">
      <c r="A116" s="1608">
        <v>116</v>
      </c>
      <c r="B116" s="1612" t="s">
        <v>1000</v>
      </c>
      <c r="C116" s="1613">
        <v>130378830.64735176</v>
      </c>
      <c r="D116" s="1613">
        <v>53964521.647245578</v>
      </c>
      <c r="E116" s="1613">
        <v>17615986.825068668</v>
      </c>
      <c r="F116" s="1613">
        <v>28503546.990248464</v>
      </c>
      <c r="G116" s="1613">
        <v>11916625.837529918</v>
      </c>
      <c r="H116" s="1613">
        <v>13309157.26420836</v>
      </c>
      <c r="I116" s="1613">
        <v>4709768.311623605</v>
      </c>
      <c r="J116" s="1613">
        <v>359223.77142715256</v>
      </c>
      <c r="K116" s="1612"/>
      <c r="L116" s="1597"/>
      <c r="M116" s="1597"/>
      <c r="N116" s="1597"/>
      <c r="O116" s="1597"/>
      <c r="P116" s="1597"/>
      <c r="Q116" s="1597"/>
      <c r="R116" s="1597"/>
      <c r="S116" s="1597"/>
      <c r="T116" s="1597"/>
    </row>
    <row r="117" spans="1:20" ht="14.25" customHeight="1">
      <c r="A117" s="1608">
        <v>117</v>
      </c>
      <c r="B117" s="1612" t="s">
        <v>1001</v>
      </c>
      <c r="C117" s="1613">
        <v>32192327.799860146</v>
      </c>
      <c r="D117" s="1613">
        <v>13356571.753685785</v>
      </c>
      <c r="E117" s="1613">
        <v>4340422.468730012</v>
      </c>
      <c r="F117" s="1613">
        <v>7038742.4435253991</v>
      </c>
      <c r="G117" s="1613">
        <v>2937678.8170153801</v>
      </c>
      <c r="H117" s="1613">
        <v>3275904.4036833718</v>
      </c>
      <c r="I117" s="1613">
        <v>1155283.6665884806</v>
      </c>
      <c r="J117" s="1613">
        <v>87724.246631722446</v>
      </c>
      <c r="K117" s="1612"/>
      <c r="L117" s="1597"/>
      <c r="M117" s="1597"/>
      <c r="N117" s="1597"/>
      <c r="O117" s="1597"/>
      <c r="P117" s="1597"/>
      <c r="Q117" s="1597"/>
      <c r="R117" s="1597"/>
      <c r="S117" s="1597"/>
      <c r="T117" s="1597"/>
    </row>
    <row r="118" spans="1:20" ht="14.25" customHeight="1">
      <c r="A118" s="1608">
        <v>118</v>
      </c>
      <c r="B118" s="1612" t="s">
        <v>1002</v>
      </c>
      <c r="C118" s="1613">
        <v>5950071.4957637498</v>
      </c>
      <c r="D118" s="1613">
        <v>2553528.9209796209</v>
      </c>
      <c r="E118" s="1613">
        <v>846625.0757738424</v>
      </c>
      <c r="F118" s="1613">
        <v>1271510.4577998868</v>
      </c>
      <c r="G118" s="1613">
        <v>507941.97734892927</v>
      </c>
      <c r="H118" s="1613">
        <v>526650.2416751188</v>
      </c>
      <c r="I118" s="1613">
        <v>223252.11158666274</v>
      </c>
      <c r="J118" s="1613">
        <v>20562.423933022528</v>
      </c>
      <c r="K118" s="1612"/>
      <c r="L118" s="1597"/>
      <c r="M118" s="1597"/>
      <c r="N118" s="1597"/>
      <c r="O118" s="1597"/>
      <c r="P118" s="1597"/>
      <c r="Q118" s="1597"/>
      <c r="R118" s="1597"/>
      <c r="S118" s="1597"/>
      <c r="T118" s="1597"/>
    </row>
    <row r="119" spans="1:20" ht="14.25" customHeight="1">
      <c r="A119" s="1608">
        <v>119</v>
      </c>
      <c r="B119" s="1597" t="s">
        <v>1003</v>
      </c>
      <c r="C119" s="1613">
        <v>168521229.94297564</v>
      </c>
      <c r="D119" s="1613">
        <v>69874622.321910977</v>
      </c>
      <c r="E119" s="1613">
        <v>22803034.36957252</v>
      </c>
      <c r="F119" s="1613">
        <v>36813799.891573749</v>
      </c>
      <c r="G119" s="1613">
        <v>15362246.631894227</v>
      </c>
      <c r="H119" s="1613">
        <v>17111711.909566849</v>
      </c>
      <c r="I119" s="1613">
        <v>6088304.0897987485</v>
      </c>
      <c r="J119" s="1613">
        <v>467510.44199189753</v>
      </c>
      <c r="K119" s="1612"/>
      <c r="L119" s="1597"/>
      <c r="M119" s="1597"/>
      <c r="N119" s="1597"/>
      <c r="O119" s="1597"/>
      <c r="P119" s="1597"/>
      <c r="Q119" s="1597"/>
      <c r="R119" s="1597"/>
      <c r="S119" s="1597"/>
      <c r="T119" s="1597"/>
    </row>
    <row r="120" spans="1:20" ht="14.25" customHeight="1">
      <c r="A120" s="1608">
        <v>120</v>
      </c>
      <c r="B120" s="1597"/>
      <c r="C120" s="1597"/>
      <c r="D120" s="1597"/>
      <c r="E120" s="1597"/>
      <c r="F120" s="1597"/>
      <c r="G120" s="1597"/>
      <c r="H120" s="1597"/>
      <c r="I120" s="1597"/>
      <c r="J120" s="1597"/>
      <c r="K120" s="1597"/>
      <c r="L120" s="1597"/>
      <c r="M120" s="1597"/>
      <c r="N120" s="1597"/>
      <c r="O120" s="1597"/>
      <c r="P120" s="1597"/>
      <c r="Q120" s="1597"/>
      <c r="R120" s="1597"/>
      <c r="S120" s="1597"/>
      <c r="T120" s="1597"/>
    </row>
    <row r="121" spans="1:20" ht="14.25" customHeight="1">
      <c r="A121" s="1608">
        <v>121</v>
      </c>
      <c r="B121" s="1612" t="s">
        <v>1004</v>
      </c>
      <c r="C121" s="1613">
        <v>2575738.1686996031</v>
      </c>
      <c r="D121" s="1613">
        <v>1713996.6878412089</v>
      </c>
      <c r="E121" s="1613">
        <v>429278.39140521747</v>
      </c>
      <c r="F121" s="1613">
        <v>209893.27156895035</v>
      </c>
      <c r="G121" s="1613">
        <v>40038.642098459604</v>
      </c>
      <c r="H121" s="1613">
        <v>23724.588012238532</v>
      </c>
      <c r="I121" s="1613">
        <v>141605.19985799768</v>
      </c>
      <c r="J121" s="1613">
        <v>17201.387915529249</v>
      </c>
      <c r="K121" s="1612"/>
      <c r="L121" s="1597"/>
      <c r="M121" s="1597"/>
      <c r="N121" s="1597"/>
      <c r="O121" s="1597"/>
      <c r="P121" s="1597"/>
      <c r="Q121" s="1597"/>
      <c r="R121" s="1597"/>
      <c r="S121" s="1597"/>
      <c r="T121" s="1597"/>
    </row>
    <row r="122" spans="1:20" ht="14.25" customHeight="1">
      <c r="A122" s="1608">
        <v>122</v>
      </c>
      <c r="B122" s="1612" t="s">
        <v>1005</v>
      </c>
      <c r="C122" s="1613">
        <v>5618145.8639770625</v>
      </c>
      <c r="D122" s="1613">
        <v>3987838.9903120948</v>
      </c>
      <c r="E122" s="1613">
        <v>1067466.4371292493</v>
      </c>
      <c r="F122" s="1613">
        <v>392751.91299625172</v>
      </c>
      <c r="G122" s="1613">
        <v>115838.75389155532</v>
      </c>
      <c r="H122" s="1613">
        <v>9028.8947420053737</v>
      </c>
      <c r="I122" s="1613">
        <v>26155.540123256586</v>
      </c>
      <c r="J122" s="1613">
        <v>19065.334782649577</v>
      </c>
      <c r="K122" s="1612"/>
      <c r="L122" s="1597"/>
      <c r="M122" s="1597"/>
      <c r="N122" s="1597"/>
      <c r="O122" s="1597"/>
      <c r="P122" s="1597"/>
      <c r="Q122" s="1597"/>
      <c r="R122" s="1597"/>
      <c r="S122" s="1597"/>
      <c r="T122" s="1597"/>
    </row>
    <row r="123" spans="1:20" ht="14.25" customHeight="1">
      <c r="A123" s="1608">
        <v>123</v>
      </c>
      <c r="B123" s="1612" t="s">
        <v>1006</v>
      </c>
      <c r="C123" s="1613">
        <v>6798118.281724032</v>
      </c>
      <c r="D123" s="1613">
        <v>5749833.3571636248</v>
      </c>
      <c r="E123" s="1613">
        <v>773583.87863919663</v>
      </c>
      <c r="F123" s="1613">
        <v>-113.31752508388308</v>
      </c>
      <c r="G123" s="1613">
        <v>29197.583276514324</v>
      </c>
      <c r="H123" s="1613">
        <v>14792.922014008889</v>
      </c>
      <c r="I123" s="1613">
        <v>132752.61165481119</v>
      </c>
      <c r="J123" s="1613">
        <v>98071.246500960391</v>
      </c>
      <c r="K123" s="1612"/>
      <c r="L123" s="1597"/>
      <c r="M123" s="1597"/>
      <c r="N123" s="1597"/>
      <c r="O123" s="1597"/>
      <c r="P123" s="1597"/>
      <c r="Q123" s="1597"/>
      <c r="R123" s="1597"/>
      <c r="S123" s="1597"/>
      <c r="T123" s="1597"/>
    </row>
    <row r="124" spans="1:20" ht="14.25" customHeight="1">
      <c r="A124" s="1608">
        <v>124</v>
      </c>
      <c r="B124" s="1597" t="s">
        <v>1007</v>
      </c>
      <c r="C124" s="1613">
        <v>14992002.314400697</v>
      </c>
      <c r="D124" s="1613">
        <v>11451669.035316929</v>
      </c>
      <c r="E124" s="1613">
        <v>2270328.7071736632</v>
      </c>
      <c r="F124" s="1613">
        <v>602531.8670401182</v>
      </c>
      <c r="G124" s="1613">
        <v>185074.97926652923</v>
      </c>
      <c r="H124" s="1613">
        <v>47546.404768252796</v>
      </c>
      <c r="I124" s="1613">
        <v>300513.35163606546</v>
      </c>
      <c r="J124" s="1613">
        <v>134337.96919913922</v>
      </c>
      <c r="K124" s="1612"/>
      <c r="L124" s="1597"/>
      <c r="M124" s="1597"/>
      <c r="N124" s="1597"/>
      <c r="O124" s="1597"/>
      <c r="P124" s="1597"/>
      <c r="Q124" s="1597"/>
      <c r="R124" s="1597"/>
      <c r="S124" s="1597"/>
      <c r="T124" s="1597"/>
    </row>
    <row r="125" spans="1:20" ht="14.25" customHeight="1">
      <c r="A125" s="1608">
        <v>125</v>
      </c>
      <c r="B125" s="1597"/>
      <c r="C125" s="1613"/>
      <c r="D125" s="1613"/>
      <c r="E125" s="1613"/>
      <c r="F125" s="1613"/>
      <c r="G125" s="1613"/>
      <c r="H125" s="1613"/>
      <c r="I125" s="1613"/>
      <c r="J125" s="1613"/>
      <c r="K125" s="1597"/>
      <c r="L125" s="1597"/>
      <c r="M125" s="1597"/>
      <c r="N125" s="1597"/>
      <c r="O125" s="1597"/>
      <c r="P125" s="1597"/>
      <c r="Q125" s="1597"/>
      <c r="R125" s="1597"/>
      <c r="S125" s="1597"/>
      <c r="T125" s="1597"/>
    </row>
    <row r="126" spans="1:20" ht="14.25" customHeight="1">
      <c r="A126" s="1608">
        <v>126</v>
      </c>
      <c r="B126" s="1612" t="s">
        <v>1008</v>
      </c>
      <c r="C126" s="1613">
        <v>28743517.414183822</v>
      </c>
      <c r="D126" s="1613">
        <v>16985477.492835876</v>
      </c>
      <c r="E126" s="1613">
        <v>3978659.3840900492</v>
      </c>
      <c r="F126" s="1613">
        <v>4294622.0497194119</v>
      </c>
      <c r="G126" s="1613">
        <v>1438648.7959311199</v>
      </c>
      <c r="H126" s="1613">
        <v>109573.95365355267</v>
      </c>
      <c r="I126" s="1613">
        <v>1231892.9862768871</v>
      </c>
      <c r="J126" s="1613">
        <v>704642.75167691929</v>
      </c>
      <c r="K126" s="1612"/>
      <c r="L126" s="1597"/>
      <c r="M126" s="1597"/>
      <c r="N126" s="1597"/>
      <c r="O126" s="1597"/>
      <c r="P126" s="1597"/>
      <c r="Q126" s="1597"/>
      <c r="R126" s="1597"/>
      <c r="S126" s="1597"/>
      <c r="T126" s="1597"/>
    </row>
    <row r="127" spans="1:20" ht="14.25" customHeight="1">
      <c r="A127" s="1608">
        <v>127</v>
      </c>
      <c r="B127" s="1612" t="s">
        <v>1009</v>
      </c>
      <c r="C127" s="1613">
        <v>10012655.830731826</v>
      </c>
      <c r="D127" s="1613">
        <v>6162195.5254451782</v>
      </c>
      <c r="E127" s="1613">
        <v>1378264.6780836387</v>
      </c>
      <c r="F127" s="1613">
        <v>1464478.2093553324</v>
      </c>
      <c r="G127" s="1613">
        <v>447698.98916676443</v>
      </c>
      <c r="H127" s="1613">
        <v>15495.414887613295</v>
      </c>
      <c r="I127" s="1613">
        <v>494792.6896354502</v>
      </c>
      <c r="J127" s="1613">
        <v>49730.324157850235</v>
      </c>
      <c r="K127" s="1612"/>
      <c r="L127" s="1597"/>
      <c r="M127" s="1597"/>
      <c r="N127" s="1597"/>
      <c r="O127" s="1597"/>
      <c r="P127" s="1597"/>
      <c r="Q127" s="1597"/>
      <c r="R127" s="1597"/>
      <c r="S127" s="1597"/>
      <c r="T127" s="1597"/>
    </row>
    <row r="128" spans="1:20" ht="14.25" customHeight="1">
      <c r="A128" s="1608">
        <v>128</v>
      </c>
      <c r="B128" s="1597" t="s">
        <v>1010</v>
      </c>
      <c r="C128" s="1621">
        <v>38756173.244915649</v>
      </c>
      <c r="D128" s="1621">
        <v>23147673.018281054</v>
      </c>
      <c r="E128" s="1621">
        <v>5356924.0621736879</v>
      </c>
      <c r="F128" s="1621">
        <v>5759100.2590747438</v>
      </c>
      <c r="G128" s="1621">
        <v>1886347.7850978845</v>
      </c>
      <c r="H128" s="1621">
        <v>125069.36854116597</v>
      </c>
      <c r="I128" s="1621">
        <v>1726685.6759123374</v>
      </c>
      <c r="J128" s="1621">
        <v>754373.07583476952</v>
      </c>
      <c r="K128" s="1612"/>
      <c r="L128" s="1597"/>
      <c r="M128" s="1597"/>
      <c r="N128" s="1597"/>
      <c r="O128" s="1597"/>
      <c r="P128" s="1597"/>
      <c r="Q128" s="1597"/>
      <c r="R128" s="1597"/>
      <c r="S128" s="1597"/>
      <c r="T128" s="1597"/>
    </row>
    <row r="129" spans="1:20" ht="14.25" customHeight="1">
      <c r="A129" s="1608">
        <v>129</v>
      </c>
      <c r="B129" s="1597"/>
      <c r="C129" s="1622"/>
      <c r="D129" s="1622"/>
      <c r="E129" s="1622"/>
      <c r="F129" s="1622"/>
      <c r="G129" s="1622"/>
      <c r="H129" s="1622"/>
      <c r="I129" s="1622"/>
      <c r="J129" s="1622"/>
      <c r="K129" s="1597"/>
      <c r="L129" s="1597"/>
      <c r="M129" s="1597"/>
      <c r="N129" s="1597"/>
      <c r="O129" s="1597"/>
      <c r="P129" s="1597"/>
      <c r="Q129" s="1597"/>
      <c r="R129" s="1597"/>
      <c r="S129" s="1597"/>
      <c r="T129" s="1597"/>
    </row>
    <row r="130" spans="1:20" ht="14.25" customHeight="1">
      <c r="A130" s="1608">
        <v>130</v>
      </c>
      <c r="B130" s="1597" t="s">
        <v>1011</v>
      </c>
      <c r="C130" s="1613">
        <v>352600968.7872988</v>
      </c>
      <c r="D130" s="1613">
        <v>163792081.47494119</v>
      </c>
      <c r="E130" s="1613">
        <v>47734808.366139017</v>
      </c>
      <c r="F130" s="1613">
        <v>70232276.4249174</v>
      </c>
      <c r="G130" s="1613">
        <v>28011709.745251842</v>
      </c>
      <c r="H130" s="1613">
        <v>28476719.024289567</v>
      </c>
      <c r="I130" s="1613">
        <v>12730015.038801808</v>
      </c>
      <c r="J130" s="1613">
        <v>1623358.4262912979</v>
      </c>
      <c r="K130" s="1612"/>
      <c r="L130" s="1597"/>
      <c r="M130" s="1597"/>
      <c r="N130" s="1597"/>
      <c r="O130" s="1597"/>
      <c r="P130" s="1597"/>
      <c r="Q130" s="1597"/>
      <c r="R130" s="1597"/>
      <c r="S130" s="1597"/>
      <c r="T130" s="1597"/>
    </row>
    <row r="131" spans="1:20" ht="13.5" customHeight="1">
      <c r="A131" s="1608">
        <v>131</v>
      </c>
      <c r="B131" s="1597" t="s">
        <v>1012</v>
      </c>
      <c r="C131" s="1613">
        <v>352600968.7872988</v>
      </c>
      <c r="D131" s="1613">
        <v>163792081.47494122</v>
      </c>
      <c r="E131" s="1613">
        <v>47734808.366139024</v>
      </c>
      <c r="F131" s="1613">
        <v>70232276.424917415</v>
      </c>
      <c r="G131" s="1613">
        <v>28011709.745251838</v>
      </c>
      <c r="H131" s="1613">
        <v>28476719.024289563</v>
      </c>
      <c r="I131" s="1613">
        <v>12730015.038801806</v>
      </c>
      <c r="J131" s="1613">
        <v>1623358.4262912979</v>
      </c>
      <c r="K131" s="1612"/>
      <c r="L131" s="1597"/>
      <c r="M131" s="1597"/>
      <c r="N131" s="1597"/>
      <c r="O131" s="1597"/>
      <c r="P131" s="1597"/>
      <c r="Q131" s="1597"/>
      <c r="R131" s="1597"/>
      <c r="S131" s="1597"/>
      <c r="T131" s="1597"/>
    </row>
    <row r="132" spans="1:20" ht="13.5" customHeight="1">
      <c r="A132" s="1608">
        <v>132</v>
      </c>
      <c r="B132" s="1623" t="s">
        <v>168</v>
      </c>
      <c r="C132" s="1613">
        <v>0</v>
      </c>
      <c r="D132" s="1613">
        <v>0</v>
      </c>
      <c r="E132" s="1613">
        <v>0</v>
      </c>
      <c r="F132" s="1613">
        <v>0</v>
      </c>
      <c r="G132" s="1613">
        <v>0</v>
      </c>
      <c r="H132" s="1613">
        <v>0</v>
      </c>
      <c r="I132" s="1613">
        <v>0</v>
      </c>
      <c r="J132" s="1613">
        <v>0</v>
      </c>
      <c r="K132" s="1597"/>
      <c r="L132" s="1597"/>
      <c r="M132" s="1597"/>
      <c r="N132" s="1597"/>
      <c r="O132" s="1597"/>
      <c r="P132" s="1597"/>
      <c r="Q132" s="1597"/>
      <c r="R132" s="1597"/>
      <c r="S132" s="1597"/>
      <c r="T132" s="1597"/>
    </row>
    <row r="133" spans="1:20" ht="13.5" customHeight="1">
      <c r="A133" s="1608">
        <v>133</v>
      </c>
      <c r="B133" s="1597"/>
      <c r="C133" s="1597"/>
      <c r="D133" s="1597"/>
      <c r="E133" s="1597"/>
      <c r="F133" s="1597"/>
      <c r="G133" s="1597"/>
      <c r="H133" s="1597"/>
      <c r="I133" s="1597"/>
      <c r="J133" s="1597"/>
      <c r="K133" s="1597"/>
      <c r="L133" s="1597"/>
      <c r="M133" s="1597"/>
      <c r="N133" s="1597"/>
      <c r="O133" s="1597"/>
      <c r="P133" s="1597"/>
      <c r="Q133" s="1597"/>
      <c r="R133" s="1597"/>
      <c r="S133" s="1597"/>
      <c r="T133" s="1597"/>
    </row>
    <row r="134" spans="1:20" ht="13.5" customHeight="1">
      <c r="A134" s="1608">
        <v>134</v>
      </c>
      <c r="B134" s="1609" t="s">
        <v>972</v>
      </c>
      <c r="C134" s="1597"/>
      <c r="D134" s="1597"/>
      <c r="E134" s="1597"/>
      <c r="F134" s="1597"/>
      <c r="G134" s="1597"/>
      <c r="H134" s="1597"/>
      <c r="I134" s="1597"/>
      <c r="J134" s="1597"/>
      <c r="K134" s="1597"/>
      <c r="L134" s="1597"/>
      <c r="M134" s="1597"/>
      <c r="N134" s="1597"/>
      <c r="O134" s="1597"/>
      <c r="P134" s="1597"/>
      <c r="Q134" s="1597"/>
      <c r="R134" s="1597"/>
      <c r="S134" s="1597"/>
      <c r="T134" s="1597"/>
    </row>
    <row r="135" spans="1:20" ht="13.5" customHeight="1">
      <c r="A135" s="1608">
        <v>135</v>
      </c>
      <c r="B135" s="1612" t="s">
        <v>973</v>
      </c>
      <c r="C135" s="1613">
        <v>19902497.919628788</v>
      </c>
      <c r="D135" s="1613">
        <v>13110026.714119</v>
      </c>
      <c r="E135" s="1613">
        <v>2515590.9746659999</v>
      </c>
      <c r="F135" s="1613">
        <v>2340591.3211147944</v>
      </c>
      <c r="G135" s="1613">
        <v>850873.7073574001</v>
      </c>
      <c r="H135" s="1613">
        <v>684180</v>
      </c>
      <c r="I135" s="1613">
        <v>365067.20237159234</v>
      </c>
      <c r="J135" s="1613">
        <v>36168</v>
      </c>
      <c r="K135" s="1597"/>
      <c r="L135" s="1597"/>
      <c r="M135" s="1597"/>
      <c r="N135" s="1597"/>
      <c r="O135" s="1597"/>
      <c r="P135" s="1597"/>
      <c r="Q135" s="1597"/>
      <c r="R135" s="1597"/>
      <c r="S135" s="1597"/>
      <c r="T135" s="1597"/>
    </row>
    <row r="136" spans="1:20" ht="13.5" customHeight="1">
      <c r="A136" s="1608">
        <v>136</v>
      </c>
      <c r="B136" s="1612" t="s">
        <v>974</v>
      </c>
      <c r="C136" s="1613">
        <v>4008166903</v>
      </c>
      <c r="D136" s="1613">
        <v>1572834858.0000002</v>
      </c>
      <c r="E136" s="1613">
        <v>543201558.99999988</v>
      </c>
      <c r="F136" s="1613">
        <v>895773150.00000012</v>
      </c>
      <c r="G136" s="1613">
        <v>386902405</v>
      </c>
      <c r="H136" s="1613">
        <v>447981631.00000006</v>
      </c>
      <c r="I136" s="1613">
        <v>148533366</v>
      </c>
      <c r="J136" s="1613">
        <v>12939934</v>
      </c>
      <c r="K136" s="1597"/>
      <c r="L136" s="1597"/>
      <c r="M136" s="1597"/>
      <c r="N136" s="1597"/>
      <c r="O136" s="1597"/>
      <c r="P136" s="1597"/>
      <c r="Q136" s="1597"/>
      <c r="R136" s="1597"/>
      <c r="S136" s="1597"/>
      <c r="T136" s="1597"/>
    </row>
    <row r="137" spans="1:20" ht="13.5" customHeight="1">
      <c r="A137" s="1608">
        <v>137</v>
      </c>
      <c r="B137" s="1612" t="s">
        <v>975</v>
      </c>
      <c r="C137" s="1613">
        <v>132777.43714676326</v>
      </c>
      <c r="D137" s="1613">
        <v>104635.09245519142</v>
      </c>
      <c r="E137" s="1613">
        <v>18788.493749999969</v>
      </c>
      <c r="F137" s="1613">
        <v>1053.913888888889</v>
      </c>
      <c r="G137" s="1613">
        <v>61.012626262626249</v>
      </c>
      <c r="H137" s="1613">
        <v>1</v>
      </c>
      <c r="I137" s="1613">
        <v>5247.0299819759166</v>
      </c>
      <c r="J137" s="1613">
        <v>2990.8944444444446</v>
      </c>
      <c r="K137" s="1597"/>
      <c r="L137" s="1597"/>
      <c r="M137" s="1597"/>
      <c r="N137" s="1597"/>
      <c r="O137" s="1597"/>
      <c r="P137" s="1597"/>
      <c r="Q137" s="1597"/>
      <c r="R137" s="1597"/>
      <c r="S137" s="1597"/>
      <c r="T137" s="1597"/>
    </row>
    <row r="138" spans="1:20" ht="13.5" customHeight="1">
      <c r="A138" s="1608">
        <v>138</v>
      </c>
      <c r="B138" s="1614" t="s">
        <v>1013</v>
      </c>
      <c r="C138" s="1615">
        <v>0</v>
      </c>
      <c r="D138" s="1615">
        <v>0</v>
      </c>
      <c r="E138" s="1615">
        <v>0</v>
      </c>
      <c r="F138" s="1615">
        <v>0</v>
      </c>
      <c r="G138" s="1615">
        <v>0</v>
      </c>
      <c r="H138" s="1615">
        <v>0</v>
      </c>
      <c r="I138" s="1615">
        <v>0</v>
      </c>
      <c r="J138" s="1615">
        <v>0</v>
      </c>
      <c r="K138" s="1597"/>
      <c r="L138" s="1597"/>
      <c r="M138" s="1597"/>
      <c r="N138" s="1597"/>
      <c r="O138" s="1597"/>
      <c r="P138" s="1597"/>
      <c r="Q138" s="1597"/>
      <c r="R138" s="1597"/>
      <c r="S138" s="1597"/>
      <c r="T138" s="1597"/>
    </row>
    <row r="139" spans="1:20" ht="13.5" customHeight="1">
      <c r="A139" s="1608">
        <v>139</v>
      </c>
      <c r="B139" s="1597"/>
      <c r="C139" s="1597"/>
      <c r="D139" s="1597"/>
      <c r="E139" s="1597"/>
      <c r="F139" s="1597"/>
      <c r="G139" s="1597"/>
      <c r="H139" s="1597"/>
      <c r="I139" s="1597"/>
      <c r="J139" s="1597"/>
      <c r="K139" s="1597"/>
      <c r="L139" s="1597"/>
      <c r="M139" s="1597"/>
      <c r="N139" s="1597"/>
      <c r="O139" s="1597"/>
      <c r="P139" s="1597"/>
      <c r="Q139" s="1597"/>
      <c r="R139" s="1597"/>
      <c r="S139" s="1597"/>
      <c r="T139" s="1597"/>
    </row>
    <row r="140" spans="1:20" ht="13.5" customHeight="1">
      <c r="A140" s="1608">
        <v>140</v>
      </c>
      <c r="B140" s="1616" t="s">
        <v>1014</v>
      </c>
      <c r="C140" s="1597"/>
      <c r="D140" s="1597"/>
      <c r="E140" s="1597"/>
      <c r="F140" s="1597"/>
      <c r="G140" s="1597"/>
      <c r="H140" s="1597"/>
      <c r="I140" s="1597"/>
      <c r="J140" s="1597"/>
      <c r="K140" s="1597"/>
      <c r="L140" s="1597"/>
      <c r="M140" s="1597"/>
      <c r="N140" s="1597"/>
      <c r="O140" s="1597"/>
      <c r="P140" s="1597"/>
      <c r="Q140" s="1597"/>
      <c r="R140" s="1597"/>
      <c r="S140" s="1597"/>
      <c r="T140" s="1597"/>
    </row>
    <row r="141" spans="1:20" ht="13.5" customHeight="1">
      <c r="A141" s="1608">
        <v>141</v>
      </c>
      <c r="B141" s="1612" t="s">
        <v>1015</v>
      </c>
      <c r="C141" s="1624">
        <v>6.5485027965493545</v>
      </c>
      <c r="D141" s="1624">
        <v>4.5246373934195638</v>
      </c>
      <c r="E141" s="1624">
        <v>6.8789089329264703</v>
      </c>
      <c r="F141" s="1624">
        <v>11.559832835038437</v>
      </c>
      <c r="G141" s="1624">
        <v>12.43197463680707</v>
      </c>
      <c r="H141" s="1624">
        <v>16.358840278016451</v>
      </c>
      <c r="I141" s="1624">
        <v>12.640171156097628</v>
      </c>
      <c r="J141" s="1624">
        <v>7.3860025233767894</v>
      </c>
      <c r="K141" s="1597"/>
      <c r="L141" s="1597"/>
      <c r="M141" s="1597"/>
      <c r="N141" s="1597"/>
      <c r="O141" s="1597"/>
      <c r="P141" s="1597"/>
      <c r="Q141" s="1597"/>
      <c r="R141" s="1597"/>
      <c r="S141" s="1597"/>
      <c r="T141" s="1597"/>
    </row>
    <row r="142" spans="1:20" ht="13.5" customHeight="1">
      <c r="A142" s="1608">
        <v>142</v>
      </c>
      <c r="B142" s="1612" t="s">
        <v>1016</v>
      </c>
      <c r="C142" s="1625">
        <v>4.2044464220499962E-2</v>
      </c>
      <c r="D142" s="1625">
        <v>4.4425911573935224E-2</v>
      </c>
      <c r="E142" s="1625">
        <v>4.1978956046355022E-2</v>
      </c>
      <c r="F142" s="1625">
        <v>4.1097235267180919E-2</v>
      </c>
      <c r="G142" s="1625">
        <v>3.9705740862205879E-2</v>
      </c>
      <c r="H142" s="1625">
        <v>3.8197351689107199E-2</v>
      </c>
      <c r="I142" s="1625">
        <v>4.0989470943510083E-2</v>
      </c>
      <c r="J142" s="1625">
        <v>3.6129275620099571E-2</v>
      </c>
      <c r="K142" s="1597"/>
      <c r="L142" s="1597"/>
      <c r="M142" s="1597"/>
      <c r="N142" s="1597"/>
      <c r="O142" s="1597"/>
      <c r="P142" s="1597"/>
      <c r="Q142" s="1597"/>
      <c r="R142" s="1597"/>
      <c r="S142" s="1597"/>
      <c r="T142" s="1597"/>
    </row>
    <row r="143" spans="1:20" ht="13.5" customHeight="1">
      <c r="A143" s="1608">
        <v>143</v>
      </c>
      <c r="B143" s="1612" t="s">
        <v>1017</v>
      </c>
      <c r="C143" s="1624">
        <v>9.4092306121192006</v>
      </c>
      <c r="D143" s="1624">
        <v>9.1203221648773916</v>
      </c>
      <c r="E143" s="1624">
        <v>10.069676763265758</v>
      </c>
      <c r="F143" s="1624">
        <v>47.642401764859414</v>
      </c>
      <c r="G143" s="1624">
        <v>252.78234823870972</v>
      </c>
      <c r="H143" s="1624">
        <v>3962.2003973543997</v>
      </c>
      <c r="I143" s="1624">
        <v>4.7727532316434162</v>
      </c>
      <c r="J143" s="1624">
        <v>3.7429708652504328</v>
      </c>
      <c r="K143" s="1597"/>
      <c r="L143" s="1597"/>
      <c r="M143" s="1597"/>
      <c r="N143" s="1597"/>
      <c r="O143" s="1597"/>
      <c r="P143" s="1597"/>
      <c r="Q143" s="1597"/>
      <c r="R143" s="1597"/>
      <c r="S143" s="1597"/>
      <c r="T143" s="1597"/>
    </row>
    <row r="144" spans="1:20" ht="13.5" customHeight="1">
      <c r="A144" s="1608">
        <v>144</v>
      </c>
      <c r="B144" s="1612" t="s">
        <v>1018</v>
      </c>
      <c r="C144" s="1624">
        <v>1.9473019618654235</v>
      </c>
      <c r="D144" s="1624">
        <v>1.765646517970241</v>
      </c>
      <c r="E144" s="1624">
        <v>2.1294892993822008</v>
      </c>
      <c r="F144" s="1624">
        <v>2.4605321771131563</v>
      </c>
      <c r="G144" s="1624">
        <v>2.21695390136852</v>
      </c>
      <c r="H144" s="1624">
        <v>0.18280184825801099</v>
      </c>
      <c r="I144" s="1624">
        <v>4.7297748597935927</v>
      </c>
      <c r="J144" s="1624">
        <v>20.857472789061312</v>
      </c>
      <c r="K144" s="1597"/>
      <c r="L144" s="1597"/>
      <c r="M144" s="1597"/>
      <c r="N144" s="1597"/>
      <c r="O144" s="1597"/>
      <c r="P144" s="1597"/>
      <c r="Q144" s="1597"/>
      <c r="R144" s="1597"/>
      <c r="S144" s="1597"/>
      <c r="T144" s="1597"/>
    </row>
    <row r="145" spans="1:20" ht="13.5" customHeight="1">
      <c r="A145" s="1608">
        <v>145</v>
      </c>
      <c r="B145" s="1597"/>
      <c r="C145" s="1597"/>
      <c r="D145" s="1597"/>
      <c r="E145" s="1597"/>
      <c r="F145" s="1597"/>
      <c r="G145" s="1597"/>
      <c r="H145" s="1597"/>
      <c r="I145" s="1597"/>
      <c r="J145" s="1597"/>
      <c r="K145" s="1597"/>
      <c r="L145" s="1597"/>
      <c r="M145" s="1597"/>
      <c r="N145" s="1597"/>
      <c r="O145" s="1597"/>
      <c r="P145" s="1597"/>
      <c r="Q145" s="1597"/>
      <c r="R145" s="1597"/>
      <c r="S145" s="1597"/>
      <c r="T145" s="1597"/>
    </row>
    <row r="146" spans="1:20" ht="13.5" customHeight="1">
      <c r="A146" s="1608">
        <v>146</v>
      </c>
      <c r="B146" s="1597" t="s">
        <v>168</v>
      </c>
      <c r="C146" s="1597"/>
      <c r="D146" s="1597"/>
      <c r="E146" s="1597"/>
      <c r="F146" s="1597"/>
      <c r="G146" s="1597"/>
      <c r="H146" s="1597"/>
      <c r="I146" s="1597"/>
      <c r="J146" s="1597"/>
      <c r="K146" s="1597"/>
      <c r="L146" s="1597"/>
      <c r="M146" s="1597"/>
      <c r="N146" s="1597"/>
      <c r="O146" s="1597"/>
      <c r="P146" s="1597"/>
      <c r="Q146" s="1597"/>
      <c r="R146" s="1597"/>
      <c r="S146" s="1597"/>
      <c r="T146" s="1597"/>
    </row>
    <row r="147" spans="1:20" s="1639" customFormat="1" ht="13.5" customHeight="1">
      <c r="A147" s="1634">
        <v>147</v>
      </c>
      <c r="B147" s="1635" t="s">
        <v>1019</v>
      </c>
      <c r="C147" s="1636">
        <v>130331563.28500682</v>
      </c>
      <c r="D147" s="1636">
        <v>59318117.099432245</v>
      </c>
      <c r="E147" s="1636">
        <v>17304521.227219153</v>
      </c>
      <c r="F147" s="1636">
        <v>27056844.407228794</v>
      </c>
      <c r="G147" s="1636">
        <v>10578040.348993199</v>
      </c>
      <c r="H147" s="1636">
        <v>11192391.341413295</v>
      </c>
      <c r="I147" s="1636">
        <v>4614511.9214546569</v>
      </c>
      <c r="J147" s="1636">
        <v>267136.93926549173</v>
      </c>
      <c r="K147" s="1637"/>
      <c r="L147" s="1638"/>
      <c r="M147" s="1638"/>
      <c r="N147" s="1638"/>
      <c r="O147" s="1638"/>
      <c r="P147" s="1638"/>
      <c r="Q147" s="1638"/>
      <c r="R147" s="1638"/>
      <c r="S147" s="1638"/>
      <c r="T147" s="1638"/>
    </row>
    <row r="148" spans="1:20" s="1639" customFormat="1" ht="13.5" customHeight="1">
      <c r="A148" s="1634">
        <v>148</v>
      </c>
      <c r="B148" s="1635" t="s">
        <v>1020</v>
      </c>
      <c r="C148" s="1636">
        <v>168521229.94297564</v>
      </c>
      <c r="D148" s="1636">
        <v>69874622.321910977</v>
      </c>
      <c r="E148" s="1636">
        <v>22803034.36957252</v>
      </c>
      <c r="F148" s="1636">
        <v>36813799.891573749</v>
      </c>
      <c r="G148" s="1636">
        <v>15362246.631894229</v>
      </c>
      <c r="H148" s="1636">
        <v>17111711.909566849</v>
      </c>
      <c r="I148" s="1636">
        <v>6088304.0897987485</v>
      </c>
      <c r="J148" s="1636">
        <v>467510.44199189753</v>
      </c>
      <c r="K148" s="1637"/>
      <c r="L148" s="1638"/>
      <c r="M148" s="1638"/>
      <c r="N148" s="1638"/>
      <c r="O148" s="1638"/>
      <c r="P148" s="1638"/>
      <c r="Q148" s="1638"/>
      <c r="R148" s="1638"/>
      <c r="S148" s="1638"/>
      <c r="T148" s="1638"/>
    </row>
    <row r="149" spans="1:20" s="1639" customFormat="1" ht="13.5" customHeight="1">
      <c r="A149" s="1634">
        <v>149</v>
      </c>
      <c r="B149" s="1635" t="s">
        <v>1021</v>
      </c>
      <c r="C149" s="1636">
        <v>14992002.314400695</v>
      </c>
      <c r="D149" s="1636">
        <v>11451669.035316929</v>
      </c>
      <c r="E149" s="1636">
        <v>2270328.7071736632</v>
      </c>
      <c r="F149" s="1636">
        <v>602531.8670401182</v>
      </c>
      <c r="G149" s="1636">
        <v>185074.9792665292</v>
      </c>
      <c r="H149" s="1636">
        <v>47546.404768252796</v>
      </c>
      <c r="I149" s="1636">
        <v>300513.3516360654</v>
      </c>
      <c r="J149" s="1636">
        <v>134337.96919913922</v>
      </c>
      <c r="K149" s="1637"/>
      <c r="L149" s="1638"/>
      <c r="M149" s="1638"/>
      <c r="N149" s="1638"/>
      <c r="O149" s="1638"/>
      <c r="P149" s="1638"/>
      <c r="Q149" s="1638"/>
      <c r="R149" s="1638"/>
      <c r="S149" s="1638"/>
      <c r="T149" s="1638"/>
    </row>
    <row r="150" spans="1:20" s="1639" customFormat="1" ht="13.5" customHeight="1">
      <c r="A150" s="1634">
        <v>150</v>
      </c>
      <c r="B150" s="1635" t="s">
        <v>1022</v>
      </c>
      <c r="C150" s="1636">
        <v>38756173.244915649</v>
      </c>
      <c r="D150" s="1636">
        <v>23147673.018281054</v>
      </c>
      <c r="E150" s="1636">
        <v>5356924.0621736879</v>
      </c>
      <c r="F150" s="1636">
        <v>5759100.2590747438</v>
      </c>
      <c r="G150" s="1636">
        <v>1886347.7850978845</v>
      </c>
      <c r="H150" s="1636">
        <v>125069.36854116595</v>
      </c>
      <c r="I150" s="1636">
        <v>1726685.6759123374</v>
      </c>
      <c r="J150" s="1636">
        <v>754373.07583476952</v>
      </c>
      <c r="K150" s="1637"/>
      <c r="L150" s="1638"/>
      <c r="M150" s="1638"/>
      <c r="N150" s="1638"/>
      <c r="O150" s="1638"/>
      <c r="P150" s="1638"/>
      <c r="Q150" s="1638"/>
      <c r="R150" s="1638"/>
      <c r="S150" s="1638"/>
      <c r="T150" s="1638"/>
    </row>
    <row r="151" spans="1:20" s="1639" customFormat="1" ht="13.5" customHeight="1">
      <c r="A151" s="1634">
        <v>151</v>
      </c>
      <c r="B151" s="1635" t="s">
        <v>1023</v>
      </c>
      <c r="C151" s="1636">
        <v>352600968.7872988</v>
      </c>
      <c r="D151" s="1636">
        <v>163792081.47494119</v>
      </c>
      <c r="E151" s="1636">
        <v>47734808.366139017</v>
      </c>
      <c r="F151" s="1636">
        <v>70232276.4249174</v>
      </c>
      <c r="G151" s="1636">
        <v>28011709.745251842</v>
      </c>
      <c r="H151" s="1636">
        <v>28476719.024289567</v>
      </c>
      <c r="I151" s="1636">
        <v>12730015.038801808</v>
      </c>
      <c r="J151" s="1636">
        <v>1623358.4262912979</v>
      </c>
      <c r="K151" s="1637"/>
      <c r="L151" s="1638"/>
      <c r="M151" s="1638"/>
      <c r="N151" s="1638"/>
      <c r="O151" s="1638"/>
      <c r="P151" s="1638"/>
      <c r="Q151" s="1638"/>
      <c r="R151" s="1638"/>
      <c r="S151" s="1638"/>
      <c r="T151" s="1638"/>
    </row>
    <row r="152" spans="1:20" s="1639" customFormat="1" ht="13.5" customHeight="1">
      <c r="A152" s="1638"/>
      <c r="B152" s="1638"/>
      <c r="C152" s="1638"/>
      <c r="D152" s="1638"/>
      <c r="E152" s="1638"/>
      <c r="F152" s="1638"/>
      <c r="G152" s="1638"/>
      <c r="H152" s="1638"/>
      <c r="I152" s="1638"/>
      <c r="J152" s="1638"/>
      <c r="K152" s="1638"/>
      <c r="L152" s="1638"/>
      <c r="M152" s="1638"/>
      <c r="N152" s="1638"/>
      <c r="O152" s="1638"/>
      <c r="P152" s="1638"/>
      <c r="Q152" s="1638"/>
      <c r="R152" s="1638"/>
      <c r="S152" s="1638"/>
      <c r="T152" s="1638"/>
    </row>
    <row r="153" spans="1:20" s="1639" customFormat="1" ht="13.5" customHeight="1">
      <c r="A153" s="1634">
        <v>147</v>
      </c>
      <c r="B153" s="1635" t="s">
        <v>1019</v>
      </c>
      <c r="C153" s="1640">
        <f>C147/C151</f>
        <v>0.36962905613463404</v>
      </c>
      <c r="D153" s="1640">
        <f t="shared" ref="D153:J153" si="0">D147/D151</f>
        <v>0.36215497455844603</v>
      </c>
      <c r="E153" s="1640">
        <f t="shared" si="0"/>
        <v>0.3625136838193368</v>
      </c>
      <c r="F153" s="1640">
        <f t="shared" si="0"/>
        <v>0.38524800539754989</v>
      </c>
      <c r="G153" s="1640">
        <f t="shared" si="0"/>
        <v>0.37762922881871724</v>
      </c>
      <c r="H153" s="1640">
        <f t="shared" si="0"/>
        <v>0.39303654792065784</v>
      </c>
      <c r="I153" s="1640">
        <f t="shared" si="0"/>
        <v>0.36249068892608238</v>
      </c>
      <c r="J153" s="1640">
        <f t="shared" si="0"/>
        <v>0.16455819918697134</v>
      </c>
      <c r="K153" s="1637"/>
      <c r="L153" s="1638"/>
      <c r="M153" s="1638"/>
      <c r="N153" s="1638"/>
      <c r="O153" s="1638"/>
      <c r="P153" s="1638"/>
      <c r="Q153" s="1638"/>
      <c r="R153" s="1638"/>
      <c r="S153" s="1638"/>
      <c r="T153" s="1638"/>
    </row>
    <row r="154" spans="1:20" s="1639" customFormat="1" ht="13.5" customHeight="1">
      <c r="A154" s="1634">
        <v>148</v>
      </c>
      <c r="B154" s="1635" t="s">
        <v>1020</v>
      </c>
      <c r="C154" s="1640">
        <f>C148/C151</f>
        <v>0.47793751254448064</v>
      </c>
      <c r="D154" s="1640">
        <f t="shared" ref="D154:J154" si="1">D148/D151</f>
        <v>0.42660561910376116</v>
      </c>
      <c r="E154" s="1640">
        <f t="shared" si="1"/>
        <v>0.47770243874589419</v>
      </c>
      <c r="F154" s="1640">
        <f t="shared" si="1"/>
        <v>0.52417210099874745</v>
      </c>
      <c r="G154" s="1640">
        <f t="shared" si="1"/>
        <v>0.54842231236878447</v>
      </c>
      <c r="H154" s="1640">
        <f t="shared" si="1"/>
        <v>0.60090180666428616</v>
      </c>
      <c r="I154" s="1640">
        <f t="shared" si="1"/>
        <v>0.47826369970822913</v>
      </c>
      <c r="J154" s="1640">
        <f t="shared" si="1"/>
        <v>0.28798966045962221</v>
      </c>
      <c r="K154" s="1637"/>
      <c r="L154" s="1638"/>
      <c r="M154" s="1638"/>
      <c r="N154" s="1638"/>
      <c r="O154" s="1638"/>
      <c r="P154" s="1638"/>
      <c r="Q154" s="1638"/>
      <c r="R154" s="1638"/>
      <c r="S154" s="1638"/>
      <c r="T154" s="1638"/>
    </row>
    <row r="155" spans="1:20" s="1639" customFormat="1" ht="13.5" customHeight="1">
      <c r="A155" s="1634">
        <v>149</v>
      </c>
      <c r="B155" s="1635" t="s">
        <v>1021</v>
      </c>
      <c r="C155" s="1640">
        <f>C149/C151</f>
        <v>4.2518324229121426E-2</v>
      </c>
      <c r="D155" s="1640">
        <f t="shared" ref="D155:J155" si="2">D149/D151</f>
        <v>6.9915889292053099E-2</v>
      </c>
      <c r="E155" s="1640">
        <f t="shared" si="2"/>
        <v>4.7561282529084897E-2</v>
      </c>
      <c r="F155" s="1640">
        <f t="shared" si="2"/>
        <v>8.5791305324448893E-3</v>
      </c>
      <c r="G155" s="1640">
        <f t="shared" si="2"/>
        <v>6.6070575823348509E-3</v>
      </c>
      <c r="H155" s="1640">
        <f t="shared" si="2"/>
        <v>1.6696588089273033E-3</v>
      </c>
      <c r="I155" s="1640">
        <f t="shared" si="2"/>
        <v>2.3606676875092738E-2</v>
      </c>
      <c r="J155" s="1640">
        <f t="shared" si="2"/>
        <v>8.2753116639832813E-2</v>
      </c>
      <c r="K155" s="1637"/>
      <c r="L155" s="1638"/>
      <c r="M155" s="1638"/>
      <c r="N155" s="1638"/>
      <c r="O155" s="1638"/>
      <c r="P155" s="1638"/>
      <c r="Q155" s="1638"/>
      <c r="R155" s="1638"/>
      <c r="S155" s="1638"/>
      <c r="T155" s="1638"/>
    </row>
    <row r="156" spans="1:20" s="1639" customFormat="1" ht="13.5" customHeight="1">
      <c r="A156" s="1634">
        <v>150</v>
      </c>
      <c r="B156" s="1635" t="s">
        <v>1022</v>
      </c>
      <c r="C156" s="1640">
        <f>C150/C151</f>
        <v>0.1099151070917639</v>
      </c>
      <c r="D156" s="1640">
        <f t="shared" ref="D156:J156" si="3">D150/D151</f>
        <v>0.14132351704573981</v>
      </c>
      <c r="E156" s="1640">
        <f t="shared" si="3"/>
        <v>0.11222259490568429</v>
      </c>
      <c r="F156" s="1640">
        <f t="shared" si="3"/>
        <v>8.2000763071257907E-2</v>
      </c>
      <c r="G156" s="1640">
        <f t="shared" si="3"/>
        <v>6.7341401230163467E-2</v>
      </c>
      <c r="H156" s="1640">
        <f t="shared" si="3"/>
        <v>4.3919866061285532E-3</v>
      </c>
      <c r="I156" s="1640">
        <f t="shared" si="3"/>
        <v>0.13563893449059578</v>
      </c>
      <c r="J156" s="1640">
        <f t="shared" si="3"/>
        <v>0.46469902371357369</v>
      </c>
      <c r="K156" s="1637"/>
      <c r="L156" s="1638"/>
      <c r="M156" s="1638"/>
      <c r="N156" s="1638"/>
      <c r="O156" s="1638"/>
      <c r="P156" s="1638"/>
      <c r="Q156" s="1638"/>
      <c r="R156" s="1638"/>
      <c r="S156" s="1638"/>
      <c r="T156" s="1638"/>
    </row>
    <row r="157" spans="1:20" s="1639" customFormat="1" ht="13.5" customHeight="1">
      <c r="A157" s="1634">
        <v>151</v>
      </c>
      <c r="B157" s="1635" t="s">
        <v>1023</v>
      </c>
      <c r="C157" s="1640">
        <f>C151/C151</f>
        <v>1</v>
      </c>
      <c r="D157" s="1640">
        <f t="shared" ref="D157:J157" si="4">D151/D151</f>
        <v>1</v>
      </c>
      <c r="E157" s="1640">
        <f t="shared" si="4"/>
        <v>1</v>
      </c>
      <c r="F157" s="1640">
        <f t="shared" si="4"/>
        <v>1</v>
      </c>
      <c r="G157" s="1640">
        <f t="shared" si="4"/>
        <v>1</v>
      </c>
      <c r="H157" s="1640">
        <f t="shared" si="4"/>
        <v>1</v>
      </c>
      <c r="I157" s="1640">
        <f t="shared" si="4"/>
        <v>1</v>
      </c>
      <c r="J157" s="1640">
        <f t="shared" si="4"/>
        <v>1</v>
      </c>
      <c r="K157" s="1637"/>
      <c r="L157" s="1638"/>
      <c r="M157" s="1638"/>
      <c r="N157" s="1638"/>
      <c r="O157" s="1638"/>
      <c r="P157" s="1638"/>
      <c r="Q157" s="1638"/>
      <c r="R157" s="1638"/>
      <c r="S157" s="1638"/>
      <c r="T157" s="1638"/>
    </row>
    <row r="158" spans="1:20" s="1639" customFormat="1" ht="13.5" customHeight="1">
      <c r="A158" s="1634"/>
      <c r="B158" s="1635"/>
      <c r="C158" s="1640"/>
      <c r="D158" s="1640"/>
      <c r="E158" s="1640"/>
      <c r="F158" s="1640"/>
      <c r="G158" s="1640"/>
      <c r="H158" s="1640"/>
      <c r="I158" s="1640"/>
      <c r="J158" s="1640"/>
      <c r="K158" s="1637"/>
      <c r="L158" s="1638"/>
      <c r="M158" s="1638"/>
      <c r="N158" s="1638"/>
      <c r="O158" s="1638"/>
      <c r="P158" s="1638"/>
      <c r="Q158" s="1638"/>
      <c r="R158" s="1638"/>
      <c r="S158" s="1638"/>
      <c r="T158" s="1638"/>
    </row>
    <row r="159" spans="1:20" s="1639" customFormat="1" ht="13.5" customHeight="1">
      <c r="A159" s="1638"/>
      <c r="B159" s="1638" t="s">
        <v>1024</v>
      </c>
      <c r="C159" s="1638"/>
      <c r="D159" s="1638"/>
      <c r="E159" s="1638"/>
      <c r="F159" s="1638"/>
      <c r="G159" s="1638"/>
      <c r="H159" s="1638"/>
      <c r="I159" s="1638"/>
      <c r="J159" s="1638"/>
      <c r="K159" s="1638"/>
      <c r="L159" s="1638"/>
      <c r="M159" s="1638"/>
      <c r="N159" s="1638"/>
      <c r="O159" s="1638"/>
      <c r="P159" s="1638"/>
      <c r="Q159" s="1638"/>
      <c r="R159" s="1638"/>
      <c r="S159" s="1638"/>
      <c r="T159" s="1638"/>
    </row>
    <row r="160" spans="1:20" s="1639" customFormat="1" ht="13.5" customHeight="1">
      <c r="A160" s="1634">
        <v>147</v>
      </c>
      <c r="B160" s="1635" t="s">
        <v>1019</v>
      </c>
      <c r="C160" s="1636">
        <f ca="1">D160+E160+F160+G160+H160+I160+J160</f>
        <v>31516869.956441708</v>
      </c>
      <c r="D160" s="1636">
        <f ca="1">'Exh No.__(JRS-17) p1-10'!L92+'Exh No.__(JRS-17) p1-10'!L93+'Exh No.__(JRS-17) p1-10'!L94</f>
        <v>12463</v>
      </c>
      <c r="E160" s="1636">
        <f ca="1">'Exh No.__(JRS-17) p1-10'!L178+'Exh No.__(JRS-17) p1-10'!L193+'Exh No.__(JRS-17) p1-10'!L198</f>
        <v>3234826</v>
      </c>
      <c r="F160" s="1636">
        <f ca="1">'Exh No.__(JRS-17) p1-10'!L610+'Exh No.__(JRS-17) p1-10'!L611+'Exh No.__(JRS-17) p1-10'!L626+'Exh No.__(JRS-17) p1-10'!L627+'Exh No.__(JRS-17) p1-10'!L631</f>
        <v>14790451</v>
      </c>
      <c r="G160" s="1636">
        <f ca="1">'Exh No.__(JRS-17) p1-10'!L929</f>
        <v>7428440</v>
      </c>
      <c r="H160" s="1636">
        <f ca="1">'Exh No.__(JRS-17) p1-10'!L1098</f>
        <v>5623992</v>
      </c>
      <c r="I160" s="1636">
        <v>0</v>
      </c>
      <c r="J160" s="1636">
        <f ca="1">J147/(J151-J148)*(K164-J161)</f>
        <v>426697.95644170704</v>
      </c>
      <c r="K160" s="1637"/>
      <c r="L160" s="1638"/>
      <c r="M160" s="1638"/>
      <c r="N160" s="1638"/>
      <c r="O160" s="1638"/>
      <c r="P160" s="1638"/>
      <c r="Q160" s="1638"/>
      <c r="R160" s="1638"/>
      <c r="S160" s="1638"/>
      <c r="T160" s="1638"/>
    </row>
    <row r="161" spans="1:20" s="1639" customFormat="1" ht="13.5" customHeight="1">
      <c r="A161" s="1634">
        <v>148</v>
      </c>
      <c r="B161" s="1635" t="s">
        <v>1020</v>
      </c>
      <c r="C161" s="1636">
        <f t="shared" ref="C161:C163" ca="1" si="5">D161+E161+F161+G161+H161+I161+J161</f>
        <v>287874509.94299102</v>
      </c>
      <c r="D161" s="1636">
        <f>'Exh No.__(JRS-17) p1-10'!L90+'Exh No.__(JRS-17) p1-10'!L91+'Exh No.__(JRS-17) p1-10'!L95+'Exh No.__(JRS-17) p1-10'!L96</f>
        <v>138677181.94299099</v>
      </c>
      <c r="E161" s="1636">
        <f ca="1">'Exh No.__(JRS-17) p1-10'!L179+'Exh No.__(JRS-17) p1-10'!L180+'Exh No.__(JRS-17) p1-10'!L181+'Exh No.__(JRS-17) p1-10'!L182+'Exh No.__(JRS-17) p1-10'!L183+'Exh No.__(JRS-17) p1-10'!L184+'Exh No.__(JRS-17) p1-10'!L185+'Exh No.__(JRS-17) p1-10'!L194+'Exh No.__(JRS-17) p1-10'!L195+'Exh No.__(JRS-17) p1-10'!L196+'Exh No.__(JRS-17) p1-10'!L197+'Exh No.__(JRS-17) p1-10'!L200+'Exh No.__(JRS-17) p1-10'!L201+'Exh No.__(JRS-17) p1-10'!L202</f>
        <v>43904913</v>
      </c>
      <c r="F161" s="1636">
        <f ca="1">'Exh No.__(JRS-17) p1-10'!L613+'Exh No.__(JRS-17) p1-10'!L614+'Exh No.__(JRS-17) p1-10'!L615+'Exh No.__(JRS-17) p1-10'!L616+'Exh No.__(JRS-17) p1-10'!L617+'Exh No.__(JRS-17) p1-10'!L628+'Exh No.__(JRS-17) p1-10'!L629+'Exh No.__(JRS-17) p1-10'!L630+'Exh No.__(JRS-17) p1-10'!L633+'Exh No.__(JRS-17) p1-10'!L634</f>
        <v>52524985</v>
      </c>
      <c r="G161" s="1636">
        <f ca="1">'Exh No.__(JRS-17) p1-10'!L931+'Exh No.__(JRS-17) p1-10'!L932+'Exh No.__(JRS-17) p1-10'!L933</f>
        <v>19676937</v>
      </c>
      <c r="H161" s="1636">
        <f ca="1">'Exh No.__(JRS-17) p1-10'!L1100+'Exh No.__(JRS-17) p1-10'!L1101+'Exh No.__(JRS-17) p1-10'!L1102</f>
        <v>22405583</v>
      </c>
      <c r="I161" s="1636">
        <f ca="1">'Exh No.__(JRS-17) p1-10'!L741+'Exh No.__(JRS-17) p1-10'!L742+'Exh No.__(JRS-17) p1-10'!L743+'Exh No.__(JRS-17) p1-10'!L762+'Exh No.__(JRS-17) p1-10'!L766</f>
        <v>10673044</v>
      </c>
      <c r="J161" s="1636">
        <f>'Exh No.__(JRS-17) p1-10'!L23+'Exh No.__(JRS-17) p1-10'!L1138+'Exh No.__(JRS-17) p1-10'!L1154+'Exh No.__(JRS-17) p1-10'!L1169+'Exh No.__(JRS-17) p1-10'!L1228+'Exh No.__(JRS-17) p1-10'!L1269</f>
        <v>11866</v>
      </c>
      <c r="K161" s="1637"/>
      <c r="L161" s="1638"/>
      <c r="M161" s="1638"/>
      <c r="N161" s="1638"/>
      <c r="O161" s="1638"/>
      <c r="P161" s="1638"/>
      <c r="Q161" s="1638"/>
      <c r="R161" s="1638"/>
      <c r="S161" s="1638"/>
      <c r="T161" s="1638"/>
    </row>
    <row r="162" spans="1:20" s="1639" customFormat="1" ht="13.5" customHeight="1">
      <c r="A162" s="1634">
        <v>149</v>
      </c>
      <c r="B162" s="1635" t="s">
        <v>1021</v>
      </c>
      <c r="C162" s="1636">
        <f t="shared" ca="1" si="5"/>
        <v>23185205.100233577</v>
      </c>
      <c r="D162" s="1636">
        <f>'Exh No.__(JRS-17) p1-10'!L89</f>
        <v>17313810</v>
      </c>
      <c r="E162" s="1636">
        <f>'Exh No.__(JRS-17) p1-10'!L169+'Exh No.__(JRS-17) p1-10'!L170+'Exh No.__(JRS-17) p1-10'!L173+'Exh No.__(JRS-17) p1-10'!L174+'Exh No.__(JRS-17) p1-10'!L190+'Exh No.__(JRS-17) p1-10'!L191</f>
        <v>2606996</v>
      </c>
      <c r="F162" s="1636">
        <f>'Exh No.__(JRS-17) p1-10'!L603+'Exh No.__(JRS-17) p1-10'!L604+'Exh No.__(JRS-17) p1-10'!L605+'Exh No.__(JRS-17) p1-10'!L621+'Exh No.__(JRS-17) p1-10'!L622+'Exh No.__(JRS-17) p1-10'!L623</f>
        <v>1611415</v>
      </c>
      <c r="G162" s="1636">
        <f>'Exh No.__(JRS-17) p1-10'!L924</f>
        <v>1019061</v>
      </c>
      <c r="H162" s="1636">
        <f ca="1">'Exh No.__(JRS-17) p1-10'!L1094</f>
        <v>32964</v>
      </c>
      <c r="I162" s="1636">
        <f ca="1">'Exh No.__(JRS-17) p1-10'!L724+'Exh No.__(JRS-17) p1-10'!L725+'Exh No.__(JRS-17) p1-10'!L735+'Exh No.__(JRS-17) p1-10'!L736</f>
        <v>386381</v>
      </c>
      <c r="J162" s="1636">
        <f ca="1">J149/(J151-J148)*(K164-J161)</f>
        <v>214578.1002335771</v>
      </c>
      <c r="K162" s="1637"/>
      <c r="L162" s="1638"/>
      <c r="M162" s="1638"/>
      <c r="N162" s="1638"/>
      <c r="O162" s="1638"/>
      <c r="P162" s="1638"/>
      <c r="Q162" s="1638"/>
      <c r="R162" s="1638"/>
      <c r="S162" s="1638"/>
      <c r="T162" s="1638"/>
    </row>
    <row r="163" spans="1:20" s="1639" customFormat="1" ht="13.5" customHeight="1">
      <c r="A163" s="1634">
        <v>150</v>
      </c>
      <c r="B163" s="1635" t="s">
        <v>1022</v>
      </c>
      <c r="C163" s="1636">
        <f t="shared" ca="1" si="5"/>
        <v>11757098.46236958</v>
      </c>
      <c r="D163" s="1636">
        <v>0</v>
      </c>
      <c r="E163" s="1636">
        <f>'Exh No.__(JRS-17) p1-10'!L171+'Exh No.__(JRS-17) p1-10'!L175+'Exh No.__(JRS-17) p1-10'!L192+'Exh No.__(JRS-17) p1-10'!L199</f>
        <v>1291762</v>
      </c>
      <c r="F163" s="1636">
        <f ca="1">'Exh No.__(JRS-17) p1-10'!L607+'Exh No.__(JRS-17) p1-10'!L608+'Exh No.__(JRS-17) p1-10'!L624+'Exh No.__(JRS-17) p1-10'!L625+'Exh No.__(JRS-17) p1-10'!L632</f>
        <v>5651630</v>
      </c>
      <c r="G163" s="1636">
        <f ca="1">'Exh No.__(JRS-17) p1-10'!L927</f>
        <v>1151944</v>
      </c>
      <c r="H163" s="1636">
        <f ca="1">'Exh No.__(JRS-17) p1-10'!L1097</f>
        <v>187176</v>
      </c>
      <c r="I163" s="1636">
        <f ca="1">'Exh No.__(JRS-17) p1-10'!L730+'Exh No.__(JRS-17) p1-10'!L732+'Exh No.__(JRS-17) p1-10'!L733+'Exh No.__(JRS-17) p1-10'!L734+'Exh No.__(JRS-17) p1-10'!L738+'Exh No.__(JRS-17) p1-10'!L739+'Exh No.__(JRS-17) p1-10'!L753+'Exh No.__(JRS-17) p1-10'!L764+'Exh No.__(JRS-17) p1-10'!L765</f>
        <v>2269626</v>
      </c>
      <c r="J163" s="1636">
        <f ca="1">J150/(J151-J148)*(K164-J161)</f>
        <v>1204960.4623695789</v>
      </c>
      <c r="K163" s="1637"/>
      <c r="L163" s="1638"/>
      <c r="M163" s="1638"/>
      <c r="N163" s="1638"/>
      <c r="O163" s="1638"/>
      <c r="P163" s="1638"/>
      <c r="Q163" s="1638"/>
      <c r="R163" s="1638"/>
      <c r="S163" s="1638"/>
      <c r="T163" s="1638"/>
    </row>
    <row r="164" spans="1:20" s="1639" customFormat="1" ht="13.5" customHeight="1">
      <c r="A164" s="1634">
        <v>151</v>
      </c>
      <c r="B164" s="1635" t="s">
        <v>1023</v>
      </c>
      <c r="C164" s="1636">
        <f t="shared" ref="C164:J164" ca="1" si="6">SUM(C160:C163)</f>
        <v>354333683.46203583</v>
      </c>
      <c r="D164" s="1636">
        <f t="shared" ca="1" si="6"/>
        <v>156003454.94299099</v>
      </c>
      <c r="E164" s="1636">
        <f t="shared" ca="1" si="6"/>
        <v>51038497</v>
      </c>
      <c r="F164" s="1636">
        <f t="shared" ca="1" si="6"/>
        <v>74578481</v>
      </c>
      <c r="G164" s="1636">
        <f t="shared" ca="1" si="6"/>
        <v>29276382</v>
      </c>
      <c r="H164" s="1636">
        <f t="shared" ca="1" si="6"/>
        <v>28249715</v>
      </c>
      <c r="I164" s="1636">
        <f t="shared" ca="1" si="6"/>
        <v>13329051</v>
      </c>
      <c r="J164" s="1636">
        <f t="shared" ca="1" si="6"/>
        <v>1858102.5190448631</v>
      </c>
      <c r="K164" s="1637">
        <f ca="1">'Exh No.__(JRS-17) p1-10'!L25+'Exh No.__(JRS-17) p1-10'!L1139+'Exh No.__(JRS-17) p1-10'!L1156+'Exh No.__(JRS-17) p1-10'!L1170+'Exh No.__(JRS-17) p1-10'!L1230+'Exh No.__(JRS-17) p1-10'!L1270</f>
        <v>1858102.5190448628</v>
      </c>
      <c r="L164" s="1638"/>
      <c r="M164" s="1638"/>
      <c r="N164" s="1638"/>
      <c r="O164" s="1638"/>
      <c r="P164" s="1638"/>
      <c r="Q164" s="1638"/>
      <c r="R164" s="1638"/>
      <c r="S164" s="1638"/>
      <c r="T164" s="1638"/>
    </row>
    <row r="165" spans="1:20" s="1639" customFormat="1" ht="13.5" customHeight="1">
      <c r="A165" s="1638"/>
      <c r="B165" s="1638"/>
      <c r="C165" s="1638"/>
      <c r="D165" s="1638"/>
      <c r="E165" s="1638"/>
      <c r="F165" s="1638"/>
      <c r="G165" s="1638"/>
      <c r="H165" s="1638"/>
      <c r="I165" s="1638"/>
      <c r="J165" s="1638"/>
      <c r="K165" s="1638"/>
      <c r="L165" s="1638"/>
      <c r="M165" s="1638"/>
      <c r="N165" s="1638"/>
      <c r="O165" s="1638"/>
      <c r="P165" s="1638"/>
      <c r="Q165" s="1638"/>
      <c r="R165" s="1638"/>
      <c r="S165" s="1638"/>
      <c r="T165" s="1638"/>
    </row>
    <row r="166" spans="1:20" s="1639" customFormat="1" ht="13.5" customHeight="1">
      <c r="A166" s="1634">
        <v>147</v>
      </c>
      <c r="B166" s="1635" t="s">
        <v>1019</v>
      </c>
      <c r="C166" s="1640">
        <f ca="1">C160/C164</f>
        <v>8.8946864008254814E-2</v>
      </c>
      <c r="D166" s="1640">
        <f t="shared" ref="D166:I166" ca="1" si="7">D160/D164</f>
        <v>7.9889256328037145E-5</v>
      </c>
      <c r="E166" s="1640">
        <f t="shared" ca="1" si="7"/>
        <v>6.3380118736646965E-2</v>
      </c>
      <c r="F166" s="1640">
        <f t="shared" ca="1" si="7"/>
        <v>0.19832062548981119</v>
      </c>
      <c r="G166" s="1640">
        <f t="shared" ca="1" si="7"/>
        <v>0.25373490481166694</v>
      </c>
      <c r="H166" s="1640">
        <f t="shared" ca="1" si="7"/>
        <v>0.19908137126339151</v>
      </c>
      <c r="I166" s="1640">
        <f t="shared" ca="1" si="7"/>
        <v>0</v>
      </c>
      <c r="J166" s="1640">
        <f t="shared" ref="J166" ca="1" si="8">J160/J164</f>
        <v>0.22964177275915129</v>
      </c>
      <c r="K166" s="1637"/>
      <c r="L166" s="1638"/>
      <c r="M166" s="1638"/>
      <c r="N166" s="1638"/>
      <c r="O166" s="1638"/>
      <c r="P166" s="1638"/>
      <c r="Q166" s="1638"/>
      <c r="R166" s="1638"/>
      <c r="S166" s="1638"/>
      <c r="T166" s="1638"/>
    </row>
    <row r="167" spans="1:20" s="1639" customFormat="1" ht="13.5" customHeight="1">
      <c r="A167" s="1634">
        <v>148</v>
      </c>
      <c r="B167" s="1635" t="s">
        <v>1020</v>
      </c>
      <c r="C167" s="1640">
        <f ca="1">C161/C164</f>
        <v>0.81243901830133114</v>
      </c>
      <c r="D167" s="1640">
        <f t="shared" ref="D167:I167" ca="1" si="9">D161/D164</f>
        <v>0.88893660716468359</v>
      </c>
      <c r="E167" s="1640">
        <f t="shared" ca="1" si="9"/>
        <v>0.86023130736001097</v>
      </c>
      <c r="F167" s="1640">
        <f t="shared" ca="1" si="9"/>
        <v>0.70429142958811408</v>
      </c>
      <c r="G167" s="1640">
        <f t="shared" ca="1" si="9"/>
        <v>0.67210958649193742</v>
      </c>
      <c r="H167" s="1640">
        <f t="shared" ca="1" si="9"/>
        <v>0.79312598374886256</v>
      </c>
      <c r="I167" s="1640">
        <f t="shared" ca="1" si="9"/>
        <v>0.80073547621657382</v>
      </c>
      <c r="J167" s="1640">
        <f t="shared" ref="J167" ca="1" si="10">J161/J164</f>
        <v>6.3860846634552684E-3</v>
      </c>
      <c r="K167" s="1637"/>
      <c r="L167" s="1638"/>
      <c r="M167" s="1638"/>
      <c r="N167" s="1638"/>
      <c r="O167" s="1638"/>
      <c r="P167" s="1638"/>
      <c r="Q167" s="1638"/>
      <c r="R167" s="1638"/>
      <c r="S167" s="1638"/>
      <c r="T167" s="1638"/>
    </row>
    <row r="168" spans="1:20" s="1639" customFormat="1" ht="13.5" customHeight="1">
      <c r="A168" s="1634">
        <v>149</v>
      </c>
      <c r="B168" s="1635" t="s">
        <v>1021</v>
      </c>
      <c r="C168" s="1640">
        <f ca="1">C162/C164</f>
        <v>6.5433251712626678E-2</v>
      </c>
      <c r="D168" s="1640">
        <f t="shared" ref="D168:I168" ca="1" si="11">D162/D164</f>
        <v>0.11098350357898842</v>
      </c>
      <c r="E168" s="1640">
        <f t="shared" ca="1" si="11"/>
        <v>5.1079011985795744E-2</v>
      </c>
      <c r="F168" s="1640">
        <f t="shared" ca="1" si="11"/>
        <v>2.1606969978377542E-2</v>
      </c>
      <c r="G168" s="1640">
        <f t="shared" ca="1" si="11"/>
        <v>3.4808297008831215E-2</v>
      </c>
      <c r="H168" s="1640">
        <f t="shared" ca="1" si="11"/>
        <v>1.166879028691086E-3</v>
      </c>
      <c r="I168" s="1640">
        <f t="shared" ca="1" si="11"/>
        <v>2.8987885184023978E-2</v>
      </c>
      <c r="J168" s="1640">
        <f t="shared" ref="J168" ca="1" si="12">J162/J164</f>
        <v>0.11548237948887696</v>
      </c>
      <c r="K168" s="1637"/>
      <c r="L168" s="1638"/>
      <c r="M168" s="1638"/>
      <c r="N168" s="1638"/>
      <c r="O168" s="1638"/>
      <c r="P168" s="1638"/>
      <c r="Q168" s="1638"/>
      <c r="R168" s="1638"/>
      <c r="S168" s="1638"/>
      <c r="T168" s="1638"/>
    </row>
    <row r="169" spans="1:20" s="1639" customFormat="1" ht="13.5" customHeight="1">
      <c r="A169" s="1634">
        <v>150</v>
      </c>
      <c r="B169" s="1635" t="s">
        <v>1022</v>
      </c>
      <c r="C169" s="1640">
        <f ca="1">C163/C164</f>
        <v>3.3180865977787473E-2</v>
      </c>
      <c r="D169" s="1640">
        <f t="shared" ref="D169:I169" ca="1" si="13">D163/D164</f>
        <v>0</v>
      </c>
      <c r="E169" s="1640">
        <f t="shared" ca="1" si="13"/>
        <v>2.530956191754628E-2</v>
      </c>
      <c r="F169" s="1640">
        <f t="shared" ca="1" si="13"/>
        <v>7.5780974943697232E-2</v>
      </c>
      <c r="G169" s="1640">
        <f t="shared" ca="1" si="13"/>
        <v>3.9347211687564401E-2</v>
      </c>
      <c r="H169" s="1640">
        <f t="shared" ca="1" si="13"/>
        <v>6.6257659590548083E-3</v>
      </c>
      <c r="I169" s="1640">
        <f t="shared" ca="1" si="13"/>
        <v>0.17027663859940217</v>
      </c>
      <c r="J169" s="1640">
        <f t="shared" ref="J169" ca="1" si="14">J163/J164</f>
        <v>0.64848976308851647</v>
      </c>
      <c r="K169" s="1637"/>
      <c r="L169" s="1638"/>
      <c r="M169" s="1638"/>
      <c r="N169" s="1638"/>
      <c r="O169" s="1638"/>
      <c r="P169" s="1638"/>
      <c r="Q169" s="1638"/>
      <c r="R169" s="1638"/>
      <c r="S169" s="1638"/>
      <c r="T169" s="1638"/>
    </row>
    <row r="170" spans="1:20" s="1639" customFormat="1" ht="13.5" customHeight="1">
      <c r="A170" s="1634">
        <v>151</v>
      </c>
      <c r="B170" s="1635" t="s">
        <v>1023</v>
      </c>
      <c r="C170" s="1640">
        <f ca="1">C164/C164</f>
        <v>1</v>
      </c>
      <c r="D170" s="1640">
        <f t="shared" ref="D170:I170" ca="1" si="15">D164/D164</f>
        <v>1</v>
      </c>
      <c r="E170" s="1640">
        <f t="shared" ca="1" si="15"/>
        <v>1</v>
      </c>
      <c r="F170" s="1640">
        <f t="shared" ca="1" si="15"/>
        <v>1</v>
      </c>
      <c r="G170" s="1640">
        <f t="shared" ca="1" si="15"/>
        <v>1</v>
      </c>
      <c r="H170" s="1640">
        <f t="shared" ca="1" si="15"/>
        <v>1</v>
      </c>
      <c r="I170" s="1640">
        <f t="shared" ca="1" si="15"/>
        <v>1</v>
      </c>
      <c r="J170" s="1640">
        <f t="shared" ref="J170" ca="1" si="16">J164/J164</f>
        <v>1</v>
      </c>
      <c r="K170" s="1637"/>
      <c r="L170" s="1638"/>
      <c r="M170" s="1638"/>
      <c r="N170" s="1638"/>
      <c r="O170" s="1638"/>
      <c r="P170" s="1638"/>
      <c r="Q170" s="1638"/>
      <c r="R170" s="1638"/>
      <c r="S170" s="1638"/>
      <c r="T170" s="1638"/>
    </row>
    <row r="171" spans="1:20" ht="13.5" customHeight="1">
      <c r="A171" s="1597"/>
      <c r="B171" s="1597"/>
      <c r="C171" s="1597"/>
      <c r="D171" s="1597"/>
      <c r="E171" s="1597"/>
      <c r="F171" s="1597"/>
      <c r="G171" s="1597"/>
      <c r="H171" s="1597"/>
      <c r="I171" s="1597"/>
      <c r="J171" s="1597"/>
      <c r="K171" s="1597"/>
      <c r="L171" s="1597"/>
      <c r="M171" s="1597"/>
      <c r="N171" s="1597"/>
      <c r="O171" s="1597"/>
      <c r="P171" s="1597"/>
      <c r="Q171" s="1597"/>
      <c r="R171" s="1597"/>
      <c r="S171" s="1597"/>
      <c r="T171" s="1597"/>
    </row>
    <row r="172" spans="1:20" ht="13.5" customHeight="1">
      <c r="A172" s="1597"/>
      <c r="B172" s="1698" t="s">
        <v>1068</v>
      </c>
      <c r="C172" s="1597"/>
      <c r="D172" s="1597"/>
      <c r="E172" s="1597"/>
      <c r="F172" s="1700">
        <f>F33/F135</f>
        <v>8.7635246393401953</v>
      </c>
      <c r="G172" s="1597" t="s">
        <v>1085</v>
      </c>
      <c r="H172" s="1597"/>
      <c r="I172" s="1597"/>
      <c r="J172" s="1597"/>
      <c r="K172" s="1597"/>
      <c r="L172" s="1597"/>
      <c r="M172" s="1597"/>
      <c r="N172" s="1597"/>
      <c r="O172" s="1597"/>
      <c r="P172" s="1597"/>
      <c r="Q172" s="1597"/>
      <c r="R172" s="1597"/>
      <c r="S172" s="1597"/>
      <c r="T172" s="1597"/>
    </row>
    <row r="173" spans="1:20" ht="13.5" customHeight="1">
      <c r="A173" s="1597"/>
      <c r="B173" s="1612"/>
      <c r="C173" s="1597"/>
      <c r="D173" s="1597"/>
      <c r="E173" s="1597"/>
      <c r="F173" s="1700">
        <f>F51/F135</f>
        <v>2.1706157531991344</v>
      </c>
      <c r="G173" s="1597" t="s">
        <v>1086</v>
      </c>
      <c r="H173" s="1597"/>
      <c r="I173" s="1597"/>
      <c r="J173" s="1597"/>
      <c r="K173" s="1597"/>
      <c r="L173" s="1597"/>
      <c r="M173" s="1597"/>
      <c r="N173" s="1597"/>
      <c r="O173" s="1597"/>
      <c r="P173" s="1597"/>
      <c r="Q173" s="1597"/>
      <c r="R173" s="1597"/>
      <c r="S173" s="1597"/>
      <c r="T173" s="1597"/>
    </row>
    <row r="174" spans="1:20" ht="13.5" customHeight="1">
      <c r="A174" s="1597"/>
      <c r="B174" s="1612"/>
      <c r="C174" s="1597"/>
      <c r="D174" s="1626"/>
      <c r="E174" s="1597"/>
      <c r="F174" s="1597"/>
      <c r="G174" s="1597"/>
      <c r="H174" s="1597"/>
      <c r="I174" s="1597"/>
      <c r="J174" s="1597"/>
      <c r="K174" s="1597"/>
      <c r="L174" s="1597"/>
      <c r="M174" s="1597"/>
      <c r="N174" s="1597"/>
      <c r="O174" s="1597"/>
      <c r="P174" s="1597"/>
      <c r="Q174" s="1597"/>
      <c r="R174" s="1597"/>
      <c r="S174" s="1597"/>
      <c r="T174" s="1597"/>
    </row>
    <row r="175" spans="1:20" ht="13.5" customHeight="1">
      <c r="A175" s="1597"/>
      <c r="B175" s="1612"/>
      <c r="C175" s="1597" t="s">
        <v>31</v>
      </c>
      <c r="D175" s="1597"/>
      <c r="E175" s="1597"/>
      <c r="F175" s="1597"/>
      <c r="G175" s="1597"/>
      <c r="H175" s="1597"/>
      <c r="I175" s="1597"/>
      <c r="J175" s="1597"/>
      <c r="K175" s="1597"/>
      <c r="L175" s="1597"/>
      <c r="M175" s="1597"/>
      <c r="N175" s="1597"/>
      <c r="O175" s="1597"/>
      <c r="P175" s="1597"/>
      <c r="Q175" s="1597"/>
      <c r="R175" s="1597"/>
      <c r="S175" s="1597"/>
      <c r="T175" s="1597"/>
    </row>
    <row r="176" spans="1:20" ht="13.5" customHeight="1">
      <c r="A176" s="1597"/>
      <c r="B176" s="1597"/>
      <c r="C176" s="1597"/>
      <c r="D176" s="1597"/>
      <c r="E176" s="1597"/>
      <c r="F176" s="1597"/>
      <c r="G176" s="1597"/>
      <c r="H176" s="1597"/>
      <c r="I176" s="1597"/>
      <c r="J176" s="1597"/>
      <c r="K176" s="1597"/>
      <c r="L176" s="1597"/>
      <c r="M176" s="1597"/>
      <c r="N176" s="1597"/>
      <c r="O176" s="1597"/>
      <c r="P176" s="1597"/>
      <c r="Q176" s="1597"/>
      <c r="R176" s="1597"/>
      <c r="S176" s="1597"/>
      <c r="T176" s="1597"/>
    </row>
    <row r="177" spans="1:20" ht="13.5" customHeight="1">
      <c r="A177" s="1597"/>
      <c r="B177" s="1597"/>
      <c r="C177" s="1597"/>
      <c r="D177" s="1597"/>
      <c r="E177" s="1597"/>
      <c r="F177" s="1597"/>
      <c r="G177" s="1597"/>
      <c r="H177" s="1597"/>
      <c r="I177" s="1597"/>
      <c r="J177" s="1597"/>
      <c r="K177" s="1597"/>
      <c r="L177" s="1597"/>
      <c r="M177" s="1597"/>
      <c r="N177" s="1597"/>
      <c r="O177" s="1597"/>
      <c r="P177" s="1597"/>
      <c r="Q177" s="1597"/>
      <c r="R177" s="1597"/>
      <c r="S177" s="1597"/>
      <c r="T177" s="1597"/>
    </row>
    <row r="178" spans="1:20" ht="13.5" customHeight="1">
      <c r="A178" s="1597"/>
      <c r="B178" s="1597"/>
      <c r="C178" s="1597"/>
      <c r="D178" s="1597"/>
      <c r="E178" s="1597"/>
      <c r="F178" s="1597"/>
      <c r="G178" s="1597"/>
      <c r="H178" s="1597"/>
      <c r="I178" s="1597"/>
      <c r="J178" s="1597"/>
      <c r="K178" s="1597"/>
      <c r="L178" s="1597"/>
      <c r="M178" s="1597"/>
      <c r="N178" s="1597"/>
      <c r="O178" s="1597"/>
      <c r="P178" s="1597"/>
      <c r="Q178" s="1597"/>
      <c r="R178" s="1597"/>
      <c r="S178" s="1597"/>
      <c r="T178" s="1597"/>
    </row>
    <row r="179" spans="1:20" ht="13.5" customHeight="1">
      <c r="A179" s="1597"/>
      <c r="B179" s="1597"/>
      <c r="C179" s="1597"/>
      <c r="D179" s="1597"/>
      <c r="E179" s="1597"/>
      <c r="F179" s="1597"/>
      <c r="G179" s="1597"/>
      <c r="H179" s="1597"/>
      <c r="I179" s="1597"/>
      <c r="J179" s="1597"/>
      <c r="K179" s="1597"/>
      <c r="L179" s="1597"/>
      <c r="M179" s="1597"/>
      <c r="N179" s="1597"/>
      <c r="O179" s="1597"/>
      <c r="P179" s="1597"/>
      <c r="Q179" s="1597"/>
      <c r="R179" s="1597"/>
      <c r="S179" s="1597"/>
      <c r="T179" s="1597"/>
    </row>
    <row r="180" spans="1:20" ht="13.5" customHeight="1">
      <c r="A180" s="1597"/>
      <c r="B180" s="1597"/>
      <c r="C180" s="1597"/>
      <c r="D180" s="1597"/>
      <c r="E180" s="1597"/>
      <c r="F180" s="1597"/>
      <c r="G180" s="1597"/>
      <c r="H180" s="1597"/>
      <c r="I180" s="1597"/>
      <c r="J180" s="1597"/>
      <c r="K180" s="1597"/>
      <c r="L180" s="1597"/>
      <c r="M180" s="1597"/>
      <c r="N180" s="1597"/>
      <c r="O180" s="1597"/>
      <c r="P180" s="1597"/>
      <c r="Q180" s="1597"/>
      <c r="R180" s="1597"/>
      <c r="S180" s="1597"/>
      <c r="T180" s="1597"/>
    </row>
    <row r="181" spans="1:20" ht="13.5" customHeight="1">
      <c r="A181" s="1597"/>
      <c r="B181" s="1597"/>
      <c r="C181" s="1597"/>
      <c r="D181" s="1597"/>
      <c r="E181" s="1597"/>
      <c r="F181" s="1597"/>
      <c r="G181" s="1597"/>
      <c r="H181" s="1597"/>
      <c r="I181" s="1597"/>
      <c r="J181" s="1597"/>
      <c r="K181" s="1597"/>
      <c r="L181" s="1597"/>
      <c r="M181" s="1597"/>
      <c r="N181" s="1597"/>
      <c r="O181" s="1597"/>
      <c r="P181" s="1597"/>
      <c r="Q181" s="1597"/>
      <c r="R181" s="1597"/>
      <c r="S181" s="1597"/>
      <c r="T181" s="1597"/>
    </row>
    <row r="182" spans="1:20" ht="13.5" customHeight="1">
      <c r="A182" s="1597"/>
      <c r="B182" s="1597"/>
      <c r="C182" s="1597"/>
      <c r="D182" s="1597"/>
      <c r="E182" s="1597"/>
      <c r="F182" s="1597"/>
      <c r="G182" s="1597"/>
      <c r="H182" s="1597"/>
      <c r="I182" s="1597"/>
      <c r="J182" s="1597"/>
      <c r="K182" s="1597"/>
      <c r="L182" s="1597"/>
      <c r="M182" s="1597"/>
      <c r="N182" s="1597"/>
      <c r="O182" s="1597"/>
      <c r="P182" s="1597"/>
      <c r="Q182" s="1597"/>
      <c r="R182" s="1597"/>
      <c r="S182" s="1597"/>
      <c r="T182" s="1597"/>
    </row>
    <row r="183" spans="1:20" ht="13.5" customHeight="1">
      <c r="A183" s="1597"/>
      <c r="B183" s="1597"/>
      <c r="C183" s="1597"/>
      <c r="D183" s="1597"/>
      <c r="E183" s="1597"/>
      <c r="F183" s="1597"/>
      <c r="G183" s="1597"/>
      <c r="H183" s="1597"/>
      <c r="I183" s="1597"/>
      <c r="J183" s="1597"/>
      <c r="K183" s="1597"/>
      <c r="L183" s="1597"/>
      <c r="M183" s="1597"/>
      <c r="N183" s="1597"/>
      <c r="O183" s="1597"/>
      <c r="P183" s="1597"/>
      <c r="Q183" s="1597"/>
      <c r="R183" s="1597"/>
      <c r="S183" s="1597"/>
      <c r="T183" s="1597"/>
    </row>
    <row r="184" spans="1:20" ht="13.5" customHeight="1">
      <c r="A184" s="1597"/>
      <c r="B184" s="1597"/>
      <c r="C184" s="1597"/>
      <c r="D184" s="1597"/>
      <c r="E184" s="1597"/>
      <c r="F184" s="1597"/>
      <c r="G184" s="1597"/>
      <c r="H184" s="1597"/>
      <c r="I184" s="1597"/>
      <c r="J184" s="1597"/>
      <c r="K184" s="1597"/>
      <c r="L184" s="1597"/>
      <c r="M184" s="1597"/>
      <c r="N184" s="1597"/>
      <c r="O184" s="1597"/>
      <c r="P184" s="1597"/>
      <c r="Q184" s="1597"/>
      <c r="R184" s="1597"/>
      <c r="S184" s="1597"/>
      <c r="T184" s="1597"/>
    </row>
    <row r="185" spans="1:20" ht="13.5" customHeight="1">
      <c r="A185" s="1597"/>
      <c r="B185" s="1597"/>
      <c r="C185" s="1597"/>
      <c r="D185" s="1597"/>
      <c r="E185" s="1597"/>
      <c r="F185" s="1597"/>
      <c r="G185" s="1597"/>
      <c r="H185" s="1597"/>
      <c r="I185" s="1597"/>
      <c r="J185" s="1597"/>
      <c r="K185" s="1597"/>
      <c r="L185" s="1597"/>
      <c r="M185" s="1597"/>
      <c r="N185" s="1597"/>
      <c r="O185" s="1597"/>
      <c r="P185" s="1597"/>
      <c r="Q185" s="1597"/>
      <c r="R185" s="1597"/>
      <c r="S185" s="1597"/>
      <c r="T185" s="1597"/>
    </row>
    <row r="186" spans="1:20" ht="13.5" customHeight="1">
      <c r="A186" s="1597"/>
      <c r="B186" s="1597"/>
      <c r="C186" s="1597"/>
      <c r="D186" s="1597"/>
      <c r="E186" s="1597"/>
      <c r="F186" s="1597"/>
      <c r="G186" s="1597"/>
      <c r="H186" s="1597"/>
      <c r="I186" s="1597"/>
      <c r="J186" s="1597"/>
      <c r="K186" s="1597"/>
      <c r="L186" s="1597"/>
      <c r="M186" s="1597"/>
      <c r="N186" s="1597"/>
      <c r="O186" s="1597"/>
      <c r="P186" s="1597"/>
      <c r="Q186" s="1597"/>
      <c r="R186" s="1597"/>
      <c r="S186" s="1597"/>
      <c r="T186" s="1597"/>
    </row>
    <row r="187" spans="1:20" ht="13.5" customHeight="1">
      <c r="A187" s="1597"/>
      <c r="B187" s="1597"/>
      <c r="C187" s="1597"/>
      <c r="D187" s="1597"/>
      <c r="E187" s="1597"/>
      <c r="F187" s="1597"/>
      <c r="G187" s="1597"/>
      <c r="H187" s="1597"/>
      <c r="I187" s="1597"/>
      <c r="J187" s="1597"/>
      <c r="K187" s="1597"/>
      <c r="L187" s="1597"/>
      <c r="M187" s="1597"/>
      <c r="N187" s="1597"/>
      <c r="O187" s="1597"/>
      <c r="P187" s="1597"/>
      <c r="Q187" s="1597"/>
      <c r="R187" s="1597"/>
      <c r="S187" s="1597"/>
      <c r="T187" s="1597"/>
    </row>
    <row r="188" spans="1:20" ht="13.5" customHeight="1">
      <c r="A188" s="1597"/>
      <c r="B188" s="1597"/>
      <c r="C188" s="1597"/>
      <c r="D188" s="1597"/>
      <c r="E188" s="1597"/>
      <c r="F188" s="1597"/>
      <c r="G188" s="1597"/>
      <c r="H188" s="1597"/>
      <c r="I188" s="1597"/>
      <c r="J188" s="1597"/>
      <c r="K188" s="1597"/>
      <c r="L188" s="1597"/>
      <c r="M188" s="1597"/>
      <c r="N188" s="1597"/>
      <c r="O188" s="1597"/>
      <c r="P188" s="1597"/>
      <c r="Q188" s="1597"/>
      <c r="R188" s="1597"/>
      <c r="S188" s="1597"/>
      <c r="T188" s="1597"/>
    </row>
    <row r="189" spans="1:20" ht="13.5" customHeight="1">
      <c r="A189" s="1597"/>
      <c r="B189" s="1597"/>
      <c r="C189" s="1597"/>
      <c r="D189" s="1597"/>
      <c r="E189" s="1597"/>
      <c r="F189" s="1597"/>
      <c r="G189" s="1597"/>
      <c r="H189" s="1597"/>
      <c r="I189" s="1597"/>
      <c r="J189" s="1597"/>
      <c r="K189" s="1597"/>
      <c r="L189" s="1597"/>
      <c r="M189" s="1597"/>
      <c r="N189" s="1597"/>
      <c r="O189" s="1597"/>
      <c r="P189" s="1597"/>
      <c r="Q189" s="1597"/>
      <c r="R189" s="1597"/>
      <c r="S189" s="1597"/>
      <c r="T189" s="1597"/>
    </row>
    <row r="190" spans="1:20" ht="13.5" customHeight="1">
      <c r="A190" s="1597"/>
      <c r="B190" s="1597"/>
      <c r="C190" s="1597"/>
      <c r="D190" s="1597"/>
      <c r="E190" s="1597"/>
      <c r="F190" s="1597"/>
      <c r="G190" s="1597"/>
      <c r="H190" s="1597"/>
      <c r="I190" s="1597"/>
      <c r="J190" s="1597"/>
      <c r="K190" s="1597"/>
      <c r="L190" s="1597"/>
      <c r="M190" s="1597"/>
      <c r="N190" s="1597"/>
      <c r="O190" s="1597"/>
      <c r="P190" s="1597"/>
      <c r="Q190" s="1597"/>
      <c r="R190" s="1597"/>
      <c r="S190" s="1597"/>
      <c r="T190" s="1597"/>
    </row>
    <row r="191" spans="1:20" ht="13.5" customHeight="1">
      <c r="A191" s="1597"/>
      <c r="B191" s="1597"/>
      <c r="C191" s="1597"/>
      <c r="D191" s="1597"/>
      <c r="E191" s="1597"/>
      <c r="F191" s="1597"/>
      <c r="G191" s="1597"/>
      <c r="H191" s="1597"/>
      <c r="I191" s="1597"/>
      <c r="J191" s="1597"/>
      <c r="K191" s="1597"/>
      <c r="L191" s="1597"/>
      <c r="M191" s="1597"/>
      <c r="N191" s="1597"/>
      <c r="O191" s="1597"/>
      <c r="P191" s="1597"/>
      <c r="Q191" s="1597"/>
      <c r="R191" s="1597"/>
      <c r="S191" s="1597"/>
      <c r="T191" s="1597"/>
    </row>
    <row r="192" spans="1:20" ht="13.5" customHeight="1">
      <c r="A192" s="1597"/>
      <c r="B192" s="1597"/>
      <c r="C192" s="1597"/>
      <c r="D192" s="1597"/>
      <c r="E192" s="1597"/>
      <c r="F192" s="1597"/>
      <c r="G192" s="1597"/>
      <c r="H192" s="1597"/>
      <c r="I192" s="1597"/>
      <c r="J192" s="1597"/>
      <c r="K192" s="1597"/>
      <c r="L192" s="1597"/>
      <c r="M192" s="1597"/>
      <c r="N192" s="1597"/>
      <c r="O192" s="1597"/>
      <c r="P192" s="1597"/>
      <c r="Q192" s="1597"/>
      <c r="R192" s="1597"/>
      <c r="S192" s="1597"/>
      <c r="T192" s="1597"/>
    </row>
    <row r="193" spans="1:20" ht="13.5" customHeight="1">
      <c r="A193" s="1597"/>
      <c r="B193" s="1597"/>
      <c r="C193" s="1597"/>
      <c r="D193" s="1597"/>
      <c r="E193" s="1597"/>
      <c r="F193" s="1597"/>
      <c r="G193" s="1597"/>
      <c r="H193" s="1597"/>
      <c r="I193" s="1597"/>
      <c r="J193" s="1597"/>
      <c r="K193" s="1597"/>
      <c r="L193" s="1597"/>
      <c r="M193" s="1597"/>
      <c r="N193" s="1597"/>
      <c r="O193" s="1597"/>
      <c r="P193" s="1597"/>
      <c r="Q193" s="1597"/>
      <c r="R193" s="1597"/>
      <c r="S193" s="1597"/>
      <c r="T193" s="1597"/>
    </row>
    <row r="194" spans="1:20" ht="13.5" customHeight="1">
      <c r="A194" s="1597"/>
      <c r="B194" s="1597"/>
      <c r="C194" s="1597"/>
      <c r="D194" s="1597"/>
      <c r="E194" s="1597"/>
      <c r="F194" s="1597"/>
      <c r="G194" s="1597"/>
      <c r="H194" s="1597"/>
      <c r="I194" s="1597"/>
      <c r="J194" s="1597"/>
      <c r="K194" s="1597"/>
      <c r="L194" s="1597"/>
      <c r="M194" s="1597"/>
      <c r="N194" s="1597"/>
      <c r="O194" s="1597"/>
      <c r="P194" s="1597"/>
      <c r="Q194" s="1597"/>
      <c r="R194" s="1597"/>
      <c r="S194" s="1597"/>
      <c r="T194" s="1597"/>
    </row>
    <row r="195" spans="1:20" ht="13.5" customHeight="1">
      <c r="A195" s="1597"/>
      <c r="B195" s="1597"/>
      <c r="C195" s="1597"/>
      <c r="D195" s="1597"/>
      <c r="E195" s="1597"/>
      <c r="F195" s="1597"/>
      <c r="G195" s="1597"/>
      <c r="H195" s="1597"/>
      <c r="I195" s="1597"/>
      <c r="J195" s="1597"/>
      <c r="K195" s="1597"/>
      <c r="L195" s="1597"/>
      <c r="M195" s="1597"/>
      <c r="N195" s="1597"/>
      <c r="O195" s="1597"/>
      <c r="P195" s="1597"/>
      <c r="Q195" s="1597"/>
      <c r="R195" s="1597"/>
      <c r="S195" s="1597"/>
      <c r="T195" s="1597"/>
    </row>
    <row r="196" spans="1:20" ht="13.5" customHeight="1">
      <c r="A196" s="1597"/>
      <c r="B196" s="1597"/>
      <c r="C196" s="1597"/>
      <c r="D196" s="1597"/>
      <c r="E196" s="1597"/>
      <c r="F196" s="1597"/>
      <c r="G196" s="1597"/>
      <c r="H196" s="1597"/>
      <c r="I196" s="1597"/>
      <c r="J196" s="1597"/>
      <c r="K196" s="1597"/>
      <c r="L196" s="1597"/>
      <c r="M196" s="1597"/>
      <c r="N196" s="1597"/>
      <c r="O196" s="1597"/>
      <c r="P196" s="1597"/>
      <c r="Q196" s="1597"/>
      <c r="R196" s="1597"/>
      <c r="S196" s="1597"/>
      <c r="T196" s="1597"/>
    </row>
    <row r="197" spans="1:20" ht="13.5" customHeight="1">
      <c r="A197" s="1597"/>
      <c r="B197" s="1597"/>
      <c r="C197" s="1597"/>
      <c r="D197" s="1597"/>
      <c r="E197" s="1597"/>
      <c r="F197" s="1597"/>
      <c r="G197" s="1597"/>
      <c r="H197" s="1597"/>
      <c r="I197" s="1597"/>
      <c r="J197" s="1597"/>
      <c r="K197" s="1597"/>
      <c r="L197" s="1597"/>
      <c r="M197" s="1597"/>
      <c r="N197" s="1597"/>
      <c r="O197" s="1597"/>
      <c r="P197" s="1597"/>
      <c r="Q197" s="1597"/>
      <c r="R197" s="1597"/>
      <c r="S197" s="1597"/>
      <c r="T197" s="1597"/>
    </row>
    <row r="198" spans="1:20" ht="13.5" customHeight="1">
      <c r="A198" s="1597"/>
      <c r="B198" s="1597"/>
      <c r="C198" s="1597"/>
      <c r="D198" s="1597"/>
      <c r="E198" s="1597"/>
      <c r="F198" s="1597"/>
      <c r="G198" s="1597"/>
      <c r="H198" s="1597"/>
      <c r="I198" s="1597"/>
      <c r="J198" s="1597"/>
      <c r="K198" s="1597"/>
      <c r="L198" s="1597"/>
      <c r="M198" s="1597"/>
      <c r="N198" s="1597"/>
      <c r="O198" s="1597"/>
      <c r="P198" s="1597"/>
      <c r="Q198" s="1597"/>
      <c r="R198" s="1597"/>
      <c r="S198" s="1597"/>
      <c r="T198" s="1597"/>
    </row>
    <row r="199" spans="1:20" ht="13.5" customHeight="1">
      <c r="A199" s="1597"/>
      <c r="B199" s="1597"/>
      <c r="C199" s="1597"/>
      <c r="D199" s="1597"/>
      <c r="E199" s="1597"/>
      <c r="F199" s="1597"/>
      <c r="G199" s="1597"/>
      <c r="H199" s="1597"/>
      <c r="I199" s="1597"/>
      <c r="J199" s="1597"/>
      <c r="K199" s="1597"/>
      <c r="L199" s="1597"/>
      <c r="M199" s="1597"/>
      <c r="N199" s="1597"/>
      <c r="O199" s="1597"/>
      <c r="P199" s="1597"/>
      <c r="Q199" s="1597"/>
      <c r="R199" s="1597"/>
      <c r="S199" s="1597"/>
      <c r="T199" s="1597"/>
    </row>
    <row r="200" spans="1:20" ht="13.5" customHeight="1">
      <c r="A200" s="1597"/>
      <c r="B200" s="1597"/>
      <c r="C200" s="1597"/>
      <c r="D200" s="1597"/>
      <c r="E200" s="1597"/>
      <c r="F200" s="1597"/>
      <c r="G200" s="1597"/>
      <c r="H200" s="1597"/>
      <c r="I200" s="1597"/>
      <c r="J200" s="1597"/>
      <c r="K200" s="1597"/>
      <c r="L200" s="1597"/>
      <c r="M200" s="1597"/>
      <c r="N200" s="1597"/>
      <c r="O200" s="1597"/>
      <c r="P200" s="1597"/>
      <c r="Q200" s="1597"/>
      <c r="R200" s="1597"/>
      <c r="S200" s="1597"/>
      <c r="T200" s="1597"/>
    </row>
    <row r="201" spans="1:20" ht="13.5" customHeight="1">
      <c r="A201" s="1597"/>
      <c r="B201" s="1597"/>
      <c r="C201" s="1597"/>
      <c r="D201" s="1597"/>
      <c r="E201" s="1597"/>
      <c r="F201" s="1597"/>
      <c r="G201" s="1597"/>
      <c r="H201" s="1597"/>
      <c r="I201" s="1597"/>
      <c r="J201" s="1597"/>
      <c r="K201" s="1597"/>
      <c r="L201" s="1597"/>
      <c r="M201" s="1597"/>
      <c r="N201" s="1597"/>
      <c r="O201" s="1597"/>
      <c r="P201" s="1597"/>
      <c r="Q201" s="1597"/>
      <c r="R201" s="1597"/>
      <c r="S201" s="1597"/>
      <c r="T201" s="1597"/>
    </row>
    <row r="202" spans="1:20" ht="13.5" customHeight="1">
      <c r="A202" s="1597"/>
      <c r="B202" s="1597"/>
      <c r="C202" s="1597"/>
      <c r="D202" s="1597"/>
      <c r="E202" s="1597"/>
      <c r="F202" s="1597"/>
      <c r="G202" s="1597"/>
      <c r="H202" s="1597"/>
      <c r="I202" s="1597"/>
      <c r="J202" s="1597"/>
      <c r="K202" s="1597"/>
      <c r="L202" s="1597"/>
      <c r="M202" s="1597"/>
      <c r="N202" s="1597"/>
      <c r="O202" s="1597"/>
      <c r="P202" s="1597"/>
      <c r="Q202" s="1597"/>
      <c r="R202" s="1597"/>
      <c r="S202" s="1597"/>
      <c r="T202" s="1597"/>
    </row>
    <row r="203" spans="1:20" ht="13.5" customHeight="1">
      <c r="A203" s="1597"/>
      <c r="B203" s="1597"/>
      <c r="C203" s="1597"/>
      <c r="D203" s="1597"/>
      <c r="E203" s="1597"/>
      <c r="F203" s="1597"/>
      <c r="G203" s="1597"/>
      <c r="H203" s="1597"/>
      <c r="I203" s="1597"/>
      <c r="J203" s="1597"/>
      <c r="K203" s="1597"/>
      <c r="L203" s="1597"/>
      <c r="M203" s="1597"/>
      <c r="N203" s="1597"/>
      <c r="O203" s="1597"/>
      <c r="P203" s="1597"/>
      <c r="Q203" s="1597"/>
      <c r="R203" s="1597"/>
      <c r="S203" s="1597"/>
      <c r="T203" s="1597"/>
    </row>
    <row r="204" spans="1:20" ht="13.5" customHeight="1">
      <c r="A204" s="1597"/>
      <c r="B204" s="1597"/>
      <c r="C204" s="1597"/>
      <c r="D204" s="1597"/>
      <c r="E204" s="1597"/>
      <c r="F204" s="1597"/>
      <c r="G204" s="1597"/>
      <c r="H204" s="1597"/>
      <c r="I204" s="1597"/>
      <c r="J204" s="1597"/>
      <c r="K204" s="1597"/>
      <c r="L204" s="1597"/>
      <c r="M204" s="1597"/>
      <c r="N204" s="1597"/>
      <c r="O204" s="1597"/>
      <c r="P204" s="1597"/>
      <c r="Q204" s="1597"/>
      <c r="R204" s="1597"/>
      <c r="S204" s="1597"/>
      <c r="T204" s="1597"/>
    </row>
    <row r="205" spans="1:20" ht="13.5" customHeight="1">
      <c r="A205" s="1597"/>
      <c r="B205" s="1597"/>
      <c r="C205" s="1597"/>
      <c r="D205" s="1597"/>
      <c r="E205" s="1597"/>
      <c r="F205" s="1597"/>
      <c r="G205" s="1597"/>
      <c r="H205" s="1597"/>
      <c r="I205" s="1597"/>
      <c r="J205" s="1597"/>
      <c r="K205" s="1597"/>
      <c r="L205" s="1597"/>
      <c r="M205" s="1597"/>
      <c r="N205" s="1597"/>
      <c r="O205" s="1597"/>
      <c r="P205" s="1597"/>
      <c r="Q205" s="1597"/>
      <c r="R205" s="1597"/>
      <c r="S205" s="1597"/>
      <c r="T205" s="1597"/>
    </row>
    <row r="206" spans="1:20" ht="13.5" customHeight="1">
      <c r="A206" s="1597"/>
      <c r="B206" s="1597"/>
      <c r="C206" s="1597"/>
      <c r="D206" s="1597"/>
      <c r="E206" s="1597"/>
      <c r="F206" s="1597"/>
      <c r="G206" s="1597"/>
      <c r="H206" s="1597"/>
      <c r="I206" s="1597"/>
      <c r="J206" s="1597"/>
      <c r="K206" s="1597"/>
      <c r="L206" s="1597"/>
      <c r="M206" s="1597"/>
      <c r="N206" s="1597"/>
      <c r="O206" s="1597"/>
      <c r="P206" s="1597"/>
      <c r="Q206" s="1597"/>
      <c r="R206" s="1597"/>
      <c r="S206" s="1597"/>
      <c r="T206" s="1597"/>
    </row>
    <row r="207" spans="1:20" ht="13.5" customHeight="1">
      <c r="A207" s="1597"/>
      <c r="B207" s="1597"/>
      <c r="C207" s="1597"/>
      <c r="D207" s="1597"/>
      <c r="E207" s="1597"/>
      <c r="F207" s="1597"/>
      <c r="G207" s="1597"/>
      <c r="H207" s="1597"/>
      <c r="I207" s="1597"/>
      <c r="J207" s="1597"/>
      <c r="K207" s="1597"/>
      <c r="L207" s="1597"/>
      <c r="M207" s="1597"/>
      <c r="N207" s="1597"/>
      <c r="O207" s="1597"/>
      <c r="P207" s="1597"/>
      <c r="Q207" s="1597"/>
      <c r="R207" s="1597"/>
      <c r="S207" s="1597"/>
      <c r="T207" s="1597"/>
    </row>
    <row r="208" spans="1:20" ht="13.5" customHeight="1">
      <c r="A208" s="1597"/>
      <c r="B208" s="1597"/>
      <c r="C208" s="1597"/>
      <c r="D208" s="1597"/>
      <c r="E208" s="1597"/>
      <c r="F208" s="1597"/>
      <c r="G208" s="1597"/>
      <c r="H208" s="1597"/>
      <c r="I208" s="1597"/>
      <c r="J208" s="1597"/>
      <c r="K208" s="1597"/>
      <c r="L208" s="1597"/>
      <c r="M208" s="1597"/>
      <c r="N208" s="1597"/>
      <c r="O208" s="1597"/>
      <c r="P208" s="1597"/>
      <c r="Q208" s="1597"/>
      <c r="R208" s="1597"/>
      <c r="S208" s="1597"/>
      <c r="T208" s="1597"/>
    </row>
    <row r="209" spans="1:20" ht="13.5" customHeight="1">
      <c r="A209" s="1597"/>
      <c r="B209" s="1597"/>
      <c r="C209" s="1597"/>
      <c r="D209" s="1597"/>
      <c r="E209" s="1597"/>
      <c r="F209" s="1597"/>
      <c r="G209" s="1597"/>
      <c r="H209" s="1597"/>
      <c r="I209" s="1597"/>
      <c r="J209" s="1597"/>
      <c r="K209" s="1597"/>
      <c r="L209" s="1597"/>
      <c r="M209" s="1597"/>
      <c r="N209" s="1597"/>
      <c r="O209" s="1597"/>
      <c r="P209" s="1597"/>
      <c r="Q209" s="1597"/>
      <c r="R209" s="1597"/>
      <c r="S209" s="1597"/>
      <c r="T209" s="1597"/>
    </row>
    <row r="210" spans="1:20" ht="13.5" customHeight="1">
      <c r="A210" s="1597"/>
      <c r="B210" s="1597"/>
      <c r="C210" s="1597"/>
      <c r="D210" s="1597"/>
      <c r="E210" s="1597"/>
      <c r="F210" s="1597"/>
      <c r="G210" s="1597"/>
      <c r="H210" s="1597"/>
      <c r="I210" s="1597"/>
      <c r="J210" s="1597"/>
      <c r="K210" s="1597"/>
      <c r="L210" s="1597"/>
      <c r="M210" s="1597"/>
      <c r="N210" s="1597"/>
      <c r="O210" s="1597"/>
      <c r="P210" s="1597"/>
      <c r="Q210" s="1597"/>
      <c r="R210" s="1597"/>
      <c r="S210" s="1597"/>
      <c r="T210" s="1597"/>
    </row>
    <row r="211" spans="1:20" ht="13.5" customHeight="1">
      <c r="A211" s="1597"/>
      <c r="B211" s="1597"/>
      <c r="C211" s="1597"/>
      <c r="D211" s="1597"/>
      <c r="E211" s="1597"/>
      <c r="F211" s="1597"/>
      <c r="G211" s="1597"/>
      <c r="H211" s="1597"/>
      <c r="I211" s="1597"/>
      <c r="J211" s="1597"/>
      <c r="K211" s="1597"/>
      <c r="L211" s="1597"/>
      <c r="M211" s="1597"/>
      <c r="N211" s="1597"/>
      <c r="O211" s="1597"/>
      <c r="P211" s="1597"/>
      <c r="Q211" s="1597"/>
      <c r="R211" s="1597"/>
      <c r="S211" s="1597"/>
      <c r="T211" s="1597"/>
    </row>
    <row r="212" spans="1:20" ht="13.5" customHeight="1">
      <c r="A212" s="1597"/>
      <c r="B212" s="1597"/>
      <c r="C212" s="1597"/>
      <c r="D212" s="1597"/>
      <c r="E212" s="1597"/>
      <c r="F212" s="1597"/>
      <c r="G212" s="1597"/>
      <c r="H212" s="1597"/>
      <c r="I212" s="1597"/>
      <c r="J212" s="1597"/>
      <c r="K212" s="1597"/>
      <c r="L212" s="1597"/>
      <c r="M212" s="1597"/>
      <c r="N212" s="1597"/>
      <c r="O212" s="1597"/>
      <c r="P212" s="1597"/>
      <c r="Q212" s="1597"/>
      <c r="R212" s="1597"/>
      <c r="S212" s="1597"/>
      <c r="T212" s="1597"/>
    </row>
    <row r="213" spans="1:20" ht="13.5" customHeight="1">
      <c r="A213" s="1597"/>
      <c r="B213" s="1597"/>
      <c r="C213" s="1597"/>
      <c r="D213" s="1597"/>
      <c r="E213" s="1597"/>
      <c r="F213" s="1597"/>
      <c r="G213" s="1597"/>
      <c r="H213" s="1597"/>
      <c r="I213" s="1597"/>
      <c r="J213" s="1597"/>
      <c r="K213" s="1597"/>
      <c r="L213" s="1597"/>
      <c r="M213" s="1597"/>
      <c r="N213" s="1597"/>
      <c r="O213" s="1597"/>
      <c r="P213" s="1597"/>
      <c r="Q213" s="1597"/>
      <c r="R213" s="1597"/>
      <c r="S213" s="1597"/>
      <c r="T213" s="1597"/>
    </row>
    <row r="214" spans="1:20" ht="13.5" customHeight="1">
      <c r="A214" s="1597"/>
      <c r="B214" s="1597"/>
      <c r="C214" s="1597"/>
      <c r="D214" s="1597"/>
      <c r="E214" s="1597"/>
      <c r="F214" s="1597"/>
      <c r="G214" s="1597"/>
      <c r="H214" s="1597"/>
      <c r="I214" s="1597"/>
      <c r="J214" s="1597"/>
      <c r="K214" s="1597"/>
      <c r="L214" s="1597"/>
      <c r="M214" s="1597"/>
      <c r="N214" s="1597"/>
      <c r="O214" s="1597"/>
      <c r="P214" s="1597"/>
      <c r="Q214" s="1597"/>
      <c r="R214" s="1597"/>
      <c r="S214" s="1597"/>
      <c r="T214" s="1597"/>
    </row>
    <row r="215" spans="1:20" ht="13.5" customHeight="1">
      <c r="A215" s="1597"/>
      <c r="B215" s="1597"/>
      <c r="C215" s="1597"/>
      <c r="D215" s="1597"/>
      <c r="E215" s="1597"/>
      <c r="F215" s="1597"/>
      <c r="G215" s="1597"/>
      <c r="H215" s="1597"/>
      <c r="I215" s="1597"/>
      <c r="J215" s="1597"/>
      <c r="K215" s="1597"/>
      <c r="L215" s="1597"/>
      <c r="M215" s="1597"/>
      <c r="N215" s="1597"/>
      <c r="O215" s="1597"/>
      <c r="P215" s="1597"/>
      <c r="Q215" s="1597"/>
      <c r="R215" s="1597"/>
      <c r="S215" s="1597"/>
      <c r="T215" s="1597"/>
    </row>
    <row r="216" spans="1:20" ht="13.5" customHeight="1">
      <c r="A216" s="1597"/>
      <c r="B216" s="1597"/>
      <c r="C216" s="1597"/>
      <c r="D216" s="1597"/>
      <c r="E216" s="1597"/>
      <c r="F216" s="1597"/>
      <c r="G216" s="1597"/>
      <c r="H216" s="1597"/>
      <c r="I216" s="1597"/>
      <c r="J216" s="1597"/>
      <c r="K216" s="1597"/>
      <c r="L216" s="1597"/>
      <c r="M216" s="1597"/>
      <c r="N216" s="1597"/>
      <c r="O216" s="1597"/>
      <c r="P216" s="1597"/>
      <c r="Q216" s="1597"/>
      <c r="R216" s="1597"/>
      <c r="S216" s="1597"/>
      <c r="T216" s="1597"/>
    </row>
    <row r="217" spans="1:20" ht="13.5" customHeight="1">
      <c r="A217" s="1597"/>
      <c r="B217" s="1597"/>
      <c r="C217" s="1597"/>
      <c r="D217" s="1597"/>
      <c r="E217" s="1597"/>
      <c r="F217" s="1597"/>
      <c r="G217" s="1597"/>
      <c r="H217" s="1597"/>
      <c r="I217" s="1597"/>
      <c r="J217" s="1597"/>
      <c r="K217" s="1597"/>
      <c r="L217" s="1597"/>
      <c r="M217" s="1597"/>
      <c r="N217" s="1597"/>
      <c r="O217" s="1597"/>
      <c r="P217" s="1597"/>
      <c r="Q217" s="1597"/>
      <c r="R217" s="1597"/>
      <c r="S217" s="1597"/>
      <c r="T217" s="1597"/>
    </row>
    <row r="218" spans="1:20" ht="13.5" customHeight="1">
      <c r="A218" s="1597"/>
      <c r="B218" s="1597"/>
      <c r="C218" s="1597"/>
      <c r="D218" s="1597"/>
      <c r="E218" s="1597"/>
      <c r="F218" s="1597"/>
      <c r="G218" s="1597"/>
      <c r="H218" s="1597"/>
      <c r="I218" s="1597"/>
      <c r="J218" s="1597"/>
      <c r="K218" s="1597"/>
      <c r="L218" s="1597"/>
      <c r="M218" s="1597"/>
      <c r="N218" s="1597"/>
      <c r="O218" s="1597"/>
      <c r="P218" s="1597"/>
      <c r="Q218" s="1597"/>
      <c r="R218" s="1597"/>
      <c r="S218" s="1597"/>
      <c r="T218" s="1597"/>
    </row>
    <row r="219" spans="1:20" ht="13.5" customHeight="1">
      <c r="A219" s="1597"/>
      <c r="B219" s="1597"/>
      <c r="C219" s="1597"/>
      <c r="D219" s="1597"/>
      <c r="E219" s="1597"/>
      <c r="F219" s="1597"/>
      <c r="G219" s="1597"/>
      <c r="H219" s="1597"/>
      <c r="I219" s="1597"/>
      <c r="J219" s="1597"/>
      <c r="K219" s="1597"/>
      <c r="L219" s="1597"/>
      <c r="M219" s="1597"/>
      <c r="N219" s="1597"/>
      <c r="O219" s="1597"/>
      <c r="P219" s="1597"/>
      <c r="Q219" s="1597"/>
      <c r="R219" s="1597"/>
      <c r="S219" s="1597"/>
      <c r="T219" s="1597"/>
    </row>
    <row r="220" spans="1:20" ht="13.5" customHeight="1">
      <c r="A220" s="1597"/>
      <c r="B220" s="1597"/>
      <c r="C220" s="1597"/>
      <c r="D220" s="1597"/>
      <c r="E220" s="1597"/>
      <c r="F220" s="1597"/>
      <c r="G220" s="1597"/>
      <c r="H220" s="1597"/>
      <c r="I220" s="1597"/>
      <c r="J220" s="1597"/>
      <c r="K220" s="1597"/>
      <c r="L220" s="1597"/>
      <c r="M220" s="1597"/>
      <c r="N220" s="1597"/>
      <c r="O220" s="1597"/>
      <c r="P220" s="1597"/>
      <c r="Q220" s="1597"/>
      <c r="R220" s="1597"/>
      <c r="S220" s="1597"/>
      <c r="T220" s="1597"/>
    </row>
    <row r="221" spans="1:20" ht="13.5" customHeight="1">
      <c r="A221" s="1597"/>
      <c r="B221" s="1597"/>
      <c r="C221" s="1597"/>
      <c r="D221" s="1597"/>
      <c r="E221" s="1597"/>
      <c r="F221" s="1597"/>
      <c r="G221" s="1597"/>
      <c r="H221" s="1597"/>
      <c r="I221" s="1597"/>
      <c r="J221" s="1597"/>
      <c r="K221" s="1597"/>
      <c r="L221" s="1597"/>
      <c r="M221" s="1597"/>
      <c r="N221" s="1597"/>
      <c r="O221" s="1597"/>
      <c r="P221" s="1597"/>
      <c r="Q221" s="1597"/>
      <c r="R221" s="1597"/>
      <c r="S221" s="1597"/>
      <c r="T221" s="1597"/>
    </row>
    <row r="222" spans="1:20" ht="13.5" customHeight="1">
      <c r="A222" s="1597"/>
      <c r="B222" s="1597"/>
      <c r="C222" s="1597"/>
      <c r="D222" s="1597"/>
      <c r="E222" s="1597"/>
      <c r="F222" s="1597"/>
      <c r="G222" s="1597"/>
      <c r="H222" s="1597"/>
      <c r="I222" s="1597"/>
      <c r="J222" s="1597"/>
      <c r="K222" s="1597"/>
      <c r="L222" s="1597"/>
      <c r="M222" s="1597"/>
      <c r="N222" s="1597"/>
      <c r="O222" s="1597"/>
      <c r="P222" s="1597"/>
      <c r="Q222" s="1597"/>
      <c r="R222" s="1597"/>
      <c r="S222" s="1597"/>
      <c r="T222" s="1597"/>
    </row>
    <row r="223" spans="1:20" ht="13.5" customHeight="1">
      <c r="A223" s="1597"/>
      <c r="B223" s="1597"/>
      <c r="C223" s="1597"/>
      <c r="D223" s="1597"/>
      <c r="E223" s="1597"/>
      <c r="F223" s="1597"/>
      <c r="G223" s="1597"/>
      <c r="H223" s="1597"/>
      <c r="I223" s="1597"/>
      <c r="J223" s="1597"/>
      <c r="K223" s="1597"/>
      <c r="L223" s="1597"/>
      <c r="M223" s="1597"/>
      <c r="N223" s="1597"/>
      <c r="O223" s="1597"/>
      <c r="P223" s="1597"/>
      <c r="Q223" s="1597"/>
      <c r="R223" s="1597"/>
      <c r="S223" s="1597"/>
      <c r="T223" s="1597"/>
    </row>
    <row r="224" spans="1:20" ht="13.5" customHeight="1">
      <c r="A224" s="1597"/>
      <c r="B224" s="1597"/>
      <c r="C224" s="1597"/>
      <c r="D224" s="1597"/>
      <c r="E224" s="1597"/>
      <c r="F224" s="1597"/>
      <c r="G224" s="1597"/>
      <c r="H224" s="1597"/>
      <c r="I224" s="1597"/>
      <c r="J224" s="1597"/>
      <c r="K224" s="1597"/>
      <c r="L224" s="1597"/>
      <c r="M224" s="1597"/>
      <c r="N224" s="1597"/>
      <c r="O224" s="1597"/>
      <c r="P224" s="1597"/>
      <c r="Q224" s="1597"/>
      <c r="R224" s="1597"/>
      <c r="S224" s="1597"/>
      <c r="T224" s="1597"/>
    </row>
    <row r="225" spans="1:20" ht="13.5" customHeight="1">
      <c r="A225" s="1597"/>
      <c r="B225" s="1597"/>
      <c r="C225" s="1597"/>
      <c r="D225" s="1597"/>
      <c r="E225" s="1597"/>
      <c r="F225" s="1597"/>
      <c r="G225" s="1597"/>
      <c r="H225" s="1597"/>
      <c r="I225" s="1597"/>
      <c r="J225" s="1597"/>
      <c r="K225" s="1597"/>
      <c r="L225" s="1597"/>
      <c r="M225" s="1597"/>
      <c r="N225" s="1597"/>
      <c r="O225" s="1597"/>
      <c r="P225" s="1597"/>
      <c r="Q225" s="1597"/>
      <c r="R225" s="1597"/>
      <c r="S225" s="1597"/>
      <c r="T225" s="1597"/>
    </row>
    <row r="226" spans="1:20" ht="13.5" customHeight="1">
      <c r="A226" s="1597"/>
      <c r="B226" s="1597"/>
      <c r="C226" s="1597"/>
      <c r="D226" s="1597"/>
      <c r="E226" s="1597"/>
      <c r="F226" s="1597"/>
      <c r="G226" s="1597"/>
      <c r="H226" s="1597"/>
      <c r="I226" s="1597"/>
      <c r="J226" s="1597"/>
      <c r="K226" s="1597"/>
      <c r="L226" s="1597"/>
      <c r="M226" s="1597"/>
      <c r="N226" s="1597"/>
      <c r="O226" s="1597"/>
      <c r="P226" s="1597"/>
      <c r="Q226" s="1597"/>
      <c r="R226" s="1597"/>
      <c r="S226" s="1597"/>
      <c r="T226" s="1597"/>
    </row>
    <row r="227" spans="1:20" ht="13.5" customHeight="1">
      <c r="A227" s="1597"/>
      <c r="B227" s="1597"/>
      <c r="C227" s="1597"/>
      <c r="D227" s="1597"/>
      <c r="E227" s="1597"/>
      <c r="F227" s="1597"/>
      <c r="G227" s="1597"/>
      <c r="H227" s="1597"/>
      <c r="I227" s="1597"/>
      <c r="J227" s="1597"/>
      <c r="K227" s="1597"/>
      <c r="L227" s="1597"/>
      <c r="M227" s="1597"/>
      <c r="N227" s="1597"/>
      <c r="O227" s="1597"/>
      <c r="P227" s="1597"/>
      <c r="Q227" s="1597"/>
      <c r="R227" s="1597"/>
      <c r="S227" s="1597"/>
      <c r="T227" s="1597"/>
    </row>
    <row r="228" spans="1:20" ht="13.5" customHeight="1">
      <c r="A228" s="1597"/>
      <c r="B228" s="1597"/>
      <c r="C228" s="1597"/>
      <c r="D228" s="1597"/>
      <c r="E228" s="1597"/>
      <c r="F228" s="1597"/>
      <c r="G228" s="1597"/>
      <c r="H228" s="1597"/>
      <c r="I228" s="1597"/>
      <c r="J228" s="1597"/>
      <c r="K228" s="1597"/>
      <c r="L228" s="1597"/>
      <c r="M228" s="1597"/>
      <c r="N228" s="1597"/>
      <c r="O228" s="1597"/>
      <c r="P228" s="1597"/>
      <c r="Q228" s="1597"/>
      <c r="R228" s="1597"/>
      <c r="S228" s="1597"/>
      <c r="T228" s="1597"/>
    </row>
    <row r="229" spans="1:20" ht="13.5" customHeight="1">
      <c r="A229" s="1597"/>
      <c r="B229" s="1597"/>
      <c r="C229" s="1597"/>
      <c r="D229" s="1597"/>
      <c r="E229" s="1597"/>
      <c r="F229" s="1597"/>
      <c r="G229" s="1597"/>
      <c r="H229" s="1597"/>
      <c r="I229" s="1597"/>
      <c r="J229" s="1597"/>
      <c r="K229" s="1597"/>
      <c r="L229" s="1597"/>
      <c r="M229" s="1597"/>
      <c r="N229" s="1597"/>
      <c r="O229" s="1597"/>
      <c r="P229" s="1597"/>
      <c r="Q229" s="1597"/>
      <c r="R229" s="1597"/>
      <c r="S229" s="1597"/>
      <c r="T229" s="1597"/>
    </row>
    <row r="230" spans="1:20" ht="13.5" customHeight="1">
      <c r="A230" s="1597"/>
      <c r="B230" s="1597"/>
      <c r="C230" s="1597"/>
      <c r="D230" s="1597"/>
      <c r="E230" s="1597"/>
      <c r="F230" s="1597"/>
      <c r="G230" s="1597"/>
      <c r="H230" s="1597"/>
      <c r="I230" s="1597"/>
      <c r="J230" s="1597"/>
      <c r="K230" s="1597"/>
      <c r="L230" s="1597"/>
      <c r="M230" s="1597"/>
      <c r="N230" s="1597"/>
      <c r="O230" s="1597"/>
      <c r="P230" s="1597"/>
      <c r="Q230" s="1597"/>
      <c r="R230" s="1597"/>
      <c r="S230" s="1597"/>
      <c r="T230" s="1597"/>
    </row>
    <row r="231" spans="1:20" ht="13.5" customHeight="1">
      <c r="A231" s="1597"/>
      <c r="B231" s="1597"/>
      <c r="C231" s="1597"/>
      <c r="D231" s="1597"/>
      <c r="E231" s="1597"/>
      <c r="F231" s="1597"/>
      <c r="G231" s="1597"/>
      <c r="H231" s="1597"/>
      <c r="I231" s="1597"/>
      <c r="J231" s="1597"/>
      <c r="K231" s="1597"/>
      <c r="L231" s="1597"/>
      <c r="M231" s="1597"/>
      <c r="N231" s="1597"/>
      <c r="O231" s="1597"/>
      <c r="P231" s="1597"/>
      <c r="Q231" s="1597"/>
      <c r="R231" s="1597"/>
      <c r="S231" s="1597"/>
      <c r="T231" s="1597"/>
    </row>
    <row r="232" spans="1:20" ht="13.5" customHeight="1">
      <c r="A232" s="1597"/>
      <c r="B232" s="1597"/>
      <c r="C232" s="1597"/>
      <c r="D232" s="1597"/>
      <c r="E232" s="1597"/>
      <c r="F232" s="1597"/>
      <c r="G232" s="1597"/>
      <c r="H232" s="1597"/>
      <c r="I232" s="1597"/>
      <c r="J232" s="1597"/>
      <c r="K232" s="1597"/>
      <c r="L232" s="1597"/>
      <c r="M232" s="1597"/>
      <c r="N232" s="1597"/>
      <c r="O232" s="1597"/>
      <c r="P232" s="1597"/>
      <c r="Q232" s="1597"/>
      <c r="R232" s="1597"/>
      <c r="S232" s="1597"/>
      <c r="T232" s="1597"/>
    </row>
    <row r="233" spans="1:20" ht="13.5" customHeight="1">
      <c r="A233" s="1597"/>
      <c r="B233" s="1597"/>
      <c r="C233" s="1597"/>
      <c r="D233" s="1597"/>
      <c r="E233" s="1597"/>
      <c r="F233" s="1597"/>
      <c r="G233" s="1597"/>
      <c r="H233" s="1597"/>
      <c r="I233" s="1597"/>
      <c r="J233" s="1597"/>
      <c r="K233" s="1597"/>
      <c r="L233" s="1597"/>
      <c r="M233" s="1597"/>
      <c r="N233" s="1597"/>
      <c r="O233" s="1597"/>
      <c r="P233" s="1597"/>
      <c r="Q233" s="1597"/>
      <c r="R233" s="1597"/>
      <c r="S233" s="1597"/>
      <c r="T233" s="1597"/>
    </row>
    <row r="234" spans="1:20" ht="13.5" customHeight="1">
      <c r="A234" s="1597"/>
      <c r="B234" s="1597"/>
      <c r="C234" s="1597"/>
      <c r="D234" s="1597"/>
      <c r="E234" s="1597"/>
      <c r="F234" s="1597"/>
      <c r="G234" s="1597"/>
      <c r="H234" s="1597"/>
      <c r="I234" s="1597"/>
      <c r="J234" s="1597"/>
      <c r="K234" s="1597"/>
      <c r="L234" s="1597"/>
      <c r="M234" s="1597"/>
      <c r="N234" s="1597"/>
      <c r="O234" s="1597"/>
      <c r="P234" s="1597"/>
      <c r="Q234" s="1597"/>
      <c r="R234" s="1597"/>
      <c r="S234" s="1597"/>
      <c r="T234" s="1597"/>
    </row>
    <row r="235" spans="1:20" ht="13.5" customHeight="1">
      <c r="A235" s="1597"/>
      <c r="B235" s="1597"/>
      <c r="C235" s="1597"/>
      <c r="D235" s="1597"/>
      <c r="E235" s="1597"/>
      <c r="F235" s="1597"/>
      <c r="G235" s="1597"/>
      <c r="H235" s="1597"/>
      <c r="I235" s="1597"/>
      <c r="J235" s="1597"/>
      <c r="K235" s="1597"/>
      <c r="L235" s="1597"/>
      <c r="M235" s="1597"/>
      <c r="N235" s="1597"/>
      <c r="O235" s="1597"/>
      <c r="P235" s="1597"/>
      <c r="Q235" s="1597"/>
      <c r="R235" s="1597"/>
      <c r="S235" s="1597"/>
      <c r="T235" s="1597"/>
    </row>
    <row r="236" spans="1:20" ht="13.5" customHeight="1">
      <c r="A236" s="1597"/>
      <c r="B236" s="1597"/>
      <c r="C236" s="1597"/>
      <c r="D236" s="1597"/>
      <c r="E236" s="1597"/>
      <c r="F236" s="1597"/>
      <c r="G236" s="1597"/>
      <c r="H236" s="1597"/>
      <c r="I236" s="1597"/>
      <c r="J236" s="1597"/>
      <c r="K236" s="1597"/>
      <c r="L236" s="1597"/>
      <c r="M236" s="1597"/>
      <c r="N236" s="1597"/>
      <c r="O236" s="1597"/>
      <c r="P236" s="1597"/>
      <c r="Q236" s="1597"/>
      <c r="R236" s="1597"/>
      <c r="S236" s="1597"/>
      <c r="T236" s="1597"/>
    </row>
    <row r="237" spans="1:20" ht="13.5" customHeight="1">
      <c r="A237" s="1597"/>
      <c r="B237" s="1597"/>
      <c r="C237" s="1597"/>
      <c r="D237" s="1597"/>
      <c r="E237" s="1597"/>
      <c r="F237" s="1597"/>
      <c r="G237" s="1597"/>
      <c r="H237" s="1597"/>
      <c r="I237" s="1597"/>
      <c r="J237" s="1597"/>
      <c r="K237" s="1597"/>
      <c r="L237" s="1597"/>
      <c r="M237" s="1597"/>
      <c r="N237" s="1597"/>
      <c r="O237" s="1597"/>
      <c r="P237" s="1597"/>
      <c r="Q237" s="1597"/>
      <c r="R237" s="1597"/>
      <c r="S237" s="1597"/>
      <c r="T237" s="1597"/>
    </row>
    <row r="238" spans="1:20" ht="13.5" customHeight="1">
      <c r="A238" s="1597"/>
      <c r="B238" s="1597"/>
      <c r="C238" s="1597"/>
      <c r="D238" s="1597"/>
      <c r="E238" s="1597"/>
      <c r="F238" s="1597"/>
      <c r="G238" s="1597"/>
      <c r="H238" s="1597"/>
      <c r="I238" s="1597"/>
      <c r="J238" s="1597"/>
      <c r="K238" s="1597"/>
      <c r="L238" s="1597"/>
      <c r="M238" s="1597"/>
      <c r="N238" s="1597"/>
      <c r="O238" s="1597"/>
      <c r="P238" s="1597"/>
      <c r="Q238" s="1597"/>
      <c r="R238" s="1597"/>
      <c r="S238" s="1597"/>
      <c r="T238" s="1597"/>
    </row>
    <row r="239" spans="1:20" ht="13.5" customHeight="1">
      <c r="A239" s="1597"/>
      <c r="B239" s="1597"/>
      <c r="C239" s="1597"/>
      <c r="D239" s="1597"/>
      <c r="E239" s="1597"/>
      <c r="F239" s="1597"/>
      <c r="G239" s="1597"/>
      <c r="H239" s="1597"/>
      <c r="I239" s="1597"/>
      <c r="J239" s="1597"/>
      <c r="K239" s="1597"/>
      <c r="L239" s="1597"/>
      <c r="M239" s="1597"/>
      <c r="N239" s="1597"/>
      <c r="O239" s="1597"/>
      <c r="P239" s="1597"/>
      <c r="Q239" s="1597"/>
      <c r="R239" s="1597"/>
      <c r="S239" s="1597"/>
      <c r="T239" s="1597"/>
    </row>
    <row r="240" spans="1:20" ht="13.5" customHeight="1">
      <c r="A240" s="1597"/>
      <c r="B240" s="1597"/>
      <c r="C240" s="1597"/>
      <c r="D240" s="1597"/>
      <c r="E240" s="1597"/>
      <c r="F240" s="1597"/>
      <c r="G240" s="1597"/>
      <c r="H240" s="1597"/>
      <c r="I240" s="1597"/>
      <c r="J240" s="1597"/>
      <c r="K240" s="1597"/>
      <c r="L240" s="1597"/>
      <c r="M240" s="1597"/>
      <c r="N240" s="1597"/>
      <c r="O240" s="1597"/>
      <c r="P240" s="1597"/>
      <c r="Q240" s="1597"/>
      <c r="R240" s="1597"/>
      <c r="S240" s="1597"/>
      <c r="T240" s="1597"/>
    </row>
    <row r="241" spans="1:20" ht="13.5" customHeight="1">
      <c r="A241" s="1597"/>
      <c r="B241" s="1597"/>
      <c r="C241" s="1597"/>
      <c r="D241" s="1597"/>
      <c r="E241" s="1597"/>
      <c r="F241" s="1597"/>
      <c r="G241" s="1597"/>
      <c r="H241" s="1597"/>
      <c r="I241" s="1597"/>
      <c r="J241" s="1597"/>
      <c r="K241" s="1597"/>
      <c r="L241" s="1597"/>
      <c r="M241" s="1597"/>
      <c r="N241" s="1597"/>
      <c r="O241" s="1597"/>
      <c r="P241" s="1597"/>
      <c r="Q241" s="1597"/>
      <c r="R241" s="1597"/>
      <c r="S241" s="1597"/>
      <c r="T241" s="1597"/>
    </row>
    <row r="242" spans="1:20" ht="13.5" customHeight="1">
      <c r="A242" s="1597"/>
      <c r="B242" s="1597"/>
      <c r="C242" s="1597"/>
      <c r="D242" s="1597"/>
      <c r="E242" s="1597"/>
      <c r="F242" s="1597"/>
      <c r="G242" s="1597"/>
      <c r="H242" s="1597"/>
      <c r="I242" s="1597"/>
      <c r="J242" s="1597"/>
      <c r="K242" s="1597"/>
      <c r="L242" s="1597"/>
      <c r="M242" s="1597"/>
      <c r="N242" s="1597"/>
      <c r="O242" s="1597"/>
      <c r="P242" s="1597"/>
      <c r="Q242" s="1597"/>
      <c r="R242" s="1597"/>
      <c r="S242" s="1597"/>
      <c r="T242" s="1597"/>
    </row>
    <row r="243" spans="1:20" ht="13.5" customHeight="1">
      <c r="A243" s="1597"/>
      <c r="B243" s="1597"/>
      <c r="C243" s="1597"/>
      <c r="D243" s="1597"/>
      <c r="E243" s="1597"/>
      <c r="F243" s="1597"/>
      <c r="G243" s="1597"/>
      <c r="H243" s="1597"/>
      <c r="I243" s="1597"/>
      <c r="J243" s="1597"/>
      <c r="K243" s="1597"/>
      <c r="L243" s="1597"/>
      <c r="M243" s="1597"/>
      <c r="N243" s="1597"/>
      <c r="O243" s="1597"/>
      <c r="P243" s="1597"/>
      <c r="Q243" s="1597"/>
      <c r="R243" s="1597"/>
      <c r="S243" s="1597"/>
      <c r="T243" s="1597"/>
    </row>
    <row r="244" spans="1:20" ht="13.5" customHeight="1">
      <c r="A244" s="1597"/>
      <c r="B244" s="1597"/>
      <c r="C244" s="1597"/>
      <c r="D244" s="1597"/>
      <c r="E244" s="1597"/>
      <c r="F244" s="1597"/>
      <c r="G244" s="1597"/>
      <c r="H244" s="1597"/>
      <c r="I244" s="1597"/>
      <c r="J244" s="1597"/>
      <c r="K244" s="1597"/>
      <c r="L244" s="1597"/>
      <c r="M244" s="1597"/>
      <c r="N244" s="1597"/>
      <c r="O244" s="1597"/>
      <c r="P244" s="1597"/>
      <c r="Q244" s="1597"/>
      <c r="R244" s="1597"/>
      <c r="S244" s="1597"/>
      <c r="T244" s="1597"/>
    </row>
    <row r="245" spans="1:20" ht="13.5" customHeight="1">
      <c r="A245" s="1597"/>
      <c r="B245" s="1597"/>
      <c r="C245" s="1597"/>
      <c r="D245" s="1597"/>
      <c r="E245" s="1597"/>
      <c r="F245" s="1597"/>
      <c r="G245" s="1597"/>
      <c r="H245" s="1597"/>
      <c r="I245" s="1597"/>
      <c r="J245" s="1597"/>
      <c r="K245" s="1597"/>
      <c r="L245" s="1597"/>
      <c r="M245" s="1597"/>
      <c r="N245" s="1597"/>
      <c r="O245" s="1597"/>
      <c r="P245" s="1597"/>
      <c r="Q245" s="1597"/>
      <c r="R245" s="1597"/>
      <c r="S245" s="1597"/>
      <c r="T245" s="1597"/>
    </row>
    <row r="246" spans="1:20" ht="13.5" customHeight="1">
      <c r="A246" s="1597"/>
      <c r="B246" s="1597"/>
      <c r="C246" s="1597"/>
      <c r="D246" s="1597"/>
      <c r="E246" s="1597"/>
      <c r="F246" s="1597"/>
      <c r="G246" s="1597"/>
      <c r="H246" s="1597"/>
      <c r="I246" s="1597"/>
      <c r="J246" s="1597"/>
      <c r="K246" s="1597"/>
      <c r="L246" s="1597"/>
      <c r="M246" s="1597"/>
      <c r="N246" s="1597"/>
      <c r="O246" s="1597"/>
      <c r="P246" s="1597"/>
      <c r="Q246" s="1597"/>
      <c r="R246" s="1597"/>
      <c r="S246" s="1597"/>
      <c r="T246" s="1597"/>
    </row>
    <row r="247" spans="1:20" ht="13.5" customHeight="1">
      <c r="A247" s="1597"/>
      <c r="B247" s="1597"/>
      <c r="C247" s="1597"/>
      <c r="D247" s="1597"/>
      <c r="E247" s="1597"/>
      <c r="F247" s="1597"/>
      <c r="G247" s="1597"/>
      <c r="H247" s="1597"/>
      <c r="I247" s="1597"/>
      <c r="J247" s="1597"/>
      <c r="K247" s="1597"/>
      <c r="L247" s="1597"/>
      <c r="M247" s="1597"/>
      <c r="N247" s="1597"/>
      <c r="O247" s="1597"/>
      <c r="P247" s="1597"/>
      <c r="Q247" s="1597"/>
      <c r="R247" s="1597"/>
      <c r="S247" s="1597"/>
      <c r="T247" s="1597"/>
    </row>
    <row r="248" spans="1:20" ht="13.5" customHeight="1">
      <c r="A248" s="1597"/>
      <c r="B248" s="1597"/>
      <c r="C248" s="1597"/>
      <c r="D248" s="1597"/>
      <c r="E248" s="1597"/>
      <c r="F248" s="1597"/>
      <c r="G248" s="1597"/>
      <c r="H248" s="1597"/>
      <c r="I248" s="1597"/>
      <c r="J248" s="1597"/>
      <c r="K248" s="1597"/>
      <c r="L248" s="1597"/>
      <c r="M248" s="1597"/>
      <c r="N248" s="1597"/>
      <c r="O248" s="1597"/>
      <c r="P248" s="1597"/>
      <c r="Q248" s="1597"/>
      <c r="R248" s="1597"/>
      <c r="S248" s="1597"/>
      <c r="T248" s="1597"/>
    </row>
    <row r="249" spans="1:20" ht="13.5" customHeight="1">
      <c r="A249" s="1597"/>
      <c r="B249" s="1597"/>
      <c r="C249" s="1597"/>
      <c r="D249" s="1597"/>
      <c r="E249" s="1597"/>
      <c r="F249" s="1597"/>
      <c r="G249" s="1597"/>
      <c r="H249" s="1597"/>
      <c r="I249" s="1597"/>
      <c r="J249" s="1597"/>
      <c r="K249" s="1597"/>
      <c r="L249" s="1597"/>
      <c r="M249" s="1597"/>
      <c r="N249" s="1597"/>
      <c r="O249" s="1597"/>
      <c r="P249" s="1597"/>
      <c r="Q249" s="1597"/>
      <c r="R249" s="1597"/>
      <c r="S249" s="1597"/>
      <c r="T249" s="1597"/>
    </row>
    <row r="250" spans="1:20" ht="13.5" customHeight="1">
      <c r="A250" s="1597"/>
      <c r="B250" s="1597"/>
      <c r="C250" s="1597"/>
      <c r="D250" s="1597"/>
      <c r="E250" s="1597"/>
      <c r="F250" s="1597"/>
      <c r="G250" s="1597"/>
      <c r="H250" s="1597"/>
      <c r="I250" s="1597"/>
      <c r="J250" s="1597"/>
      <c r="K250" s="1597"/>
      <c r="L250" s="1597"/>
      <c r="M250" s="1597"/>
      <c r="N250" s="1597"/>
      <c r="O250" s="1597"/>
      <c r="P250" s="1597"/>
      <c r="Q250" s="1597"/>
      <c r="R250" s="1597"/>
      <c r="S250" s="1597"/>
      <c r="T250" s="1597"/>
    </row>
    <row r="251" spans="1:20" ht="13.5" customHeight="1">
      <c r="A251" s="1597"/>
      <c r="B251" s="1597"/>
      <c r="C251" s="1597"/>
      <c r="D251" s="1597"/>
      <c r="E251" s="1597"/>
      <c r="F251" s="1597"/>
      <c r="G251" s="1597"/>
      <c r="H251" s="1597"/>
      <c r="I251" s="1597"/>
      <c r="J251" s="1597"/>
      <c r="K251" s="1597"/>
      <c r="L251" s="1597"/>
      <c r="M251" s="1597"/>
      <c r="N251" s="1597"/>
      <c r="O251" s="1597"/>
      <c r="P251" s="1597"/>
      <c r="Q251" s="1597"/>
      <c r="R251" s="1597"/>
      <c r="S251" s="1597"/>
      <c r="T251" s="1597"/>
    </row>
    <row r="252" spans="1:20" ht="13.5" customHeight="1">
      <c r="A252" s="1597"/>
      <c r="B252" s="1597"/>
      <c r="C252" s="1597"/>
      <c r="D252" s="1597"/>
      <c r="E252" s="1597"/>
      <c r="F252" s="1597"/>
      <c r="G252" s="1597"/>
      <c r="H252" s="1597"/>
      <c r="I252" s="1597"/>
      <c r="J252" s="1597"/>
      <c r="K252" s="1597"/>
      <c r="L252" s="1597"/>
      <c r="M252" s="1597"/>
      <c r="N252" s="1597"/>
      <c r="O252" s="1597"/>
      <c r="P252" s="1597"/>
      <c r="Q252" s="1597"/>
      <c r="R252" s="1597"/>
      <c r="S252" s="1597"/>
      <c r="T252" s="1597"/>
    </row>
    <row r="253" spans="1:20" ht="13.5" customHeight="1">
      <c r="A253" s="1597"/>
      <c r="B253" s="1597"/>
      <c r="C253" s="1597"/>
      <c r="D253" s="1597"/>
      <c r="E253" s="1597"/>
      <c r="F253" s="1597"/>
      <c r="G253" s="1597"/>
      <c r="H253" s="1597"/>
      <c r="I253" s="1597"/>
      <c r="J253" s="1597"/>
      <c r="K253" s="1597"/>
      <c r="L253" s="1597"/>
      <c r="M253" s="1597"/>
      <c r="N253" s="1597"/>
      <c r="O253" s="1597"/>
      <c r="P253" s="1597"/>
      <c r="Q253" s="1597"/>
      <c r="R253" s="1597"/>
      <c r="S253" s="1597"/>
      <c r="T253" s="1597"/>
    </row>
    <row r="254" spans="1:20" ht="13.5" customHeight="1">
      <c r="A254" s="1597"/>
      <c r="B254" s="1597"/>
      <c r="C254" s="1597"/>
      <c r="D254" s="1597"/>
      <c r="E254" s="1597"/>
      <c r="F254" s="1597"/>
      <c r="G254" s="1597"/>
      <c r="H254" s="1597"/>
      <c r="I254" s="1597"/>
      <c r="J254" s="1597"/>
      <c r="K254" s="1597"/>
      <c r="L254" s="1597"/>
      <c r="M254" s="1597"/>
      <c r="N254" s="1597"/>
      <c r="O254" s="1597"/>
      <c r="P254" s="1597"/>
      <c r="Q254" s="1597"/>
      <c r="R254" s="1597"/>
      <c r="S254" s="1597"/>
      <c r="T254" s="1597"/>
    </row>
    <row r="255" spans="1:20" ht="13.5" customHeight="1">
      <c r="A255" s="1597"/>
      <c r="B255" s="1597"/>
      <c r="C255" s="1597"/>
      <c r="D255" s="1597"/>
      <c r="E255" s="1597"/>
      <c r="F255" s="1597"/>
      <c r="G255" s="1597"/>
      <c r="H255" s="1597"/>
      <c r="I255" s="1597"/>
      <c r="J255" s="1597"/>
      <c r="K255" s="1597"/>
      <c r="L255" s="1597"/>
      <c r="M255" s="1597"/>
      <c r="N255" s="1597"/>
      <c r="O255" s="1597"/>
      <c r="P255" s="1597"/>
      <c r="Q255" s="1597"/>
      <c r="R255" s="1597"/>
      <c r="S255" s="1597"/>
      <c r="T255" s="1597"/>
    </row>
    <row r="256" spans="1:20" ht="13.5" customHeight="1">
      <c r="A256" s="1597"/>
      <c r="B256" s="1597"/>
      <c r="C256" s="1597"/>
      <c r="D256" s="1597"/>
      <c r="E256" s="1597"/>
      <c r="F256" s="1597"/>
      <c r="G256" s="1597"/>
      <c r="H256" s="1597"/>
      <c r="I256" s="1597"/>
      <c r="J256" s="1597"/>
      <c r="K256" s="1597"/>
      <c r="L256" s="1597"/>
      <c r="M256" s="1597"/>
      <c r="N256" s="1597"/>
      <c r="O256" s="1597"/>
      <c r="P256" s="1597"/>
      <c r="Q256" s="1597"/>
      <c r="R256" s="1597"/>
      <c r="S256" s="1597"/>
      <c r="T256" s="1597"/>
    </row>
    <row r="257" spans="1:20" ht="13.5" customHeight="1">
      <c r="A257" s="1597"/>
      <c r="B257" s="1597"/>
      <c r="C257" s="1597"/>
      <c r="D257" s="1597"/>
      <c r="E257" s="1597"/>
      <c r="F257" s="1597"/>
      <c r="G257" s="1597"/>
      <c r="H257" s="1597"/>
      <c r="I257" s="1597"/>
      <c r="J257" s="1597"/>
      <c r="K257" s="1597"/>
      <c r="L257" s="1597"/>
      <c r="M257" s="1597"/>
      <c r="N257" s="1597"/>
      <c r="O257" s="1597"/>
      <c r="P257" s="1597"/>
      <c r="Q257" s="1597"/>
      <c r="R257" s="1597"/>
      <c r="S257" s="1597"/>
      <c r="T257" s="1597"/>
    </row>
    <row r="258" spans="1:20" ht="13.5" customHeight="1">
      <c r="A258" s="1597"/>
      <c r="B258" s="1597"/>
      <c r="C258" s="1597"/>
      <c r="D258" s="1597"/>
      <c r="E258" s="1597"/>
      <c r="F258" s="1597"/>
      <c r="G258" s="1597"/>
      <c r="H258" s="1597"/>
      <c r="I258" s="1597"/>
      <c r="J258" s="1597"/>
      <c r="K258" s="1597"/>
      <c r="L258" s="1597"/>
      <c r="M258" s="1597"/>
      <c r="N258" s="1597"/>
      <c r="O258" s="1597"/>
      <c r="P258" s="1597"/>
      <c r="Q258" s="1597"/>
      <c r="R258" s="1597"/>
      <c r="S258" s="1597"/>
      <c r="T258" s="1597"/>
    </row>
    <row r="259" spans="1:20" ht="13.5" customHeight="1">
      <c r="A259" s="1597"/>
      <c r="B259" s="1597"/>
      <c r="C259" s="1597"/>
      <c r="D259" s="1597"/>
      <c r="E259" s="1597"/>
      <c r="F259" s="1597"/>
      <c r="G259" s="1597"/>
      <c r="H259" s="1597"/>
      <c r="I259" s="1597"/>
      <c r="J259" s="1597"/>
      <c r="K259" s="1597"/>
      <c r="L259" s="1597"/>
      <c r="M259" s="1597"/>
      <c r="N259" s="1597"/>
      <c r="O259" s="1597"/>
      <c r="P259" s="1597"/>
      <c r="Q259" s="1597"/>
      <c r="R259" s="1597"/>
      <c r="S259" s="1597"/>
      <c r="T259" s="1597"/>
    </row>
    <row r="260" spans="1:20" ht="13.5" customHeight="1">
      <c r="A260" s="1597"/>
      <c r="B260" s="1597"/>
      <c r="C260" s="1597"/>
      <c r="D260" s="1597"/>
      <c r="E260" s="1597"/>
      <c r="F260" s="1597"/>
      <c r="G260" s="1597"/>
      <c r="H260" s="1597"/>
      <c r="I260" s="1597"/>
      <c r="J260" s="1597"/>
      <c r="K260" s="1597"/>
      <c r="L260" s="1597"/>
      <c r="M260" s="1597"/>
      <c r="N260" s="1597"/>
      <c r="O260" s="1597"/>
      <c r="P260" s="1597"/>
      <c r="Q260" s="1597"/>
      <c r="R260" s="1597"/>
      <c r="S260" s="1597"/>
      <c r="T260" s="1597"/>
    </row>
    <row r="261" spans="1:20" ht="13.5" customHeight="1">
      <c r="A261" s="1597"/>
      <c r="B261" s="1597"/>
      <c r="C261" s="1597"/>
      <c r="D261" s="1597"/>
      <c r="E261" s="1597"/>
      <c r="F261" s="1597"/>
      <c r="G261" s="1597"/>
      <c r="H261" s="1597"/>
      <c r="I261" s="1597"/>
      <c r="J261" s="1597"/>
      <c r="K261" s="1597"/>
      <c r="L261" s="1597"/>
      <c r="M261" s="1597"/>
      <c r="N261" s="1597"/>
      <c r="O261" s="1597"/>
      <c r="P261" s="1597"/>
      <c r="Q261" s="1597"/>
      <c r="R261" s="1597"/>
      <c r="S261" s="1597"/>
      <c r="T261" s="1597"/>
    </row>
    <row r="262" spans="1:20" ht="13.5" customHeight="1">
      <c r="A262" s="1597"/>
      <c r="B262" s="1597"/>
      <c r="C262" s="1597"/>
      <c r="D262" s="1597"/>
      <c r="E262" s="1597"/>
      <c r="F262" s="1597"/>
      <c r="G262" s="1597"/>
      <c r="H262" s="1597"/>
      <c r="I262" s="1597"/>
      <c r="J262" s="1597"/>
      <c r="K262" s="1597"/>
      <c r="L262" s="1597"/>
      <c r="M262" s="1597"/>
      <c r="N262" s="1597"/>
      <c r="O262" s="1597"/>
      <c r="P262" s="1597"/>
      <c r="Q262" s="1597"/>
      <c r="R262" s="1597"/>
      <c r="S262" s="1597"/>
      <c r="T262" s="1597"/>
    </row>
    <row r="263" spans="1:20" ht="13.5" customHeight="1">
      <c r="A263" s="1597"/>
      <c r="B263" s="1597"/>
      <c r="C263" s="1597"/>
      <c r="D263" s="1597"/>
      <c r="E263" s="1597"/>
      <c r="F263" s="1597"/>
      <c r="G263" s="1597"/>
      <c r="H263" s="1597"/>
      <c r="I263" s="1597"/>
      <c r="J263" s="1597"/>
      <c r="K263" s="1597"/>
      <c r="L263" s="1597"/>
      <c r="M263" s="1597"/>
      <c r="N263" s="1597"/>
      <c r="O263" s="1597"/>
      <c r="P263" s="1597"/>
      <c r="Q263" s="1597"/>
      <c r="R263" s="1597"/>
      <c r="S263" s="1597"/>
      <c r="T263" s="1597"/>
    </row>
    <row r="264" spans="1:20" ht="13.5" customHeight="1">
      <c r="A264" s="1597"/>
      <c r="B264" s="1597"/>
      <c r="C264" s="1597"/>
      <c r="D264" s="1597"/>
      <c r="E264" s="1597"/>
      <c r="F264" s="1597"/>
      <c r="G264" s="1597"/>
      <c r="H264" s="1597"/>
      <c r="I264" s="1597"/>
      <c r="J264" s="1597"/>
      <c r="K264" s="1597"/>
      <c r="L264" s="1597"/>
      <c r="M264" s="1597"/>
      <c r="N264" s="1597"/>
      <c r="O264" s="1597"/>
      <c r="P264" s="1597"/>
      <c r="Q264" s="1597"/>
      <c r="R264" s="1597"/>
      <c r="S264" s="1597"/>
      <c r="T264" s="1597"/>
    </row>
    <row r="265" spans="1:20" ht="13.5" customHeight="1">
      <c r="A265" s="1597"/>
      <c r="B265" s="1597"/>
      <c r="C265" s="1597"/>
      <c r="D265" s="1597"/>
      <c r="E265" s="1597"/>
      <c r="F265" s="1597"/>
      <c r="G265" s="1597"/>
      <c r="H265" s="1597"/>
      <c r="I265" s="1597"/>
      <c r="J265" s="1597"/>
      <c r="K265" s="1597"/>
      <c r="L265" s="1597"/>
      <c r="M265" s="1597"/>
      <c r="N265" s="1597"/>
      <c r="O265" s="1597"/>
      <c r="P265" s="1597"/>
      <c r="Q265" s="1597"/>
      <c r="R265" s="1597"/>
      <c r="S265" s="1597"/>
      <c r="T265" s="1597"/>
    </row>
    <row r="266" spans="1:20" ht="13.5" customHeight="1">
      <c r="A266" s="1597"/>
      <c r="B266" s="1597"/>
      <c r="C266" s="1597"/>
      <c r="D266" s="1597"/>
      <c r="E266" s="1597"/>
      <c r="F266" s="1597"/>
      <c r="G266" s="1597"/>
      <c r="H266" s="1597"/>
      <c r="I266" s="1597"/>
      <c r="J266" s="1597"/>
      <c r="K266" s="1597"/>
      <c r="L266" s="1597"/>
      <c r="M266" s="1597"/>
      <c r="N266" s="1597"/>
      <c r="O266" s="1597"/>
      <c r="P266" s="1597"/>
      <c r="Q266" s="1597"/>
      <c r="R266" s="1597"/>
      <c r="S266" s="1597"/>
      <c r="T266" s="1597"/>
    </row>
    <row r="267" spans="1:20" ht="13.5" customHeight="1">
      <c r="A267" s="1597"/>
      <c r="B267" s="1597"/>
      <c r="C267" s="1597"/>
      <c r="D267" s="1597"/>
      <c r="E267" s="1597"/>
      <c r="F267" s="1597"/>
      <c r="G267" s="1597"/>
      <c r="H267" s="1597"/>
      <c r="I267" s="1597"/>
      <c r="J267" s="1597"/>
      <c r="K267" s="1597"/>
      <c r="L267" s="1597"/>
      <c r="M267" s="1597"/>
      <c r="N267" s="1597"/>
      <c r="O267" s="1597"/>
      <c r="P267" s="1597"/>
      <c r="Q267" s="1597"/>
      <c r="R267" s="1597"/>
      <c r="S267" s="1597"/>
      <c r="T267" s="1597"/>
    </row>
    <row r="268" spans="1:20" ht="13.5" customHeight="1">
      <c r="A268" s="1597"/>
      <c r="B268" s="1597"/>
      <c r="C268" s="1597"/>
      <c r="D268" s="1597"/>
      <c r="E268" s="1597"/>
      <c r="F268" s="1597"/>
      <c r="G268" s="1597"/>
      <c r="H268" s="1597"/>
      <c r="I268" s="1597"/>
      <c r="J268" s="1597"/>
      <c r="K268" s="1597"/>
      <c r="L268" s="1597"/>
      <c r="M268" s="1597"/>
      <c r="N268" s="1597"/>
      <c r="O268" s="1597"/>
      <c r="P268" s="1597"/>
      <c r="Q268" s="1597"/>
      <c r="R268" s="1597"/>
      <c r="S268" s="1597"/>
      <c r="T268" s="1597"/>
    </row>
    <row r="269" spans="1:20" ht="13.5" customHeight="1">
      <c r="A269" s="1597"/>
      <c r="B269" s="1597"/>
      <c r="C269" s="1597"/>
      <c r="D269" s="1597"/>
      <c r="E269" s="1597"/>
      <c r="F269" s="1597"/>
      <c r="G269" s="1597"/>
      <c r="H269" s="1597"/>
      <c r="I269" s="1597"/>
      <c r="J269" s="1597"/>
      <c r="K269" s="1597"/>
      <c r="L269" s="1597"/>
      <c r="M269" s="1597"/>
      <c r="N269" s="1597"/>
      <c r="O269" s="1597"/>
      <c r="P269" s="1597"/>
      <c r="Q269" s="1597"/>
      <c r="R269" s="1597"/>
      <c r="S269" s="1597"/>
      <c r="T269" s="1597"/>
    </row>
    <row r="270" spans="1:20" ht="13.5" customHeight="1">
      <c r="A270" s="1597"/>
      <c r="B270" s="1597"/>
      <c r="C270" s="1597"/>
      <c r="D270" s="1597"/>
      <c r="E270" s="1597"/>
      <c r="F270" s="1597"/>
      <c r="G270" s="1597"/>
      <c r="H270" s="1597"/>
      <c r="I270" s="1597"/>
      <c r="J270" s="1597"/>
      <c r="K270" s="1597"/>
      <c r="L270" s="1597"/>
      <c r="M270" s="1597"/>
      <c r="N270" s="1597"/>
      <c r="O270" s="1597"/>
      <c r="P270" s="1597"/>
      <c r="Q270" s="1597"/>
      <c r="R270" s="1597"/>
      <c r="S270" s="1597"/>
      <c r="T270" s="1597"/>
    </row>
    <row r="271" spans="1:20" ht="13.5" customHeight="1">
      <c r="A271" s="1597"/>
      <c r="B271" s="1597"/>
      <c r="C271" s="1597"/>
      <c r="D271" s="1597"/>
      <c r="E271" s="1597"/>
      <c r="F271" s="1597"/>
      <c r="G271" s="1597"/>
      <c r="H271" s="1597"/>
      <c r="I271" s="1597"/>
      <c r="J271" s="1597"/>
      <c r="K271" s="1597"/>
      <c r="L271" s="1597"/>
      <c r="M271" s="1597"/>
      <c r="N271" s="1597"/>
      <c r="O271" s="1597"/>
      <c r="P271" s="1597"/>
      <c r="Q271" s="1597"/>
      <c r="R271" s="1597"/>
      <c r="S271" s="1597"/>
      <c r="T271" s="1597"/>
    </row>
    <row r="272" spans="1:20" ht="13.5" customHeight="1">
      <c r="A272" s="1597"/>
      <c r="B272" s="1597"/>
      <c r="C272" s="1597"/>
      <c r="D272" s="1597"/>
      <c r="E272" s="1597"/>
      <c r="F272" s="1597"/>
      <c r="G272" s="1597"/>
      <c r="H272" s="1597"/>
      <c r="I272" s="1597"/>
      <c r="J272" s="1597"/>
      <c r="K272" s="1597"/>
      <c r="L272" s="1597"/>
      <c r="M272" s="1597"/>
      <c r="N272" s="1597"/>
      <c r="O272" s="1597"/>
      <c r="P272" s="1597"/>
      <c r="Q272" s="1597"/>
      <c r="R272" s="1597"/>
      <c r="S272" s="1597"/>
      <c r="T272" s="1597"/>
    </row>
    <row r="273" spans="1:20" ht="13.5" customHeight="1">
      <c r="A273" s="1597"/>
      <c r="B273" s="1597"/>
      <c r="C273" s="1597"/>
      <c r="D273" s="1597"/>
      <c r="E273" s="1597"/>
      <c r="F273" s="1597"/>
      <c r="G273" s="1597"/>
      <c r="H273" s="1597"/>
      <c r="I273" s="1597"/>
      <c r="J273" s="1597"/>
      <c r="K273" s="1597"/>
      <c r="L273" s="1597"/>
      <c r="M273" s="1597"/>
      <c r="N273" s="1597"/>
      <c r="O273" s="1597"/>
      <c r="P273" s="1597"/>
      <c r="Q273" s="1597"/>
      <c r="R273" s="1597"/>
      <c r="S273" s="1597"/>
      <c r="T273" s="1597"/>
    </row>
    <row r="274" spans="1:20" ht="13.5" customHeight="1">
      <c r="A274" s="1597"/>
      <c r="B274" s="1597"/>
      <c r="C274" s="1597"/>
      <c r="D274" s="1597"/>
      <c r="E274" s="1597"/>
      <c r="F274" s="1597"/>
      <c r="G274" s="1597"/>
      <c r="H274" s="1597"/>
      <c r="I274" s="1597"/>
      <c r="J274" s="1597"/>
      <c r="K274" s="1597"/>
      <c r="L274" s="1597"/>
      <c r="M274" s="1597"/>
      <c r="N274" s="1597"/>
      <c r="O274" s="1597"/>
      <c r="P274" s="1597"/>
      <c r="Q274" s="1597"/>
      <c r="R274" s="1597"/>
      <c r="S274" s="1597"/>
      <c r="T274" s="1597"/>
    </row>
    <row r="275" spans="1:20" ht="13.5" customHeight="1">
      <c r="A275" s="1597"/>
      <c r="B275" s="1597"/>
      <c r="C275" s="1597"/>
      <c r="D275" s="1597"/>
      <c r="E275" s="1597"/>
      <c r="F275" s="1597"/>
      <c r="G275" s="1597"/>
      <c r="H275" s="1597"/>
      <c r="I275" s="1597"/>
      <c r="J275" s="1597"/>
      <c r="K275" s="1597"/>
      <c r="L275" s="1597"/>
      <c r="M275" s="1597"/>
      <c r="N275" s="1597"/>
      <c r="O275" s="1597"/>
      <c r="P275" s="1597"/>
      <c r="Q275" s="1597"/>
      <c r="R275" s="1597"/>
      <c r="S275" s="1597"/>
      <c r="T275" s="1597"/>
    </row>
    <row r="276" spans="1:20" ht="13.5" customHeight="1">
      <c r="A276" s="1597"/>
      <c r="B276" s="1597"/>
      <c r="C276" s="1597"/>
      <c r="D276" s="1597"/>
      <c r="E276" s="1597"/>
      <c r="F276" s="1597"/>
      <c r="G276" s="1597"/>
      <c r="H276" s="1597"/>
      <c r="I276" s="1597"/>
      <c r="J276" s="1597"/>
      <c r="K276" s="1597"/>
      <c r="L276" s="1597"/>
      <c r="M276" s="1597"/>
      <c r="N276" s="1597"/>
      <c r="O276" s="1597"/>
      <c r="P276" s="1597"/>
      <c r="Q276" s="1597"/>
      <c r="R276" s="1597"/>
      <c r="S276" s="1597"/>
      <c r="T276" s="1597"/>
    </row>
    <row r="277" spans="1:20" ht="13.5" customHeight="1">
      <c r="A277" s="1597"/>
      <c r="B277" s="1597"/>
      <c r="C277" s="1597"/>
      <c r="D277" s="1597"/>
      <c r="E277" s="1597"/>
      <c r="F277" s="1597"/>
      <c r="G277" s="1597"/>
      <c r="H277" s="1597"/>
      <c r="I277" s="1597"/>
      <c r="J277" s="1597"/>
      <c r="K277" s="1597"/>
      <c r="L277" s="1597"/>
      <c r="M277" s="1597"/>
      <c r="N277" s="1597"/>
      <c r="O277" s="1597"/>
      <c r="P277" s="1597"/>
      <c r="Q277" s="1597"/>
      <c r="R277" s="1597"/>
      <c r="S277" s="1597"/>
      <c r="T277" s="1597"/>
    </row>
    <row r="278" spans="1:20" ht="13.5" customHeight="1">
      <c r="A278" s="1597"/>
      <c r="B278" s="1597"/>
      <c r="C278" s="1597"/>
      <c r="D278" s="1597"/>
      <c r="E278" s="1597"/>
      <c r="F278" s="1597"/>
      <c r="G278" s="1597"/>
      <c r="H278" s="1597"/>
      <c r="I278" s="1597"/>
      <c r="J278" s="1597"/>
      <c r="K278" s="1597"/>
      <c r="L278" s="1597"/>
      <c r="M278" s="1597"/>
      <c r="N278" s="1597"/>
      <c r="O278" s="1597"/>
      <c r="P278" s="1597"/>
      <c r="Q278" s="1597"/>
      <c r="R278" s="1597"/>
      <c r="S278" s="1597"/>
      <c r="T278" s="1597"/>
    </row>
    <row r="279" spans="1:20" ht="13.5" customHeight="1">
      <c r="A279" s="1597"/>
      <c r="B279" s="1597"/>
      <c r="C279" s="1597"/>
      <c r="D279" s="1597"/>
      <c r="E279" s="1597"/>
      <c r="F279" s="1597"/>
      <c r="G279" s="1597"/>
      <c r="H279" s="1597"/>
      <c r="I279" s="1597"/>
      <c r="J279" s="1597"/>
      <c r="K279" s="1597"/>
      <c r="L279" s="1597"/>
      <c r="M279" s="1597"/>
      <c r="N279" s="1597"/>
      <c r="O279" s="1597"/>
      <c r="P279" s="1597"/>
      <c r="Q279" s="1597"/>
      <c r="R279" s="1597"/>
      <c r="S279" s="1597"/>
      <c r="T279" s="1597"/>
    </row>
    <row r="280" spans="1:20" ht="13.5" customHeight="1">
      <c r="A280" s="1597"/>
      <c r="B280" s="1597"/>
      <c r="C280" s="1597"/>
      <c r="D280" s="1597"/>
      <c r="E280" s="1597"/>
      <c r="F280" s="1597"/>
      <c r="G280" s="1597"/>
      <c r="H280" s="1597"/>
      <c r="I280" s="1597"/>
      <c r="J280" s="1597"/>
      <c r="K280" s="1597"/>
      <c r="L280" s="1597"/>
      <c r="M280" s="1597"/>
      <c r="N280" s="1597"/>
      <c r="O280" s="1597"/>
      <c r="P280" s="1597"/>
      <c r="Q280" s="1597"/>
      <c r="R280" s="1597"/>
      <c r="S280" s="1597"/>
      <c r="T280" s="1597"/>
    </row>
    <row r="281" spans="1:20" ht="13.5" customHeight="1">
      <c r="A281" s="1597"/>
      <c r="B281" s="1597"/>
      <c r="C281" s="1597"/>
      <c r="D281" s="1597"/>
      <c r="E281" s="1597"/>
      <c r="F281" s="1597"/>
      <c r="G281" s="1597"/>
      <c r="H281" s="1597"/>
      <c r="I281" s="1597"/>
      <c r="J281" s="1597"/>
      <c r="K281" s="1597"/>
      <c r="L281" s="1597"/>
      <c r="M281" s="1597"/>
      <c r="N281" s="1597"/>
      <c r="O281" s="1597"/>
      <c r="P281" s="1597"/>
      <c r="Q281" s="1597"/>
      <c r="R281" s="1597"/>
      <c r="S281" s="1597"/>
      <c r="T281" s="1597"/>
    </row>
    <row r="282" spans="1:20" ht="13.5" customHeight="1">
      <c r="A282" s="1597"/>
      <c r="B282" s="1597"/>
      <c r="C282" s="1597"/>
      <c r="D282" s="1597"/>
      <c r="E282" s="1597"/>
      <c r="F282" s="1597"/>
      <c r="G282" s="1597"/>
      <c r="H282" s="1597"/>
      <c r="I282" s="1597"/>
      <c r="J282" s="1597"/>
      <c r="K282" s="1597"/>
      <c r="L282" s="1597"/>
      <c r="M282" s="1597"/>
      <c r="N282" s="1597"/>
      <c r="O282" s="1597"/>
      <c r="P282" s="1597"/>
      <c r="Q282" s="1597"/>
      <c r="R282" s="1597"/>
      <c r="S282" s="1597"/>
      <c r="T282" s="1597"/>
    </row>
    <row r="283" spans="1:20" ht="13.5" customHeight="1">
      <c r="A283" s="1597"/>
      <c r="B283" s="1597"/>
      <c r="C283" s="1597"/>
      <c r="D283" s="1597"/>
      <c r="E283" s="1597"/>
      <c r="F283" s="1597"/>
      <c r="G283" s="1597"/>
      <c r="H283" s="1597"/>
      <c r="I283" s="1597"/>
      <c r="J283" s="1597"/>
      <c r="K283" s="1597"/>
      <c r="L283" s="1597"/>
      <c r="M283" s="1597"/>
      <c r="N283" s="1597"/>
      <c r="O283" s="1597"/>
      <c r="P283" s="1597"/>
      <c r="Q283" s="1597"/>
      <c r="R283" s="1597"/>
      <c r="S283" s="1597"/>
      <c r="T283" s="1597"/>
    </row>
    <row r="284" spans="1:20" ht="13.5" customHeight="1">
      <c r="A284" s="1597"/>
      <c r="B284" s="1597"/>
      <c r="C284" s="1597"/>
      <c r="D284" s="1597"/>
      <c r="E284" s="1597"/>
      <c r="F284" s="1597"/>
      <c r="G284" s="1597"/>
      <c r="H284" s="1597"/>
      <c r="I284" s="1597"/>
      <c r="J284" s="1597"/>
      <c r="K284" s="1597"/>
      <c r="L284" s="1597"/>
      <c r="M284" s="1597"/>
      <c r="N284" s="1597"/>
      <c r="O284" s="1597"/>
      <c r="P284" s="1597"/>
      <c r="Q284" s="1597"/>
      <c r="R284" s="1597"/>
      <c r="S284" s="1597"/>
      <c r="T284" s="1597"/>
    </row>
    <row r="285" spans="1:20" ht="13.5" customHeight="1">
      <c r="A285" s="1597"/>
      <c r="B285" s="1597"/>
      <c r="C285" s="1597"/>
      <c r="D285" s="1597"/>
      <c r="E285" s="1597"/>
      <c r="F285" s="1597"/>
      <c r="G285" s="1597"/>
      <c r="H285" s="1597"/>
      <c r="I285" s="1597"/>
      <c r="J285" s="1597"/>
      <c r="K285" s="1597"/>
      <c r="L285" s="1597"/>
      <c r="M285" s="1597"/>
      <c r="N285" s="1597"/>
      <c r="O285" s="1597"/>
      <c r="P285" s="1597"/>
      <c r="Q285" s="1597"/>
      <c r="R285" s="1597"/>
      <c r="S285" s="1597"/>
      <c r="T285" s="1597"/>
    </row>
    <row r="286" spans="1:20" ht="13.5" customHeight="1">
      <c r="A286" s="1597"/>
      <c r="B286" s="1597"/>
      <c r="C286" s="1597"/>
      <c r="D286" s="1597"/>
      <c r="E286" s="1597"/>
      <c r="F286" s="1597"/>
      <c r="G286" s="1597"/>
      <c r="H286" s="1597"/>
      <c r="I286" s="1597"/>
      <c r="J286" s="1597"/>
      <c r="K286" s="1597"/>
      <c r="L286" s="1597"/>
      <c r="M286" s="1597"/>
      <c r="N286" s="1597"/>
      <c r="O286" s="1597"/>
      <c r="P286" s="1597"/>
      <c r="Q286" s="1597"/>
      <c r="R286" s="1597"/>
      <c r="S286" s="1597"/>
      <c r="T286" s="1597"/>
    </row>
    <row r="287" spans="1:20" ht="13.5" customHeight="1">
      <c r="A287" s="1597"/>
      <c r="B287" s="1597"/>
      <c r="C287" s="1597"/>
      <c r="D287" s="1597"/>
      <c r="E287" s="1597"/>
      <c r="F287" s="1597"/>
      <c r="G287" s="1597"/>
      <c r="H287" s="1597"/>
      <c r="I287" s="1597"/>
      <c r="J287" s="1597"/>
      <c r="K287" s="1597"/>
      <c r="L287" s="1597"/>
      <c r="M287" s="1597"/>
      <c r="N287" s="1597"/>
      <c r="O287" s="1597"/>
      <c r="P287" s="1597"/>
      <c r="Q287" s="1597"/>
      <c r="R287" s="1597"/>
      <c r="S287" s="1597"/>
      <c r="T287" s="1597"/>
    </row>
    <row r="288" spans="1:20" ht="13.5" customHeight="1">
      <c r="A288" s="1597"/>
      <c r="B288" s="1597"/>
      <c r="C288" s="1597"/>
      <c r="D288" s="1597"/>
      <c r="E288" s="1597"/>
      <c r="F288" s="1597"/>
      <c r="G288" s="1597"/>
      <c r="H288" s="1597"/>
      <c r="I288" s="1597"/>
      <c r="J288" s="1597"/>
      <c r="K288" s="1597"/>
      <c r="L288" s="1597"/>
      <c r="M288" s="1597"/>
      <c r="N288" s="1597"/>
      <c r="O288" s="1597"/>
      <c r="P288" s="1597"/>
      <c r="Q288" s="1597"/>
      <c r="R288" s="1597"/>
      <c r="S288" s="1597"/>
      <c r="T288" s="1597"/>
    </row>
    <row r="289" spans="1:20" ht="13.5" customHeight="1">
      <c r="A289" s="1597"/>
      <c r="B289" s="1597"/>
      <c r="C289" s="1597"/>
      <c r="D289" s="1597"/>
      <c r="E289" s="1597"/>
      <c r="F289" s="1597"/>
      <c r="G289" s="1597"/>
      <c r="H289" s="1597"/>
      <c r="I289" s="1597"/>
      <c r="J289" s="1597"/>
      <c r="K289" s="1597"/>
      <c r="L289" s="1597"/>
      <c r="M289" s="1597"/>
      <c r="N289" s="1597"/>
      <c r="O289" s="1597"/>
      <c r="P289" s="1597"/>
      <c r="Q289" s="1597"/>
      <c r="R289" s="1597"/>
      <c r="S289" s="1597"/>
      <c r="T289" s="1597"/>
    </row>
    <row r="290" spans="1:20" ht="13.5" customHeight="1">
      <c r="A290" s="1597"/>
      <c r="B290" s="1597"/>
      <c r="C290" s="1597"/>
      <c r="D290" s="1597"/>
      <c r="E290" s="1597"/>
      <c r="F290" s="1597"/>
      <c r="G290" s="1597"/>
      <c r="H290" s="1597"/>
      <c r="I290" s="1597"/>
      <c r="J290" s="1597"/>
      <c r="K290" s="1597"/>
      <c r="L290" s="1597"/>
      <c r="M290" s="1597"/>
      <c r="N290" s="1597"/>
      <c r="O290" s="1597"/>
      <c r="P290" s="1597"/>
      <c r="Q290" s="1597"/>
      <c r="R290" s="1597"/>
      <c r="S290" s="1597"/>
      <c r="T290" s="1597"/>
    </row>
    <row r="291" spans="1:20" ht="13.5" customHeight="1">
      <c r="A291" s="1597"/>
      <c r="B291" s="1597"/>
      <c r="C291" s="1597"/>
      <c r="D291" s="1597"/>
      <c r="E291" s="1597"/>
      <c r="F291" s="1597"/>
      <c r="G291" s="1597"/>
      <c r="H291" s="1597"/>
      <c r="I291" s="1597"/>
      <c r="J291" s="1597"/>
      <c r="K291" s="1597"/>
      <c r="L291" s="1597"/>
      <c r="M291" s="1597"/>
      <c r="N291" s="1597"/>
      <c r="O291" s="1597"/>
      <c r="P291" s="1597"/>
      <c r="Q291" s="1597"/>
      <c r="R291" s="1597"/>
      <c r="S291" s="1597"/>
      <c r="T291" s="1597"/>
    </row>
    <row r="292" spans="1:20" ht="13.5" customHeight="1">
      <c r="A292" s="1597"/>
      <c r="B292" s="1597"/>
      <c r="C292" s="1597"/>
      <c r="D292" s="1597"/>
      <c r="E292" s="1597"/>
      <c r="F292" s="1597"/>
      <c r="G292" s="1597"/>
      <c r="H292" s="1597"/>
      <c r="I292" s="1597"/>
      <c r="J292" s="1597"/>
      <c r="K292" s="1597"/>
      <c r="L292" s="1597"/>
      <c r="M292" s="1597"/>
      <c r="N292" s="1597"/>
      <c r="O292" s="1597"/>
      <c r="P292" s="1597"/>
      <c r="Q292" s="1597"/>
      <c r="R292" s="1597"/>
      <c r="S292" s="1597"/>
      <c r="T292" s="1597"/>
    </row>
    <row r="293" spans="1:20" ht="13.5" customHeight="1">
      <c r="A293" s="1597"/>
      <c r="B293" s="1597"/>
      <c r="C293" s="1597"/>
      <c r="D293" s="1597"/>
      <c r="E293" s="1597"/>
      <c r="F293" s="1597"/>
      <c r="G293" s="1597"/>
      <c r="H293" s="1597"/>
      <c r="I293" s="1597"/>
      <c r="J293" s="1597"/>
      <c r="K293" s="1597"/>
      <c r="L293" s="1597"/>
      <c r="M293" s="1597"/>
      <c r="N293" s="1597"/>
      <c r="O293" s="1597"/>
      <c r="P293" s="1597"/>
      <c r="Q293" s="1597"/>
      <c r="R293" s="1597"/>
      <c r="S293" s="1597"/>
      <c r="T293" s="1597"/>
    </row>
    <row r="294" spans="1:20" ht="13.5" customHeight="1">
      <c r="A294" s="1597"/>
      <c r="B294" s="1597"/>
      <c r="C294" s="1597"/>
      <c r="D294" s="1597"/>
      <c r="E294" s="1597"/>
      <c r="F294" s="1597"/>
      <c r="G294" s="1597"/>
      <c r="H294" s="1597"/>
      <c r="I294" s="1597"/>
      <c r="J294" s="1597"/>
      <c r="K294" s="1597"/>
      <c r="L294" s="1597"/>
      <c r="M294" s="1597"/>
      <c r="N294" s="1597"/>
      <c r="O294" s="1597"/>
      <c r="P294" s="1597"/>
      <c r="Q294" s="1597"/>
      <c r="R294" s="1597"/>
      <c r="S294" s="1597"/>
      <c r="T294" s="1597"/>
    </row>
    <row r="295" spans="1:20" ht="13.5" customHeight="1">
      <c r="A295" s="1597"/>
      <c r="B295" s="1597"/>
      <c r="C295" s="1597"/>
      <c r="D295" s="1597"/>
      <c r="E295" s="1597"/>
      <c r="F295" s="1597"/>
      <c r="G295" s="1597"/>
      <c r="H295" s="1597"/>
      <c r="I295" s="1597"/>
      <c r="J295" s="1597"/>
      <c r="K295" s="1597"/>
      <c r="L295" s="1597"/>
      <c r="M295" s="1597"/>
      <c r="N295" s="1597"/>
      <c r="O295" s="1597"/>
      <c r="P295" s="1597"/>
      <c r="Q295" s="1597"/>
      <c r="R295" s="1597"/>
      <c r="S295" s="1597"/>
      <c r="T295" s="1597"/>
    </row>
    <row r="296" spans="1:20" ht="13.5" customHeight="1">
      <c r="A296" s="1597"/>
      <c r="B296" s="1597"/>
      <c r="C296" s="1597"/>
      <c r="D296" s="1597"/>
      <c r="E296" s="1597"/>
      <c r="F296" s="1597"/>
      <c r="G296" s="1597"/>
      <c r="H296" s="1597"/>
      <c r="I296" s="1597"/>
      <c r="J296" s="1597"/>
      <c r="K296" s="1597"/>
      <c r="L296" s="1597"/>
      <c r="M296" s="1597"/>
      <c r="N296" s="1597"/>
      <c r="O296" s="1597"/>
      <c r="P296" s="1597"/>
      <c r="Q296" s="1597"/>
      <c r="R296" s="1597"/>
      <c r="S296" s="1597"/>
      <c r="T296" s="1597"/>
    </row>
    <row r="297" spans="1:20" ht="13.5" customHeight="1">
      <c r="A297" s="1597"/>
      <c r="B297" s="1597"/>
      <c r="C297" s="1597"/>
      <c r="D297" s="1597"/>
      <c r="E297" s="1597"/>
      <c r="F297" s="1597"/>
      <c r="G297" s="1597"/>
      <c r="H297" s="1597"/>
      <c r="I297" s="1597"/>
      <c r="J297" s="1597"/>
      <c r="K297" s="1597"/>
      <c r="L297" s="1597"/>
      <c r="M297" s="1597"/>
      <c r="N297" s="1597"/>
      <c r="O297" s="1597"/>
      <c r="P297" s="1597"/>
      <c r="Q297" s="1597"/>
      <c r="R297" s="1597"/>
      <c r="S297" s="1597"/>
      <c r="T297" s="1597"/>
    </row>
    <row r="298" spans="1:20" ht="13.5" customHeight="1">
      <c r="A298" s="1597"/>
      <c r="B298" s="1597"/>
      <c r="C298" s="1597"/>
      <c r="D298" s="1597"/>
      <c r="E298" s="1597"/>
      <c r="F298" s="1597"/>
      <c r="G298" s="1597"/>
      <c r="H298" s="1597"/>
      <c r="I298" s="1597"/>
      <c r="J298" s="1597"/>
      <c r="K298" s="1597"/>
      <c r="L298" s="1597"/>
      <c r="M298" s="1597"/>
      <c r="N298" s="1597"/>
      <c r="O298" s="1597"/>
      <c r="P298" s="1597"/>
      <c r="Q298" s="1597"/>
      <c r="R298" s="1597"/>
      <c r="S298" s="1597"/>
      <c r="T298" s="1597"/>
    </row>
    <row r="299" spans="1:20" ht="13.5" customHeight="1">
      <c r="A299" s="1597"/>
      <c r="B299" s="1597"/>
      <c r="C299" s="1597"/>
      <c r="D299" s="1597"/>
      <c r="E299" s="1597"/>
      <c r="F299" s="1597"/>
      <c r="G299" s="1597"/>
      <c r="H299" s="1597"/>
      <c r="I299" s="1597"/>
      <c r="J299" s="1597"/>
      <c r="K299" s="1597"/>
      <c r="L299" s="1597"/>
      <c r="M299" s="1597"/>
      <c r="N299" s="1597"/>
      <c r="O299" s="1597"/>
      <c r="P299" s="1597"/>
      <c r="Q299" s="1597"/>
      <c r="R299" s="1597"/>
      <c r="S299" s="1597"/>
      <c r="T299" s="1597"/>
    </row>
    <row r="300" spans="1:20" ht="13.5" customHeight="1">
      <c r="A300" s="1597"/>
      <c r="B300" s="1597"/>
      <c r="C300" s="1597"/>
      <c r="D300" s="1597"/>
      <c r="E300" s="1597"/>
      <c r="F300" s="1597"/>
      <c r="G300" s="1597"/>
      <c r="H300" s="1597"/>
      <c r="I300" s="1597"/>
      <c r="J300" s="1597"/>
      <c r="K300" s="1597"/>
      <c r="L300" s="1597"/>
      <c r="M300" s="1597"/>
      <c r="N300" s="1597"/>
      <c r="O300" s="1597"/>
      <c r="P300" s="1597"/>
      <c r="Q300" s="1597"/>
      <c r="R300" s="1597"/>
      <c r="S300" s="1597"/>
      <c r="T300" s="1597"/>
    </row>
    <row r="301" spans="1:20" ht="13.5" customHeight="1">
      <c r="A301" s="1597"/>
      <c r="B301" s="1597"/>
      <c r="C301" s="1597"/>
      <c r="D301" s="1597"/>
      <c r="E301" s="1597"/>
      <c r="F301" s="1597"/>
      <c r="G301" s="1597"/>
      <c r="H301" s="1597"/>
      <c r="I301" s="1597"/>
      <c r="J301" s="1597"/>
      <c r="K301" s="1597"/>
      <c r="L301" s="1597"/>
      <c r="M301" s="1597"/>
      <c r="N301" s="1597"/>
      <c r="O301" s="1597"/>
      <c r="P301" s="1597"/>
      <c r="Q301" s="1597"/>
      <c r="R301" s="1597"/>
      <c r="S301" s="1597"/>
      <c r="T301" s="1597"/>
    </row>
    <row r="302" spans="1:20" ht="13.5" customHeight="1">
      <c r="A302" s="1597"/>
      <c r="B302" s="1597"/>
      <c r="C302" s="1597"/>
      <c r="D302" s="1597"/>
      <c r="E302" s="1597"/>
      <c r="F302" s="1597"/>
      <c r="G302" s="1597"/>
      <c r="H302" s="1597"/>
      <c r="I302" s="1597"/>
      <c r="J302" s="1597"/>
      <c r="K302" s="1597"/>
      <c r="L302" s="1597"/>
      <c r="M302" s="1597"/>
      <c r="N302" s="1597"/>
      <c r="O302" s="1597"/>
      <c r="P302" s="1597"/>
      <c r="Q302" s="1597"/>
      <c r="R302" s="1597"/>
      <c r="S302" s="1597"/>
      <c r="T302" s="1597"/>
    </row>
    <row r="303" spans="1:20" ht="13.5" customHeight="1">
      <c r="A303" s="1597"/>
      <c r="B303" s="1597"/>
      <c r="C303" s="1597"/>
      <c r="D303" s="1597"/>
      <c r="E303" s="1597"/>
      <c r="F303" s="1597"/>
      <c r="G303" s="1597"/>
      <c r="H303" s="1597"/>
      <c r="I303" s="1597"/>
      <c r="J303" s="1597"/>
      <c r="K303" s="1597"/>
      <c r="L303" s="1597"/>
      <c r="M303" s="1597"/>
      <c r="N303" s="1597"/>
      <c r="O303" s="1597"/>
      <c r="P303" s="1597"/>
      <c r="Q303" s="1597"/>
      <c r="R303" s="1597"/>
      <c r="S303" s="1597"/>
      <c r="T303" s="1597"/>
    </row>
    <row r="304" spans="1:20" ht="13.5" customHeight="1">
      <c r="A304" s="1597"/>
      <c r="B304" s="1597"/>
      <c r="C304" s="1597"/>
      <c r="D304" s="1597"/>
      <c r="E304" s="1597"/>
      <c r="F304" s="1597"/>
      <c r="G304" s="1597"/>
      <c r="H304" s="1597"/>
      <c r="I304" s="1597"/>
      <c r="J304" s="1597"/>
      <c r="K304" s="1597"/>
      <c r="L304" s="1597"/>
      <c r="M304" s="1597"/>
      <c r="N304" s="1597"/>
      <c r="O304" s="1597"/>
      <c r="P304" s="1597"/>
      <c r="Q304" s="1597"/>
      <c r="R304" s="1597"/>
      <c r="S304" s="1597"/>
      <c r="T304" s="1597"/>
    </row>
    <row r="305" spans="1:20" ht="13.5" customHeight="1">
      <c r="A305" s="1597"/>
      <c r="B305" s="1597"/>
      <c r="C305" s="1597"/>
      <c r="D305" s="1597"/>
      <c r="E305" s="1597"/>
      <c r="F305" s="1597"/>
      <c r="G305" s="1597"/>
      <c r="H305" s="1597"/>
      <c r="I305" s="1597"/>
      <c r="J305" s="1597"/>
      <c r="K305" s="1597"/>
      <c r="L305" s="1597"/>
      <c r="M305" s="1597"/>
      <c r="N305" s="1597"/>
      <c r="O305" s="1597"/>
      <c r="P305" s="1597"/>
      <c r="Q305" s="1597"/>
      <c r="R305" s="1597"/>
      <c r="S305" s="1597"/>
      <c r="T305" s="1597"/>
    </row>
    <row r="306" spans="1:20" ht="13.5" customHeight="1">
      <c r="A306" s="1597"/>
      <c r="B306" s="1597"/>
      <c r="C306" s="1597"/>
      <c r="D306" s="1597"/>
      <c r="E306" s="1597"/>
      <c r="F306" s="1597"/>
      <c r="G306" s="1597"/>
      <c r="H306" s="1597"/>
      <c r="I306" s="1597"/>
      <c r="J306" s="1597"/>
      <c r="K306" s="1597"/>
      <c r="L306" s="1597"/>
      <c r="M306" s="1597"/>
      <c r="N306" s="1597"/>
      <c r="O306" s="1597"/>
      <c r="P306" s="1597"/>
      <c r="Q306" s="1597"/>
      <c r="R306" s="1597"/>
      <c r="S306" s="1597"/>
      <c r="T306" s="1597"/>
    </row>
    <row r="307" spans="1:20" ht="13.5" customHeight="1">
      <c r="A307" s="1597"/>
      <c r="B307" s="1597"/>
      <c r="C307" s="1597"/>
      <c r="D307" s="1597"/>
      <c r="E307" s="1597"/>
      <c r="F307" s="1597"/>
      <c r="G307" s="1597"/>
      <c r="H307" s="1597"/>
      <c r="I307" s="1597"/>
      <c r="J307" s="1597"/>
      <c r="K307" s="1597"/>
      <c r="L307" s="1597"/>
      <c r="M307" s="1597"/>
      <c r="N307" s="1597"/>
      <c r="O307" s="1597"/>
      <c r="P307" s="1597"/>
      <c r="Q307" s="1597"/>
      <c r="R307" s="1597"/>
      <c r="S307" s="1597"/>
      <c r="T307" s="1597"/>
    </row>
    <row r="308" spans="1:20" ht="13.5" customHeight="1">
      <c r="A308" s="1597"/>
      <c r="B308" s="1597"/>
      <c r="C308" s="1597"/>
      <c r="D308" s="1597"/>
      <c r="E308" s="1597"/>
      <c r="F308" s="1597"/>
      <c r="G308" s="1597"/>
      <c r="H308" s="1597"/>
      <c r="I308" s="1597"/>
      <c r="J308" s="1597"/>
      <c r="K308" s="1597"/>
      <c r="L308" s="1597"/>
      <c r="M308" s="1597"/>
      <c r="N308" s="1597"/>
      <c r="O308" s="1597"/>
      <c r="P308" s="1597"/>
      <c r="Q308" s="1597"/>
      <c r="R308" s="1597"/>
      <c r="S308" s="1597"/>
      <c r="T308" s="1597"/>
    </row>
    <row r="309" spans="1:20" ht="13.5" customHeight="1">
      <c r="A309" s="1597"/>
      <c r="B309" s="1597"/>
      <c r="C309" s="1597"/>
      <c r="D309" s="1597"/>
      <c r="E309" s="1597"/>
      <c r="F309" s="1597"/>
      <c r="G309" s="1597"/>
      <c r="H309" s="1597"/>
      <c r="I309" s="1597"/>
      <c r="J309" s="1597"/>
      <c r="K309" s="1597"/>
      <c r="L309" s="1597"/>
      <c r="M309" s="1597"/>
      <c r="N309" s="1597"/>
      <c r="O309" s="1597"/>
      <c r="P309" s="1597"/>
      <c r="Q309" s="1597"/>
      <c r="R309" s="1597"/>
      <c r="S309" s="1597"/>
      <c r="T309" s="1597"/>
    </row>
    <row r="310" spans="1:20" ht="13.5" customHeight="1">
      <c r="A310" s="1597"/>
      <c r="B310" s="1597"/>
      <c r="C310" s="1597"/>
      <c r="D310" s="1597"/>
      <c r="E310" s="1597"/>
      <c r="F310" s="1597"/>
      <c r="G310" s="1597"/>
      <c r="H310" s="1597"/>
      <c r="I310" s="1597"/>
      <c r="J310" s="1597"/>
      <c r="K310" s="1597"/>
      <c r="L310" s="1597"/>
      <c r="M310" s="1597"/>
      <c r="N310" s="1597"/>
      <c r="O310" s="1597"/>
      <c r="P310" s="1597"/>
      <c r="Q310" s="1597"/>
      <c r="R310" s="1597"/>
      <c r="S310" s="1597"/>
      <c r="T310" s="1597"/>
    </row>
    <row r="311" spans="1:20" ht="13.5" customHeight="1">
      <c r="A311" s="1597"/>
      <c r="B311" s="1597"/>
      <c r="C311" s="1597"/>
      <c r="D311" s="1597"/>
      <c r="E311" s="1597"/>
      <c r="F311" s="1597"/>
      <c r="G311" s="1597"/>
      <c r="H311" s="1597"/>
      <c r="I311" s="1597"/>
      <c r="J311" s="1597"/>
      <c r="K311" s="1597"/>
      <c r="L311" s="1597"/>
      <c r="M311" s="1597"/>
      <c r="N311" s="1597"/>
      <c r="O311" s="1597"/>
      <c r="P311" s="1597"/>
      <c r="Q311" s="1597"/>
      <c r="R311" s="1597"/>
      <c r="S311" s="1597"/>
      <c r="T311" s="1597"/>
    </row>
    <row r="312" spans="1:20" ht="13.5" customHeight="1">
      <c r="A312" s="1597"/>
      <c r="B312" s="1597"/>
      <c r="C312" s="1597"/>
      <c r="D312" s="1597"/>
      <c r="E312" s="1597"/>
      <c r="F312" s="1597"/>
      <c r="G312" s="1597"/>
      <c r="H312" s="1597"/>
      <c r="I312" s="1597"/>
      <c r="J312" s="1597"/>
      <c r="K312" s="1597"/>
      <c r="L312" s="1597"/>
      <c r="M312" s="1597"/>
      <c r="N312" s="1597"/>
      <c r="O312" s="1597"/>
      <c r="P312" s="1597"/>
      <c r="Q312" s="1597"/>
      <c r="R312" s="1597"/>
      <c r="S312" s="1597"/>
      <c r="T312" s="1597"/>
    </row>
    <row r="313" spans="1:20" ht="13.5" customHeight="1">
      <c r="A313" s="1597"/>
      <c r="B313" s="1597"/>
      <c r="C313" s="1597"/>
      <c r="D313" s="1597"/>
      <c r="E313" s="1597"/>
      <c r="F313" s="1597"/>
      <c r="G313" s="1597"/>
      <c r="H313" s="1597"/>
      <c r="I313" s="1597"/>
      <c r="J313" s="1597"/>
      <c r="K313" s="1597"/>
      <c r="L313" s="1597"/>
      <c r="M313" s="1597"/>
      <c r="N313" s="1597"/>
      <c r="O313" s="1597"/>
      <c r="P313" s="1597"/>
      <c r="Q313" s="1597"/>
      <c r="R313" s="1597"/>
      <c r="S313" s="1597"/>
      <c r="T313" s="1597"/>
    </row>
    <row r="314" spans="1:20" ht="13.5" customHeight="1">
      <c r="A314" s="1597"/>
      <c r="B314" s="1597"/>
      <c r="C314" s="1597"/>
      <c r="D314" s="1597"/>
      <c r="E314" s="1597"/>
      <c r="F314" s="1597"/>
      <c r="G314" s="1597"/>
      <c r="H314" s="1597"/>
      <c r="I314" s="1597"/>
      <c r="J314" s="1597"/>
      <c r="K314" s="1597"/>
      <c r="L314" s="1597"/>
      <c r="M314" s="1597"/>
      <c r="N314" s="1597"/>
      <c r="O314" s="1597"/>
      <c r="P314" s="1597"/>
      <c r="Q314" s="1597"/>
      <c r="R314" s="1597"/>
      <c r="S314" s="1597"/>
      <c r="T314" s="1597"/>
    </row>
    <row r="315" spans="1:20" ht="13.5" customHeight="1">
      <c r="A315" s="1597"/>
      <c r="B315" s="1597"/>
      <c r="C315" s="1597"/>
      <c r="D315" s="1597"/>
      <c r="E315" s="1597"/>
      <c r="F315" s="1597"/>
      <c r="G315" s="1597"/>
      <c r="H315" s="1597"/>
      <c r="I315" s="1597"/>
      <c r="J315" s="1597"/>
      <c r="K315" s="1597"/>
      <c r="L315" s="1597"/>
      <c r="M315" s="1597"/>
      <c r="N315" s="1597"/>
      <c r="O315" s="1597"/>
      <c r="P315" s="1597"/>
      <c r="Q315" s="1597"/>
      <c r="R315" s="1597"/>
      <c r="S315" s="1597"/>
      <c r="T315" s="1597"/>
    </row>
    <row r="316" spans="1:20" ht="13.5" customHeight="1">
      <c r="A316" s="1597"/>
      <c r="B316" s="1597"/>
      <c r="C316" s="1597"/>
      <c r="D316" s="1597"/>
      <c r="E316" s="1597"/>
      <c r="F316" s="1597"/>
      <c r="G316" s="1597"/>
      <c r="H316" s="1597"/>
      <c r="I316" s="1597"/>
      <c r="J316" s="1597"/>
      <c r="K316" s="1597"/>
      <c r="L316" s="1597"/>
      <c r="M316" s="1597"/>
      <c r="N316" s="1597"/>
      <c r="O316" s="1597"/>
      <c r="P316" s="1597"/>
      <c r="Q316" s="1597"/>
      <c r="R316" s="1597"/>
      <c r="S316" s="1597"/>
      <c r="T316" s="1597"/>
    </row>
    <row r="317" spans="1:20" ht="13.5" customHeight="1">
      <c r="A317" s="1597"/>
      <c r="B317" s="1597"/>
      <c r="C317" s="1597"/>
      <c r="D317" s="1597"/>
      <c r="E317" s="1597"/>
      <c r="F317" s="1597"/>
      <c r="G317" s="1597"/>
      <c r="H317" s="1597"/>
      <c r="I317" s="1597"/>
      <c r="J317" s="1597"/>
      <c r="K317" s="1597"/>
      <c r="L317" s="1597"/>
      <c r="M317" s="1597"/>
      <c r="N317" s="1597"/>
      <c r="O317" s="1597"/>
      <c r="P317" s="1597"/>
      <c r="Q317" s="1597"/>
      <c r="R317" s="1597"/>
      <c r="S317" s="1597"/>
      <c r="T317" s="1597"/>
    </row>
    <row r="318" spans="1:20" ht="13.5" customHeight="1">
      <c r="A318" s="1597"/>
      <c r="B318" s="1597"/>
      <c r="C318" s="1597"/>
      <c r="D318" s="1597"/>
      <c r="E318" s="1597"/>
      <c r="F318" s="1597"/>
      <c r="G318" s="1597"/>
      <c r="H318" s="1597"/>
      <c r="I318" s="1597"/>
      <c r="J318" s="1597"/>
      <c r="K318" s="1597"/>
      <c r="L318" s="1597"/>
      <c r="M318" s="1597"/>
      <c r="N318" s="1597"/>
      <c r="O318" s="1597"/>
      <c r="P318" s="1597"/>
      <c r="Q318" s="1597"/>
      <c r="R318" s="1597"/>
      <c r="S318" s="1597"/>
      <c r="T318" s="1597"/>
    </row>
    <row r="319" spans="1:20" ht="13.5" customHeight="1">
      <c r="A319" s="1597"/>
      <c r="B319" s="1597"/>
      <c r="C319" s="1597"/>
      <c r="D319" s="1597"/>
      <c r="E319" s="1597"/>
      <c r="F319" s="1597"/>
      <c r="G319" s="1597"/>
      <c r="H319" s="1597"/>
      <c r="I319" s="1597"/>
      <c r="J319" s="1597"/>
      <c r="K319" s="1597"/>
      <c r="L319" s="1597"/>
      <c r="M319" s="1597"/>
      <c r="N319" s="1597"/>
      <c r="O319" s="1597"/>
      <c r="P319" s="1597"/>
      <c r="Q319" s="1597"/>
      <c r="R319" s="1597"/>
      <c r="S319" s="1597"/>
      <c r="T319" s="1597"/>
    </row>
    <row r="320" spans="1:20" ht="13.5" customHeight="1">
      <c r="A320" s="1597"/>
      <c r="B320" s="1597"/>
      <c r="C320" s="1597"/>
      <c r="D320" s="1597"/>
      <c r="E320" s="1597"/>
      <c r="F320" s="1597"/>
      <c r="G320" s="1597"/>
      <c r="H320" s="1597"/>
      <c r="I320" s="1597"/>
      <c r="J320" s="1597"/>
      <c r="K320" s="1597"/>
      <c r="L320" s="1597"/>
      <c r="M320" s="1597"/>
      <c r="N320" s="1597"/>
      <c r="O320" s="1597"/>
      <c r="P320" s="1597"/>
      <c r="Q320" s="1597"/>
      <c r="R320" s="1597"/>
      <c r="S320" s="1597"/>
      <c r="T320" s="1597"/>
    </row>
    <row r="321" spans="1:20" ht="13.5" customHeight="1">
      <c r="A321" s="1597"/>
      <c r="B321" s="1597"/>
      <c r="C321" s="1597"/>
      <c r="D321" s="1597"/>
      <c r="E321" s="1597"/>
      <c r="F321" s="1597"/>
      <c r="G321" s="1597"/>
      <c r="H321" s="1597"/>
      <c r="I321" s="1597"/>
      <c r="J321" s="1597"/>
      <c r="K321" s="1597"/>
      <c r="L321" s="1597"/>
      <c r="M321" s="1597"/>
      <c r="N321" s="1597"/>
      <c r="O321" s="1597"/>
      <c r="P321" s="1597"/>
      <c r="Q321" s="1597"/>
      <c r="R321" s="1597"/>
      <c r="S321" s="1597"/>
      <c r="T321" s="1597"/>
    </row>
    <row r="322" spans="1:20" ht="13.5" customHeight="1">
      <c r="A322" s="1597"/>
      <c r="B322" s="1597"/>
      <c r="C322" s="1597"/>
      <c r="D322" s="1597"/>
      <c r="E322" s="1597"/>
      <c r="F322" s="1597"/>
      <c r="G322" s="1597"/>
      <c r="H322" s="1597"/>
      <c r="I322" s="1597"/>
      <c r="J322" s="1597"/>
      <c r="K322" s="1597"/>
      <c r="L322" s="1597"/>
      <c r="M322" s="1597"/>
      <c r="N322" s="1597"/>
      <c r="O322" s="1597"/>
      <c r="P322" s="1597"/>
      <c r="Q322" s="1597"/>
      <c r="R322" s="1597"/>
      <c r="S322" s="1597"/>
      <c r="T322" s="1597"/>
    </row>
    <row r="323" spans="1:20" ht="13.5" customHeight="1">
      <c r="A323" s="1597"/>
      <c r="B323" s="1597"/>
      <c r="C323" s="1597"/>
      <c r="D323" s="1597"/>
      <c r="E323" s="1597"/>
      <c r="F323" s="1597"/>
      <c r="G323" s="1597"/>
      <c r="H323" s="1597"/>
      <c r="I323" s="1597"/>
      <c r="J323" s="1597"/>
      <c r="K323" s="1597"/>
      <c r="L323" s="1597"/>
      <c r="M323" s="1597"/>
      <c r="N323" s="1597"/>
      <c r="O323" s="1597"/>
      <c r="P323" s="1597"/>
      <c r="Q323" s="1597"/>
      <c r="R323" s="1597"/>
      <c r="S323" s="1597"/>
      <c r="T323" s="1597"/>
    </row>
    <row r="324" spans="1:20" ht="13.5" customHeight="1">
      <c r="A324" s="1597"/>
      <c r="B324" s="1597"/>
      <c r="C324" s="1597"/>
      <c r="D324" s="1597"/>
      <c r="E324" s="1597"/>
      <c r="F324" s="1597"/>
      <c r="G324" s="1597"/>
      <c r="H324" s="1597"/>
      <c r="I324" s="1597"/>
      <c r="J324" s="1597"/>
      <c r="K324" s="1597"/>
      <c r="L324" s="1597"/>
      <c r="M324" s="1597"/>
      <c r="N324" s="1597"/>
      <c r="O324" s="1597"/>
      <c r="P324" s="1597"/>
      <c r="Q324" s="1597"/>
      <c r="R324" s="1597"/>
      <c r="S324" s="1597"/>
      <c r="T324" s="1597"/>
    </row>
    <row r="325" spans="1:20" ht="13.5" customHeight="1">
      <c r="A325" s="1597"/>
      <c r="B325" s="1597"/>
      <c r="C325" s="1597"/>
      <c r="D325" s="1597"/>
      <c r="E325" s="1597"/>
      <c r="F325" s="1597"/>
      <c r="G325" s="1597"/>
      <c r="H325" s="1597"/>
      <c r="I325" s="1597"/>
      <c r="J325" s="1597"/>
      <c r="K325" s="1597"/>
      <c r="L325" s="1597"/>
      <c r="M325" s="1597"/>
      <c r="N325" s="1597"/>
      <c r="O325" s="1597"/>
      <c r="P325" s="1597"/>
      <c r="Q325" s="1597"/>
      <c r="R325" s="1597"/>
      <c r="S325" s="1597"/>
      <c r="T325" s="1597"/>
    </row>
    <row r="326" spans="1:20" ht="13.5" customHeight="1">
      <c r="A326" s="1597"/>
      <c r="B326" s="1597"/>
      <c r="C326" s="1597"/>
      <c r="D326" s="1597"/>
      <c r="E326" s="1597"/>
      <c r="F326" s="1597"/>
      <c r="G326" s="1597"/>
      <c r="H326" s="1597"/>
      <c r="I326" s="1597"/>
      <c r="J326" s="1597"/>
      <c r="K326" s="1597"/>
      <c r="L326" s="1597"/>
      <c r="M326" s="1597"/>
      <c r="N326" s="1597"/>
      <c r="O326" s="1597"/>
      <c r="P326" s="1597"/>
      <c r="Q326" s="1597"/>
      <c r="R326" s="1597"/>
      <c r="S326" s="1597"/>
      <c r="T326" s="1597"/>
    </row>
    <row r="327" spans="1:20" ht="13.5" customHeight="1">
      <c r="A327" s="1597"/>
      <c r="B327" s="1597"/>
      <c r="C327" s="1597"/>
      <c r="D327" s="1597"/>
      <c r="E327" s="1597"/>
      <c r="F327" s="1597"/>
      <c r="G327" s="1597"/>
      <c r="H327" s="1597"/>
      <c r="I327" s="1597"/>
      <c r="J327" s="1597"/>
      <c r="K327" s="1597"/>
      <c r="L327" s="1597"/>
      <c r="M327" s="1597"/>
      <c r="N327" s="1597"/>
      <c r="O327" s="1597"/>
      <c r="P327" s="1597"/>
      <c r="Q327" s="1597"/>
      <c r="R327" s="1597"/>
      <c r="S327" s="1597"/>
      <c r="T327" s="1597"/>
    </row>
    <row r="328" spans="1:20" ht="13.5" customHeight="1">
      <c r="A328" s="1597"/>
      <c r="B328" s="1597"/>
      <c r="C328" s="1597"/>
      <c r="D328" s="1597"/>
      <c r="E328" s="1597"/>
      <c r="F328" s="1597"/>
      <c r="G328" s="1597"/>
      <c r="H328" s="1597"/>
      <c r="I328" s="1597"/>
      <c r="J328" s="1597"/>
      <c r="K328" s="1597"/>
      <c r="L328" s="1597"/>
      <c r="M328" s="1597"/>
      <c r="N328" s="1597"/>
      <c r="O328" s="1597"/>
      <c r="P328" s="1597"/>
      <c r="Q328" s="1597"/>
      <c r="R328" s="1597"/>
      <c r="S328" s="1597"/>
      <c r="T328" s="1597"/>
    </row>
    <row r="329" spans="1:20" ht="13.5" customHeight="1">
      <c r="A329" s="1597"/>
      <c r="B329" s="1597"/>
      <c r="C329" s="1597"/>
      <c r="D329" s="1597"/>
      <c r="E329" s="1597"/>
      <c r="F329" s="1597"/>
      <c r="G329" s="1597"/>
      <c r="H329" s="1597"/>
      <c r="I329" s="1597"/>
      <c r="J329" s="1597"/>
      <c r="K329" s="1597"/>
      <c r="L329" s="1597"/>
      <c r="M329" s="1597"/>
      <c r="N329" s="1597"/>
      <c r="O329" s="1597"/>
      <c r="P329" s="1597"/>
      <c r="Q329" s="1597"/>
      <c r="R329" s="1597"/>
      <c r="S329" s="1597"/>
      <c r="T329" s="1597"/>
    </row>
    <row r="330" spans="1:20" ht="13.5" customHeight="1">
      <c r="A330" s="1597"/>
      <c r="B330" s="1597"/>
      <c r="C330" s="1597"/>
      <c r="D330" s="1597"/>
      <c r="E330" s="1597"/>
      <c r="F330" s="1597"/>
      <c r="G330" s="1597"/>
      <c r="H330" s="1597"/>
      <c r="I330" s="1597"/>
      <c r="J330" s="1597"/>
      <c r="K330" s="1597"/>
      <c r="L330" s="1597"/>
      <c r="M330" s="1597"/>
      <c r="N330" s="1597"/>
      <c r="O330" s="1597"/>
      <c r="P330" s="1597"/>
      <c r="Q330" s="1597"/>
      <c r="R330" s="1597"/>
      <c r="S330" s="1597"/>
      <c r="T330" s="1597"/>
    </row>
    <row r="331" spans="1:20" ht="13.5" customHeight="1">
      <c r="A331" s="1597"/>
      <c r="B331" s="1597"/>
      <c r="C331" s="1597"/>
      <c r="D331" s="1597"/>
      <c r="E331" s="1597"/>
      <c r="F331" s="1597"/>
      <c r="G331" s="1597"/>
      <c r="H331" s="1597"/>
      <c r="I331" s="1597"/>
      <c r="J331" s="1597"/>
      <c r="K331" s="1597"/>
      <c r="L331" s="1597"/>
      <c r="M331" s="1597"/>
      <c r="N331" s="1597"/>
      <c r="O331" s="1597"/>
      <c r="P331" s="1597"/>
      <c r="Q331" s="1597"/>
      <c r="R331" s="1597"/>
      <c r="S331" s="1597"/>
      <c r="T331" s="1597"/>
    </row>
    <row r="332" spans="1:20" ht="13.5" customHeight="1">
      <c r="A332" s="1597"/>
      <c r="B332" s="1597"/>
      <c r="C332" s="1597"/>
      <c r="D332" s="1597"/>
      <c r="E332" s="1597"/>
      <c r="F332" s="1597"/>
      <c r="G332" s="1597"/>
      <c r="H332" s="1597"/>
      <c r="I332" s="1597"/>
      <c r="J332" s="1597"/>
      <c r="K332" s="1597"/>
      <c r="L332" s="1597"/>
      <c r="M332" s="1597"/>
      <c r="N332" s="1597"/>
      <c r="O332" s="1597"/>
      <c r="P332" s="1597"/>
      <c r="Q332" s="1597"/>
      <c r="R332" s="1597"/>
      <c r="S332" s="1597"/>
      <c r="T332" s="1597"/>
    </row>
    <row r="333" spans="1:20" ht="13.5" customHeight="1">
      <c r="A333" s="1597"/>
      <c r="B333" s="1597"/>
      <c r="C333" s="1597"/>
      <c r="D333" s="1597"/>
      <c r="E333" s="1597"/>
      <c r="F333" s="1597"/>
      <c r="G333" s="1597"/>
      <c r="H333" s="1597"/>
      <c r="I333" s="1597"/>
      <c r="J333" s="1597"/>
      <c r="K333" s="1597"/>
      <c r="L333" s="1597"/>
      <c r="M333" s="1597"/>
      <c r="N333" s="1597"/>
      <c r="O333" s="1597"/>
      <c r="P333" s="1597"/>
      <c r="Q333" s="1597"/>
      <c r="R333" s="1597"/>
      <c r="S333" s="1597"/>
      <c r="T333" s="1597"/>
    </row>
    <row r="334" spans="1:20" ht="13.5" customHeight="1">
      <c r="A334" s="1597"/>
      <c r="B334" s="1597"/>
      <c r="C334" s="1597"/>
      <c r="D334" s="1597"/>
      <c r="E334" s="1597"/>
      <c r="F334" s="1597"/>
      <c r="G334" s="1597"/>
      <c r="H334" s="1597"/>
      <c r="I334" s="1597"/>
      <c r="J334" s="1597"/>
      <c r="K334" s="1597"/>
      <c r="L334" s="1597"/>
      <c r="M334" s="1597"/>
      <c r="N334" s="1597"/>
      <c r="O334" s="1597"/>
      <c r="P334" s="1597"/>
      <c r="Q334" s="1597"/>
      <c r="R334" s="1597"/>
      <c r="S334" s="1597"/>
      <c r="T334" s="1597"/>
    </row>
    <row r="335" spans="1:20" ht="13.5" customHeight="1">
      <c r="A335" s="1597"/>
      <c r="B335" s="1597"/>
      <c r="C335" s="1597"/>
      <c r="D335" s="1597"/>
      <c r="E335" s="1597"/>
      <c r="F335" s="1597"/>
      <c r="G335" s="1597"/>
      <c r="H335" s="1597"/>
      <c r="I335" s="1597"/>
      <c r="J335" s="1597"/>
      <c r="K335" s="1597"/>
      <c r="L335" s="1597"/>
      <c r="M335" s="1597"/>
      <c r="N335" s="1597"/>
      <c r="O335" s="1597"/>
      <c r="P335" s="1597"/>
      <c r="Q335" s="1597"/>
      <c r="R335" s="1597"/>
      <c r="S335" s="1597"/>
      <c r="T335" s="1597"/>
    </row>
    <row r="336" spans="1:20" ht="13.5" customHeight="1">
      <c r="A336" s="1597"/>
      <c r="B336" s="1597"/>
      <c r="C336" s="1597"/>
      <c r="D336" s="1597"/>
      <c r="E336" s="1597"/>
      <c r="F336" s="1597"/>
      <c r="G336" s="1597"/>
      <c r="H336" s="1597"/>
      <c r="I336" s="1597"/>
      <c r="J336" s="1597"/>
      <c r="K336" s="1597"/>
      <c r="L336" s="1597"/>
      <c r="M336" s="1597"/>
      <c r="N336" s="1597"/>
      <c r="O336" s="1597"/>
      <c r="P336" s="1597"/>
      <c r="Q336" s="1597"/>
      <c r="R336" s="1597"/>
      <c r="S336" s="1597"/>
      <c r="T336" s="1597"/>
    </row>
    <row r="337" spans="1:20" ht="13.5" customHeight="1">
      <c r="A337" s="1597"/>
      <c r="B337" s="1597"/>
      <c r="C337" s="1597"/>
      <c r="D337" s="1597"/>
      <c r="E337" s="1597"/>
      <c r="F337" s="1597"/>
      <c r="G337" s="1597"/>
      <c r="H337" s="1597"/>
      <c r="I337" s="1597"/>
      <c r="J337" s="1597"/>
      <c r="K337" s="1597"/>
      <c r="L337" s="1597"/>
      <c r="M337" s="1597"/>
      <c r="N337" s="1597"/>
      <c r="O337" s="1597"/>
      <c r="P337" s="1597"/>
      <c r="Q337" s="1597"/>
      <c r="R337" s="1597"/>
      <c r="S337" s="1597"/>
      <c r="T337" s="1597"/>
    </row>
    <row r="338" spans="1:20" ht="13.5" customHeight="1">
      <c r="A338" s="1597"/>
      <c r="B338" s="1597"/>
      <c r="C338" s="1597"/>
      <c r="D338" s="1597"/>
      <c r="E338" s="1597"/>
      <c r="F338" s="1597"/>
      <c r="G338" s="1597"/>
      <c r="H338" s="1597"/>
      <c r="I338" s="1597"/>
      <c r="J338" s="1597"/>
      <c r="K338" s="1597"/>
      <c r="L338" s="1597"/>
      <c r="M338" s="1597"/>
      <c r="N338" s="1597"/>
      <c r="O338" s="1597"/>
      <c r="P338" s="1597"/>
      <c r="Q338" s="1597"/>
      <c r="R338" s="1597"/>
      <c r="S338" s="1597"/>
      <c r="T338" s="1597"/>
    </row>
    <row r="339" spans="1:20" ht="13.5" customHeight="1">
      <c r="A339" s="1597"/>
      <c r="B339" s="1597"/>
      <c r="C339" s="1597"/>
      <c r="D339" s="1597"/>
      <c r="E339" s="1597"/>
      <c r="F339" s="1597"/>
      <c r="G339" s="1597"/>
      <c r="H339" s="1597"/>
      <c r="I339" s="1597"/>
      <c r="J339" s="1597"/>
      <c r="K339" s="1597"/>
      <c r="L339" s="1597"/>
      <c r="M339" s="1597"/>
      <c r="N339" s="1597"/>
      <c r="O339" s="1597"/>
      <c r="P339" s="1597"/>
      <c r="Q339" s="1597"/>
      <c r="R339" s="1597"/>
      <c r="S339" s="1597"/>
      <c r="T339" s="1597"/>
    </row>
    <row r="340" spans="1:20" ht="13.5" customHeight="1">
      <c r="A340" s="1597"/>
      <c r="B340" s="1597"/>
      <c r="C340" s="1597"/>
      <c r="D340" s="1597"/>
      <c r="E340" s="1597"/>
      <c r="F340" s="1597"/>
      <c r="G340" s="1597"/>
      <c r="H340" s="1597"/>
      <c r="I340" s="1597"/>
      <c r="J340" s="1597"/>
      <c r="K340" s="1597"/>
      <c r="L340" s="1597"/>
      <c r="M340" s="1597"/>
      <c r="N340" s="1597"/>
      <c r="O340" s="1597"/>
      <c r="P340" s="1597"/>
      <c r="Q340" s="1597"/>
      <c r="R340" s="1597"/>
      <c r="S340" s="1597"/>
      <c r="T340" s="1597"/>
    </row>
    <row r="341" spans="1:20" ht="13.5" customHeight="1">
      <c r="A341" s="1597"/>
      <c r="B341" s="1597"/>
      <c r="C341" s="1597"/>
      <c r="D341" s="1597"/>
      <c r="E341" s="1597"/>
      <c r="F341" s="1597"/>
      <c r="G341" s="1597"/>
      <c r="H341" s="1597"/>
      <c r="I341" s="1597"/>
      <c r="J341" s="1597"/>
      <c r="K341" s="1597"/>
      <c r="L341" s="1597"/>
      <c r="M341" s="1597"/>
      <c r="N341" s="1597"/>
      <c r="O341" s="1597"/>
      <c r="P341" s="1597"/>
      <c r="Q341" s="1597"/>
      <c r="R341" s="1597"/>
      <c r="S341" s="1597"/>
      <c r="T341" s="1597"/>
    </row>
    <row r="342" spans="1:20" ht="13.5" customHeight="1">
      <c r="A342" s="1597"/>
      <c r="B342" s="1597"/>
      <c r="C342" s="1597"/>
      <c r="D342" s="1597"/>
      <c r="E342" s="1597"/>
      <c r="F342" s="1597"/>
      <c r="G342" s="1597"/>
      <c r="H342" s="1597"/>
      <c r="I342" s="1597"/>
      <c r="J342" s="1597"/>
      <c r="K342" s="1597"/>
      <c r="L342" s="1597"/>
      <c r="M342" s="1597"/>
      <c r="N342" s="1597"/>
      <c r="O342" s="1597"/>
      <c r="P342" s="1597"/>
      <c r="Q342" s="1597"/>
      <c r="R342" s="1597"/>
      <c r="S342" s="1597"/>
      <c r="T342" s="1597"/>
    </row>
    <row r="343" spans="1:20" ht="13.5" customHeight="1">
      <c r="A343" s="1597"/>
      <c r="B343" s="1597"/>
      <c r="C343" s="1597"/>
      <c r="D343" s="1597"/>
      <c r="E343" s="1597"/>
      <c r="F343" s="1597"/>
      <c r="G343" s="1597"/>
      <c r="H343" s="1597"/>
      <c r="I343" s="1597"/>
      <c r="J343" s="1597"/>
      <c r="K343" s="1597"/>
      <c r="L343" s="1597"/>
      <c r="M343" s="1597"/>
      <c r="N343" s="1597"/>
      <c r="O343" s="1597"/>
      <c r="P343" s="1597"/>
      <c r="Q343" s="1597"/>
      <c r="R343" s="1597"/>
      <c r="S343" s="1597"/>
      <c r="T343" s="1597"/>
    </row>
    <row r="344" spans="1:20" ht="13.5" customHeight="1">
      <c r="A344" s="1597"/>
      <c r="B344" s="1597"/>
      <c r="C344" s="1597"/>
      <c r="D344" s="1597"/>
      <c r="E344" s="1597"/>
      <c r="F344" s="1597"/>
      <c r="G344" s="1597"/>
      <c r="H344" s="1597"/>
      <c r="I344" s="1597"/>
      <c r="J344" s="1597"/>
      <c r="K344" s="1597"/>
      <c r="L344" s="1597"/>
      <c r="M344" s="1597"/>
      <c r="N344" s="1597"/>
      <c r="O344" s="1597"/>
      <c r="P344" s="1597"/>
      <c r="Q344" s="1597"/>
      <c r="R344" s="1597"/>
      <c r="S344" s="1597"/>
      <c r="T344" s="1597"/>
    </row>
    <row r="345" spans="1:20" ht="13.5" customHeight="1">
      <c r="A345" s="1597"/>
      <c r="B345" s="1597"/>
      <c r="C345" s="1597"/>
      <c r="D345" s="1597"/>
      <c r="E345" s="1597"/>
      <c r="F345" s="1597"/>
      <c r="G345" s="1597"/>
      <c r="H345" s="1597"/>
      <c r="I345" s="1597"/>
      <c r="J345" s="1597"/>
      <c r="K345" s="1597"/>
      <c r="L345" s="1597"/>
      <c r="M345" s="1597"/>
      <c r="N345" s="1597"/>
      <c r="O345" s="1597"/>
      <c r="P345" s="1597"/>
      <c r="Q345" s="1597"/>
      <c r="R345" s="1597"/>
      <c r="S345" s="1597"/>
      <c r="T345" s="1597"/>
    </row>
    <row r="346" spans="1:20" ht="13.5" customHeight="1">
      <c r="A346" s="1597"/>
      <c r="B346" s="1597"/>
      <c r="C346" s="1597"/>
      <c r="D346" s="1597"/>
      <c r="E346" s="1597"/>
      <c r="F346" s="1597"/>
      <c r="G346" s="1597"/>
      <c r="H346" s="1597"/>
      <c r="I346" s="1597"/>
      <c r="J346" s="1597"/>
      <c r="K346" s="1597"/>
      <c r="L346" s="1597"/>
      <c r="M346" s="1597"/>
      <c r="N346" s="1597"/>
      <c r="O346" s="1597"/>
      <c r="P346" s="1597"/>
      <c r="Q346" s="1597"/>
      <c r="R346" s="1597"/>
      <c r="S346" s="1597"/>
      <c r="T346" s="1597"/>
    </row>
    <row r="347" spans="1:20" ht="13.5" customHeight="1">
      <c r="A347" s="1597"/>
      <c r="B347" s="1597"/>
      <c r="C347" s="1597"/>
      <c r="D347" s="1597"/>
      <c r="E347" s="1597"/>
      <c r="F347" s="1597"/>
      <c r="G347" s="1597"/>
      <c r="H347" s="1597"/>
      <c r="I347" s="1597"/>
      <c r="J347" s="1597"/>
      <c r="K347" s="1597"/>
      <c r="L347" s="1597"/>
      <c r="M347" s="1597"/>
      <c r="N347" s="1597"/>
      <c r="O347" s="1597"/>
      <c r="P347" s="1597"/>
      <c r="Q347" s="1597"/>
      <c r="R347" s="1597"/>
      <c r="S347" s="1597"/>
      <c r="T347" s="1597"/>
    </row>
    <row r="348" spans="1:20" ht="13.5" customHeight="1">
      <c r="A348" s="1597"/>
      <c r="B348" s="1597"/>
      <c r="C348" s="1597"/>
      <c r="D348" s="1597"/>
      <c r="E348" s="1597"/>
      <c r="F348" s="1597"/>
      <c r="G348" s="1597"/>
      <c r="H348" s="1597"/>
      <c r="I348" s="1597"/>
      <c r="J348" s="1597"/>
      <c r="K348" s="1597"/>
      <c r="L348" s="1597"/>
      <c r="M348" s="1597"/>
      <c r="N348" s="1597"/>
      <c r="O348" s="1597"/>
      <c r="P348" s="1597"/>
      <c r="Q348" s="1597"/>
      <c r="R348" s="1597"/>
      <c r="S348" s="1597"/>
      <c r="T348" s="1597"/>
    </row>
    <row r="349" spans="1:20" ht="13.5" customHeight="1">
      <c r="A349" s="1597"/>
      <c r="B349" s="1597"/>
      <c r="C349" s="1597"/>
      <c r="D349" s="1597"/>
      <c r="E349" s="1597"/>
      <c r="F349" s="1597"/>
      <c r="G349" s="1597"/>
      <c r="H349" s="1597"/>
      <c r="I349" s="1597"/>
      <c r="J349" s="1597"/>
      <c r="K349" s="1597"/>
      <c r="L349" s="1597"/>
      <c r="M349" s="1597"/>
      <c r="N349" s="1597"/>
      <c r="O349" s="1597"/>
      <c r="P349" s="1597"/>
      <c r="Q349" s="1597"/>
      <c r="R349" s="1597"/>
      <c r="S349" s="1597"/>
      <c r="T349" s="1597"/>
    </row>
    <row r="350" spans="1:20" ht="13.5" customHeight="1">
      <c r="A350" s="1597"/>
      <c r="B350" s="1597"/>
      <c r="C350" s="1597"/>
      <c r="D350" s="1597"/>
      <c r="E350" s="1597"/>
      <c r="F350" s="1597"/>
      <c r="G350" s="1597"/>
      <c r="H350" s="1597"/>
      <c r="I350" s="1597"/>
      <c r="J350" s="1597"/>
      <c r="K350" s="1597"/>
      <c r="L350" s="1597"/>
      <c r="M350" s="1597"/>
      <c r="N350" s="1597"/>
      <c r="O350" s="1597"/>
      <c r="P350" s="1597"/>
      <c r="Q350" s="1597"/>
      <c r="R350" s="1597"/>
      <c r="S350" s="1597"/>
      <c r="T350" s="1597"/>
    </row>
    <row r="351" spans="1:20" ht="13.5" customHeight="1">
      <c r="A351" s="1597"/>
      <c r="B351" s="1597"/>
      <c r="C351" s="1597"/>
      <c r="D351" s="1597"/>
      <c r="E351" s="1597"/>
      <c r="F351" s="1597"/>
      <c r="G351" s="1597"/>
      <c r="H351" s="1597"/>
      <c r="I351" s="1597"/>
      <c r="J351" s="1597"/>
      <c r="K351" s="1597"/>
      <c r="L351" s="1597"/>
      <c r="M351" s="1597"/>
      <c r="N351" s="1597"/>
      <c r="O351" s="1597"/>
      <c r="P351" s="1597"/>
      <c r="Q351" s="1597"/>
      <c r="R351" s="1597"/>
      <c r="S351" s="1597"/>
      <c r="T351" s="1597"/>
    </row>
    <row r="352" spans="1:20" ht="13.5" customHeight="1">
      <c r="A352" s="1597"/>
      <c r="B352" s="1597"/>
      <c r="C352" s="1597"/>
      <c r="D352" s="1597"/>
      <c r="E352" s="1597"/>
      <c r="F352" s="1597"/>
      <c r="G352" s="1597"/>
      <c r="H352" s="1597"/>
      <c r="I352" s="1597"/>
      <c r="J352" s="1597"/>
      <c r="K352" s="1597"/>
      <c r="L352" s="1597"/>
      <c r="M352" s="1597"/>
      <c r="N352" s="1597"/>
      <c r="O352" s="1597"/>
      <c r="P352" s="1597"/>
      <c r="Q352" s="1597"/>
      <c r="R352" s="1597"/>
      <c r="S352" s="1597"/>
      <c r="T352" s="1597"/>
    </row>
    <row r="353" spans="1:20" ht="13.5" customHeight="1">
      <c r="A353" s="1597"/>
      <c r="B353" s="1597"/>
      <c r="C353" s="1597"/>
      <c r="D353" s="1597"/>
      <c r="E353" s="1597"/>
      <c r="F353" s="1597"/>
      <c r="G353" s="1597"/>
      <c r="H353" s="1597"/>
      <c r="I353" s="1597"/>
      <c r="J353" s="1597"/>
      <c r="K353" s="1597"/>
      <c r="L353" s="1597"/>
      <c r="M353" s="1597"/>
      <c r="N353" s="1597"/>
      <c r="O353" s="1597"/>
      <c r="P353" s="1597"/>
      <c r="Q353" s="1597"/>
      <c r="R353" s="1597"/>
      <c r="S353" s="1597"/>
      <c r="T353" s="1597"/>
    </row>
    <row r="354" spans="1:20" ht="13.5" customHeight="1">
      <c r="A354" s="1597"/>
      <c r="B354" s="1597"/>
      <c r="C354" s="1597"/>
      <c r="D354" s="1597"/>
      <c r="E354" s="1597"/>
      <c r="F354" s="1597"/>
      <c r="G354" s="1597"/>
      <c r="H354" s="1597"/>
      <c r="I354" s="1597"/>
      <c r="J354" s="1597"/>
      <c r="K354" s="1597"/>
      <c r="L354" s="1597"/>
      <c r="M354" s="1597"/>
      <c r="N354" s="1597"/>
      <c r="O354" s="1597"/>
      <c r="P354" s="1597"/>
      <c r="Q354" s="1597"/>
      <c r="R354" s="1597"/>
      <c r="S354" s="1597"/>
      <c r="T354" s="1597"/>
    </row>
    <row r="355" spans="1:20" ht="13.5" customHeight="1">
      <c r="A355" s="1597"/>
      <c r="B355" s="1597"/>
      <c r="C355" s="1597"/>
      <c r="D355" s="1597"/>
      <c r="E355" s="1597"/>
      <c r="F355" s="1597"/>
      <c r="G355" s="1597"/>
      <c r="H355" s="1597"/>
      <c r="I355" s="1597"/>
      <c r="J355" s="1597"/>
      <c r="K355" s="1597"/>
      <c r="L355" s="1597"/>
      <c r="M355" s="1597"/>
      <c r="N355" s="1597"/>
      <c r="O355" s="1597"/>
      <c r="P355" s="1597"/>
      <c r="Q355" s="1597"/>
      <c r="R355" s="1597"/>
      <c r="S355" s="1597"/>
      <c r="T355" s="1597"/>
    </row>
    <row r="356" spans="1:20" ht="13.5" customHeight="1">
      <c r="A356" s="1597"/>
      <c r="B356" s="1597"/>
      <c r="C356" s="1597"/>
      <c r="D356" s="1597"/>
      <c r="E356" s="1597"/>
      <c r="F356" s="1597"/>
      <c r="G356" s="1597"/>
      <c r="H356" s="1597"/>
      <c r="I356" s="1597"/>
      <c r="J356" s="1597"/>
      <c r="K356" s="1597"/>
      <c r="L356" s="1597"/>
      <c r="M356" s="1597"/>
      <c r="N356" s="1597"/>
      <c r="O356" s="1597"/>
      <c r="P356" s="1597"/>
      <c r="Q356" s="1597"/>
      <c r="R356" s="1597"/>
      <c r="S356" s="1597"/>
      <c r="T356" s="1597"/>
    </row>
    <row r="357" spans="1:20" ht="13.5" customHeight="1">
      <c r="A357" s="1597"/>
      <c r="B357" s="1597"/>
      <c r="C357" s="1597"/>
      <c r="D357" s="1597"/>
      <c r="E357" s="1597"/>
      <c r="F357" s="1597"/>
      <c r="G357" s="1597"/>
      <c r="H357" s="1597"/>
      <c r="I357" s="1597"/>
      <c r="J357" s="1597"/>
      <c r="K357" s="1597"/>
      <c r="L357" s="1597"/>
      <c r="M357" s="1597"/>
      <c r="N357" s="1597"/>
      <c r="O357" s="1597"/>
      <c r="P357" s="1597"/>
      <c r="Q357" s="1597"/>
      <c r="R357" s="1597"/>
      <c r="S357" s="1597"/>
      <c r="T357" s="1597"/>
    </row>
    <row r="358" spans="1:20" ht="13.5" customHeight="1">
      <c r="A358" s="1597"/>
      <c r="B358" s="1597"/>
      <c r="C358" s="1597"/>
      <c r="D358" s="1597"/>
      <c r="E358" s="1597"/>
      <c r="F358" s="1597"/>
      <c r="G358" s="1597"/>
      <c r="H358" s="1597"/>
      <c r="I358" s="1597"/>
      <c r="J358" s="1597"/>
      <c r="K358" s="1597"/>
      <c r="L358" s="1597"/>
      <c r="M358" s="1597"/>
      <c r="N358" s="1597"/>
      <c r="O358" s="1597"/>
      <c r="P358" s="1597"/>
      <c r="Q358" s="1597"/>
      <c r="R358" s="1597"/>
      <c r="S358" s="1597"/>
      <c r="T358" s="1597"/>
    </row>
    <row r="359" spans="1:20" ht="13.5" customHeight="1">
      <c r="A359" s="1597"/>
      <c r="B359" s="1597"/>
      <c r="C359" s="1597"/>
      <c r="D359" s="1597"/>
      <c r="E359" s="1597"/>
      <c r="F359" s="1597"/>
      <c r="G359" s="1597"/>
      <c r="H359" s="1597"/>
      <c r="I359" s="1597"/>
      <c r="J359" s="1597"/>
      <c r="K359" s="1597"/>
      <c r="L359" s="1597"/>
      <c r="M359" s="1597"/>
      <c r="N359" s="1597"/>
      <c r="O359" s="1597"/>
      <c r="P359" s="1597"/>
      <c r="Q359" s="1597"/>
      <c r="R359" s="1597"/>
      <c r="S359" s="1597"/>
      <c r="T359" s="1597"/>
    </row>
    <row r="360" spans="1:20" ht="13.5" customHeight="1">
      <c r="A360" s="1597"/>
      <c r="B360" s="1597"/>
      <c r="C360" s="1597"/>
      <c r="D360" s="1597"/>
      <c r="E360" s="1597"/>
      <c r="F360" s="1597"/>
      <c r="G360" s="1597"/>
      <c r="H360" s="1597"/>
      <c r="I360" s="1597"/>
      <c r="J360" s="1597"/>
      <c r="K360" s="1597"/>
      <c r="L360" s="1597"/>
      <c r="M360" s="1597"/>
      <c r="N360" s="1597"/>
      <c r="O360" s="1597"/>
      <c r="P360" s="1597"/>
      <c r="Q360" s="1597"/>
      <c r="R360" s="1597"/>
      <c r="S360" s="1597"/>
      <c r="T360" s="1597"/>
    </row>
    <row r="361" spans="1:20" ht="13.5" customHeight="1">
      <c r="A361" s="1597"/>
      <c r="B361" s="1597"/>
      <c r="C361" s="1597"/>
      <c r="D361" s="1597"/>
      <c r="E361" s="1597"/>
      <c r="F361" s="1597"/>
      <c r="G361" s="1597"/>
      <c r="H361" s="1597"/>
      <c r="I361" s="1597"/>
      <c r="J361" s="1597"/>
      <c r="K361" s="1597"/>
      <c r="L361" s="1597"/>
      <c r="M361" s="1597"/>
      <c r="N361" s="1597"/>
      <c r="O361" s="1597"/>
      <c r="P361" s="1597"/>
      <c r="Q361" s="1597"/>
      <c r="R361" s="1597"/>
      <c r="S361" s="1597"/>
      <c r="T361" s="1597"/>
    </row>
    <row r="362" spans="1:20" ht="13.5" customHeight="1">
      <c r="A362" s="1597"/>
      <c r="B362" s="1597"/>
      <c r="C362" s="1597"/>
      <c r="D362" s="1597"/>
      <c r="E362" s="1597"/>
      <c r="F362" s="1597"/>
      <c r="G362" s="1597"/>
      <c r="H362" s="1597"/>
      <c r="I362" s="1597"/>
      <c r="J362" s="1597"/>
      <c r="K362" s="1597"/>
      <c r="L362" s="1597"/>
      <c r="M362" s="1597"/>
      <c r="N362" s="1597"/>
      <c r="O362" s="1597"/>
      <c r="P362" s="1597"/>
      <c r="Q362" s="1597"/>
      <c r="R362" s="1597"/>
      <c r="S362" s="1597"/>
      <c r="T362" s="1597"/>
    </row>
    <row r="363" spans="1:20" ht="13.5" customHeight="1">
      <c r="A363" s="1597"/>
      <c r="B363" s="1597"/>
      <c r="C363" s="1597"/>
      <c r="D363" s="1597"/>
      <c r="E363" s="1597"/>
      <c r="F363" s="1597"/>
      <c r="G363" s="1597"/>
      <c r="H363" s="1597"/>
      <c r="I363" s="1597"/>
      <c r="J363" s="1597"/>
      <c r="K363" s="1597"/>
      <c r="L363" s="1597"/>
      <c r="M363" s="1597"/>
      <c r="N363" s="1597"/>
      <c r="O363" s="1597"/>
      <c r="P363" s="1597"/>
      <c r="Q363" s="1597"/>
      <c r="R363" s="1597"/>
      <c r="S363" s="1597"/>
      <c r="T363" s="1597"/>
    </row>
    <row r="364" spans="1:20" ht="13.5" customHeight="1">
      <c r="A364" s="1597"/>
      <c r="B364" s="1597"/>
      <c r="C364" s="1597"/>
      <c r="D364" s="1597"/>
      <c r="E364" s="1597"/>
      <c r="F364" s="1597"/>
      <c r="G364" s="1597"/>
      <c r="H364" s="1597"/>
      <c r="I364" s="1597"/>
      <c r="J364" s="1597"/>
      <c r="K364" s="1597"/>
      <c r="L364" s="1597"/>
      <c r="M364" s="1597"/>
      <c r="N364" s="1597"/>
      <c r="O364" s="1597"/>
      <c r="P364" s="1597"/>
      <c r="Q364" s="1597"/>
      <c r="R364" s="1597"/>
      <c r="S364" s="1597"/>
      <c r="T364" s="1597"/>
    </row>
    <row r="365" spans="1:20" ht="13.5" customHeight="1">
      <c r="A365" s="1597"/>
      <c r="B365" s="1597"/>
      <c r="C365" s="1597"/>
      <c r="D365" s="1597"/>
      <c r="E365" s="1597"/>
      <c r="F365" s="1597"/>
      <c r="G365" s="1597"/>
      <c r="H365" s="1597"/>
      <c r="I365" s="1597"/>
      <c r="J365" s="1597"/>
      <c r="K365" s="1597"/>
      <c r="L365" s="1597"/>
      <c r="M365" s="1597"/>
      <c r="N365" s="1597"/>
      <c r="O365" s="1597"/>
      <c r="P365" s="1597"/>
      <c r="Q365" s="1597"/>
      <c r="R365" s="1597"/>
      <c r="S365" s="1597"/>
      <c r="T365" s="1597"/>
    </row>
    <row r="366" spans="1:20" ht="13.5" customHeight="1">
      <c r="A366" s="1597"/>
      <c r="B366" s="1597"/>
      <c r="C366" s="1597"/>
      <c r="D366" s="1597"/>
      <c r="E366" s="1597"/>
      <c r="F366" s="1597"/>
      <c r="G366" s="1597"/>
      <c r="H366" s="1597"/>
      <c r="I366" s="1597"/>
      <c r="J366" s="1597"/>
      <c r="K366" s="1597"/>
      <c r="L366" s="1597"/>
      <c r="M366" s="1597"/>
      <c r="N366" s="1597"/>
      <c r="O366" s="1597"/>
      <c r="P366" s="1597"/>
      <c r="Q366" s="1597"/>
      <c r="R366" s="1597"/>
      <c r="S366" s="1597"/>
      <c r="T366" s="1597"/>
    </row>
    <row r="367" spans="1:20" ht="13.5" customHeight="1">
      <c r="A367" s="1597"/>
      <c r="B367" s="1597"/>
      <c r="C367" s="1597"/>
      <c r="D367" s="1597"/>
      <c r="E367" s="1597"/>
      <c r="F367" s="1597"/>
      <c r="G367" s="1597"/>
      <c r="H367" s="1597"/>
      <c r="I367" s="1597"/>
      <c r="J367" s="1597"/>
      <c r="K367" s="1597"/>
      <c r="L367" s="1597"/>
      <c r="M367" s="1597"/>
      <c r="N367" s="1597"/>
      <c r="O367" s="1597"/>
      <c r="P367" s="1597"/>
      <c r="Q367" s="1597"/>
      <c r="R367" s="1597"/>
      <c r="S367" s="1597"/>
      <c r="T367" s="1597"/>
    </row>
    <row r="368" spans="1:20" ht="13.5" customHeight="1">
      <c r="A368" s="1597"/>
      <c r="B368" s="1597"/>
      <c r="C368" s="1597"/>
      <c r="D368" s="1597"/>
      <c r="E368" s="1597"/>
      <c r="F368" s="1597"/>
      <c r="G368" s="1597"/>
      <c r="H368" s="1597"/>
      <c r="I368" s="1597"/>
      <c r="J368" s="1597"/>
      <c r="K368" s="1597"/>
      <c r="L368" s="1597"/>
      <c r="M368" s="1597"/>
      <c r="N368" s="1597"/>
      <c r="O368" s="1597"/>
      <c r="P368" s="1597"/>
      <c r="Q368" s="1597"/>
      <c r="R368" s="1597"/>
      <c r="S368" s="1597"/>
      <c r="T368" s="1597"/>
    </row>
    <row r="369" spans="1:20" ht="13.5" customHeight="1">
      <c r="A369" s="1597"/>
      <c r="B369" s="1597"/>
      <c r="C369" s="1597"/>
      <c r="D369" s="1597"/>
      <c r="E369" s="1597"/>
      <c r="F369" s="1597"/>
      <c r="G369" s="1597"/>
      <c r="H369" s="1597"/>
      <c r="I369" s="1597"/>
      <c r="J369" s="1597"/>
      <c r="K369" s="1597"/>
      <c r="L369" s="1597"/>
      <c r="M369" s="1597"/>
      <c r="N369" s="1597"/>
      <c r="O369" s="1597"/>
      <c r="P369" s="1597"/>
      <c r="Q369" s="1597"/>
      <c r="R369" s="1597"/>
      <c r="S369" s="1597"/>
      <c r="T369" s="1597"/>
    </row>
    <row r="370" spans="1:20" ht="13.5" customHeight="1">
      <c r="A370" s="1597"/>
      <c r="B370" s="1597"/>
      <c r="C370" s="1597"/>
      <c r="D370" s="1597"/>
      <c r="E370" s="1597"/>
      <c r="F370" s="1597"/>
      <c r="G370" s="1597"/>
      <c r="H370" s="1597"/>
      <c r="I370" s="1597"/>
      <c r="J370" s="1597"/>
      <c r="K370" s="1597"/>
      <c r="L370" s="1597"/>
      <c r="M370" s="1597"/>
      <c r="N370" s="1597"/>
      <c r="O370" s="1597"/>
      <c r="P370" s="1597"/>
      <c r="Q370" s="1597"/>
      <c r="R370" s="1597"/>
      <c r="S370" s="1597"/>
      <c r="T370" s="1597"/>
    </row>
    <row r="371" spans="1:20" ht="13.5" customHeight="1">
      <c r="A371" s="1597"/>
      <c r="B371" s="1597"/>
      <c r="C371" s="1597"/>
      <c r="D371" s="1597"/>
      <c r="E371" s="1597"/>
      <c r="F371" s="1597"/>
      <c r="G371" s="1597"/>
      <c r="H371" s="1597"/>
      <c r="I371" s="1597"/>
      <c r="J371" s="1597"/>
      <c r="K371" s="1597"/>
      <c r="L371" s="1597"/>
      <c r="M371" s="1597"/>
      <c r="N371" s="1597"/>
      <c r="O371" s="1597"/>
      <c r="P371" s="1597"/>
      <c r="Q371" s="1597"/>
      <c r="R371" s="1597"/>
      <c r="S371" s="1597"/>
      <c r="T371" s="1597"/>
    </row>
    <row r="372" spans="1:20" ht="13.5" customHeight="1">
      <c r="A372" s="1597"/>
      <c r="B372" s="1597"/>
      <c r="C372" s="1597"/>
      <c r="D372" s="1597"/>
      <c r="E372" s="1597"/>
      <c r="F372" s="1597"/>
      <c r="G372" s="1597"/>
      <c r="H372" s="1597"/>
      <c r="I372" s="1597"/>
      <c r="J372" s="1597"/>
      <c r="K372" s="1597"/>
      <c r="L372" s="1597"/>
      <c r="M372" s="1597"/>
      <c r="N372" s="1597"/>
      <c r="O372" s="1597"/>
      <c r="P372" s="1597"/>
      <c r="Q372" s="1597"/>
      <c r="R372" s="1597"/>
      <c r="S372" s="1597"/>
      <c r="T372" s="1597"/>
    </row>
    <row r="373" spans="1:20" ht="13.5" customHeight="1">
      <c r="A373" s="1597"/>
      <c r="B373" s="1597"/>
      <c r="C373" s="1597"/>
      <c r="D373" s="1597"/>
      <c r="E373" s="1597"/>
      <c r="F373" s="1597"/>
      <c r="G373" s="1597"/>
      <c r="H373" s="1597"/>
      <c r="I373" s="1597"/>
      <c r="J373" s="1597"/>
      <c r="K373" s="1597"/>
      <c r="L373" s="1597"/>
      <c r="M373" s="1597"/>
      <c r="N373" s="1597"/>
      <c r="O373" s="1597"/>
      <c r="P373" s="1597"/>
      <c r="Q373" s="1597"/>
      <c r="R373" s="1597"/>
      <c r="S373" s="1597"/>
      <c r="T373" s="1597"/>
    </row>
    <row r="374" spans="1:20" ht="13.5" customHeight="1">
      <c r="A374" s="1597"/>
      <c r="B374" s="1597"/>
      <c r="C374" s="1597"/>
      <c r="D374" s="1597"/>
      <c r="E374" s="1597"/>
      <c r="F374" s="1597"/>
      <c r="G374" s="1597"/>
      <c r="H374" s="1597"/>
      <c r="I374" s="1597"/>
      <c r="J374" s="1597"/>
      <c r="K374" s="1597"/>
      <c r="L374" s="1597"/>
      <c r="M374" s="1597"/>
      <c r="N374" s="1597"/>
      <c r="O374" s="1597"/>
      <c r="P374" s="1597"/>
      <c r="Q374" s="1597"/>
      <c r="R374" s="1597"/>
      <c r="S374" s="1597"/>
      <c r="T374" s="1597"/>
    </row>
    <row r="375" spans="1:20" ht="13.5" customHeight="1">
      <c r="A375" s="1597"/>
      <c r="B375" s="1597"/>
      <c r="C375" s="1597"/>
      <c r="D375" s="1597"/>
      <c r="E375" s="1597"/>
      <c r="F375" s="1597"/>
      <c r="G375" s="1597"/>
      <c r="H375" s="1597"/>
      <c r="I375" s="1597"/>
      <c r="J375" s="1597"/>
      <c r="K375" s="1597"/>
      <c r="L375" s="1597"/>
      <c r="M375" s="1597"/>
      <c r="N375" s="1597"/>
      <c r="O375" s="1597"/>
      <c r="P375" s="1597"/>
      <c r="Q375" s="1597"/>
      <c r="R375" s="1597"/>
      <c r="S375" s="1597"/>
      <c r="T375" s="1597"/>
    </row>
    <row r="376" spans="1:20" ht="13.5" customHeight="1">
      <c r="A376" s="1597"/>
      <c r="B376" s="1597"/>
      <c r="C376" s="1597"/>
      <c r="D376" s="1597"/>
      <c r="E376" s="1597"/>
      <c r="F376" s="1597"/>
      <c r="G376" s="1597"/>
      <c r="H376" s="1597"/>
      <c r="I376" s="1597"/>
      <c r="J376" s="1597"/>
      <c r="K376" s="1597"/>
      <c r="L376" s="1597"/>
      <c r="M376" s="1597"/>
      <c r="N376" s="1597"/>
      <c r="O376" s="1597"/>
      <c r="P376" s="1597"/>
      <c r="Q376" s="1597"/>
      <c r="R376" s="1597"/>
      <c r="S376" s="1597"/>
      <c r="T376" s="1597"/>
    </row>
    <row r="377" spans="1:20" ht="13.5" customHeight="1">
      <c r="A377" s="1597"/>
      <c r="B377" s="1597"/>
      <c r="C377" s="1597"/>
      <c r="D377" s="1597"/>
      <c r="E377" s="1597"/>
      <c r="F377" s="1597"/>
      <c r="G377" s="1597"/>
      <c r="H377" s="1597"/>
      <c r="I377" s="1597"/>
      <c r="J377" s="1597"/>
      <c r="K377" s="1597"/>
      <c r="L377" s="1597"/>
      <c r="M377" s="1597"/>
      <c r="N377" s="1597"/>
      <c r="O377" s="1597"/>
      <c r="P377" s="1597"/>
      <c r="Q377" s="1597"/>
      <c r="R377" s="1597"/>
      <c r="S377" s="1597"/>
      <c r="T377" s="1597"/>
    </row>
    <row r="378" spans="1:20" ht="13.5" customHeight="1">
      <c r="A378" s="1597"/>
      <c r="B378" s="1597"/>
      <c r="C378" s="1597"/>
      <c r="D378" s="1597"/>
      <c r="E378" s="1597"/>
      <c r="F378" s="1597"/>
      <c r="G378" s="1597"/>
      <c r="H378" s="1597"/>
      <c r="I378" s="1597"/>
      <c r="J378" s="1597"/>
      <c r="K378" s="1597"/>
      <c r="L378" s="1597"/>
      <c r="M378" s="1597"/>
      <c r="N378" s="1597"/>
      <c r="O378" s="1597"/>
      <c r="P378" s="1597"/>
      <c r="Q378" s="1597"/>
      <c r="R378" s="1597"/>
      <c r="S378" s="1597"/>
      <c r="T378" s="1597"/>
    </row>
    <row r="379" spans="1:20" ht="13.5" customHeight="1">
      <c r="A379" s="1597"/>
      <c r="B379" s="1597"/>
      <c r="C379" s="1597"/>
      <c r="D379" s="1597"/>
      <c r="E379" s="1597"/>
      <c r="F379" s="1597"/>
      <c r="G379" s="1597"/>
      <c r="H379" s="1597"/>
      <c r="I379" s="1597"/>
      <c r="J379" s="1597"/>
      <c r="K379" s="1597"/>
      <c r="L379" s="1597"/>
      <c r="M379" s="1597"/>
      <c r="N379" s="1597"/>
      <c r="O379" s="1597"/>
      <c r="P379" s="1597"/>
      <c r="Q379" s="1597"/>
      <c r="R379" s="1597"/>
      <c r="S379" s="1597"/>
      <c r="T379" s="1597"/>
    </row>
    <row r="380" spans="1:20" ht="13.5" customHeight="1">
      <c r="A380" s="1597"/>
      <c r="B380" s="1597"/>
      <c r="C380" s="1597"/>
      <c r="D380" s="1597"/>
      <c r="E380" s="1597"/>
      <c r="F380" s="1597"/>
      <c r="G380" s="1597"/>
      <c r="H380" s="1597"/>
      <c r="I380" s="1597"/>
      <c r="J380" s="1597"/>
      <c r="K380" s="1597"/>
      <c r="L380" s="1597"/>
      <c r="M380" s="1597"/>
      <c r="N380" s="1597"/>
      <c r="O380" s="1597"/>
      <c r="P380" s="1597"/>
      <c r="Q380" s="1597"/>
      <c r="R380" s="1597"/>
      <c r="S380" s="1597"/>
      <c r="T380" s="1597"/>
    </row>
    <row r="381" spans="1:20" ht="13.5" customHeight="1">
      <c r="A381" s="1597"/>
      <c r="B381" s="1597"/>
      <c r="C381" s="1597"/>
      <c r="D381" s="1597"/>
      <c r="E381" s="1597"/>
      <c r="F381" s="1597"/>
      <c r="G381" s="1597"/>
      <c r="H381" s="1597"/>
      <c r="I381" s="1597"/>
      <c r="J381" s="1597"/>
      <c r="K381" s="1597"/>
      <c r="L381" s="1597"/>
      <c r="M381" s="1597"/>
      <c r="N381" s="1597"/>
      <c r="O381" s="1597"/>
      <c r="P381" s="1597"/>
      <c r="Q381" s="1597"/>
      <c r="R381" s="1597"/>
      <c r="S381" s="1597"/>
      <c r="T381" s="1597"/>
    </row>
    <row r="382" spans="1:20" ht="13.5" customHeight="1">
      <c r="A382" s="1597"/>
      <c r="B382" s="1597"/>
      <c r="C382" s="1597"/>
      <c r="D382" s="1597"/>
      <c r="E382" s="1597"/>
      <c r="F382" s="1597"/>
      <c r="G382" s="1597"/>
      <c r="H382" s="1597"/>
      <c r="I382" s="1597"/>
      <c r="J382" s="1597"/>
      <c r="K382" s="1597"/>
      <c r="L382" s="1597"/>
      <c r="M382" s="1597"/>
      <c r="N382" s="1597"/>
      <c r="O382" s="1597"/>
      <c r="P382" s="1597"/>
      <c r="Q382" s="1597"/>
      <c r="R382" s="1597"/>
      <c r="S382" s="1597"/>
      <c r="T382" s="1597"/>
    </row>
    <row r="383" spans="1:20" ht="13.5" customHeight="1">
      <c r="A383" s="1597"/>
      <c r="B383" s="1597"/>
      <c r="C383" s="1597"/>
      <c r="D383" s="1597"/>
      <c r="E383" s="1597"/>
      <c r="F383" s="1597"/>
      <c r="G383" s="1597"/>
      <c r="H383" s="1597"/>
      <c r="I383" s="1597"/>
      <c r="J383" s="1597"/>
      <c r="K383" s="1597"/>
      <c r="L383" s="1597"/>
      <c r="M383" s="1597"/>
      <c r="N383" s="1597"/>
      <c r="O383" s="1597"/>
      <c r="P383" s="1597"/>
      <c r="Q383" s="1597"/>
      <c r="R383" s="1597"/>
      <c r="S383" s="1597"/>
      <c r="T383" s="1597"/>
    </row>
    <row r="384" spans="1:20" ht="13.5" customHeight="1">
      <c r="A384" s="1597"/>
      <c r="B384" s="1597"/>
      <c r="C384" s="1597"/>
      <c r="D384" s="1597"/>
      <c r="E384" s="1597"/>
      <c r="F384" s="1597"/>
      <c r="G384" s="1597"/>
      <c r="H384" s="1597"/>
      <c r="I384" s="1597"/>
      <c r="J384" s="1597"/>
      <c r="K384" s="1597"/>
      <c r="L384" s="1597"/>
      <c r="M384" s="1597"/>
      <c r="N384" s="1597"/>
      <c r="O384" s="1597"/>
      <c r="P384" s="1597"/>
      <c r="Q384" s="1597"/>
      <c r="R384" s="1597"/>
      <c r="S384" s="1597"/>
      <c r="T384" s="1597"/>
    </row>
    <row r="385" spans="1:20" ht="13.5" customHeight="1">
      <c r="A385" s="1597"/>
      <c r="B385" s="1597"/>
      <c r="C385" s="1597"/>
      <c r="D385" s="1597"/>
      <c r="E385" s="1597"/>
      <c r="F385" s="1597"/>
      <c r="G385" s="1597"/>
      <c r="H385" s="1597"/>
      <c r="I385" s="1597"/>
      <c r="J385" s="1597"/>
      <c r="K385" s="1597"/>
      <c r="L385" s="1597"/>
      <c r="M385" s="1597"/>
      <c r="N385" s="1597"/>
      <c r="O385" s="1597"/>
      <c r="P385" s="1597"/>
      <c r="Q385" s="1597"/>
      <c r="R385" s="1597"/>
      <c r="S385" s="1597"/>
      <c r="T385" s="1597"/>
    </row>
    <row r="386" spans="1:20" ht="13.5" customHeight="1">
      <c r="A386" s="1597"/>
      <c r="B386" s="1597"/>
      <c r="C386" s="1597"/>
      <c r="D386" s="1597"/>
      <c r="E386" s="1597"/>
      <c r="F386" s="1597"/>
      <c r="G386" s="1597"/>
      <c r="H386" s="1597"/>
      <c r="I386" s="1597"/>
      <c r="J386" s="1597"/>
      <c r="K386" s="1597"/>
      <c r="L386" s="1597"/>
      <c r="M386" s="1597"/>
      <c r="N386" s="1597"/>
      <c r="O386" s="1597"/>
      <c r="P386" s="1597"/>
      <c r="Q386" s="1597"/>
      <c r="R386" s="1597"/>
      <c r="S386" s="1597"/>
      <c r="T386" s="1597"/>
    </row>
    <row r="387" spans="1:20" ht="13.5" customHeight="1">
      <c r="A387" s="1597"/>
      <c r="B387" s="1597"/>
      <c r="C387" s="1597"/>
      <c r="D387" s="1597"/>
      <c r="E387" s="1597"/>
      <c r="F387" s="1597"/>
      <c r="G387" s="1597"/>
      <c r="H387" s="1597"/>
      <c r="I387" s="1597"/>
      <c r="J387" s="1597"/>
      <c r="K387" s="1597"/>
      <c r="L387" s="1597"/>
      <c r="M387" s="1597"/>
      <c r="N387" s="1597"/>
      <c r="O387" s="1597"/>
      <c r="P387" s="1597"/>
      <c r="Q387" s="1597"/>
      <c r="R387" s="1597"/>
      <c r="S387" s="1597"/>
      <c r="T387" s="1597"/>
    </row>
    <row r="388" spans="1:20" ht="13.5" customHeight="1">
      <c r="A388" s="1597"/>
      <c r="B388" s="1597"/>
      <c r="C388" s="1597"/>
      <c r="D388" s="1597"/>
      <c r="E388" s="1597"/>
      <c r="F388" s="1597"/>
      <c r="G388" s="1597"/>
      <c r="H388" s="1597"/>
      <c r="I388" s="1597"/>
      <c r="J388" s="1597"/>
      <c r="K388" s="1597"/>
      <c r="L388" s="1597"/>
      <c r="M388" s="1597"/>
      <c r="N388" s="1597"/>
      <c r="O388" s="1597"/>
      <c r="P388" s="1597"/>
      <c r="Q388" s="1597"/>
      <c r="R388" s="1597"/>
      <c r="S388" s="1597"/>
      <c r="T388" s="1597"/>
    </row>
    <row r="389" spans="1:20" ht="13.5" customHeight="1">
      <c r="A389" s="1597"/>
      <c r="B389" s="1597"/>
      <c r="C389" s="1597"/>
      <c r="D389" s="1597"/>
      <c r="E389" s="1597"/>
      <c r="F389" s="1597"/>
      <c r="G389" s="1597"/>
      <c r="H389" s="1597"/>
      <c r="I389" s="1597"/>
      <c r="J389" s="1597"/>
      <c r="K389" s="1597"/>
      <c r="L389" s="1597"/>
      <c r="M389" s="1597"/>
      <c r="N389" s="1597"/>
      <c r="O389" s="1597"/>
      <c r="P389" s="1597"/>
      <c r="Q389" s="1597"/>
      <c r="R389" s="1597"/>
      <c r="S389" s="1597"/>
      <c r="T389" s="1597"/>
    </row>
    <row r="390" spans="1:20" ht="13.5" customHeight="1">
      <c r="A390" s="1597"/>
      <c r="B390" s="1597"/>
      <c r="C390" s="1597"/>
      <c r="D390" s="1597"/>
      <c r="E390" s="1597"/>
      <c r="F390" s="1597"/>
      <c r="G390" s="1597"/>
      <c r="H390" s="1597"/>
      <c r="I390" s="1597"/>
      <c r="J390" s="1597"/>
      <c r="K390" s="1597"/>
      <c r="L390" s="1597"/>
      <c r="M390" s="1597"/>
      <c r="N390" s="1597"/>
      <c r="O390" s="1597"/>
      <c r="P390" s="1597"/>
      <c r="Q390" s="1597"/>
      <c r="R390" s="1597"/>
      <c r="S390" s="1597"/>
      <c r="T390" s="1597"/>
    </row>
    <row r="391" spans="1:20" ht="13.5" customHeight="1">
      <c r="A391" s="1597"/>
      <c r="B391" s="1597"/>
      <c r="C391" s="1597"/>
      <c r="D391" s="1597"/>
      <c r="E391" s="1597"/>
      <c r="F391" s="1597"/>
      <c r="G391" s="1597"/>
      <c r="H391" s="1597"/>
      <c r="I391" s="1597"/>
      <c r="J391" s="1597"/>
      <c r="K391" s="1597"/>
      <c r="L391" s="1597"/>
      <c r="M391" s="1597"/>
      <c r="N391" s="1597"/>
      <c r="O391" s="1597"/>
      <c r="P391" s="1597"/>
      <c r="Q391" s="1597"/>
      <c r="R391" s="1597"/>
      <c r="S391" s="1597"/>
      <c r="T391" s="1597"/>
    </row>
    <row r="392" spans="1:20" ht="13.5" customHeight="1">
      <c r="A392" s="1597"/>
      <c r="B392" s="1597"/>
      <c r="C392" s="1597"/>
      <c r="D392" s="1597"/>
      <c r="E392" s="1597"/>
      <c r="F392" s="1597"/>
      <c r="G392" s="1597"/>
      <c r="H392" s="1597"/>
      <c r="I392" s="1597"/>
      <c r="J392" s="1597"/>
      <c r="K392" s="1597"/>
      <c r="L392" s="1597"/>
      <c r="M392" s="1597"/>
      <c r="N392" s="1597"/>
      <c r="O392" s="1597"/>
      <c r="P392" s="1597"/>
      <c r="Q392" s="1597"/>
      <c r="R392" s="1597"/>
      <c r="S392" s="1597"/>
      <c r="T392" s="1597"/>
    </row>
    <row r="393" spans="1:20" ht="13.5" customHeight="1">
      <c r="A393" s="1597"/>
      <c r="B393" s="1597"/>
      <c r="C393" s="1597"/>
      <c r="D393" s="1597"/>
      <c r="E393" s="1597"/>
      <c r="F393" s="1597"/>
      <c r="G393" s="1597"/>
      <c r="H393" s="1597"/>
      <c r="I393" s="1597"/>
      <c r="J393" s="1597"/>
      <c r="K393" s="1597"/>
      <c r="L393" s="1597"/>
      <c r="M393" s="1597"/>
      <c r="N393" s="1597"/>
      <c r="O393" s="1597"/>
      <c r="P393" s="1597"/>
      <c r="Q393" s="1597"/>
      <c r="R393" s="1597"/>
      <c r="S393" s="1597"/>
      <c r="T393" s="1597"/>
    </row>
    <row r="394" spans="1:20" ht="13.5" customHeight="1">
      <c r="A394" s="1597"/>
      <c r="B394" s="1597"/>
      <c r="C394" s="1597"/>
      <c r="D394" s="1597"/>
      <c r="E394" s="1597"/>
      <c r="F394" s="1597"/>
      <c r="G394" s="1597"/>
      <c r="H394" s="1597"/>
      <c r="I394" s="1597"/>
      <c r="J394" s="1597"/>
      <c r="K394" s="1597"/>
      <c r="L394" s="1597"/>
      <c r="M394" s="1597"/>
      <c r="N394" s="1597"/>
      <c r="O394" s="1597"/>
      <c r="P394" s="1597"/>
      <c r="Q394" s="1597"/>
      <c r="R394" s="1597"/>
      <c r="S394" s="1597"/>
      <c r="T394" s="1597"/>
    </row>
    <row r="395" spans="1:20" ht="13.5" customHeight="1">
      <c r="A395" s="1597"/>
      <c r="B395" s="1597"/>
      <c r="C395" s="1597"/>
      <c r="D395" s="1597"/>
      <c r="E395" s="1597"/>
      <c r="F395" s="1597"/>
      <c r="G395" s="1597"/>
      <c r="H395" s="1597"/>
      <c r="I395" s="1597"/>
      <c r="J395" s="1597"/>
      <c r="K395" s="1597"/>
      <c r="L395" s="1597"/>
      <c r="M395" s="1597"/>
      <c r="N395" s="1597"/>
      <c r="O395" s="1597"/>
      <c r="P395" s="1597"/>
      <c r="Q395" s="1597"/>
      <c r="R395" s="1597"/>
      <c r="S395" s="1597"/>
      <c r="T395" s="1597"/>
    </row>
    <row r="396" spans="1:20" ht="13.5" customHeight="1">
      <c r="A396" s="1597"/>
      <c r="B396" s="1597"/>
      <c r="C396" s="1597"/>
      <c r="D396" s="1597"/>
      <c r="E396" s="1597"/>
      <c r="F396" s="1597"/>
      <c r="G396" s="1597"/>
      <c r="H396" s="1597"/>
      <c r="I396" s="1597"/>
      <c r="J396" s="1597"/>
      <c r="K396" s="1597"/>
      <c r="L396" s="1597"/>
      <c r="M396" s="1597"/>
      <c r="N396" s="1597"/>
      <c r="O396" s="1597"/>
      <c r="P396" s="1597"/>
      <c r="Q396" s="1597"/>
      <c r="R396" s="1597"/>
      <c r="S396" s="1597"/>
      <c r="T396" s="1597"/>
    </row>
    <row r="397" spans="1:20" ht="13.5" customHeight="1">
      <c r="A397" s="1597"/>
      <c r="B397" s="1597"/>
      <c r="C397" s="1597"/>
      <c r="D397" s="1597"/>
      <c r="E397" s="1597"/>
      <c r="F397" s="1597"/>
      <c r="G397" s="1597"/>
      <c r="H397" s="1597"/>
      <c r="I397" s="1597"/>
      <c r="J397" s="1597"/>
      <c r="K397" s="1597"/>
      <c r="L397" s="1597"/>
      <c r="M397" s="1597"/>
      <c r="N397" s="1597"/>
      <c r="O397" s="1597"/>
      <c r="P397" s="1597"/>
      <c r="Q397" s="1597"/>
      <c r="R397" s="1597"/>
      <c r="S397" s="1597"/>
      <c r="T397" s="1597"/>
    </row>
    <row r="398" spans="1:20" ht="13.5" customHeight="1">
      <c r="A398" s="1597"/>
      <c r="B398" s="1597"/>
      <c r="C398" s="1597"/>
      <c r="D398" s="1597"/>
      <c r="E398" s="1597"/>
      <c r="F398" s="1597"/>
      <c r="G398" s="1597"/>
      <c r="H398" s="1597"/>
      <c r="I398" s="1597"/>
      <c r="J398" s="1597"/>
      <c r="K398" s="1597"/>
      <c r="L398" s="1597"/>
      <c r="M398" s="1597"/>
      <c r="N398" s="1597"/>
      <c r="O398" s="1597"/>
      <c r="P398" s="1597"/>
      <c r="Q398" s="1597"/>
      <c r="R398" s="1597"/>
      <c r="S398" s="1597"/>
      <c r="T398" s="1597"/>
    </row>
    <row r="399" spans="1:20" ht="13.5" customHeight="1">
      <c r="A399" s="1597"/>
      <c r="B399" s="1597"/>
      <c r="C399" s="1597"/>
      <c r="D399" s="1597"/>
      <c r="E399" s="1597"/>
      <c r="F399" s="1597"/>
      <c r="G399" s="1597"/>
      <c r="H399" s="1597"/>
      <c r="I399" s="1597"/>
      <c r="J399" s="1597"/>
      <c r="K399" s="1597"/>
      <c r="L399" s="1597"/>
      <c r="M399" s="1597"/>
      <c r="N399" s="1597"/>
      <c r="O399" s="1597"/>
      <c r="P399" s="1597"/>
      <c r="Q399" s="1597"/>
      <c r="R399" s="1597"/>
      <c r="S399" s="1597"/>
      <c r="T399" s="1597"/>
    </row>
    <row r="400" spans="1:20" ht="13.5" customHeight="1">
      <c r="A400" s="1597"/>
      <c r="B400" s="1597"/>
      <c r="C400" s="1597"/>
      <c r="D400" s="1597"/>
      <c r="E400" s="1597"/>
      <c r="F400" s="1597"/>
      <c r="G400" s="1597"/>
      <c r="H400" s="1597"/>
      <c r="I400" s="1597"/>
      <c r="J400" s="1597"/>
      <c r="K400" s="1597"/>
      <c r="L400" s="1597"/>
      <c r="M400" s="1597"/>
      <c r="N400" s="1597"/>
      <c r="O400" s="1597"/>
      <c r="P400" s="1597"/>
      <c r="Q400" s="1597"/>
      <c r="R400" s="1597"/>
      <c r="S400" s="1597"/>
      <c r="T400" s="1597"/>
    </row>
    <row r="401" spans="1:20" ht="13.5" customHeight="1">
      <c r="A401" s="1597"/>
      <c r="B401" s="1597"/>
      <c r="C401" s="1597"/>
      <c r="D401" s="1597"/>
      <c r="E401" s="1597"/>
      <c r="F401" s="1597"/>
      <c r="G401" s="1597"/>
      <c r="H401" s="1597"/>
      <c r="I401" s="1597"/>
      <c r="J401" s="1597"/>
      <c r="K401" s="1597"/>
      <c r="L401" s="1597"/>
      <c r="M401" s="1597"/>
      <c r="N401" s="1597"/>
      <c r="O401" s="1597"/>
      <c r="P401" s="1597"/>
      <c r="Q401" s="1597"/>
      <c r="R401" s="1597"/>
      <c r="S401" s="1597"/>
      <c r="T401" s="1597"/>
    </row>
    <row r="402" spans="1:20" ht="13.5" customHeight="1">
      <c r="A402" s="1597"/>
      <c r="B402" s="1597"/>
      <c r="C402" s="1597"/>
      <c r="D402" s="1597"/>
      <c r="E402" s="1597"/>
      <c r="F402" s="1597"/>
      <c r="G402" s="1597"/>
      <c r="H402" s="1597"/>
      <c r="I402" s="1597"/>
      <c r="J402" s="1597"/>
      <c r="K402" s="1597"/>
      <c r="L402" s="1597"/>
      <c r="M402" s="1597"/>
      <c r="N402" s="1597"/>
      <c r="O402" s="1597"/>
      <c r="P402" s="1597"/>
      <c r="Q402" s="1597"/>
      <c r="R402" s="1597"/>
      <c r="S402" s="1597"/>
      <c r="T402" s="1597"/>
    </row>
    <row r="403" spans="1:20" ht="13.5" customHeight="1">
      <c r="A403" s="1597"/>
      <c r="B403" s="1597"/>
      <c r="C403" s="1597"/>
      <c r="D403" s="1597"/>
      <c r="E403" s="1597"/>
      <c r="F403" s="1597"/>
      <c r="G403" s="1597"/>
      <c r="H403" s="1597"/>
      <c r="I403" s="1597"/>
      <c r="J403" s="1597"/>
      <c r="K403" s="1597"/>
      <c r="L403" s="1597"/>
      <c r="M403" s="1597"/>
      <c r="N403" s="1597"/>
      <c r="O403" s="1597"/>
      <c r="P403" s="1597"/>
      <c r="Q403" s="1597"/>
      <c r="R403" s="1597"/>
      <c r="S403" s="1597"/>
      <c r="T403" s="1597"/>
    </row>
    <row r="404" spans="1:20" ht="13.5" customHeight="1">
      <c r="A404" s="1597"/>
      <c r="B404" s="1597"/>
      <c r="C404" s="1597"/>
      <c r="D404" s="1597"/>
      <c r="E404" s="1597"/>
      <c r="F404" s="1597"/>
      <c r="G404" s="1597"/>
      <c r="H404" s="1597"/>
      <c r="I404" s="1597"/>
      <c r="J404" s="1597"/>
      <c r="K404" s="1597"/>
      <c r="L404" s="1597"/>
      <c r="M404" s="1597"/>
      <c r="N404" s="1597"/>
      <c r="O404" s="1597"/>
      <c r="P404" s="1597"/>
      <c r="Q404" s="1597"/>
      <c r="R404" s="1597"/>
      <c r="S404" s="1597"/>
      <c r="T404" s="1597"/>
    </row>
    <row r="405" spans="1:20" ht="13.5" customHeight="1">
      <c r="A405" s="1597"/>
      <c r="B405" s="1597"/>
      <c r="C405" s="1597"/>
      <c r="D405" s="1597"/>
      <c r="E405" s="1597"/>
      <c r="F405" s="1597"/>
      <c r="G405" s="1597"/>
      <c r="H405" s="1597"/>
      <c r="I405" s="1597"/>
      <c r="J405" s="1597"/>
      <c r="K405" s="1597"/>
      <c r="L405" s="1597"/>
      <c r="M405" s="1597"/>
      <c r="N405" s="1597"/>
      <c r="O405" s="1597"/>
      <c r="P405" s="1597"/>
      <c r="Q405" s="1597"/>
      <c r="R405" s="1597"/>
      <c r="S405" s="1597"/>
      <c r="T405" s="1597"/>
    </row>
    <row r="406" spans="1:20" ht="13.5" customHeight="1">
      <c r="A406" s="1597"/>
      <c r="B406" s="1597"/>
      <c r="C406" s="1597"/>
      <c r="D406" s="1597"/>
      <c r="E406" s="1597"/>
      <c r="F406" s="1597"/>
      <c r="G406" s="1597"/>
      <c r="H406" s="1597"/>
      <c r="I406" s="1597"/>
      <c r="J406" s="1597"/>
      <c r="K406" s="1597"/>
      <c r="L406" s="1597"/>
      <c r="M406" s="1597"/>
      <c r="N406" s="1597"/>
      <c r="O406" s="1597"/>
      <c r="P406" s="1597"/>
      <c r="Q406" s="1597"/>
      <c r="R406" s="1597"/>
      <c r="S406" s="1597"/>
      <c r="T406" s="1597"/>
    </row>
    <row r="407" spans="1:20" ht="13.5" customHeight="1">
      <c r="A407" s="1597"/>
      <c r="B407" s="1597"/>
      <c r="C407" s="1597"/>
      <c r="D407" s="1597"/>
      <c r="E407" s="1597"/>
      <c r="F407" s="1597"/>
      <c r="G407" s="1597"/>
      <c r="H407" s="1597"/>
      <c r="I407" s="1597"/>
      <c r="J407" s="1597"/>
      <c r="K407" s="1597"/>
      <c r="L407" s="1597"/>
      <c r="M407" s="1597"/>
      <c r="N407" s="1597"/>
      <c r="O407" s="1597"/>
      <c r="P407" s="1597"/>
      <c r="Q407" s="1597"/>
      <c r="R407" s="1597"/>
      <c r="S407" s="1597"/>
      <c r="T407" s="1597"/>
    </row>
    <row r="408" spans="1:20" ht="13.5" customHeight="1">
      <c r="A408" s="1597"/>
      <c r="B408" s="1597"/>
      <c r="C408" s="1597"/>
      <c r="D408" s="1597"/>
      <c r="E408" s="1597"/>
      <c r="F408" s="1597"/>
      <c r="G408" s="1597"/>
      <c r="H408" s="1597"/>
      <c r="I408" s="1597"/>
      <c r="J408" s="1597"/>
      <c r="K408" s="1597"/>
      <c r="L408" s="1597"/>
      <c r="M408" s="1597"/>
      <c r="N408" s="1597"/>
      <c r="O408" s="1597"/>
      <c r="P408" s="1597"/>
      <c r="Q408" s="1597"/>
      <c r="R408" s="1597"/>
      <c r="S408" s="1597"/>
      <c r="T408" s="1597"/>
    </row>
    <row r="409" spans="1:20" ht="13.5" customHeight="1">
      <c r="A409" s="1597"/>
      <c r="B409" s="1597"/>
      <c r="C409" s="1597"/>
      <c r="D409" s="1597"/>
      <c r="E409" s="1597"/>
      <c r="F409" s="1597"/>
      <c r="G409" s="1597"/>
      <c r="H409" s="1597"/>
      <c r="I409" s="1597"/>
      <c r="J409" s="1597"/>
      <c r="K409" s="1597"/>
      <c r="L409" s="1597"/>
      <c r="M409" s="1597"/>
      <c r="N409" s="1597"/>
      <c r="O409" s="1597"/>
      <c r="P409" s="1597"/>
      <c r="Q409" s="1597"/>
      <c r="R409" s="1597"/>
      <c r="S409" s="1597"/>
      <c r="T409" s="1597"/>
    </row>
    <row r="410" spans="1:20" ht="13.5" customHeight="1">
      <c r="A410" s="1597"/>
      <c r="B410" s="1597"/>
      <c r="C410" s="1597"/>
      <c r="D410" s="1597"/>
      <c r="E410" s="1597"/>
      <c r="F410" s="1597"/>
      <c r="G410" s="1597"/>
      <c r="H410" s="1597"/>
      <c r="I410" s="1597"/>
      <c r="J410" s="1597"/>
      <c r="K410" s="1597"/>
      <c r="L410" s="1597"/>
      <c r="M410" s="1597"/>
      <c r="N410" s="1597"/>
      <c r="O410" s="1597"/>
      <c r="P410" s="1597"/>
      <c r="Q410" s="1597"/>
      <c r="R410" s="1597"/>
      <c r="S410" s="1597"/>
      <c r="T410" s="1597"/>
    </row>
    <row r="411" spans="1:20" ht="13.5" customHeight="1">
      <c r="A411" s="1597"/>
      <c r="B411" s="1597"/>
      <c r="C411" s="1597"/>
      <c r="D411" s="1597"/>
      <c r="E411" s="1597"/>
      <c r="F411" s="1597"/>
      <c r="G411" s="1597"/>
      <c r="H411" s="1597"/>
      <c r="I411" s="1597"/>
      <c r="J411" s="1597"/>
      <c r="K411" s="1597"/>
      <c r="L411" s="1597"/>
      <c r="M411" s="1597"/>
      <c r="N411" s="1597"/>
      <c r="O411" s="1597"/>
      <c r="P411" s="1597"/>
      <c r="Q411" s="1597"/>
      <c r="R411" s="1597"/>
      <c r="S411" s="1597"/>
      <c r="T411" s="1597"/>
    </row>
    <row r="412" spans="1:20" ht="13.5" customHeight="1">
      <c r="A412" s="1597"/>
      <c r="B412" s="1597"/>
      <c r="C412" s="1597"/>
      <c r="D412" s="1597"/>
      <c r="E412" s="1597"/>
      <c r="F412" s="1597"/>
      <c r="G412" s="1597"/>
      <c r="H412" s="1597"/>
      <c r="I412" s="1597"/>
      <c r="J412" s="1597"/>
      <c r="K412" s="1597"/>
      <c r="L412" s="1597"/>
      <c r="M412" s="1597"/>
      <c r="N412" s="1597"/>
      <c r="O412" s="1597"/>
      <c r="P412" s="1597"/>
      <c r="Q412" s="1597"/>
      <c r="R412" s="1597"/>
      <c r="S412" s="1597"/>
      <c r="T412" s="1597"/>
    </row>
    <row r="413" spans="1:20" ht="13.5" customHeight="1">
      <c r="A413" s="1597"/>
      <c r="B413" s="1597"/>
      <c r="C413" s="1597"/>
      <c r="D413" s="1597"/>
      <c r="E413" s="1597"/>
      <c r="F413" s="1597"/>
      <c r="G413" s="1597"/>
      <c r="H413" s="1597"/>
      <c r="I413" s="1597"/>
      <c r="J413" s="1597"/>
      <c r="K413" s="1597"/>
      <c r="L413" s="1597"/>
      <c r="M413" s="1597"/>
      <c r="N413" s="1597"/>
      <c r="O413" s="1597"/>
      <c r="P413" s="1597"/>
      <c r="Q413" s="1597"/>
      <c r="R413" s="1597"/>
      <c r="S413" s="1597"/>
      <c r="T413" s="1597"/>
    </row>
    <row r="414" spans="1:20" ht="13.5" customHeight="1">
      <c r="A414" s="1597"/>
      <c r="B414" s="1597"/>
      <c r="C414" s="1597"/>
      <c r="D414" s="1597"/>
      <c r="E414" s="1597"/>
      <c r="F414" s="1597"/>
      <c r="G414" s="1597"/>
      <c r="H414" s="1597"/>
      <c r="I414" s="1597"/>
      <c r="J414" s="1597"/>
      <c r="K414" s="1597"/>
      <c r="L414" s="1597"/>
      <c r="M414" s="1597"/>
      <c r="N414" s="1597"/>
      <c r="O414" s="1597"/>
      <c r="P414" s="1597"/>
      <c r="Q414" s="1597"/>
      <c r="R414" s="1597"/>
      <c r="S414" s="1597"/>
      <c r="T414" s="1597"/>
    </row>
    <row r="415" spans="1:20" ht="13.5" customHeight="1">
      <c r="A415" s="1597"/>
      <c r="B415" s="1597"/>
      <c r="C415" s="1597"/>
      <c r="D415" s="1597"/>
      <c r="E415" s="1597"/>
      <c r="F415" s="1597"/>
      <c r="G415" s="1597"/>
      <c r="H415" s="1597"/>
      <c r="I415" s="1597"/>
      <c r="J415" s="1597"/>
      <c r="K415" s="1597"/>
      <c r="L415" s="1597"/>
      <c r="M415" s="1597"/>
      <c r="N415" s="1597"/>
      <c r="O415" s="1597"/>
      <c r="P415" s="1597"/>
      <c r="Q415" s="1597"/>
      <c r="R415" s="1597"/>
      <c r="S415" s="1597"/>
      <c r="T415" s="1597"/>
    </row>
    <row r="416" spans="1:20" ht="13.5" customHeight="1">
      <c r="A416" s="1597"/>
      <c r="B416" s="1597"/>
      <c r="C416" s="1597"/>
      <c r="D416" s="1597"/>
      <c r="E416" s="1597"/>
      <c r="F416" s="1597"/>
      <c r="G416" s="1597"/>
      <c r="H416" s="1597"/>
      <c r="I416" s="1597"/>
      <c r="J416" s="1597"/>
      <c r="K416" s="1597"/>
      <c r="L416" s="1597"/>
      <c r="M416" s="1597"/>
      <c r="N416" s="1597"/>
      <c r="O416" s="1597"/>
      <c r="P416" s="1597"/>
      <c r="Q416" s="1597"/>
      <c r="R416" s="1597"/>
      <c r="S416" s="1597"/>
      <c r="T416" s="1597"/>
    </row>
    <row r="417" spans="1:20" ht="13.5" customHeight="1">
      <c r="A417" s="1597"/>
      <c r="B417" s="1597"/>
      <c r="C417" s="1597"/>
      <c r="D417" s="1597"/>
      <c r="E417" s="1597"/>
      <c r="F417" s="1597"/>
      <c r="G417" s="1597"/>
      <c r="H417" s="1597"/>
      <c r="I417" s="1597"/>
      <c r="J417" s="1597"/>
      <c r="K417" s="1597"/>
      <c r="L417" s="1597"/>
      <c r="M417" s="1597"/>
      <c r="N417" s="1597"/>
      <c r="O417" s="1597"/>
      <c r="P417" s="1597"/>
      <c r="Q417" s="1597"/>
      <c r="R417" s="1597"/>
      <c r="S417" s="1597"/>
      <c r="T417" s="1597"/>
    </row>
    <row r="418" spans="1:20" ht="13.5" customHeight="1">
      <c r="A418" s="1597"/>
      <c r="B418" s="1597"/>
      <c r="C418" s="1597"/>
      <c r="D418" s="1597"/>
      <c r="E418" s="1597"/>
      <c r="F418" s="1597"/>
      <c r="G418" s="1597"/>
      <c r="H418" s="1597"/>
      <c r="I418" s="1597"/>
      <c r="J418" s="1597"/>
      <c r="K418" s="1597"/>
      <c r="L418" s="1597"/>
      <c r="M418" s="1597"/>
      <c r="N418" s="1597"/>
      <c r="O418" s="1597"/>
      <c r="P418" s="1597"/>
      <c r="Q418" s="1597"/>
      <c r="R418" s="1597"/>
      <c r="S418" s="1597"/>
      <c r="T418" s="1597"/>
    </row>
    <row r="419" spans="1:20" ht="13.5" customHeight="1">
      <c r="A419" s="1597"/>
      <c r="B419" s="1597"/>
      <c r="C419" s="1597"/>
      <c r="D419" s="1597"/>
      <c r="E419" s="1597"/>
      <c r="F419" s="1597"/>
      <c r="G419" s="1597"/>
      <c r="H419" s="1597"/>
      <c r="I419" s="1597"/>
      <c r="J419" s="1597"/>
      <c r="K419" s="1597"/>
      <c r="L419" s="1597"/>
      <c r="M419" s="1597"/>
      <c r="N419" s="1597"/>
      <c r="O419" s="1597"/>
      <c r="P419" s="1597"/>
      <c r="Q419" s="1597"/>
      <c r="R419" s="1597"/>
      <c r="S419" s="1597"/>
      <c r="T419" s="1597"/>
    </row>
    <row r="420" spans="1:20" ht="13.5" customHeight="1">
      <c r="A420" s="1597"/>
      <c r="B420" s="1597"/>
      <c r="C420" s="1597"/>
      <c r="D420" s="1597"/>
      <c r="E420" s="1597"/>
      <c r="F420" s="1597"/>
      <c r="G420" s="1597"/>
      <c r="H420" s="1597"/>
      <c r="I420" s="1597"/>
      <c r="J420" s="1597"/>
      <c r="K420" s="1597"/>
      <c r="L420" s="1597"/>
      <c r="M420" s="1597"/>
      <c r="N420" s="1597"/>
      <c r="O420" s="1597"/>
      <c r="P420" s="1597"/>
      <c r="Q420" s="1597"/>
      <c r="R420" s="1597"/>
      <c r="S420" s="1597"/>
      <c r="T420" s="1597"/>
    </row>
    <row r="421" spans="1:20" ht="13.5" customHeight="1">
      <c r="A421" s="1597"/>
      <c r="B421" s="1597"/>
      <c r="C421" s="1597"/>
      <c r="D421" s="1597"/>
      <c r="E421" s="1597"/>
      <c r="F421" s="1597"/>
      <c r="G421" s="1597"/>
      <c r="H421" s="1597"/>
      <c r="I421" s="1597"/>
      <c r="J421" s="1597"/>
      <c r="K421" s="1597"/>
      <c r="L421" s="1597"/>
      <c r="M421" s="1597"/>
      <c r="N421" s="1597"/>
      <c r="O421" s="1597"/>
      <c r="P421" s="1597"/>
      <c r="Q421" s="1597"/>
      <c r="R421" s="1597"/>
      <c r="S421" s="1597"/>
      <c r="T421" s="1597"/>
    </row>
    <row r="422" spans="1:20" ht="13.5" customHeight="1">
      <c r="A422" s="1597"/>
      <c r="B422" s="1597"/>
      <c r="C422" s="1597"/>
      <c r="D422" s="1597"/>
      <c r="E422" s="1597"/>
      <c r="F422" s="1597"/>
      <c r="G422" s="1597"/>
      <c r="H422" s="1597"/>
      <c r="I422" s="1597"/>
      <c r="J422" s="1597"/>
      <c r="K422" s="1597"/>
      <c r="L422" s="1597"/>
      <c r="M422" s="1597"/>
      <c r="N422" s="1597"/>
      <c r="O422" s="1597"/>
      <c r="P422" s="1597"/>
      <c r="Q422" s="1597"/>
      <c r="R422" s="1597"/>
      <c r="S422" s="1597"/>
      <c r="T422" s="1597"/>
    </row>
    <row r="423" spans="1:20" ht="13.5" customHeight="1">
      <c r="A423" s="1597"/>
      <c r="B423" s="1597"/>
      <c r="C423" s="1597"/>
      <c r="D423" s="1597"/>
      <c r="E423" s="1597"/>
      <c r="F423" s="1597"/>
      <c r="G423" s="1597"/>
      <c r="H423" s="1597"/>
      <c r="I423" s="1597"/>
      <c r="J423" s="1597"/>
      <c r="K423" s="1597"/>
      <c r="L423" s="1597"/>
      <c r="M423" s="1597"/>
      <c r="N423" s="1597"/>
      <c r="O423" s="1597"/>
      <c r="P423" s="1597"/>
      <c r="Q423" s="1597"/>
      <c r="R423" s="1597"/>
      <c r="S423" s="1597"/>
      <c r="T423" s="1597"/>
    </row>
    <row r="424" spans="1:20" ht="13.5" customHeight="1">
      <c r="A424" s="1597"/>
      <c r="B424" s="1597"/>
      <c r="C424" s="1597"/>
      <c r="D424" s="1597"/>
      <c r="E424" s="1597"/>
      <c r="F424" s="1597"/>
      <c r="G424" s="1597"/>
      <c r="H424" s="1597"/>
      <c r="I424" s="1597"/>
      <c r="J424" s="1597"/>
      <c r="K424" s="1597"/>
      <c r="L424" s="1597"/>
      <c r="M424" s="1597"/>
      <c r="N424" s="1597"/>
      <c r="O424" s="1597"/>
      <c r="P424" s="1597"/>
      <c r="Q424" s="1597"/>
      <c r="R424" s="1597"/>
      <c r="S424" s="1597"/>
      <c r="T424" s="1597"/>
    </row>
    <row r="425" spans="1:20" ht="13.5" customHeight="1">
      <c r="A425" s="1597"/>
      <c r="B425" s="1597"/>
      <c r="C425" s="1597"/>
      <c r="D425" s="1597"/>
      <c r="E425" s="1597"/>
      <c r="F425" s="1597"/>
      <c r="G425" s="1597"/>
      <c r="H425" s="1597"/>
      <c r="I425" s="1597"/>
      <c r="J425" s="1597"/>
      <c r="K425" s="1597"/>
      <c r="L425" s="1597"/>
      <c r="M425" s="1597"/>
      <c r="N425" s="1597"/>
      <c r="O425" s="1597"/>
      <c r="P425" s="1597"/>
      <c r="Q425" s="1597"/>
      <c r="R425" s="1597"/>
      <c r="S425" s="1597"/>
      <c r="T425" s="1597"/>
    </row>
    <row r="426" spans="1:20" ht="13.5" customHeight="1">
      <c r="A426" s="1597"/>
      <c r="B426" s="1597"/>
      <c r="C426" s="1597"/>
      <c r="D426" s="1597"/>
      <c r="E426" s="1597"/>
      <c r="F426" s="1597"/>
      <c r="G426" s="1597"/>
      <c r="H426" s="1597"/>
      <c r="I426" s="1597"/>
      <c r="J426" s="1597"/>
      <c r="K426" s="1597"/>
      <c r="L426" s="1597"/>
      <c r="M426" s="1597"/>
      <c r="N426" s="1597"/>
      <c r="O426" s="1597"/>
      <c r="P426" s="1597"/>
      <c r="Q426" s="1597"/>
      <c r="R426" s="1597"/>
      <c r="S426" s="1597"/>
      <c r="T426" s="1597"/>
    </row>
    <row r="427" spans="1:20" ht="13.5" customHeight="1">
      <c r="A427" s="1597"/>
      <c r="B427" s="1597"/>
      <c r="C427" s="1597"/>
      <c r="D427" s="1597"/>
      <c r="E427" s="1597"/>
      <c r="F427" s="1597"/>
      <c r="G427" s="1597"/>
      <c r="H427" s="1597"/>
      <c r="I427" s="1597"/>
      <c r="J427" s="1597"/>
      <c r="K427" s="1597"/>
      <c r="L427" s="1597"/>
      <c r="M427" s="1597"/>
      <c r="N427" s="1597"/>
      <c r="O427" s="1597"/>
      <c r="P427" s="1597"/>
      <c r="Q427" s="1597"/>
      <c r="R427" s="1597"/>
      <c r="S427" s="1597"/>
      <c r="T427" s="1597"/>
    </row>
    <row r="428" spans="1:20" ht="13.5" customHeight="1">
      <c r="A428" s="1597"/>
      <c r="B428" s="1597"/>
      <c r="C428" s="1597"/>
      <c r="D428" s="1597"/>
      <c r="E428" s="1597"/>
      <c r="F428" s="1597"/>
      <c r="G428" s="1597"/>
      <c r="H428" s="1597"/>
      <c r="I428" s="1597"/>
      <c r="J428" s="1597"/>
      <c r="K428" s="1597"/>
      <c r="L428" s="1597"/>
      <c r="M428" s="1597"/>
      <c r="N428" s="1597"/>
      <c r="O428" s="1597"/>
      <c r="P428" s="1597"/>
      <c r="Q428" s="1597"/>
      <c r="R428" s="1597"/>
      <c r="S428" s="1597"/>
      <c r="T428" s="1597"/>
    </row>
    <row r="429" spans="1:20" ht="13.5" customHeight="1">
      <c r="A429" s="1597"/>
      <c r="B429" s="1597"/>
      <c r="C429" s="1597"/>
      <c r="D429" s="1597"/>
      <c r="E429" s="1597"/>
      <c r="F429" s="1597"/>
      <c r="G429" s="1597"/>
      <c r="H429" s="1597"/>
      <c r="I429" s="1597"/>
      <c r="J429" s="1597"/>
      <c r="K429" s="1597"/>
      <c r="L429" s="1597"/>
      <c r="M429" s="1597"/>
      <c r="N429" s="1597"/>
      <c r="O429" s="1597"/>
      <c r="P429" s="1597"/>
      <c r="Q429" s="1597"/>
      <c r="R429" s="1597"/>
      <c r="S429" s="1597"/>
      <c r="T429" s="1597"/>
    </row>
    <row r="430" spans="1:20" ht="13.5" customHeight="1">
      <c r="A430" s="1597"/>
      <c r="B430" s="1597"/>
      <c r="C430" s="1597"/>
      <c r="D430" s="1597"/>
      <c r="E430" s="1597"/>
      <c r="F430" s="1597"/>
      <c r="G430" s="1597"/>
      <c r="H430" s="1597"/>
      <c r="I430" s="1597"/>
      <c r="J430" s="1597"/>
      <c r="K430" s="1597"/>
      <c r="L430" s="1597"/>
      <c r="M430" s="1597"/>
      <c r="N430" s="1597"/>
      <c r="O430" s="1597"/>
      <c r="P430" s="1597"/>
      <c r="Q430" s="1597"/>
      <c r="R430" s="1597"/>
      <c r="S430" s="1597"/>
      <c r="T430" s="1597"/>
    </row>
    <row r="431" spans="1:20" ht="13.5" customHeight="1">
      <c r="A431" s="1597"/>
      <c r="B431" s="1597"/>
      <c r="C431" s="1597"/>
      <c r="D431" s="1597"/>
      <c r="E431" s="1597"/>
      <c r="F431" s="1597"/>
      <c r="G431" s="1597"/>
      <c r="H431" s="1597"/>
      <c r="I431" s="1597"/>
      <c r="J431" s="1597"/>
      <c r="K431" s="1597"/>
      <c r="L431" s="1597"/>
      <c r="M431" s="1597"/>
      <c r="N431" s="1597"/>
      <c r="O431" s="1597"/>
      <c r="P431" s="1597"/>
      <c r="Q431" s="1597"/>
      <c r="R431" s="1597"/>
      <c r="S431" s="1597"/>
      <c r="T431" s="1597"/>
    </row>
    <row r="432" spans="1:20" ht="13.5" customHeight="1">
      <c r="A432" s="1597"/>
      <c r="B432" s="1597"/>
      <c r="C432" s="1597"/>
      <c r="D432" s="1597"/>
      <c r="E432" s="1597"/>
      <c r="F432" s="1597"/>
      <c r="G432" s="1597"/>
      <c r="H432" s="1597"/>
      <c r="I432" s="1597"/>
      <c r="J432" s="1597"/>
      <c r="K432" s="1597"/>
      <c r="L432" s="1597"/>
      <c r="M432" s="1597"/>
      <c r="N432" s="1597"/>
      <c r="O432" s="1597"/>
      <c r="P432" s="1597"/>
      <c r="Q432" s="1597"/>
      <c r="R432" s="1597"/>
      <c r="S432" s="1597"/>
      <c r="T432" s="1597"/>
    </row>
    <row r="433" spans="1:20" ht="13.5" customHeight="1">
      <c r="A433" s="1597"/>
      <c r="B433" s="1597"/>
      <c r="C433" s="1597"/>
      <c r="D433" s="1597"/>
      <c r="E433" s="1597"/>
      <c r="F433" s="1597"/>
      <c r="G433" s="1597"/>
      <c r="H433" s="1597"/>
      <c r="I433" s="1597"/>
      <c r="J433" s="1597"/>
      <c r="K433" s="1597"/>
      <c r="L433" s="1597"/>
      <c r="M433" s="1597"/>
      <c r="N433" s="1597"/>
      <c r="O433" s="1597"/>
      <c r="P433" s="1597"/>
      <c r="Q433" s="1597"/>
      <c r="R433" s="1597"/>
      <c r="S433" s="1597"/>
      <c r="T433" s="1597"/>
    </row>
    <row r="434" spans="1:20" ht="13.5" customHeight="1">
      <c r="A434" s="1597"/>
      <c r="B434" s="1597"/>
      <c r="C434" s="1597"/>
      <c r="D434" s="1597"/>
      <c r="E434" s="1597"/>
      <c r="F434" s="1597"/>
      <c r="G434" s="1597"/>
      <c r="H434" s="1597"/>
      <c r="I434" s="1597"/>
      <c r="J434" s="1597"/>
      <c r="K434" s="1597"/>
      <c r="L434" s="1597"/>
      <c r="M434" s="1597"/>
      <c r="N434" s="1597"/>
      <c r="O434" s="1597"/>
      <c r="P434" s="1597"/>
      <c r="Q434" s="1597"/>
      <c r="R434" s="1597"/>
      <c r="S434" s="1597"/>
      <c r="T434" s="1597"/>
    </row>
    <row r="435" spans="1:20" ht="13.5" customHeight="1">
      <c r="A435" s="1597"/>
      <c r="B435" s="1597"/>
      <c r="C435" s="1597"/>
      <c r="D435" s="1597"/>
      <c r="E435" s="1597"/>
      <c r="F435" s="1597"/>
      <c r="G435" s="1597"/>
      <c r="H435" s="1597"/>
      <c r="I435" s="1597"/>
      <c r="J435" s="1597"/>
      <c r="K435" s="1597"/>
      <c r="L435" s="1597"/>
      <c r="M435" s="1597"/>
      <c r="N435" s="1597"/>
      <c r="O435" s="1597"/>
      <c r="P435" s="1597"/>
      <c r="Q435" s="1597"/>
      <c r="R435" s="1597"/>
      <c r="S435" s="1597"/>
      <c r="T435" s="1597"/>
    </row>
    <row r="436" spans="1:20" ht="13.5" customHeight="1">
      <c r="A436" s="1597"/>
      <c r="B436" s="1597"/>
      <c r="C436" s="1597"/>
      <c r="D436" s="1597"/>
      <c r="E436" s="1597"/>
      <c r="F436" s="1597"/>
      <c r="G436" s="1597"/>
      <c r="H436" s="1597"/>
      <c r="I436" s="1597"/>
      <c r="J436" s="1597"/>
      <c r="K436" s="1597"/>
      <c r="L436" s="1597"/>
      <c r="M436" s="1597"/>
      <c r="N436" s="1597"/>
      <c r="O436" s="1597"/>
      <c r="P436" s="1597"/>
      <c r="Q436" s="1597"/>
      <c r="R436" s="1597"/>
      <c r="S436" s="1597"/>
      <c r="T436" s="1597"/>
    </row>
    <row r="437" spans="1:20" ht="13.5" customHeight="1">
      <c r="A437" s="1597"/>
      <c r="B437" s="1597"/>
      <c r="C437" s="1597"/>
      <c r="D437" s="1597"/>
      <c r="E437" s="1597"/>
      <c r="F437" s="1597"/>
      <c r="G437" s="1597"/>
      <c r="H437" s="1597"/>
      <c r="I437" s="1597"/>
      <c r="J437" s="1597"/>
      <c r="K437" s="1597"/>
      <c r="L437" s="1597"/>
      <c r="M437" s="1597"/>
      <c r="N437" s="1597"/>
      <c r="O437" s="1597"/>
      <c r="P437" s="1597"/>
      <c r="Q437" s="1597"/>
      <c r="R437" s="1597"/>
      <c r="S437" s="1597"/>
      <c r="T437" s="1597"/>
    </row>
    <row r="438" spans="1:20" ht="13.5" customHeight="1">
      <c r="A438" s="1597"/>
      <c r="B438" s="1597"/>
      <c r="C438" s="1597"/>
      <c r="D438" s="1597"/>
      <c r="E438" s="1597"/>
      <c r="F438" s="1597"/>
      <c r="G438" s="1597"/>
      <c r="H438" s="1597"/>
      <c r="I438" s="1597"/>
      <c r="J438" s="1597"/>
      <c r="K438" s="1597"/>
      <c r="L438" s="1597"/>
      <c r="M438" s="1597"/>
      <c r="N438" s="1597"/>
      <c r="O438" s="1597"/>
      <c r="P438" s="1597"/>
      <c r="Q438" s="1597"/>
      <c r="R438" s="1597"/>
      <c r="S438" s="1597"/>
      <c r="T438" s="1597"/>
    </row>
    <row r="439" spans="1:20" ht="13.5" customHeight="1">
      <c r="A439" s="1597"/>
      <c r="B439" s="1597"/>
      <c r="C439" s="1597"/>
      <c r="D439" s="1597"/>
      <c r="E439" s="1597"/>
      <c r="F439" s="1597"/>
      <c r="G439" s="1597"/>
      <c r="H439" s="1597"/>
      <c r="I439" s="1597"/>
      <c r="J439" s="1597"/>
      <c r="K439" s="1597"/>
      <c r="L439" s="1597"/>
      <c r="M439" s="1597"/>
      <c r="N439" s="1597"/>
      <c r="O439" s="1597"/>
      <c r="P439" s="1597"/>
      <c r="Q439" s="1597"/>
      <c r="R439" s="1597"/>
      <c r="S439" s="1597"/>
      <c r="T439" s="1597"/>
    </row>
    <row r="440" spans="1:20" ht="13.5" customHeight="1">
      <c r="A440" s="1597"/>
      <c r="B440" s="1597"/>
      <c r="C440" s="1597"/>
      <c r="D440" s="1597"/>
      <c r="E440" s="1597"/>
      <c r="F440" s="1597"/>
      <c r="G440" s="1597"/>
      <c r="H440" s="1597"/>
      <c r="I440" s="1597"/>
      <c r="J440" s="1597"/>
      <c r="K440" s="1597"/>
      <c r="L440" s="1597"/>
      <c r="M440" s="1597"/>
      <c r="N440" s="1597"/>
      <c r="O440" s="1597"/>
      <c r="P440" s="1597"/>
      <c r="Q440" s="1597"/>
      <c r="R440" s="1597"/>
      <c r="S440" s="1597"/>
      <c r="T440" s="1597"/>
    </row>
    <row r="441" spans="1:20" ht="13.5" customHeight="1">
      <c r="A441" s="1597"/>
      <c r="B441" s="1597"/>
      <c r="C441" s="1597"/>
      <c r="D441" s="1597"/>
      <c r="E441" s="1597"/>
      <c r="F441" s="1597"/>
      <c r="G441" s="1597"/>
      <c r="H441" s="1597"/>
      <c r="I441" s="1597"/>
      <c r="J441" s="1597"/>
      <c r="K441" s="1597"/>
      <c r="L441" s="1597"/>
      <c r="M441" s="1597"/>
      <c r="N441" s="1597"/>
      <c r="O441" s="1597"/>
      <c r="P441" s="1597"/>
      <c r="Q441" s="1597"/>
      <c r="R441" s="1597"/>
      <c r="S441" s="1597"/>
      <c r="T441" s="1597"/>
    </row>
    <row r="442" spans="1:20" ht="13.5" customHeight="1">
      <c r="A442" s="1597"/>
      <c r="B442" s="1597"/>
      <c r="C442" s="1597"/>
      <c r="D442" s="1597"/>
      <c r="E442" s="1597"/>
      <c r="F442" s="1597"/>
      <c r="G442" s="1597"/>
      <c r="H442" s="1597"/>
      <c r="I442" s="1597"/>
      <c r="J442" s="1597"/>
      <c r="K442" s="1597"/>
      <c r="L442" s="1597"/>
      <c r="M442" s="1597"/>
      <c r="N442" s="1597"/>
      <c r="O442" s="1597"/>
      <c r="P442" s="1597"/>
      <c r="Q442" s="1597"/>
      <c r="R442" s="1597"/>
      <c r="S442" s="1597"/>
      <c r="T442" s="1597"/>
    </row>
    <row r="443" spans="1:20" ht="13.5" customHeight="1">
      <c r="A443" s="1597"/>
      <c r="B443" s="1597"/>
      <c r="C443" s="1597"/>
      <c r="D443" s="1597"/>
      <c r="E443" s="1597"/>
      <c r="F443" s="1597"/>
      <c r="G443" s="1597"/>
      <c r="H443" s="1597"/>
      <c r="I443" s="1597"/>
      <c r="J443" s="1597"/>
      <c r="K443" s="1597"/>
      <c r="L443" s="1597"/>
      <c r="M443" s="1597"/>
      <c r="N443" s="1597"/>
      <c r="O443" s="1597"/>
      <c r="P443" s="1597"/>
      <c r="Q443" s="1597"/>
      <c r="R443" s="1597"/>
      <c r="S443" s="1597"/>
      <c r="T443" s="1597"/>
    </row>
    <row r="444" spans="1:20" ht="13.5" customHeight="1">
      <c r="A444" s="1597"/>
      <c r="B444" s="1597"/>
      <c r="C444" s="1597"/>
      <c r="D444" s="1597"/>
      <c r="E444" s="1597"/>
      <c r="F444" s="1597"/>
      <c r="G444" s="1597"/>
      <c r="H444" s="1597"/>
      <c r="I444" s="1597"/>
      <c r="J444" s="1597"/>
      <c r="K444" s="1597"/>
      <c r="L444" s="1597"/>
      <c r="M444" s="1597"/>
      <c r="N444" s="1597"/>
      <c r="O444" s="1597"/>
      <c r="P444" s="1597"/>
      <c r="Q444" s="1597"/>
      <c r="R444" s="1597"/>
      <c r="S444" s="1597"/>
      <c r="T444" s="1597"/>
    </row>
    <row r="445" spans="1:20" ht="13.5" customHeight="1">
      <c r="A445" s="1597"/>
      <c r="B445" s="1597"/>
      <c r="C445" s="1597"/>
      <c r="D445" s="1597"/>
      <c r="E445" s="1597"/>
      <c r="F445" s="1597"/>
      <c r="G445" s="1597"/>
      <c r="H445" s="1597"/>
      <c r="I445" s="1597"/>
      <c r="J445" s="1597"/>
      <c r="K445" s="1597"/>
      <c r="L445" s="1597"/>
      <c r="M445" s="1597"/>
      <c r="N445" s="1597"/>
      <c r="O445" s="1597"/>
      <c r="P445" s="1597"/>
      <c r="Q445" s="1597"/>
      <c r="R445" s="1597"/>
      <c r="S445" s="1597"/>
      <c r="T445" s="1597"/>
    </row>
    <row r="446" spans="1:20" ht="13.5" customHeight="1">
      <c r="A446" s="1597"/>
      <c r="B446" s="1597"/>
      <c r="C446" s="1597"/>
      <c r="D446" s="1597"/>
      <c r="E446" s="1597"/>
      <c r="F446" s="1597"/>
      <c r="G446" s="1597"/>
      <c r="H446" s="1597"/>
      <c r="I446" s="1597"/>
      <c r="J446" s="1597"/>
      <c r="K446" s="1597"/>
      <c r="L446" s="1597"/>
      <c r="M446" s="1597"/>
      <c r="N446" s="1597"/>
      <c r="O446" s="1597"/>
      <c r="P446" s="1597"/>
      <c r="Q446" s="1597"/>
      <c r="R446" s="1597"/>
      <c r="S446" s="1597"/>
      <c r="T446" s="1597"/>
    </row>
    <row r="447" spans="1:20" ht="13.5" customHeight="1">
      <c r="A447" s="1597"/>
      <c r="B447" s="1597"/>
      <c r="C447" s="1597"/>
      <c r="D447" s="1597"/>
      <c r="E447" s="1597"/>
      <c r="F447" s="1597"/>
      <c r="G447" s="1597"/>
      <c r="H447" s="1597"/>
      <c r="I447" s="1597"/>
      <c r="J447" s="1597"/>
      <c r="K447" s="1597"/>
      <c r="L447" s="1597"/>
      <c r="M447" s="1597"/>
      <c r="N447" s="1597"/>
      <c r="O447" s="1597"/>
      <c r="P447" s="1597"/>
      <c r="Q447" s="1597"/>
      <c r="R447" s="1597"/>
      <c r="S447" s="1597"/>
      <c r="T447" s="1597"/>
    </row>
    <row r="448" spans="1:20" ht="13.5" customHeight="1">
      <c r="A448" s="1597"/>
      <c r="B448" s="1597"/>
      <c r="C448" s="1597"/>
      <c r="D448" s="1597"/>
      <c r="E448" s="1597"/>
      <c r="F448" s="1597"/>
      <c r="G448" s="1597"/>
      <c r="H448" s="1597"/>
      <c r="I448" s="1597"/>
      <c r="J448" s="1597"/>
      <c r="K448" s="1597"/>
      <c r="L448" s="1597"/>
      <c r="M448" s="1597"/>
      <c r="N448" s="1597"/>
      <c r="O448" s="1597"/>
      <c r="P448" s="1597"/>
      <c r="Q448" s="1597"/>
      <c r="R448" s="1597"/>
      <c r="S448" s="1597"/>
      <c r="T448" s="1597"/>
    </row>
    <row r="449" spans="1:20" ht="13.5" customHeight="1">
      <c r="A449" s="1597"/>
      <c r="B449" s="1597"/>
      <c r="C449" s="1597"/>
      <c r="D449" s="1597"/>
      <c r="E449" s="1597"/>
      <c r="F449" s="1597"/>
      <c r="G449" s="1597"/>
      <c r="H449" s="1597"/>
      <c r="I449" s="1597"/>
      <c r="J449" s="1597"/>
      <c r="K449" s="1597"/>
      <c r="L449" s="1597"/>
      <c r="M449" s="1597"/>
      <c r="N449" s="1597"/>
      <c r="O449" s="1597"/>
      <c r="P449" s="1597"/>
      <c r="Q449" s="1597"/>
      <c r="R449" s="1597"/>
      <c r="S449" s="1597"/>
      <c r="T449" s="1597"/>
    </row>
    <row r="450" spans="1:20" ht="13.5" customHeight="1">
      <c r="A450" s="1597"/>
      <c r="B450" s="1597"/>
      <c r="C450" s="1597"/>
      <c r="D450" s="1597"/>
      <c r="E450" s="1597"/>
      <c r="F450" s="1597"/>
      <c r="G450" s="1597"/>
      <c r="H450" s="1597"/>
      <c r="I450" s="1597"/>
      <c r="J450" s="1597"/>
      <c r="K450" s="1597"/>
      <c r="L450" s="1597"/>
      <c r="M450" s="1597"/>
      <c r="N450" s="1597"/>
      <c r="O450" s="1597"/>
      <c r="P450" s="1597"/>
      <c r="Q450" s="1597"/>
      <c r="R450" s="1597"/>
      <c r="S450" s="1597"/>
      <c r="T450" s="1597"/>
    </row>
    <row r="451" spans="1:20" ht="13.5" customHeight="1">
      <c r="A451" s="1597"/>
      <c r="B451" s="1597"/>
      <c r="C451" s="1597"/>
      <c r="D451" s="1597"/>
      <c r="E451" s="1597"/>
      <c r="F451" s="1597"/>
      <c r="G451" s="1597"/>
      <c r="H451" s="1597"/>
      <c r="I451" s="1597"/>
      <c r="J451" s="1597"/>
      <c r="K451" s="1597"/>
      <c r="L451" s="1597"/>
      <c r="M451" s="1597"/>
      <c r="N451" s="1597"/>
      <c r="O451" s="1597"/>
      <c r="P451" s="1597"/>
      <c r="Q451" s="1597"/>
      <c r="R451" s="1597"/>
      <c r="S451" s="1597"/>
      <c r="T451" s="1597"/>
    </row>
    <row r="452" spans="1:20" ht="13.5" customHeight="1">
      <c r="A452" s="1597"/>
      <c r="B452" s="1597"/>
      <c r="C452" s="1597"/>
      <c r="D452" s="1597"/>
      <c r="E452" s="1597"/>
      <c r="F452" s="1597"/>
      <c r="G452" s="1597"/>
      <c r="H452" s="1597"/>
      <c r="I452" s="1597"/>
      <c r="J452" s="1597"/>
      <c r="K452" s="1597"/>
      <c r="L452" s="1597"/>
      <c r="M452" s="1597"/>
      <c r="N452" s="1597"/>
      <c r="O452" s="1597"/>
      <c r="P452" s="1597"/>
      <c r="Q452" s="1597"/>
      <c r="R452" s="1597"/>
      <c r="S452" s="1597"/>
      <c r="T452" s="1597"/>
    </row>
    <row r="453" spans="1:20" ht="13.5" customHeight="1">
      <c r="A453" s="1597"/>
      <c r="B453" s="1597"/>
      <c r="C453" s="1597"/>
      <c r="D453" s="1597"/>
      <c r="E453" s="1597"/>
      <c r="F453" s="1597"/>
      <c r="G453" s="1597"/>
      <c r="H453" s="1597"/>
      <c r="I453" s="1597"/>
      <c r="J453" s="1597"/>
      <c r="K453" s="1597"/>
      <c r="L453" s="1597"/>
      <c r="M453" s="1597"/>
      <c r="N453" s="1597"/>
      <c r="O453" s="1597"/>
      <c r="P453" s="1597"/>
      <c r="Q453" s="1597"/>
      <c r="R453" s="1597"/>
      <c r="S453" s="1597"/>
      <c r="T453" s="1597"/>
    </row>
    <row r="454" spans="1:20" ht="13.5" customHeight="1">
      <c r="A454" s="1597"/>
      <c r="B454" s="1597"/>
      <c r="C454" s="1597"/>
      <c r="D454" s="1597"/>
      <c r="E454" s="1597"/>
      <c r="F454" s="1597"/>
      <c r="G454" s="1597"/>
      <c r="H454" s="1597"/>
      <c r="I454" s="1597"/>
      <c r="J454" s="1597"/>
      <c r="K454" s="1597"/>
      <c r="L454" s="1597"/>
      <c r="M454" s="1597"/>
      <c r="N454" s="1597"/>
      <c r="O454" s="1597"/>
      <c r="P454" s="1597"/>
      <c r="Q454" s="1597"/>
      <c r="R454" s="1597"/>
      <c r="S454" s="1597"/>
      <c r="T454" s="1597"/>
    </row>
    <row r="455" spans="1:20" ht="13.5" customHeight="1">
      <c r="A455" s="1597"/>
      <c r="B455" s="1597"/>
      <c r="C455" s="1597"/>
      <c r="D455" s="1597"/>
      <c r="E455" s="1597"/>
      <c r="F455" s="1597"/>
      <c r="G455" s="1597"/>
      <c r="H455" s="1597"/>
      <c r="I455" s="1597"/>
      <c r="J455" s="1597"/>
      <c r="K455" s="1597"/>
      <c r="L455" s="1597"/>
      <c r="M455" s="1597"/>
      <c r="N455" s="1597"/>
      <c r="O455" s="1597"/>
      <c r="P455" s="1597"/>
      <c r="Q455" s="1597"/>
      <c r="R455" s="1597"/>
      <c r="S455" s="1597"/>
      <c r="T455" s="1597"/>
    </row>
    <row r="456" spans="1:20" ht="13.5" customHeight="1">
      <c r="A456" s="1597"/>
      <c r="B456" s="1597"/>
      <c r="C456" s="1597"/>
      <c r="D456" s="1597"/>
      <c r="E456" s="1597"/>
      <c r="F456" s="1597"/>
      <c r="G456" s="1597"/>
      <c r="H456" s="1597"/>
      <c r="I456" s="1597"/>
      <c r="J456" s="1597"/>
      <c r="K456" s="1597"/>
      <c r="L456" s="1597"/>
      <c r="M456" s="1597"/>
      <c r="N456" s="1597"/>
      <c r="O456" s="1597"/>
      <c r="P456" s="1597"/>
      <c r="Q456" s="1597"/>
      <c r="R456" s="1597"/>
      <c r="S456" s="1597"/>
      <c r="T456" s="1597"/>
    </row>
    <row r="457" spans="1:20" ht="13.5" customHeight="1">
      <c r="A457" s="1597"/>
      <c r="B457" s="1597"/>
      <c r="C457" s="1597"/>
      <c r="D457" s="1597"/>
      <c r="E457" s="1597"/>
      <c r="F457" s="1597"/>
      <c r="G457" s="1597"/>
      <c r="H457" s="1597"/>
      <c r="I457" s="1597"/>
      <c r="J457" s="1597"/>
      <c r="K457" s="1597"/>
      <c r="L457" s="1597"/>
      <c r="M457" s="1597"/>
      <c r="N457" s="1597"/>
      <c r="O457" s="1597"/>
      <c r="P457" s="1597"/>
      <c r="Q457" s="1597"/>
      <c r="R457" s="1597"/>
      <c r="S457" s="1597"/>
      <c r="T457" s="1597"/>
    </row>
    <row r="458" spans="1:20" ht="13.5" customHeight="1">
      <c r="A458" s="1597"/>
      <c r="B458" s="1597"/>
      <c r="C458" s="1597"/>
      <c r="D458" s="1597"/>
      <c r="E458" s="1597"/>
      <c r="F458" s="1597"/>
      <c r="G458" s="1597"/>
      <c r="H458" s="1597"/>
      <c r="I458" s="1597"/>
      <c r="J458" s="1597"/>
      <c r="K458" s="1597"/>
      <c r="L458" s="1597"/>
      <c r="M458" s="1597"/>
      <c r="N458" s="1597"/>
      <c r="O458" s="1597"/>
      <c r="P458" s="1597"/>
      <c r="Q458" s="1597"/>
      <c r="R458" s="1597"/>
      <c r="S458" s="1597"/>
      <c r="T458" s="1597"/>
    </row>
    <row r="459" spans="1:20" ht="13.5" customHeight="1">
      <c r="A459" s="1597"/>
      <c r="B459" s="1597"/>
      <c r="C459" s="1597"/>
      <c r="D459" s="1597"/>
      <c r="E459" s="1597"/>
      <c r="F459" s="1597"/>
      <c r="G459" s="1597"/>
      <c r="H459" s="1597"/>
      <c r="I459" s="1597"/>
      <c r="J459" s="1597"/>
      <c r="K459" s="1597"/>
      <c r="L459" s="1597"/>
      <c r="M459" s="1597"/>
      <c r="N459" s="1597"/>
      <c r="O459" s="1597"/>
      <c r="P459" s="1597"/>
      <c r="Q459" s="1597"/>
      <c r="R459" s="1597"/>
      <c r="S459" s="1597"/>
      <c r="T459" s="1597"/>
    </row>
    <row r="460" spans="1:20" ht="13.5" customHeight="1">
      <c r="A460" s="1597"/>
      <c r="B460" s="1597"/>
      <c r="C460" s="1597"/>
      <c r="D460" s="1597"/>
      <c r="E460" s="1597"/>
      <c r="F460" s="1597"/>
      <c r="G460" s="1597"/>
      <c r="H460" s="1597"/>
      <c r="I460" s="1597"/>
      <c r="J460" s="1597"/>
      <c r="K460" s="1597"/>
      <c r="L460" s="1597"/>
      <c r="M460" s="1597"/>
      <c r="N460" s="1597"/>
      <c r="O460" s="1597"/>
      <c r="P460" s="1597"/>
      <c r="Q460" s="1597"/>
      <c r="R460" s="1597"/>
      <c r="S460" s="1597"/>
      <c r="T460" s="1597"/>
    </row>
    <row r="461" spans="1:20" ht="13.5" customHeight="1">
      <c r="A461" s="1597"/>
      <c r="B461" s="1597"/>
      <c r="C461" s="1597"/>
      <c r="D461" s="1597"/>
      <c r="E461" s="1597"/>
      <c r="F461" s="1597"/>
      <c r="G461" s="1597"/>
      <c r="H461" s="1597"/>
      <c r="I461" s="1597"/>
      <c r="J461" s="1597"/>
      <c r="K461" s="1597"/>
      <c r="L461" s="1597"/>
      <c r="M461" s="1597"/>
      <c r="N461" s="1597"/>
      <c r="O461" s="1597"/>
      <c r="P461" s="1597"/>
      <c r="Q461" s="1597"/>
      <c r="R461" s="1597"/>
      <c r="S461" s="1597"/>
      <c r="T461" s="1597"/>
    </row>
    <row r="462" spans="1:20" ht="13.5" customHeight="1">
      <c r="A462" s="1597"/>
      <c r="B462" s="1597"/>
      <c r="C462" s="1597"/>
      <c r="D462" s="1597"/>
      <c r="E462" s="1597"/>
      <c r="F462" s="1597"/>
      <c r="G462" s="1597"/>
      <c r="H462" s="1597"/>
      <c r="I462" s="1597"/>
      <c r="J462" s="1597"/>
      <c r="K462" s="1597"/>
      <c r="L462" s="1597"/>
      <c r="M462" s="1597"/>
      <c r="N462" s="1597"/>
      <c r="O462" s="1597"/>
      <c r="P462" s="1597"/>
      <c r="Q462" s="1597"/>
      <c r="R462" s="1597"/>
      <c r="S462" s="1597"/>
      <c r="T462" s="1597"/>
    </row>
    <row r="463" spans="1:20" ht="13.5" customHeight="1">
      <c r="A463" s="1597"/>
      <c r="B463" s="1597"/>
      <c r="C463" s="1597"/>
      <c r="D463" s="1597"/>
      <c r="E463" s="1597"/>
      <c r="F463" s="1597"/>
      <c r="G463" s="1597"/>
      <c r="H463" s="1597"/>
      <c r="I463" s="1597"/>
      <c r="J463" s="1597"/>
      <c r="K463" s="1597"/>
      <c r="L463" s="1597"/>
      <c r="M463" s="1597"/>
      <c r="N463" s="1597"/>
      <c r="O463" s="1597"/>
      <c r="P463" s="1597"/>
      <c r="Q463" s="1597"/>
      <c r="R463" s="1597"/>
      <c r="S463" s="1597"/>
      <c r="T463" s="1597"/>
    </row>
    <row r="464" spans="1:20" ht="13.5" customHeight="1">
      <c r="A464" s="1597"/>
      <c r="B464" s="1597"/>
      <c r="C464" s="1597"/>
      <c r="D464" s="1597"/>
      <c r="E464" s="1597"/>
      <c r="F464" s="1597"/>
      <c r="G464" s="1597"/>
      <c r="H464" s="1597"/>
      <c r="I464" s="1597"/>
      <c r="J464" s="1597"/>
      <c r="K464" s="1597"/>
      <c r="L464" s="1597"/>
      <c r="M464" s="1597"/>
      <c r="N464" s="1597"/>
      <c r="O464" s="1597"/>
      <c r="P464" s="1597"/>
      <c r="Q464" s="1597"/>
      <c r="R464" s="1597"/>
      <c r="S464" s="1597"/>
      <c r="T464" s="1597"/>
    </row>
    <row r="465" spans="1:20" ht="13.5" customHeight="1">
      <c r="A465" s="1597"/>
      <c r="B465" s="1597"/>
      <c r="C465" s="1597"/>
      <c r="D465" s="1597"/>
      <c r="E465" s="1597"/>
      <c r="F465" s="1597"/>
      <c r="G465" s="1597"/>
      <c r="H465" s="1597"/>
      <c r="I465" s="1597"/>
      <c r="J465" s="1597"/>
      <c r="K465" s="1597"/>
      <c r="L465" s="1597"/>
      <c r="M465" s="1597"/>
      <c r="N465" s="1597"/>
      <c r="O465" s="1597"/>
      <c r="P465" s="1597"/>
      <c r="Q465" s="1597"/>
      <c r="R465" s="1597"/>
      <c r="S465" s="1597"/>
      <c r="T465" s="1597"/>
    </row>
    <row r="466" spans="1:20" ht="13.5" customHeight="1">
      <c r="A466" s="1597"/>
      <c r="B466" s="1597"/>
      <c r="C466" s="1597"/>
      <c r="D466" s="1597"/>
      <c r="E466" s="1597"/>
      <c r="F466" s="1597"/>
      <c r="G466" s="1597"/>
      <c r="H466" s="1597"/>
      <c r="I466" s="1597"/>
      <c r="J466" s="1597"/>
      <c r="K466" s="1597"/>
      <c r="L466" s="1597"/>
      <c r="M466" s="1597"/>
      <c r="N466" s="1597"/>
      <c r="O466" s="1597"/>
      <c r="P466" s="1597"/>
      <c r="Q466" s="1597"/>
      <c r="R466" s="1597"/>
      <c r="S466" s="1597"/>
      <c r="T466" s="1597"/>
    </row>
    <row r="467" spans="1:20" ht="13.5" customHeight="1">
      <c r="A467" s="1597"/>
      <c r="B467" s="1597"/>
      <c r="C467" s="1597"/>
      <c r="D467" s="1597"/>
      <c r="E467" s="1597"/>
      <c r="F467" s="1597"/>
      <c r="G467" s="1597"/>
      <c r="H467" s="1597"/>
      <c r="I467" s="1597"/>
      <c r="J467" s="1597"/>
      <c r="K467" s="1597"/>
      <c r="L467" s="1597"/>
      <c r="M467" s="1597"/>
      <c r="N467" s="1597"/>
      <c r="O467" s="1597"/>
      <c r="P467" s="1597"/>
      <c r="Q467" s="1597"/>
      <c r="R467" s="1597"/>
      <c r="S467" s="1597"/>
      <c r="T467" s="1597"/>
    </row>
    <row r="468" spans="1:20" ht="13.5" customHeight="1">
      <c r="A468" s="1597"/>
      <c r="B468" s="1597"/>
      <c r="C468" s="1597"/>
      <c r="D468" s="1597"/>
      <c r="E468" s="1597"/>
      <c r="F468" s="1597"/>
      <c r="G468" s="1597"/>
      <c r="H468" s="1597"/>
      <c r="I468" s="1597"/>
      <c r="J468" s="1597"/>
      <c r="K468" s="1597"/>
      <c r="L468" s="1597"/>
      <c r="M468" s="1597"/>
      <c r="N468" s="1597"/>
      <c r="O468" s="1597"/>
      <c r="P468" s="1597"/>
      <c r="Q468" s="1597"/>
      <c r="R468" s="1597"/>
      <c r="S468" s="1597"/>
      <c r="T468" s="1597"/>
    </row>
    <row r="469" spans="1:20" ht="13.5" customHeight="1">
      <c r="A469" s="1597"/>
      <c r="B469" s="1597"/>
      <c r="C469" s="1597"/>
      <c r="D469" s="1597"/>
      <c r="E469" s="1597"/>
      <c r="F469" s="1597"/>
      <c r="G469" s="1597"/>
      <c r="H469" s="1597"/>
      <c r="I469" s="1597"/>
      <c r="J469" s="1597"/>
      <c r="K469" s="1597"/>
      <c r="L469" s="1597"/>
      <c r="M469" s="1597"/>
      <c r="N469" s="1597"/>
      <c r="O469" s="1597"/>
      <c r="P469" s="1597"/>
      <c r="Q469" s="1597"/>
      <c r="R469" s="1597"/>
      <c r="S469" s="1597"/>
      <c r="T469" s="1597"/>
    </row>
    <row r="470" spans="1:20" ht="13.5" customHeight="1">
      <c r="A470" s="1597"/>
      <c r="B470" s="1597"/>
      <c r="C470" s="1597"/>
      <c r="D470" s="1597"/>
      <c r="E470" s="1597"/>
      <c r="F470" s="1597"/>
      <c r="G470" s="1597"/>
      <c r="H470" s="1597"/>
      <c r="I470" s="1597"/>
      <c r="J470" s="1597"/>
      <c r="K470" s="1597"/>
      <c r="L470" s="1597"/>
      <c r="M470" s="1597"/>
      <c r="N470" s="1597"/>
      <c r="O470" s="1597"/>
      <c r="P470" s="1597"/>
      <c r="Q470" s="1597"/>
      <c r="R470" s="1597"/>
      <c r="S470" s="1597"/>
      <c r="T470" s="1597"/>
    </row>
    <row r="471" spans="1:20" ht="13.5" customHeight="1">
      <c r="A471" s="1597"/>
      <c r="B471" s="1597"/>
      <c r="C471" s="1597"/>
      <c r="D471" s="1597"/>
      <c r="E471" s="1597"/>
      <c r="F471" s="1597"/>
      <c r="G471" s="1597"/>
      <c r="H471" s="1597"/>
      <c r="I471" s="1597"/>
      <c r="J471" s="1597"/>
      <c r="K471" s="1597"/>
      <c r="L471" s="1597"/>
      <c r="M471" s="1597"/>
      <c r="N471" s="1597"/>
      <c r="O471" s="1597"/>
      <c r="P471" s="1597"/>
      <c r="Q471" s="1597"/>
      <c r="R471" s="1597"/>
      <c r="S471" s="1597"/>
      <c r="T471" s="1597"/>
    </row>
    <row r="472" spans="1:20" ht="13.5" customHeight="1">
      <c r="A472" s="1597"/>
      <c r="B472" s="1597"/>
      <c r="C472" s="1597"/>
      <c r="D472" s="1597"/>
      <c r="E472" s="1597"/>
      <c r="F472" s="1597"/>
      <c r="G472" s="1597"/>
      <c r="H472" s="1597"/>
      <c r="I472" s="1597"/>
      <c r="J472" s="1597"/>
      <c r="K472" s="1597"/>
      <c r="L472" s="1597"/>
      <c r="M472" s="1597"/>
      <c r="N472" s="1597"/>
      <c r="O472" s="1597"/>
      <c r="P472" s="1597"/>
      <c r="Q472" s="1597"/>
      <c r="R472" s="1597"/>
      <c r="S472" s="1597"/>
      <c r="T472" s="1597"/>
    </row>
    <row r="473" spans="1:20" ht="13.5" customHeight="1">
      <c r="A473" s="1597"/>
      <c r="B473" s="1597"/>
      <c r="C473" s="1597"/>
      <c r="D473" s="1597"/>
      <c r="E473" s="1597"/>
      <c r="F473" s="1597"/>
      <c r="G473" s="1597"/>
      <c r="H473" s="1597"/>
      <c r="I473" s="1597"/>
      <c r="J473" s="1597"/>
      <c r="K473" s="1597"/>
      <c r="L473" s="1597"/>
      <c r="M473" s="1597"/>
      <c r="N473" s="1597"/>
      <c r="O473" s="1597"/>
      <c r="P473" s="1597"/>
      <c r="Q473" s="1597"/>
      <c r="R473" s="1597"/>
      <c r="S473" s="1597"/>
      <c r="T473" s="1597"/>
    </row>
    <row r="474" spans="1:20" ht="13.5" customHeight="1">
      <c r="A474" s="1597"/>
      <c r="B474" s="1597"/>
      <c r="C474" s="1597"/>
      <c r="D474" s="1597"/>
      <c r="E474" s="1597"/>
      <c r="F474" s="1597"/>
      <c r="G474" s="1597"/>
      <c r="H474" s="1597"/>
      <c r="I474" s="1597"/>
      <c r="J474" s="1597"/>
      <c r="K474" s="1597"/>
      <c r="L474" s="1597"/>
      <c r="M474" s="1597"/>
      <c r="N474" s="1597"/>
      <c r="O474" s="1597"/>
      <c r="P474" s="1597"/>
      <c r="Q474" s="1597"/>
      <c r="R474" s="1597"/>
      <c r="S474" s="1597"/>
      <c r="T474" s="1597"/>
    </row>
    <row r="475" spans="1:20" ht="13.5" customHeight="1">
      <c r="A475" s="1597"/>
      <c r="B475" s="1597"/>
      <c r="C475" s="1597"/>
      <c r="D475" s="1597"/>
      <c r="E475" s="1597"/>
      <c r="F475" s="1597"/>
      <c r="G475" s="1597"/>
      <c r="H475" s="1597"/>
      <c r="I475" s="1597"/>
      <c r="J475" s="1597"/>
      <c r="K475" s="1597"/>
      <c r="L475" s="1597"/>
      <c r="M475" s="1597"/>
      <c r="N475" s="1597"/>
      <c r="O475" s="1597"/>
      <c r="P475" s="1597"/>
      <c r="Q475" s="1597"/>
      <c r="R475" s="1597"/>
      <c r="S475" s="1597"/>
      <c r="T475" s="1597"/>
    </row>
    <row r="476" spans="1:20" ht="13.5" customHeight="1">
      <c r="A476" s="1597"/>
      <c r="B476" s="1597"/>
      <c r="C476" s="1597"/>
      <c r="D476" s="1597"/>
      <c r="E476" s="1597"/>
      <c r="F476" s="1597"/>
      <c r="G476" s="1597"/>
      <c r="H476" s="1597"/>
      <c r="I476" s="1597"/>
      <c r="J476" s="1597"/>
      <c r="K476" s="1597"/>
      <c r="L476" s="1597"/>
      <c r="M476" s="1597"/>
      <c r="N476" s="1597"/>
      <c r="O476" s="1597"/>
      <c r="P476" s="1597"/>
      <c r="Q476" s="1597"/>
      <c r="R476" s="1597"/>
      <c r="S476" s="1597"/>
      <c r="T476" s="1597"/>
    </row>
    <row r="477" spans="1:20" ht="13.5" customHeight="1">
      <c r="A477" s="1597"/>
      <c r="B477" s="1597"/>
      <c r="C477" s="1597"/>
      <c r="D477" s="1597"/>
      <c r="E477" s="1597"/>
      <c r="F477" s="1597"/>
      <c r="G477" s="1597"/>
      <c r="H477" s="1597"/>
      <c r="I477" s="1597"/>
      <c r="J477" s="1597"/>
      <c r="K477" s="1597"/>
      <c r="L477" s="1597"/>
      <c r="M477" s="1597"/>
      <c r="N477" s="1597"/>
      <c r="O477" s="1597"/>
      <c r="P477" s="1597"/>
      <c r="Q477" s="1597"/>
      <c r="R477" s="1597"/>
      <c r="S477" s="1597"/>
      <c r="T477" s="1597"/>
    </row>
    <row r="478" spans="1:20" ht="13.5" customHeight="1">
      <c r="A478" s="1597"/>
      <c r="B478" s="1597"/>
      <c r="C478" s="1597"/>
      <c r="D478" s="1597"/>
      <c r="E478" s="1597"/>
      <c r="F478" s="1597"/>
      <c r="G478" s="1597"/>
      <c r="H478" s="1597"/>
      <c r="I478" s="1597"/>
      <c r="J478" s="1597"/>
      <c r="K478" s="1597"/>
      <c r="L478" s="1597"/>
      <c r="M478" s="1597"/>
      <c r="N478" s="1597"/>
      <c r="O478" s="1597"/>
      <c r="P478" s="1597"/>
      <c r="Q478" s="1597"/>
      <c r="R478" s="1597"/>
      <c r="S478" s="1597"/>
      <c r="T478" s="1597"/>
    </row>
    <row r="479" spans="1:20" ht="13.5" customHeight="1">
      <c r="A479" s="1597"/>
      <c r="B479" s="1597"/>
      <c r="C479" s="1597"/>
      <c r="D479" s="1597"/>
      <c r="E479" s="1597"/>
      <c r="F479" s="1597"/>
      <c r="G479" s="1597"/>
      <c r="H479" s="1597"/>
      <c r="I479" s="1597"/>
      <c r="J479" s="1597"/>
      <c r="K479" s="1597"/>
      <c r="L479" s="1597"/>
      <c r="M479" s="1597"/>
      <c r="N479" s="1597"/>
      <c r="O479" s="1597"/>
      <c r="P479" s="1597"/>
      <c r="Q479" s="1597"/>
      <c r="R479" s="1597"/>
      <c r="S479" s="1597"/>
      <c r="T479" s="1597"/>
    </row>
    <row r="480" spans="1:20" ht="13.5" customHeight="1">
      <c r="A480" s="1597"/>
      <c r="B480" s="1597"/>
      <c r="C480" s="1597"/>
      <c r="D480" s="1597"/>
      <c r="E480" s="1597"/>
      <c r="F480" s="1597"/>
      <c r="G480" s="1597"/>
      <c r="H480" s="1597"/>
      <c r="I480" s="1597"/>
      <c r="J480" s="1597"/>
      <c r="K480" s="1597"/>
      <c r="L480" s="1597"/>
      <c r="M480" s="1597"/>
      <c r="N480" s="1597"/>
      <c r="O480" s="1597"/>
      <c r="P480" s="1597"/>
      <c r="Q480" s="1597"/>
      <c r="R480" s="1597"/>
      <c r="S480" s="1597"/>
      <c r="T480" s="1597"/>
    </row>
    <row r="481" spans="1:20" ht="13.5" customHeight="1">
      <c r="A481" s="1597"/>
      <c r="B481" s="1597"/>
      <c r="C481" s="1597"/>
      <c r="D481" s="1597"/>
      <c r="E481" s="1597"/>
      <c r="F481" s="1597"/>
      <c r="G481" s="1597"/>
      <c r="H481" s="1597"/>
      <c r="I481" s="1597"/>
      <c r="J481" s="1597"/>
      <c r="K481" s="1597"/>
      <c r="L481" s="1597"/>
      <c r="M481" s="1597"/>
      <c r="N481" s="1597"/>
      <c r="O481" s="1597"/>
      <c r="P481" s="1597"/>
      <c r="Q481" s="1597"/>
      <c r="R481" s="1597"/>
      <c r="S481" s="1597"/>
      <c r="T481" s="1597"/>
    </row>
    <row r="482" spans="1:20" ht="13.5" customHeight="1">
      <c r="A482" s="1597"/>
      <c r="B482" s="1597"/>
      <c r="C482" s="1597"/>
      <c r="D482" s="1597"/>
      <c r="E482" s="1597"/>
      <c r="F482" s="1597"/>
      <c r="G482" s="1597"/>
      <c r="H482" s="1597"/>
      <c r="I482" s="1597"/>
      <c r="J482" s="1597"/>
      <c r="K482" s="1597"/>
      <c r="L482" s="1597"/>
      <c r="M482" s="1597"/>
      <c r="N482" s="1597"/>
      <c r="O482" s="1597"/>
      <c r="P482" s="1597"/>
      <c r="Q482" s="1597"/>
      <c r="R482" s="1597"/>
      <c r="S482" s="1597"/>
      <c r="T482" s="1597"/>
    </row>
    <row r="483" spans="1:20" ht="13.5" customHeight="1">
      <c r="A483" s="1597"/>
      <c r="B483" s="1597"/>
      <c r="C483" s="1597"/>
      <c r="D483" s="1597"/>
      <c r="E483" s="1597"/>
      <c r="F483" s="1597"/>
      <c r="G483" s="1597"/>
      <c r="H483" s="1597"/>
      <c r="I483" s="1597"/>
      <c r="J483" s="1597"/>
      <c r="K483" s="1597"/>
      <c r="L483" s="1597"/>
      <c r="M483" s="1597"/>
      <c r="N483" s="1597"/>
      <c r="O483" s="1597"/>
      <c r="P483" s="1597"/>
      <c r="Q483" s="1597"/>
      <c r="R483" s="1597"/>
      <c r="S483" s="1597"/>
      <c r="T483" s="1597"/>
    </row>
    <row r="484" spans="1:20" ht="13.5" customHeight="1">
      <c r="A484" s="1597"/>
      <c r="B484" s="1597"/>
      <c r="C484" s="1597"/>
      <c r="D484" s="1597"/>
      <c r="E484" s="1597"/>
      <c r="F484" s="1597"/>
      <c r="G484" s="1597"/>
      <c r="H484" s="1597"/>
      <c r="I484" s="1597"/>
      <c r="J484" s="1597"/>
      <c r="K484" s="1597"/>
      <c r="L484" s="1597"/>
      <c r="M484" s="1597"/>
      <c r="N484" s="1597"/>
      <c r="O484" s="1597"/>
      <c r="P484" s="1597"/>
      <c r="Q484" s="1597"/>
      <c r="R484" s="1597"/>
      <c r="S484" s="1597"/>
      <c r="T484" s="1597"/>
    </row>
    <row r="485" spans="1:20" ht="13.5" customHeight="1">
      <c r="A485" s="1597"/>
      <c r="B485" s="1597"/>
      <c r="C485" s="1597"/>
      <c r="D485" s="1597"/>
      <c r="E485" s="1597"/>
      <c r="F485" s="1597"/>
      <c r="G485" s="1597"/>
      <c r="H485" s="1597"/>
      <c r="I485" s="1597"/>
      <c r="J485" s="1597"/>
      <c r="K485" s="1597"/>
      <c r="L485" s="1597"/>
      <c r="M485" s="1597"/>
      <c r="N485" s="1597"/>
      <c r="O485" s="1597"/>
      <c r="P485" s="1597"/>
      <c r="Q485" s="1597"/>
      <c r="R485" s="1597"/>
      <c r="S485" s="1597"/>
      <c r="T485" s="1597"/>
    </row>
    <row r="486" spans="1:20" ht="13.5" customHeight="1">
      <c r="A486" s="1597"/>
      <c r="B486" s="1597"/>
      <c r="C486" s="1597"/>
      <c r="D486" s="1597"/>
      <c r="E486" s="1597"/>
      <c r="F486" s="1597"/>
      <c r="G486" s="1597"/>
      <c r="H486" s="1597"/>
      <c r="I486" s="1597"/>
      <c r="J486" s="1597"/>
      <c r="K486" s="1597"/>
      <c r="L486" s="1597"/>
      <c r="M486" s="1597"/>
      <c r="N486" s="1597"/>
      <c r="O486" s="1597"/>
      <c r="P486" s="1597"/>
      <c r="Q486" s="1597"/>
      <c r="R486" s="1597"/>
      <c r="S486" s="1597"/>
      <c r="T486" s="1597"/>
    </row>
    <row r="487" spans="1:20" ht="13.5" customHeight="1">
      <c r="A487" s="1597"/>
      <c r="B487" s="1597"/>
      <c r="C487" s="1597"/>
      <c r="D487" s="1597"/>
      <c r="E487" s="1597"/>
      <c r="F487" s="1597"/>
      <c r="G487" s="1597"/>
      <c r="H487" s="1597"/>
      <c r="I487" s="1597"/>
      <c r="J487" s="1597"/>
      <c r="K487" s="1597"/>
      <c r="L487" s="1597"/>
      <c r="M487" s="1597"/>
      <c r="N487" s="1597"/>
      <c r="O487" s="1597"/>
      <c r="P487" s="1597"/>
      <c r="Q487" s="1597"/>
      <c r="R487" s="1597"/>
      <c r="S487" s="1597"/>
      <c r="T487" s="1597"/>
    </row>
    <row r="488" spans="1:20" ht="13.5" customHeight="1">
      <c r="A488" s="1597"/>
      <c r="B488" s="1597"/>
      <c r="C488" s="1597"/>
      <c r="D488" s="1597"/>
      <c r="E488" s="1597"/>
      <c r="F488" s="1597"/>
      <c r="G488" s="1597"/>
      <c r="H488" s="1597"/>
      <c r="I488" s="1597"/>
      <c r="J488" s="1597"/>
      <c r="K488" s="1597"/>
      <c r="L488" s="1597"/>
      <c r="M488" s="1597"/>
      <c r="N488" s="1597"/>
      <c r="O488" s="1597"/>
      <c r="P488" s="1597"/>
      <c r="Q488" s="1597"/>
      <c r="R488" s="1597"/>
      <c r="S488" s="1597"/>
      <c r="T488" s="1597"/>
    </row>
    <row r="489" spans="1:20" ht="13.5" customHeight="1">
      <c r="A489" s="1597"/>
      <c r="B489" s="1597"/>
      <c r="C489" s="1597"/>
      <c r="D489" s="1597"/>
      <c r="E489" s="1597"/>
      <c r="F489" s="1597"/>
      <c r="G489" s="1597"/>
      <c r="H489" s="1597"/>
      <c r="I489" s="1597"/>
      <c r="J489" s="1597"/>
      <c r="K489" s="1597"/>
      <c r="L489" s="1597"/>
      <c r="M489" s="1597"/>
      <c r="N489" s="1597"/>
      <c r="O489" s="1597"/>
      <c r="P489" s="1597"/>
      <c r="Q489" s="1597"/>
      <c r="R489" s="1597"/>
      <c r="S489" s="1597"/>
      <c r="T489" s="1597"/>
    </row>
    <row r="490" spans="1:20" ht="13.5" customHeight="1">
      <c r="A490" s="1597"/>
      <c r="B490" s="1597"/>
      <c r="C490" s="1597"/>
      <c r="D490" s="1597"/>
      <c r="E490" s="1597"/>
      <c r="F490" s="1597"/>
      <c r="G490" s="1597"/>
      <c r="H490" s="1597"/>
      <c r="I490" s="1597"/>
      <c r="J490" s="1597"/>
      <c r="K490" s="1597"/>
      <c r="L490" s="1597"/>
      <c r="M490" s="1597"/>
      <c r="N490" s="1597"/>
      <c r="O490" s="1597"/>
      <c r="P490" s="1597"/>
      <c r="Q490" s="1597"/>
      <c r="R490" s="1597"/>
      <c r="S490" s="1597"/>
      <c r="T490" s="1597"/>
    </row>
    <row r="491" spans="1:20" ht="13.5" customHeight="1">
      <c r="A491" s="1597"/>
      <c r="B491" s="1597"/>
      <c r="C491" s="1597"/>
      <c r="D491" s="1597"/>
      <c r="E491" s="1597"/>
      <c r="F491" s="1597"/>
      <c r="G491" s="1597"/>
      <c r="H491" s="1597"/>
      <c r="I491" s="1597"/>
      <c r="J491" s="1597"/>
      <c r="K491" s="1597"/>
      <c r="L491" s="1597"/>
      <c r="M491" s="1597"/>
      <c r="N491" s="1597"/>
      <c r="O491" s="1597"/>
      <c r="P491" s="1597"/>
      <c r="Q491" s="1597"/>
      <c r="R491" s="1597"/>
      <c r="S491" s="1597"/>
      <c r="T491" s="1597"/>
    </row>
    <row r="492" spans="1:20" ht="13.5" customHeight="1">
      <c r="A492" s="1597"/>
      <c r="B492" s="1597"/>
      <c r="C492" s="1597"/>
      <c r="D492" s="1597"/>
      <c r="E492" s="1597"/>
      <c r="F492" s="1597"/>
      <c r="G492" s="1597"/>
      <c r="H492" s="1597"/>
      <c r="I492" s="1597"/>
      <c r="J492" s="1597"/>
      <c r="K492" s="1597"/>
      <c r="L492" s="1597"/>
      <c r="M492" s="1597"/>
      <c r="N492" s="1597"/>
      <c r="O492" s="1597"/>
      <c r="P492" s="1597"/>
      <c r="Q492" s="1597"/>
      <c r="R492" s="1597"/>
      <c r="S492" s="1597"/>
      <c r="T492" s="1597"/>
    </row>
    <row r="493" spans="1:20" ht="13.5" customHeight="1">
      <c r="A493" s="1597"/>
      <c r="B493" s="1597"/>
      <c r="C493" s="1597"/>
      <c r="D493" s="1597"/>
      <c r="E493" s="1597"/>
      <c r="F493" s="1597"/>
      <c r="G493" s="1597"/>
      <c r="H493" s="1597"/>
      <c r="I493" s="1597"/>
      <c r="J493" s="1597"/>
      <c r="K493" s="1597"/>
      <c r="L493" s="1597"/>
      <c r="M493" s="1597"/>
      <c r="N493" s="1597"/>
      <c r="O493" s="1597"/>
      <c r="P493" s="1597"/>
      <c r="Q493" s="1597"/>
      <c r="R493" s="1597"/>
      <c r="S493" s="1597"/>
      <c r="T493" s="1597"/>
    </row>
    <row r="494" spans="1:20" ht="13.5" customHeight="1">
      <c r="A494" s="1597"/>
      <c r="B494" s="1597"/>
      <c r="C494" s="1597"/>
      <c r="D494" s="1597"/>
      <c r="E494" s="1597"/>
      <c r="F494" s="1597"/>
      <c r="G494" s="1597"/>
      <c r="H494" s="1597"/>
      <c r="I494" s="1597"/>
      <c r="J494" s="1597"/>
      <c r="K494" s="1597"/>
      <c r="L494" s="1597"/>
      <c r="M494" s="1597"/>
      <c r="N494" s="1597"/>
      <c r="O494" s="1597"/>
      <c r="P494" s="1597"/>
      <c r="Q494" s="1597"/>
      <c r="R494" s="1597"/>
      <c r="S494" s="1597"/>
      <c r="T494" s="1597"/>
    </row>
    <row r="495" spans="1:20" ht="13.5" customHeight="1">
      <c r="A495" s="1597"/>
      <c r="B495" s="1597"/>
      <c r="C495" s="1597"/>
      <c r="D495" s="1597"/>
      <c r="E495" s="1597"/>
      <c r="F495" s="1597"/>
      <c r="G495" s="1597"/>
      <c r="H495" s="1597"/>
      <c r="I495" s="1597"/>
      <c r="J495" s="1597"/>
      <c r="K495" s="1597"/>
      <c r="L495" s="1597"/>
      <c r="M495" s="1597"/>
      <c r="N495" s="1597"/>
      <c r="O495" s="1597"/>
      <c r="P495" s="1597"/>
      <c r="Q495" s="1597"/>
      <c r="R495" s="1597"/>
      <c r="S495" s="1597"/>
      <c r="T495" s="1597"/>
    </row>
    <row r="496" spans="1:20" ht="13.5" customHeight="1">
      <c r="A496" s="1597"/>
      <c r="B496" s="1597"/>
      <c r="C496" s="1597"/>
      <c r="D496" s="1597"/>
      <c r="E496" s="1597"/>
      <c r="F496" s="1597"/>
      <c r="G496" s="1597"/>
      <c r="H496" s="1597"/>
      <c r="I496" s="1597"/>
      <c r="J496" s="1597"/>
      <c r="K496" s="1597"/>
      <c r="L496" s="1597"/>
      <c r="M496" s="1597"/>
      <c r="N496" s="1597"/>
      <c r="O496" s="1597"/>
      <c r="P496" s="1597"/>
      <c r="Q496" s="1597"/>
      <c r="R496" s="1597"/>
      <c r="S496" s="1597"/>
      <c r="T496" s="1597"/>
    </row>
    <row r="497" spans="1:20" ht="13.5" customHeight="1">
      <c r="A497" s="1597"/>
      <c r="B497" s="1597"/>
      <c r="C497" s="1597"/>
      <c r="D497" s="1597"/>
      <c r="E497" s="1597"/>
      <c r="F497" s="1597"/>
      <c r="G497" s="1597"/>
      <c r="H497" s="1597"/>
      <c r="I497" s="1597"/>
      <c r="J497" s="1597"/>
      <c r="K497" s="1597"/>
      <c r="L497" s="1597"/>
      <c r="M497" s="1597"/>
      <c r="N497" s="1597"/>
      <c r="O497" s="1597"/>
      <c r="P497" s="1597"/>
      <c r="Q497" s="1597"/>
      <c r="R497" s="1597"/>
      <c r="S497" s="1597"/>
      <c r="T497" s="1597"/>
    </row>
    <row r="498" spans="1:20" ht="13.5" customHeight="1">
      <c r="A498" s="1597"/>
      <c r="B498" s="1597"/>
      <c r="C498" s="1597"/>
      <c r="D498" s="1597"/>
      <c r="E498" s="1597"/>
      <c r="F498" s="1597"/>
      <c r="G498" s="1597"/>
      <c r="H498" s="1597"/>
      <c r="I498" s="1597"/>
      <c r="J498" s="1597"/>
      <c r="K498" s="1597"/>
      <c r="L498" s="1597"/>
      <c r="M498" s="1597"/>
      <c r="N498" s="1597"/>
      <c r="O498" s="1597"/>
      <c r="P498" s="1597"/>
      <c r="Q498" s="1597"/>
      <c r="R498" s="1597"/>
      <c r="S498" s="1597"/>
      <c r="T498" s="1597"/>
    </row>
    <row r="499" spans="1:20" ht="13.5" customHeight="1">
      <c r="A499" s="1597"/>
      <c r="B499" s="1597"/>
      <c r="C499" s="1597"/>
      <c r="D499" s="1597"/>
      <c r="E499" s="1597"/>
      <c r="F499" s="1597"/>
      <c r="G499" s="1597"/>
      <c r="H499" s="1597"/>
      <c r="I499" s="1597"/>
      <c r="J499" s="1597"/>
      <c r="K499" s="1597"/>
      <c r="L499" s="1597"/>
      <c r="M499" s="1597"/>
      <c r="N499" s="1597"/>
      <c r="O499" s="1597"/>
      <c r="P499" s="1597"/>
      <c r="Q499" s="1597"/>
      <c r="R499" s="1597"/>
      <c r="S499" s="1597"/>
      <c r="T499" s="1597"/>
    </row>
    <row r="500" spans="1:20" ht="13.5" customHeight="1">
      <c r="A500" s="1597"/>
      <c r="B500" s="1597"/>
      <c r="C500" s="1597"/>
      <c r="D500" s="1597"/>
      <c r="E500" s="1597"/>
      <c r="F500" s="1597"/>
      <c r="G500" s="1597"/>
      <c r="H500" s="1597"/>
      <c r="I500" s="1597"/>
      <c r="J500" s="1597"/>
      <c r="K500" s="1597"/>
      <c r="L500" s="1597"/>
      <c r="M500" s="1597"/>
      <c r="N500" s="1597"/>
      <c r="O500" s="1597"/>
      <c r="P500" s="1597"/>
      <c r="Q500" s="1597"/>
      <c r="R500" s="1597"/>
      <c r="S500" s="1597"/>
      <c r="T500" s="1597"/>
    </row>
    <row r="501" spans="1:20" ht="13.5" customHeight="1">
      <c r="A501" s="1597"/>
      <c r="B501" s="1597"/>
      <c r="C501" s="1597"/>
      <c r="D501" s="1597"/>
      <c r="E501" s="1597"/>
      <c r="F501" s="1597"/>
      <c r="G501" s="1597"/>
      <c r="H501" s="1597"/>
      <c r="I501" s="1597"/>
      <c r="J501" s="1597"/>
      <c r="K501" s="1597"/>
      <c r="L501" s="1597"/>
      <c r="M501" s="1597"/>
      <c r="N501" s="1597"/>
      <c r="O501" s="1597"/>
      <c r="P501" s="1597"/>
      <c r="Q501" s="1597"/>
      <c r="R501" s="1597"/>
      <c r="S501" s="1597"/>
      <c r="T501" s="1597"/>
    </row>
    <row r="502" spans="1:20" ht="13.5" customHeight="1">
      <c r="A502" s="1597"/>
      <c r="B502" s="1597"/>
      <c r="C502" s="1597"/>
      <c r="D502" s="1597"/>
      <c r="E502" s="1597"/>
      <c r="F502" s="1597"/>
      <c r="G502" s="1597"/>
      <c r="H502" s="1597"/>
      <c r="I502" s="1597"/>
      <c r="J502" s="1597"/>
      <c r="K502" s="1597"/>
      <c r="L502" s="1597"/>
      <c r="M502" s="1597"/>
      <c r="N502" s="1597"/>
      <c r="O502" s="1597"/>
      <c r="P502" s="1597"/>
      <c r="Q502" s="1597"/>
      <c r="R502" s="1597"/>
      <c r="S502" s="1597"/>
      <c r="T502" s="1597"/>
    </row>
    <row r="503" spans="1:20" ht="13.5" customHeight="1">
      <c r="A503" s="1597"/>
      <c r="B503" s="1597"/>
      <c r="C503" s="1597"/>
      <c r="D503" s="1597"/>
      <c r="E503" s="1597"/>
      <c r="F503" s="1597"/>
      <c r="G503" s="1597"/>
      <c r="H503" s="1597"/>
      <c r="I503" s="1597"/>
      <c r="J503" s="1597"/>
      <c r="K503" s="1597"/>
      <c r="L503" s="1597"/>
      <c r="M503" s="1597"/>
      <c r="N503" s="1597"/>
      <c r="O503" s="1597"/>
      <c r="P503" s="1597"/>
      <c r="Q503" s="1597"/>
      <c r="R503" s="1597"/>
      <c r="S503" s="1597"/>
      <c r="T503" s="1597"/>
    </row>
    <row r="504" spans="1:20" ht="13.5" customHeight="1">
      <c r="A504" s="1597"/>
      <c r="B504" s="1597"/>
      <c r="C504" s="1597"/>
      <c r="D504" s="1597"/>
      <c r="E504" s="1597"/>
      <c r="F504" s="1597"/>
      <c r="G504" s="1597"/>
      <c r="H504" s="1597"/>
      <c r="I504" s="1597"/>
      <c r="J504" s="1597"/>
      <c r="K504" s="1597"/>
      <c r="L504" s="1597"/>
      <c r="M504" s="1597"/>
      <c r="N504" s="1597"/>
      <c r="O504" s="1597"/>
      <c r="P504" s="1597"/>
      <c r="Q504" s="1597"/>
      <c r="R504" s="1597"/>
      <c r="S504" s="1597"/>
      <c r="T504" s="1597"/>
    </row>
    <row r="505" spans="1:20" ht="13.5" customHeight="1">
      <c r="A505" s="1597"/>
      <c r="B505" s="1597"/>
      <c r="C505" s="1597"/>
      <c r="D505" s="1597"/>
      <c r="E505" s="1597"/>
      <c r="F505" s="1597"/>
      <c r="G505" s="1597"/>
      <c r="H505" s="1597"/>
      <c r="I505" s="1597"/>
      <c r="J505" s="1597"/>
      <c r="K505" s="1597"/>
      <c r="L505" s="1597"/>
      <c r="M505" s="1597"/>
      <c r="N505" s="1597"/>
      <c r="O505" s="1597"/>
      <c r="P505" s="1597"/>
      <c r="Q505" s="1597"/>
      <c r="R505" s="1597"/>
      <c r="S505" s="1597"/>
      <c r="T505" s="1597"/>
    </row>
    <row r="506" spans="1:20" ht="13.5" customHeight="1">
      <c r="A506" s="1597"/>
      <c r="B506" s="1597"/>
      <c r="C506" s="1597"/>
      <c r="D506" s="1597"/>
      <c r="E506" s="1597"/>
      <c r="F506" s="1597"/>
      <c r="G506" s="1597"/>
      <c r="H506" s="1597"/>
      <c r="I506" s="1597"/>
      <c r="J506" s="1597"/>
      <c r="K506" s="1597"/>
      <c r="L506" s="1597"/>
      <c r="M506" s="1597"/>
      <c r="N506" s="1597"/>
      <c r="O506" s="1597"/>
      <c r="P506" s="1597"/>
      <c r="Q506" s="1597"/>
      <c r="R506" s="1597"/>
      <c r="S506" s="1597"/>
      <c r="T506" s="1597"/>
    </row>
    <row r="507" spans="1:20" ht="13.5" customHeight="1">
      <c r="A507" s="1597"/>
      <c r="B507" s="1597"/>
      <c r="C507" s="1597"/>
      <c r="D507" s="1597"/>
      <c r="E507" s="1597"/>
      <c r="F507" s="1597"/>
      <c r="G507" s="1597"/>
      <c r="H507" s="1597"/>
      <c r="I507" s="1597"/>
      <c r="J507" s="1597"/>
      <c r="K507" s="1597"/>
      <c r="L507" s="1597"/>
      <c r="M507" s="1597"/>
      <c r="N507" s="1597"/>
      <c r="O507" s="1597"/>
      <c r="P507" s="1597"/>
      <c r="Q507" s="1597"/>
      <c r="R507" s="1597"/>
      <c r="S507" s="1597"/>
      <c r="T507" s="1597"/>
    </row>
    <row r="508" spans="1:20" ht="13.5" customHeight="1">
      <c r="A508" s="1597"/>
      <c r="B508" s="1597"/>
      <c r="C508" s="1597"/>
      <c r="D508" s="1597"/>
      <c r="E508" s="1597"/>
      <c r="F508" s="1597"/>
      <c r="G508" s="1597"/>
      <c r="H508" s="1597"/>
      <c r="I508" s="1597"/>
      <c r="J508" s="1597"/>
      <c r="K508" s="1597"/>
      <c r="L508" s="1597"/>
      <c r="M508" s="1597"/>
      <c r="N508" s="1597"/>
      <c r="O508" s="1597"/>
      <c r="P508" s="1597"/>
      <c r="Q508" s="1597"/>
      <c r="R508" s="1597"/>
      <c r="S508" s="1597"/>
      <c r="T508" s="1597"/>
    </row>
    <row r="509" spans="1:20" ht="13.5" customHeight="1">
      <c r="A509" s="1597"/>
      <c r="B509" s="1597"/>
      <c r="C509" s="1597"/>
      <c r="D509" s="1597"/>
      <c r="E509" s="1597"/>
      <c r="F509" s="1597"/>
      <c r="G509" s="1597"/>
      <c r="H509" s="1597"/>
      <c r="I509" s="1597"/>
      <c r="J509" s="1597"/>
      <c r="K509" s="1597"/>
      <c r="L509" s="1597"/>
      <c r="M509" s="1597"/>
      <c r="N509" s="1597"/>
      <c r="O509" s="1597"/>
      <c r="P509" s="1597"/>
      <c r="Q509" s="1597"/>
      <c r="R509" s="1597"/>
      <c r="S509" s="1597"/>
      <c r="T509" s="1597"/>
    </row>
    <row r="510" spans="1:20" ht="13.5" customHeight="1">
      <c r="A510" s="1597"/>
      <c r="B510" s="1597"/>
      <c r="C510" s="1597"/>
      <c r="D510" s="1597"/>
      <c r="E510" s="1597"/>
      <c r="F510" s="1597"/>
      <c r="G510" s="1597"/>
      <c r="H510" s="1597"/>
      <c r="I510" s="1597"/>
      <c r="J510" s="1597"/>
      <c r="K510" s="1597"/>
      <c r="L510" s="1597"/>
      <c r="M510" s="1597"/>
      <c r="N510" s="1597"/>
      <c r="O510" s="1597"/>
      <c r="P510" s="1597"/>
      <c r="Q510" s="1597"/>
      <c r="R510" s="1597"/>
      <c r="S510" s="1597"/>
      <c r="T510" s="1597"/>
    </row>
    <row r="511" spans="1:20" ht="13.5" customHeight="1">
      <c r="A511" s="1597"/>
      <c r="B511" s="1597"/>
      <c r="C511" s="1597"/>
      <c r="D511" s="1597"/>
      <c r="E511" s="1597"/>
      <c r="F511" s="1597"/>
      <c r="G511" s="1597"/>
      <c r="H511" s="1597"/>
      <c r="I511" s="1597"/>
      <c r="J511" s="1597"/>
      <c r="K511" s="1597"/>
      <c r="L511" s="1597"/>
      <c r="M511" s="1597"/>
      <c r="N511" s="1597"/>
      <c r="O511" s="1597"/>
      <c r="P511" s="1597"/>
      <c r="Q511" s="1597"/>
      <c r="R511" s="1597"/>
      <c r="S511" s="1597"/>
      <c r="T511" s="1597"/>
    </row>
    <row r="512" spans="1:20" ht="13.5" customHeight="1">
      <c r="A512" s="1597"/>
      <c r="B512" s="1597"/>
      <c r="C512" s="1597"/>
      <c r="D512" s="1597"/>
      <c r="E512" s="1597"/>
      <c r="F512" s="1597"/>
      <c r="G512" s="1597"/>
      <c r="H512" s="1597"/>
      <c r="I512" s="1597"/>
      <c r="J512" s="1597"/>
      <c r="K512" s="1597"/>
      <c r="L512" s="1597"/>
      <c r="M512" s="1597"/>
      <c r="N512" s="1597"/>
      <c r="O512" s="1597"/>
      <c r="P512" s="1597"/>
      <c r="Q512" s="1597"/>
      <c r="R512" s="1597"/>
      <c r="S512" s="1597"/>
      <c r="T512" s="1597"/>
    </row>
    <row r="513" spans="1:20" ht="13.5" customHeight="1">
      <c r="A513" s="1597"/>
      <c r="B513" s="1597"/>
      <c r="C513" s="1597"/>
      <c r="D513" s="1597"/>
      <c r="E513" s="1597"/>
      <c r="F513" s="1597"/>
      <c r="G513" s="1597"/>
      <c r="H513" s="1597"/>
      <c r="I513" s="1597"/>
      <c r="J513" s="1597"/>
      <c r="K513" s="1597"/>
      <c r="L513" s="1597"/>
      <c r="M513" s="1597"/>
      <c r="N513" s="1597"/>
      <c r="O513" s="1597"/>
      <c r="P513" s="1597"/>
      <c r="Q513" s="1597"/>
      <c r="R513" s="1597"/>
      <c r="S513" s="1597"/>
      <c r="T513" s="1597"/>
    </row>
    <row r="514" spans="1:20" ht="13.5" customHeight="1">
      <c r="A514" s="1597"/>
      <c r="B514" s="1597"/>
      <c r="C514" s="1597"/>
      <c r="D514" s="1597"/>
      <c r="E514" s="1597"/>
      <c r="F514" s="1597"/>
      <c r="G514" s="1597"/>
      <c r="H514" s="1597"/>
      <c r="I514" s="1597"/>
      <c r="J514" s="1597"/>
      <c r="K514" s="1597"/>
      <c r="L514" s="1597"/>
      <c r="M514" s="1597"/>
      <c r="N514" s="1597"/>
      <c r="O514" s="1597"/>
      <c r="P514" s="1597"/>
      <c r="Q514" s="1597"/>
      <c r="R514" s="1597"/>
      <c r="S514" s="1597"/>
      <c r="T514" s="1597"/>
    </row>
    <row r="515" spans="1:20" ht="13.5" customHeight="1">
      <c r="A515" s="1597"/>
      <c r="B515" s="1597"/>
      <c r="C515" s="1597"/>
      <c r="D515" s="1597"/>
      <c r="E515" s="1597"/>
      <c r="F515" s="1597"/>
      <c r="G515" s="1597"/>
      <c r="H515" s="1597"/>
      <c r="I515" s="1597"/>
      <c r="J515" s="1597"/>
      <c r="K515" s="1597"/>
      <c r="L515" s="1597"/>
      <c r="M515" s="1597"/>
      <c r="N515" s="1597"/>
      <c r="O515" s="1597"/>
      <c r="P515" s="1597"/>
      <c r="Q515" s="1597"/>
      <c r="R515" s="1597"/>
      <c r="S515" s="1597"/>
      <c r="T515" s="1597"/>
    </row>
    <row r="516" spans="1:20" ht="13.5" customHeight="1">
      <c r="A516" s="1597"/>
      <c r="B516" s="1597"/>
      <c r="C516" s="1597"/>
      <c r="D516" s="1597"/>
      <c r="E516" s="1597"/>
      <c r="F516" s="1597"/>
      <c r="G516" s="1597"/>
      <c r="H516" s="1597"/>
      <c r="I516" s="1597"/>
      <c r="J516" s="1597"/>
      <c r="K516" s="1597"/>
      <c r="L516" s="1597"/>
      <c r="M516" s="1597"/>
      <c r="N516" s="1597"/>
      <c r="O516" s="1597"/>
      <c r="P516" s="1597"/>
      <c r="Q516" s="1597"/>
      <c r="R516" s="1597"/>
      <c r="S516" s="1597"/>
      <c r="T516" s="1597"/>
    </row>
    <row r="517" spans="1:20" ht="13.5" customHeight="1">
      <c r="A517" s="1597"/>
      <c r="B517" s="1597"/>
      <c r="C517" s="1597"/>
      <c r="D517" s="1597"/>
      <c r="E517" s="1597"/>
      <c r="F517" s="1597"/>
      <c r="G517" s="1597"/>
      <c r="H517" s="1597"/>
      <c r="I517" s="1597"/>
      <c r="J517" s="1597"/>
      <c r="K517" s="1597"/>
      <c r="L517" s="1597"/>
      <c r="M517" s="1597"/>
      <c r="N517" s="1597"/>
      <c r="O517" s="1597"/>
      <c r="P517" s="1597"/>
      <c r="Q517" s="1597"/>
      <c r="R517" s="1597"/>
      <c r="S517" s="1597"/>
      <c r="T517" s="1597"/>
    </row>
    <row r="518" spans="1:20" ht="13.5" customHeight="1">
      <c r="A518" s="1597"/>
      <c r="B518" s="1597"/>
      <c r="C518" s="1597"/>
      <c r="D518" s="1597"/>
      <c r="E518" s="1597"/>
      <c r="F518" s="1597"/>
      <c r="G518" s="1597"/>
      <c r="H518" s="1597"/>
      <c r="I518" s="1597"/>
      <c r="J518" s="1597"/>
      <c r="K518" s="1597"/>
      <c r="L518" s="1597"/>
      <c r="M518" s="1597"/>
      <c r="N518" s="1597"/>
      <c r="O518" s="1597"/>
      <c r="P518" s="1597"/>
      <c r="Q518" s="1597"/>
      <c r="R518" s="1597"/>
      <c r="S518" s="1597"/>
      <c r="T518" s="1597"/>
    </row>
    <row r="519" spans="1:20" ht="13.5" customHeight="1">
      <c r="A519" s="1597"/>
      <c r="B519" s="1597"/>
      <c r="C519" s="1597"/>
      <c r="D519" s="1597"/>
      <c r="E519" s="1597"/>
      <c r="F519" s="1597"/>
      <c r="G519" s="1597"/>
      <c r="H519" s="1597"/>
      <c r="I519" s="1597"/>
      <c r="J519" s="1597"/>
      <c r="K519" s="1597"/>
      <c r="L519" s="1597"/>
      <c r="M519" s="1597"/>
      <c r="N519" s="1597"/>
      <c r="O519" s="1597"/>
      <c r="P519" s="1597"/>
      <c r="Q519" s="1597"/>
      <c r="R519" s="1597"/>
      <c r="S519" s="1597"/>
      <c r="T519" s="1597"/>
    </row>
    <row r="520" spans="1:20" ht="13.5" customHeight="1">
      <c r="A520" s="1597"/>
      <c r="B520" s="1597"/>
      <c r="C520" s="1597"/>
      <c r="D520" s="1597"/>
      <c r="E520" s="1597"/>
      <c r="F520" s="1597"/>
      <c r="G520" s="1597"/>
      <c r="H520" s="1597"/>
      <c r="I520" s="1597"/>
      <c r="J520" s="1597"/>
      <c r="K520" s="1597"/>
      <c r="L520" s="1597"/>
      <c r="M520" s="1597"/>
      <c r="N520" s="1597"/>
      <c r="O520" s="1597"/>
      <c r="P520" s="1597"/>
      <c r="Q520" s="1597"/>
      <c r="R520" s="1597"/>
      <c r="S520" s="1597"/>
      <c r="T520" s="1597"/>
    </row>
    <row r="521" spans="1:20" ht="13.5" customHeight="1">
      <c r="A521" s="1597"/>
      <c r="B521" s="1597"/>
      <c r="C521" s="1597"/>
      <c r="D521" s="1597"/>
      <c r="E521" s="1597"/>
      <c r="F521" s="1597"/>
      <c r="G521" s="1597"/>
      <c r="H521" s="1597"/>
      <c r="I521" s="1597"/>
      <c r="J521" s="1597"/>
      <c r="K521" s="1597"/>
      <c r="L521" s="1597"/>
      <c r="M521" s="1597"/>
      <c r="N521" s="1597"/>
      <c r="O521" s="1597"/>
      <c r="P521" s="1597"/>
      <c r="Q521" s="1597"/>
      <c r="R521" s="1597"/>
      <c r="S521" s="1597"/>
      <c r="T521" s="1597"/>
    </row>
    <row r="522" spans="1:20" ht="13.5" customHeight="1">
      <c r="A522" s="1597"/>
      <c r="B522" s="1597"/>
      <c r="C522" s="1597"/>
      <c r="D522" s="1597"/>
      <c r="E522" s="1597"/>
      <c r="F522" s="1597"/>
      <c r="G522" s="1597"/>
      <c r="H522" s="1597"/>
      <c r="I522" s="1597"/>
      <c r="J522" s="1597"/>
      <c r="K522" s="1597"/>
      <c r="L522" s="1597"/>
      <c r="M522" s="1597"/>
      <c r="N522" s="1597"/>
      <c r="O522" s="1597"/>
      <c r="P522" s="1597"/>
      <c r="Q522" s="1597"/>
      <c r="R522" s="1597"/>
      <c r="S522" s="1597"/>
      <c r="T522" s="1597"/>
    </row>
    <row r="523" spans="1:20" ht="13.5" customHeight="1">
      <c r="A523" s="1597"/>
      <c r="B523" s="1597"/>
      <c r="C523" s="1597"/>
      <c r="D523" s="1597"/>
      <c r="E523" s="1597"/>
      <c r="F523" s="1597"/>
      <c r="G523" s="1597"/>
      <c r="H523" s="1597"/>
      <c r="I523" s="1597"/>
      <c r="J523" s="1597"/>
      <c r="K523" s="1597"/>
      <c r="L523" s="1597"/>
      <c r="M523" s="1597"/>
      <c r="N523" s="1597"/>
      <c r="O523" s="1597"/>
      <c r="P523" s="1597"/>
      <c r="Q523" s="1597"/>
      <c r="R523" s="1597"/>
      <c r="S523" s="1597"/>
      <c r="T523" s="1597"/>
    </row>
    <row r="524" spans="1:20" ht="13.5" customHeight="1">
      <c r="A524" s="1597"/>
      <c r="B524" s="1597"/>
      <c r="C524" s="1597"/>
      <c r="D524" s="1597"/>
      <c r="E524" s="1597"/>
      <c r="F524" s="1597"/>
      <c r="G524" s="1597"/>
      <c r="H524" s="1597"/>
      <c r="I524" s="1597"/>
      <c r="J524" s="1597"/>
      <c r="K524" s="1597"/>
      <c r="L524" s="1597"/>
      <c r="M524" s="1597"/>
      <c r="N524" s="1597"/>
      <c r="O524" s="1597"/>
      <c r="P524" s="1597"/>
      <c r="Q524" s="1597"/>
      <c r="R524" s="1597"/>
      <c r="S524" s="1597"/>
      <c r="T524" s="1597"/>
    </row>
    <row r="525" spans="1:20" ht="13.5" customHeight="1">
      <c r="A525" s="1597"/>
      <c r="B525" s="1597"/>
      <c r="C525" s="1597"/>
      <c r="D525" s="1597"/>
      <c r="E525" s="1597"/>
      <c r="F525" s="1597"/>
      <c r="G525" s="1597"/>
      <c r="H525" s="1597"/>
      <c r="I525" s="1597"/>
      <c r="J525" s="1597"/>
      <c r="K525" s="1597"/>
      <c r="L525" s="1597"/>
      <c r="M525" s="1597"/>
      <c r="N525" s="1597"/>
      <c r="O525" s="1597"/>
      <c r="P525" s="1597"/>
      <c r="Q525" s="1597"/>
      <c r="R525" s="1597"/>
      <c r="S525" s="1597"/>
      <c r="T525" s="1597"/>
    </row>
    <row r="526" spans="1:20" ht="13.5" customHeight="1">
      <c r="A526" s="1597"/>
      <c r="B526" s="1597"/>
      <c r="C526" s="1597"/>
      <c r="D526" s="1597"/>
      <c r="E526" s="1597"/>
      <c r="F526" s="1597"/>
      <c r="G526" s="1597"/>
      <c r="H526" s="1597"/>
      <c r="I526" s="1597"/>
      <c r="J526" s="1597"/>
      <c r="K526" s="1597"/>
      <c r="L526" s="1597"/>
      <c r="M526" s="1597"/>
      <c r="N526" s="1597"/>
      <c r="O526" s="1597"/>
      <c r="P526" s="1597"/>
      <c r="Q526" s="1597"/>
      <c r="R526" s="1597"/>
      <c r="S526" s="1597"/>
      <c r="T526" s="1597"/>
    </row>
    <row r="527" spans="1:20" ht="13.5" customHeight="1">
      <c r="A527" s="1597"/>
      <c r="B527" s="1597"/>
      <c r="C527" s="1597"/>
      <c r="D527" s="1597"/>
      <c r="E527" s="1597"/>
      <c r="F527" s="1597"/>
      <c r="G527" s="1597"/>
      <c r="H527" s="1597"/>
      <c r="I527" s="1597"/>
      <c r="J527" s="1597"/>
      <c r="K527" s="1597"/>
      <c r="L527" s="1597"/>
      <c r="M527" s="1597"/>
      <c r="N527" s="1597"/>
      <c r="O527" s="1597"/>
      <c r="P527" s="1597"/>
      <c r="Q527" s="1597"/>
      <c r="R527" s="1597"/>
      <c r="S527" s="1597"/>
      <c r="T527" s="1597"/>
    </row>
    <row r="528" spans="1:20" ht="13.5" customHeight="1">
      <c r="A528" s="1597"/>
      <c r="B528" s="1597"/>
      <c r="C528" s="1597"/>
      <c r="D528" s="1597"/>
      <c r="E528" s="1597"/>
      <c r="F528" s="1597"/>
      <c r="G528" s="1597"/>
      <c r="H528" s="1597"/>
      <c r="I528" s="1597"/>
      <c r="J528" s="1597"/>
      <c r="K528" s="1597"/>
      <c r="L528" s="1597"/>
      <c r="M528" s="1597"/>
      <c r="N528" s="1597"/>
      <c r="O528" s="1597"/>
      <c r="P528" s="1597"/>
      <c r="Q528" s="1597"/>
      <c r="R528" s="1597"/>
      <c r="S528" s="1597"/>
      <c r="T528" s="1597"/>
    </row>
    <row r="529" spans="1:20" ht="13.5" customHeight="1">
      <c r="A529" s="1597"/>
      <c r="B529" s="1597"/>
      <c r="C529" s="1597"/>
      <c r="D529" s="1597"/>
      <c r="E529" s="1597"/>
      <c r="F529" s="1597"/>
      <c r="G529" s="1597"/>
      <c r="H529" s="1597"/>
      <c r="I529" s="1597"/>
      <c r="J529" s="1597"/>
      <c r="K529" s="1597"/>
      <c r="L529" s="1597"/>
      <c r="M529" s="1597"/>
      <c r="N529" s="1597"/>
      <c r="O529" s="1597"/>
      <c r="P529" s="1597"/>
      <c r="Q529" s="1597"/>
      <c r="R529" s="1597"/>
      <c r="S529" s="1597"/>
      <c r="T529" s="1597"/>
    </row>
    <row r="530" spans="1:20" ht="13.5" customHeight="1">
      <c r="A530" s="1597"/>
      <c r="B530" s="1597"/>
      <c r="C530" s="1597"/>
      <c r="D530" s="1597"/>
      <c r="E530" s="1597"/>
      <c r="F530" s="1597"/>
      <c r="G530" s="1597"/>
      <c r="H530" s="1597"/>
      <c r="I530" s="1597"/>
      <c r="J530" s="1597"/>
      <c r="K530" s="1597"/>
      <c r="L530" s="1597"/>
      <c r="M530" s="1597"/>
      <c r="N530" s="1597"/>
      <c r="O530" s="1597"/>
      <c r="P530" s="1597"/>
      <c r="Q530" s="1597"/>
      <c r="R530" s="1597"/>
      <c r="S530" s="1597"/>
      <c r="T530" s="1597"/>
    </row>
    <row r="531" spans="1:20" ht="13.5" customHeight="1">
      <c r="A531" s="1597"/>
      <c r="B531" s="1597"/>
      <c r="C531" s="1597"/>
      <c r="D531" s="1597"/>
      <c r="E531" s="1597"/>
      <c r="F531" s="1597"/>
      <c r="G531" s="1597"/>
      <c r="H531" s="1597"/>
      <c r="I531" s="1597"/>
      <c r="J531" s="1597"/>
      <c r="K531" s="1597"/>
      <c r="L531" s="1597"/>
      <c r="M531" s="1597"/>
      <c r="N531" s="1597"/>
      <c r="O531" s="1597"/>
      <c r="P531" s="1597"/>
      <c r="Q531" s="1597"/>
      <c r="R531" s="1597"/>
      <c r="S531" s="1597"/>
      <c r="T531" s="1597"/>
    </row>
    <row r="532" spans="1:20" ht="13.5" customHeight="1">
      <c r="A532" s="1597"/>
      <c r="B532" s="1597"/>
      <c r="C532" s="1597"/>
      <c r="D532" s="1597"/>
      <c r="E532" s="1597"/>
      <c r="F532" s="1597"/>
      <c r="G532" s="1597"/>
      <c r="H532" s="1597"/>
      <c r="I532" s="1597"/>
      <c r="J532" s="1597"/>
      <c r="K532" s="1597"/>
      <c r="L532" s="1597"/>
      <c r="M532" s="1597"/>
      <c r="N532" s="1597"/>
      <c r="O532" s="1597"/>
      <c r="P532" s="1597"/>
      <c r="Q532" s="1597"/>
      <c r="R532" s="1597"/>
      <c r="S532" s="1597"/>
      <c r="T532" s="1597"/>
    </row>
    <row r="533" spans="1:20" ht="13.5" customHeight="1">
      <c r="A533" s="1597"/>
      <c r="B533" s="1597"/>
      <c r="C533" s="1597"/>
      <c r="D533" s="1597"/>
      <c r="E533" s="1597"/>
      <c r="F533" s="1597"/>
      <c r="G533" s="1597"/>
      <c r="H533" s="1597"/>
      <c r="I533" s="1597"/>
      <c r="J533" s="1597"/>
      <c r="K533" s="1597"/>
      <c r="L533" s="1597"/>
      <c r="M533" s="1597"/>
      <c r="N533" s="1597"/>
      <c r="O533" s="1597"/>
      <c r="P533" s="1597"/>
      <c r="Q533" s="1597"/>
      <c r="R533" s="1597"/>
      <c r="S533" s="1597"/>
      <c r="T533" s="1597"/>
    </row>
    <row r="534" spans="1:20" ht="13.5" customHeight="1">
      <c r="A534" s="1597"/>
      <c r="B534" s="1597"/>
      <c r="C534" s="1597"/>
      <c r="D534" s="1597"/>
      <c r="E534" s="1597"/>
      <c r="F534" s="1597"/>
      <c r="G534" s="1597"/>
      <c r="H534" s="1597"/>
      <c r="I534" s="1597"/>
      <c r="J534" s="1597"/>
      <c r="K534" s="1597"/>
      <c r="L534" s="1597"/>
      <c r="M534" s="1597"/>
      <c r="N534" s="1597"/>
      <c r="O534" s="1597"/>
      <c r="P534" s="1597"/>
      <c r="Q534" s="1597"/>
      <c r="R534" s="1597"/>
      <c r="S534" s="1597"/>
      <c r="T534" s="1597"/>
    </row>
    <row r="535" spans="1:20" ht="13.5" customHeight="1">
      <c r="A535" s="1597"/>
      <c r="B535" s="1597"/>
      <c r="C535" s="1597"/>
      <c r="D535" s="1597"/>
      <c r="E535" s="1597"/>
      <c r="F535" s="1597"/>
      <c r="G535" s="1597"/>
      <c r="H535" s="1597"/>
      <c r="I535" s="1597"/>
      <c r="J535" s="1597"/>
      <c r="K535" s="1597"/>
      <c r="L535" s="1597"/>
      <c r="M535" s="1597"/>
      <c r="N535" s="1597"/>
      <c r="O535" s="1597"/>
      <c r="P535" s="1597"/>
      <c r="Q535" s="1597"/>
      <c r="R535" s="1597"/>
      <c r="S535" s="1597"/>
      <c r="T535" s="1597"/>
    </row>
    <row r="536" spans="1:20" ht="13.5" customHeight="1">
      <c r="A536" s="1597"/>
      <c r="B536" s="1597"/>
      <c r="C536" s="1597"/>
      <c r="D536" s="1597"/>
      <c r="E536" s="1597"/>
      <c r="F536" s="1597"/>
      <c r="G536" s="1597"/>
      <c r="H536" s="1597"/>
      <c r="I536" s="1597"/>
      <c r="J536" s="1597"/>
      <c r="K536" s="1597"/>
      <c r="L536" s="1597"/>
      <c r="M536" s="1597"/>
      <c r="N536" s="1597"/>
      <c r="O536" s="1597"/>
      <c r="P536" s="1597"/>
      <c r="Q536" s="1597"/>
      <c r="R536" s="1597"/>
      <c r="S536" s="1597"/>
      <c r="T536" s="1597"/>
    </row>
    <row r="537" spans="1:20" ht="13.5" customHeight="1">
      <c r="A537" s="1597"/>
      <c r="B537" s="1597"/>
      <c r="C537" s="1597"/>
      <c r="D537" s="1597"/>
      <c r="E537" s="1597"/>
      <c r="F537" s="1597"/>
      <c r="G537" s="1597"/>
      <c r="H537" s="1597"/>
      <c r="I537" s="1597"/>
      <c r="J537" s="1597"/>
      <c r="K537" s="1597"/>
      <c r="L537" s="1597"/>
      <c r="M537" s="1597"/>
      <c r="N537" s="1597"/>
      <c r="O537" s="1597"/>
      <c r="P537" s="1597"/>
      <c r="Q537" s="1597"/>
      <c r="R537" s="1597"/>
      <c r="S537" s="1597"/>
      <c r="T537" s="1597"/>
    </row>
    <row r="538" spans="1:20" ht="13.5" customHeight="1">
      <c r="A538" s="1597"/>
      <c r="B538" s="1597"/>
      <c r="C538" s="1597"/>
      <c r="D538" s="1597"/>
      <c r="E538" s="1597"/>
      <c r="F538" s="1597"/>
      <c r="G538" s="1597"/>
      <c r="H538" s="1597"/>
      <c r="I538" s="1597"/>
      <c r="J538" s="1597"/>
      <c r="K538" s="1597"/>
      <c r="L538" s="1597"/>
      <c r="M538" s="1597"/>
      <c r="N538" s="1597"/>
      <c r="O538" s="1597"/>
      <c r="P538" s="1597"/>
      <c r="Q538" s="1597"/>
      <c r="R538" s="1597"/>
      <c r="S538" s="1597"/>
      <c r="T538" s="1597"/>
    </row>
    <row r="539" spans="1:20" ht="13.5" customHeight="1">
      <c r="A539" s="1597"/>
      <c r="B539" s="1597"/>
      <c r="C539" s="1597"/>
      <c r="D539" s="1597"/>
      <c r="E539" s="1597"/>
      <c r="F539" s="1597"/>
      <c r="G539" s="1597"/>
      <c r="H539" s="1597"/>
      <c r="I539" s="1597"/>
      <c r="J539" s="1597"/>
      <c r="K539" s="1597"/>
      <c r="L539" s="1597"/>
      <c r="M539" s="1597"/>
      <c r="N539" s="1597"/>
      <c r="O539" s="1597"/>
      <c r="P539" s="1597"/>
      <c r="Q539" s="1597"/>
      <c r="R539" s="1597"/>
      <c r="S539" s="1597"/>
      <c r="T539" s="1597"/>
    </row>
    <row r="540" spans="1:20" ht="13.5" customHeight="1">
      <c r="A540" s="1597"/>
      <c r="B540" s="1597"/>
      <c r="C540" s="1597"/>
      <c r="D540" s="1597"/>
      <c r="E540" s="1597"/>
      <c r="F540" s="1597"/>
      <c r="G540" s="1597"/>
      <c r="H540" s="1597"/>
      <c r="I540" s="1597"/>
      <c r="J540" s="1597"/>
      <c r="K540" s="1597"/>
      <c r="L540" s="1597"/>
      <c r="M540" s="1597"/>
      <c r="N540" s="1597"/>
      <c r="O540" s="1597"/>
      <c r="P540" s="1597"/>
      <c r="Q540" s="1597"/>
      <c r="R540" s="1597"/>
      <c r="S540" s="1597"/>
      <c r="T540" s="1597"/>
    </row>
    <row r="541" spans="1:20" ht="13.5" customHeight="1">
      <c r="A541" s="1597"/>
      <c r="B541" s="1597"/>
      <c r="C541" s="1597"/>
      <c r="D541" s="1597"/>
      <c r="E541" s="1597"/>
      <c r="F541" s="1597"/>
      <c r="G541" s="1597"/>
      <c r="H541" s="1597"/>
      <c r="I541" s="1597"/>
      <c r="J541" s="1597"/>
      <c r="K541" s="1597"/>
      <c r="L541" s="1597"/>
      <c r="M541" s="1597"/>
      <c r="N541" s="1597"/>
      <c r="O541" s="1597"/>
      <c r="P541" s="1597"/>
      <c r="Q541" s="1597"/>
      <c r="R541" s="1597"/>
      <c r="S541" s="1597"/>
      <c r="T541" s="1597"/>
    </row>
    <row r="542" spans="1:20" ht="13.5" customHeight="1">
      <c r="A542" s="1597"/>
      <c r="B542" s="1597"/>
      <c r="C542" s="1597"/>
      <c r="D542" s="1597"/>
      <c r="E542" s="1597"/>
      <c r="F542" s="1597"/>
      <c r="G542" s="1597"/>
      <c r="H542" s="1597"/>
      <c r="I542" s="1597"/>
      <c r="J542" s="1597"/>
      <c r="K542" s="1597"/>
      <c r="L542" s="1597"/>
      <c r="M542" s="1597"/>
      <c r="N542" s="1597"/>
      <c r="O542" s="1597"/>
      <c r="P542" s="1597"/>
      <c r="Q542" s="1597"/>
      <c r="R542" s="1597"/>
      <c r="S542" s="1597"/>
      <c r="T542" s="1597"/>
    </row>
    <row r="543" spans="1:20" ht="13.5" customHeight="1">
      <c r="A543" s="1597"/>
      <c r="B543" s="1597"/>
      <c r="C543" s="1597"/>
      <c r="D543" s="1597"/>
      <c r="E543" s="1597"/>
      <c r="F543" s="1597"/>
      <c r="G543" s="1597"/>
      <c r="H543" s="1597"/>
      <c r="I543" s="1597"/>
      <c r="J543" s="1597"/>
      <c r="K543" s="1597"/>
      <c r="L543" s="1597"/>
      <c r="M543" s="1597"/>
      <c r="N543" s="1597"/>
      <c r="O543" s="1597"/>
      <c r="P543" s="1597"/>
      <c r="Q543" s="1597"/>
      <c r="R543" s="1597"/>
      <c r="S543" s="1597"/>
      <c r="T543" s="1597"/>
    </row>
    <row r="544" spans="1:20" ht="13.5" customHeight="1">
      <c r="A544" s="1597"/>
      <c r="B544" s="1597"/>
      <c r="C544" s="1597"/>
      <c r="D544" s="1597"/>
      <c r="E544" s="1597"/>
      <c r="F544" s="1597"/>
      <c r="G544" s="1597"/>
      <c r="H544" s="1597"/>
      <c r="I544" s="1597"/>
      <c r="J544" s="1597"/>
      <c r="K544" s="1597"/>
      <c r="L544" s="1597"/>
      <c r="M544" s="1597"/>
      <c r="N544" s="1597"/>
      <c r="O544" s="1597"/>
      <c r="P544" s="1597"/>
      <c r="Q544" s="1597"/>
      <c r="R544" s="1597"/>
      <c r="S544" s="1597"/>
      <c r="T544" s="1597"/>
    </row>
    <row r="545" spans="1:20" ht="13.5" customHeight="1">
      <c r="A545" s="1597"/>
      <c r="B545" s="1597"/>
      <c r="C545" s="1597"/>
      <c r="D545" s="1597"/>
      <c r="E545" s="1597"/>
      <c r="F545" s="1597"/>
      <c r="G545" s="1597"/>
      <c r="H545" s="1597"/>
      <c r="I545" s="1597"/>
      <c r="J545" s="1597"/>
      <c r="K545" s="1597"/>
      <c r="L545" s="1597"/>
      <c r="M545" s="1597"/>
      <c r="N545" s="1597"/>
      <c r="O545" s="1597"/>
      <c r="P545" s="1597"/>
      <c r="Q545" s="1597"/>
      <c r="R545" s="1597"/>
      <c r="S545" s="1597"/>
      <c r="T545" s="1597"/>
    </row>
    <row r="546" spans="1:20" ht="13.5" customHeight="1">
      <c r="A546" s="1597"/>
      <c r="B546" s="1597"/>
      <c r="C546" s="1597"/>
      <c r="D546" s="1597"/>
      <c r="E546" s="1597"/>
      <c r="F546" s="1597"/>
      <c r="G546" s="1597"/>
      <c r="H546" s="1597"/>
      <c r="I546" s="1597"/>
      <c r="J546" s="1597"/>
      <c r="K546" s="1597"/>
      <c r="L546" s="1597"/>
      <c r="M546" s="1597"/>
      <c r="N546" s="1597"/>
      <c r="O546" s="1597"/>
      <c r="P546" s="1597"/>
      <c r="Q546" s="1597"/>
      <c r="R546" s="1597"/>
      <c r="S546" s="1597"/>
      <c r="T546" s="1597"/>
    </row>
    <row r="547" spans="1:20" ht="13.5" customHeight="1">
      <c r="A547" s="1597"/>
      <c r="B547" s="1597"/>
      <c r="C547" s="1597"/>
      <c r="D547" s="1597"/>
      <c r="E547" s="1597"/>
      <c r="F547" s="1597"/>
      <c r="G547" s="1597"/>
      <c r="H547" s="1597"/>
      <c r="I547" s="1597"/>
      <c r="J547" s="1597"/>
      <c r="K547" s="1597"/>
      <c r="L547" s="1597"/>
      <c r="M547" s="1597"/>
      <c r="N547" s="1597"/>
      <c r="O547" s="1597"/>
      <c r="P547" s="1597"/>
      <c r="Q547" s="1597"/>
      <c r="R547" s="1597"/>
      <c r="S547" s="1597"/>
      <c r="T547" s="1597"/>
    </row>
    <row r="548" spans="1:20" ht="13.5" customHeight="1">
      <c r="A548" s="1597"/>
      <c r="B548" s="1597"/>
      <c r="C548" s="1597"/>
      <c r="D548" s="1597"/>
      <c r="E548" s="1597"/>
      <c r="F548" s="1597"/>
      <c r="G548" s="1597"/>
      <c r="H548" s="1597"/>
      <c r="I548" s="1597"/>
      <c r="J548" s="1597"/>
      <c r="K548" s="1597"/>
      <c r="L548" s="1597"/>
      <c r="M548" s="1597"/>
      <c r="N548" s="1597"/>
      <c r="O548" s="1597"/>
      <c r="P548" s="1597"/>
      <c r="Q548" s="1597"/>
      <c r="R548" s="1597"/>
      <c r="S548" s="1597"/>
      <c r="T548" s="1597"/>
    </row>
    <row r="549" spans="1:20" ht="13.5" customHeight="1">
      <c r="A549" s="1597"/>
      <c r="B549" s="1597"/>
      <c r="C549" s="1597"/>
      <c r="D549" s="1597"/>
      <c r="E549" s="1597"/>
      <c r="F549" s="1597"/>
      <c r="G549" s="1597"/>
      <c r="H549" s="1597"/>
      <c r="I549" s="1597"/>
      <c r="J549" s="1597"/>
      <c r="K549" s="1597"/>
      <c r="L549" s="1597"/>
      <c r="M549" s="1597"/>
      <c r="N549" s="1597"/>
      <c r="O549" s="1597"/>
      <c r="P549" s="1597"/>
      <c r="Q549" s="1597"/>
      <c r="R549" s="1597"/>
      <c r="S549" s="1597"/>
      <c r="T549" s="1597"/>
    </row>
    <row r="550" spans="1:20" ht="13.5" customHeight="1">
      <c r="A550" s="1597"/>
      <c r="B550" s="1597"/>
      <c r="C550" s="1597"/>
      <c r="D550" s="1597"/>
      <c r="E550" s="1597"/>
      <c r="F550" s="1597"/>
      <c r="G550" s="1597"/>
      <c r="H550" s="1597"/>
      <c r="I550" s="1597"/>
      <c r="J550" s="1597"/>
      <c r="K550" s="1597"/>
      <c r="L550" s="1597"/>
      <c r="M550" s="1597"/>
      <c r="N550" s="1597"/>
      <c r="O550" s="1597"/>
      <c r="P550" s="1597"/>
      <c r="Q550" s="1597"/>
      <c r="R550" s="1597"/>
      <c r="S550" s="1597"/>
      <c r="T550" s="1597"/>
    </row>
    <row r="551" spans="1:20" ht="13.5" customHeight="1">
      <c r="A551" s="1597"/>
      <c r="B551" s="1597"/>
      <c r="C551" s="1597"/>
      <c r="D551" s="1597"/>
      <c r="E551" s="1597"/>
      <c r="F551" s="1597"/>
      <c r="G551" s="1597"/>
      <c r="H551" s="1597"/>
      <c r="I551" s="1597"/>
      <c r="J551" s="1597"/>
      <c r="K551" s="1597"/>
      <c r="L551" s="1597"/>
      <c r="M551" s="1597"/>
      <c r="N551" s="1597"/>
      <c r="O551" s="1597"/>
      <c r="P551" s="1597"/>
      <c r="Q551" s="1597"/>
      <c r="R551" s="1597"/>
      <c r="S551" s="1597"/>
      <c r="T551" s="1597"/>
    </row>
    <row r="552" spans="1:20" ht="13.5" customHeight="1">
      <c r="A552" s="1597"/>
      <c r="B552" s="1597"/>
      <c r="C552" s="1597"/>
      <c r="D552" s="1597"/>
      <c r="E552" s="1597"/>
      <c r="F552" s="1597"/>
      <c r="G552" s="1597"/>
      <c r="H552" s="1597"/>
      <c r="I552" s="1597"/>
      <c r="J552" s="1597"/>
      <c r="K552" s="1597"/>
      <c r="L552" s="1597"/>
      <c r="M552" s="1597"/>
      <c r="N552" s="1597"/>
      <c r="O552" s="1597"/>
      <c r="P552" s="1597"/>
      <c r="Q552" s="1597"/>
      <c r="R552" s="1597"/>
      <c r="S552" s="1597"/>
      <c r="T552" s="1597"/>
    </row>
    <row r="553" spans="1:20" ht="13.5" customHeight="1">
      <c r="A553" s="1597"/>
      <c r="B553" s="1597"/>
      <c r="C553" s="1597"/>
      <c r="D553" s="1597"/>
      <c r="E553" s="1597"/>
      <c r="F553" s="1597"/>
      <c r="G553" s="1597"/>
      <c r="H553" s="1597"/>
      <c r="I553" s="1597"/>
      <c r="J553" s="1597"/>
      <c r="K553" s="1597"/>
      <c r="L553" s="1597"/>
      <c r="M553" s="1597"/>
      <c r="N553" s="1597"/>
      <c r="O553" s="1597"/>
      <c r="P553" s="1597"/>
      <c r="Q553" s="1597"/>
      <c r="R553" s="1597"/>
      <c r="S553" s="1597"/>
      <c r="T553" s="1597"/>
    </row>
    <row r="554" spans="1:20" ht="13.5" customHeight="1">
      <c r="A554" s="1597"/>
      <c r="B554" s="1597"/>
      <c r="C554" s="1597"/>
      <c r="D554" s="1597"/>
      <c r="E554" s="1597"/>
      <c r="F554" s="1597"/>
      <c r="G554" s="1597"/>
      <c r="H554" s="1597"/>
      <c r="I554" s="1597"/>
      <c r="J554" s="1597"/>
      <c r="K554" s="1597"/>
      <c r="L554" s="1597"/>
      <c r="M554" s="1597"/>
      <c r="N554" s="1597"/>
      <c r="O554" s="1597"/>
      <c r="P554" s="1597"/>
      <c r="Q554" s="1597"/>
      <c r="R554" s="1597"/>
      <c r="S554" s="1597"/>
      <c r="T554" s="1597"/>
    </row>
    <row r="555" spans="1:20" ht="13.5" customHeight="1">
      <c r="A555" s="1597"/>
      <c r="B555" s="1597"/>
      <c r="C555" s="1597"/>
      <c r="D555" s="1597"/>
      <c r="E555" s="1597"/>
      <c r="F555" s="1597"/>
      <c r="G555" s="1597"/>
      <c r="H555" s="1597"/>
      <c r="I555" s="1597"/>
      <c r="J555" s="1597"/>
      <c r="K555" s="1597"/>
      <c r="L555" s="1597"/>
      <c r="M555" s="1597"/>
      <c r="N555" s="1597"/>
      <c r="O555" s="1597"/>
      <c r="P555" s="1597"/>
      <c r="Q555" s="1597"/>
      <c r="R555" s="1597"/>
      <c r="S555" s="1597"/>
      <c r="T555" s="1597"/>
    </row>
    <row r="556" spans="1:20" ht="13.5" customHeight="1">
      <c r="A556" s="1597"/>
      <c r="B556" s="1597"/>
      <c r="C556" s="1597"/>
      <c r="D556" s="1597"/>
      <c r="E556" s="1597"/>
      <c r="F556" s="1597"/>
      <c r="G556" s="1597"/>
      <c r="H556" s="1597"/>
      <c r="I556" s="1597"/>
      <c r="J556" s="1597"/>
      <c r="K556" s="1597"/>
      <c r="L556" s="1597"/>
      <c r="M556" s="1597"/>
      <c r="N556" s="1597"/>
      <c r="O556" s="1597"/>
      <c r="P556" s="1597"/>
      <c r="Q556" s="1597"/>
      <c r="R556" s="1597"/>
      <c r="S556" s="1597"/>
      <c r="T556" s="1597"/>
    </row>
    <row r="557" spans="1:20" ht="13.5" customHeight="1">
      <c r="A557" s="1597"/>
      <c r="B557" s="1597"/>
      <c r="C557" s="1597"/>
      <c r="D557" s="1597"/>
      <c r="E557" s="1597"/>
      <c r="F557" s="1597"/>
      <c r="G557" s="1597"/>
      <c r="H557" s="1597"/>
      <c r="I557" s="1597"/>
      <c r="J557" s="1597"/>
      <c r="K557" s="1597"/>
      <c r="L557" s="1597"/>
      <c r="M557" s="1597"/>
      <c r="N557" s="1597"/>
      <c r="O557" s="1597"/>
      <c r="P557" s="1597"/>
      <c r="Q557" s="1597"/>
      <c r="R557" s="1597"/>
      <c r="S557" s="1597"/>
      <c r="T557" s="1597"/>
    </row>
    <row r="558" spans="1:20" ht="13.5" customHeight="1">
      <c r="A558" s="1597"/>
      <c r="B558" s="1597"/>
      <c r="C558" s="1597"/>
      <c r="D558" s="1597"/>
      <c r="E558" s="1597"/>
      <c r="F558" s="1597"/>
      <c r="G558" s="1597"/>
      <c r="H558" s="1597"/>
      <c r="I558" s="1597"/>
      <c r="J558" s="1597"/>
      <c r="K558" s="1597"/>
      <c r="L558" s="1597"/>
      <c r="M558" s="1597"/>
      <c r="N558" s="1597"/>
      <c r="O558" s="1597"/>
      <c r="P558" s="1597"/>
      <c r="Q558" s="1597"/>
      <c r="R558" s="1597"/>
      <c r="S558" s="1597"/>
      <c r="T558" s="1597"/>
    </row>
    <row r="559" spans="1:20" ht="13.5" customHeight="1">
      <c r="A559" s="1597"/>
      <c r="B559" s="1597"/>
      <c r="C559" s="1597"/>
      <c r="D559" s="1597"/>
      <c r="E559" s="1597"/>
      <c r="F559" s="1597"/>
      <c r="G559" s="1597"/>
      <c r="H559" s="1597"/>
      <c r="I559" s="1597"/>
      <c r="J559" s="1597"/>
      <c r="K559" s="1597"/>
      <c r="L559" s="1597"/>
      <c r="M559" s="1597"/>
      <c r="N559" s="1597"/>
      <c r="O559" s="1597"/>
      <c r="P559" s="1597"/>
      <c r="Q559" s="1597"/>
      <c r="R559" s="1597"/>
      <c r="S559" s="1597"/>
      <c r="T559" s="1597"/>
    </row>
    <row r="560" spans="1:20" ht="13.5" customHeight="1">
      <c r="A560" s="1597"/>
      <c r="B560" s="1597"/>
      <c r="C560" s="1597"/>
      <c r="D560" s="1597"/>
      <c r="E560" s="1597"/>
      <c r="F560" s="1597"/>
      <c r="G560" s="1597"/>
      <c r="H560" s="1597"/>
      <c r="I560" s="1597"/>
      <c r="J560" s="1597"/>
      <c r="K560" s="1597"/>
      <c r="L560" s="1597"/>
      <c r="M560" s="1597"/>
      <c r="N560" s="1597"/>
      <c r="O560" s="1597"/>
      <c r="P560" s="1597"/>
      <c r="Q560" s="1597"/>
      <c r="R560" s="1597"/>
      <c r="S560" s="1597"/>
      <c r="T560" s="1597"/>
    </row>
    <row r="561" spans="1:20" ht="13.5" customHeight="1">
      <c r="A561" s="1597"/>
      <c r="B561" s="1597"/>
      <c r="C561" s="1597"/>
      <c r="D561" s="1597"/>
      <c r="E561" s="1597"/>
      <c r="F561" s="1597"/>
      <c r="G561" s="1597"/>
      <c r="H561" s="1597"/>
      <c r="I561" s="1597"/>
      <c r="J561" s="1597"/>
      <c r="K561" s="1597"/>
      <c r="L561" s="1597"/>
      <c r="M561" s="1597"/>
      <c r="N561" s="1597"/>
      <c r="O561" s="1597"/>
      <c r="P561" s="1597"/>
      <c r="Q561" s="1597"/>
      <c r="R561" s="1597"/>
      <c r="S561" s="1597"/>
      <c r="T561" s="1597"/>
    </row>
    <row r="562" spans="1:20" ht="13.5" customHeight="1">
      <c r="A562" s="1597"/>
      <c r="B562" s="1597"/>
      <c r="C562" s="1597"/>
      <c r="D562" s="1597"/>
      <c r="E562" s="1597"/>
      <c r="F562" s="1597"/>
      <c r="G562" s="1597"/>
      <c r="H562" s="1597"/>
      <c r="I562" s="1597"/>
      <c r="J562" s="1597"/>
      <c r="K562" s="1597"/>
      <c r="L562" s="1597"/>
      <c r="M562" s="1597"/>
      <c r="N562" s="1597"/>
      <c r="O562" s="1597"/>
      <c r="P562" s="1597"/>
      <c r="Q562" s="1597"/>
      <c r="R562" s="1597"/>
      <c r="S562" s="1597"/>
      <c r="T562" s="1597"/>
    </row>
    <row r="563" spans="1:20" ht="13.5" customHeight="1">
      <c r="A563" s="1597"/>
      <c r="B563" s="1597"/>
      <c r="C563" s="1597"/>
      <c r="D563" s="1597"/>
      <c r="E563" s="1597"/>
      <c r="F563" s="1597"/>
      <c r="G563" s="1597"/>
      <c r="H563" s="1597"/>
      <c r="I563" s="1597"/>
      <c r="J563" s="1597"/>
      <c r="K563" s="1597"/>
      <c r="L563" s="1597"/>
      <c r="M563" s="1597"/>
      <c r="N563" s="1597"/>
      <c r="O563" s="1597"/>
      <c r="P563" s="1597"/>
      <c r="Q563" s="1597"/>
      <c r="R563" s="1597"/>
      <c r="S563" s="1597"/>
      <c r="T563" s="1597"/>
    </row>
    <row r="564" spans="1:20" ht="13.5" customHeight="1">
      <c r="A564" s="1597"/>
      <c r="B564" s="1597"/>
      <c r="C564" s="1597"/>
      <c r="D564" s="1597"/>
      <c r="E564" s="1597"/>
      <c r="F564" s="1597"/>
      <c r="G564" s="1597"/>
      <c r="H564" s="1597"/>
      <c r="I564" s="1597"/>
      <c r="J564" s="1597"/>
      <c r="K564" s="1597"/>
      <c r="L564" s="1597"/>
      <c r="M564" s="1597"/>
      <c r="N564" s="1597"/>
      <c r="O564" s="1597"/>
      <c r="P564" s="1597"/>
      <c r="Q564" s="1597"/>
      <c r="R564" s="1597"/>
      <c r="S564" s="1597"/>
      <c r="T564" s="1597"/>
    </row>
    <row r="565" spans="1:20" ht="13.5" customHeight="1">
      <c r="A565" s="1597"/>
      <c r="B565" s="1597"/>
      <c r="C565" s="1597"/>
      <c r="D565" s="1597"/>
      <c r="E565" s="1597"/>
      <c r="F565" s="1597"/>
      <c r="G565" s="1597"/>
      <c r="H565" s="1597"/>
      <c r="I565" s="1597"/>
      <c r="J565" s="1597"/>
      <c r="K565" s="1597"/>
      <c r="L565" s="1597"/>
      <c r="M565" s="1597"/>
      <c r="N565" s="1597"/>
      <c r="O565" s="1597"/>
      <c r="P565" s="1597"/>
      <c r="Q565" s="1597"/>
      <c r="R565" s="1597"/>
      <c r="S565" s="1597"/>
      <c r="T565" s="1597"/>
    </row>
    <row r="566" spans="1:20" ht="13.5" customHeight="1">
      <c r="A566" s="1597"/>
      <c r="B566" s="1597"/>
      <c r="C566" s="1597"/>
      <c r="D566" s="1597"/>
      <c r="E566" s="1597"/>
      <c r="F566" s="1597"/>
      <c r="G566" s="1597"/>
      <c r="H566" s="1597"/>
      <c r="I566" s="1597"/>
      <c r="J566" s="1597"/>
      <c r="K566" s="1597"/>
      <c r="L566" s="1597"/>
      <c r="M566" s="1597"/>
      <c r="N566" s="1597"/>
      <c r="O566" s="1597"/>
      <c r="P566" s="1597"/>
      <c r="Q566" s="1597"/>
      <c r="R566" s="1597"/>
      <c r="S566" s="1597"/>
      <c r="T566" s="1597"/>
    </row>
    <row r="567" spans="1:20" ht="13.5" customHeight="1">
      <c r="A567" s="1597"/>
      <c r="B567" s="1597"/>
      <c r="C567" s="1597"/>
      <c r="D567" s="1597"/>
      <c r="E567" s="1597"/>
      <c r="F567" s="1597"/>
      <c r="G567" s="1597"/>
      <c r="H567" s="1597"/>
      <c r="I567" s="1597"/>
      <c r="J567" s="1597"/>
      <c r="K567" s="1597"/>
      <c r="L567" s="1597"/>
      <c r="M567" s="1597"/>
      <c r="N567" s="1597"/>
      <c r="O567" s="1597"/>
      <c r="P567" s="1597"/>
      <c r="Q567" s="1597"/>
      <c r="R567" s="1597"/>
      <c r="S567" s="1597"/>
      <c r="T567" s="1597"/>
    </row>
    <row r="568" spans="1:20" ht="13.5" customHeight="1">
      <c r="A568" s="1597"/>
      <c r="B568" s="1597"/>
      <c r="C568" s="1597"/>
      <c r="D568" s="1597"/>
      <c r="E568" s="1597"/>
      <c r="F568" s="1597"/>
      <c r="G568" s="1597"/>
      <c r="H568" s="1597"/>
      <c r="I568" s="1597"/>
      <c r="J568" s="1597"/>
      <c r="K568" s="1597"/>
      <c r="L568" s="1597"/>
      <c r="M568" s="1597"/>
      <c r="N568" s="1597"/>
      <c r="O568" s="1597"/>
      <c r="P568" s="1597"/>
      <c r="Q568" s="1597"/>
      <c r="R568" s="1597"/>
      <c r="S568" s="1597"/>
      <c r="T568" s="1597"/>
    </row>
    <row r="569" spans="1:20" ht="13.5" customHeight="1">
      <c r="A569" s="1597"/>
      <c r="B569" s="1597"/>
      <c r="C569" s="1597"/>
      <c r="D569" s="1597"/>
      <c r="E569" s="1597"/>
      <c r="F569" s="1597"/>
      <c r="G569" s="1597"/>
      <c r="H569" s="1597"/>
      <c r="I569" s="1597"/>
      <c r="J569" s="1597"/>
      <c r="K569" s="1597"/>
      <c r="L569" s="1597"/>
      <c r="M569" s="1597"/>
      <c r="N569" s="1597"/>
      <c r="O569" s="1597"/>
      <c r="P569" s="1597"/>
      <c r="Q569" s="1597"/>
      <c r="R569" s="1597"/>
      <c r="S569" s="1597"/>
      <c r="T569" s="1597"/>
    </row>
    <row r="570" spans="1:20" ht="13.5" customHeight="1">
      <c r="A570" s="1597"/>
      <c r="B570" s="1597"/>
      <c r="C570" s="1597"/>
      <c r="D570" s="1597"/>
      <c r="E570" s="1597"/>
      <c r="F570" s="1597"/>
      <c r="G570" s="1597"/>
      <c r="H570" s="1597"/>
      <c r="I570" s="1597"/>
      <c r="J570" s="1597"/>
      <c r="K570" s="1597"/>
      <c r="L570" s="1597"/>
      <c r="M570" s="1597"/>
      <c r="N570" s="1597"/>
      <c r="O570" s="1597"/>
      <c r="P570" s="1597"/>
      <c r="Q570" s="1597"/>
      <c r="R570" s="1597"/>
      <c r="S570" s="1597"/>
      <c r="T570" s="1597"/>
    </row>
    <row r="571" spans="1:20" ht="13.5" customHeight="1">
      <c r="A571" s="1597"/>
      <c r="B571" s="1597"/>
      <c r="C571" s="1597"/>
      <c r="D571" s="1597"/>
      <c r="E571" s="1597"/>
      <c r="F571" s="1597"/>
      <c r="G571" s="1597"/>
      <c r="H571" s="1597"/>
      <c r="I571" s="1597"/>
      <c r="J571" s="1597"/>
      <c r="K571" s="1597"/>
      <c r="L571" s="1597"/>
      <c r="M571" s="1597"/>
      <c r="N571" s="1597"/>
      <c r="O571" s="1597"/>
      <c r="P571" s="1597"/>
      <c r="Q571" s="1597"/>
      <c r="R571" s="1597"/>
      <c r="S571" s="1597"/>
      <c r="T571" s="1597"/>
    </row>
    <row r="572" spans="1:20" ht="13.5" customHeight="1">
      <c r="A572" s="1597"/>
      <c r="B572" s="1597"/>
      <c r="C572" s="1597"/>
      <c r="D572" s="1597"/>
      <c r="E572" s="1597"/>
      <c r="F572" s="1597"/>
      <c r="G572" s="1597"/>
      <c r="H572" s="1597"/>
      <c r="I572" s="1597"/>
      <c r="J572" s="1597"/>
      <c r="K572" s="1597"/>
      <c r="L572" s="1597"/>
      <c r="M572" s="1597"/>
      <c r="N572" s="1597"/>
      <c r="O572" s="1597"/>
      <c r="P572" s="1597"/>
      <c r="Q572" s="1597"/>
      <c r="R572" s="1597"/>
      <c r="S572" s="1597"/>
      <c r="T572" s="1597"/>
    </row>
    <row r="573" spans="1:20" ht="13.5" customHeight="1">
      <c r="A573" s="1597"/>
      <c r="B573" s="1597"/>
      <c r="C573" s="1597"/>
      <c r="D573" s="1597"/>
      <c r="E573" s="1597"/>
      <c r="F573" s="1597"/>
      <c r="G573" s="1597"/>
      <c r="H573" s="1597"/>
      <c r="I573" s="1597"/>
      <c r="J573" s="1597"/>
      <c r="K573" s="1597"/>
      <c r="L573" s="1597"/>
      <c r="M573" s="1597"/>
      <c r="N573" s="1597"/>
      <c r="O573" s="1597"/>
      <c r="P573" s="1597"/>
      <c r="Q573" s="1597"/>
      <c r="R573" s="1597"/>
      <c r="S573" s="1597"/>
      <c r="T573" s="1597"/>
    </row>
    <row r="574" spans="1:20" ht="13.5" customHeight="1">
      <c r="A574" s="1597"/>
      <c r="B574" s="1597"/>
      <c r="C574" s="1597"/>
      <c r="D574" s="1597"/>
      <c r="E574" s="1597"/>
      <c r="F574" s="1597"/>
      <c r="G574" s="1597"/>
      <c r="H574" s="1597"/>
      <c r="I574" s="1597"/>
      <c r="J574" s="1597"/>
      <c r="K574" s="1597"/>
      <c r="L574" s="1597"/>
      <c r="M574" s="1597"/>
      <c r="N574" s="1597"/>
      <c r="O574" s="1597"/>
      <c r="P574" s="1597"/>
      <c r="Q574" s="1597"/>
      <c r="R574" s="1597"/>
      <c r="S574" s="1597"/>
      <c r="T574" s="1597"/>
    </row>
    <row r="575" spans="1:20" ht="13.5" customHeight="1">
      <c r="A575" s="1597"/>
      <c r="B575" s="1597"/>
      <c r="C575" s="1597"/>
      <c r="D575" s="1597"/>
      <c r="E575" s="1597"/>
      <c r="F575" s="1597"/>
      <c r="G575" s="1597"/>
      <c r="H575" s="1597"/>
      <c r="I575" s="1597"/>
      <c r="J575" s="1597"/>
      <c r="K575" s="1597"/>
      <c r="L575" s="1597"/>
      <c r="M575" s="1597"/>
      <c r="N575" s="1597"/>
      <c r="O575" s="1597"/>
      <c r="P575" s="1597"/>
      <c r="Q575" s="1597"/>
      <c r="R575" s="1597"/>
      <c r="S575" s="1597"/>
      <c r="T575" s="1597"/>
    </row>
    <row r="576" spans="1:20" ht="13.5" customHeight="1">
      <c r="A576" s="1597"/>
      <c r="B576" s="1597"/>
      <c r="C576" s="1597"/>
      <c r="D576" s="1597"/>
      <c r="E576" s="1597"/>
      <c r="F576" s="1597"/>
      <c r="G576" s="1597"/>
      <c r="H576" s="1597"/>
      <c r="I576" s="1597"/>
      <c r="J576" s="1597"/>
      <c r="K576" s="1597"/>
      <c r="L576" s="1597"/>
      <c r="M576" s="1597"/>
      <c r="N576" s="1597"/>
      <c r="O576" s="1597"/>
      <c r="P576" s="1597"/>
      <c r="Q576" s="1597"/>
      <c r="R576" s="1597"/>
      <c r="S576" s="1597"/>
      <c r="T576" s="1597"/>
    </row>
    <row r="577" spans="1:20" ht="13.5" customHeight="1">
      <c r="A577" s="1597"/>
      <c r="B577" s="1597"/>
      <c r="C577" s="1597"/>
      <c r="D577" s="1597"/>
      <c r="E577" s="1597"/>
      <c r="F577" s="1597"/>
      <c r="G577" s="1597"/>
      <c r="H577" s="1597"/>
      <c r="I577" s="1597"/>
      <c r="J577" s="1597"/>
      <c r="K577" s="1597"/>
      <c r="L577" s="1597"/>
      <c r="M577" s="1597"/>
      <c r="N577" s="1597"/>
      <c r="O577" s="1597"/>
      <c r="P577" s="1597"/>
      <c r="Q577" s="1597"/>
      <c r="R577" s="1597"/>
      <c r="S577" s="1597"/>
      <c r="T577" s="1597"/>
    </row>
    <row r="578" spans="1:20" ht="13.5" customHeight="1">
      <c r="A578" s="1597"/>
      <c r="B578" s="1597"/>
      <c r="C578" s="1597"/>
      <c r="D578" s="1597"/>
      <c r="E578" s="1597"/>
      <c r="F578" s="1597"/>
      <c r="G578" s="1597"/>
      <c r="H578" s="1597"/>
      <c r="I578" s="1597"/>
      <c r="J578" s="1597"/>
      <c r="K578" s="1597"/>
      <c r="L578" s="1597"/>
      <c r="M578" s="1597"/>
      <c r="N578" s="1597"/>
      <c r="O578" s="1597"/>
      <c r="P578" s="1597"/>
      <c r="Q578" s="1597"/>
      <c r="R578" s="1597"/>
      <c r="S578" s="1597"/>
      <c r="T578" s="1597"/>
    </row>
    <row r="579" spans="1:20" ht="13.5" customHeight="1">
      <c r="A579" s="1597"/>
      <c r="B579" s="1597"/>
      <c r="C579" s="1597"/>
      <c r="D579" s="1597"/>
      <c r="E579" s="1597"/>
      <c r="F579" s="1597"/>
      <c r="G579" s="1597"/>
      <c r="H579" s="1597"/>
      <c r="I579" s="1597"/>
      <c r="J579" s="1597"/>
      <c r="K579" s="1597"/>
      <c r="L579" s="1597"/>
      <c r="M579" s="1597"/>
      <c r="N579" s="1597"/>
      <c r="O579" s="1597"/>
      <c r="P579" s="1597"/>
      <c r="Q579" s="1597"/>
      <c r="R579" s="1597"/>
      <c r="S579" s="1597"/>
      <c r="T579" s="1597"/>
    </row>
    <row r="580" spans="1:20" ht="13.5" customHeight="1">
      <c r="A580" s="1597"/>
      <c r="B580" s="1597"/>
      <c r="C580" s="1597"/>
      <c r="D580" s="1597"/>
      <c r="E580" s="1597"/>
      <c r="F580" s="1597"/>
      <c r="G580" s="1597"/>
      <c r="H580" s="1597"/>
      <c r="I580" s="1597"/>
      <c r="J580" s="1597"/>
      <c r="K580" s="1597"/>
      <c r="L580" s="1597"/>
      <c r="M580" s="1597"/>
      <c r="N580" s="1597"/>
      <c r="O580" s="1597"/>
      <c r="P580" s="1597"/>
      <c r="Q580" s="1597"/>
      <c r="R580" s="1597"/>
      <c r="S580" s="1597"/>
      <c r="T580" s="1597"/>
    </row>
    <row r="581" spans="1:20" ht="13.5" customHeight="1">
      <c r="A581" s="1597"/>
      <c r="B581" s="1597"/>
      <c r="C581" s="1597"/>
      <c r="D581" s="1597"/>
      <c r="E581" s="1597"/>
      <c r="F581" s="1597"/>
      <c r="G581" s="1597"/>
      <c r="H581" s="1597"/>
      <c r="I581" s="1597"/>
      <c r="J581" s="1597"/>
      <c r="K581" s="1597"/>
      <c r="L581" s="1597"/>
      <c r="M581" s="1597"/>
      <c r="N581" s="1597"/>
      <c r="O581" s="1597"/>
      <c r="P581" s="1597"/>
      <c r="Q581" s="1597"/>
      <c r="R581" s="1597"/>
      <c r="S581" s="1597"/>
      <c r="T581" s="1597"/>
    </row>
    <row r="582" spans="1:20" ht="13.5" customHeight="1">
      <c r="A582" s="1597"/>
      <c r="B582" s="1597"/>
      <c r="C582" s="1597"/>
      <c r="D582" s="1597"/>
      <c r="E582" s="1597"/>
      <c r="F582" s="1597"/>
      <c r="G582" s="1597"/>
      <c r="H582" s="1597"/>
      <c r="I582" s="1597"/>
      <c r="J582" s="1597"/>
      <c r="K582" s="1597"/>
      <c r="L582" s="1597"/>
      <c r="M582" s="1597"/>
      <c r="N582" s="1597"/>
      <c r="O582" s="1597"/>
      <c r="P582" s="1597"/>
      <c r="Q582" s="1597"/>
      <c r="R582" s="1597"/>
      <c r="S582" s="1597"/>
      <c r="T582" s="1597"/>
    </row>
    <row r="583" spans="1:20" ht="13.5" customHeight="1">
      <c r="A583" s="1597"/>
      <c r="B583" s="1597"/>
      <c r="C583" s="1597"/>
      <c r="D583" s="1597"/>
      <c r="E583" s="1597"/>
      <c r="F583" s="1597"/>
      <c r="G583" s="1597"/>
      <c r="H583" s="1597"/>
      <c r="I583" s="1597"/>
      <c r="J583" s="1597"/>
      <c r="K583" s="1597"/>
      <c r="L583" s="1597"/>
      <c r="M583" s="1597"/>
      <c r="N583" s="1597"/>
      <c r="O583" s="1597"/>
      <c r="P583" s="1597"/>
      <c r="Q583" s="1597"/>
      <c r="R583" s="1597"/>
      <c r="S583" s="1597"/>
      <c r="T583" s="1597"/>
    </row>
    <row r="584" spans="1:20" ht="13.5" customHeight="1">
      <c r="A584" s="1597"/>
      <c r="B584" s="1597"/>
      <c r="C584" s="1597"/>
      <c r="D584" s="1597"/>
      <c r="E584" s="1597"/>
      <c r="F584" s="1597"/>
      <c r="G584" s="1597"/>
      <c r="H584" s="1597"/>
      <c r="I584" s="1597"/>
      <c r="J584" s="1597"/>
      <c r="K584" s="1597"/>
      <c r="L584" s="1597"/>
      <c r="M584" s="1597"/>
      <c r="N584" s="1597"/>
      <c r="O584" s="1597"/>
      <c r="P584" s="1597"/>
      <c r="Q584" s="1597"/>
      <c r="R584" s="1597"/>
      <c r="S584" s="1597"/>
      <c r="T584" s="1597"/>
    </row>
    <row r="585" spans="1:20" ht="13.5" customHeight="1">
      <c r="A585" s="1597"/>
      <c r="B585" s="1597"/>
      <c r="C585" s="1597"/>
      <c r="D585" s="1597"/>
      <c r="E585" s="1597"/>
      <c r="F585" s="1597"/>
      <c r="G585" s="1597"/>
      <c r="H585" s="1597"/>
      <c r="I585" s="1597"/>
      <c r="J585" s="1597"/>
      <c r="K585" s="1597"/>
      <c r="L585" s="1597"/>
      <c r="M585" s="1597"/>
      <c r="N585" s="1597"/>
      <c r="O585" s="1597"/>
      <c r="P585" s="1597"/>
      <c r="Q585" s="1597"/>
      <c r="R585" s="1597"/>
      <c r="S585" s="1597"/>
      <c r="T585" s="1597"/>
    </row>
    <row r="586" spans="1:20" ht="13.5" customHeight="1">
      <c r="A586" s="1597"/>
      <c r="B586" s="1597"/>
      <c r="C586" s="1597"/>
      <c r="D586" s="1597"/>
      <c r="E586" s="1597"/>
      <c r="F586" s="1597"/>
      <c r="G586" s="1597"/>
      <c r="H586" s="1597"/>
      <c r="I586" s="1597"/>
      <c r="J586" s="1597"/>
      <c r="K586" s="1597"/>
      <c r="L586" s="1597"/>
      <c r="M586" s="1597"/>
      <c r="N586" s="1597"/>
      <c r="O586" s="1597"/>
      <c r="P586" s="1597"/>
      <c r="Q586" s="1597"/>
      <c r="R586" s="1597"/>
      <c r="S586" s="1597"/>
      <c r="T586" s="1597"/>
    </row>
    <row r="587" spans="1:20" ht="13.5" customHeight="1">
      <c r="A587" s="1597"/>
      <c r="B587" s="1597"/>
      <c r="C587" s="1597"/>
      <c r="D587" s="1597"/>
      <c r="E587" s="1597"/>
      <c r="F587" s="1597"/>
      <c r="G587" s="1597"/>
      <c r="H587" s="1597"/>
      <c r="I587" s="1597"/>
      <c r="J587" s="1597"/>
      <c r="K587" s="1597"/>
      <c r="L587" s="1597"/>
      <c r="M587" s="1597"/>
      <c r="N587" s="1597"/>
      <c r="O587" s="1597"/>
      <c r="P587" s="1597"/>
      <c r="Q587" s="1597"/>
      <c r="R587" s="1597"/>
      <c r="S587" s="1597"/>
      <c r="T587" s="1597"/>
    </row>
    <row r="588" spans="1:20" ht="13.5" customHeight="1">
      <c r="A588" s="1597"/>
      <c r="B588" s="1597"/>
      <c r="C588" s="1597"/>
      <c r="D588" s="1597"/>
      <c r="E588" s="1597"/>
      <c r="F588" s="1597"/>
      <c r="G588" s="1597"/>
      <c r="H588" s="1597"/>
      <c r="I588" s="1597"/>
      <c r="J588" s="1597"/>
      <c r="K588" s="1597"/>
      <c r="L588" s="1597"/>
      <c r="M588" s="1597"/>
      <c r="N588" s="1597"/>
      <c r="O588" s="1597"/>
      <c r="P588" s="1597"/>
      <c r="Q588" s="1597"/>
      <c r="R588" s="1597"/>
      <c r="S588" s="1597"/>
      <c r="T588" s="1597"/>
    </row>
    <row r="589" spans="1:20" ht="13.5" customHeight="1">
      <c r="A589" s="1597"/>
      <c r="B589" s="1597"/>
      <c r="C589" s="1597"/>
      <c r="D589" s="1597"/>
      <c r="E589" s="1597"/>
      <c r="F589" s="1597"/>
      <c r="G589" s="1597"/>
      <c r="H589" s="1597"/>
      <c r="I589" s="1597"/>
      <c r="J589" s="1597"/>
      <c r="K589" s="1597"/>
      <c r="L589" s="1597"/>
      <c r="M589" s="1597"/>
      <c r="N589" s="1597"/>
      <c r="O589" s="1597"/>
      <c r="P589" s="1597"/>
      <c r="Q589" s="1597"/>
      <c r="R589" s="1597"/>
      <c r="S589" s="1597"/>
      <c r="T589" s="1597"/>
    </row>
    <row r="590" spans="1:20" ht="13.5" customHeight="1">
      <c r="A590" s="1597"/>
      <c r="B590" s="1597"/>
      <c r="C590" s="1597"/>
      <c r="D590" s="1597"/>
      <c r="E590" s="1597"/>
      <c r="F590" s="1597"/>
      <c r="G590" s="1597"/>
      <c r="H590" s="1597"/>
      <c r="I590" s="1597"/>
      <c r="J590" s="1597"/>
      <c r="K590" s="1597"/>
      <c r="L590" s="1597"/>
      <c r="M590" s="1597"/>
      <c r="N590" s="1597"/>
      <c r="O590" s="1597"/>
      <c r="P590" s="1597"/>
      <c r="Q590" s="1597"/>
      <c r="R590" s="1597"/>
      <c r="S590" s="1597"/>
      <c r="T590" s="1597"/>
    </row>
    <row r="591" spans="1:20" ht="13.5" customHeight="1">
      <c r="A591" s="1597"/>
      <c r="B591" s="1597"/>
      <c r="C591" s="1597"/>
      <c r="D591" s="1597"/>
      <c r="E591" s="1597"/>
      <c r="F591" s="1597"/>
      <c r="G591" s="1597"/>
      <c r="H591" s="1597"/>
      <c r="I591" s="1597"/>
      <c r="J591" s="1597"/>
      <c r="K591" s="1597"/>
      <c r="L591" s="1597"/>
      <c r="M591" s="1597"/>
      <c r="N591" s="1597"/>
      <c r="O591" s="1597"/>
      <c r="P591" s="1597"/>
      <c r="Q591" s="1597"/>
      <c r="R591" s="1597"/>
      <c r="S591" s="1597"/>
      <c r="T591" s="1597"/>
    </row>
    <row r="592" spans="1:20" ht="13.5" customHeight="1">
      <c r="A592" s="1597"/>
      <c r="B592" s="1597"/>
      <c r="C592" s="1597"/>
      <c r="D592" s="1597"/>
      <c r="E592" s="1597"/>
      <c r="F592" s="1597"/>
      <c r="G592" s="1597"/>
      <c r="H592" s="1597"/>
      <c r="I592" s="1597"/>
      <c r="J592" s="1597"/>
      <c r="K592" s="1597"/>
      <c r="L592" s="1597"/>
      <c r="M592" s="1597"/>
      <c r="N592" s="1597"/>
      <c r="O592" s="1597"/>
      <c r="P592" s="1597"/>
      <c r="Q592" s="1597"/>
      <c r="R592" s="1597"/>
      <c r="S592" s="1597"/>
      <c r="T592" s="1597"/>
    </row>
    <row r="593" spans="1:20" ht="13.5" customHeight="1">
      <c r="A593" s="1597"/>
      <c r="B593" s="1597"/>
      <c r="C593" s="1597"/>
      <c r="D593" s="1597"/>
      <c r="E593" s="1597"/>
      <c r="F593" s="1597"/>
      <c r="G593" s="1597"/>
      <c r="H593" s="1597"/>
      <c r="I593" s="1597"/>
      <c r="J593" s="1597"/>
      <c r="K593" s="1597"/>
      <c r="L593" s="1597"/>
      <c r="M593" s="1597"/>
      <c r="N593" s="1597"/>
      <c r="O593" s="1597"/>
      <c r="P593" s="1597"/>
      <c r="Q593" s="1597"/>
      <c r="R593" s="1597"/>
      <c r="S593" s="1597"/>
      <c r="T593" s="1597"/>
    </row>
    <row r="594" spans="1:20" ht="13.5" customHeight="1">
      <c r="A594" s="1597"/>
      <c r="B594" s="1597"/>
      <c r="C594" s="1597"/>
      <c r="D594" s="1597"/>
      <c r="E594" s="1597"/>
      <c r="F594" s="1597"/>
      <c r="G594" s="1597"/>
      <c r="H594" s="1597"/>
      <c r="I594" s="1597"/>
      <c r="J594" s="1597"/>
      <c r="K594" s="1597"/>
      <c r="L594" s="1597"/>
      <c r="M594" s="1597"/>
      <c r="N594" s="1597"/>
      <c r="O594" s="1597"/>
      <c r="P594" s="1597"/>
      <c r="Q594" s="1597"/>
      <c r="R594" s="1597"/>
      <c r="S594" s="1597"/>
      <c r="T594" s="1597"/>
    </row>
    <row r="595" spans="1:20" ht="13.5" customHeight="1">
      <c r="A595" s="1597"/>
      <c r="B595" s="1597"/>
      <c r="C595" s="1597"/>
      <c r="D595" s="1597"/>
      <c r="E595" s="1597"/>
      <c r="F595" s="1597"/>
      <c r="G595" s="1597"/>
      <c r="H595" s="1597"/>
      <c r="I595" s="1597"/>
      <c r="J595" s="1597"/>
      <c r="K595" s="1597"/>
      <c r="L595" s="1597"/>
      <c r="M595" s="1597"/>
      <c r="N595" s="1597"/>
      <c r="O595" s="1597"/>
      <c r="P595" s="1597"/>
      <c r="Q595" s="1597"/>
      <c r="R595" s="1597"/>
      <c r="S595" s="1597"/>
      <c r="T595" s="1597"/>
    </row>
    <row r="596" spans="1:20" ht="13.5" customHeight="1">
      <c r="A596" s="1597"/>
      <c r="B596" s="1597"/>
      <c r="C596" s="1597"/>
      <c r="D596" s="1597"/>
      <c r="E596" s="1597"/>
      <c r="F596" s="1597"/>
      <c r="G596" s="1597"/>
      <c r="H596" s="1597"/>
      <c r="I596" s="1597"/>
      <c r="J596" s="1597"/>
      <c r="K596" s="1597"/>
      <c r="L596" s="1597"/>
      <c r="M596" s="1597"/>
      <c r="N596" s="1597"/>
      <c r="O596" s="1597"/>
      <c r="P596" s="1597"/>
      <c r="Q596" s="1597"/>
      <c r="R596" s="1597"/>
      <c r="S596" s="1597"/>
      <c r="T596" s="1597"/>
    </row>
    <row r="597" spans="1:20" ht="13.5" customHeight="1">
      <c r="A597" s="1597"/>
      <c r="B597" s="1597"/>
      <c r="C597" s="1597"/>
      <c r="D597" s="1597"/>
      <c r="E597" s="1597"/>
      <c r="F597" s="1597"/>
      <c r="G597" s="1597"/>
      <c r="H597" s="1597"/>
      <c r="I597" s="1597"/>
      <c r="J597" s="1597"/>
      <c r="K597" s="1597"/>
      <c r="L597" s="1597"/>
      <c r="M597" s="1597"/>
      <c r="N597" s="1597"/>
      <c r="O597" s="1597"/>
      <c r="P597" s="1597"/>
      <c r="Q597" s="1597"/>
      <c r="R597" s="1597"/>
      <c r="S597" s="1597"/>
      <c r="T597" s="1597"/>
    </row>
    <row r="598" spans="1:20" ht="13.5" customHeight="1">
      <c r="A598" s="1597"/>
      <c r="B598" s="1597"/>
      <c r="C598" s="1597"/>
      <c r="D598" s="1597"/>
      <c r="E598" s="1597"/>
      <c r="F598" s="1597"/>
      <c r="G598" s="1597"/>
      <c r="H598" s="1597"/>
      <c r="I598" s="1597"/>
      <c r="J598" s="1597"/>
      <c r="K598" s="1597"/>
      <c r="L598" s="1597"/>
      <c r="M598" s="1597"/>
      <c r="N598" s="1597"/>
      <c r="O598" s="1597"/>
      <c r="P598" s="1597"/>
      <c r="Q598" s="1597"/>
      <c r="R598" s="1597"/>
      <c r="S598" s="1597"/>
      <c r="T598" s="1597"/>
    </row>
    <row r="599" spans="1:20" ht="13.5" customHeight="1">
      <c r="A599" s="1597"/>
      <c r="B599" s="1597"/>
      <c r="C599" s="1597"/>
      <c r="D599" s="1597"/>
      <c r="E599" s="1597"/>
      <c r="F599" s="1597"/>
      <c r="G599" s="1597"/>
      <c r="H599" s="1597"/>
      <c r="I599" s="1597"/>
      <c r="J599" s="1597"/>
      <c r="K599" s="1597"/>
      <c r="L599" s="1597"/>
      <c r="M599" s="1597"/>
      <c r="N599" s="1597"/>
      <c r="O599" s="1597"/>
      <c r="P599" s="1597"/>
      <c r="Q599" s="1597"/>
      <c r="R599" s="1597"/>
      <c r="S599" s="1597"/>
      <c r="T599" s="1597"/>
    </row>
    <row r="600" spans="1:20" ht="13.5" customHeight="1">
      <c r="A600" s="1597"/>
      <c r="B600" s="1597"/>
      <c r="C600" s="1597"/>
      <c r="D600" s="1597"/>
      <c r="E600" s="1597"/>
      <c r="F600" s="1597"/>
      <c r="G600" s="1597"/>
      <c r="H600" s="1597"/>
      <c r="I600" s="1597"/>
      <c r="J600" s="1597"/>
      <c r="K600" s="1597"/>
      <c r="L600" s="1597"/>
      <c r="M600" s="1597"/>
      <c r="N600" s="1597"/>
      <c r="O600" s="1597"/>
      <c r="P600" s="1597"/>
      <c r="Q600" s="1597"/>
      <c r="R600" s="1597"/>
      <c r="S600" s="1597"/>
      <c r="T600" s="1597"/>
    </row>
    <row r="601" spans="1:20" ht="13.5" customHeight="1">
      <c r="A601" s="1597"/>
      <c r="B601" s="1597"/>
      <c r="C601" s="1597"/>
      <c r="D601" s="1597"/>
      <c r="E601" s="1597"/>
      <c r="F601" s="1597"/>
      <c r="G601" s="1597"/>
      <c r="H601" s="1597"/>
      <c r="I601" s="1597"/>
      <c r="J601" s="1597"/>
      <c r="K601" s="1597"/>
      <c r="L601" s="1597"/>
      <c r="M601" s="1597"/>
      <c r="N601" s="1597"/>
      <c r="O601" s="1597"/>
      <c r="P601" s="1597"/>
      <c r="Q601" s="1597"/>
      <c r="R601" s="1597"/>
      <c r="S601" s="1597"/>
      <c r="T601" s="1597"/>
    </row>
    <row r="602" spans="1:20" ht="13.5" customHeight="1">
      <c r="A602" s="1597"/>
      <c r="B602" s="1597"/>
      <c r="C602" s="1597"/>
      <c r="D602" s="1597"/>
      <c r="E602" s="1597"/>
      <c r="F602" s="1597"/>
      <c r="G602" s="1597"/>
      <c r="H602" s="1597"/>
      <c r="I602" s="1597"/>
      <c r="J602" s="1597"/>
      <c r="K602" s="1597"/>
      <c r="L602" s="1597"/>
      <c r="M602" s="1597"/>
      <c r="N602" s="1597"/>
      <c r="O602" s="1597"/>
      <c r="P602" s="1597"/>
      <c r="Q602" s="1597"/>
      <c r="R602" s="1597"/>
      <c r="S602" s="1597"/>
      <c r="T602" s="1597"/>
    </row>
    <row r="603" spans="1:20" ht="13.5" customHeight="1">
      <c r="A603" s="1597"/>
      <c r="B603" s="1597"/>
      <c r="C603" s="1597"/>
      <c r="D603" s="1597"/>
      <c r="E603" s="1597"/>
      <c r="F603" s="1597"/>
      <c r="G603" s="1597"/>
      <c r="H603" s="1597"/>
      <c r="I603" s="1597"/>
      <c r="J603" s="1597"/>
      <c r="K603" s="1597"/>
      <c r="L603" s="1597"/>
      <c r="M603" s="1597"/>
      <c r="N603" s="1597"/>
      <c r="O603" s="1597"/>
      <c r="P603" s="1597"/>
      <c r="Q603" s="1597"/>
      <c r="R603" s="1597"/>
      <c r="S603" s="1597"/>
      <c r="T603" s="1597"/>
    </row>
    <row r="604" spans="1:20" ht="13.5" customHeight="1">
      <c r="A604" s="1597"/>
      <c r="B604" s="1597"/>
      <c r="C604" s="1597"/>
      <c r="D604" s="1597"/>
      <c r="E604" s="1597"/>
      <c r="F604" s="1597"/>
      <c r="G604" s="1597"/>
      <c r="H604" s="1597"/>
      <c r="I604" s="1597"/>
      <c r="J604" s="1597"/>
      <c r="K604" s="1597"/>
      <c r="L604" s="1597"/>
      <c r="M604" s="1597"/>
      <c r="N604" s="1597"/>
      <c r="O604" s="1597"/>
      <c r="P604" s="1597"/>
      <c r="Q604" s="1597"/>
      <c r="R604" s="1597"/>
      <c r="S604" s="1597"/>
      <c r="T604" s="1597"/>
    </row>
    <row r="605" spans="1:20" ht="13.5" customHeight="1">
      <c r="A605" s="1597"/>
      <c r="B605" s="1597"/>
      <c r="C605" s="1597"/>
      <c r="D605" s="1597"/>
      <c r="E605" s="1597"/>
      <c r="F605" s="1597"/>
      <c r="G605" s="1597"/>
      <c r="H605" s="1597"/>
      <c r="I605" s="1597"/>
      <c r="J605" s="1597"/>
      <c r="K605" s="1597"/>
      <c r="L605" s="1597"/>
      <c r="M605" s="1597"/>
      <c r="N605" s="1597"/>
      <c r="O605" s="1597"/>
      <c r="P605" s="1597"/>
      <c r="Q605" s="1597"/>
      <c r="R605" s="1597"/>
      <c r="S605" s="1597"/>
      <c r="T605" s="1597"/>
    </row>
    <row r="606" spans="1:20" ht="13.5" customHeight="1">
      <c r="A606" s="1597"/>
      <c r="B606" s="1597"/>
      <c r="C606" s="1597"/>
      <c r="D606" s="1597"/>
      <c r="E606" s="1597"/>
      <c r="F606" s="1597"/>
      <c r="G606" s="1597"/>
      <c r="H606" s="1597"/>
      <c r="I606" s="1597"/>
      <c r="J606" s="1597"/>
      <c r="K606" s="1597"/>
      <c r="L606" s="1597"/>
      <c r="M606" s="1597"/>
      <c r="N606" s="1597"/>
      <c r="O606" s="1597"/>
      <c r="P606" s="1597"/>
      <c r="Q606" s="1597"/>
      <c r="R606" s="1597"/>
      <c r="S606" s="1597"/>
      <c r="T606" s="1597"/>
    </row>
    <row r="607" spans="1:20" ht="13.5" customHeight="1">
      <c r="A607" s="1597"/>
      <c r="B607" s="1597"/>
      <c r="C607" s="1597"/>
      <c r="D607" s="1597"/>
      <c r="E607" s="1597"/>
      <c r="F607" s="1597"/>
      <c r="G607" s="1597"/>
      <c r="H607" s="1597"/>
      <c r="I607" s="1597"/>
      <c r="J607" s="1597"/>
      <c r="K607" s="1597"/>
      <c r="L607" s="1597"/>
      <c r="M607" s="1597"/>
      <c r="N607" s="1597"/>
      <c r="O607" s="1597"/>
      <c r="P607" s="1597"/>
      <c r="Q607" s="1597"/>
      <c r="R607" s="1597"/>
      <c r="S607" s="1597"/>
      <c r="T607" s="1597"/>
    </row>
    <row r="608" spans="1:20" ht="13.5" customHeight="1">
      <c r="A608" s="1597"/>
      <c r="B608" s="1597"/>
      <c r="C608" s="1597"/>
      <c r="D608" s="1597"/>
      <c r="E608" s="1597"/>
      <c r="F608" s="1597"/>
      <c r="G608" s="1597"/>
      <c r="H608" s="1597"/>
      <c r="I608" s="1597"/>
      <c r="J608" s="1597"/>
      <c r="K608" s="1597"/>
      <c r="L608" s="1597"/>
      <c r="M608" s="1597"/>
      <c r="N608" s="1597"/>
      <c r="O608" s="1597"/>
      <c r="P608" s="1597"/>
      <c r="Q608" s="1597"/>
      <c r="R608" s="1597"/>
      <c r="S608" s="1597"/>
      <c r="T608" s="1597"/>
    </row>
    <row r="609" spans="1:20" ht="13.5" customHeight="1">
      <c r="A609" s="1597"/>
      <c r="B609" s="1597"/>
      <c r="C609" s="1597"/>
      <c r="D609" s="1597"/>
      <c r="E609" s="1597"/>
      <c r="F609" s="1597"/>
      <c r="G609" s="1597"/>
      <c r="H609" s="1597"/>
      <c r="I609" s="1597"/>
      <c r="J609" s="1597"/>
      <c r="K609" s="1597"/>
      <c r="L609" s="1597"/>
      <c r="M609" s="1597"/>
      <c r="N609" s="1597"/>
      <c r="O609" s="1597"/>
      <c r="P609" s="1597"/>
      <c r="Q609" s="1597"/>
      <c r="R609" s="1597"/>
      <c r="S609" s="1597"/>
      <c r="T609" s="1597"/>
    </row>
    <row r="610" spans="1:20" ht="13.5" customHeight="1">
      <c r="A610" s="1597"/>
      <c r="B610" s="1597"/>
      <c r="C610" s="1597"/>
      <c r="D610" s="1597"/>
      <c r="E610" s="1597"/>
      <c r="F610" s="1597"/>
      <c r="G610" s="1597"/>
      <c r="H610" s="1597"/>
      <c r="I610" s="1597"/>
      <c r="J610" s="1597"/>
      <c r="K610" s="1597"/>
      <c r="L610" s="1597"/>
      <c r="M610" s="1597"/>
      <c r="N610" s="1597"/>
      <c r="O610" s="1597"/>
      <c r="P610" s="1597"/>
      <c r="Q610" s="1597"/>
      <c r="R610" s="1597"/>
      <c r="S610" s="1597"/>
      <c r="T610" s="1597"/>
    </row>
    <row r="611" spans="1:20" ht="13.5" customHeight="1">
      <c r="A611" s="1597"/>
      <c r="B611" s="1597"/>
      <c r="C611" s="1597"/>
      <c r="D611" s="1597"/>
      <c r="E611" s="1597"/>
      <c r="F611" s="1597"/>
      <c r="G611" s="1597"/>
      <c r="H611" s="1597"/>
      <c r="I611" s="1597"/>
      <c r="J611" s="1597"/>
      <c r="K611" s="1597"/>
      <c r="L611" s="1597"/>
      <c r="M611" s="1597"/>
      <c r="N611" s="1597"/>
      <c r="O611" s="1597"/>
      <c r="P611" s="1597"/>
      <c r="Q611" s="1597"/>
      <c r="R611" s="1597"/>
      <c r="S611" s="1597"/>
      <c r="T611" s="1597"/>
    </row>
    <row r="612" spans="1:20" ht="13.5" customHeight="1">
      <c r="A612" s="1597"/>
      <c r="B612" s="1597"/>
      <c r="C612" s="1597"/>
      <c r="D612" s="1597"/>
      <c r="E612" s="1597"/>
      <c r="F612" s="1597"/>
      <c r="G612" s="1597"/>
      <c r="H612" s="1597"/>
      <c r="I612" s="1597"/>
      <c r="J612" s="1597"/>
      <c r="K612" s="1597"/>
      <c r="L612" s="1597"/>
      <c r="M612" s="1597"/>
      <c r="N612" s="1597"/>
      <c r="O612" s="1597"/>
      <c r="P612" s="1597"/>
      <c r="Q612" s="1597"/>
      <c r="R612" s="1597"/>
      <c r="S612" s="1597"/>
      <c r="T612" s="1597"/>
    </row>
    <row r="613" spans="1:20" ht="13.5" customHeight="1">
      <c r="A613" s="1597"/>
      <c r="B613" s="1597"/>
      <c r="C613" s="1597"/>
      <c r="D613" s="1597"/>
      <c r="E613" s="1597"/>
      <c r="F613" s="1597"/>
      <c r="G613" s="1597"/>
      <c r="H613" s="1597"/>
      <c r="I613" s="1597"/>
      <c r="J613" s="1597"/>
      <c r="K613" s="1597"/>
      <c r="L613" s="1597"/>
      <c r="M613" s="1597"/>
      <c r="N613" s="1597"/>
      <c r="O613" s="1597"/>
      <c r="P613" s="1597"/>
      <c r="Q613" s="1597"/>
      <c r="R613" s="1597"/>
      <c r="S613" s="1597"/>
      <c r="T613" s="1597"/>
    </row>
    <row r="614" spans="1:20" ht="13.5" customHeight="1">
      <c r="A614" s="1597"/>
      <c r="B614" s="1597"/>
      <c r="C614" s="1597"/>
      <c r="D614" s="1597"/>
      <c r="E614" s="1597"/>
      <c r="F614" s="1597"/>
      <c r="G614" s="1597"/>
      <c r="H614" s="1597"/>
      <c r="I614" s="1597"/>
      <c r="J614" s="1597"/>
      <c r="K614" s="1597"/>
      <c r="L614" s="1597"/>
      <c r="M614" s="1597"/>
      <c r="N614" s="1597"/>
      <c r="O614" s="1597"/>
      <c r="P614" s="1597"/>
      <c r="Q614" s="1597"/>
      <c r="R614" s="1597"/>
      <c r="S614" s="1597"/>
      <c r="T614" s="1597"/>
    </row>
    <row r="615" spans="1:20" ht="13.5" customHeight="1">
      <c r="A615" s="1597"/>
      <c r="B615" s="1597"/>
      <c r="C615" s="1597"/>
      <c r="D615" s="1597"/>
      <c r="E615" s="1597"/>
      <c r="F615" s="1597"/>
      <c r="G615" s="1597"/>
      <c r="H615" s="1597"/>
      <c r="I615" s="1597"/>
      <c r="J615" s="1597"/>
      <c r="K615" s="1597"/>
      <c r="L615" s="1597"/>
      <c r="M615" s="1597"/>
      <c r="N615" s="1597"/>
      <c r="O615" s="1597"/>
      <c r="P615" s="1597"/>
      <c r="Q615" s="1597"/>
      <c r="R615" s="1597"/>
      <c r="S615" s="1597"/>
      <c r="T615" s="1597"/>
    </row>
    <row r="616" spans="1:20" ht="13.5" customHeight="1">
      <c r="A616" s="1597"/>
      <c r="B616" s="1597"/>
      <c r="C616" s="1597"/>
      <c r="D616" s="1597"/>
      <c r="E616" s="1597"/>
      <c r="F616" s="1597"/>
      <c r="G616" s="1597"/>
      <c r="H616" s="1597"/>
      <c r="I616" s="1597"/>
      <c r="J616" s="1597"/>
      <c r="K616" s="1597"/>
      <c r="L616" s="1597"/>
      <c r="M616" s="1597"/>
      <c r="N616" s="1597"/>
      <c r="O616" s="1597"/>
      <c r="P616" s="1597"/>
      <c r="Q616" s="1597"/>
      <c r="R616" s="1597"/>
      <c r="S616" s="1597"/>
      <c r="T616" s="1597"/>
    </row>
    <row r="617" spans="1:20" ht="13.5" customHeight="1">
      <c r="A617" s="1597"/>
      <c r="B617" s="1597"/>
      <c r="C617" s="1597"/>
      <c r="D617" s="1597"/>
      <c r="E617" s="1597"/>
      <c r="F617" s="1597"/>
      <c r="G617" s="1597"/>
      <c r="H617" s="1597"/>
      <c r="I617" s="1597"/>
      <c r="J617" s="1597"/>
      <c r="K617" s="1597"/>
      <c r="L617" s="1597"/>
      <c r="M617" s="1597"/>
      <c r="N617" s="1597"/>
      <c r="O617" s="1597"/>
      <c r="P617" s="1597"/>
      <c r="Q617" s="1597"/>
      <c r="R617" s="1597"/>
      <c r="S617" s="1597"/>
      <c r="T617" s="1597"/>
    </row>
    <row r="618" spans="1:20" ht="13.5" customHeight="1">
      <c r="A618" s="1597"/>
      <c r="B618" s="1597"/>
      <c r="C618" s="1597"/>
      <c r="D618" s="1597"/>
      <c r="E618" s="1597"/>
      <c r="F618" s="1597"/>
      <c r="G618" s="1597"/>
      <c r="H618" s="1597"/>
      <c r="I618" s="1597"/>
      <c r="J618" s="1597"/>
      <c r="K618" s="1597"/>
      <c r="L618" s="1597"/>
      <c r="M618" s="1597"/>
      <c r="N618" s="1597"/>
      <c r="O618" s="1597"/>
      <c r="P618" s="1597"/>
      <c r="Q618" s="1597"/>
      <c r="R618" s="1597"/>
      <c r="S618" s="1597"/>
      <c r="T618" s="1597"/>
    </row>
    <row r="619" spans="1:20" ht="13.5" customHeight="1">
      <c r="A619" s="1597"/>
      <c r="B619" s="1597"/>
      <c r="C619" s="1597"/>
      <c r="D619" s="1597"/>
      <c r="E619" s="1597"/>
      <c r="F619" s="1597"/>
      <c r="G619" s="1597"/>
      <c r="H619" s="1597"/>
      <c r="I619" s="1597"/>
      <c r="J619" s="1597"/>
      <c r="K619" s="1597"/>
      <c r="L619" s="1597"/>
      <c r="M619" s="1597"/>
      <c r="N619" s="1597"/>
      <c r="O619" s="1597"/>
      <c r="P619" s="1597"/>
      <c r="Q619" s="1597"/>
      <c r="R619" s="1597"/>
      <c r="S619" s="1597"/>
      <c r="T619" s="1597"/>
    </row>
    <row r="620" spans="1:20" ht="13.5" customHeight="1">
      <c r="A620" s="1597"/>
      <c r="B620" s="1597"/>
      <c r="C620" s="1597"/>
      <c r="D620" s="1597"/>
      <c r="E620" s="1597"/>
      <c r="F620" s="1597"/>
      <c r="G620" s="1597"/>
      <c r="H620" s="1597"/>
      <c r="I620" s="1597"/>
      <c r="J620" s="1597"/>
      <c r="K620" s="1597"/>
      <c r="L620" s="1597"/>
      <c r="M620" s="1597"/>
      <c r="N620" s="1597"/>
      <c r="O620" s="1597"/>
      <c r="P620" s="1597"/>
      <c r="Q620" s="1597"/>
      <c r="R620" s="1597"/>
      <c r="S620" s="1597"/>
      <c r="T620" s="1597"/>
    </row>
    <row r="621" spans="1:20" ht="13.5" customHeight="1">
      <c r="A621" s="1597"/>
      <c r="B621" s="1597"/>
      <c r="C621" s="1597"/>
      <c r="D621" s="1597"/>
      <c r="E621" s="1597"/>
      <c r="F621" s="1597"/>
      <c r="G621" s="1597"/>
      <c r="H621" s="1597"/>
      <c r="I621" s="1597"/>
      <c r="J621" s="1597"/>
      <c r="K621" s="1597"/>
      <c r="L621" s="1597"/>
      <c r="M621" s="1597"/>
      <c r="N621" s="1597"/>
      <c r="O621" s="1597"/>
      <c r="P621" s="1597"/>
      <c r="Q621" s="1597"/>
      <c r="R621" s="1597"/>
      <c r="S621" s="1597"/>
      <c r="T621" s="1597"/>
    </row>
    <row r="622" spans="1:20" ht="13.5" customHeight="1">
      <c r="A622" s="1597"/>
      <c r="B622" s="1597"/>
      <c r="C622" s="1597"/>
      <c r="D622" s="1597"/>
      <c r="E622" s="1597"/>
      <c r="F622" s="1597"/>
      <c r="G622" s="1597"/>
      <c r="H622" s="1597"/>
      <c r="I622" s="1597"/>
      <c r="J622" s="1597"/>
      <c r="K622" s="1597"/>
      <c r="L622" s="1597"/>
      <c r="M622" s="1597"/>
      <c r="N622" s="1597"/>
      <c r="O622" s="1597"/>
      <c r="P622" s="1597"/>
      <c r="Q622" s="1597"/>
      <c r="R622" s="1597"/>
      <c r="S622" s="1597"/>
      <c r="T622" s="1597"/>
    </row>
    <row r="623" spans="1:20" ht="13.5" customHeight="1">
      <c r="A623" s="1597"/>
      <c r="B623" s="1597"/>
      <c r="C623" s="1597"/>
      <c r="D623" s="1597"/>
      <c r="E623" s="1597"/>
      <c r="F623" s="1597"/>
      <c r="G623" s="1597"/>
      <c r="H623" s="1597"/>
      <c r="I623" s="1597"/>
      <c r="J623" s="1597"/>
      <c r="K623" s="1597"/>
      <c r="L623" s="1597"/>
      <c r="M623" s="1597"/>
      <c r="N623" s="1597"/>
      <c r="O623" s="1597"/>
      <c r="P623" s="1597"/>
      <c r="Q623" s="1597"/>
      <c r="R623" s="1597"/>
      <c r="S623" s="1597"/>
      <c r="T623" s="1597"/>
    </row>
    <row r="624" spans="1:20" ht="13.5" customHeight="1">
      <c r="A624" s="1597"/>
      <c r="B624" s="1597"/>
      <c r="C624" s="1597"/>
      <c r="D624" s="1597"/>
      <c r="E624" s="1597"/>
      <c r="F624" s="1597"/>
      <c r="G624" s="1597"/>
      <c r="H624" s="1597"/>
      <c r="I624" s="1597"/>
      <c r="J624" s="1597"/>
      <c r="K624" s="1597"/>
      <c r="L624" s="1597"/>
      <c r="M624" s="1597"/>
      <c r="N624" s="1597"/>
      <c r="O624" s="1597"/>
      <c r="P624" s="1597"/>
      <c r="Q624" s="1597"/>
      <c r="R624" s="1597"/>
      <c r="S624" s="1597"/>
      <c r="T624" s="1597"/>
    </row>
    <row r="625" spans="1:20" ht="13.5" customHeight="1">
      <c r="A625" s="1597"/>
      <c r="B625" s="1597"/>
      <c r="C625" s="1597"/>
      <c r="D625" s="1597"/>
      <c r="E625" s="1597"/>
      <c r="F625" s="1597"/>
      <c r="G625" s="1597"/>
      <c r="H625" s="1597"/>
      <c r="I625" s="1597"/>
      <c r="J625" s="1597"/>
      <c r="K625" s="1597"/>
      <c r="L625" s="1597"/>
      <c r="M625" s="1597"/>
      <c r="N625" s="1597"/>
      <c r="O625" s="1597"/>
      <c r="P625" s="1597"/>
      <c r="Q625" s="1597"/>
      <c r="R625" s="1597"/>
      <c r="S625" s="1597"/>
      <c r="T625" s="1597"/>
    </row>
    <row r="626" spans="1:20" ht="13.5" customHeight="1">
      <c r="A626" s="1597"/>
      <c r="B626" s="1597"/>
      <c r="C626" s="1597"/>
      <c r="D626" s="1597"/>
      <c r="E626" s="1597"/>
      <c r="F626" s="1597"/>
      <c r="G626" s="1597"/>
      <c r="H626" s="1597"/>
      <c r="I626" s="1597"/>
      <c r="J626" s="1597"/>
      <c r="K626" s="1597"/>
      <c r="L626" s="1597"/>
      <c r="M626" s="1597"/>
      <c r="N626" s="1597"/>
      <c r="O626" s="1597"/>
      <c r="P626" s="1597"/>
      <c r="Q626" s="1597"/>
      <c r="R626" s="1597"/>
      <c r="S626" s="1597"/>
      <c r="T626" s="1597"/>
    </row>
    <row r="627" spans="1:20" ht="13.5" customHeight="1">
      <c r="A627" s="1597"/>
      <c r="B627" s="1597"/>
      <c r="C627" s="1597"/>
      <c r="D627" s="1597"/>
      <c r="E627" s="1597"/>
      <c r="F627" s="1597"/>
      <c r="G627" s="1597"/>
      <c r="H627" s="1597"/>
      <c r="I627" s="1597"/>
      <c r="J627" s="1597"/>
      <c r="K627" s="1597"/>
      <c r="L627" s="1597"/>
      <c r="M627" s="1597"/>
      <c r="N627" s="1597"/>
      <c r="O627" s="1597"/>
      <c r="P627" s="1597"/>
      <c r="Q627" s="1597"/>
      <c r="R627" s="1597"/>
      <c r="S627" s="1597"/>
      <c r="T627" s="1597"/>
    </row>
    <row r="628" spans="1:20" ht="13.5" customHeight="1">
      <c r="A628" s="1597"/>
      <c r="B628" s="1597"/>
      <c r="C628" s="1597"/>
      <c r="D628" s="1597"/>
      <c r="E628" s="1597"/>
      <c r="F628" s="1597"/>
      <c r="G628" s="1597"/>
      <c r="H628" s="1597"/>
      <c r="I628" s="1597"/>
      <c r="J628" s="1597"/>
      <c r="K628" s="1597"/>
      <c r="L628" s="1597"/>
      <c r="M628" s="1597"/>
      <c r="N628" s="1597"/>
      <c r="O628" s="1597"/>
      <c r="P628" s="1597"/>
      <c r="Q628" s="1597"/>
      <c r="R628" s="1597"/>
      <c r="S628" s="1597"/>
      <c r="T628" s="1597"/>
    </row>
    <row r="629" spans="1:20" ht="13.5" customHeight="1">
      <c r="A629" s="1597"/>
      <c r="B629" s="1597"/>
      <c r="C629" s="1597"/>
      <c r="D629" s="1597"/>
      <c r="E629" s="1597"/>
      <c r="F629" s="1597"/>
      <c r="G629" s="1597"/>
      <c r="H629" s="1597"/>
      <c r="I629" s="1597"/>
      <c r="J629" s="1597"/>
      <c r="K629" s="1597"/>
      <c r="L629" s="1597"/>
      <c r="M629" s="1597"/>
      <c r="N629" s="1597"/>
      <c r="O629" s="1597"/>
      <c r="P629" s="1597"/>
      <c r="Q629" s="1597"/>
      <c r="R629" s="1597"/>
      <c r="S629" s="1597"/>
      <c r="T629" s="1597"/>
    </row>
    <row r="630" spans="1:20" ht="13.5" customHeight="1">
      <c r="A630" s="1597"/>
      <c r="B630" s="1597"/>
      <c r="C630" s="1597"/>
      <c r="D630" s="1597"/>
      <c r="E630" s="1597"/>
      <c r="F630" s="1597"/>
      <c r="G630" s="1597"/>
      <c r="H630" s="1597"/>
      <c r="I630" s="1597"/>
      <c r="J630" s="1597"/>
      <c r="K630" s="1597"/>
      <c r="L630" s="1597"/>
      <c r="M630" s="1597"/>
      <c r="N630" s="1597"/>
      <c r="O630" s="1597"/>
      <c r="P630" s="1597"/>
      <c r="Q630" s="1597"/>
      <c r="R630" s="1597"/>
      <c r="S630" s="1597"/>
      <c r="T630" s="1597"/>
    </row>
    <row r="631" spans="1:20" ht="13.5" customHeight="1">
      <c r="A631" s="1597"/>
      <c r="B631" s="1597"/>
      <c r="C631" s="1597"/>
      <c r="D631" s="1597"/>
      <c r="E631" s="1597"/>
      <c r="F631" s="1597"/>
      <c r="G631" s="1597"/>
      <c r="H631" s="1597"/>
      <c r="I631" s="1597"/>
      <c r="J631" s="1597"/>
      <c r="K631" s="1597"/>
      <c r="L631" s="1597"/>
      <c r="M631" s="1597"/>
      <c r="N631" s="1597"/>
      <c r="O631" s="1597"/>
      <c r="P631" s="1597"/>
      <c r="Q631" s="1597"/>
      <c r="R631" s="1597"/>
      <c r="S631" s="1597"/>
      <c r="T631" s="1597"/>
    </row>
    <row r="632" spans="1:20" ht="13.5" customHeight="1">
      <c r="A632" s="1597"/>
      <c r="B632" s="1597"/>
      <c r="C632" s="1597"/>
      <c r="D632" s="1597"/>
      <c r="E632" s="1597"/>
      <c r="F632" s="1597"/>
      <c r="G632" s="1597"/>
      <c r="H632" s="1597"/>
      <c r="I632" s="1597"/>
      <c r="J632" s="1597"/>
      <c r="K632" s="1597"/>
      <c r="L632" s="1597"/>
      <c r="M632" s="1597"/>
      <c r="N632" s="1597"/>
      <c r="O632" s="1597"/>
      <c r="P632" s="1597"/>
      <c r="Q632" s="1597"/>
      <c r="R632" s="1597"/>
      <c r="S632" s="1597"/>
      <c r="T632" s="1597"/>
    </row>
    <row r="633" spans="1:20" ht="13.5" customHeight="1">
      <c r="A633" s="1597"/>
      <c r="B633" s="1597"/>
      <c r="C633" s="1597"/>
      <c r="D633" s="1597"/>
      <c r="E633" s="1597"/>
      <c r="F633" s="1597"/>
      <c r="G633" s="1597"/>
      <c r="H633" s="1597"/>
      <c r="I633" s="1597"/>
      <c r="J633" s="1597"/>
      <c r="K633" s="1597"/>
      <c r="L633" s="1597"/>
      <c r="M633" s="1597"/>
      <c r="N633" s="1597"/>
      <c r="O633" s="1597"/>
      <c r="P633" s="1597"/>
      <c r="Q633" s="1597"/>
      <c r="R633" s="1597"/>
      <c r="S633" s="1597"/>
      <c r="T633" s="1597"/>
    </row>
    <row r="634" spans="1:20" ht="13.5" customHeight="1">
      <c r="A634" s="1597"/>
      <c r="B634" s="1597"/>
      <c r="C634" s="1597"/>
      <c r="D634" s="1597"/>
      <c r="E634" s="1597"/>
      <c r="F634" s="1597"/>
      <c r="G634" s="1597"/>
      <c r="H634" s="1597"/>
      <c r="I634" s="1597"/>
      <c r="J634" s="1597"/>
      <c r="K634" s="1597"/>
      <c r="L634" s="1597"/>
      <c r="M634" s="1597"/>
      <c r="N634" s="1597"/>
      <c r="O634" s="1597"/>
      <c r="P634" s="1597"/>
      <c r="Q634" s="1597"/>
      <c r="R634" s="1597"/>
      <c r="S634" s="1597"/>
      <c r="T634" s="1597"/>
    </row>
    <row r="635" spans="1:20" ht="13.5" customHeight="1">
      <c r="A635" s="1597"/>
      <c r="B635" s="1597"/>
      <c r="C635" s="1597"/>
      <c r="D635" s="1597"/>
      <c r="E635" s="1597"/>
      <c r="F635" s="1597"/>
      <c r="G635" s="1597"/>
      <c r="H635" s="1597"/>
      <c r="I635" s="1597"/>
      <c r="J635" s="1597"/>
      <c r="K635" s="1597"/>
      <c r="L635" s="1597"/>
      <c r="M635" s="1597"/>
      <c r="N635" s="1597"/>
      <c r="O635" s="1597"/>
      <c r="P635" s="1597"/>
      <c r="Q635" s="1597"/>
      <c r="R635" s="1597"/>
      <c r="S635" s="1597"/>
      <c r="T635" s="1597"/>
    </row>
    <row r="636" spans="1:20" ht="13.5" customHeight="1">
      <c r="A636" s="1597"/>
      <c r="B636" s="1597"/>
      <c r="C636" s="1597"/>
      <c r="D636" s="1597"/>
      <c r="E636" s="1597"/>
      <c r="F636" s="1597"/>
      <c r="G636" s="1597"/>
      <c r="H636" s="1597"/>
      <c r="I636" s="1597"/>
      <c r="J636" s="1597"/>
      <c r="K636" s="1597"/>
      <c r="L636" s="1597"/>
      <c r="M636" s="1597"/>
      <c r="N636" s="1597"/>
      <c r="O636" s="1597"/>
      <c r="P636" s="1597"/>
      <c r="Q636" s="1597"/>
      <c r="R636" s="1597"/>
      <c r="S636" s="1597"/>
      <c r="T636" s="1597"/>
    </row>
    <row r="637" spans="1:20" ht="13.5" customHeight="1">
      <c r="A637" s="1597"/>
      <c r="B637" s="1597"/>
      <c r="C637" s="1597"/>
      <c r="D637" s="1597"/>
      <c r="E637" s="1597"/>
      <c r="F637" s="1597"/>
      <c r="G637" s="1597"/>
      <c r="H637" s="1597"/>
      <c r="I637" s="1597"/>
      <c r="J637" s="1597"/>
      <c r="K637" s="1597"/>
      <c r="L637" s="1597"/>
      <c r="M637" s="1597"/>
      <c r="N637" s="1597"/>
      <c r="O637" s="1597"/>
      <c r="P637" s="1597"/>
      <c r="Q637" s="1597"/>
      <c r="R637" s="1597"/>
      <c r="S637" s="1597"/>
      <c r="T637" s="1597"/>
    </row>
    <row r="638" spans="1:20" ht="13.5" customHeight="1">
      <c r="A638" s="1597"/>
      <c r="B638" s="1597"/>
      <c r="C638" s="1597"/>
      <c r="D638" s="1597"/>
      <c r="E638" s="1597"/>
      <c r="F638" s="1597"/>
      <c r="G638" s="1597"/>
      <c r="H638" s="1597"/>
      <c r="I638" s="1597"/>
      <c r="J638" s="1597"/>
      <c r="K638" s="1597"/>
      <c r="L638" s="1597"/>
      <c r="M638" s="1597"/>
      <c r="N638" s="1597"/>
      <c r="O638" s="1597"/>
      <c r="P638" s="1597"/>
      <c r="Q638" s="1597"/>
      <c r="R638" s="1597"/>
      <c r="S638" s="1597"/>
      <c r="T638" s="1597"/>
    </row>
    <row r="639" spans="1:20" ht="13.5" customHeight="1">
      <c r="A639" s="1597"/>
      <c r="B639" s="1597"/>
      <c r="C639" s="1597"/>
      <c r="D639" s="1597"/>
      <c r="E639" s="1597"/>
      <c r="F639" s="1597"/>
      <c r="G639" s="1597"/>
      <c r="H639" s="1597"/>
      <c r="I639" s="1597"/>
      <c r="J639" s="1597"/>
      <c r="K639" s="1597"/>
      <c r="L639" s="1597"/>
      <c r="M639" s="1597"/>
      <c r="N639" s="1597"/>
      <c r="O639" s="1597"/>
      <c r="P639" s="1597"/>
      <c r="Q639" s="1597"/>
      <c r="R639" s="1597"/>
      <c r="S639" s="1597"/>
      <c r="T639" s="1597"/>
    </row>
    <row r="640" spans="1:20" ht="13.5" customHeight="1">
      <c r="A640" s="1597"/>
      <c r="B640" s="1597"/>
      <c r="C640" s="1597"/>
      <c r="D640" s="1597"/>
      <c r="E640" s="1597"/>
      <c r="F640" s="1597"/>
      <c r="G640" s="1597"/>
      <c r="H640" s="1597"/>
      <c r="I640" s="1597"/>
      <c r="J640" s="1597"/>
      <c r="K640" s="1597"/>
      <c r="L640" s="1597"/>
      <c r="M640" s="1597"/>
      <c r="N640" s="1597"/>
      <c r="O640" s="1597"/>
      <c r="P640" s="1597"/>
      <c r="Q640" s="1597"/>
      <c r="R640" s="1597"/>
      <c r="S640" s="1597"/>
      <c r="T640" s="1597"/>
    </row>
    <row r="641" spans="1:20" ht="13.5" customHeight="1">
      <c r="A641" s="1597"/>
      <c r="B641" s="1597"/>
      <c r="C641" s="1597"/>
      <c r="D641" s="1597"/>
      <c r="E641" s="1597"/>
      <c r="F641" s="1597"/>
      <c r="G641" s="1597"/>
      <c r="H641" s="1597"/>
      <c r="I641" s="1597"/>
      <c r="J641" s="1597"/>
      <c r="K641" s="1597"/>
      <c r="L641" s="1597"/>
      <c r="M641" s="1597"/>
      <c r="N641" s="1597"/>
      <c r="O641" s="1597"/>
      <c r="P641" s="1597"/>
      <c r="Q641" s="1597"/>
      <c r="R641" s="1597"/>
      <c r="S641" s="1597"/>
      <c r="T641" s="1597"/>
    </row>
    <row r="642" spans="1:20" ht="13.5" customHeight="1">
      <c r="A642" s="1597"/>
      <c r="B642" s="1597"/>
      <c r="C642" s="1597"/>
      <c r="D642" s="1597"/>
      <c r="E642" s="1597"/>
      <c r="F642" s="1597"/>
      <c r="G642" s="1597"/>
      <c r="H642" s="1597"/>
      <c r="I642" s="1597"/>
      <c r="J642" s="1597"/>
      <c r="K642" s="1597"/>
      <c r="L642" s="1597"/>
      <c r="M642" s="1597"/>
      <c r="N642" s="1597"/>
      <c r="O642" s="1597"/>
      <c r="P642" s="1597"/>
      <c r="Q642" s="1597"/>
      <c r="R642" s="1597"/>
      <c r="S642" s="1597"/>
      <c r="T642" s="1597"/>
    </row>
    <row r="643" spans="1:20" ht="13.5" customHeight="1">
      <c r="A643" s="1597"/>
      <c r="B643" s="1597"/>
      <c r="C643" s="1597"/>
      <c r="D643" s="1597"/>
      <c r="E643" s="1597"/>
      <c r="F643" s="1597"/>
      <c r="G643" s="1597"/>
      <c r="H643" s="1597"/>
      <c r="I643" s="1597"/>
      <c r="J643" s="1597"/>
      <c r="K643" s="1597"/>
      <c r="L643" s="1597"/>
      <c r="M643" s="1597"/>
      <c r="N643" s="1597"/>
      <c r="O643" s="1597"/>
      <c r="P643" s="1597"/>
      <c r="Q643" s="1597"/>
      <c r="R643" s="1597"/>
      <c r="S643" s="1597"/>
      <c r="T643" s="1597"/>
    </row>
    <row r="644" spans="1:20" ht="13.5" customHeight="1">
      <c r="A644" s="1597"/>
      <c r="B644" s="1597"/>
      <c r="C644" s="1597"/>
      <c r="D644" s="1597"/>
      <c r="E644" s="1597"/>
      <c r="F644" s="1597"/>
      <c r="G644" s="1597"/>
      <c r="H644" s="1597"/>
      <c r="I644" s="1597"/>
      <c r="J644" s="1597"/>
      <c r="K644" s="1597"/>
      <c r="L644" s="1597"/>
      <c r="M644" s="1597"/>
      <c r="N644" s="1597"/>
      <c r="O644" s="1597"/>
      <c r="P644" s="1597"/>
      <c r="Q644" s="1597"/>
      <c r="R644" s="1597"/>
      <c r="S644" s="1597"/>
      <c r="T644" s="1597"/>
    </row>
    <row r="645" spans="1:20" ht="13.5" customHeight="1">
      <c r="A645" s="1597"/>
      <c r="B645" s="1597"/>
      <c r="C645" s="1597"/>
      <c r="D645" s="1597"/>
      <c r="E645" s="1597"/>
      <c r="F645" s="1597"/>
      <c r="G645" s="1597"/>
      <c r="H645" s="1597"/>
      <c r="I645" s="1597"/>
      <c r="J645" s="1597"/>
      <c r="K645" s="1597"/>
      <c r="L645" s="1597"/>
      <c r="M645" s="1597"/>
      <c r="N645" s="1597"/>
      <c r="O645" s="1597"/>
      <c r="P645" s="1597"/>
      <c r="Q645" s="1597"/>
      <c r="R645" s="1597"/>
      <c r="S645" s="1597"/>
      <c r="T645" s="1597"/>
    </row>
    <row r="646" spans="1:20" ht="13.5" customHeight="1">
      <c r="A646" s="1597"/>
      <c r="B646" s="1597"/>
      <c r="C646" s="1597"/>
      <c r="D646" s="1597"/>
      <c r="E646" s="1597"/>
      <c r="F646" s="1597"/>
      <c r="G646" s="1597"/>
      <c r="H646" s="1597"/>
      <c r="I646" s="1597"/>
      <c r="J646" s="1597"/>
      <c r="K646" s="1597"/>
      <c r="L646" s="1597"/>
      <c r="M646" s="1597"/>
      <c r="N646" s="1597"/>
      <c r="O646" s="1597"/>
      <c r="P646" s="1597"/>
      <c r="Q646" s="1597"/>
      <c r="R646" s="1597"/>
      <c r="S646" s="1597"/>
      <c r="T646" s="1597"/>
    </row>
    <row r="647" spans="1:20" ht="13.5" customHeight="1">
      <c r="A647" s="1597"/>
      <c r="B647" s="1597"/>
      <c r="C647" s="1597"/>
      <c r="D647" s="1597"/>
      <c r="E647" s="1597"/>
      <c r="F647" s="1597"/>
      <c r="G647" s="1597"/>
      <c r="H647" s="1597"/>
      <c r="I647" s="1597"/>
      <c r="J647" s="1597"/>
      <c r="K647" s="1597"/>
      <c r="L647" s="1597"/>
      <c r="M647" s="1597"/>
      <c r="N647" s="1597"/>
      <c r="O647" s="1597"/>
      <c r="P647" s="1597"/>
      <c r="Q647" s="1597"/>
      <c r="R647" s="1597"/>
      <c r="S647" s="1597"/>
      <c r="T647" s="1597"/>
    </row>
    <row r="648" spans="1:20" ht="13.5" customHeight="1">
      <c r="A648" s="1597"/>
      <c r="B648" s="1597"/>
      <c r="C648" s="1597"/>
      <c r="D648" s="1597"/>
      <c r="E648" s="1597"/>
      <c r="F648" s="1597"/>
      <c r="G648" s="1597"/>
      <c r="H648" s="1597"/>
      <c r="I648" s="1597"/>
      <c r="J648" s="1597"/>
      <c r="K648" s="1597"/>
      <c r="L648" s="1597"/>
      <c r="M648" s="1597"/>
      <c r="N648" s="1597"/>
      <c r="O648" s="1597"/>
      <c r="P648" s="1597"/>
      <c r="Q648" s="1597"/>
      <c r="R648" s="1597"/>
      <c r="S648" s="1597"/>
      <c r="T648" s="1597"/>
    </row>
    <row r="649" spans="1:20" ht="13.5" customHeight="1">
      <c r="A649" s="1597"/>
      <c r="B649" s="1597"/>
      <c r="C649" s="1597"/>
      <c r="D649" s="1597"/>
      <c r="E649" s="1597"/>
      <c r="F649" s="1597"/>
      <c r="G649" s="1597"/>
      <c r="H649" s="1597"/>
      <c r="I649" s="1597"/>
      <c r="J649" s="1597"/>
      <c r="K649" s="1597"/>
      <c r="L649" s="1597"/>
      <c r="M649" s="1597"/>
      <c r="N649" s="1597"/>
      <c r="O649" s="1597"/>
      <c r="P649" s="1597"/>
      <c r="Q649" s="1597"/>
      <c r="R649" s="1597"/>
      <c r="S649" s="1597"/>
      <c r="T649" s="1597"/>
    </row>
    <row r="650" spans="1:20" ht="13.5" customHeight="1">
      <c r="A650" s="1597"/>
      <c r="B650" s="1597"/>
      <c r="C650" s="1597"/>
      <c r="D650" s="1597"/>
      <c r="E650" s="1597"/>
      <c r="F650" s="1597"/>
      <c r="G650" s="1597"/>
      <c r="H650" s="1597"/>
      <c r="I650" s="1597"/>
      <c r="J650" s="1597"/>
      <c r="K650" s="1597"/>
      <c r="L650" s="1597"/>
      <c r="M650" s="1597"/>
      <c r="N650" s="1597"/>
      <c r="O650" s="1597"/>
      <c r="P650" s="1597"/>
      <c r="Q650" s="1597"/>
      <c r="R650" s="1597"/>
      <c r="S650" s="1597"/>
      <c r="T650" s="1597"/>
    </row>
    <row r="651" spans="1:20" ht="13.5" customHeight="1">
      <c r="A651" s="1597"/>
      <c r="B651" s="1597"/>
      <c r="C651" s="1597"/>
      <c r="D651" s="1597"/>
      <c r="E651" s="1597"/>
      <c r="F651" s="1597"/>
      <c r="G651" s="1597"/>
      <c r="H651" s="1597"/>
      <c r="I651" s="1597"/>
      <c r="J651" s="1597"/>
      <c r="K651" s="1597"/>
      <c r="L651" s="1597"/>
      <c r="M651" s="1597"/>
      <c r="N651" s="1597"/>
      <c r="O651" s="1597"/>
      <c r="P651" s="1597"/>
      <c r="Q651" s="1597"/>
      <c r="R651" s="1597"/>
      <c r="S651" s="1597"/>
      <c r="T651" s="1597"/>
    </row>
    <row r="652" spans="1:20" ht="13.5" customHeight="1">
      <c r="A652" s="1597"/>
      <c r="B652" s="1597"/>
      <c r="C652" s="1597"/>
      <c r="D652" s="1597"/>
      <c r="E652" s="1597"/>
      <c r="F652" s="1597"/>
      <c r="G652" s="1597"/>
      <c r="H652" s="1597"/>
      <c r="I652" s="1597"/>
      <c r="J652" s="1597"/>
      <c r="K652" s="1597"/>
      <c r="L652" s="1597"/>
      <c r="M652" s="1597"/>
      <c r="N652" s="1597"/>
      <c r="O652" s="1597"/>
      <c r="P652" s="1597"/>
      <c r="Q652" s="1597"/>
      <c r="R652" s="1597"/>
      <c r="S652" s="1597"/>
      <c r="T652" s="1597"/>
    </row>
    <row r="653" spans="1:20" ht="13.5" customHeight="1">
      <c r="A653" s="1597"/>
      <c r="B653" s="1597"/>
      <c r="C653" s="1597"/>
      <c r="D653" s="1597"/>
      <c r="E653" s="1597"/>
      <c r="F653" s="1597"/>
      <c r="G653" s="1597"/>
      <c r="H653" s="1597"/>
      <c r="I653" s="1597"/>
      <c r="J653" s="1597"/>
      <c r="K653" s="1597"/>
      <c r="L653" s="1597"/>
      <c r="M653" s="1597"/>
      <c r="N653" s="1597"/>
      <c r="O653" s="1597"/>
      <c r="P653" s="1597"/>
      <c r="Q653" s="1597"/>
      <c r="R653" s="1597"/>
      <c r="S653" s="1597"/>
      <c r="T653" s="1597"/>
    </row>
    <row r="654" spans="1:20" ht="13.5" customHeight="1">
      <c r="A654" s="1597"/>
      <c r="B654" s="1597"/>
      <c r="C654" s="1597"/>
      <c r="D654" s="1597"/>
      <c r="E654" s="1597"/>
      <c r="F654" s="1597"/>
      <c r="G654" s="1597"/>
      <c r="H654" s="1597"/>
      <c r="I654" s="1597"/>
      <c r="J654" s="1597"/>
      <c r="K654" s="1597"/>
      <c r="L654" s="1597"/>
      <c r="M654" s="1597"/>
      <c r="N654" s="1597"/>
      <c r="O654" s="1597"/>
      <c r="P654" s="1597"/>
      <c r="Q654" s="1597"/>
      <c r="R654" s="1597"/>
      <c r="S654" s="1597"/>
      <c r="T654" s="1597"/>
    </row>
    <row r="655" spans="1:20" ht="13.5" customHeight="1">
      <c r="A655" s="1597"/>
      <c r="B655" s="1597"/>
      <c r="C655" s="1597"/>
      <c r="D655" s="1597"/>
      <c r="E655" s="1597"/>
      <c r="F655" s="1597"/>
      <c r="G655" s="1597"/>
      <c r="H655" s="1597"/>
      <c r="I655" s="1597"/>
      <c r="J655" s="1597"/>
      <c r="K655" s="1597"/>
      <c r="L655" s="1597"/>
      <c r="M655" s="1597"/>
      <c r="N655" s="1597"/>
      <c r="O655" s="1597"/>
      <c r="P655" s="1597"/>
      <c r="Q655" s="1597"/>
      <c r="R655" s="1597"/>
      <c r="S655" s="1597"/>
      <c r="T655" s="1597"/>
    </row>
    <row r="656" spans="1:20" ht="13.5" customHeight="1">
      <c r="A656" s="1597"/>
      <c r="B656" s="1597"/>
      <c r="C656" s="1597"/>
      <c r="D656" s="1597"/>
      <c r="E656" s="1597"/>
      <c r="F656" s="1597"/>
      <c r="G656" s="1597"/>
      <c r="H656" s="1597"/>
      <c r="I656" s="1597"/>
      <c r="J656" s="1597"/>
      <c r="K656" s="1597"/>
      <c r="L656" s="1597"/>
      <c r="M656" s="1597"/>
      <c r="N656" s="1597"/>
      <c r="O656" s="1597"/>
      <c r="P656" s="1597"/>
      <c r="Q656" s="1597"/>
      <c r="R656" s="1597"/>
      <c r="S656" s="1597"/>
      <c r="T656" s="1597"/>
    </row>
    <row r="657" spans="1:20" ht="13.5" customHeight="1">
      <c r="A657" s="1597"/>
      <c r="B657" s="1597"/>
      <c r="C657" s="1597"/>
      <c r="D657" s="1597"/>
      <c r="E657" s="1597"/>
      <c r="F657" s="1597"/>
      <c r="G657" s="1597"/>
      <c r="H657" s="1597"/>
      <c r="I657" s="1597"/>
      <c r="J657" s="1597"/>
      <c r="K657" s="1597"/>
      <c r="L657" s="1597"/>
      <c r="M657" s="1597"/>
      <c r="N657" s="1597"/>
      <c r="O657" s="1597"/>
      <c r="P657" s="1597"/>
      <c r="Q657" s="1597"/>
      <c r="R657" s="1597"/>
      <c r="S657" s="1597"/>
      <c r="T657" s="1597"/>
    </row>
    <row r="658" spans="1:20" ht="13.5" customHeight="1">
      <c r="A658" s="1597"/>
      <c r="B658" s="1597"/>
      <c r="C658" s="1597"/>
      <c r="D658" s="1597"/>
      <c r="E658" s="1597"/>
      <c r="F658" s="1597"/>
      <c r="G658" s="1597"/>
      <c r="H658" s="1597"/>
      <c r="I658" s="1597"/>
      <c r="J658" s="1597"/>
      <c r="K658" s="1597"/>
      <c r="L658" s="1597"/>
      <c r="M658" s="1597"/>
      <c r="N658" s="1597"/>
      <c r="O658" s="1597"/>
      <c r="P658" s="1597"/>
      <c r="Q658" s="1597"/>
      <c r="R658" s="1597"/>
      <c r="S658" s="1597"/>
      <c r="T658" s="1597"/>
    </row>
    <row r="659" spans="1:20" ht="13.5" customHeight="1">
      <c r="A659" s="1597"/>
      <c r="B659" s="1597"/>
      <c r="C659" s="1597"/>
      <c r="D659" s="1597"/>
      <c r="E659" s="1597"/>
      <c r="F659" s="1597"/>
      <c r="G659" s="1597"/>
      <c r="H659" s="1597"/>
      <c r="I659" s="1597"/>
      <c r="J659" s="1597"/>
      <c r="K659" s="1597"/>
      <c r="L659" s="1597"/>
      <c r="M659" s="1597"/>
      <c r="N659" s="1597"/>
      <c r="O659" s="1597"/>
      <c r="P659" s="1597"/>
      <c r="Q659" s="1597"/>
      <c r="R659" s="1597"/>
      <c r="S659" s="1597"/>
      <c r="T659" s="1597"/>
    </row>
    <row r="660" spans="1:20" ht="13.5" customHeight="1">
      <c r="A660" s="1597"/>
      <c r="B660" s="1597"/>
      <c r="C660" s="1597"/>
      <c r="D660" s="1597"/>
      <c r="E660" s="1597"/>
      <c r="F660" s="1597"/>
      <c r="G660" s="1597"/>
      <c r="H660" s="1597"/>
      <c r="I660" s="1597"/>
      <c r="J660" s="1597"/>
      <c r="K660" s="1597"/>
      <c r="L660" s="1597"/>
      <c r="M660" s="1597"/>
      <c r="N660" s="1597"/>
      <c r="O660" s="1597"/>
      <c r="P660" s="1597"/>
      <c r="Q660" s="1597"/>
      <c r="R660" s="1597"/>
      <c r="S660" s="1597"/>
      <c r="T660" s="1597"/>
    </row>
    <row r="661" spans="1:20" ht="13.5" customHeight="1">
      <c r="A661" s="1597"/>
      <c r="B661" s="1597"/>
      <c r="C661" s="1597"/>
      <c r="D661" s="1597"/>
      <c r="E661" s="1597"/>
      <c r="F661" s="1597"/>
      <c r="G661" s="1597"/>
      <c r="H661" s="1597"/>
      <c r="I661" s="1597"/>
      <c r="J661" s="1597"/>
      <c r="K661" s="1597"/>
      <c r="L661" s="1597"/>
      <c r="M661" s="1597"/>
      <c r="N661" s="1597"/>
      <c r="O661" s="1597"/>
      <c r="P661" s="1597"/>
      <c r="Q661" s="1597"/>
      <c r="R661" s="1597"/>
      <c r="S661" s="1597"/>
      <c r="T661" s="1597"/>
    </row>
    <row r="662" spans="1:20" ht="13.5" customHeight="1">
      <c r="A662" s="1597"/>
      <c r="B662" s="1597"/>
      <c r="C662" s="1597"/>
      <c r="D662" s="1597"/>
      <c r="E662" s="1597"/>
      <c r="F662" s="1597"/>
      <c r="G662" s="1597"/>
      <c r="H662" s="1597"/>
      <c r="I662" s="1597"/>
      <c r="J662" s="1597"/>
      <c r="K662" s="1597"/>
      <c r="L662" s="1597"/>
      <c r="M662" s="1597"/>
      <c r="N662" s="1597"/>
      <c r="O662" s="1597"/>
      <c r="P662" s="1597"/>
      <c r="Q662" s="1597"/>
      <c r="R662" s="1597"/>
      <c r="S662" s="1597"/>
      <c r="T662" s="1597"/>
    </row>
    <row r="663" spans="1:20" ht="13.5" customHeight="1">
      <c r="A663" s="1597"/>
      <c r="B663" s="1597"/>
      <c r="C663" s="1597"/>
      <c r="D663" s="1597"/>
      <c r="E663" s="1597"/>
      <c r="F663" s="1597"/>
      <c r="G663" s="1597"/>
      <c r="H663" s="1597"/>
      <c r="I663" s="1597"/>
      <c r="J663" s="1597"/>
      <c r="K663" s="1597"/>
      <c r="L663" s="1597"/>
      <c r="M663" s="1597"/>
      <c r="N663" s="1597"/>
      <c r="O663" s="1597"/>
      <c r="P663" s="1597"/>
      <c r="Q663" s="1597"/>
      <c r="R663" s="1597"/>
      <c r="S663" s="1597"/>
      <c r="T663" s="1597"/>
    </row>
    <row r="664" spans="1:20" ht="13.5" customHeight="1">
      <c r="A664" s="1597"/>
      <c r="B664" s="1597"/>
      <c r="C664" s="1597"/>
      <c r="D664" s="1597"/>
      <c r="E664" s="1597"/>
      <c r="F664" s="1597"/>
      <c r="G664" s="1597"/>
      <c r="H664" s="1597"/>
      <c r="I664" s="1597"/>
      <c r="J664" s="1597"/>
      <c r="K664" s="1597"/>
      <c r="L664" s="1597"/>
      <c r="M664" s="1597"/>
      <c r="N664" s="1597"/>
      <c r="O664" s="1597"/>
      <c r="P664" s="1597"/>
      <c r="Q664" s="1597"/>
      <c r="R664" s="1597"/>
      <c r="S664" s="1597"/>
      <c r="T664" s="1597"/>
    </row>
    <row r="665" spans="1:20" ht="13.5" customHeight="1">
      <c r="A665" s="1597"/>
      <c r="B665" s="1597"/>
      <c r="C665" s="1597"/>
      <c r="D665" s="1597"/>
      <c r="E665" s="1597"/>
      <c r="F665" s="1597"/>
      <c r="G665" s="1597"/>
      <c r="H665" s="1597"/>
      <c r="I665" s="1597"/>
      <c r="J665" s="1597"/>
      <c r="K665" s="1597"/>
      <c r="L665" s="1597"/>
      <c r="M665" s="1597"/>
      <c r="N665" s="1597"/>
      <c r="O665" s="1597"/>
      <c r="P665" s="1597"/>
      <c r="Q665" s="1597"/>
      <c r="R665" s="1597"/>
      <c r="S665" s="1597"/>
      <c r="T665" s="1597"/>
    </row>
    <row r="666" spans="1:20" ht="13.5" customHeight="1">
      <c r="A666" s="1597"/>
      <c r="B666" s="1597"/>
      <c r="C666" s="1597"/>
      <c r="D666" s="1597"/>
      <c r="E666" s="1597"/>
      <c r="F666" s="1597"/>
      <c r="G666" s="1597"/>
      <c r="H666" s="1597"/>
      <c r="I666" s="1597"/>
      <c r="J666" s="1597"/>
      <c r="K666" s="1597"/>
      <c r="L666" s="1597"/>
      <c r="M666" s="1597"/>
      <c r="N666" s="1597"/>
      <c r="O666" s="1597"/>
      <c r="P666" s="1597"/>
      <c r="Q666" s="1597"/>
      <c r="R666" s="1597"/>
      <c r="S666" s="1597"/>
      <c r="T666" s="1597"/>
    </row>
    <row r="667" spans="1:20" ht="13.5" customHeight="1">
      <c r="A667" s="1597"/>
      <c r="B667" s="1597"/>
      <c r="C667" s="1597"/>
      <c r="D667" s="1597"/>
      <c r="E667" s="1597"/>
      <c r="F667" s="1597"/>
      <c r="G667" s="1597"/>
      <c r="H667" s="1597"/>
      <c r="I667" s="1597"/>
      <c r="J667" s="1597"/>
      <c r="K667" s="1597"/>
      <c r="L667" s="1597"/>
      <c r="M667" s="1597"/>
      <c r="N667" s="1597"/>
      <c r="O667" s="1597"/>
      <c r="P667" s="1597"/>
      <c r="Q667" s="1597"/>
      <c r="R667" s="1597"/>
      <c r="S667" s="1597"/>
      <c r="T667" s="1597"/>
    </row>
    <row r="668" spans="1:20" ht="13.5" customHeight="1">
      <c r="A668" s="1597"/>
      <c r="B668" s="1597"/>
      <c r="C668" s="1597"/>
      <c r="D668" s="1597"/>
      <c r="E668" s="1597"/>
      <c r="F668" s="1597"/>
      <c r="G668" s="1597"/>
      <c r="H668" s="1597"/>
      <c r="I668" s="1597"/>
      <c r="J668" s="1597"/>
      <c r="K668" s="1597"/>
      <c r="L668" s="1597"/>
      <c r="M668" s="1597"/>
      <c r="N668" s="1597"/>
      <c r="O668" s="1597"/>
      <c r="P668" s="1597"/>
      <c r="Q668" s="1597"/>
      <c r="R668" s="1597"/>
      <c r="S668" s="1597"/>
      <c r="T668" s="1597"/>
    </row>
    <row r="669" spans="1:20" ht="13.5" customHeight="1">
      <c r="A669" s="1597"/>
      <c r="B669" s="1597"/>
      <c r="C669" s="1597"/>
      <c r="D669" s="1597"/>
      <c r="E669" s="1597"/>
      <c r="F669" s="1597"/>
      <c r="G669" s="1597"/>
      <c r="H669" s="1597"/>
      <c r="I669" s="1597"/>
      <c r="J669" s="1597"/>
      <c r="K669" s="1597"/>
      <c r="L669" s="1597"/>
      <c r="M669" s="1597"/>
      <c r="N669" s="1597"/>
      <c r="O669" s="1597"/>
      <c r="P669" s="1597"/>
      <c r="Q669" s="1597"/>
      <c r="R669" s="1597"/>
      <c r="S669" s="1597"/>
      <c r="T669" s="1597"/>
    </row>
    <row r="670" spans="1:20" ht="13.5" customHeight="1">
      <c r="A670" s="1597"/>
      <c r="B670" s="1597"/>
      <c r="C670" s="1597"/>
      <c r="D670" s="1597"/>
      <c r="E670" s="1597"/>
      <c r="F670" s="1597"/>
      <c r="G670" s="1597"/>
      <c r="H670" s="1597"/>
      <c r="I670" s="1597"/>
      <c r="J670" s="1597"/>
      <c r="K670" s="1597"/>
      <c r="L670" s="1597"/>
      <c r="M670" s="1597"/>
      <c r="N670" s="1597"/>
      <c r="O670" s="1597"/>
      <c r="P670" s="1597"/>
      <c r="Q670" s="1597"/>
      <c r="R670" s="1597"/>
      <c r="S670" s="1597"/>
      <c r="T670" s="1597"/>
    </row>
    <row r="671" spans="1:20" ht="13.5" customHeight="1">
      <c r="A671" s="1597"/>
      <c r="B671" s="1597"/>
      <c r="C671" s="1597"/>
      <c r="D671" s="1597"/>
      <c r="E671" s="1597"/>
      <c r="F671" s="1597"/>
      <c r="G671" s="1597"/>
      <c r="H671" s="1597"/>
      <c r="I671" s="1597"/>
      <c r="J671" s="1597"/>
      <c r="K671" s="1597"/>
      <c r="L671" s="1597"/>
      <c r="M671" s="1597"/>
      <c r="N671" s="1597"/>
      <c r="O671" s="1597"/>
      <c r="P671" s="1597"/>
      <c r="Q671" s="1597"/>
      <c r="R671" s="1597"/>
      <c r="S671" s="1597"/>
      <c r="T671" s="1597"/>
    </row>
    <row r="672" spans="1:20" ht="13.5" customHeight="1">
      <c r="A672" s="1597"/>
      <c r="B672" s="1597"/>
      <c r="C672" s="1597"/>
      <c r="D672" s="1597"/>
      <c r="E672" s="1597"/>
      <c r="F672" s="1597"/>
      <c r="G672" s="1597"/>
      <c r="H672" s="1597"/>
      <c r="I672" s="1597"/>
      <c r="J672" s="1597"/>
      <c r="K672" s="1597"/>
      <c r="L672" s="1597"/>
      <c r="M672" s="1597"/>
      <c r="N672" s="1597"/>
      <c r="O672" s="1597"/>
      <c r="P672" s="1597"/>
      <c r="Q672" s="1597"/>
      <c r="R672" s="1597"/>
      <c r="S672" s="1597"/>
      <c r="T672" s="1597"/>
    </row>
    <row r="673" spans="1:20" ht="13.5" customHeight="1">
      <c r="A673" s="1597"/>
      <c r="B673" s="1597"/>
      <c r="C673" s="1597"/>
      <c r="D673" s="1597"/>
      <c r="E673" s="1597"/>
      <c r="F673" s="1597"/>
      <c r="G673" s="1597"/>
      <c r="H673" s="1597"/>
      <c r="I673" s="1597"/>
      <c r="J673" s="1597"/>
      <c r="K673" s="1597"/>
      <c r="L673" s="1597"/>
      <c r="M673" s="1597"/>
      <c r="N673" s="1597"/>
      <c r="O673" s="1597"/>
      <c r="P673" s="1597"/>
      <c r="Q673" s="1597"/>
      <c r="R673" s="1597"/>
      <c r="S673" s="1597"/>
      <c r="T673" s="1597"/>
    </row>
    <row r="674" spans="1:20" ht="13.5" customHeight="1">
      <c r="A674" s="1597"/>
      <c r="B674" s="1597"/>
      <c r="C674" s="1597"/>
      <c r="D674" s="1597"/>
      <c r="E674" s="1597"/>
      <c r="F674" s="1597"/>
      <c r="G674" s="1597"/>
      <c r="H674" s="1597"/>
      <c r="I674" s="1597"/>
      <c r="J674" s="1597"/>
      <c r="K674" s="1597"/>
      <c r="L674" s="1597"/>
      <c r="M674" s="1597"/>
      <c r="N674" s="1597"/>
      <c r="O674" s="1597"/>
      <c r="P674" s="1597"/>
      <c r="Q674" s="1597"/>
      <c r="R674" s="1597"/>
      <c r="S674" s="1597"/>
      <c r="T674" s="1597"/>
    </row>
    <row r="675" spans="1:20" ht="13.5" customHeight="1">
      <c r="A675" s="1597"/>
      <c r="B675" s="1597"/>
      <c r="C675" s="1597"/>
      <c r="D675" s="1597"/>
      <c r="E675" s="1597"/>
      <c r="F675" s="1597"/>
      <c r="G675" s="1597"/>
      <c r="H675" s="1597"/>
      <c r="I675" s="1597"/>
      <c r="J675" s="1597"/>
      <c r="K675" s="1597"/>
      <c r="L675" s="1597"/>
      <c r="M675" s="1597"/>
      <c r="N675" s="1597"/>
      <c r="O675" s="1597"/>
      <c r="P675" s="1597"/>
      <c r="Q675" s="1597"/>
      <c r="R675" s="1597"/>
      <c r="S675" s="1597"/>
      <c r="T675" s="1597"/>
    </row>
    <row r="676" spans="1:20" ht="13.5" customHeight="1">
      <c r="A676" s="1597"/>
      <c r="B676" s="1597"/>
      <c r="C676" s="1597"/>
      <c r="D676" s="1597"/>
      <c r="E676" s="1597"/>
      <c r="F676" s="1597"/>
      <c r="G676" s="1597"/>
      <c r="H676" s="1597"/>
      <c r="I676" s="1597"/>
      <c r="J676" s="1597"/>
      <c r="K676" s="1597"/>
      <c r="L676" s="1597"/>
      <c r="M676" s="1597"/>
      <c r="N676" s="1597"/>
      <c r="O676" s="1597"/>
      <c r="P676" s="1597"/>
      <c r="Q676" s="1597"/>
      <c r="R676" s="1597"/>
      <c r="S676" s="1597"/>
      <c r="T676" s="1597"/>
    </row>
    <row r="677" spans="1:20" ht="13.5" customHeight="1">
      <c r="A677" s="1597"/>
      <c r="B677" s="1597"/>
      <c r="C677" s="1597"/>
      <c r="D677" s="1597"/>
      <c r="E677" s="1597"/>
      <c r="F677" s="1597"/>
      <c r="G677" s="1597"/>
      <c r="H677" s="1597"/>
      <c r="I677" s="1597"/>
      <c r="J677" s="1597"/>
      <c r="K677" s="1597"/>
      <c r="L677" s="1597"/>
      <c r="M677" s="1597"/>
      <c r="N677" s="1597"/>
      <c r="O677" s="1597"/>
      <c r="P677" s="1597"/>
      <c r="Q677" s="1597"/>
      <c r="R677" s="1597"/>
      <c r="S677" s="1597"/>
      <c r="T677" s="1597"/>
    </row>
    <row r="678" spans="1:20" ht="13.5" customHeight="1">
      <c r="A678" s="1597"/>
      <c r="B678" s="1597"/>
      <c r="C678" s="1597"/>
      <c r="D678" s="1597"/>
      <c r="E678" s="1597"/>
      <c r="F678" s="1597"/>
      <c r="G678" s="1597"/>
      <c r="H678" s="1597"/>
      <c r="I678" s="1597"/>
      <c r="J678" s="1597"/>
      <c r="K678" s="1597"/>
      <c r="L678" s="1597"/>
      <c r="M678" s="1597"/>
      <c r="N678" s="1597"/>
      <c r="O678" s="1597"/>
      <c r="P678" s="1597"/>
      <c r="Q678" s="1597"/>
      <c r="R678" s="1597"/>
      <c r="S678" s="1597"/>
      <c r="T678" s="1597"/>
    </row>
    <row r="679" spans="1:20" ht="13.5" customHeight="1">
      <c r="A679" s="1597"/>
      <c r="B679" s="1597"/>
      <c r="C679" s="1597"/>
      <c r="D679" s="1597"/>
      <c r="E679" s="1597"/>
      <c r="F679" s="1597"/>
      <c r="G679" s="1597"/>
      <c r="H679" s="1597"/>
      <c r="I679" s="1597"/>
      <c r="J679" s="1597"/>
      <c r="K679" s="1597"/>
      <c r="L679" s="1597"/>
      <c r="M679" s="1597"/>
      <c r="N679" s="1597"/>
      <c r="O679" s="1597"/>
      <c r="P679" s="1597"/>
      <c r="Q679" s="1597"/>
      <c r="R679" s="1597"/>
      <c r="S679" s="1597"/>
      <c r="T679" s="1597"/>
    </row>
    <row r="680" spans="1:20" ht="13.5" customHeight="1">
      <c r="A680" s="1597"/>
      <c r="B680" s="1597"/>
      <c r="C680" s="1597"/>
      <c r="D680" s="1597"/>
      <c r="E680" s="1597"/>
      <c r="F680" s="1597"/>
      <c r="G680" s="1597"/>
      <c r="H680" s="1597"/>
      <c r="I680" s="1597"/>
      <c r="J680" s="1597"/>
      <c r="K680" s="1597"/>
      <c r="L680" s="1597"/>
      <c r="M680" s="1597"/>
      <c r="N680" s="1597"/>
      <c r="O680" s="1597"/>
      <c r="P680" s="1597"/>
      <c r="Q680" s="1597"/>
      <c r="R680" s="1597"/>
      <c r="S680" s="1597"/>
      <c r="T680" s="1597"/>
    </row>
    <row r="681" spans="1:20" ht="13.5" customHeight="1">
      <c r="A681" s="1597"/>
      <c r="B681" s="1597"/>
      <c r="C681" s="1597"/>
      <c r="D681" s="1597"/>
      <c r="E681" s="1597"/>
      <c r="F681" s="1597"/>
      <c r="G681" s="1597"/>
      <c r="H681" s="1597"/>
      <c r="I681" s="1597"/>
      <c r="J681" s="1597"/>
      <c r="K681" s="1597"/>
      <c r="L681" s="1597"/>
      <c r="M681" s="1597"/>
      <c r="N681" s="1597"/>
      <c r="O681" s="1597"/>
      <c r="P681" s="1597"/>
      <c r="Q681" s="1597"/>
      <c r="R681" s="1597"/>
      <c r="S681" s="1597"/>
      <c r="T681" s="1597"/>
    </row>
    <row r="682" spans="1:20" ht="13.5" customHeight="1">
      <c r="A682" s="1597"/>
      <c r="B682" s="1597"/>
      <c r="C682" s="1597"/>
      <c r="D682" s="1597"/>
      <c r="E682" s="1597"/>
      <c r="F682" s="1597"/>
      <c r="G682" s="1597"/>
      <c r="H682" s="1597"/>
      <c r="I682" s="1597"/>
      <c r="J682" s="1597"/>
      <c r="K682" s="1597"/>
      <c r="L682" s="1597"/>
      <c r="M682" s="1597"/>
      <c r="N682" s="1597"/>
      <c r="O682" s="1597"/>
      <c r="P682" s="1597"/>
      <c r="Q682" s="1597"/>
      <c r="R682" s="1597"/>
      <c r="S682" s="1597"/>
      <c r="T682" s="1597"/>
    </row>
    <row r="683" spans="1:20" ht="13.5" customHeight="1">
      <c r="A683" s="1597"/>
      <c r="B683" s="1597"/>
      <c r="C683" s="1597"/>
      <c r="D683" s="1597"/>
      <c r="E683" s="1597"/>
      <c r="F683" s="1597"/>
      <c r="G683" s="1597"/>
      <c r="H683" s="1597"/>
      <c r="I683" s="1597"/>
      <c r="J683" s="1597"/>
      <c r="K683" s="1597"/>
      <c r="L683" s="1597"/>
      <c r="M683" s="1597"/>
      <c r="N683" s="1597"/>
      <c r="O683" s="1597"/>
      <c r="P683" s="1597"/>
      <c r="Q683" s="1597"/>
      <c r="R683" s="1597"/>
      <c r="S683" s="1597"/>
      <c r="T683" s="1597"/>
    </row>
    <row r="684" spans="1:20" ht="13.5" customHeight="1">
      <c r="A684" s="1597"/>
      <c r="B684" s="1597"/>
      <c r="C684" s="1597"/>
      <c r="D684" s="1597"/>
      <c r="E684" s="1597"/>
      <c r="F684" s="1597"/>
      <c r="G684" s="1597"/>
      <c r="H684" s="1597"/>
      <c r="I684" s="1597"/>
      <c r="J684" s="1597"/>
      <c r="K684" s="1597"/>
      <c r="L684" s="1597"/>
      <c r="M684" s="1597"/>
      <c r="N684" s="1597"/>
      <c r="O684" s="1597"/>
      <c r="P684" s="1597"/>
      <c r="Q684" s="1597"/>
      <c r="R684" s="1597"/>
      <c r="S684" s="1597"/>
      <c r="T684" s="1597"/>
    </row>
    <row r="685" spans="1:20" ht="13.5" customHeight="1">
      <c r="A685" s="1597"/>
      <c r="B685" s="1597"/>
      <c r="C685" s="1597"/>
      <c r="D685" s="1597"/>
      <c r="E685" s="1597"/>
      <c r="F685" s="1597"/>
      <c r="G685" s="1597"/>
      <c r="H685" s="1597"/>
      <c r="I685" s="1597"/>
      <c r="J685" s="1597"/>
      <c r="K685" s="1597"/>
      <c r="L685" s="1597"/>
      <c r="M685" s="1597"/>
      <c r="N685" s="1597"/>
      <c r="O685" s="1597"/>
      <c r="P685" s="1597"/>
      <c r="Q685" s="1597"/>
      <c r="R685" s="1597"/>
      <c r="S685" s="1597"/>
      <c r="T685" s="1597"/>
    </row>
    <row r="686" spans="1:20" ht="13.5" customHeight="1">
      <c r="A686" s="1597"/>
      <c r="B686" s="1597"/>
      <c r="C686" s="1597"/>
      <c r="D686" s="1597"/>
      <c r="E686" s="1597"/>
      <c r="F686" s="1597"/>
      <c r="G686" s="1597"/>
      <c r="H686" s="1597"/>
      <c r="I686" s="1597"/>
      <c r="J686" s="1597"/>
      <c r="K686" s="1597"/>
      <c r="L686" s="1597"/>
      <c r="M686" s="1597"/>
      <c r="N686" s="1597"/>
      <c r="O686" s="1597"/>
      <c r="P686" s="1597"/>
      <c r="Q686" s="1597"/>
      <c r="R686" s="1597"/>
      <c r="S686" s="1597"/>
      <c r="T686" s="1597"/>
    </row>
    <row r="687" spans="1:20" ht="13.5" customHeight="1">
      <c r="A687" s="1597"/>
      <c r="B687" s="1597"/>
      <c r="C687" s="1597"/>
      <c r="D687" s="1597"/>
      <c r="E687" s="1597"/>
      <c r="F687" s="1597"/>
      <c r="G687" s="1597"/>
      <c r="H687" s="1597"/>
      <c r="I687" s="1597"/>
      <c r="J687" s="1597"/>
      <c r="K687" s="1597"/>
      <c r="L687" s="1597"/>
      <c r="M687" s="1597"/>
      <c r="N687" s="1597"/>
      <c r="O687" s="1597"/>
      <c r="P687" s="1597"/>
      <c r="Q687" s="1597"/>
      <c r="R687" s="1597"/>
      <c r="S687" s="1597"/>
      <c r="T687" s="1597"/>
    </row>
    <row r="688" spans="1:20" ht="13.5" customHeight="1">
      <c r="A688" s="1597"/>
      <c r="B688" s="1597"/>
      <c r="C688" s="1597"/>
      <c r="D688" s="1597"/>
      <c r="E688" s="1597"/>
      <c r="F688" s="1597"/>
      <c r="G688" s="1597"/>
      <c r="H688" s="1597"/>
      <c r="I688" s="1597"/>
      <c r="J688" s="1597"/>
      <c r="K688" s="1597"/>
      <c r="L688" s="1597"/>
      <c r="M688" s="1597"/>
      <c r="N688" s="1597"/>
      <c r="O688" s="1597"/>
      <c r="P688" s="1597"/>
      <c r="Q688" s="1597"/>
      <c r="R688" s="1597"/>
      <c r="S688" s="1597"/>
      <c r="T688" s="1597"/>
    </row>
    <row r="689" spans="1:20" ht="13.5" customHeight="1">
      <c r="A689" s="1597"/>
      <c r="B689" s="1597"/>
      <c r="C689" s="1597"/>
      <c r="D689" s="1597"/>
      <c r="E689" s="1597"/>
      <c r="F689" s="1597"/>
      <c r="G689" s="1597"/>
      <c r="H689" s="1597"/>
      <c r="I689" s="1597"/>
      <c r="J689" s="1597"/>
      <c r="K689" s="1597"/>
      <c r="L689" s="1597"/>
      <c r="M689" s="1597"/>
      <c r="N689" s="1597"/>
      <c r="O689" s="1597"/>
      <c r="P689" s="1597"/>
      <c r="Q689" s="1597"/>
      <c r="R689" s="1597"/>
      <c r="S689" s="1597"/>
      <c r="T689" s="1597"/>
    </row>
    <row r="690" spans="1:20" ht="13.5" customHeight="1">
      <c r="A690" s="1597"/>
      <c r="B690" s="1597"/>
      <c r="C690" s="1597"/>
      <c r="D690" s="1597"/>
      <c r="E690" s="1597"/>
      <c r="F690" s="1597"/>
      <c r="G690" s="1597"/>
      <c r="H690" s="1597"/>
      <c r="I690" s="1597"/>
      <c r="J690" s="1597"/>
      <c r="K690" s="1597"/>
      <c r="L690" s="1597"/>
      <c r="M690" s="1597"/>
      <c r="N690" s="1597"/>
      <c r="O690" s="1597"/>
      <c r="P690" s="1597"/>
      <c r="Q690" s="1597"/>
      <c r="R690" s="1597"/>
      <c r="S690" s="1597"/>
      <c r="T690" s="1597"/>
    </row>
    <row r="691" spans="1:20" ht="13.5" customHeight="1">
      <c r="A691" s="1597"/>
      <c r="B691" s="1597"/>
      <c r="C691" s="1597"/>
      <c r="D691" s="1597"/>
      <c r="E691" s="1597"/>
      <c r="F691" s="1597"/>
      <c r="G691" s="1597"/>
      <c r="H691" s="1597"/>
      <c r="I691" s="1597"/>
      <c r="J691" s="1597"/>
      <c r="K691" s="1597"/>
      <c r="L691" s="1597"/>
      <c r="M691" s="1597"/>
      <c r="N691" s="1597"/>
      <c r="O691" s="1597"/>
      <c r="P691" s="1597"/>
      <c r="Q691" s="1597"/>
      <c r="R691" s="1597"/>
      <c r="S691" s="1597"/>
      <c r="T691" s="1597"/>
    </row>
    <row r="692" spans="1:20" ht="13.5" customHeight="1">
      <c r="A692" s="1597"/>
      <c r="B692" s="1597"/>
      <c r="C692" s="1597"/>
      <c r="D692" s="1597"/>
      <c r="E692" s="1597"/>
      <c r="F692" s="1597"/>
      <c r="G692" s="1597"/>
      <c r="H692" s="1597"/>
      <c r="I692" s="1597"/>
      <c r="J692" s="1597"/>
      <c r="K692" s="1597"/>
      <c r="L692" s="1597"/>
      <c r="M692" s="1597"/>
      <c r="N692" s="1597"/>
      <c r="O692" s="1597"/>
      <c r="P692" s="1597"/>
      <c r="Q692" s="1597"/>
      <c r="R692" s="1597"/>
      <c r="S692" s="1597"/>
      <c r="T692" s="1597"/>
    </row>
    <row r="693" spans="1:20" ht="13.5" customHeight="1">
      <c r="A693" s="1597"/>
      <c r="B693" s="1597"/>
      <c r="C693" s="1597"/>
      <c r="D693" s="1597"/>
      <c r="E693" s="1597"/>
      <c r="F693" s="1597"/>
      <c r="G693" s="1597"/>
      <c r="H693" s="1597"/>
      <c r="I693" s="1597"/>
      <c r="J693" s="1597"/>
      <c r="K693" s="1597"/>
      <c r="L693" s="1597"/>
      <c r="M693" s="1597"/>
      <c r="N693" s="1597"/>
      <c r="O693" s="1597"/>
      <c r="P693" s="1597"/>
      <c r="Q693" s="1597"/>
      <c r="R693" s="1597"/>
      <c r="S693" s="1597"/>
      <c r="T693" s="1597"/>
    </row>
    <row r="694" spans="1:20" ht="13.5" customHeight="1">
      <c r="A694" s="1597"/>
      <c r="B694" s="1597"/>
      <c r="C694" s="1597"/>
      <c r="D694" s="1597"/>
      <c r="E694" s="1597"/>
      <c r="F694" s="1597"/>
      <c r="G694" s="1597"/>
      <c r="H694" s="1597"/>
      <c r="I694" s="1597"/>
      <c r="J694" s="1597"/>
      <c r="K694" s="1597"/>
      <c r="L694" s="1597"/>
      <c r="M694" s="1597"/>
      <c r="N694" s="1597"/>
      <c r="O694" s="1597"/>
      <c r="P694" s="1597"/>
      <c r="Q694" s="1597"/>
      <c r="R694" s="1597"/>
      <c r="S694" s="1597"/>
      <c r="T694" s="1597"/>
    </row>
    <row r="695" spans="1:20" ht="13.5" customHeight="1">
      <c r="A695" s="1597"/>
      <c r="B695" s="1597"/>
      <c r="C695" s="1597"/>
      <c r="D695" s="1597"/>
      <c r="E695" s="1597"/>
      <c r="F695" s="1597"/>
      <c r="G695" s="1597"/>
      <c r="H695" s="1597"/>
      <c r="I695" s="1597"/>
      <c r="J695" s="1597"/>
      <c r="K695" s="1597"/>
      <c r="L695" s="1597"/>
      <c r="M695" s="1597"/>
      <c r="N695" s="1597"/>
      <c r="O695" s="1597"/>
      <c r="P695" s="1597"/>
      <c r="Q695" s="1597"/>
      <c r="R695" s="1597"/>
      <c r="S695" s="1597"/>
      <c r="T695" s="1597"/>
    </row>
    <row r="696" spans="1:20" ht="13.5" customHeight="1">
      <c r="A696" s="1597"/>
      <c r="B696" s="1597"/>
      <c r="C696" s="1597"/>
      <c r="D696" s="1597"/>
      <c r="E696" s="1597"/>
      <c r="F696" s="1597"/>
      <c r="G696" s="1597"/>
      <c r="H696" s="1597"/>
      <c r="I696" s="1597"/>
      <c r="J696" s="1597"/>
      <c r="K696" s="1597"/>
      <c r="L696" s="1597"/>
      <c r="M696" s="1597"/>
      <c r="N696" s="1597"/>
      <c r="O696" s="1597"/>
      <c r="P696" s="1597"/>
      <c r="Q696" s="1597"/>
      <c r="R696" s="1597"/>
      <c r="S696" s="1597"/>
      <c r="T696" s="1597"/>
    </row>
    <row r="697" spans="1:20" ht="13.5" customHeight="1">
      <c r="A697" s="1597"/>
      <c r="B697" s="1597"/>
      <c r="C697" s="1597"/>
      <c r="D697" s="1597"/>
      <c r="E697" s="1597"/>
      <c r="F697" s="1597"/>
      <c r="G697" s="1597"/>
      <c r="H697" s="1597"/>
      <c r="I697" s="1597"/>
      <c r="J697" s="1597"/>
      <c r="K697" s="1597"/>
      <c r="L697" s="1597"/>
      <c r="M697" s="1597"/>
      <c r="N697" s="1597"/>
      <c r="O697" s="1597"/>
      <c r="P697" s="1597"/>
      <c r="Q697" s="1597"/>
      <c r="R697" s="1597"/>
      <c r="S697" s="1597"/>
      <c r="T697" s="1597"/>
    </row>
    <row r="698" spans="1:20" ht="13.5" customHeight="1">
      <c r="A698" s="1597"/>
      <c r="B698" s="1597"/>
      <c r="C698" s="1597"/>
      <c r="D698" s="1597"/>
      <c r="E698" s="1597"/>
      <c r="F698" s="1597"/>
      <c r="G698" s="1597"/>
      <c r="H698" s="1597"/>
      <c r="I698" s="1597"/>
      <c r="J698" s="1597"/>
      <c r="K698" s="1597"/>
      <c r="L698" s="1597"/>
      <c r="M698" s="1597"/>
      <c r="N698" s="1597"/>
      <c r="O698" s="1597"/>
      <c r="P698" s="1597"/>
      <c r="Q698" s="1597"/>
      <c r="R698" s="1597"/>
      <c r="S698" s="1597"/>
      <c r="T698" s="1597"/>
    </row>
    <row r="699" spans="1:20" ht="13.5" customHeight="1">
      <c r="A699" s="1597"/>
      <c r="B699" s="1597"/>
      <c r="C699" s="1597"/>
      <c r="D699" s="1597"/>
      <c r="E699" s="1597"/>
      <c r="F699" s="1597"/>
      <c r="G699" s="1597"/>
      <c r="H699" s="1597"/>
      <c r="I699" s="1597"/>
      <c r="J699" s="1597"/>
      <c r="K699" s="1597"/>
      <c r="L699" s="1597"/>
      <c r="M699" s="1597"/>
      <c r="N699" s="1597"/>
      <c r="O699" s="1597"/>
      <c r="P699" s="1597"/>
      <c r="Q699" s="1597"/>
      <c r="R699" s="1597"/>
      <c r="S699" s="1597"/>
      <c r="T699" s="1597"/>
    </row>
    <row r="700" spans="1:20" ht="13.5" customHeight="1">
      <c r="A700" s="1597"/>
      <c r="B700" s="1597"/>
      <c r="C700" s="1597"/>
      <c r="D700" s="1597"/>
      <c r="E700" s="1597"/>
      <c r="F700" s="1597"/>
      <c r="G700" s="1597"/>
      <c r="H700" s="1597"/>
      <c r="I700" s="1597"/>
      <c r="J700" s="1597"/>
      <c r="K700" s="1597"/>
      <c r="L700" s="1597"/>
      <c r="M700" s="1597"/>
      <c r="N700" s="1597"/>
      <c r="O700" s="1597"/>
      <c r="P700" s="1597"/>
      <c r="Q700" s="1597"/>
      <c r="R700" s="1597"/>
      <c r="S700" s="1597"/>
      <c r="T700" s="1597"/>
    </row>
    <row r="701" spans="1:20" ht="13.5" customHeight="1">
      <c r="A701" s="1597"/>
      <c r="B701" s="1597"/>
      <c r="C701" s="1597"/>
      <c r="D701" s="1597"/>
      <c r="E701" s="1597"/>
      <c r="F701" s="1597"/>
      <c r="G701" s="1597"/>
      <c r="H701" s="1597"/>
      <c r="I701" s="1597"/>
      <c r="J701" s="1597"/>
      <c r="K701" s="1597"/>
      <c r="L701" s="1597"/>
      <c r="M701" s="1597"/>
      <c r="N701" s="1597"/>
      <c r="O701" s="1597"/>
      <c r="P701" s="1597"/>
      <c r="Q701" s="1597"/>
      <c r="R701" s="1597"/>
      <c r="S701" s="1597"/>
      <c r="T701" s="1597"/>
    </row>
    <row r="702" spans="1:20" ht="13.5" customHeight="1">
      <c r="A702" s="1597"/>
      <c r="B702" s="1597"/>
      <c r="C702" s="1597"/>
      <c r="D702" s="1597"/>
      <c r="E702" s="1597"/>
      <c r="F702" s="1597"/>
      <c r="G702" s="1597"/>
      <c r="H702" s="1597"/>
      <c r="I702" s="1597"/>
      <c r="J702" s="1597"/>
      <c r="K702" s="1597"/>
      <c r="L702" s="1597"/>
      <c r="M702" s="1597"/>
      <c r="N702" s="1597"/>
      <c r="O702" s="1597"/>
      <c r="P702" s="1597"/>
      <c r="Q702" s="1597"/>
      <c r="R702" s="1597"/>
      <c r="S702" s="1597"/>
      <c r="T702" s="1597"/>
    </row>
    <row r="703" spans="1:20" ht="13.5" customHeight="1">
      <c r="A703" s="1597"/>
      <c r="B703" s="1597"/>
      <c r="C703" s="1597"/>
      <c r="D703" s="1597"/>
      <c r="E703" s="1597"/>
      <c r="F703" s="1597"/>
      <c r="G703" s="1597"/>
      <c r="H703" s="1597"/>
      <c r="I703" s="1597"/>
      <c r="J703" s="1597"/>
      <c r="K703" s="1597"/>
      <c r="L703" s="1597"/>
      <c r="M703" s="1597"/>
      <c r="N703" s="1597"/>
      <c r="O703" s="1597"/>
      <c r="P703" s="1597"/>
      <c r="Q703" s="1597"/>
      <c r="R703" s="1597"/>
      <c r="S703" s="1597"/>
      <c r="T703" s="1597"/>
    </row>
    <row r="704" spans="1:20" ht="13.5" customHeight="1">
      <c r="A704" s="1597"/>
      <c r="B704" s="1597"/>
      <c r="C704" s="1597"/>
      <c r="D704" s="1597"/>
      <c r="E704" s="1597"/>
      <c r="F704" s="1597"/>
      <c r="G704" s="1597"/>
      <c r="H704" s="1597"/>
      <c r="I704" s="1597"/>
      <c r="J704" s="1597"/>
      <c r="K704" s="1597"/>
      <c r="L704" s="1597"/>
      <c r="M704" s="1597"/>
      <c r="N704" s="1597"/>
      <c r="O704" s="1597"/>
      <c r="P704" s="1597"/>
      <c r="Q704" s="1597"/>
      <c r="R704" s="1597"/>
      <c r="S704" s="1597"/>
      <c r="T704" s="1597"/>
    </row>
    <row r="705" spans="1:20" ht="13.5" customHeight="1">
      <c r="A705" s="1597"/>
      <c r="B705" s="1597"/>
      <c r="C705" s="1597"/>
      <c r="D705" s="1597"/>
      <c r="E705" s="1597"/>
      <c r="F705" s="1597"/>
      <c r="G705" s="1597"/>
      <c r="H705" s="1597"/>
      <c r="I705" s="1597"/>
      <c r="J705" s="1597"/>
      <c r="K705" s="1597"/>
      <c r="L705" s="1597"/>
      <c r="M705" s="1597"/>
      <c r="N705" s="1597"/>
      <c r="O705" s="1597"/>
      <c r="P705" s="1597"/>
      <c r="Q705" s="1597"/>
      <c r="R705" s="1597"/>
      <c r="S705" s="1597"/>
      <c r="T705" s="1597"/>
    </row>
    <row r="706" spans="1:20" ht="13.5" customHeight="1">
      <c r="A706" s="1597"/>
      <c r="B706" s="1597"/>
      <c r="C706" s="1597"/>
      <c r="D706" s="1597"/>
      <c r="E706" s="1597"/>
      <c r="F706" s="1597"/>
      <c r="G706" s="1597"/>
      <c r="H706" s="1597"/>
      <c r="I706" s="1597"/>
      <c r="J706" s="1597"/>
      <c r="K706" s="1597"/>
      <c r="L706" s="1597"/>
      <c r="M706" s="1597"/>
      <c r="N706" s="1597"/>
      <c r="O706" s="1597"/>
      <c r="P706" s="1597"/>
      <c r="Q706" s="1597"/>
      <c r="R706" s="1597"/>
      <c r="S706" s="1597"/>
      <c r="T706" s="1597"/>
    </row>
    <row r="707" spans="1:20" ht="13.5" customHeight="1">
      <c r="A707" s="1597"/>
      <c r="B707" s="1597"/>
      <c r="C707" s="1597"/>
      <c r="D707" s="1597"/>
      <c r="E707" s="1597"/>
      <c r="F707" s="1597"/>
      <c r="G707" s="1597"/>
      <c r="H707" s="1597"/>
      <c r="I707" s="1597"/>
      <c r="J707" s="1597"/>
      <c r="K707" s="1597"/>
      <c r="L707" s="1597"/>
      <c r="M707" s="1597"/>
      <c r="N707" s="1597"/>
      <c r="O707" s="1597"/>
      <c r="P707" s="1597"/>
      <c r="Q707" s="1597"/>
      <c r="R707" s="1597"/>
      <c r="S707" s="1597"/>
      <c r="T707" s="1597"/>
    </row>
    <row r="708" spans="1:20" ht="13.5" customHeight="1">
      <c r="A708" s="1597"/>
      <c r="B708" s="1597"/>
      <c r="C708" s="1597"/>
      <c r="D708" s="1597"/>
      <c r="E708" s="1597"/>
      <c r="F708" s="1597"/>
      <c r="G708" s="1597"/>
      <c r="H708" s="1597"/>
      <c r="I708" s="1597"/>
      <c r="J708" s="1597"/>
      <c r="K708" s="1597"/>
      <c r="L708" s="1597"/>
      <c r="M708" s="1597"/>
      <c r="N708" s="1597"/>
      <c r="O708" s="1597"/>
      <c r="P708" s="1597"/>
      <c r="Q708" s="1597"/>
      <c r="R708" s="1597"/>
      <c r="S708" s="1597"/>
      <c r="T708" s="1597"/>
    </row>
    <row r="709" spans="1:20" ht="13.5" customHeight="1">
      <c r="A709" s="1597"/>
      <c r="B709" s="1597"/>
      <c r="C709" s="1597"/>
      <c r="D709" s="1597"/>
      <c r="E709" s="1597"/>
      <c r="F709" s="1597"/>
      <c r="G709" s="1597"/>
      <c r="H709" s="1597"/>
      <c r="I709" s="1597"/>
      <c r="J709" s="1597"/>
      <c r="K709" s="1597"/>
      <c r="L709" s="1597"/>
      <c r="M709" s="1597"/>
      <c r="N709" s="1597"/>
      <c r="O709" s="1597"/>
      <c r="P709" s="1597"/>
      <c r="Q709" s="1597"/>
      <c r="R709" s="1597"/>
      <c r="S709" s="1597"/>
      <c r="T709" s="1597"/>
    </row>
    <row r="710" spans="1:20" ht="13.5" customHeight="1">
      <c r="A710" s="1597"/>
      <c r="B710" s="1597"/>
      <c r="C710" s="1597"/>
      <c r="D710" s="1597"/>
      <c r="E710" s="1597"/>
      <c r="F710" s="1597"/>
      <c r="G710" s="1597"/>
      <c r="H710" s="1597"/>
      <c r="I710" s="1597"/>
      <c r="J710" s="1597"/>
      <c r="K710" s="1597"/>
      <c r="L710" s="1597"/>
      <c r="M710" s="1597"/>
      <c r="N710" s="1597"/>
      <c r="O710" s="1597"/>
      <c r="P710" s="1597"/>
      <c r="Q710" s="1597"/>
      <c r="R710" s="1597"/>
      <c r="S710" s="1597"/>
      <c r="T710" s="1597"/>
    </row>
    <row r="711" spans="1:20" ht="13.5" customHeight="1">
      <c r="A711" s="1597"/>
      <c r="B711" s="1597"/>
      <c r="C711" s="1597"/>
      <c r="D711" s="1597"/>
      <c r="E711" s="1597"/>
      <c r="F711" s="1597"/>
      <c r="G711" s="1597"/>
      <c r="H711" s="1597"/>
      <c r="I711" s="1597"/>
      <c r="J711" s="1597"/>
      <c r="K711" s="1597"/>
      <c r="L711" s="1597"/>
      <c r="M711" s="1597"/>
      <c r="N711" s="1597"/>
      <c r="O711" s="1597"/>
      <c r="P711" s="1597"/>
      <c r="Q711" s="1597"/>
      <c r="R711" s="1597"/>
      <c r="S711" s="1597"/>
      <c r="T711" s="1597"/>
    </row>
    <row r="712" spans="1:20" ht="13.5" customHeight="1">
      <c r="A712" s="1597"/>
      <c r="B712" s="1597"/>
      <c r="C712" s="1597"/>
      <c r="D712" s="1597"/>
      <c r="E712" s="1597"/>
      <c r="F712" s="1597"/>
      <c r="G712" s="1597"/>
      <c r="H712" s="1597"/>
      <c r="I712" s="1597"/>
      <c r="J712" s="1597"/>
      <c r="K712" s="1597"/>
      <c r="L712" s="1597"/>
      <c r="M712" s="1597"/>
      <c r="N712" s="1597"/>
      <c r="O712" s="1597"/>
      <c r="P712" s="1597"/>
      <c r="Q712" s="1597"/>
      <c r="R712" s="1597"/>
      <c r="S712" s="1597"/>
      <c r="T712" s="1597"/>
    </row>
    <row r="713" spans="1:20" ht="13.5" customHeight="1">
      <c r="A713" s="1597"/>
      <c r="B713" s="1597"/>
      <c r="C713" s="1597"/>
      <c r="D713" s="1597"/>
      <c r="E713" s="1597"/>
      <c r="F713" s="1597"/>
      <c r="G713" s="1597"/>
      <c r="H713" s="1597"/>
      <c r="I713" s="1597"/>
      <c r="J713" s="1597"/>
      <c r="K713" s="1597"/>
      <c r="L713" s="1597"/>
      <c r="M713" s="1597"/>
      <c r="N713" s="1597"/>
      <c r="O713" s="1597"/>
      <c r="P713" s="1597"/>
      <c r="Q713" s="1597"/>
      <c r="R713" s="1597"/>
      <c r="S713" s="1597"/>
      <c r="T713" s="1597"/>
    </row>
    <row r="714" spans="1:20" ht="13.5" customHeight="1">
      <c r="A714" s="1597"/>
      <c r="B714" s="1597"/>
      <c r="C714" s="1597"/>
      <c r="D714" s="1597"/>
      <c r="E714" s="1597"/>
      <c r="F714" s="1597"/>
      <c r="G714" s="1597"/>
      <c r="H714" s="1597"/>
      <c r="I714" s="1597"/>
      <c r="J714" s="1597"/>
      <c r="K714" s="1597"/>
      <c r="L714" s="1597"/>
      <c r="M714" s="1597"/>
      <c r="N714" s="1597"/>
      <c r="O714" s="1597"/>
      <c r="P714" s="1597"/>
      <c r="Q714" s="1597"/>
      <c r="R714" s="1597"/>
      <c r="S714" s="1597"/>
      <c r="T714" s="1597"/>
    </row>
    <row r="715" spans="1:20" ht="13.5" customHeight="1">
      <c r="A715" s="1597"/>
      <c r="B715" s="1597"/>
      <c r="C715" s="1597"/>
      <c r="D715" s="1597"/>
      <c r="E715" s="1597"/>
      <c r="F715" s="1597"/>
      <c r="G715" s="1597"/>
      <c r="H715" s="1597"/>
      <c r="I715" s="1597"/>
      <c r="J715" s="1597"/>
      <c r="K715" s="1597"/>
      <c r="L715" s="1597"/>
      <c r="M715" s="1597"/>
      <c r="N715" s="1597"/>
      <c r="O715" s="1597"/>
      <c r="P715" s="1597"/>
      <c r="Q715" s="1597"/>
      <c r="R715" s="1597"/>
      <c r="S715" s="1597"/>
      <c r="T715" s="1597"/>
    </row>
    <row r="716" spans="1:20" ht="13.5" customHeight="1">
      <c r="A716" s="1597"/>
      <c r="B716" s="1597"/>
      <c r="C716" s="1597"/>
      <c r="D716" s="1597"/>
      <c r="E716" s="1597"/>
      <c r="F716" s="1597"/>
      <c r="G716" s="1597"/>
      <c r="H716" s="1597"/>
      <c r="I716" s="1597"/>
      <c r="J716" s="1597"/>
      <c r="K716" s="1597"/>
      <c r="L716" s="1597"/>
      <c r="M716" s="1597"/>
      <c r="N716" s="1597"/>
      <c r="O716" s="1597"/>
      <c r="P716" s="1597"/>
      <c r="Q716" s="1597"/>
      <c r="R716" s="1597"/>
      <c r="S716" s="1597"/>
      <c r="T716" s="1597"/>
    </row>
    <row r="717" spans="1:20" ht="13.5" customHeight="1">
      <c r="A717" s="1597"/>
      <c r="B717" s="1597"/>
      <c r="C717" s="1597"/>
      <c r="D717" s="1597"/>
      <c r="E717" s="1597"/>
      <c r="F717" s="1597"/>
      <c r="G717" s="1597"/>
      <c r="H717" s="1597"/>
      <c r="I717" s="1597"/>
      <c r="J717" s="1597"/>
      <c r="K717" s="1597"/>
      <c r="L717" s="1597"/>
      <c r="M717" s="1597"/>
      <c r="N717" s="1597"/>
      <c r="O717" s="1597"/>
      <c r="P717" s="1597"/>
      <c r="Q717" s="1597"/>
      <c r="R717" s="1597"/>
      <c r="S717" s="1597"/>
      <c r="T717" s="1597"/>
    </row>
    <row r="718" spans="1:20" ht="13.5" customHeight="1">
      <c r="A718" s="1597"/>
      <c r="B718" s="1597"/>
      <c r="C718" s="1597"/>
      <c r="D718" s="1597"/>
      <c r="E718" s="1597"/>
      <c r="F718" s="1597"/>
      <c r="G718" s="1597"/>
      <c r="H718" s="1597"/>
      <c r="I718" s="1597"/>
      <c r="J718" s="1597"/>
      <c r="K718" s="1597"/>
      <c r="L718" s="1597"/>
      <c r="M718" s="1597"/>
      <c r="N718" s="1597"/>
      <c r="O718" s="1597"/>
      <c r="P718" s="1597"/>
      <c r="Q718" s="1597"/>
      <c r="R718" s="1597"/>
      <c r="S718" s="1597"/>
      <c r="T718" s="1597"/>
    </row>
    <row r="719" spans="1:20" ht="13.5" customHeight="1">
      <c r="A719" s="1597"/>
      <c r="B719" s="1597"/>
      <c r="C719" s="1597"/>
      <c r="D719" s="1597"/>
      <c r="E719" s="1597"/>
      <c r="F719" s="1597"/>
      <c r="G719" s="1597"/>
      <c r="H719" s="1597"/>
      <c r="I719" s="1597"/>
      <c r="J719" s="1597"/>
      <c r="K719" s="1597"/>
      <c r="L719" s="1597"/>
      <c r="M719" s="1597"/>
      <c r="N719" s="1597"/>
      <c r="O719" s="1597"/>
      <c r="P719" s="1597"/>
      <c r="Q719" s="1597"/>
      <c r="R719" s="1597"/>
      <c r="S719" s="1597"/>
      <c r="T719" s="1597"/>
    </row>
    <row r="720" spans="1:20" ht="13.5" customHeight="1">
      <c r="A720" s="1597"/>
      <c r="B720" s="1597"/>
      <c r="C720" s="1597"/>
      <c r="D720" s="1597"/>
      <c r="E720" s="1597"/>
      <c r="F720" s="1597"/>
      <c r="G720" s="1597"/>
      <c r="H720" s="1597"/>
      <c r="I720" s="1597"/>
      <c r="J720" s="1597"/>
      <c r="K720" s="1597"/>
      <c r="L720" s="1597"/>
      <c r="M720" s="1597"/>
      <c r="N720" s="1597"/>
      <c r="O720" s="1597"/>
      <c r="P720" s="1597"/>
      <c r="Q720" s="1597"/>
      <c r="R720" s="1597"/>
      <c r="S720" s="1597"/>
      <c r="T720" s="1597"/>
    </row>
    <row r="721" spans="1:20" ht="13.5" customHeight="1">
      <c r="A721" s="1597"/>
      <c r="B721" s="1597"/>
      <c r="C721" s="1597"/>
      <c r="D721" s="1597"/>
      <c r="E721" s="1597"/>
      <c r="F721" s="1597"/>
      <c r="G721" s="1597"/>
      <c r="H721" s="1597"/>
      <c r="I721" s="1597"/>
      <c r="J721" s="1597"/>
      <c r="K721" s="1597"/>
      <c r="L721" s="1597"/>
      <c r="M721" s="1597"/>
      <c r="N721" s="1597"/>
      <c r="O721" s="1597"/>
      <c r="P721" s="1597"/>
      <c r="Q721" s="1597"/>
      <c r="R721" s="1597"/>
      <c r="S721" s="1597"/>
      <c r="T721" s="1597"/>
    </row>
    <row r="722" spans="1:20" ht="13.5" customHeight="1">
      <c r="A722" s="1597"/>
      <c r="B722" s="1597"/>
      <c r="C722" s="1597"/>
      <c r="D722" s="1597"/>
      <c r="E722" s="1597"/>
      <c r="F722" s="1597"/>
      <c r="G722" s="1597"/>
      <c r="H722" s="1597"/>
      <c r="I722" s="1597"/>
      <c r="J722" s="1597"/>
      <c r="K722" s="1597"/>
      <c r="L722" s="1597"/>
      <c r="M722" s="1597"/>
      <c r="N722" s="1597"/>
      <c r="O722" s="1597"/>
      <c r="P722" s="1597"/>
      <c r="Q722" s="1597"/>
      <c r="R722" s="1597"/>
      <c r="S722" s="1597"/>
      <c r="T722" s="1597"/>
    </row>
    <row r="723" spans="1:20" ht="13.5" customHeight="1">
      <c r="A723" s="1597"/>
      <c r="B723" s="1597"/>
      <c r="C723" s="1597"/>
      <c r="D723" s="1597"/>
      <c r="E723" s="1597"/>
      <c r="F723" s="1597"/>
      <c r="G723" s="1597"/>
      <c r="H723" s="1597"/>
      <c r="I723" s="1597"/>
      <c r="J723" s="1597"/>
      <c r="K723" s="1597"/>
      <c r="L723" s="1597"/>
      <c r="M723" s="1597"/>
      <c r="N723" s="1597"/>
      <c r="O723" s="1597"/>
      <c r="P723" s="1597"/>
      <c r="Q723" s="1597"/>
      <c r="R723" s="1597"/>
      <c r="S723" s="1597"/>
      <c r="T723" s="1597"/>
    </row>
    <row r="724" spans="1:20" ht="13.5" customHeight="1">
      <c r="A724" s="1597"/>
      <c r="B724" s="1597"/>
      <c r="C724" s="1597"/>
      <c r="D724" s="1597"/>
      <c r="E724" s="1597"/>
      <c r="F724" s="1597"/>
      <c r="G724" s="1597"/>
      <c r="H724" s="1597"/>
      <c r="I724" s="1597"/>
      <c r="J724" s="1597"/>
      <c r="K724" s="1597"/>
      <c r="L724" s="1597"/>
      <c r="M724" s="1597"/>
      <c r="N724" s="1597"/>
      <c r="O724" s="1597"/>
      <c r="P724" s="1597"/>
      <c r="Q724" s="1597"/>
      <c r="R724" s="1597"/>
      <c r="S724" s="1597"/>
      <c r="T724" s="1597"/>
    </row>
    <row r="725" spans="1:20" ht="13.5" customHeight="1">
      <c r="A725" s="1597"/>
      <c r="B725" s="1597"/>
      <c r="C725" s="1597"/>
      <c r="D725" s="1597"/>
      <c r="E725" s="1597"/>
      <c r="F725" s="1597"/>
      <c r="G725" s="1597"/>
      <c r="H725" s="1597"/>
      <c r="I725" s="1597"/>
      <c r="J725" s="1597"/>
      <c r="K725" s="1597"/>
      <c r="L725" s="1597"/>
      <c r="M725" s="1597"/>
      <c r="N725" s="1597"/>
      <c r="O725" s="1597"/>
      <c r="P725" s="1597"/>
      <c r="Q725" s="1597"/>
      <c r="R725" s="1597"/>
      <c r="S725" s="1597"/>
      <c r="T725" s="1597"/>
    </row>
    <row r="726" spans="1:20" ht="13.5" customHeight="1">
      <c r="A726" s="1597"/>
      <c r="B726" s="1597"/>
      <c r="C726" s="1597"/>
      <c r="D726" s="1597"/>
      <c r="E726" s="1597"/>
      <c r="F726" s="1597"/>
      <c r="G726" s="1597"/>
      <c r="H726" s="1597"/>
      <c r="I726" s="1597"/>
      <c r="J726" s="1597"/>
      <c r="K726" s="1597"/>
      <c r="L726" s="1597"/>
      <c r="M726" s="1597"/>
      <c r="N726" s="1597"/>
      <c r="O726" s="1597"/>
      <c r="P726" s="1597"/>
      <c r="Q726" s="1597"/>
      <c r="R726" s="1597"/>
      <c r="S726" s="1597"/>
      <c r="T726" s="1597"/>
    </row>
    <row r="727" spans="1:20" ht="13.5" customHeight="1">
      <c r="A727" s="1597"/>
      <c r="B727" s="1597"/>
      <c r="C727" s="1597"/>
      <c r="D727" s="1597"/>
      <c r="E727" s="1597"/>
      <c r="F727" s="1597"/>
      <c r="G727" s="1597"/>
      <c r="H727" s="1597"/>
      <c r="I727" s="1597"/>
      <c r="J727" s="1597"/>
      <c r="K727" s="1597"/>
      <c r="L727" s="1597"/>
      <c r="M727" s="1597"/>
      <c r="N727" s="1597"/>
      <c r="O727" s="1597"/>
      <c r="P727" s="1597"/>
      <c r="Q727" s="1597"/>
      <c r="R727" s="1597"/>
      <c r="S727" s="1597"/>
      <c r="T727" s="1597"/>
    </row>
    <row r="728" spans="1:20" ht="13.5" customHeight="1">
      <c r="A728" s="1597"/>
      <c r="B728" s="1597"/>
      <c r="C728" s="1597"/>
      <c r="D728" s="1597"/>
      <c r="E728" s="1597"/>
      <c r="F728" s="1597"/>
      <c r="G728" s="1597"/>
      <c r="H728" s="1597"/>
      <c r="I728" s="1597"/>
      <c r="J728" s="1597"/>
      <c r="K728" s="1597"/>
      <c r="L728" s="1597"/>
      <c r="M728" s="1597"/>
      <c r="N728" s="1597"/>
      <c r="O728" s="1597"/>
      <c r="P728" s="1597"/>
      <c r="Q728" s="1597"/>
      <c r="R728" s="1597"/>
      <c r="S728" s="1597"/>
      <c r="T728" s="1597"/>
    </row>
    <row r="729" spans="1:20" ht="13.5" customHeight="1">
      <c r="A729" s="1597"/>
      <c r="B729" s="1597"/>
      <c r="C729" s="1597"/>
      <c r="D729" s="1597"/>
      <c r="E729" s="1597"/>
      <c r="F729" s="1597"/>
      <c r="G729" s="1597"/>
      <c r="H729" s="1597"/>
      <c r="I729" s="1597"/>
      <c r="J729" s="1597"/>
      <c r="K729" s="1597"/>
      <c r="L729" s="1597"/>
      <c r="M729" s="1597"/>
      <c r="N729" s="1597"/>
      <c r="O729" s="1597"/>
      <c r="P729" s="1597"/>
      <c r="Q729" s="1597"/>
      <c r="R729" s="1597"/>
      <c r="S729" s="1597"/>
      <c r="T729" s="1597"/>
    </row>
    <row r="730" spans="1:20" ht="13.5" customHeight="1">
      <c r="A730" s="1597"/>
      <c r="B730" s="1597"/>
      <c r="C730" s="1597"/>
      <c r="D730" s="1597"/>
      <c r="E730" s="1597"/>
      <c r="F730" s="1597"/>
      <c r="G730" s="1597"/>
      <c r="H730" s="1597"/>
      <c r="I730" s="1597"/>
      <c r="J730" s="1597"/>
      <c r="K730" s="1597"/>
      <c r="L730" s="1597"/>
      <c r="M730" s="1597"/>
      <c r="N730" s="1597"/>
      <c r="O730" s="1597"/>
      <c r="P730" s="1597"/>
      <c r="Q730" s="1597"/>
      <c r="R730" s="1597"/>
      <c r="S730" s="1597"/>
      <c r="T730" s="1597"/>
    </row>
    <row r="731" spans="1:20" ht="13.5" customHeight="1">
      <c r="A731" s="1597"/>
      <c r="B731" s="1597"/>
      <c r="C731" s="1597"/>
      <c r="D731" s="1597"/>
      <c r="E731" s="1597"/>
      <c r="F731" s="1597"/>
      <c r="G731" s="1597"/>
      <c r="H731" s="1597"/>
      <c r="I731" s="1597"/>
      <c r="J731" s="1597"/>
      <c r="K731" s="1597"/>
      <c r="L731" s="1597"/>
      <c r="M731" s="1597"/>
      <c r="N731" s="1597"/>
      <c r="O731" s="1597"/>
      <c r="P731" s="1597"/>
      <c r="Q731" s="1597"/>
      <c r="R731" s="1597"/>
      <c r="S731" s="1597"/>
      <c r="T731" s="1597"/>
    </row>
    <row r="732" spans="1:20" ht="13.5" customHeight="1">
      <c r="A732" s="1597"/>
      <c r="B732" s="1597"/>
      <c r="C732" s="1597"/>
      <c r="D732" s="1597"/>
      <c r="E732" s="1597"/>
      <c r="F732" s="1597"/>
      <c r="G732" s="1597"/>
      <c r="H732" s="1597"/>
      <c r="I732" s="1597"/>
      <c r="J732" s="1597"/>
      <c r="K732" s="1597"/>
      <c r="L732" s="1597"/>
      <c r="M732" s="1597"/>
      <c r="N732" s="1597"/>
      <c r="O732" s="1597"/>
      <c r="P732" s="1597"/>
      <c r="Q732" s="1597"/>
      <c r="R732" s="1597"/>
      <c r="S732" s="1597"/>
      <c r="T732" s="1597"/>
    </row>
    <row r="733" spans="1:20" ht="13.5" customHeight="1">
      <c r="A733" s="1597"/>
      <c r="B733" s="1597"/>
      <c r="C733" s="1597"/>
      <c r="D733" s="1597"/>
      <c r="E733" s="1597"/>
      <c r="F733" s="1597"/>
      <c r="G733" s="1597"/>
      <c r="H733" s="1597"/>
      <c r="I733" s="1597"/>
      <c r="J733" s="1597"/>
      <c r="K733" s="1597"/>
      <c r="L733" s="1597"/>
      <c r="M733" s="1597"/>
      <c r="N733" s="1597"/>
      <c r="O733" s="1597"/>
      <c r="P733" s="1597"/>
      <c r="Q733" s="1597"/>
      <c r="R733" s="1597"/>
      <c r="S733" s="1597"/>
      <c r="T733" s="1597"/>
    </row>
    <row r="734" spans="1:20" ht="13.5" customHeight="1">
      <c r="A734" s="1597"/>
      <c r="B734" s="1597"/>
      <c r="C734" s="1597"/>
      <c r="D734" s="1597"/>
      <c r="E734" s="1597"/>
      <c r="F734" s="1597"/>
      <c r="G734" s="1597"/>
      <c r="H734" s="1597"/>
      <c r="I734" s="1597"/>
      <c r="J734" s="1597"/>
      <c r="K734" s="1597"/>
      <c r="L734" s="1597"/>
      <c r="M734" s="1597"/>
      <c r="N734" s="1597"/>
      <c r="O734" s="1597"/>
      <c r="P734" s="1597"/>
      <c r="Q734" s="1597"/>
      <c r="R734" s="1597"/>
      <c r="S734" s="1597"/>
      <c r="T734" s="1597"/>
    </row>
    <row r="735" spans="1:20" ht="13.5" customHeight="1">
      <c r="A735" s="1597"/>
      <c r="B735" s="1597"/>
      <c r="C735" s="1597"/>
      <c r="D735" s="1597"/>
      <c r="E735" s="1597"/>
      <c r="F735" s="1597"/>
      <c r="G735" s="1597"/>
      <c r="H735" s="1597"/>
      <c r="I735" s="1597"/>
      <c r="J735" s="1597"/>
      <c r="K735" s="1597"/>
      <c r="L735" s="1597"/>
      <c r="M735" s="1597"/>
      <c r="N735" s="1597"/>
      <c r="O735" s="1597"/>
      <c r="P735" s="1597"/>
      <c r="Q735" s="1597"/>
      <c r="R735" s="1597"/>
      <c r="S735" s="1597"/>
      <c r="T735" s="1597"/>
    </row>
    <row r="736" spans="1:20" ht="13.5" customHeight="1">
      <c r="A736" s="1597"/>
      <c r="B736" s="1597"/>
      <c r="C736" s="1597"/>
      <c r="D736" s="1597"/>
      <c r="E736" s="1597"/>
      <c r="F736" s="1597"/>
      <c r="G736" s="1597"/>
      <c r="H736" s="1597"/>
      <c r="I736" s="1597"/>
      <c r="J736" s="1597"/>
      <c r="K736" s="1597"/>
      <c r="L736" s="1597"/>
      <c r="M736" s="1597"/>
      <c r="N736" s="1597"/>
      <c r="O736" s="1597"/>
      <c r="P736" s="1597"/>
      <c r="Q736" s="1597"/>
      <c r="R736" s="1597"/>
      <c r="S736" s="1597"/>
      <c r="T736" s="1597"/>
    </row>
    <row r="737" spans="1:20" ht="13.5" customHeight="1">
      <c r="A737" s="1597"/>
      <c r="B737" s="1597"/>
      <c r="C737" s="1597"/>
      <c r="D737" s="1597"/>
      <c r="E737" s="1597"/>
      <c r="F737" s="1597"/>
      <c r="G737" s="1597"/>
      <c r="H737" s="1597"/>
      <c r="I737" s="1597"/>
      <c r="J737" s="1597"/>
      <c r="K737" s="1597"/>
      <c r="L737" s="1597"/>
      <c r="M737" s="1597"/>
      <c r="N737" s="1597"/>
      <c r="O737" s="1597"/>
      <c r="P737" s="1597"/>
      <c r="Q737" s="1597"/>
      <c r="R737" s="1597"/>
      <c r="S737" s="1597"/>
      <c r="T737" s="1597"/>
    </row>
    <row r="738" spans="1:20" ht="13.5" customHeight="1">
      <c r="A738" s="1597"/>
      <c r="B738" s="1597"/>
      <c r="C738" s="1597"/>
      <c r="D738" s="1597"/>
      <c r="E738" s="1597"/>
      <c r="F738" s="1597"/>
      <c r="G738" s="1597"/>
      <c r="H738" s="1597"/>
      <c r="I738" s="1597"/>
      <c r="J738" s="1597"/>
      <c r="K738" s="1597"/>
      <c r="L738" s="1597"/>
      <c r="M738" s="1597"/>
      <c r="N738" s="1597"/>
      <c r="O738" s="1597"/>
      <c r="P738" s="1597"/>
      <c r="Q738" s="1597"/>
      <c r="R738" s="1597"/>
      <c r="S738" s="1597"/>
      <c r="T738" s="1597"/>
    </row>
    <row r="739" spans="1:20" ht="13.5" customHeight="1">
      <c r="A739" s="1597"/>
      <c r="B739" s="1597"/>
      <c r="C739" s="1597"/>
      <c r="D739" s="1597"/>
      <c r="E739" s="1597"/>
      <c r="F739" s="1597"/>
      <c r="G739" s="1597"/>
      <c r="H739" s="1597"/>
      <c r="I739" s="1597"/>
      <c r="J739" s="1597"/>
      <c r="K739" s="1597"/>
      <c r="L739" s="1597"/>
      <c r="M739" s="1597"/>
      <c r="N739" s="1597"/>
      <c r="O739" s="1597"/>
      <c r="P739" s="1597"/>
      <c r="Q739" s="1597"/>
      <c r="R739" s="1597"/>
      <c r="S739" s="1597"/>
      <c r="T739" s="1597"/>
    </row>
    <row r="740" spans="1:20" ht="13.5" customHeight="1">
      <c r="A740" s="1597"/>
      <c r="B740" s="1597"/>
      <c r="C740" s="1597"/>
      <c r="D740" s="1597"/>
      <c r="E740" s="1597"/>
      <c r="F740" s="1597"/>
      <c r="G740" s="1597"/>
      <c r="H740" s="1597"/>
      <c r="I740" s="1597"/>
      <c r="J740" s="1597"/>
      <c r="K740" s="1597"/>
      <c r="L740" s="1597"/>
      <c r="M740" s="1597"/>
      <c r="N740" s="1597"/>
      <c r="O740" s="1597"/>
      <c r="P740" s="1597"/>
      <c r="Q740" s="1597"/>
      <c r="R740" s="1597"/>
      <c r="S740" s="1597"/>
      <c r="T740" s="1597"/>
    </row>
    <row r="741" spans="1:20" ht="13.5" customHeight="1">
      <c r="A741" s="1597"/>
      <c r="B741" s="1597"/>
      <c r="C741" s="1597"/>
      <c r="D741" s="1597"/>
      <c r="E741" s="1597"/>
      <c r="F741" s="1597"/>
      <c r="G741" s="1597"/>
      <c r="H741" s="1597"/>
      <c r="I741" s="1597"/>
      <c r="J741" s="1597"/>
      <c r="K741" s="1597"/>
      <c r="L741" s="1597"/>
      <c r="M741" s="1597"/>
      <c r="N741" s="1597"/>
      <c r="O741" s="1597"/>
      <c r="P741" s="1597"/>
      <c r="Q741" s="1597"/>
      <c r="R741" s="1597"/>
      <c r="S741" s="1597"/>
      <c r="T741" s="1597"/>
    </row>
    <row r="742" spans="1:20" ht="13.5" customHeight="1">
      <c r="A742" s="1597"/>
      <c r="B742" s="1597"/>
      <c r="C742" s="1597"/>
      <c r="D742" s="1597"/>
      <c r="E742" s="1597"/>
      <c r="F742" s="1597"/>
      <c r="G742" s="1597"/>
      <c r="H742" s="1597"/>
      <c r="I742" s="1597"/>
      <c r="J742" s="1597"/>
      <c r="K742" s="1597"/>
      <c r="L742" s="1597"/>
      <c r="M742" s="1597"/>
      <c r="N742" s="1597"/>
      <c r="O742" s="1597"/>
      <c r="P742" s="1597"/>
      <c r="Q742" s="1597"/>
      <c r="R742" s="1597"/>
      <c r="S742" s="1597"/>
      <c r="T742" s="1597"/>
    </row>
    <row r="743" spans="1:20" ht="13.5" customHeight="1">
      <c r="A743" s="1597"/>
      <c r="B743" s="1597"/>
      <c r="C743" s="1597"/>
      <c r="D743" s="1597"/>
      <c r="E743" s="1597"/>
      <c r="F743" s="1597"/>
      <c r="G743" s="1597"/>
      <c r="H743" s="1597"/>
      <c r="I743" s="1597"/>
      <c r="J743" s="1597"/>
      <c r="K743" s="1597"/>
      <c r="L743" s="1597"/>
      <c r="M743" s="1597"/>
      <c r="N743" s="1597"/>
      <c r="O743" s="1597"/>
      <c r="P743" s="1597"/>
      <c r="Q743" s="1597"/>
      <c r="R743" s="1597"/>
      <c r="S743" s="1597"/>
      <c r="T743" s="1597"/>
    </row>
    <row r="744" spans="1:20" ht="13.5" customHeight="1">
      <c r="A744" s="1597"/>
      <c r="B744" s="1597"/>
      <c r="C744" s="1597"/>
      <c r="D744" s="1597"/>
      <c r="E744" s="1597"/>
      <c r="F744" s="1597"/>
      <c r="G744" s="1597"/>
      <c r="H744" s="1597"/>
      <c r="I744" s="1597"/>
      <c r="J744" s="1597"/>
      <c r="K744" s="1597"/>
      <c r="L744" s="1597"/>
      <c r="M744" s="1597"/>
      <c r="N744" s="1597"/>
      <c r="O744" s="1597"/>
      <c r="P744" s="1597"/>
      <c r="Q744" s="1597"/>
      <c r="R744" s="1597"/>
      <c r="S744" s="1597"/>
      <c r="T744" s="1597"/>
    </row>
    <row r="745" spans="1:20" ht="13.5" customHeight="1">
      <c r="A745" s="1597"/>
      <c r="B745" s="1597"/>
      <c r="C745" s="1597"/>
      <c r="D745" s="1597"/>
      <c r="E745" s="1597"/>
      <c r="F745" s="1597"/>
      <c r="G745" s="1597"/>
      <c r="H745" s="1597"/>
      <c r="I745" s="1597"/>
      <c r="J745" s="1597"/>
      <c r="K745" s="1597"/>
      <c r="L745" s="1597"/>
      <c r="M745" s="1597"/>
      <c r="N745" s="1597"/>
      <c r="O745" s="1597"/>
      <c r="P745" s="1597"/>
      <c r="Q745" s="1597"/>
      <c r="R745" s="1597"/>
      <c r="S745" s="1597"/>
      <c r="T745" s="1597"/>
    </row>
    <row r="746" spans="1:20" ht="13.5" customHeight="1">
      <c r="A746" s="1597"/>
      <c r="B746" s="1597"/>
      <c r="C746" s="1597"/>
      <c r="D746" s="1597"/>
      <c r="E746" s="1597"/>
      <c r="F746" s="1597"/>
      <c r="G746" s="1597"/>
      <c r="H746" s="1597"/>
      <c r="I746" s="1597"/>
      <c r="J746" s="1597"/>
      <c r="K746" s="1597"/>
      <c r="L746" s="1597"/>
      <c r="M746" s="1597"/>
      <c r="N746" s="1597"/>
      <c r="O746" s="1597"/>
      <c r="P746" s="1597"/>
      <c r="Q746" s="1597"/>
      <c r="R746" s="1597"/>
      <c r="S746" s="1597"/>
      <c r="T746" s="1597"/>
    </row>
    <row r="747" spans="1:20" ht="13.5" customHeight="1">
      <c r="A747" s="1597"/>
      <c r="B747" s="1597"/>
      <c r="C747" s="1597"/>
      <c r="D747" s="1597"/>
      <c r="E747" s="1597"/>
      <c r="F747" s="1597"/>
      <c r="G747" s="1597"/>
      <c r="H747" s="1597"/>
      <c r="I747" s="1597"/>
      <c r="J747" s="1597"/>
      <c r="K747" s="1597"/>
      <c r="L747" s="1597"/>
      <c r="M747" s="1597"/>
      <c r="N747" s="1597"/>
      <c r="O747" s="1597"/>
      <c r="P747" s="1597"/>
      <c r="Q747" s="1597"/>
      <c r="R747" s="1597"/>
      <c r="S747" s="1597"/>
      <c r="T747" s="1597"/>
    </row>
    <row r="748" spans="1:20" ht="13.5" customHeight="1">
      <c r="A748" s="1597"/>
      <c r="B748" s="1597"/>
      <c r="C748" s="1597"/>
      <c r="D748" s="1597"/>
      <c r="E748" s="1597"/>
      <c r="F748" s="1597"/>
      <c r="G748" s="1597"/>
      <c r="H748" s="1597"/>
      <c r="I748" s="1597"/>
      <c r="J748" s="1597"/>
      <c r="K748" s="1597"/>
      <c r="L748" s="1597"/>
      <c r="M748" s="1597"/>
      <c r="N748" s="1597"/>
      <c r="O748" s="1597"/>
      <c r="P748" s="1597"/>
      <c r="Q748" s="1597"/>
      <c r="R748" s="1597"/>
      <c r="S748" s="1597"/>
      <c r="T748" s="1597"/>
    </row>
    <row r="749" spans="1:20" ht="13.5" customHeight="1">
      <c r="A749" s="1597"/>
      <c r="B749" s="1597"/>
      <c r="C749" s="1597"/>
      <c r="D749" s="1597"/>
      <c r="E749" s="1597"/>
      <c r="F749" s="1597"/>
      <c r="G749" s="1597"/>
      <c r="H749" s="1597"/>
      <c r="I749" s="1597"/>
      <c r="J749" s="1597"/>
      <c r="K749" s="1597"/>
      <c r="L749" s="1597"/>
      <c r="M749" s="1597"/>
      <c r="N749" s="1597"/>
      <c r="O749" s="1597"/>
      <c r="P749" s="1597"/>
      <c r="Q749" s="1597"/>
      <c r="R749" s="1597"/>
      <c r="S749" s="1597"/>
      <c r="T749" s="1597"/>
    </row>
    <row r="750" spans="1:20" ht="13.5" customHeight="1">
      <c r="A750" s="1597"/>
      <c r="B750" s="1597"/>
      <c r="C750" s="1597"/>
      <c r="D750" s="1597"/>
      <c r="E750" s="1597"/>
      <c r="F750" s="1597"/>
      <c r="G750" s="1597"/>
      <c r="H750" s="1597"/>
      <c r="I750" s="1597"/>
      <c r="J750" s="1597"/>
      <c r="K750" s="1597"/>
      <c r="L750" s="1597"/>
      <c r="M750" s="1597"/>
      <c r="N750" s="1597"/>
      <c r="O750" s="1597"/>
      <c r="P750" s="1597"/>
      <c r="Q750" s="1597"/>
      <c r="R750" s="1597"/>
      <c r="S750" s="1597"/>
      <c r="T750" s="1597"/>
    </row>
    <row r="751" spans="1:20" ht="13.5" customHeight="1">
      <c r="A751" s="1597"/>
      <c r="B751" s="1597"/>
      <c r="C751" s="1597"/>
      <c r="D751" s="1597"/>
      <c r="E751" s="1597"/>
      <c r="F751" s="1597"/>
      <c r="G751" s="1597"/>
      <c r="H751" s="1597"/>
      <c r="I751" s="1597"/>
      <c r="J751" s="1597"/>
      <c r="K751" s="1597"/>
      <c r="L751" s="1597"/>
      <c r="M751" s="1597"/>
      <c r="N751" s="1597"/>
      <c r="O751" s="1597"/>
      <c r="P751" s="1597"/>
      <c r="Q751" s="1597"/>
      <c r="R751" s="1597"/>
      <c r="S751" s="1597"/>
      <c r="T751" s="1597"/>
    </row>
    <row r="752" spans="1:20" ht="13.5" customHeight="1">
      <c r="A752" s="1597"/>
      <c r="B752" s="1597"/>
      <c r="C752" s="1597"/>
      <c r="D752" s="1597"/>
      <c r="E752" s="1597"/>
      <c r="F752" s="1597"/>
      <c r="G752" s="1597"/>
      <c r="H752" s="1597"/>
      <c r="I752" s="1597"/>
      <c r="J752" s="1597"/>
      <c r="K752" s="1597"/>
      <c r="L752" s="1597"/>
      <c r="M752" s="1597"/>
      <c r="N752" s="1597"/>
      <c r="O752" s="1597"/>
      <c r="P752" s="1597"/>
      <c r="Q752" s="1597"/>
      <c r="R752" s="1597"/>
      <c r="S752" s="1597"/>
      <c r="T752" s="1597"/>
    </row>
    <row r="753" spans="1:20" ht="13.5" customHeight="1">
      <c r="A753" s="1597"/>
      <c r="B753" s="1597"/>
      <c r="C753" s="1597"/>
      <c r="D753" s="1597"/>
      <c r="E753" s="1597"/>
      <c r="F753" s="1597"/>
      <c r="G753" s="1597"/>
      <c r="H753" s="1597"/>
      <c r="I753" s="1597"/>
      <c r="J753" s="1597"/>
      <c r="K753" s="1597"/>
      <c r="L753" s="1597"/>
      <c r="M753" s="1597"/>
      <c r="N753" s="1597"/>
      <c r="O753" s="1597"/>
      <c r="P753" s="1597"/>
      <c r="Q753" s="1597"/>
      <c r="R753" s="1597"/>
      <c r="S753" s="1597"/>
      <c r="T753" s="1597"/>
    </row>
    <row r="754" spans="1:20" ht="13.5" customHeight="1">
      <c r="A754" s="1597"/>
      <c r="B754" s="1597"/>
      <c r="C754" s="1597"/>
      <c r="D754" s="1597"/>
      <c r="E754" s="1597"/>
      <c r="F754" s="1597"/>
      <c r="G754" s="1597"/>
      <c r="H754" s="1597"/>
      <c r="I754" s="1597"/>
      <c r="J754" s="1597"/>
      <c r="K754" s="1597"/>
      <c r="L754" s="1597"/>
      <c r="M754" s="1597"/>
      <c r="N754" s="1597"/>
      <c r="O754" s="1597"/>
      <c r="P754" s="1597"/>
      <c r="Q754" s="1597"/>
      <c r="R754" s="1597"/>
      <c r="S754" s="1597"/>
      <c r="T754" s="1597"/>
    </row>
    <row r="755" spans="1:20" ht="13.5" customHeight="1">
      <c r="A755" s="1597"/>
      <c r="B755" s="1597"/>
      <c r="C755" s="1597"/>
      <c r="D755" s="1597"/>
      <c r="E755" s="1597"/>
      <c r="F755" s="1597"/>
      <c r="G755" s="1597"/>
      <c r="H755" s="1597"/>
      <c r="I755" s="1597"/>
      <c r="J755" s="1597"/>
      <c r="K755" s="1597"/>
      <c r="L755" s="1597"/>
      <c r="M755" s="1597"/>
      <c r="N755" s="1597"/>
      <c r="O755" s="1597"/>
      <c r="P755" s="1597"/>
      <c r="Q755" s="1597"/>
      <c r="R755" s="1597"/>
      <c r="S755" s="1597"/>
      <c r="T755" s="1597"/>
    </row>
    <row r="756" spans="1:20" ht="13.5" customHeight="1">
      <c r="A756" s="1597"/>
      <c r="B756" s="1597"/>
      <c r="C756" s="1597"/>
      <c r="D756" s="1597"/>
      <c r="E756" s="1597"/>
      <c r="F756" s="1597"/>
      <c r="G756" s="1597"/>
      <c r="H756" s="1597"/>
      <c r="I756" s="1597"/>
      <c r="J756" s="1597"/>
      <c r="K756" s="1597"/>
      <c r="L756" s="1597"/>
      <c r="M756" s="1597"/>
      <c r="N756" s="1597"/>
      <c r="O756" s="1597"/>
      <c r="P756" s="1597"/>
      <c r="Q756" s="1597"/>
      <c r="R756" s="1597"/>
      <c r="S756" s="1597"/>
      <c r="T756" s="1597"/>
    </row>
    <row r="757" spans="1:20" ht="13.5" customHeight="1">
      <c r="A757" s="1597"/>
      <c r="B757" s="1597"/>
      <c r="C757" s="1597"/>
      <c r="D757" s="1597"/>
      <c r="E757" s="1597"/>
      <c r="F757" s="1597"/>
      <c r="G757" s="1597"/>
      <c r="H757" s="1597"/>
      <c r="I757" s="1597"/>
      <c r="J757" s="1597"/>
      <c r="K757" s="1597"/>
      <c r="L757" s="1597"/>
      <c r="M757" s="1597"/>
      <c r="N757" s="1597"/>
      <c r="O757" s="1597"/>
      <c r="P757" s="1597"/>
      <c r="Q757" s="1597"/>
      <c r="R757" s="1597"/>
      <c r="S757" s="1597"/>
      <c r="T757" s="1597"/>
    </row>
    <row r="758" spans="1:20" ht="13.5" customHeight="1">
      <c r="A758" s="1597"/>
      <c r="B758" s="1597"/>
      <c r="C758" s="1597"/>
      <c r="D758" s="1597"/>
      <c r="E758" s="1597"/>
      <c r="F758" s="1597"/>
      <c r="G758" s="1597"/>
      <c r="H758" s="1597"/>
      <c r="I758" s="1597"/>
      <c r="J758" s="1597"/>
      <c r="K758" s="1597"/>
      <c r="L758" s="1597"/>
      <c r="M758" s="1597"/>
      <c r="N758" s="1597"/>
      <c r="O758" s="1597"/>
      <c r="P758" s="1597"/>
      <c r="Q758" s="1597"/>
      <c r="R758" s="1597"/>
      <c r="S758" s="1597"/>
      <c r="T758" s="1597"/>
    </row>
    <row r="759" spans="1:20" ht="13.5" customHeight="1">
      <c r="A759" s="1597"/>
      <c r="B759" s="1597"/>
      <c r="C759" s="1597"/>
      <c r="D759" s="1597"/>
      <c r="E759" s="1597"/>
      <c r="F759" s="1597"/>
      <c r="G759" s="1597"/>
      <c r="H759" s="1597"/>
      <c r="I759" s="1597"/>
      <c r="J759" s="1597"/>
      <c r="K759" s="1597"/>
      <c r="L759" s="1597"/>
      <c r="M759" s="1597"/>
      <c r="N759" s="1597"/>
      <c r="O759" s="1597"/>
      <c r="P759" s="1597"/>
      <c r="Q759" s="1597"/>
      <c r="R759" s="1597"/>
      <c r="S759" s="1597"/>
      <c r="T759" s="1597"/>
    </row>
    <row r="760" spans="1:20" ht="13.5" customHeight="1">
      <c r="A760" s="1597"/>
      <c r="B760" s="1597"/>
      <c r="C760" s="1597"/>
      <c r="D760" s="1597"/>
      <c r="E760" s="1597"/>
      <c r="F760" s="1597"/>
      <c r="G760" s="1597"/>
      <c r="H760" s="1597"/>
      <c r="I760" s="1597"/>
      <c r="J760" s="1597"/>
      <c r="K760" s="1597"/>
      <c r="L760" s="1597"/>
      <c r="M760" s="1597"/>
      <c r="N760" s="1597"/>
      <c r="O760" s="1597"/>
      <c r="P760" s="1597"/>
      <c r="Q760" s="1597"/>
      <c r="R760" s="1597"/>
      <c r="S760" s="1597"/>
      <c r="T760" s="1597"/>
    </row>
    <row r="761" spans="1:20" ht="13.5" customHeight="1">
      <c r="A761" s="1597"/>
      <c r="B761" s="1597"/>
      <c r="C761" s="1597"/>
      <c r="D761" s="1597"/>
      <c r="E761" s="1597"/>
      <c r="F761" s="1597"/>
      <c r="G761" s="1597"/>
      <c r="H761" s="1597"/>
      <c r="I761" s="1597"/>
      <c r="J761" s="1597"/>
      <c r="K761" s="1597"/>
      <c r="L761" s="1597"/>
      <c r="M761" s="1597"/>
      <c r="N761" s="1597"/>
      <c r="O761" s="1597"/>
      <c r="P761" s="1597"/>
      <c r="Q761" s="1597"/>
      <c r="R761" s="1597"/>
      <c r="S761" s="1597"/>
      <c r="T761" s="1597"/>
    </row>
    <row r="762" spans="1:20" ht="13.5" customHeight="1">
      <c r="A762" s="1597"/>
      <c r="B762" s="1597"/>
      <c r="C762" s="1597"/>
      <c r="D762" s="1597"/>
      <c r="E762" s="1597"/>
      <c r="F762" s="1597"/>
      <c r="G762" s="1597"/>
      <c r="H762" s="1597"/>
      <c r="I762" s="1597"/>
      <c r="J762" s="1597"/>
      <c r="K762" s="1597"/>
      <c r="L762" s="1597"/>
      <c r="M762" s="1597"/>
      <c r="N762" s="1597"/>
      <c r="O762" s="1597"/>
      <c r="P762" s="1597"/>
      <c r="Q762" s="1597"/>
      <c r="R762" s="1597"/>
      <c r="S762" s="1597"/>
      <c r="T762" s="1597"/>
    </row>
    <row r="763" spans="1:20" ht="13.5" customHeight="1">
      <c r="A763" s="1597"/>
      <c r="B763" s="1597"/>
      <c r="C763" s="1597"/>
      <c r="D763" s="1597"/>
      <c r="E763" s="1597"/>
      <c r="F763" s="1597"/>
      <c r="G763" s="1597"/>
      <c r="H763" s="1597"/>
      <c r="I763" s="1597"/>
      <c r="J763" s="1597"/>
      <c r="K763" s="1597"/>
      <c r="L763" s="1597"/>
      <c r="M763" s="1597"/>
      <c r="N763" s="1597"/>
      <c r="O763" s="1597"/>
      <c r="P763" s="1597"/>
      <c r="Q763" s="1597"/>
      <c r="R763" s="1597"/>
      <c r="S763" s="1597"/>
      <c r="T763" s="1597"/>
    </row>
    <row r="764" spans="1:20" ht="13.5" customHeight="1">
      <c r="A764" s="1597"/>
      <c r="B764" s="1597"/>
      <c r="C764" s="1597"/>
      <c r="D764" s="1597"/>
      <c r="E764" s="1597"/>
      <c r="F764" s="1597"/>
      <c r="G764" s="1597"/>
      <c r="H764" s="1597"/>
      <c r="I764" s="1597"/>
      <c r="J764" s="1597"/>
      <c r="K764" s="1597"/>
      <c r="L764" s="1597"/>
      <c r="M764" s="1597"/>
      <c r="N764" s="1597"/>
      <c r="O764" s="1597"/>
      <c r="P764" s="1597"/>
      <c r="Q764" s="1597"/>
      <c r="R764" s="1597"/>
      <c r="S764" s="1597"/>
      <c r="T764" s="1597"/>
    </row>
    <row r="765" spans="1:20" ht="13.5" customHeight="1">
      <c r="A765" s="1597"/>
      <c r="B765" s="1597"/>
      <c r="C765" s="1597"/>
      <c r="D765" s="1597"/>
      <c r="E765" s="1597"/>
      <c r="F765" s="1597"/>
      <c r="G765" s="1597"/>
      <c r="H765" s="1597"/>
      <c r="I765" s="1597"/>
      <c r="J765" s="1597"/>
      <c r="K765" s="1597"/>
      <c r="L765" s="1597"/>
      <c r="M765" s="1597"/>
      <c r="N765" s="1597"/>
      <c r="O765" s="1597"/>
      <c r="P765" s="1597"/>
      <c r="Q765" s="1597"/>
      <c r="R765" s="1597"/>
      <c r="S765" s="1597"/>
      <c r="T765" s="1597"/>
    </row>
    <row r="766" spans="1:20" ht="13.5" customHeight="1">
      <c r="A766" s="1597"/>
      <c r="B766" s="1597"/>
      <c r="C766" s="1597"/>
      <c r="D766" s="1597"/>
      <c r="E766" s="1597"/>
      <c r="F766" s="1597"/>
      <c r="G766" s="1597"/>
      <c r="H766" s="1597"/>
      <c r="I766" s="1597"/>
      <c r="J766" s="1597"/>
      <c r="K766" s="1597"/>
      <c r="L766" s="1597"/>
      <c r="M766" s="1597"/>
      <c r="N766" s="1597"/>
      <c r="O766" s="1597"/>
      <c r="P766" s="1597"/>
      <c r="Q766" s="1597"/>
      <c r="R766" s="1597"/>
      <c r="S766" s="1597"/>
      <c r="T766" s="1597"/>
    </row>
    <row r="767" spans="1:20" ht="13.5" customHeight="1">
      <c r="A767" s="1597"/>
      <c r="B767" s="1597"/>
      <c r="C767" s="1597"/>
      <c r="D767" s="1597"/>
      <c r="E767" s="1597"/>
      <c r="F767" s="1597"/>
      <c r="G767" s="1597"/>
      <c r="H767" s="1597"/>
      <c r="I767" s="1597"/>
      <c r="J767" s="1597"/>
      <c r="K767" s="1597"/>
      <c r="L767" s="1597"/>
      <c r="M767" s="1597"/>
      <c r="N767" s="1597"/>
      <c r="O767" s="1597"/>
      <c r="P767" s="1597"/>
      <c r="Q767" s="1597"/>
      <c r="R767" s="1597"/>
      <c r="S767" s="1597"/>
      <c r="T767" s="1597"/>
    </row>
    <row r="768" spans="1:20" ht="13.5" customHeight="1">
      <c r="A768" s="1597"/>
      <c r="B768" s="1597"/>
      <c r="C768" s="1597"/>
      <c r="D768" s="1597"/>
      <c r="E768" s="1597"/>
      <c r="F768" s="1597"/>
      <c r="G768" s="1597"/>
      <c r="H768" s="1597"/>
      <c r="I768" s="1597"/>
      <c r="J768" s="1597"/>
      <c r="K768" s="1597"/>
      <c r="L768" s="1597"/>
      <c r="M768" s="1597"/>
      <c r="N768" s="1597"/>
      <c r="O768" s="1597"/>
      <c r="P768" s="1597"/>
      <c r="Q768" s="1597"/>
      <c r="R768" s="1597"/>
      <c r="S768" s="1597"/>
      <c r="T768" s="1597"/>
    </row>
    <row r="769" spans="1:20" ht="13.5" customHeight="1">
      <c r="A769" s="1597"/>
      <c r="B769" s="1597"/>
      <c r="C769" s="1597"/>
      <c r="D769" s="1597"/>
      <c r="E769" s="1597"/>
      <c r="F769" s="1597"/>
      <c r="G769" s="1597"/>
      <c r="H769" s="1597"/>
      <c r="I769" s="1597"/>
      <c r="J769" s="1597"/>
      <c r="K769" s="1597"/>
      <c r="L769" s="1597"/>
      <c r="M769" s="1597"/>
      <c r="N769" s="1597"/>
      <c r="O769" s="1597"/>
      <c r="P769" s="1597"/>
      <c r="Q769" s="1597"/>
      <c r="R769" s="1597"/>
      <c r="S769" s="1597"/>
      <c r="T769" s="1597"/>
    </row>
    <row r="770" spans="1:20" ht="13.5" customHeight="1">
      <c r="A770" s="1597"/>
      <c r="B770" s="1597"/>
      <c r="C770" s="1597"/>
      <c r="D770" s="1597"/>
      <c r="E770" s="1597"/>
      <c r="F770" s="1597"/>
      <c r="G770" s="1597"/>
      <c r="H770" s="1597"/>
      <c r="I770" s="1597"/>
      <c r="J770" s="1597"/>
      <c r="K770" s="1597"/>
      <c r="L770" s="1597"/>
      <c r="M770" s="1597"/>
      <c r="N770" s="1597"/>
      <c r="O770" s="1597"/>
      <c r="P770" s="1597"/>
      <c r="Q770" s="1597"/>
      <c r="R770" s="1597"/>
      <c r="S770" s="1597"/>
      <c r="T770" s="1597"/>
    </row>
    <row r="771" spans="1:20" ht="13.5" customHeight="1">
      <c r="A771" s="1597"/>
      <c r="B771" s="1597"/>
      <c r="C771" s="1597"/>
      <c r="D771" s="1597"/>
      <c r="E771" s="1597"/>
      <c r="F771" s="1597"/>
      <c r="G771" s="1597"/>
      <c r="H771" s="1597"/>
      <c r="I771" s="1597"/>
      <c r="J771" s="1597"/>
      <c r="K771" s="1597"/>
      <c r="L771" s="1597"/>
      <c r="M771" s="1597"/>
      <c r="N771" s="1597"/>
      <c r="O771" s="1597"/>
      <c r="P771" s="1597"/>
      <c r="Q771" s="1597"/>
      <c r="R771" s="1597"/>
      <c r="S771" s="1597"/>
      <c r="T771" s="1597"/>
    </row>
    <row r="772" spans="1:20" ht="13.5" customHeight="1">
      <c r="A772" s="1597"/>
      <c r="B772" s="1597"/>
      <c r="C772" s="1597"/>
      <c r="D772" s="1597"/>
      <c r="E772" s="1597"/>
      <c r="F772" s="1597"/>
      <c r="G772" s="1597"/>
      <c r="H772" s="1597"/>
      <c r="I772" s="1597"/>
      <c r="J772" s="1597"/>
      <c r="K772" s="1597"/>
      <c r="L772" s="1597"/>
      <c r="M772" s="1597"/>
      <c r="N772" s="1597"/>
      <c r="O772" s="1597"/>
      <c r="P772" s="1597"/>
      <c r="Q772" s="1597"/>
      <c r="R772" s="1597"/>
      <c r="S772" s="1597"/>
      <c r="T772" s="1597"/>
    </row>
    <row r="773" spans="1:20" ht="13.5" customHeight="1">
      <c r="A773" s="1597"/>
      <c r="B773" s="1597"/>
      <c r="C773" s="1597"/>
      <c r="D773" s="1597"/>
      <c r="E773" s="1597"/>
      <c r="F773" s="1597"/>
      <c r="G773" s="1597"/>
      <c r="H773" s="1597"/>
      <c r="I773" s="1597"/>
      <c r="J773" s="1597"/>
      <c r="K773" s="1597"/>
      <c r="L773" s="1597"/>
      <c r="M773" s="1597"/>
      <c r="N773" s="1597"/>
      <c r="O773" s="1597"/>
      <c r="P773" s="1597"/>
      <c r="Q773" s="1597"/>
      <c r="R773" s="1597"/>
      <c r="S773" s="1597"/>
      <c r="T773" s="1597"/>
    </row>
    <row r="774" spans="1:20" ht="13.5" customHeight="1">
      <c r="A774" s="1597"/>
      <c r="B774" s="1597"/>
      <c r="C774" s="1597"/>
      <c r="D774" s="1597"/>
      <c r="E774" s="1597"/>
      <c r="F774" s="1597"/>
      <c r="G774" s="1597"/>
      <c r="H774" s="1597"/>
      <c r="I774" s="1597"/>
      <c r="J774" s="1597"/>
      <c r="K774" s="1597"/>
      <c r="L774" s="1597"/>
      <c r="M774" s="1597"/>
      <c r="N774" s="1597"/>
      <c r="O774" s="1597"/>
      <c r="P774" s="1597"/>
      <c r="Q774" s="1597"/>
      <c r="R774" s="1597"/>
      <c r="S774" s="1597"/>
      <c r="T774" s="1597"/>
    </row>
    <row r="775" spans="1:20" ht="13.5" customHeight="1">
      <c r="A775" s="1597"/>
      <c r="B775" s="1597"/>
      <c r="C775" s="1597"/>
      <c r="D775" s="1597"/>
      <c r="E775" s="1597"/>
      <c r="F775" s="1597"/>
      <c r="G775" s="1597"/>
      <c r="H775" s="1597"/>
      <c r="I775" s="1597"/>
      <c r="J775" s="1597"/>
      <c r="K775" s="1597"/>
      <c r="L775" s="1597"/>
      <c r="M775" s="1597"/>
      <c r="N775" s="1597"/>
      <c r="O775" s="1597"/>
      <c r="P775" s="1597"/>
      <c r="Q775" s="1597"/>
      <c r="R775" s="1597"/>
      <c r="S775" s="1597"/>
      <c r="T775" s="1597"/>
    </row>
    <row r="776" spans="1:20" ht="13.5" customHeight="1">
      <c r="A776" s="1597"/>
      <c r="B776" s="1597"/>
      <c r="C776" s="1597"/>
      <c r="D776" s="1597"/>
      <c r="E776" s="1597"/>
      <c r="F776" s="1597"/>
      <c r="G776" s="1597"/>
      <c r="H776" s="1597"/>
      <c r="I776" s="1597"/>
      <c r="J776" s="1597"/>
      <c r="K776" s="1597"/>
      <c r="L776" s="1597"/>
      <c r="M776" s="1597"/>
      <c r="N776" s="1597"/>
      <c r="O776" s="1597"/>
      <c r="P776" s="1597"/>
      <c r="Q776" s="1597"/>
      <c r="R776" s="1597"/>
      <c r="S776" s="1597"/>
      <c r="T776" s="1597"/>
    </row>
    <row r="777" spans="1:20" ht="13.5" customHeight="1">
      <c r="A777" s="1597"/>
      <c r="B777" s="1597"/>
      <c r="C777" s="1597"/>
      <c r="D777" s="1597"/>
      <c r="E777" s="1597"/>
      <c r="F777" s="1597"/>
      <c r="G777" s="1597"/>
      <c r="H777" s="1597"/>
      <c r="I777" s="1597"/>
      <c r="J777" s="1597"/>
      <c r="K777" s="1597"/>
      <c r="L777" s="1597"/>
      <c r="M777" s="1597"/>
      <c r="N777" s="1597"/>
      <c r="O777" s="1597"/>
      <c r="P777" s="1597"/>
      <c r="Q777" s="1597"/>
      <c r="R777" s="1597"/>
      <c r="S777" s="1597"/>
      <c r="T777" s="1597"/>
    </row>
    <row r="778" spans="1:20" ht="13.5" customHeight="1">
      <c r="A778" s="1597"/>
      <c r="B778" s="1597"/>
      <c r="C778" s="1597"/>
      <c r="D778" s="1597"/>
      <c r="E778" s="1597"/>
      <c r="F778" s="1597"/>
      <c r="G778" s="1597"/>
      <c r="H778" s="1597"/>
      <c r="I778" s="1597"/>
      <c r="J778" s="1597"/>
      <c r="K778" s="1597"/>
      <c r="L778" s="1597"/>
      <c r="M778" s="1597"/>
      <c r="N778" s="1597"/>
      <c r="O778" s="1597"/>
      <c r="P778" s="1597"/>
      <c r="Q778" s="1597"/>
      <c r="R778" s="1597"/>
      <c r="S778" s="1597"/>
      <c r="T778" s="1597"/>
    </row>
    <row r="779" spans="1:20" ht="13.5" customHeight="1">
      <c r="A779" s="1597"/>
      <c r="B779" s="1597"/>
      <c r="C779" s="1597"/>
      <c r="D779" s="1597"/>
      <c r="E779" s="1597"/>
      <c r="F779" s="1597"/>
      <c r="G779" s="1597"/>
      <c r="H779" s="1597"/>
      <c r="I779" s="1597"/>
      <c r="J779" s="1597"/>
      <c r="K779" s="1597"/>
      <c r="L779" s="1597"/>
      <c r="M779" s="1597"/>
      <c r="N779" s="1597"/>
      <c r="O779" s="1597"/>
      <c r="P779" s="1597"/>
      <c r="Q779" s="1597"/>
      <c r="R779" s="1597"/>
      <c r="S779" s="1597"/>
      <c r="T779" s="1597"/>
    </row>
    <row r="780" spans="1:20" ht="13.5" customHeight="1">
      <c r="A780" s="1597"/>
      <c r="B780" s="1597"/>
      <c r="C780" s="1597"/>
      <c r="D780" s="1597"/>
      <c r="E780" s="1597"/>
      <c r="F780" s="1597"/>
      <c r="G780" s="1597"/>
      <c r="H780" s="1597"/>
      <c r="I780" s="1597"/>
      <c r="J780" s="1597"/>
      <c r="K780" s="1597"/>
      <c r="L780" s="1597"/>
      <c r="M780" s="1597"/>
      <c r="N780" s="1597"/>
      <c r="O780" s="1597"/>
      <c r="P780" s="1597"/>
      <c r="Q780" s="1597"/>
      <c r="R780" s="1597"/>
      <c r="S780" s="1597"/>
      <c r="T780" s="1597"/>
    </row>
    <row r="781" spans="1:20" ht="13.5" customHeight="1">
      <c r="A781" s="1597"/>
      <c r="B781" s="1597"/>
      <c r="C781" s="1597"/>
      <c r="D781" s="1597"/>
      <c r="E781" s="1597"/>
      <c r="F781" s="1597"/>
      <c r="G781" s="1597"/>
      <c r="H781" s="1597"/>
      <c r="I781" s="1597"/>
      <c r="J781" s="1597"/>
      <c r="K781" s="1597"/>
      <c r="L781" s="1597"/>
      <c r="M781" s="1597"/>
      <c r="N781" s="1597"/>
      <c r="O781" s="1597"/>
      <c r="P781" s="1597"/>
      <c r="Q781" s="1597"/>
      <c r="R781" s="1597"/>
      <c r="S781" s="1597"/>
      <c r="T781" s="1597"/>
    </row>
    <row r="782" spans="1:20" ht="13.5" customHeight="1">
      <c r="A782" s="1597"/>
      <c r="B782" s="1597"/>
      <c r="C782" s="1597"/>
      <c r="D782" s="1597"/>
      <c r="E782" s="1597"/>
      <c r="F782" s="1597"/>
      <c r="G782" s="1597"/>
      <c r="H782" s="1597"/>
      <c r="I782" s="1597"/>
      <c r="J782" s="1597"/>
      <c r="K782" s="1597"/>
      <c r="L782" s="1597"/>
      <c r="M782" s="1597"/>
      <c r="N782" s="1597"/>
      <c r="O782" s="1597"/>
      <c r="P782" s="1597"/>
      <c r="Q782" s="1597"/>
      <c r="R782" s="1597"/>
      <c r="S782" s="1597"/>
      <c r="T782" s="1597"/>
    </row>
    <row r="783" spans="1:20" ht="13.5" customHeight="1">
      <c r="A783" s="1597"/>
      <c r="B783" s="1597"/>
      <c r="C783" s="1597"/>
      <c r="D783" s="1597"/>
      <c r="E783" s="1597"/>
      <c r="F783" s="1597"/>
      <c r="G783" s="1597"/>
      <c r="H783" s="1597"/>
      <c r="I783" s="1597"/>
      <c r="J783" s="1597"/>
      <c r="K783" s="1597"/>
      <c r="L783" s="1597"/>
      <c r="M783" s="1597"/>
      <c r="N783" s="1597"/>
      <c r="O783" s="1597"/>
      <c r="P783" s="1597"/>
      <c r="Q783" s="1597"/>
      <c r="R783" s="1597"/>
      <c r="S783" s="1597"/>
      <c r="T783" s="1597"/>
    </row>
    <row r="784" spans="1:20" ht="13.5" customHeight="1">
      <c r="A784" s="1597"/>
      <c r="B784" s="1597"/>
      <c r="C784" s="1597"/>
      <c r="D784" s="1597"/>
      <c r="E784" s="1597"/>
      <c r="F784" s="1597"/>
      <c r="G784" s="1597"/>
      <c r="H784" s="1597"/>
      <c r="I784" s="1597"/>
      <c r="J784" s="1597"/>
      <c r="K784" s="1597"/>
      <c r="L784" s="1597"/>
      <c r="M784" s="1597"/>
      <c r="N784" s="1597"/>
      <c r="O784" s="1597"/>
      <c r="P784" s="1597"/>
      <c r="Q784" s="1597"/>
      <c r="R784" s="1597"/>
      <c r="S784" s="1597"/>
      <c r="T784" s="1597"/>
    </row>
    <row r="785" spans="1:20" ht="13.5" customHeight="1">
      <c r="A785" s="1597"/>
      <c r="B785" s="1597"/>
      <c r="C785" s="1597"/>
      <c r="D785" s="1597"/>
      <c r="E785" s="1597"/>
      <c r="F785" s="1597"/>
      <c r="G785" s="1597"/>
      <c r="H785" s="1597"/>
      <c r="I785" s="1597"/>
      <c r="J785" s="1597"/>
      <c r="K785" s="1597"/>
      <c r="L785" s="1597"/>
      <c r="M785" s="1597"/>
      <c r="N785" s="1597"/>
      <c r="O785" s="1597"/>
      <c r="P785" s="1597"/>
      <c r="Q785" s="1597"/>
      <c r="R785" s="1597"/>
      <c r="S785" s="1597"/>
      <c r="T785" s="1597"/>
    </row>
    <row r="786" spans="1:20" ht="13.5" customHeight="1">
      <c r="A786" s="1597"/>
      <c r="B786" s="1597"/>
      <c r="C786" s="1597"/>
      <c r="D786" s="1597"/>
      <c r="E786" s="1597"/>
      <c r="F786" s="1597"/>
      <c r="G786" s="1597"/>
      <c r="H786" s="1597"/>
      <c r="I786" s="1597"/>
      <c r="J786" s="1597"/>
      <c r="K786" s="1597"/>
      <c r="L786" s="1597"/>
      <c r="M786" s="1597"/>
      <c r="N786" s="1597"/>
      <c r="O786" s="1597"/>
      <c r="P786" s="1597"/>
      <c r="Q786" s="1597"/>
      <c r="R786" s="1597"/>
      <c r="S786" s="1597"/>
      <c r="T786" s="1597"/>
    </row>
    <row r="787" spans="1:20" ht="13.5" customHeight="1">
      <c r="A787" s="1597"/>
      <c r="B787" s="1597"/>
      <c r="C787" s="1597"/>
      <c r="D787" s="1597"/>
      <c r="E787" s="1597"/>
      <c r="F787" s="1597"/>
      <c r="G787" s="1597"/>
      <c r="H787" s="1597"/>
      <c r="I787" s="1597"/>
      <c r="J787" s="1597"/>
      <c r="K787" s="1597"/>
      <c r="L787" s="1597"/>
      <c r="M787" s="1597"/>
      <c r="N787" s="1597"/>
      <c r="O787" s="1597"/>
      <c r="P787" s="1597"/>
      <c r="Q787" s="1597"/>
      <c r="R787" s="1597"/>
      <c r="S787" s="1597"/>
      <c r="T787" s="1597"/>
    </row>
    <row r="788" spans="1:20" ht="13.5" customHeight="1">
      <c r="A788" s="1597"/>
      <c r="B788" s="1597"/>
      <c r="C788" s="1597"/>
      <c r="D788" s="1597"/>
      <c r="E788" s="1597"/>
      <c r="F788" s="1597"/>
      <c r="G788" s="1597"/>
      <c r="H788" s="1597"/>
      <c r="I788" s="1597"/>
      <c r="J788" s="1597"/>
      <c r="K788" s="1597"/>
      <c r="L788" s="1597"/>
      <c r="M788" s="1597"/>
      <c r="N788" s="1597"/>
      <c r="O788" s="1597"/>
      <c r="P788" s="1597"/>
      <c r="Q788" s="1597"/>
      <c r="R788" s="1597"/>
      <c r="S788" s="1597"/>
      <c r="T788" s="1597"/>
    </row>
    <row r="789" spans="1:20" ht="13.5" customHeight="1">
      <c r="A789" s="1597"/>
      <c r="B789" s="1597"/>
      <c r="C789" s="1597"/>
      <c r="D789" s="1597"/>
      <c r="E789" s="1597"/>
      <c r="F789" s="1597"/>
      <c r="G789" s="1597"/>
      <c r="H789" s="1597"/>
      <c r="I789" s="1597"/>
      <c r="J789" s="1597"/>
      <c r="K789" s="1597"/>
      <c r="L789" s="1597"/>
      <c r="M789" s="1597"/>
      <c r="N789" s="1597"/>
      <c r="O789" s="1597"/>
      <c r="P789" s="1597"/>
      <c r="Q789" s="1597"/>
      <c r="R789" s="1597"/>
      <c r="S789" s="1597"/>
      <c r="T789" s="1597"/>
    </row>
    <row r="790" spans="1:20" ht="13.5" customHeight="1">
      <c r="A790" s="1597"/>
      <c r="B790" s="1597"/>
      <c r="C790" s="1597"/>
      <c r="D790" s="1597"/>
      <c r="E790" s="1597"/>
      <c r="F790" s="1597"/>
      <c r="G790" s="1597"/>
      <c r="H790" s="1597"/>
      <c r="I790" s="1597"/>
      <c r="J790" s="1597"/>
      <c r="K790" s="1597"/>
      <c r="L790" s="1597"/>
      <c r="M790" s="1597"/>
      <c r="N790" s="1597"/>
      <c r="O790" s="1597"/>
      <c r="P790" s="1597"/>
      <c r="Q790" s="1597"/>
      <c r="R790" s="1597"/>
      <c r="S790" s="1597"/>
      <c r="T790" s="1597"/>
    </row>
    <row r="791" spans="1:20" ht="13.5" customHeight="1">
      <c r="A791" s="1597"/>
      <c r="B791" s="1597"/>
      <c r="C791" s="1597"/>
      <c r="D791" s="1597"/>
      <c r="E791" s="1597"/>
      <c r="F791" s="1597"/>
      <c r="G791" s="1597"/>
      <c r="H791" s="1597"/>
      <c r="I791" s="1597"/>
      <c r="J791" s="1597"/>
      <c r="K791" s="1597"/>
      <c r="L791" s="1597"/>
      <c r="M791" s="1597"/>
      <c r="N791" s="1597"/>
      <c r="O791" s="1597"/>
      <c r="P791" s="1597"/>
      <c r="Q791" s="1597"/>
      <c r="R791" s="1597"/>
      <c r="S791" s="1597"/>
      <c r="T791" s="1597"/>
    </row>
    <row r="792" spans="1:20" ht="13.5" customHeight="1">
      <c r="A792" s="1597"/>
      <c r="B792" s="1597"/>
      <c r="C792" s="1597"/>
      <c r="D792" s="1597"/>
      <c r="E792" s="1597"/>
      <c r="F792" s="1597"/>
      <c r="G792" s="1597"/>
      <c r="H792" s="1597"/>
      <c r="I792" s="1597"/>
      <c r="J792" s="1597"/>
      <c r="K792" s="1597"/>
      <c r="L792" s="1597"/>
      <c r="M792" s="1597"/>
      <c r="N792" s="1597"/>
      <c r="O792" s="1597"/>
      <c r="P792" s="1597"/>
      <c r="Q792" s="1597"/>
      <c r="R792" s="1597"/>
      <c r="S792" s="1597"/>
      <c r="T792" s="1597"/>
    </row>
    <row r="793" spans="1:20" ht="13.5" customHeight="1">
      <c r="A793" s="1597"/>
      <c r="B793" s="1597"/>
      <c r="C793" s="1597"/>
      <c r="D793" s="1597"/>
      <c r="E793" s="1597"/>
      <c r="F793" s="1597"/>
      <c r="G793" s="1597"/>
      <c r="H793" s="1597"/>
      <c r="I793" s="1597"/>
      <c r="J793" s="1597"/>
      <c r="K793" s="1597"/>
      <c r="L793" s="1597"/>
      <c r="M793" s="1597"/>
      <c r="N793" s="1597"/>
      <c r="O793" s="1597"/>
      <c r="P793" s="1597"/>
      <c r="Q793" s="1597"/>
      <c r="R793" s="1597"/>
      <c r="S793" s="1597"/>
      <c r="T793" s="1597"/>
    </row>
    <row r="794" spans="1:20" ht="13.5" customHeight="1">
      <c r="A794" s="1597"/>
      <c r="B794" s="1597"/>
      <c r="C794" s="1597"/>
      <c r="D794" s="1597"/>
      <c r="E794" s="1597"/>
      <c r="F794" s="1597"/>
      <c r="G794" s="1597"/>
      <c r="H794" s="1597"/>
      <c r="I794" s="1597"/>
      <c r="J794" s="1597"/>
      <c r="K794" s="1597"/>
      <c r="L794" s="1597"/>
      <c r="M794" s="1597"/>
      <c r="N794" s="1597"/>
      <c r="O794" s="1597"/>
      <c r="P794" s="1597"/>
      <c r="Q794" s="1597"/>
      <c r="R794" s="1597"/>
      <c r="S794" s="1597"/>
      <c r="T794" s="1597"/>
    </row>
    <row r="795" spans="1:20" ht="13.5" customHeight="1">
      <c r="A795" s="1597"/>
      <c r="B795" s="1597"/>
      <c r="C795" s="1597"/>
      <c r="D795" s="1597"/>
      <c r="E795" s="1597"/>
      <c r="F795" s="1597"/>
      <c r="G795" s="1597"/>
      <c r="H795" s="1597"/>
      <c r="I795" s="1597"/>
      <c r="J795" s="1597"/>
      <c r="K795" s="1597"/>
      <c r="L795" s="1597"/>
      <c r="M795" s="1597"/>
      <c r="N795" s="1597"/>
      <c r="O795" s="1597"/>
      <c r="P795" s="1597"/>
      <c r="Q795" s="1597"/>
      <c r="R795" s="1597"/>
      <c r="S795" s="1597"/>
      <c r="T795" s="1597"/>
    </row>
    <row r="796" spans="1:20" ht="13.5" customHeight="1">
      <c r="A796" s="1597"/>
      <c r="B796" s="1597"/>
      <c r="C796" s="1597"/>
      <c r="D796" s="1597"/>
      <c r="E796" s="1597"/>
      <c r="F796" s="1597"/>
      <c r="G796" s="1597"/>
      <c r="H796" s="1597"/>
      <c r="I796" s="1597"/>
      <c r="J796" s="1597"/>
      <c r="K796" s="1597"/>
      <c r="L796" s="1597"/>
      <c r="M796" s="1597"/>
      <c r="N796" s="1597"/>
      <c r="O796" s="1597"/>
      <c r="P796" s="1597"/>
      <c r="Q796" s="1597"/>
      <c r="R796" s="1597"/>
      <c r="S796" s="1597"/>
      <c r="T796" s="1597"/>
    </row>
    <row r="797" spans="1:20" ht="13.5" customHeight="1">
      <c r="A797" s="1597"/>
      <c r="B797" s="1597"/>
      <c r="C797" s="1597"/>
      <c r="D797" s="1597"/>
      <c r="E797" s="1597"/>
      <c r="F797" s="1597"/>
      <c r="G797" s="1597"/>
      <c r="H797" s="1597"/>
      <c r="I797" s="1597"/>
      <c r="J797" s="1597"/>
      <c r="K797" s="1597"/>
      <c r="L797" s="1597"/>
      <c r="M797" s="1597"/>
      <c r="N797" s="1597"/>
      <c r="O797" s="1597"/>
      <c r="P797" s="1597"/>
      <c r="Q797" s="1597"/>
      <c r="R797" s="1597"/>
      <c r="S797" s="1597"/>
      <c r="T797" s="1597"/>
    </row>
    <row r="798" spans="1:20" ht="13.5" customHeight="1">
      <c r="A798" s="1597"/>
      <c r="B798" s="1597"/>
      <c r="C798" s="1597"/>
      <c r="D798" s="1597"/>
      <c r="E798" s="1597"/>
      <c r="F798" s="1597"/>
      <c r="G798" s="1597"/>
      <c r="H798" s="1597"/>
      <c r="I798" s="1597"/>
      <c r="J798" s="1597"/>
      <c r="K798" s="1597"/>
      <c r="L798" s="1597"/>
      <c r="M798" s="1597"/>
      <c r="N798" s="1597"/>
      <c r="O798" s="1597"/>
      <c r="P798" s="1597"/>
      <c r="Q798" s="1597"/>
      <c r="R798" s="1597"/>
      <c r="S798" s="1597"/>
      <c r="T798" s="1597"/>
    </row>
    <row r="799" spans="1:20" ht="13.5" customHeight="1">
      <c r="A799" s="1597"/>
      <c r="B799" s="1597"/>
      <c r="C799" s="1597"/>
      <c r="D799" s="1597"/>
      <c r="E799" s="1597"/>
      <c r="F799" s="1597"/>
      <c r="G799" s="1597"/>
      <c r="H799" s="1597"/>
      <c r="I799" s="1597"/>
      <c r="J799" s="1597"/>
      <c r="K799" s="1597"/>
      <c r="L799" s="1597"/>
      <c r="M799" s="1597"/>
      <c r="N799" s="1597"/>
      <c r="O799" s="1597"/>
      <c r="P799" s="1597"/>
      <c r="Q799" s="1597"/>
      <c r="R799" s="1597"/>
      <c r="S799" s="1597"/>
      <c r="T799" s="1597"/>
    </row>
    <row r="800" spans="1:20" ht="13.5" customHeight="1">
      <c r="A800" s="1597"/>
      <c r="B800" s="1597"/>
      <c r="C800" s="1597"/>
      <c r="D800" s="1597"/>
      <c r="E800" s="1597"/>
      <c r="F800" s="1597"/>
      <c r="G800" s="1597"/>
      <c r="H800" s="1597"/>
      <c r="I800" s="1597"/>
      <c r="J800" s="1597"/>
      <c r="K800" s="1597"/>
      <c r="L800" s="1597"/>
      <c r="M800" s="1597"/>
      <c r="N800" s="1597"/>
      <c r="O800" s="1597"/>
      <c r="P800" s="1597"/>
      <c r="Q800" s="1597"/>
      <c r="R800" s="1597"/>
      <c r="S800" s="1597"/>
      <c r="T800" s="1597"/>
    </row>
    <row r="801" spans="1:20" ht="13.5" customHeight="1">
      <c r="A801" s="1597"/>
      <c r="B801" s="1597"/>
      <c r="C801" s="1597"/>
      <c r="D801" s="1597"/>
      <c r="E801" s="1597"/>
      <c r="F801" s="1597"/>
      <c r="G801" s="1597"/>
      <c r="H801" s="1597"/>
      <c r="I801" s="1597"/>
      <c r="J801" s="1597"/>
      <c r="K801" s="1597"/>
      <c r="L801" s="1597"/>
      <c r="M801" s="1597"/>
      <c r="N801" s="1597"/>
      <c r="O801" s="1597"/>
      <c r="P801" s="1597"/>
      <c r="Q801" s="1597"/>
      <c r="R801" s="1597"/>
      <c r="S801" s="1597"/>
      <c r="T801" s="1597"/>
    </row>
    <row r="802" spans="1:20" ht="13.5" customHeight="1">
      <c r="A802" s="1597"/>
      <c r="B802" s="1597"/>
      <c r="C802" s="1597"/>
      <c r="D802" s="1597"/>
      <c r="E802" s="1597"/>
      <c r="F802" s="1597"/>
      <c r="G802" s="1597"/>
      <c r="H802" s="1597"/>
      <c r="I802" s="1597"/>
      <c r="J802" s="1597"/>
      <c r="K802" s="1597"/>
      <c r="L802" s="1597"/>
      <c r="M802" s="1597"/>
      <c r="N802" s="1597"/>
      <c r="O802" s="1597"/>
      <c r="P802" s="1597"/>
      <c r="Q802" s="1597"/>
      <c r="R802" s="1597"/>
      <c r="S802" s="1597"/>
      <c r="T802" s="1597"/>
    </row>
    <row r="803" spans="1:20" ht="13.5" customHeight="1">
      <c r="A803" s="1597"/>
      <c r="B803" s="1597"/>
      <c r="C803" s="1597"/>
      <c r="D803" s="1597"/>
      <c r="E803" s="1597"/>
      <c r="F803" s="1597"/>
      <c r="G803" s="1597"/>
      <c r="H803" s="1597"/>
      <c r="I803" s="1597"/>
      <c r="J803" s="1597"/>
      <c r="K803" s="1597"/>
      <c r="L803" s="1597"/>
      <c r="M803" s="1597"/>
      <c r="N803" s="1597"/>
      <c r="O803" s="1597"/>
      <c r="P803" s="1597"/>
      <c r="Q803" s="1597"/>
      <c r="R803" s="1597"/>
      <c r="S803" s="1597"/>
      <c r="T803" s="1597"/>
    </row>
    <row r="804" spans="1:20" ht="13.5" customHeight="1">
      <c r="A804" s="1597"/>
      <c r="B804" s="1597"/>
      <c r="C804" s="1597"/>
      <c r="D804" s="1597"/>
      <c r="E804" s="1597"/>
      <c r="F804" s="1597"/>
      <c r="G804" s="1597"/>
      <c r="H804" s="1597"/>
      <c r="I804" s="1597"/>
      <c r="J804" s="1597"/>
      <c r="K804" s="1597"/>
      <c r="L804" s="1597"/>
      <c r="M804" s="1597"/>
      <c r="N804" s="1597"/>
      <c r="O804" s="1597"/>
      <c r="P804" s="1597"/>
      <c r="Q804" s="1597"/>
      <c r="R804" s="1597"/>
      <c r="S804" s="1597"/>
      <c r="T804" s="1597"/>
    </row>
    <row r="805" spans="1:20" ht="13.5" customHeight="1">
      <c r="A805" s="1597"/>
      <c r="B805" s="1597"/>
      <c r="C805" s="1597"/>
      <c r="D805" s="1597"/>
      <c r="E805" s="1597"/>
      <c r="F805" s="1597"/>
      <c r="G805" s="1597"/>
      <c r="H805" s="1597"/>
      <c r="I805" s="1597"/>
      <c r="J805" s="1597"/>
      <c r="K805" s="1597"/>
      <c r="L805" s="1597"/>
      <c r="M805" s="1597"/>
      <c r="N805" s="1597"/>
      <c r="O805" s="1597"/>
      <c r="P805" s="1597"/>
      <c r="Q805" s="1597"/>
      <c r="R805" s="1597"/>
      <c r="S805" s="1597"/>
      <c r="T805" s="1597"/>
    </row>
    <row r="806" spans="1:20" ht="13.5" customHeight="1">
      <c r="A806" s="1597"/>
      <c r="B806" s="1597"/>
      <c r="C806" s="1597"/>
      <c r="D806" s="1597"/>
      <c r="E806" s="1597"/>
      <c r="F806" s="1597"/>
      <c r="G806" s="1597"/>
      <c r="H806" s="1597"/>
      <c r="I806" s="1597"/>
      <c r="J806" s="1597"/>
      <c r="K806" s="1597"/>
      <c r="L806" s="1597"/>
      <c r="M806" s="1597"/>
      <c r="N806" s="1597"/>
      <c r="O806" s="1597"/>
      <c r="P806" s="1597"/>
      <c r="Q806" s="1597"/>
      <c r="R806" s="1597"/>
      <c r="S806" s="1597"/>
      <c r="T806" s="1597"/>
    </row>
    <row r="807" spans="1:20" ht="13.5" customHeight="1">
      <c r="A807" s="1597"/>
      <c r="B807" s="1597"/>
      <c r="C807" s="1597"/>
      <c r="D807" s="1597"/>
      <c r="E807" s="1597"/>
      <c r="F807" s="1597"/>
      <c r="G807" s="1597"/>
      <c r="H807" s="1597"/>
      <c r="I807" s="1597"/>
      <c r="J807" s="1597"/>
      <c r="K807" s="1597"/>
      <c r="L807" s="1597"/>
      <c r="M807" s="1597"/>
      <c r="N807" s="1597"/>
      <c r="O807" s="1597"/>
      <c r="P807" s="1597"/>
      <c r="Q807" s="1597"/>
      <c r="R807" s="1597"/>
      <c r="S807" s="1597"/>
      <c r="T807" s="1597"/>
    </row>
    <row r="808" spans="1:20" ht="13.5" customHeight="1">
      <c r="A808" s="1597"/>
      <c r="B808" s="1597"/>
      <c r="C808" s="1597"/>
      <c r="D808" s="1597"/>
      <c r="E808" s="1597"/>
      <c r="F808" s="1597"/>
      <c r="G808" s="1597"/>
      <c r="H808" s="1597"/>
      <c r="I808" s="1597"/>
      <c r="J808" s="1597"/>
      <c r="K808" s="1597"/>
      <c r="L808" s="1597"/>
      <c r="M808" s="1597"/>
      <c r="N808" s="1597"/>
      <c r="O808" s="1597"/>
      <c r="P808" s="1597"/>
      <c r="Q808" s="1597"/>
      <c r="R808" s="1597"/>
      <c r="S808" s="1597"/>
      <c r="T808" s="1597"/>
    </row>
    <row r="809" spans="1:20" ht="13.5" customHeight="1">
      <c r="A809" s="1597"/>
      <c r="B809" s="1597"/>
      <c r="C809" s="1597"/>
      <c r="D809" s="1597"/>
      <c r="E809" s="1597"/>
      <c r="F809" s="1597"/>
      <c r="G809" s="1597"/>
      <c r="H809" s="1597"/>
      <c r="I809" s="1597"/>
      <c r="J809" s="1597"/>
      <c r="K809" s="1597"/>
      <c r="L809" s="1597"/>
      <c r="M809" s="1597"/>
      <c r="N809" s="1597"/>
      <c r="O809" s="1597"/>
      <c r="P809" s="1597"/>
      <c r="Q809" s="1597"/>
      <c r="R809" s="1597"/>
      <c r="S809" s="1597"/>
      <c r="T809" s="1597"/>
    </row>
    <row r="810" spans="1:20" ht="13.5" customHeight="1">
      <c r="A810" s="1597"/>
      <c r="B810" s="1597"/>
      <c r="C810" s="1597"/>
      <c r="D810" s="1597"/>
      <c r="E810" s="1597"/>
      <c r="F810" s="1597"/>
      <c r="G810" s="1597"/>
      <c r="H810" s="1597"/>
      <c r="I810" s="1597"/>
      <c r="J810" s="1597"/>
      <c r="K810" s="1597"/>
      <c r="L810" s="1597"/>
      <c r="M810" s="1597"/>
      <c r="N810" s="1597"/>
      <c r="O810" s="1597"/>
      <c r="P810" s="1597"/>
      <c r="Q810" s="1597"/>
      <c r="R810" s="1597"/>
      <c r="S810" s="1597"/>
      <c r="T810" s="1597"/>
    </row>
    <row r="811" spans="1:20" ht="13.5" customHeight="1">
      <c r="A811" s="1597"/>
      <c r="B811" s="1597"/>
      <c r="C811" s="1597"/>
      <c r="D811" s="1597"/>
      <c r="E811" s="1597"/>
      <c r="F811" s="1597"/>
      <c r="G811" s="1597"/>
      <c r="H811" s="1597"/>
      <c r="I811" s="1597"/>
      <c r="J811" s="1597"/>
      <c r="K811" s="1597"/>
      <c r="L811" s="1597"/>
      <c r="M811" s="1597"/>
      <c r="N811" s="1597"/>
      <c r="O811" s="1597"/>
      <c r="P811" s="1597"/>
      <c r="Q811" s="1597"/>
      <c r="R811" s="1597"/>
      <c r="S811" s="1597"/>
      <c r="T811" s="1597"/>
    </row>
    <row r="812" spans="1:20" ht="13.5" customHeight="1">
      <c r="A812" s="1597"/>
      <c r="B812" s="1597"/>
      <c r="C812" s="1597"/>
      <c r="D812" s="1597"/>
      <c r="E812" s="1597"/>
      <c r="F812" s="1597"/>
      <c r="G812" s="1597"/>
      <c r="H812" s="1597"/>
      <c r="I812" s="1597"/>
      <c r="J812" s="1597"/>
      <c r="K812" s="1597"/>
      <c r="L812" s="1597"/>
      <c r="M812" s="1597"/>
      <c r="N812" s="1597"/>
      <c r="O812" s="1597"/>
      <c r="P812" s="1597"/>
      <c r="Q812" s="1597"/>
      <c r="R812" s="1597"/>
      <c r="S812" s="1597"/>
      <c r="T812" s="1597"/>
    </row>
    <row r="813" spans="1:20" ht="13.5" customHeight="1">
      <c r="A813" s="1597"/>
      <c r="B813" s="1597"/>
      <c r="C813" s="1597"/>
      <c r="D813" s="1597"/>
      <c r="E813" s="1597"/>
      <c r="F813" s="1597"/>
      <c r="G813" s="1597"/>
      <c r="H813" s="1597"/>
      <c r="I813" s="1597"/>
      <c r="J813" s="1597"/>
      <c r="K813" s="1597"/>
      <c r="L813" s="1597"/>
      <c r="M813" s="1597"/>
      <c r="N813" s="1597"/>
      <c r="O813" s="1597"/>
      <c r="P813" s="1597"/>
      <c r="Q813" s="1597"/>
      <c r="R813" s="1597"/>
      <c r="S813" s="1597"/>
      <c r="T813" s="1597"/>
    </row>
    <row r="814" spans="1:20" ht="13.5" customHeight="1">
      <c r="A814" s="1597"/>
      <c r="B814" s="1597"/>
      <c r="C814" s="1597"/>
      <c r="D814" s="1597"/>
      <c r="E814" s="1597"/>
      <c r="F814" s="1597"/>
      <c r="G814" s="1597"/>
      <c r="H814" s="1597"/>
      <c r="I814" s="1597"/>
      <c r="J814" s="1597"/>
      <c r="K814" s="1597"/>
      <c r="L814" s="1597"/>
      <c r="M814" s="1597"/>
      <c r="N814" s="1597"/>
      <c r="O814" s="1597"/>
      <c r="P814" s="1597"/>
      <c r="Q814" s="1597"/>
      <c r="R814" s="1597"/>
      <c r="S814" s="1597"/>
      <c r="T814" s="1597"/>
    </row>
    <row r="815" spans="1:20" ht="13.5" customHeight="1">
      <c r="A815" s="1597"/>
      <c r="B815" s="1597"/>
      <c r="C815" s="1597"/>
      <c r="D815" s="1597"/>
      <c r="E815" s="1597"/>
      <c r="F815" s="1597"/>
      <c r="G815" s="1597"/>
      <c r="H815" s="1597"/>
      <c r="I815" s="1597"/>
      <c r="J815" s="1597"/>
      <c r="K815" s="1597"/>
      <c r="L815" s="1597"/>
      <c r="M815" s="1597"/>
      <c r="N815" s="1597"/>
      <c r="O815" s="1597"/>
      <c r="P815" s="1597"/>
      <c r="Q815" s="1597"/>
      <c r="R815" s="1597"/>
      <c r="S815" s="1597"/>
      <c r="T815" s="1597"/>
    </row>
    <row r="816" spans="1:20" ht="13.5" customHeight="1">
      <c r="A816" s="1597"/>
      <c r="B816" s="1597"/>
      <c r="C816" s="1597"/>
      <c r="D816" s="1597"/>
      <c r="E816" s="1597"/>
      <c r="F816" s="1597"/>
      <c r="G816" s="1597"/>
      <c r="H816" s="1597"/>
      <c r="I816" s="1597"/>
      <c r="J816" s="1597"/>
      <c r="K816" s="1597"/>
      <c r="L816" s="1597"/>
      <c r="M816" s="1597"/>
      <c r="N816" s="1597"/>
      <c r="O816" s="1597"/>
      <c r="P816" s="1597"/>
      <c r="Q816" s="1597"/>
      <c r="R816" s="1597"/>
      <c r="S816" s="1597"/>
      <c r="T816" s="1597"/>
    </row>
    <row r="817" spans="1:20" ht="13.5" customHeight="1">
      <c r="A817" s="1597"/>
      <c r="B817" s="1597"/>
      <c r="C817" s="1597"/>
      <c r="D817" s="1597"/>
      <c r="E817" s="1597"/>
      <c r="F817" s="1597"/>
      <c r="G817" s="1597"/>
      <c r="H817" s="1597"/>
      <c r="I817" s="1597"/>
      <c r="J817" s="1597"/>
      <c r="K817" s="1597"/>
      <c r="L817" s="1597"/>
      <c r="M817" s="1597"/>
      <c r="N817" s="1597"/>
      <c r="O817" s="1597"/>
      <c r="P817" s="1597"/>
      <c r="Q817" s="1597"/>
      <c r="R817" s="1597"/>
      <c r="S817" s="1597"/>
      <c r="T817" s="1597"/>
    </row>
    <row r="818" spans="1:20" ht="13.5" customHeight="1">
      <c r="A818" s="1597"/>
      <c r="B818" s="1597"/>
      <c r="C818" s="1597"/>
      <c r="D818" s="1597"/>
      <c r="E818" s="1597"/>
      <c r="F818" s="1597"/>
      <c r="G818" s="1597"/>
      <c r="H818" s="1597"/>
      <c r="I818" s="1597"/>
      <c r="J818" s="1597"/>
      <c r="K818" s="1597"/>
      <c r="L818" s="1597"/>
      <c r="M818" s="1597"/>
      <c r="N818" s="1597"/>
      <c r="O818" s="1597"/>
      <c r="P818" s="1597"/>
      <c r="Q818" s="1597"/>
      <c r="R818" s="1597"/>
      <c r="S818" s="1597"/>
      <c r="T818" s="1597"/>
    </row>
    <row r="819" spans="1:20" ht="13.5" customHeight="1">
      <c r="A819" s="1597"/>
      <c r="B819" s="1597"/>
      <c r="C819" s="1597"/>
      <c r="D819" s="1597"/>
      <c r="E819" s="1597"/>
      <c r="F819" s="1597"/>
      <c r="G819" s="1597"/>
      <c r="H819" s="1597"/>
      <c r="I819" s="1597"/>
      <c r="J819" s="1597"/>
      <c r="K819" s="1597"/>
      <c r="L819" s="1597"/>
      <c r="M819" s="1597"/>
      <c r="N819" s="1597"/>
      <c r="O819" s="1597"/>
      <c r="P819" s="1597"/>
      <c r="Q819" s="1597"/>
      <c r="R819" s="1597"/>
      <c r="S819" s="1597"/>
      <c r="T819" s="1597"/>
    </row>
    <row r="820" spans="1:20" ht="13.5" customHeight="1">
      <c r="A820" s="1597"/>
      <c r="B820" s="1597"/>
      <c r="C820" s="1597"/>
      <c r="D820" s="1597"/>
      <c r="E820" s="1597"/>
      <c r="F820" s="1597"/>
      <c r="G820" s="1597"/>
      <c r="H820" s="1597"/>
      <c r="I820" s="1597"/>
      <c r="J820" s="1597"/>
      <c r="K820" s="1597"/>
      <c r="L820" s="1597"/>
      <c r="M820" s="1597"/>
      <c r="N820" s="1597"/>
      <c r="O820" s="1597"/>
      <c r="P820" s="1597"/>
      <c r="Q820" s="1597"/>
      <c r="R820" s="1597"/>
      <c r="S820" s="1597"/>
      <c r="T820" s="1597"/>
    </row>
    <row r="821" spans="1:20" ht="13.5" customHeight="1">
      <c r="A821" s="1597"/>
      <c r="B821" s="1597"/>
      <c r="C821" s="1597"/>
      <c r="D821" s="1597"/>
      <c r="E821" s="1597"/>
      <c r="F821" s="1597"/>
      <c r="G821" s="1597"/>
      <c r="H821" s="1597"/>
      <c r="I821" s="1597"/>
      <c r="J821" s="1597"/>
      <c r="K821" s="1597"/>
      <c r="L821" s="1597"/>
      <c r="M821" s="1597"/>
      <c r="N821" s="1597"/>
      <c r="O821" s="1597"/>
      <c r="P821" s="1597"/>
      <c r="Q821" s="1597"/>
      <c r="R821" s="1597"/>
      <c r="S821" s="1597"/>
      <c r="T821" s="1597"/>
    </row>
    <row r="822" spans="1:20" ht="13.5" customHeight="1">
      <c r="A822" s="1597"/>
      <c r="B822" s="1597"/>
      <c r="C822" s="1597"/>
      <c r="D822" s="1597"/>
      <c r="E822" s="1597"/>
      <c r="F822" s="1597"/>
      <c r="G822" s="1597"/>
      <c r="H822" s="1597"/>
      <c r="I822" s="1597"/>
      <c r="J822" s="1597"/>
      <c r="K822" s="1597"/>
      <c r="L822" s="1597"/>
      <c r="M822" s="1597"/>
      <c r="N822" s="1597"/>
      <c r="O822" s="1597"/>
      <c r="P822" s="1597"/>
      <c r="Q822" s="1597"/>
      <c r="R822" s="1597"/>
      <c r="S822" s="1597"/>
      <c r="T822" s="1597"/>
    </row>
    <row r="823" spans="1:20" ht="13.5" customHeight="1">
      <c r="A823" s="1597"/>
      <c r="B823" s="1597"/>
      <c r="C823" s="1597"/>
      <c r="D823" s="1597"/>
      <c r="E823" s="1597"/>
      <c r="F823" s="1597"/>
      <c r="G823" s="1597"/>
      <c r="H823" s="1597"/>
      <c r="I823" s="1597"/>
      <c r="J823" s="1597"/>
      <c r="K823" s="1597"/>
      <c r="L823" s="1597"/>
      <c r="M823" s="1597"/>
      <c r="N823" s="1597"/>
      <c r="O823" s="1597"/>
      <c r="P823" s="1597"/>
      <c r="Q823" s="1597"/>
      <c r="R823" s="1597"/>
      <c r="S823" s="1597"/>
      <c r="T823" s="1597"/>
    </row>
    <row r="824" spans="1:20" ht="13.5" customHeight="1">
      <c r="A824" s="1597"/>
      <c r="B824" s="1597"/>
      <c r="C824" s="1597"/>
      <c r="D824" s="1597"/>
      <c r="E824" s="1597"/>
      <c r="F824" s="1597"/>
      <c r="G824" s="1597"/>
      <c r="H824" s="1597"/>
      <c r="I824" s="1597"/>
      <c r="J824" s="1597"/>
      <c r="K824" s="1597"/>
      <c r="L824" s="1597"/>
      <c r="M824" s="1597"/>
      <c r="N824" s="1597"/>
      <c r="O824" s="1597"/>
      <c r="P824" s="1597"/>
      <c r="Q824" s="1597"/>
      <c r="R824" s="1597"/>
      <c r="S824" s="1597"/>
      <c r="T824" s="1597"/>
    </row>
    <row r="825" spans="1:20" ht="13.5" customHeight="1">
      <c r="A825" s="1597"/>
      <c r="B825" s="1597"/>
      <c r="C825" s="1597"/>
      <c r="D825" s="1597"/>
      <c r="E825" s="1597"/>
      <c r="F825" s="1597"/>
      <c r="G825" s="1597"/>
      <c r="H825" s="1597"/>
      <c r="I825" s="1597"/>
      <c r="J825" s="1597"/>
      <c r="K825" s="1597"/>
      <c r="L825" s="1597"/>
      <c r="M825" s="1597"/>
      <c r="N825" s="1597"/>
      <c r="O825" s="1597"/>
      <c r="P825" s="1597"/>
      <c r="Q825" s="1597"/>
      <c r="R825" s="1597"/>
      <c r="S825" s="1597"/>
      <c r="T825" s="1597"/>
    </row>
    <row r="826" spans="1:20" ht="13.5" customHeight="1">
      <c r="A826" s="1597"/>
      <c r="B826" s="1597"/>
      <c r="C826" s="1597"/>
      <c r="D826" s="1597"/>
      <c r="E826" s="1597"/>
      <c r="F826" s="1597"/>
      <c r="G826" s="1597"/>
      <c r="H826" s="1597"/>
      <c r="I826" s="1597"/>
      <c r="J826" s="1597"/>
      <c r="K826" s="1597"/>
      <c r="L826" s="1597"/>
      <c r="M826" s="1597"/>
      <c r="N826" s="1597"/>
      <c r="O826" s="1597"/>
      <c r="P826" s="1597"/>
      <c r="Q826" s="1597"/>
      <c r="R826" s="1597"/>
      <c r="S826" s="1597"/>
      <c r="T826" s="1597"/>
    </row>
    <row r="827" spans="1:20" ht="13.5" customHeight="1">
      <c r="A827" s="1597"/>
      <c r="B827" s="1597"/>
      <c r="C827" s="1597"/>
      <c r="D827" s="1597"/>
      <c r="E827" s="1597"/>
      <c r="F827" s="1597"/>
      <c r="G827" s="1597"/>
      <c r="H827" s="1597"/>
      <c r="I827" s="1597"/>
      <c r="J827" s="1597"/>
      <c r="K827" s="1597"/>
      <c r="L827" s="1597"/>
      <c r="M827" s="1597"/>
      <c r="N827" s="1597"/>
      <c r="O827" s="1597"/>
      <c r="P827" s="1597"/>
      <c r="Q827" s="1597"/>
      <c r="R827" s="1597"/>
      <c r="S827" s="1597"/>
      <c r="T827" s="1597"/>
    </row>
    <row r="828" spans="1:20" ht="13.5" customHeight="1">
      <c r="A828" s="1597"/>
      <c r="B828" s="1597"/>
      <c r="C828" s="1597"/>
      <c r="D828" s="1597"/>
      <c r="E828" s="1597"/>
      <c r="F828" s="1597"/>
      <c r="G828" s="1597"/>
      <c r="H828" s="1597"/>
      <c r="I828" s="1597"/>
      <c r="J828" s="1597"/>
      <c r="K828" s="1597"/>
      <c r="L828" s="1597"/>
      <c r="M828" s="1597"/>
      <c r="N828" s="1597"/>
      <c r="O828" s="1597"/>
      <c r="P828" s="1597"/>
      <c r="Q828" s="1597"/>
      <c r="R828" s="1597"/>
      <c r="S828" s="1597"/>
      <c r="T828" s="1597"/>
    </row>
    <row r="829" spans="1:20" ht="13.5" customHeight="1">
      <c r="A829" s="1597"/>
      <c r="B829" s="1597"/>
      <c r="C829" s="1597"/>
      <c r="D829" s="1597"/>
      <c r="E829" s="1597"/>
      <c r="F829" s="1597"/>
      <c r="G829" s="1597"/>
      <c r="H829" s="1597"/>
      <c r="I829" s="1597"/>
      <c r="J829" s="1597"/>
      <c r="K829" s="1597"/>
      <c r="L829" s="1597"/>
      <c r="M829" s="1597"/>
      <c r="N829" s="1597"/>
      <c r="O829" s="1597"/>
      <c r="P829" s="1597"/>
      <c r="Q829" s="1597"/>
      <c r="R829" s="1597"/>
      <c r="S829" s="1597"/>
      <c r="T829" s="1597"/>
    </row>
    <row r="830" spans="1:20" ht="13.5" customHeight="1">
      <c r="A830" s="1597"/>
      <c r="B830" s="1597"/>
      <c r="C830" s="1597"/>
      <c r="D830" s="1597"/>
      <c r="E830" s="1597"/>
      <c r="F830" s="1597"/>
      <c r="G830" s="1597"/>
      <c r="H830" s="1597"/>
      <c r="I830" s="1597"/>
      <c r="J830" s="1597"/>
      <c r="K830" s="1597"/>
      <c r="L830" s="1597"/>
      <c r="M830" s="1597"/>
      <c r="N830" s="1597"/>
      <c r="O830" s="1597"/>
      <c r="P830" s="1597"/>
      <c r="Q830" s="1597"/>
      <c r="R830" s="1597"/>
      <c r="S830" s="1597"/>
      <c r="T830" s="1597"/>
    </row>
    <row r="831" spans="1:20" ht="13.5" customHeight="1">
      <c r="A831" s="1597"/>
      <c r="B831" s="1597"/>
      <c r="C831" s="1597"/>
      <c r="D831" s="1597"/>
      <c r="E831" s="1597"/>
      <c r="F831" s="1597"/>
      <c r="G831" s="1597"/>
      <c r="H831" s="1597"/>
      <c r="I831" s="1597"/>
      <c r="J831" s="1597"/>
      <c r="K831" s="1597"/>
      <c r="L831" s="1597"/>
      <c r="M831" s="1597"/>
      <c r="N831" s="1597"/>
      <c r="O831" s="1597"/>
      <c r="P831" s="1597"/>
      <c r="Q831" s="1597"/>
      <c r="R831" s="1597"/>
      <c r="S831" s="1597"/>
      <c r="T831" s="1597"/>
    </row>
    <row r="832" spans="1:20" ht="13.5" customHeight="1">
      <c r="A832" s="1597"/>
      <c r="B832" s="1597"/>
      <c r="C832" s="1597"/>
      <c r="D832" s="1597"/>
      <c r="E832" s="1597"/>
      <c r="F832" s="1597"/>
      <c r="G832" s="1597"/>
      <c r="H832" s="1597"/>
      <c r="I832" s="1597"/>
      <c r="J832" s="1597"/>
      <c r="K832" s="1597"/>
      <c r="L832" s="1597"/>
      <c r="M832" s="1597"/>
      <c r="N832" s="1597"/>
      <c r="O832" s="1597"/>
      <c r="P832" s="1597"/>
      <c r="Q832" s="1597"/>
      <c r="R832" s="1597"/>
      <c r="S832" s="1597"/>
      <c r="T832" s="1597"/>
    </row>
    <row r="833" spans="1:20" ht="13.5" customHeight="1">
      <c r="A833" s="1597"/>
      <c r="B833" s="1597"/>
      <c r="C833" s="1597"/>
      <c r="D833" s="1597"/>
      <c r="E833" s="1597"/>
      <c r="F833" s="1597"/>
      <c r="G833" s="1597"/>
      <c r="H833" s="1597"/>
      <c r="I833" s="1597"/>
      <c r="J833" s="1597"/>
      <c r="K833" s="1597"/>
      <c r="L833" s="1597"/>
      <c r="M833" s="1597"/>
      <c r="N833" s="1597"/>
      <c r="O833" s="1597"/>
      <c r="P833" s="1597"/>
      <c r="Q833" s="1597"/>
      <c r="R833" s="1597"/>
      <c r="S833" s="1597"/>
      <c r="T833" s="1597"/>
    </row>
    <row r="834" spans="1:20" ht="13.5" customHeight="1">
      <c r="A834" s="1597"/>
      <c r="B834" s="1597"/>
      <c r="C834" s="1597"/>
      <c r="D834" s="1597"/>
      <c r="E834" s="1597"/>
      <c r="F834" s="1597"/>
      <c r="G834" s="1597"/>
      <c r="H834" s="1597"/>
      <c r="I834" s="1597"/>
      <c r="J834" s="1597"/>
      <c r="K834" s="1597"/>
      <c r="L834" s="1597"/>
      <c r="M834" s="1597"/>
      <c r="N834" s="1597"/>
      <c r="O834" s="1597"/>
      <c r="P834" s="1597"/>
      <c r="Q834" s="1597"/>
      <c r="R834" s="1597"/>
      <c r="S834" s="1597"/>
      <c r="T834" s="1597"/>
    </row>
    <row r="835" spans="1:20" ht="13.5" customHeight="1">
      <c r="A835" s="1597"/>
      <c r="B835" s="1597"/>
      <c r="C835" s="1597"/>
      <c r="D835" s="1597"/>
      <c r="E835" s="1597"/>
      <c r="F835" s="1597"/>
      <c r="G835" s="1597"/>
      <c r="H835" s="1597"/>
      <c r="I835" s="1597"/>
      <c r="J835" s="1597"/>
      <c r="K835" s="1597"/>
      <c r="L835" s="1597"/>
      <c r="M835" s="1597"/>
      <c r="N835" s="1597"/>
      <c r="O835" s="1597"/>
      <c r="P835" s="1597"/>
      <c r="Q835" s="1597"/>
      <c r="R835" s="1597"/>
      <c r="S835" s="1597"/>
      <c r="T835" s="1597"/>
    </row>
    <row r="836" spans="1:20" ht="13.5" customHeight="1">
      <c r="A836" s="1597"/>
      <c r="B836" s="1597"/>
      <c r="C836" s="1597"/>
      <c r="D836" s="1597"/>
      <c r="E836" s="1597"/>
      <c r="F836" s="1597"/>
      <c r="G836" s="1597"/>
      <c r="H836" s="1597"/>
      <c r="I836" s="1597"/>
      <c r="J836" s="1597"/>
      <c r="K836" s="1597"/>
      <c r="L836" s="1597"/>
      <c r="M836" s="1597"/>
      <c r="N836" s="1597"/>
      <c r="O836" s="1597"/>
      <c r="P836" s="1597"/>
      <c r="Q836" s="1597"/>
      <c r="R836" s="1597"/>
      <c r="S836" s="1597"/>
      <c r="T836" s="1597"/>
    </row>
    <row r="837" spans="1:20" ht="13.5" customHeight="1">
      <c r="A837" s="1597"/>
      <c r="B837" s="1597"/>
      <c r="C837" s="1597"/>
      <c r="D837" s="1597"/>
      <c r="E837" s="1597"/>
      <c r="F837" s="1597"/>
      <c r="G837" s="1597"/>
      <c r="H837" s="1597"/>
      <c r="I837" s="1597"/>
      <c r="J837" s="1597"/>
      <c r="K837" s="1597"/>
      <c r="L837" s="1597"/>
      <c r="M837" s="1597"/>
      <c r="N837" s="1597"/>
      <c r="O837" s="1597"/>
      <c r="P837" s="1597"/>
      <c r="Q837" s="1597"/>
      <c r="R837" s="1597"/>
      <c r="S837" s="1597"/>
      <c r="T837" s="1597"/>
    </row>
    <row r="838" spans="1:20" ht="13.5" customHeight="1">
      <c r="A838" s="1597"/>
      <c r="B838" s="1597"/>
      <c r="C838" s="1597"/>
      <c r="D838" s="1597"/>
      <c r="E838" s="1597"/>
      <c r="F838" s="1597"/>
      <c r="G838" s="1597"/>
      <c r="H838" s="1597"/>
      <c r="I838" s="1597"/>
      <c r="J838" s="1597"/>
      <c r="K838" s="1597"/>
      <c r="L838" s="1597"/>
      <c r="M838" s="1597"/>
      <c r="N838" s="1597"/>
      <c r="O838" s="1597"/>
      <c r="P838" s="1597"/>
      <c r="Q838" s="1597"/>
      <c r="R838" s="1597"/>
      <c r="S838" s="1597"/>
      <c r="T838" s="1597"/>
    </row>
    <row r="839" spans="1:20" ht="13.5" customHeight="1">
      <c r="A839" s="1597"/>
      <c r="B839" s="1597"/>
      <c r="C839" s="1597"/>
      <c r="D839" s="1597"/>
      <c r="E839" s="1597"/>
      <c r="F839" s="1597"/>
      <c r="G839" s="1597"/>
      <c r="H839" s="1597"/>
      <c r="I839" s="1597"/>
      <c r="J839" s="1597"/>
      <c r="K839" s="1597"/>
      <c r="L839" s="1597"/>
      <c r="M839" s="1597"/>
      <c r="N839" s="1597"/>
      <c r="O839" s="1597"/>
      <c r="P839" s="1597"/>
      <c r="Q839" s="1597"/>
      <c r="R839" s="1597"/>
      <c r="S839" s="1597"/>
      <c r="T839" s="1597"/>
    </row>
    <row r="840" spans="1:20" ht="13.5" customHeight="1">
      <c r="A840" s="1597"/>
      <c r="B840" s="1597"/>
      <c r="C840" s="1597"/>
      <c r="D840" s="1597"/>
      <c r="E840" s="1597"/>
      <c r="F840" s="1597"/>
      <c r="G840" s="1597"/>
      <c r="H840" s="1597"/>
      <c r="I840" s="1597"/>
      <c r="J840" s="1597"/>
      <c r="K840" s="1597"/>
      <c r="L840" s="1597"/>
      <c r="M840" s="1597"/>
      <c r="N840" s="1597"/>
      <c r="O840" s="1597"/>
      <c r="P840" s="1597"/>
      <c r="Q840" s="1597"/>
      <c r="R840" s="1597"/>
      <c r="S840" s="1597"/>
      <c r="T840" s="1597"/>
    </row>
    <row r="841" spans="1:20" ht="13.5" customHeight="1">
      <c r="A841" s="1597"/>
      <c r="B841" s="1597"/>
      <c r="C841" s="1597"/>
      <c r="D841" s="1597"/>
      <c r="E841" s="1597"/>
      <c r="F841" s="1597"/>
      <c r="G841" s="1597"/>
      <c r="H841" s="1597"/>
      <c r="I841" s="1597"/>
      <c r="J841" s="1597"/>
      <c r="K841" s="1597"/>
      <c r="L841" s="1597"/>
      <c r="M841" s="1597"/>
      <c r="N841" s="1597"/>
      <c r="O841" s="1597"/>
      <c r="P841" s="1597"/>
      <c r="Q841" s="1597"/>
      <c r="R841" s="1597"/>
      <c r="S841" s="1597"/>
      <c r="T841" s="1597"/>
    </row>
    <row r="842" spans="1:20" ht="13.5" customHeight="1">
      <c r="A842" s="1597"/>
      <c r="B842" s="1597"/>
      <c r="C842" s="1597"/>
      <c r="D842" s="1597"/>
      <c r="E842" s="1597"/>
      <c r="F842" s="1597"/>
      <c r="G842" s="1597"/>
      <c r="H842" s="1597"/>
      <c r="I842" s="1597"/>
      <c r="J842" s="1597"/>
      <c r="K842" s="1597"/>
      <c r="L842" s="1597"/>
      <c r="M842" s="1597"/>
      <c r="N842" s="1597"/>
      <c r="O842" s="1597"/>
      <c r="P842" s="1597"/>
      <c r="Q842" s="1597"/>
      <c r="R842" s="1597"/>
      <c r="S842" s="1597"/>
      <c r="T842" s="1597"/>
    </row>
    <row r="843" spans="1:20" ht="13.5" customHeight="1">
      <c r="A843" s="1597"/>
      <c r="B843" s="1597"/>
      <c r="C843" s="1597"/>
      <c r="D843" s="1597"/>
      <c r="E843" s="1597"/>
      <c r="F843" s="1597"/>
      <c r="G843" s="1597"/>
      <c r="H843" s="1597"/>
      <c r="I843" s="1597"/>
      <c r="J843" s="1597"/>
      <c r="K843" s="1597"/>
      <c r="L843" s="1597"/>
      <c r="M843" s="1597"/>
      <c r="N843" s="1597"/>
      <c r="O843" s="1597"/>
      <c r="P843" s="1597"/>
      <c r="Q843" s="1597"/>
      <c r="R843" s="1597"/>
      <c r="S843" s="1597"/>
      <c r="T843" s="1597"/>
    </row>
    <row r="844" spans="1:20" ht="13.5" customHeight="1">
      <c r="A844" s="1597"/>
      <c r="B844" s="1597"/>
      <c r="C844" s="1597"/>
      <c r="D844" s="1597"/>
      <c r="E844" s="1597"/>
      <c r="F844" s="1597"/>
      <c r="G844" s="1597"/>
      <c r="H844" s="1597"/>
      <c r="I844" s="1597"/>
      <c r="J844" s="1597"/>
      <c r="K844" s="1597"/>
      <c r="L844" s="1597"/>
      <c r="M844" s="1597"/>
      <c r="N844" s="1597"/>
      <c r="O844" s="1597"/>
      <c r="P844" s="1597"/>
      <c r="Q844" s="1597"/>
      <c r="R844" s="1597"/>
      <c r="S844" s="1597"/>
      <c r="T844" s="1597"/>
    </row>
    <row r="845" spans="1:20" ht="13.5" customHeight="1">
      <c r="A845" s="1597"/>
      <c r="B845" s="1597"/>
      <c r="C845" s="1597"/>
      <c r="D845" s="1597"/>
      <c r="E845" s="1597"/>
      <c r="F845" s="1597"/>
      <c r="G845" s="1597"/>
      <c r="H845" s="1597"/>
      <c r="I845" s="1597"/>
      <c r="J845" s="1597"/>
      <c r="K845" s="1597"/>
      <c r="L845" s="1597"/>
      <c r="M845" s="1597"/>
      <c r="N845" s="1597"/>
      <c r="O845" s="1597"/>
      <c r="P845" s="1597"/>
      <c r="Q845" s="1597"/>
      <c r="R845" s="1597"/>
      <c r="S845" s="1597"/>
      <c r="T845" s="1597"/>
    </row>
    <row r="846" spans="1:20" ht="13.5" customHeight="1">
      <c r="A846" s="1597"/>
      <c r="B846" s="1597"/>
      <c r="C846" s="1597"/>
      <c r="D846" s="1597"/>
      <c r="E846" s="1597"/>
      <c r="F846" s="1597"/>
      <c r="G846" s="1597"/>
      <c r="H846" s="1597"/>
      <c r="I846" s="1597"/>
      <c r="J846" s="1597"/>
      <c r="K846" s="1597"/>
      <c r="L846" s="1597"/>
      <c r="M846" s="1597"/>
      <c r="N846" s="1597"/>
      <c r="O846" s="1597"/>
      <c r="P846" s="1597"/>
      <c r="Q846" s="1597"/>
      <c r="R846" s="1597"/>
      <c r="S846" s="1597"/>
      <c r="T846" s="1597"/>
    </row>
    <row r="847" spans="1:20" ht="13.5" customHeight="1">
      <c r="A847" s="1597"/>
      <c r="B847" s="1597"/>
      <c r="C847" s="1597"/>
      <c r="D847" s="1597"/>
      <c r="E847" s="1597"/>
      <c r="F847" s="1597"/>
      <c r="G847" s="1597"/>
      <c r="H847" s="1597"/>
      <c r="I847" s="1597"/>
      <c r="J847" s="1597"/>
      <c r="K847" s="1597"/>
      <c r="L847" s="1597"/>
      <c r="M847" s="1597"/>
      <c r="N847" s="1597"/>
      <c r="O847" s="1597"/>
      <c r="P847" s="1597"/>
      <c r="Q847" s="1597"/>
      <c r="R847" s="1597"/>
      <c r="S847" s="1597"/>
      <c r="T847" s="1597"/>
    </row>
    <row r="848" spans="1:20" ht="13.5" customHeight="1">
      <c r="A848" s="1597"/>
      <c r="B848" s="1597"/>
      <c r="C848" s="1597"/>
      <c r="D848" s="1597"/>
      <c r="E848" s="1597"/>
      <c r="F848" s="1597"/>
      <c r="G848" s="1597"/>
      <c r="H848" s="1597"/>
      <c r="I848" s="1597"/>
      <c r="J848" s="1597"/>
      <c r="K848" s="1597"/>
      <c r="L848" s="1597"/>
      <c r="M848" s="1597"/>
      <c r="N848" s="1597"/>
      <c r="O848" s="1597"/>
      <c r="P848" s="1597"/>
      <c r="Q848" s="1597"/>
      <c r="R848" s="1597"/>
      <c r="S848" s="1597"/>
      <c r="T848" s="1597"/>
    </row>
    <row r="849" spans="1:20" ht="13.5" customHeight="1">
      <c r="A849" s="1597"/>
      <c r="B849" s="1597"/>
      <c r="C849" s="1597"/>
      <c r="D849" s="1597"/>
      <c r="E849" s="1597"/>
      <c r="F849" s="1597"/>
      <c r="G849" s="1597"/>
      <c r="H849" s="1597"/>
      <c r="I849" s="1597"/>
      <c r="J849" s="1597"/>
      <c r="K849" s="1597"/>
      <c r="L849" s="1597"/>
      <c r="M849" s="1597"/>
      <c r="N849" s="1597"/>
      <c r="O849" s="1597"/>
      <c r="P849" s="1597"/>
      <c r="Q849" s="1597"/>
      <c r="R849" s="1597"/>
      <c r="S849" s="1597"/>
      <c r="T849" s="1597"/>
    </row>
    <row r="850" spans="1:20" ht="13.5" customHeight="1">
      <c r="A850" s="1597"/>
      <c r="B850" s="1597"/>
      <c r="C850" s="1597"/>
      <c r="D850" s="1597"/>
      <c r="E850" s="1597"/>
      <c r="F850" s="1597"/>
      <c r="G850" s="1597"/>
      <c r="H850" s="1597"/>
      <c r="I850" s="1597"/>
      <c r="J850" s="1597"/>
      <c r="K850" s="1597"/>
      <c r="L850" s="1597"/>
      <c r="M850" s="1597"/>
      <c r="N850" s="1597"/>
      <c r="O850" s="1597"/>
      <c r="P850" s="1597"/>
      <c r="Q850" s="1597"/>
      <c r="R850" s="1597"/>
      <c r="S850" s="1597"/>
      <c r="T850" s="1597"/>
    </row>
    <row r="851" spans="1:20" ht="13.5" customHeight="1">
      <c r="A851" s="1597"/>
      <c r="B851" s="1597"/>
      <c r="C851" s="1597"/>
      <c r="D851" s="1597"/>
      <c r="E851" s="1597"/>
      <c r="F851" s="1597"/>
      <c r="G851" s="1597"/>
      <c r="H851" s="1597"/>
      <c r="I851" s="1597"/>
      <c r="J851" s="1597"/>
      <c r="K851" s="1597"/>
      <c r="L851" s="1597"/>
      <c r="M851" s="1597"/>
      <c r="N851" s="1597"/>
      <c r="O851" s="1597"/>
      <c r="P851" s="1597"/>
      <c r="Q851" s="1597"/>
      <c r="R851" s="1597"/>
      <c r="S851" s="1597"/>
      <c r="T851" s="1597"/>
    </row>
    <row r="852" spans="1:20" ht="13.5" customHeight="1">
      <c r="A852" s="1597"/>
      <c r="B852" s="1597"/>
      <c r="C852" s="1597"/>
      <c r="D852" s="1597"/>
      <c r="E852" s="1597"/>
      <c r="F852" s="1597"/>
      <c r="G852" s="1597"/>
      <c r="H852" s="1597"/>
      <c r="I852" s="1597"/>
      <c r="J852" s="1597"/>
      <c r="K852" s="1597"/>
      <c r="L852" s="1597"/>
      <c r="M852" s="1597"/>
      <c r="N852" s="1597"/>
      <c r="O852" s="1597"/>
      <c r="P852" s="1597"/>
      <c r="Q852" s="1597"/>
      <c r="R852" s="1597"/>
      <c r="S852" s="1597"/>
      <c r="T852" s="1597"/>
    </row>
    <row r="853" spans="1:20" ht="13.5" customHeight="1">
      <c r="A853" s="1597"/>
      <c r="B853" s="1597"/>
      <c r="C853" s="1597"/>
      <c r="D853" s="1597"/>
      <c r="E853" s="1597"/>
      <c r="F853" s="1597"/>
      <c r="G853" s="1597"/>
      <c r="H853" s="1597"/>
      <c r="I853" s="1597"/>
      <c r="J853" s="1597"/>
      <c r="K853" s="1597"/>
      <c r="L853" s="1597"/>
      <c r="M853" s="1597"/>
      <c r="N853" s="1597"/>
      <c r="O853" s="1597"/>
      <c r="P853" s="1597"/>
      <c r="Q853" s="1597"/>
      <c r="R853" s="1597"/>
      <c r="S853" s="1597"/>
      <c r="T853" s="1597"/>
    </row>
    <row r="854" spans="1:20" ht="13.5" customHeight="1">
      <c r="A854" s="1597"/>
      <c r="B854" s="1597"/>
      <c r="C854" s="1597"/>
      <c r="D854" s="1597"/>
      <c r="E854" s="1597"/>
      <c r="F854" s="1597"/>
      <c r="G854" s="1597"/>
      <c r="H854" s="1597"/>
      <c r="I854" s="1597"/>
      <c r="J854" s="1597"/>
      <c r="K854" s="1597"/>
      <c r="L854" s="1597"/>
      <c r="M854" s="1597"/>
      <c r="N854" s="1597"/>
      <c r="O854" s="1597"/>
      <c r="P854" s="1597"/>
      <c r="Q854" s="1597"/>
      <c r="R854" s="1597"/>
      <c r="S854" s="1597"/>
      <c r="T854" s="1597"/>
    </row>
    <row r="855" spans="1:20" ht="13.5" customHeight="1">
      <c r="A855" s="1597"/>
      <c r="B855" s="1597"/>
      <c r="C855" s="1597"/>
      <c r="D855" s="1597"/>
      <c r="E855" s="1597"/>
      <c r="F855" s="1597"/>
      <c r="G855" s="1597"/>
      <c r="H855" s="1597"/>
      <c r="I855" s="1597"/>
      <c r="J855" s="1597"/>
      <c r="K855" s="1597"/>
      <c r="L855" s="1597"/>
      <c r="M855" s="1597"/>
      <c r="N855" s="1597"/>
      <c r="O855" s="1597"/>
      <c r="P855" s="1597"/>
      <c r="Q855" s="1597"/>
      <c r="R855" s="1597"/>
      <c r="S855" s="1597"/>
      <c r="T855" s="1597"/>
    </row>
    <row r="856" spans="1:20" ht="13.5" customHeight="1">
      <c r="A856" s="1597"/>
      <c r="B856" s="1597"/>
      <c r="C856" s="1597"/>
      <c r="D856" s="1597"/>
      <c r="E856" s="1597"/>
      <c r="F856" s="1597"/>
      <c r="G856" s="1597"/>
      <c r="H856" s="1597"/>
      <c r="I856" s="1597"/>
      <c r="J856" s="1597"/>
      <c r="K856" s="1597"/>
      <c r="L856" s="1597"/>
      <c r="M856" s="1597"/>
      <c r="N856" s="1597"/>
      <c r="O856" s="1597"/>
      <c r="P856" s="1597"/>
      <c r="Q856" s="1597"/>
      <c r="R856" s="1597"/>
      <c r="S856" s="1597"/>
      <c r="T856" s="1597"/>
    </row>
    <row r="857" spans="1:20" ht="13.5" customHeight="1">
      <c r="A857" s="1597"/>
      <c r="B857" s="1597"/>
      <c r="C857" s="1597"/>
      <c r="D857" s="1597"/>
      <c r="E857" s="1597"/>
      <c r="F857" s="1597"/>
      <c r="G857" s="1597"/>
      <c r="H857" s="1597"/>
      <c r="I857" s="1597"/>
      <c r="J857" s="1597"/>
      <c r="K857" s="1597"/>
      <c r="L857" s="1597"/>
      <c r="M857" s="1597"/>
      <c r="N857" s="1597"/>
      <c r="O857" s="1597"/>
      <c r="P857" s="1597"/>
      <c r="Q857" s="1597"/>
      <c r="R857" s="1597"/>
      <c r="S857" s="1597"/>
      <c r="T857" s="1597"/>
    </row>
    <row r="858" spans="1:20" ht="13.5" customHeight="1">
      <c r="A858" s="1597"/>
      <c r="B858" s="1597"/>
      <c r="C858" s="1597"/>
      <c r="D858" s="1597"/>
      <c r="E858" s="1597"/>
      <c r="F858" s="1597"/>
      <c r="G858" s="1597"/>
      <c r="H858" s="1597"/>
      <c r="I858" s="1597"/>
      <c r="J858" s="1597"/>
      <c r="K858" s="1597"/>
      <c r="L858" s="1597"/>
      <c r="M858" s="1597"/>
      <c r="N858" s="1597"/>
      <c r="O858" s="1597"/>
      <c r="P858" s="1597"/>
      <c r="Q858" s="1597"/>
      <c r="R858" s="1597"/>
      <c r="S858" s="1597"/>
      <c r="T858" s="1597"/>
    </row>
    <row r="859" spans="1:20" ht="13.5" customHeight="1">
      <c r="A859" s="1597"/>
      <c r="B859" s="1597"/>
      <c r="C859" s="1597"/>
      <c r="D859" s="1597"/>
      <c r="E859" s="1597"/>
      <c r="F859" s="1597"/>
      <c r="G859" s="1597"/>
      <c r="H859" s="1597"/>
      <c r="I859" s="1597"/>
      <c r="J859" s="1597"/>
      <c r="K859" s="1597"/>
      <c r="L859" s="1597"/>
      <c r="M859" s="1597"/>
      <c r="N859" s="1597"/>
      <c r="O859" s="1597"/>
      <c r="P859" s="1597"/>
      <c r="Q859" s="1597"/>
      <c r="R859" s="1597"/>
      <c r="S859" s="1597"/>
      <c r="T859" s="1597"/>
    </row>
    <row r="860" spans="1:20" ht="13.5" customHeight="1">
      <c r="A860" s="1597"/>
      <c r="B860" s="1597"/>
      <c r="C860" s="1597"/>
      <c r="D860" s="1597"/>
      <c r="E860" s="1597"/>
      <c r="F860" s="1597"/>
      <c r="G860" s="1597"/>
      <c r="H860" s="1597"/>
      <c r="I860" s="1597"/>
      <c r="J860" s="1597"/>
      <c r="K860" s="1597"/>
      <c r="L860" s="1597"/>
      <c r="M860" s="1597"/>
      <c r="N860" s="1597"/>
      <c r="O860" s="1597"/>
      <c r="P860" s="1597"/>
      <c r="Q860" s="1597"/>
      <c r="R860" s="1597"/>
      <c r="S860" s="1597"/>
      <c r="T860" s="1597"/>
    </row>
    <row r="861" spans="1:20" ht="13.5" customHeight="1">
      <c r="A861" s="1597"/>
      <c r="B861" s="1597"/>
      <c r="C861" s="1597"/>
      <c r="D861" s="1597"/>
      <c r="E861" s="1597"/>
      <c r="F861" s="1597"/>
      <c r="G861" s="1597"/>
      <c r="H861" s="1597"/>
      <c r="I861" s="1597"/>
      <c r="J861" s="1597"/>
      <c r="K861" s="1597"/>
      <c r="L861" s="1597"/>
      <c r="M861" s="1597"/>
      <c r="N861" s="1597"/>
      <c r="O861" s="1597"/>
      <c r="P861" s="1597"/>
      <c r="Q861" s="1597"/>
      <c r="R861" s="1597"/>
      <c r="S861" s="1597"/>
      <c r="T861" s="1597"/>
    </row>
    <row r="862" spans="1:20" ht="13.5" customHeight="1">
      <c r="A862" s="1597"/>
      <c r="B862" s="1597"/>
      <c r="C862" s="1597"/>
      <c r="D862" s="1597"/>
      <c r="E862" s="1597"/>
      <c r="F862" s="1597"/>
      <c r="G862" s="1597"/>
      <c r="H862" s="1597"/>
      <c r="I862" s="1597"/>
      <c r="J862" s="1597"/>
      <c r="K862" s="1597"/>
      <c r="L862" s="1597"/>
      <c r="M862" s="1597"/>
      <c r="N862" s="1597"/>
      <c r="O862" s="1597"/>
      <c r="P862" s="1597"/>
      <c r="Q862" s="1597"/>
      <c r="R862" s="1597"/>
      <c r="S862" s="1597"/>
      <c r="T862" s="1597"/>
    </row>
    <row r="863" spans="1:20" ht="13.5" customHeight="1">
      <c r="A863" s="1597"/>
      <c r="B863" s="1597"/>
      <c r="C863" s="1597"/>
      <c r="D863" s="1597"/>
      <c r="E863" s="1597"/>
      <c r="F863" s="1597"/>
      <c r="G863" s="1597"/>
      <c r="H863" s="1597"/>
      <c r="I863" s="1597"/>
      <c r="J863" s="1597"/>
      <c r="K863" s="1597"/>
      <c r="L863" s="1597"/>
      <c r="M863" s="1597"/>
      <c r="N863" s="1597"/>
      <c r="O863" s="1597"/>
      <c r="P863" s="1597"/>
      <c r="Q863" s="1597"/>
      <c r="R863" s="1597"/>
      <c r="S863" s="1597"/>
      <c r="T863" s="1597"/>
    </row>
    <row r="864" spans="1:20" ht="13.5" customHeight="1">
      <c r="A864" s="1597"/>
      <c r="B864" s="1597"/>
      <c r="C864" s="1597"/>
      <c r="D864" s="1597"/>
      <c r="E864" s="1597"/>
      <c r="F864" s="1597"/>
      <c r="G864" s="1597"/>
      <c r="H864" s="1597"/>
      <c r="I864" s="1597"/>
      <c r="J864" s="1597"/>
      <c r="K864" s="1597"/>
      <c r="L864" s="1597"/>
      <c r="M864" s="1597"/>
      <c r="N864" s="1597"/>
      <c r="O864" s="1597"/>
      <c r="P864" s="1597"/>
      <c r="Q864" s="1597"/>
      <c r="R864" s="1597"/>
      <c r="S864" s="1597"/>
      <c r="T864" s="1597"/>
    </row>
    <row r="865" spans="1:20" ht="13.5" customHeight="1">
      <c r="A865" s="1597"/>
      <c r="B865" s="1597"/>
      <c r="C865" s="1597"/>
      <c r="D865" s="1597"/>
      <c r="E865" s="1597"/>
      <c r="F865" s="1597"/>
      <c r="G865" s="1597"/>
      <c r="H865" s="1597"/>
      <c r="I865" s="1597"/>
      <c r="J865" s="1597"/>
      <c r="K865" s="1597"/>
      <c r="L865" s="1597"/>
      <c r="M865" s="1597"/>
      <c r="N865" s="1597"/>
      <c r="O865" s="1597"/>
      <c r="P865" s="1597"/>
      <c r="Q865" s="1597"/>
      <c r="R865" s="1597"/>
      <c r="S865" s="1597"/>
      <c r="T865" s="1597"/>
    </row>
    <row r="866" spans="1:20" ht="13.5" customHeight="1">
      <c r="A866" s="1597"/>
      <c r="B866" s="1597"/>
      <c r="C866" s="1597"/>
      <c r="D866" s="1597"/>
      <c r="E866" s="1597"/>
      <c r="F866" s="1597"/>
      <c r="G866" s="1597"/>
      <c r="H866" s="1597"/>
      <c r="I866" s="1597"/>
      <c r="J866" s="1597"/>
      <c r="K866" s="1597"/>
      <c r="L866" s="1597"/>
      <c r="M866" s="1597"/>
      <c r="N866" s="1597"/>
      <c r="O866" s="1597"/>
      <c r="P866" s="1597"/>
      <c r="Q866" s="1597"/>
      <c r="R866" s="1597"/>
      <c r="S866" s="1597"/>
      <c r="T866" s="1597"/>
    </row>
    <row r="867" spans="1:20" ht="13.5" customHeight="1">
      <c r="A867" s="1597"/>
      <c r="B867" s="1597"/>
      <c r="C867" s="1597"/>
      <c r="D867" s="1597"/>
      <c r="E867" s="1597"/>
      <c r="F867" s="1597"/>
      <c r="G867" s="1597"/>
      <c r="H867" s="1597"/>
      <c r="I867" s="1597"/>
      <c r="J867" s="1597"/>
      <c r="K867" s="1597"/>
      <c r="L867" s="1597"/>
      <c r="M867" s="1597"/>
      <c r="N867" s="1597"/>
      <c r="O867" s="1597"/>
      <c r="P867" s="1597"/>
      <c r="Q867" s="1597"/>
      <c r="R867" s="1597"/>
      <c r="S867" s="1597"/>
      <c r="T867" s="1597"/>
    </row>
    <row r="868" spans="1:20" ht="13.5" customHeight="1">
      <c r="A868" s="1597"/>
      <c r="B868" s="1597"/>
      <c r="C868" s="1597"/>
      <c r="D868" s="1597"/>
      <c r="E868" s="1597"/>
      <c r="F868" s="1597"/>
      <c r="G868" s="1597"/>
      <c r="H868" s="1597"/>
      <c r="I868" s="1597"/>
      <c r="J868" s="1597"/>
      <c r="K868" s="1597"/>
      <c r="L868" s="1597"/>
      <c r="M868" s="1597"/>
      <c r="N868" s="1597"/>
      <c r="O868" s="1597"/>
      <c r="P868" s="1597"/>
      <c r="Q868" s="1597"/>
      <c r="R868" s="1597"/>
      <c r="S868" s="1597"/>
      <c r="T868" s="1597"/>
    </row>
    <row r="869" spans="1:20" ht="13.5" customHeight="1">
      <c r="A869" s="1597"/>
      <c r="B869" s="1597"/>
      <c r="C869" s="1597"/>
      <c r="D869" s="1597"/>
      <c r="E869" s="1597"/>
      <c r="F869" s="1597"/>
      <c r="G869" s="1597"/>
      <c r="H869" s="1597"/>
      <c r="I869" s="1597"/>
      <c r="J869" s="1597"/>
      <c r="K869" s="1597"/>
      <c r="L869" s="1597"/>
      <c r="M869" s="1597"/>
      <c r="N869" s="1597"/>
      <c r="O869" s="1597"/>
      <c r="P869" s="1597"/>
      <c r="Q869" s="1597"/>
      <c r="R869" s="1597"/>
      <c r="S869" s="1597"/>
      <c r="T869" s="1597"/>
    </row>
    <row r="870" spans="1:20" ht="13.5" customHeight="1">
      <c r="A870" s="1597"/>
      <c r="B870" s="1597"/>
      <c r="C870" s="1597"/>
      <c r="D870" s="1597"/>
      <c r="E870" s="1597"/>
      <c r="F870" s="1597"/>
      <c r="G870" s="1597"/>
      <c r="H870" s="1597"/>
      <c r="I870" s="1597"/>
      <c r="J870" s="1597"/>
      <c r="K870" s="1597"/>
      <c r="L870" s="1597"/>
      <c r="M870" s="1597"/>
      <c r="N870" s="1597"/>
      <c r="O870" s="1597"/>
      <c r="P870" s="1597"/>
      <c r="Q870" s="1597"/>
      <c r="R870" s="1597"/>
      <c r="S870" s="1597"/>
      <c r="T870" s="1597"/>
    </row>
    <row r="871" spans="1:20" ht="13.5" customHeight="1">
      <c r="A871" s="1597"/>
      <c r="B871" s="1597"/>
      <c r="C871" s="1597"/>
      <c r="D871" s="1597"/>
      <c r="E871" s="1597"/>
      <c r="F871" s="1597"/>
      <c r="G871" s="1597"/>
      <c r="H871" s="1597"/>
      <c r="I871" s="1597"/>
      <c r="J871" s="1597"/>
      <c r="K871" s="1597"/>
      <c r="L871" s="1597"/>
      <c r="M871" s="1597"/>
      <c r="N871" s="1597"/>
      <c r="O871" s="1597"/>
      <c r="P871" s="1597"/>
      <c r="Q871" s="1597"/>
      <c r="R871" s="1597"/>
      <c r="S871" s="1597"/>
      <c r="T871" s="1597"/>
    </row>
    <row r="872" spans="1:20" ht="13.5" customHeight="1">
      <c r="A872" s="1597"/>
      <c r="B872" s="1597"/>
      <c r="C872" s="1597"/>
      <c r="D872" s="1597"/>
      <c r="E872" s="1597"/>
      <c r="F872" s="1597"/>
      <c r="G872" s="1597"/>
      <c r="H872" s="1597"/>
      <c r="I872" s="1597"/>
      <c r="J872" s="1597"/>
      <c r="K872" s="1597"/>
      <c r="L872" s="1597"/>
      <c r="M872" s="1597"/>
      <c r="N872" s="1597"/>
      <c r="O872" s="1597"/>
      <c r="P872" s="1597"/>
      <c r="Q872" s="1597"/>
      <c r="R872" s="1597"/>
      <c r="S872" s="1597"/>
      <c r="T872" s="1597"/>
    </row>
    <row r="873" spans="1:20" ht="13.5" customHeight="1">
      <c r="A873" s="1597"/>
      <c r="B873" s="1597"/>
      <c r="C873" s="1597"/>
      <c r="D873" s="1597"/>
      <c r="E873" s="1597"/>
      <c r="F873" s="1597"/>
      <c r="G873" s="1597"/>
      <c r="H873" s="1597"/>
      <c r="I873" s="1597"/>
      <c r="J873" s="1597"/>
      <c r="K873" s="1597"/>
      <c r="L873" s="1597"/>
      <c r="M873" s="1597"/>
      <c r="N873" s="1597"/>
      <c r="O873" s="1597"/>
      <c r="P873" s="1597"/>
      <c r="Q873" s="1597"/>
      <c r="R873" s="1597"/>
      <c r="S873" s="1597"/>
      <c r="T873" s="1597"/>
    </row>
    <row r="874" spans="1:20" ht="13.5" customHeight="1">
      <c r="A874" s="1597"/>
      <c r="B874" s="1597"/>
      <c r="C874" s="1597"/>
      <c r="D874" s="1597"/>
      <c r="E874" s="1597"/>
      <c r="F874" s="1597"/>
      <c r="G874" s="1597"/>
      <c r="H874" s="1597"/>
      <c r="I874" s="1597"/>
      <c r="J874" s="1597"/>
      <c r="K874" s="1597"/>
      <c r="L874" s="1597"/>
      <c r="M874" s="1597"/>
      <c r="N874" s="1597"/>
      <c r="O874" s="1597"/>
      <c r="P874" s="1597"/>
      <c r="Q874" s="1597"/>
      <c r="R874" s="1597"/>
      <c r="S874" s="1597"/>
      <c r="T874" s="1597"/>
    </row>
    <row r="875" spans="1:20" ht="13.5" customHeight="1">
      <c r="A875" s="1597"/>
      <c r="B875" s="1597"/>
      <c r="C875" s="1597"/>
      <c r="D875" s="1597"/>
      <c r="E875" s="1597"/>
      <c r="F875" s="1597"/>
      <c r="G875" s="1597"/>
      <c r="H875" s="1597"/>
      <c r="I875" s="1597"/>
      <c r="J875" s="1597"/>
      <c r="K875" s="1597"/>
      <c r="L875" s="1597"/>
      <c r="M875" s="1597"/>
      <c r="N875" s="1597"/>
      <c r="O875" s="1597"/>
      <c r="P875" s="1597"/>
      <c r="Q875" s="1597"/>
      <c r="R875" s="1597"/>
      <c r="S875" s="1597"/>
      <c r="T875" s="1597"/>
    </row>
    <row r="876" spans="1:20" ht="13.5" customHeight="1">
      <c r="A876" s="1597"/>
      <c r="B876" s="1597"/>
      <c r="C876" s="1597"/>
      <c r="D876" s="1597"/>
      <c r="E876" s="1597"/>
      <c r="F876" s="1597"/>
      <c r="G876" s="1597"/>
      <c r="H876" s="1597"/>
      <c r="I876" s="1597"/>
      <c r="J876" s="1597"/>
      <c r="K876" s="1597"/>
      <c r="L876" s="1597"/>
      <c r="M876" s="1597"/>
      <c r="N876" s="1597"/>
      <c r="O876" s="1597"/>
      <c r="P876" s="1597"/>
      <c r="Q876" s="1597"/>
      <c r="R876" s="1597"/>
      <c r="S876" s="1597"/>
      <c r="T876" s="1597"/>
    </row>
    <row r="877" spans="1:20" ht="13.5" customHeight="1">
      <c r="A877" s="1597"/>
      <c r="B877" s="1597"/>
      <c r="C877" s="1597"/>
      <c r="D877" s="1597"/>
      <c r="E877" s="1597"/>
      <c r="F877" s="1597"/>
      <c r="G877" s="1597"/>
      <c r="H877" s="1597"/>
      <c r="I877" s="1597"/>
      <c r="J877" s="1597"/>
      <c r="K877" s="1597"/>
      <c r="L877" s="1597"/>
      <c r="M877" s="1597"/>
      <c r="N877" s="1597"/>
      <c r="O877" s="1597"/>
      <c r="P877" s="1597"/>
      <c r="Q877" s="1597"/>
      <c r="R877" s="1597"/>
      <c r="S877" s="1597"/>
      <c r="T877" s="1597"/>
    </row>
    <row r="878" spans="1:20" ht="13.5" customHeight="1">
      <c r="A878" s="1597"/>
      <c r="B878" s="1597"/>
      <c r="C878" s="1597"/>
      <c r="D878" s="1597"/>
      <c r="E878" s="1597"/>
      <c r="F878" s="1597"/>
      <c r="G878" s="1597"/>
      <c r="H878" s="1597"/>
      <c r="I878" s="1597"/>
      <c r="J878" s="1597"/>
      <c r="K878" s="1597"/>
      <c r="L878" s="1597"/>
      <c r="M878" s="1597"/>
      <c r="N878" s="1597"/>
      <c r="O878" s="1597"/>
      <c r="P878" s="1597"/>
      <c r="Q878" s="1597"/>
      <c r="R878" s="1597"/>
      <c r="S878" s="1597"/>
      <c r="T878" s="1597"/>
    </row>
    <row r="879" spans="1:20" ht="13.5" customHeight="1">
      <c r="A879" s="1597"/>
      <c r="B879" s="1597"/>
      <c r="C879" s="1597"/>
      <c r="D879" s="1597"/>
      <c r="E879" s="1597"/>
      <c r="F879" s="1597"/>
      <c r="G879" s="1597"/>
      <c r="H879" s="1597"/>
      <c r="I879" s="1597"/>
      <c r="J879" s="1597"/>
      <c r="K879" s="1597"/>
      <c r="L879" s="1597"/>
      <c r="M879" s="1597"/>
      <c r="N879" s="1597"/>
      <c r="O879" s="1597"/>
      <c r="P879" s="1597"/>
      <c r="Q879" s="1597"/>
      <c r="R879" s="1597"/>
      <c r="S879" s="1597"/>
      <c r="T879" s="1597"/>
    </row>
    <row r="880" spans="1:20" ht="13.5" customHeight="1">
      <c r="A880" s="1597"/>
      <c r="B880" s="1597"/>
      <c r="C880" s="1597"/>
      <c r="D880" s="1597"/>
      <c r="E880" s="1597"/>
      <c r="F880" s="1597"/>
      <c r="G880" s="1597"/>
      <c r="H880" s="1597"/>
      <c r="I880" s="1597"/>
      <c r="J880" s="1597"/>
      <c r="K880" s="1597"/>
      <c r="L880" s="1597"/>
      <c r="M880" s="1597"/>
      <c r="N880" s="1597"/>
      <c r="O880" s="1597"/>
      <c r="P880" s="1597"/>
      <c r="Q880" s="1597"/>
      <c r="R880" s="1597"/>
      <c r="S880" s="1597"/>
      <c r="T880" s="1597"/>
    </row>
    <row r="881" spans="1:20" ht="13.5" customHeight="1">
      <c r="A881" s="1597"/>
      <c r="B881" s="1597"/>
      <c r="C881" s="1597"/>
      <c r="D881" s="1597"/>
      <c r="E881" s="1597"/>
      <c r="F881" s="1597"/>
      <c r="G881" s="1597"/>
      <c r="H881" s="1597"/>
      <c r="I881" s="1597"/>
      <c r="J881" s="1597"/>
      <c r="K881" s="1597"/>
      <c r="L881" s="1597"/>
      <c r="M881" s="1597"/>
      <c r="N881" s="1597"/>
      <c r="O881" s="1597"/>
      <c r="P881" s="1597"/>
      <c r="Q881" s="1597"/>
      <c r="R881" s="1597"/>
      <c r="S881" s="1597"/>
      <c r="T881" s="1597"/>
    </row>
    <row r="882" spans="1:20" ht="13.5" customHeight="1">
      <c r="A882" s="1597"/>
      <c r="B882" s="1597"/>
      <c r="C882" s="1597"/>
      <c r="D882" s="1597"/>
      <c r="E882" s="1597"/>
      <c r="F882" s="1597"/>
      <c r="G882" s="1597"/>
      <c r="H882" s="1597"/>
      <c r="I882" s="1597"/>
      <c r="J882" s="1597"/>
      <c r="K882" s="1597"/>
      <c r="L882" s="1597"/>
      <c r="M882" s="1597"/>
      <c r="N882" s="1597"/>
      <c r="O882" s="1597"/>
      <c r="P882" s="1597"/>
      <c r="Q882" s="1597"/>
      <c r="R882" s="1597"/>
      <c r="S882" s="1597"/>
      <c r="T882" s="1597"/>
    </row>
    <row r="883" spans="1:20" ht="13.5" customHeight="1">
      <c r="A883" s="1597"/>
      <c r="B883" s="1597"/>
      <c r="C883" s="1597"/>
      <c r="D883" s="1597"/>
      <c r="E883" s="1597"/>
      <c r="F883" s="1597"/>
      <c r="G883" s="1597"/>
      <c r="H883" s="1597"/>
      <c r="I883" s="1597"/>
      <c r="J883" s="1597"/>
      <c r="K883" s="1597"/>
      <c r="L883" s="1597"/>
      <c r="M883" s="1597"/>
      <c r="N883" s="1597"/>
      <c r="O883" s="1597"/>
      <c r="P883" s="1597"/>
      <c r="Q883" s="1597"/>
      <c r="R883" s="1597"/>
      <c r="S883" s="1597"/>
      <c r="T883" s="1597"/>
    </row>
    <row r="884" spans="1:20" ht="13.5" customHeight="1">
      <c r="A884" s="1597"/>
      <c r="B884" s="1597"/>
      <c r="C884" s="1597"/>
      <c r="D884" s="1597"/>
      <c r="E884" s="1597"/>
      <c r="F884" s="1597"/>
      <c r="G884" s="1597"/>
      <c r="H884" s="1597"/>
      <c r="I884" s="1597"/>
      <c r="J884" s="1597"/>
      <c r="K884" s="1597"/>
      <c r="L884" s="1597"/>
      <c r="M884" s="1597"/>
      <c r="N884" s="1597"/>
      <c r="O884" s="1597"/>
      <c r="P884" s="1597"/>
      <c r="Q884" s="1597"/>
      <c r="R884" s="1597"/>
      <c r="S884" s="1597"/>
      <c r="T884" s="1597"/>
    </row>
    <row r="885" spans="1:20" ht="13.5" customHeight="1">
      <c r="A885" s="1597"/>
      <c r="B885" s="1597"/>
      <c r="C885" s="1597"/>
      <c r="D885" s="1597"/>
      <c r="E885" s="1597"/>
      <c r="F885" s="1597"/>
      <c r="G885" s="1597"/>
      <c r="H885" s="1597"/>
      <c r="I885" s="1597"/>
      <c r="J885" s="1597"/>
      <c r="K885" s="1597"/>
      <c r="L885" s="1597"/>
      <c r="M885" s="1597"/>
      <c r="N885" s="1597"/>
      <c r="O885" s="1597"/>
      <c r="P885" s="1597"/>
      <c r="Q885" s="1597"/>
      <c r="R885" s="1597"/>
      <c r="S885" s="1597"/>
      <c r="T885" s="1597"/>
    </row>
    <row r="886" spans="1:20" ht="13.5" customHeight="1">
      <c r="A886" s="1597"/>
      <c r="B886" s="1597"/>
      <c r="C886" s="1597"/>
      <c r="D886" s="1597"/>
      <c r="E886" s="1597"/>
      <c r="F886" s="1597"/>
      <c r="G886" s="1597"/>
      <c r="H886" s="1597"/>
      <c r="I886" s="1597"/>
      <c r="J886" s="1597"/>
      <c r="K886" s="1597"/>
      <c r="L886" s="1597"/>
      <c r="M886" s="1597"/>
      <c r="N886" s="1597"/>
      <c r="O886" s="1597"/>
      <c r="P886" s="1597"/>
      <c r="Q886" s="1597"/>
      <c r="R886" s="1597"/>
      <c r="S886" s="1597"/>
      <c r="T886" s="1597"/>
    </row>
    <row r="887" spans="1:20" ht="13.5" customHeight="1">
      <c r="A887" s="1597"/>
      <c r="B887" s="1597"/>
      <c r="C887" s="1597"/>
      <c r="D887" s="1597"/>
      <c r="E887" s="1597"/>
      <c r="F887" s="1597"/>
      <c r="G887" s="1597"/>
      <c r="H887" s="1597"/>
      <c r="I887" s="1597"/>
      <c r="J887" s="1597"/>
      <c r="K887" s="1597"/>
      <c r="L887" s="1597"/>
      <c r="M887" s="1597"/>
      <c r="N887" s="1597"/>
      <c r="O887" s="1597"/>
      <c r="P887" s="1597"/>
      <c r="Q887" s="1597"/>
      <c r="R887" s="1597"/>
      <c r="S887" s="1597"/>
      <c r="T887" s="1597"/>
    </row>
    <row r="888" spans="1:20" ht="13.5" customHeight="1">
      <c r="A888" s="1597"/>
      <c r="B888" s="1597"/>
      <c r="C888" s="1597"/>
      <c r="D888" s="1597"/>
      <c r="E888" s="1597"/>
      <c r="F888" s="1597"/>
      <c r="G888" s="1597"/>
      <c r="H888" s="1597"/>
      <c r="I888" s="1597"/>
      <c r="J888" s="1597"/>
      <c r="K888" s="1597"/>
      <c r="L888" s="1597"/>
      <c r="M888" s="1597"/>
      <c r="N888" s="1597"/>
      <c r="O888" s="1597"/>
      <c r="P888" s="1597"/>
      <c r="Q888" s="1597"/>
      <c r="R888" s="1597"/>
      <c r="S888" s="1597"/>
      <c r="T888" s="1597"/>
    </row>
    <row r="889" spans="1:20" ht="13.5" customHeight="1">
      <c r="A889" s="1597"/>
      <c r="B889" s="1597"/>
      <c r="C889" s="1597"/>
      <c r="D889" s="1597"/>
      <c r="E889" s="1597"/>
      <c r="F889" s="1597"/>
      <c r="G889" s="1597"/>
      <c r="H889" s="1597"/>
      <c r="I889" s="1597"/>
      <c r="J889" s="1597"/>
      <c r="K889" s="1597"/>
      <c r="L889" s="1597"/>
      <c r="M889" s="1597"/>
      <c r="N889" s="1597"/>
      <c r="O889" s="1597"/>
      <c r="P889" s="1597"/>
      <c r="Q889" s="1597"/>
      <c r="R889" s="1597"/>
      <c r="S889" s="1597"/>
      <c r="T889" s="1597"/>
    </row>
    <row r="890" spans="1:20" ht="13.5" customHeight="1">
      <c r="A890" s="1597"/>
      <c r="B890" s="1597"/>
      <c r="C890" s="1597"/>
      <c r="D890" s="1597"/>
      <c r="E890" s="1597"/>
      <c r="F890" s="1597"/>
      <c r="G890" s="1597"/>
      <c r="H890" s="1597"/>
      <c r="I890" s="1597"/>
      <c r="J890" s="1597"/>
      <c r="K890" s="1597"/>
      <c r="L890" s="1597"/>
      <c r="M890" s="1597"/>
      <c r="N890" s="1597"/>
      <c r="O890" s="1597"/>
      <c r="P890" s="1597"/>
      <c r="Q890" s="1597"/>
      <c r="R890" s="1597"/>
      <c r="S890" s="1597"/>
      <c r="T890" s="1597"/>
    </row>
    <row r="891" spans="1:20" ht="13.5" customHeight="1">
      <c r="A891" s="1597"/>
      <c r="B891" s="1597"/>
      <c r="C891" s="1597"/>
      <c r="D891" s="1597"/>
      <c r="E891" s="1597"/>
      <c r="F891" s="1597"/>
      <c r="G891" s="1597"/>
      <c r="H891" s="1597"/>
      <c r="I891" s="1597"/>
      <c r="J891" s="1597"/>
      <c r="K891" s="1597"/>
      <c r="L891" s="1597"/>
      <c r="M891" s="1597"/>
      <c r="N891" s="1597"/>
      <c r="O891" s="1597"/>
      <c r="P891" s="1597"/>
      <c r="Q891" s="1597"/>
      <c r="R891" s="1597"/>
      <c r="S891" s="1597"/>
      <c r="T891" s="1597"/>
    </row>
    <row r="892" spans="1:20" ht="13.5" customHeight="1">
      <c r="A892" s="1597"/>
      <c r="B892" s="1597"/>
      <c r="C892" s="1597"/>
      <c r="D892" s="1597"/>
      <c r="E892" s="1597"/>
      <c r="F892" s="1597"/>
      <c r="G892" s="1597"/>
      <c r="H892" s="1597"/>
      <c r="I892" s="1597"/>
      <c r="J892" s="1597"/>
      <c r="K892" s="1597"/>
      <c r="L892" s="1597"/>
      <c r="M892" s="1597"/>
      <c r="N892" s="1597"/>
      <c r="O892" s="1597"/>
      <c r="P892" s="1597"/>
      <c r="Q892" s="1597"/>
      <c r="R892" s="1597"/>
      <c r="S892" s="1597"/>
      <c r="T892" s="1597"/>
    </row>
    <row r="893" spans="1:20" ht="13.5" customHeight="1">
      <c r="A893" s="1597"/>
      <c r="B893" s="1597"/>
      <c r="C893" s="1597"/>
      <c r="D893" s="1597"/>
      <c r="E893" s="1597"/>
      <c r="F893" s="1597"/>
      <c r="G893" s="1597"/>
      <c r="H893" s="1597"/>
      <c r="I893" s="1597"/>
      <c r="J893" s="1597"/>
      <c r="K893" s="1597"/>
      <c r="L893" s="1597"/>
      <c r="M893" s="1597"/>
      <c r="N893" s="1597"/>
      <c r="O893" s="1597"/>
      <c r="P893" s="1597"/>
      <c r="Q893" s="1597"/>
      <c r="R893" s="1597"/>
      <c r="S893" s="1597"/>
      <c r="T893" s="1597"/>
    </row>
    <row r="894" spans="1:20" ht="13.5" customHeight="1">
      <c r="A894" s="1597"/>
      <c r="B894" s="1597"/>
      <c r="C894" s="1597"/>
      <c r="D894" s="1597"/>
      <c r="E894" s="1597"/>
      <c r="F894" s="1597"/>
      <c r="G894" s="1597"/>
      <c r="H894" s="1597"/>
      <c r="I894" s="1597"/>
      <c r="J894" s="1597"/>
      <c r="K894" s="1597"/>
      <c r="L894" s="1597"/>
      <c r="M894" s="1597"/>
      <c r="N894" s="1597"/>
      <c r="O894" s="1597"/>
      <c r="P894" s="1597"/>
      <c r="Q894" s="1597"/>
      <c r="R894" s="1597"/>
      <c r="S894" s="1597"/>
      <c r="T894" s="1597"/>
    </row>
    <row r="895" spans="1:20" ht="13.5" customHeight="1">
      <c r="A895" s="1597"/>
      <c r="B895" s="1597"/>
      <c r="C895" s="1597"/>
      <c r="D895" s="1597"/>
      <c r="E895" s="1597"/>
      <c r="F895" s="1597"/>
      <c r="G895" s="1597"/>
      <c r="H895" s="1597"/>
      <c r="I895" s="1597"/>
      <c r="J895" s="1597"/>
      <c r="K895" s="1597"/>
      <c r="L895" s="1597"/>
      <c r="M895" s="1597"/>
      <c r="N895" s="1597"/>
      <c r="O895" s="1597"/>
      <c r="P895" s="1597"/>
      <c r="Q895" s="1597"/>
      <c r="R895" s="1597"/>
      <c r="S895" s="1597"/>
      <c r="T895" s="1597"/>
    </row>
    <row r="896" spans="1:20" ht="13.5" customHeight="1">
      <c r="A896" s="1597"/>
      <c r="B896" s="1597"/>
      <c r="C896" s="1597"/>
      <c r="D896" s="1597"/>
      <c r="E896" s="1597"/>
      <c r="F896" s="1597"/>
      <c r="G896" s="1597"/>
      <c r="H896" s="1597"/>
      <c r="I896" s="1597"/>
      <c r="J896" s="1597"/>
      <c r="K896" s="1597"/>
      <c r="L896" s="1597"/>
      <c r="M896" s="1597"/>
      <c r="N896" s="1597"/>
      <c r="O896" s="1597"/>
      <c r="P896" s="1597"/>
      <c r="Q896" s="1597"/>
      <c r="R896" s="1597"/>
      <c r="S896" s="1597"/>
      <c r="T896" s="1597"/>
    </row>
    <row r="897" spans="1:20" ht="13.5" customHeight="1">
      <c r="A897" s="1597"/>
      <c r="B897" s="1597"/>
      <c r="C897" s="1597"/>
      <c r="D897" s="1597"/>
      <c r="E897" s="1597"/>
      <c r="F897" s="1597"/>
      <c r="G897" s="1597"/>
      <c r="H897" s="1597"/>
      <c r="I897" s="1597"/>
      <c r="J897" s="1597"/>
      <c r="K897" s="1597"/>
      <c r="L897" s="1597"/>
      <c r="M897" s="1597"/>
      <c r="N897" s="1597"/>
      <c r="O897" s="1597"/>
      <c r="P897" s="1597"/>
      <c r="Q897" s="1597"/>
      <c r="R897" s="1597"/>
      <c r="S897" s="1597"/>
      <c r="T897" s="1597"/>
    </row>
    <row r="898" spans="1:20" ht="13.5" customHeight="1">
      <c r="A898" s="1597"/>
      <c r="B898" s="1597"/>
      <c r="C898" s="1597"/>
      <c r="D898" s="1597"/>
      <c r="E898" s="1597"/>
      <c r="F898" s="1597"/>
      <c r="G898" s="1597"/>
      <c r="H898" s="1597"/>
      <c r="I898" s="1597"/>
      <c r="J898" s="1597"/>
      <c r="K898" s="1597"/>
      <c r="L898" s="1597"/>
      <c r="M898" s="1597"/>
      <c r="N898" s="1597"/>
      <c r="O898" s="1597"/>
      <c r="P898" s="1597"/>
      <c r="Q898" s="1597"/>
      <c r="R898" s="1597"/>
      <c r="S898" s="1597"/>
      <c r="T898" s="1597"/>
    </row>
    <row r="899" spans="1:20" ht="13.5" customHeight="1">
      <c r="A899" s="1597"/>
      <c r="B899" s="1597"/>
      <c r="C899" s="1597"/>
      <c r="D899" s="1597"/>
      <c r="E899" s="1597"/>
      <c r="F899" s="1597"/>
      <c r="G899" s="1597"/>
      <c r="H899" s="1597"/>
      <c r="I899" s="1597"/>
      <c r="J899" s="1597"/>
      <c r="K899" s="1597"/>
      <c r="L899" s="1597"/>
      <c r="M899" s="1597"/>
      <c r="N899" s="1597"/>
      <c r="O899" s="1597"/>
      <c r="P899" s="1597"/>
      <c r="Q899" s="1597"/>
      <c r="R899" s="1597"/>
      <c r="S899" s="1597"/>
      <c r="T899" s="1597"/>
    </row>
    <row r="900" spans="1:20" ht="13.5" customHeight="1">
      <c r="A900" s="1597"/>
      <c r="B900" s="1597"/>
      <c r="C900" s="1597"/>
      <c r="D900" s="1597"/>
      <c r="E900" s="1597"/>
      <c r="F900" s="1597"/>
      <c r="G900" s="1597"/>
      <c r="H900" s="1597"/>
      <c r="I900" s="1597"/>
      <c r="J900" s="1597"/>
      <c r="K900" s="1597"/>
      <c r="L900" s="1597"/>
      <c r="M900" s="1597"/>
      <c r="N900" s="1597"/>
      <c r="O900" s="1597"/>
      <c r="P900" s="1597"/>
      <c r="Q900" s="1597"/>
      <c r="R900" s="1597"/>
      <c r="S900" s="1597"/>
      <c r="T900" s="1597"/>
    </row>
    <row r="901" spans="1:20" ht="13.5" customHeight="1">
      <c r="A901" s="1597"/>
      <c r="B901" s="1597"/>
      <c r="C901" s="1597"/>
      <c r="D901" s="1597"/>
      <c r="E901" s="1597"/>
      <c r="F901" s="1597"/>
      <c r="G901" s="1597"/>
      <c r="H901" s="1597"/>
      <c r="I901" s="1597"/>
      <c r="J901" s="1597"/>
      <c r="K901" s="1597"/>
      <c r="L901" s="1597"/>
      <c r="M901" s="1597"/>
      <c r="N901" s="1597"/>
      <c r="O901" s="1597"/>
      <c r="P901" s="1597"/>
      <c r="Q901" s="1597"/>
      <c r="R901" s="1597"/>
      <c r="S901" s="1597"/>
      <c r="T901" s="1597"/>
    </row>
    <row r="902" spans="1:20" ht="13.5" customHeight="1">
      <c r="A902" s="1597"/>
      <c r="B902" s="1597"/>
      <c r="C902" s="1597"/>
      <c r="D902" s="1597"/>
      <c r="E902" s="1597"/>
      <c r="F902" s="1597"/>
      <c r="G902" s="1597"/>
      <c r="H902" s="1597"/>
      <c r="I902" s="1597"/>
      <c r="J902" s="1597"/>
      <c r="K902" s="1597"/>
      <c r="L902" s="1597"/>
      <c r="M902" s="1597"/>
      <c r="N902" s="1597"/>
      <c r="O902" s="1597"/>
      <c r="P902" s="1597"/>
      <c r="Q902" s="1597"/>
      <c r="R902" s="1597"/>
      <c r="S902" s="1597"/>
      <c r="T902" s="1597"/>
    </row>
    <row r="903" spans="1:20" ht="13.5" customHeight="1">
      <c r="A903" s="1597"/>
      <c r="B903" s="1597"/>
      <c r="C903" s="1597"/>
      <c r="D903" s="1597"/>
      <c r="E903" s="1597"/>
      <c r="F903" s="1597"/>
      <c r="G903" s="1597"/>
      <c r="H903" s="1597"/>
      <c r="I903" s="1597"/>
      <c r="J903" s="1597"/>
      <c r="K903" s="1597"/>
      <c r="L903" s="1597"/>
      <c r="M903" s="1597"/>
      <c r="N903" s="1597"/>
      <c r="O903" s="1597"/>
      <c r="P903" s="1597"/>
      <c r="Q903" s="1597"/>
      <c r="R903" s="1597"/>
      <c r="S903" s="1597"/>
      <c r="T903" s="1597"/>
    </row>
    <row r="904" spans="1:20" ht="13.5" customHeight="1">
      <c r="A904" s="1597"/>
      <c r="B904" s="1597"/>
      <c r="C904" s="1597"/>
      <c r="D904" s="1597"/>
      <c r="E904" s="1597"/>
      <c r="F904" s="1597"/>
      <c r="G904" s="1597"/>
      <c r="H904" s="1597"/>
      <c r="I904" s="1597"/>
      <c r="J904" s="1597"/>
      <c r="K904" s="1597"/>
      <c r="L904" s="1597"/>
      <c r="M904" s="1597"/>
      <c r="N904" s="1597"/>
      <c r="O904" s="1597"/>
      <c r="P904" s="1597"/>
      <c r="Q904" s="1597"/>
      <c r="R904" s="1597"/>
      <c r="S904" s="1597"/>
      <c r="T904" s="1597"/>
    </row>
    <row r="905" spans="1:20" ht="13.5" customHeight="1">
      <c r="A905" s="1597"/>
      <c r="B905" s="1597"/>
      <c r="C905" s="1597"/>
      <c r="D905" s="1597"/>
      <c r="E905" s="1597"/>
      <c r="F905" s="1597"/>
      <c r="G905" s="1597"/>
      <c r="H905" s="1597"/>
      <c r="I905" s="1597"/>
      <c r="J905" s="1597"/>
      <c r="K905" s="1597"/>
      <c r="L905" s="1597"/>
      <c r="M905" s="1597"/>
      <c r="N905" s="1597"/>
      <c r="O905" s="1597"/>
      <c r="P905" s="1597"/>
      <c r="Q905" s="1597"/>
      <c r="R905" s="1597"/>
      <c r="S905" s="1597"/>
      <c r="T905" s="1597"/>
    </row>
    <row r="906" spans="1:20" ht="13.5" customHeight="1">
      <c r="A906" s="1597"/>
      <c r="B906" s="1597"/>
      <c r="C906" s="1597"/>
      <c r="D906" s="1597"/>
      <c r="E906" s="1597"/>
      <c r="F906" s="1597"/>
      <c r="G906" s="1597"/>
      <c r="H906" s="1597"/>
      <c r="I906" s="1597"/>
      <c r="J906" s="1597"/>
      <c r="K906" s="1597"/>
      <c r="L906" s="1597"/>
      <c r="M906" s="1597"/>
      <c r="N906" s="1597"/>
      <c r="O906" s="1597"/>
      <c r="P906" s="1597"/>
      <c r="Q906" s="1597"/>
      <c r="R906" s="1597"/>
      <c r="S906" s="1597"/>
      <c r="T906" s="1597"/>
    </row>
    <row r="907" spans="1:20" ht="13.5" customHeight="1">
      <c r="A907" s="1597"/>
      <c r="B907" s="1597"/>
      <c r="C907" s="1597"/>
      <c r="D907" s="1597"/>
      <c r="E907" s="1597"/>
      <c r="F907" s="1597"/>
      <c r="G907" s="1597"/>
      <c r="H907" s="1597"/>
      <c r="I907" s="1597"/>
      <c r="J907" s="1597"/>
      <c r="K907" s="1597"/>
      <c r="L907" s="1597"/>
      <c r="M907" s="1597"/>
      <c r="N907" s="1597"/>
      <c r="O907" s="1597"/>
      <c r="P907" s="1597"/>
      <c r="Q907" s="1597"/>
      <c r="R907" s="1597"/>
      <c r="S907" s="1597"/>
      <c r="T907" s="1597"/>
    </row>
    <row r="908" spans="1:20" ht="13.5" customHeight="1">
      <c r="A908" s="1597"/>
      <c r="B908" s="1597"/>
      <c r="C908" s="1597"/>
      <c r="D908" s="1597"/>
      <c r="E908" s="1597"/>
      <c r="F908" s="1597"/>
      <c r="G908" s="1597"/>
      <c r="H908" s="1597"/>
      <c r="I908" s="1597"/>
      <c r="J908" s="1597"/>
      <c r="K908" s="1597"/>
      <c r="L908" s="1597"/>
      <c r="M908" s="1597"/>
      <c r="N908" s="1597"/>
      <c r="O908" s="1597"/>
      <c r="P908" s="1597"/>
      <c r="Q908" s="1597"/>
      <c r="R908" s="1597"/>
      <c r="S908" s="1597"/>
      <c r="T908" s="1597"/>
    </row>
    <row r="909" spans="1:20" ht="13.5" customHeight="1">
      <c r="A909" s="1597"/>
      <c r="B909" s="1597"/>
      <c r="C909" s="1597"/>
      <c r="D909" s="1597"/>
      <c r="E909" s="1597"/>
      <c r="F909" s="1597"/>
      <c r="G909" s="1597"/>
      <c r="H909" s="1597"/>
      <c r="I909" s="1597"/>
      <c r="J909" s="1597"/>
      <c r="K909" s="1597"/>
      <c r="L909" s="1597"/>
      <c r="M909" s="1597"/>
      <c r="N909" s="1597"/>
      <c r="O909" s="1597"/>
      <c r="P909" s="1597"/>
      <c r="Q909" s="1597"/>
      <c r="R909" s="1597"/>
      <c r="S909" s="1597"/>
      <c r="T909" s="1597"/>
    </row>
    <row r="910" spans="1:20" ht="13.5" customHeight="1">
      <c r="A910" s="1597"/>
      <c r="B910" s="1597"/>
      <c r="C910" s="1597"/>
      <c r="D910" s="1597"/>
      <c r="E910" s="1597"/>
      <c r="F910" s="1597"/>
      <c r="G910" s="1597"/>
      <c r="H910" s="1597"/>
      <c r="I910" s="1597"/>
      <c r="J910" s="1597"/>
      <c r="K910" s="1597"/>
      <c r="L910" s="1597"/>
      <c r="M910" s="1597"/>
      <c r="N910" s="1597"/>
      <c r="O910" s="1597"/>
      <c r="P910" s="1597"/>
      <c r="Q910" s="1597"/>
      <c r="R910" s="1597"/>
      <c r="S910" s="1597"/>
      <c r="T910" s="1597"/>
    </row>
    <row r="911" spans="1:20" ht="13.5" customHeight="1">
      <c r="A911" s="1597"/>
      <c r="B911" s="1597"/>
      <c r="C911" s="1597"/>
      <c r="D911" s="1597"/>
      <c r="E911" s="1597"/>
      <c r="F911" s="1597"/>
      <c r="G911" s="1597"/>
      <c r="H911" s="1597"/>
      <c r="I911" s="1597"/>
      <c r="J911" s="1597"/>
      <c r="K911" s="1597"/>
      <c r="L911" s="1597"/>
      <c r="M911" s="1597"/>
      <c r="N911" s="1597"/>
      <c r="O911" s="1597"/>
      <c r="P911" s="1597"/>
      <c r="Q911" s="1597"/>
      <c r="R911" s="1597"/>
      <c r="S911" s="1597"/>
      <c r="T911" s="1597"/>
    </row>
    <row r="912" spans="1:20" ht="13.5" customHeight="1">
      <c r="A912" s="1597"/>
      <c r="B912" s="1597"/>
      <c r="C912" s="1597"/>
      <c r="D912" s="1597"/>
      <c r="E912" s="1597"/>
      <c r="F912" s="1597"/>
      <c r="G912" s="1597"/>
      <c r="H912" s="1597"/>
      <c r="I912" s="1597"/>
      <c r="J912" s="1597"/>
      <c r="K912" s="1597"/>
      <c r="L912" s="1597"/>
      <c r="M912" s="1597"/>
      <c r="N912" s="1597"/>
      <c r="O912" s="1597"/>
      <c r="P912" s="1597"/>
      <c r="Q912" s="1597"/>
      <c r="R912" s="1597"/>
      <c r="S912" s="1597"/>
      <c r="T912" s="1597"/>
    </row>
    <row r="913" spans="1:20" ht="13.5" customHeight="1">
      <c r="A913" s="1597"/>
      <c r="B913" s="1597"/>
      <c r="C913" s="1597"/>
      <c r="D913" s="1597"/>
      <c r="E913" s="1597"/>
      <c r="F913" s="1597"/>
      <c r="G913" s="1597"/>
      <c r="H913" s="1597"/>
      <c r="I913" s="1597"/>
      <c r="J913" s="1597"/>
      <c r="K913" s="1597"/>
      <c r="L913" s="1597"/>
      <c r="M913" s="1597"/>
      <c r="N913" s="1597"/>
      <c r="O913" s="1597"/>
      <c r="P913" s="1597"/>
      <c r="Q913" s="1597"/>
      <c r="R913" s="1597"/>
      <c r="S913" s="1597"/>
      <c r="T913" s="1597"/>
    </row>
    <row r="914" spans="1:20" ht="13.5" customHeight="1">
      <c r="A914" s="1597"/>
      <c r="B914" s="1597"/>
      <c r="C914" s="1597"/>
      <c r="D914" s="1597"/>
      <c r="E914" s="1597"/>
      <c r="F914" s="1597"/>
      <c r="G914" s="1597"/>
      <c r="H914" s="1597"/>
      <c r="I914" s="1597"/>
      <c r="J914" s="1597"/>
      <c r="K914" s="1597"/>
      <c r="L914" s="1597"/>
      <c r="M914" s="1597"/>
      <c r="N914" s="1597"/>
      <c r="O914" s="1597"/>
      <c r="P914" s="1597"/>
      <c r="Q914" s="1597"/>
      <c r="R914" s="1597"/>
      <c r="S914" s="1597"/>
      <c r="T914" s="1597"/>
    </row>
    <row r="915" spans="1:20" ht="13.5" customHeight="1">
      <c r="A915" s="1597"/>
      <c r="B915" s="1597"/>
      <c r="C915" s="1597"/>
      <c r="D915" s="1597"/>
      <c r="E915" s="1597"/>
      <c r="F915" s="1597"/>
      <c r="G915" s="1597"/>
      <c r="H915" s="1597"/>
      <c r="I915" s="1597"/>
      <c r="J915" s="1597"/>
      <c r="K915" s="1597"/>
      <c r="L915" s="1597"/>
      <c r="M915" s="1597"/>
      <c r="N915" s="1597"/>
      <c r="O915" s="1597"/>
      <c r="P915" s="1597"/>
      <c r="Q915" s="1597"/>
      <c r="R915" s="1597"/>
      <c r="S915" s="1597"/>
      <c r="T915" s="1597"/>
    </row>
    <row r="916" spans="1:20" ht="13.5" customHeight="1">
      <c r="A916" s="1597"/>
      <c r="B916" s="1597"/>
      <c r="C916" s="1597"/>
      <c r="D916" s="1597"/>
      <c r="E916" s="1597"/>
      <c r="F916" s="1597"/>
      <c r="G916" s="1597"/>
      <c r="H916" s="1597"/>
      <c r="I916" s="1597"/>
      <c r="J916" s="1597"/>
      <c r="K916" s="1597"/>
      <c r="L916" s="1597"/>
      <c r="M916" s="1597"/>
      <c r="N916" s="1597"/>
      <c r="O916" s="1597"/>
      <c r="P916" s="1597"/>
      <c r="Q916" s="1597"/>
      <c r="R916" s="1597"/>
      <c r="S916" s="1597"/>
      <c r="T916" s="1597"/>
    </row>
    <row r="917" spans="1:20" ht="13.5" customHeight="1">
      <c r="A917" s="1597"/>
      <c r="B917" s="1597"/>
      <c r="C917" s="1597"/>
      <c r="D917" s="1597"/>
      <c r="E917" s="1597"/>
      <c r="F917" s="1597"/>
      <c r="G917" s="1597"/>
      <c r="H917" s="1597"/>
      <c r="I917" s="1597"/>
      <c r="J917" s="1597"/>
      <c r="K917" s="1597"/>
      <c r="L917" s="1597"/>
      <c r="M917" s="1597"/>
      <c r="N917" s="1597"/>
      <c r="O917" s="1597"/>
      <c r="P917" s="1597"/>
      <c r="Q917" s="1597"/>
      <c r="R917" s="1597"/>
      <c r="S917" s="1597"/>
      <c r="T917" s="1597"/>
    </row>
    <row r="918" spans="1:20" ht="13.5" customHeight="1">
      <c r="A918" s="1597"/>
      <c r="B918" s="1597"/>
      <c r="C918" s="1597"/>
      <c r="D918" s="1597"/>
      <c r="E918" s="1597"/>
      <c r="F918" s="1597"/>
      <c r="G918" s="1597"/>
      <c r="H918" s="1597"/>
      <c r="I918" s="1597"/>
      <c r="J918" s="1597"/>
      <c r="K918" s="1597"/>
      <c r="L918" s="1597"/>
      <c r="M918" s="1597"/>
      <c r="N918" s="1597"/>
      <c r="O918" s="1597"/>
      <c r="P918" s="1597"/>
      <c r="Q918" s="1597"/>
      <c r="R918" s="1597"/>
      <c r="S918" s="1597"/>
      <c r="T918" s="1597"/>
    </row>
    <row r="919" spans="1:20" ht="13.5" customHeight="1">
      <c r="A919" s="1597"/>
      <c r="B919" s="1597"/>
      <c r="C919" s="1597"/>
      <c r="D919" s="1597"/>
      <c r="E919" s="1597"/>
      <c r="F919" s="1597"/>
      <c r="G919" s="1597"/>
      <c r="H919" s="1597"/>
      <c r="I919" s="1597"/>
      <c r="J919" s="1597"/>
      <c r="K919" s="1597"/>
      <c r="L919" s="1597"/>
      <c r="M919" s="1597"/>
      <c r="N919" s="1597"/>
      <c r="O919" s="1597"/>
      <c r="P919" s="1597"/>
      <c r="Q919" s="1597"/>
      <c r="R919" s="1597"/>
      <c r="S919" s="1597"/>
      <c r="T919" s="1597"/>
    </row>
    <row r="920" spans="1:20" ht="13.5" customHeight="1">
      <c r="A920" s="1597"/>
      <c r="B920" s="1597"/>
      <c r="C920" s="1597"/>
      <c r="D920" s="1597"/>
      <c r="E920" s="1597"/>
      <c r="F920" s="1597"/>
      <c r="G920" s="1597"/>
      <c r="H920" s="1597"/>
      <c r="I920" s="1597"/>
      <c r="J920" s="1597"/>
      <c r="K920" s="1597"/>
      <c r="L920" s="1597"/>
      <c r="M920" s="1597"/>
      <c r="N920" s="1597"/>
      <c r="O920" s="1597"/>
      <c r="P920" s="1597"/>
      <c r="Q920" s="1597"/>
      <c r="R920" s="1597"/>
      <c r="S920" s="1597"/>
      <c r="T920" s="1597"/>
    </row>
    <row r="921" spans="1:20" ht="13.5" customHeight="1">
      <c r="A921" s="1597"/>
      <c r="B921" s="1597"/>
      <c r="C921" s="1597"/>
      <c r="D921" s="1597"/>
      <c r="E921" s="1597"/>
      <c r="F921" s="1597"/>
      <c r="G921" s="1597"/>
      <c r="H921" s="1597"/>
      <c r="I921" s="1597"/>
      <c r="J921" s="1597"/>
      <c r="K921" s="1597"/>
      <c r="L921" s="1597"/>
      <c r="M921" s="1597"/>
      <c r="N921" s="1597"/>
      <c r="O921" s="1597"/>
      <c r="P921" s="1597"/>
      <c r="Q921" s="1597"/>
      <c r="R921" s="1597"/>
      <c r="S921" s="1597"/>
      <c r="T921" s="1597"/>
    </row>
    <row r="922" spans="1:20" ht="13.5" customHeight="1">
      <c r="A922" s="1597"/>
      <c r="B922" s="1597"/>
      <c r="C922" s="1597"/>
      <c r="D922" s="1597"/>
      <c r="E922" s="1597"/>
      <c r="F922" s="1597"/>
      <c r="G922" s="1597"/>
      <c r="H922" s="1597"/>
      <c r="I922" s="1597"/>
      <c r="J922" s="1597"/>
      <c r="K922" s="1597"/>
      <c r="L922" s="1597"/>
      <c r="M922" s="1597"/>
      <c r="N922" s="1597"/>
      <c r="O922" s="1597"/>
      <c r="P922" s="1597"/>
      <c r="Q922" s="1597"/>
      <c r="R922" s="1597"/>
      <c r="S922" s="1597"/>
      <c r="T922" s="1597"/>
    </row>
    <row r="923" spans="1:20" ht="13.5" customHeight="1">
      <c r="A923" s="1597"/>
      <c r="B923" s="1597"/>
      <c r="C923" s="1597"/>
      <c r="D923" s="1597"/>
      <c r="E923" s="1597"/>
      <c r="F923" s="1597"/>
      <c r="G923" s="1597"/>
      <c r="H923" s="1597"/>
      <c r="I923" s="1597"/>
      <c r="J923" s="1597"/>
      <c r="K923" s="1597"/>
      <c r="L923" s="1597"/>
      <c r="M923" s="1597"/>
      <c r="N923" s="1597"/>
      <c r="O923" s="1597"/>
      <c r="P923" s="1597"/>
      <c r="Q923" s="1597"/>
      <c r="R923" s="1597"/>
      <c r="S923" s="1597"/>
      <c r="T923" s="1597"/>
    </row>
    <row r="924" spans="1:20" ht="13.5" customHeight="1">
      <c r="A924" s="1597"/>
      <c r="B924" s="1597"/>
      <c r="C924" s="1597"/>
      <c r="D924" s="1597"/>
      <c r="E924" s="1597"/>
      <c r="F924" s="1597"/>
      <c r="G924" s="1597"/>
      <c r="H924" s="1597"/>
      <c r="I924" s="1597"/>
      <c r="J924" s="1597"/>
      <c r="K924" s="1597"/>
      <c r="L924" s="1597"/>
      <c r="M924" s="1597"/>
      <c r="N924" s="1597"/>
      <c r="O924" s="1597"/>
      <c r="P924" s="1597"/>
      <c r="Q924" s="1597"/>
      <c r="R924" s="1597"/>
      <c r="S924" s="1597"/>
      <c r="T924" s="1597"/>
    </row>
    <row r="925" spans="1:20" ht="13.5" customHeight="1">
      <c r="A925" s="1597"/>
      <c r="B925" s="1597"/>
      <c r="C925" s="1597"/>
      <c r="D925" s="1597"/>
      <c r="E925" s="1597"/>
      <c r="F925" s="1597"/>
      <c r="G925" s="1597"/>
      <c r="H925" s="1597"/>
      <c r="I925" s="1597"/>
      <c r="J925" s="1597"/>
      <c r="K925" s="1597"/>
      <c r="L925" s="1597"/>
      <c r="M925" s="1597"/>
      <c r="N925" s="1597"/>
      <c r="O925" s="1597"/>
      <c r="P925" s="1597"/>
      <c r="Q925" s="1597"/>
      <c r="R925" s="1597"/>
      <c r="S925" s="1597"/>
      <c r="T925" s="1597"/>
    </row>
    <row r="926" spans="1:20" ht="13.5" customHeight="1">
      <c r="A926" s="1597"/>
      <c r="B926" s="1597"/>
      <c r="C926" s="1597"/>
      <c r="D926" s="1597"/>
      <c r="E926" s="1597"/>
      <c r="F926" s="1597"/>
      <c r="G926" s="1597"/>
      <c r="H926" s="1597"/>
      <c r="I926" s="1597"/>
      <c r="J926" s="1597"/>
      <c r="K926" s="1597"/>
      <c r="L926" s="1597"/>
      <c r="M926" s="1597"/>
      <c r="N926" s="1597"/>
      <c r="O926" s="1597"/>
      <c r="P926" s="1597"/>
      <c r="Q926" s="1597"/>
      <c r="R926" s="1597"/>
      <c r="S926" s="1597"/>
      <c r="T926" s="1597"/>
    </row>
    <row r="927" spans="1:20" ht="13.5" customHeight="1">
      <c r="A927" s="1597"/>
      <c r="B927" s="1597"/>
      <c r="C927" s="1597"/>
      <c r="D927" s="1597"/>
      <c r="E927" s="1597"/>
      <c r="F927" s="1597"/>
      <c r="G927" s="1597"/>
      <c r="H927" s="1597"/>
      <c r="I927" s="1597"/>
      <c r="J927" s="1597"/>
      <c r="K927" s="1597"/>
      <c r="L927" s="1597"/>
      <c r="M927" s="1597"/>
      <c r="N927" s="1597"/>
      <c r="O927" s="1597"/>
      <c r="P927" s="1597"/>
      <c r="Q927" s="1597"/>
      <c r="R927" s="1597"/>
      <c r="S927" s="1597"/>
      <c r="T927" s="1597"/>
    </row>
    <row r="928" spans="1:20" ht="13.5" customHeight="1">
      <c r="A928" s="1597"/>
      <c r="B928" s="1597"/>
      <c r="C928" s="1597"/>
      <c r="D928" s="1597"/>
      <c r="E928" s="1597"/>
      <c r="F928" s="1597"/>
      <c r="G928" s="1597"/>
      <c r="H928" s="1597"/>
      <c r="I928" s="1597"/>
      <c r="J928" s="1597"/>
      <c r="K928" s="1597"/>
      <c r="L928" s="1597"/>
      <c r="M928" s="1597"/>
      <c r="N928" s="1597"/>
      <c r="O928" s="1597"/>
      <c r="P928" s="1597"/>
      <c r="Q928" s="1597"/>
      <c r="R928" s="1597"/>
      <c r="S928" s="1597"/>
      <c r="T928" s="1597"/>
    </row>
    <row r="929" spans="1:20" ht="13.5" customHeight="1">
      <c r="A929" s="1597"/>
      <c r="B929" s="1597"/>
      <c r="C929" s="1597"/>
      <c r="D929" s="1597"/>
      <c r="E929" s="1597"/>
      <c r="F929" s="1597"/>
      <c r="G929" s="1597"/>
      <c r="H929" s="1597"/>
      <c r="I929" s="1597"/>
      <c r="J929" s="1597"/>
      <c r="K929" s="1597"/>
      <c r="L929" s="1597"/>
      <c r="M929" s="1597"/>
      <c r="N929" s="1597"/>
      <c r="O929" s="1597"/>
      <c r="P929" s="1597"/>
      <c r="Q929" s="1597"/>
      <c r="R929" s="1597"/>
      <c r="S929" s="1597"/>
      <c r="T929" s="1597"/>
    </row>
    <row r="930" spans="1:20" ht="13.5" customHeight="1">
      <c r="A930" s="1597"/>
      <c r="B930" s="1597"/>
      <c r="C930" s="1597"/>
      <c r="D930" s="1597"/>
      <c r="E930" s="1597"/>
      <c r="F930" s="1597"/>
      <c r="G930" s="1597"/>
      <c r="H930" s="1597"/>
      <c r="I930" s="1597"/>
      <c r="J930" s="1597"/>
      <c r="K930" s="1597"/>
      <c r="L930" s="1597"/>
      <c r="M930" s="1597"/>
      <c r="N930" s="1597"/>
      <c r="O930" s="1597"/>
      <c r="P930" s="1597"/>
      <c r="Q930" s="1597"/>
      <c r="R930" s="1597"/>
      <c r="S930" s="1597"/>
      <c r="T930" s="1597"/>
    </row>
    <row r="931" spans="1:20" ht="13.5" customHeight="1">
      <c r="A931" s="1597"/>
      <c r="B931" s="1597"/>
      <c r="C931" s="1597"/>
      <c r="D931" s="1597"/>
      <c r="E931" s="1597"/>
      <c r="F931" s="1597"/>
      <c r="G931" s="1597"/>
      <c r="H931" s="1597"/>
      <c r="I931" s="1597"/>
      <c r="J931" s="1597"/>
      <c r="K931" s="1597"/>
      <c r="L931" s="1597"/>
      <c r="M931" s="1597"/>
      <c r="N931" s="1597"/>
      <c r="O931" s="1597"/>
      <c r="P931" s="1597"/>
      <c r="Q931" s="1597"/>
      <c r="R931" s="1597"/>
      <c r="S931" s="1597"/>
      <c r="T931" s="1597"/>
    </row>
    <row r="932" spans="1:20" ht="13.5" customHeight="1">
      <c r="A932" s="1597"/>
      <c r="B932" s="1597"/>
      <c r="C932" s="1597"/>
      <c r="D932" s="1597"/>
      <c r="E932" s="1597"/>
      <c r="F932" s="1597"/>
      <c r="G932" s="1597"/>
      <c r="H932" s="1597"/>
      <c r="I932" s="1597"/>
      <c r="J932" s="1597"/>
      <c r="K932" s="1597"/>
      <c r="L932" s="1597"/>
      <c r="M932" s="1597"/>
      <c r="N932" s="1597"/>
      <c r="O932" s="1597"/>
      <c r="P932" s="1597"/>
      <c r="Q932" s="1597"/>
      <c r="R932" s="1597"/>
      <c r="S932" s="1597"/>
      <c r="T932" s="1597"/>
    </row>
    <row r="933" spans="1:20" ht="13.5" customHeight="1">
      <c r="A933" s="1597"/>
      <c r="B933" s="1597"/>
      <c r="C933" s="1597"/>
      <c r="D933" s="1597"/>
      <c r="E933" s="1597"/>
      <c r="F933" s="1597"/>
      <c r="G933" s="1597"/>
      <c r="H933" s="1597"/>
      <c r="I933" s="1597"/>
      <c r="J933" s="1597"/>
      <c r="K933" s="1597"/>
      <c r="L933" s="1597"/>
      <c r="M933" s="1597"/>
      <c r="N933" s="1597"/>
      <c r="O933" s="1597"/>
      <c r="P933" s="1597"/>
      <c r="Q933" s="1597"/>
      <c r="R933" s="1597"/>
      <c r="S933" s="1597"/>
      <c r="T933" s="1597"/>
    </row>
    <row r="934" spans="1:20" ht="13.5" customHeight="1">
      <c r="A934" s="1597"/>
      <c r="B934" s="1597"/>
      <c r="C934" s="1597"/>
      <c r="D934" s="1597"/>
      <c r="E934" s="1597"/>
      <c r="F934" s="1597"/>
      <c r="G934" s="1597"/>
      <c r="H934" s="1597"/>
      <c r="I934" s="1597"/>
      <c r="J934" s="1597"/>
      <c r="K934" s="1597"/>
      <c r="L934" s="1597"/>
      <c r="M934" s="1597"/>
      <c r="N934" s="1597"/>
      <c r="O934" s="1597"/>
      <c r="P934" s="1597"/>
      <c r="Q934" s="1597"/>
      <c r="R934" s="1597"/>
      <c r="S934" s="1597"/>
      <c r="T934" s="1597"/>
    </row>
    <row r="935" spans="1:20" ht="13.5" customHeight="1">
      <c r="A935" s="1597"/>
      <c r="B935" s="1597"/>
      <c r="C935" s="1597"/>
      <c r="D935" s="1597"/>
      <c r="E935" s="1597"/>
      <c r="F935" s="1597"/>
      <c r="G935" s="1597"/>
      <c r="H935" s="1597"/>
      <c r="I935" s="1597"/>
      <c r="J935" s="1597"/>
      <c r="K935" s="1597"/>
      <c r="L935" s="1597"/>
      <c r="M935" s="1597"/>
      <c r="N935" s="1597"/>
      <c r="O935" s="1597"/>
      <c r="P935" s="1597"/>
      <c r="Q935" s="1597"/>
      <c r="R935" s="1597"/>
      <c r="S935" s="1597"/>
      <c r="T935" s="1597"/>
    </row>
    <row r="936" spans="1:20" ht="13.5" customHeight="1">
      <c r="A936" s="1597"/>
      <c r="B936" s="1597"/>
      <c r="C936" s="1597"/>
      <c r="D936" s="1597"/>
      <c r="E936" s="1597"/>
      <c r="F936" s="1597"/>
      <c r="G936" s="1597"/>
      <c r="H936" s="1597"/>
      <c r="I936" s="1597"/>
      <c r="J936" s="1597"/>
      <c r="K936" s="1597"/>
      <c r="L936" s="1597"/>
      <c r="M936" s="1597"/>
      <c r="N936" s="1597"/>
      <c r="O936" s="1597"/>
      <c r="P936" s="1597"/>
      <c r="Q936" s="1597"/>
      <c r="R936" s="1597"/>
      <c r="S936" s="1597"/>
      <c r="T936" s="1597"/>
    </row>
    <row r="937" spans="1:20" ht="13.5" customHeight="1">
      <c r="A937" s="1597"/>
      <c r="B937" s="1597"/>
      <c r="C937" s="1597"/>
      <c r="D937" s="1597"/>
      <c r="E937" s="1597"/>
      <c r="F937" s="1597"/>
      <c r="G937" s="1597"/>
      <c r="H937" s="1597"/>
      <c r="I937" s="1597"/>
      <c r="J937" s="1597"/>
      <c r="K937" s="1597"/>
      <c r="L937" s="1597"/>
      <c r="M937" s="1597"/>
      <c r="N937" s="1597"/>
      <c r="O937" s="1597"/>
      <c r="P937" s="1597"/>
      <c r="Q937" s="1597"/>
      <c r="R937" s="1597"/>
      <c r="S937" s="1597"/>
      <c r="T937" s="1597"/>
    </row>
    <row r="938" spans="1:20" ht="13.5" customHeight="1">
      <c r="A938" s="1597"/>
      <c r="B938" s="1597"/>
      <c r="C938" s="1597"/>
      <c r="D938" s="1597"/>
      <c r="E938" s="1597"/>
      <c r="F938" s="1597"/>
      <c r="G938" s="1597"/>
      <c r="H938" s="1597"/>
      <c r="I938" s="1597"/>
      <c r="J938" s="1597"/>
      <c r="K938" s="1597"/>
      <c r="L938" s="1597"/>
      <c r="M938" s="1597"/>
      <c r="N938" s="1597"/>
      <c r="O938" s="1597"/>
      <c r="P938" s="1597"/>
      <c r="Q938" s="1597"/>
      <c r="R938" s="1597"/>
      <c r="S938" s="1597"/>
      <c r="T938" s="1597"/>
    </row>
    <row r="939" spans="1:20" ht="13.5" customHeight="1">
      <c r="A939" s="1597"/>
      <c r="B939" s="1597"/>
      <c r="C939" s="1597"/>
      <c r="D939" s="1597"/>
      <c r="E939" s="1597"/>
      <c r="F939" s="1597"/>
      <c r="G939" s="1597"/>
      <c r="H939" s="1597"/>
      <c r="I939" s="1597"/>
      <c r="J939" s="1597"/>
      <c r="K939" s="1597"/>
      <c r="L939" s="1597"/>
      <c r="M939" s="1597"/>
      <c r="N939" s="1597"/>
      <c r="O939" s="1597"/>
      <c r="P939" s="1597"/>
      <c r="Q939" s="1597"/>
      <c r="R939" s="1597"/>
      <c r="S939" s="1597"/>
      <c r="T939" s="1597"/>
    </row>
    <row r="940" spans="1:20" ht="13.5" customHeight="1">
      <c r="A940" s="1597"/>
      <c r="B940" s="1597"/>
      <c r="C940" s="1597"/>
      <c r="D940" s="1597"/>
      <c r="E940" s="1597"/>
      <c r="F940" s="1597"/>
      <c r="G940" s="1597"/>
      <c r="H940" s="1597"/>
      <c r="I940" s="1597"/>
      <c r="J940" s="1597"/>
      <c r="K940" s="1597"/>
      <c r="L940" s="1597"/>
      <c r="M940" s="1597"/>
      <c r="N940" s="1597"/>
      <c r="O940" s="1597"/>
      <c r="P940" s="1597"/>
      <c r="Q940" s="1597"/>
      <c r="R940" s="1597"/>
      <c r="S940" s="1597"/>
      <c r="T940" s="1597"/>
    </row>
    <row r="941" spans="1:20" ht="13.5" customHeight="1">
      <c r="A941" s="1597"/>
      <c r="B941" s="1597"/>
      <c r="C941" s="1597"/>
      <c r="D941" s="1597"/>
      <c r="E941" s="1597"/>
      <c r="F941" s="1597"/>
      <c r="G941" s="1597"/>
      <c r="H941" s="1597"/>
      <c r="I941" s="1597"/>
      <c r="J941" s="1597"/>
      <c r="K941" s="1597"/>
      <c r="L941" s="1597"/>
      <c r="M941" s="1597"/>
      <c r="N941" s="1597"/>
      <c r="O941" s="1597"/>
      <c r="P941" s="1597"/>
      <c r="Q941" s="1597"/>
      <c r="R941" s="1597"/>
      <c r="S941" s="1597"/>
      <c r="T941" s="1597"/>
    </row>
    <row r="942" spans="1:20" ht="13.5" customHeight="1">
      <c r="A942" s="1597"/>
      <c r="B942" s="1597"/>
      <c r="C942" s="1597"/>
      <c r="D942" s="1597"/>
      <c r="E942" s="1597"/>
      <c r="F942" s="1597"/>
      <c r="G942" s="1597"/>
      <c r="H942" s="1597"/>
      <c r="I942" s="1597"/>
      <c r="J942" s="1597"/>
      <c r="K942" s="1597"/>
      <c r="L942" s="1597"/>
      <c r="M942" s="1597"/>
      <c r="N942" s="1597"/>
      <c r="O942" s="1597"/>
      <c r="P942" s="1597"/>
      <c r="Q942" s="1597"/>
      <c r="R942" s="1597"/>
      <c r="S942" s="1597"/>
      <c r="T942" s="1597"/>
    </row>
    <row r="943" spans="1:20" ht="13.5" customHeight="1">
      <c r="A943" s="1597"/>
      <c r="B943" s="1597"/>
      <c r="C943" s="1597"/>
      <c r="D943" s="1597"/>
      <c r="E943" s="1597"/>
      <c r="F943" s="1597"/>
      <c r="G943" s="1597"/>
      <c r="H943" s="1597"/>
      <c r="I943" s="1597"/>
      <c r="J943" s="1597"/>
      <c r="K943" s="1597"/>
      <c r="L943" s="1597"/>
      <c r="M943" s="1597"/>
      <c r="N943" s="1597"/>
      <c r="O943" s="1597"/>
      <c r="P943" s="1597"/>
      <c r="Q943" s="1597"/>
      <c r="R943" s="1597"/>
      <c r="S943" s="1597"/>
      <c r="T943" s="1597"/>
    </row>
    <row r="944" spans="1:20" ht="13.5" customHeight="1">
      <c r="A944" s="1597"/>
      <c r="B944" s="1597"/>
      <c r="C944" s="1597"/>
      <c r="D944" s="1597"/>
      <c r="E944" s="1597"/>
      <c r="F944" s="1597"/>
      <c r="G944" s="1597"/>
      <c r="H944" s="1597"/>
      <c r="I944" s="1597"/>
      <c r="J944" s="1597"/>
      <c r="K944" s="1597"/>
      <c r="L944" s="1597"/>
      <c r="M944" s="1597"/>
      <c r="N944" s="1597"/>
      <c r="O944" s="1597"/>
      <c r="P944" s="1597"/>
      <c r="Q944" s="1597"/>
      <c r="R944" s="1597"/>
      <c r="S944" s="1597"/>
      <c r="T944" s="1597"/>
    </row>
    <row r="945" spans="1:20" ht="13.5" customHeight="1">
      <c r="A945" s="1597"/>
      <c r="B945" s="1597"/>
      <c r="C945" s="1597"/>
      <c r="D945" s="1597"/>
      <c r="E945" s="1597"/>
      <c r="F945" s="1597"/>
      <c r="G945" s="1597"/>
      <c r="H945" s="1597"/>
      <c r="I945" s="1597"/>
      <c r="J945" s="1597"/>
      <c r="K945" s="1597"/>
      <c r="L945" s="1597"/>
      <c r="M945" s="1597"/>
      <c r="N945" s="1597"/>
      <c r="O945" s="1597"/>
      <c r="P945" s="1597"/>
      <c r="Q945" s="1597"/>
      <c r="R945" s="1597"/>
      <c r="S945" s="1597"/>
      <c r="T945" s="1597"/>
    </row>
    <row r="946" spans="1:20" ht="13.5" customHeight="1">
      <c r="A946" s="1597"/>
      <c r="B946" s="1597"/>
      <c r="C946" s="1597"/>
      <c r="D946" s="1597"/>
      <c r="E946" s="1597"/>
      <c r="F946" s="1597"/>
      <c r="G946" s="1597"/>
      <c r="H946" s="1597"/>
      <c r="I946" s="1597"/>
      <c r="J946" s="1597"/>
      <c r="K946" s="1597"/>
      <c r="L946" s="1597"/>
      <c r="M946" s="1597"/>
      <c r="N946" s="1597"/>
      <c r="O946" s="1597"/>
      <c r="P946" s="1597"/>
      <c r="Q946" s="1597"/>
      <c r="R946" s="1597"/>
      <c r="S946" s="1597"/>
      <c r="T946" s="1597"/>
    </row>
    <row r="947" spans="1:20" ht="13.5" customHeight="1">
      <c r="A947" s="1597"/>
      <c r="B947" s="1597"/>
      <c r="C947" s="1597"/>
      <c r="D947" s="1597"/>
      <c r="E947" s="1597"/>
      <c r="F947" s="1597"/>
      <c r="G947" s="1597"/>
      <c r="H947" s="1597"/>
      <c r="I947" s="1597"/>
      <c r="J947" s="1597"/>
      <c r="K947" s="1597"/>
      <c r="L947" s="1597"/>
      <c r="M947" s="1597"/>
      <c r="N947" s="1597"/>
      <c r="O947" s="1597"/>
      <c r="P947" s="1597"/>
      <c r="Q947" s="1597"/>
      <c r="R947" s="1597"/>
      <c r="S947" s="1597"/>
      <c r="T947" s="1597"/>
    </row>
    <row r="948" spans="1:20" ht="13.5" customHeight="1">
      <c r="A948" s="1597"/>
      <c r="B948" s="1597"/>
      <c r="C948" s="1597"/>
      <c r="D948" s="1597"/>
      <c r="E948" s="1597"/>
      <c r="F948" s="1597"/>
      <c r="G948" s="1597"/>
      <c r="H948" s="1597"/>
      <c r="I948" s="1597"/>
      <c r="J948" s="1597"/>
      <c r="K948" s="1597"/>
      <c r="L948" s="1597"/>
      <c r="M948" s="1597"/>
      <c r="N948" s="1597"/>
      <c r="O948" s="1597"/>
      <c r="P948" s="1597"/>
      <c r="Q948" s="1597"/>
      <c r="R948" s="1597"/>
      <c r="S948" s="1597"/>
      <c r="T948" s="1597"/>
    </row>
    <row r="949" spans="1:20" ht="13.5" customHeight="1">
      <c r="A949" s="1597"/>
      <c r="B949" s="1597"/>
      <c r="C949" s="1597"/>
      <c r="D949" s="1597"/>
      <c r="E949" s="1597"/>
      <c r="F949" s="1597"/>
      <c r="G949" s="1597"/>
      <c r="H949" s="1597"/>
      <c r="I949" s="1597"/>
      <c r="J949" s="1597"/>
      <c r="K949" s="1597"/>
      <c r="L949" s="1597"/>
      <c r="M949" s="1597"/>
      <c r="N949" s="1597"/>
      <c r="O949" s="1597"/>
      <c r="P949" s="1597"/>
      <c r="Q949" s="1597"/>
      <c r="R949" s="1597"/>
      <c r="S949" s="1597"/>
      <c r="T949" s="1597"/>
    </row>
    <row r="950" spans="1:20" ht="13.5" customHeight="1">
      <c r="A950" s="1597"/>
      <c r="B950" s="1597"/>
      <c r="C950" s="1597"/>
      <c r="D950" s="1597"/>
      <c r="E950" s="1597"/>
      <c r="F950" s="1597"/>
      <c r="G950" s="1597"/>
      <c r="H950" s="1597"/>
      <c r="I950" s="1597"/>
      <c r="J950" s="1597"/>
      <c r="K950" s="1597"/>
      <c r="L950" s="1597"/>
      <c r="M950" s="1597"/>
      <c r="N950" s="1597"/>
      <c r="O950" s="1597"/>
      <c r="P950" s="1597"/>
      <c r="Q950" s="1597"/>
      <c r="R950" s="1597"/>
      <c r="S950" s="1597"/>
      <c r="T950" s="1597"/>
    </row>
    <row r="951" spans="1:20" ht="13.5" customHeight="1">
      <c r="A951" s="1597"/>
      <c r="B951" s="1597"/>
      <c r="C951" s="1597"/>
      <c r="D951" s="1597"/>
      <c r="E951" s="1597"/>
      <c r="F951" s="1597"/>
      <c r="G951" s="1597"/>
      <c r="H951" s="1597"/>
      <c r="I951" s="1597"/>
      <c r="J951" s="1597"/>
      <c r="K951" s="1597"/>
      <c r="L951" s="1597"/>
      <c r="M951" s="1597"/>
      <c r="N951" s="1597"/>
      <c r="O951" s="1597"/>
      <c r="P951" s="1597"/>
      <c r="Q951" s="1597"/>
      <c r="R951" s="1597"/>
      <c r="S951" s="1597"/>
      <c r="T951" s="1597"/>
    </row>
    <row r="952" spans="1:20" ht="13.5" customHeight="1">
      <c r="A952" s="1597"/>
      <c r="B952" s="1597"/>
      <c r="C952" s="1597"/>
      <c r="D952" s="1597"/>
      <c r="E952" s="1597"/>
      <c r="F952" s="1597"/>
      <c r="G952" s="1597"/>
      <c r="H952" s="1597"/>
      <c r="I952" s="1597"/>
      <c r="J952" s="1597"/>
      <c r="K952" s="1597"/>
      <c r="L952" s="1597"/>
      <c r="M952" s="1597"/>
      <c r="N952" s="1597"/>
      <c r="O952" s="1597"/>
      <c r="P952" s="1597"/>
      <c r="Q952" s="1597"/>
      <c r="R952" s="1597"/>
      <c r="S952" s="1597"/>
      <c r="T952" s="1597"/>
    </row>
    <row r="953" spans="1:20" ht="13.5" customHeight="1">
      <c r="A953" s="1597"/>
      <c r="B953" s="1597"/>
      <c r="C953" s="1597"/>
      <c r="D953" s="1597"/>
      <c r="E953" s="1597"/>
      <c r="F953" s="1597"/>
      <c r="G953" s="1597"/>
      <c r="H953" s="1597"/>
      <c r="I953" s="1597"/>
      <c r="J953" s="1597"/>
      <c r="K953" s="1597"/>
      <c r="L953" s="1597"/>
      <c r="M953" s="1597"/>
      <c r="N953" s="1597"/>
      <c r="O953" s="1597"/>
      <c r="P953" s="1597"/>
      <c r="Q953" s="1597"/>
      <c r="R953" s="1597"/>
      <c r="S953" s="1597"/>
      <c r="T953" s="1597"/>
    </row>
    <row r="954" spans="1:20" ht="13.5" customHeight="1">
      <c r="A954" s="1597"/>
      <c r="B954" s="1597"/>
      <c r="C954" s="1597"/>
      <c r="D954" s="1597"/>
      <c r="E954" s="1597"/>
      <c r="F954" s="1597"/>
      <c r="G954" s="1597"/>
      <c r="H954" s="1597"/>
      <c r="I954" s="1597"/>
      <c r="J954" s="1597"/>
      <c r="K954" s="1597"/>
      <c r="L954" s="1597"/>
      <c r="M954" s="1597"/>
      <c r="N954" s="1597"/>
      <c r="O954" s="1597"/>
      <c r="P954" s="1597"/>
      <c r="Q954" s="1597"/>
      <c r="R954" s="1597"/>
      <c r="S954" s="1597"/>
      <c r="T954" s="1597"/>
    </row>
    <row r="955" spans="1:20" ht="13.5" customHeight="1">
      <c r="A955" s="1597"/>
      <c r="B955" s="1597"/>
      <c r="C955" s="1597"/>
      <c r="D955" s="1597"/>
      <c r="E955" s="1597"/>
      <c r="F955" s="1597"/>
      <c r="G955" s="1597"/>
      <c r="H955" s="1597"/>
      <c r="I955" s="1597"/>
      <c r="J955" s="1597"/>
      <c r="K955" s="1597"/>
      <c r="L955" s="1597"/>
      <c r="M955" s="1597"/>
      <c r="N955" s="1597"/>
      <c r="O955" s="1597"/>
      <c r="P955" s="1597"/>
      <c r="Q955" s="1597"/>
      <c r="R955" s="1597"/>
      <c r="S955" s="1597"/>
      <c r="T955" s="1597"/>
    </row>
    <row r="956" spans="1:20" ht="13.5" customHeight="1">
      <c r="A956" s="1597"/>
      <c r="B956" s="1597"/>
      <c r="C956" s="1597"/>
      <c r="D956" s="1597"/>
      <c r="E956" s="1597"/>
      <c r="F956" s="1597"/>
      <c r="G956" s="1597"/>
      <c r="H956" s="1597"/>
      <c r="I956" s="1597"/>
      <c r="J956" s="1597"/>
      <c r="K956" s="1597"/>
      <c r="L956" s="1597"/>
      <c r="M956" s="1597"/>
      <c r="N956" s="1597"/>
      <c r="O956" s="1597"/>
      <c r="P956" s="1597"/>
      <c r="Q956" s="1597"/>
      <c r="R956" s="1597"/>
      <c r="S956" s="1597"/>
      <c r="T956" s="1597"/>
    </row>
    <row r="957" spans="1:20" ht="13.5" customHeight="1">
      <c r="A957" s="1597"/>
      <c r="B957" s="1597"/>
      <c r="C957" s="1597"/>
      <c r="D957" s="1597"/>
      <c r="E957" s="1597"/>
      <c r="F957" s="1597"/>
      <c r="G957" s="1597"/>
      <c r="H957" s="1597"/>
      <c r="I957" s="1597"/>
      <c r="J957" s="1597"/>
      <c r="K957" s="1597"/>
      <c r="L957" s="1597"/>
      <c r="M957" s="1597"/>
      <c r="N957" s="1597"/>
      <c r="O957" s="1597"/>
      <c r="P957" s="1597"/>
      <c r="Q957" s="1597"/>
      <c r="R957" s="1597"/>
      <c r="S957" s="1597"/>
      <c r="T957" s="1597"/>
    </row>
    <row r="958" spans="1:20" ht="13.5" customHeight="1">
      <c r="A958" s="1597"/>
      <c r="B958" s="1597"/>
      <c r="C958" s="1597"/>
      <c r="D958" s="1597"/>
      <c r="E958" s="1597"/>
      <c r="F958" s="1597"/>
      <c r="G958" s="1597"/>
      <c r="H958" s="1597"/>
      <c r="I958" s="1597"/>
      <c r="J958" s="1597"/>
      <c r="K958" s="1597"/>
      <c r="L958" s="1597"/>
      <c r="M958" s="1597"/>
      <c r="N958" s="1597"/>
      <c r="O958" s="1597"/>
      <c r="P958" s="1597"/>
      <c r="Q958" s="1597"/>
      <c r="R958" s="1597"/>
      <c r="S958" s="1597"/>
      <c r="T958" s="1597"/>
    </row>
    <row r="959" spans="1:20" ht="13.5" customHeight="1">
      <c r="A959" s="1597"/>
      <c r="B959" s="1597"/>
      <c r="C959" s="1597"/>
      <c r="D959" s="1597"/>
      <c r="E959" s="1597"/>
      <c r="F959" s="1597"/>
      <c r="G959" s="1597"/>
      <c r="H959" s="1597"/>
      <c r="I959" s="1597"/>
      <c r="J959" s="1597"/>
      <c r="K959" s="1597"/>
      <c r="L959" s="1597"/>
      <c r="M959" s="1597"/>
      <c r="N959" s="1597"/>
      <c r="O959" s="1597"/>
      <c r="P959" s="1597"/>
      <c r="Q959" s="1597"/>
      <c r="R959" s="1597"/>
      <c r="S959" s="1597"/>
      <c r="T959" s="1597"/>
    </row>
    <row r="960" spans="1:20" ht="13.5" customHeight="1">
      <c r="A960" s="1597"/>
      <c r="B960" s="1597"/>
      <c r="C960" s="1597"/>
      <c r="D960" s="1597"/>
      <c r="E960" s="1597"/>
      <c r="F960" s="1597"/>
      <c r="G960" s="1597"/>
      <c r="H960" s="1597"/>
      <c r="I960" s="1597"/>
      <c r="J960" s="1597"/>
      <c r="K960" s="1597"/>
      <c r="L960" s="1597"/>
      <c r="M960" s="1597"/>
      <c r="N960" s="1597"/>
      <c r="O960" s="1597"/>
      <c r="P960" s="1597"/>
      <c r="Q960" s="1597"/>
      <c r="R960" s="1597"/>
      <c r="S960" s="1597"/>
      <c r="T960" s="1597"/>
    </row>
    <row r="961" spans="1:20" ht="13.5" customHeight="1">
      <c r="A961" s="1597"/>
      <c r="B961" s="1597"/>
      <c r="C961" s="1597"/>
      <c r="D961" s="1597"/>
      <c r="E961" s="1597"/>
      <c r="F961" s="1597"/>
      <c r="G961" s="1597"/>
      <c r="H961" s="1597"/>
      <c r="I961" s="1597"/>
      <c r="J961" s="1597"/>
      <c r="K961" s="1597"/>
      <c r="L961" s="1597"/>
      <c r="M961" s="1597"/>
      <c r="N961" s="1597"/>
      <c r="O961" s="1597"/>
      <c r="P961" s="1597"/>
      <c r="Q961" s="1597"/>
      <c r="R961" s="1597"/>
      <c r="S961" s="1597"/>
      <c r="T961" s="1597"/>
    </row>
    <row r="962" spans="1:20" ht="13.5" customHeight="1">
      <c r="A962" s="1597"/>
      <c r="B962" s="1597"/>
      <c r="C962" s="1597"/>
      <c r="D962" s="1597"/>
      <c r="E962" s="1597"/>
      <c r="F962" s="1597"/>
      <c r="G962" s="1597"/>
      <c r="H962" s="1597"/>
      <c r="I962" s="1597"/>
      <c r="J962" s="1597"/>
      <c r="K962" s="1597"/>
      <c r="L962" s="1597"/>
      <c r="M962" s="1597"/>
      <c r="N962" s="1597"/>
      <c r="O962" s="1597"/>
      <c r="P962" s="1597"/>
      <c r="Q962" s="1597"/>
      <c r="R962" s="1597"/>
      <c r="S962" s="1597"/>
      <c r="T962" s="1597"/>
    </row>
    <row r="963" spans="1:20" ht="13.5" customHeight="1">
      <c r="A963" s="1597"/>
      <c r="B963" s="1597"/>
      <c r="C963" s="1597"/>
      <c r="D963" s="1597"/>
      <c r="E963" s="1597"/>
      <c r="F963" s="1597"/>
      <c r="G963" s="1597"/>
      <c r="H963" s="1597"/>
      <c r="I963" s="1597"/>
      <c r="J963" s="1597"/>
      <c r="K963" s="1597"/>
      <c r="L963" s="1597"/>
      <c r="M963" s="1597"/>
      <c r="N963" s="1597"/>
      <c r="O963" s="1597"/>
      <c r="P963" s="1597"/>
      <c r="Q963" s="1597"/>
      <c r="R963" s="1597"/>
      <c r="S963" s="1597"/>
      <c r="T963" s="1597"/>
    </row>
    <row r="964" spans="1:20" ht="13.5" customHeight="1">
      <c r="A964" s="1597"/>
      <c r="B964" s="1597"/>
      <c r="C964" s="1597"/>
      <c r="D964" s="1597"/>
      <c r="E964" s="1597"/>
      <c r="F964" s="1597"/>
      <c r="G964" s="1597"/>
      <c r="H964" s="1597"/>
      <c r="I964" s="1597"/>
      <c r="J964" s="1597"/>
      <c r="K964" s="1597"/>
      <c r="L964" s="1597"/>
      <c r="M964" s="1597"/>
      <c r="N964" s="1597"/>
      <c r="O964" s="1597"/>
      <c r="P964" s="1597"/>
      <c r="Q964" s="1597"/>
      <c r="R964" s="1597"/>
      <c r="S964" s="1597"/>
      <c r="T964" s="1597"/>
    </row>
    <row r="965" spans="1:20" ht="13.5" customHeight="1">
      <c r="A965" s="1597"/>
      <c r="B965" s="1597"/>
      <c r="C965" s="1597"/>
      <c r="D965" s="1597"/>
      <c r="E965" s="1597"/>
      <c r="F965" s="1597"/>
      <c r="G965" s="1597"/>
      <c r="H965" s="1597"/>
      <c r="I965" s="1597"/>
      <c r="J965" s="1597"/>
      <c r="K965" s="1597"/>
      <c r="L965" s="1597"/>
      <c r="M965" s="1597"/>
      <c r="N965" s="1597"/>
      <c r="O965" s="1597"/>
      <c r="P965" s="1597"/>
      <c r="Q965" s="1597"/>
      <c r="R965" s="1597"/>
      <c r="S965" s="1597"/>
      <c r="T965" s="1597"/>
    </row>
    <row r="966" spans="1:20" ht="13.5" customHeight="1">
      <c r="A966" s="1597"/>
      <c r="B966" s="1597"/>
      <c r="C966" s="1597"/>
      <c r="D966" s="1597"/>
      <c r="E966" s="1597"/>
      <c r="F966" s="1597"/>
      <c r="G966" s="1597"/>
      <c r="H966" s="1597"/>
      <c r="I966" s="1597"/>
      <c r="J966" s="1597"/>
      <c r="K966" s="1597"/>
      <c r="L966" s="1597"/>
      <c r="M966" s="1597"/>
      <c r="N966" s="1597"/>
      <c r="O966" s="1597"/>
      <c r="P966" s="1597"/>
      <c r="Q966" s="1597"/>
      <c r="R966" s="1597"/>
      <c r="S966" s="1597"/>
      <c r="T966" s="1597"/>
    </row>
    <row r="967" spans="1:20" ht="13.5" customHeight="1">
      <c r="A967" s="1597"/>
      <c r="B967" s="1597"/>
      <c r="C967" s="1597"/>
      <c r="D967" s="1597"/>
      <c r="E967" s="1597"/>
      <c r="F967" s="1597"/>
      <c r="G967" s="1597"/>
      <c r="H967" s="1597"/>
      <c r="I967" s="1597"/>
      <c r="J967" s="1597"/>
      <c r="K967" s="1597"/>
      <c r="L967" s="1597"/>
      <c r="M967" s="1597"/>
      <c r="N967" s="1597"/>
      <c r="O967" s="1597"/>
      <c r="P967" s="1597"/>
      <c r="Q967" s="1597"/>
      <c r="R967" s="1597"/>
      <c r="S967" s="1597"/>
      <c r="T967" s="1597"/>
    </row>
    <row r="968" spans="1:20" ht="13.5" customHeight="1">
      <c r="A968" s="1597"/>
      <c r="B968" s="1597"/>
      <c r="C968" s="1597"/>
      <c r="D968" s="1597"/>
      <c r="E968" s="1597"/>
      <c r="F968" s="1597"/>
      <c r="G968" s="1597"/>
      <c r="H968" s="1597"/>
      <c r="I968" s="1597"/>
      <c r="J968" s="1597"/>
      <c r="K968" s="1597"/>
      <c r="L968" s="1597"/>
      <c r="M968" s="1597"/>
      <c r="N968" s="1597"/>
      <c r="O968" s="1597"/>
      <c r="P968" s="1597"/>
      <c r="Q968" s="1597"/>
      <c r="R968" s="1597"/>
      <c r="S968" s="1597"/>
      <c r="T968" s="1597"/>
    </row>
    <row r="969" spans="1:20" ht="13.5" customHeight="1">
      <c r="A969" s="1597"/>
      <c r="B969" s="1597"/>
      <c r="C969" s="1597"/>
      <c r="D969" s="1597"/>
      <c r="E969" s="1597"/>
      <c r="F969" s="1597"/>
      <c r="G969" s="1597"/>
      <c r="H969" s="1597"/>
      <c r="I969" s="1597"/>
      <c r="J969" s="1597"/>
      <c r="K969" s="1597"/>
      <c r="L969" s="1597"/>
      <c r="M969" s="1597"/>
      <c r="N969" s="1597"/>
      <c r="O969" s="1597"/>
      <c r="P969" s="1597"/>
      <c r="Q969" s="1597"/>
      <c r="R969" s="1597"/>
      <c r="S969" s="1597"/>
      <c r="T969" s="1597"/>
    </row>
    <row r="970" spans="1:20" ht="13.5" customHeight="1">
      <c r="A970" s="1597"/>
      <c r="B970" s="1597"/>
      <c r="C970" s="1597"/>
      <c r="D970" s="1597"/>
      <c r="E970" s="1597"/>
      <c r="F970" s="1597"/>
      <c r="G970" s="1597"/>
      <c r="H970" s="1597"/>
      <c r="I970" s="1597"/>
      <c r="J970" s="1597"/>
      <c r="K970" s="1597"/>
      <c r="L970" s="1597"/>
      <c r="M970" s="1597"/>
      <c r="N970" s="1597"/>
      <c r="O970" s="1597"/>
      <c r="P970" s="1597"/>
      <c r="Q970" s="1597"/>
      <c r="R970" s="1597"/>
      <c r="S970" s="1597"/>
      <c r="T970" s="1597"/>
    </row>
    <row r="971" spans="1:20" ht="13.5" customHeight="1">
      <c r="A971" s="1597"/>
      <c r="B971" s="1597"/>
      <c r="C971" s="1597"/>
      <c r="D971" s="1597"/>
      <c r="E971" s="1597"/>
      <c r="F971" s="1597"/>
      <c r="G971" s="1597"/>
      <c r="H971" s="1597"/>
      <c r="I971" s="1597"/>
      <c r="J971" s="1597"/>
      <c r="K971" s="1597"/>
      <c r="L971" s="1597"/>
      <c r="M971" s="1597"/>
      <c r="N971" s="1597"/>
      <c r="O971" s="1597"/>
      <c r="P971" s="1597"/>
      <c r="Q971" s="1597"/>
      <c r="R971" s="1597"/>
      <c r="S971" s="1597"/>
      <c r="T971" s="1597"/>
    </row>
    <row r="972" spans="1:20" ht="13.5" customHeight="1">
      <c r="A972" s="1597"/>
      <c r="B972" s="1597"/>
      <c r="C972" s="1597"/>
      <c r="D972" s="1597"/>
      <c r="E972" s="1597"/>
      <c r="F972" s="1597"/>
      <c r="G972" s="1597"/>
      <c r="H972" s="1597"/>
      <c r="I972" s="1597"/>
      <c r="J972" s="1597"/>
      <c r="K972" s="1597"/>
      <c r="L972" s="1597"/>
      <c r="M972" s="1597"/>
      <c r="N972" s="1597"/>
      <c r="O972" s="1597"/>
      <c r="P972" s="1597"/>
      <c r="Q972" s="1597"/>
      <c r="R972" s="1597"/>
      <c r="S972" s="1597"/>
      <c r="T972" s="1597"/>
    </row>
    <row r="973" spans="1:20" ht="13.5" customHeight="1">
      <c r="A973" s="1597"/>
      <c r="B973" s="1597"/>
      <c r="C973" s="1597"/>
      <c r="D973" s="1597"/>
      <c r="E973" s="1597"/>
      <c r="F973" s="1597"/>
      <c r="G973" s="1597"/>
      <c r="H973" s="1597"/>
      <c r="I973" s="1597"/>
      <c r="J973" s="1597"/>
      <c r="K973" s="1597"/>
      <c r="L973" s="1597"/>
      <c r="M973" s="1597"/>
      <c r="N973" s="1597"/>
      <c r="O973" s="1597"/>
      <c r="P973" s="1597"/>
      <c r="Q973" s="1597"/>
      <c r="R973" s="1597"/>
      <c r="S973" s="1597"/>
      <c r="T973" s="1597"/>
    </row>
    <row r="974" spans="1:20" ht="13.5" customHeight="1">
      <c r="A974" s="1597"/>
      <c r="B974" s="1597"/>
      <c r="C974" s="1597"/>
      <c r="D974" s="1597"/>
      <c r="E974" s="1597"/>
      <c r="F974" s="1597"/>
      <c r="G974" s="1597"/>
      <c r="H974" s="1597"/>
      <c r="I974" s="1597"/>
      <c r="J974" s="1597"/>
      <c r="K974" s="1597"/>
      <c r="L974" s="1597"/>
      <c r="M974" s="1597"/>
      <c r="N974" s="1597"/>
      <c r="O974" s="1597"/>
      <c r="P974" s="1597"/>
      <c r="Q974" s="1597"/>
      <c r="R974" s="1597"/>
      <c r="S974" s="1597"/>
      <c r="T974" s="1597"/>
    </row>
    <row r="975" spans="1:20" ht="13.5" customHeight="1">
      <c r="A975" s="1597"/>
      <c r="B975" s="1597"/>
      <c r="C975" s="1597"/>
      <c r="D975" s="1597"/>
      <c r="E975" s="1597"/>
      <c r="F975" s="1597"/>
      <c r="G975" s="1597"/>
      <c r="H975" s="1597"/>
      <c r="I975" s="1597"/>
      <c r="J975" s="1597"/>
      <c r="K975" s="1597"/>
      <c r="L975" s="1597"/>
      <c r="M975" s="1597"/>
      <c r="N975" s="1597"/>
      <c r="O975" s="1597"/>
      <c r="P975" s="1597"/>
      <c r="Q975" s="1597"/>
      <c r="R975" s="1597"/>
      <c r="S975" s="1597"/>
      <c r="T975" s="1597"/>
    </row>
    <row r="976" spans="1:20" ht="13.5" customHeight="1">
      <c r="A976" s="1597"/>
      <c r="B976" s="1597"/>
      <c r="C976" s="1597"/>
      <c r="D976" s="1597"/>
      <c r="E976" s="1597"/>
      <c r="F976" s="1597"/>
      <c r="G976" s="1597"/>
      <c r="H976" s="1597"/>
      <c r="I976" s="1597"/>
      <c r="J976" s="1597"/>
      <c r="K976" s="1597"/>
      <c r="L976" s="1597"/>
      <c r="M976" s="1597"/>
      <c r="N976" s="1597"/>
      <c r="O976" s="1597"/>
      <c r="P976" s="1597"/>
      <c r="Q976" s="1597"/>
      <c r="R976" s="1597"/>
      <c r="S976" s="1597"/>
      <c r="T976" s="1597"/>
    </row>
    <row r="977" spans="1:20" ht="13.5" customHeight="1">
      <c r="A977" s="1597"/>
      <c r="B977" s="1597"/>
      <c r="C977" s="1597"/>
      <c r="D977" s="1597"/>
      <c r="E977" s="1597"/>
      <c r="F977" s="1597"/>
      <c r="G977" s="1597"/>
      <c r="H977" s="1597"/>
      <c r="I977" s="1597"/>
      <c r="J977" s="1597"/>
      <c r="K977" s="1597"/>
      <c r="L977" s="1597"/>
      <c r="M977" s="1597"/>
      <c r="N977" s="1597"/>
      <c r="O977" s="1597"/>
      <c r="P977" s="1597"/>
      <c r="Q977" s="1597"/>
      <c r="R977" s="1597"/>
      <c r="S977" s="1597"/>
      <c r="T977" s="1597"/>
    </row>
    <row r="978" spans="1:20" ht="13.5" customHeight="1">
      <c r="A978" s="1597"/>
      <c r="B978" s="1597"/>
      <c r="C978" s="1597"/>
      <c r="D978" s="1597"/>
      <c r="E978" s="1597"/>
      <c r="F978" s="1597"/>
      <c r="G978" s="1597"/>
      <c r="H978" s="1597"/>
      <c r="I978" s="1597"/>
      <c r="J978" s="1597"/>
      <c r="K978" s="1597"/>
      <c r="L978" s="1597"/>
      <c r="M978" s="1597"/>
      <c r="N978" s="1597"/>
      <c r="O978" s="1597"/>
      <c r="P978" s="1597"/>
      <c r="Q978" s="1597"/>
      <c r="R978" s="1597"/>
      <c r="S978" s="1597"/>
      <c r="T978" s="1597"/>
    </row>
    <row r="979" spans="1:20" ht="13.5" customHeight="1">
      <c r="A979" s="1597"/>
      <c r="B979" s="1597"/>
      <c r="C979" s="1597"/>
      <c r="D979" s="1597"/>
      <c r="E979" s="1597"/>
      <c r="F979" s="1597"/>
      <c r="G979" s="1597"/>
      <c r="H979" s="1597"/>
      <c r="I979" s="1597"/>
      <c r="J979" s="1597"/>
      <c r="K979" s="1597"/>
      <c r="L979" s="1597"/>
      <c r="M979" s="1597"/>
      <c r="N979" s="1597"/>
      <c r="O979" s="1597"/>
      <c r="P979" s="1597"/>
      <c r="Q979" s="1597"/>
      <c r="R979" s="1597"/>
      <c r="S979" s="1597"/>
      <c r="T979" s="1597"/>
    </row>
    <row r="980" spans="1:20" ht="13.5" customHeight="1">
      <c r="A980" s="1597"/>
      <c r="B980" s="1597"/>
      <c r="C980" s="1597"/>
      <c r="D980" s="1597"/>
      <c r="E980" s="1597"/>
      <c r="F980" s="1597"/>
      <c r="G980" s="1597"/>
      <c r="H980" s="1597"/>
      <c r="I980" s="1597"/>
      <c r="J980" s="1597"/>
      <c r="K980" s="1597"/>
      <c r="L980" s="1597"/>
      <c r="M980" s="1597"/>
      <c r="N980" s="1597"/>
      <c r="O980" s="1597"/>
      <c r="P980" s="1597"/>
      <c r="Q980" s="1597"/>
      <c r="R980" s="1597"/>
      <c r="S980" s="1597"/>
      <c r="T980" s="1597"/>
    </row>
    <row r="981" spans="1:20" ht="13.5" customHeight="1">
      <c r="A981" s="1597"/>
      <c r="B981" s="1597"/>
      <c r="C981" s="1597"/>
      <c r="D981" s="1597"/>
      <c r="E981" s="1597"/>
      <c r="F981" s="1597"/>
      <c r="G981" s="1597"/>
      <c r="H981" s="1597"/>
      <c r="I981" s="1597"/>
      <c r="J981" s="1597"/>
      <c r="K981" s="1597"/>
      <c r="L981" s="1597"/>
      <c r="M981" s="1597"/>
      <c r="N981" s="1597"/>
      <c r="O981" s="1597"/>
      <c r="P981" s="1597"/>
      <c r="Q981" s="1597"/>
      <c r="R981" s="1597"/>
      <c r="S981" s="1597"/>
      <c r="T981" s="1597"/>
    </row>
    <row r="982" spans="1:20" ht="13.5" customHeight="1">
      <c r="A982" s="1597"/>
      <c r="B982" s="1597"/>
      <c r="C982" s="1597"/>
      <c r="D982" s="1597"/>
      <c r="E982" s="1597"/>
      <c r="F982" s="1597"/>
      <c r="G982" s="1597"/>
      <c r="H982" s="1597"/>
      <c r="I982" s="1597"/>
      <c r="J982" s="1597"/>
      <c r="K982" s="1597"/>
      <c r="L982" s="1597"/>
      <c r="M982" s="1597"/>
      <c r="N982" s="1597"/>
      <c r="O982" s="1597"/>
      <c r="P982" s="1597"/>
      <c r="Q982" s="1597"/>
      <c r="R982" s="1597"/>
      <c r="S982" s="1597"/>
      <c r="T982" s="1597"/>
    </row>
    <row r="983" spans="1:20" ht="13.5" customHeight="1">
      <c r="A983" s="1597"/>
      <c r="B983" s="1597"/>
      <c r="C983" s="1597"/>
      <c r="D983" s="1597"/>
      <c r="E983" s="1597"/>
      <c r="F983" s="1597"/>
      <c r="G983" s="1597"/>
      <c r="H983" s="1597"/>
      <c r="I983" s="1597"/>
      <c r="J983" s="1597"/>
      <c r="K983" s="1597"/>
      <c r="L983" s="1597"/>
      <c r="M983" s="1597"/>
      <c r="N983" s="1597"/>
      <c r="O983" s="1597"/>
      <c r="P983" s="1597"/>
      <c r="Q983" s="1597"/>
      <c r="R983" s="1597"/>
      <c r="S983" s="1597"/>
      <c r="T983" s="1597"/>
    </row>
    <row r="984" spans="1:20" ht="13.5" customHeight="1">
      <c r="A984" s="1597"/>
      <c r="B984" s="1597"/>
      <c r="C984" s="1597"/>
      <c r="D984" s="1597"/>
      <c r="E984" s="1597"/>
      <c r="F984" s="1597"/>
      <c r="G984" s="1597"/>
      <c r="H984" s="1597"/>
      <c r="I984" s="1597"/>
      <c r="J984" s="1597"/>
      <c r="K984" s="1597"/>
      <c r="L984" s="1597"/>
      <c r="M984" s="1597"/>
      <c r="N984" s="1597"/>
      <c r="O984" s="1597"/>
      <c r="P984" s="1597"/>
      <c r="Q984" s="1597"/>
      <c r="R984" s="1597"/>
      <c r="S984" s="1597"/>
      <c r="T984" s="1597"/>
    </row>
    <row r="985" spans="1:20" ht="13.5" customHeight="1">
      <c r="A985" s="1597"/>
      <c r="B985" s="1597"/>
      <c r="C985" s="1597"/>
      <c r="D985" s="1597"/>
      <c r="E985" s="1597"/>
      <c r="F985" s="1597"/>
      <c r="G985" s="1597"/>
      <c r="H985" s="1597"/>
      <c r="I985" s="1597"/>
      <c r="J985" s="1597"/>
      <c r="K985" s="1597"/>
      <c r="L985" s="1597"/>
      <c r="M985" s="1597"/>
      <c r="N985" s="1597"/>
      <c r="O985" s="1597"/>
      <c r="P985" s="1597"/>
      <c r="Q985" s="1597"/>
      <c r="R985" s="1597"/>
      <c r="S985" s="1597"/>
      <c r="T985" s="1597"/>
    </row>
    <row r="986" spans="1:20" ht="13.5" customHeight="1">
      <c r="A986" s="1597"/>
      <c r="B986" s="1597"/>
      <c r="C986" s="1597"/>
      <c r="D986" s="1597"/>
      <c r="E986" s="1597"/>
      <c r="F986" s="1597"/>
      <c r="G986" s="1597"/>
      <c r="H986" s="1597"/>
      <c r="I986" s="1597"/>
      <c r="J986" s="1597"/>
      <c r="K986" s="1597"/>
      <c r="L986" s="1597"/>
      <c r="M986" s="1597"/>
      <c r="N986" s="1597"/>
      <c r="O986" s="1597"/>
      <c r="P986" s="1597"/>
      <c r="Q986" s="1597"/>
      <c r="R986" s="1597"/>
      <c r="S986" s="1597"/>
      <c r="T986" s="1597"/>
    </row>
    <row r="987" spans="1:20" ht="13.5" customHeight="1">
      <c r="A987" s="1597"/>
      <c r="B987" s="1597"/>
      <c r="C987" s="1597"/>
      <c r="D987" s="1597"/>
      <c r="E987" s="1597"/>
      <c r="F987" s="1597"/>
      <c r="G987" s="1597"/>
      <c r="H987" s="1597"/>
      <c r="I987" s="1597"/>
      <c r="J987" s="1597"/>
      <c r="K987" s="1597"/>
      <c r="L987" s="1597"/>
      <c r="M987" s="1597"/>
      <c r="N987" s="1597"/>
      <c r="O987" s="1597"/>
      <c r="P987" s="1597"/>
      <c r="Q987" s="1597"/>
      <c r="R987" s="1597"/>
      <c r="S987" s="1597"/>
      <c r="T987" s="1597"/>
    </row>
    <row r="988" spans="1:20" ht="13.5" customHeight="1">
      <c r="A988" s="1597"/>
      <c r="B988" s="1597"/>
      <c r="C988" s="1597"/>
      <c r="D988" s="1597"/>
      <c r="E988" s="1597"/>
      <c r="F988" s="1597"/>
      <c r="G988" s="1597"/>
      <c r="H988" s="1597"/>
      <c r="I988" s="1597"/>
      <c r="J988" s="1597"/>
      <c r="K988" s="1597"/>
      <c r="L988" s="1597"/>
      <c r="M988" s="1597"/>
      <c r="N988" s="1597"/>
      <c r="O988" s="1597"/>
      <c r="P988" s="1597"/>
      <c r="Q988" s="1597"/>
      <c r="R988" s="1597"/>
      <c r="S988" s="1597"/>
      <c r="T988" s="1597"/>
    </row>
    <row r="989" spans="1:20" ht="13.5" customHeight="1">
      <c r="A989" s="1597"/>
      <c r="B989" s="1597"/>
      <c r="C989" s="1597"/>
      <c r="D989" s="1597"/>
      <c r="E989" s="1597"/>
      <c r="F989" s="1597"/>
      <c r="G989" s="1597"/>
      <c r="H989" s="1597"/>
      <c r="I989" s="1597"/>
      <c r="J989" s="1597"/>
      <c r="K989" s="1597"/>
      <c r="L989" s="1597"/>
      <c r="M989" s="1597"/>
      <c r="N989" s="1597"/>
      <c r="O989" s="1597"/>
      <c r="P989" s="1597"/>
      <c r="Q989" s="1597"/>
      <c r="R989" s="1597"/>
      <c r="S989" s="1597"/>
      <c r="T989" s="1597"/>
    </row>
    <row r="990" spans="1:20" ht="13.5" customHeight="1">
      <c r="A990" s="1597"/>
      <c r="B990" s="1597"/>
      <c r="C990" s="1597"/>
      <c r="D990" s="1597"/>
      <c r="E990" s="1597"/>
      <c r="F990" s="1597"/>
      <c r="G990" s="1597"/>
      <c r="H990" s="1597"/>
      <c r="I990" s="1597"/>
      <c r="J990" s="1597"/>
      <c r="K990" s="1597"/>
      <c r="L990" s="1597"/>
      <c r="M990" s="1597"/>
      <c r="N990" s="1597"/>
      <c r="O990" s="1597"/>
      <c r="P990" s="1597"/>
      <c r="Q990" s="1597"/>
      <c r="R990" s="1597"/>
      <c r="S990" s="1597"/>
      <c r="T990" s="1597"/>
    </row>
    <row r="991" spans="1:20" ht="13.5" customHeight="1">
      <c r="A991" s="1597"/>
      <c r="B991" s="1597"/>
      <c r="C991" s="1597"/>
      <c r="D991" s="1597"/>
      <c r="E991" s="1597"/>
      <c r="F991" s="1597"/>
      <c r="G991" s="1597"/>
      <c r="H991" s="1597"/>
      <c r="I991" s="1597"/>
      <c r="J991" s="1597"/>
      <c r="K991" s="1597"/>
      <c r="L991" s="1597"/>
      <c r="M991" s="1597"/>
      <c r="N991" s="1597"/>
      <c r="O991" s="1597"/>
      <c r="P991" s="1597"/>
      <c r="Q991" s="1597"/>
      <c r="R991" s="1597"/>
      <c r="S991" s="1597"/>
      <c r="T991" s="1597"/>
    </row>
    <row r="992" spans="1:20" ht="13.5" customHeight="1">
      <c r="A992" s="1597"/>
      <c r="B992" s="1597"/>
      <c r="C992" s="1597"/>
      <c r="D992" s="1597"/>
      <c r="E992" s="1597"/>
      <c r="F992" s="1597"/>
      <c r="G992" s="1597"/>
      <c r="H992" s="1597"/>
      <c r="I992" s="1597"/>
      <c r="J992" s="1597"/>
      <c r="K992" s="1597"/>
      <c r="L992" s="1597"/>
      <c r="M992" s="1597"/>
      <c r="N992" s="1597"/>
      <c r="O992" s="1597"/>
      <c r="P992" s="1597"/>
      <c r="Q992" s="1597"/>
      <c r="R992" s="1597"/>
      <c r="S992" s="1597"/>
      <c r="T992" s="1597"/>
    </row>
    <row r="993" spans="1:20" ht="13.5" customHeight="1">
      <c r="A993" s="1597"/>
      <c r="B993" s="1597"/>
      <c r="C993" s="1597"/>
      <c r="D993" s="1597"/>
      <c r="E993" s="1597"/>
      <c r="F993" s="1597"/>
      <c r="G993" s="1597"/>
      <c r="H993" s="1597"/>
      <c r="I993" s="1597"/>
      <c r="J993" s="1597"/>
      <c r="K993" s="1597"/>
      <c r="L993" s="1597"/>
      <c r="M993" s="1597"/>
      <c r="N993" s="1597"/>
      <c r="O993" s="1597"/>
      <c r="P993" s="1597"/>
      <c r="Q993" s="1597"/>
      <c r="R993" s="1597"/>
      <c r="S993" s="1597"/>
      <c r="T993" s="1597"/>
    </row>
    <row r="994" spans="1:20" ht="13.5" customHeight="1">
      <c r="A994" s="1597"/>
      <c r="B994" s="1597"/>
      <c r="C994" s="1597"/>
      <c r="D994" s="1597"/>
      <c r="E994" s="1597"/>
      <c r="F994" s="1597"/>
      <c r="G994" s="1597"/>
      <c r="H994" s="1597"/>
      <c r="I994" s="1597"/>
      <c r="J994" s="1597"/>
      <c r="K994" s="1597"/>
      <c r="L994" s="1597"/>
      <c r="M994" s="1597"/>
      <c r="N994" s="1597"/>
      <c r="O994" s="1597"/>
      <c r="P994" s="1597"/>
      <c r="Q994" s="1597"/>
      <c r="R994" s="1597"/>
      <c r="S994" s="1597"/>
      <c r="T994" s="1597"/>
    </row>
    <row r="995" spans="1:20" ht="13.5" customHeight="1">
      <c r="A995" s="1597"/>
      <c r="B995" s="1597"/>
      <c r="C995" s="1597"/>
      <c r="D995" s="1597"/>
      <c r="E995" s="1597"/>
      <c r="F995" s="1597"/>
      <c r="G995" s="1597"/>
      <c r="H995" s="1597"/>
      <c r="I995" s="1597"/>
      <c r="J995" s="1597"/>
      <c r="K995" s="1597"/>
      <c r="L995" s="1597"/>
      <c r="M995" s="1597"/>
      <c r="N995" s="1597"/>
      <c r="O995" s="1597"/>
      <c r="P995" s="1597"/>
      <c r="Q995" s="1597"/>
      <c r="R995" s="1597"/>
      <c r="S995" s="1597"/>
      <c r="T995" s="1597"/>
    </row>
    <row r="996" spans="1:20" ht="13.5" customHeight="1">
      <c r="A996" s="1597"/>
      <c r="B996" s="1597"/>
      <c r="C996" s="1597"/>
      <c r="D996" s="1597"/>
      <c r="E996" s="1597"/>
      <c r="F996" s="1597"/>
      <c r="G996" s="1597"/>
      <c r="H996" s="1597"/>
      <c r="I996" s="1597"/>
      <c r="J996" s="1597"/>
      <c r="K996" s="1597"/>
      <c r="L996" s="1597"/>
      <c r="M996" s="1597"/>
      <c r="N996" s="1597"/>
      <c r="O996" s="1597"/>
      <c r="P996" s="1597"/>
      <c r="Q996" s="1597"/>
      <c r="R996" s="1597"/>
      <c r="S996" s="1597"/>
      <c r="T996" s="1597"/>
    </row>
    <row r="997" spans="1:20" ht="13.5" customHeight="1">
      <c r="A997" s="1597"/>
      <c r="B997" s="1597"/>
      <c r="C997" s="1597"/>
      <c r="D997" s="1597"/>
      <c r="E997" s="1597"/>
      <c r="F997" s="1597"/>
      <c r="G997" s="1597"/>
      <c r="H997" s="1597"/>
      <c r="I997" s="1597"/>
      <c r="J997" s="1597"/>
      <c r="K997" s="1597"/>
      <c r="L997" s="1597"/>
      <c r="M997" s="1597"/>
      <c r="N997" s="1597"/>
      <c r="O997" s="1597"/>
      <c r="P997" s="1597"/>
      <c r="Q997" s="1597"/>
      <c r="R997" s="1597"/>
      <c r="S997" s="1597"/>
      <c r="T997" s="1597"/>
    </row>
    <row r="998" spans="1:20" ht="13.5" customHeight="1">
      <c r="A998" s="1597"/>
      <c r="B998" s="1597"/>
      <c r="C998" s="1597"/>
      <c r="D998" s="1597"/>
      <c r="E998" s="1597"/>
      <c r="F998" s="1597"/>
      <c r="G998" s="1597"/>
      <c r="H998" s="1597"/>
      <c r="I998" s="1597"/>
      <c r="J998" s="1597"/>
      <c r="K998" s="1597"/>
      <c r="L998" s="1597"/>
      <c r="M998" s="1597"/>
      <c r="N998" s="1597"/>
      <c r="O998" s="1597"/>
      <c r="P998" s="1597"/>
      <c r="Q998" s="1597"/>
      <c r="R998" s="1597"/>
      <c r="S998" s="1597"/>
      <c r="T998" s="1597"/>
    </row>
    <row r="999" spans="1:20" ht="13.5" customHeight="1">
      <c r="A999" s="1597"/>
      <c r="B999" s="1597"/>
      <c r="C999" s="1597"/>
      <c r="D999" s="1597"/>
      <c r="E999" s="1597"/>
      <c r="F999" s="1597"/>
      <c r="G999" s="1597"/>
      <c r="H999" s="1597"/>
      <c r="I999" s="1597"/>
      <c r="J999" s="1597"/>
      <c r="K999" s="1597"/>
      <c r="L999" s="1597"/>
      <c r="M999" s="1597"/>
      <c r="N999" s="1597"/>
      <c r="O999" s="1597"/>
      <c r="P999" s="1597"/>
      <c r="Q999" s="1597"/>
      <c r="R999" s="1597"/>
      <c r="S999" s="1597"/>
      <c r="T999" s="1597"/>
    </row>
    <row r="1000" spans="1:20" ht="13.5" customHeight="1">
      <c r="A1000" s="1597"/>
      <c r="B1000" s="1597"/>
      <c r="C1000" s="1597"/>
      <c r="D1000" s="1597"/>
      <c r="E1000" s="1597"/>
      <c r="F1000" s="1597"/>
      <c r="G1000" s="1597"/>
      <c r="H1000" s="1597"/>
      <c r="I1000" s="1597"/>
      <c r="J1000" s="1597"/>
      <c r="K1000" s="1597"/>
      <c r="L1000" s="1597"/>
      <c r="M1000" s="1597"/>
      <c r="N1000" s="1597"/>
      <c r="O1000" s="1597"/>
      <c r="P1000" s="1597"/>
      <c r="Q1000" s="1597"/>
      <c r="R1000" s="1597"/>
      <c r="S1000" s="1597"/>
      <c r="T1000" s="1597"/>
    </row>
    <row r="1001" spans="1:20" ht="13.5" customHeight="1">
      <c r="A1001" s="1597"/>
      <c r="B1001" s="1597"/>
      <c r="C1001" s="1597"/>
      <c r="D1001" s="1597"/>
      <c r="E1001" s="1597"/>
      <c r="F1001" s="1597"/>
      <c r="G1001" s="1597"/>
      <c r="H1001" s="1597"/>
      <c r="I1001" s="1597"/>
      <c r="J1001" s="1597"/>
      <c r="K1001" s="1597"/>
      <c r="L1001" s="1597"/>
      <c r="M1001" s="1597"/>
      <c r="N1001" s="1597"/>
      <c r="O1001" s="1597"/>
      <c r="P1001" s="1597"/>
      <c r="Q1001" s="1597"/>
      <c r="R1001" s="1597"/>
      <c r="S1001" s="1597"/>
      <c r="T1001" s="1597"/>
    </row>
    <row r="1002" spans="1:20" ht="13.5" customHeight="1">
      <c r="A1002" s="1597"/>
      <c r="B1002" s="1597"/>
      <c r="C1002" s="1597"/>
      <c r="D1002" s="1597"/>
      <c r="E1002" s="1597"/>
      <c r="F1002" s="1597"/>
      <c r="G1002" s="1597"/>
      <c r="H1002" s="1597"/>
      <c r="I1002" s="1597"/>
      <c r="J1002" s="1597"/>
      <c r="K1002" s="1597"/>
      <c r="L1002" s="1597"/>
      <c r="M1002" s="1597"/>
      <c r="N1002" s="1597"/>
      <c r="O1002" s="1597"/>
      <c r="P1002" s="1597"/>
      <c r="Q1002" s="1597"/>
      <c r="R1002" s="1597"/>
      <c r="S1002" s="1597"/>
      <c r="T1002" s="1597"/>
    </row>
    <row r="1003" spans="1:20" ht="13.5" customHeight="1">
      <c r="A1003" s="1597"/>
      <c r="B1003" s="1597"/>
      <c r="C1003" s="1597"/>
      <c r="D1003" s="1597"/>
      <c r="E1003" s="1597"/>
      <c r="F1003" s="1597"/>
      <c r="G1003" s="1597"/>
      <c r="H1003" s="1597"/>
      <c r="I1003" s="1597"/>
      <c r="J1003" s="1597"/>
      <c r="K1003" s="1597"/>
      <c r="L1003" s="1597"/>
      <c r="M1003" s="1597"/>
      <c r="N1003" s="1597"/>
      <c r="O1003" s="1597"/>
      <c r="P1003" s="1597"/>
      <c r="Q1003" s="1597"/>
      <c r="R1003" s="1597"/>
      <c r="S1003" s="1597"/>
      <c r="T1003" s="1597"/>
    </row>
    <row r="1004" spans="1:20" ht="13.5" customHeight="1">
      <c r="A1004" s="1597"/>
      <c r="B1004" s="1597"/>
      <c r="C1004" s="1597"/>
      <c r="D1004" s="1597"/>
      <c r="E1004" s="1597"/>
      <c r="F1004" s="1597"/>
      <c r="G1004" s="1597"/>
      <c r="H1004" s="1597"/>
      <c r="I1004" s="1597"/>
      <c r="J1004" s="1597"/>
      <c r="K1004" s="1597"/>
      <c r="L1004" s="1597"/>
      <c r="M1004" s="1597"/>
      <c r="N1004" s="1597"/>
      <c r="O1004" s="1597"/>
      <c r="P1004" s="1597"/>
      <c r="Q1004" s="1597"/>
      <c r="R1004" s="1597"/>
      <c r="S1004" s="1597"/>
      <c r="T1004" s="1597"/>
    </row>
    <row r="1005" spans="1:20" ht="13.5" customHeight="1">
      <c r="A1005" s="1597"/>
      <c r="B1005" s="1597"/>
      <c r="C1005" s="1597"/>
      <c r="D1005" s="1597"/>
      <c r="E1005" s="1597"/>
      <c r="F1005" s="1597"/>
      <c r="G1005" s="1597"/>
      <c r="H1005" s="1597"/>
      <c r="I1005" s="1597"/>
      <c r="J1005" s="1597"/>
      <c r="K1005" s="1597"/>
      <c r="L1005" s="1597"/>
      <c r="M1005" s="1597"/>
      <c r="N1005" s="1597"/>
      <c r="O1005" s="1597"/>
      <c r="P1005" s="1597"/>
      <c r="Q1005" s="1597"/>
      <c r="R1005" s="1597"/>
      <c r="S1005" s="1597"/>
      <c r="T1005" s="1597"/>
    </row>
    <row r="1006" spans="1:20" ht="13.5" customHeight="1">
      <c r="A1006" s="1597"/>
      <c r="B1006" s="1597"/>
      <c r="C1006" s="1597"/>
      <c r="D1006" s="1597"/>
      <c r="E1006" s="1597"/>
      <c r="F1006" s="1597"/>
      <c r="G1006" s="1597"/>
      <c r="H1006" s="1597"/>
      <c r="I1006" s="1597"/>
      <c r="J1006" s="1597"/>
      <c r="K1006" s="1597"/>
      <c r="L1006" s="1597"/>
      <c r="M1006" s="1597"/>
      <c r="N1006" s="1597"/>
      <c r="O1006" s="1597"/>
      <c r="P1006" s="1597"/>
      <c r="Q1006" s="1597"/>
      <c r="R1006" s="1597"/>
      <c r="S1006" s="1597"/>
      <c r="T1006" s="1597"/>
    </row>
    <row r="1007" spans="1:20" ht="13.5" customHeight="1">
      <c r="A1007" s="1597"/>
      <c r="B1007" s="1597"/>
      <c r="C1007" s="1597"/>
      <c r="D1007" s="1597"/>
      <c r="E1007" s="1597"/>
      <c r="F1007" s="1597"/>
      <c r="G1007" s="1597"/>
      <c r="H1007" s="1597"/>
      <c r="I1007" s="1597"/>
      <c r="J1007" s="1597"/>
      <c r="K1007" s="1597"/>
      <c r="L1007" s="1597"/>
      <c r="M1007" s="1597"/>
      <c r="N1007" s="1597"/>
      <c r="O1007" s="1597"/>
      <c r="P1007" s="1597"/>
      <c r="Q1007" s="1597"/>
      <c r="R1007" s="1597"/>
      <c r="S1007" s="1597"/>
      <c r="T1007" s="1597"/>
    </row>
    <row r="1008" spans="1:20" ht="13.5" customHeight="1">
      <c r="A1008" s="1597"/>
      <c r="B1008" s="1597"/>
      <c r="C1008" s="1597"/>
      <c r="D1008" s="1597"/>
      <c r="E1008" s="1597"/>
      <c r="F1008" s="1597"/>
      <c r="G1008" s="1597"/>
      <c r="H1008" s="1597"/>
      <c r="I1008" s="1597"/>
      <c r="J1008" s="1597"/>
      <c r="K1008" s="1597"/>
      <c r="L1008" s="1597"/>
      <c r="M1008" s="1597"/>
      <c r="N1008" s="1597"/>
      <c r="O1008" s="1597"/>
      <c r="P1008" s="1597"/>
      <c r="Q1008" s="1597"/>
      <c r="R1008" s="1597"/>
      <c r="S1008" s="1597"/>
      <c r="T1008" s="1597"/>
    </row>
    <row r="1009" spans="1:20" ht="13.5" customHeight="1">
      <c r="A1009" s="1597"/>
      <c r="B1009" s="1597"/>
      <c r="C1009" s="1597"/>
      <c r="D1009" s="1597"/>
      <c r="E1009" s="1597"/>
      <c r="F1009" s="1597"/>
      <c r="G1009" s="1597"/>
      <c r="H1009" s="1597"/>
      <c r="I1009" s="1597"/>
      <c r="J1009" s="1597"/>
      <c r="K1009" s="1597"/>
      <c r="L1009" s="1597"/>
      <c r="M1009" s="1597"/>
      <c r="N1009" s="1597"/>
      <c r="O1009" s="1597"/>
      <c r="P1009" s="1597"/>
      <c r="Q1009" s="1597"/>
      <c r="R1009" s="1597"/>
      <c r="S1009" s="1597"/>
      <c r="T1009" s="1597"/>
    </row>
    <row r="1010" spans="1:20" ht="13.5" customHeight="1">
      <c r="A1010" s="1597"/>
      <c r="B1010" s="1597"/>
      <c r="C1010" s="1597"/>
      <c r="D1010" s="1597"/>
      <c r="E1010" s="1597"/>
      <c r="F1010" s="1597"/>
      <c r="G1010" s="1597"/>
      <c r="H1010" s="1597"/>
      <c r="I1010" s="1597"/>
      <c r="J1010" s="1597"/>
      <c r="K1010" s="1597"/>
      <c r="L1010" s="1597"/>
      <c r="M1010" s="1597"/>
      <c r="N1010" s="1597"/>
      <c r="O1010" s="1597"/>
      <c r="P1010" s="1597"/>
      <c r="Q1010" s="1597"/>
      <c r="R1010" s="1597"/>
      <c r="S1010" s="1597"/>
      <c r="T1010" s="1597"/>
    </row>
    <row r="1011" spans="1:20" ht="13.5" customHeight="1">
      <c r="A1011" s="1597"/>
      <c r="B1011" s="1597"/>
      <c r="C1011" s="1597"/>
      <c r="D1011" s="1597"/>
      <c r="E1011" s="1597"/>
      <c r="F1011" s="1597"/>
      <c r="G1011" s="1597"/>
      <c r="H1011" s="1597"/>
      <c r="I1011" s="1597"/>
      <c r="J1011" s="1597"/>
      <c r="K1011" s="1597"/>
      <c r="L1011" s="1597"/>
      <c r="M1011" s="1597"/>
      <c r="N1011" s="1597"/>
      <c r="O1011" s="1597"/>
      <c r="P1011" s="1597"/>
      <c r="Q1011" s="1597"/>
      <c r="R1011" s="1597"/>
      <c r="S1011" s="1597"/>
      <c r="T1011" s="1597"/>
    </row>
    <row r="1012" spans="1:20" ht="13.5" customHeight="1">
      <c r="A1012" s="1597"/>
      <c r="B1012" s="1597"/>
      <c r="C1012" s="1597"/>
      <c r="D1012" s="1597"/>
      <c r="E1012" s="1597"/>
      <c r="F1012" s="1597"/>
      <c r="G1012" s="1597"/>
      <c r="H1012" s="1597"/>
      <c r="I1012" s="1597"/>
      <c r="J1012" s="1597"/>
      <c r="K1012" s="1597"/>
      <c r="L1012" s="1597"/>
      <c r="M1012" s="1597"/>
      <c r="N1012" s="1597"/>
      <c r="O1012" s="1597"/>
      <c r="P1012" s="1597"/>
      <c r="Q1012" s="1597"/>
      <c r="R1012" s="1597"/>
      <c r="S1012" s="1597"/>
      <c r="T1012" s="1597"/>
    </row>
    <row r="1013" spans="1:20" ht="13.5" customHeight="1">
      <c r="A1013" s="1597"/>
      <c r="B1013" s="1597"/>
      <c r="C1013" s="1597"/>
      <c r="D1013" s="1597"/>
      <c r="E1013" s="1597"/>
      <c r="F1013" s="1597"/>
      <c r="G1013" s="1597"/>
      <c r="H1013" s="1597"/>
      <c r="I1013" s="1597"/>
      <c r="J1013" s="1597"/>
      <c r="K1013" s="1597"/>
      <c r="L1013" s="1597"/>
      <c r="M1013" s="1597"/>
      <c r="N1013" s="1597"/>
      <c r="O1013" s="1597"/>
      <c r="P1013" s="1597"/>
      <c r="Q1013" s="1597"/>
      <c r="R1013" s="1597"/>
      <c r="S1013" s="1597"/>
      <c r="T1013" s="1597"/>
    </row>
    <row r="1014" spans="1:20" ht="13.5" customHeight="1">
      <c r="A1014" s="1597"/>
      <c r="B1014" s="1597"/>
      <c r="C1014" s="1597"/>
      <c r="D1014" s="1597"/>
      <c r="E1014" s="1597"/>
      <c r="F1014" s="1597"/>
      <c r="G1014" s="1597"/>
      <c r="H1014" s="1597"/>
      <c r="I1014" s="1597"/>
      <c r="J1014" s="1597"/>
      <c r="K1014" s="1597"/>
      <c r="L1014" s="1597"/>
      <c r="M1014" s="1597"/>
      <c r="N1014" s="1597"/>
      <c r="O1014" s="1597"/>
      <c r="P1014" s="1597"/>
      <c r="Q1014" s="1597"/>
      <c r="R1014" s="1597"/>
      <c r="S1014" s="1597"/>
      <c r="T1014" s="1597"/>
    </row>
    <row r="1015" spans="1:20" ht="13.5" customHeight="1">
      <c r="A1015" s="1597"/>
      <c r="B1015" s="1597"/>
      <c r="C1015" s="1597"/>
      <c r="D1015" s="1597"/>
      <c r="E1015" s="1597"/>
      <c r="F1015" s="1597"/>
      <c r="G1015" s="1597"/>
      <c r="H1015" s="1597"/>
      <c r="I1015" s="1597"/>
      <c r="J1015" s="1597"/>
      <c r="K1015" s="1597"/>
      <c r="L1015" s="1597"/>
      <c r="M1015" s="1597"/>
      <c r="N1015" s="1597"/>
      <c r="O1015" s="1597"/>
      <c r="P1015" s="1597"/>
      <c r="Q1015" s="1597"/>
      <c r="R1015" s="1597"/>
      <c r="S1015" s="1597"/>
      <c r="T1015" s="1597"/>
    </row>
    <row r="1016" spans="1:20" ht="13.5" customHeight="1">
      <c r="A1016" s="1597"/>
      <c r="B1016" s="1597"/>
      <c r="C1016" s="1597"/>
      <c r="D1016" s="1597"/>
      <c r="E1016" s="1597"/>
      <c r="F1016" s="1597"/>
      <c r="G1016" s="1597"/>
      <c r="H1016" s="1597"/>
      <c r="I1016" s="1597"/>
      <c r="J1016" s="1597"/>
      <c r="K1016" s="1597"/>
      <c r="L1016" s="1597"/>
      <c r="M1016" s="1597"/>
      <c r="N1016" s="1597"/>
      <c r="O1016" s="1597"/>
      <c r="P1016" s="1597"/>
      <c r="Q1016" s="1597"/>
      <c r="R1016" s="1597"/>
      <c r="S1016" s="1597"/>
      <c r="T1016" s="1597"/>
    </row>
    <row r="1017" spans="1:20" ht="13.5" customHeight="1">
      <c r="A1017" s="1597"/>
      <c r="B1017" s="1597"/>
      <c r="C1017" s="1597"/>
      <c r="D1017" s="1597"/>
      <c r="E1017" s="1597"/>
      <c r="F1017" s="1597"/>
      <c r="G1017" s="1597"/>
      <c r="H1017" s="1597"/>
      <c r="I1017" s="1597"/>
      <c r="J1017" s="1597"/>
      <c r="K1017" s="1597"/>
      <c r="L1017" s="1597"/>
      <c r="M1017" s="1597"/>
      <c r="N1017" s="1597"/>
      <c r="O1017" s="1597"/>
      <c r="P1017" s="1597"/>
      <c r="Q1017" s="1597"/>
      <c r="R1017" s="1597"/>
      <c r="S1017" s="1597"/>
      <c r="T1017" s="1597"/>
    </row>
    <row r="1018" spans="1:20" ht="13.5" customHeight="1">
      <c r="A1018" s="1597"/>
      <c r="B1018" s="1597"/>
      <c r="C1018" s="1597"/>
      <c r="D1018" s="1597"/>
      <c r="E1018" s="1597"/>
      <c r="F1018" s="1597"/>
      <c r="G1018" s="1597"/>
      <c r="H1018" s="1597"/>
      <c r="I1018" s="1597"/>
      <c r="J1018" s="1597"/>
      <c r="K1018" s="1597"/>
      <c r="L1018" s="1597"/>
      <c r="M1018" s="1597"/>
      <c r="N1018" s="1597"/>
      <c r="O1018" s="1597"/>
      <c r="P1018" s="1597"/>
      <c r="Q1018" s="1597"/>
      <c r="R1018" s="1597"/>
      <c r="S1018" s="1597"/>
      <c r="T1018" s="1597"/>
    </row>
    <row r="1019" spans="1:20" ht="13.5" customHeight="1">
      <c r="A1019" s="1597"/>
      <c r="B1019" s="1597"/>
      <c r="C1019" s="1597"/>
      <c r="D1019" s="1597"/>
      <c r="E1019" s="1597"/>
      <c r="F1019" s="1597"/>
      <c r="G1019" s="1597"/>
      <c r="H1019" s="1597"/>
      <c r="I1019" s="1597"/>
      <c r="J1019" s="1597"/>
      <c r="K1019" s="1597"/>
      <c r="L1019" s="1597"/>
      <c r="M1019" s="1597"/>
      <c r="N1019" s="1597"/>
      <c r="O1019" s="1597"/>
      <c r="P1019" s="1597"/>
      <c r="Q1019" s="1597"/>
      <c r="R1019" s="1597"/>
      <c r="S1019" s="1597"/>
      <c r="T1019" s="1597"/>
    </row>
    <row r="1020" spans="1:20" ht="13.5" customHeight="1">
      <c r="A1020" s="1597"/>
      <c r="B1020" s="1597"/>
      <c r="C1020" s="1597"/>
      <c r="D1020" s="1597"/>
      <c r="E1020" s="1597"/>
      <c r="F1020" s="1597"/>
      <c r="G1020" s="1597"/>
      <c r="H1020" s="1597"/>
      <c r="I1020" s="1597"/>
      <c r="J1020" s="1597"/>
      <c r="K1020" s="1597"/>
      <c r="L1020" s="1597"/>
      <c r="M1020" s="1597"/>
      <c r="N1020" s="1597"/>
      <c r="O1020" s="1597"/>
      <c r="P1020" s="1597"/>
      <c r="Q1020" s="1597"/>
      <c r="R1020" s="1597"/>
      <c r="S1020" s="1597"/>
      <c r="T1020" s="1597"/>
    </row>
    <row r="1021" spans="1:20" ht="13.5" customHeight="1">
      <c r="A1021" s="1597"/>
      <c r="B1021" s="1597"/>
      <c r="C1021" s="1597"/>
      <c r="D1021" s="1597"/>
      <c r="E1021" s="1597"/>
      <c r="F1021" s="1597"/>
      <c r="G1021" s="1597"/>
      <c r="H1021" s="1597"/>
      <c r="I1021" s="1597"/>
      <c r="J1021" s="1597"/>
      <c r="K1021" s="1597"/>
      <c r="L1021" s="1597"/>
      <c r="M1021" s="1597"/>
      <c r="N1021" s="1597"/>
      <c r="O1021" s="1597"/>
      <c r="P1021" s="1597"/>
      <c r="Q1021" s="1597"/>
      <c r="R1021" s="1597"/>
      <c r="S1021" s="1597"/>
      <c r="T1021" s="1597"/>
    </row>
    <row r="1022" spans="1:20" ht="13.5" customHeight="1">
      <c r="A1022" s="1597"/>
      <c r="B1022" s="1597"/>
      <c r="C1022" s="1597"/>
      <c r="D1022" s="1597"/>
      <c r="E1022" s="1597"/>
      <c r="F1022" s="1597"/>
      <c r="G1022" s="1597"/>
      <c r="H1022" s="1597"/>
      <c r="I1022" s="1597"/>
      <c r="J1022" s="1597"/>
      <c r="K1022" s="1597"/>
      <c r="L1022" s="1597"/>
      <c r="M1022" s="1597"/>
      <c r="N1022" s="1597"/>
      <c r="O1022" s="1597"/>
      <c r="P1022" s="1597"/>
      <c r="Q1022" s="1597"/>
      <c r="R1022" s="1597"/>
      <c r="S1022" s="1597"/>
      <c r="T1022" s="1597"/>
    </row>
    <row r="1023" spans="1:20" ht="13.5" customHeight="1">
      <c r="A1023" s="1597"/>
      <c r="B1023" s="1597"/>
      <c r="C1023" s="1597"/>
      <c r="D1023" s="1597"/>
      <c r="E1023" s="1597"/>
      <c r="F1023" s="1597"/>
      <c r="G1023" s="1597"/>
      <c r="H1023" s="1597"/>
      <c r="I1023" s="1597"/>
      <c r="J1023" s="1597"/>
      <c r="K1023" s="1597"/>
      <c r="L1023" s="1597"/>
      <c r="M1023" s="1597"/>
      <c r="N1023" s="1597"/>
      <c r="O1023" s="1597"/>
      <c r="P1023" s="1597"/>
      <c r="Q1023" s="1597"/>
      <c r="R1023" s="1597"/>
      <c r="S1023" s="1597"/>
      <c r="T1023" s="1597"/>
    </row>
    <row r="1024" spans="1:20" ht="13.5" customHeight="1">
      <c r="A1024" s="1597"/>
      <c r="B1024" s="1597"/>
      <c r="C1024" s="1597"/>
      <c r="D1024" s="1597"/>
      <c r="E1024" s="1597"/>
      <c r="F1024" s="1597"/>
      <c r="G1024" s="1597"/>
      <c r="H1024" s="1597"/>
      <c r="I1024" s="1597"/>
      <c r="J1024" s="1597"/>
      <c r="K1024" s="1597"/>
      <c r="L1024" s="1597"/>
      <c r="M1024" s="1597"/>
      <c r="N1024" s="1597"/>
      <c r="O1024" s="1597"/>
      <c r="P1024" s="1597"/>
      <c r="Q1024" s="1597"/>
      <c r="R1024" s="1597"/>
      <c r="S1024" s="1597"/>
      <c r="T1024" s="1597"/>
    </row>
    <row r="1025" spans="1:20" ht="13.5" customHeight="1">
      <c r="A1025" s="1597"/>
      <c r="B1025" s="1597"/>
      <c r="C1025" s="1597"/>
      <c r="D1025" s="1597"/>
      <c r="E1025" s="1597"/>
      <c r="F1025" s="1597"/>
      <c r="G1025" s="1597"/>
      <c r="H1025" s="1597"/>
      <c r="I1025" s="1597"/>
      <c r="J1025" s="1597"/>
      <c r="K1025" s="1597"/>
      <c r="L1025" s="1597"/>
      <c r="M1025" s="1597"/>
      <c r="N1025" s="1597"/>
      <c r="O1025" s="1597"/>
      <c r="P1025" s="1597"/>
      <c r="Q1025" s="1597"/>
      <c r="R1025" s="1597"/>
      <c r="S1025" s="1597"/>
      <c r="T1025" s="1597"/>
    </row>
    <row r="1026" spans="1:20" ht="13.5" customHeight="1">
      <c r="A1026" s="1597"/>
      <c r="B1026" s="1597"/>
      <c r="C1026" s="1597"/>
      <c r="D1026" s="1597"/>
      <c r="E1026" s="1597"/>
      <c r="F1026" s="1597"/>
      <c r="G1026" s="1597"/>
      <c r="H1026" s="1597"/>
      <c r="I1026" s="1597"/>
      <c r="J1026" s="1597"/>
      <c r="K1026" s="1597"/>
      <c r="L1026" s="1597"/>
      <c r="M1026" s="1597"/>
      <c r="N1026" s="1597"/>
      <c r="O1026" s="1597"/>
      <c r="P1026" s="1597"/>
      <c r="Q1026" s="1597"/>
      <c r="R1026" s="1597"/>
      <c r="S1026" s="1597"/>
      <c r="T1026" s="1597"/>
    </row>
    <row r="1027" spans="1:20" ht="13.5" customHeight="1">
      <c r="A1027" s="1597"/>
      <c r="B1027" s="1597"/>
      <c r="C1027" s="1597"/>
      <c r="D1027" s="1597"/>
      <c r="E1027" s="1597"/>
      <c r="F1027" s="1597"/>
      <c r="G1027" s="1597"/>
      <c r="H1027" s="1597"/>
      <c r="I1027" s="1597"/>
      <c r="J1027" s="1597"/>
      <c r="K1027" s="1597"/>
      <c r="L1027" s="1597"/>
      <c r="M1027" s="1597"/>
      <c r="N1027" s="1597"/>
      <c r="O1027" s="1597"/>
      <c r="P1027" s="1597"/>
      <c r="Q1027" s="1597"/>
      <c r="R1027" s="1597"/>
      <c r="S1027" s="1597"/>
      <c r="T1027" s="1597"/>
    </row>
    <row r="1028" spans="1:20" ht="13.5" customHeight="1">
      <c r="A1028" s="1597"/>
      <c r="B1028" s="1597"/>
      <c r="C1028" s="1597"/>
      <c r="D1028" s="1597"/>
      <c r="E1028" s="1597"/>
      <c r="F1028" s="1597"/>
      <c r="G1028" s="1597"/>
      <c r="H1028" s="1597"/>
      <c r="I1028" s="1597"/>
      <c r="J1028" s="1597"/>
      <c r="K1028" s="1597"/>
      <c r="L1028" s="1597"/>
      <c r="M1028" s="1597"/>
      <c r="N1028" s="1597"/>
      <c r="O1028" s="1597"/>
      <c r="P1028" s="1597"/>
      <c r="Q1028" s="1597"/>
      <c r="R1028" s="1597"/>
      <c r="S1028" s="1597"/>
      <c r="T1028" s="1597"/>
    </row>
    <row r="1029" spans="1:20" ht="13.5" customHeight="1">
      <c r="A1029" s="1597"/>
      <c r="B1029" s="1597"/>
      <c r="C1029" s="1597"/>
      <c r="D1029" s="1597"/>
      <c r="E1029" s="1597"/>
      <c r="F1029" s="1597"/>
      <c r="G1029" s="1597"/>
      <c r="H1029" s="1597"/>
      <c r="I1029" s="1597"/>
      <c r="J1029" s="1597"/>
      <c r="K1029" s="1597"/>
      <c r="L1029" s="1597"/>
      <c r="M1029" s="1597"/>
      <c r="N1029" s="1597"/>
      <c r="O1029" s="1597"/>
      <c r="P1029" s="1597"/>
      <c r="Q1029" s="1597"/>
      <c r="R1029" s="1597"/>
      <c r="S1029" s="1597"/>
      <c r="T1029" s="1597"/>
    </row>
    <row r="1030" spans="1:20" ht="13.5" customHeight="1">
      <c r="A1030" s="1597"/>
      <c r="B1030" s="1597"/>
      <c r="C1030" s="1597"/>
      <c r="D1030" s="1597"/>
      <c r="E1030" s="1597"/>
      <c r="F1030" s="1597"/>
      <c r="G1030" s="1597"/>
      <c r="H1030" s="1597"/>
      <c r="I1030" s="1597"/>
      <c r="J1030" s="1597"/>
      <c r="K1030" s="1597"/>
      <c r="L1030" s="1597"/>
      <c r="M1030" s="1597"/>
      <c r="N1030" s="1597"/>
      <c r="O1030" s="1597"/>
      <c r="P1030" s="1597"/>
      <c r="Q1030" s="1597"/>
      <c r="R1030" s="1597"/>
      <c r="S1030" s="1597"/>
      <c r="T1030" s="1597"/>
    </row>
    <row r="1031" spans="1:20" ht="13.5" customHeight="1">
      <c r="A1031" s="1597"/>
      <c r="B1031" s="1597"/>
      <c r="C1031" s="1597"/>
      <c r="D1031" s="1597"/>
      <c r="E1031" s="1597"/>
      <c r="F1031" s="1597"/>
      <c r="G1031" s="1597"/>
      <c r="H1031" s="1597"/>
      <c r="I1031" s="1597"/>
      <c r="J1031" s="1597"/>
      <c r="K1031" s="1597"/>
      <c r="L1031" s="1597"/>
      <c r="M1031" s="1597"/>
      <c r="N1031" s="1597"/>
      <c r="O1031" s="1597"/>
      <c r="P1031" s="1597"/>
      <c r="Q1031" s="1597"/>
      <c r="R1031" s="1597"/>
      <c r="S1031" s="1597"/>
      <c r="T1031" s="1597"/>
    </row>
    <row r="1032" spans="1:20" ht="13.5" customHeight="1">
      <c r="A1032" s="1597"/>
      <c r="B1032" s="1597"/>
      <c r="C1032" s="1597"/>
      <c r="D1032" s="1597"/>
      <c r="E1032" s="1597"/>
      <c r="F1032" s="1597"/>
      <c r="G1032" s="1597"/>
      <c r="H1032" s="1597"/>
      <c r="I1032" s="1597"/>
      <c r="J1032" s="1597"/>
      <c r="K1032" s="1597"/>
      <c r="L1032" s="1597"/>
      <c r="M1032" s="1597"/>
      <c r="N1032" s="1597"/>
      <c r="O1032" s="1597"/>
      <c r="P1032" s="1597"/>
      <c r="Q1032" s="1597"/>
      <c r="R1032" s="1597"/>
      <c r="S1032" s="1597"/>
      <c r="T1032" s="1597"/>
    </row>
    <row r="1033" spans="1:20" ht="13.5" customHeight="1">
      <c r="A1033" s="1597"/>
      <c r="B1033" s="1597"/>
      <c r="C1033" s="1597"/>
      <c r="D1033" s="1597"/>
      <c r="E1033" s="1597"/>
      <c r="F1033" s="1597"/>
      <c r="G1033" s="1597"/>
      <c r="H1033" s="1597"/>
      <c r="I1033" s="1597"/>
      <c r="J1033" s="1597"/>
      <c r="K1033" s="1597"/>
      <c r="L1033" s="1597"/>
      <c r="M1033" s="1597"/>
      <c r="N1033" s="1597"/>
      <c r="O1033" s="1597"/>
      <c r="P1033" s="1597"/>
      <c r="Q1033" s="1597"/>
      <c r="R1033" s="1597"/>
      <c r="S1033" s="1597"/>
      <c r="T1033" s="1597"/>
    </row>
    <row r="1034" spans="1:20" ht="13.5" customHeight="1">
      <c r="A1034" s="1597"/>
      <c r="B1034" s="1597"/>
      <c r="C1034" s="1597"/>
      <c r="D1034" s="1597"/>
      <c r="E1034" s="1597"/>
      <c r="F1034" s="1597"/>
      <c r="G1034" s="1597"/>
      <c r="H1034" s="1597"/>
      <c r="I1034" s="1597"/>
      <c r="J1034" s="1597"/>
      <c r="K1034" s="1597"/>
      <c r="L1034" s="1597"/>
      <c r="M1034" s="1597"/>
      <c r="N1034" s="1597"/>
      <c r="O1034" s="1597"/>
      <c r="P1034" s="1597"/>
      <c r="Q1034" s="1597"/>
      <c r="R1034" s="1597"/>
      <c r="S1034" s="1597"/>
      <c r="T1034" s="1597"/>
    </row>
    <row r="1035" spans="1:20" ht="13.5" customHeight="1">
      <c r="A1035" s="1597"/>
      <c r="B1035" s="1597"/>
      <c r="C1035" s="1597"/>
      <c r="D1035" s="1597"/>
      <c r="E1035" s="1597"/>
      <c r="F1035" s="1597"/>
      <c r="G1035" s="1597"/>
      <c r="H1035" s="1597"/>
      <c r="I1035" s="1597"/>
      <c r="J1035" s="1597"/>
      <c r="K1035" s="1597"/>
      <c r="L1035" s="1597"/>
      <c r="M1035" s="1597"/>
      <c r="N1035" s="1597"/>
      <c r="O1035" s="1597"/>
      <c r="P1035" s="1597"/>
      <c r="Q1035" s="1597"/>
      <c r="R1035" s="1597"/>
      <c r="S1035" s="1597"/>
      <c r="T1035" s="1597"/>
    </row>
    <row r="1036" spans="1:20" ht="13.5" customHeight="1">
      <c r="A1036" s="1597"/>
      <c r="B1036" s="1597"/>
      <c r="C1036" s="1597"/>
      <c r="D1036" s="1597"/>
      <c r="E1036" s="1597"/>
      <c r="F1036" s="1597"/>
      <c r="G1036" s="1597"/>
      <c r="H1036" s="1597"/>
      <c r="I1036" s="1597"/>
      <c r="J1036" s="1597"/>
      <c r="K1036" s="1597"/>
      <c r="L1036" s="1597"/>
      <c r="M1036" s="1597"/>
      <c r="N1036" s="1597"/>
      <c r="O1036" s="1597"/>
      <c r="P1036" s="1597"/>
      <c r="Q1036" s="1597"/>
      <c r="R1036" s="1597"/>
      <c r="S1036" s="1597"/>
      <c r="T1036" s="1597"/>
    </row>
    <row r="1037" spans="1:20" ht="13.5" customHeight="1">
      <c r="A1037" s="1597"/>
      <c r="B1037" s="1597"/>
      <c r="C1037" s="1597"/>
      <c r="D1037" s="1597"/>
      <c r="E1037" s="1597"/>
      <c r="F1037" s="1597"/>
      <c r="G1037" s="1597"/>
      <c r="H1037" s="1597"/>
      <c r="I1037" s="1597"/>
      <c r="J1037" s="1597"/>
      <c r="K1037" s="1597"/>
      <c r="L1037" s="1597"/>
      <c r="M1037" s="1597"/>
      <c r="N1037" s="1597"/>
      <c r="O1037" s="1597"/>
      <c r="P1037" s="1597"/>
      <c r="Q1037" s="1597"/>
      <c r="R1037" s="1597"/>
      <c r="S1037" s="1597"/>
      <c r="T1037" s="1597"/>
    </row>
    <row r="1038" spans="1:20" ht="13.5" customHeight="1">
      <c r="A1038" s="1597"/>
      <c r="B1038" s="1597"/>
      <c r="C1038" s="1597"/>
      <c r="D1038" s="1597"/>
      <c r="E1038" s="1597"/>
      <c r="F1038" s="1597"/>
      <c r="G1038" s="1597"/>
      <c r="H1038" s="1597"/>
      <c r="I1038" s="1597"/>
      <c r="J1038" s="1597"/>
      <c r="K1038" s="1597"/>
      <c r="L1038" s="1597"/>
      <c r="M1038" s="1597"/>
      <c r="N1038" s="1597"/>
      <c r="O1038" s="1597"/>
      <c r="P1038" s="1597"/>
      <c r="Q1038" s="1597"/>
      <c r="R1038" s="1597"/>
      <c r="S1038" s="1597"/>
      <c r="T1038" s="1597"/>
    </row>
    <row r="1039" spans="1:20" ht="13.5" customHeight="1">
      <c r="A1039" s="1597"/>
      <c r="B1039" s="1597"/>
      <c r="C1039" s="1597"/>
      <c r="D1039" s="1597"/>
      <c r="E1039" s="1597"/>
      <c r="F1039" s="1597"/>
      <c r="G1039" s="1597"/>
      <c r="H1039" s="1597"/>
      <c r="I1039" s="1597"/>
      <c r="J1039" s="1597"/>
      <c r="K1039" s="1597"/>
      <c r="L1039" s="1597"/>
      <c r="M1039" s="1597"/>
      <c r="N1039" s="1597"/>
      <c r="O1039" s="1597"/>
      <c r="P1039" s="1597"/>
      <c r="Q1039" s="1597"/>
      <c r="R1039" s="1597"/>
      <c r="S1039" s="1597"/>
      <c r="T1039" s="1597"/>
    </row>
    <row r="1040" spans="1:20" ht="13.5" customHeight="1">
      <c r="A1040" s="1597"/>
      <c r="B1040" s="1597"/>
      <c r="C1040" s="1597"/>
      <c r="D1040" s="1597"/>
      <c r="E1040" s="1597"/>
      <c r="F1040" s="1597"/>
      <c r="G1040" s="1597"/>
      <c r="H1040" s="1597"/>
      <c r="I1040" s="1597"/>
      <c r="J1040" s="1597"/>
      <c r="K1040" s="1597"/>
      <c r="L1040" s="1597"/>
      <c r="M1040" s="1597"/>
      <c r="N1040" s="1597"/>
      <c r="O1040" s="1597"/>
      <c r="P1040" s="1597"/>
      <c r="Q1040" s="1597"/>
      <c r="R1040" s="1597"/>
      <c r="S1040" s="1597"/>
      <c r="T1040" s="1597"/>
    </row>
    <row r="1041" spans="1:20" ht="13.5" customHeight="1">
      <c r="A1041" s="1597"/>
      <c r="B1041" s="1597"/>
      <c r="C1041" s="1597"/>
      <c r="D1041" s="1597"/>
      <c r="E1041" s="1597"/>
      <c r="F1041" s="1597"/>
      <c r="G1041" s="1597"/>
      <c r="H1041" s="1597"/>
      <c r="I1041" s="1597"/>
      <c r="J1041" s="1597"/>
      <c r="K1041" s="1597"/>
      <c r="L1041" s="1597"/>
      <c r="M1041" s="1597"/>
      <c r="N1041" s="1597"/>
      <c r="O1041" s="1597"/>
      <c r="P1041" s="1597"/>
      <c r="Q1041" s="1597"/>
      <c r="R1041" s="1597"/>
      <c r="S1041" s="1597"/>
      <c r="T1041" s="1597"/>
    </row>
    <row r="1042" spans="1:20" ht="13.5" customHeight="1">
      <c r="A1042" s="1597"/>
      <c r="B1042" s="1597"/>
      <c r="C1042" s="1597"/>
      <c r="D1042" s="1597"/>
      <c r="E1042" s="1597"/>
      <c r="F1042" s="1597"/>
      <c r="G1042" s="1597"/>
      <c r="H1042" s="1597"/>
      <c r="I1042" s="1597"/>
      <c r="J1042" s="1597"/>
      <c r="K1042" s="1597"/>
      <c r="L1042" s="1597"/>
      <c r="M1042" s="1597"/>
      <c r="N1042" s="1597"/>
      <c r="O1042" s="1597"/>
      <c r="P1042" s="1597"/>
      <c r="Q1042" s="1597"/>
      <c r="R1042" s="1597"/>
      <c r="S1042" s="1597"/>
      <c r="T1042" s="1597"/>
    </row>
    <row r="1043" spans="1:20" ht="13.5" customHeight="1">
      <c r="A1043" s="1597"/>
      <c r="B1043" s="1597"/>
      <c r="C1043" s="1597"/>
      <c r="D1043" s="1597"/>
      <c r="E1043" s="1597"/>
      <c r="F1043" s="1597"/>
      <c r="G1043" s="1597"/>
      <c r="H1043" s="1597"/>
      <c r="I1043" s="1597"/>
      <c r="J1043" s="1597"/>
      <c r="K1043" s="1597"/>
      <c r="L1043" s="1597"/>
      <c r="M1043" s="1597"/>
      <c r="N1043" s="1597"/>
      <c r="O1043" s="1597"/>
      <c r="P1043" s="1597"/>
      <c r="Q1043" s="1597"/>
      <c r="R1043" s="1597"/>
      <c r="S1043" s="1597"/>
      <c r="T1043" s="1597"/>
    </row>
    <row r="1044" spans="1:20" ht="13.5" customHeight="1">
      <c r="A1044" s="1597"/>
      <c r="B1044" s="1597"/>
      <c r="C1044" s="1597"/>
      <c r="D1044" s="1597"/>
      <c r="E1044" s="1597"/>
      <c r="F1044" s="1597"/>
      <c r="G1044" s="1597"/>
      <c r="H1044" s="1597"/>
      <c r="I1044" s="1597"/>
      <c r="J1044" s="1597"/>
      <c r="K1044" s="1597"/>
      <c r="L1044" s="1597"/>
      <c r="M1044" s="1597"/>
      <c r="N1044" s="1597"/>
      <c r="O1044" s="1597"/>
      <c r="P1044" s="1597"/>
      <c r="Q1044" s="1597"/>
      <c r="R1044" s="1597"/>
      <c r="S1044" s="1597"/>
      <c r="T1044" s="1597"/>
    </row>
    <row r="1045" spans="1:20" ht="13.5" customHeight="1">
      <c r="A1045" s="1597"/>
      <c r="B1045" s="1597"/>
      <c r="C1045" s="1597"/>
      <c r="D1045" s="1597"/>
      <c r="E1045" s="1597"/>
      <c r="F1045" s="1597"/>
      <c r="G1045" s="1597"/>
      <c r="H1045" s="1597"/>
      <c r="I1045" s="1597"/>
      <c r="J1045" s="1597"/>
      <c r="K1045" s="1597"/>
      <c r="L1045" s="1597"/>
      <c r="M1045" s="1597"/>
      <c r="N1045" s="1597"/>
      <c r="O1045" s="1597"/>
      <c r="P1045" s="1597"/>
      <c r="Q1045" s="1597"/>
      <c r="R1045" s="1597"/>
      <c r="S1045" s="1597"/>
      <c r="T1045" s="1597"/>
    </row>
    <row r="1046" spans="1:20" ht="13.5" customHeight="1">
      <c r="A1046" s="1597"/>
      <c r="B1046" s="1597"/>
      <c r="C1046" s="1597"/>
      <c r="D1046" s="1597"/>
      <c r="E1046" s="1597"/>
      <c r="F1046" s="1597"/>
      <c r="G1046" s="1597"/>
      <c r="H1046" s="1597"/>
      <c r="I1046" s="1597"/>
      <c r="J1046" s="1597"/>
      <c r="K1046" s="1597"/>
      <c r="L1046" s="1597"/>
      <c r="M1046" s="1597"/>
      <c r="N1046" s="1597"/>
      <c r="O1046" s="1597"/>
      <c r="P1046" s="1597"/>
      <c r="Q1046" s="1597"/>
      <c r="R1046" s="1597"/>
      <c r="S1046" s="1597"/>
      <c r="T1046" s="1597"/>
    </row>
    <row r="1047" spans="1:20" ht="13.5" customHeight="1">
      <c r="A1047" s="1597"/>
      <c r="B1047" s="1597"/>
      <c r="C1047" s="1597"/>
      <c r="D1047" s="1597"/>
      <c r="E1047" s="1597"/>
      <c r="F1047" s="1597"/>
      <c r="G1047" s="1597"/>
      <c r="H1047" s="1597"/>
      <c r="I1047" s="1597"/>
      <c r="J1047" s="1597"/>
      <c r="K1047" s="1597"/>
      <c r="L1047" s="1597"/>
      <c r="M1047" s="1597"/>
      <c r="N1047" s="1597"/>
      <c r="O1047" s="1597"/>
      <c r="P1047" s="1597"/>
      <c r="Q1047" s="1597"/>
      <c r="R1047" s="1597"/>
      <c r="S1047" s="1597"/>
      <c r="T1047" s="1597"/>
    </row>
    <row r="1048" spans="1:20">
      <c r="A1048" s="1597"/>
      <c r="B1048" s="1597"/>
      <c r="C1048" s="1597"/>
      <c r="D1048" s="1597"/>
      <c r="E1048" s="1597"/>
      <c r="F1048" s="1597"/>
      <c r="G1048" s="1597"/>
      <c r="H1048" s="1597"/>
      <c r="I1048" s="1597"/>
      <c r="J1048" s="1597"/>
      <c r="K1048" s="1597"/>
      <c r="L1048" s="1597"/>
      <c r="M1048" s="1597"/>
      <c r="N1048" s="1597"/>
      <c r="O1048" s="1597"/>
      <c r="P1048" s="1597"/>
      <c r="Q1048" s="1597"/>
      <c r="R1048" s="1597"/>
      <c r="S1048" s="1597"/>
      <c r="T1048" s="1597"/>
    </row>
    <row r="1049" spans="1:20">
      <c r="A1049" s="1597"/>
      <c r="B1049" s="1597"/>
      <c r="C1049" s="1597"/>
      <c r="D1049" s="1597"/>
      <c r="E1049" s="1597"/>
      <c r="F1049" s="1597"/>
      <c r="G1049" s="1597"/>
      <c r="H1049" s="1597"/>
      <c r="I1049" s="1597"/>
      <c r="J1049" s="1597"/>
      <c r="K1049" s="1597"/>
      <c r="L1049" s="1597"/>
      <c r="M1049" s="1597"/>
      <c r="N1049" s="1597"/>
      <c r="O1049" s="1597"/>
      <c r="P1049" s="1597"/>
      <c r="Q1049" s="1597"/>
      <c r="R1049" s="1597"/>
      <c r="S1049" s="1597"/>
      <c r="T1049" s="1597"/>
    </row>
    <row r="1050" spans="1:20">
      <c r="A1050" s="1597"/>
      <c r="B1050" s="1597"/>
      <c r="C1050" s="1597"/>
      <c r="D1050" s="1597"/>
      <c r="E1050" s="1597"/>
      <c r="F1050" s="1597"/>
      <c r="G1050" s="1597"/>
      <c r="H1050" s="1597"/>
      <c r="I1050" s="1597"/>
      <c r="J1050" s="1597"/>
      <c r="K1050" s="1597"/>
      <c r="L1050" s="1597"/>
      <c r="M1050" s="1597"/>
      <c r="N1050" s="1597"/>
      <c r="O1050" s="1597"/>
      <c r="P1050" s="1597"/>
      <c r="Q1050" s="1597"/>
      <c r="R1050" s="1597"/>
      <c r="S1050" s="1597"/>
      <c r="T1050" s="1597"/>
    </row>
    <row r="1051" spans="1:20">
      <c r="A1051" s="1597"/>
      <c r="B1051" s="1597"/>
      <c r="C1051" s="1597"/>
      <c r="D1051" s="1597"/>
      <c r="E1051" s="1597"/>
      <c r="F1051" s="1597"/>
      <c r="G1051" s="1597"/>
      <c r="H1051" s="1597"/>
      <c r="I1051" s="1597"/>
      <c r="J1051" s="1597"/>
      <c r="K1051" s="1597"/>
      <c r="L1051" s="1597"/>
      <c r="M1051" s="1597"/>
      <c r="N1051" s="1597"/>
      <c r="O1051" s="1597"/>
      <c r="P1051" s="1597"/>
      <c r="Q1051" s="1597"/>
      <c r="R1051" s="1597"/>
      <c r="S1051" s="1597"/>
      <c r="T1051" s="1597"/>
    </row>
    <row r="1052" spans="1:20">
      <c r="A1052" s="1597"/>
      <c r="B1052" s="1597"/>
      <c r="C1052" s="1597"/>
      <c r="D1052" s="1597"/>
      <c r="E1052" s="1597"/>
      <c r="F1052" s="1597"/>
      <c r="G1052" s="1597"/>
      <c r="H1052" s="1597"/>
      <c r="I1052" s="1597"/>
      <c r="J1052" s="1597"/>
      <c r="K1052" s="1597"/>
      <c r="L1052" s="1597"/>
      <c r="M1052" s="1597"/>
      <c r="N1052" s="1597"/>
      <c r="O1052" s="1597"/>
      <c r="P1052" s="1597"/>
      <c r="Q1052" s="1597"/>
      <c r="R1052" s="1597"/>
      <c r="S1052" s="1597"/>
      <c r="T1052" s="1597"/>
    </row>
    <row r="1053" spans="1:20">
      <c r="A1053" s="1597"/>
      <c r="B1053" s="1597"/>
      <c r="C1053" s="1597"/>
      <c r="D1053" s="1597"/>
      <c r="E1053" s="1597"/>
      <c r="F1053" s="1597"/>
      <c r="G1053" s="1597"/>
      <c r="H1053" s="1597"/>
      <c r="I1053" s="1597"/>
      <c r="J1053" s="1597"/>
      <c r="K1053" s="1597"/>
      <c r="L1053" s="1597"/>
      <c r="M1053" s="1597"/>
      <c r="N1053" s="1597"/>
      <c r="O1053" s="1597"/>
      <c r="P1053" s="1597"/>
      <c r="Q1053" s="1597"/>
      <c r="R1053" s="1597"/>
      <c r="S1053" s="1597"/>
      <c r="T1053" s="1597"/>
    </row>
    <row r="1054" spans="1:20">
      <c r="A1054" s="1597"/>
      <c r="B1054" s="1597"/>
      <c r="C1054" s="1597"/>
      <c r="D1054" s="1597"/>
      <c r="E1054" s="1597"/>
      <c r="F1054" s="1597"/>
      <c r="G1054" s="1597"/>
      <c r="H1054" s="1597"/>
      <c r="I1054" s="1597"/>
      <c r="J1054" s="1597"/>
      <c r="K1054" s="1597"/>
      <c r="L1054" s="1597"/>
      <c r="M1054" s="1597"/>
      <c r="N1054" s="1597"/>
      <c r="O1054" s="1597"/>
      <c r="P1054" s="1597"/>
      <c r="Q1054" s="1597"/>
      <c r="R1054" s="1597"/>
      <c r="S1054" s="1597"/>
      <c r="T1054" s="1597"/>
    </row>
    <row r="1055" spans="1:20">
      <c r="A1055" s="1597"/>
      <c r="B1055" s="1597"/>
      <c r="C1055" s="1597"/>
      <c r="D1055" s="1597"/>
      <c r="E1055" s="1597"/>
      <c r="F1055" s="1597"/>
      <c r="G1055" s="1597"/>
      <c r="H1055" s="1597"/>
      <c r="I1055" s="1597"/>
      <c r="J1055" s="1597"/>
      <c r="K1055" s="1597"/>
      <c r="L1055" s="1597"/>
      <c r="M1055" s="1597"/>
      <c r="N1055" s="1597"/>
      <c r="O1055" s="1597"/>
      <c r="P1055" s="1597"/>
      <c r="Q1055" s="1597"/>
      <c r="R1055" s="1597"/>
      <c r="S1055" s="1597"/>
      <c r="T1055" s="1597"/>
    </row>
    <row r="1056" spans="1:20">
      <c r="A1056" s="1597"/>
      <c r="B1056" s="1597"/>
      <c r="C1056" s="1597"/>
      <c r="D1056" s="1597"/>
      <c r="E1056" s="1597"/>
      <c r="F1056" s="1597"/>
      <c r="G1056" s="1597"/>
      <c r="H1056" s="1597"/>
      <c r="I1056" s="1597"/>
      <c r="J1056" s="1597"/>
      <c r="K1056" s="1597"/>
      <c r="L1056" s="1597"/>
      <c r="M1056" s="1597"/>
      <c r="N1056" s="1597"/>
      <c r="O1056" s="1597"/>
      <c r="P1056" s="1597"/>
      <c r="Q1056" s="1597"/>
      <c r="R1056" s="1597"/>
      <c r="S1056" s="1597"/>
      <c r="T1056" s="1597"/>
    </row>
    <row r="1057" spans="1:20">
      <c r="A1057" s="1597"/>
      <c r="B1057" s="1597"/>
      <c r="C1057" s="1597"/>
      <c r="D1057" s="1597"/>
      <c r="E1057" s="1597"/>
      <c r="F1057" s="1597"/>
      <c r="G1057" s="1597"/>
      <c r="H1057" s="1597"/>
      <c r="I1057" s="1597"/>
      <c r="J1057" s="1597"/>
      <c r="K1057" s="1597"/>
      <c r="L1057" s="1597"/>
      <c r="M1057" s="1597"/>
      <c r="N1057" s="1597"/>
      <c r="O1057" s="1597"/>
      <c r="P1057" s="1597"/>
      <c r="Q1057" s="1597"/>
      <c r="R1057" s="1597"/>
      <c r="S1057" s="1597"/>
      <c r="T1057" s="1597"/>
    </row>
    <row r="1058" spans="1:20">
      <c r="A1058" s="1597"/>
      <c r="B1058" s="1597"/>
      <c r="C1058" s="1597"/>
      <c r="D1058" s="1597"/>
      <c r="E1058" s="1597"/>
      <c r="F1058" s="1597"/>
      <c r="G1058" s="1597"/>
      <c r="H1058" s="1597"/>
      <c r="I1058" s="1597"/>
      <c r="J1058" s="1597"/>
      <c r="K1058" s="1597"/>
      <c r="L1058" s="1597"/>
      <c r="M1058" s="1597"/>
      <c r="N1058" s="1597"/>
      <c r="O1058" s="1597"/>
      <c r="P1058" s="1597"/>
      <c r="Q1058" s="1597"/>
      <c r="R1058" s="1597"/>
      <c r="S1058" s="1597"/>
      <c r="T1058" s="1597"/>
    </row>
    <row r="1059" spans="1:20">
      <c r="A1059" s="1597"/>
      <c r="B1059" s="1597"/>
      <c r="C1059" s="1597"/>
      <c r="D1059" s="1597"/>
      <c r="E1059" s="1597"/>
      <c r="F1059" s="1597"/>
      <c r="G1059" s="1597"/>
      <c r="H1059" s="1597"/>
      <c r="I1059" s="1597"/>
      <c r="J1059" s="1597"/>
      <c r="K1059" s="1597"/>
      <c r="L1059" s="1597"/>
      <c r="M1059" s="1597"/>
      <c r="N1059" s="1597"/>
      <c r="O1059" s="1597"/>
      <c r="P1059" s="1597"/>
      <c r="Q1059" s="1597"/>
      <c r="R1059" s="1597"/>
      <c r="S1059" s="1597"/>
      <c r="T1059" s="1597"/>
    </row>
    <row r="1060" spans="1:20">
      <c r="A1060" s="1597"/>
      <c r="B1060" s="1597"/>
      <c r="C1060" s="1597"/>
      <c r="D1060" s="1597"/>
      <c r="E1060" s="1597"/>
      <c r="F1060" s="1597"/>
      <c r="G1060" s="1597"/>
      <c r="H1060" s="1597"/>
      <c r="I1060" s="1597"/>
      <c r="J1060" s="1597"/>
      <c r="K1060" s="1597"/>
      <c r="L1060" s="1597"/>
      <c r="M1060" s="1597"/>
      <c r="N1060" s="1597"/>
      <c r="O1060" s="1597"/>
      <c r="P1060" s="1597"/>
      <c r="Q1060" s="1597"/>
      <c r="R1060" s="1597"/>
      <c r="S1060" s="1597"/>
      <c r="T1060" s="1597"/>
    </row>
    <row r="1061" spans="1:20">
      <c r="A1061" s="1597"/>
      <c r="B1061" s="1597"/>
      <c r="C1061" s="1597"/>
      <c r="D1061" s="1597"/>
      <c r="E1061" s="1597"/>
      <c r="F1061" s="1597"/>
      <c r="G1061" s="1597"/>
      <c r="H1061" s="1597"/>
      <c r="I1061" s="1597"/>
      <c r="J1061" s="1597"/>
      <c r="K1061" s="1597"/>
      <c r="L1061" s="1597"/>
      <c r="M1061" s="1597"/>
      <c r="N1061" s="1597"/>
      <c r="O1061" s="1597"/>
      <c r="P1061" s="1597"/>
      <c r="Q1061" s="1597"/>
      <c r="R1061" s="1597"/>
      <c r="S1061" s="1597"/>
      <c r="T1061" s="1597"/>
    </row>
    <row r="1062" spans="1:20">
      <c r="A1062" s="1597"/>
      <c r="B1062" s="1597"/>
      <c r="C1062" s="1597"/>
      <c r="D1062" s="1597"/>
      <c r="E1062" s="1597"/>
      <c r="F1062" s="1597"/>
      <c r="G1062" s="1597"/>
      <c r="H1062" s="1597"/>
      <c r="I1062" s="1597"/>
      <c r="J1062" s="1597"/>
      <c r="K1062" s="1597"/>
      <c r="L1062" s="1597"/>
      <c r="M1062" s="1597"/>
      <c r="N1062" s="1597"/>
      <c r="O1062" s="1597"/>
      <c r="P1062" s="1597"/>
      <c r="Q1062" s="1597"/>
      <c r="R1062" s="1597"/>
      <c r="S1062" s="1597"/>
      <c r="T1062" s="1597"/>
    </row>
    <row r="1063" spans="1:20">
      <c r="A1063" s="1597"/>
      <c r="B1063" s="1597"/>
      <c r="C1063" s="1597"/>
      <c r="D1063" s="1597"/>
      <c r="E1063" s="1597"/>
      <c r="F1063" s="1597"/>
      <c r="G1063" s="1597"/>
      <c r="H1063" s="1597"/>
      <c r="I1063" s="1597"/>
      <c r="J1063" s="1597"/>
      <c r="K1063" s="1597"/>
      <c r="L1063" s="1597"/>
      <c r="M1063" s="1597"/>
      <c r="N1063" s="1597"/>
      <c r="O1063" s="1597"/>
      <c r="P1063" s="1597"/>
      <c r="Q1063" s="1597"/>
      <c r="R1063" s="1597"/>
      <c r="S1063" s="1597"/>
      <c r="T1063" s="1597"/>
    </row>
    <row r="1064" spans="1:20">
      <c r="A1064" s="1597"/>
      <c r="B1064" s="1597"/>
      <c r="C1064" s="1597"/>
      <c r="D1064" s="1597"/>
      <c r="E1064" s="1597"/>
      <c r="F1064" s="1597"/>
      <c r="G1064" s="1597"/>
      <c r="H1064" s="1597"/>
      <c r="I1064" s="1597"/>
      <c r="J1064" s="1597"/>
      <c r="K1064" s="1597"/>
      <c r="L1064" s="1597"/>
      <c r="M1064" s="1597"/>
      <c r="N1064" s="1597"/>
      <c r="O1064" s="1597"/>
      <c r="P1064" s="1597"/>
      <c r="Q1064" s="1597"/>
      <c r="R1064" s="1597"/>
      <c r="S1064" s="1597"/>
      <c r="T1064" s="1597"/>
    </row>
    <row r="1065" spans="1:20">
      <c r="A1065" s="1597"/>
      <c r="B1065" s="1597"/>
      <c r="C1065" s="1597"/>
      <c r="D1065" s="1597"/>
      <c r="E1065" s="1597"/>
      <c r="F1065" s="1597"/>
      <c r="G1065" s="1597"/>
      <c r="H1065" s="1597"/>
      <c r="I1065" s="1597"/>
      <c r="J1065" s="1597"/>
      <c r="K1065" s="1597"/>
      <c r="L1065" s="1597"/>
      <c r="M1065" s="1597"/>
      <c r="N1065" s="1597"/>
      <c r="O1065" s="1597"/>
      <c r="P1065" s="1597"/>
      <c r="Q1065" s="1597"/>
      <c r="R1065" s="1597"/>
      <c r="S1065" s="1597"/>
      <c r="T1065" s="1597"/>
    </row>
    <row r="1066" spans="1:20">
      <c r="A1066" s="1597"/>
      <c r="B1066" s="1597"/>
      <c r="C1066" s="1597"/>
      <c r="D1066" s="1597"/>
      <c r="E1066" s="1597"/>
      <c r="F1066" s="1597"/>
      <c r="G1066" s="1597"/>
      <c r="H1066" s="1597"/>
      <c r="I1066" s="1597"/>
      <c r="J1066" s="1597"/>
      <c r="K1066" s="1597"/>
      <c r="L1066" s="1597"/>
      <c r="M1066" s="1597"/>
      <c r="N1066" s="1597"/>
      <c r="O1066" s="1597"/>
      <c r="P1066" s="1597"/>
      <c r="Q1066" s="1597"/>
      <c r="R1066" s="1597"/>
      <c r="S1066" s="1597"/>
      <c r="T1066" s="1597"/>
    </row>
    <row r="1067" spans="1:20">
      <c r="A1067" s="1597"/>
      <c r="B1067" s="1597"/>
      <c r="C1067" s="1597"/>
      <c r="D1067" s="1597"/>
      <c r="E1067" s="1597"/>
      <c r="F1067" s="1597"/>
      <c r="G1067" s="1597"/>
      <c r="H1067" s="1597"/>
      <c r="I1067" s="1597"/>
      <c r="J1067" s="1597"/>
      <c r="K1067" s="1597"/>
      <c r="L1067" s="1597"/>
      <c r="M1067" s="1597"/>
      <c r="N1067" s="1597"/>
      <c r="O1067" s="1597"/>
      <c r="P1067" s="1597"/>
      <c r="Q1067" s="1597"/>
      <c r="R1067" s="1597"/>
      <c r="S1067" s="1597"/>
      <c r="T1067" s="1597"/>
    </row>
    <row r="1068" spans="1:20">
      <c r="A1068" s="1597"/>
      <c r="B1068" s="1597"/>
      <c r="C1068" s="1597"/>
      <c r="D1068" s="1597"/>
      <c r="E1068" s="1597"/>
      <c r="F1068" s="1597"/>
      <c r="G1068" s="1597"/>
      <c r="H1068" s="1597"/>
      <c r="I1068" s="1597"/>
      <c r="J1068" s="1597"/>
      <c r="K1068" s="1597"/>
      <c r="L1068" s="1597"/>
      <c r="M1068" s="1597"/>
      <c r="N1068" s="1597"/>
      <c r="O1068" s="1597"/>
      <c r="P1068" s="1597"/>
      <c r="Q1068" s="1597"/>
      <c r="R1068" s="1597"/>
      <c r="S1068" s="1597"/>
      <c r="T1068" s="1597"/>
    </row>
    <row r="1069" spans="1:20">
      <c r="A1069" s="1597"/>
      <c r="B1069" s="1597"/>
      <c r="C1069" s="1597"/>
      <c r="D1069" s="1597"/>
      <c r="E1069" s="1597"/>
      <c r="F1069" s="1597"/>
      <c r="G1069" s="1597"/>
      <c r="H1069" s="1597"/>
      <c r="I1069" s="1597"/>
      <c r="J1069" s="1597"/>
      <c r="K1069" s="1597"/>
      <c r="L1069" s="1597"/>
      <c r="M1069" s="1597"/>
      <c r="N1069" s="1597"/>
      <c r="O1069" s="1597"/>
      <c r="P1069" s="1597"/>
      <c r="Q1069" s="1597"/>
      <c r="R1069" s="1597"/>
      <c r="S1069" s="1597"/>
      <c r="T1069" s="1597"/>
    </row>
    <row r="1070" spans="1:20">
      <c r="A1070" s="1597"/>
      <c r="B1070" s="1597"/>
      <c r="C1070" s="1597"/>
      <c r="D1070" s="1597"/>
      <c r="E1070" s="1597"/>
      <c r="F1070" s="1597"/>
      <c r="G1070" s="1597"/>
      <c r="H1070" s="1597"/>
      <c r="I1070" s="1597"/>
      <c r="J1070" s="1597"/>
      <c r="K1070" s="1597"/>
      <c r="L1070" s="1597"/>
      <c r="M1070" s="1597"/>
      <c r="N1070" s="1597"/>
      <c r="O1070" s="1597"/>
      <c r="P1070" s="1597"/>
      <c r="Q1070" s="1597"/>
      <c r="R1070" s="1597"/>
      <c r="S1070" s="1597"/>
      <c r="T1070" s="1597"/>
    </row>
    <row r="1071" spans="1:20">
      <c r="A1071" s="1597"/>
      <c r="B1071" s="1597"/>
      <c r="C1071" s="1597"/>
      <c r="D1071" s="1597"/>
      <c r="E1071" s="1597"/>
      <c r="F1071" s="1597"/>
      <c r="G1071" s="1597"/>
      <c r="H1071" s="1597"/>
      <c r="I1071" s="1597"/>
      <c r="J1071" s="1597"/>
      <c r="K1071" s="1597"/>
      <c r="L1071" s="1597"/>
      <c r="M1071" s="1597"/>
      <c r="N1071" s="1597"/>
      <c r="O1071" s="1597"/>
      <c r="P1071" s="1597"/>
      <c r="Q1071" s="1597"/>
      <c r="R1071" s="1597"/>
      <c r="S1071" s="1597"/>
      <c r="T1071" s="1597"/>
    </row>
    <row r="1072" spans="1:20">
      <c r="A1072" s="1597"/>
      <c r="B1072" s="1597"/>
      <c r="C1072" s="1597"/>
      <c r="D1072" s="1597"/>
      <c r="E1072" s="1597"/>
      <c r="F1072" s="1597"/>
      <c r="G1072" s="1597"/>
      <c r="H1072" s="1597"/>
      <c r="I1072" s="1597"/>
      <c r="J1072" s="1597"/>
      <c r="K1072" s="1597"/>
      <c r="L1072" s="1597"/>
      <c r="M1072" s="1597"/>
      <c r="N1072" s="1597"/>
      <c r="O1072" s="1597"/>
      <c r="P1072" s="1597"/>
      <c r="Q1072" s="1597"/>
      <c r="R1072" s="1597"/>
      <c r="S1072" s="1597"/>
      <c r="T1072" s="1597"/>
    </row>
    <row r="1073" spans="1:20">
      <c r="A1073" s="1597"/>
      <c r="B1073" s="1597"/>
      <c r="C1073" s="1597"/>
      <c r="D1073" s="1597"/>
      <c r="E1073" s="1597"/>
      <c r="F1073" s="1597"/>
      <c r="G1073" s="1597"/>
      <c r="H1073" s="1597"/>
      <c r="I1073" s="1597"/>
      <c r="J1073" s="1597"/>
      <c r="K1073" s="1597"/>
      <c r="L1073" s="1597"/>
      <c r="M1073" s="1597"/>
      <c r="N1073" s="1597"/>
      <c r="O1073" s="1597"/>
      <c r="P1073" s="1597"/>
      <c r="Q1073" s="1597"/>
      <c r="R1073" s="1597"/>
      <c r="S1073" s="1597"/>
      <c r="T1073" s="1597"/>
    </row>
    <row r="1074" spans="1:20">
      <c r="A1074" s="1597"/>
      <c r="B1074" s="1597"/>
      <c r="C1074" s="1597"/>
      <c r="D1074" s="1597"/>
      <c r="E1074" s="1597"/>
      <c r="F1074" s="1597"/>
      <c r="G1074" s="1597"/>
      <c r="H1074" s="1597"/>
      <c r="I1074" s="1597"/>
      <c r="J1074" s="1597"/>
      <c r="K1074" s="1597"/>
      <c r="L1074" s="1597"/>
      <c r="M1074" s="1597"/>
      <c r="N1074" s="1597"/>
      <c r="O1074" s="1597"/>
      <c r="P1074" s="1597"/>
      <c r="Q1074" s="1597"/>
      <c r="R1074" s="1597"/>
      <c r="S1074" s="1597"/>
      <c r="T1074" s="1597"/>
    </row>
    <row r="1075" spans="1:20">
      <c r="A1075" s="1597"/>
      <c r="B1075" s="1597"/>
      <c r="C1075" s="1597"/>
      <c r="D1075" s="1597"/>
      <c r="E1075" s="1597"/>
      <c r="F1075" s="1597"/>
      <c r="G1075" s="1597"/>
      <c r="H1075" s="1597"/>
      <c r="I1075" s="1597"/>
      <c r="J1075" s="1597"/>
      <c r="K1075" s="1597"/>
      <c r="L1075" s="1597"/>
      <c r="M1075" s="1597"/>
      <c r="N1075" s="1597"/>
      <c r="O1075" s="1597"/>
      <c r="P1075" s="1597"/>
      <c r="Q1075" s="1597"/>
      <c r="R1075" s="1597"/>
      <c r="S1075" s="1597"/>
      <c r="T1075" s="1597"/>
    </row>
    <row r="1076" spans="1:20">
      <c r="A1076" s="1597"/>
      <c r="B1076" s="1597"/>
      <c r="C1076" s="1597"/>
      <c r="D1076" s="1597"/>
      <c r="E1076" s="1597"/>
      <c r="F1076" s="1597"/>
      <c r="G1076" s="1597"/>
      <c r="H1076" s="1597"/>
      <c r="I1076" s="1597"/>
      <c r="J1076" s="1597"/>
      <c r="K1076" s="1597"/>
      <c r="L1076" s="1597"/>
      <c r="M1076" s="1597"/>
      <c r="N1076" s="1597"/>
      <c r="O1076" s="1597"/>
      <c r="P1076" s="1597"/>
      <c r="Q1076" s="1597"/>
      <c r="R1076" s="1597"/>
      <c r="S1076" s="1597"/>
      <c r="T1076" s="1597"/>
    </row>
    <row r="1077" spans="1:20">
      <c r="A1077" s="1597"/>
      <c r="B1077" s="1597"/>
      <c r="C1077" s="1597"/>
      <c r="D1077" s="1597"/>
      <c r="E1077" s="1597"/>
      <c r="F1077" s="1597"/>
      <c r="G1077" s="1597"/>
      <c r="H1077" s="1597"/>
      <c r="I1077" s="1597"/>
      <c r="J1077" s="1597"/>
      <c r="K1077" s="1597"/>
      <c r="L1077" s="1597"/>
      <c r="M1077" s="1597"/>
      <c r="N1077" s="1597"/>
      <c r="O1077" s="1597"/>
      <c r="P1077" s="1597"/>
      <c r="Q1077" s="1597"/>
      <c r="R1077" s="1597"/>
      <c r="S1077" s="1597"/>
      <c r="T1077" s="1597"/>
    </row>
    <row r="1078" spans="1:20">
      <c r="A1078" s="1597"/>
      <c r="B1078" s="1597"/>
      <c r="C1078" s="1597"/>
      <c r="D1078" s="1597"/>
      <c r="E1078" s="1597"/>
      <c r="F1078" s="1597"/>
      <c r="G1078" s="1597"/>
      <c r="H1078" s="1597"/>
      <c r="I1078" s="1597"/>
      <c r="J1078" s="1597"/>
      <c r="K1078" s="1597"/>
      <c r="L1078" s="1597"/>
      <c r="M1078" s="1597"/>
      <c r="N1078" s="1597"/>
      <c r="O1078" s="1597"/>
      <c r="P1078" s="1597"/>
      <c r="Q1078" s="1597"/>
      <c r="R1078" s="1597"/>
      <c r="S1078" s="1597"/>
      <c r="T1078" s="1597"/>
    </row>
    <row r="1079" spans="1:20">
      <c r="A1079" s="1597"/>
      <c r="B1079" s="1597"/>
      <c r="C1079" s="1597"/>
      <c r="D1079" s="1597"/>
      <c r="E1079" s="1597"/>
      <c r="F1079" s="1597"/>
      <c r="G1079" s="1597"/>
      <c r="H1079" s="1597"/>
      <c r="I1079" s="1597"/>
      <c r="J1079" s="1597"/>
      <c r="K1079" s="1597"/>
      <c r="L1079" s="1597"/>
      <c r="M1079" s="1597"/>
      <c r="N1079" s="1597"/>
      <c r="O1079" s="1597"/>
      <c r="P1079" s="1597"/>
      <c r="Q1079" s="1597"/>
      <c r="R1079" s="1597"/>
      <c r="S1079" s="1597"/>
      <c r="T1079" s="1597"/>
    </row>
    <row r="1080" spans="1:20">
      <c r="A1080" s="1597"/>
      <c r="B1080" s="1597"/>
      <c r="C1080" s="1597"/>
      <c r="D1080" s="1597"/>
      <c r="E1080" s="1597"/>
      <c r="F1080" s="1597"/>
      <c r="G1080" s="1597"/>
      <c r="H1080" s="1597"/>
      <c r="I1080" s="1597"/>
      <c r="J1080" s="1597"/>
      <c r="K1080" s="1597"/>
      <c r="L1080" s="1597"/>
      <c r="M1080" s="1597"/>
      <c r="N1080" s="1597"/>
      <c r="O1080" s="1597"/>
      <c r="P1080" s="1597"/>
      <c r="Q1080" s="1597"/>
      <c r="R1080" s="1597"/>
      <c r="S1080" s="1597"/>
      <c r="T1080" s="1597"/>
    </row>
    <row r="1081" spans="1:20">
      <c r="A1081" s="1597"/>
      <c r="B1081" s="1597"/>
      <c r="C1081" s="1597"/>
      <c r="D1081" s="1597"/>
      <c r="E1081" s="1597"/>
      <c r="F1081" s="1597"/>
      <c r="G1081" s="1597"/>
      <c r="H1081" s="1597"/>
      <c r="I1081" s="1597"/>
      <c r="J1081" s="1597"/>
      <c r="K1081" s="1597"/>
      <c r="L1081" s="1597"/>
      <c r="M1081" s="1597"/>
      <c r="N1081" s="1597"/>
      <c r="O1081" s="1597"/>
      <c r="P1081" s="1597"/>
      <c r="Q1081" s="1597"/>
      <c r="R1081" s="1597"/>
      <c r="S1081" s="1597"/>
      <c r="T1081" s="1597"/>
    </row>
    <row r="1082" spans="1:20">
      <c r="A1082" s="1597"/>
      <c r="B1082" s="1597"/>
      <c r="C1082" s="1597"/>
      <c r="D1082" s="1597"/>
      <c r="E1082" s="1597"/>
      <c r="F1082" s="1597"/>
      <c r="G1082" s="1597"/>
      <c r="H1082" s="1597"/>
      <c r="I1082" s="1597"/>
      <c r="J1082" s="1597"/>
      <c r="K1082" s="1597"/>
      <c r="L1082" s="1597"/>
      <c r="M1082" s="1597"/>
      <c r="N1082" s="1597"/>
      <c r="O1082" s="1597"/>
      <c r="P1082" s="1597"/>
      <c r="Q1082" s="1597"/>
      <c r="R1082" s="1597"/>
      <c r="S1082" s="1597"/>
      <c r="T1082" s="1597"/>
    </row>
    <row r="1083" spans="1:20">
      <c r="A1083" s="1597"/>
      <c r="B1083" s="1597"/>
      <c r="C1083" s="1597"/>
      <c r="D1083" s="1597"/>
      <c r="E1083" s="1597"/>
      <c r="F1083" s="1597"/>
      <c r="G1083" s="1597"/>
      <c r="H1083" s="1597"/>
      <c r="I1083" s="1597"/>
      <c r="J1083" s="1597"/>
      <c r="K1083" s="1597"/>
      <c r="L1083" s="1597"/>
      <c r="M1083" s="1597"/>
      <c r="N1083" s="1597"/>
      <c r="O1083" s="1597"/>
      <c r="P1083" s="1597"/>
      <c r="Q1083" s="1597"/>
      <c r="R1083" s="1597"/>
      <c r="S1083" s="1597"/>
      <c r="T1083" s="1597"/>
    </row>
    <row r="1084" spans="1:20">
      <c r="A1084" s="1597"/>
      <c r="B1084" s="1597"/>
      <c r="C1084" s="1597"/>
      <c r="D1084" s="1597"/>
      <c r="E1084" s="1597"/>
      <c r="F1084" s="1597"/>
      <c r="G1084" s="1597"/>
      <c r="H1084" s="1597"/>
      <c r="I1084" s="1597"/>
      <c r="J1084" s="1597"/>
      <c r="K1084" s="1597"/>
      <c r="L1084" s="1597"/>
      <c r="M1084" s="1597"/>
      <c r="N1084" s="1597"/>
      <c r="O1084" s="1597"/>
      <c r="P1084" s="1597"/>
      <c r="Q1084" s="1597"/>
      <c r="R1084" s="1597"/>
      <c r="S1084" s="1597"/>
      <c r="T1084" s="1597"/>
    </row>
    <row r="1085" spans="1:20">
      <c r="A1085" s="1597"/>
      <c r="B1085" s="1597"/>
      <c r="C1085" s="1597"/>
      <c r="D1085" s="1597"/>
      <c r="E1085" s="1597"/>
      <c r="F1085" s="1597"/>
      <c r="G1085" s="1597"/>
      <c r="H1085" s="1597"/>
      <c r="I1085" s="1597"/>
      <c r="J1085" s="1597"/>
      <c r="K1085" s="1597"/>
      <c r="L1085" s="1597"/>
      <c r="M1085" s="1597"/>
      <c r="N1085" s="1597"/>
      <c r="O1085" s="1597"/>
      <c r="P1085" s="1597"/>
      <c r="Q1085" s="1597"/>
      <c r="R1085" s="1597"/>
      <c r="S1085" s="1597"/>
      <c r="T1085" s="1597"/>
    </row>
    <row r="1086" spans="1:20">
      <c r="A1086" s="1597"/>
      <c r="B1086" s="1597"/>
      <c r="C1086" s="1597"/>
      <c r="D1086" s="1597"/>
      <c r="E1086" s="1597"/>
      <c r="F1086" s="1597"/>
      <c r="G1086" s="1597"/>
      <c r="H1086" s="1597"/>
      <c r="I1086" s="1597"/>
      <c r="J1086" s="1597"/>
      <c r="K1086" s="1597"/>
      <c r="L1086" s="1597"/>
      <c r="M1086" s="1597"/>
      <c r="N1086" s="1597"/>
      <c r="O1086" s="1597"/>
      <c r="P1086" s="1597"/>
      <c r="Q1086" s="1597"/>
      <c r="R1086" s="1597"/>
      <c r="S1086" s="1597"/>
      <c r="T1086" s="1597"/>
    </row>
    <row r="1087" spans="1:20">
      <c r="A1087" s="1597"/>
      <c r="B1087" s="1597"/>
      <c r="C1087" s="1597"/>
      <c r="D1087" s="1597"/>
      <c r="E1087" s="1597"/>
      <c r="F1087" s="1597"/>
      <c r="G1087" s="1597"/>
      <c r="H1087" s="1597"/>
      <c r="I1087" s="1597"/>
      <c r="J1087" s="1597"/>
      <c r="K1087" s="1597"/>
      <c r="L1087" s="1597"/>
      <c r="M1087" s="1597"/>
      <c r="N1087" s="1597"/>
      <c r="O1087" s="1597"/>
      <c r="P1087" s="1597"/>
      <c r="Q1087" s="1597"/>
      <c r="R1087" s="1597"/>
      <c r="S1087" s="1597"/>
      <c r="T1087" s="1597"/>
    </row>
    <row r="1088" spans="1:20">
      <c r="A1088" s="1597"/>
      <c r="B1088" s="1597"/>
      <c r="C1088" s="1597"/>
      <c r="D1088" s="1597"/>
      <c r="E1088" s="1597"/>
      <c r="F1088" s="1597"/>
      <c r="G1088" s="1597"/>
      <c r="H1088" s="1597"/>
      <c r="I1088" s="1597"/>
      <c r="J1088" s="1597"/>
      <c r="K1088" s="1597"/>
      <c r="L1088" s="1597"/>
      <c r="M1088" s="1597"/>
      <c r="N1088" s="1597"/>
      <c r="O1088" s="1597"/>
      <c r="P1088" s="1597"/>
      <c r="Q1088" s="1597"/>
      <c r="R1088" s="1597"/>
      <c r="S1088" s="1597"/>
      <c r="T1088" s="1597"/>
    </row>
    <row r="1089" spans="1:20">
      <c r="A1089" s="1597"/>
      <c r="B1089" s="1597"/>
      <c r="C1089" s="1597"/>
      <c r="D1089" s="1597"/>
      <c r="E1089" s="1597"/>
      <c r="F1089" s="1597"/>
      <c r="G1089" s="1597"/>
      <c r="H1089" s="1597"/>
      <c r="I1089" s="1597"/>
      <c r="J1089" s="1597"/>
      <c r="K1089" s="1597"/>
      <c r="L1089" s="1597"/>
      <c r="M1089" s="1597"/>
      <c r="N1089" s="1597"/>
      <c r="O1089" s="1597"/>
      <c r="P1089" s="1597"/>
      <c r="Q1089" s="1597"/>
      <c r="R1089" s="1597"/>
      <c r="S1089" s="1597"/>
      <c r="T1089" s="1597"/>
    </row>
    <row r="1090" spans="1:20">
      <c r="A1090" s="1597"/>
      <c r="B1090" s="1597"/>
      <c r="C1090" s="1597"/>
      <c r="D1090" s="1597"/>
      <c r="E1090" s="1597"/>
      <c r="F1090" s="1597"/>
      <c r="G1090" s="1597"/>
      <c r="H1090" s="1597"/>
      <c r="I1090" s="1597"/>
      <c r="J1090" s="1597"/>
      <c r="K1090" s="1597"/>
      <c r="L1090" s="1597"/>
      <c r="M1090" s="1597"/>
      <c r="N1090" s="1597"/>
      <c r="O1090" s="1597"/>
      <c r="P1090" s="1597"/>
      <c r="Q1090" s="1597"/>
      <c r="R1090" s="1597"/>
      <c r="S1090" s="1597"/>
      <c r="T1090" s="1597"/>
    </row>
    <row r="1091" spans="1:20">
      <c r="A1091" s="1597"/>
      <c r="B1091" s="1597"/>
      <c r="C1091" s="1597"/>
      <c r="D1091" s="1597"/>
      <c r="E1091" s="1597"/>
      <c r="F1091" s="1597"/>
      <c r="G1091" s="1597"/>
      <c r="H1091" s="1597"/>
      <c r="I1091" s="1597"/>
      <c r="J1091" s="1597"/>
      <c r="K1091" s="1597"/>
      <c r="L1091" s="1597"/>
      <c r="M1091" s="1597"/>
      <c r="N1091" s="1597"/>
      <c r="O1091" s="1597"/>
      <c r="P1091" s="1597"/>
      <c r="Q1091" s="1597"/>
      <c r="R1091" s="1597"/>
      <c r="S1091" s="1597"/>
      <c r="T1091" s="1597"/>
    </row>
    <row r="1092" spans="1:20">
      <c r="A1092" s="1597"/>
      <c r="B1092" s="1597"/>
      <c r="C1092" s="1597"/>
      <c r="D1092" s="1597"/>
      <c r="E1092" s="1597"/>
      <c r="F1092" s="1597"/>
      <c r="G1092" s="1597"/>
      <c r="H1092" s="1597"/>
      <c r="I1092" s="1597"/>
      <c r="J1092" s="1597"/>
      <c r="K1092" s="1597"/>
      <c r="L1092" s="1597"/>
      <c r="M1092" s="1597"/>
      <c r="N1092" s="1597"/>
      <c r="O1092" s="1597"/>
      <c r="P1092" s="1597"/>
      <c r="Q1092" s="1597"/>
      <c r="R1092" s="1597"/>
      <c r="S1092" s="1597"/>
      <c r="T1092" s="1597"/>
    </row>
    <row r="1093" spans="1:20">
      <c r="A1093" s="1597"/>
      <c r="B1093" s="1597"/>
      <c r="C1093" s="1597"/>
      <c r="D1093" s="1597"/>
      <c r="E1093" s="1597"/>
      <c r="F1093" s="1597"/>
      <c r="G1093" s="1597"/>
      <c r="H1093" s="1597"/>
      <c r="I1093" s="1597"/>
      <c r="J1093" s="1597"/>
      <c r="K1093" s="1597"/>
      <c r="L1093" s="1597"/>
      <c r="M1093" s="1597"/>
      <c r="N1093" s="1597"/>
      <c r="O1093" s="1597"/>
      <c r="P1093" s="1597"/>
      <c r="Q1093" s="1597"/>
      <c r="R1093" s="1597"/>
      <c r="S1093" s="1597"/>
      <c r="T1093" s="1597"/>
    </row>
    <row r="1094" spans="1:20">
      <c r="A1094" s="1597"/>
      <c r="B1094" s="1597"/>
      <c r="C1094" s="1597"/>
      <c r="D1094" s="1597"/>
      <c r="E1094" s="1597"/>
      <c r="F1094" s="1597"/>
      <c r="G1094" s="1597"/>
      <c r="H1094" s="1597"/>
      <c r="I1094" s="1597"/>
      <c r="J1094" s="1597"/>
      <c r="K1094" s="1597"/>
      <c r="L1094" s="1597"/>
      <c r="M1094" s="1597"/>
      <c r="N1094" s="1597"/>
      <c r="O1094" s="1597"/>
      <c r="P1094" s="1597"/>
      <c r="Q1094" s="1597"/>
      <c r="R1094" s="1597"/>
      <c r="S1094" s="1597"/>
      <c r="T1094" s="1597"/>
    </row>
    <row r="1095" spans="1:20">
      <c r="A1095" s="1597"/>
      <c r="B1095" s="1597"/>
      <c r="C1095" s="1597"/>
      <c r="D1095" s="1597"/>
      <c r="E1095" s="1597"/>
      <c r="F1095" s="1597"/>
      <c r="G1095" s="1597"/>
      <c r="H1095" s="1597"/>
      <c r="I1095" s="1597"/>
      <c r="J1095" s="1597"/>
      <c r="K1095" s="1597"/>
      <c r="L1095" s="1597"/>
      <c r="M1095" s="1597"/>
      <c r="N1095" s="1597"/>
      <c r="O1095" s="1597"/>
      <c r="P1095" s="1597"/>
      <c r="Q1095" s="1597"/>
      <c r="R1095" s="1597"/>
      <c r="S1095" s="1597"/>
      <c r="T1095" s="1597"/>
    </row>
    <row r="1096" spans="1:20">
      <c r="A1096" s="1597"/>
      <c r="B1096" s="1597"/>
      <c r="C1096" s="1597"/>
      <c r="D1096" s="1597"/>
      <c r="E1096" s="1597"/>
      <c r="F1096" s="1597"/>
      <c r="G1096" s="1597"/>
      <c r="H1096" s="1597"/>
      <c r="I1096" s="1597"/>
      <c r="J1096" s="1597"/>
      <c r="K1096" s="1597"/>
      <c r="L1096" s="1597"/>
      <c r="M1096" s="1597"/>
      <c r="N1096" s="1597"/>
      <c r="O1096" s="1597"/>
      <c r="P1096" s="1597"/>
      <c r="Q1096" s="1597"/>
      <c r="R1096" s="1597"/>
      <c r="S1096" s="1597"/>
      <c r="T1096" s="1597"/>
    </row>
    <row r="1097" spans="1:20">
      <c r="A1097" s="1597"/>
      <c r="B1097" s="1597"/>
      <c r="C1097" s="1597"/>
      <c r="D1097" s="1597"/>
      <c r="E1097" s="1597"/>
      <c r="F1097" s="1597"/>
      <c r="G1097" s="1597"/>
      <c r="H1097" s="1597"/>
      <c r="I1097" s="1597"/>
      <c r="J1097" s="1597"/>
      <c r="K1097" s="1597"/>
      <c r="L1097" s="1597"/>
      <c r="M1097" s="1597"/>
      <c r="N1097" s="1597"/>
      <c r="O1097" s="1597"/>
      <c r="P1097" s="1597"/>
      <c r="Q1097" s="1597"/>
      <c r="R1097" s="1597"/>
      <c r="S1097" s="1597"/>
      <c r="T1097" s="1597"/>
    </row>
    <row r="1098" spans="1:20">
      <c r="A1098" s="1597"/>
      <c r="B1098" s="1597"/>
      <c r="C1098" s="1597"/>
      <c r="D1098" s="1597"/>
      <c r="E1098" s="1597"/>
      <c r="F1098" s="1597"/>
      <c r="G1098" s="1597"/>
      <c r="H1098" s="1597"/>
      <c r="I1098" s="1597"/>
      <c r="J1098" s="1597"/>
      <c r="K1098" s="1597"/>
      <c r="L1098" s="1597"/>
      <c r="M1098" s="1597"/>
      <c r="N1098" s="1597"/>
      <c r="O1098" s="1597"/>
      <c r="P1098" s="1597"/>
      <c r="Q1098" s="1597"/>
      <c r="R1098" s="1597"/>
      <c r="S1098" s="1597"/>
      <c r="T1098" s="1597"/>
    </row>
    <row r="1099" spans="1:20">
      <c r="A1099" s="1597"/>
      <c r="B1099" s="1597"/>
      <c r="C1099" s="1597"/>
      <c r="D1099" s="1597"/>
      <c r="E1099" s="1597"/>
      <c r="F1099" s="1597"/>
      <c r="G1099" s="1597"/>
      <c r="H1099" s="1597"/>
      <c r="I1099" s="1597"/>
      <c r="J1099" s="1597"/>
      <c r="K1099" s="1597"/>
      <c r="L1099" s="1597"/>
      <c r="M1099" s="1597"/>
      <c r="N1099" s="1597"/>
      <c r="O1099" s="1597"/>
      <c r="P1099" s="1597"/>
      <c r="Q1099" s="1597"/>
      <c r="R1099" s="1597"/>
      <c r="S1099" s="1597"/>
      <c r="T1099" s="1597"/>
    </row>
    <row r="1100" spans="1:20">
      <c r="A1100" s="1597"/>
      <c r="B1100" s="1597"/>
      <c r="C1100" s="1597"/>
      <c r="D1100" s="1597"/>
      <c r="E1100" s="1597"/>
      <c r="F1100" s="1597"/>
      <c r="G1100" s="1597"/>
      <c r="H1100" s="1597"/>
      <c r="I1100" s="1597"/>
      <c r="J1100" s="1597"/>
      <c r="K1100" s="1597"/>
      <c r="L1100" s="1597"/>
      <c r="M1100" s="1597"/>
      <c r="N1100" s="1597"/>
      <c r="O1100" s="1597"/>
      <c r="P1100" s="1597"/>
      <c r="Q1100" s="1597"/>
      <c r="R1100" s="1597"/>
      <c r="S1100" s="1597"/>
      <c r="T1100" s="1597"/>
    </row>
    <row r="1101" spans="1:20">
      <c r="A1101" s="1597"/>
      <c r="B1101" s="1597"/>
      <c r="C1101" s="1597"/>
      <c r="D1101" s="1597"/>
      <c r="E1101" s="1597"/>
      <c r="F1101" s="1597"/>
      <c r="G1101" s="1597"/>
      <c r="H1101" s="1597"/>
      <c r="I1101" s="1597"/>
      <c r="J1101" s="1597"/>
      <c r="K1101" s="1597"/>
      <c r="L1101" s="1597"/>
      <c r="M1101" s="1597"/>
      <c r="N1101" s="1597"/>
      <c r="O1101" s="1597"/>
      <c r="P1101" s="1597"/>
      <c r="Q1101" s="1597"/>
      <c r="R1101" s="1597"/>
      <c r="S1101" s="1597"/>
      <c r="T1101" s="1597"/>
    </row>
    <row r="1102" spans="1:20">
      <c r="A1102" s="1597"/>
      <c r="B1102" s="1597"/>
      <c r="C1102" s="1597"/>
      <c r="D1102" s="1597"/>
      <c r="E1102" s="1597"/>
      <c r="F1102" s="1597"/>
      <c r="G1102" s="1597"/>
      <c r="H1102" s="1597"/>
      <c r="I1102" s="1597"/>
      <c r="J1102" s="1597"/>
      <c r="K1102" s="1597"/>
      <c r="L1102" s="1597"/>
      <c r="M1102" s="1597"/>
      <c r="N1102" s="1597"/>
      <c r="O1102" s="1597"/>
      <c r="P1102" s="1597"/>
      <c r="Q1102" s="1597"/>
      <c r="R1102" s="1597"/>
      <c r="S1102" s="1597"/>
      <c r="T1102" s="1597"/>
    </row>
    <row r="1103" spans="1:20">
      <c r="A1103" s="1597"/>
      <c r="B1103" s="1597"/>
      <c r="C1103" s="1597"/>
      <c r="D1103" s="1597"/>
      <c r="E1103" s="1597"/>
      <c r="F1103" s="1597"/>
      <c r="G1103" s="1597"/>
      <c r="H1103" s="1597"/>
      <c r="I1103" s="1597"/>
      <c r="J1103" s="1597"/>
      <c r="K1103" s="1597"/>
      <c r="L1103" s="1597"/>
      <c r="M1103" s="1597"/>
      <c r="N1103" s="1597"/>
      <c r="O1103" s="1597"/>
      <c r="P1103" s="1597"/>
      <c r="Q1103" s="1597"/>
      <c r="R1103" s="1597"/>
      <c r="S1103" s="1597"/>
      <c r="T1103" s="1597"/>
    </row>
    <row r="1104" spans="1:20">
      <c r="A1104" s="1597"/>
      <c r="B1104" s="1597"/>
      <c r="C1104" s="1597"/>
      <c r="D1104" s="1597"/>
      <c r="E1104" s="1597"/>
      <c r="F1104" s="1597"/>
      <c r="G1104" s="1597"/>
      <c r="H1104" s="1597"/>
      <c r="I1104" s="1597"/>
      <c r="J1104" s="1597"/>
      <c r="K1104" s="1597"/>
      <c r="L1104" s="1597"/>
      <c r="M1104" s="1597"/>
      <c r="N1104" s="1597"/>
      <c r="O1104" s="1597"/>
      <c r="P1104" s="1597"/>
      <c r="Q1104" s="1597"/>
      <c r="R1104" s="1597"/>
      <c r="S1104" s="1597"/>
      <c r="T1104" s="1597"/>
    </row>
    <row r="1105" spans="1:20">
      <c r="A1105" s="1597"/>
      <c r="B1105" s="1597"/>
      <c r="C1105" s="1597"/>
      <c r="D1105" s="1597"/>
      <c r="E1105" s="1597"/>
      <c r="F1105" s="1597"/>
      <c r="G1105" s="1597"/>
      <c r="H1105" s="1597"/>
      <c r="I1105" s="1597"/>
      <c r="J1105" s="1597"/>
      <c r="K1105" s="1597"/>
      <c r="L1105" s="1597"/>
      <c r="M1105" s="1597"/>
      <c r="N1105" s="1597"/>
      <c r="O1105" s="1597"/>
      <c r="P1105" s="1597"/>
      <c r="Q1105" s="1597"/>
      <c r="R1105" s="1597"/>
      <c r="S1105" s="1597"/>
      <c r="T1105" s="1597"/>
    </row>
    <row r="1106" spans="1:20">
      <c r="A1106" s="1597"/>
      <c r="B1106" s="1597"/>
      <c r="C1106" s="1597"/>
      <c r="D1106" s="1597"/>
      <c r="E1106" s="1597"/>
      <c r="F1106" s="1597"/>
      <c r="G1106" s="1597"/>
      <c r="H1106" s="1597"/>
      <c r="I1106" s="1597"/>
      <c r="J1106" s="1597"/>
      <c r="K1106" s="1597"/>
      <c r="L1106" s="1597"/>
      <c r="M1106" s="1597"/>
      <c r="N1106" s="1597"/>
      <c r="O1106" s="1597"/>
      <c r="P1106" s="1597"/>
      <c r="Q1106" s="1597"/>
      <c r="R1106" s="1597"/>
      <c r="S1106" s="1597"/>
      <c r="T1106" s="1597"/>
    </row>
    <row r="1107" spans="1:20">
      <c r="A1107" s="1597"/>
      <c r="B1107" s="1597"/>
      <c r="C1107" s="1597"/>
      <c r="D1107" s="1597"/>
      <c r="E1107" s="1597"/>
      <c r="F1107" s="1597"/>
      <c r="G1107" s="1597"/>
      <c r="H1107" s="1597"/>
      <c r="I1107" s="1597"/>
      <c r="J1107" s="1597"/>
      <c r="K1107" s="1597"/>
      <c r="L1107" s="1597"/>
      <c r="M1107" s="1597"/>
      <c r="N1107" s="1597"/>
      <c r="O1107" s="1597"/>
      <c r="P1107" s="1597"/>
      <c r="Q1107" s="1597"/>
      <c r="R1107" s="1597"/>
      <c r="S1107" s="1597"/>
      <c r="T1107" s="1597"/>
    </row>
    <row r="1108" spans="1:20">
      <c r="A1108" s="1597"/>
      <c r="B1108" s="1597"/>
      <c r="C1108" s="1597"/>
      <c r="D1108" s="1597"/>
      <c r="E1108" s="1597"/>
      <c r="F1108" s="1597"/>
      <c r="G1108" s="1597"/>
      <c r="H1108" s="1597"/>
      <c r="I1108" s="1597"/>
      <c r="J1108" s="1597"/>
      <c r="K1108" s="1597"/>
      <c r="L1108" s="1597"/>
      <c r="M1108" s="1597"/>
      <c r="N1108" s="1597"/>
      <c r="O1108" s="1597"/>
      <c r="P1108" s="1597"/>
      <c r="Q1108" s="1597"/>
      <c r="R1108" s="1597"/>
      <c r="S1108" s="1597"/>
      <c r="T1108" s="1597"/>
    </row>
    <row r="1109" spans="1:20">
      <c r="A1109" s="1597"/>
      <c r="B1109" s="1597"/>
      <c r="C1109" s="1597"/>
      <c r="D1109" s="1597"/>
      <c r="E1109" s="1597"/>
      <c r="F1109" s="1597"/>
      <c r="G1109" s="1597"/>
      <c r="H1109" s="1597"/>
      <c r="I1109" s="1597"/>
      <c r="J1109" s="1597"/>
      <c r="K1109" s="1597"/>
      <c r="L1109" s="1597"/>
      <c r="M1109" s="1597"/>
      <c r="N1109" s="1597"/>
      <c r="O1109" s="1597"/>
      <c r="P1109" s="1597"/>
      <c r="Q1109" s="1597"/>
      <c r="R1109" s="1597"/>
      <c r="S1109" s="1597"/>
      <c r="T1109" s="1597"/>
    </row>
    <row r="1110" spans="1:20">
      <c r="A1110" s="1597"/>
      <c r="B1110" s="1597"/>
      <c r="C1110" s="1597"/>
      <c r="D1110" s="1597"/>
      <c r="E1110" s="1597"/>
      <c r="F1110" s="1597"/>
      <c r="G1110" s="1597"/>
      <c r="H1110" s="1597"/>
      <c r="I1110" s="1597"/>
      <c r="J1110" s="1597"/>
      <c r="K1110" s="1597"/>
      <c r="L1110" s="1597"/>
      <c r="M1110" s="1597"/>
      <c r="N1110" s="1597"/>
      <c r="O1110" s="1597"/>
      <c r="P1110" s="1597"/>
      <c r="Q1110" s="1597"/>
      <c r="R1110" s="1597"/>
      <c r="S1110" s="1597"/>
      <c r="T1110" s="1597"/>
    </row>
    <row r="1111" spans="1:20">
      <c r="A1111" s="1597"/>
      <c r="B1111" s="1597"/>
      <c r="C1111" s="1597"/>
      <c r="D1111" s="1597"/>
      <c r="E1111" s="1597"/>
      <c r="F1111" s="1597"/>
      <c r="G1111" s="1597"/>
      <c r="H1111" s="1597"/>
      <c r="I1111" s="1597"/>
      <c r="J1111" s="1597"/>
      <c r="K1111" s="1597"/>
      <c r="L1111" s="1597"/>
      <c r="M1111" s="1597"/>
      <c r="N1111" s="1597"/>
      <c r="O1111" s="1597"/>
      <c r="P1111" s="1597"/>
      <c r="Q1111" s="1597"/>
      <c r="R1111" s="1597"/>
      <c r="S1111" s="1597"/>
      <c r="T1111" s="1597"/>
    </row>
    <row r="1112" spans="1:20">
      <c r="A1112" s="1597"/>
      <c r="B1112" s="1597"/>
      <c r="C1112" s="1597"/>
      <c r="D1112" s="1597"/>
      <c r="E1112" s="1597"/>
      <c r="F1112" s="1597"/>
      <c r="G1112" s="1597"/>
      <c r="H1112" s="1597"/>
      <c r="I1112" s="1597"/>
      <c r="J1112" s="1597"/>
      <c r="K1112" s="1597"/>
      <c r="L1112" s="1597"/>
      <c r="M1112" s="1597"/>
      <c r="N1112" s="1597"/>
      <c r="O1112" s="1597"/>
      <c r="P1112" s="1597"/>
      <c r="Q1112" s="1597"/>
      <c r="R1112" s="1597"/>
      <c r="S1112" s="1597"/>
      <c r="T1112" s="1597"/>
    </row>
    <row r="1113" spans="1:20">
      <c r="A1113" s="1597"/>
      <c r="B1113" s="1597"/>
      <c r="C1113" s="1597"/>
      <c r="D1113" s="1597"/>
      <c r="E1113" s="1597"/>
      <c r="F1113" s="1597"/>
      <c r="G1113" s="1597"/>
      <c r="H1113" s="1597"/>
      <c r="I1113" s="1597"/>
      <c r="J1113" s="1597"/>
      <c r="K1113" s="1597"/>
      <c r="L1113" s="1597"/>
      <c r="M1113" s="1597"/>
      <c r="N1113" s="1597"/>
      <c r="O1113" s="1597"/>
      <c r="P1113" s="1597"/>
      <c r="Q1113" s="1597"/>
      <c r="R1113" s="1597"/>
      <c r="S1113" s="1597"/>
      <c r="T1113" s="1597"/>
    </row>
    <row r="1114" spans="1:20">
      <c r="A1114" s="1597"/>
      <c r="B1114" s="1597"/>
      <c r="C1114" s="1597"/>
      <c r="D1114" s="1597"/>
      <c r="E1114" s="1597"/>
      <c r="F1114" s="1597"/>
      <c r="G1114" s="1597"/>
      <c r="H1114" s="1597"/>
      <c r="I1114" s="1597"/>
      <c r="J1114" s="1597"/>
      <c r="K1114" s="1597"/>
      <c r="L1114" s="1597"/>
      <c r="M1114" s="1597"/>
      <c r="N1114" s="1597"/>
      <c r="O1114" s="1597"/>
      <c r="P1114" s="1597"/>
      <c r="Q1114" s="1597"/>
      <c r="R1114" s="1597"/>
      <c r="S1114" s="1597"/>
      <c r="T1114" s="1597"/>
    </row>
    <row r="1115" spans="1:20">
      <c r="A1115" s="1597"/>
      <c r="B1115" s="1597"/>
      <c r="C1115" s="1597"/>
      <c r="D1115" s="1597"/>
      <c r="E1115" s="1597"/>
      <c r="F1115" s="1597"/>
      <c r="G1115" s="1597"/>
      <c r="H1115" s="1597"/>
      <c r="I1115" s="1597"/>
      <c r="J1115" s="1597"/>
      <c r="K1115" s="1597"/>
      <c r="L1115" s="1597"/>
      <c r="M1115" s="1597"/>
      <c r="N1115" s="1597"/>
      <c r="O1115" s="1597"/>
      <c r="P1115" s="1597"/>
      <c r="Q1115" s="1597"/>
      <c r="R1115" s="1597"/>
      <c r="S1115" s="1597"/>
      <c r="T1115" s="1597"/>
    </row>
    <row r="1116" spans="1:20">
      <c r="A1116" s="1597"/>
      <c r="B1116" s="1597"/>
      <c r="C1116" s="1597"/>
      <c r="D1116" s="1597"/>
      <c r="E1116" s="1597"/>
      <c r="F1116" s="1597"/>
      <c r="G1116" s="1597"/>
      <c r="H1116" s="1597"/>
      <c r="I1116" s="1597"/>
      <c r="J1116" s="1597"/>
      <c r="K1116" s="1597"/>
      <c r="L1116" s="1597"/>
      <c r="M1116" s="1597"/>
      <c r="N1116" s="1597"/>
      <c r="O1116" s="1597"/>
      <c r="P1116" s="1597"/>
      <c r="Q1116" s="1597"/>
      <c r="R1116" s="1597"/>
      <c r="S1116" s="1597"/>
      <c r="T1116" s="1597"/>
    </row>
    <row r="1117" spans="1:20">
      <c r="A1117" s="1597"/>
      <c r="B1117" s="1597"/>
      <c r="C1117" s="1597"/>
      <c r="D1117" s="1597"/>
      <c r="E1117" s="1597"/>
      <c r="F1117" s="1597"/>
      <c r="G1117" s="1597"/>
      <c r="H1117" s="1597"/>
      <c r="I1117" s="1597"/>
      <c r="J1117" s="1597"/>
      <c r="K1117" s="1597"/>
      <c r="L1117" s="1597"/>
      <c r="M1117" s="1597"/>
      <c r="N1117" s="1597"/>
      <c r="O1117" s="1597"/>
      <c r="P1117" s="1597"/>
      <c r="Q1117" s="1597"/>
      <c r="R1117" s="1597"/>
      <c r="S1117" s="1597"/>
      <c r="T1117" s="1597"/>
    </row>
    <row r="1118" spans="1:20">
      <c r="A1118" s="1597"/>
      <c r="B1118" s="1597"/>
      <c r="C1118" s="1597"/>
      <c r="D1118" s="1597"/>
      <c r="E1118" s="1597"/>
      <c r="F1118" s="1597"/>
      <c r="G1118" s="1597"/>
      <c r="H1118" s="1597"/>
      <c r="I1118" s="1597"/>
      <c r="J1118" s="1597"/>
      <c r="K1118" s="1597"/>
      <c r="L1118" s="1597"/>
      <c r="M1118" s="1597"/>
      <c r="N1118" s="1597"/>
      <c r="O1118" s="1597"/>
      <c r="P1118" s="1597"/>
      <c r="Q1118" s="1597"/>
      <c r="R1118" s="1597"/>
      <c r="S1118" s="1597"/>
      <c r="T1118" s="1597"/>
    </row>
    <row r="1119" spans="1:20">
      <c r="A1119" s="1597"/>
      <c r="B1119" s="1597"/>
      <c r="C1119" s="1597"/>
      <c r="D1119" s="1597"/>
      <c r="E1119" s="1597"/>
      <c r="F1119" s="1597"/>
      <c r="G1119" s="1597"/>
      <c r="H1119" s="1597"/>
      <c r="I1119" s="1597"/>
      <c r="J1119" s="1597"/>
      <c r="K1119" s="1597"/>
      <c r="L1119" s="1597"/>
      <c r="M1119" s="1597"/>
      <c r="N1119" s="1597"/>
      <c r="O1119" s="1597"/>
      <c r="P1119" s="1597"/>
      <c r="Q1119" s="1597"/>
      <c r="R1119" s="1597"/>
      <c r="S1119" s="1597"/>
      <c r="T1119" s="1597"/>
    </row>
    <row r="1120" spans="1:20">
      <c r="A1120" s="1597"/>
      <c r="B1120" s="1597"/>
      <c r="C1120" s="1597"/>
      <c r="D1120" s="1597"/>
      <c r="E1120" s="1597"/>
      <c r="F1120" s="1597"/>
      <c r="G1120" s="1597"/>
      <c r="H1120" s="1597"/>
      <c r="I1120" s="1597"/>
      <c r="J1120" s="1597"/>
      <c r="K1120" s="1597"/>
      <c r="L1120" s="1597"/>
      <c r="M1120" s="1597"/>
      <c r="N1120" s="1597"/>
      <c r="O1120" s="1597"/>
      <c r="P1120" s="1597"/>
      <c r="Q1120" s="1597"/>
      <c r="R1120" s="1597"/>
      <c r="S1120" s="1597"/>
      <c r="T1120" s="1597"/>
    </row>
    <row r="1121" spans="1:20">
      <c r="A1121" s="1597"/>
      <c r="B1121" s="1597"/>
      <c r="C1121" s="1597"/>
      <c r="D1121" s="1597"/>
      <c r="E1121" s="1597"/>
      <c r="F1121" s="1597"/>
      <c r="G1121" s="1597"/>
      <c r="H1121" s="1597"/>
      <c r="I1121" s="1597"/>
      <c r="J1121" s="1597"/>
      <c r="K1121" s="1597"/>
      <c r="L1121" s="1597"/>
      <c r="M1121" s="1597"/>
      <c r="N1121" s="1597"/>
      <c r="O1121" s="1597"/>
      <c r="P1121" s="1597"/>
      <c r="Q1121" s="1597"/>
      <c r="R1121" s="1597"/>
      <c r="S1121" s="1597"/>
      <c r="T1121" s="1597"/>
    </row>
    <row r="1122" spans="1:20">
      <c r="A1122" s="1597"/>
      <c r="B1122" s="1597"/>
      <c r="C1122" s="1597"/>
      <c r="D1122" s="1597"/>
      <c r="E1122" s="1597"/>
      <c r="F1122" s="1597"/>
      <c r="G1122" s="1597"/>
      <c r="H1122" s="1597"/>
      <c r="I1122" s="1597"/>
      <c r="J1122" s="1597"/>
      <c r="K1122" s="1597"/>
      <c r="L1122" s="1597"/>
      <c r="M1122" s="1597"/>
      <c r="N1122" s="1597"/>
      <c r="O1122" s="1597"/>
      <c r="P1122" s="1597"/>
      <c r="Q1122" s="1597"/>
      <c r="R1122" s="1597"/>
      <c r="S1122" s="1597"/>
      <c r="T1122" s="1597"/>
    </row>
    <row r="1123" spans="1:20">
      <c r="A1123" s="1597"/>
      <c r="B1123" s="1597"/>
      <c r="C1123" s="1597"/>
      <c r="D1123" s="1597"/>
      <c r="E1123" s="1597"/>
      <c r="F1123" s="1597"/>
      <c r="G1123" s="1597"/>
      <c r="H1123" s="1597"/>
      <c r="I1123" s="1597"/>
      <c r="J1123" s="1597"/>
      <c r="K1123" s="1597"/>
      <c r="L1123" s="1597"/>
      <c r="M1123" s="1597"/>
      <c r="N1123" s="1597"/>
      <c r="O1123" s="1597"/>
      <c r="P1123" s="1597"/>
      <c r="Q1123" s="1597"/>
      <c r="R1123" s="1597"/>
      <c r="S1123" s="1597"/>
      <c r="T1123" s="1597"/>
    </row>
    <row r="1124" spans="1:20">
      <c r="A1124" s="1597"/>
      <c r="B1124" s="1597"/>
      <c r="C1124" s="1597"/>
      <c r="D1124" s="1597"/>
      <c r="E1124" s="1597"/>
      <c r="F1124" s="1597"/>
      <c r="G1124" s="1597"/>
      <c r="H1124" s="1597"/>
      <c r="I1124" s="1597"/>
      <c r="J1124" s="1597"/>
      <c r="K1124" s="1597"/>
      <c r="L1124" s="1597"/>
      <c r="M1124" s="1597"/>
      <c r="N1124" s="1597"/>
      <c r="O1124" s="1597"/>
      <c r="P1124" s="1597"/>
      <c r="Q1124" s="1597"/>
      <c r="R1124" s="1597"/>
      <c r="S1124" s="1597"/>
      <c r="T1124" s="1597"/>
    </row>
    <row r="1125" spans="1:20">
      <c r="A1125" s="1597"/>
      <c r="B1125" s="1597"/>
      <c r="C1125" s="1597"/>
      <c r="D1125" s="1597"/>
      <c r="E1125" s="1597"/>
      <c r="F1125" s="1597"/>
      <c r="G1125" s="1597"/>
      <c r="H1125" s="1597"/>
      <c r="I1125" s="1597"/>
      <c r="J1125" s="1597"/>
      <c r="K1125" s="1597"/>
      <c r="L1125" s="1597"/>
      <c r="M1125" s="1597"/>
      <c r="N1125" s="1597"/>
      <c r="O1125" s="1597"/>
      <c r="P1125" s="1597"/>
      <c r="Q1125" s="1597"/>
      <c r="R1125" s="1597"/>
      <c r="S1125" s="1597"/>
      <c r="T1125" s="1597"/>
    </row>
    <row r="1126" spans="1:20">
      <c r="A1126" s="1597"/>
      <c r="B1126" s="1597"/>
      <c r="C1126" s="1597"/>
      <c r="D1126" s="1597"/>
      <c r="E1126" s="1597"/>
      <c r="F1126" s="1597"/>
      <c r="G1126" s="1597"/>
      <c r="H1126" s="1597"/>
      <c r="I1126" s="1597"/>
      <c r="J1126" s="1597"/>
      <c r="K1126" s="1597"/>
      <c r="L1126" s="1597"/>
      <c r="M1126" s="1597"/>
      <c r="N1126" s="1597"/>
      <c r="O1126" s="1597"/>
      <c r="P1126" s="1597"/>
      <c r="Q1126" s="1597"/>
      <c r="R1126" s="1597"/>
      <c r="S1126" s="1597"/>
      <c r="T1126" s="1597"/>
    </row>
    <row r="1127" spans="1:20">
      <c r="A1127" s="1597"/>
      <c r="B1127" s="1597"/>
      <c r="C1127" s="1597"/>
      <c r="D1127" s="1597"/>
      <c r="E1127" s="1597"/>
      <c r="F1127" s="1597"/>
      <c r="G1127" s="1597"/>
      <c r="H1127" s="1597"/>
      <c r="I1127" s="1597"/>
      <c r="J1127" s="1597"/>
      <c r="K1127" s="1597"/>
      <c r="L1127" s="1597"/>
      <c r="M1127" s="1597"/>
      <c r="N1127" s="1597"/>
      <c r="O1127" s="1597"/>
      <c r="P1127" s="1597"/>
      <c r="Q1127" s="1597"/>
      <c r="R1127" s="1597"/>
      <c r="S1127" s="1597"/>
      <c r="T1127" s="1597"/>
    </row>
    <row r="1128" spans="1:20">
      <c r="A1128" s="1597"/>
      <c r="B1128" s="1597"/>
      <c r="C1128" s="1597"/>
      <c r="D1128" s="1597"/>
      <c r="E1128" s="1597"/>
      <c r="F1128" s="1597"/>
      <c r="G1128" s="1597"/>
      <c r="H1128" s="1597"/>
      <c r="I1128" s="1597"/>
      <c r="J1128" s="1597"/>
      <c r="K1128" s="1597"/>
      <c r="L1128" s="1597"/>
      <c r="M1128" s="1597"/>
      <c r="N1128" s="1597"/>
      <c r="O1128" s="1597"/>
      <c r="P1128" s="1597"/>
      <c r="Q1128" s="1597"/>
      <c r="R1128" s="1597"/>
      <c r="S1128" s="1597"/>
      <c r="T1128" s="1597"/>
    </row>
    <row r="1129" spans="1:20">
      <c r="A1129" s="1597"/>
      <c r="B1129" s="1597"/>
      <c r="C1129" s="1597"/>
      <c r="D1129" s="1597"/>
      <c r="E1129" s="1597"/>
      <c r="F1129" s="1597"/>
      <c r="G1129" s="1597"/>
      <c r="H1129" s="1597"/>
      <c r="I1129" s="1597"/>
      <c r="J1129" s="1597"/>
      <c r="K1129" s="1597"/>
      <c r="L1129" s="1597"/>
      <c r="M1129" s="1597"/>
      <c r="N1129" s="1597"/>
      <c r="O1129" s="1597"/>
      <c r="P1129" s="1597"/>
      <c r="Q1129" s="1597"/>
      <c r="R1129" s="1597"/>
      <c r="S1129" s="1597"/>
      <c r="T1129" s="1597"/>
    </row>
    <row r="1130" spans="1:20">
      <c r="A1130" s="1597"/>
      <c r="B1130" s="1597"/>
      <c r="C1130" s="1597"/>
      <c r="D1130" s="1597"/>
      <c r="E1130" s="1597"/>
      <c r="F1130" s="1597"/>
      <c r="G1130" s="1597"/>
      <c r="H1130" s="1597"/>
      <c r="I1130" s="1597"/>
      <c r="J1130" s="1597"/>
      <c r="K1130" s="1597"/>
      <c r="L1130" s="1597"/>
      <c r="M1130" s="1597"/>
      <c r="N1130" s="1597"/>
      <c r="O1130" s="1597"/>
      <c r="P1130" s="1597"/>
      <c r="Q1130" s="1597"/>
      <c r="R1130" s="1597"/>
      <c r="S1130" s="1597"/>
      <c r="T1130" s="1597"/>
    </row>
    <row r="1131" spans="1:20">
      <c r="A1131" s="1597"/>
      <c r="B1131" s="1597"/>
      <c r="C1131" s="1597"/>
      <c r="D1131" s="1597"/>
      <c r="E1131" s="1597"/>
      <c r="F1131" s="1597"/>
      <c r="G1131" s="1597"/>
      <c r="H1131" s="1597"/>
      <c r="I1131" s="1597"/>
      <c r="J1131" s="1597"/>
      <c r="K1131" s="1597"/>
      <c r="L1131" s="1597"/>
      <c r="M1131" s="1597"/>
      <c r="N1131" s="1597"/>
      <c r="O1131" s="1597"/>
      <c r="P1131" s="1597"/>
      <c r="Q1131" s="1597"/>
      <c r="R1131" s="1597"/>
      <c r="S1131" s="1597"/>
      <c r="T1131" s="1597"/>
    </row>
    <row r="1132" spans="1:20">
      <c r="A1132" s="1597"/>
      <c r="B1132" s="1597"/>
      <c r="C1132" s="1597"/>
      <c r="D1132" s="1597"/>
      <c r="E1132" s="1597"/>
      <c r="F1132" s="1597"/>
      <c r="G1132" s="1597"/>
      <c r="H1132" s="1597"/>
      <c r="I1132" s="1597"/>
      <c r="J1132" s="1597"/>
      <c r="K1132" s="1597"/>
      <c r="L1132" s="1597"/>
      <c r="M1132" s="1597"/>
      <c r="N1132" s="1597"/>
      <c r="O1132" s="1597"/>
      <c r="P1132" s="1597"/>
      <c r="Q1132" s="1597"/>
      <c r="R1132" s="1597"/>
      <c r="S1132" s="1597"/>
      <c r="T1132" s="1597"/>
    </row>
    <row r="1133" spans="1:20">
      <c r="A1133" s="1597"/>
      <c r="B1133" s="1597"/>
      <c r="C1133" s="1597"/>
      <c r="D1133" s="1597"/>
      <c r="E1133" s="1597"/>
      <c r="F1133" s="1597"/>
      <c r="G1133" s="1597"/>
      <c r="H1133" s="1597"/>
      <c r="I1133" s="1597"/>
      <c r="J1133" s="1597"/>
      <c r="K1133" s="1597"/>
      <c r="L1133" s="1597"/>
      <c r="M1133" s="1597"/>
      <c r="N1133" s="1597"/>
      <c r="O1133" s="1597"/>
      <c r="P1133" s="1597"/>
      <c r="Q1133" s="1597"/>
      <c r="R1133" s="1597"/>
      <c r="S1133" s="1597"/>
      <c r="T1133" s="1597"/>
    </row>
    <row r="1134" spans="1:20">
      <c r="A1134" s="1597"/>
      <c r="B1134" s="1597"/>
      <c r="C1134" s="1597"/>
      <c r="D1134" s="1597"/>
      <c r="E1134" s="1597"/>
      <c r="F1134" s="1597"/>
      <c r="G1134" s="1597"/>
      <c r="H1134" s="1597"/>
      <c r="I1134" s="1597"/>
      <c r="J1134" s="1597"/>
      <c r="K1134" s="1597"/>
      <c r="L1134" s="1597"/>
      <c r="M1134" s="1597"/>
      <c r="N1134" s="1597"/>
      <c r="O1134" s="1597"/>
      <c r="P1134" s="1597"/>
      <c r="Q1134" s="1597"/>
      <c r="R1134" s="1597"/>
      <c r="S1134" s="1597"/>
      <c r="T1134" s="1597"/>
    </row>
    <row r="1135" spans="1:20">
      <c r="A1135" s="1597"/>
      <c r="B1135" s="1597"/>
      <c r="C1135" s="1597"/>
      <c r="D1135" s="1597"/>
      <c r="E1135" s="1597"/>
      <c r="F1135" s="1597"/>
      <c r="G1135" s="1597"/>
      <c r="H1135" s="1597"/>
      <c r="I1135" s="1597"/>
      <c r="J1135" s="1597"/>
      <c r="K1135" s="1597"/>
      <c r="L1135" s="1597"/>
      <c r="M1135" s="1597"/>
      <c r="N1135" s="1597"/>
      <c r="O1135" s="1597"/>
      <c r="P1135" s="1597"/>
      <c r="Q1135" s="1597"/>
      <c r="R1135" s="1597"/>
      <c r="S1135" s="1597"/>
      <c r="T1135" s="1597"/>
    </row>
    <row r="1136" spans="1:20">
      <c r="A1136" s="1597"/>
      <c r="B1136" s="1597"/>
      <c r="C1136" s="1597"/>
      <c r="D1136" s="1597"/>
      <c r="E1136" s="1597"/>
      <c r="F1136" s="1597"/>
      <c r="G1136" s="1597"/>
      <c r="H1136" s="1597"/>
      <c r="I1136" s="1597"/>
      <c r="J1136" s="1597"/>
      <c r="K1136" s="1597"/>
      <c r="L1136" s="1597"/>
      <c r="M1136" s="1597"/>
      <c r="N1136" s="1597"/>
      <c r="O1136" s="1597"/>
      <c r="P1136" s="1597"/>
      <c r="Q1136" s="1597"/>
      <c r="R1136" s="1597"/>
      <c r="S1136" s="1597"/>
      <c r="T1136" s="1597"/>
    </row>
    <row r="1137" spans="1:20">
      <c r="A1137" s="1597"/>
      <c r="B1137" s="1597"/>
      <c r="C1137" s="1597"/>
      <c r="D1137" s="1597"/>
      <c r="E1137" s="1597"/>
      <c r="F1137" s="1597"/>
      <c r="G1137" s="1597"/>
      <c r="H1137" s="1597"/>
      <c r="I1137" s="1597"/>
      <c r="J1137" s="1597"/>
      <c r="K1137" s="1597"/>
      <c r="L1137" s="1597"/>
      <c r="M1137" s="1597"/>
      <c r="N1137" s="1597"/>
      <c r="O1137" s="1597"/>
      <c r="P1137" s="1597"/>
      <c r="Q1137" s="1597"/>
      <c r="R1137" s="1597"/>
      <c r="S1137" s="1597"/>
      <c r="T1137" s="1597"/>
    </row>
    <row r="1138" spans="1:20">
      <c r="A1138" s="1597"/>
      <c r="B1138" s="1597"/>
      <c r="C1138" s="1597"/>
      <c r="D1138" s="1597"/>
      <c r="E1138" s="1597"/>
      <c r="F1138" s="1597"/>
      <c r="G1138" s="1597"/>
      <c r="H1138" s="1597"/>
      <c r="I1138" s="1597"/>
      <c r="J1138" s="1597"/>
      <c r="K1138" s="1597"/>
      <c r="L1138" s="1597"/>
      <c r="M1138" s="1597"/>
      <c r="N1138" s="1597"/>
      <c r="O1138" s="1597"/>
      <c r="P1138" s="1597"/>
      <c r="Q1138" s="1597"/>
      <c r="R1138" s="1597"/>
      <c r="S1138" s="1597"/>
      <c r="T1138" s="1597"/>
    </row>
    <row r="1139" spans="1:20">
      <c r="A1139" s="1597"/>
      <c r="B1139" s="1597"/>
      <c r="C1139" s="1597"/>
      <c r="D1139" s="1597"/>
      <c r="E1139" s="1597"/>
      <c r="F1139" s="1597"/>
      <c r="G1139" s="1597"/>
      <c r="H1139" s="1597"/>
      <c r="I1139" s="1597"/>
      <c r="J1139" s="1597"/>
      <c r="K1139" s="1597"/>
      <c r="L1139" s="1597"/>
      <c r="M1139" s="1597"/>
      <c r="N1139" s="1597"/>
      <c r="O1139" s="1597"/>
      <c r="P1139" s="1597"/>
      <c r="Q1139" s="1597"/>
      <c r="R1139" s="1597"/>
      <c r="S1139" s="1597"/>
      <c r="T1139" s="1597"/>
    </row>
    <row r="1140" spans="1:20">
      <c r="A1140" s="1597"/>
      <c r="B1140" s="1597"/>
      <c r="C1140" s="1597"/>
      <c r="D1140" s="1597"/>
      <c r="E1140" s="1597"/>
      <c r="F1140" s="1597"/>
      <c r="G1140" s="1597"/>
      <c r="H1140" s="1597"/>
      <c r="I1140" s="1597"/>
      <c r="J1140" s="1597"/>
      <c r="K1140" s="1597"/>
      <c r="L1140" s="1597"/>
      <c r="M1140" s="1597"/>
      <c r="N1140" s="1597"/>
      <c r="O1140" s="1597"/>
      <c r="P1140" s="1597"/>
      <c r="Q1140" s="1597"/>
      <c r="R1140" s="1597"/>
      <c r="S1140" s="1597"/>
      <c r="T1140" s="1597"/>
    </row>
    <row r="1141" spans="1:20">
      <c r="A1141" s="1597"/>
      <c r="B1141" s="1597"/>
      <c r="C1141" s="1597"/>
      <c r="D1141" s="1597"/>
      <c r="E1141" s="1597"/>
      <c r="F1141" s="1597"/>
      <c r="G1141" s="1597"/>
      <c r="H1141" s="1597"/>
      <c r="I1141" s="1597"/>
      <c r="J1141" s="1597"/>
      <c r="K1141" s="1597"/>
      <c r="L1141" s="1597"/>
      <c r="M1141" s="1597"/>
      <c r="N1141" s="1597"/>
      <c r="O1141" s="1597"/>
      <c r="P1141" s="1597"/>
      <c r="Q1141" s="1597"/>
      <c r="R1141" s="1597"/>
      <c r="S1141" s="1597"/>
      <c r="T1141" s="1597"/>
    </row>
    <row r="1142" spans="1:20">
      <c r="A1142" s="1597"/>
      <c r="B1142" s="1597"/>
      <c r="C1142" s="1597"/>
      <c r="D1142" s="1597"/>
      <c r="E1142" s="1597"/>
      <c r="F1142" s="1597"/>
      <c r="G1142" s="1597"/>
      <c r="H1142" s="1597"/>
      <c r="I1142" s="1597"/>
      <c r="J1142" s="1597"/>
      <c r="K1142" s="1597"/>
      <c r="L1142" s="1597"/>
      <c r="M1142" s="1597"/>
      <c r="N1142" s="1597"/>
      <c r="O1142" s="1597"/>
      <c r="P1142" s="1597"/>
      <c r="Q1142" s="1597"/>
      <c r="R1142" s="1597"/>
      <c r="S1142" s="1597"/>
      <c r="T1142" s="1597"/>
    </row>
    <row r="1143" spans="1:20">
      <c r="A1143" s="1597"/>
      <c r="B1143" s="1597"/>
      <c r="C1143" s="1597"/>
      <c r="D1143" s="1597"/>
      <c r="E1143" s="1597"/>
      <c r="F1143" s="1597"/>
      <c r="G1143" s="1597"/>
      <c r="H1143" s="1597"/>
      <c r="I1143" s="1597"/>
      <c r="J1143" s="1597"/>
      <c r="K1143" s="1597"/>
      <c r="L1143" s="1597"/>
      <c r="M1143" s="1597"/>
      <c r="N1143" s="1597"/>
      <c r="O1143" s="1597"/>
      <c r="P1143" s="1597"/>
      <c r="Q1143" s="1597"/>
      <c r="R1143" s="1597"/>
      <c r="S1143" s="1597"/>
      <c r="T1143" s="1597"/>
    </row>
    <row r="1144" spans="1:20">
      <c r="A1144" s="1597"/>
      <c r="B1144" s="1597"/>
      <c r="C1144" s="1597"/>
      <c r="D1144" s="1597"/>
      <c r="E1144" s="1597"/>
      <c r="F1144" s="1597"/>
      <c r="G1144" s="1597"/>
      <c r="H1144" s="1597"/>
      <c r="I1144" s="1597"/>
      <c r="J1144" s="1597"/>
      <c r="K1144" s="1597"/>
      <c r="L1144" s="1597"/>
      <c r="M1144" s="1597"/>
      <c r="N1144" s="1597"/>
      <c r="O1144" s="1597"/>
      <c r="P1144" s="1597"/>
      <c r="Q1144" s="1597"/>
      <c r="R1144" s="1597"/>
      <c r="S1144" s="1597"/>
      <c r="T1144" s="1597"/>
    </row>
    <row r="1145" spans="1:20">
      <c r="A1145" s="1597"/>
      <c r="B1145" s="1597"/>
      <c r="C1145" s="1597"/>
      <c r="D1145" s="1597"/>
      <c r="E1145" s="1597"/>
      <c r="F1145" s="1597"/>
      <c r="G1145" s="1597"/>
      <c r="H1145" s="1597"/>
      <c r="I1145" s="1597"/>
      <c r="J1145" s="1597"/>
      <c r="K1145" s="1597"/>
      <c r="L1145" s="1597"/>
      <c r="M1145" s="1597"/>
      <c r="N1145" s="1597"/>
      <c r="O1145" s="1597"/>
      <c r="P1145" s="1597"/>
      <c r="Q1145" s="1597"/>
      <c r="R1145" s="1597"/>
      <c r="S1145" s="1597"/>
      <c r="T1145" s="1597"/>
    </row>
    <row r="1146" spans="1:20">
      <c r="A1146" s="1597"/>
      <c r="B1146" s="1597"/>
      <c r="C1146" s="1597"/>
      <c r="D1146" s="1597"/>
      <c r="E1146" s="1597"/>
      <c r="F1146" s="1597"/>
      <c r="G1146" s="1597"/>
      <c r="H1146" s="1597"/>
      <c r="I1146" s="1597"/>
      <c r="J1146" s="1597"/>
      <c r="K1146" s="1597"/>
      <c r="L1146" s="1597"/>
      <c r="M1146" s="1597"/>
      <c r="N1146" s="1597"/>
      <c r="O1146" s="1597"/>
      <c r="P1146" s="1597"/>
      <c r="Q1146" s="1597"/>
      <c r="R1146" s="1597"/>
      <c r="S1146" s="1597"/>
      <c r="T1146" s="1597"/>
    </row>
    <row r="1147" spans="1:20">
      <c r="A1147" s="1597"/>
      <c r="B1147" s="1597"/>
      <c r="C1147" s="1597"/>
      <c r="D1147" s="1597"/>
      <c r="E1147" s="1597"/>
      <c r="F1147" s="1597"/>
      <c r="G1147" s="1597"/>
      <c r="H1147" s="1597"/>
      <c r="I1147" s="1597"/>
      <c r="J1147" s="1597"/>
      <c r="K1147" s="1597"/>
      <c r="L1147" s="1597"/>
      <c r="M1147" s="1597"/>
      <c r="N1147" s="1597"/>
      <c r="O1147" s="1597"/>
      <c r="P1147" s="1597"/>
      <c r="Q1147" s="1597"/>
      <c r="R1147" s="1597"/>
      <c r="S1147" s="1597"/>
      <c r="T1147" s="1597"/>
    </row>
    <row r="1148" spans="1:20">
      <c r="A1148" s="1597"/>
      <c r="B1148" s="1597"/>
      <c r="C1148" s="1597"/>
      <c r="D1148" s="1597"/>
      <c r="E1148" s="1597"/>
      <c r="F1148" s="1597"/>
      <c r="G1148" s="1597"/>
      <c r="H1148" s="1597"/>
      <c r="I1148" s="1597"/>
      <c r="J1148" s="1597"/>
      <c r="K1148" s="1597"/>
      <c r="L1148" s="1597"/>
      <c r="M1148" s="1597"/>
      <c r="N1148" s="1597"/>
      <c r="O1148" s="1597"/>
      <c r="P1148" s="1597"/>
      <c r="Q1148" s="1597"/>
      <c r="R1148" s="1597"/>
      <c r="S1148" s="1597"/>
      <c r="T1148" s="1597"/>
    </row>
    <row r="1149" spans="1:20">
      <c r="A1149" s="1597"/>
      <c r="B1149" s="1597"/>
      <c r="C1149" s="1597"/>
      <c r="D1149" s="1597"/>
      <c r="E1149" s="1597"/>
      <c r="F1149" s="1597"/>
      <c r="G1149" s="1597"/>
      <c r="H1149" s="1597"/>
      <c r="I1149" s="1597"/>
      <c r="J1149" s="1597"/>
      <c r="K1149" s="1597"/>
      <c r="L1149" s="1597"/>
      <c r="M1149" s="1597"/>
      <c r="N1149" s="1597"/>
      <c r="O1149" s="1597"/>
      <c r="P1149" s="1597"/>
      <c r="Q1149" s="1597"/>
      <c r="R1149" s="1597"/>
      <c r="S1149" s="1597"/>
      <c r="T1149" s="1597"/>
    </row>
    <row r="1150" spans="1:20">
      <c r="A1150" s="1597"/>
      <c r="B1150" s="1597"/>
      <c r="C1150" s="1597"/>
      <c r="D1150" s="1597"/>
      <c r="E1150" s="1597"/>
      <c r="F1150" s="1597"/>
      <c r="G1150" s="1597"/>
      <c r="H1150" s="1597"/>
      <c r="I1150" s="1597"/>
      <c r="J1150" s="1597"/>
      <c r="K1150" s="1597"/>
      <c r="L1150" s="1597"/>
      <c r="M1150" s="1597"/>
      <c r="N1150" s="1597"/>
      <c r="O1150" s="1597"/>
      <c r="P1150" s="1597"/>
      <c r="Q1150" s="1597"/>
      <c r="R1150" s="1597"/>
      <c r="S1150" s="1597"/>
      <c r="T1150" s="1597"/>
    </row>
    <row r="1151" spans="1:20">
      <c r="A1151" s="1597"/>
      <c r="B1151" s="1597"/>
      <c r="C1151" s="1597"/>
      <c r="D1151" s="1597"/>
      <c r="E1151" s="1597"/>
      <c r="F1151" s="1597"/>
      <c r="G1151" s="1597"/>
      <c r="H1151" s="1597"/>
      <c r="I1151" s="1597"/>
      <c r="J1151" s="1597"/>
      <c r="K1151" s="1597"/>
      <c r="L1151" s="1597"/>
      <c r="M1151" s="1597"/>
      <c r="N1151" s="1597"/>
      <c r="O1151" s="1597"/>
      <c r="P1151" s="1597"/>
      <c r="Q1151" s="1597"/>
      <c r="R1151" s="1597"/>
      <c r="S1151" s="1597"/>
      <c r="T1151" s="1597"/>
    </row>
    <row r="1152" spans="1:20">
      <c r="A1152" s="1597"/>
      <c r="B1152" s="1597"/>
      <c r="C1152" s="1597"/>
      <c r="D1152" s="1597"/>
      <c r="E1152" s="1597"/>
      <c r="F1152" s="1597"/>
      <c r="G1152" s="1597"/>
      <c r="H1152" s="1597"/>
      <c r="I1152" s="1597"/>
      <c r="J1152" s="1597"/>
      <c r="K1152" s="1597"/>
      <c r="L1152" s="1597"/>
      <c r="M1152" s="1597"/>
      <c r="N1152" s="1597"/>
      <c r="O1152" s="1597"/>
      <c r="P1152" s="1597"/>
      <c r="Q1152" s="1597"/>
      <c r="R1152" s="1597"/>
      <c r="S1152" s="1597"/>
      <c r="T1152" s="1597"/>
    </row>
    <row r="1153" spans="1:20">
      <c r="A1153" s="1597"/>
      <c r="B1153" s="1597"/>
      <c r="C1153" s="1597"/>
      <c r="D1153" s="1597"/>
      <c r="E1153" s="1597"/>
      <c r="F1153" s="1597"/>
      <c r="G1153" s="1597"/>
      <c r="H1153" s="1597"/>
      <c r="I1153" s="1597"/>
      <c r="J1153" s="1597"/>
      <c r="K1153" s="1597"/>
      <c r="L1153" s="1597"/>
      <c r="M1153" s="1597"/>
      <c r="N1153" s="1597"/>
      <c r="O1153" s="1597"/>
      <c r="P1153" s="1597"/>
      <c r="Q1153" s="1597"/>
      <c r="R1153" s="1597"/>
      <c r="S1153" s="1597"/>
      <c r="T1153" s="1597"/>
    </row>
    <row r="1154" spans="1:20">
      <c r="A1154" s="1597"/>
      <c r="B1154" s="1597"/>
      <c r="C1154" s="1597"/>
      <c r="D1154" s="1597"/>
      <c r="E1154" s="1597"/>
      <c r="F1154" s="1597"/>
      <c r="G1154" s="1597"/>
      <c r="H1154" s="1597"/>
      <c r="I1154" s="1597"/>
      <c r="J1154" s="1597"/>
      <c r="K1154" s="1597"/>
      <c r="L1154" s="1597"/>
      <c r="M1154" s="1597"/>
      <c r="N1154" s="1597"/>
      <c r="O1154" s="1597"/>
      <c r="P1154" s="1597"/>
      <c r="Q1154" s="1597"/>
      <c r="R1154" s="1597"/>
      <c r="S1154" s="1597"/>
      <c r="T1154" s="1597"/>
    </row>
    <row r="1155" spans="1:20">
      <c r="A1155" s="1597"/>
      <c r="B1155" s="1597"/>
      <c r="C1155" s="1597"/>
      <c r="D1155" s="1597"/>
      <c r="E1155" s="1597"/>
      <c r="F1155" s="1597"/>
      <c r="G1155" s="1597"/>
      <c r="H1155" s="1597"/>
      <c r="I1155" s="1597"/>
      <c r="J1155" s="1597"/>
      <c r="K1155" s="1597"/>
      <c r="L1155" s="1597"/>
      <c r="M1155" s="1597"/>
      <c r="N1155" s="1597"/>
      <c r="O1155" s="1597"/>
      <c r="P1155" s="1597"/>
      <c r="Q1155" s="1597"/>
      <c r="R1155" s="1597"/>
      <c r="S1155" s="1597"/>
      <c r="T1155" s="1597"/>
    </row>
    <row r="1156" spans="1:20">
      <c r="A1156" s="1597"/>
      <c r="B1156" s="1597"/>
      <c r="C1156" s="1597"/>
      <c r="D1156" s="1597"/>
      <c r="E1156" s="1597"/>
      <c r="F1156" s="1597"/>
      <c r="G1156" s="1597"/>
      <c r="H1156" s="1597"/>
      <c r="I1156" s="1597"/>
      <c r="J1156" s="1597"/>
      <c r="K1156" s="1597"/>
      <c r="L1156" s="1597"/>
      <c r="M1156" s="1597"/>
      <c r="N1156" s="1597"/>
      <c r="O1156" s="1597"/>
      <c r="P1156" s="1597"/>
      <c r="Q1156" s="1597"/>
      <c r="R1156" s="1597"/>
      <c r="S1156" s="1597"/>
      <c r="T1156" s="1597"/>
    </row>
    <row r="1157" spans="1:20">
      <c r="A1157" s="1597"/>
      <c r="B1157" s="1597"/>
      <c r="C1157" s="1597"/>
      <c r="D1157" s="1597"/>
      <c r="E1157" s="1597"/>
      <c r="F1157" s="1597"/>
      <c r="G1157" s="1597"/>
      <c r="H1157" s="1597"/>
      <c r="I1157" s="1597"/>
      <c r="J1157" s="1597"/>
      <c r="K1157" s="1597"/>
      <c r="L1157" s="1597"/>
      <c r="M1157" s="1597"/>
      <c r="N1157" s="1597"/>
      <c r="O1157" s="1597"/>
      <c r="P1157" s="1597"/>
      <c r="Q1157" s="1597"/>
      <c r="R1157" s="1597"/>
      <c r="S1157" s="1597"/>
      <c r="T1157" s="1597"/>
    </row>
    <row r="1158" spans="1:20">
      <c r="A1158" s="1597"/>
      <c r="B1158" s="1597"/>
      <c r="C1158" s="1597"/>
      <c r="D1158" s="1597"/>
      <c r="E1158" s="1597"/>
      <c r="F1158" s="1597"/>
      <c r="G1158" s="1597"/>
      <c r="H1158" s="1597"/>
      <c r="I1158" s="1597"/>
      <c r="J1158" s="1597"/>
      <c r="K1158" s="1597"/>
      <c r="L1158" s="1597"/>
      <c r="M1158" s="1597"/>
      <c r="N1158" s="1597"/>
      <c r="O1158" s="1597"/>
      <c r="P1158" s="1597"/>
      <c r="Q1158" s="1597"/>
      <c r="R1158" s="1597"/>
      <c r="S1158" s="1597"/>
      <c r="T1158" s="1597"/>
    </row>
    <row r="1159" spans="1:20">
      <c r="A1159" s="1597"/>
      <c r="B1159" s="1597"/>
      <c r="C1159" s="1597"/>
      <c r="D1159" s="1597"/>
      <c r="E1159" s="1597"/>
      <c r="F1159" s="1597"/>
      <c r="G1159" s="1597"/>
      <c r="H1159" s="1597"/>
      <c r="I1159" s="1597"/>
      <c r="J1159" s="1597"/>
      <c r="K1159" s="1597"/>
      <c r="L1159" s="1597"/>
      <c r="M1159" s="1597"/>
      <c r="N1159" s="1597"/>
      <c r="O1159" s="1597"/>
      <c r="P1159" s="1597"/>
      <c r="Q1159" s="1597"/>
      <c r="R1159" s="1597"/>
      <c r="S1159" s="1597"/>
      <c r="T1159" s="1597"/>
    </row>
    <row r="1160" spans="1:20">
      <c r="A1160" s="1597"/>
      <c r="B1160" s="1597"/>
      <c r="C1160" s="1597"/>
      <c r="D1160" s="1597"/>
      <c r="E1160" s="1597"/>
      <c r="F1160" s="1597"/>
      <c r="G1160" s="1597"/>
      <c r="H1160" s="1597"/>
      <c r="I1160" s="1597"/>
      <c r="J1160" s="1597"/>
      <c r="K1160" s="1597"/>
      <c r="L1160" s="1597"/>
      <c r="M1160" s="1597"/>
      <c r="N1160" s="1597"/>
      <c r="O1160" s="1597"/>
      <c r="P1160" s="1597"/>
      <c r="Q1160" s="1597"/>
      <c r="R1160" s="1597"/>
      <c r="S1160" s="1597"/>
      <c r="T1160" s="1597"/>
    </row>
    <row r="1161" spans="1:20">
      <c r="A1161" s="1597"/>
      <c r="B1161" s="1597"/>
      <c r="C1161" s="1597"/>
      <c r="D1161" s="1597"/>
      <c r="E1161" s="1597"/>
      <c r="F1161" s="1597"/>
      <c r="G1161" s="1597"/>
      <c r="H1161" s="1597"/>
      <c r="I1161" s="1597"/>
      <c r="J1161" s="1597"/>
      <c r="K1161" s="1597"/>
      <c r="L1161" s="1597"/>
      <c r="M1161" s="1597"/>
      <c r="N1161" s="1597"/>
      <c r="O1161" s="1597"/>
      <c r="P1161" s="1597"/>
      <c r="Q1161" s="1597"/>
      <c r="R1161" s="1597"/>
      <c r="S1161" s="1597"/>
      <c r="T1161" s="1597"/>
    </row>
    <row r="1162" spans="1:20">
      <c r="A1162" s="1597"/>
      <c r="B1162" s="1597"/>
      <c r="C1162" s="1597"/>
      <c r="D1162" s="1597"/>
      <c r="E1162" s="1597"/>
      <c r="F1162" s="1597"/>
      <c r="G1162" s="1597"/>
      <c r="H1162" s="1597"/>
      <c r="I1162" s="1597"/>
      <c r="J1162" s="1597"/>
      <c r="K1162" s="1597"/>
      <c r="L1162" s="1597"/>
      <c r="M1162" s="1597"/>
      <c r="N1162" s="1597"/>
      <c r="O1162" s="1597"/>
      <c r="P1162" s="1597"/>
      <c r="Q1162" s="1597"/>
      <c r="R1162" s="1597"/>
      <c r="S1162" s="1597"/>
      <c r="T1162" s="1597"/>
    </row>
    <row r="1163" spans="1:20">
      <c r="A1163" s="1597"/>
      <c r="B1163" s="1597"/>
      <c r="C1163" s="1597"/>
      <c r="D1163" s="1597"/>
      <c r="E1163" s="1597"/>
      <c r="F1163" s="1597"/>
      <c r="G1163" s="1597"/>
      <c r="H1163" s="1597"/>
      <c r="I1163" s="1597"/>
      <c r="J1163" s="1597"/>
      <c r="K1163" s="1597"/>
      <c r="L1163" s="1597"/>
      <c r="M1163" s="1597"/>
      <c r="N1163" s="1597"/>
      <c r="O1163" s="1597"/>
      <c r="P1163" s="1597"/>
      <c r="Q1163" s="1597"/>
      <c r="R1163" s="1597"/>
      <c r="S1163" s="1597"/>
      <c r="T1163" s="1597"/>
    </row>
    <row r="1164" spans="1:20">
      <c r="A1164" s="1597"/>
      <c r="B1164" s="1597"/>
      <c r="C1164" s="1597"/>
      <c r="D1164" s="1597"/>
      <c r="E1164" s="1597"/>
      <c r="F1164" s="1597"/>
      <c r="G1164" s="1597"/>
      <c r="H1164" s="1597"/>
      <c r="I1164" s="1597"/>
      <c r="J1164" s="1597"/>
      <c r="K1164" s="1597"/>
      <c r="L1164" s="1597"/>
      <c r="M1164" s="1597"/>
      <c r="N1164" s="1597"/>
      <c r="O1164" s="1597"/>
      <c r="P1164" s="1597"/>
      <c r="Q1164" s="1597"/>
      <c r="R1164" s="1597"/>
      <c r="S1164" s="1597"/>
      <c r="T1164" s="1597"/>
    </row>
    <row r="1165" spans="1:20">
      <c r="A1165" s="1597"/>
      <c r="B1165" s="1597"/>
      <c r="C1165" s="1597"/>
      <c r="D1165" s="1597"/>
      <c r="E1165" s="1597"/>
      <c r="F1165" s="1597"/>
      <c r="G1165" s="1597"/>
      <c r="H1165" s="1597"/>
      <c r="I1165" s="1597"/>
      <c r="J1165" s="1597"/>
      <c r="K1165" s="1597"/>
      <c r="L1165" s="1597"/>
      <c r="M1165" s="1597"/>
      <c r="N1165" s="1597"/>
      <c r="O1165" s="1597"/>
      <c r="P1165" s="1597"/>
      <c r="Q1165" s="1597"/>
      <c r="R1165" s="1597"/>
      <c r="S1165" s="1597"/>
      <c r="T1165" s="1597"/>
    </row>
    <row r="1166" spans="1:20">
      <c r="A1166" s="1597"/>
      <c r="B1166" s="1597"/>
      <c r="C1166" s="1597"/>
      <c r="D1166" s="1597"/>
      <c r="E1166" s="1597"/>
      <c r="F1166" s="1597"/>
      <c r="G1166" s="1597"/>
      <c r="H1166" s="1597"/>
      <c r="I1166" s="1597"/>
      <c r="J1166" s="1597"/>
      <c r="K1166" s="1597"/>
      <c r="L1166" s="1597"/>
      <c r="M1166" s="1597"/>
      <c r="N1166" s="1597"/>
      <c r="O1166" s="1597"/>
      <c r="P1166" s="1597"/>
      <c r="Q1166" s="1597"/>
      <c r="R1166" s="1597"/>
      <c r="S1166" s="1597"/>
      <c r="T1166" s="1597"/>
    </row>
    <row r="1167" spans="1:20">
      <c r="A1167" s="1597"/>
      <c r="B1167" s="1597"/>
      <c r="C1167" s="1597"/>
      <c r="D1167" s="1597"/>
      <c r="E1167" s="1597"/>
      <c r="F1167" s="1597"/>
      <c r="G1167" s="1597"/>
      <c r="H1167" s="1597"/>
      <c r="I1167" s="1597"/>
      <c r="J1167" s="1597"/>
      <c r="K1167" s="1597"/>
      <c r="L1167" s="1597"/>
      <c r="M1167" s="1597"/>
      <c r="N1167" s="1597"/>
      <c r="O1167" s="1597"/>
      <c r="P1167" s="1597"/>
      <c r="Q1167" s="1597"/>
      <c r="R1167" s="1597"/>
      <c r="S1167" s="1597"/>
      <c r="T1167" s="1597"/>
    </row>
    <row r="1168" spans="1:20">
      <c r="A1168" s="1597"/>
      <c r="B1168" s="1597"/>
      <c r="C1168" s="1597"/>
      <c r="D1168" s="1597"/>
      <c r="E1168" s="1597"/>
      <c r="F1168" s="1597"/>
      <c r="G1168" s="1597"/>
      <c r="H1168" s="1597"/>
      <c r="I1168" s="1597"/>
      <c r="J1168" s="1597"/>
      <c r="K1168" s="1597"/>
      <c r="L1168" s="1597"/>
      <c r="M1168" s="1597"/>
      <c r="N1168" s="1597"/>
      <c r="O1168" s="1597"/>
      <c r="P1168" s="1597"/>
      <c r="Q1168" s="1597"/>
      <c r="R1168" s="1597"/>
      <c r="S1168" s="1597"/>
      <c r="T1168" s="1597"/>
    </row>
    <row r="1169" spans="1:20">
      <c r="A1169" s="1597"/>
      <c r="B1169" s="1597"/>
      <c r="C1169" s="1597"/>
      <c r="D1169" s="1597"/>
      <c r="E1169" s="1597"/>
      <c r="F1169" s="1597"/>
      <c r="G1169" s="1597"/>
      <c r="H1169" s="1597"/>
      <c r="I1169" s="1597"/>
      <c r="J1169" s="1597"/>
      <c r="K1169" s="1597"/>
      <c r="L1169" s="1597"/>
      <c r="M1169" s="1597"/>
      <c r="N1169" s="1597"/>
      <c r="O1169" s="1597"/>
      <c r="P1169" s="1597"/>
      <c r="Q1169" s="1597"/>
      <c r="R1169" s="1597"/>
      <c r="S1169" s="1597"/>
      <c r="T1169" s="1597"/>
    </row>
    <row r="1170" spans="1:20">
      <c r="A1170" s="1597"/>
      <c r="B1170" s="1597"/>
      <c r="C1170" s="1597"/>
      <c r="D1170" s="1597"/>
      <c r="E1170" s="1597"/>
      <c r="F1170" s="1597"/>
      <c r="G1170" s="1597"/>
      <c r="H1170" s="1597"/>
      <c r="I1170" s="1597"/>
      <c r="J1170" s="1597"/>
      <c r="K1170" s="1597"/>
      <c r="L1170" s="1597"/>
      <c r="M1170" s="1597"/>
      <c r="N1170" s="1597"/>
      <c r="O1170" s="1597"/>
      <c r="P1170" s="1597"/>
      <c r="Q1170" s="1597"/>
      <c r="R1170" s="1597"/>
      <c r="S1170" s="1597"/>
      <c r="T1170" s="1597"/>
    </row>
    <row r="1171" spans="1:20">
      <c r="A1171" s="1597"/>
      <c r="B1171" s="1597"/>
      <c r="C1171" s="1597"/>
      <c r="D1171" s="1597"/>
      <c r="E1171" s="1597"/>
      <c r="F1171" s="1597"/>
      <c r="G1171" s="1597"/>
      <c r="H1171" s="1597"/>
      <c r="I1171" s="1597"/>
      <c r="J1171" s="1597"/>
      <c r="K1171" s="1597"/>
      <c r="L1171" s="1597"/>
      <c r="M1171" s="1597"/>
      <c r="N1171" s="1597"/>
      <c r="O1171" s="1597"/>
      <c r="P1171" s="1597"/>
      <c r="Q1171" s="1597"/>
      <c r="R1171" s="1597"/>
      <c r="S1171" s="1597"/>
      <c r="T1171" s="1597"/>
    </row>
    <row r="1172" spans="1:20">
      <c r="A1172" s="1597"/>
      <c r="B1172" s="1597"/>
      <c r="C1172" s="1597"/>
      <c r="D1172" s="1597"/>
      <c r="E1172" s="1597"/>
      <c r="F1172" s="1597"/>
      <c r="G1172" s="1597"/>
      <c r="H1172" s="1597"/>
      <c r="I1172" s="1597"/>
      <c r="J1172" s="1597"/>
      <c r="K1172" s="1597"/>
      <c r="L1172" s="1597"/>
      <c r="M1172" s="1597"/>
      <c r="N1172" s="1597"/>
      <c r="O1172" s="1597"/>
      <c r="P1172" s="1597"/>
      <c r="Q1172" s="1597"/>
      <c r="R1172" s="1597"/>
      <c r="S1172" s="1597"/>
      <c r="T1172" s="1597"/>
    </row>
    <row r="1173" spans="1:20">
      <c r="A1173" s="1597"/>
      <c r="B1173" s="1597"/>
      <c r="C1173" s="1597"/>
      <c r="D1173" s="1597"/>
      <c r="E1173" s="1597"/>
      <c r="F1173" s="1597"/>
      <c r="G1173" s="1597"/>
      <c r="H1173" s="1597"/>
      <c r="I1173" s="1597"/>
      <c r="J1173" s="1597"/>
      <c r="K1173" s="1597"/>
      <c r="L1173" s="1597"/>
      <c r="M1173" s="1597"/>
      <c r="N1173" s="1597"/>
      <c r="O1173" s="1597"/>
      <c r="P1173" s="1597"/>
      <c r="Q1173" s="1597"/>
      <c r="R1173" s="1597"/>
      <c r="S1173" s="1597"/>
      <c r="T1173" s="1597"/>
    </row>
    <row r="1174" spans="1:20">
      <c r="A1174" s="1597"/>
      <c r="B1174" s="1597"/>
      <c r="C1174" s="1597"/>
      <c r="D1174" s="1597"/>
      <c r="E1174" s="1597"/>
      <c r="F1174" s="1597"/>
      <c r="G1174" s="1597"/>
      <c r="H1174" s="1597"/>
      <c r="I1174" s="1597"/>
      <c r="J1174" s="1597"/>
      <c r="K1174" s="1597"/>
      <c r="L1174" s="1597"/>
      <c r="M1174" s="1597"/>
      <c r="N1174" s="1597"/>
      <c r="O1174" s="1597"/>
      <c r="P1174" s="1597"/>
      <c r="Q1174" s="1597"/>
      <c r="R1174" s="1597"/>
      <c r="S1174" s="1597"/>
      <c r="T1174" s="1597"/>
    </row>
    <row r="1175" spans="1:20">
      <c r="A1175" s="1597"/>
      <c r="B1175" s="1597"/>
      <c r="C1175" s="1597"/>
      <c r="D1175" s="1597"/>
      <c r="E1175" s="1597"/>
      <c r="F1175" s="1597"/>
      <c r="G1175" s="1597"/>
      <c r="H1175" s="1597"/>
      <c r="I1175" s="1597"/>
      <c r="J1175" s="1597"/>
      <c r="K1175" s="1597"/>
      <c r="L1175" s="1597"/>
      <c r="M1175" s="1597"/>
      <c r="N1175" s="1597"/>
      <c r="O1175" s="1597"/>
      <c r="P1175" s="1597"/>
      <c r="Q1175" s="1597"/>
      <c r="R1175" s="1597"/>
      <c r="S1175" s="1597"/>
      <c r="T1175" s="1597"/>
    </row>
    <row r="1176" spans="1:20">
      <c r="A1176" s="1597"/>
      <c r="B1176" s="1597"/>
      <c r="C1176" s="1597"/>
      <c r="D1176" s="1597"/>
      <c r="E1176" s="1597"/>
      <c r="F1176" s="1597"/>
      <c r="G1176" s="1597"/>
      <c r="H1176" s="1597"/>
      <c r="I1176" s="1597"/>
      <c r="J1176" s="1597"/>
      <c r="K1176" s="1597"/>
      <c r="L1176" s="1597"/>
      <c r="M1176" s="1597"/>
      <c r="N1176" s="1597"/>
      <c r="O1176" s="1597"/>
      <c r="P1176" s="1597"/>
      <c r="Q1176" s="1597"/>
      <c r="R1176" s="1597"/>
      <c r="S1176" s="1597"/>
      <c r="T1176" s="1597"/>
    </row>
    <row r="1177" spans="1:20">
      <c r="A1177" s="1597"/>
      <c r="B1177" s="1597"/>
      <c r="C1177" s="1597"/>
      <c r="D1177" s="1597"/>
      <c r="E1177" s="1597"/>
      <c r="F1177" s="1597"/>
      <c r="G1177" s="1597"/>
      <c r="H1177" s="1597"/>
      <c r="I1177" s="1597"/>
      <c r="J1177" s="1597"/>
      <c r="K1177" s="1597"/>
      <c r="L1177" s="1597"/>
      <c r="M1177" s="1597"/>
      <c r="N1177" s="1597"/>
      <c r="O1177" s="1597"/>
      <c r="P1177" s="1597"/>
      <c r="Q1177" s="1597"/>
      <c r="R1177" s="1597"/>
      <c r="S1177" s="1597"/>
      <c r="T1177" s="1597"/>
    </row>
    <row r="1178" spans="1:20">
      <c r="A1178" s="1597"/>
      <c r="B1178" s="1597"/>
      <c r="C1178" s="1597"/>
      <c r="D1178" s="1597"/>
      <c r="E1178" s="1597"/>
      <c r="F1178" s="1597"/>
      <c r="G1178" s="1597"/>
      <c r="H1178" s="1597"/>
      <c r="I1178" s="1597"/>
      <c r="J1178" s="1597"/>
      <c r="K1178" s="1597"/>
      <c r="L1178" s="1597"/>
      <c r="M1178" s="1597"/>
      <c r="N1178" s="1597"/>
      <c r="O1178" s="1597"/>
      <c r="P1178" s="1597"/>
      <c r="Q1178" s="1597"/>
      <c r="R1178" s="1597"/>
      <c r="S1178" s="1597"/>
      <c r="T1178" s="1597"/>
    </row>
    <row r="1179" spans="1:20">
      <c r="A1179" s="1597"/>
      <c r="B1179" s="1597"/>
      <c r="C1179" s="1597"/>
      <c r="D1179" s="1597"/>
      <c r="E1179" s="1597"/>
      <c r="F1179" s="1597"/>
      <c r="G1179" s="1597"/>
      <c r="H1179" s="1597"/>
      <c r="I1179" s="1597"/>
      <c r="J1179" s="1597"/>
      <c r="K1179" s="1597"/>
      <c r="L1179" s="1597"/>
      <c r="M1179" s="1597"/>
      <c r="N1179" s="1597"/>
      <c r="O1179" s="1597"/>
      <c r="P1179" s="1597"/>
      <c r="Q1179" s="1597"/>
      <c r="R1179" s="1597"/>
      <c r="S1179" s="1597"/>
      <c r="T1179" s="1597"/>
    </row>
    <row r="1180" spans="1:20">
      <c r="A1180" s="1597"/>
      <c r="B1180" s="1597"/>
      <c r="C1180" s="1597"/>
      <c r="D1180" s="1597"/>
      <c r="E1180" s="1597"/>
      <c r="F1180" s="1597"/>
      <c r="G1180" s="1597"/>
      <c r="H1180" s="1597"/>
      <c r="I1180" s="1597"/>
      <c r="J1180" s="1597"/>
      <c r="K1180" s="1597"/>
      <c r="L1180" s="1597"/>
      <c r="M1180" s="1597"/>
      <c r="N1180" s="1597"/>
      <c r="O1180" s="1597"/>
      <c r="P1180" s="1597"/>
      <c r="Q1180" s="1597"/>
      <c r="R1180" s="1597"/>
      <c r="S1180" s="1597"/>
      <c r="T1180" s="1597"/>
    </row>
    <row r="1181" spans="1:20">
      <c r="A1181" s="1597"/>
      <c r="B1181" s="1597"/>
      <c r="C1181" s="1597"/>
      <c r="D1181" s="1597"/>
      <c r="E1181" s="1597"/>
      <c r="F1181" s="1597"/>
      <c r="G1181" s="1597"/>
      <c r="H1181" s="1597"/>
      <c r="I1181" s="1597"/>
      <c r="J1181" s="1597"/>
      <c r="K1181" s="1597"/>
      <c r="L1181" s="1597"/>
      <c r="M1181" s="1597"/>
      <c r="N1181" s="1597"/>
      <c r="O1181" s="1597"/>
      <c r="P1181" s="1597"/>
      <c r="Q1181" s="1597"/>
      <c r="R1181" s="1597"/>
      <c r="S1181" s="1597"/>
      <c r="T1181" s="1597"/>
    </row>
    <row r="1182" spans="1:20">
      <c r="A1182" s="1597"/>
      <c r="B1182" s="1597"/>
      <c r="C1182" s="1597"/>
      <c r="D1182" s="1597"/>
      <c r="E1182" s="1597"/>
      <c r="F1182" s="1597"/>
      <c r="G1182" s="1597"/>
      <c r="H1182" s="1597"/>
      <c r="I1182" s="1597"/>
      <c r="J1182" s="1597"/>
      <c r="K1182" s="1597"/>
      <c r="L1182" s="1597"/>
      <c r="M1182" s="1597"/>
      <c r="N1182" s="1597"/>
      <c r="O1182" s="1597"/>
      <c r="P1182" s="1597"/>
      <c r="Q1182" s="1597"/>
      <c r="R1182" s="1597"/>
      <c r="S1182" s="1597"/>
      <c r="T1182" s="1597"/>
    </row>
    <row r="1183" spans="1:20">
      <c r="A1183" s="1597"/>
      <c r="B1183" s="1597"/>
      <c r="C1183" s="1597"/>
      <c r="D1183" s="1597"/>
      <c r="E1183" s="1597"/>
      <c r="F1183" s="1597"/>
      <c r="G1183" s="1597"/>
      <c r="H1183" s="1597"/>
      <c r="I1183" s="1597"/>
      <c r="J1183" s="1597"/>
      <c r="K1183" s="1597"/>
      <c r="L1183" s="1597"/>
      <c r="M1183" s="1597"/>
      <c r="N1183" s="1597"/>
      <c r="O1183" s="1597"/>
      <c r="P1183" s="1597"/>
      <c r="Q1183" s="1597"/>
      <c r="R1183" s="1597"/>
      <c r="S1183" s="1597"/>
      <c r="T1183" s="1597"/>
    </row>
    <row r="1184" spans="1:20">
      <c r="A1184" s="1597"/>
      <c r="B1184" s="1597"/>
      <c r="C1184" s="1597"/>
      <c r="D1184" s="1597"/>
      <c r="E1184" s="1597"/>
      <c r="F1184" s="1597"/>
      <c r="G1184" s="1597"/>
      <c r="H1184" s="1597"/>
      <c r="I1184" s="1597"/>
      <c r="J1184" s="1597"/>
      <c r="K1184" s="1597"/>
      <c r="L1184" s="1597"/>
      <c r="M1184" s="1597"/>
      <c r="N1184" s="1597"/>
      <c r="O1184" s="1597"/>
      <c r="P1184" s="1597"/>
      <c r="Q1184" s="1597"/>
      <c r="R1184" s="1597"/>
      <c r="S1184" s="1597"/>
      <c r="T1184" s="1597"/>
    </row>
    <row r="1185" spans="1:20">
      <c r="A1185" s="1597"/>
      <c r="B1185" s="1597"/>
      <c r="C1185" s="1597"/>
      <c r="D1185" s="1597"/>
      <c r="E1185" s="1597"/>
      <c r="F1185" s="1597"/>
      <c r="G1185" s="1597"/>
      <c r="H1185" s="1597"/>
      <c r="I1185" s="1597"/>
      <c r="J1185" s="1597"/>
      <c r="K1185" s="1597"/>
      <c r="L1185" s="1597"/>
      <c r="M1185" s="1597"/>
      <c r="N1185" s="1597"/>
      <c r="O1185" s="1597"/>
      <c r="P1185" s="1597"/>
      <c r="Q1185" s="1597"/>
      <c r="R1185" s="1597"/>
      <c r="S1185" s="1597"/>
      <c r="T1185" s="1597"/>
    </row>
    <row r="1186" spans="1:20">
      <c r="A1186" s="1597"/>
      <c r="B1186" s="1597"/>
      <c r="C1186" s="1597"/>
      <c r="D1186" s="1597"/>
      <c r="E1186" s="1597"/>
      <c r="F1186" s="1597"/>
      <c r="G1186" s="1597"/>
      <c r="H1186" s="1597"/>
      <c r="I1186" s="1597"/>
      <c r="J1186" s="1597"/>
      <c r="K1186" s="1597"/>
      <c r="L1186" s="1597"/>
      <c r="M1186" s="1597"/>
      <c r="N1186" s="1597"/>
      <c r="O1186" s="1597"/>
      <c r="P1186" s="1597"/>
      <c r="Q1186" s="1597"/>
      <c r="R1186" s="1597"/>
      <c r="S1186" s="1597"/>
      <c r="T1186" s="1597"/>
    </row>
    <row r="1187" spans="1:20">
      <c r="A1187" s="1597"/>
      <c r="B1187" s="1597"/>
      <c r="C1187" s="1597"/>
      <c r="D1187" s="1597"/>
      <c r="E1187" s="1597"/>
      <c r="F1187" s="1597"/>
      <c r="G1187" s="1597"/>
      <c r="H1187" s="1597"/>
      <c r="I1187" s="1597"/>
      <c r="J1187" s="1597"/>
      <c r="K1187" s="1597"/>
      <c r="L1187" s="1597"/>
      <c r="M1187" s="1597"/>
      <c r="N1187" s="1597"/>
      <c r="O1187" s="1597"/>
      <c r="P1187" s="1597"/>
      <c r="Q1187" s="1597"/>
      <c r="R1187" s="1597"/>
      <c r="S1187" s="1597"/>
      <c r="T1187" s="1597"/>
    </row>
    <row r="1188" spans="1:20">
      <c r="A1188" s="1597"/>
      <c r="B1188" s="1597"/>
      <c r="C1188" s="1597"/>
      <c r="D1188" s="1597"/>
      <c r="E1188" s="1597"/>
      <c r="F1188" s="1597"/>
      <c r="G1188" s="1597"/>
      <c r="H1188" s="1597"/>
      <c r="I1188" s="1597"/>
      <c r="J1188" s="1597"/>
      <c r="K1188" s="1597"/>
      <c r="L1188" s="1597"/>
      <c r="M1188" s="1597"/>
      <c r="N1188" s="1597"/>
      <c r="O1188" s="1597"/>
      <c r="P1188" s="1597"/>
      <c r="Q1188" s="1597"/>
      <c r="R1188" s="1597"/>
      <c r="S1188" s="1597"/>
      <c r="T1188" s="1597"/>
    </row>
    <row r="1189" spans="1:20">
      <c r="A1189" s="1597"/>
      <c r="B1189" s="1597"/>
      <c r="C1189" s="1597"/>
      <c r="D1189" s="1597"/>
      <c r="E1189" s="1597"/>
      <c r="F1189" s="1597"/>
      <c r="G1189" s="1597"/>
      <c r="H1189" s="1597"/>
      <c r="I1189" s="1597"/>
      <c r="J1189" s="1597"/>
      <c r="K1189" s="1597"/>
      <c r="L1189" s="1597"/>
      <c r="M1189" s="1597"/>
      <c r="N1189" s="1597"/>
      <c r="O1189" s="1597"/>
      <c r="P1189" s="1597"/>
      <c r="Q1189" s="1597"/>
      <c r="R1189" s="1597"/>
      <c r="S1189" s="1597"/>
      <c r="T1189" s="1597"/>
    </row>
    <row r="1190" spans="1:20">
      <c r="A1190" s="1597"/>
      <c r="B1190" s="1597"/>
      <c r="C1190" s="1597"/>
      <c r="D1190" s="1597"/>
      <c r="E1190" s="1597"/>
      <c r="F1190" s="1597"/>
      <c r="G1190" s="1597"/>
      <c r="H1190" s="1597"/>
      <c r="I1190" s="1597"/>
      <c r="J1190" s="1597"/>
      <c r="K1190" s="1597"/>
      <c r="L1190" s="1597"/>
      <c r="M1190" s="1597"/>
      <c r="N1190" s="1597"/>
      <c r="O1190" s="1597"/>
      <c r="P1190" s="1597"/>
      <c r="Q1190" s="1597"/>
      <c r="R1190" s="1597"/>
      <c r="S1190" s="1597"/>
      <c r="T1190" s="1597"/>
    </row>
    <row r="1191" spans="1:20">
      <c r="A1191" s="1597"/>
      <c r="B1191" s="1597"/>
      <c r="C1191" s="1597"/>
      <c r="D1191" s="1597"/>
      <c r="E1191" s="1597"/>
      <c r="F1191" s="1597"/>
      <c r="G1191" s="1597"/>
      <c r="H1191" s="1597"/>
      <c r="I1191" s="1597"/>
      <c r="J1191" s="1597"/>
      <c r="K1191" s="1597"/>
      <c r="L1191" s="1597"/>
      <c r="M1191" s="1597"/>
      <c r="N1191" s="1597"/>
      <c r="O1191" s="1597"/>
      <c r="P1191" s="1597"/>
      <c r="Q1191" s="1597"/>
      <c r="R1191" s="1597"/>
      <c r="S1191" s="1597"/>
      <c r="T1191" s="1597"/>
    </row>
    <row r="1192" spans="1:20">
      <c r="A1192" s="1597"/>
      <c r="B1192" s="1597"/>
      <c r="C1192" s="1597"/>
      <c r="D1192" s="1597"/>
      <c r="E1192" s="1597"/>
      <c r="F1192" s="1597"/>
      <c r="G1192" s="1597"/>
      <c r="H1192" s="1597"/>
      <c r="I1192" s="1597"/>
      <c r="J1192" s="1597"/>
      <c r="K1192" s="1597"/>
      <c r="L1192" s="1597"/>
      <c r="M1192" s="1597"/>
      <c r="N1192" s="1597"/>
      <c r="O1192" s="1597"/>
      <c r="P1192" s="1597"/>
      <c r="Q1192" s="1597"/>
      <c r="R1192" s="1597"/>
      <c r="S1192" s="1597"/>
      <c r="T1192" s="1597"/>
    </row>
    <row r="1193" spans="1:20">
      <c r="A1193" s="1597"/>
      <c r="B1193" s="1597"/>
      <c r="C1193" s="1597"/>
      <c r="D1193" s="1597"/>
      <c r="E1193" s="1597"/>
      <c r="F1193" s="1597"/>
      <c r="G1193" s="1597"/>
      <c r="H1193" s="1597"/>
      <c r="I1193" s="1597"/>
      <c r="J1193" s="1597"/>
      <c r="K1193" s="1597"/>
      <c r="L1193" s="1597"/>
      <c r="M1193" s="1597"/>
      <c r="N1193" s="1597"/>
      <c r="O1193" s="1597"/>
      <c r="P1193" s="1597"/>
      <c r="Q1193" s="1597"/>
      <c r="R1193" s="1597"/>
      <c r="S1193" s="1597"/>
      <c r="T1193" s="1597"/>
    </row>
    <row r="1194" spans="1:20">
      <c r="A1194" s="1597"/>
      <c r="B1194" s="1597"/>
      <c r="C1194" s="1597"/>
      <c r="D1194" s="1597"/>
      <c r="E1194" s="1597"/>
      <c r="F1194" s="1597"/>
      <c r="G1194" s="1597"/>
      <c r="H1194" s="1597"/>
      <c r="I1194" s="1597"/>
      <c r="J1194" s="1597"/>
      <c r="K1194" s="1597"/>
      <c r="L1194" s="1597"/>
      <c r="M1194" s="1597"/>
      <c r="N1194" s="1597"/>
      <c r="O1194" s="1597"/>
      <c r="P1194" s="1597"/>
      <c r="Q1194" s="1597"/>
      <c r="R1194" s="1597"/>
      <c r="S1194" s="1597"/>
      <c r="T1194" s="1597"/>
    </row>
    <row r="1195" spans="1:20">
      <c r="A1195" s="1597"/>
      <c r="B1195" s="1597"/>
      <c r="C1195" s="1597"/>
      <c r="D1195" s="1597"/>
      <c r="E1195" s="1597"/>
      <c r="F1195" s="1597"/>
      <c r="G1195" s="1597"/>
      <c r="H1195" s="1597"/>
      <c r="I1195" s="1597"/>
      <c r="J1195" s="1597"/>
      <c r="K1195" s="1597"/>
      <c r="L1195" s="1597"/>
      <c r="M1195" s="1597"/>
      <c r="N1195" s="1597"/>
      <c r="O1195" s="1597"/>
      <c r="P1195" s="1597"/>
      <c r="Q1195" s="1597"/>
      <c r="R1195" s="1597"/>
      <c r="S1195" s="1597"/>
      <c r="T1195" s="1597"/>
    </row>
    <row r="1196" spans="1:20">
      <c r="A1196" s="1597"/>
      <c r="B1196" s="1597"/>
      <c r="C1196" s="1597"/>
      <c r="D1196" s="1597"/>
      <c r="E1196" s="1597"/>
      <c r="F1196" s="1597"/>
      <c r="G1196" s="1597"/>
      <c r="H1196" s="1597"/>
      <c r="I1196" s="1597"/>
      <c r="J1196" s="1597"/>
      <c r="K1196" s="1597"/>
      <c r="L1196" s="1597"/>
      <c r="M1196" s="1597"/>
      <c r="N1196" s="1597"/>
      <c r="O1196" s="1597"/>
      <c r="P1196" s="1597"/>
      <c r="Q1196" s="1597"/>
      <c r="R1196" s="1597"/>
      <c r="S1196" s="1597"/>
      <c r="T1196" s="1597"/>
    </row>
    <row r="1197" spans="1:20">
      <c r="A1197" s="1597"/>
      <c r="B1197" s="1597"/>
      <c r="C1197" s="1597"/>
      <c r="D1197" s="1597"/>
      <c r="E1197" s="1597"/>
      <c r="F1197" s="1597"/>
      <c r="G1197" s="1597"/>
      <c r="H1197" s="1597"/>
      <c r="I1197" s="1597"/>
      <c r="J1197" s="1597"/>
      <c r="K1197" s="1597"/>
      <c r="L1197" s="1597"/>
      <c r="M1197" s="1597"/>
      <c r="N1197" s="1597"/>
      <c r="O1197" s="1597"/>
      <c r="P1197" s="1597"/>
      <c r="Q1197" s="1597"/>
      <c r="R1197" s="1597"/>
      <c r="S1197" s="1597"/>
      <c r="T1197" s="1597"/>
    </row>
    <row r="1198" spans="1:20">
      <c r="A1198" s="1597"/>
      <c r="B1198" s="1597"/>
      <c r="C1198" s="1597"/>
      <c r="D1198" s="1597"/>
      <c r="E1198" s="1597"/>
      <c r="F1198" s="1597"/>
      <c r="G1198" s="1597"/>
      <c r="H1198" s="1597"/>
      <c r="I1198" s="1597"/>
      <c r="J1198" s="1597"/>
      <c r="K1198" s="1597"/>
      <c r="L1198" s="1597"/>
      <c r="M1198" s="1597"/>
      <c r="N1198" s="1597"/>
      <c r="O1198" s="1597"/>
      <c r="P1198" s="1597"/>
      <c r="Q1198" s="1597"/>
      <c r="R1198" s="1597"/>
      <c r="S1198" s="1597"/>
      <c r="T1198" s="1597"/>
    </row>
    <row r="1199" spans="1:20">
      <c r="A1199" s="1597"/>
      <c r="B1199" s="1597"/>
      <c r="C1199" s="1597"/>
      <c r="D1199" s="1597"/>
      <c r="E1199" s="1597"/>
      <c r="F1199" s="1597"/>
      <c r="G1199" s="1597"/>
      <c r="H1199" s="1597"/>
      <c r="I1199" s="1597"/>
      <c r="J1199" s="1597"/>
      <c r="K1199" s="1597"/>
      <c r="L1199" s="1597"/>
      <c r="M1199" s="1597"/>
      <c r="N1199" s="1597"/>
      <c r="O1199" s="1597"/>
      <c r="P1199" s="1597"/>
      <c r="Q1199" s="1597"/>
      <c r="R1199" s="1597"/>
      <c r="S1199" s="1597"/>
      <c r="T1199" s="1597"/>
    </row>
    <row r="1200" spans="1:20">
      <c r="A1200" s="1597"/>
      <c r="B1200" s="1597"/>
      <c r="C1200" s="1597"/>
      <c r="D1200" s="1597"/>
      <c r="E1200" s="1597"/>
      <c r="F1200" s="1597"/>
      <c r="G1200" s="1597"/>
      <c r="H1200" s="1597"/>
      <c r="I1200" s="1597"/>
      <c r="J1200" s="1597"/>
      <c r="K1200" s="1597"/>
      <c r="L1200" s="1597"/>
      <c r="M1200" s="1597"/>
      <c r="N1200" s="1597"/>
      <c r="O1200" s="1597"/>
      <c r="P1200" s="1597"/>
      <c r="Q1200" s="1597"/>
      <c r="R1200" s="1597"/>
      <c r="S1200" s="1597"/>
      <c r="T1200" s="1597"/>
    </row>
    <row r="1201" spans="1:20">
      <c r="A1201" s="1597"/>
      <c r="B1201" s="1597"/>
      <c r="C1201" s="1597"/>
      <c r="D1201" s="1597"/>
      <c r="E1201" s="1597"/>
      <c r="F1201" s="1597"/>
      <c r="G1201" s="1597"/>
      <c r="H1201" s="1597"/>
      <c r="I1201" s="1597"/>
      <c r="J1201" s="1597"/>
      <c r="K1201" s="1597"/>
      <c r="L1201" s="1597"/>
      <c r="M1201" s="1597"/>
      <c r="N1201" s="1597"/>
      <c r="O1201" s="1597"/>
      <c r="P1201" s="1597"/>
      <c r="Q1201" s="1597"/>
      <c r="R1201" s="1597"/>
      <c r="S1201" s="1597"/>
      <c r="T1201" s="1597"/>
    </row>
    <row r="1202" spans="1:20">
      <c r="A1202" s="1597"/>
      <c r="B1202" s="1597"/>
      <c r="C1202" s="1597"/>
      <c r="D1202" s="1597"/>
      <c r="E1202" s="1597"/>
      <c r="F1202" s="1597"/>
      <c r="G1202" s="1597"/>
      <c r="H1202" s="1597"/>
      <c r="I1202" s="1597"/>
      <c r="J1202" s="1597"/>
      <c r="K1202" s="1597"/>
      <c r="L1202" s="1597"/>
      <c r="M1202" s="1597"/>
      <c r="N1202" s="1597"/>
      <c r="O1202" s="1597"/>
      <c r="P1202" s="1597"/>
      <c r="Q1202" s="1597"/>
      <c r="R1202" s="1597"/>
      <c r="S1202" s="1597"/>
      <c r="T1202" s="1597"/>
    </row>
    <row r="1203" spans="1:20">
      <c r="A1203" s="1597"/>
      <c r="B1203" s="1597"/>
      <c r="C1203" s="1597"/>
      <c r="D1203" s="1597"/>
      <c r="E1203" s="1597"/>
      <c r="F1203" s="1597"/>
      <c r="G1203" s="1597"/>
      <c r="H1203" s="1597"/>
      <c r="I1203" s="1597"/>
      <c r="J1203" s="1597"/>
      <c r="K1203" s="1597"/>
      <c r="L1203" s="1597"/>
      <c r="M1203" s="1597"/>
      <c r="N1203" s="1597"/>
      <c r="O1203" s="1597"/>
      <c r="P1203" s="1597"/>
      <c r="Q1203" s="1597"/>
      <c r="R1203" s="1597"/>
      <c r="S1203" s="1597"/>
      <c r="T1203" s="1597"/>
    </row>
    <row r="1204" spans="1:20">
      <c r="A1204" s="1597"/>
      <c r="B1204" s="1597"/>
      <c r="C1204" s="1597"/>
      <c r="D1204" s="1597"/>
      <c r="E1204" s="1597"/>
      <c r="F1204" s="1597"/>
      <c r="G1204" s="1597"/>
      <c r="H1204" s="1597"/>
      <c r="I1204" s="1597"/>
      <c r="J1204" s="1597"/>
      <c r="K1204" s="1597"/>
      <c r="L1204" s="1597"/>
      <c r="M1204" s="1597"/>
      <c r="N1204" s="1597"/>
      <c r="O1204" s="1597"/>
      <c r="P1204" s="1597"/>
      <c r="Q1204" s="1597"/>
      <c r="R1204" s="1597"/>
      <c r="S1204" s="1597"/>
      <c r="T1204" s="1597"/>
    </row>
    <row r="1205" spans="1:20">
      <c r="A1205" s="1597"/>
      <c r="B1205" s="1597"/>
      <c r="C1205" s="1597"/>
      <c r="D1205" s="1597"/>
      <c r="E1205" s="1597"/>
      <c r="F1205" s="1597"/>
      <c r="G1205" s="1597"/>
      <c r="H1205" s="1597"/>
      <c r="I1205" s="1597"/>
      <c r="J1205" s="1597"/>
      <c r="K1205" s="1597"/>
      <c r="L1205" s="1597"/>
      <c r="M1205" s="1597"/>
      <c r="N1205" s="1597"/>
      <c r="O1205" s="1597"/>
      <c r="P1205" s="1597"/>
      <c r="Q1205" s="1597"/>
      <c r="R1205" s="1597"/>
      <c r="S1205" s="1597"/>
      <c r="T1205" s="1597"/>
    </row>
    <row r="1206" spans="1:20">
      <c r="A1206" s="1597"/>
      <c r="B1206" s="1597"/>
      <c r="C1206" s="1597"/>
      <c r="D1206" s="1597"/>
      <c r="E1206" s="1597"/>
      <c r="F1206" s="1597"/>
      <c r="G1206" s="1597"/>
      <c r="H1206" s="1597"/>
      <c r="I1206" s="1597"/>
      <c r="J1206" s="1597"/>
      <c r="K1206" s="1597"/>
      <c r="L1206" s="1597"/>
      <c r="M1206" s="1597"/>
      <c r="N1206" s="1597"/>
      <c r="O1206" s="1597"/>
      <c r="P1206" s="1597"/>
      <c r="Q1206" s="1597"/>
      <c r="R1206" s="1597"/>
      <c r="S1206" s="1597"/>
      <c r="T1206" s="1597"/>
    </row>
    <row r="1207" spans="1:20">
      <c r="A1207" s="1597"/>
      <c r="B1207" s="1597"/>
      <c r="C1207" s="1597"/>
      <c r="D1207" s="1597"/>
      <c r="E1207" s="1597"/>
      <c r="F1207" s="1597"/>
      <c r="G1207" s="1597"/>
      <c r="H1207" s="1597"/>
      <c r="I1207" s="1597"/>
      <c r="J1207" s="1597"/>
      <c r="K1207" s="1597"/>
      <c r="L1207" s="1597"/>
      <c r="M1207" s="1597"/>
      <c r="N1207" s="1597"/>
      <c r="O1207" s="1597"/>
      <c r="P1207" s="1597"/>
      <c r="Q1207" s="1597"/>
      <c r="R1207" s="1597"/>
      <c r="S1207" s="1597"/>
      <c r="T1207" s="1597"/>
    </row>
    <row r="1208" spans="1:20">
      <c r="A1208" s="1597"/>
      <c r="B1208" s="1597"/>
      <c r="C1208" s="1597"/>
      <c r="D1208" s="1597"/>
      <c r="E1208" s="1597"/>
      <c r="F1208" s="1597"/>
      <c r="G1208" s="1597"/>
      <c r="H1208" s="1597"/>
      <c r="I1208" s="1597"/>
      <c r="J1208" s="1597"/>
      <c r="K1208" s="1597"/>
      <c r="L1208" s="1597"/>
      <c r="M1208" s="1597"/>
      <c r="N1208" s="1597"/>
      <c r="O1208" s="1597"/>
      <c r="P1208" s="1597"/>
      <c r="Q1208" s="1597"/>
      <c r="R1208" s="1597"/>
      <c r="S1208" s="1597"/>
      <c r="T1208" s="1597"/>
    </row>
    <row r="1209" spans="1:20">
      <c r="A1209" s="1597"/>
      <c r="B1209" s="1597"/>
      <c r="C1209" s="1597"/>
      <c r="D1209" s="1597"/>
      <c r="E1209" s="1597"/>
      <c r="F1209" s="1597"/>
      <c r="G1209" s="1597"/>
      <c r="H1209" s="1597"/>
      <c r="I1209" s="1597"/>
      <c r="J1209" s="1597"/>
      <c r="K1209" s="1597"/>
      <c r="L1209" s="1597"/>
      <c r="M1209" s="1597"/>
      <c r="N1209" s="1597"/>
      <c r="O1209" s="1597"/>
      <c r="P1209" s="1597"/>
      <c r="Q1209" s="1597"/>
      <c r="R1209" s="1597"/>
      <c r="S1209" s="1597"/>
      <c r="T1209" s="1597"/>
    </row>
    <row r="1210" spans="1:20">
      <c r="A1210" s="1597"/>
      <c r="B1210" s="1597"/>
      <c r="C1210" s="1597"/>
      <c r="D1210" s="1597"/>
      <c r="E1210" s="1597"/>
      <c r="F1210" s="1597"/>
      <c r="G1210" s="1597"/>
      <c r="H1210" s="1597"/>
      <c r="I1210" s="1597"/>
      <c r="J1210" s="1597"/>
      <c r="K1210" s="1597"/>
      <c r="L1210" s="1597"/>
      <c r="M1210" s="1597"/>
      <c r="N1210" s="1597"/>
      <c r="O1210" s="1597"/>
      <c r="P1210" s="1597"/>
      <c r="Q1210" s="1597"/>
      <c r="R1210" s="1597"/>
      <c r="S1210" s="1597"/>
      <c r="T1210" s="1597"/>
    </row>
    <row r="1211" spans="1:20">
      <c r="A1211" s="1597"/>
      <c r="B1211" s="1597"/>
      <c r="C1211" s="1597"/>
      <c r="D1211" s="1597"/>
      <c r="E1211" s="1597"/>
      <c r="F1211" s="1597"/>
      <c r="G1211" s="1597"/>
      <c r="H1211" s="1597"/>
      <c r="I1211" s="1597"/>
      <c r="J1211" s="1597"/>
      <c r="K1211" s="1597"/>
      <c r="L1211" s="1597"/>
      <c r="M1211" s="1597"/>
      <c r="N1211" s="1597"/>
      <c r="O1211" s="1597"/>
      <c r="P1211" s="1597"/>
      <c r="Q1211" s="1597"/>
      <c r="R1211" s="1597"/>
      <c r="S1211" s="1597"/>
      <c r="T1211" s="1597"/>
    </row>
    <row r="1212" spans="1:20">
      <c r="A1212" s="1597"/>
      <c r="B1212" s="1597"/>
      <c r="C1212" s="1597"/>
      <c r="D1212" s="1597"/>
      <c r="E1212" s="1597"/>
      <c r="F1212" s="1597"/>
      <c r="G1212" s="1597"/>
      <c r="H1212" s="1597"/>
      <c r="I1212" s="1597"/>
      <c r="J1212" s="1597"/>
      <c r="K1212" s="1597"/>
      <c r="L1212" s="1597"/>
      <c r="M1212" s="1597"/>
      <c r="N1212" s="1597"/>
      <c r="O1212" s="1597"/>
      <c r="P1212" s="1597"/>
      <c r="Q1212" s="1597"/>
      <c r="R1212" s="1597"/>
      <c r="S1212" s="1597"/>
      <c r="T1212" s="1597"/>
    </row>
    <row r="1213" spans="1:20">
      <c r="A1213" s="1597"/>
      <c r="B1213" s="1597"/>
      <c r="C1213" s="1597"/>
      <c r="D1213" s="1597"/>
      <c r="E1213" s="1597"/>
      <c r="F1213" s="1597"/>
      <c r="G1213" s="1597"/>
      <c r="H1213" s="1597"/>
      <c r="I1213" s="1597"/>
      <c r="J1213" s="1597"/>
      <c r="K1213" s="1597"/>
      <c r="L1213" s="1597"/>
      <c r="M1213" s="1597"/>
      <c r="N1213" s="1597"/>
      <c r="O1213" s="1597"/>
      <c r="P1213" s="1597"/>
      <c r="Q1213" s="1597"/>
      <c r="R1213" s="1597"/>
      <c r="S1213" s="1597"/>
      <c r="T1213" s="1597"/>
    </row>
    <row r="1214" spans="1:20">
      <c r="A1214" s="1597"/>
      <c r="B1214" s="1597"/>
      <c r="C1214" s="1597"/>
      <c r="D1214" s="1597"/>
      <c r="E1214" s="1597"/>
      <c r="F1214" s="1597"/>
      <c r="G1214" s="1597"/>
      <c r="H1214" s="1597"/>
      <c r="I1214" s="1597"/>
      <c r="J1214" s="1597"/>
      <c r="K1214" s="1597"/>
      <c r="L1214" s="1597"/>
      <c r="M1214" s="1597"/>
      <c r="N1214" s="1597"/>
      <c r="O1214" s="1597"/>
      <c r="P1214" s="1597"/>
      <c r="Q1214" s="1597"/>
      <c r="R1214" s="1597"/>
      <c r="S1214" s="1597"/>
      <c r="T1214" s="1597"/>
    </row>
    <row r="1215" spans="1:20">
      <c r="A1215" s="1597"/>
      <c r="B1215" s="1597"/>
      <c r="C1215" s="1597"/>
      <c r="D1215" s="1597"/>
      <c r="E1215" s="1597"/>
      <c r="F1215" s="1597"/>
      <c r="G1215" s="1597"/>
      <c r="H1215" s="1597"/>
      <c r="I1215" s="1597"/>
      <c r="J1215" s="1597"/>
      <c r="K1215" s="1597"/>
      <c r="L1215" s="1597"/>
      <c r="M1215" s="1597"/>
      <c r="N1215" s="1597"/>
      <c r="O1215" s="1597"/>
      <c r="P1215" s="1597"/>
      <c r="Q1215" s="1597"/>
      <c r="R1215" s="1597"/>
      <c r="S1215" s="1597"/>
      <c r="T1215" s="1597"/>
    </row>
    <row r="1216" spans="1:20">
      <c r="A1216" s="1597"/>
      <c r="B1216" s="1597"/>
      <c r="C1216" s="1597"/>
      <c r="D1216" s="1597"/>
      <c r="E1216" s="1597"/>
      <c r="F1216" s="1597"/>
      <c r="G1216" s="1597"/>
      <c r="H1216" s="1597"/>
      <c r="I1216" s="1597"/>
      <c r="J1216" s="1597"/>
      <c r="K1216" s="1597"/>
      <c r="L1216" s="1597"/>
      <c r="M1216" s="1597"/>
      <c r="N1216" s="1597"/>
      <c r="O1216" s="1597"/>
      <c r="P1216" s="1597"/>
      <c r="Q1216" s="1597"/>
      <c r="R1216" s="1597"/>
      <c r="S1216" s="1597"/>
      <c r="T1216" s="1597"/>
    </row>
    <row r="1217" spans="1:20">
      <c r="A1217" s="1597"/>
      <c r="B1217" s="1597"/>
      <c r="C1217" s="1597"/>
      <c r="D1217" s="1597"/>
      <c r="E1217" s="1597"/>
      <c r="F1217" s="1597"/>
      <c r="G1217" s="1597"/>
      <c r="H1217" s="1597"/>
      <c r="I1217" s="1597"/>
      <c r="J1217" s="1597"/>
      <c r="K1217" s="1597"/>
      <c r="L1217" s="1597"/>
      <c r="M1217" s="1597"/>
      <c r="N1217" s="1597"/>
      <c r="O1217" s="1597"/>
      <c r="P1217" s="1597"/>
      <c r="Q1217" s="1597"/>
      <c r="R1217" s="1597"/>
      <c r="S1217" s="1597"/>
      <c r="T1217" s="1597"/>
    </row>
    <row r="1218" spans="1:20">
      <c r="A1218" s="1597"/>
      <c r="B1218" s="1597"/>
      <c r="C1218" s="1597"/>
      <c r="D1218" s="1597"/>
      <c r="E1218" s="1597"/>
      <c r="F1218" s="1597"/>
      <c r="G1218" s="1597"/>
      <c r="H1218" s="1597"/>
      <c r="I1218" s="1597"/>
      <c r="J1218" s="1597"/>
      <c r="K1218" s="1597"/>
      <c r="L1218" s="1597"/>
      <c r="M1218" s="1597"/>
      <c r="N1218" s="1597"/>
      <c r="O1218" s="1597"/>
      <c r="P1218" s="1597"/>
      <c r="Q1218" s="1597"/>
      <c r="R1218" s="1597"/>
      <c r="S1218" s="1597"/>
      <c r="T1218" s="1597"/>
    </row>
    <row r="1219" spans="1:20">
      <c r="A1219" s="1597"/>
      <c r="B1219" s="1597"/>
      <c r="C1219" s="1597"/>
      <c r="D1219" s="1597"/>
      <c r="E1219" s="1597"/>
      <c r="F1219" s="1597"/>
      <c r="G1219" s="1597"/>
      <c r="H1219" s="1597"/>
      <c r="I1219" s="1597"/>
      <c r="J1219" s="1597"/>
      <c r="K1219" s="1597"/>
      <c r="L1219" s="1597"/>
      <c r="M1219" s="1597"/>
      <c r="N1219" s="1597"/>
      <c r="O1219" s="1597"/>
      <c r="P1219" s="1597"/>
      <c r="Q1219" s="1597"/>
      <c r="R1219" s="1597"/>
      <c r="S1219" s="1597"/>
      <c r="T1219" s="1597"/>
    </row>
    <row r="1220" spans="1:20">
      <c r="A1220" s="1597"/>
      <c r="B1220" s="1597"/>
      <c r="C1220" s="1597"/>
      <c r="D1220" s="1597"/>
      <c r="E1220" s="1597"/>
      <c r="F1220" s="1597"/>
      <c r="G1220" s="1597"/>
      <c r="H1220" s="1597"/>
      <c r="I1220" s="1597"/>
      <c r="J1220" s="1597"/>
      <c r="K1220" s="1597"/>
      <c r="L1220" s="1597"/>
      <c r="M1220" s="1597"/>
      <c r="N1220" s="1597"/>
      <c r="O1220" s="1597"/>
      <c r="P1220" s="1597"/>
      <c r="Q1220" s="1597"/>
      <c r="R1220" s="1597"/>
      <c r="S1220" s="1597"/>
      <c r="T1220" s="1597"/>
    </row>
    <row r="1221" spans="1:20">
      <c r="A1221" s="1597"/>
      <c r="B1221" s="1597"/>
      <c r="C1221" s="1597"/>
      <c r="D1221" s="1597"/>
      <c r="E1221" s="1597"/>
      <c r="F1221" s="1597"/>
      <c r="G1221" s="1597"/>
      <c r="H1221" s="1597"/>
      <c r="I1221" s="1597"/>
      <c r="J1221" s="1597"/>
      <c r="K1221" s="1597"/>
      <c r="L1221" s="1597"/>
      <c r="M1221" s="1597"/>
      <c r="N1221" s="1597"/>
      <c r="O1221" s="1597"/>
      <c r="P1221" s="1597"/>
      <c r="Q1221" s="1597"/>
      <c r="R1221" s="1597"/>
      <c r="S1221" s="1597"/>
      <c r="T1221" s="1597"/>
    </row>
    <row r="1222" spans="1:20">
      <c r="A1222" s="1597"/>
      <c r="B1222" s="1597"/>
      <c r="C1222" s="1597"/>
      <c r="D1222" s="1597"/>
      <c r="E1222" s="1597"/>
      <c r="F1222" s="1597"/>
      <c r="G1222" s="1597"/>
      <c r="H1222" s="1597"/>
      <c r="I1222" s="1597"/>
      <c r="J1222" s="1597"/>
      <c r="K1222" s="1597"/>
      <c r="L1222" s="1597"/>
      <c r="M1222" s="1597"/>
      <c r="N1222" s="1597"/>
      <c r="O1222" s="1597"/>
      <c r="P1222" s="1597"/>
      <c r="Q1222" s="1597"/>
      <c r="R1222" s="1597"/>
      <c r="S1222" s="1597"/>
      <c r="T1222" s="1597"/>
    </row>
    <row r="1223" spans="1:20">
      <c r="A1223" s="1597"/>
      <c r="B1223" s="1597"/>
      <c r="C1223" s="1597"/>
      <c r="D1223" s="1597"/>
      <c r="E1223" s="1597"/>
      <c r="F1223" s="1597"/>
      <c r="G1223" s="1597"/>
      <c r="H1223" s="1597"/>
      <c r="I1223" s="1597"/>
      <c r="J1223" s="1597"/>
      <c r="K1223" s="1597"/>
      <c r="L1223" s="1597"/>
      <c r="M1223" s="1597"/>
      <c r="N1223" s="1597"/>
      <c r="O1223" s="1597"/>
      <c r="P1223" s="1597"/>
      <c r="Q1223" s="1597"/>
      <c r="R1223" s="1597"/>
      <c r="S1223" s="1597"/>
      <c r="T1223" s="1597"/>
    </row>
    <row r="1224" spans="1:20">
      <c r="A1224" s="1597"/>
      <c r="B1224" s="1597"/>
      <c r="C1224" s="1597"/>
      <c r="D1224" s="1597"/>
      <c r="E1224" s="1597"/>
      <c r="F1224" s="1597"/>
      <c r="G1224" s="1597"/>
      <c r="H1224" s="1597"/>
      <c r="I1224" s="1597"/>
      <c r="J1224" s="1597"/>
      <c r="K1224" s="1597"/>
      <c r="L1224" s="1597"/>
      <c r="M1224" s="1597"/>
      <c r="N1224" s="1597"/>
      <c r="O1224" s="1597"/>
      <c r="P1224" s="1597"/>
      <c r="Q1224" s="1597"/>
      <c r="R1224" s="1597"/>
      <c r="S1224" s="1597"/>
      <c r="T1224" s="1597"/>
    </row>
    <row r="1225" spans="1:20">
      <c r="A1225" s="1597"/>
      <c r="B1225" s="1597"/>
      <c r="C1225" s="1597"/>
      <c r="D1225" s="1597"/>
      <c r="E1225" s="1597"/>
      <c r="F1225" s="1597"/>
      <c r="G1225" s="1597"/>
      <c r="H1225" s="1597"/>
      <c r="I1225" s="1597"/>
      <c r="J1225" s="1597"/>
      <c r="K1225" s="1597"/>
      <c r="L1225" s="1597"/>
      <c r="M1225" s="1597"/>
      <c r="N1225" s="1597"/>
      <c r="O1225" s="1597"/>
      <c r="P1225" s="1597"/>
      <c r="Q1225" s="1597"/>
      <c r="R1225" s="1597"/>
      <c r="S1225" s="1597"/>
      <c r="T1225" s="1597"/>
    </row>
    <row r="1226" spans="1:20">
      <c r="A1226" s="1597"/>
      <c r="B1226" s="1597"/>
      <c r="C1226" s="1597"/>
      <c r="D1226" s="1597"/>
      <c r="E1226" s="1597"/>
      <c r="F1226" s="1597"/>
      <c r="G1226" s="1597"/>
      <c r="H1226" s="1597"/>
      <c r="I1226" s="1597"/>
      <c r="J1226" s="1597"/>
      <c r="K1226" s="1597"/>
      <c r="L1226" s="1597"/>
      <c r="M1226" s="1597"/>
      <c r="N1226" s="1597"/>
      <c r="O1226" s="1597"/>
      <c r="P1226" s="1597"/>
      <c r="Q1226" s="1597"/>
      <c r="R1226" s="1597"/>
      <c r="S1226" s="1597"/>
      <c r="T1226" s="1597"/>
    </row>
    <row r="1227" spans="1:20">
      <c r="A1227" s="1597"/>
      <c r="B1227" s="1597"/>
      <c r="C1227" s="1597"/>
      <c r="D1227" s="1597"/>
      <c r="E1227" s="1597"/>
      <c r="F1227" s="1597"/>
      <c r="G1227" s="1597"/>
      <c r="H1227" s="1597"/>
      <c r="I1227" s="1597"/>
      <c r="J1227" s="1597"/>
      <c r="K1227" s="1597"/>
      <c r="L1227" s="1597"/>
      <c r="M1227" s="1597"/>
      <c r="N1227" s="1597"/>
      <c r="O1227" s="1597"/>
      <c r="P1227" s="1597"/>
      <c r="Q1227" s="1597"/>
      <c r="R1227" s="1597"/>
      <c r="S1227" s="1597"/>
      <c r="T1227" s="1597"/>
    </row>
    <row r="1228" spans="1:20">
      <c r="A1228" s="1597"/>
      <c r="B1228" s="1597"/>
      <c r="C1228" s="1597"/>
      <c r="D1228" s="1597"/>
      <c r="E1228" s="1597"/>
      <c r="F1228" s="1597"/>
      <c r="G1228" s="1597"/>
      <c r="H1228" s="1597"/>
      <c r="I1228" s="1597"/>
      <c r="J1228" s="1597"/>
      <c r="K1228" s="1597"/>
      <c r="L1228" s="1597"/>
      <c r="M1228" s="1597"/>
      <c r="N1228" s="1597"/>
      <c r="O1228" s="1597"/>
      <c r="P1228" s="1597"/>
      <c r="Q1228" s="1597"/>
      <c r="R1228" s="1597"/>
      <c r="S1228" s="1597"/>
      <c r="T1228" s="1597"/>
    </row>
    <row r="1229" spans="1:20">
      <c r="A1229" s="1597"/>
      <c r="B1229" s="1597"/>
      <c r="C1229" s="1597"/>
      <c r="D1229" s="1597"/>
      <c r="E1229" s="1597"/>
      <c r="F1229" s="1597"/>
      <c r="G1229" s="1597"/>
      <c r="H1229" s="1597"/>
      <c r="I1229" s="1597"/>
      <c r="J1229" s="1597"/>
      <c r="K1229" s="1597"/>
      <c r="L1229" s="1597"/>
      <c r="M1229" s="1597"/>
      <c r="N1229" s="1597"/>
      <c r="O1229" s="1597"/>
      <c r="P1229" s="1597"/>
      <c r="Q1229" s="1597"/>
      <c r="R1229" s="1597"/>
      <c r="S1229" s="1597"/>
      <c r="T1229" s="1597"/>
    </row>
    <row r="1230" spans="1:20">
      <c r="A1230" s="1597"/>
      <c r="B1230" s="1597"/>
      <c r="C1230" s="1597"/>
      <c r="D1230" s="1597"/>
      <c r="E1230" s="1597"/>
      <c r="F1230" s="1597"/>
      <c r="G1230" s="1597"/>
      <c r="H1230" s="1597"/>
      <c r="I1230" s="1597"/>
      <c r="J1230" s="1597"/>
      <c r="K1230" s="1597"/>
      <c r="L1230" s="1597"/>
      <c r="M1230" s="1597"/>
      <c r="N1230" s="1597"/>
      <c r="O1230" s="1597"/>
      <c r="P1230" s="1597"/>
      <c r="Q1230" s="1597"/>
      <c r="R1230" s="1597"/>
      <c r="S1230" s="1597"/>
      <c r="T1230" s="1597"/>
    </row>
    <row r="1231" spans="1:20">
      <c r="A1231" s="1597"/>
      <c r="B1231" s="1597"/>
      <c r="C1231" s="1597"/>
      <c r="D1231" s="1597"/>
      <c r="E1231" s="1597"/>
      <c r="F1231" s="1597"/>
      <c r="G1231" s="1597"/>
      <c r="H1231" s="1597"/>
      <c r="I1231" s="1597"/>
      <c r="J1231" s="1597"/>
      <c r="K1231" s="1597"/>
      <c r="L1231" s="1597"/>
      <c r="M1231" s="1597"/>
      <c r="N1231" s="1597"/>
      <c r="O1231" s="1597"/>
      <c r="P1231" s="1597"/>
      <c r="Q1231" s="1597"/>
      <c r="R1231" s="1597"/>
      <c r="S1231" s="1597"/>
      <c r="T1231" s="1597"/>
    </row>
    <row r="1232" spans="1:20">
      <c r="A1232" s="1597"/>
      <c r="B1232" s="1597"/>
      <c r="C1232" s="1597"/>
      <c r="D1232" s="1597"/>
      <c r="E1232" s="1597"/>
      <c r="F1232" s="1597"/>
      <c r="G1232" s="1597"/>
      <c r="H1232" s="1597"/>
      <c r="I1232" s="1597"/>
      <c r="J1232" s="1597"/>
      <c r="K1232" s="1597"/>
      <c r="L1232" s="1597"/>
      <c r="M1232" s="1597"/>
      <c r="N1232" s="1597"/>
      <c r="O1232" s="1597"/>
      <c r="P1232" s="1597"/>
      <c r="Q1232" s="1597"/>
      <c r="R1232" s="1597"/>
      <c r="S1232" s="1597"/>
      <c r="T1232" s="1597"/>
    </row>
    <row r="1233" spans="1:20">
      <c r="A1233" s="1597"/>
      <c r="B1233" s="1597"/>
      <c r="C1233" s="1597"/>
      <c r="D1233" s="1597"/>
      <c r="E1233" s="1597"/>
      <c r="F1233" s="1597"/>
      <c r="G1233" s="1597"/>
      <c r="H1233" s="1597"/>
      <c r="I1233" s="1597"/>
      <c r="J1233" s="1597"/>
      <c r="K1233" s="1597"/>
      <c r="L1233" s="1597"/>
      <c r="M1233" s="1597"/>
      <c r="N1233" s="1597"/>
      <c r="O1233" s="1597"/>
      <c r="P1233" s="1597"/>
      <c r="Q1233" s="1597"/>
      <c r="R1233" s="1597"/>
      <c r="S1233" s="1597"/>
      <c r="T1233" s="1597"/>
    </row>
    <row r="1234" spans="1:20">
      <c r="A1234" s="1597"/>
      <c r="B1234" s="1597"/>
      <c r="C1234" s="1597"/>
      <c r="D1234" s="1597"/>
      <c r="E1234" s="1597"/>
      <c r="F1234" s="1597"/>
      <c r="G1234" s="1597"/>
      <c r="H1234" s="1597"/>
      <c r="I1234" s="1597"/>
      <c r="J1234" s="1597"/>
      <c r="K1234" s="1597"/>
      <c r="L1234" s="1597"/>
      <c r="M1234" s="1597"/>
      <c r="N1234" s="1597"/>
      <c r="O1234" s="1597"/>
      <c r="P1234" s="1597"/>
      <c r="Q1234" s="1597"/>
      <c r="R1234" s="1597"/>
      <c r="S1234" s="1597"/>
      <c r="T1234" s="1597"/>
    </row>
    <row r="1235" spans="1:20">
      <c r="A1235" s="1597"/>
      <c r="B1235" s="1597"/>
      <c r="C1235" s="1597"/>
      <c r="D1235" s="1597"/>
      <c r="E1235" s="1597"/>
      <c r="F1235" s="1597"/>
      <c r="G1235" s="1597"/>
      <c r="H1235" s="1597"/>
      <c r="I1235" s="1597"/>
      <c r="J1235" s="1597"/>
      <c r="K1235" s="1597"/>
      <c r="L1235" s="1597"/>
      <c r="M1235" s="1597"/>
      <c r="N1235" s="1597"/>
      <c r="O1235" s="1597"/>
      <c r="P1235" s="1597"/>
      <c r="Q1235" s="1597"/>
      <c r="R1235" s="1597"/>
      <c r="S1235" s="1597"/>
      <c r="T1235" s="1597"/>
    </row>
    <row r="1236" spans="1:20">
      <c r="A1236" s="1597"/>
      <c r="B1236" s="1597"/>
      <c r="C1236" s="1597"/>
      <c r="D1236" s="1597"/>
      <c r="E1236" s="1597"/>
      <c r="F1236" s="1597"/>
      <c r="G1236" s="1597"/>
      <c r="H1236" s="1597"/>
      <c r="I1236" s="1597"/>
      <c r="J1236" s="1597"/>
      <c r="K1236" s="1597"/>
      <c r="L1236" s="1597"/>
      <c r="M1236" s="1597"/>
      <c r="N1236" s="1597"/>
      <c r="O1236" s="1597"/>
      <c r="P1236" s="1597"/>
      <c r="Q1236" s="1597"/>
      <c r="R1236" s="1597"/>
      <c r="S1236" s="1597"/>
      <c r="T1236" s="1597"/>
    </row>
    <row r="1237" spans="1:20">
      <c r="A1237" s="1597"/>
      <c r="B1237" s="1597"/>
      <c r="C1237" s="1597"/>
      <c r="D1237" s="1597"/>
      <c r="E1237" s="1597"/>
      <c r="F1237" s="1597"/>
      <c r="G1237" s="1597"/>
      <c r="H1237" s="1597"/>
      <c r="I1237" s="1597"/>
      <c r="J1237" s="1597"/>
      <c r="K1237" s="1597"/>
      <c r="L1237" s="1597"/>
      <c r="M1237" s="1597"/>
      <c r="N1237" s="1597"/>
      <c r="O1237" s="1597"/>
      <c r="P1237" s="1597"/>
      <c r="Q1237" s="1597"/>
      <c r="R1237" s="1597"/>
      <c r="S1237" s="1597"/>
      <c r="T1237" s="1597"/>
    </row>
    <row r="1238" spans="1:20">
      <c r="A1238" s="1597"/>
      <c r="B1238" s="1597"/>
      <c r="C1238" s="1597"/>
      <c r="D1238" s="1597"/>
      <c r="E1238" s="1597"/>
      <c r="F1238" s="1597"/>
      <c r="G1238" s="1597"/>
      <c r="H1238" s="1597"/>
      <c r="I1238" s="1597"/>
      <c r="J1238" s="1597"/>
      <c r="K1238" s="1597"/>
      <c r="L1238" s="1597"/>
      <c r="M1238" s="1597"/>
      <c r="N1238" s="1597"/>
      <c r="O1238" s="1597"/>
      <c r="P1238" s="1597"/>
      <c r="Q1238" s="1597"/>
      <c r="R1238" s="1597"/>
      <c r="S1238" s="1597"/>
      <c r="T1238" s="1597"/>
    </row>
    <row r="1239" spans="1:20">
      <c r="A1239" s="1597"/>
      <c r="B1239" s="1597"/>
      <c r="C1239" s="1597"/>
      <c r="D1239" s="1597"/>
      <c r="E1239" s="1597"/>
      <c r="F1239" s="1597"/>
      <c r="G1239" s="1597"/>
      <c r="H1239" s="1597"/>
      <c r="I1239" s="1597"/>
      <c r="J1239" s="1597"/>
      <c r="K1239" s="1597"/>
      <c r="L1239" s="1597"/>
      <c r="M1239" s="1597"/>
      <c r="N1239" s="1597"/>
      <c r="O1239" s="1597"/>
      <c r="P1239" s="1597"/>
      <c r="Q1239" s="1597"/>
      <c r="R1239" s="1597"/>
      <c r="S1239" s="1597"/>
      <c r="T1239" s="1597"/>
    </row>
    <row r="1240" spans="1:20">
      <c r="A1240" s="1597"/>
      <c r="B1240" s="1597"/>
      <c r="C1240" s="1597"/>
      <c r="D1240" s="1597"/>
      <c r="E1240" s="1597"/>
      <c r="F1240" s="1597"/>
      <c r="G1240" s="1597"/>
      <c r="H1240" s="1597"/>
      <c r="I1240" s="1597"/>
      <c r="J1240" s="1597"/>
      <c r="K1240" s="1597"/>
      <c r="L1240" s="1597"/>
      <c r="M1240" s="1597"/>
      <c r="N1240" s="1597"/>
      <c r="O1240" s="1597"/>
      <c r="P1240" s="1597"/>
      <c r="Q1240" s="1597"/>
      <c r="R1240" s="1597"/>
      <c r="S1240" s="1597"/>
      <c r="T1240" s="1597"/>
    </row>
    <row r="1241" spans="1:20">
      <c r="A1241" s="1597"/>
      <c r="B1241" s="1597"/>
      <c r="C1241" s="1597"/>
      <c r="D1241" s="1597"/>
      <c r="E1241" s="1597"/>
      <c r="F1241" s="1597"/>
      <c r="G1241" s="1597"/>
      <c r="H1241" s="1597"/>
      <c r="I1241" s="1597"/>
      <c r="J1241" s="1597"/>
      <c r="K1241" s="1597"/>
      <c r="L1241" s="1597"/>
      <c r="M1241" s="1597"/>
      <c r="N1241" s="1597"/>
      <c r="O1241" s="1597"/>
      <c r="P1241" s="1597"/>
      <c r="Q1241" s="1597"/>
      <c r="R1241" s="1597"/>
      <c r="S1241" s="1597"/>
      <c r="T1241" s="1597"/>
    </row>
    <row r="1242" spans="1:20">
      <c r="A1242" s="1597"/>
      <c r="B1242" s="1597"/>
      <c r="C1242" s="1597"/>
      <c r="D1242" s="1597"/>
      <c r="E1242" s="1597"/>
      <c r="F1242" s="1597"/>
      <c r="G1242" s="1597"/>
      <c r="H1242" s="1597"/>
      <c r="I1242" s="1597"/>
      <c r="J1242" s="1597"/>
      <c r="K1242" s="1597"/>
      <c r="L1242" s="1597"/>
      <c r="M1242" s="1597"/>
      <c r="N1242" s="1597"/>
      <c r="O1242" s="1597"/>
      <c r="P1242" s="1597"/>
      <c r="Q1242" s="1597"/>
      <c r="R1242" s="1597"/>
      <c r="S1242" s="1597"/>
      <c r="T1242" s="1597"/>
    </row>
    <row r="1243" spans="1:20">
      <c r="A1243" s="1597"/>
      <c r="B1243" s="1597"/>
      <c r="C1243" s="1597"/>
      <c r="D1243" s="1597"/>
      <c r="E1243" s="1597"/>
      <c r="F1243" s="1597"/>
      <c r="G1243" s="1597"/>
      <c r="H1243" s="1597"/>
      <c r="I1243" s="1597"/>
      <c r="J1243" s="1597"/>
      <c r="K1243" s="1597"/>
      <c r="L1243" s="1597"/>
      <c r="M1243" s="1597"/>
      <c r="N1243" s="1597"/>
      <c r="O1243" s="1597"/>
      <c r="P1243" s="1597"/>
      <c r="Q1243" s="1597"/>
      <c r="R1243" s="1597"/>
      <c r="S1243" s="1597"/>
      <c r="T1243" s="1597"/>
    </row>
    <row r="1244" spans="1:20">
      <c r="A1244" s="1597"/>
      <c r="B1244" s="1597"/>
      <c r="C1244" s="1597"/>
      <c r="D1244" s="1597"/>
      <c r="E1244" s="1597"/>
      <c r="F1244" s="1597"/>
      <c r="G1244" s="1597"/>
      <c r="H1244" s="1597"/>
      <c r="I1244" s="1597"/>
      <c r="J1244" s="1597"/>
      <c r="K1244" s="1597"/>
      <c r="L1244" s="1597"/>
      <c r="M1244" s="1597"/>
      <c r="N1244" s="1597"/>
      <c r="O1244" s="1597"/>
      <c r="P1244" s="1597"/>
      <c r="Q1244" s="1597"/>
      <c r="R1244" s="1597"/>
      <c r="S1244" s="1597"/>
      <c r="T1244" s="1597"/>
    </row>
    <row r="1245" spans="1:20">
      <c r="A1245" s="1597"/>
      <c r="B1245" s="1597"/>
      <c r="C1245" s="1597"/>
      <c r="D1245" s="1597"/>
      <c r="E1245" s="1597"/>
      <c r="F1245" s="1597"/>
      <c r="G1245" s="1597"/>
      <c r="H1245" s="1597"/>
      <c r="I1245" s="1597"/>
      <c r="J1245" s="1597"/>
      <c r="K1245" s="1597"/>
      <c r="L1245" s="1597"/>
      <c r="M1245" s="1597"/>
      <c r="N1245" s="1597"/>
      <c r="O1245" s="1597"/>
      <c r="P1245" s="1597"/>
      <c r="Q1245" s="1597"/>
      <c r="R1245" s="1597"/>
      <c r="S1245" s="1597"/>
      <c r="T1245" s="1597"/>
    </row>
    <row r="1246" spans="1:20">
      <c r="A1246" s="1597"/>
      <c r="B1246" s="1597"/>
      <c r="C1246" s="1597"/>
      <c r="D1246" s="1597"/>
      <c r="E1246" s="1597"/>
      <c r="F1246" s="1597"/>
      <c r="G1246" s="1597"/>
      <c r="H1246" s="1597"/>
      <c r="I1246" s="1597"/>
      <c r="J1246" s="1597"/>
      <c r="K1246" s="1597"/>
      <c r="L1246" s="1597"/>
      <c r="M1246" s="1597"/>
      <c r="N1246" s="1597"/>
      <c r="O1246" s="1597"/>
      <c r="P1246" s="1597"/>
      <c r="Q1246" s="1597"/>
      <c r="R1246" s="1597"/>
      <c r="S1246" s="1597"/>
      <c r="T1246" s="1597"/>
    </row>
    <row r="1247" spans="1:20">
      <c r="A1247" s="1597"/>
      <c r="B1247" s="1597"/>
      <c r="C1247" s="1597"/>
      <c r="D1247" s="1597"/>
      <c r="E1247" s="1597"/>
      <c r="F1247" s="1597"/>
      <c r="G1247" s="1597"/>
      <c r="H1247" s="1597"/>
      <c r="I1247" s="1597"/>
      <c r="J1247" s="1597"/>
      <c r="K1247" s="1597"/>
      <c r="L1247" s="1597"/>
      <c r="M1247" s="1597"/>
      <c r="N1247" s="1597"/>
      <c r="O1247" s="1597"/>
      <c r="P1247" s="1597"/>
      <c r="Q1247" s="1597"/>
      <c r="R1247" s="1597"/>
      <c r="S1247" s="1597"/>
      <c r="T1247" s="1597"/>
    </row>
    <row r="1248" spans="1:20">
      <c r="A1248" s="1597"/>
      <c r="B1248" s="1597"/>
      <c r="C1248" s="1597"/>
      <c r="D1248" s="1597"/>
      <c r="E1248" s="1597"/>
      <c r="F1248" s="1597"/>
      <c r="G1248" s="1597"/>
      <c r="H1248" s="1597"/>
      <c r="I1248" s="1597"/>
      <c r="J1248" s="1597"/>
      <c r="K1248" s="1597"/>
      <c r="L1248" s="1597"/>
      <c r="M1248" s="1597"/>
      <c r="N1248" s="1597"/>
      <c r="O1248" s="1597"/>
      <c r="P1248" s="1597"/>
      <c r="Q1248" s="1597"/>
      <c r="R1248" s="1597"/>
      <c r="S1248" s="1597"/>
      <c r="T1248" s="1597"/>
    </row>
    <row r="1249" spans="1:20">
      <c r="A1249" s="1597"/>
      <c r="B1249" s="1597"/>
      <c r="C1249" s="1597"/>
      <c r="D1249" s="1597"/>
      <c r="E1249" s="1597"/>
      <c r="F1249" s="1597"/>
      <c r="G1249" s="1597"/>
      <c r="H1249" s="1597"/>
      <c r="I1249" s="1597"/>
      <c r="J1249" s="1597"/>
      <c r="K1249" s="1597"/>
      <c r="L1249" s="1597"/>
      <c r="M1249" s="1597"/>
      <c r="N1249" s="1597"/>
      <c r="O1249" s="1597"/>
      <c r="P1249" s="1597"/>
      <c r="Q1249" s="1597"/>
      <c r="R1249" s="1597"/>
      <c r="S1249" s="1597"/>
      <c r="T1249" s="1597"/>
    </row>
    <row r="1250" spans="1:20">
      <c r="A1250" s="1597"/>
      <c r="B1250" s="1597"/>
      <c r="C1250" s="1597"/>
      <c r="D1250" s="1597"/>
      <c r="E1250" s="1597"/>
      <c r="F1250" s="1597"/>
      <c r="G1250" s="1597"/>
      <c r="H1250" s="1597"/>
      <c r="I1250" s="1597"/>
      <c r="J1250" s="1597"/>
      <c r="K1250" s="1597"/>
      <c r="L1250" s="1597"/>
      <c r="M1250" s="1597"/>
      <c r="N1250" s="1597"/>
      <c r="O1250" s="1597"/>
      <c r="P1250" s="1597"/>
      <c r="Q1250" s="1597"/>
      <c r="R1250" s="1597"/>
      <c r="S1250" s="1597"/>
      <c r="T1250" s="1597"/>
    </row>
    <row r="1251" spans="1:20">
      <c r="A1251" s="1597"/>
      <c r="B1251" s="1597"/>
      <c r="C1251" s="1597"/>
      <c r="D1251" s="1597"/>
      <c r="E1251" s="1597"/>
      <c r="F1251" s="1597"/>
      <c r="G1251" s="1597"/>
      <c r="H1251" s="1597"/>
      <c r="I1251" s="1597"/>
      <c r="J1251" s="1597"/>
      <c r="K1251" s="1597"/>
      <c r="L1251" s="1597"/>
      <c r="M1251" s="1597"/>
      <c r="N1251" s="1597"/>
      <c r="O1251" s="1597"/>
      <c r="P1251" s="1597"/>
      <c r="Q1251" s="1597"/>
      <c r="R1251" s="1597"/>
      <c r="S1251" s="1597"/>
      <c r="T1251" s="1597"/>
    </row>
    <row r="1252" spans="1:20">
      <c r="A1252" s="1597"/>
      <c r="B1252" s="1597"/>
      <c r="C1252" s="1597"/>
      <c r="D1252" s="1597"/>
      <c r="E1252" s="1597"/>
      <c r="F1252" s="1597"/>
      <c r="G1252" s="1597"/>
      <c r="H1252" s="1597"/>
      <c r="I1252" s="1597"/>
      <c r="J1252" s="1597"/>
      <c r="K1252" s="1597"/>
      <c r="L1252" s="1597"/>
      <c r="M1252" s="1597"/>
      <c r="N1252" s="1597"/>
      <c r="O1252" s="1597"/>
      <c r="P1252" s="1597"/>
      <c r="Q1252" s="1597"/>
      <c r="R1252" s="1597"/>
      <c r="S1252" s="1597"/>
      <c r="T1252" s="1597"/>
    </row>
    <row r="1253" spans="1:20">
      <c r="A1253" s="1597"/>
      <c r="B1253" s="1597"/>
      <c r="C1253" s="1597"/>
      <c r="D1253" s="1597"/>
      <c r="E1253" s="1597"/>
      <c r="F1253" s="1597"/>
      <c r="G1253" s="1597"/>
      <c r="H1253" s="1597"/>
      <c r="I1253" s="1597"/>
      <c r="J1253" s="1597"/>
      <c r="K1253" s="1597"/>
      <c r="L1253" s="1597"/>
      <c r="M1253" s="1597"/>
      <c r="N1253" s="1597"/>
      <c r="O1253" s="1597"/>
      <c r="P1253" s="1597"/>
      <c r="Q1253" s="1597"/>
      <c r="R1253" s="1597"/>
      <c r="S1253" s="1597"/>
      <c r="T1253" s="1597"/>
    </row>
    <row r="1254" spans="1:20">
      <c r="A1254" s="1597"/>
      <c r="B1254" s="1597"/>
      <c r="C1254" s="1597"/>
      <c r="D1254" s="1597"/>
      <c r="E1254" s="1597"/>
      <c r="F1254" s="1597"/>
      <c r="G1254" s="1597"/>
      <c r="H1254" s="1597"/>
      <c r="I1254" s="1597"/>
      <c r="J1254" s="1597"/>
      <c r="K1254" s="1597"/>
      <c r="L1254" s="1597"/>
      <c r="M1254" s="1597"/>
      <c r="N1254" s="1597"/>
      <c r="O1254" s="1597"/>
      <c r="P1254" s="1597"/>
      <c r="Q1254" s="1597"/>
      <c r="R1254" s="1597"/>
      <c r="S1254" s="1597"/>
      <c r="T1254" s="1597"/>
    </row>
    <row r="1255" spans="1:20">
      <c r="A1255" s="1597"/>
      <c r="B1255" s="1597"/>
      <c r="C1255" s="1597"/>
      <c r="D1255" s="1597"/>
      <c r="E1255" s="1597"/>
      <c r="F1255" s="1597"/>
      <c r="G1255" s="1597"/>
      <c r="H1255" s="1597"/>
      <c r="I1255" s="1597"/>
      <c r="J1255" s="1597"/>
      <c r="K1255" s="1597"/>
      <c r="L1255" s="1597"/>
      <c r="M1255" s="1597"/>
      <c r="N1255" s="1597"/>
      <c r="O1255" s="1597"/>
      <c r="P1255" s="1597"/>
      <c r="Q1255" s="1597"/>
      <c r="R1255" s="1597"/>
      <c r="S1255" s="1597"/>
      <c r="T1255" s="1597"/>
    </row>
    <row r="1256" spans="1:20">
      <c r="A1256" s="1597"/>
      <c r="B1256" s="1597"/>
      <c r="C1256" s="1597"/>
      <c r="D1256" s="1597"/>
      <c r="E1256" s="1597"/>
      <c r="F1256" s="1597"/>
      <c r="G1256" s="1597"/>
      <c r="H1256" s="1597"/>
      <c r="I1256" s="1597"/>
      <c r="J1256" s="1597"/>
      <c r="K1256" s="1597"/>
      <c r="L1256" s="1597"/>
      <c r="M1256" s="1597"/>
      <c r="N1256" s="1597"/>
      <c r="O1256" s="1597"/>
      <c r="P1256" s="1597"/>
      <c r="Q1256" s="1597"/>
      <c r="R1256" s="1597"/>
      <c r="S1256" s="1597"/>
      <c r="T1256" s="1597"/>
    </row>
    <row r="1257" spans="1:20">
      <c r="A1257" s="1597"/>
      <c r="B1257" s="1597"/>
      <c r="C1257" s="1597"/>
      <c r="D1257" s="1597"/>
      <c r="E1257" s="1597"/>
      <c r="F1257" s="1597"/>
      <c r="G1257" s="1597"/>
      <c r="H1257" s="1597"/>
      <c r="I1257" s="1597"/>
      <c r="J1257" s="1597"/>
      <c r="K1257" s="1597"/>
      <c r="L1257" s="1597"/>
      <c r="M1257" s="1597"/>
      <c r="N1257" s="1597"/>
      <c r="O1257" s="1597"/>
      <c r="P1257" s="1597"/>
      <c r="Q1257" s="1597"/>
      <c r="R1257" s="1597"/>
      <c r="S1257" s="1597"/>
      <c r="T1257" s="1597"/>
    </row>
    <row r="1258" spans="1:20">
      <c r="A1258" s="1597"/>
      <c r="B1258" s="1597"/>
      <c r="C1258" s="1597"/>
      <c r="D1258" s="1597"/>
      <c r="E1258" s="1597"/>
      <c r="F1258" s="1597"/>
      <c r="G1258" s="1597"/>
      <c r="H1258" s="1597"/>
      <c r="I1258" s="1597"/>
      <c r="J1258" s="1597"/>
      <c r="K1258" s="1597"/>
      <c r="L1258" s="1597"/>
      <c r="M1258" s="1597"/>
      <c r="N1258" s="1597"/>
      <c r="O1258" s="1597"/>
      <c r="P1258" s="1597"/>
      <c r="Q1258" s="1597"/>
      <c r="R1258" s="1597"/>
      <c r="S1258" s="1597"/>
      <c r="T1258" s="1597"/>
    </row>
    <row r="1259" spans="1:20">
      <c r="A1259" s="1597"/>
      <c r="B1259" s="1597"/>
      <c r="C1259" s="1597"/>
      <c r="D1259" s="1597"/>
      <c r="E1259" s="1597"/>
      <c r="F1259" s="1597"/>
      <c r="G1259" s="1597"/>
      <c r="H1259" s="1597"/>
      <c r="I1259" s="1597"/>
      <c r="J1259" s="1597"/>
      <c r="K1259" s="1597"/>
      <c r="L1259" s="1597"/>
      <c r="M1259" s="1597"/>
      <c r="N1259" s="1597"/>
      <c r="O1259" s="1597"/>
      <c r="P1259" s="1597"/>
      <c r="Q1259" s="1597"/>
      <c r="R1259" s="1597"/>
      <c r="S1259" s="1597"/>
      <c r="T1259" s="1597"/>
    </row>
    <row r="1260" spans="1:20">
      <c r="A1260" s="1597"/>
      <c r="B1260" s="1597"/>
      <c r="C1260" s="1597"/>
      <c r="D1260" s="1597"/>
      <c r="E1260" s="1597"/>
      <c r="F1260" s="1597"/>
      <c r="G1260" s="1597"/>
      <c r="H1260" s="1597"/>
      <c r="I1260" s="1597"/>
      <c r="J1260" s="1597"/>
      <c r="K1260" s="1597"/>
      <c r="L1260" s="1597"/>
      <c r="M1260" s="1597"/>
      <c r="N1260" s="1597"/>
      <c r="O1260" s="1597"/>
      <c r="P1260" s="1597"/>
      <c r="Q1260" s="1597"/>
      <c r="R1260" s="1597"/>
      <c r="S1260" s="1597"/>
      <c r="T1260" s="1597"/>
    </row>
    <row r="1261" spans="1:20">
      <c r="A1261" s="1597"/>
      <c r="B1261" s="1597"/>
      <c r="C1261" s="1597"/>
      <c r="D1261" s="1597"/>
      <c r="E1261" s="1597"/>
      <c r="F1261" s="1597"/>
      <c r="G1261" s="1597"/>
      <c r="H1261" s="1597"/>
      <c r="I1261" s="1597"/>
      <c r="J1261" s="1597"/>
      <c r="K1261" s="1597"/>
      <c r="L1261" s="1597"/>
      <c r="M1261" s="1597"/>
      <c r="N1261" s="1597"/>
      <c r="O1261" s="1597"/>
      <c r="P1261" s="1597"/>
      <c r="Q1261" s="1597"/>
      <c r="R1261" s="1597"/>
      <c r="S1261" s="1597"/>
      <c r="T1261" s="1597"/>
    </row>
    <row r="1262" spans="1:20">
      <c r="A1262" s="1597"/>
      <c r="B1262" s="1597"/>
      <c r="C1262" s="1597"/>
      <c r="D1262" s="1597"/>
      <c r="E1262" s="1597"/>
      <c r="F1262" s="1597"/>
      <c r="G1262" s="1597"/>
      <c r="H1262" s="1597"/>
      <c r="I1262" s="1597"/>
      <c r="J1262" s="1597"/>
      <c r="K1262" s="1597"/>
      <c r="L1262" s="1597"/>
      <c r="M1262" s="1597"/>
      <c r="N1262" s="1597"/>
      <c r="O1262" s="1597"/>
      <c r="P1262" s="1597"/>
      <c r="Q1262" s="1597"/>
      <c r="R1262" s="1597"/>
      <c r="S1262" s="1597"/>
      <c r="T1262" s="1597"/>
    </row>
    <row r="1263" spans="1:20">
      <c r="A1263" s="1597"/>
      <c r="B1263" s="1597"/>
      <c r="C1263" s="1597"/>
      <c r="D1263" s="1597"/>
      <c r="E1263" s="1597"/>
      <c r="F1263" s="1597"/>
      <c r="G1263" s="1597"/>
      <c r="H1263" s="1597"/>
      <c r="I1263" s="1597"/>
      <c r="J1263" s="1597"/>
      <c r="K1263" s="1597"/>
      <c r="L1263" s="1597"/>
      <c r="M1263" s="1597"/>
      <c r="N1263" s="1597"/>
      <c r="O1263" s="1597"/>
      <c r="P1263" s="1597"/>
      <c r="Q1263" s="1597"/>
      <c r="R1263" s="1597"/>
      <c r="S1263" s="1597"/>
      <c r="T1263" s="1597"/>
    </row>
    <row r="1264" spans="1:20">
      <c r="A1264" s="1597"/>
      <c r="B1264" s="1597"/>
      <c r="C1264" s="1597"/>
      <c r="D1264" s="1597"/>
      <c r="E1264" s="1597"/>
      <c r="F1264" s="1597"/>
      <c r="G1264" s="1597"/>
      <c r="H1264" s="1597"/>
      <c r="I1264" s="1597"/>
      <c r="J1264" s="1597"/>
      <c r="K1264" s="1597"/>
      <c r="L1264" s="1597"/>
      <c r="M1264" s="1597"/>
      <c r="N1264" s="1597"/>
      <c r="O1264" s="1597"/>
      <c r="P1264" s="1597"/>
      <c r="Q1264" s="1597"/>
      <c r="R1264" s="1597"/>
      <c r="S1264" s="1597"/>
      <c r="T1264" s="1597"/>
    </row>
    <row r="1265" spans="1:20">
      <c r="A1265" s="1597"/>
      <c r="B1265" s="1597"/>
      <c r="C1265" s="1597"/>
      <c r="D1265" s="1597"/>
      <c r="E1265" s="1597"/>
      <c r="F1265" s="1597"/>
      <c r="G1265" s="1597"/>
      <c r="H1265" s="1597"/>
      <c r="I1265" s="1597"/>
      <c r="J1265" s="1597"/>
      <c r="K1265" s="1597"/>
      <c r="L1265" s="1597"/>
      <c r="M1265" s="1597"/>
      <c r="N1265" s="1597"/>
      <c r="O1265" s="1597"/>
      <c r="P1265" s="1597"/>
      <c r="Q1265" s="1597"/>
      <c r="R1265" s="1597"/>
      <c r="S1265" s="1597"/>
      <c r="T1265" s="1597"/>
    </row>
    <row r="1266" spans="1:20">
      <c r="A1266" s="1597"/>
      <c r="B1266" s="1597"/>
      <c r="C1266" s="1597"/>
      <c r="D1266" s="1597"/>
      <c r="E1266" s="1597"/>
      <c r="F1266" s="1597"/>
      <c r="G1266" s="1597"/>
      <c r="H1266" s="1597"/>
      <c r="I1266" s="1597"/>
      <c r="J1266" s="1597"/>
      <c r="K1266" s="1597"/>
      <c r="L1266" s="1597"/>
      <c r="M1266" s="1597"/>
      <c r="N1266" s="1597"/>
      <c r="O1266" s="1597"/>
      <c r="P1266" s="1597"/>
      <c r="Q1266" s="1597"/>
      <c r="R1266" s="1597"/>
      <c r="S1266" s="1597"/>
      <c r="T1266" s="1597"/>
    </row>
    <row r="1267" spans="1:20">
      <c r="A1267" s="1597"/>
      <c r="B1267" s="1597"/>
      <c r="C1267" s="1597"/>
      <c r="D1267" s="1597"/>
      <c r="E1267" s="1597"/>
      <c r="F1267" s="1597"/>
      <c r="G1267" s="1597"/>
      <c r="H1267" s="1597"/>
      <c r="I1267" s="1597"/>
      <c r="J1267" s="1597"/>
      <c r="K1267" s="1597"/>
      <c r="L1267" s="1597"/>
      <c r="M1267" s="1597"/>
      <c r="N1267" s="1597"/>
      <c r="O1267" s="1597"/>
      <c r="P1267" s="1597"/>
      <c r="Q1267" s="1597"/>
      <c r="R1267" s="1597"/>
      <c r="S1267" s="1597"/>
      <c r="T1267" s="1597"/>
    </row>
    <row r="1268" spans="1:20">
      <c r="A1268" s="1597"/>
      <c r="B1268" s="1597"/>
      <c r="C1268" s="1597"/>
      <c r="D1268" s="1597"/>
      <c r="E1268" s="1597"/>
      <c r="F1268" s="1597"/>
      <c r="G1268" s="1597"/>
      <c r="H1268" s="1597"/>
      <c r="I1268" s="1597"/>
      <c r="J1268" s="1597"/>
      <c r="K1268" s="1597"/>
      <c r="L1268" s="1597"/>
      <c r="M1268" s="1597"/>
      <c r="N1268" s="1597"/>
      <c r="O1268" s="1597"/>
      <c r="P1268" s="1597"/>
      <c r="Q1268" s="1597"/>
      <c r="R1268" s="1597"/>
      <c r="S1268" s="1597"/>
      <c r="T1268" s="1597"/>
    </row>
    <row r="1269" spans="1:20">
      <c r="A1269" s="1597"/>
      <c r="B1269" s="1597"/>
      <c r="C1269" s="1597"/>
      <c r="D1269" s="1597"/>
      <c r="E1269" s="1597"/>
      <c r="F1269" s="1597"/>
      <c r="G1269" s="1597"/>
      <c r="H1269" s="1597"/>
      <c r="I1269" s="1597"/>
      <c r="J1269" s="1597"/>
      <c r="K1269" s="1597"/>
      <c r="L1269" s="1597"/>
      <c r="M1269" s="1597"/>
      <c r="N1269" s="1597"/>
      <c r="O1269" s="1597"/>
      <c r="P1269" s="1597"/>
      <c r="Q1269" s="1597"/>
      <c r="R1269" s="1597"/>
      <c r="S1269" s="1597"/>
      <c r="T1269" s="1597"/>
    </row>
    <row r="1270" spans="1:20">
      <c r="A1270" s="1597"/>
      <c r="B1270" s="1597"/>
      <c r="C1270" s="1597"/>
      <c r="D1270" s="1597"/>
      <c r="E1270" s="1597"/>
      <c r="F1270" s="1597"/>
      <c r="G1270" s="1597"/>
      <c r="H1270" s="1597"/>
      <c r="I1270" s="1597"/>
      <c r="J1270" s="1597"/>
      <c r="K1270" s="1597"/>
      <c r="L1270" s="1597"/>
      <c r="M1270" s="1597"/>
      <c r="N1270" s="1597"/>
      <c r="O1270" s="1597"/>
      <c r="P1270" s="1597"/>
      <c r="Q1270" s="1597"/>
      <c r="R1270" s="1597"/>
      <c r="S1270" s="1597"/>
      <c r="T1270" s="1597"/>
    </row>
    <row r="1271" spans="1:20">
      <c r="A1271" s="1597"/>
      <c r="B1271" s="1597"/>
      <c r="C1271" s="1597"/>
      <c r="D1271" s="1597"/>
      <c r="E1271" s="1597"/>
      <c r="F1271" s="1597"/>
      <c r="G1271" s="1597"/>
      <c r="H1271" s="1597"/>
      <c r="I1271" s="1597"/>
      <c r="J1271" s="1597"/>
      <c r="K1271" s="1597"/>
      <c r="L1271" s="1597"/>
      <c r="M1271" s="1597"/>
      <c r="N1271" s="1597"/>
      <c r="O1271" s="1597"/>
      <c r="P1271" s="1597"/>
      <c r="Q1271" s="1597"/>
      <c r="R1271" s="1597"/>
      <c r="S1271" s="1597"/>
      <c r="T1271" s="1597"/>
    </row>
    <row r="1272" spans="1:20">
      <c r="A1272" s="1597"/>
      <c r="B1272" s="1597"/>
      <c r="C1272" s="1597"/>
      <c r="D1272" s="1597"/>
      <c r="E1272" s="1597"/>
      <c r="F1272" s="1597"/>
      <c r="G1272" s="1597"/>
      <c r="H1272" s="1597"/>
      <c r="I1272" s="1597"/>
      <c r="J1272" s="1597"/>
      <c r="K1272" s="1597"/>
      <c r="L1272" s="1597"/>
      <c r="M1272" s="1597"/>
      <c r="N1272" s="1597"/>
      <c r="O1272" s="1597"/>
      <c r="P1272" s="1597"/>
      <c r="Q1272" s="1597"/>
      <c r="R1272" s="1597"/>
      <c r="S1272" s="1597"/>
      <c r="T1272" s="1597"/>
    </row>
    <row r="1273" spans="1:20">
      <c r="A1273" s="1597"/>
      <c r="B1273" s="1597"/>
      <c r="C1273" s="1597"/>
      <c r="D1273" s="1597"/>
      <c r="E1273" s="1597"/>
      <c r="F1273" s="1597"/>
      <c r="G1273" s="1597"/>
      <c r="H1273" s="1597"/>
      <c r="I1273" s="1597"/>
      <c r="J1273" s="1597"/>
      <c r="K1273" s="1597"/>
      <c r="L1273" s="1597"/>
      <c r="M1273" s="1597"/>
      <c r="N1273" s="1597"/>
      <c r="O1273" s="1597"/>
      <c r="P1273" s="1597"/>
      <c r="Q1273" s="1597"/>
      <c r="R1273" s="1597"/>
      <c r="S1273" s="1597"/>
      <c r="T1273" s="1597"/>
    </row>
    <row r="1274" spans="1:20">
      <c r="A1274" s="1597"/>
      <c r="B1274" s="1597"/>
      <c r="C1274" s="1597"/>
      <c r="D1274" s="1597"/>
      <c r="E1274" s="1597"/>
      <c r="F1274" s="1597"/>
      <c r="G1274" s="1597"/>
      <c r="H1274" s="1597"/>
      <c r="I1274" s="1597"/>
      <c r="J1274" s="1597"/>
      <c r="K1274" s="1597"/>
      <c r="L1274" s="1597"/>
      <c r="M1274" s="1597"/>
      <c r="N1274" s="1597"/>
      <c r="O1274" s="1597"/>
      <c r="P1274" s="1597"/>
      <c r="Q1274" s="1597"/>
      <c r="R1274" s="1597"/>
      <c r="S1274" s="1597"/>
      <c r="T1274" s="1597"/>
    </row>
    <row r="1275" spans="1:20">
      <c r="A1275" s="1597"/>
      <c r="B1275" s="1597"/>
      <c r="C1275" s="1597"/>
      <c r="D1275" s="1597"/>
      <c r="E1275" s="1597"/>
      <c r="F1275" s="1597"/>
      <c r="G1275" s="1597"/>
      <c r="H1275" s="1597"/>
      <c r="I1275" s="1597"/>
      <c r="J1275" s="1597"/>
      <c r="K1275" s="1597"/>
      <c r="L1275" s="1597"/>
      <c r="M1275" s="1597"/>
      <c r="N1275" s="1597"/>
      <c r="O1275" s="1597"/>
      <c r="P1275" s="1597"/>
      <c r="Q1275" s="1597"/>
      <c r="R1275" s="1597"/>
      <c r="S1275" s="1597"/>
      <c r="T1275" s="1597"/>
    </row>
    <row r="1276" spans="1:20">
      <c r="A1276" s="1597"/>
      <c r="B1276" s="1597"/>
      <c r="C1276" s="1597"/>
      <c r="D1276" s="1597"/>
      <c r="E1276" s="1597"/>
      <c r="F1276" s="1597"/>
      <c r="G1276" s="1597"/>
      <c r="H1276" s="1597"/>
      <c r="I1276" s="1597"/>
      <c r="J1276" s="1597"/>
      <c r="K1276" s="1597"/>
      <c r="L1276" s="1597"/>
      <c r="M1276" s="1597"/>
      <c r="N1276" s="1597"/>
      <c r="O1276" s="1597"/>
      <c r="P1276" s="1597"/>
      <c r="Q1276" s="1597"/>
      <c r="R1276" s="1597"/>
      <c r="S1276" s="1597"/>
      <c r="T1276" s="1597"/>
    </row>
    <row r="1277" spans="1:20">
      <c r="A1277" s="1597"/>
      <c r="B1277" s="1597"/>
      <c r="C1277" s="1597"/>
      <c r="D1277" s="1597"/>
      <c r="E1277" s="1597"/>
      <c r="F1277" s="1597"/>
      <c r="G1277" s="1597"/>
      <c r="H1277" s="1597"/>
      <c r="I1277" s="1597"/>
      <c r="J1277" s="1597"/>
      <c r="K1277" s="1597"/>
      <c r="L1277" s="1597"/>
      <c r="M1277" s="1597"/>
      <c r="N1277" s="1597"/>
      <c r="O1277" s="1597"/>
      <c r="P1277" s="1597"/>
      <c r="Q1277" s="1597"/>
      <c r="R1277" s="1597"/>
      <c r="S1277" s="1597"/>
      <c r="T1277" s="1597"/>
    </row>
    <row r="1278" spans="1:20">
      <c r="A1278" s="1597"/>
      <c r="B1278" s="1597"/>
      <c r="C1278" s="1597"/>
      <c r="D1278" s="1597"/>
      <c r="E1278" s="1597"/>
      <c r="F1278" s="1597"/>
      <c r="G1278" s="1597"/>
      <c r="H1278" s="1597"/>
      <c r="I1278" s="1597"/>
      <c r="J1278" s="1597"/>
      <c r="K1278" s="1597"/>
      <c r="L1278" s="1597"/>
      <c r="M1278" s="1597"/>
      <c r="N1278" s="1597"/>
      <c r="O1278" s="1597"/>
      <c r="P1278" s="1597"/>
      <c r="Q1278" s="1597"/>
      <c r="R1278" s="1597"/>
      <c r="S1278" s="1597"/>
      <c r="T1278" s="1597"/>
    </row>
    <row r="1279" spans="1:20">
      <c r="A1279" s="1597"/>
      <c r="B1279" s="1597"/>
      <c r="C1279" s="1597"/>
      <c r="D1279" s="1597"/>
      <c r="E1279" s="1597"/>
      <c r="F1279" s="1597"/>
      <c r="G1279" s="1597"/>
      <c r="H1279" s="1597"/>
      <c r="I1279" s="1597"/>
      <c r="J1279" s="1597"/>
      <c r="K1279" s="1597"/>
      <c r="L1279" s="1597"/>
      <c r="M1279" s="1597"/>
      <c r="N1279" s="1597"/>
      <c r="O1279" s="1597"/>
      <c r="P1279" s="1597"/>
      <c r="Q1279" s="1597"/>
      <c r="R1279" s="1597"/>
      <c r="S1279" s="1597"/>
      <c r="T1279" s="1597"/>
    </row>
    <row r="1280" spans="1:20">
      <c r="A1280" s="1597"/>
      <c r="B1280" s="1597"/>
      <c r="C1280" s="1597"/>
      <c r="D1280" s="1597"/>
      <c r="E1280" s="1597"/>
      <c r="F1280" s="1597"/>
      <c r="G1280" s="1597"/>
      <c r="H1280" s="1597"/>
      <c r="I1280" s="1597"/>
      <c r="J1280" s="1597"/>
      <c r="K1280" s="1597"/>
      <c r="L1280" s="1597"/>
      <c r="M1280" s="1597"/>
      <c r="N1280" s="1597"/>
      <c r="O1280" s="1597"/>
      <c r="P1280" s="1597"/>
      <c r="Q1280" s="1597"/>
      <c r="R1280" s="1597"/>
      <c r="S1280" s="1597"/>
      <c r="T1280" s="1597"/>
    </row>
    <row r="1281" spans="1:20">
      <c r="A1281" s="1597"/>
      <c r="B1281" s="1597"/>
      <c r="C1281" s="1597"/>
      <c r="D1281" s="1597"/>
      <c r="E1281" s="1597"/>
      <c r="F1281" s="1597"/>
      <c r="G1281" s="1597"/>
      <c r="H1281" s="1597"/>
      <c r="I1281" s="1597"/>
      <c r="J1281" s="1597"/>
      <c r="K1281" s="1597"/>
      <c r="L1281" s="1597"/>
      <c r="M1281" s="1597"/>
      <c r="N1281" s="1597"/>
      <c r="O1281" s="1597"/>
      <c r="P1281" s="1597"/>
      <c r="Q1281" s="1597"/>
      <c r="R1281" s="1597"/>
      <c r="S1281" s="1597"/>
      <c r="T1281" s="1597"/>
    </row>
    <row r="1282" spans="1:20">
      <c r="A1282" s="1597"/>
      <c r="B1282" s="1597"/>
      <c r="C1282" s="1597"/>
      <c r="D1282" s="1597"/>
      <c r="E1282" s="1597"/>
      <c r="F1282" s="1597"/>
      <c r="G1282" s="1597"/>
      <c r="H1282" s="1597"/>
      <c r="I1282" s="1597"/>
      <c r="J1282" s="1597"/>
      <c r="K1282" s="1597"/>
      <c r="L1282" s="1597"/>
      <c r="M1282" s="1597"/>
      <c r="N1282" s="1597"/>
      <c r="O1282" s="1597"/>
      <c r="P1282" s="1597"/>
      <c r="Q1282" s="1597"/>
      <c r="R1282" s="1597"/>
      <c r="S1282" s="1597"/>
      <c r="T1282" s="1597"/>
    </row>
    <row r="1283" spans="1:20">
      <c r="A1283" s="1597"/>
      <c r="B1283" s="1597"/>
      <c r="C1283" s="1597"/>
      <c r="D1283" s="1597"/>
      <c r="E1283" s="1597"/>
      <c r="F1283" s="1597"/>
      <c r="G1283" s="1597"/>
      <c r="H1283" s="1597"/>
      <c r="I1283" s="1597"/>
      <c r="J1283" s="1597"/>
      <c r="K1283" s="1597"/>
      <c r="L1283" s="1597"/>
      <c r="M1283" s="1597"/>
      <c r="N1283" s="1597"/>
      <c r="O1283" s="1597"/>
      <c r="P1283" s="1597"/>
      <c r="Q1283" s="1597"/>
      <c r="R1283" s="1597"/>
      <c r="S1283" s="1597"/>
      <c r="T1283" s="1597"/>
    </row>
    <row r="1284" spans="1:20">
      <c r="A1284" s="1597"/>
      <c r="B1284" s="1597"/>
      <c r="C1284" s="1597"/>
      <c r="D1284" s="1597"/>
      <c r="E1284" s="1597"/>
      <c r="F1284" s="1597"/>
      <c r="G1284" s="1597"/>
      <c r="H1284" s="1597"/>
      <c r="I1284" s="1597"/>
      <c r="J1284" s="1597"/>
      <c r="K1284" s="1597"/>
      <c r="L1284" s="1597"/>
      <c r="M1284" s="1597"/>
      <c r="N1284" s="1597"/>
      <c r="O1284" s="1597"/>
      <c r="P1284" s="1597"/>
      <c r="Q1284" s="1597"/>
      <c r="R1284" s="1597"/>
      <c r="S1284" s="1597"/>
      <c r="T1284" s="1597"/>
    </row>
    <row r="1285" spans="1:20">
      <c r="A1285" s="1597"/>
      <c r="B1285" s="1597"/>
      <c r="C1285" s="1597"/>
      <c r="D1285" s="1597"/>
      <c r="E1285" s="1597"/>
      <c r="F1285" s="1597"/>
      <c r="G1285" s="1597"/>
      <c r="H1285" s="1597"/>
      <c r="I1285" s="1597"/>
      <c r="J1285" s="1597"/>
      <c r="K1285" s="1597"/>
      <c r="L1285" s="1597"/>
      <c r="M1285" s="1597"/>
      <c r="N1285" s="1597"/>
      <c r="O1285" s="1597"/>
      <c r="P1285" s="1597"/>
      <c r="Q1285" s="1597"/>
      <c r="R1285" s="1597"/>
      <c r="S1285" s="1597"/>
      <c r="T1285" s="1597"/>
    </row>
    <row r="1286" spans="1:20">
      <c r="A1286" s="1597"/>
      <c r="B1286" s="1597"/>
      <c r="C1286" s="1597"/>
      <c r="D1286" s="1597"/>
      <c r="E1286" s="1597"/>
      <c r="F1286" s="1597"/>
      <c r="G1286" s="1597"/>
      <c r="H1286" s="1597"/>
      <c r="I1286" s="1597"/>
      <c r="J1286" s="1597"/>
      <c r="K1286" s="1597"/>
      <c r="L1286" s="1597"/>
      <c r="M1286" s="1597"/>
      <c r="N1286" s="1597"/>
      <c r="O1286" s="1597"/>
      <c r="P1286" s="1597"/>
      <c r="Q1286" s="1597"/>
      <c r="R1286" s="1597"/>
      <c r="S1286" s="1597"/>
      <c r="T1286" s="1597"/>
    </row>
    <row r="1287" spans="1:20">
      <c r="A1287" s="1597"/>
      <c r="B1287" s="1597"/>
      <c r="C1287" s="1597"/>
      <c r="D1287" s="1597"/>
      <c r="E1287" s="1597"/>
      <c r="F1287" s="1597"/>
      <c r="G1287" s="1597"/>
      <c r="H1287" s="1597"/>
      <c r="I1287" s="1597"/>
      <c r="J1287" s="1597"/>
      <c r="K1287" s="1597"/>
      <c r="L1287" s="1597"/>
      <c r="M1287" s="1597"/>
      <c r="N1287" s="1597"/>
      <c r="O1287" s="1597"/>
      <c r="P1287" s="1597"/>
      <c r="Q1287" s="1597"/>
      <c r="R1287" s="1597"/>
      <c r="S1287" s="1597"/>
      <c r="T1287" s="1597"/>
    </row>
    <row r="1288" spans="1:20">
      <c r="A1288" s="1597"/>
      <c r="B1288" s="1597"/>
      <c r="C1288" s="1597"/>
      <c r="D1288" s="1597"/>
      <c r="E1288" s="1597"/>
      <c r="F1288" s="1597"/>
      <c r="G1288" s="1597"/>
      <c r="H1288" s="1597"/>
      <c r="I1288" s="1597"/>
      <c r="J1288" s="1597"/>
      <c r="K1288" s="1597"/>
      <c r="L1288" s="1597"/>
      <c r="M1288" s="1597"/>
      <c r="N1288" s="1597"/>
      <c r="O1288" s="1597"/>
      <c r="P1288" s="1597"/>
      <c r="Q1288" s="1597"/>
      <c r="R1288" s="1597"/>
      <c r="S1288" s="1597"/>
      <c r="T1288" s="1597"/>
    </row>
    <row r="1289" spans="1:20">
      <c r="A1289" s="1597"/>
      <c r="B1289" s="1597"/>
      <c r="C1289" s="1597"/>
      <c r="D1289" s="1597"/>
      <c r="E1289" s="1597"/>
      <c r="F1289" s="1597"/>
      <c r="G1289" s="1597"/>
      <c r="H1289" s="1597"/>
      <c r="I1289" s="1597"/>
      <c r="J1289" s="1597"/>
      <c r="K1289" s="1597"/>
      <c r="L1289" s="1597"/>
      <c r="M1289" s="1597"/>
      <c r="N1289" s="1597"/>
      <c r="O1289" s="1597"/>
      <c r="P1289" s="1597"/>
      <c r="Q1289" s="1597"/>
      <c r="R1289" s="1597"/>
      <c r="S1289" s="1597"/>
      <c r="T1289" s="1597"/>
    </row>
    <row r="1290" spans="1:20">
      <c r="A1290" s="1597"/>
      <c r="B1290" s="1597"/>
      <c r="C1290" s="1597"/>
      <c r="D1290" s="1597"/>
      <c r="E1290" s="1597"/>
      <c r="F1290" s="1597"/>
      <c r="G1290" s="1597"/>
      <c r="H1290" s="1597"/>
      <c r="I1290" s="1597"/>
      <c r="J1290" s="1597"/>
      <c r="K1290" s="1597"/>
      <c r="L1290" s="1597"/>
      <c r="M1290" s="1597"/>
      <c r="N1290" s="1597"/>
      <c r="O1290" s="1597"/>
      <c r="P1290" s="1597"/>
      <c r="Q1290" s="1597"/>
      <c r="R1290" s="1597"/>
      <c r="S1290" s="1597"/>
      <c r="T1290" s="1597"/>
    </row>
    <row r="1291" spans="1:20">
      <c r="A1291" s="1597"/>
      <c r="B1291" s="1597"/>
      <c r="C1291" s="1597"/>
      <c r="D1291" s="1597"/>
      <c r="E1291" s="1597"/>
      <c r="F1291" s="1597"/>
      <c r="G1291" s="1597"/>
      <c r="H1291" s="1597"/>
      <c r="I1291" s="1597"/>
      <c r="J1291" s="1597"/>
      <c r="K1291" s="1597"/>
      <c r="L1291" s="1597"/>
      <c r="M1291" s="1597"/>
      <c r="N1291" s="1597"/>
      <c r="O1291" s="1597"/>
      <c r="P1291" s="1597"/>
      <c r="Q1291" s="1597"/>
      <c r="R1291" s="1597"/>
      <c r="S1291" s="1597"/>
      <c r="T1291" s="1597"/>
    </row>
    <row r="1292" spans="1:20">
      <c r="A1292" s="1597"/>
      <c r="B1292" s="1597"/>
      <c r="C1292" s="1597"/>
      <c r="D1292" s="1597"/>
      <c r="E1292" s="1597"/>
      <c r="F1292" s="1597"/>
      <c r="G1292" s="1597"/>
      <c r="H1292" s="1597"/>
      <c r="I1292" s="1597"/>
      <c r="J1292" s="1597"/>
      <c r="K1292" s="1597"/>
      <c r="L1292" s="1597"/>
      <c r="M1292" s="1597"/>
      <c r="N1292" s="1597"/>
      <c r="O1292" s="1597"/>
      <c r="P1292" s="1597"/>
      <c r="Q1292" s="1597"/>
      <c r="R1292" s="1597"/>
      <c r="S1292" s="1597"/>
      <c r="T1292" s="1597"/>
    </row>
    <row r="1293" spans="1:20">
      <c r="A1293" s="1597"/>
      <c r="B1293" s="1597"/>
      <c r="C1293" s="1597"/>
      <c r="D1293" s="1597"/>
      <c r="E1293" s="1597"/>
      <c r="F1293" s="1597"/>
      <c r="G1293" s="1597"/>
      <c r="H1293" s="1597"/>
      <c r="I1293" s="1597"/>
      <c r="J1293" s="1597"/>
      <c r="K1293" s="1597"/>
      <c r="L1293" s="1597"/>
      <c r="M1293" s="1597"/>
      <c r="N1293" s="1597"/>
      <c r="O1293" s="1597"/>
      <c r="P1293" s="1597"/>
      <c r="Q1293" s="1597"/>
      <c r="R1293" s="1597"/>
      <c r="S1293" s="1597"/>
      <c r="T1293" s="1597"/>
    </row>
    <row r="1294" spans="1:20">
      <c r="A1294" s="1597"/>
      <c r="B1294" s="1597"/>
      <c r="C1294" s="1597"/>
      <c r="D1294" s="1597"/>
      <c r="E1294" s="1597"/>
      <c r="F1294" s="1597"/>
      <c r="G1294" s="1597"/>
      <c r="H1294" s="1597"/>
      <c r="I1294" s="1597"/>
      <c r="J1294" s="1597"/>
      <c r="K1294" s="1597"/>
      <c r="L1294" s="1597"/>
      <c r="M1294" s="1597"/>
      <c r="N1294" s="1597"/>
      <c r="O1294" s="1597"/>
      <c r="P1294" s="1597"/>
      <c r="Q1294" s="1597"/>
      <c r="R1294" s="1597"/>
      <c r="S1294" s="1597"/>
      <c r="T1294" s="1597"/>
    </row>
    <row r="1295" spans="1:20">
      <c r="A1295" s="1597"/>
      <c r="B1295" s="1597"/>
      <c r="C1295" s="1597"/>
      <c r="D1295" s="1597"/>
      <c r="E1295" s="1597"/>
      <c r="F1295" s="1597"/>
      <c r="G1295" s="1597"/>
      <c r="H1295" s="1597"/>
      <c r="I1295" s="1597"/>
      <c r="J1295" s="1597"/>
      <c r="K1295" s="1597"/>
      <c r="L1295" s="1597"/>
      <c r="M1295" s="1597"/>
      <c r="N1295" s="1597"/>
      <c r="O1295" s="1597"/>
      <c r="P1295" s="1597"/>
      <c r="Q1295" s="1597"/>
      <c r="R1295" s="1597"/>
      <c r="S1295" s="1597"/>
      <c r="T1295" s="1597"/>
    </row>
    <row r="1296" spans="1:20">
      <c r="A1296" s="1597"/>
      <c r="B1296" s="1597"/>
      <c r="C1296" s="1597"/>
      <c r="D1296" s="1597"/>
      <c r="E1296" s="1597"/>
      <c r="F1296" s="1597"/>
      <c r="G1296" s="1597"/>
      <c r="H1296" s="1597"/>
      <c r="I1296" s="1597"/>
      <c r="J1296" s="1597"/>
      <c r="K1296" s="1597"/>
      <c r="L1296" s="1597"/>
      <c r="M1296" s="1597"/>
      <c r="N1296" s="1597"/>
      <c r="O1296" s="1597"/>
      <c r="P1296" s="1597"/>
      <c r="Q1296" s="1597"/>
      <c r="R1296" s="1597"/>
      <c r="S1296" s="1597"/>
      <c r="T1296" s="1597"/>
    </row>
    <row r="1297" spans="1:20">
      <c r="A1297" s="1597"/>
      <c r="B1297" s="1597"/>
      <c r="C1297" s="1597"/>
      <c r="D1297" s="1597"/>
      <c r="E1297" s="1597"/>
      <c r="F1297" s="1597"/>
      <c r="G1297" s="1597"/>
      <c r="H1297" s="1597"/>
      <c r="I1297" s="1597"/>
      <c r="J1297" s="1597"/>
      <c r="K1297" s="1597"/>
      <c r="L1297" s="1597"/>
      <c r="M1297" s="1597"/>
      <c r="N1297" s="1597"/>
      <c r="O1297" s="1597"/>
      <c r="P1297" s="1597"/>
      <c r="Q1297" s="1597"/>
      <c r="R1297" s="1597"/>
      <c r="S1297" s="1597"/>
      <c r="T1297" s="1597"/>
    </row>
    <row r="1298" spans="1:20">
      <c r="A1298" s="1597"/>
      <c r="B1298" s="1597"/>
      <c r="C1298" s="1597"/>
      <c r="D1298" s="1597"/>
      <c r="E1298" s="1597"/>
      <c r="F1298" s="1597"/>
      <c r="G1298" s="1597"/>
      <c r="H1298" s="1597"/>
      <c r="I1298" s="1597"/>
      <c r="J1298" s="1597"/>
      <c r="K1298" s="1597"/>
      <c r="L1298" s="1597"/>
      <c r="M1298" s="1597"/>
      <c r="N1298" s="1597"/>
      <c r="O1298" s="1597"/>
      <c r="P1298" s="1597"/>
      <c r="Q1298" s="1597"/>
      <c r="R1298" s="1597"/>
      <c r="S1298" s="1597"/>
      <c r="T1298" s="1597"/>
    </row>
    <row r="1299" spans="1:20">
      <c r="A1299" s="1597"/>
      <c r="B1299" s="1597"/>
      <c r="C1299" s="1597"/>
      <c r="D1299" s="1597"/>
      <c r="E1299" s="1597"/>
      <c r="F1299" s="1597"/>
      <c r="G1299" s="1597"/>
      <c r="H1299" s="1597"/>
      <c r="I1299" s="1597"/>
      <c r="J1299" s="1597"/>
      <c r="K1299" s="1597"/>
      <c r="L1299" s="1597"/>
      <c r="M1299" s="1597"/>
      <c r="N1299" s="1597"/>
      <c r="O1299" s="1597"/>
      <c r="P1299" s="1597"/>
      <c r="Q1299" s="1597"/>
      <c r="R1299" s="1597"/>
      <c r="S1299" s="1597"/>
      <c r="T1299" s="1597"/>
    </row>
    <row r="1300" spans="1:20">
      <c r="A1300" s="1597"/>
      <c r="B1300" s="1597"/>
      <c r="C1300" s="1597"/>
      <c r="D1300" s="1597"/>
      <c r="E1300" s="1597"/>
      <c r="F1300" s="1597"/>
      <c r="G1300" s="1597"/>
      <c r="H1300" s="1597"/>
      <c r="I1300" s="1597"/>
      <c r="J1300" s="1597"/>
      <c r="K1300" s="1597"/>
      <c r="L1300" s="1597"/>
      <c r="M1300" s="1597"/>
      <c r="N1300" s="1597"/>
      <c r="O1300" s="1597"/>
      <c r="P1300" s="1597"/>
      <c r="Q1300" s="1597"/>
      <c r="R1300" s="1597"/>
      <c r="S1300" s="1597"/>
      <c r="T1300" s="1597"/>
    </row>
    <row r="1301" spans="1:20">
      <c r="A1301" s="1597"/>
      <c r="B1301" s="1597"/>
      <c r="C1301" s="1597"/>
      <c r="D1301" s="1597"/>
      <c r="E1301" s="1597"/>
      <c r="F1301" s="1597"/>
      <c r="G1301" s="1597"/>
      <c r="H1301" s="1597"/>
      <c r="I1301" s="1597"/>
      <c r="J1301" s="1597"/>
      <c r="K1301" s="1597"/>
      <c r="L1301" s="1597"/>
      <c r="M1301" s="1597"/>
      <c r="N1301" s="1597"/>
      <c r="O1301" s="1597"/>
      <c r="P1301" s="1597"/>
      <c r="Q1301" s="1597"/>
      <c r="R1301" s="1597"/>
      <c r="S1301" s="1597"/>
      <c r="T1301" s="1597"/>
    </row>
    <row r="1302" spans="1:20">
      <c r="A1302" s="1597"/>
      <c r="B1302" s="1597"/>
      <c r="C1302" s="1597"/>
      <c r="D1302" s="1597"/>
      <c r="E1302" s="1597"/>
      <c r="F1302" s="1597"/>
      <c r="G1302" s="1597"/>
      <c r="H1302" s="1597"/>
      <c r="I1302" s="1597"/>
      <c r="J1302" s="1597"/>
      <c r="K1302" s="1597"/>
      <c r="L1302" s="1597"/>
      <c r="M1302" s="1597"/>
      <c r="N1302" s="1597"/>
      <c r="O1302" s="1597"/>
      <c r="P1302" s="1597"/>
      <c r="Q1302" s="1597"/>
      <c r="R1302" s="1597"/>
      <c r="S1302" s="1597"/>
      <c r="T1302" s="1597"/>
    </row>
    <row r="1303" spans="1:20">
      <c r="A1303" s="1597"/>
      <c r="B1303" s="1597"/>
      <c r="C1303" s="1597"/>
      <c r="D1303" s="1597"/>
      <c r="E1303" s="1597"/>
      <c r="F1303" s="1597"/>
      <c r="G1303" s="1597"/>
      <c r="H1303" s="1597"/>
      <c r="I1303" s="1597"/>
      <c r="J1303" s="1597"/>
      <c r="K1303" s="1597"/>
      <c r="L1303" s="1597"/>
      <c r="M1303" s="1597"/>
      <c r="N1303" s="1597"/>
      <c r="O1303" s="1597"/>
      <c r="P1303" s="1597"/>
      <c r="Q1303" s="1597"/>
      <c r="R1303" s="1597"/>
      <c r="S1303" s="1597"/>
      <c r="T1303" s="1597"/>
    </row>
    <row r="1304" spans="1:20">
      <c r="A1304" s="1597"/>
      <c r="B1304" s="1597"/>
      <c r="C1304" s="1597"/>
      <c r="D1304" s="1597"/>
      <c r="E1304" s="1597"/>
      <c r="F1304" s="1597"/>
      <c r="G1304" s="1597"/>
      <c r="H1304" s="1597"/>
      <c r="I1304" s="1597"/>
      <c r="J1304" s="1597"/>
      <c r="K1304" s="1597"/>
      <c r="L1304" s="1597"/>
      <c r="M1304" s="1597"/>
      <c r="N1304" s="1597"/>
      <c r="O1304" s="1597"/>
      <c r="P1304" s="1597"/>
      <c r="Q1304" s="1597"/>
      <c r="R1304" s="1597"/>
      <c r="S1304" s="1597"/>
      <c r="T1304" s="1597"/>
    </row>
    <row r="1305" spans="1:20">
      <c r="A1305" s="1597"/>
      <c r="B1305" s="1597"/>
      <c r="C1305" s="1597"/>
      <c r="D1305" s="1597"/>
      <c r="E1305" s="1597"/>
      <c r="F1305" s="1597"/>
      <c r="G1305" s="1597"/>
      <c r="H1305" s="1597"/>
      <c r="I1305" s="1597"/>
      <c r="J1305" s="1597"/>
      <c r="K1305" s="1597"/>
      <c r="L1305" s="1597"/>
      <c r="M1305" s="1597"/>
      <c r="N1305" s="1597"/>
      <c r="O1305" s="1597"/>
      <c r="P1305" s="1597"/>
      <c r="Q1305" s="1597"/>
      <c r="R1305" s="1597"/>
      <c r="S1305" s="1597"/>
      <c r="T1305" s="1597"/>
    </row>
    <row r="1306" spans="1:20">
      <c r="A1306" s="1597"/>
      <c r="B1306" s="1597"/>
      <c r="C1306" s="1597"/>
      <c r="D1306" s="1597"/>
      <c r="E1306" s="1597"/>
      <c r="F1306" s="1597"/>
      <c r="G1306" s="1597"/>
      <c r="H1306" s="1597"/>
      <c r="I1306" s="1597"/>
      <c r="J1306" s="1597"/>
      <c r="K1306" s="1597"/>
      <c r="L1306" s="1597"/>
      <c r="M1306" s="1597"/>
      <c r="N1306" s="1597"/>
      <c r="O1306" s="1597"/>
      <c r="P1306" s="1597"/>
      <c r="Q1306" s="1597"/>
      <c r="R1306" s="1597"/>
      <c r="S1306" s="1597"/>
      <c r="T1306" s="1597"/>
    </row>
    <row r="1307" spans="1:20">
      <c r="A1307" s="1597"/>
      <c r="B1307" s="1597"/>
      <c r="C1307" s="1597"/>
      <c r="D1307" s="1597"/>
      <c r="E1307" s="1597"/>
      <c r="F1307" s="1597"/>
      <c r="G1307" s="1597"/>
      <c r="H1307" s="1597"/>
      <c r="I1307" s="1597"/>
      <c r="J1307" s="1597"/>
      <c r="K1307" s="1597"/>
      <c r="L1307" s="1597"/>
      <c r="M1307" s="1597"/>
      <c r="N1307" s="1597"/>
      <c r="O1307" s="1597"/>
      <c r="P1307" s="1597"/>
      <c r="Q1307" s="1597"/>
      <c r="R1307" s="1597"/>
      <c r="S1307" s="1597"/>
      <c r="T1307" s="1597"/>
    </row>
    <row r="1308" spans="1:20">
      <c r="A1308" s="1597"/>
      <c r="B1308" s="1597"/>
      <c r="C1308" s="1597"/>
      <c r="D1308" s="1597"/>
      <c r="E1308" s="1597"/>
      <c r="F1308" s="1597"/>
      <c r="G1308" s="1597"/>
      <c r="H1308" s="1597"/>
      <c r="I1308" s="1597"/>
      <c r="J1308" s="1597"/>
      <c r="K1308" s="1597"/>
      <c r="L1308" s="1597"/>
      <c r="M1308" s="1597"/>
      <c r="N1308" s="1597"/>
      <c r="O1308" s="1597"/>
      <c r="P1308" s="1597"/>
      <c r="Q1308" s="1597"/>
      <c r="R1308" s="1597"/>
      <c r="S1308" s="1597"/>
      <c r="T1308" s="1597"/>
    </row>
    <row r="1309" spans="1:20">
      <c r="A1309" s="1597"/>
      <c r="B1309" s="1597"/>
      <c r="C1309" s="1597"/>
      <c r="D1309" s="1597"/>
      <c r="E1309" s="1597"/>
      <c r="F1309" s="1597"/>
      <c r="G1309" s="1597"/>
      <c r="H1309" s="1597"/>
      <c r="I1309" s="1597"/>
      <c r="J1309" s="1597"/>
      <c r="K1309" s="1597"/>
      <c r="L1309" s="1597"/>
      <c r="M1309" s="1597"/>
      <c r="N1309" s="1597"/>
      <c r="O1309" s="1597"/>
      <c r="P1309" s="1597"/>
      <c r="Q1309" s="1597"/>
      <c r="R1309" s="1597"/>
      <c r="S1309" s="1597"/>
      <c r="T1309" s="1597"/>
    </row>
    <row r="1310" spans="1:20">
      <c r="A1310" s="1597"/>
      <c r="B1310" s="1597"/>
      <c r="C1310" s="1597"/>
      <c r="D1310" s="1597"/>
      <c r="E1310" s="1597"/>
      <c r="F1310" s="1597"/>
      <c r="G1310" s="1597"/>
      <c r="H1310" s="1597"/>
      <c r="I1310" s="1597"/>
      <c r="J1310" s="1597"/>
      <c r="K1310" s="1597"/>
      <c r="L1310" s="1597"/>
      <c r="M1310" s="1597"/>
      <c r="N1310" s="1597"/>
      <c r="O1310" s="1597"/>
      <c r="P1310" s="1597"/>
      <c r="Q1310" s="1597"/>
      <c r="R1310" s="1597"/>
      <c r="S1310" s="1597"/>
      <c r="T1310" s="1597"/>
    </row>
    <row r="1311" spans="1:20">
      <c r="A1311" s="1597"/>
      <c r="B1311" s="1597"/>
      <c r="C1311" s="1597"/>
      <c r="D1311" s="1597"/>
      <c r="E1311" s="1597"/>
      <c r="F1311" s="1597"/>
      <c r="G1311" s="1597"/>
      <c r="H1311" s="1597"/>
      <c r="I1311" s="1597"/>
      <c r="J1311" s="1597"/>
      <c r="K1311" s="1597"/>
      <c r="L1311" s="1597"/>
      <c r="M1311" s="1597"/>
      <c r="N1311" s="1597"/>
      <c r="O1311" s="1597"/>
      <c r="P1311" s="1597"/>
      <c r="Q1311" s="1597"/>
      <c r="R1311" s="1597"/>
      <c r="S1311" s="1597"/>
      <c r="T1311" s="1597"/>
    </row>
    <row r="1312" spans="1:20">
      <c r="A1312" s="1597"/>
      <c r="B1312" s="1597"/>
      <c r="C1312" s="1597"/>
      <c r="D1312" s="1597"/>
      <c r="E1312" s="1597"/>
      <c r="F1312" s="1597"/>
      <c r="G1312" s="1597"/>
      <c r="H1312" s="1597"/>
      <c r="I1312" s="1597"/>
      <c r="J1312" s="1597"/>
      <c r="K1312" s="1597"/>
      <c r="L1312" s="1597"/>
      <c r="M1312" s="1597"/>
      <c r="N1312" s="1597"/>
      <c r="O1312" s="1597"/>
      <c r="P1312" s="1597"/>
      <c r="Q1312" s="1597"/>
      <c r="R1312" s="1597"/>
      <c r="S1312" s="1597"/>
      <c r="T1312" s="1597"/>
    </row>
    <row r="1313" spans="1:20">
      <c r="A1313" s="1597"/>
      <c r="B1313" s="1597"/>
      <c r="C1313" s="1597"/>
      <c r="D1313" s="1597"/>
      <c r="E1313" s="1597"/>
      <c r="F1313" s="1597"/>
      <c r="G1313" s="1597"/>
      <c r="H1313" s="1597"/>
      <c r="I1313" s="1597"/>
      <c r="J1313" s="1597"/>
      <c r="K1313" s="1597"/>
      <c r="L1313" s="1597"/>
      <c r="M1313" s="1597"/>
      <c r="N1313" s="1597"/>
      <c r="O1313" s="1597"/>
      <c r="P1313" s="1597"/>
      <c r="Q1313" s="1597"/>
      <c r="R1313" s="1597"/>
      <c r="S1313" s="1597"/>
      <c r="T1313" s="1597"/>
    </row>
    <row r="1314" spans="1:20">
      <c r="A1314" s="1597"/>
      <c r="B1314" s="1597"/>
      <c r="C1314" s="1597"/>
      <c r="D1314" s="1597"/>
      <c r="E1314" s="1597"/>
      <c r="F1314" s="1597"/>
      <c r="G1314" s="1597"/>
      <c r="H1314" s="1597"/>
      <c r="I1314" s="1597"/>
      <c r="J1314" s="1597"/>
      <c r="K1314" s="1597"/>
      <c r="L1314" s="1597"/>
      <c r="M1314" s="1597"/>
      <c r="N1314" s="1597"/>
      <c r="O1314" s="1597"/>
      <c r="P1314" s="1597"/>
      <c r="Q1314" s="1597"/>
      <c r="R1314" s="1597"/>
      <c r="S1314" s="1597"/>
      <c r="T1314" s="1597"/>
    </row>
    <row r="1315" spans="1:20">
      <c r="A1315" s="1597"/>
      <c r="B1315" s="1597"/>
      <c r="C1315" s="1597"/>
      <c r="D1315" s="1597"/>
      <c r="E1315" s="1597"/>
      <c r="F1315" s="1597"/>
      <c r="G1315" s="1597"/>
      <c r="H1315" s="1597"/>
      <c r="I1315" s="1597"/>
      <c r="J1315" s="1597"/>
      <c r="K1315" s="1597"/>
      <c r="L1315" s="1597"/>
      <c r="M1315" s="1597"/>
      <c r="N1315" s="1597"/>
      <c r="O1315" s="1597"/>
      <c r="P1315" s="1597"/>
      <c r="Q1315" s="1597"/>
      <c r="R1315" s="1597"/>
      <c r="S1315" s="1597"/>
      <c r="T1315" s="1597"/>
    </row>
    <row r="1316" spans="1:20">
      <c r="A1316" s="1597"/>
      <c r="B1316" s="1597"/>
      <c r="C1316" s="1597"/>
      <c r="D1316" s="1597"/>
      <c r="E1316" s="1597"/>
      <c r="F1316" s="1597"/>
      <c r="G1316" s="1597"/>
      <c r="H1316" s="1597"/>
      <c r="I1316" s="1597"/>
      <c r="J1316" s="1597"/>
      <c r="K1316" s="1597"/>
      <c r="L1316" s="1597"/>
      <c r="M1316" s="1597"/>
      <c r="N1316" s="1597"/>
      <c r="O1316" s="1597"/>
      <c r="P1316" s="1597"/>
      <c r="Q1316" s="1597"/>
      <c r="R1316" s="1597"/>
      <c r="S1316" s="1597"/>
      <c r="T1316" s="1597"/>
    </row>
    <row r="1317" spans="1:20">
      <c r="A1317" s="1597"/>
      <c r="B1317" s="1597"/>
      <c r="C1317" s="1597"/>
      <c r="D1317" s="1597"/>
      <c r="E1317" s="1597"/>
      <c r="F1317" s="1597"/>
      <c r="G1317" s="1597"/>
      <c r="H1317" s="1597"/>
      <c r="I1317" s="1597"/>
      <c r="J1317" s="1597"/>
      <c r="K1317" s="1597"/>
      <c r="L1317" s="1597"/>
      <c r="M1317" s="1597"/>
      <c r="N1317" s="1597"/>
      <c r="O1317" s="1597"/>
      <c r="P1317" s="1597"/>
      <c r="Q1317" s="1597"/>
      <c r="R1317" s="1597"/>
      <c r="S1317" s="1597"/>
      <c r="T1317" s="1597"/>
    </row>
    <row r="1318" spans="1:20">
      <c r="A1318" s="1597"/>
      <c r="B1318" s="1597"/>
      <c r="C1318" s="1597"/>
      <c r="D1318" s="1597"/>
      <c r="E1318" s="1597"/>
      <c r="F1318" s="1597"/>
      <c r="G1318" s="1597"/>
      <c r="H1318" s="1597"/>
      <c r="I1318" s="1597"/>
      <c r="J1318" s="1597"/>
      <c r="K1318" s="1597"/>
      <c r="L1318" s="1597"/>
      <c r="M1318" s="1597"/>
      <c r="N1318" s="1597"/>
      <c r="O1318" s="1597"/>
      <c r="P1318" s="1597"/>
      <c r="Q1318" s="1597"/>
      <c r="R1318" s="1597"/>
      <c r="S1318" s="1597"/>
      <c r="T1318" s="1597"/>
    </row>
    <row r="1319" spans="1:20">
      <c r="A1319" s="1597"/>
      <c r="B1319" s="1597"/>
      <c r="C1319" s="1597"/>
      <c r="D1319" s="1597"/>
      <c r="E1319" s="1597"/>
      <c r="F1319" s="1597"/>
      <c r="G1319" s="1597"/>
      <c r="H1319" s="1597"/>
      <c r="I1319" s="1597"/>
      <c r="J1319" s="1597"/>
      <c r="K1319" s="1597"/>
      <c r="L1319" s="1597"/>
      <c r="M1319" s="1597"/>
      <c r="N1319" s="1597"/>
      <c r="O1319" s="1597"/>
      <c r="P1319" s="1597"/>
      <c r="Q1319" s="1597"/>
      <c r="R1319" s="1597"/>
      <c r="S1319" s="1597"/>
      <c r="T1319" s="1597"/>
    </row>
    <row r="1320" spans="1:20">
      <c r="A1320" s="1597"/>
      <c r="B1320" s="1597"/>
      <c r="C1320" s="1597"/>
      <c r="D1320" s="1597"/>
      <c r="E1320" s="1597"/>
      <c r="F1320" s="1597"/>
      <c r="G1320" s="1597"/>
      <c r="H1320" s="1597"/>
      <c r="I1320" s="1597"/>
      <c r="J1320" s="1597"/>
      <c r="K1320" s="1597"/>
      <c r="L1320" s="1597"/>
      <c r="M1320" s="1597"/>
      <c r="N1320" s="1597"/>
      <c r="O1320" s="1597"/>
      <c r="P1320" s="1597"/>
      <c r="Q1320" s="1597"/>
      <c r="R1320" s="1597"/>
      <c r="S1320" s="1597"/>
      <c r="T1320" s="1597"/>
    </row>
    <row r="1321" spans="1:20">
      <c r="A1321" s="1597"/>
      <c r="B1321" s="1597"/>
      <c r="C1321" s="1597"/>
      <c r="D1321" s="1597"/>
      <c r="E1321" s="1597"/>
      <c r="F1321" s="1597"/>
      <c r="G1321" s="1597"/>
      <c r="H1321" s="1597"/>
      <c r="I1321" s="1597"/>
      <c r="J1321" s="1597"/>
      <c r="K1321" s="1597"/>
      <c r="L1321" s="1597"/>
      <c r="M1321" s="1597"/>
      <c r="N1321" s="1597"/>
      <c r="O1321" s="1597"/>
      <c r="P1321" s="1597"/>
      <c r="Q1321" s="1597"/>
      <c r="R1321" s="1597"/>
      <c r="S1321" s="1597"/>
      <c r="T1321" s="1597"/>
    </row>
    <row r="1322" spans="1:20">
      <c r="A1322" s="1597"/>
      <c r="B1322" s="1597"/>
      <c r="C1322" s="1597"/>
      <c r="D1322" s="1597"/>
      <c r="E1322" s="1597"/>
      <c r="F1322" s="1597"/>
      <c r="G1322" s="1597"/>
      <c r="H1322" s="1597"/>
      <c r="I1322" s="1597"/>
      <c r="J1322" s="1597"/>
      <c r="K1322" s="1597"/>
      <c r="L1322" s="1597"/>
      <c r="M1322" s="1597"/>
      <c r="N1322" s="1597"/>
      <c r="O1322" s="1597"/>
      <c r="P1322" s="1597"/>
      <c r="Q1322" s="1597"/>
      <c r="R1322" s="1597"/>
      <c r="S1322" s="1597"/>
      <c r="T1322" s="1597"/>
    </row>
    <row r="1323" spans="1:20">
      <c r="A1323" s="1597"/>
      <c r="B1323" s="1597"/>
      <c r="C1323" s="1597"/>
      <c r="D1323" s="1597"/>
      <c r="E1323" s="1597"/>
      <c r="F1323" s="1597"/>
      <c r="G1323" s="1597"/>
      <c r="H1323" s="1597"/>
      <c r="I1323" s="1597"/>
      <c r="J1323" s="1597"/>
      <c r="K1323" s="1597"/>
      <c r="L1323" s="1597"/>
      <c r="M1323" s="1597"/>
      <c r="N1323" s="1597"/>
      <c r="O1323" s="1597"/>
      <c r="P1323" s="1597"/>
      <c r="Q1323" s="1597"/>
      <c r="R1323" s="1597"/>
      <c r="S1323" s="1597"/>
      <c r="T1323" s="1597"/>
    </row>
    <row r="1324" spans="1:20">
      <c r="A1324" s="1597"/>
      <c r="B1324" s="1597"/>
      <c r="C1324" s="1597"/>
      <c r="D1324" s="1597"/>
      <c r="E1324" s="1597"/>
      <c r="F1324" s="1597"/>
      <c r="G1324" s="1597"/>
      <c r="H1324" s="1597"/>
      <c r="I1324" s="1597"/>
      <c r="J1324" s="1597"/>
      <c r="K1324" s="1597"/>
      <c r="L1324" s="1597"/>
      <c r="M1324" s="1597"/>
      <c r="N1324" s="1597"/>
      <c r="O1324" s="1597"/>
      <c r="P1324" s="1597"/>
      <c r="Q1324" s="1597"/>
      <c r="R1324" s="1597"/>
      <c r="S1324" s="1597"/>
      <c r="T1324" s="1597"/>
    </row>
    <row r="1325" spans="1:20">
      <c r="A1325" s="1597"/>
      <c r="B1325" s="1597"/>
      <c r="C1325" s="1597"/>
      <c r="D1325" s="1597"/>
      <c r="E1325" s="1597"/>
      <c r="F1325" s="1597"/>
      <c r="G1325" s="1597"/>
      <c r="H1325" s="1597"/>
      <c r="I1325" s="1597"/>
      <c r="J1325" s="1597"/>
      <c r="K1325" s="1597"/>
      <c r="L1325" s="1597"/>
      <c r="M1325" s="1597"/>
      <c r="N1325" s="1597"/>
      <c r="O1325" s="1597"/>
      <c r="P1325" s="1597"/>
      <c r="Q1325" s="1597"/>
      <c r="R1325" s="1597"/>
      <c r="S1325" s="1597"/>
      <c r="T1325" s="1597"/>
    </row>
    <row r="1326" spans="1:20">
      <c r="A1326" s="1597"/>
      <c r="B1326" s="1597"/>
      <c r="C1326" s="1597"/>
      <c r="D1326" s="1597"/>
      <c r="E1326" s="1597"/>
      <c r="F1326" s="1597"/>
      <c r="G1326" s="1597"/>
      <c r="H1326" s="1597"/>
      <c r="I1326" s="1597"/>
      <c r="J1326" s="1597"/>
      <c r="K1326" s="1597"/>
      <c r="L1326" s="1597"/>
      <c r="M1326" s="1597"/>
      <c r="N1326" s="1597"/>
      <c r="O1326" s="1597"/>
      <c r="P1326" s="1597"/>
      <c r="Q1326" s="1597"/>
      <c r="R1326" s="1597"/>
      <c r="S1326" s="1597"/>
      <c r="T1326" s="1597"/>
    </row>
    <row r="1327" spans="1:20">
      <c r="A1327" s="1597"/>
      <c r="B1327" s="1597"/>
      <c r="C1327" s="1597"/>
      <c r="D1327" s="1597"/>
      <c r="E1327" s="1597"/>
      <c r="F1327" s="1597"/>
      <c r="G1327" s="1597"/>
      <c r="H1327" s="1597"/>
      <c r="I1327" s="1597"/>
      <c r="J1327" s="1597"/>
      <c r="K1327" s="1597"/>
      <c r="L1327" s="1597"/>
      <c r="M1327" s="1597"/>
      <c r="N1327" s="1597"/>
      <c r="O1327" s="1597"/>
      <c r="P1327" s="1597"/>
      <c r="Q1327" s="1597"/>
      <c r="R1327" s="1597"/>
      <c r="S1327" s="1597"/>
      <c r="T1327" s="1597"/>
    </row>
    <row r="1328" spans="1:20">
      <c r="A1328" s="1597"/>
      <c r="B1328" s="1597"/>
      <c r="C1328" s="1597"/>
      <c r="D1328" s="1597"/>
      <c r="E1328" s="1597"/>
      <c r="F1328" s="1597"/>
      <c r="G1328" s="1597"/>
      <c r="H1328" s="1597"/>
      <c r="I1328" s="1597"/>
      <c r="J1328" s="1597"/>
      <c r="K1328" s="1597"/>
      <c r="L1328" s="1597"/>
      <c r="M1328" s="1597"/>
      <c r="N1328" s="1597"/>
      <c r="O1328" s="1597"/>
      <c r="P1328" s="1597"/>
      <c r="Q1328" s="1597"/>
      <c r="R1328" s="1597"/>
      <c r="S1328" s="1597"/>
      <c r="T1328" s="1597"/>
    </row>
    <row r="1329" spans="1:20">
      <c r="A1329" s="1597"/>
      <c r="B1329" s="1597"/>
      <c r="C1329" s="1597"/>
      <c r="D1329" s="1597"/>
      <c r="E1329" s="1597"/>
      <c r="F1329" s="1597"/>
      <c r="G1329" s="1597"/>
      <c r="H1329" s="1597"/>
      <c r="I1329" s="1597"/>
      <c r="J1329" s="1597"/>
      <c r="K1329" s="1597"/>
      <c r="L1329" s="1597"/>
      <c r="M1329" s="1597"/>
      <c r="N1329" s="1597"/>
      <c r="O1329" s="1597"/>
      <c r="P1329" s="1597"/>
      <c r="Q1329" s="1597"/>
      <c r="R1329" s="1597"/>
      <c r="S1329" s="1597"/>
      <c r="T1329" s="1597"/>
    </row>
    <row r="1330" spans="1:20">
      <c r="A1330" s="1597"/>
      <c r="B1330" s="1597"/>
      <c r="C1330" s="1597"/>
      <c r="D1330" s="1597"/>
      <c r="E1330" s="1597"/>
      <c r="F1330" s="1597"/>
      <c r="G1330" s="1597"/>
      <c r="H1330" s="1597"/>
      <c r="I1330" s="1597"/>
      <c r="J1330" s="1597"/>
      <c r="K1330" s="1597"/>
      <c r="L1330" s="1597"/>
      <c r="M1330" s="1597"/>
      <c r="N1330" s="1597"/>
      <c r="O1330" s="1597"/>
      <c r="P1330" s="1597"/>
      <c r="Q1330" s="1597"/>
      <c r="R1330" s="1597"/>
      <c r="S1330" s="1597"/>
      <c r="T1330" s="1597"/>
    </row>
    <row r="1331" spans="1:20">
      <c r="A1331" s="1597"/>
      <c r="B1331" s="1597"/>
      <c r="C1331" s="1597"/>
      <c r="D1331" s="1597"/>
      <c r="E1331" s="1597"/>
      <c r="F1331" s="1597"/>
      <c r="G1331" s="1597"/>
      <c r="H1331" s="1597"/>
      <c r="I1331" s="1597"/>
      <c r="J1331" s="1597"/>
      <c r="K1331" s="1597"/>
      <c r="L1331" s="1597"/>
      <c r="M1331" s="1597"/>
      <c r="N1331" s="1597"/>
      <c r="O1331" s="1597"/>
      <c r="P1331" s="1597"/>
      <c r="Q1331" s="1597"/>
      <c r="R1331" s="1597"/>
      <c r="S1331" s="1597"/>
      <c r="T1331" s="1597"/>
    </row>
    <row r="1332" spans="1:20">
      <c r="A1332" s="1597"/>
      <c r="B1332" s="1597"/>
      <c r="C1332" s="1597"/>
      <c r="D1332" s="1597"/>
      <c r="E1332" s="1597"/>
      <c r="F1332" s="1597"/>
      <c r="G1332" s="1597"/>
      <c r="H1332" s="1597"/>
      <c r="I1332" s="1597"/>
      <c r="J1332" s="1597"/>
      <c r="K1332" s="1597"/>
      <c r="L1332" s="1597"/>
      <c r="M1332" s="1597"/>
      <c r="N1332" s="1597"/>
      <c r="O1332" s="1597"/>
      <c r="P1332" s="1597"/>
      <c r="Q1332" s="1597"/>
      <c r="R1332" s="1597"/>
      <c r="S1332" s="1597"/>
      <c r="T1332" s="1597"/>
    </row>
    <row r="1333" spans="1:20">
      <c r="A1333" s="1597"/>
      <c r="B1333" s="1597"/>
      <c r="C1333" s="1597"/>
      <c r="D1333" s="1597"/>
      <c r="E1333" s="1597"/>
      <c r="F1333" s="1597"/>
      <c r="G1333" s="1597"/>
      <c r="H1333" s="1597"/>
      <c r="I1333" s="1597"/>
      <c r="J1333" s="1597"/>
      <c r="K1333" s="1597"/>
      <c r="L1333" s="1597"/>
      <c r="M1333" s="1597"/>
      <c r="N1333" s="1597"/>
      <c r="O1333" s="1597"/>
      <c r="P1333" s="1597"/>
      <c r="Q1333" s="1597"/>
      <c r="R1333" s="1597"/>
      <c r="S1333" s="1597"/>
      <c r="T1333" s="1597"/>
    </row>
    <row r="1334" spans="1:20">
      <c r="A1334" s="1597"/>
      <c r="B1334" s="1597"/>
      <c r="C1334" s="1597"/>
      <c r="D1334" s="1597"/>
      <c r="E1334" s="1597"/>
      <c r="F1334" s="1597"/>
      <c r="G1334" s="1597"/>
      <c r="H1334" s="1597"/>
      <c r="I1334" s="1597"/>
      <c r="J1334" s="1597"/>
      <c r="K1334" s="1597"/>
      <c r="L1334" s="1597"/>
      <c r="M1334" s="1597"/>
      <c r="N1334" s="1597"/>
      <c r="O1334" s="1597"/>
      <c r="P1334" s="1597"/>
      <c r="Q1334" s="1597"/>
      <c r="R1334" s="1597"/>
      <c r="S1334" s="1597"/>
      <c r="T1334" s="1597"/>
    </row>
    <row r="1335" spans="1:20">
      <c r="A1335" s="1597"/>
      <c r="B1335" s="1597"/>
      <c r="C1335" s="1597"/>
      <c r="D1335" s="1597"/>
      <c r="E1335" s="1597"/>
      <c r="F1335" s="1597"/>
      <c r="G1335" s="1597"/>
      <c r="H1335" s="1597"/>
      <c r="I1335" s="1597"/>
      <c r="J1335" s="1597"/>
      <c r="K1335" s="1597"/>
      <c r="L1335" s="1597"/>
      <c r="M1335" s="1597"/>
      <c r="N1335" s="1597"/>
      <c r="O1335" s="1597"/>
      <c r="P1335" s="1597"/>
      <c r="Q1335" s="1597"/>
      <c r="R1335" s="1597"/>
      <c r="S1335" s="1597"/>
      <c r="T1335" s="1597"/>
    </row>
    <row r="1336" spans="1:20">
      <c r="A1336" s="1597"/>
      <c r="B1336" s="1597"/>
      <c r="C1336" s="1597"/>
      <c r="D1336" s="1597"/>
      <c r="E1336" s="1597"/>
      <c r="F1336" s="1597"/>
      <c r="G1336" s="1597"/>
      <c r="H1336" s="1597"/>
      <c r="I1336" s="1597"/>
      <c r="J1336" s="1597"/>
      <c r="K1336" s="1597"/>
      <c r="L1336" s="1597"/>
      <c r="M1336" s="1597"/>
      <c r="N1336" s="1597"/>
      <c r="O1336" s="1597"/>
      <c r="P1336" s="1597"/>
      <c r="Q1336" s="1597"/>
      <c r="R1336" s="1597"/>
      <c r="S1336" s="1597"/>
      <c r="T1336" s="1597"/>
    </row>
    <row r="1337" spans="1:20">
      <c r="A1337" s="1597"/>
      <c r="B1337" s="1597"/>
      <c r="C1337" s="1597"/>
      <c r="D1337" s="1597"/>
      <c r="E1337" s="1597"/>
      <c r="F1337" s="1597"/>
      <c r="G1337" s="1597"/>
      <c r="H1337" s="1597"/>
      <c r="I1337" s="1597"/>
      <c r="J1337" s="1597"/>
      <c r="K1337" s="1597"/>
      <c r="L1337" s="1597"/>
      <c r="M1337" s="1597"/>
      <c r="N1337" s="1597"/>
      <c r="O1337" s="1597"/>
      <c r="P1337" s="1597"/>
      <c r="Q1337" s="1597"/>
      <c r="R1337" s="1597"/>
      <c r="S1337" s="1597"/>
      <c r="T1337" s="1597"/>
    </row>
    <row r="1338" spans="1:20">
      <c r="A1338" s="1597"/>
      <c r="B1338" s="1597"/>
      <c r="C1338" s="1597"/>
      <c r="D1338" s="1597"/>
      <c r="E1338" s="1597"/>
      <c r="F1338" s="1597"/>
      <c r="G1338" s="1597"/>
      <c r="H1338" s="1597"/>
      <c r="I1338" s="1597"/>
      <c r="J1338" s="1597"/>
      <c r="K1338" s="1597"/>
      <c r="L1338" s="1597"/>
      <c r="M1338" s="1597"/>
      <c r="N1338" s="1597"/>
      <c r="O1338" s="1597"/>
      <c r="P1338" s="1597"/>
      <c r="Q1338" s="1597"/>
      <c r="R1338" s="1597"/>
      <c r="S1338" s="1597"/>
      <c r="T1338" s="1597"/>
    </row>
    <row r="1339" spans="1:20">
      <c r="A1339" s="1597"/>
      <c r="B1339" s="1597"/>
      <c r="C1339" s="1597"/>
      <c r="D1339" s="1597"/>
      <c r="E1339" s="1597"/>
      <c r="F1339" s="1597"/>
      <c r="G1339" s="1597"/>
      <c r="H1339" s="1597"/>
      <c r="I1339" s="1597"/>
      <c r="J1339" s="1597"/>
      <c r="K1339" s="1597"/>
      <c r="L1339" s="1597"/>
      <c r="M1339" s="1597"/>
      <c r="N1339" s="1597"/>
      <c r="O1339" s="1597"/>
      <c r="P1339" s="1597"/>
      <c r="Q1339" s="1597"/>
      <c r="R1339" s="1597"/>
      <c r="S1339" s="1597"/>
      <c r="T1339" s="1597"/>
    </row>
    <row r="1340" spans="1:20">
      <c r="A1340" s="1597"/>
      <c r="B1340" s="1597"/>
      <c r="C1340" s="1597"/>
      <c r="D1340" s="1597"/>
      <c r="E1340" s="1597"/>
      <c r="F1340" s="1597"/>
      <c r="G1340" s="1597"/>
      <c r="H1340" s="1597"/>
      <c r="I1340" s="1597"/>
      <c r="J1340" s="1597"/>
      <c r="K1340" s="1597"/>
      <c r="L1340" s="1597"/>
      <c r="M1340" s="1597"/>
      <c r="N1340" s="1597"/>
      <c r="O1340" s="1597"/>
      <c r="P1340" s="1597"/>
      <c r="Q1340" s="1597"/>
      <c r="R1340" s="1597"/>
      <c r="S1340" s="1597"/>
      <c r="T1340" s="1597"/>
    </row>
    <row r="1341" spans="1:20">
      <c r="A1341" s="1597"/>
      <c r="B1341" s="1597"/>
      <c r="C1341" s="1597"/>
      <c r="D1341" s="1597"/>
      <c r="E1341" s="1597"/>
      <c r="F1341" s="1597"/>
      <c r="G1341" s="1597"/>
      <c r="H1341" s="1597"/>
      <c r="I1341" s="1597"/>
      <c r="J1341" s="1597"/>
      <c r="K1341" s="1597"/>
      <c r="L1341" s="1597"/>
      <c r="M1341" s="1597"/>
      <c r="N1341" s="1597"/>
      <c r="O1341" s="1597"/>
      <c r="P1341" s="1597"/>
      <c r="Q1341" s="1597"/>
      <c r="R1341" s="1597"/>
      <c r="S1341" s="1597"/>
      <c r="T1341" s="1597"/>
    </row>
    <row r="1342" spans="1:20">
      <c r="A1342" s="1597"/>
      <c r="B1342" s="1597"/>
      <c r="C1342" s="1597"/>
      <c r="D1342" s="1597"/>
      <c r="E1342" s="1597"/>
      <c r="F1342" s="1597"/>
      <c r="G1342" s="1597"/>
      <c r="H1342" s="1597"/>
      <c r="I1342" s="1597"/>
      <c r="J1342" s="1597"/>
      <c r="K1342" s="1597"/>
      <c r="L1342" s="1597"/>
      <c r="M1342" s="1597"/>
      <c r="N1342" s="1597"/>
      <c r="O1342" s="1597"/>
      <c r="P1342" s="1597"/>
      <c r="Q1342" s="1597"/>
      <c r="R1342" s="1597"/>
      <c r="S1342" s="1597"/>
      <c r="T1342" s="1597"/>
    </row>
    <row r="1343" spans="1:20">
      <c r="A1343" s="1597"/>
      <c r="B1343" s="1597"/>
      <c r="C1343" s="1597"/>
      <c r="D1343" s="1597"/>
      <c r="E1343" s="1597"/>
      <c r="F1343" s="1597"/>
      <c r="G1343" s="1597"/>
      <c r="H1343" s="1597"/>
      <c r="I1343" s="1597"/>
      <c r="J1343" s="1597"/>
      <c r="K1343" s="1597"/>
      <c r="L1343" s="1597"/>
      <c r="M1343" s="1597"/>
      <c r="N1343" s="1597"/>
      <c r="O1343" s="1597"/>
      <c r="P1343" s="1597"/>
      <c r="Q1343" s="1597"/>
      <c r="R1343" s="1597"/>
      <c r="S1343" s="1597"/>
      <c r="T1343" s="1597"/>
    </row>
    <row r="1344" spans="1:20">
      <c r="A1344" s="1597"/>
      <c r="B1344" s="1597"/>
      <c r="C1344" s="1597"/>
      <c r="D1344" s="1597"/>
      <c r="E1344" s="1597"/>
      <c r="F1344" s="1597"/>
      <c r="G1344" s="1597"/>
      <c r="H1344" s="1597"/>
      <c r="I1344" s="1597"/>
      <c r="J1344" s="1597"/>
      <c r="K1344" s="1597"/>
      <c r="L1344" s="1597"/>
      <c r="M1344" s="1597"/>
      <c r="N1344" s="1597"/>
      <c r="O1344" s="1597"/>
      <c r="P1344" s="1597"/>
      <c r="Q1344" s="1597"/>
      <c r="R1344" s="1597"/>
      <c r="S1344" s="1597"/>
      <c r="T1344" s="1597"/>
    </row>
    <row r="1345" spans="1:20">
      <c r="A1345" s="1597"/>
      <c r="B1345" s="1597"/>
      <c r="C1345" s="1597"/>
      <c r="D1345" s="1597"/>
      <c r="E1345" s="1597"/>
      <c r="F1345" s="1597"/>
      <c r="G1345" s="1597"/>
      <c r="H1345" s="1597"/>
      <c r="I1345" s="1597"/>
      <c r="J1345" s="1597"/>
      <c r="K1345" s="1597"/>
      <c r="L1345" s="1597"/>
      <c r="M1345" s="1597"/>
      <c r="N1345" s="1597"/>
      <c r="O1345" s="1597"/>
      <c r="P1345" s="1597"/>
      <c r="Q1345" s="1597"/>
      <c r="R1345" s="1597"/>
      <c r="S1345" s="1597"/>
      <c r="T1345" s="1597"/>
    </row>
    <row r="1346" spans="1:20">
      <c r="A1346" s="1597"/>
      <c r="B1346" s="1597"/>
      <c r="C1346" s="1597"/>
      <c r="D1346" s="1597"/>
      <c r="E1346" s="1597"/>
      <c r="F1346" s="1597"/>
      <c r="G1346" s="1597"/>
      <c r="H1346" s="1597"/>
      <c r="I1346" s="1597"/>
      <c r="J1346" s="1597"/>
      <c r="K1346" s="1597"/>
      <c r="L1346" s="1597"/>
      <c r="M1346" s="1597"/>
      <c r="N1346" s="1597"/>
      <c r="O1346" s="1597"/>
      <c r="P1346" s="1597"/>
      <c r="Q1346" s="1597"/>
      <c r="R1346" s="1597"/>
      <c r="S1346" s="1597"/>
      <c r="T1346" s="1597"/>
    </row>
    <row r="1347" spans="1:20">
      <c r="A1347" s="1597"/>
      <c r="B1347" s="1597"/>
      <c r="C1347" s="1597"/>
      <c r="D1347" s="1597"/>
      <c r="E1347" s="1597"/>
      <c r="F1347" s="1597"/>
      <c r="G1347" s="1597"/>
      <c r="H1347" s="1597"/>
      <c r="I1347" s="1597"/>
      <c r="J1347" s="1597"/>
      <c r="K1347" s="1597"/>
      <c r="L1347" s="1597"/>
      <c r="M1347" s="1597"/>
      <c r="N1347" s="1597"/>
      <c r="O1347" s="1597"/>
      <c r="P1347" s="1597"/>
      <c r="Q1347" s="1597"/>
      <c r="R1347" s="1597"/>
      <c r="S1347" s="1597"/>
      <c r="T1347" s="1597"/>
    </row>
    <row r="1348" spans="1:20">
      <c r="A1348" s="1597"/>
      <c r="B1348" s="1597"/>
      <c r="C1348" s="1597"/>
      <c r="D1348" s="1597"/>
      <c r="E1348" s="1597"/>
      <c r="F1348" s="1597"/>
      <c r="G1348" s="1597"/>
      <c r="H1348" s="1597"/>
      <c r="I1348" s="1597"/>
      <c r="J1348" s="1597"/>
      <c r="K1348" s="1597"/>
      <c r="L1348" s="1597"/>
      <c r="M1348" s="1597"/>
      <c r="N1348" s="1597"/>
      <c r="O1348" s="1597"/>
      <c r="P1348" s="1597"/>
      <c r="Q1348" s="1597"/>
      <c r="R1348" s="1597"/>
      <c r="S1348" s="1597"/>
      <c r="T1348" s="1597"/>
    </row>
    <row r="1349" spans="1:20">
      <c r="A1349" s="1597"/>
      <c r="B1349" s="1597"/>
      <c r="C1349" s="1597"/>
      <c r="D1349" s="1597"/>
      <c r="E1349" s="1597"/>
      <c r="F1349" s="1597"/>
      <c r="G1349" s="1597"/>
      <c r="H1349" s="1597"/>
      <c r="I1349" s="1597"/>
      <c r="J1349" s="1597"/>
      <c r="K1349" s="1597"/>
      <c r="L1349" s="1597"/>
      <c r="M1349" s="1597"/>
      <c r="N1349" s="1597"/>
      <c r="O1349" s="1597"/>
      <c r="P1349" s="1597"/>
      <c r="Q1349" s="1597"/>
      <c r="R1349" s="1597"/>
      <c r="S1349" s="1597"/>
      <c r="T1349" s="1597"/>
    </row>
    <row r="1350" spans="1:20">
      <c r="A1350" s="1597"/>
      <c r="B1350" s="1597"/>
      <c r="C1350" s="1597"/>
      <c r="D1350" s="1597"/>
      <c r="E1350" s="1597"/>
      <c r="F1350" s="1597"/>
      <c r="G1350" s="1597"/>
      <c r="H1350" s="1597"/>
      <c r="I1350" s="1597"/>
      <c r="J1350" s="1597"/>
      <c r="K1350" s="1597"/>
      <c r="L1350" s="1597"/>
      <c r="M1350" s="1597"/>
      <c r="N1350" s="1597"/>
      <c r="O1350" s="1597"/>
      <c r="P1350" s="1597"/>
      <c r="Q1350" s="1597"/>
      <c r="R1350" s="1597"/>
      <c r="S1350" s="1597"/>
      <c r="T1350" s="1597"/>
    </row>
    <row r="1351" spans="1:20">
      <c r="A1351" s="1597"/>
      <c r="B1351" s="1597"/>
      <c r="C1351" s="1597"/>
      <c r="D1351" s="1597"/>
      <c r="E1351" s="1597"/>
      <c r="F1351" s="1597"/>
      <c r="G1351" s="1597"/>
      <c r="H1351" s="1597"/>
      <c r="I1351" s="1597"/>
      <c r="J1351" s="1597"/>
      <c r="K1351" s="1597"/>
      <c r="L1351" s="1597"/>
      <c r="M1351" s="1597"/>
      <c r="N1351" s="1597"/>
      <c r="O1351" s="1597"/>
      <c r="P1351" s="1597"/>
      <c r="Q1351" s="1597"/>
      <c r="R1351" s="1597"/>
      <c r="S1351" s="1597"/>
      <c r="T1351" s="1597"/>
    </row>
    <row r="1352" spans="1:20">
      <c r="A1352" s="1597"/>
      <c r="B1352" s="1597"/>
      <c r="C1352" s="1597"/>
      <c r="D1352" s="1597"/>
      <c r="E1352" s="1597"/>
      <c r="F1352" s="1597"/>
      <c r="G1352" s="1597"/>
      <c r="H1352" s="1597"/>
      <c r="I1352" s="1597"/>
      <c r="J1352" s="1597"/>
      <c r="K1352" s="1597"/>
      <c r="L1352" s="1597"/>
      <c r="M1352" s="1597"/>
      <c r="N1352" s="1597"/>
      <c r="O1352" s="1597"/>
      <c r="P1352" s="1597"/>
      <c r="Q1352" s="1597"/>
      <c r="R1352" s="1597"/>
      <c r="S1352" s="1597"/>
      <c r="T1352" s="1597"/>
    </row>
    <row r="1353" spans="1:20">
      <c r="A1353" s="1597"/>
      <c r="B1353" s="1597"/>
      <c r="C1353" s="1597"/>
      <c r="D1353" s="1597"/>
      <c r="E1353" s="1597"/>
      <c r="F1353" s="1597"/>
      <c r="G1353" s="1597"/>
      <c r="H1353" s="1597"/>
      <c r="I1353" s="1597"/>
      <c r="J1353" s="1597"/>
      <c r="K1353" s="1597"/>
      <c r="L1353" s="1597"/>
      <c r="M1353" s="1597"/>
      <c r="N1353" s="1597"/>
      <c r="O1353" s="1597"/>
      <c r="P1353" s="1597"/>
      <c r="Q1353" s="1597"/>
      <c r="R1353" s="1597"/>
      <c r="S1353" s="1597"/>
      <c r="T1353" s="1597"/>
    </row>
    <row r="1354" spans="1:20">
      <c r="A1354" s="1597"/>
      <c r="B1354" s="1597"/>
      <c r="C1354" s="1597"/>
      <c r="D1354" s="1597"/>
      <c r="E1354" s="1597"/>
      <c r="F1354" s="1597"/>
      <c r="G1354" s="1597"/>
      <c r="H1354" s="1597"/>
      <c r="I1354" s="1597"/>
      <c r="J1354" s="1597"/>
      <c r="K1354" s="1597"/>
      <c r="L1354" s="1597"/>
      <c r="M1354" s="1597"/>
      <c r="N1354" s="1597"/>
      <c r="O1354" s="1597"/>
      <c r="P1354" s="1597"/>
      <c r="Q1354" s="1597"/>
      <c r="R1354" s="1597"/>
      <c r="S1354" s="1597"/>
      <c r="T1354" s="1597"/>
    </row>
    <row r="1355" spans="1:20">
      <c r="A1355" s="1597"/>
      <c r="B1355" s="1597"/>
      <c r="C1355" s="1597"/>
      <c r="D1355" s="1597"/>
      <c r="E1355" s="1597"/>
      <c r="F1355" s="1597"/>
      <c r="G1355" s="1597"/>
      <c r="H1355" s="1597"/>
      <c r="I1355" s="1597"/>
      <c r="J1355" s="1597"/>
      <c r="K1355" s="1597"/>
      <c r="L1355" s="1597"/>
      <c r="M1355" s="1597"/>
      <c r="N1355" s="1597"/>
      <c r="O1355" s="1597"/>
      <c r="P1355" s="1597"/>
      <c r="Q1355" s="1597"/>
      <c r="R1355" s="1597"/>
      <c r="S1355" s="1597"/>
      <c r="T1355" s="1597"/>
    </row>
    <row r="1356" spans="1:20">
      <c r="A1356" s="1597"/>
      <c r="B1356" s="1597"/>
      <c r="C1356" s="1597"/>
      <c r="D1356" s="1597"/>
      <c r="E1356" s="1597"/>
      <c r="F1356" s="1597"/>
      <c r="G1356" s="1597"/>
      <c r="H1356" s="1597"/>
      <c r="I1356" s="1597"/>
      <c r="J1356" s="1597"/>
      <c r="K1356" s="1597"/>
      <c r="L1356" s="1597"/>
      <c r="M1356" s="1597"/>
      <c r="N1356" s="1597"/>
      <c r="O1356" s="1597"/>
      <c r="P1356" s="1597"/>
      <c r="Q1356" s="1597"/>
      <c r="R1356" s="1597"/>
      <c r="S1356" s="1597"/>
      <c r="T1356" s="1597"/>
    </row>
    <row r="1357" spans="1:20">
      <c r="A1357" s="1597"/>
      <c r="B1357" s="1597"/>
      <c r="C1357" s="1597"/>
      <c r="D1357" s="1597"/>
      <c r="E1357" s="1597"/>
      <c r="F1357" s="1597"/>
      <c r="G1357" s="1597"/>
      <c r="H1357" s="1597"/>
      <c r="I1357" s="1597"/>
      <c r="J1357" s="1597"/>
      <c r="K1357" s="1597"/>
      <c r="L1357" s="1597"/>
      <c r="M1357" s="1597"/>
      <c r="N1357" s="1597"/>
      <c r="O1357" s="1597"/>
      <c r="P1357" s="1597"/>
      <c r="Q1357" s="1597"/>
      <c r="R1357" s="1597"/>
      <c r="S1357" s="1597"/>
      <c r="T1357" s="1597"/>
    </row>
    <row r="1358" spans="1:20">
      <c r="A1358" s="1597"/>
      <c r="B1358" s="1597"/>
      <c r="C1358" s="1597"/>
      <c r="D1358" s="1597"/>
      <c r="E1358" s="1597"/>
      <c r="F1358" s="1597"/>
      <c r="G1358" s="1597"/>
      <c r="H1358" s="1597"/>
      <c r="I1358" s="1597"/>
      <c r="J1358" s="1597"/>
      <c r="K1358" s="1597"/>
      <c r="L1358" s="1597"/>
      <c r="M1358" s="1597"/>
      <c r="N1358" s="1597"/>
      <c r="O1358" s="1597"/>
      <c r="P1358" s="1597"/>
      <c r="Q1358" s="1597"/>
      <c r="R1358" s="1597"/>
      <c r="S1358" s="1597"/>
      <c r="T1358" s="1597"/>
    </row>
    <row r="1359" spans="1:20">
      <c r="A1359" s="1597"/>
      <c r="B1359" s="1597"/>
      <c r="C1359" s="1597"/>
      <c r="D1359" s="1597"/>
      <c r="E1359" s="1597"/>
      <c r="F1359" s="1597"/>
      <c r="G1359" s="1597"/>
      <c r="H1359" s="1597"/>
      <c r="I1359" s="1597"/>
      <c r="J1359" s="1597"/>
      <c r="K1359" s="1597"/>
      <c r="L1359" s="1597"/>
      <c r="M1359" s="1597"/>
      <c r="N1359" s="1597"/>
      <c r="O1359" s="1597"/>
      <c r="P1359" s="1597"/>
      <c r="Q1359" s="1597"/>
      <c r="R1359" s="1597"/>
      <c r="S1359" s="1597"/>
      <c r="T1359" s="1597"/>
    </row>
    <row r="1360" spans="1:20">
      <c r="A1360" s="1597"/>
      <c r="B1360" s="1597"/>
      <c r="C1360" s="1597"/>
      <c r="D1360" s="1597"/>
      <c r="E1360" s="1597"/>
      <c r="F1360" s="1597"/>
      <c r="G1360" s="1597"/>
      <c r="H1360" s="1597"/>
      <c r="I1360" s="1597"/>
      <c r="J1360" s="1597"/>
      <c r="K1360" s="1597"/>
      <c r="L1360" s="1597"/>
      <c r="M1360" s="1597"/>
      <c r="N1360" s="1597"/>
      <c r="O1360" s="1597"/>
      <c r="P1360" s="1597"/>
      <c r="Q1360" s="1597"/>
      <c r="R1360" s="1597"/>
      <c r="S1360" s="1597"/>
      <c r="T1360" s="1597"/>
    </row>
    <row r="1361" spans="1:20">
      <c r="A1361" s="1597"/>
      <c r="B1361" s="1597"/>
      <c r="C1361" s="1597"/>
      <c r="D1361" s="1597"/>
      <c r="E1361" s="1597"/>
      <c r="F1361" s="1597"/>
      <c r="G1361" s="1597"/>
      <c r="H1361" s="1597"/>
      <c r="I1361" s="1597"/>
      <c r="J1361" s="1597"/>
      <c r="K1361" s="1597"/>
      <c r="L1361" s="1597"/>
      <c r="M1361" s="1597"/>
      <c r="N1361" s="1597"/>
      <c r="O1361" s="1597"/>
      <c r="P1361" s="1597"/>
      <c r="Q1361" s="1597"/>
      <c r="R1361" s="1597"/>
      <c r="S1361" s="1597"/>
      <c r="T1361" s="1597"/>
    </row>
    <row r="1362" spans="1:20">
      <c r="A1362" s="1597"/>
      <c r="B1362" s="1597"/>
      <c r="C1362" s="1597"/>
      <c r="D1362" s="1597"/>
      <c r="E1362" s="1597"/>
      <c r="F1362" s="1597"/>
      <c r="G1362" s="1597"/>
      <c r="H1362" s="1597"/>
      <c r="I1362" s="1597"/>
      <c r="J1362" s="1597"/>
      <c r="K1362" s="1597"/>
      <c r="L1362" s="1597"/>
      <c r="M1362" s="1597"/>
      <c r="N1362" s="1597"/>
      <c r="O1362" s="1597"/>
      <c r="P1362" s="1597"/>
      <c r="Q1362" s="1597"/>
      <c r="R1362" s="1597"/>
      <c r="S1362" s="1597"/>
      <c r="T1362" s="1597"/>
    </row>
    <row r="1363" spans="1:20">
      <c r="A1363" s="1597"/>
      <c r="B1363" s="1597"/>
      <c r="C1363" s="1597"/>
      <c r="D1363" s="1597"/>
      <c r="E1363" s="1597"/>
      <c r="F1363" s="1597"/>
      <c r="G1363" s="1597"/>
      <c r="H1363" s="1597"/>
      <c r="I1363" s="1597"/>
      <c r="J1363" s="1597"/>
      <c r="K1363" s="1597"/>
      <c r="L1363" s="1597"/>
      <c r="M1363" s="1597"/>
      <c r="N1363" s="1597"/>
      <c r="O1363" s="1597"/>
      <c r="P1363" s="1597"/>
      <c r="Q1363" s="1597"/>
      <c r="R1363" s="1597"/>
      <c r="S1363" s="1597"/>
      <c r="T1363" s="1597"/>
    </row>
    <row r="1364" spans="1:20">
      <c r="A1364" s="1597"/>
      <c r="B1364" s="1597"/>
      <c r="C1364" s="1597"/>
      <c r="D1364" s="1597"/>
      <c r="E1364" s="1597"/>
      <c r="F1364" s="1597"/>
      <c r="G1364" s="1597"/>
      <c r="H1364" s="1597"/>
      <c r="I1364" s="1597"/>
      <c r="J1364" s="1597"/>
      <c r="K1364" s="1597"/>
      <c r="L1364" s="1597"/>
      <c r="M1364" s="1597"/>
      <c r="N1364" s="1597"/>
      <c r="O1364" s="1597"/>
      <c r="P1364" s="1597"/>
      <c r="Q1364" s="1597"/>
      <c r="R1364" s="1597"/>
      <c r="S1364" s="1597"/>
      <c r="T1364" s="1597"/>
    </row>
    <row r="1365" spans="1:20">
      <c r="A1365" s="1597"/>
      <c r="B1365" s="1597"/>
      <c r="C1365" s="1597"/>
      <c r="D1365" s="1597"/>
      <c r="E1365" s="1597"/>
      <c r="F1365" s="1597"/>
      <c r="G1365" s="1597"/>
      <c r="H1365" s="1597"/>
      <c r="I1365" s="1597"/>
      <c r="J1365" s="1597"/>
      <c r="K1365" s="1597"/>
      <c r="L1365" s="1597"/>
      <c r="M1365" s="1597"/>
      <c r="N1365" s="1597"/>
      <c r="O1365" s="1597"/>
      <c r="P1365" s="1597"/>
      <c r="Q1365" s="1597"/>
      <c r="R1365" s="1597"/>
      <c r="S1365" s="1597"/>
      <c r="T1365" s="1597"/>
    </row>
    <row r="1366" spans="1:20">
      <c r="A1366" s="1597"/>
      <c r="B1366" s="1597"/>
      <c r="C1366" s="1597"/>
      <c r="D1366" s="1597"/>
      <c r="E1366" s="1597"/>
      <c r="F1366" s="1597"/>
      <c r="G1366" s="1597"/>
      <c r="H1366" s="1597"/>
      <c r="I1366" s="1597"/>
      <c r="J1366" s="1597"/>
      <c r="K1366" s="1597"/>
      <c r="L1366" s="1597"/>
      <c r="M1366" s="1597"/>
      <c r="N1366" s="1597"/>
      <c r="O1366" s="1597"/>
      <c r="P1366" s="1597"/>
      <c r="Q1366" s="1597"/>
      <c r="R1366" s="1597"/>
      <c r="S1366" s="1597"/>
      <c r="T1366" s="1597"/>
    </row>
    <row r="1367" spans="1:20">
      <c r="A1367" s="1597"/>
      <c r="B1367" s="1597"/>
      <c r="C1367" s="1597"/>
      <c r="D1367" s="1597"/>
      <c r="E1367" s="1597"/>
      <c r="F1367" s="1597"/>
      <c r="G1367" s="1597"/>
      <c r="H1367" s="1597"/>
      <c r="I1367" s="1597"/>
      <c r="J1367" s="1597"/>
      <c r="K1367" s="1597"/>
      <c r="L1367" s="1597"/>
      <c r="M1367" s="1597"/>
      <c r="N1367" s="1597"/>
      <c r="O1367" s="1597"/>
      <c r="P1367" s="1597"/>
      <c r="Q1367" s="1597"/>
      <c r="R1367" s="1597"/>
      <c r="S1367" s="1597"/>
      <c r="T1367" s="1597"/>
    </row>
    <row r="1368" spans="1:20">
      <c r="A1368" s="1597"/>
      <c r="B1368" s="1597"/>
      <c r="C1368" s="1597"/>
      <c r="D1368" s="1597"/>
      <c r="E1368" s="1597"/>
      <c r="F1368" s="1597"/>
      <c r="G1368" s="1597"/>
      <c r="H1368" s="1597"/>
      <c r="I1368" s="1597"/>
      <c r="J1368" s="1597"/>
      <c r="K1368" s="1597"/>
      <c r="L1368" s="1597"/>
      <c r="M1368" s="1597"/>
      <c r="N1368" s="1597"/>
      <c r="O1368" s="1597"/>
      <c r="P1368" s="1597"/>
      <c r="Q1368" s="1597"/>
      <c r="R1368" s="1597"/>
      <c r="S1368" s="1597"/>
      <c r="T1368" s="1597"/>
    </row>
    <row r="1369" spans="1:20">
      <c r="A1369" s="1597"/>
      <c r="B1369" s="1597"/>
      <c r="C1369" s="1597"/>
      <c r="D1369" s="1597"/>
      <c r="E1369" s="1597"/>
      <c r="F1369" s="1597"/>
      <c r="G1369" s="1597"/>
      <c r="H1369" s="1597"/>
      <c r="I1369" s="1597"/>
      <c r="J1369" s="1597"/>
      <c r="K1369" s="1597"/>
      <c r="L1369" s="1597"/>
      <c r="M1369" s="1597"/>
      <c r="N1369" s="1597"/>
      <c r="O1369" s="1597"/>
      <c r="P1369" s="1597"/>
      <c r="Q1369" s="1597"/>
      <c r="R1369" s="1597"/>
      <c r="S1369" s="1597"/>
      <c r="T1369" s="1597"/>
    </row>
    <row r="1370" spans="1:20">
      <c r="A1370" s="1597"/>
      <c r="B1370" s="1597"/>
      <c r="C1370" s="1597"/>
      <c r="D1370" s="1597"/>
      <c r="E1370" s="1597"/>
      <c r="F1370" s="1597"/>
      <c r="G1370" s="1597"/>
      <c r="H1370" s="1597"/>
      <c r="I1370" s="1597"/>
      <c r="J1370" s="1597"/>
      <c r="K1370" s="1597"/>
      <c r="L1370" s="1597"/>
      <c r="M1370" s="1597"/>
      <c r="N1370" s="1597"/>
      <c r="O1370" s="1597"/>
      <c r="P1370" s="1597"/>
      <c r="Q1370" s="1597"/>
      <c r="R1370" s="1597"/>
      <c r="S1370" s="1597"/>
      <c r="T1370" s="1597"/>
    </row>
    <row r="1371" spans="1:20">
      <c r="A1371" s="1597"/>
      <c r="B1371" s="1597"/>
      <c r="C1371" s="1597"/>
      <c r="D1371" s="1597"/>
      <c r="E1371" s="1597"/>
      <c r="F1371" s="1597"/>
      <c r="G1371" s="1597"/>
      <c r="H1371" s="1597"/>
      <c r="I1371" s="1597"/>
      <c r="J1371" s="1597"/>
      <c r="K1371" s="1597"/>
      <c r="L1371" s="1597"/>
      <c r="M1371" s="1597"/>
      <c r="N1371" s="1597"/>
      <c r="O1371" s="1597"/>
      <c r="P1371" s="1597"/>
      <c r="Q1371" s="1597"/>
      <c r="R1371" s="1597"/>
      <c r="S1371" s="1597"/>
      <c r="T1371" s="1597"/>
    </row>
    <row r="1372" spans="1:20">
      <c r="A1372" s="1597"/>
      <c r="B1372" s="1597"/>
      <c r="C1372" s="1597"/>
      <c r="D1372" s="1597"/>
      <c r="E1372" s="1597"/>
      <c r="F1372" s="1597"/>
      <c r="G1372" s="1597"/>
      <c r="H1372" s="1597"/>
      <c r="I1372" s="1597"/>
      <c r="J1372" s="1597"/>
      <c r="K1372" s="1597"/>
      <c r="L1372" s="1597"/>
      <c r="M1372" s="1597"/>
      <c r="N1372" s="1597"/>
      <c r="O1372" s="1597"/>
      <c r="P1372" s="1597"/>
      <c r="Q1372" s="1597"/>
      <c r="R1372" s="1597"/>
      <c r="S1372" s="1597"/>
      <c r="T1372" s="1597"/>
    </row>
    <row r="1373" spans="1:20">
      <c r="A1373" s="1597"/>
      <c r="B1373" s="1597"/>
      <c r="C1373" s="1597"/>
      <c r="D1373" s="1597"/>
      <c r="E1373" s="1597"/>
      <c r="F1373" s="1597"/>
      <c r="G1373" s="1597"/>
      <c r="H1373" s="1597"/>
      <c r="I1373" s="1597"/>
      <c r="J1373" s="1597"/>
      <c r="K1373" s="1597"/>
      <c r="L1373" s="1597"/>
      <c r="M1373" s="1597"/>
      <c r="N1373" s="1597"/>
      <c r="O1373" s="1597"/>
      <c r="P1373" s="1597"/>
      <c r="Q1373" s="1597"/>
      <c r="R1373" s="1597"/>
      <c r="S1373" s="1597"/>
      <c r="T1373" s="1597"/>
    </row>
    <row r="1374" spans="1:20">
      <c r="A1374" s="1597"/>
      <c r="B1374" s="1597"/>
      <c r="C1374" s="1597"/>
      <c r="D1374" s="1597"/>
      <c r="E1374" s="1597"/>
      <c r="F1374" s="1597"/>
      <c r="G1374" s="1597"/>
      <c r="H1374" s="1597"/>
      <c r="I1374" s="1597"/>
      <c r="J1374" s="1597"/>
      <c r="K1374" s="1597"/>
      <c r="L1374" s="1597"/>
      <c r="M1374" s="1597"/>
      <c r="N1374" s="1597"/>
      <c r="O1374" s="1597"/>
      <c r="P1374" s="1597"/>
      <c r="Q1374" s="1597"/>
      <c r="R1374" s="1597"/>
      <c r="S1374" s="1597"/>
      <c r="T1374" s="1597"/>
    </row>
    <row r="1375" spans="1:20">
      <c r="A1375" s="1597"/>
      <c r="B1375" s="1597"/>
      <c r="C1375" s="1597"/>
      <c r="D1375" s="1597"/>
      <c r="E1375" s="1597"/>
      <c r="F1375" s="1597"/>
      <c r="G1375" s="1597"/>
      <c r="H1375" s="1597"/>
      <c r="I1375" s="1597"/>
      <c r="J1375" s="1597"/>
      <c r="K1375" s="1597"/>
      <c r="L1375" s="1597"/>
      <c r="M1375" s="1597"/>
      <c r="N1375" s="1597"/>
      <c r="O1375" s="1597"/>
      <c r="P1375" s="1597"/>
      <c r="Q1375" s="1597"/>
      <c r="R1375" s="1597"/>
      <c r="S1375" s="1597"/>
      <c r="T1375" s="1597"/>
    </row>
    <row r="1376" spans="1:20">
      <c r="A1376" s="1597"/>
      <c r="B1376" s="1597"/>
      <c r="C1376" s="1597"/>
      <c r="D1376" s="1597"/>
      <c r="E1376" s="1597"/>
      <c r="F1376" s="1597"/>
      <c r="G1376" s="1597"/>
      <c r="H1376" s="1597"/>
      <c r="I1376" s="1597"/>
      <c r="J1376" s="1597"/>
      <c r="K1376" s="1597"/>
      <c r="L1376" s="1597"/>
      <c r="M1376" s="1597"/>
      <c r="N1376" s="1597"/>
      <c r="O1376" s="1597"/>
      <c r="P1376" s="1597"/>
      <c r="Q1376" s="1597"/>
      <c r="R1376" s="1597"/>
      <c r="S1376" s="1597"/>
      <c r="T1376" s="1597"/>
    </row>
    <row r="1377" spans="1:20">
      <c r="A1377" s="1597"/>
      <c r="B1377" s="1597"/>
      <c r="C1377" s="1597"/>
      <c r="D1377" s="1597"/>
      <c r="E1377" s="1597"/>
      <c r="F1377" s="1597"/>
      <c r="G1377" s="1597"/>
      <c r="H1377" s="1597"/>
      <c r="I1377" s="1597"/>
      <c r="J1377" s="1597"/>
      <c r="K1377" s="1597"/>
      <c r="L1377" s="1597"/>
      <c r="M1377" s="1597"/>
      <c r="N1377" s="1597"/>
      <c r="O1377" s="1597"/>
      <c r="P1377" s="1597"/>
      <c r="Q1377" s="1597"/>
      <c r="R1377" s="1597"/>
      <c r="S1377" s="1597"/>
      <c r="T1377" s="1597"/>
    </row>
    <row r="1378" spans="1:20">
      <c r="A1378" s="1597"/>
      <c r="B1378" s="1597"/>
      <c r="C1378" s="1597"/>
      <c r="D1378" s="1597"/>
      <c r="E1378" s="1597"/>
      <c r="F1378" s="1597"/>
      <c r="G1378" s="1597"/>
      <c r="H1378" s="1597"/>
      <c r="I1378" s="1597"/>
      <c r="J1378" s="1597"/>
      <c r="K1378" s="1597"/>
      <c r="L1378" s="1597"/>
      <c r="M1378" s="1597"/>
      <c r="N1378" s="1597"/>
      <c r="O1378" s="1597"/>
      <c r="P1378" s="1597"/>
      <c r="Q1378" s="1597"/>
      <c r="R1378" s="1597"/>
      <c r="S1378" s="1597"/>
      <c r="T1378" s="1597"/>
    </row>
    <row r="1379" spans="1:20">
      <c r="A1379" s="1597"/>
      <c r="B1379" s="1597"/>
      <c r="C1379" s="1597"/>
      <c r="D1379" s="1597"/>
      <c r="E1379" s="1597"/>
      <c r="F1379" s="1597"/>
      <c r="G1379" s="1597"/>
      <c r="H1379" s="1597"/>
      <c r="I1379" s="1597"/>
      <c r="J1379" s="1597"/>
      <c r="K1379" s="1597"/>
      <c r="L1379" s="1597"/>
      <c r="M1379" s="1597"/>
      <c r="N1379" s="1597"/>
      <c r="O1379" s="1597"/>
      <c r="P1379" s="1597"/>
      <c r="Q1379" s="1597"/>
      <c r="R1379" s="1597"/>
      <c r="S1379" s="1597"/>
      <c r="T1379" s="1597"/>
    </row>
    <row r="1380" spans="1:20">
      <c r="A1380" s="1597"/>
      <c r="B1380" s="1597"/>
      <c r="C1380" s="1597"/>
      <c r="D1380" s="1597"/>
      <c r="E1380" s="1597"/>
      <c r="F1380" s="1597"/>
      <c r="G1380" s="1597"/>
      <c r="H1380" s="1597"/>
      <c r="I1380" s="1597"/>
      <c r="J1380" s="1597"/>
      <c r="K1380" s="1597"/>
      <c r="L1380" s="1597"/>
      <c r="M1380" s="1597"/>
      <c r="N1380" s="1597"/>
      <c r="O1380" s="1597"/>
      <c r="P1380" s="1597"/>
      <c r="Q1380" s="1597"/>
      <c r="R1380" s="1597"/>
      <c r="S1380" s="1597"/>
      <c r="T1380" s="1597"/>
    </row>
    <row r="1381" spans="1:20">
      <c r="A1381" s="1597"/>
      <c r="B1381" s="1597"/>
      <c r="C1381" s="1597"/>
      <c r="D1381" s="1597"/>
      <c r="E1381" s="1597"/>
      <c r="F1381" s="1597"/>
      <c r="G1381" s="1597"/>
      <c r="H1381" s="1597"/>
      <c r="I1381" s="1597"/>
      <c r="J1381" s="1597"/>
      <c r="K1381" s="1597"/>
      <c r="L1381" s="1597"/>
      <c r="M1381" s="1597"/>
      <c r="N1381" s="1597"/>
      <c r="O1381" s="1597"/>
      <c r="P1381" s="1597"/>
      <c r="Q1381" s="1597"/>
      <c r="R1381" s="1597"/>
      <c r="S1381" s="1597"/>
      <c r="T1381" s="1597"/>
    </row>
    <row r="1382" spans="1:20">
      <c r="A1382" s="1597"/>
      <c r="B1382" s="1597"/>
      <c r="C1382" s="1597"/>
      <c r="D1382" s="1597"/>
      <c r="E1382" s="1597"/>
      <c r="F1382" s="1597"/>
      <c r="G1382" s="1597"/>
      <c r="H1382" s="1597"/>
      <c r="I1382" s="1597"/>
      <c r="J1382" s="1597"/>
      <c r="K1382" s="1597"/>
      <c r="L1382" s="1597"/>
      <c r="M1382" s="1597"/>
      <c r="N1382" s="1597"/>
      <c r="O1382" s="1597"/>
      <c r="P1382" s="1597"/>
      <c r="Q1382" s="1597"/>
      <c r="R1382" s="1597"/>
      <c r="S1382" s="1597"/>
      <c r="T1382" s="1597"/>
    </row>
    <row r="1383" spans="1:20">
      <c r="A1383" s="1597"/>
      <c r="B1383" s="1597"/>
      <c r="C1383" s="1597"/>
      <c r="D1383" s="1597"/>
      <c r="E1383" s="1597"/>
      <c r="F1383" s="1597"/>
      <c r="G1383" s="1597"/>
      <c r="H1383" s="1597"/>
      <c r="I1383" s="1597"/>
      <c r="J1383" s="1597"/>
      <c r="K1383" s="1597"/>
      <c r="L1383" s="1597"/>
      <c r="M1383" s="1597"/>
      <c r="N1383" s="1597"/>
      <c r="O1383" s="1597"/>
      <c r="P1383" s="1597"/>
      <c r="Q1383" s="1597"/>
      <c r="R1383" s="1597"/>
      <c r="S1383" s="1597"/>
      <c r="T1383" s="1597"/>
    </row>
    <row r="1384" spans="1:20">
      <c r="A1384" s="1597"/>
      <c r="B1384" s="1597"/>
      <c r="C1384" s="1597"/>
      <c r="D1384" s="1597"/>
      <c r="E1384" s="1597"/>
      <c r="F1384" s="1597"/>
      <c r="G1384" s="1597"/>
      <c r="H1384" s="1597"/>
      <c r="I1384" s="1597"/>
      <c r="J1384" s="1597"/>
      <c r="K1384" s="1597"/>
      <c r="L1384" s="1597"/>
      <c r="M1384" s="1597"/>
      <c r="N1384" s="1597"/>
      <c r="O1384" s="1597"/>
      <c r="P1384" s="1597"/>
      <c r="Q1384" s="1597"/>
      <c r="R1384" s="1597"/>
      <c r="S1384" s="1597"/>
      <c r="T1384" s="1597"/>
    </row>
    <row r="1385" spans="1:20">
      <c r="A1385" s="1597"/>
      <c r="B1385" s="1597"/>
      <c r="C1385" s="1597"/>
      <c r="D1385" s="1597"/>
      <c r="E1385" s="1597"/>
      <c r="F1385" s="1597"/>
      <c r="G1385" s="1597"/>
      <c r="H1385" s="1597"/>
      <c r="I1385" s="1597"/>
      <c r="J1385" s="1597"/>
      <c r="K1385" s="1597"/>
      <c r="L1385" s="1597"/>
      <c r="M1385" s="1597"/>
      <c r="N1385" s="1597"/>
      <c r="O1385" s="1597"/>
      <c r="P1385" s="1597"/>
      <c r="Q1385" s="1597"/>
      <c r="R1385" s="1597"/>
      <c r="S1385" s="1597"/>
      <c r="T1385" s="1597"/>
    </row>
    <row r="1386" spans="1:20">
      <c r="A1386" s="1597"/>
      <c r="B1386" s="1597"/>
      <c r="C1386" s="1597"/>
      <c r="D1386" s="1597"/>
      <c r="E1386" s="1597"/>
      <c r="F1386" s="1597"/>
      <c r="G1386" s="1597"/>
      <c r="H1386" s="1597"/>
      <c r="I1386" s="1597"/>
      <c r="J1386" s="1597"/>
      <c r="K1386" s="1597"/>
      <c r="L1386" s="1597"/>
      <c r="M1386" s="1597"/>
      <c r="N1386" s="1597"/>
      <c r="O1386" s="1597"/>
      <c r="P1386" s="1597"/>
      <c r="Q1386" s="1597"/>
      <c r="R1386" s="1597"/>
      <c r="S1386" s="1597"/>
      <c r="T1386" s="1597"/>
    </row>
    <row r="1387" spans="1:20">
      <c r="A1387" s="1597"/>
      <c r="B1387" s="1597"/>
      <c r="C1387" s="1597"/>
      <c r="D1387" s="1597"/>
      <c r="E1387" s="1597"/>
      <c r="F1387" s="1597"/>
      <c r="G1387" s="1597"/>
      <c r="H1387" s="1597"/>
      <c r="I1387" s="1597"/>
      <c r="J1387" s="1597"/>
      <c r="K1387" s="1597"/>
      <c r="L1387" s="1597"/>
      <c r="M1387" s="1597"/>
      <c r="N1387" s="1597"/>
      <c r="O1387" s="1597"/>
      <c r="P1387" s="1597"/>
      <c r="Q1387" s="1597"/>
      <c r="R1387" s="1597"/>
      <c r="S1387" s="1597"/>
      <c r="T1387" s="1597"/>
    </row>
    <row r="1388" spans="1:20">
      <c r="A1388" s="1597"/>
      <c r="B1388" s="1597"/>
      <c r="C1388" s="1597"/>
      <c r="D1388" s="1597"/>
      <c r="E1388" s="1597"/>
      <c r="F1388" s="1597"/>
      <c r="G1388" s="1597"/>
      <c r="H1388" s="1597"/>
      <c r="I1388" s="1597"/>
      <c r="J1388" s="1597"/>
      <c r="K1388" s="1597"/>
      <c r="L1388" s="1597"/>
      <c r="M1388" s="1597"/>
      <c r="N1388" s="1597"/>
      <c r="O1388" s="1597"/>
      <c r="P1388" s="1597"/>
      <c r="Q1388" s="1597"/>
      <c r="R1388" s="1597"/>
      <c r="S1388" s="1597"/>
      <c r="T1388" s="1597"/>
    </row>
    <row r="1389" spans="1:20">
      <c r="A1389" s="1597"/>
      <c r="B1389" s="1597"/>
      <c r="C1389" s="1597"/>
      <c r="D1389" s="1597"/>
      <c r="E1389" s="1597"/>
      <c r="F1389" s="1597"/>
      <c r="G1389" s="1597"/>
      <c r="H1389" s="1597"/>
      <c r="I1389" s="1597"/>
      <c r="J1389" s="1597"/>
      <c r="K1389" s="1597"/>
      <c r="L1389" s="1597"/>
      <c r="M1389" s="1597"/>
      <c r="N1389" s="1597"/>
      <c r="O1389" s="1597"/>
      <c r="P1389" s="1597"/>
      <c r="Q1389" s="1597"/>
      <c r="R1389" s="1597"/>
      <c r="S1389" s="1597"/>
      <c r="T1389" s="1597"/>
    </row>
    <row r="1390" spans="1:20">
      <c r="A1390" s="1597"/>
      <c r="B1390" s="1597"/>
      <c r="C1390" s="1597"/>
      <c r="D1390" s="1597"/>
      <c r="E1390" s="1597"/>
      <c r="F1390" s="1597"/>
      <c r="G1390" s="1597"/>
      <c r="H1390" s="1597"/>
      <c r="I1390" s="1597"/>
      <c r="J1390" s="1597"/>
      <c r="K1390" s="1597"/>
      <c r="L1390" s="1597"/>
      <c r="M1390" s="1597"/>
      <c r="N1390" s="1597"/>
      <c r="O1390" s="1597"/>
      <c r="P1390" s="1597"/>
      <c r="Q1390" s="1597"/>
      <c r="R1390" s="1597"/>
      <c r="S1390" s="1597"/>
      <c r="T1390" s="1597"/>
    </row>
    <row r="1391" spans="1:20">
      <c r="A1391" s="1597"/>
      <c r="B1391" s="1597"/>
      <c r="C1391" s="1597"/>
      <c r="D1391" s="1597"/>
      <c r="E1391" s="1597"/>
      <c r="F1391" s="1597"/>
      <c r="G1391" s="1597"/>
      <c r="H1391" s="1597"/>
      <c r="I1391" s="1597"/>
      <c r="J1391" s="1597"/>
      <c r="K1391" s="1597"/>
      <c r="L1391" s="1597"/>
      <c r="M1391" s="1597"/>
      <c r="N1391" s="1597"/>
      <c r="O1391" s="1597"/>
      <c r="P1391" s="1597"/>
      <c r="Q1391" s="1597"/>
      <c r="R1391" s="1597"/>
      <c r="S1391" s="1597"/>
      <c r="T1391" s="1597"/>
    </row>
    <row r="1392" spans="1:20">
      <c r="A1392" s="1597"/>
      <c r="B1392" s="1597"/>
      <c r="C1392" s="1597"/>
      <c r="D1392" s="1597"/>
      <c r="E1392" s="1597"/>
      <c r="F1392" s="1597"/>
      <c r="G1392" s="1597"/>
      <c r="H1392" s="1597"/>
      <c r="I1392" s="1597"/>
      <c r="J1392" s="1597"/>
      <c r="K1392" s="1597"/>
      <c r="L1392" s="1597"/>
      <c r="M1392" s="1597"/>
      <c r="N1392" s="1597"/>
      <c r="O1392" s="1597"/>
      <c r="P1392" s="1597"/>
      <c r="Q1392" s="1597"/>
      <c r="R1392" s="1597"/>
      <c r="S1392" s="1597"/>
      <c r="T1392" s="1597"/>
    </row>
    <row r="1393" spans="1:20">
      <c r="A1393" s="1597"/>
      <c r="B1393" s="1597"/>
      <c r="C1393" s="1597"/>
      <c r="D1393" s="1597"/>
      <c r="E1393" s="1597"/>
      <c r="F1393" s="1597"/>
      <c r="G1393" s="1597"/>
      <c r="H1393" s="1597"/>
      <c r="I1393" s="1597"/>
      <c r="J1393" s="1597"/>
      <c r="K1393" s="1597"/>
      <c r="L1393" s="1597"/>
      <c r="M1393" s="1597"/>
      <c r="N1393" s="1597"/>
      <c r="O1393" s="1597"/>
      <c r="P1393" s="1597"/>
      <c r="Q1393" s="1597"/>
      <c r="R1393" s="1597"/>
      <c r="S1393" s="1597"/>
      <c r="T1393" s="1597"/>
    </row>
    <row r="1394" spans="1:20">
      <c r="A1394" s="1597"/>
      <c r="B1394" s="1597"/>
      <c r="C1394" s="1597"/>
      <c r="D1394" s="1597"/>
      <c r="E1394" s="1597"/>
      <c r="F1394" s="1597"/>
      <c r="G1394" s="1597"/>
      <c r="H1394" s="1597"/>
      <c r="I1394" s="1597"/>
      <c r="J1394" s="1597"/>
      <c r="K1394" s="1597"/>
      <c r="L1394" s="1597"/>
      <c r="M1394" s="1597"/>
      <c r="N1394" s="1597"/>
      <c r="O1394" s="1597"/>
      <c r="P1394" s="1597"/>
      <c r="Q1394" s="1597"/>
      <c r="R1394" s="1597"/>
      <c r="S1394" s="1597"/>
      <c r="T1394" s="1597"/>
    </row>
    <row r="1395" spans="1:20">
      <c r="A1395" s="1597"/>
      <c r="B1395" s="1597"/>
      <c r="C1395" s="1597"/>
      <c r="D1395" s="1597"/>
      <c r="E1395" s="1597"/>
      <c r="F1395" s="1597"/>
      <c r="G1395" s="1597"/>
      <c r="H1395" s="1597"/>
      <c r="I1395" s="1597"/>
      <c r="J1395" s="1597"/>
      <c r="K1395" s="1597"/>
      <c r="L1395" s="1597"/>
      <c r="M1395" s="1597"/>
      <c r="N1395" s="1597"/>
      <c r="O1395" s="1597"/>
      <c r="P1395" s="1597"/>
      <c r="Q1395" s="1597"/>
      <c r="R1395" s="1597"/>
      <c r="S1395" s="1597"/>
      <c r="T1395" s="1597"/>
    </row>
    <row r="1396" spans="1:20">
      <c r="A1396" s="1597"/>
      <c r="B1396" s="1597"/>
      <c r="C1396" s="1597"/>
      <c r="D1396" s="1597"/>
      <c r="E1396" s="1597"/>
      <c r="F1396" s="1597"/>
      <c r="G1396" s="1597"/>
      <c r="H1396" s="1597"/>
      <c r="I1396" s="1597"/>
      <c r="J1396" s="1597"/>
      <c r="K1396" s="1597"/>
      <c r="L1396" s="1597"/>
      <c r="M1396" s="1597"/>
      <c r="N1396" s="1597"/>
      <c r="O1396" s="1597"/>
      <c r="P1396" s="1597"/>
      <c r="Q1396" s="1597"/>
      <c r="R1396" s="1597"/>
      <c r="S1396" s="1597"/>
      <c r="T1396" s="1597"/>
    </row>
    <row r="1397" spans="1:20">
      <c r="A1397" s="1597"/>
      <c r="B1397" s="1597"/>
      <c r="C1397" s="1597"/>
      <c r="D1397" s="1597"/>
      <c r="E1397" s="1597"/>
      <c r="F1397" s="1597"/>
      <c r="G1397" s="1597"/>
      <c r="H1397" s="1597"/>
      <c r="I1397" s="1597"/>
      <c r="J1397" s="1597"/>
      <c r="K1397" s="1597"/>
      <c r="L1397" s="1597"/>
      <c r="M1397" s="1597"/>
      <c r="N1397" s="1597"/>
      <c r="O1397" s="1597"/>
      <c r="P1397" s="1597"/>
      <c r="Q1397" s="1597"/>
      <c r="R1397" s="1597"/>
      <c r="S1397" s="1597"/>
      <c r="T1397" s="1597"/>
    </row>
    <row r="1398" spans="1:20">
      <c r="A1398" s="1597"/>
      <c r="B1398" s="1597"/>
      <c r="C1398" s="1597"/>
      <c r="D1398" s="1597"/>
      <c r="E1398" s="1597"/>
      <c r="F1398" s="1597"/>
      <c r="G1398" s="1597"/>
      <c r="H1398" s="1597"/>
      <c r="I1398" s="1597"/>
      <c r="J1398" s="1597"/>
      <c r="K1398" s="1597"/>
      <c r="L1398" s="1597"/>
      <c r="M1398" s="1597"/>
      <c r="N1398" s="1597"/>
      <c r="O1398" s="1597"/>
      <c r="P1398" s="1597"/>
      <c r="Q1398" s="1597"/>
      <c r="R1398" s="1597"/>
      <c r="S1398" s="1597"/>
      <c r="T1398" s="1597"/>
    </row>
    <row r="1399" spans="1:20">
      <c r="A1399" s="1597"/>
      <c r="B1399" s="1597"/>
      <c r="C1399" s="1597"/>
      <c r="D1399" s="1597"/>
      <c r="E1399" s="1597"/>
      <c r="F1399" s="1597"/>
      <c r="G1399" s="1597"/>
      <c r="H1399" s="1597"/>
      <c r="I1399" s="1597"/>
      <c r="J1399" s="1597"/>
      <c r="K1399" s="1597"/>
      <c r="L1399" s="1597"/>
      <c r="M1399" s="1597"/>
      <c r="N1399" s="1597"/>
      <c r="O1399" s="1597"/>
      <c r="P1399" s="1597"/>
      <c r="Q1399" s="1597"/>
      <c r="R1399" s="1597"/>
      <c r="S1399" s="1597"/>
      <c r="T1399" s="1597"/>
    </row>
    <row r="1400" spans="1:20">
      <c r="A1400" s="1597"/>
      <c r="B1400" s="1597"/>
      <c r="C1400" s="1597"/>
      <c r="D1400" s="1597"/>
      <c r="E1400" s="1597"/>
      <c r="F1400" s="1597"/>
      <c r="G1400" s="1597"/>
      <c r="H1400" s="1597"/>
      <c r="I1400" s="1597"/>
      <c r="J1400" s="1597"/>
      <c r="K1400" s="1597"/>
      <c r="L1400" s="1597"/>
      <c r="M1400" s="1597"/>
      <c r="N1400" s="1597"/>
      <c r="O1400" s="1597"/>
      <c r="P1400" s="1597"/>
      <c r="Q1400" s="1597"/>
      <c r="R1400" s="1597"/>
      <c r="S1400" s="1597"/>
      <c r="T1400" s="1597"/>
    </row>
    <row r="1401" spans="1:20">
      <c r="A1401" s="1597"/>
      <c r="B1401" s="1597"/>
      <c r="C1401" s="1597"/>
      <c r="D1401" s="1597"/>
      <c r="E1401" s="1597"/>
      <c r="F1401" s="1597"/>
      <c r="G1401" s="1597"/>
      <c r="H1401" s="1597"/>
      <c r="I1401" s="1597"/>
      <c r="J1401" s="1597"/>
      <c r="K1401" s="1597"/>
      <c r="L1401" s="1597"/>
      <c r="M1401" s="1597"/>
      <c r="N1401" s="1597"/>
      <c r="O1401" s="1597"/>
      <c r="P1401" s="1597"/>
      <c r="Q1401" s="1597"/>
      <c r="R1401" s="1597"/>
      <c r="S1401" s="1597"/>
      <c r="T1401" s="1597"/>
    </row>
    <row r="1402" spans="1:20">
      <c r="A1402" s="1597"/>
      <c r="B1402" s="1597"/>
      <c r="C1402" s="1597"/>
      <c r="D1402" s="1597"/>
      <c r="E1402" s="1597"/>
      <c r="F1402" s="1597"/>
      <c r="G1402" s="1597"/>
      <c r="H1402" s="1597"/>
      <c r="I1402" s="1597"/>
      <c r="J1402" s="1597"/>
      <c r="K1402" s="1597"/>
      <c r="L1402" s="1597"/>
      <c r="M1402" s="1597"/>
      <c r="N1402" s="1597"/>
      <c r="O1402" s="1597"/>
      <c r="P1402" s="1597"/>
      <c r="Q1402" s="1597"/>
      <c r="R1402" s="1597"/>
      <c r="S1402" s="1597"/>
      <c r="T1402" s="1597"/>
    </row>
    <row r="1403" spans="1:20">
      <c r="A1403" s="1597"/>
      <c r="B1403" s="1597"/>
      <c r="C1403" s="1597"/>
      <c r="D1403" s="1597"/>
      <c r="E1403" s="1597"/>
      <c r="F1403" s="1597"/>
      <c r="G1403" s="1597"/>
      <c r="H1403" s="1597"/>
      <c r="I1403" s="1597"/>
      <c r="J1403" s="1597"/>
      <c r="K1403" s="1597"/>
      <c r="L1403" s="1597"/>
      <c r="M1403" s="1597"/>
      <c r="N1403" s="1597"/>
      <c r="O1403" s="1597"/>
      <c r="P1403" s="1597"/>
      <c r="Q1403" s="1597"/>
      <c r="R1403" s="1597"/>
      <c r="S1403" s="1597"/>
      <c r="T1403" s="1597"/>
    </row>
    <row r="1404" spans="1:20">
      <c r="A1404" s="1597"/>
      <c r="B1404" s="1597"/>
      <c r="C1404" s="1597"/>
      <c r="D1404" s="1597"/>
      <c r="E1404" s="1597"/>
      <c r="F1404" s="1597"/>
      <c r="G1404" s="1597"/>
      <c r="H1404" s="1597"/>
      <c r="I1404" s="1597"/>
      <c r="J1404" s="1597"/>
      <c r="K1404" s="1597"/>
      <c r="L1404" s="1597"/>
      <c r="M1404" s="1597"/>
      <c r="N1404" s="1597"/>
      <c r="O1404" s="1597"/>
      <c r="P1404" s="1597"/>
      <c r="Q1404" s="1597"/>
      <c r="R1404" s="1597"/>
      <c r="S1404" s="1597"/>
      <c r="T1404" s="1597"/>
    </row>
    <row r="1405" spans="1:20">
      <c r="A1405" s="1597"/>
      <c r="B1405" s="1597"/>
      <c r="C1405" s="1597"/>
      <c r="D1405" s="1597"/>
      <c r="E1405" s="1597"/>
      <c r="F1405" s="1597"/>
      <c r="G1405" s="1597"/>
      <c r="H1405" s="1597"/>
      <c r="I1405" s="1597"/>
      <c r="J1405" s="1597"/>
      <c r="K1405" s="1597"/>
      <c r="L1405" s="1597"/>
      <c r="M1405" s="1597"/>
      <c r="N1405" s="1597"/>
      <c r="O1405" s="1597"/>
      <c r="P1405" s="1597"/>
      <c r="Q1405" s="1597"/>
      <c r="R1405" s="1597"/>
      <c r="S1405" s="1597"/>
      <c r="T1405" s="1597"/>
    </row>
    <row r="1406" spans="1:20">
      <c r="A1406" s="1597"/>
      <c r="B1406" s="1597"/>
      <c r="C1406" s="1597"/>
      <c r="D1406" s="1597"/>
      <c r="E1406" s="1597"/>
      <c r="F1406" s="1597"/>
      <c r="G1406" s="1597"/>
      <c r="H1406" s="1597"/>
      <c r="I1406" s="1597"/>
      <c r="J1406" s="1597"/>
      <c r="K1406" s="1597"/>
      <c r="L1406" s="1597"/>
      <c r="M1406" s="1597"/>
      <c r="N1406" s="1597"/>
      <c r="O1406" s="1597"/>
      <c r="P1406" s="1597"/>
      <c r="Q1406" s="1597"/>
      <c r="R1406" s="1597"/>
      <c r="S1406" s="1597"/>
      <c r="T1406" s="1597"/>
    </row>
    <row r="1407" spans="1:20">
      <c r="A1407" s="1597"/>
      <c r="B1407" s="1597"/>
      <c r="C1407" s="1597"/>
      <c r="D1407" s="1597"/>
      <c r="E1407" s="1597"/>
      <c r="F1407" s="1597"/>
      <c r="G1407" s="1597"/>
      <c r="H1407" s="1597"/>
      <c r="I1407" s="1597"/>
      <c r="J1407" s="1597"/>
      <c r="K1407" s="1597"/>
      <c r="L1407" s="1597"/>
      <c r="M1407" s="1597"/>
      <c r="N1407" s="1597"/>
      <c r="O1407" s="1597"/>
      <c r="P1407" s="1597"/>
      <c r="Q1407" s="1597"/>
      <c r="R1407" s="1597"/>
      <c r="S1407" s="1597"/>
      <c r="T1407" s="1597"/>
    </row>
    <row r="1408" spans="1:20">
      <c r="A1408" s="1597"/>
      <c r="B1408" s="1597"/>
      <c r="C1408" s="1597"/>
      <c r="D1408" s="1597"/>
      <c r="E1408" s="1597"/>
      <c r="F1408" s="1597"/>
      <c r="G1408" s="1597"/>
      <c r="H1408" s="1597"/>
      <c r="I1408" s="1597"/>
      <c r="J1408" s="1597"/>
      <c r="K1408" s="1597"/>
      <c r="L1408" s="1597"/>
      <c r="M1408" s="1597"/>
      <c r="N1408" s="1597"/>
      <c r="O1408" s="1597"/>
      <c r="P1408" s="1597"/>
      <c r="Q1408" s="1597"/>
      <c r="R1408" s="1597"/>
      <c r="S1408" s="1597"/>
      <c r="T1408" s="1597"/>
    </row>
    <row r="1409" spans="1:20">
      <c r="A1409" s="1597"/>
      <c r="B1409" s="1597"/>
      <c r="C1409" s="1597"/>
      <c r="D1409" s="1597"/>
      <c r="E1409" s="1597"/>
      <c r="F1409" s="1597"/>
      <c r="G1409" s="1597"/>
      <c r="H1409" s="1597"/>
      <c r="I1409" s="1597"/>
      <c r="J1409" s="1597"/>
      <c r="K1409" s="1597"/>
      <c r="L1409" s="1597"/>
      <c r="M1409" s="1597"/>
      <c r="N1409" s="1597"/>
      <c r="O1409" s="1597"/>
      <c r="P1409" s="1597"/>
      <c r="Q1409" s="1597"/>
      <c r="R1409" s="1597"/>
      <c r="S1409" s="1597"/>
      <c r="T1409" s="1597"/>
    </row>
    <row r="1410" spans="1:20">
      <c r="A1410" s="1597"/>
      <c r="B1410" s="1597"/>
      <c r="C1410" s="1597"/>
      <c r="D1410" s="1597"/>
      <c r="E1410" s="1597"/>
      <c r="F1410" s="1597"/>
      <c r="G1410" s="1597"/>
      <c r="H1410" s="1597"/>
      <c r="I1410" s="1597"/>
      <c r="J1410" s="1597"/>
      <c r="K1410" s="1597"/>
      <c r="L1410" s="1597"/>
      <c r="M1410" s="1597"/>
      <c r="N1410" s="1597"/>
      <c r="O1410" s="1597"/>
      <c r="P1410" s="1597"/>
      <c r="Q1410" s="1597"/>
      <c r="R1410" s="1597"/>
      <c r="S1410" s="1597"/>
      <c r="T1410" s="1597"/>
    </row>
    <row r="1411" spans="1:20">
      <c r="A1411" s="1597"/>
      <c r="B1411" s="1597"/>
      <c r="C1411" s="1597"/>
      <c r="D1411" s="1597"/>
      <c r="E1411" s="1597"/>
      <c r="F1411" s="1597"/>
      <c r="G1411" s="1597"/>
      <c r="H1411" s="1597"/>
      <c r="I1411" s="1597"/>
      <c r="J1411" s="1597"/>
      <c r="K1411" s="1597"/>
      <c r="L1411" s="1597"/>
      <c r="M1411" s="1597"/>
      <c r="N1411" s="1597"/>
      <c r="O1411" s="1597"/>
      <c r="P1411" s="1597"/>
      <c r="Q1411" s="1597"/>
      <c r="R1411" s="1597"/>
      <c r="S1411" s="1597"/>
      <c r="T1411" s="1597"/>
    </row>
    <row r="1412" spans="1:20">
      <c r="A1412" s="1597"/>
      <c r="B1412" s="1597"/>
      <c r="C1412" s="1597"/>
      <c r="D1412" s="1597"/>
      <c r="E1412" s="1597"/>
      <c r="F1412" s="1597"/>
      <c r="G1412" s="1597"/>
      <c r="H1412" s="1597"/>
      <c r="I1412" s="1597"/>
      <c r="J1412" s="1597"/>
      <c r="K1412" s="1597"/>
      <c r="L1412" s="1597"/>
      <c r="M1412" s="1597"/>
      <c r="N1412" s="1597"/>
      <c r="O1412" s="1597"/>
      <c r="P1412" s="1597"/>
      <c r="Q1412" s="1597"/>
      <c r="R1412" s="1597"/>
      <c r="S1412" s="1597"/>
      <c r="T1412" s="1597"/>
    </row>
    <row r="1413" spans="1:20">
      <c r="A1413" s="1597"/>
      <c r="B1413" s="1597"/>
      <c r="C1413" s="1597"/>
      <c r="D1413" s="1597"/>
      <c r="E1413" s="1597"/>
      <c r="F1413" s="1597"/>
      <c r="G1413" s="1597"/>
      <c r="H1413" s="1597"/>
      <c r="I1413" s="1597"/>
      <c r="J1413" s="1597"/>
      <c r="K1413" s="1597"/>
      <c r="L1413" s="1597"/>
      <c r="M1413" s="1597"/>
      <c r="N1413" s="1597"/>
      <c r="O1413" s="1597"/>
      <c r="P1413" s="1597"/>
      <c r="Q1413" s="1597"/>
      <c r="R1413" s="1597"/>
      <c r="S1413" s="1597"/>
      <c r="T1413" s="1597"/>
    </row>
    <row r="1414" spans="1:20">
      <c r="A1414" s="1597"/>
      <c r="B1414" s="1597"/>
      <c r="C1414" s="1597"/>
      <c r="D1414" s="1597"/>
      <c r="E1414" s="1597"/>
      <c r="F1414" s="1597"/>
      <c r="G1414" s="1597"/>
      <c r="H1414" s="1597"/>
      <c r="I1414" s="1597"/>
      <c r="J1414" s="1597"/>
      <c r="K1414" s="1597"/>
      <c r="L1414" s="1597"/>
      <c r="M1414" s="1597"/>
      <c r="N1414" s="1597"/>
      <c r="O1414" s="1597"/>
      <c r="P1414" s="1597"/>
      <c r="Q1414" s="1597"/>
      <c r="R1414" s="1597"/>
      <c r="S1414" s="1597"/>
      <c r="T1414" s="1597"/>
    </row>
    <row r="1415" spans="1:20">
      <c r="A1415" s="1597"/>
      <c r="B1415" s="1597"/>
      <c r="C1415" s="1597"/>
      <c r="D1415" s="1597"/>
      <c r="E1415" s="1597"/>
      <c r="F1415" s="1597"/>
      <c r="G1415" s="1597"/>
      <c r="H1415" s="1597"/>
      <c r="I1415" s="1597"/>
      <c r="J1415" s="1597"/>
      <c r="K1415" s="1597"/>
      <c r="L1415" s="1597"/>
      <c r="M1415" s="1597"/>
      <c r="N1415" s="1597"/>
      <c r="O1415" s="1597"/>
      <c r="P1415" s="1597"/>
      <c r="Q1415" s="1597"/>
      <c r="R1415" s="1597"/>
      <c r="S1415" s="1597"/>
      <c r="T1415" s="1597"/>
    </row>
    <row r="1416" spans="1:20">
      <c r="A1416" s="1597"/>
      <c r="B1416" s="1597"/>
      <c r="C1416" s="1597"/>
      <c r="D1416" s="1597"/>
      <c r="E1416" s="1597"/>
      <c r="F1416" s="1597"/>
      <c r="G1416" s="1597"/>
      <c r="H1416" s="1597"/>
      <c r="I1416" s="1597"/>
      <c r="J1416" s="1597"/>
      <c r="K1416" s="1597"/>
      <c r="L1416" s="1597"/>
      <c r="M1416" s="1597"/>
      <c r="N1416" s="1597"/>
      <c r="O1416" s="1597"/>
      <c r="P1416" s="1597"/>
      <c r="Q1416" s="1597"/>
      <c r="R1416" s="1597"/>
      <c r="S1416" s="1597"/>
      <c r="T1416" s="1597"/>
    </row>
    <row r="1417" spans="1:20">
      <c r="A1417" s="1597"/>
      <c r="B1417" s="1597"/>
      <c r="C1417" s="1597"/>
      <c r="D1417" s="1597"/>
      <c r="E1417" s="1597"/>
      <c r="F1417" s="1597"/>
      <c r="G1417" s="1597"/>
      <c r="H1417" s="1597"/>
      <c r="I1417" s="1597"/>
      <c r="J1417" s="1597"/>
      <c r="K1417" s="1597"/>
      <c r="L1417" s="1597"/>
      <c r="M1417" s="1597"/>
      <c r="N1417" s="1597"/>
      <c r="O1417" s="1597"/>
      <c r="P1417" s="1597"/>
      <c r="Q1417" s="1597"/>
      <c r="R1417" s="1597"/>
      <c r="S1417" s="1597"/>
      <c r="T1417" s="1597"/>
    </row>
    <row r="1418" spans="1:20">
      <c r="A1418" s="1597"/>
      <c r="B1418" s="1597"/>
      <c r="C1418" s="1597"/>
      <c r="D1418" s="1597"/>
      <c r="E1418" s="1597"/>
      <c r="F1418" s="1597"/>
      <c r="G1418" s="1597"/>
      <c r="H1418" s="1597"/>
      <c r="I1418" s="1597"/>
      <c r="J1418" s="1597"/>
      <c r="K1418" s="1597"/>
      <c r="L1418" s="1597"/>
      <c r="M1418" s="1597"/>
      <c r="N1418" s="1597"/>
      <c r="O1418" s="1597"/>
      <c r="P1418" s="1597"/>
      <c r="Q1418" s="1597"/>
      <c r="R1418" s="1597"/>
      <c r="S1418" s="1597"/>
      <c r="T1418" s="1597"/>
    </row>
    <row r="1419" spans="1:20">
      <c r="A1419" s="1597"/>
      <c r="B1419" s="1597"/>
      <c r="C1419" s="1597"/>
      <c r="D1419" s="1597"/>
      <c r="E1419" s="1597"/>
      <c r="F1419" s="1597"/>
      <c r="G1419" s="1597"/>
      <c r="H1419" s="1597"/>
      <c r="I1419" s="1597"/>
      <c r="J1419" s="1597"/>
      <c r="K1419" s="1597"/>
      <c r="L1419" s="1597"/>
      <c r="M1419" s="1597"/>
      <c r="N1419" s="1597"/>
      <c r="O1419" s="1597"/>
      <c r="P1419" s="1597"/>
      <c r="Q1419" s="1597"/>
      <c r="R1419" s="1597"/>
      <c r="S1419" s="1597"/>
      <c r="T1419" s="1597"/>
    </row>
    <row r="1420" spans="1:20">
      <c r="A1420" s="1597"/>
      <c r="B1420" s="1597"/>
      <c r="C1420" s="1597"/>
      <c r="D1420" s="1597"/>
      <c r="E1420" s="1597"/>
      <c r="F1420" s="1597"/>
      <c r="G1420" s="1597"/>
      <c r="H1420" s="1597"/>
      <c r="I1420" s="1597"/>
      <c r="J1420" s="1597"/>
      <c r="K1420" s="1597"/>
      <c r="L1420" s="1597"/>
      <c r="M1420" s="1597"/>
      <c r="N1420" s="1597"/>
      <c r="O1420" s="1597"/>
      <c r="P1420" s="1597"/>
      <c r="Q1420" s="1597"/>
      <c r="R1420" s="1597"/>
      <c r="S1420" s="1597"/>
      <c r="T1420" s="1597"/>
    </row>
    <row r="1421" spans="1:20">
      <c r="A1421" s="1597"/>
      <c r="B1421" s="1597"/>
      <c r="C1421" s="1597"/>
      <c r="D1421" s="1597"/>
      <c r="E1421" s="1597"/>
      <c r="F1421" s="1597"/>
      <c r="G1421" s="1597"/>
      <c r="H1421" s="1597"/>
      <c r="I1421" s="1597"/>
      <c r="J1421" s="1597"/>
      <c r="K1421" s="1597"/>
      <c r="L1421" s="1597"/>
      <c r="M1421" s="1597"/>
      <c r="N1421" s="1597"/>
      <c r="O1421" s="1597"/>
      <c r="P1421" s="1597"/>
      <c r="Q1421" s="1597"/>
      <c r="R1421" s="1597"/>
      <c r="S1421" s="1597"/>
      <c r="T1421" s="1597"/>
    </row>
    <row r="1422" spans="1:20">
      <c r="A1422" s="1597"/>
      <c r="B1422" s="1597"/>
      <c r="C1422" s="1597"/>
      <c r="D1422" s="1597"/>
      <c r="E1422" s="1597"/>
      <c r="F1422" s="1597"/>
      <c r="G1422" s="1597"/>
      <c r="H1422" s="1597"/>
      <c r="I1422" s="1597"/>
      <c r="J1422" s="1597"/>
      <c r="K1422" s="1597"/>
      <c r="L1422" s="1597"/>
      <c r="M1422" s="1597"/>
      <c r="N1422" s="1597"/>
      <c r="O1422" s="1597"/>
      <c r="P1422" s="1597"/>
      <c r="Q1422" s="1597"/>
      <c r="R1422" s="1597"/>
      <c r="S1422" s="1597"/>
      <c r="T1422" s="1597"/>
    </row>
    <row r="1423" spans="1:20">
      <c r="A1423" s="1597"/>
      <c r="B1423" s="1597"/>
      <c r="C1423" s="1597"/>
      <c r="D1423" s="1597"/>
      <c r="E1423" s="1597"/>
      <c r="F1423" s="1597"/>
      <c r="G1423" s="1597"/>
      <c r="H1423" s="1597"/>
      <c r="I1423" s="1597"/>
      <c r="J1423" s="1597"/>
      <c r="K1423" s="1597"/>
      <c r="L1423" s="1597"/>
      <c r="M1423" s="1597"/>
      <c r="N1423" s="1597"/>
      <c r="O1423" s="1597"/>
      <c r="P1423" s="1597"/>
      <c r="Q1423" s="1597"/>
      <c r="R1423" s="1597"/>
      <c r="S1423" s="1597"/>
      <c r="T1423" s="1597"/>
    </row>
    <row r="1424" spans="1:20">
      <c r="A1424" s="1597"/>
      <c r="B1424" s="1597"/>
      <c r="C1424" s="1597"/>
      <c r="D1424" s="1597"/>
      <c r="E1424" s="1597"/>
      <c r="F1424" s="1597"/>
      <c r="G1424" s="1597"/>
      <c r="H1424" s="1597"/>
      <c r="I1424" s="1597"/>
      <c r="J1424" s="1597"/>
      <c r="K1424" s="1597"/>
      <c r="L1424" s="1597"/>
      <c r="M1424" s="1597"/>
      <c r="N1424" s="1597"/>
      <c r="O1424" s="1597"/>
      <c r="P1424" s="1597"/>
      <c r="Q1424" s="1597"/>
      <c r="R1424" s="1597"/>
      <c r="S1424" s="1597"/>
      <c r="T1424" s="1597"/>
    </row>
    <row r="1425" spans="1:20">
      <c r="A1425" s="1597"/>
      <c r="B1425" s="1597"/>
      <c r="C1425" s="1597"/>
      <c r="D1425" s="1597"/>
      <c r="E1425" s="1597"/>
      <c r="F1425" s="1597"/>
      <c r="G1425" s="1597"/>
      <c r="H1425" s="1597"/>
      <c r="I1425" s="1597"/>
      <c r="J1425" s="1597"/>
      <c r="K1425" s="1597"/>
      <c r="L1425" s="1597"/>
      <c r="M1425" s="1597"/>
      <c r="N1425" s="1597"/>
      <c r="O1425" s="1597"/>
      <c r="P1425" s="1597"/>
      <c r="Q1425" s="1597"/>
      <c r="R1425" s="1597"/>
      <c r="S1425" s="1597"/>
      <c r="T1425" s="1597"/>
    </row>
    <row r="1426" spans="1:20">
      <c r="A1426" s="1597"/>
      <c r="B1426" s="1597"/>
      <c r="C1426" s="1597"/>
      <c r="D1426" s="1597"/>
      <c r="E1426" s="1597"/>
      <c r="F1426" s="1597"/>
      <c r="G1426" s="1597"/>
      <c r="H1426" s="1597"/>
      <c r="I1426" s="1597"/>
      <c r="J1426" s="1597"/>
      <c r="K1426" s="1597"/>
      <c r="L1426" s="1597"/>
      <c r="M1426" s="1597"/>
      <c r="N1426" s="1597"/>
      <c r="O1426" s="1597"/>
      <c r="P1426" s="1597"/>
      <c r="Q1426" s="1597"/>
      <c r="R1426" s="1597"/>
      <c r="S1426" s="1597"/>
      <c r="T1426" s="1597"/>
    </row>
    <row r="1427" spans="1:20">
      <c r="A1427" s="1597"/>
      <c r="B1427" s="1597"/>
      <c r="C1427" s="1597"/>
      <c r="D1427" s="1597"/>
      <c r="E1427" s="1597"/>
      <c r="F1427" s="1597"/>
      <c r="G1427" s="1597"/>
      <c r="H1427" s="1597"/>
      <c r="I1427" s="1597"/>
      <c r="J1427" s="1597"/>
      <c r="K1427" s="1597"/>
      <c r="L1427" s="1597"/>
      <c r="M1427" s="1597"/>
      <c r="N1427" s="1597"/>
      <c r="O1427" s="1597"/>
      <c r="P1427" s="1597"/>
      <c r="Q1427" s="1597"/>
      <c r="R1427" s="1597"/>
      <c r="S1427" s="1597"/>
      <c r="T1427" s="1597"/>
    </row>
    <row r="1428" spans="1:20">
      <c r="A1428" s="1597"/>
      <c r="B1428" s="1597"/>
      <c r="C1428" s="1597"/>
      <c r="D1428" s="1597"/>
      <c r="E1428" s="1597"/>
      <c r="F1428" s="1597"/>
      <c r="G1428" s="1597"/>
      <c r="H1428" s="1597"/>
      <c r="I1428" s="1597"/>
      <c r="J1428" s="1597"/>
      <c r="K1428" s="1597"/>
      <c r="L1428" s="1597"/>
      <c r="M1428" s="1597"/>
      <c r="N1428" s="1597"/>
      <c r="O1428" s="1597"/>
      <c r="P1428" s="1597"/>
      <c r="Q1428" s="1597"/>
      <c r="R1428" s="1597"/>
      <c r="S1428" s="1597"/>
      <c r="T1428" s="1597"/>
    </row>
    <row r="1429" spans="1:20">
      <c r="A1429" s="1597"/>
      <c r="B1429" s="1597"/>
      <c r="C1429" s="1597"/>
      <c r="D1429" s="1597"/>
      <c r="E1429" s="1597"/>
      <c r="F1429" s="1597"/>
      <c r="G1429" s="1597"/>
      <c r="H1429" s="1597"/>
      <c r="I1429" s="1597"/>
      <c r="J1429" s="1597"/>
      <c r="K1429" s="1597"/>
      <c r="L1429" s="1597"/>
      <c r="M1429" s="1597"/>
      <c r="N1429" s="1597"/>
      <c r="O1429" s="1597"/>
      <c r="P1429" s="1597"/>
      <c r="Q1429" s="1597"/>
      <c r="R1429" s="1597"/>
      <c r="S1429" s="1597"/>
      <c r="T1429" s="1597"/>
    </row>
    <row r="1430" spans="1:20">
      <c r="A1430" s="1597"/>
      <c r="B1430" s="1597"/>
      <c r="C1430" s="1597"/>
      <c r="D1430" s="1597"/>
      <c r="E1430" s="1597"/>
      <c r="F1430" s="1597"/>
      <c r="G1430" s="1597"/>
      <c r="H1430" s="1597"/>
      <c r="I1430" s="1597"/>
      <c r="J1430" s="1597"/>
      <c r="K1430" s="1597"/>
      <c r="L1430" s="1597"/>
      <c r="M1430" s="1597"/>
      <c r="N1430" s="1597"/>
      <c r="O1430" s="1597"/>
      <c r="P1430" s="1597"/>
      <c r="Q1430" s="1597"/>
      <c r="R1430" s="1597"/>
      <c r="S1430" s="1597"/>
      <c r="T1430" s="1597"/>
    </row>
    <row r="1431" spans="1:20">
      <c r="A1431" s="1597"/>
      <c r="B1431" s="1597"/>
      <c r="C1431" s="1597"/>
      <c r="D1431" s="1597"/>
      <c r="E1431" s="1597"/>
      <c r="F1431" s="1597"/>
      <c r="G1431" s="1597"/>
      <c r="H1431" s="1597"/>
      <c r="I1431" s="1597"/>
      <c r="J1431" s="1597"/>
      <c r="K1431" s="1597"/>
      <c r="L1431" s="1597"/>
      <c r="M1431" s="1597"/>
      <c r="N1431" s="1597"/>
      <c r="O1431" s="1597"/>
      <c r="P1431" s="1597"/>
      <c r="Q1431" s="1597"/>
      <c r="R1431" s="1597"/>
      <c r="S1431" s="1597"/>
      <c r="T1431" s="1597"/>
    </row>
    <row r="1432" spans="1:20">
      <c r="A1432" s="1597"/>
      <c r="B1432" s="1597"/>
      <c r="C1432" s="1597"/>
      <c r="D1432" s="1597"/>
      <c r="E1432" s="1597"/>
      <c r="F1432" s="1597"/>
      <c r="G1432" s="1597"/>
      <c r="H1432" s="1597"/>
      <c r="I1432" s="1597"/>
      <c r="J1432" s="1597"/>
      <c r="K1432" s="1597"/>
      <c r="L1432" s="1597"/>
      <c r="M1432" s="1597"/>
      <c r="N1432" s="1597"/>
      <c r="O1432" s="1597"/>
      <c r="P1432" s="1597"/>
      <c r="Q1432" s="1597"/>
      <c r="R1432" s="1597"/>
      <c r="S1432" s="1597"/>
      <c r="T1432" s="1597"/>
    </row>
    <row r="1433" spans="1:20">
      <c r="A1433" s="1597"/>
      <c r="B1433" s="1597"/>
      <c r="C1433" s="1597"/>
      <c r="D1433" s="1597"/>
      <c r="E1433" s="1597"/>
      <c r="F1433" s="1597"/>
      <c r="G1433" s="1597"/>
      <c r="H1433" s="1597"/>
      <c r="I1433" s="1597"/>
      <c r="J1433" s="1597"/>
      <c r="K1433" s="1597"/>
      <c r="L1433" s="1597"/>
      <c r="M1433" s="1597"/>
      <c r="N1433" s="1597"/>
      <c r="O1433" s="1597"/>
      <c r="P1433" s="1597"/>
      <c r="Q1433" s="1597"/>
      <c r="R1433" s="1597"/>
      <c r="S1433" s="1597"/>
      <c r="T1433" s="1597"/>
    </row>
    <row r="1434" spans="1:20">
      <c r="A1434" s="1597"/>
      <c r="B1434" s="1597"/>
      <c r="C1434" s="1597"/>
      <c r="D1434" s="1597"/>
      <c r="E1434" s="1597"/>
      <c r="F1434" s="1597"/>
      <c r="G1434" s="1597"/>
      <c r="H1434" s="1597"/>
      <c r="I1434" s="1597"/>
      <c r="J1434" s="1597"/>
      <c r="K1434" s="1597"/>
      <c r="L1434" s="1597"/>
      <c r="M1434" s="1597"/>
      <c r="N1434" s="1597"/>
      <c r="O1434" s="1597"/>
      <c r="P1434" s="1597"/>
      <c r="Q1434" s="1597"/>
      <c r="R1434" s="1597"/>
      <c r="S1434" s="1597"/>
      <c r="T1434" s="1597"/>
    </row>
    <row r="1435" spans="1:20">
      <c r="A1435" s="1597"/>
      <c r="B1435" s="1597"/>
      <c r="C1435" s="1597"/>
      <c r="D1435" s="1597"/>
      <c r="E1435" s="1597"/>
      <c r="F1435" s="1597"/>
      <c r="G1435" s="1597"/>
      <c r="H1435" s="1597"/>
      <c r="I1435" s="1597"/>
      <c r="J1435" s="1597"/>
      <c r="K1435" s="1597"/>
      <c r="L1435" s="1597"/>
      <c r="M1435" s="1597"/>
      <c r="N1435" s="1597"/>
      <c r="O1435" s="1597"/>
      <c r="P1435" s="1597"/>
      <c r="Q1435" s="1597"/>
      <c r="R1435" s="1597"/>
      <c r="S1435" s="1597"/>
      <c r="T1435" s="1597"/>
    </row>
    <row r="1436" spans="1:20">
      <c r="A1436" s="1597"/>
      <c r="B1436" s="1597"/>
      <c r="C1436" s="1597"/>
      <c r="D1436" s="1597"/>
      <c r="E1436" s="1597"/>
      <c r="F1436" s="1597"/>
      <c r="G1436" s="1597"/>
      <c r="H1436" s="1597"/>
      <c r="I1436" s="1597"/>
      <c r="J1436" s="1597"/>
      <c r="K1436" s="1597"/>
      <c r="L1436" s="1597"/>
      <c r="M1436" s="1597"/>
      <c r="N1436" s="1597"/>
      <c r="O1436" s="1597"/>
      <c r="P1436" s="1597"/>
      <c r="Q1436" s="1597"/>
      <c r="R1436" s="1597"/>
      <c r="S1436" s="1597"/>
      <c r="T1436" s="1597"/>
    </row>
    <row r="1437" spans="1:20">
      <c r="A1437" s="1597"/>
      <c r="B1437" s="1597"/>
      <c r="C1437" s="1597"/>
      <c r="D1437" s="1597"/>
      <c r="E1437" s="1597"/>
      <c r="F1437" s="1597"/>
      <c r="G1437" s="1597"/>
      <c r="H1437" s="1597"/>
      <c r="I1437" s="1597"/>
      <c r="J1437" s="1597"/>
      <c r="K1437" s="1597"/>
      <c r="L1437" s="1597"/>
      <c r="M1437" s="1597"/>
      <c r="N1437" s="1597"/>
      <c r="O1437" s="1597"/>
      <c r="P1437" s="1597"/>
      <c r="Q1437" s="1597"/>
      <c r="R1437" s="1597"/>
      <c r="S1437" s="1597"/>
      <c r="T1437" s="1597"/>
    </row>
    <row r="1438" spans="1:20">
      <c r="A1438" s="1597"/>
      <c r="B1438" s="1597"/>
      <c r="C1438" s="1597"/>
      <c r="D1438" s="1597"/>
      <c r="E1438" s="1597"/>
      <c r="F1438" s="1597"/>
      <c r="G1438" s="1597"/>
      <c r="H1438" s="1597"/>
      <c r="I1438" s="1597"/>
      <c r="J1438" s="1597"/>
      <c r="K1438" s="1597"/>
      <c r="L1438" s="1597"/>
      <c r="M1438" s="1597"/>
      <c r="N1438" s="1597"/>
      <c r="O1438" s="1597"/>
      <c r="P1438" s="1597"/>
      <c r="Q1438" s="1597"/>
      <c r="R1438" s="1597"/>
      <c r="S1438" s="1597"/>
      <c r="T1438" s="1597"/>
    </row>
    <row r="1439" spans="1:20">
      <c r="A1439" s="1597"/>
      <c r="B1439" s="1597"/>
      <c r="C1439" s="1597"/>
      <c r="D1439" s="1597"/>
      <c r="E1439" s="1597"/>
      <c r="F1439" s="1597"/>
      <c r="G1439" s="1597"/>
      <c r="H1439" s="1597"/>
      <c r="I1439" s="1597"/>
      <c r="J1439" s="1597"/>
      <c r="K1439" s="1597"/>
      <c r="L1439" s="1597"/>
      <c r="M1439" s="1597"/>
      <c r="N1439" s="1597"/>
      <c r="O1439" s="1597"/>
      <c r="P1439" s="1597"/>
      <c r="Q1439" s="1597"/>
      <c r="R1439" s="1597"/>
      <c r="S1439" s="1597"/>
      <c r="T1439" s="1597"/>
    </row>
    <row r="1440" spans="1:20">
      <c r="A1440" s="1597"/>
      <c r="B1440" s="1597"/>
      <c r="C1440" s="1597"/>
      <c r="D1440" s="1597"/>
      <c r="E1440" s="1597"/>
      <c r="F1440" s="1597"/>
      <c r="G1440" s="1597"/>
      <c r="H1440" s="1597"/>
      <c r="I1440" s="1597"/>
      <c r="J1440" s="1597"/>
      <c r="K1440" s="1597"/>
      <c r="L1440" s="1597"/>
      <c r="M1440" s="1597"/>
      <c r="N1440" s="1597"/>
      <c r="O1440" s="1597"/>
      <c r="P1440" s="1597"/>
      <c r="Q1440" s="1597"/>
      <c r="R1440" s="1597"/>
      <c r="S1440" s="1597"/>
      <c r="T1440" s="1597"/>
    </row>
    <row r="1441" spans="1:20">
      <c r="A1441" s="1597"/>
      <c r="B1441" s="1597"/>
      <c r="C1441" s="1597"/>
      <c r="D1441" s="1597"/>
      <c r="E1441" s="1597"/>
      <c r="F1441" s="1597"/>
      <c r="G1441" s="1597"/>
      <c r="H1441" s="1597"/>
      <c r="I1441" s="1597"/>
      <c r="J1441" s="1597"/>
      <c r="K1441" s="1597"/>
      <c r="L1441" s="1597"/>
      <c r="M1441" s="1597"/>
      <c r="N1441" s="1597"/>
      <c r="O1441" s="1597"/>
      <c r="P1441" s="1597"/>
      <c r="Q1441" s="1597"/>
      <c r="R1441" s="1597"/>
      <c r="S1441" s="1597"/>
      <c r="T1441" s="1597"/>
    </row>
    <row r="1442" spans="1:20">
      <c r="A1442" s="1597"/>
      <c r="B1442" s="1597"/>
      <c r="C1442" s="1597"/>
      <c r="D1442" s="1597"/>
      <c r="E1442" s="1597"/>
      <c r="F1442" s="1597"/>
      <c r="G1442" s="1597"/>
      <c r="H1442" s="1597"/>
      <c r="I1442" s="1597"/>
      <c r="J1442" s="1597"/>
      <c r="K1442" s="1597"/>
      <c r="L1442" s="1597"/>
      <c r="M1442" s="1597"/>
      <c r="N1442" s="1597"/>
      <c r="O1442" s="1597"/>
      <c r="P1442" s="1597"/>
      <c r="Q1442" s="1597"/>
      <c r="R1442" s="1597"/>
      <c r="S1442" s="1597"/>
      <c r="T1442" s="1597"/>
    </row>
    <row r="1443" spans="1:20">
      <c r="A1443" s="1597"/>
      <c r="B1443" s="1597"/>
      <c r="C1443" s="1597"/>
      <c r="D1443" s="1597"/>
      <c r="E1443" s="1597"/>
      <c r="F1443" s="1597"/>
      <c r="G1443" s="1597"/>
      <c r="H1443" s="1597"/>
      <c r="I1443" s="1597"/>
      <c r="J1443" s="1597"/>
      <c r="K1443" s="1597"/>
      <c r="L1443" s="1597"/>
      <c r="M1443" s="1597"/>
      <c r="N1443" s="1597"/>
      <c r="O1443" s="1597"/>
      <c r="P1443" s="1597"/>
      <c r="Q1443" s="1597"/>
      <c r="R1443" s="1597"/>
      <c r="S1443" s="1597"/>
      <c r="T1443" s="1597"/>
    </row>
    <row r="1444" spans="1:20">
      <c r="A1444" s="1597"/>
      <c r="B1444" s="1597"/>
      <c r="C1444" s="1597"/>
      <c r="D1444" s="1597"/>
      <c r="E1444" s="1597"/>
      <c r="F1444" s="1597"/>
      <c r="G1444" s="1597"/>
      <c r="H1444" s="1597"/>
      <c r="I1444" s="1597"/>
      <c r="J1444" s="1597"/>
      <c r="K1444" s="1597"/>
      <c r="L1444" s="1597"/>
      <c r="M1444" s="1597"/>
      <c r="N1444" s="1597"/>
      <c r="O1444" s="1597"/>
      <c r="P1444" s="1597"/>
      <c r="Q1444" s="1597"/>
      <c r="R1444" s="1597"/>
      <c r="S1444" s="1597"/>
      <c r="T1444" s="1597"/>
    </row>
    <row r="1445" spans="1:20">
      <c r="A1445" s="1597"/>
      <c r="B1445" s="1597"/>
      <c r="C1445" s="1597"/>
      <c r="D1445" s="1597"/>
      <c r="E1445" s="1597"/>
      <c r="F1445" s="1597"/>
      <c r="G1445" s="1597"/>
      <c r="H1445" s="1597"/>
      <c r="I1445" s="1597"/>
      <c r="J1445" s="1597"/>
      <c r="K1445" s="1597"/>
      <c r="L1445" s="1597"/>
      <c r="M1445" s="1597"/>
      <c r="N1445" s="1597"/>
      <c r="O1445" s="1597"/>
      <c r="P1445" s="1597"/>
      <c r="Q1445" s="1597"/>
      <c r="R1445" s="1597"/>
      <c r="S1445" s="1597"/>
      <c r="T1445" s="1597"/>
    </row>
    <row r="1446" spans="1:20">
      <c r="A1446" s="1597"/>
      <c r="B1446" s="1597"/>
      <c r="C1446" s="1597"/>
      <c r="D1446" s="1597"/>
      <c r="E1446" s="1597"/>
      <c r="F1446" s="1597"/>
      <c r="G1446" s="1597"/>
      <c r="H1446" s="1597"/>
      <c r="I1446" s="1597"/>
      <c r="J1446" s="1597"/>
      <c r="K1446" s="1597"/>
      <c r="L1446" s="1597"/>
      <c r="M1446" s="1597"/>
      <c r="N1446" s="1597"/>
      <c r="O1446" s="1597"/>
      <c r="P1446" s="1597"/>
      <c r="Q1446" s="1597"/>
      <c r="R1446" s="1597"/>
      <c r="S1446" s="1597"/>
      <c r="T1446" s="1597"/>
    </row>
    <row r="1447" spans="1:20">
      <c r="A1447" s="1597"/>
      <c r="B1447" s="1597"/>
      <c r="C1447" s="1597"/>
      <c r="D1447" s="1597"/>
      <c r="E1447" s="1597"/>
      <c r="F1447" s="1597"/>
      <c r="G1447" s="1597"/>
      <c r="H1447" s="1597"/>
      <c r="I1447" s="1597"/>
      <c r="J1447" s="1597"/>
      <c r="K1447" s="1597"/>
      <c r="L1447" s="1597"/>
      <c r="M1447" s="1597"/>
      <c r="N1447" s="1597"/>
      <c r="O1447" s="1597"/>
      <c r="P1447" s="1597"/>
      <c r="Q1447" s="1597"/>
      <c r="R1447" s="1597"/>
      <c r="S1447" s="1597"/>
      <c r="T1447" s="1597"/>
    </row>
    <row r="1448" spans="1:20">
      <c r="A1448" s="1597"/>
      <c r="B1448" s="1597"/>
      <c r="C1448" s="1597"/>
      <c r="D1448" s="1597"/>
      <c r="E1448" s="1597"/>
      <c r="F1448" s="1597"/>
      <c r="G1448" s="1597"/>
      <c r="H1448" s="1597"/>
      <c r="I1448" s="1597"/>
      <c r="J1448" s="1597"/>
      <c r="K1448" s="1597"/>
      <c r="L1448" s="1597"/>
      <c r="M1448" s="1597"/>
      <c r="N1448" s="1597"/>
      <c r="O1448" s="1597"/>
      <c r="P1448" s="1597"/>
      <c r="Q1448" s="1597"/>
      <c r="R1448" s="1597"/>
      <c r="S1448" s="1597"/>
      <c r="T1448" s="1597"/>
    </row>
    <row r="1449" spans="1:20">
      <c r="A1449" s="1597"/>
      <c r="B1449" s="1597"/>
      <c r="C1449" s="1597"/>
      <c r="D1449" s="1597"/>
      <c r="E1449" s="1597"/>
      <c r="F1449" s="1597"/>
      <c r="G1449" s="1597"/>
      <c r="H1449" s="1597"/>
      <c r="I1449" s="1597"/>
      <c r="J1449" s="1597"/>
      <c r="K1449" s="1597"/>
      <c r="L1449" s="1597"/>
      <c r="M1449" s="1597"/>
      <c r="N1449" s="1597"/>
      <c r="O1449" s="1597"/>
      <c r="P1449" s="1597"/>
      <c r="Q1449" s="1597"/>
      <c r="R1449" s="1597"/>
      <c r="S1449" s="1597"/>
      <c r="T1449" s="1597"/>
    </row>
    <row r="1450" spans="1:20">
      <c r="A1450" s="1597"/>
      <c r="B1450" s="1597"/>
      <c r="C1450" s="1597"/>
      <c r="D1450" s="1597"/>
      <c r="E1450" s="1597"/>
      <c r="F1450" s="1597"/>
      <c r="G1450" s="1597"/>
      <c r="H1450" s="1597"/>
      <c r="I1450" s="1597"/>
      <c r="J1450" s="1597"/>
      <c r="K1450" s="1597"/>
      <c r="L1450" s="1597"/>
      <c r="M1450" s="1597"/>
      <c r="N1450" s="1597"/>
      <c r="O1450" s="1597"/>
      <c r="P1450" s="1597"/>
      <c r="Q1450" s="1597"/>
      <c r="R1450" s="1597"/>
      <c r="S1450" s="1597"/>
      <c r="T1450" s="1597"/>
    </row>
    <row r="1451" spans="1:20">
      <c r="A1451" s="1597"/>
      <c r="B1451" s="1597"/>
      <c r="C1451" s="1597"/>
      <c r="D1451" s="1597"/>
      <c r="E1451" s="1597"/>
      <c r="F1451" s="1597"/>
      <c r="G1451" s="1597"/>
      <c r="H1451" s="1597"/>
      <c r="I1451" s="1597"/>
      <c r="J1451" s="1597"/>
      <c r="K1451" s="1597"/>
      <c r="L1451" s="1597"/>
      <c r="M1451" s="1597"/>
      <c r="N1451" s="1597"/>
      <c r="O1451" s="1597"/>
      <c r="P1451" s="1597"/>
      <c r="Q1451" s="1597"/>
      <c r="R1451" s="1597"/>
      <c r="S1451" s="1597"/>
      <c r="T1451" s="1597"/>
    </row>
    <row r="1452" spans="1:20">
      <c r="A1452" s="1597"/>
      <c r="B1452" s="1597"/>
      <c r="C1452" s="1597"/>
      <c r="D1452" s="1597"/>
      <c r="E1452" s="1597"/>
      <c r="F1452" s="1597"/>
      <c r="G1452" s="1597"/>
      <c r="H1452" s="1597"/>
      <c r="I1452" s="1597"/>
      <c r="J1452" s="1597"/>
      <c r="K1452" s="1597"/>
      <c r="L1452" s="1597"/>
      <c r="M1452" s="1597"/>
      <c r="N1452" s="1597"/>
      <c r="O1452" s="1597"/>
      <c r="P1452" s="1597"/>
      <c r="Q1452" s="1597"/>
      <c r="R1452" s="1597"/>
      <c r="S1452" s="1597"/>
      <c r="T1452" s="1597"/>
    </row>
    <row r="1453" spans="1:20">
      <c r="A1453" s="1597"/>
      <c r="B1453" s="1597"/>
      <c r="C1453" s="1597"/>
      <c r="D1453" s="1597"/>
      <c r="E1453" s="1597"/>
      <c r="F1453" s="1597"/>
      <c r="G1453" s="1597"/>
      <c r="H1453" s="1597"/>
      <c r="I1453" s="1597"/>
      <c r="J1453" s="1597"/>
      <c r="K1453" s="1597"/>
      <c r="L1453" s="1597"/>
      <c r="M1453" s="1597"/>
      <c r="N1453" s="1597"/>
      <c r="O1453" s="1597"/>
      <c r="P1453" s="1597"/>
      <c r="Q1453" s="1597"/>
      <c r="R1453" s="1597"/>
      <c r="S1453" s="1597"/>
      <c r="T1453" s="1597"/>
    </row>
    <row r="1454" spans="1:20">
      <c r="A1454" s="1597"/>
      <c r="B1454" s="1597"/>
      <c r="C1454" s="1597"/>
      <c r="D1454" s="1597"/>
      <c r="E1454" s="1597"/>
      <c r="F1454" s="1597"/>
      <c r="G1454" s="1597"/>
      <c r="H1454" s="1597"/>
      <c r="I1454" s="1597"/>
      <c r="J1454" s="1597"/>
      <c r="K1454" s="1597"/>
      <c r="L1454" s="1597"/>
      <c r="M1454" s="1597"/>
      <c r="N1454" s="1597"/>
      <c r="O1454" s="1597"/>
      <c r="P1454" s="1597"/>
      <c r="Q1454" s="1597"/>
      <c r="R1454" s="1597"/>
      <c r="S1454" s="1597"/>
      <c r="T1454" s="1597"/>
    </row>
    <row r="1455" spans="1:20">
      <c r="A1455" s="1597"/>
      <c r="B1455" s="1597"/>
      <c r="C1455" s="1597"/>
      <c r="D1455" s="1597"/>
      <c r="E1455" s="1597"/>
      <c r="F1455" s="1597"/>
      <c r="G1455" s="1597"/>
      <c r="H1455" s="1597"/>
      <c r="I1455" s="1597"/>
      <c r="J1455" s="1597"/>
      <c r="K1455" s="1597"/>
      <c r="L1455" s="1597"/>
      <c r="M1455" s="1597"/>
      <c r="N1455" s="1597"/>
      <c r="O1455" s="1597"/>
      <c r="P1455" s="1597"/>
      <c r="Q1455" s="1597"/>
      <c r="R1455" s="1597"/>
      <c r="S1455" s="1597"/>
      <c r="T1455" s="1597"/>
    </row>
    <row r="1456" spans="1:20">
      <c r="A1456" s="1597"/>
      <c r="B1456" s="1597"/>
      <c r="C1456" s="1597"/>
      <c r="D1456" s="1597"/>
      <c r="E1456" s="1597"/>
      <c r="F1456" s="1597"/>
      <c r="G1456" s="1597"/>
      <c r="H1456" s="1597"/>
      <c r="I1456" s="1597"/>
      <c r="J1456" s="1597"/>
      <c r="K1456" s="1597"/>
      <c r="L1456" s="1597"/>
      <c r="M1456" s="1597"/>
      <c r="N1456" s="1597"/>
      <c r="O1456" s="1597"/>
      <c r="P1456" s="1597"/>
      <c r="Q1456" s="1597"/>
      <c r="R1456" s="1597"/>
      <c r="S1456" s="1597"/>
      <c r="T1456" s="1597"/>
    </row>
    <row r="1457" spans="1:20">
      <c r="A1457" s="1597"/>
      <c r="B1457" s="1597"/>
      <c r="C1457" s="1597"/>
      <c r="D1457" s="1597"/>
      <c r="E1457" s="1597"/>
      <c r="F1457" s="1597"/>
      <c r="G1457" s="1597"/>
      <c r="H1457" s="1597"/>
      <c r="I1457" s="1597"/>
      <c r="J1457" s="1597"/>
      <c r="K1457" s="1597"/>
      <c r="L1457" s="1597"/>
      <c r="M1457" s="1597"/>
      <c r="N1457" s="1597"/>
      <c r="O1457" s="1597"/>
      <c r="P1457" s="1597"/>
      <c r="Q1457" s="1597"/>
      <c r="R1457" s="1597"/>
      <c r="S1457" s="1597"/>
      <c r="T1457" s="1597"/>
    </row>
    <row r="1458" spans="1:20">
      <c r="A1458" s="1597"/>
      <c r="B1458" s="1597"/>
      <c r="C1458" s="1597"/>
      <c r="D1458" s="1597"/>
      <c r="E1458" s="1597"/>
      <c r="F1458" s="1597"/>
      <c r="G1458" s="1597"/>
      <c r="H1458" s="1597"/>
      <c r="I1458" s="1597"/>
      <c r="J1458" s="1597"/>
      <c r="K1458" s="1597"/>
      <c r="L1458" s="1597"/>
      <c r="M1458" s="1597"/>
      <c r="N1458" s="1597"/>
      <c r="O1458" s="1597"/>
      <c r="P1458" s="1597"/>
      <c r="Q1458" s="1597"/>
      <c r="R1458" s="1597"/>
      <c r="S1458" s="1597"/>
      <c r="T1458" s="1597"/>
    </row>
    <row r="1459" spans="1:20">
      <c r="A1459" s="1597"/>
      <c r="B1459" s="1597"/>
      <c r="C1459" s="1597"/>
      <c r="D1459" s="1597"/>
      <c r="E1459" s="1597"/>
      <c r="F1459" s="1597"/>
      <c r="G1459" s="1597"/>
      <c r="H1459" s="1597"/>
      <c r="I1459" s="1597"/>
      <c r="J1459" s="1597"/>
      <c r="K1459" s="1597"/>
      <c r="L1459" s="1597"/>
      <c r="M1459" s="1597"/>
      <c r="N1459" s="1597"/>
      <c r="O1459" s="1597"/>
      <c r="P1459" s="1597"/>
      <c r="Q1459" s="1597"/>
      <c r="R1459" s="1597"/>
      <c r="S1459" s="1597"/>
      <c r="T1459" s="1597"/>
    </row>
    <row r="1460" spans="1:20">
      <c r="A1460" s="1597"/>
      <c r="B1460" s="1597"/>
      <c r="C1460" s="1597"/>
      <c r="D1460" s="1597"/>
      <c r="E1460" s="1597"/>
      <c r="F1460" s="1597"/>
      <c r="G1460" s="1597"/>
      <c r="H1460" s="1597"/>
      <c r="I1460" s="1597"/>
      <c r="J1460" s="1597"/>
      <c r="K1460" s="1597"/>
      <c r="L1460" s="1597"/>
      <c r="M1460" s="1597"/>
      <c r="N1460" s="1597"/>
      <c r="O1460" s="1597"/>
      <c r="P1460" s="1597"/>
      <c r="Q1460" s="1597"/>
      <c r="R1460" s="1597"/>
      <c r="S1460" s="1597"/>
      <c r="T1460" s="1597"/>
    </row>
    <row r="1461" spans="1:20">
      <c r="A1461" s="1597"/>
      <c r="B1461" s="1597"/>
      <c r="C1461" s="1597"/>
      <c r="D1461" s="1597"/>
      <c r="E1461" s="1597"/>
      <c r="F1461" s="1597"/>
      <c r="G1461" s="1597"/>
      <c r="H1461" s="1597"/>
      <c r="I1461" s="1597"/>
      <c r="J1461" s="1597"/>
      <c r="K1461" s="1597"/>
      <c r="L1461" s="1597"/>
      <c r="M1461" s="1597"/>
      <c r="N1461" s="1597"/>
      <c r="O1461" s="1597"/>
      <c r="P1461" s="1597"/>
      <c r="Q1461" s="1597"/>
      <c r="R1461" s="1597"/>
      <c r="S1461" s="1597"/>
      <c r="T1461" s="1597"/>
    </row>
    <row r="1462" spans="1:20">
      <c r="A1462" s="1597"/>
      <c r="B1462" s="1597"/>
      <c r="C1462" s="1597"/>
      <c r="D1462" s="1597"/>
      <c r="E1462" s="1597"/>
      <c r="F1462" s="1597"/>
      <c r="G1462" s="1597"/>
      <c r="H1462" s="1597"/>
      <c r="I1462" s="1597"/>
      <c r="J1462" s="1597"/>
      <c r="K1462" s="1597"/>
      <c r="L1462" s="1597"/>
      <c r="M1462" s="1597"/>
      <c r="N1462" s="1597"/>
      <c r="O1462" s="1597"/>
      <c r="P1462" s="1597"/>
      <c r="Q1462" s="1597"/>
      <c r="R1462" s="1597"/>
      <c r="S1462" s="1597"/>
      <c r="T1462" s="1597"/>
    </row>
    <row r="1463" spans="1:20">
      <c r="A1463" s="1597"/>
      <c r="B1463" s="1597"/>
      <c r="C1463" s="1597"/>
      <c r="D1463" s="1597"/>
      <c r="E1463" s="1597"/>
      <c r="F1463" s="1597"/>
      <c r="G1463" s="1597"/>
      <c r="H1463" s="1597"/>
      <c r="I1463" s="1597"/>
      <c r="J1463" s="1597"/>
      <c r="K1463" s="1597"/>
      <c r="L1463" s="1597"/>
      <c r="M1463" s="1597"/>
      <c r="N1463" s="1597"/>
      <c r="O1463" s="1597"/>
      <c r="P1463" s="1597"/>
      <c r="Q1463" s="1597"/>
      <c r="R1463" s="1597"/>
      <c r="S1463" s="1597"/>
      <c r="T1463" s="1597"/>
    </row>
    <row r="1464" spans="1:20">
      <c r="A1464" s="1597"/>
      <c r="B1464" s="1597"/>
      <c r="C1464" s="1597"/>
      <c r="D1464" s="1597"/>
      <c r="E1464" s="1597"/>
      <c r="F1464" s="1597"/>
      <c r="G1464" s="1597"/>
      <c r="H1464" s="1597"/>
      <c r="I1464" s="1597"/>
      <c r="J1464" s="1597"/>
      <c r="K1464" s="1597"/>
      <c r="L1464" s="1597"/>
      <c r="M1464" s="1597"/>
      <c r="N1464" s="1597"/>
      <c r="O1464" s="1597"/>
      <c r="P1464" s="1597"/>
      <c r="Q1464" s="1597"/>
      <c r="R1464" s="1597"/>
      <c r="S1464" s="1597"/>
      <c r="T1464" s="1597"/>
    </row>
    <row r="1465" spans="1:20">
      <c r="A1465" s="1597"/>
      <c r="B1465" s="1597"/>
      <c r="C1465" s="1597"/>
      <c r="D1465" s="1597"/>
      <c r="E1465" s="1597"/>
      <c r="F1465" s="1597"/>
      <c r="G1465" s="1597"/>
      <c r="H1465" s="1597"/>
      <c r="I1465" s="1597"/>
      <c r="J1465" s="1597"/>
      <c r="K1465" s="1597"/>
      <c r="L1465" s="1597"/>
      <c r="M1465" s="1597"/>
      <c r="N1465" s="1597"/>
      <c r="O1465" s="1597"/>
      <c r="P1465" s="1597"/>
      <c r="Q1465" s="1597"/>
      <c r="R1465" s="1597"/>
      <c r="S1465" s="1597"/>
      <c r="T1465" s="1597"/>
    </row>
    <row r="1466" spans="1:20">
      <c r="A1466" s="1597"/>
      <c r="B1466" s="1597"/>
      <c r="C1466" s="1597"/>
      <c r="D1466" s="1597"/>
      <c r="E1466" s="1597"/>
      <c r="F1466" s="1597"/>
      <c r="G1466" s="1597"/>
      <c r="H1466" s="1597"/>
      <c r="I1466" s="1597"/>
      <c r="J1466" s="1597"/>
      <c r="K1466" s="1597"/>
      <c r="L1466" s="1597"/>
      <c r="M1466" s="1597"/>
      <c r="N1466" s="1597"/>
      <c r="O1466" s="1597"/>
      <c r="P1466" s="1597"/>
      <c r="Q1466" s="1597"/>
      <c r="R1466" s="1597"/>
      <c r="S1466" s="1597"/>
      <c r="T1466" s="1597"/>
    </row>
    <row r="1467" spans="1:20">
      <c r="A1467" s="1597"/>
      <c r="B1467" s="1597"/>
      <c r="C1467" s="1597"/>
      <c r="D1467" s="1597"/>
      <c r="E1467" s="1597"/>
      <c r="F1467" s="1597"/>
      <c r="G1467" s="1597"/>
      <c r="H1467" s="1597"/>
      <c r="I1467" s="1597"/>
      <c r="J1467" s="1597"/>
      <c r="K1467" s="1597"/>
      <c r="L1467" s="1597"/>
      <c r="M1467" s="1597"/>
      <c r="N1467" s="1597"/>
      <c r="O1467" s="1597"/>
      <c r="P1467" s="1597"/>
      <c r="Q1467" s="1597"/>
      <c r="R1467" s="1597"/>
      <c r="S1467" s="1597"/>
      <c r="T1467" s="1597"/>
    </row>
    <row r="1468" spans="1:20">
      <c r="A1468" s="1597"/>
      <c r="B1468" s="1597"/>
      <c r="C1468" s="1597"/>
      <c r="D1468" s="1597"/>
      <c r="E1468" s="1597"/>
      <c r="F1468" s="1597"/>
      <c r="G1468" s="1597"/>
      <c r="H1468" s="1597"/>
      <c r="I1468" s="1597"/>
      <c r="J1468" s="1597"/>
      <c r="K1468" s="1597"/>
      <c r="L1468" s="1597"/>
      <c r="M1468" s="1597"/>
      <c r="N1468" s="1597"/>
      <c r="O1468" s="1597"/>
      <c r="P1468" s="1597"/>
      <c r="Q1468" s="1597"/>
      <c r="R1468" s="1597"/>
      <c r="S1468" s="1597"/>
      <c r="T1468" s="1597"/>
    </row>
    <row r="1469" spans="1:20">
      <c r="A1469" s="1597"/>
      <c r="B1469" s="1597"/>
      <c r="C1469" s="1597"/>
      <c r="D1469" s="1597"/>
      <c r="E1469" s="1597"/>
      <c r="F1469" s="1597"/>
      <c r="G1469" s="1597"/>
      <c r="H1469" s="1597"/>
      <c r="I1469" s="1597"/>
      <c r="J1469" s="1597"/>
      <c r="K1469" s="1597"/>
      <c r="L1469" s="1597"/>
      <c r="M1469" s="1597"/>
      <c r="N1469" s="1597"/>
      <c r="O1469" s="1597"/>
      <c r="P1469" s="1597"/>
      <c r="Q1469" s="1597"/>
      <c r="R1469" s="1597"/>
      <c r="S1469" s="1597"/>
      <c r="T1469" s="1597"/>
    </row>
    <row r="1470" spans="1:20">
      <c r="A1470" s="1597"/>
      <c r="B1470" s="1597"/>
      <c r="C1470" s="1597"/>
      <c r="D1470" s="1597"/>
      <c r="E1470" s="1597"/>
      <c r="F1470" s="1597"/>
      <c r="G1470" s="1597"/>
      <c r="H1470" s="1597"/>
      <c r="I1470" s="1597"/>
      <c r="J1470" s="1597"/>
      <c r="K1470" s="1597"/>
      <c r="L1470" s="1597"/>
      <c r="M1470" s="1597"/>
      <c r="N1470" s="1597"/>
      <c r="O1470" s="1597"/>
      <c r="P1470" s="1597"/>
      <c r="Q1470" s="1597"/>
      <c r="R1470" s="1597"/>
      <c r="S1470" s="1597"/>
      <c r="T1470" s="1597"/>
    </row>
    <row r="1471" spans="1:20">
      <c r="A1471" s="1597"/>
      <c r="B1471" s="1597"/>
      <c r="C1471" s="1597"/>
      <c r="D1471" s="1597"/>
      <c r="E1471" s="1597"/>
      <c r="F1471" s="1597"/>
      <c r="G1471" s="1597"/>
      <c r="H1471" s="1597"/>
      <c r="I1471" s="1597"/>
      <c r="J1471" s="1597"/>
      <c r="K1471" s="1597"/>
      <c r="L1471" s="1597"/>
      <c r="M1471" s="1597"/>
      <c r="N1471" s="1597"/>
      <c r="O1471" s="1597"/>
      <c r="P1471" s="1597"/>
      <c r="Q1471" s="1597"/>
      <c r="R1471" s="1597"/>
      <c r="S1471" s="1597"/>
      <c r="T1471" s="1597"/>
    </row>
    <row r="1472" spans="1:20">
      <c r="A1472" s="1597"/>
      <c r="B1472" s="1597"/>
      <c r="C1472" s="1597"/>
      <c r="D1472" s="1597"/>
      <c r="E1472" s="1597"/>
      <c r="F1472" s="1597"/>
      <c r="G1472" s="1597"/>
      <c r="H1472" s="1597"/>
      <c r="I1472" s="1597"/>
      <c r="J1472" s="1597"/>
      <c r="K1472" s="1597"/>
      <c r="L1472" s="1597"/>
      <c r="M1472" s="1597"/>
      <c r="N1472" s="1597"/>
      <c r="O1472" s="1597"/>
      <c r="P1472" s="1597"/>
      <c r="Q1472" s="1597"/>
      <c r="R1472" s="1597"/>
      <c r="S1472" s="1597"/>
      <c r="T1472" s="1597"/>
    </row>
    <row r="1473" spans="1:20">
      <c r="A1473" s="1597"/>
      <c r="B1473" s="1597"/>
      <c r="C1473" s="1597"/>
      <c r="D1473" s="1597"/>
      <c r="E1473" s="1597"/>
      <c r="F1473" s="1597"/>
      <c r="G1473" s="1597"/>
      <c r="H1473" s="1597"/>
      <c r="I1473" s="1597"/>
      <c r="J1473" s="1597"/>
      <c r="K1473" s="1597"/>
      <c r="L1473" s="1597"/>
      <c r="M1473" s="1597"/>
      <c r="N1473" s="1597"/>
      <c r="O1473" s="1597"/>
      <c r="P1473" s="1597"/>
      <c r="Q1473" s="1597"/>
      <c r="R1473" s="1597"/>
      <c r="S1473" s="1597"/>
      <c r="T1473" s="1597"/>
    </row>
    <row r="1474" spans="1:20">
      <c r="A1474" s="1597"/>
      <c r="B1474" s="1597"/>
      <c r="C1474" s="1597"/>
      <c r="D1474" s="1597"/>
      <c r="E1474" s="1597"/>
      <c r="F1474" s="1597"/>
      <c r="G1474" s="1597"/>
      <c r="H1474" s="1597"/>
      <c r="I1474" s="1597"/>
      <c r="J1474" s="1597"/>
      <c r="K1474" s="1597"/>
      <c r="L1474" s="1597"/>
      <c r="M1474" s="1597"/>
      <c r="N1474" s="1597"/>
      <c r="O1474" s="1597"/>
      <c r="P1474" s="1597"/>
      <c r="Q1474" s="1597"/>
      <c r="R1474" s="1597"/>
      <c r="S1474" s="1597"/>
      <c r="T1474" s="1597"/>
    </row>
    <row r="1475" spans="1:20">
      <c r="A1475" s="1597"/>
      <c r="B1475" s="1597"/>
      <c r="C1475" s="1597"/>
      <c r="D1475" s="1597"/>
      <c r="E1475" s="1597"/>
      <c r="F1475" s="1597"/>
      <c r="G1475" s="1597"/>
      <c r="H1475" s="1597"/>
      <c r="I1475" s="1597"/>
      <c r="J1475" s="1597"/>
      <c r="K1475" s="1597"/>
      <c r="L1475" s="1597"/>
      <c r="M1475" s="1597"/>
      <c r="N1475" s="1597"/>
      <c r="O1475" s="1597"/>
      <c r="P1475" s="1597"/>
      <c r="Q1475" s="1597"/>
      <c r="R1475" s="1597"/>
      <c r="S1475" s="1597"/>
      <c r="T1475" s="1597"/>
    </row>
    <row r="1476" spans="1:20">
      <c r="A1476" s="1597"/>
      <c r="B1476" s="1597"/>
      <c r="C1476" s="1597"/>
      <c r="D1476" s="1597"/>
      <c r="E1476" s="1597"/>
      <c r="F1476" s="1597"/>
      <c r="G1476" s="1597"/>
      <c r="H1476" s="1597"/>
      <c r="I1476" s="1597"/>
      <c r="J1476" s="1597"/>
      <c r="K1476" s="1597"/>
      <c r="L1476" s="1597"/>
      <c r="M1476" s="1597"/>
      <c r="N1476" s="1597"/>
      <c r="O1476" s="1597"/>
      <c r="P1476" s="1597"/>
      <c r="Q1476" s="1597"/>
      <c r="R1476" s="1597"/>
      <c r="S1476" s="1597"/>
      <c r="T1476" s="1597"/>
    </row>
    <row r="1477" spans="1:20">
      <c r="A1477" s="1597"/>
      <c r="B1477" s="1597"/>
      <c r="C1477" s="1597"/>
      <c r="D1477" s="1597"/>
      <c r="E1477" s="1597"/>
      <c r="F1477" s="1597"/>
      <c r="G1477" s="1597"/>
      <c r="H1477" s="1597"/>
      <c r="I1477" s="1597"/>
      <c r="J1477" s="1597"/>
      <c r="K1477" s="1597"/>
      <c r="L1477" s="1597"/>
      <c r="M1477" s="1597"/>
      <c r="N1477" s="1597"/>
      <c r="O1477" s="1597"/>
      <c r="P1477" s="1597"/>
      <c r="Q1477" s="1597"/>
      <c r="R1477" s="1597"/>
      <c r="S1477" s="1597"/>
      <c r="T1477" s="1597"/>
    </row>
    <row r="1478" spans="1:20">
      <c r="A1478" s="1597"/>
      <c r="B1478" s="1597"/>
      <c r="C1478" s="1597"/>
      <c r="D1478" s="1597"/>
      <c r="E1478" s="1597"/>
      <c r="F1478" s="1597"/>
      <c r="G1478" s="1597"/>
      <c r="H1478" s="1597"/>
      <c r="I1478" s="1597"/>
      <c r="J1478" s="1597"/>
      <c r="K1478" s="1597"/>
      <c r="L1478" s="1597"/>
      <c r="M1478" s="1597"/>
      <c r="N1478" s="1597"/>
      <c r="O1478" s="1597"/>
      <c r="P1478" s="1597"/>
      <c r="Q1478" s="1597"/>
      <c r="R1478" s="1597"/>
      <c r="S1478" s="1597"/>
      <c r="T1478" s="1597"/>
    </row>
    <row r="1479" spans="1:20">
      <c r="A1479" s="1597"/>
      <c r="B1479" s="1597"/>
      <c r="C1479" s="1597"/>
      <c r="D1479" s="1597"/>
      <c r="E1479" s="1597"/>
      <c r="F1479" s="1597"/>
      <c r="G1479" s="1597"/>
      <c r="H1479" s="1597"/>
      <c r="I1479" s="1597"/>
      <c r="J1479" s="1597"/>
      <c r="K1479" s="1597"/>
      <c r="L1479" s="1597"/>
      <c r="M1479" s="1597"/>
      <c r="N1479" s="1597"/>
      <c r="O1479" s="1597"/>
      <c r="P1479" s="1597"/>
      <c r="Q1479" s="1597"/>
      <c r="R1479" s="1597"/>
      <c r="S1479" s="1597"/>
      <c r="T1479" s="1597"/>
    </row>
    <row r="1480" spans="1:20">
      <c r="A1480" s="1597"/>
      <c r="B1480" s="1597"/>
      <c r="C1480" s="1597"/>
      <c r="D1480" s="1597"/>
      <c r="E1480" s="1597"/>
      <c r="F1480" s="1597"/>
      <c r="G1480" s="1597"/>
      <c r="H1480" s="1597"/>
      <c r="I1480" s="1597"/>
      <c r="J1480" s="1597"/>
      <c r="K1480" s="1597"/>
      <c r="L1480" s="1597"/>
      <c r="M1480" s="1597"/>
      <c r="N1480" s="1597"/>
      <c r="O1480" s="1597"/>
      <c r="P1480" s="1597"/>
      <c r="Q1480" s="1597"/>
      <c r="R1480" s="1597"/>
      <c r="S1480" s="1597"/>
      <c r="T1480" s="1597"/>
    </row>
    <row r="1481" spans="1:20">
      <c r="A1481" s="1597"/>
      <c r="B1481" s="1597"/>
      <c r="C1481" s="1597"/>
      <c r="D1481" s="1597"/>
      <c r="E1481" s="1597"/>
      <c r="F1481" s="1597"/>
      <c r="G1481" s="1597"/>
      <c r="H1481" s="1597"/>
      <c r="I1481" s="1597"/>
      <c r="J1481" s="1597"/>
      <c r="K1481" s="1597"/>
      <c r="L1481" s="1597"/>
      <c r="M1481" s="1597"/>
      <c r="N1481" s="1597"/>
      <c r="O1481" s="1597"/>
      <c r="P1481" s="1597"/>
      <c r="Q1481" s="1597"/>
      <c r="R1481" s="1597"/>
      <c r="S1481" s="1597"/>
      <c r="T1481" s="1597"/>
    </row>
    <row r="1482" spans="1:20">
      <c r="A1482" s="1597"/>
      <c r="B1482" s="1597"/>
      <c r="C1482" s="1597"/>
      <c r="D1482" s="1597"/>
      <c r="E1482" s="1597"/>
      <c r="F1482" s="1597"/>
      <c r="G1482" s="1597"/>
      <c r="H1482" s="1597"/>
      <c r="I1482" s="1597"/>
      <c r="J1482" s="1597"/>
      <c r="K1482" s="1597"/>
      <c r="L1482" s="1597"/>
      <c r="M1482" s="1597"/>
      <c r="N1482" s="1597"/>
      <c r="O1482" s="1597"/>
      <c r="P1482" s="1597"/>
      <c r="Q1482" s="1597"/>
      <c r="R1482" s="1597"/>
      <c r="S1482" s="1597"/>
      <c r="T1482" s="1597"/>
    </row>
    <row r="1483" spans="1:20">
      <c r="A1483" s="1597"/>
      <c r="B1483" s="1597"/>
      <c r="C1483" s="1597"/>
      <c r="D1483" s="1597"/>
      <c r="E1483" s="1597"/>
      <c r="F1483" s="1597"/>
      <c r="G1483" s="1597"/>
      <c r="H1483" s="1597"/>
      <c r="I1483" s="1597"/>
      <c r="J1483" s="1597"/>
      <c r="K1483" s="1597"/>
      <c r="L1483" s="1597"/>
      <c r="M1483" s="1597"/>
      <c r="N1483" s="1597"/>
      <c r="O1483" s="1597"/>
      <c r="P1483" s="1597"/>
      <c r="Q1483" s="1597"/>
      <c r="R1483" s="1597"/>
      <c r="S1483" s="1597"/>
      <c r="T1483" s="1597"/>
    </row>
    <row r="1484" spans="1:20">
      <c r="A1484" s="1597"/>
      <c r="B1484" s="1597"/>
      <c r="C1484" s="1597"/>
      <c r="D1484" s="1597"/>
      <c r="E1484" s="1597"/>
      <c r="F1484" s="1597"/>
      <c r="G1484" s="1597"/>
      <c r="H1484" s="1597"/>
      <c r="I1484" s="1597"/>
      <c r="J1484" s="1597"/>
      <c r="K1484" s="1597"/>
      <c r="L1484" s="1597"/>
      <c r="M1484" s="1597"/>
      <c r="N1484" s="1597"/>
      <c r="O1484" s="1597"/>
      <c r="P1484" s="1597"/>
      <c r="Q1484" s="1597"/>
      <c r="R1484" s="1597"/>
      <c r="S1484" s="1597"/>
      <c r="T1484" s="1597"/>
    </row>
    <row r="1485" spans="1:20">
      <c r="A1485" s="1597"/>
      <c r="B1485" s="1597"/>
      <c r="C1485" s="1597"/>
      <c r="D1485" s="1597"/>
      <c r="E1485" s="1597"/>
      <c r="F1485" s="1597"/>
      <c r="G1485" s="1597"/>
      <c r="H1485" s="1597"/>
      <c r="I1485" s="1597"/>
      <c r="J1485" s="1597"/>
      <c r="K1485" s="1597"/>
      <c r="L1485" s="1597"/>
      <c r="M1485" s="1597"/>
      <c r="N1485" s="1597"/>
      <c r="O1485" s="1597"/>
      <c r="P1485" s="1597"/>
      <c r="Q1485" s="1597"/>
      <c r="R1485" s="1597"/>
      <c r="S1485" s="1597"/>
      <c r="T1485" s="1597"/>
    </row>
    <row r="1486" spans="1:20">
      <c r="A1486" s="1597"/>
      <c r="B1486" s="1597"/>
      <c r="C1486" s="1597"/>
      <c r="D1486" s="1597"/>
      <c r="E1486" s="1597"/>
      <c r="F1486" s="1597"/>
      <c r="G1486" s="1597"/>
      <c r="H1486" s="1597"/>
      <c r="I1486" s="1597"/>
      <c r="J1486" s="1597"/>
      <c r="K1486" s="1597"/>
      <c r="L1486" s="1597"/>
      <c r="M1486" s="1597"/>
      <c r="N1486" s="1597"/>
      <c r="O1486" s="1597"/>
      <c r="P1486" s="1597"/>
      <c r="Q1486" s="1597"/>
      <c r="R1486" s="1597"/>
      <c r="S1486" s="1597"/>
      <c r="T1486" s="1597"/>
    </row>
    <row r="1487" spans="1:20">
      <c r="A1487" s="1597"/>
      <c r="B1487" s="1597"/>
      <c r="C1487" s="1597"/>
      <c r="D1487" s="1597"/>
      <c r="E1487" s="1597"/>
      <c r="F1487" s="1597"/>
      <c r="G1487" s="1597"/>
      <c r="H1487" s="1597"/>
      <c r="I1487" s="1597"/>
      <c r="J1487" s="1597"/>
      <c r="K1487" s="1597"/>
      <c r="L1487" s="1597"/>
      <c r="M1487" s="1597"/>
      <c r="N1487" s="1597"/>
      <c r="O1487" s="1597"/>
      <c r="P1487" s="1597"/>
      <c r="Q1487" s="1597"/>
      <c r="R1487" s="1597"/>
      <c r="S1487" s="1597"/>
      <c r="T1487" s="1597"/>
    </row>
    <row r="1488" spans="1:20">
      <c r="A1488" s="1597"/>
      <c r="B1488" s="1597"/>
      <c r="C1488" s="1597"/>
      <c r="D1488" s="1597"/>
      <c r="E1488" s="1597"/>
      <c r="F1488" s="1597"/>
      <c r="G1488" s="1597"/>
      <c r="H1488" s="1597"/>
      <c r="I1488" s="1597"/>
      <c r="J1488" s="1597"/>
      <c r="K1488" s="1597"/>
      <c r="L1488" s="1597"/>
      <c r="M1488" s="1597"/>
      <c r="N1488" s="1597"/>
      <c r="O1488" s="1597"/>
      <c r="P1488" s="1597"/>
      <c r="Q1488" s="1597"/>
      <c r="R1488" s="1597"/>
      <c r="S1488" s="1597"/>
      <c r="T1488" s="1597"/>
    </row>
    <row r="1489" spans="1:20">
      <c r="A1489" s="1597"/>
      <c r="B1489" s="1597"/>
      <c r="C1489" s="1597"/>
      <c r="D1489" s="1597"/>
      <c r="E1489" s="1597"/>
      <c r="F1489" s="1597"/>
      <c r="G1489" s="1597"/>
      <c r="H1489" s="1597"/>
      <c r="I1489" s="1597"/>
      <c r="J1489" s="1597"/>
      <c r="K1489" s="1597"/>
      <c r="L1489" s="1597"/>
      <c r="M1489" s="1597"/>
      <c r="N1489" s="1597"/>
      <c r="O1489" s="1597"/>
      <c r="P1489" s="1597"/>
      <c r="Q1489" s="1597"/>
      <c r="R1489" s="1597"/>
      <c r="S1489" s="1597"/>
      <c r="T1489" s="1597"/>
    </row>
    <row r="1490" spans="1:20">
      <c r="A1490" s="1597"/>
      <c r="B1490" s="1597"/>
      <c r="C1490" s="1597"/>
      <c r="D1490" s="1597"/>
      <c r="E1490" s="1597"/>
      <c r="F1490" s="1597"/>
      <c r="G1490" s="1597"/>
      <c r="H1490" s="1597"/>
      <c r="I1490" s="1597"/>
      <c r="J1490" s="1597"/>
      <c r="K1490" s="1597"/>
      <c r="L1490" s="1597"/>
      <c r="M1490" s="1597"/>
      <c r="N1490" s="1597"/>
      <c r="O1490" s="1597"/>
      <c r="P1490" s="1597"/>
      <c r="Q1490" s="1597"/>
      <c r="R1490" s="1597"/>
      <c r="S1490" s="1597"/>
      <c r="T1490" s="1597"/>
    </row>
    <row r="1491" spans="1:20">
      <c r="A1491" s="1597"/>
      <c r="B1491" s="1597"/>
      <c r="C1491" s="1597"/>
      <c r="D1491" s="1597"/>
      <c r="E1491" s="1597"/>
      <c r="F1491" s="1597"/>
      <c r="G1491" s="1597"/>
      <c r="H1491" s="1597"/>
      <c r="I1491" s="1597"/>
      <c r="J1491" s="1597"/>
      <c r="K1491" s="1597"/>
      <c r="L1491" s="1597"/>
      <c r="M1491" s="1597"/>
      <c r="N1491" s="1597"/>
      <c r="O1491" s="1597"/>
      <c r="P1491" s="1597"/>
      <c r="Q1491" s="1597"/>
      <c r="R1491" s="1597"/>
      <c r="S1491" s="1597"/>
      <c r="T1491" s="1597"/>
    </row>
    <row r="1492" spans="1:20">
      <c r="A1492" s="1597"/>
      <c r="B1492" s="1597"/>
      <c r="C1492" s="1597"/>
      <c r="D1492" s="1597"/>
      <c r="E1492" s="1597"/>
      <c r="F1492" s="1597"/>
      <c r="G1492" s="1597"/>
      <c r="H1492" s="1597"/>
      <c r="I1492" s="1597"/>
      <c r="J1492" s="1597"/>
      <c r="K1492" s="1597"/>
      <c r="L1492" s="1597"/>
      <c r="M1492" s="1597"/>
      <c r="N1492" s="1597"/>
      <c r="O1492" s="1597"/>
      <c r="P1492" s="1597"/>
      <c r="Q1492" s="1597"/>
      <c r="R1492" s="1597"/>
      <c r="S1492" s="1597"/>
      <c r="T1492" s="1597"/>
    </row>
    <row r="1493" spans="1:20">
      <c r="A1493" s="1597"/>
      <c r="B1493" s="1597"/>
      <c r="C1493" s="1597"/>
      <c r="D1493" s="1597"/>
      <c r="E1493" s="1597"/>
      <c r="F1493" s="1597"/>
      <c r="G1493" s="1597"/>
      <c r="H1493" s="1597"/>
      <c r="I1493" s="1597"/>
      <c r="J1493" s="1597"/>
      <c r="K1493" s="1597"/>
      <c r="L1493" s="1597"/>
      <c r="M1493" s="1597"/>
      <c r="N1493" s="1597"/>
      <c r="O1493" s="1597"/>
      <c r="P1493" s="1597"/>
      <c r="Q1493" s="1597"/>
      <c r="R1493" s="1597"/>
      <c r="S1493" s="1597"/>
      <c r="T1493" s="1597"/>
    </row>
    <row r="1494" spans="1:20">
      <c r="A1494" s="1597"/>
      <c r="B1494" s="1597"/>
      <c r="C1494" s="1597"/>
      <c r="D1494" s="1597"/>
      <c r="E1494" s="1597"/>
      <c r="F1494" s="1597"/>
      <c r="G1494" s="1597"/>
      <c r="H1494" s="1597"/>
      <c r="I1494" s="1597"/>
      <c r="J1494" s="1597"/>
      <c r="K1494" s="1597"/>
      <c r="L1494" s="1597"/>
      <c r="M1494" s="1597"/>
      <c r="N1494" s="1597"/>
      <c r="O1494" s="1597"/>
      <c r="P1494" s="1597"/>
      <c r="Q1494" s="1597"/>
      <c r="R1494" s="1597"/>
      <c r="S1494" s="1597"/>
      <c r="T1494" s="1597"/>
    </row>
    <row r="1495" spans="1:20">
      <c r="A1495" s="1597"/>
      <c r="B1495" s="1597"/>
      <c r="C1495" s="1597"/>
      <c r="D1495" s="1597"/>
      <c r="E1495" s="1597"/>
      <c r="F1495" s="1597"/>
      <c r="G1495" s="1597"/>
      <c r="H1495" s="1597"/>
      <c r="I1495" s="1597"/>
      <c r="J1495" s="1597"/>
      <c r="K1495" s="1597"/>
      <c r="L1495" s="1597"/>
      <c r="M1495" s="1597"/>
      <c r="N1495" s="1597"/>
      <c r="O1495" s="1597"/>
      <c r="P1495" s="1597"/>
      <c r="Q1495" s="1597"/>
      <c r="R1495" s="1597"/>
      <c r="S1495" s="1597"/>
      <c r="T1495" s="1597"/>
    </row>
    <row r="1496" spans="1:20">
      <c r="A1496" s="1597"/>
      <c r="B1496" s="1597"/>
      <c r="C1496" s="1597"/>
      <c r="D1496" s="1597"/>
      <c r="E1496" s="1597"/>
      <c r="F1496" s="1597"/>
      <c r="G1496" s="1597"/>
      <c r="H1496" s="1597"/>
      <c r="I1496" s="1597"/>
      <c r="J1496" s="1597"/>
      <c r="K1496" s="1597"/>
      <c r="L1496" s="1597"/>
      <c r="M1496" s="1597"/>
      <c r="N1496" s="1597"/>
      <c r="O1496" s="1597"/>
      <c r="P1496" s="1597"/>
      <c r="Q1496" s="1597"/>
      <c r="R1496" s="1597"/>
      <c r="S1496" s="1597"/>
      <c r="T1496" s="1597"/>
    </row>
    <row r="1497" spans="1:20">
      <c r="A1497" s="1597"/>
      <c r="B1497" s="1597"/>
      <c r="C1497" s="1597"/>
      <c r="D1497" s="1597"/>
      <c r="E1497" s="1597"/>
      <c r="F1497" s="1597"/>
      <c r="G1497" s="1597"/>
      <c r="H1497" s="1597"/>
      <c r="I1497" s="1597"/>
      <c r="J1497" s="1597"/>
      <c r="K1497" s="1597"/>
      <c r="L1497" s="1597"/>
      <c r="M1497" s="1597"/>
      <c r="N1497" s="1597"/>
      <c r="O1497" s="1597"/>
      <c r="P1497" s="1597"/>
      <c r="Q1497" s="1597"/>
      <c r="R1497" s="1597"/>
      <c r="S1497" s="1597"/>
      <c r="T1497" s="1597"/>
    </row>
    <row r="1498" spans="1:20">
      <c r="A1498" s="1597"/>
      <c r="B1498" s="1597"/>
      <c r="C1498" s="1597"/>
      <c r="D1498" s="1597"/>
      <c r="E1498" s="1597"/>
      <c r="F1498" s="1597"/>
      <c r="G1498" s="1597"/>
      <c r="H1498" s="1597"/>
      <c r="I1498" s="1597"/>
      <c r="J1498" s="1597"/>
      <c r="K1498" s="1597"/>
      <c r="L1498" s="1597"/>
      <c r="M1498" s="1597"/>
      <c r="N1498" s="1597"/>
      <c r="O1498" s="1597"/>
      <c r="P1498" s="1597"/>
      <c r="Q1498" s="1597"/>
      <c r="R1498" s="1597"/>
      <c r="S1498" s="1597"/>
      <c r="T1498" s="1597"/>
    </row>
    <row r="1499" spans="1:20">
      <c r="A1499" s="1597"/>
      <c r="B1499" s="1597"/>
      <c r="C1499" s="1597"/>
      <c r="D1499" s="1597"/>
      <c r="E1499" s="1597"/>
      <c r="F1499" s="1597"/>
      <c r="G1499" s="1597"/>
      <c r="H1499" s="1597"/>
      <c r="I1499" s="1597"/>
      <c r="J1499" s="1597"/>
      <c r="K1499" s="1597"/>
      <c r="L1499" s="1597"/>
      <c r="M1499" s="1597"/>
      <c r="N1499" s="1597"/>
      <c r="O1499" s="1597"/>
      <c r="P1499" s="1597"/>
      <c r="Q1499" s="1597"/>
      <c r="R1499" s="1597"/>
      <c r="S1499" s="1597"/>
      <c r="T1499" s="1597"/>
    </row>
    <row r="1500" spans="1:20">
      <c r="A1500" s="1597"/>
      <c r="B1500" s="1597"/>
      <c r="C1500" s="1597"/>
      <c r="D1500" s="1597"/>
      <c r="E1500" s="1597"/>
      <c r="F1500" s="1597"/>
      <c r="G1500" s="1597"/>
      <c r="H1500" s="1597"/>
      <c r="I1500" s="1597"/>
      <c r="J1500" s="1597"/>
      <c r="K1500" s="1597"/>
      <c r="L1500" s="1597"/>
      <c r="M1500" s="1597"/>
      <c r="N1500" s="1597"/>
      <c r="O1500" s="1597"/>
      <c r="P1500" s="1597"/>
      <c r="Q1500" s="1597"/>
      <c r="R1500" s="1597"/>
      <c r="S1500" s="1597"/>
      <c r="T1500" s="1597"/>
    </row>
    <row r="1501" spans="1:20">
      <c r="A1501" s="1597"/>
      <c r="B1501" s="1597"/>
      <c r="C1501" s="1597"/>
      <c r="D1501" s="1597"/>
      <c r="E1501" s="1597"/>
      <c r="F1501" s="1597"/>
      <c r="G1501" s="1597"/>
      <c r="H1501" s="1597"/>
      <c r="I1501" s="1597"/>
      <c r="J1501" s="1597"/>
      <c r="K1501" s="1597"/>
      <c r="L1501" s="1597"/>
      <c r="M1501" s="1597"/>
      <c r="N1501" s="1597"/>
      <c r="O1501" s="1597"/>
      <c r="P1501" s="1597"/>
      <c r="Q1501" s="1597"/>
      <c r="R1501" s="1597"/>
      <c r="S1501" s="1597"/>
      <c r="T1501" s="1597"/>
    </row>
    <row r="1502" spans="1:20">
      <c r="A1502" s="1597"/>
      <c r="B1502" s="1597"/>
      <c r="C1502" s="1597"/>
      <c r="D1502" s="1597"/>
      <c r="E1502" s="1597"/>
      <c r="F1502" s="1597"/>
      <c r="G1502" s="1597"/>
      <c r="H1502" s="1597"/>
      <c r="I1502" s="1597"/>
      <c r="J1502" s="1597"/>
      <c r="K1502" s="1597"/>
      <c r="L1502" s="1597"/>
      <c r="M1502" s="1597"/>
      <c r="N1502" s="1597"/>
      <c r="O1502" s="1597"/>
      <c r="P1502" s="1597"/>
      <c r="Q1502" s="1597"/>
      <c r="R1502" s="1597"/>
      <c r="S1502" s="1597"/>
      <c r="T1502" s="1597"/>
    </row>
    <row r="1503" spans="1:20">
      <c r="A1503" s="1597"/>
      <c r="B1503" s="1597"/>
      <c r="C1503" s="1597"/>
      <c r="D1503" s="1597"/>
      <c r="E1503" s="1597"/>
      <c r="F1503" s="1597"/>
      <c r="G1503" s="1597"/>
      <c r="H1503" s="1597"/>
      <c r="I1503" s="1597"/>
      <c r="J1503" s="1597"/>
      <c r="K1503" s="1597"/>
      <c r="L1503" s="1597"/>
      <c r="M1503" s="1597"/>
      <c r="N1503" s="1597"/>
      <c r="O1503" s="1597"/>
      <c r="P1503" s="1597"/>
      <c r="Q1503" s="1597"/>
      <c r="R1503" s="1597"/>
      <c r="S1503" s="1597"/>
      <c r="T1503" s="1597"/>
    </row>
    <row r="1504" spans="1:20">
      <c r="A1504" s="1597"/>
      <c r="B1504" s="1597"/>
      <c r="C1504" s="1597"/>
      <c r="D1504" s="1597"/>
      <c r="E1504" s="1597"/>
      <c r="F1504" s="1597"/>
      <c r="G1504" s="1597"/>
      <c r="H1504" s="1597"/>
      <c r="I1504" s="1597"/>
      <c r="J1504" s="1597"/>
      <c r="K1504" s="1597"/>
      <c r="L1504" s="1597"/>
      <c r="M1504" s="1597"/>
      <c r="N1504" s="1597"/>
      <c r="O1504" s="1597"/>
      <c r="P1504" s="1597"/>
      <c r="Q1504" s="1597"/>
      <c r="R1504" s="1597"/>
      <c r="S1504" s="1597"/>
      <c r="T1504" s="1597"/>
    </row>
    <row r="1505" spans="1:20">
      <c r="A1505" s="1597"/>
      <c r="B1505" s="1597"/>
      <c r="C1505" s="1597"/>
      <c r="D1505" s="1597"/>
      <c r="E1505" s="1597"/>
      <c r="F1505" s="1597"/>
      <c r="G1505" s="1597"/>
      <c r="H1505" s="1597"/>
      <c r="I1505" s="1597"/>
      <c r="J1505" s="1597"/>
      <c r="K1505" s="1597"/>
      <c r="L1505" s="1597"/>
      <c r="M1505" s="1597"/>
      <c r="N1505" s="1597"/>
      <c r="O1505" s="1597"/>
      <c r="P1505" s="1597"/>
      <c r="Q1505" s="1597"/>
      <c r="R1505" s="1597"/>
      <c r="S1505" s="1597"/>
      <c r="T1505" s="1597"/>
    </row>
    <row r="1506" spans="1:20">
      <c r="A1506" s="1597"/>
      <c r="B1506" s="1597"/>
      <c r="C1506" s="1597"/>
      <c r="D1506" s="1597"/>
      <c r="E1506" s="1597"/>
      <c r="F1506" s="1597"/>
      <c r="G1506" s="1597"/>
      <c r="H1506" s="1597"/>
      <c r="I1506" s="1597"/>
      <c r="J1506" s="1597"/>
      <c r="K1506" s="1597"/>
      <c r="L1506" s="1597"/>
      <c r="M1506" s="1597"/>
      <c r="N1506" s="1597"/>
      <c r="O1506" s="1597"/>
      <c r="P1506" s="1597"/>
      <c r="Q1506" s="1597"/>
      <c r="R1506" s="1597"/>
      <c r="S1506" s="1597"/>
      <c r="T1506" s="1597"/>
    </row>
    <row r="1507" spans="1:20">
      <c r="A1507" s="1597"/>
      <c r="B1507" s="1597"/>
      <c r="C1507" s="1597"/>
      <c r="D1507" s="1597"/>
      <c r="E1507" s="1597"/>
      <c r="F1507" s="1597"/>
      <c r="G1507" s="1597"/>
      <c r="H1507" s="1597"/>
      <c r="I1507" s="1597"/>
      <c r="J1507" s="1597"/>
      <c r="K1507" s="1597"/>
      <c r="L1507" s="1597"/>
      <c r="M1507" s="1597"/>
      <c r="N1507" s="1597"/>
      <c r="O1507" s="1597"/>
      <c r="P1507" s="1597"/>
      <c r="Q1507" s="1597"/>
      <c r="R1507" s="1597"/>
      <c r="S1507" s="1597"/>
      <c r="T1507" s="1597"/>
    </row>
    <row r="1508" spans="1:20">
      <c r="A1508" s="1597"/>
      <c r="B1508" s="1597"/>
      <c r="C1508" s="1597"/>
      <c r="D1508" s="1597"/>
      <c r="E1508" s="1597"/>
      <c r="F1508" s="1597"/>
      <c r="G1508" s="1597"/>
      <c r="H1508" s="1597"/>
      <c r="I1508" s="1597"/>
      <c r="J1508" s="1597"/>
      <c r="K1508" s="1597"/>
      <c r="L1508" s="1597"/>
      <c r="M1508" s="1597"/>
      <c r="N1508" s="1597"/>
      <c r="O1508" s="1597"/>
      <c r="P1508" s="1597"/>
      <c r="Q1508" s="1597"/>
      <c r="R1508" s="1597"/>
      <c r="S1508" s="1597"/>
      <c r="T1508" s="1597"/>
    </row>
    <row r="1509" spans="1:20">
      <c r="A1509" s="1597"/>
      <c r="B1509" s="1597"/>
      <c r="C1509" s="1597"/>
      <c r="D1509" s="1597"/>
      <c r="E1509" s="1597"/>
      <c r="F1509" s="1597"/>
      <c r="G1509" s="1597"/>
      <c r="H1509" s="1597"/>
      <c r="I1509" s="1597"/>
      <c r="J1509" s="1597"/>
      <c r="K1509" s="1597"/>
      <c r="L1509" s="1597"/>
      <c r="M1509" s="1597"/>
      <c r="N1509" s="1597"/>
      <c r="O1509" s="1597"/>
      <c r="P1509" s="1597"/>
      <c r="Q1509" s="1597"/>
      <c r="R1509" s="1597"/>
      <c r="S1509" s="1597"/>
      <c r="T1509" s="1597"/>
    </row>
    <row r="1510" spans="1:20">
      <c r="A1510" s="1597"/>
      <c r="B1510" s="1597"/>
      <c r="C1510" s="1597"/>
      <c r="D1510" s="1597"/>
      <c r="E1510" s="1597"/>
      <c r="F1510" s="1597"/>
      <c r="G1510" s="1597"/>
      <c r="H1510" s="1597"/>
      <c r="I1510" s="1597"/>
      <c r="J1510" s="1597"/>
      <c r="K1510" s="1597"/>
      <c r="L1510" s="1597"/>
      <c r="M1510" s="1597"/>
      <c r="N1510" s="1597"/>
      <c r="O1510" s="1597"/>
      <c r="P1510" s="1597"/>
      <c r="Q1510" s="1597"/>
      <c r="R1510" s="1597"/>
      <c r="S1510" s="1597"/>
      <c r="T1510" s="1597"/>
    </row>
    <row r="1511" spans="1:20">
      <c r="A1511" s="1597"/>
      <c r="B1511" s="1597"/>
      <c r="C1511" s="1597"/>
      <c r="D1511" s="1597"/>
      <c r="E1511" s="1597"/>
      <c r="F1511" s="1597"/>
      <c r="G1511" s="1597"/>
      <c r="H1511" s="1597"/>
      <c r="I1511" s="1597"/>
      <c r="J1511" s="1597"/>
      <c r="K1511" s="1597"/>
      <c r="L1511" s="1597"/>
      <c r="M1511" s="1597"/>
      <c r="N1511" s="1597"/>
      <c r="O1511" s="1597"/>
      <c r="P1511" s="1597"/>
      <c r="Q1511" s="1597"/>
      <c r="R1511" s="1597"/>
      <c r="S1511" s="1597"/>
      <c r="T1511" s="1597"/>
    </row>
    <row r="1512" spans="1:20">
      <c r="A1512" s="1597"/>
      <c r="B1512" s="1597"/>
      <c r="C1512" s="1597"/>
      <c r="D1512" s="1597"/>
      <c r="E1512" s="1597"/>
      <c r="F1512" s="1597"/>
      <c r="G1512" s="1597"/>
      <c r="H1512" s="1597"/>
      <c r="I1512" s="1597"/>
      <c r="J1512" s="1597"/>
      <c r="K1512" s="1597"/>
      <c r="L1512" s="1597"/>
      <c r="M1512" s="1597"/>
      <c r="N1512" s="1597"/>
      <c r="O1512" s="1597"/>
      <c r="P1512" s="1597"/>
      <c r="Q1512" s="1597"/>
      <c r="R1512" s="1597"/>
      <c r="S1512" s="1597"/>
      <c r="T1512" s="1597"/>
    </row>
    <row r="1513" spans="1:20">
      <c r="A1513" s="1597"/>
      <c r="B1513" s="1597"/>
      <c r="C1513" s="1597"/>
      <c r="D1513" s="1597"/>
      <c r="E1513" s="1597"/>
      <c r="F1513" s="1597"/>
      <c r="G1513" s="1597"/>
      <c r="H1513" s="1597"/>
      <c r="I1513" s="1597"/>
      <c r="J1513" s="1597"/>
      <c r="K1513" s="1597"/>
      <c r="L1513" s="1597"/>
      <c r="M1513" s="1597"/>
      <c r="N1513" s="1597"/>
      <c r="O1513" s="1597"/>
      <c r="P1513" s="1597"/>
      <c r="Q1513" s="1597"/>
      <c r="R1513" s="1597"/>
      <c r="S1513" s="1597"/>
      <c r="T1513" s="1597"/>
    </row>
    <row r="1514" spans="1:20">
      <c r="A1514" s="1597"/>
      <c r="B1514" s="1597"/>
      <c r="C1514" s="1597"/>
      <c r="D1514" s="1597"/>
      <c r="E1514" s="1597"/>
      <c r="F1514" s="1597"/>
      <c r="G1514" s="1597"/>
      <c r="H1514" s="1597"/>
      <c r="I1514" s="1597"/>
      <c r="J1514" s="1597"/>
      <c r="K1514" s="1597"/>
      <c r="L1514" s="1597"/>
      <c r="M1514" s="1597"/>
      <c r="N1514" s="1597"/>
      <c r="O1514" s="1597"/>
      <c r="P1514" s="1597"/>
      <c r="Q1514" s="1597"/>
      <c r="R1514" s="1597"/>
      <c r="S1514" s="1597"/>
      <c r="T1514" s="1597"/>
    </row>
    <row r="1515" spans="1:20">
      <c r="A1515" s="1597"/>
      <c r="B1515" s="1597"/>
      <c r="C1515" s="1597"/>
      <c r="D1515" s="1597"/>
      <c r="E1515" s="1597"/>
      <c r="F1515" s="1597"/>
      <c r="G1515" s="1597"/>
      <c r="H1515" s="1597"/>
      <c r="I1515" s="1597"/>
      <c r="J1515" s="1597"/>
      <c r="K1515" s="1597"/>
      <c r="L1515" s="1597"/>
      <c r="M1515" s="1597"/>
      <c r="N1515" s="1597"/>
      <c r="O1515" s="1597"/>
      <c r="P1515" s="1597"/>
      <c r="Q1515" s="1597"/>
      <c r="R1515" s="1597"/>
      <c r="S1515" s="1597"/>
      <c r="T1515" s="1597"/>
    </row>
    <row r="1516" spans="1:20">
      <c r="A1516" s="1597"/>
      <c r="B1516" s="1597"/>
      <c r="C1516" s="1597"/>
      <c r="D1516" s="1597"/>
      <c r="E1516" s="1597"/>
      <c r="F1516" s="1597"/>
      <c r="G1516" s="1597"/>
      <c r="H1516" s="1597"/>
      <c r="I1516" s="1597"/>
      <c r="J1516" s="1597"/>
      <c r="K1516" s="1597"/>
      <c r="L1516" s="1597"/>
      <c r="M1516" s="1597"/>
      <c r="N1516" s="1597"/>
      <c r="O1516" s="1597"/>
      <c r="P1516" s="1597"/>
      <c r="Q1516" s="1597"/>
      <c r="R1516" s="1597"/>
      <c r="S1516" s="1597"/>
      <c r="T1516" s="1597"/>
    </row>
    <row r="1517" spans="1:20">
      <c r="A1517" s="1597"/>
      <c r="B1517" s="1597"/>
      <c r="C1517" s="1597"/>
      <c r="D1517" s="1597"/>
      <c r="E1517" s="1597"/>
      <c r="F1517" s="1597"/>
      <c r="G1517" s="1597"/>
      <c r="H1517" s="1597"/>
      <c r="I1517" s="1597"/>
      <c r="J1517" s="1597"/>
      <c r="K1517" s="1597"/>
      <c r="L1517" s="1597"/>
      <c r="M1517" s="1597"/>
      <c r="N1517" s="1597"/>
      <c r="O1517" s="1597"/>
      <c r="P1517" s="1597"/>
      <c r="Q1517" s="1597"/>
      <c r="R1517" s="1597"/>
      <c r="S1517" s="1597"/>
      <c r="T1517" s="1597"/>
    </row>
    <row r="1518" spans="1:20">
      <c r="A1518" s="1597"/>
      <c r="B1518" s="1597"/>
      <c r="C1518" s="1597"/>
      <c r="D1518" s="1597"/>
      <c r="E1518" s="1597"/>
      <c r="F1518" s="1597"/>
      <c r="G1518" s="1597"/>
      <c r="H1518" s="1597"/>
      <c r="I1518" s="1597"/>
      <c r="J1518" s="1597"/>
      <c r="K1518" s="1597"/>
      <c r="L1518" s="1597"/>
      <c r="M1518" s="1597"/>
      <c r="N1518" s="1597"/>
      <c r="O1518" s="1597"/>
      <c r="P1518" s="1597"/>
      <c r="Q1518" s="1597"/>
      <c r="R1518" s="1597"/>
      <c r="S1518" s="1597"/>
      <c r="T1518" s="1597"/>
    </row>
    <row r="1519" spans="1:20">
      <c r="A1519" s="1597"/>
      <c r="B1519" s="1597"/>
      <c r="C1519" s="1597"/>
      <c r="D1519" s="1597"/>
      <c r="E1519" s="1597"/>
      <c r="F1519" s="1597"/>
      <c r="G1519" s="1597"/>
      <c r="H1519" s="1597"/>
      <c r="I1519" s="1597"/>
      <c r="J1519" s="1597"/>
      <c r="K1519" s="1597"/>
      <c r="L1519" s="1597"/>
      <c r="M1519" s="1597"/>
      <c r="N1519" s="1597"/>
      <c r="O1519" s="1597"/>
      <c r="P1519" s="1597"/>
      <c r="Q1519" s="1597"/>
      <c r="R1519" s="1597"/>
      <c r="S1519" s="1597"/>
      <c r="T1519" s="1597"/>
    </row>
    <row r="1520" spans="1:20">
      <c r="A1520" s="1597"/>
      <c r="B1520" s="1597"/>
      <c r="C1520" s="1597"/>
      <c r="D1520" s="1597"/>
      <c r="E1520" s="1597"/>
      <c r="F1520" s="1597"/>
      <c r="G1520" s="1597"/>
      <c r="H1520" s="1597"/>
      <c r="I1520" s="1597"/>
      <c r="J1520" s="1597"/>
      <c r="K1520" s="1597"/>
      <c r="L1520" s="1597"/>
      <c r="M1520" s="1597"/>
      <c r="N1520" s="1597"/>
      <c r="O1520" s="1597"/>
      <c r="P1520" s="1597"/>
      <c r="Q1520" s="1597"/>
      <c r="R1520" s="1597"/>
      <c r="S1520" s="1597"/>
      <c r="T1520" s="1597"/>
    </row>
    <row r="1521" spans="1:20">
      <c r="A1521" s="1597"/>
      <c r="B1521" s="1597"/>
      <c r="C1521" s="1597"/>
      <c r="D1521" s="1597"/>
      <c r="E1521" s="1597"/>
      <c r="F1521" s="1597"/>
      <c r="G1521" s="1597"/>
      <c r="H1521" s="1597"/>
      <c r="I1521" s="1597"/>
      <c r="J1521" s="1597"/>
      <c r="K1521" s="1597"/>
      <c r="L1521" s="1597"/>
      <c r="M1521" s="1597"/>
      <c r="N1521" s="1597"/>
      <c r="O1521" s="1597"/>
      <c r="P1521" s="1597"/>
      <c r="Q1521" s="1597"/>
      <c r="R1521" s="1597"/>
      <c r="S1521" s="1597"/>
      <c r="T1521" s="1597"/>
    </row>
    <row r="1522" spans="1:20">
      <c r="A1522" s="1597"/>
      <c r="B1522" s="1597"/>
      <c r="C1522" s="1597"/>
      <c r="D1522" s="1597"/>
      <c r="E1522" s="1597"/>
      <c r="F1522" s="1597"/>
      <c r="G1522" s="1597"/>
      <c r="H1522" s="1597"/>
      <c r="I1522" s="1597"/>
      <c r="J1522" s="1597"/>
      <c r="K1522" s="1597"/>
      <c r="L1522" s="1597"/>
      <c r="M1522" s="1597"/>
      <c r="N1522" s="1597"/>
      <c r="O1522" s="1597"/>
      <c r="P1522" s="1597"/>
      <c r="Q1522" s="1597"/>
      <c r="R1522" s="1597"/>
      <c r="S1522" s="1597"/>
      <c r="T1522" s="1597"/>
    </row>
    <row r="1523" spans="1:20">
      <c r="A1523" s="1597"/>
      <c r="B1523" s="1597"/>
      <c r="C1523" s="1597"/>
      <c r="D1523" s="1597"/>
      <c r="E1523" s="1597"/>
      <c r="F1523" s="1597"/>
      <c r="G1523" s="1597"/>
      <c r="H1523" s="1597"/>
      <c r="I1523" s="1597"/>
      <c r="J1523" s="1597"/>
      <c r="K1523" s="1597"/>
      <c r="L1523" s="1597"/>
      <c r="M1523" s="1597"/>
      <c r="N1523" s="1597"/>
      <c r="O1523" s="1597"/>
      <c r="P1523" s="1597"/>
      <c r="Q1523" s="1597"/>
      <c r="R1523" s="1597"/>
      <c r="S1523" s="1597"/>
      <c r="T1523" s="1597"/>
    </row>
    <row r="1524" spans="1:20">
      <c r="A1524" s="1597"/>
      <c r="B1524" s="1597"/>
      <c r="C1524" s="1597"/>
      <c r="D1524" s="1597"/>
      <c r="E1524" s="1597"/>
      <c r="F1524" s="1597"/>
      <c r="G1524" s="1597"/>
      <c r="H1524" s="1597"/>
      <c r="I1524" s="1597"/>
      <c r="J1524" s="1597"/>
      <c r="K1524" s="1597"/>
      <c r="L1524" s="1597"/>
      <c r="M1524" s="1597"/>
      <c r="N1524" s="1597"/>
      <c r="O1524" s="1597"/>
      <c r="P1524" s="1597"/>
      <c r="Q1524" s="1597"/>
      <c r="R1524" s="1597"/>
      <c r="S1524" s="1597"/>
      <c r="T1524" s="1597"/>
    </row>
    <row r="1525" spans="1:20">
      <c r="A1525" s="1597"/>
      <c r="B1525" s="1597"/>
      <c r="C1525" s="1597"/>
      <c r="D1525" s="1597"/>
      <c r="E1525" s="1597"/>
      <c r="F1525" s="1597"/>
      <c r="G1525" s="1597"/>
      <c r="H1525" s="1597"/>
      <c r="I1525" s="1597"/>
      <c r="J1525" s="1597"/>
      <c r="K1525" s="1597"/>
      <c r="L1525" s="1597"/>
      <c r="M1525" s="1597"/>
      <c r="N1525" s="1597"/>
      <c r="O1525" s="1597"/>
      <c r="P1525" s="1597"/>
      <c r="Q1525" s="1597"/>
      <c r="R1525" s="1597"/>
      <c r="S1525" s="1597"/>
      <c r="T1525" s="1597"/>
    </row>
    <row r="1526" spans="1:20">
      <c r="A1526" s="1597"/>
      <c r="B1526" s="1597"/>
      <c r="C1526" s="1597"/>
      <c r="D1526" s="1597"/>
      <c r="E1526" s="1597"/>
      <c r="F1526" s="1597"/>
      <c r="G1526" s="1597"/>
      <c r="H1526" s="1597"/>
      <c r="I1526" s="1597"/>
      <c r="J1526" s="1597"/>
      <c r="K1526" s="1597"/>
      <c r="L1526" s="1597"/>
      <c r="M1526" s="1597"/>
      <c r="N1526" s="1597"/>
      <c r="O1526" s="1597"/>
      <c r="P1526" s="1597"/>
      <c r="Q1526" s="1597"/>
      <c r="R1526" s="1597"/>
      <c r="S1526" s="1597"/>
      <c r="T1526" s="1597"/>
    </row>
    <row r="1527" spans="1:20">
      <c r="A1527" s="1597"/>
      <c r="B1527" s="1597"/>
      <c r="C1527" s="1597"/>
      <c r="D1527" s="1597"/>
      <c r="E1527" s="1597"/>
      <c r="F1527" s="1597"/>
      <c r="G1527" s="1597"/>
      <c r="H1527" s="1597"/>
      <c r="I1527" s="1597"/>
      <c r="J1527" s="1597"/>
      <c r="K1527" s="1597"/>
      <c r="L1527" s="1597"/>
      <c r="M1527" s="1597"/>
      <c r="N1527" s="1597"/>
      <c r="O1527" s="1597"/>
      <c r="P1527" s="1597"/>
      <c r="Q1527" s="1597"/>
      <c r="R1527" s="1597"/>
      <c r="S1527" s="1597"/>
      <c r="T1527" s="1597"/>
    </row>
    <row r="1528" spans="1:20">
      <c r="A1528" s="1597"/>
      <c r="B1528" s="1597"/>
      <c r="C1528" s="1597"/>
      <c r="D1528" s="1597"/>
      <c r="E1528" s="1597"/>
      <c r="F1528" s="1597"/>
      <c r="G1528" s="1597"/>
      <c r="H1528" s="1597"/>
      <c r="I1528" s="1597"/>
      <c r="J1528" s="1597"/>
      <c r="K1528" s="1597"/>
      <c r="L1528" s="1597"/>
      <c r="M1528" s="1597"/>
      <c r="N1528" s="1597"/>
      <c r="O1528" s="1597"/>
      <c r="P1528" s="1597"/>
      <c r="Q1528" s="1597"/>
      <c r="R1528" s="1597"/>
      <c r="S1528" s="1597"/>
      <c r="T1528" s="1597"/>
    </row>
    <row r="1529" spans="1:20">
      <c r="A1529" s="1597"/>
      <c r="B1529" s="1597"/>
      <c r="C1529" s="1597"/>
      <c r="D1529" s="1597"/>
      <c r="E1529" s="1597"/>
      <c r="F1529" s="1597"/>
      <c r="G1529" s="1597"/>
      <c r="H1529" s="1597"/>
      <c r="I1529" s="1597"/>
      <c r="J1529" s="1597"/>
      <c r="K1529" s="1597"/>
      <c r="L1529" s="1597"/>
      <c r="M1529" s="1597"/>
      <c r="N1529" s="1597"/>
      <c r="O1529" s="1597"/>
      <c r="P1529" s="1597"/>
      <c r="Q1529" s="1597"/>
      <c r="R1529" s="1597"/>
      <c r="S1529" s="1597"/>
      <c r="T1529" s="1597"/>
    </row>
    <row r="1530" spans="1:20">
      <c r="A1530" s="1597"/>
      <c r="B1530" s="1597"/>
      <c r="C1530" s="1597"/>
      <c r="D1530" s="1597"/>
      <c r="E1530" s="1597"/>
      <c r="F1530" s="1597"/>
      <c r="G1530" s="1597"/>
      <c r="H1530" s="1597"/>
      <c r="I1530" s="1597"/>
      <c r="J1530" s="1597"/>
      <c r="K1530" s="1597"/>
      <c r="L1530" s="1597"/>
      <c r="M1530" s="1597"/>
      <c r="N1530" s="1597"/>
      <c r="O1530" s="1597"/>
      <c r="P1530" s="1597"/>
      <c r="Q1530" s="1597"/>
      <c r="R1530" s="1597"/>
      <c r="S1530" s="1597"/>
      <c r="T1530" s="1597"/>
    </row>
    <row r="1531" spans="1:20">
      <c r="A1531" s="1597"/>
      <c r="B1531" s="1597"/>
      <c r="C1531" s="1597"/>
      <c r="D1531" s="1597"/>
      <c r="E1531" s="1597"/>
      <c r="F1531" s="1597"/>
      <c r="G1531" s="1597"/>
      <c r="H1531" s="1597"/>
      <c r="I1531" s="1597"/>
      <c r="J1531" s="1597"/>
      <c r="K1531" s="1597"/>
      <c r="L1531" s="1597"/>
      <c r="M1531" s="1597"/>
      <c r="N1531" s="1597"/>
      <c r="O1531" s="1597"/>
      <c r="P1531" s="1597"/>
      <c r="Q1531" s="1597"/>
      <c r="R1531" s="1597"/>
      <c r="S1531" s="1597"/>
      <c r="T1531" s="1597"/>
    </row>
    <row r="1532" spans="1:20">
      <c r="A1532" s="1597"/>
      <c r="B1532" s="1597"/>
      <c r="C1532" s="1597"/>
      <c r="D1532" s="1597"/>
      <c r="E1532" s="1597"/>
      <c r="F1532" s="1597"/>
      <c r="G1532" s="1597"/>
      <c r="H1532" s="1597"/>
      <c r="I1532" s="1597"/>
      <c r="J1532" s="1597"/>
      <c r="K1532" s="1597"/>
      <c r="L1532" s="1597"/>
      <c r="M1532" s="1597"/>
      <c r="N1532" s="1597"/>
      <c r="O1532" s="1597"/>
      <c r="P1532" s="1597"/>
      <c r="Q1532" s="1597"/>
      <c r="R1532" s="1597"/>
      <c r="S1532" s="1597"/>
      <c r="T1532" s="1597"/>
    </row>
    <row r="1533" spans="1:20">
      <c r="A1533" s="1597"/>
      <c r="B1533" s="1597"/>
      <c r="C1533" s="1597"/>
      <c r="D1533" s="1597"/>
      <c r="E1533" s="1597"/>
      <c r="F1533" s="1597"/>
      <c r="G1533" s="1597"/>
      <c r="H1533" s="1597"/>
      <c r="I1533" s="1597"/>
      <c r="J1533" s="1597"/>
      <c r="K1533" s="1597"/>
      <c r="L1533" s="1597"/>
      <c r="M1533" s="1597"/>
      <c r="N1533" s="1597"/>
      <c r="O1533" s="1597"/>
      <c r="P1533" s="1597"/>
      <c r="Q1533" s="1597"/>
      <c r="R1533" s="1597"/>
      <c r="S1533" s="1597"/>
      <c r="T1533" s="1597"/>
    </row>
    <row r="1534" spans="1:20">
      <c r="A1534" s="1597"/>
      <c r="B1534" s="1597"/>
      <c r="C1534" s="1597"/>
      <c r="D1534" s="1597"/>
      <c r="E1534" s="1597"/>
      <c r="F1534" s="1597"/>
      <c r="G1534" s="1597"/>
      <c r="H1534" s="1597"/>
      <c r="I1534" s="1597"/>
      <c r="J1534" s="1597"/>
      <c r="K1534" s="1597"/>
      <c r="L1534" s="1597"/>
      <c r="M1534" s="1597"/>
      <c r="N1534" s="1597"/>
      <c r="O1534" s="1597"/>
      <c r="P1534" s="1597"/>
      <c r="Q1534" s="1597"/>
      <c r="R1534" s="1597"/>
      <c r="S1534" s="1597"/>
      <c r="T1534" s="1597"/>
    </row>
    <row r="1535" spans="1:20">
      <c r="A1535" s="1597"/>
      <c r="B1535" s="1597"/>
      <c r="C1535" s="1597"/>
      <c r="D1535" s="1597"/>
      <c r="E1535" s="1597"/>
      <c r="F1535" s="1597"/>
      <c r="G1535" s="1597"/>
      <c r="H1535" s="1597"/>
      <c r="I1535" s="1597"/>
      <c r="J1535" s="1597"/>
      <c r="K1535" s="1597"/>
      <c r="L1535" s="1597"/>
      <c r="M1535" s="1597"/>
      <c r="N1535" s="1597"/>
      <c r="O1535" s="1597"/>
      <c r="P1535" s="1597"/>
      <c r="Q1535" s="1597"/>
      <c r="R1535" s="1597"/>
      <c r="S1535" s="1597"/>
      <c r="T1535" s="1597"/>
    </row>
    <row r="1536" spans="1:20">
      <c r="A1536" s="1597"/>
      <c r="B1536" s="1597"/>
      <c r="C1536" s="1597"/>
      <c r="D1536" s="1597"/>
      <c r="E1536" s="1597"/>
      <c r="F1536" s="1597"/>
      <c r="G1536" s="1597"/>
      <c r="H1536" s="1597"/>
      <c r="I1536" s="1597"/>
      <c r="J1536" s="1597"/>
      <c r="K1536" s="1597"/>
      <c r="L1536" s="1597"/>
      <c r="M1536" s="1597"/>
      <c r="N1536" s="1597"/>
      <c r="O1536" s="1597"/>
      <c r="P1536" s="1597"/>
      <c r="Q1536" s="1597"/>
      <c r="R1536" s="1597"/>
      <c r="S1536" s="1597"/>
      <c r="T1536" s="1597"/>
    </row>
    <row r="1537" spans="1:20">
      <c r="A1537" s="1597"/>
      <c r="B1537" s="1597"/>
      <c r="C1537" s="1597"/>
      <c r="D1537" s="1597"/>
      <c r="E1537" s="1597"/>
      <c r="F1537" s="1597"/>
      <c r="G1537" s="1597"/>
      <c r="H1537" s="1597"/>
      <c r="I1537" s="1597"/>
      <c r="J1537" s="1597"/>
      <c r="K1537" s="1597"/>
      <c r="L1537" s="1597"/>
      <c r="M1537" s="1597"/>
      <c r="N1537" s="1597"/>
      <c r="O1537" s="1597"/>
      <c r="P1537" s="1597"/>
      <c r="Q1537" s="1597"/>
      <c r="R1537" s="1597"/>
      <c r="S1537" s="1597"/>
      <c r="T1537" s="1597"/>
    </row>
    <row r="1538" spans="1:20">
      <c r="A1538" s="1597"/>
      <c r="B1538" s="1597"/>
      <c r="C1538" s="1597"/>
      <c r="D1538" s="1597"/>
      <c r="E1538" s="1597"/>
      <c r="F1538" s="1597"/>
      <c r="G1538" s="1597"/>
      <c r="H1538" s="1597"/>
      <c r="I1538" s="1597"/>
      <c r="J1538" s="1597"/>
      <c r="K1538" s="1597"/>
      <c r="L1538" s="1597"/>
      <c r="M1538" s="1597"/>
      <c r="N1538" s="1597"/>
      <c r="O1538" s="1597"/>
      <c r="P1538" s="1597"/>
      <c r="Q1538" s="1597"/>
      <c r="R1538" s="1597"/>
      <c r="S1538" s="1597"/>
      <c r="T1538" s="1597"/>
    </row>
    <row r="1539" spans="1:20">
      <c r="A1539" s="1597"/>
      <c r="B1539" s="1597"/>
      <c r="C1539" s="1597"/>
      <c r="D1539" s="1597"/>
      <c r="E1539" s="1597"/>
      <c r="F1539" s="1597"/>
      <c r="G1539" s="1597"/>
      <c r="H1539" s="1597"/>
      <c r="I1539" s="1597"/>
      <c r="J1539" s="1597"/>
      <c r="K1539" s="1597"/>
      <c r="L1539" s="1597"/>
      <c r="M1539" s="1597"/>
      <c r="N1539" s="1597"/>
      <c r="O1539" s="1597"/>
      <c r="P1539" s="1597"/>
      <c r="Q1539" s="1597"/>
      <c r="R1539" s="1597"/>
      <c r="S1539" s="1597"/>
      <c r="T1539" s="1597"/>
    </row>
    <row r="1540" spans="1:20">
      <c r="A1540" s="1597"/>
      <c r="B1540" s="1597"/>
      <c r="C1540" s="1597"/>
      <c r="D1540" s="1597"/>
      <c r="E1540" s="1597"/>
      <c r="F1540" s="1597"/>
      <c r="G1540" s="1597"/>
      <c r="H1540" s="1597"/>
      <c r="I1540" s="1597"/>
      <c r="J1540" s="1597"/>
      <c r="K1540" s="1597"/>
      <c r="L1540" s="1597"/>
      <c r="M1540" s="1597"/>
      <c r="N1540" s="1597"/>
      <c r="O1540" s="1597"/>
      <c r="P1540" s="1597"/>
      <c r="Q1540" s="1597"/>
      <c r="R1540" s="1597"/>
      <c r="S1540" s="1597"/>
      <c r="T1540" s="1597"/>
    </row>
    <row r="1541" spans="1:20">
      <c r="A1541" s="1597"/>
      <c r="B1541" s="1597"/>
      <c r="C1541" s="1597"/>
      <c r="D1541" s="1597"/>
      <c r="E1541" s="1597"/>
      <c r="F1541" s="1597"/>
      <c r="G1541" s="1597"/>
      <c r="H1541" s="1597"/>
      <c r="I1541" s="1597"/>
      <c r="J1541" s="1597"/>
      <c r="K1541" s="1597"/>
      <c r="L1541" s="1597"/>
      <c r="M1541" s="1597"/>
      <c r="N1541" s="1597"/>
      <c r="O1541" s="1597"/>
      <c r="P1541" s="1597"/>
      <c r="Q1541" s="1597"/>
      <c r="R1541" s="1597"/>
      <c r="S1541" s="1597"/>
      <c r="T1541" s="1597"/>
    </row>
    <row r="1542" spans="1:20">
      <c r="A1542" s="1597"/>
      <c r="B1542" s="1597"/>
      <c r="C1542" s="1597"/>
      <c r="D1542" s="1597"/>
      <c r="E1542" s="1597"/>
      <c r="F1542" s="1597"/>
      <c r="G1542" s="1597"/>
      <c r="H1542" s="1597"/>
      <c r="I1542" s="1597"/>
      <c r="J1542" s="1597"/>
      <c r="K1542" s="1597"/>
      <c r="L1542" s="1597"/>
      <c r="M1542" s="1597"/>
      <c r="N1542" s="1597"/>
      <c r="O1542" s="1597"/>
      <c r="P1542" s="1597"/>
      <c r="Q1542" s="1597"/>
      <c r="R1542" s="1597"/>
      <c r="S1542" s="1597"/>
      <c r="T1542" s="1597"/>
    </row>
    <row r="1543" spans="1:20">
      <c r="A1543" s="1597"/>
      <c r="B1543" s="1597"/>
      <c r="C1543" s="1597"/>
      <c r="D1543" s="1597"/>
      <c r="E1543" s="1597"/>
      <c r="F1543" s="1597"/>
      <c r="G1543" s="1597"/>
      <c r="H1543" s="1597"/>
      <c r="I1543" s="1597"/>
      <c r="J1543" s="1597"/>
      <c r="K1543" s="1597"/>
      <c r="L1543" s="1597"/>
      <c r="M1543" s="1597"/>
      <c r="N1543" s="1597"/>
      <c r="O1543" s="1597"/>
      <c r="P1543" s="1597"/>
      <c r="Q1543" s="1597"/>
      <c r="R1543" s="1597"/>
      <c r="S1543" s="1597"/>
      <c r="T1543" s="1597"/>
    </row>
    <row r="1544" spans="1:20">
      <c r="A1544" s="1597"/>
      <c r="B1544" s="1597"/>
      <c r="C1544" s="1597"/>
      <c r="D1544" s="1597"/>
      <c r="E1544" s="1597"/>
      <c r="F1544" s="1597"/>
      <c r="G1544" s="1597"/>
      <c r="H1544" s="1597"/>
      <c r="I1544" s="1597"/>
      <c r="J1544" s="1597"/>
      <c r="K1544" s="1597"/>
      <c r="L1544" s="1597"/>
      <c r="M1544" s="1597"/>
      <c r="N1544" s="1597"/>
      <c r="O1544" s="1597"/>
      <c r="P1544" s="1597"/>
      <c r="Q1544" s="1597"/>
      <c r="R1544" s="1597"/>
      <c r="S1544" s="1597"/>
      <c r="T1544" s="1597"/>
    </row>
    <row r="1545" spans="1:20">
      <c r="A1545" s="1597"/>
      <c r="B1545" s="1597"/>
      <c r="C1545" s="1597"/>
      <c r="D1545" s="1597"/>
      <c r="E1545" s="1597"/>
      <c r="F1545" s="1597"/>
      <c r="G1545" s="1597"/>
      <c r="H1545" s="1597"/>
      <c r="I1545" s="1597"/>
      <c r="J1545" s="1597"/>
      <c r="K1545" s="1597"/>
      <c r="L1545" s="1597"/>
      <c r="M1545" s="1597"/>
      <c r="N1545" s="1597"/>
      <c r="O1545" s="1597"/>
      <c r="P1545" s="1597"/>
      <c r="Q1545" s="1597"/>
      <c r="R1545" s="1597"/>
      <c r="S1545" s="1597"/>
      <c r="T1545" s="1597"/>
    </row>
    <row r="1546" spans="1:20">
      <c r="A1546" s="1597"/>
      <c r="B1546" s="1597"/>
      <c r="C1546" s="1597"/>
      <c r="D1546" s="1597"/>
      <c r="E1546" s="1597"/>
      <c r="F1546" s="1597"/>
      <c r="G1546" s="1597"/>
      <c r="H1546" s="1597"/>
      <c r="I1546" s="1597"/>
      <c r="J1546" s="1597"/>
      <c r="K1546" s="1597"/>
      <c r="L1546" s="1597"/>
      <c r="M1546" s="1597"/>
      <c r="N1546" s="1597"/>
      <c r="O1546" s="1597"/>
      <c r="P1546" s="1597"/>
      <c r="Q1546" s="1597"/>
      <c r="R1546" s="1597"/>
      <c r="S1546" s="1597"/>
      <c r="T1546" s="1597"/>
    </row>
    <row r="1547" spans="1:20">
      <c r="A1547" s="1597"/>
      <c r="B1547" s="1597"/>
      <c r="C1547" s="1597"/>
      <c r="D1547" s="1597"/>
      <c r="E1547" s="1597"/>
      <c r="F1547" s="1597"/>
      <c r="G1547" s="1597"/>
      <c r="H1547" s="1597"/>
      <c r="I1547" s="1597"/>
      <c r="J1547" s="1597"/>
      <c r="K1547" s="1597"/>
      <c r="L1547" s="1597"/>
      <c r="M1547" s="1597"/>
      <c r="N1547" s="1597"/>
      <c r="O1547" s="1597"/>
      <c r="P1547" s="1597"/>
      <c r="Q1547" s="1597"/>
      <c r="R1547" s="1597"/>
      <c r="S1547" s="1597"/>
      <c r="T1547" s="1597"/>
    </row>
    <row r="1548" spans="1:20">
      <c r="A1548" s="1597"/>
      <c r="B1548" s="1597"/>
      <c r="C1548" s="1597"/>
      <c r="D1548" s="1597"/>
      <c r="E1548" s="1597"/>
      <c r="F1548" s="1597"/>
      <c r="G1548" s="1597"/>
      <c r="H1548" s="1597"/>
      <c r="I1548" s="1597"/>
      <c r="J1548" s="1597"/>
      <c r="K1548" s="1597"/>
      <c r="L1548" s="1597"/>
      <c r="M1548" s="1597"/>
      <c r="N1548" s="1597"/>
      <c r="O1548" s="1597"/>
      <c r="P1548" s="1597"/>
      <c r="Q1548" s="1597"/>
      <c r="R1548" s="1597"/>
      <c r="S1548" s="1597"/>
      <c r="T1548" s="1597"/>
    </row>
    <row r="1549" spans="1:20">
      <c r="A1549" s="1597"/>
      <c r="B1549" s="1597"/>
      <c r="C1549" s="1597"/>
      <c r="D1549" s="1597"/>
      <c r="E1549" s="1597"/>
      <c r="F1549" s="1597"/>
      <c r="G1549" s="1597"/>
      <c r="H1549" s="1597"/>
      <c r="I1549" s="1597"/>
      <c r="J1549" s="1597"/>
      <c r="K1549" s="1597"/>
      <c r="L1549" s="1597"/>
      <c r="M1549" s="1597"/>
      <c r="N1549" s="1597"/>
      <c r="O1549" s="1597"/>
      <c r="P1549" s="1597"/>
      <c r="Q1549" s="1597"/>
      <c r="R1549" s="1597"/>
      <c r="S1549" s="1597"/>
      <c r="T1549" s="1597"/>
    </row>
    <row r="1550" spans="1:20">
      <c r="A1550" s="1597"/>
      <c r="B1550" s="1597"/>
      <c r="C1550" s="1597"/>
      <c r="D1550" s="1597"/>
      <c r="E1550" s="1597"/>
      <c r="F1550" s="1597"/>
      <c r="G1550" s="1597"/>
      <c r="H1550" s="1597"/>
      <c r="I1550" s="1597"/>
      <c r="J1550" s="1597"/>
      <c r="K1550" s="1597"/>
      <c r="L1550" s="1597"/>
      <c r="M1550" s="1597"/>
      <c r="N1550" s="1597"/>
      <c r="O1550" s="1597"/>
      <c r="P1550" s="1597"/>
      <c r="Q1550" s="1597"/>
      <c r="R1550" s="1597"/>
      <c r="S1550" s="1597"/>
      <c r="T1550" s="1597"/>
    </row>
    <row r="1551" spans="1:20">
      <c r="A1551" s="1597"/>
      <c r="B1551" s="1597"/>
      <c r="C1551" s="1597"/>
      <c r="D1551" s="1597"/>
      <c r="E1551" s="1597"/>
      <c r="F1551" s="1597"/>
      <c r="G1551" s="1597"/>
      <c r="H1551" s="1597"/>
      <c r="I1551" s="1597"/>
      <c r="J1551" s="1597"/>
      <c r="K1551" s="1597"/>
      <c r="L1551" s="1597"/>
      <c r="M1551" s="1597"/>
      <c r="N1551" s="1597"/>
      <c r="O1551" s="1597"/>
      <c r="P1551" s="1597"/>
      <c r="Q1551" s="1597"/>
      <c r="R1551" s="1597"/>
      <c r="S1551" s="1597"/>
      <c r="T1551" s="1597"/>
    </row>
    <row r="1552" spans="1:20">
      <c r="A1552" s="1597"/>
      <c r="B1552" s="1597"/>
      <c r="C1552" s="1597"/>
      <c r="D1552" s="1597"/>
      <c r="E1552" s="1597"/>
      <c r="F1552" s="1597"/>
      <c r="G1552" s="1597"/>
      <c r="H1552" s="1597"/>
      <c r="I1552" s="1597"/>
      <c r="J1552" s="1597"/>
      <c r="K1552" s="1597"/>
      <c r="L1552" s="1597"/>
      <c r="M1552" s="1597"/>
      <c r="N1552" s="1597"/>
      <c r="O1552" s="1597"/>
      <c r="P1552" s="1597"/>
      <c r="Q1552" s="1597"/>
      <c r="R1552" s="1597"/>
      <c r="S1552" s="1597"/>
      <c r="T1552" s="1597"/>
    </row>
    <row r="1553" spans="1:20">
      <c r="A1553" s="1597"/>
      <c r="B1553" s="1597"/>
      <c r="C1553" s="1597"/>
      <c r="D1553" s="1597"/>
      <c r="E1553" s="1597"/>
      <c r="F1553" s="1597"/>
      <c r="G1553" s="1597"/>
      <c r="H1553" s="1597"/>
      <c r="I1553" s="1597"/>
      <c r="J1553" s="1597"/>
      <c r="K1553" s="1597"/>
      <c r="L1553" s="1597"/>
      <c r="M1553" s="1597"/>
      <c r="N1553" s="1597"/>
      <c r="O1553" s="1597"/>
      <c r="P1553" s="1597"/>
      <c r="Q1553" s="1597"/>
      <c r="R1553" s="1597"/>
      <c r="S1553" s="1597"/>
      <c r="T1553" s="1597"/>
    </row>
    <row r="1554" spans="1:20">
      <c r="A1554" s="1597"/>
      <c r="B1554" s="1597"/>
      <c r="C1554" s="1597"/>
      <c r="D1554" s="1597"/>
      <c r="E1554" s="1597"/>
      <c r="F1554" s="1597"/>
      <c r="G1554" s="1597"/>
      <c r="H1554" s="1597"/>
      <c r="I1554" s="1597"/>
      <c r="J1554" s="1597"/>
      <c r="K1554" s="1597"/>
      <c r="L1554" s="1597"/>
      <c r="M1554" s="1597"/>
      <c r="N1554" s="1597"/>
      <c r="O1554" s="1597"/>
      <c r="P1554" s="1597"/>
      <c r="Q1554" s="1597"/>
      <c r="R1554" s="1597"/>
      <c r="S1554" s="1597"/>
      <c r="T1554" s="1597"/>
    </row>
    <row r="1555" spans="1:20">
      <c r="A1555" s="1597"/>
      <c r="B1555" s="1597"/>
      <c r="C1555" s="1597"/>
      <c r="D1555" s="1597"/>
      <c r="E1555" s="1597"/>
      <c r="F1555" s="1597"/>
      <c r="G1555" s="1597"/>
      <c r="H1555" s="1597"/>
      <c r="I1555" s="1597"/>
      <c r="J1555" s="1597"/>
      <c r="K1555" s="1597"/>
      <c r="L1555" s="1597"/>
      <c r="M1555" s="1597"/>
      <c r="N1555" s="1597"/>
      <c r="O1555" s="1597"/>
      <c r="P1555" s="1597"/>
      <c r="Q1555" s="1597"/>
      <c r="R1555" s="1597"/>
      <c r="S1555" s="1597"/>
      <c r="T1555" s="1597"/>
    </row>
    <row r="1556" spans="1:20">
      <c r="A1556" s="1597"/>
      <c r="B1556" s="1597"/>
      <c r="C1556" s="1597"/>
      <c r="D1556" s="1597"/>
      <c r="E1556" s="1597"/>
      <c r="F1556" s="1597"/>
      <c r="G1556" s="1597"/>
      <c r="H1556" s="1597"/>
      <c r="I1556" s="1597"/>
      <c r="J1556" s="1597"/>
      <c r="K1556" s="1597"/>
      <c r="L1556" s="1597"/>
      <c r="M1556" s="1597"/>
      <c r="N1556" s="1597"/>
      <c r="O1556" s="1597"/>
      <c r="P1556" s="1597"/>
      <c r="Q1556" s="1597"/>
      <c r="R1556" s="1597"/>
      <c r="S1556" s="1597"/>
      <c r="T1556" s="1597"/>
    </row>
    <row r="1557" spans="1:20">
      <c r="A1557" s="1597"/>
      <c r="B1557" s="1597"/>
      <c r="C1557" s="1597"/>
      <c r="D1557" s="1597"/>
      <c r="E1557" s="1597"/>
      <c r="F1557" s="1597"/>
      <c r="G1557" s="1597"/>
      <c r="H1557" s="1597"/>
      <c r="I1557" s="1597"/>
      <c r="J1557" s="1597"/>
      <c r="K1557" s="1597"/>
      <c r="L1557" s="1597"/>
      <c r="M1557" s="1597"/>
      <c r="N1557" s="1597"/>
      <c r="O1557" s="1597"/>
      <c r="P1557" s="1597"/>
      <c r="Q1557" s="1597"/>
      <c r="R1557" s="1597"/>
      <c r="S1557" s="1597"/>
      <c r="T1557" s="1597"/>
    </row>
    <row r="1558" spans="1:20">
      <c r="A1558" s="1597"/>
      <c r="B1558" s="1597"/>
      <c r="C1558" s="1597"/>
      <c r="D1558" s="1597"/>
      <c r="E1558" s="1597"/>
      <c r="F1558" s="1597"/>
      <c r="G1558" s="1597"/>
      <c r="H1558" s="1597"/>
      <c r="I1558" s="1597"/>
      <c r="J1558" s="1597"/>
      <c r="K1558" s="1597"/>
      <c r="L1558" s="1597"/>
      <c r="M1558" s="1597"/>
      <c r="N1558" s="1597"/>
      <c r="O1558" s="1597"/>
      <c r="P1558" s="1597"/>
      <c r="Q1558" s="1597"/>
      <c r="R1558" s="1597"/>
      <c r="S1558" s="1597"/>
      <c r="T1558" s="1597"/>
    </row>
    <row r="1559" spans="1:20">
      <c r="A1559" s="1597"/>
      <c r="B1559" s="1597"/>
      <c r="C1559" s="1597"/>
      <c r="D1559" s="1597"/>
      <c r="E1559" s="1597"/>
      <c r="F1559" s="1597"/>
      <c r="G1559" s="1597"/>
      <c r="H1559" s="1597"/>
      <c r="I1559" s="1597"/>
      <c r="J1559" s="1597"/>
      <c r="K1559" s="1597"/>
      <c r="L1559" s="1597"/>
      <c r="M1559" s="1597"/>
      <c r="N1559" s="1597"/>
      <c r="O1559" s="1597"/>
      <c r="P1559" s="1597"/>
      <c r="Q1559" s="1597"/>
      <c r="R1559" s="1597"/>
      <c r="S1559" s="1597"/>
      <c r="T1559" s="1597"/>
    </row>
    <row r="1560" spans="1:20">
      <c r="A1560" s="1597"/>
      <c r="B1560" s="1597"/>
      <c r="C1560" s="1597"/>
      <c r="D1560" s="1597"/>
      <c r="E1560" s="1597"/>
      <c r="F1560" s="1597"/>
      <c r="G1560" s="1597"/>
      <c r="H1560" s="1597"/>
      <c r="I1560" s="1597"/>
      <c r="J1560" s="1597"/>
      <c r="K1560" s="1597"/>
      <c r="L1560" s="1597"/>
      <c r="M1560" s="1597"/>
      <c r="N1560" s="1597"/>
      <c r="O1560" s="1597"/>
      <c r="P1560" s="1597"/>
      <c r="Q1560" s="1597"/>
      <c r="R1560" s="1597"/>
      <c r="S1560" s="1597"/>
      <c r="T1560" s="1597"/>
    </row>
    <row r="1561" spans="1:20">
      <c r="A1561" s="1597"/>
      <c r="B1561" s="1597"/>
      <c r="C1561" s="1597"/>
      <c r="D1561" s="1597"/>
      <c r="E1561" s="1597"/>
      <c r="F1561" s="1597"/>
      <c r="G1561" s="1597"/>
      <c r="H1561" s="1597"/>
      <c r="I1561" s="1597"/>
      <c r="J1561" s="1597"/>
      <c r="K1561" s="1597"/>
      <c r="L1561" s="1597"/>
      <c r="M1561" s="1597"/>
      <c r="N1561" s="1597"/>
      <c r="O1561" s="1597"/>
      <c r="P1561" s="1597"/>
      <c r="Q1561" s="1597"/>
      <c r="R1561" s="1597"/>
      <c r="S1561" s="1597"/>
      <c r="T1561" s="1597"/>
    </row>
    <row r="1562" spans="1:20">
      <c r="A1562" s="1597"/>
      <c r="B1562" s="1597"/>
      <c r="C1562" s="1597"/>
      <c r="D1562" s="1597"/>
      <c r="E1562" s="1597"/>
      <c r="F1562" s="1597"/>
      <c r="G1562" s="1597"/>
      <c r="H1562" s="1597"/>
      <c r="I1562" s="1597"/>
      <c r="J1562" s="1597"/>
      <c r="K1562" s="1597"/>
      <c r="L1562" s="1597"/>
      <c r="M1562" s="1597"/>
      <c r="N1562" s="1597"/>
      <c r="O1562" s="1597"/>
      <c r="P1562" s="1597"/>
      <c r="Q1562" s="1597"/>
      <c r="R1562" s="1597"/>
      <c r="S1562" s="1597"/>
      <c r="T1562" s="1597"/>
    </row>
    <row r="1563" spans="1:20">
      <c r="A1563" s="1597"/>
      <c r="B1563" s="1597"/>
      <c r="C1563" s="1597"/>
      <c r="D1563" s="1597"/>
      <c r="E1563" s="1597"/>
      <c r="F1563" s="1597"/>
      <c r="G1563" s="1597"/>
      <c r="H1563" s="1597"/>
      <c r="I1563" s="1597"/>
      <c r="J1563" s="1597"/>
      <c r="K1563" s="1597"/>
      <c r="L1563" s="1597"/>
      <c r="M1563" s="1597"/>
      <c r="N1563" s="1597"/>
      <c r="O1563" s="1597"/>
      <c r="P1563" s="1597"/>
      <c r="Q1563" s="1597"/>
      <c r="R1563" s="1597"/>
      <c r="S1563" s="1597"/>
      <c r="T1563" s="1597"/>
    </row>
    <row r="1564" spans="1:20">
      <c r="A1564" s="1597"/>
      <c r="B1564" s="1597"/>
      <c r="C1564" s="1597"/>
      <c r="D1564" s="1597"/>
      <c r="E1564" s="1597"/>
      <c r="F1564" s="1597"/>
      <c r="G1564" s="1597"/>
      <c r="H1564" s="1597"/>
      <c r="I1564" s="1597"/>
      <c r="J1564" s="1597"/>
      <c r="K1564" s="1597"/>
      <c r="L1564" s="1597"/>
      <c r="M1564" s="1597"/>
      <c r="N1564" s="1597"/>
      <c r="O1564" s="1597"/>
      <c r="P1564" s="1597"/>
      <c r="Q1564" s="1597"/>
      <c r="R1564" s="1597"/>
      <c r="S1564" s="1597"/>
      <c r="T1564" s="1597"/>
    </row>
    <row r="1565" spans="1:20">
      <c r="A1565" s="1597"/>
      <c r="B1565" s="1597"/>
      <c r="C1565" s="1597"/>
      <c r="D1565" s="1597"/>
      <c r="E1565" s="1597"/>
      <c r="F1565" s="1597"/>
      <c r="G1565" s="1597"/>
      <c r="H1565" s="1597"/>
      <c r="I1565" s="1597"/>
      <c r="J1565" s="1597"/>
      <c r="K1565" s="1597"/>
      <c r="L1565" s="1597"/>
      <c r="M1565" s="1597"/>
      <c r="N1565" s="1597"/>
      <c r="O1565" s="1597"/>
      <c r="P1565" s="1597"/>
      <c r="Q1565" s="1597"/>
      <c r="R1565" s="1597"/>
      <c r="S1565" s="1597"/>
      <c r="T1565" s="1597"/>
    </row>
    <row r="1566" spans="1:20">
      <c r="A1566" s="1597"/>
      <c r="B1566" s="1597"/>
      <c r="C1566" s="1597"/>
      <c r="D1566" s="1597"/>
      <c r="E1566" s="1597"/>
      <c r="F1566" s="1597"/>
      <c r="G1566" s="1597"/>
      <c r="H1566" s="1597"/>
      <c r="I1566" s="1597"/>
      <c r="J1566" s="1597"/>
      <c r="K1566" s="1597"/>
      <c r="L1566" s="1597"/>
      <c r="M1566" s="1597"/>
      <c r="N1566" s="1597"/>
      <c r="O1566" s="1597"/>
      <c r="P1566" s="1597"/>
      <c r="Q1566" s="1597"/>
      <c r="R1566" s="1597"/>
      <c r="S1566" s="1597"/>
      <c r="T1566" s="1597"/>
    </row>
    <row r="1567" spans="1:20">
      <c r="A1567" s="1597"/>
      <c r="B1567" s="1597"/>
      <c r="C1567" s="1597"/>
      <c r="D1567" s="1597"/>
      <c r="E1567" s="1597"/>
      <c r="F1567" s="1597"/>
      <c r="G1567" s="1597"/>
      <c r="H1567" s="1597"/>
      <c r="I1567" s="1597"/>
      <c r="J1567" s="1597"/>
      <c r="K1567" s="1597"/>
      <c r="L1567" s="1597"/>
      <c r="M1567" s="1597"/>
      <c r="N1567" s="1597"/>
      <c r="O1567" s="1597"/>
      <c r="P1567" s="1597"/>
      <c r="Q1567" s="1597"/>
      <c r="R1567" s="1597"/>
      <c r="S1567" s="1597"/>
      <c r="T1567" s="1597"/>
    </row>
    <row r="1568" spans="1:20">
      <c r="A1568" s="1597"/>
      <c r="B1568" s="1597"/>
      <c r="C1568" s="1597"/>
      <c r="D1568" s="1597"/>
      <c r="E1568" s="1597"/>
      <c r="F1568" s="1597"/>
      <c r="G1568" s="1597"/>
      <c r="H1568" s="1597"/>
      <c r="I1568" s="1597"/>
      <c r="J1568" s="1597"/>
      <c r="K1568" s="1597"/>
      <c r="L1568" s="1597"/>
      <c r="M1568" s="1597"/>
      <c r="N1568" s="1597"/>
      <c r="O1568" s="1597"/>
      <c r="P1568" s="1597"/>
      <c r="Q1568" s="1597"/>
      <c r="R1568" s="1597"/>
      <c r="S1568" s="1597"/>
      <c r="T1568" s="1597"/>
    </row>
    <row r="1569" spans="1:20">
      <c r="A1569" s="1597"/>
      <c r="B1569" s="1597"/>
      <c r="C1569" s="1597"/>
      <c r="D1569" s="1597"/>
      <c r="E1569" s="1597"/>
      <c r="F1569" s="1597"/>
      <c r="G1569" s="1597"/>
      <c r="H1569" s="1597"/>
      <c r="I1569" s="1597"/>
      <c r="J1569" s="1597"/>
      <c r="K1569" s="1597"/>
      <c r="L1569" s="1597"/>
      <c r="M1569" s="1597"/>
      <c r="N1569" s="1597"/>
      <c r="O1569" s="1597"/>
      <c r="P1569" s="1597"/>
      <c r="Q1569" s="1597"/>
      <c r="R1569" s="1597"/>
      <c r="S1569" s="1597"/>
      <c r="T1569" s="1597"/>
    </row>
    <row r="1570" spans="1:20">
      <c r="A1570" s="1597"/>
      <c r="B1570" s="1597"/>
      <c r="C1570" s="1597"/>
      <c r="D1570" s="1597"/>
      <c r="E1570" s="1597"/>
      <c r="F1570" s="1597"/>
      <c r="G1570" s="1597"/>
      <c r="H1570" s="1597"/>
      <c r="I1570" s="1597"/>
      <c r="J1570" s="1597"/>
      <c r="K1570" s="1597"/>
      <c r="L1570" s="1597"/>
      <c r="M1570" s="1597"/>
      <c r="N1570" s="1597"/>
      <c r="O1570" s="1597"/>
      <c r="P1570" s="1597"/>
      <c r="Q1570" s="1597"/>
      <c r="R1570" s="1597"/>
      <c r="S1570" s="1597"/>
      <c r="T1570" s="1597"/>
    </row>
    <row r="1571" spans="1:20">
      <c r="A1571" s="1597"/>
      <c r="B1571" s="1597"/>
      <c r="C1571" s="1597"/>
      <c r="D1571" s="1597"/>
      <c r="E1571" s="1597"/>
      <c r="F1571" s="1597"/>
      <c r="G1571" s="1597"/>
      <c r="H1571" s="1597"/>
      <c r="I1571" s="1597"/>
      <c r="J1571" s="1597"/>
      <c r="K1571" s="1597"/>
      <c r="L1571" s="1597"/>
      <c r="M1571" s="1597"/>
      <c r="N1571" s="1597"/>
      <c r="O1571" s="1597"/>
      <c r="P1571" s="1597"/>
      <c r="Q1571" s="1597"/>
      <c r="R1571" s="1597"/>
      <c r="S1571" s="1597"/>
      <c r="T1571" s="1597"/>
    </row>
    <row r="1572" spans="1:20">
      <c r="A1572" s="1597"/>
      <c r="B1572" s="1597"/>
      <c r="C1572" s="1597"/>
      <c r="D1572" s="1597"/>
      <c r="E1572" s="1597"/>
      <c r="F1572" s="1597"/>
      <c r="G1572" s="1597"/>
      <c r="H1572" s="1597"/>
      <c r="I1572" s="1597"/>
      <c r="J1572" s="1597"/>
      <c r="K1572" s="1597"/>
      <c r="L1572" s="1597"/>
      <c r="M1572" s="1597"/>
      <c r="N1572" s="1597"/>
      <c r="O1572" s="1597"/>
      <c r="P1572" s="1597"/>
      <c r="Q1572" s="1597"/>
      <c r="R1572" s="1597"/>
      <c r="S1572" s="1597"/>
      <c r="T1572" s="1597"/>
    </row>
    <row r="1573" spans="1:20">
      <c r="A1573" s="1597"/>
      <c r="B1573" s="1597"/>
      <c r="C1573" s="1597"/>
      <c r="D1573" s="1597"/>
      <c r="E1573" s="1597"/>
      <c r="F1573" s="1597"/>
      <c r="G1573" s="1597"/>
      <c r="H1573" s="1597"/>
      <c r="I1573" s="1597"/>
      <c r="J1573" s="1597"/>
      <c r="K1573" s="1597"/>
      <c r="L1573" s="1597"/>
      <c r="M1573" s="1597"/>
      <c r="N1573" s="1597"/>
      <c r="O1573" s="1597"/>
      <c r="P1573" s="1597"/>
      <c r="Q1573" s="1597"/>
      <c r="R1573" s="1597"/>
      <c r="S1573" s="1597"/>
      <c r="T1573" s="1597"/>
    </row>
    <row r="1574" spans="1:20">
      <c r="A1574" s="1597"/>
      <c r="B1574" s="1597"/>
      <c r="C1574" s="1597"/>
      <c r="D1574" s="1597"/>
      <c r="E1574" s="1597"/>
      <c r="F1574" s="1597"/>
      <c r="G1574" s="1597"/>
      <c r="H1574" s="1597"/>
      <c r="I1574" s="1597"/>
      <c r="J1574" s="1597"/>
      <c r="K1574" s="1597"/>
      <c r="L1574" s="1597"/>
      <c r="M1574" s="1597"/>
      <c r="N1574" s="1597"/>
      <c r="O1574" s="1597"/>
      <c r="P1574" s="1597"/>
      <c r="Q1574" s="1597"/>
      <c r="R1574" s="1597"/>
      <c r="S1574" s="1597"/>
      <c r="T1574" s="1597"/>
    </row>
    <row r="1575" spans="1:20">
      <c r="A1575" s="1597"/>
      <c r="B1575" s="1597"/>
      <c r="C1575" s="1597"/>
      <c r="D1575" s="1597"/>
      <c r="E1575" s="1597"/>
      <c r="F1575" s="1597"/>
      <c r="G1575" s="1597"/>
      <c r="H1575" s="1597"/>
      <c r="I1575" s="1597"/>
      <c r="J1575" s="1597"/>
      <c r="K1575" s="1597"/>
      <c r="L1575" s="1597"/>
      <c r="M1575" s="1597"/>
      <c r="N1575" s="1597"/>
      <c r="O1575" s="1597"/>
      <c r="P1575" s="1597"/>
      <c r="Q1575" s="1597"/>
      <c r="R1575" s="1597"/>
      <c r="S1575" s="1597"/>
      <c r="T1575" s="1597"/>
    </row>
    <row r="1576" spans="1:20">
      <c r="A1576" s="1597"/>
      <c r="B1576" s="1597"/>
      <c r="C1576" s="1597"/>
      <c r="D1576" s="1597"/>
      <c r="E1576" s="1597"/>
      <c r="F1576" s="1597"/>
      <c r="G1576" s="1597"/>
      <c r="H1576" s="1597"/>
      <c r="I1576" s="1597"/>
      <c r="J1576" s="1597"/>
      <c r="K1576" s="1597"/>
      <c r="L1576" s="1597"/>
      <c r="M1576" s="1597"/>
      <c r="N1576" s="1597"/>
      <c r="O1576" s="1597"/>
      <c r="P1576" s="1597"/>
      <c r="Q1576" s="1597"/>
      <c r="R1576" s="1597"/>
      <c r="S1576" s="1597"/>
      <c r="T1576" s="1597"/>
    </row>
    <row r="1577" spans="1:20">
      <c r="A1577" s="1597"/>
      <c r="B1577" s="1597"/>
      <c r="C1577" s="1597"/>
      <c r="D1577" s="1597"/>
      <c r="E1577" s="1597"/>
      <c r="F1577" s="1597"/>
      <c r="G1577" s="1597"/>
      <c r="H1577" s="1597"/>
      <c r="I1577" s="1597"/>
      <c r="J1577" s="1597"/>
      <c r="K1577" s="1597"/>
      <c r="L1577" s="1597"/>
      <c r="M1577" s="1597"/>
      <c r="N1577" s="1597"/>
      <c r="O1577" s="1597"/>
      <c r="P1577" s="1597"/>
      <c r="Q1577" s="1597"/>
      <c r="R1577" s="1597"/>
      <c r="S1577" s="1597"/>
      <c r="T1577" s="1597"/>
    </row>
    <row r="1578" spans="1:20">
      <c r="A1578" s="1597"/>
      <c r="B1578" s="1597"/>
      <c r="C1578" s="1597"/>
      <c r="D1578" s="1597"/>
      <c r="E1578" s="1597"/>
      <c r="F1578" s="1597"/>
      <c r="G1578" s="1597"/>
      <c r="H1578" s="1597"/>
      <c r="I1578" s="1597"/>
      <c r="J1578" s="1597"/>
      <c r="K1578" s="1597"/>
      <c r="L1578" s="1597"/>
      <c r="M1578" s="1597"/>
      <c r="N1578" s="1597"/>
      <c r="O1578" s="1597"/>
      <c r="P1578" s="1597"/>
      <c r="Q1578" s="1597"/>
      <c r="R1578" s="1597"/>
      <c r="S1578" s="1597"/>
      <c r="T1578" s="1597"/>
    </row>
    <row r="1579" spans="1:20">
      <c r="A1579" s="1597"/>
      <c r="B1579" s="1597"/>
      <c r="C1579" s="1597"/>
      <c r="D1579" s="1597"/>
      <c r="E1579" s="1597"/>
      <c r="F1579" s="1597"/>
      <c r="G1579" s="1597"/>
      <c r="H1579" s="1597"/>
      <c r="I1579" s="1597"/>
      <c r="J1579" s="1597"/>
      <c r="K1579" s="1597"/>
      <c r="L1579" s="1597"/>
      <c r="M1579" s="1597"/>
      <c r="N1579" s="1597"/>
      <c r="O1579" s="1597"/>
      <c r="P1579" s="1597"/>
      <c r="Q1579" s="1597"/>
      <c r="R1579" s="1597"/>
      <c r="S1579" s="1597"/>
      <c r="T1579" s="1597"/>
    </row>
    <row r="1580" spans="1:20">
      <c r="A1580" s="1597"/>
      <c r="B1580" s="1597"/>
      <c r="C1580" s="1597"/>
      <c r="D1580" s="1597"/>
      <c r="E1580" s="1597"/>
      <c r="F1580" s="1597"/>
      <c r="G1580" s="1597"/>
      <c r="H1580" s="1597"/>
      <c r="I1580" s="1597"/>
      <c r="J1580" s="1597"/>
      <c r="K1580" s="1597"/>
      <c r="L1580" s="1597"/>
      <c r="M1580" s="1597"/>
      <c r="N1580" s="1597"/>
      <c r="O1580" s="1597"/>
      <c r="P1580" s="1597"/>
      <c r="Q1580" s="1597"/>
      <c r="R1580" s="1597"/>
      <c r="S1580" s="1597"/>
      <c r="T1580" s="1597"/>
    </row>
    <row r="1581" spans="1:20">
      <c r="A1581" s="1597"/>
      <c r="B1581" s="1597"/>
      <c r="C1581" s="1597"/>
      <c r="D1581" s="1597"/>
      <c r="E1581" s="1597"/>
      <c r="F1581" s="1597"/>
      <c r="G1581" s="1597"/>
      <c r="H1581" s="1597"/>
      <c r="I1581" s="1597"/>
      <c r="J1581" s="1597"/>
      <c r="K1581" s="1597"/>
      <c r="L1581" s="1597"/>
      <c r="M1581" s="1597"/>
      <c r="N1581" s="1597"/>
      <c r="O1581" s="1597"/>
      <c r="P1581" s="1597"/>
      <c r="Q1581" s="1597"/>
      <c r="R1581" s="1597"/>
      <c r="S1581" s="1597"/>
      <c r="T1581" s="1597"/>
    </row>
    <row r="1582" spans="1:20">
      <c r="A1582" s="1597"/>
      <c r="B1582" s="1597"/>
      <c r="C1582" s="1597"/>
      <c r="D1582" s="1597"/>
      <c r="E1582" s="1597"/>
      <c r="F1582" s="1597"/>
      <c r="G1582" s="1597"/>
      <c r="H1582" s="1597"/>
      <c r="I1582" s="1597"/>
      <c r="J1582" s="1597"/>
      <c r="K1582" s="1597"/>
      <c r="L1582" s="1597"/>
      <c r="M1582" s="1597"/>
      <c r="N1582" s="1597"/>
      <c r="O1582" s="1597"/>
      <c r="P1582" s="1597"/>
      <c r="Q1582" s="1597"/>
      <c r="R1582" s="1597"/>
      <c r="S1582" s="1597"/>
      <c r="T1582" s="1597"/>
    </row>
    <row r="1583" spans="1:20">
      <c r="A1583" s="1597"/>
      <c r="B1583" s="1597"/>
      <c r="C1583" s="1597"/>
      <c r="D1583" s="1597"/>
      <c r="E1583" s="1597"/>
      <c r="F1583" s="1597"/>
      <c r="G1583" s="1597"/>
      <c r="H1583" s="1597"/>
      <c r="I1583" s="1597"/>
      <c r="J1583" s="1597"/>
      <c r="K1583" s="1597"/>
      <c r="L1583" s="1597"/>
      <c r="M1583" s="1597"/>
      <c r="N1583" s="1597"/>
      <c r="O1583" s="1597"/>
      <c r="P1583" s="1597"/>
      <c r="Q1583" s="1597"/>
      <c r="R1583" s="1597"/>
      <c r="S1583" s="1597"/>
      <c r="T1583" s="1597"/>
    </row>
    <row r="1584" spans="1:20">
      <c r="A1584" s="1597"/>
      <c r="B1584" s="1597"/>
      <c r="C1584" s="1597"/>
      <c r="D1584" s="1597"/>
      <c r="E1584" s="1597"/>
      <c r="F1584" s="1597"/>
      <c r="G1584" s="1597"/>
      <c r="H1584" s="1597"/>
      <c r="I1584" s="1597"/>
      <c r="J1584" s="1597"/>
      <c r="K1584" s="1597"/>
      <c r="L1584" s="1597"/>
      <c r="M1584" s="1597"/>
      <c r="N1584" s="1597"/>
      <c r="O1584" s="1597"/>
      <c r="P1584" s="1597"/>
      <c r="Q1584" s="1597"/>
      <c r="R1584" s="1597"/>
      <c r="S1584" s="1597"/>
      <c r="T1584" s="1597"/>
    </row>
    <row r="1585" spans="1:20">
      <c r="A1585" s="1597"/>
      <c r="B1585" s="1597"/>
      <c r="C1585" s="1597"/>
      <c r="D1585" s="1597"/>
      <c r="E1585" s="1597"/>
      <c r="F1585" s="1597"/>
      <c r="G1585" s="1597"/>
      <c r="H1585" s="1597"/>
      <c r="I1585" s="1597"/>
      <c r="J1585" s="1597"/>
      <c r="K1585" s="1597"/>
      <c r="L1585" s="1597"/>
      <c r="M1585" s="1597"/>
      <c r="N1585" s="1597"/>
      <c r="O1585" s="1597"/>
      <c r="P1585" s="1597"/>
      <c r="Q1585" s="1597"/>
      <c r="R1585" s="1597"/>
      <c r="S1585" s="1597"/>
      <c r="T1585" s="1597"/>
    </row>
    <row r="1586" spans="1:20">
      <c r="A1586" s="1597"/>
      <c r="B1586" s="1597"/>
      <c r="C1586" s="1597"/>
      <c r="D1586" s="1597"/>
      <c r="E1586" s="1597"/>
      <c r="F1586" s="1597"/>
      <c r="G1586" s="1597"/>
      <c r="H1586" s="1597"/>
      <c r="I1586" s="1597"/>
      <c r="J1586" s="1597"/>
      <c r="K1586" s="1597"/>
      <c r="L1586" s="1597"/>
      <c r="M1586" s="1597"/>
      <c r="N1586" s="1597"/>
      <c r="O1586" s="1597"/>
      <c r="P1586" s="1597"/>
      <c r="Q1586" s="1597"/>
      <c r="R1586" s="1597"/>
      <c r="S1586" s="1597"/>
      <c r="T1586" s="1597"/>
    </row>
    <row r="1587" spans="1:20">
      <c r="A1587" s="1597"/>
      <c r="B1587" s="1597"/>
      <c r="C1587" s="1597"/>
      <c r="D1587" s="1597"/>
      <c r="E1587" s="1597"/>
      <c r="F1587" s="1597"/>
      <c r="G1587" s="1597"/>
      <c r="H1587" s="1597"/>
      <c r="I1587" s="1597"/>
      <c r="J1587" s="1597"/>
      <c r="K1587" s="1597"/>
      <c r="L1587" s="1597"/>
      <c r="M1587" s="1597"/>
      <c r="N1587" s="1597"/>
      <c r="O1587" s="1597"/>
      <c r="P1587" s="1597"/>
      <c r="Q1587" s="1597"/>
      <c r="R1587" s="1597"/>
      <c r="S1587" s="1597"/>
      <c r="T1587" s="1597"/>
    </row>
    <row r="1588" spans="1:20">
      <c r="A1588" s="1597"/>
      <c r="B1588" s="1597"/>
      <c r="C1588" s="1597"/>
      <c r="D1588" s="1597"/>
      <c r="E1588" s="1597"/>
      <c r="F1588" s="1597"/>
      <c r="G1588" s="1597"/>
      <c r="H1588" s="1597"/>
      <c r="I1588" s="1597"/>
      <c r="J1588" s="1597"/>
      <c r="K1588" s="1597"/>
      <c r="L1588" s="1597"/>
      <c r="M1588" s="1597"/>
      <c r="N1588" s="1597"/>
      <c r="O1588" s="1597"/>
      <c r="P1588" s="1597"/>
      <c r="Q1588" s="1597"/>
      <c r="R1588" s="1597"/>
      <c r="S1588" s="1597"/>
      <c r="T1588" s="1597"/>
    </row>
    <row r="1589" spans="1:20">
      <c r="A1589" s="1597"/>
      <c r="B1589" s="1597"/>
      <c r="C1589" s="1597"/>
      <c r="D1589" s="1597"/>
      <c r="E1589" s="1597"/>
      <c r="F1589" s="1597"/>
      <c r="G1589" s="1597"/>
      <c r="H1589" s="1597"/>
      <c r="I1589" s="1597"/>
      <c r="J1589" s="1597"/>
      <c r="K1589" s="1597"/>
      <c r="L1589" s="1597"/>
      <c r="M1589" s="1597"/>
      <c r="N1589" s="1597"/>
      <c r="O1589" s="1597"/>
      <c r="P1589" s="1597"/>
      <c r="Q1589" s="1597"/>
      <c r="R1589" s="1597"/>
      <c r="S1589" s="1597"/>
      <c r="T1589" s="1597"/>
    </row>
    <row r="1590" spans="1:20">
      <c r="A1590" s="1597"/>
      <c r="B1590" s="1597"/>
      <c r="C1590" s="1597"/>
      <c r="D1590" s="1597"/>
      <c r="E1590" s="1597"/>
      <c r="F1590" s="1597"/>
      <c r="G1590" s="1597"/>
      <c r="H1590" s="1597"/>
      <c r="I1590" s="1597"/>
      <c r="J1590" s="1597"/>
      <c r="K1590" s="1597"/>
      <c r="L1590" s="1597"/>
      <c r="M1590" s="1597"/>
      <c r="N1590" s="1597"/>
      <c r="O1590" s="1597"/>
      <c r="P1590" s="1597"/>
      <c r="Q1590" s="1597"/>
      <c r="R1590" s="1597"/>
      <c r="S1590" s="1597"/>
      <c r="T1590" s="1597"/>
    </row>
    <row r="1591" spans="1:20">
      <c r="A1591" s="1597"/>
      <c r="B1591" s="1597"/>
      <c r="C1591" s="1597"/>
      <c r="D1591" s="1597"/>
      <c r="E1591" s="1597"/>
      <c r="F1591" s="1597"/>
      <c r="G1591" s="1597"/>
      <c r="H1591" s="1597"/>
      <c r="I1591" s="1597"/>
      <c r="J1591" s="1597"/>
      <c r="K1591" s="1597"/>
      <c r="L1591" s="1597"/>
      <c r="M1591" s="1597"/>
      <c r="N1591" s="1597"/>
      <c r="O1591" s="1597"/>
      <c r="P1591" s="1597"/>
      <c r="Q1591" s="1597"/>
      <c r="R1591" s="1597"/>
      <c r="S1591" s="1597"/>
      <c r="T1591" s="1597"/>
    </row>
    <row r="1592" spans="1:20">
      <c r="A1592" s="1597"/>
      <c r="B1592" s="1597"/>
      <c r="C1592" s="1597"/>
      <c r="D1592" s="1597"/>
      <c r="E1592" s="1597"/>
      <c r="F1592" s="1597"/>
      <c r="G1592" s="1597"/>
      <c r="H1592" s="1597"/>
      <c r="I1592" s="1597"/>
      <c r="J1592" s="1597"/>
      <c r="K1592" s="1597"/>
      <c r="L1592" s="1597"/>
      <c r="M1592" s="1597"/>
      <c r="N1592" s="1597"/>
      <c r="O1592" s="1597"/>
      <c r="P1592" s="1597"/>
      <c r="Q1592" s="1597"/>
      <c r="R1592" s="1597"/>
      <c r="S1592" s="1597"/>
      <c r="T1592" s="1597"/>
    </row>
    <row r="1593" spans="1:20">
      <c r="A1593" s="1597"/>
      <c r="B1593" s="1597"/>
      <c r="C1593" s="1597"/>
      <c r="D1593" s="1597"/>
      <c r="E1593" s="1597"/>
      <c r="F1593" s="1597"/>
      <c r="G1593" s="1597"/>
      <c r="H1593" s="1597"/>
      <c r="I1593" s="1597"/>
      <c r="J1593" s="1597"/>
      <c r="K1593" s="1597"/>
      <c r="L1593" s="1597"/>
      <c r="M1593" s="1597"/>
      <c r="N1593" s="1597"/>
      <c r="O1593" s="1597"/>
      <c r="P1593" s="1597"/>
      <c r="Q1593" s="1597"/>
      <c r="R1593" s="1597"/>
      <c r="S1593" s="1597"/>
      <c r="T1593" s="1597"/>
    </row>
    <row r="1594" spans="1:20">
      <c r="A1594" s="1597"/>
      <c r="B1594" s="1597"/>
      <c r="C1594" s="1597"/>
      <c r="D1594" s="1597"/>
      <c r="E1594" s="1597"/>
      <c r="F1594" s="1597"/>
      <c r="G1594" s="1597"/>
      <c r="H1594" s="1597"/>
      <c r="I1594" s="1597"/>
      <c r="J1594" s="1597"/>
      <c r="K1594" s="1597"/>
      <c r="L1594" s="1597"/>
      <c r="M1594" s="1597"/>
      <c r="N1594" s="1597"/>
      <c r="O1594" s="1597"/>
      <c r="P1594" s="1597"/>
      <c r="Q1594" s="1597"/>
      <c r="R1594" s="1597"/>
      <c r="S1594" s="1597"/>
      <c r="T1594" s="1597"/>
    </row>
    <row r="1595" spans="1:20">
      <c r="A1595" s="1597"/>
      <c r="B1595" s="1597"/>
      <c r="C1595" s="1597"/>
      <c r="D1595" s="1597"/>
      <c r="E1595" s="1597"/>
      <c r="F1595" s="1597"/>
      <c r="G1595" s="1597"/>
      <c r="H1595" s="1597"/>
      <c r="I1595" s="1597"/>
      <c r="J1595" s="1597"/>
      <c r="K1595" s="1597"/>
      <c r="L1595" s="1597"/>
      <c r="M1595" s="1597"/>
      <c r="N1595" s="1597"/>
      <c r="O1595" s="1597"/>
      <c r="P1595" s="1597"/>
      <c r="Q1595" s="1597"/>
      <c r="R1595" s="1597"/>
      <c r="S1595" s="1597"/>
      <c r="T1595" s="1597"/>
    </row>
    <row r="1596" spans="1:20">
      <c r="A1596" s="1597"/>
      <c r="B1596" s="1597"/>
      <c r="C1596" s="1597"/>
      <c r="D1596" s="1597"/>
      <c r="E1596" s="1597"/>
      <c r="F1596" s="1597"/>
      <c r="G1596" s="1597"/>
      <c r="H1596" s="1597"/>
      <c r="I1596" s="1597"/>
      <c r="J1596" s="1597"/>
      <c r="K1596" s="1597"/>
      <c r="L1596" s="1597"/>
      <c r="M1596" s="1597"/>
      <c r="N1596" s="1597"/>
      <c r="O1596" s="1597"/>
      <c r="P1596" s="1597"/>
      <c r="Q1596" s="1597"/>
      <c r="R1596" s="1597"/>
      <c r="S1596" s="1597"/>
      <c r="T1596" s="1597"/>
    </row>
    <row r="1597" spans="1:20">
      <c r="A1597" s="1597"/>
      <c r="B1597" s="1597"/>
      <c r="C1597" s="1597"/>
      <c r="D1597" s="1597"/>
      <c r="E1597" s="1597"/>
      <c r="F1597" s="1597"/>
      <c r="G1597" s="1597"/>
      <c r="H1597" s="1597"/>
      <c r="I1597" s="1597"/>
      <c r="J1597" s="1597"/>
      <c r="K1597" s="1597"/>
      <c r="L1597" s="1597"/>
      <c r="M1597" s="1597"/>
      <c r="N1597" s="1597"/>
      <c r="O1597" s="1597"/>
      <c r="P1597" s="1597"/>
      <c r="Q1597" s="1597"/>
      <c r="R1597" s="1597"/>
      <c r="S1597" s="1597"/>
      <c r="T1597" s="1597"/>
    </row>
    <row r="1598" spans="1:20">
      <c r="A1598" s="1597"/>
      <c r="B1598" s="1597"/>
      <c r="C1598" s="1597"/>
      <c r="D1598" s="1597"/>
      <c r="E1598" s="1597"/>
      <c r="F1598" s="1597"/>
      <c r="G1598" s="1597"/>
      <c r="H1598" s="1597"/>
      <c r="I1598" s="1597"/>
      <c r="J1598" s="1597"/>
      <c r="K1598" s="1597"/>
      <c r="L1598" s="1597"/>
      <c r="M1598" s="1597"/>
      <c r="N1598" s="1597"/>
      <c r="O1598" s="1597"/>
      <c r="P1598" s="1597"/>
      <c r="Q1598" s="1597"/>
      <c r="R1598" s="1597"/>
      <c r="S1598" s="1597"/>
      <c r="T1598" s="1597"/>
    </row>
    <row r="1599" spans="1:20">
      <c r="A1599" s="1597"/>
      <c r="B1599" s="1597"/>
      <c r="C1599" s="1597"/>
      <c r="D1599" s="1597"/>
      <c r="E1599" s="1597"/>
      <c r="F1599" s="1597"/>
      <c r="G1599" s="1597"/>
      <c r="H1599" s="1597"/>
      <c r="I1599" s="1597"/>
      <c r="J1599" s="1597"/>
      <c r="K1599" s="1597"/>
      <c r="L1599" s="1597"/>
      <c r="M1599" s="1597"/>
      <c r="N1599" s="1597"/>
      <c r="O1599" s="1597"/>
      <c r="P1599" s="1597"/>
      <c r="Q1599" s="1597"/>
      <c r="R1599" s="1597"/>
      <c r="S1599" s="1597"/>
      <c r="T1599" s="1597"/>
    </row>
    <row r="1600" spans="1:20">
      <c r="A1600" s="1597"/>
      <c r="B1600" s="1597"/>
      <c r="C1600" s="1597"/>
      <c r="D1600" s="1597"/>
      <c r="E1600" s="1597"/>
      <c r="F1600" s="1597"/>
      <c r="G1600" s="1597"/>
      <c r="H1600" s="1597"/>
      <c r="I1600" s="1597"/>
      <c r="J1600" s="1597"/>
      <c r="K1600" s="1597"/>
      <c r="L1600" s="1597"/>
      <c r="M1600" s="1597"/>
      <c r="N1600" s="1597"/>
      <c r="O1600" s="1597"/>
      <c r="P1600" s="1597"/>
      <c r="Q1600" s="1597"/>
      <c r="R1600" s="1597"/>
      <c r="S1600" s="1597"/>
      <c r="T1600" s="1597"/>
    </row>
    <row r="1601" spans="1:20">
      <c r="A1601" s="1597"/>
      <c r="B1601" s="1597"/>
      <c r="C1601" s="1597"/>
      <c r="D1601" s="1597"/>
      <c r="E1601" s="1597"/>
      <c r="F1601" s="1597"/>
      <c r="G1601" s="1597"/>
      <c r="H1601" s="1597"/>
      <c r="I1601" s="1597"/>
      <c r="J1601" s="1597"/>
      <c r="K1601" s="1597"/>
      <c r="L1601" s="1597"/>
      <c r="M1601" s="1597"/>
      <c r="N1601" s="1597"/>
      <c r="O1601" s="1597"/>
      <c r="P1601" s="1597"/>
      <c r="Q1601" s="1597"/>
      <c r="R1601" s="1597"/>
      <c r="S1601" s="1597"/>
      <c r="T1601" s="1597"/>
    </row>
    <row r="1602" spans="1:20">
      <c r="A1602" s="1597"/>
      <c r="B1602" s="1597"/>
      <c r="C1602" s="1597"/>
      <c r="D1602" s="1597"/>
      <c r="E1602" s="1597"/>
      <c r="F1602" s="1597"/>
      <c r="G1602" s="1597"/>
      <c r="H1602" s="1597"/>
      <c r="I1602" s="1597"/>
      <c r="J1602" s="1597"/>
      <c r="K1602" s="1597"/>
      <c r="L1602" s="1597"/>
      <c r="M1602" s="1597"/>
      <c r="N1602" s="1597"/>
      <c r="O1602" s="1597"/>
      <c r="P1602" s="1597"/>
      <c r="Q1602" s="1597"/>
      <c r="R1602" s="1597"/>
      <c r="S1602" s="1597"/>
      <c r="T1602" s="1597"/>
    </row>
    <row r="1603" spans="1:20">
      <c r="A1603" s="1597"/>
      <c r="B1603" s="1597"/>
      <c r="C1603" s="1597"/>
      <c r="D1603" s="1597"/>
      <c r="E1603" s="1597"/>
      <c r="F1603" s="1597"/>
      <c r="G1603" s="1597"/>
      <c r="H1603" s="1597"/>
      <c r="I1603" s="1597"/>
      <c r="J1603" s="1597"/>
      <c r="K1603" s="1597"/>
      <c r="L1603" s="1597"/>
      <c r="M1603" s="1597"/>
      <c r="N1603" s="1597"/>
      <c r="O1603" s="1597"/>
      <c r="P1603" s="1597"/>
      <c r="Q1603" s="1597"/>
      <c r="R1603" s="1597"/>
      <c r="S1603" s="1597"/>
      <c r="T1603" s="1597"/>
    </row>
    <row r="1604" spans="1:20">
      <c r="A1604" s="1597"/>
      <c r="B1604" s="1597"/>
      <c r="C1604" s="1597"/>
      <c r="D1604" s="1597"/>
      <c r="E1604" s="1597"/>
      <c r="F1604" s="1597"/>
      <c r="G1604" s="1597"/>
      <c r="H1604" s="1597"/>
      <c r="I1604" s="1597"/>
      <c r="J1604" s="1597"/>
      <c r="K1604" s="1597"/>
      <c r="L1604" s="1597"/>
      <c r="M1604" s="1597"/>
      <c r="N1604" s="1597"/>
      <c r="O1604" s="1597"/>
      <c r="P1604" s="1597"/>
      <c r="Q1604" s="1597"/>
      <c r="R1604" s="1597"/>
      <c r="S1604" s="1597"/>
      <c r="T1604" s="1597"/>
    </row>
    <row r="1605" spans="1:20">
      <c r="A1605" s="1597"/>
      <c r="B1605" s="1597"/>
      <c r="C1605" s="1597"/>
      <c r="D1605" s="1597"/>
      <c r="E1605" s="1597"/>
      <c r="F1605" s="1597"/>
      <c r="G1605" s="1597"/>
      <c r="H1605" s="1597"/>
      <c r="I1605" s="1597"/>
      <c r="J1605" s="1597"/>
      <c r="K1605" s="1597"/>
      <c r="L1605" s="1597"/>
      <c r="M1605" s="1597"/>
      <c r="N1605" s="1597"/>
      <c r="O1605" s="1597"/>
      <c r="P1605" s="1597"/>
      <c r="Q1605" s="1597"/>
      <c r="R1605" s="1597"/>
      <c r="S1605" s="1597"/>
      <c r="T1605" s="1597"/>
    </row>
    <row r="1606" spans="1:20">
      <c r="A1606" s="1597"/>
      <c r="B1606" s="1597"/>
      <c r="C1606" s="1597"/>
      <c r="D1606" s="1597"/>
      <c r="E1606" s="1597"/>
      <c r="F1606" s="1597"/>
      <c r="G1606" s="1597"/>
      <c r="H1606" s="1597"/>
      <c r="I1606" s="1597"/>
      <c r="J1606" s="1597"/>
      <c r="K1606" s="1597"/>
      <c r="L1606" s="1597"/>
      <c r="M1606" s="1597"/>
      <c r="N1606" s="1597"/>
      <c r="O1606" s="1597"/>
      <c r="P1606" s="1597"/>
      <c r="Q1606" s="1597"/>
      <c r="R1606" s="1597"/>
      <c r="S1606" s="1597"/>
      <c r="T1606" s="1597"/>
    </row>
    <row r="1607" spans="1:20">
      <c r="A1607" s="1597"/>
      <c r="B1607" s="1597"/>
      <c r="C1607" s="1597"/>
      <c r="D1607" s="1597"/>
      <c r="E1607" s="1597"/>
      <c r="F1607" s="1597"/>
      <c r="G1607" s="1597"/>
      <c r="H1607" s="1597"/>
      <c r="I1607" s="1597"/>
      <c r="J1607" s="1597"/>
      <c r="K1607" s="1597"/>
      <c r="L1607" s="1597"/>
      <c r="M1607" s="1597"/>
      <c r="N1607" s="1597"/>
      <c r="O1607" s="1597"/>
      <c r="P1607" s="1597"/>
      <c r="Q1607" s="1597"/>
      <c r="R1607" s="1597"/>
      <c r="S1607" s="1597"/>
      <c r="T1607" s="1597"/>
    </row>
    <row r="1608" spans="1:20">
      <c r="A1608" s="1597"/>
      <c r="B1608" s="1597"/>
      <c r="C1608" s="1597"/>
      <c r="D1608" s="1597"/>
      <c r="E1608" s="1597"/>
      <c r="F1608" s="1597"/>
      <c r="G1608" s="1597"/>
      <c r="H1608" s="1597"/>
      <c r="I1608" s="1597"/>
      <c r="J1608" s="1597"/>
      <c r="K1608" s="1597"/>
      <c r="L1608" s="1597"/>
      <c r="M1608" s="1597"/>
      <c r="N1608" s="1597"/>
      <c r="O1608" s="1597"/>
      <c r="P1608" s="1597"/>
      <c r="Q1608" s="1597"/>
      <c r="R1608" s="1597"/>
      <c r="S1608" s="1597"/>
      <c r="T1608" s="1597"/>
    </row>
    <row r="1609" spans="1:20">
      <c r="A1609" s="1597"/>
      <c r="B1609" s="1597"/>
      <c r="C1609" s="1597"/>
      <c r="D1609" s="1597"/>
      <c r="E1609" s="1597"/>
      <c r="F1609" s="1597"/>
      <c r="G1609" s="1597"/>
      <c r="H1609" s="1597"/>
      <c r="I1609" s="1597"/>
      <c r="J1609" s="1597"/>
      <c r="K1609" s="1597"/>
      <c r="L1609" s="1597"/>
      <c r="M1609" s="1597"/>
      <c r="N1609" s="1597"/>
      <c r="O1609" s="1597"/>
      <c r="P1609" s="1597"/>
      <c r="Q1609" s="1597"/>
      <c r="R1609" s="1597"/>
      <c r="S1609" s="1597"/>
      <c r="T1609" s="1597"/>
    </row>
    <row r="1610" spans="1:20">
      <c r="A1610" s="1597"/>
      <c r="B1610" s="1597"/>
      <c r="C1610" s="1597"/>
      <c r="D1610" s="1597"/>
      <c r="E1610" s="1597"/>
      <c r="F1610" s="1597"/>
      <c r="G1610" s="1597"/>
      <c r="H1610" s="1597"/>
      <c r="I1610" s="1597"/>
      <c r="J1610" s="1597"/>
      <c r="K1610" s="1597"/>
      <c r="L1610" s="1597"/>
      <c r="M1610" s="1597"/>
      <c r="N1610" s="1597"/>
      <c r="O1610" s="1597"/>
      <c r="P1610" s="1597"/>
      <c r="Q1610" s="1597"/>
      <c r="R1610" s="1597"/>
      <c r="S1610" s="1597"/>
      <c r="T1610" s="1597"/>
    </row>
    <row r="1611" spans="1:20">
      <c r="A1611" s="1597"/>
      <c r="B1611" s="1597"/>
      <c r="C1611" s="1597"/>
      <c r="D1611" s="1597"/>
      <c r="E1611" s="1597"/>
      <c r="F1611" s="1597"/>
      <c r="G1611" s="1597"/>
      <c r="H1611" s="1597"/>
      <c r="I1611" s="1597"/>
      <c r="J1611" s="1597"/>
      <c r="K1611" s="1597"/>
      <c r="L1611" s="1597"/>
      <c r="M1611" s="1597"/>
      <c r="N1611" s="1597"/>
      <c r="O1611" s="1597"/>
      <c r="P1611" s="1597"/>
      <c r="Q1611" s="1597"/>
      <c r="R1611" s="1597"/>
      <c r="S1611" s="1597"/>
      <c r="T1611" s="1597"/>
    </row>
    <row r="1612" spans="1:20">
      <c r="A1612" s="1597"/>
      <c r="B1612" s="1597"/>
      <c r="C1612" s="1597"/>
      <c r="D1612" s="1597"/>
      <c r="E1612" s="1597"/>
      <c r="F1612" s="1597"/>
      <c r="G1612" s="1597"/>
      <c r="H1612" s="1597"/>
      <c r="I1612" s="1597"/>
      <c r="J1612" s="1597"/>
      <c r="K1612" s="1597"/>
      <c r="L1612" s="1597"/>
      <c r="M1612" s="1597"/>
      <c r="N1612" s="1597"/>
      <c r="O1612" s="1597"/>
      <c r="P1612" s="1597"/>
      <c r="Q1612" s="1597"/>
      <c r="R1612" s="1597"/>
      <c r="S1612" s="1597"/>
      <c r="T1612" s="1597"/>
    </row>
    <row r="1613" spans="1:20">
      <c r="A1613" s="1597"/>
      <c r="B1613" s="1597"/>
      <c r="C1613" s="1597"/>
      <c r="D1613" s="1597"/>
      <c r="E1613" s="1597"/>
      <c r="F1613" s="1597"/>
      <c r="G1613" s="1597"/>
      <c r="H1613" s="1597"/>
      <c r="I1613" s="1597"/>
      <c r="J1613" s="1597"/>
      <c r="K1613" s="1597"/>
      <c r="L1613" s="1597"/>
      <c r="M1613" s="1597"/>
      <c r="N1613" s="1597"/>
      <c r="O1613" s="1597"/>
      <c r="P1613" s="1597"/>
      <c r="Q1613" s="1597"/>
      <c r="R1613" s="1597"/>
      <c r="S1613" s="1597"/>
      <c r="T1613" s="1597"/>
    </row>
    <row r="1614" spans="1:20">
      <c r="A1614" s="1597"/>
      <c r="B1614" s="1597"/>
      <c r="C1614" s="1597"/>
      <c r="D1614" s="1597"/>
      <c r="E1614" s="1597"/>
      <c r="F1614" s="1597"/>
      <c r="G1614" s="1597"/>
      <c r="H1614" s="1597"/>
      <c r="I1614" s="1597"/>
      <c r="J1614" s="1597"/>
      <c r="K1614" s="1597"/>
      <c r="L1614" s="1597"/>
      <c r="M1614" s="1597"/>
      <c r="N1614" s="1597"/>
      <c r="O1614" s="1597"/>
      <c r="P1614" s="1597"/>
      <c r="Q1614" s="1597"/>
      <c r="R1614" s="1597"/>
      <c r="S1614" s="1597"/>
      <c r="T1614" s="1597"/>
    </row>
    <row r="1615" spans="1:20">
      <c r="A1615" s="1597"/>
      <c r="B1615" s="1597"/>
      <c r="C1615" s="1597"/>
      <c r="D1615" s="1597"/>
      <c r="E1615" s="1597"/>
      <c r="F1615" s="1597"/>
      <c r="G1615" s="1597"/>
      <c r="H1615" s="1597"/>
      <c r="I1615" s="1597"/>
      <c r="J1615" s="1597"/>
      <c r="K1615" s="1597"/>
      <c r="L1615" s="1597"/>
      <c r="M1615" s="1597"/>
      <c r="N1615" s="1597"/>
      <c r="O1615" s="1597"/>
      <c r="P1615" s="1597"/>
      <c r="Q1615" s="1597"/>
      <c r="R1615" s="1597"/>
      <c r="S1615" s="1597"/>
      <c r="T1615" s="1597"/>
    </row>
    <row r="1616" spans="1:20">
      <c r="A1616" s="1597"/>
      <c r="B1616" s="1597"/>
      <c r="C1616" s="1597"/>
      <c r="D1616" s="1597"/>
      <c r="E1616" s="1597"/>
      <c r="F1616" s="1597"/>
      <c r="G1616" s="1597"/>
      <c r="H1616" s="1597"/>
      <c r="I1616" s="1597"/>
      <c r="J1616" s="1597"/>
      <c r="K1616" s="1597"/>
      <c r="L1616" s="1597"/>
      <c r="M1616" s="1597"/>
      <c r="N1616" s="1597"/>
      <c r="O1616" s="1597"/>
      <c r="P1616" s="1597"/>
      <c r="Q1616" s="1597"/>
      <c r="R1616" s="1597"/>
      <c r="S1616" s="1597"/>
      <c r="T1616" s="1597"/>
    </row>
    <row r="1617" spans="1:20">
      <c r="A1617" s="1597"/>
      <c r="B1617" s="1597"/>
      <c r="C1617" s="1597"/>
      <c r="D1617" s="1597"/>
      <c r="E1617" s="1597"/>
      <c r="F1617" s="1597"/>
      <c r="G1617" s="1597"/>
      <c r="H1617" s="1597"/>
      <c r="I1617" s="1597"/>
      <c r="J1617" s="1597"/>
      <c r="K1617" s="1597"/>
      <c r="L1617" s="1597"/>
      <c r="M1617" s="1597"/>
      <c r="N1617" s="1597"/>
      <c r="O1617" s="1597"/>
      <c r="P1617" s="1597"/>
      <c r="Q1617" s="1597"/>
      <c r="R1617" s="1597"/>
      <c r="S1617" s="1597"/>
      <c r="T1617" s="1597"/>
    </row>
    <row r="1618" spans="1:20">
      <c r="A1618" s="1597"/>
      <c r="B1618" s="1597"/>
      <c r="C1618" s="1597"/>
      <c r="D1618" s="1597"/>
      <c r="E1618" s="1597"/>
      <c r="F1618" s="1597"/>
      <c r="G1618" s="1597"/>
      <c r="H1618" s="1597"/>
      <c r="I1618" s="1597"/>
      <c r="J1618" s="1597"/>
      <c r="K1618" s="1597"/>
      <c r="L1618" s="1597"/>
      <c r="M1618" s="1597"/>
      <c r="N1618" s="1597"/>
      <c r="O1618" s="1597"/>
      <c r="P1618" s="1597"/>
      <c r="Q1618" s="1597"/>
      <c r="R1618" s="1597"/>
      <c r="S1618" s="1597"/>
      <c r="T1618" s="1597"/>
    </row>
    <row r="1619" spans="1:20">
      <c r="A1619" s="1597"/>
      <c r="B1619" s="1597"/>
      <c r="C1619" s="1597"/>
      <c r="D1619" s="1597"/>
      <c r="E1619" s="1597"/>
      <c r="F1619" s="1597"/>
      <c r="G1619" s="1597"/>
      <c r="H1619" s="1597"/>
      <c r="I1619" s="1597"/>
      <c r="J1619" s="1597"/>
      <c r="K1619" s="1597"/>
      <c r="L1619" s="1597"/>
      <c r="M1619" s="1597"/>
      <c r="N1619" s="1597"/>
      <c r="O1619" s="1597"/>
      <c r="P1619" s="1597"/>
      <c r="Q1619" s="1597"/>
      <c r="R1619" s="1597"/>
      <c r="S1619" s="1597"/>
      <c r="T1619" s="1597"/>
    </row>
    <row r="1620" spans="1:20">
      <c r="A1620" s="1597"/>
      <c r="B1620" s="1597"/>
      <c r="C1620" s="1597"/>
      <c r="D1620" s="1597"/>
      <c r="E1620" s="1597"/>
      <c r="F1620" s="1597"/>
      <c r="G1620" s="1597"/>
      <c r="H1620" s="1597"/>
      <c r="I1620" s="1597"/>
      <c r="J1620" s="1597"/>
      <c r="K1620" s="1597"/>
      <c r="L1620" s="1597"/>
      <c r="M1620" s="1597"/>
      <c r="N1620" s="1597"/>
      <c r="O1620" s="1597"/>
      <c r="P1620" s="1597"/>
      <c r="Q1620" s="1597"/>
      <c r="R1620" s="1597"/>
      <c r="S1620" s="1597"/>
      <c r="T1620" s="1597"/>
    </row>
    <row r="1621" spans="1:20">
      <c r="A1621" s="1597"/>
      <c r="B1621" s="1597"/>
      <c r="C1621" s="1597"/>
      <c r="D1621" s="1597"/>
      <c r="E1621" s="1597"/>
      <c r="F1621" s="1597"/>
      <c r="G1621" s="1597"/>
      <c r="H1621" s="1597"/>
      <c r="I1621" s="1597"/>
      <c r="J1621" s="1597"/>
      <c r="K1621" s="1597"/>
      <c r="L1621" s="1597"/>
      <c r="M1621" s="1597"/>
      <c r="N1621" s="1597"/>
      <c r="O1621" s="1597"/>
      <c r="P1621" s="1597"/>
      <c r="Q1621" s="1597"/>
      <c r="R1621" s="1597"/>
      <c r="S1621" s="1597"/>
      <c r="T1621" s="1597"/>
    </row>
    <row r="1622" spans="1:20">
      <c r="A1622" s="1597"/>
      <c r="B1622" s="1597"/>
      <c r="C1622" s="1597"/>
      <c r="D1622" s="1597"/>
      <c r="E1622" s="1597"/>
      <c r="F1622" s="1597"/>
      <c r="G1622" s="1597"/>
      <c r="H1622" s="1597"/>
      <c r="I1622" s="1597"/>
      <c r="J1622" s="1597"/>
      <c r="K1622" s="1597"/>
      <c r="L1622" s="1597"/>
      <c r="M1622" s="1597"/>
      <c r="N1622" s="1597"/>
      <c r="O1622" s="1597"/>
      <c r="P1622" s="1597"/>
      <c r="Q1622" s="1597"/>
      <c r="R1622" s="1597"/>
      <c r="S1622" s="1597"/>
      <c r="T1622" s="1597"/>
    </row>
    <row r="1623" spans="1:20">
      <c r="A1623" s="1597"/>
      <c r="B1623" s="1597"/>
      <c r="C1623" s="1597"/>
      <c r="D1623" s="1597"/>
      <c r="E1623" s="1597"/>
      <c r="F1623" s="1597"/>
      <c r="G1623" s="1597"/>
      <c r="H1623" s="1597"/>
      <c r="I1623" s="1597"/>
      <c r="J1623" s="1597"/>
      <c r="K1623" s="1597"/>
      <c r="L1623" s="1597"/>
      <c r="M1623" s="1597"/>
      <c r="N1623" s="1597"/>
      <c r="O1623" s="1597"/>
      <c r="P1623" s="1597"/>
      <c r="Q1623" s="1597"/>
      <c r="R1623" s="1597"/>
      <c r="S1623" s="1597"/>
      <c r="T1623" s="1597"/>
    </row>
    <row r="1624" spans="1:20">
      <c r="A1624" s="1597"/>
      <c r="B1624" s="1597"/>
      <c r="C1624" s="1597"/>
      <c r="D1624" s="1597"/>
      <c r="E1624" s="1597"/>
      <c r="F1624" s="1597"/>
      <c r="G1624" s="1597"/>
      <c r="H1624" s="1597"/>
      <c r="I1624" s="1597"/>
      <c r="J1624" s="1597"/>
      <c r="K1624" s="1597"/>
      <c r="L1624" s="1597"/>
      <c r="M1624" s="1597"/>
      <c r="N1624" s="1597"/>
      <c r="O1624" s="1597"/>
      <c r="P1624" s="1597"/>
      <c r="Q1624" s="1597"/>
      <c r="R1624" s="1597"/>
      <c r="S1624" s="1597"/>
      <c r="T1624" s="1597"/>
    </row>
    <row r="1625" spans="1:20">
      <c r="A1625" s="1597"/>
      <c r="B1625" s="1597"/>
      <c r="C1625" s="1597"/>
      <c r="D1625" s="1597"/>
      <c r="E1625" s="1597"/>
      <c r="F1625" s="1597"/>
      <c r="G1625" s="1597"/>
      <c r="H1625" s="1597"/>
      <c r="I1625" s="1597"/>
      <c r="J1625" s="1597"/>
      <c r="K1625" s="1597"/>
      <c r="L1625" s="1597"/>
      <c r="M1625" s="1597"/>
      <c r="N1625" s="1597"/>
      <c r="O1625" s="1597"/>
      <c r="P1625" s="1597"/>
      <c r="Q1625" s="1597"/>
      <c r="R1625" s="1597"/>
      <c r="S1625" s="1597"/>
      <c r="T1625" s="1597"/>
    </row>
    <row r="1626" spans="1:20">
      <c r="A1626" s="1597"/>
      <c r="B1626" s="1597"/>
      <c r="C1626" s="1597"/>
      <c r="D1626" s="1597"/>
      <c r="E1626" s="1597"/>
      <c r="F1626" s="1597"/>
      <c r="G1626" s="1597"/>
      <c r="H1626" s="1597"/>
      <c r="I1626" s="1597"/>
      <c r="J1626" s="1597"/>
      <c r="K1626" s="1597"/>
      <c r="L1626" s="1597"/>
      <c r="M1626" s="1597"/>
      <c r="N1626" s="1597"/>
      <c r="O1626" s="1597"/>
      <c r="P1626" s="1597"/>
      <c r="Q1626" s="1597"/>
      <c r="R1626" s="1597"/>
      <c r="S1626" s="1597"/>
      <c r="T1626" s="1597"/>
    </row>
    <row r="1627" spans="1:20">
      <c r="A1627" s="1597"/>
      <c r="B1627" s="1597"/>
      <c r="C1627" s="1597"/>
      <c r="D1627" s="1597"/>
      <c r="E1627" s="1597"/>
      <c r="F1627" s="1597"/>
      <c r="G1627" s="1597"/>
      <c r="H1627" s="1597"/>
      <c r="I1627" s="1597"/>
      <c r="J1627" s="1597"/>
      <c r="K1627" s="1597"/>
      <c r="L1627" s="1597"/>
      <c r="M1627" s="1597"/>
      <c r="N1627" s="1597"/>
      <c r="O1627" s="1597"/>
      <c r="P1627" s="1597"/>
      <c r="Q1627" s="1597"/>
      <c r="R1627" s="1597"/>
      <c r="S1627" s="1597"/>
      <c r="T1627" s="1597"/>
    </row>
    <row r="1628" spans="1:20">
      <c r="A1628" s="1597"/>
      <c r="B1628" s="1597"/>
      <c r="C1628" s="1597"/>
      <c r="D1628" s="1597"/>
      <c r="E1628" s="1597"/>
      <c r="F1628" s="1597"/>
      <c r="G1628" s="1597"/>
      <c r="H1628" s="1597"/>
      <c r="I1628" s="1597"/>
      <c r="J1628" s="1597"/>
      <c r="K1628" s="1597"/>
      <c r="L1628" s="1597"/>
      <c r="M1628" s="1597"/>
      <c r="N1628" s="1597"/>
      <c r="O1628" s="1597"/>
      <c r="P1628" s="1597"/>
      <c r="Q1628" s="1597"/>
      <c r="R1628" s="1597"/>
      <c r="S1628" s="1597"/>
      <c r="T1628" s="1597"/>
    </row>
    <row r="1629" spans="1:20">
      <c r="A1629" s="1597"/>
      <c r="B1629" s="1597"/>
      <c r="C1629" s="1597"/>
      <c r="D1629" s="1597"/>
      <c r="E1629" s="1597"/>
      <c r="F1629" s="1597"/>
      <c r="G1629" s="1597"/>
      <c r="H1629" s="1597"/>
      <c r="I1629" s="1597"/>
      <c r="J1629" s="1597"/>
      <c r="K1629" s="1597"/>
      <c r="L1629" s="1597"/>
      <c r="M1629" s="1597"/>
      <c r="N1629" s="1597"/>
      <c r="O1629" s="1597"/>
      <c r="P1629" s="1597"/>
      <c r="Q1629" s="1597"/>
      <c r="R1629" s="1597"/>
      <c r="S1629" s="1597"/>
      <c r="T1629" s="1597"/>
    </row>
    <row r="1630" spans="1:20">
      <c r="A1630" s="1597"/>
      <c r="B1630" s="1597"/>
      <c r="C1630" s="1597"/>
      <c r="D1630" s="1597"/>
      <c r="E1630" s="1597"/>
      <c r="F1630" s="1597"/>
      <c r="G1630" s="1597"/>
      <c r="H1630" s="1597"/>
      <c r="I1630" s="1597"/>
      <c r="J1630" s="1597"/>
      <c r="K1630" s="1597"/>
      <c r="L1630" s="1597"/>
      <c r="M1630" s="1597"/>
      <c r="N1630" s="1597"/>
      <c r="O1630" s="1597"/>
      <c r="P1630" s="1597"/>
      <c r="Q1630" s="1597"/>
      <c r="R1630" s="1597"/>
      <c r="S1630" s="1597"/>
      <c r="T1630" s="1597"/>
    </row>
    <row r="1631" spans="1:20">
      <c r="A1631" s="1597"/>
      <c r="B1631" s="1597"/>
      <c r="C1631" s="1597"/>
      <c r="D1631" s="1597"/>
      <c r="E1631" s="1597"/>
      <c r="F1631" s="1597"/>
      <c r="G1631" s="1597"/>
      <c r="H1631" s="1597"/>
      <c r="I1631" s="1597"/>
      <c r="J1631" s="1597"/>
      <c r="K1631" s="1597"/>
      <c r="L1631" s="1597"/>
      <c r="M1631" s="1597"/>
      <c r="N1631" s="1597"/>
      <c r="O1631" s="1597"/>
      <c r="P1631" s="1597"/>
      <c r="Q1631" s="1597"/>
      <c r="R1631" s="1597"/>
      <c r="S1631" s="1597"/>
      <c r="T1631" s="1597"/>
    </row>
    <row r="1632" spans="1:20">
      <c r="A1632" s="1597"/>
      <c r="B1632" s="1597"/>
      <c r="C1632" s="1597"/>
      <c r="D1632" s="1597"/>
      <c r="E1632" s="1597"/>
      <c r="F1632" s="1597"/>
      <c r="G1632" s="1597"/>
      <c r="H1632" s="1597"/>
      <c r="I1632" s="1597"/>
      <c r="J1632" s="1597"/>
      <c r="K1632" s="1597"/>
      <c r="L1632" s="1597"/>
      <c r="M1632" s="1597"/>
      <c r="N1632" s="1597"/>
      <c r="O1632" s="1597"/>
      <c r="P1632" s="1597"/>
      <c r="Q1632" s="1597"/>
      <c r="R1632" s="1597"/>
      <c r="S1632" s="1597"/>
      <c r="T1632" s="1597"/>
    </row>
    <row r="1633" spans="1:20">
      <c r="A1633" s="1597"/>
      <c r="B1633" s="1597"/>
      <c r="C1633" s="1597"/>
      <c r="D1633" s="1597"/>
      <c r="E1633" s="1597"/>
      <c r="F1633" s="1597"/>
      <c r="G1633" s="1597"/>
      <c r="H1633" s="1597"/>
      <c r="I1633" s="1597"/>
      <c r="J1633" s="1597"/>
      <c r="K1633" s="1597"/>
      <c r="L1633" s="1597"/>
      <c r="M1633" s="1597"/>
      <c r="N1633" s="1597"/>
      <c r="O1633" s="1597"/>
      <c r="P1633" s="1597"/>
      <c r="Q1633" s="1597"/>
      <c r="R1633" s="1597"/>
      <c r="S1633" s="1597"/>
      <c r="T1633" s="1597"/>
    </row>
    <row r="1634" spans="1:20">
      <c r="A1634" s="1597"/>
      <c r="B1634" s="1597"/>
      <c r="C1634" s="1597"/>
      <c r="D1634" s="1597"/>
      <c r="E1634" s="1597"/>
      <c r="F1634" s="1597"/>
      <c r="G1634" s="1597"/>
      <c r="H1634" s="1597"/>
      <c r="I1634" s="1597"/>
      <c r="J1634" s="1597"/>
      <c r="K1634" s="1597"/>
      <c r="L1634" s="1597"/>
      <c r="M1634" s="1597"/>
      <c r="N1634" s="1597"/>
      <c r="O1634" s="1597"/>
      <c r="P1634" s="1597"/>
      <c r="Q1634" s="1597"/>
      <c r="R1634" s="1597"/>
      <c r="S1634" s="1597"/>
      <c r="T1634" s="1597"/>
    </row>
    <row r="1635" spans="1:20">
      <c r="A1635" s="1597"/>
      <c r="B1635" s="1597"/>
      <c r="C1635" s="1597"/>
      <c r="D1635" s="1597"/>
      <c r="E1635" s="1597"/>
      <c r="F1635" s="1597"/>
      <c r="G1635" s="1597"/>
      <c r="H1635" s="1597"/>
      <c r="I1635" s="1597"/>
      <c r="J1635" s="1597"/>
      <c r="K1635" s="1597"/>
      <c r="L1635" s="1597"/>
      <c r="M1635" s="1597"/>
      <c r="N1635" s="1597"/>
      <c r="O1635" s="1597"/>
      <c r="P1635" s="1597"/>
      <c r="Q1635" s="1597"/>
      <c r="R1635" s="1597"/>
      <c r="S1635" s="1597"/>
      <c r="T1635" s="1597"/>
    </row>
    <row r="1636" spans="1:20">
      <c r="A1636" s="1597"/>
      <c r="B1636" s="1597"/>
      <c r="C1636" s="1597"/>
      <c r="D1636" s="1597"/>
      <c r="E1636" s="1597"/>
      <c r="F1636" s="1597"/>
      <c r="G1636" s="1597"/>
      <c r="H1636" s="1597"/>
      <c r="I1636" s="1597"/>
      <c r="J1636" s="1597"/>
      <c r="K1636" s="1597"/>
      <c r="L1636" s="1597"/>
      <c r="M1636" s="1597"/>
      <c r="N1636" s="1597"/>
      <c r="O1636" s="1597"/>
      <c r="P1636" s="1597"/>
      <c r="Q1636" s="1597"/>
      <c r="R1636" s="1597"/>
      <c r="S1636" s="1597"/>
      <c r="T1636" s="1597"/>
    </row>
    <row r="1637" spans="1:20">
      <c r="A1637" s="1597"/>
      <c r="B1637" s="1597"/>
      <c r="C1637" s="1597"/>
      <c r="D1637" s="1597"/>
      <c r="E1637" s="1597"/>
      <c r="F1637" s="1597"/>
      <c r="G1637" s="1597"/>
      <c r="H1637" s="1597"/>
      <c r="I1637" s="1597"/>
      <c r="J1637" s="1597"/>
      <c r="K1637" s="1597"/>
      <c r="L1637" s="1597"/>
      <c r="M1637" s="1597"/>
      <c r="N1637" s="1597"/>
      <c r="O1637" s="1597"/>
      <c r="P1637" s="1597"/>
      <c r="Q1637" s="1597"/>
      <c r="R1637" s="1597"/>
      <c r="S1637" s="1597"/>
      <c r="T1637" s="1597"/>
    </row>
    <row r="1638" spans="1:20">
      <c r="A1638" s="1597"/>
      <c r="B1638" s="1597"/>
      <c r="C1638" s="1597"/>
      <c r="D1638" s="1597"/>
      <c r="E1638" s="1597"/>
      <c r="F1638" s="1597"/>
      <c r="G1638" s="1597"/>
      <c r="H1638" s="1597"/>
      <c r="I1638" s="1597"/>
      <c r="J1638" s="1597"/>
      <c r="K1638" s="1597"/>
      <c r="L1638" s="1597"/>
      <c r="M1638" s="1597"/>
      <c r="N1638" s="1597"/>
      <c r="O1638" s="1597"/>
      <c r="P1638" s="1597"/>
      <c r="Q1638" s="1597"/>
      <c r="R1638" s="1597"/>
      <c r="S1638" s="1597"/>
      <c r="T1638" s="1597"/>
    </row>
    <row r="1639" spans="1:20">
      <c r="A1639" s="1597"/>
      <c r="B1639" s="1597"/>
      <c r="C1639" s="1597"/>
      <c r="D1639" s="1597"/>
      <c r="E1639" s="1597"/>
      <c r="F1639" s="1597"/>
      <c r="G1639" s="1597"/>
      <c r="H1639" s="1597"/>
      <c r="I1639" s="1597"/>
      <c r="J1639" s="1597"/>
      <c r="K1639" s="1597"/>
      <c r="L1639" s="1597"/>
      <c r="M1639" s="1597"/>
      <c r="N1639" s="1597"/>
      <c r="O1639" s="1597"/>
      <c r="P1639" s="1597"/>
      <c r="Q1639" s="1597"/>
      <c r="R1639" s="1597"/>
      <c r="S1639" s="1597"/>
      <c r="T1639" s="1597"/>
    </row>
    <row r="1640" spans="1:20">
      <c r="A1640" s="1597"/>
      <c r="B1640" s="1597"/>
      <c r="C1640" s="1597"/>
      <c r="D1640" s="1597"/>
      <c r="E1640" s="1597"/>
      <c r="F1640" s="1597"/>
      <c r="G1640" s="1597"/>
      <c r="H1640" s="1597"/>
      <c r="I1640" s="1597"/>
      <c r="J1640" s="1597"/>
      <c r="K1640" s="1597"/>
      <c r="L1640" s="1597"/>
      <c r="M1640" s="1597"/>
      <c r="N1640" s="1597"/>
      <c r="O1640" s="1597"/>
      <c r="P1640" s="1597"/>
      <c r="Q1640" s="1597"/>
      <c r="R1640" s="1597"/>
      <c r="S1640" s="1597"/>
      <c r="T1640" s="1597"/>
    </row>
    <row r="1641" spans="1:20">
      <c r="A1641" s="1597"/>
      <c r="B1641" s="1597"/>
      <c r="C1641" s="1597"/>
      <c r="D1641" s="1597"/>
      <c r="E1641" s="1597"/>
      <c r="F1641" s="1597"/>
      <c r="G1641" s="1597"/>
      <c r="H1641" s="1597"/>
      <c r="I1641" s="1597"/>
      <c r="J1641" s="1597"/>
      <c r="K1641" s="1597"/>
      <c r="L1641" s="1597"/>
      <c r="M1641" s="1597"/>
      <c r="N1641" s="1597"/>
      <c r="O1641" s="1597"/>
      <c r="P1641" s="1597"/>
      <c r="Q1641" s="1597"/>
      <c r="R1641" s="1597"/>
      <c r="S1641" s="1597"/>
      <c r="T1641" s="1597"/>
    </row>
    <row r="1642" spans="1:20">
      <c r="A1642" s="1597"/>
      <c r="B1642" s="1597"/>
      <c r="C1642" s="1597"/>
      <c r="D1642" s="1597"/>
      <c r="E1642" s="1597"/>
      <c r="F1642" s="1597"/>
      <c r="G1642" s="1597"/>
      <c r="H1642" s="1597"/>
      <c r="I1642" s="1597"/>
      <c r="J1642" s="1597"/>
      <c r="K1642" s="1597"/>
      <c r="L1642" s="1597"/>
      <c r="M1642" s="1597"/>
      <c r="N1642" s="1597"/>
      <c r="O1642" s="1597"/>
      <c r="P1642" s="1597"/>
      <c r="Q1642" s="1597"/>
      <c r="R1642" s="1597"/>
      <c r="S1642" s="1597"/>
      <c r="T1642" s="1597"/>
    </row>
    <row r="1643" spans="1:20">
      <c r="A1643" s="1597"/>
      <c r="B1643" s="1597"/>
      <c r="C1643" s="1597"/>
      <c r="D1643" s="1597"/>
      <c r="E1643" s="1597"/>
      <c r="F1643" s="1597"/>
      <c r="G1643" s="1597"/>
      <c r="H1643" s="1597"/>
      <c r="I1643" s="1597"/>
      <c r="J1643" s="1597"/>
      <c r="K1643" s="1597"/>
      <c r="L1643" s="1597"/>
      <c r="M1643" s="1597"/>
      <c r="N1643" s="1597"/>
      <c r="O1643" s="1597"/>
      <c r="P1643" s="1597"/>
      <c r="Q1643" s="1597"/>
      <c r="R1643" s="1597"/>
      <c r="S1643" s="1597"/>
      <c r="T1643" s="1597"/>
    </row>
    <row r="1644" spans="1:20">
      <c r="A1644" s="1597"/>
      <c r="B1644" s="1597"/>
      <c r="C1644" s="1597"/>
      <c r="D1644" s="1597"/>
      <c r="E1644" s="1597"/>
      <c r="F1644" s="1597"/>
      <c r="G1644" s="1597"/>
      <c r="H1644" s="1597"/>
      <c r="I1644" s="1597"/>
      <c r="J1644" s="1597"/>
      <c r="K1644" s="1597"/>
      <c r="L1644" s="1597"/>
      <c r="M1644" s="1597"/>
      <c r="N1644" s="1597"/>
      <c r="O1644" s="1597"/>
      <c r="P1644" s="1597"/>
      <c r="Q1644" s="1597"/>
      <c r="R1644" s="1597"/>
      <c r="S1644" s="1597"/>
      <c r="T1644" s="1597"/>
    </row>
    <row r="1645" spans="1:20">
      <c r="A1645" s="1597"/>
      <c r="B1645" s="1597"/>
      <c r="C1645" s="1597"/>
      <c r="D1645" s="1597"/>
      <c r="E1645" s="1597"/>
      <c r="F1645" s="1597"/>
      <c r="G1645" s="1597"/>
      <c r="H1645" s="1597"/>
      <c r="I1645" s="1597"/>
      <c r="J1645" s="1597"/>
      <c r="K1645" s="1597"/>
      <c r="L1645" s="1597"/>
      <c r="M1645" s="1597"/>
      <c r="N1645" s="1597"/>
      <c r="O1645" s="1597"/>
      <c r="P1645" s="1597"/>
      <c r="Q1645" s="1597"/>
      <c r="R1645" s="1597"/>
      <c r="S1645" s="1597"/>
      <c r="T1645" s="1597"/>
    </row>
    <row r="1646" spans="1:20">
      <c r="A1646" s="1597"/>
      <c r="B1646" s="1597"/>
      <c r="C1646" s="1597"/>
      <c r="D1646" s="1597"/>
      <c r="E1646" s="1597"/>
      <c r="F1646" s="1597"/>
      <c r="G1646" s="1597"/>
      <c r="H1646" s="1597"/>
      <c r="I1646" s="1597"/>
      <c r="J1646" s="1597"/>
      <c r="K1646" s="1597"/>
      <c r="L1646" s="1597"/>
      <c r="M1646" s="1597"/>
      <c r="N1646" s="1597"/>
      <c r="O1646" s="1597"/>
      <c r="P1646" s="1597"/>
      <c r="Q1646" s="1597"/>
      <c r="R1646" s="1597"/>
      <c r="S1646" s="1597"/>
      <c r="T1646" s="1597"/>
    </row>
    <row r="1647" spans="1:20">
      <c r="A1647" s="1597"/>
      <c r="B1647" s="1597"/>
      <c r="C1647" s="1597"/>
      <c r="D1647" s="1597"/>
      <c r="E1647" s="1597"/>
      <c r="F1647" s="1597"/>
      <c r="G1647" s="1597"/>
      <c r="H1647" s="1597"/>
      <c r="I1647" s="1597"/>
      <c r="J1647" s="1597"/>
      <c r="K1647" s="1597"/>
      <c r="L1647" s="1597"/>
      <c r="M1647" s="1597"/>
      <c r="N1647" s="1597"/>
      <c r="O1647" s="1597"/>
      <c r="P1647" s="1597"/>
      <c r="Q1647" s="1597"/>
      <c r="R1647" s="1597"/>
      <c r="S1647" s="1597"/>
      <c r="T1647" s="1597"/>
    </row>
    <row r="1648" spans="1:20">
      <c r="A1648" s="1597"/>
      <c r="B1648" s="1597"/>
      <c r="C1648" s="1597"/>
      <c r="D1648" s="1597"/>
      <c r="E1648" s="1597"/>
      <c r="F1648" s="1597"/>
      <c r="G1648" s="1597"/>
      <c r="H1648" s="1597"/>
      <c r="I1648" s="1597"/>
      <c r="J1648" s="1597"/>
      <c r="K1648" s="1597"/>
      <c r="L1648" s="1597"/>
      <c r="M1648" s="1597"/>
      <c r="N1648" s="1597"/>
      <c r="O1648" s="1597"/>
      <c r="P1648" s="1597"/>
      <c r="Q1648" s="1597"/>
      <c r="R1648" s="1597"/>
      <c r="S1648" s="1597"/>
      <c r="T1648" s="1597"/>
    </row>
    <row r="1649" spans="1:20">
      <c r="A1649" s="1597"/>
      <c r="B1649" s="1597"/>
      <c r="C1649" s="1597"/>
      <c r="D1649" s="1597"/>
      <c r="E1649" s="1597"/>
      <c r="F1649" s="1597"/>
      <c r="G1649" s="1597"/>
      <c r="H1649" s="1597"/>
      <c r="I1649" s="1597"/>
      <c r="J1649" s="1597"/>
      <c r="K1649" s="1597"/>
      <c r="L1649" s="1597"/>
      <c r="M1649" s="1597"/>
      <c r="N1649" s="1597"/>
      <c r="O1649" s="1597"/>
      <c r="P1649" s="1597"/>
      <c r="Q1649" s="1597"/>
      <c r="R1649" s="1597"/>
      <c r="S1649" s="1597"/>
      <c r="T1649" s="1597"/>
    </row>
    <row r="1650" spans="1:20">
      <c r="A1650" s="1597"/>
      <c r="B1650" s="1597"/>
      <c r="C1650" s="1597"/>
      <c r="D1650" s="1597"/>
      <c r="E1650" s="1597"/>
      <c r="F1650" s="1597"/>
      <c r="G1650" s="1597"/>
      <c r="H1650" s="1597"/>
      <c r="I1650" s="1597"/>
      <c r="J1650" s="1597"/>
      <c r="K1650" s="1597"/>
      <c r="L1650" s="1597"/>
      <c r="M1650" s="1597"/>
      <c r="N1650" s="1597"/>
      <c r="O1650" s="1597"/>
      <c r="P1650" s="1597"/>
      <c r="Q1650" s="1597"/>
      <c r="R1650" s="1597"/>
      <c r="S1650" s="1597"/>
      <c r="T1650" s="1597"/>
    </row>
    <row r="1651" spans="1:20">
      <c r="A1651" s="1597"/>
      <c r="B1651" s="1597"/>
      <c r="C1651" s="1597"/>
      <c r="D1651" s="1597"/>
      <c r="E1651" s="1597"/>
      <c r="F1651" s="1597"/>
      <c r="G1651" s="1597"/>
      <c r="H1651" s="1597"/>
      <c r="I1651" s="1597"/>
      <c r="J1651" s="1597"/>
      <c r="K1651" s="1597"/>
      <c r="L1651" s="1597"/>
      <c r="M1651" s="1597"/>
      <c r="N1651" s="1597"/>
      <c r="O1651" s="1597"/>
      <c r="P1651" s="1597"/>
      <c r="Q1651" s="1597"/>
      <c r="R1651" s="1597"/>
      <c r="S1651" s="1597"/>
      <c r="T1651" s="1597"/>
    </row>
    <row r="1652" spans="1:20">
      <c r="A1652" s="1597"/>
      <c r="B1652" s="1597"/>
      <c r="C1652" s="1597"/>
      <c r="D1652" s="1597"/>
      <c r="E1652" s="1597"/>
      <c r="F1652" s="1597"/>
      <c r="G1652" s="1597"/>
      <c r="H1652" s="1597"/>
      <c r="I1652" s="1597"/>
      <c r="J1652" s="1597"/>
      <c r="K1652" s="1597"/>
      <c r="L1652" s="1597"/>
      <c r="M1652" s="1597"/>
      <c r="N1652" s="1597"/>
      <c r="O1652" s="1597"/>
      <c r="P1652" s="1597"/>
      <c r="Q1652" s="1597"/>
      <c r="R1652" s="1597"/>
      <c r="S1652" s="1597"/>
      <c r="T1652" s="1597"/>
    </row>
    <row r="1653" spans="1:20">
      <c r="A1653" s="1597"/>
      <c r="B1653" s="1597"/>
      <c r="C1653" s="1597"/>
      <c r="D1653" s="1597"/>
      <c r="E1653" s="1597"/>
      <c r="F1653" s="1597"/>
      <c r="G1653" s="1597"/>
      <c r="H1653" s="1597"/>
      <c r="I1653" s="1597"/>
      <c r="J1653" s="1597"/>
      <c r="K1653" s="1597"/>
      <c r="L1653" s="1597"/>
      <c r="M1653" s="1597"/>
      <c r="N1653" s="1597"/>
      <c r="O1653" s="1597"/>
      <c r="P1653" s="1597"/>
      <c r="Q1653" s="1597"/>
      <c r="R1653" s="1597"/>
      <c r="S1653" s="1597"/>
      <c r="T1653" s="1597"/>
    </row>
    <row r="1654" spans="1:20">
      <c r="A1654" s="1597"/>
      <c r="B1654" s="1597"/>
      <c r="C1654" s="1597"/>
      <c r="D1654" s="1597"/>
      <c r="E1654" s="1597"/>
      <c r="F1654" s="1597"/>
      <c r="G1654" s="1597"/>
      <c r="H1654" s="1597"/>
      <c r="I1654" s="1597"/>
      <c r="J1654" s="1597"/>
      <c r="K1654" s="1597"/>
      <c r="L1654" s="1597"/>
      <c r="M1654" s="1597"/>
      <c r="N1654" s="1597"/>
      <c r="O1654" s="1597"/>
      <c r="P1654" s="1597"/>
      <c r="Q1654" s="1597"/>
      <c r="R1654" s="1597"/>
      <c r="S1654" s="1597"/>
      <c r="T1654" s="1597"/>
    </row>
    <row r="1655" spans="1:20">
      <c r="A1655" s="1597"/>
      <c r="B1655" s="1597"/>
      <c r="C1655" s="1597"/>
      <c r="D1655" s="1597"/>
      <c r="E1655" s="1597"/>
      <c r="F1655" s="1597"/>
      <c r="G1655" s="1597"/>
      <c r="H1655" s="1597"/>
      <c r="I1655" s="1597"/>
      <c r="J1655" s="1597"/>
      <c r="K1655" s="1597"/>
      <c r="L1655" s="1597"/>
      <c r="M1655" s="1597"/>
      <c r="N1655" s="1597"/>
      <c r="O1655" s="1597"/>
      <c r="P1655" s="1597"/>
      <c r="Q1655" s="1597"/>
      <c r="R1655" s="1597"/>
      <c r="S1655" s="1597"/>
      <c r="T1655" s="1597"/>
    </row>
    <row r="1656" spans="1:20">
      <c r="A1656" s="1597"/>
      <c r="B1656" s="1597"/>
      <c r="C1656" s="1597"/>
      <c r="D1656" s="1597"/>
      <c r="E1656" s="1597"/>
      <c r="F1656" s="1597"/>
      <c r="G1656" s="1597"/>
      <c r="H1656" s="1597"/>
      <c r="I1656" s="1597"/>
      <c r="J1656" s="1597"/>
      <c r="K1656" s="1597"/>
      <c r="L1656" s="1597"/>
      <c r="M1656" s="1597"/>
      <c r="N1656" s="1597"/>
      <c r="O1656" s="1597"/>
      <c r="P1656" s="1597"/>
      <c r="Q1656" s="1597"/>
      <c r="R1656" s="1597"/>
      <c r="S1656" s="1597"/>
      <c r="T1656" s="1597"/>
    </row>
    <row r="1657" spans="1:20">
      <c r="A1657" s="1597"/>
      <c r="B1657" s="1597"/>
      <c r="C1657" s="1597"/>
      <c r="D1657" s="1597"/>
      <c r="E1657" s="1597"/>
      <c r="F1657" s="1597"/>
      <c r="G1657" s="1597"/>
      <c r="H1657" s="1597"/>
      <c r="I1657" s="1597"/>
      <c r="J1657" s="1597"/>
      <c r="K1657" s="1597"/>
      <c r="L1657" s="1597"/>
      <c r="M1657" s="1597"/>
      <c r="N1657" s="1597"/>
      <c r="O1657" s="1597"/>
      <c r="P1657" s="1597"/>
      <c r="Q1657" s="1597"/>
      <c r="R1657" s="1597"/>
      <c r="S1657" s="1597"/>
      <c r="T1657" s="1597"/>
    </row>
    <row r="1658" spans="1:20">
      <c r="A1658" s="1597"/>
      <c r="B1658" s="1597"/>
      <c r="C1658" s="1597"/>
      <c r="D1658" s="1597"/>
      <c r="E1658" s="1597"/>
      <c r="F1658" s="1597"/>
      <c r="G1658" s="1597"/>
      <c r="H1658" s="1597"/>
      <c r="I1658" s="1597"/>
      <c r="J1658" s="1597"/>
      <c r="K1658" s="1597"/>
      <c r="L1658" s="1597"/>
      <c r="M1658" s="1597"/>
      <c r="N1658" s="1597"/>
      <c r="O1658" s="1597"/>
      <c r="P1658" s="1597"/>
      <c r="Q1658" s="1597"/>
      <c r="R1658" s="1597"/>
      <c r="S1658" s="1597"/>
      <c r="T1658" s="1597"/>
    </row>
    <row r="1659" spans="1:20">
      <c r="A1659" s="1597"/>
      <c r="B1659" s="1597"/>
      <c r="C1659" s="1597"/>
      <c r="D1659" s="1597"/>
      <c r="E1659" s="1597"/>
      <c r="F1659" s="1597"/>
      <c r="G1659" s="1597"/>
      <c r="H1659" s="1597"/>
      <c r="I1659" s="1597"/>
      <c r="J1659" s="1597"/>
      <c r="K1659" s="1597"/>
      <c r="L1659" s="1597"/>
      <c r="M1659" s="1597"/>
      <c r="N1659" s="1597"/>
      <c r="O1659" s="1597"/>
      <c r="P1659" s="1597"/>
      <c r="Q1659" s="1597"/>
      <c r="R1659" s="1597"/>
      <c r="S1659" s="1597"/>
      <c r="T1659" s="1597"/>
    </row>
    <row r="1660" spans="1:20">
      <c r="A1660" s="1597"/>
      <c r="B1660" s="1597"/>
      <c r="C1660" s="1597"/>
      <c r="D1660" s="1597"/>
      <c r="E1660" s="1597"/>
      <c r="F1660" s="1597"/>
      <c r="G1660" s="1597"/>
      <c r="H1660" s="1597"/>
      <c r="I1660" s="1597"/>
      <c r="J1660" s="1597"/>
      <c r="K1660" s="1597"/>
      <c r="L1660" s="1597"/>
      <c r="M1660" s="1597"/>
      <c r="N1660" s="1597"/>
      <c r="O1660" s="1597"/>
      <c r="P1660" s="1597"/>
      <c r="Q1660" s="1597"/>
      <c r="R1660" s="1597"/>
      <c r="S1660" s="1597"/>
      <c r="T1660" s="1597"/>
    </row>
    <row r="1661" spans="1:20">
      <c r="A1661" s="1597"/>
      <c r="B1661" s="1597"/>
      <c r="C1661" s="1597"/>
      <c r="D1661" s="1597"/>
      <c r="E1661" s="1597"/>
      <c r="F1661" s="1597"/>
      <c r="G1661" s="1597"/>
      <c r="H1661" s="1597"/>
      <c r="I1661" s="1597"/>
      <c r="J1661" s="1597"/>
      <c r="K1661" s="1597"/>
      <c r="L1661" s="1597"/>
      <c r="M1661" s="1597"/>
      <c r="N1661" s="1597"/>
      <c r="O1661" s="1597"/>
      <c r="P1661" s="1597"/>
      <c r="Q1661" s="1597"/>
      <c r="R1661" s="1597"/>
      <c r="S1661" s="1597"/>
      <c r="T1661" s="1597"/>
    </row>
    <row r="1662" spans="1:20">
      <c r="A1662" s="1597"/>
      <c r="B1662" s="1597"/>
      <c r="C1662" s="1597"/>
      <c r="D1662" s="1597"/>
      <c r="E1662" s="1597"/>
      <c r="F1662" s="1597"/>
      <c r="G1662" s="1597"/>
      <c r="H1662" s="1597"/>
      <c r="I1662" s="1597"/>
      <c r="J1662" s="1597"/>
      <c r="K1662" s="1597"/>
      <c r="L1662" s="1597"/>
      <c r="M1662" s="1597"/>
      <c r="N1662" s="1597"/>
      <c r="O1662" s="1597"/>
      <c r="P1662" s="1597"/>
      <c r="Q1662" s="1597"/>
      <c r="R1662" s="1597"/>
      <c r="S1662" s="1597"/>
      <c r="T1662" s="1597"/>
    </row>
    <row r="1663" spans="1:20">
      <c r="A1663" s="1597"/>
      <c r="B1663" s="1597"/>
      <c r="C1663" s="1597"/>
      <c r="D1663" s="1597"/>
      <c r="E1663" s="1597"/>
      <c r="F1663" s="1597"/>
      <c r="G1663" s="1597"/>
      <c r="H1663" s="1597"/>
      <c r="I1663" s="1597"/>
      <c r="J1663" s="1597"/>
      <c r="K1663" s="1597"/>
      <c r="L1663" s="1597"/>
      <c r="M1663" s="1597"/>
      <c r="N1663" s="1597"/>
      <c r="O1663" s="1597"/>
      <c r="P1663" s="1597"/>
      <c r="Q1663" s="1597"/>
      <c r="R1663" s="1597"/>
      <c r="S1663" s="1597"/>
      <c r="T1663" s="1597"/>
    </row>
    <row r="1664" spans="1:20">
      <c r="A1664" s="1597"/>
      <c r="B1664" s="1597"/>
      <c r="C1664" s="1597"/>
      <c r="D1664" s="1597"/>
      <c r="E1664" s="1597"/>
      <c r="F1664" s="1597"/>
      <c r="G1664" s="1597"/>
      <c r="H1664" s="1597"/>
      <c r="I1664" s="1597"/>
      <c r="J1664" s="1597"/>
      <c r="K1664" s="1597"/>
      <c r="L1664" s="1597"/>
      <c r="M1664" s="1597"/>
      <c r="N1664" s="1597"/>
      <c r="O1664" s="1597"/>
      <c r="P1664" s="1597"/>
      <c r="Q1664" s="1597"/>
      <c r="R1664" s="1597"/>
      <c r="S1664" s="1597"/>
      <c r="T1664" s="1597"/>
    </row>
    <row r="1665" spans="1:20">
      <c r="A1665" s="1597"/>
      <c r="B1665" s="1597"/>
      <c r="C1665" s="1597"/>
      <c r="D1665" s="1597"/>
      <c r="E1665" s="1597"/>
      <c r="F1665" s="1597"/>
      <c r="G1665" s="1597"/>
      <c r="H1665" s="1597"/>
      <c r="I1665" s="1597"/>
      <c r="J1665" s="1597"/>
      <c r="K1665" s="1597"/>
      <c r="L1665" s="1597"/>
      <c r="M1665" s="1597"/>
      <c r="N1665" s="1597"/>
      <c r="O1665" s="1597"/>
      <c r="P1665" s="1597"/>
      <c r="Q1665" s="1597"/>
      <c r="R1665" s="1597"/>
      <c r="S1665" s="1597"/>
      <c r="T1665" s="1597"/>
    </row>
    <row r="1666" spans="1:20">
      <c r="A1666" s="1597"/>
      <c r="B1666" s="1597"/>
      <c r="C1666" s="1597"/>
      <c r="D1666" s="1597"/>
      <c r="E1666" s="1597"/>
      <c r="F1666" s="1597"/>
      <c r="G1666" s="1597"/>
      <c r="H1666" s="1597"/>
      <c r="I1666" s="1597"/>
      <c r="J1666" s="1597"/>
      <c r="K1666" s="1597"/>
      <c r="L1666" s="1597"/>
      <c r="M1666" s="1597"/>
      <c r="N1666" s="1597"/>
      <c r="O1666" s="1597"/>
      <c r="P1666" s="1597"/>
      <c r="Q1666" s="1597"/>
      <c r="R1666" s="1597"/>
      <c r="S1666" s="1597"/>
      <c r="T1666" s="1597"/>
    </row>
    <row r="1667" spans="1:20">
      <c r="A1667" s="1597"/>
      <c r="B1667" s="1597"/>
      <c r="C1667" s="1597"/>
      <c r="D1667" s="1597"/>
      <c r="E1667" s="1597"/>
      <c r="F1667" s="1597"/>
      <c r="G1667" s="1597"/>
      <c r="H1667" s="1597"/>
      <c r="I1667" s="1597"/>
      <c r="J1667" s="1597"/>
      <c r="K1667" s="1597"/>
      <c r="L1667" s="1597"/>
      <c r="M1667" s="1597"/>
      <c r="N1667" s="1597"/>
      <c r="O1667" s="1597"/>
      <c r="P1667" s="1597"/>
      <c r="Q1667" s="1597"/>
      <c r="R1667" s="1597"/>
      <c r="S1667" s="1597"/>
      <c r="T1667" s="1597"/>
    </row>
    <row r="1668" spans="1:20">
      <c r="A1668" s="1597"/>
      <c r="B1668" s="1597"/>
      <c r="C1668" s="1597"/>
      <c r="D1668" s="1597"/>
      <c r="E1668" s="1597"/>
      <c r="F1668" s="1597"/>
      <c r="G1668" s="1597"/>
      <c r="H1668" s="1597"/>
      <c r="I1668" s="1597"/>
      <c r="J1668" s="1597"/>
      <c r="K1668" s="1597"/>
      <c r="L1668" s="1597"/>
      <c r="M1668" s="1597"/>
      <c r="N1668" s="1597"/>
      <c r="O1668" s="1597"/>
      <c r="P1668" s="1597"/>
      <c r="Q1668" s="1597"/>
      <c r="R1668" s="1597"/>
      <c r="S1668" s="1597"/>
      <c r="T1668" s="1597"/>
    </row>
    <row r="1669" spans="1:20">
      <c r="A1669" s="1597"/>
      <c r="B1669" s="1597"/>
      <c r="C1669" s="1597"/>
      <c r="D1669" s="1597"/>
      <c r="E1669" s="1597"/>
      <c r="F1669" s="1597"/>
      <c r="G1669" s="1597"/>
      <c r="H1669" s="1597"/>
      <c r="I1669" s="1597"/>
      <c r="J1669" s="1597"/>
      <c r="K1669" s="1597"/>
      <c r="L1669" s="1597"/>
      <c r="M1669" s="1597"/>
      <c r="N1669" s="1597"/>
      <c r="O1669" s="1597"/>
      <c r="P1669" s="1597"/>
      <c r="Q1669" s="1597"/>
      <c r="R1669" s="1597"/>
      <c r="S1669" s="1597"/>
      <c r="T1669" s="1597"/>
    </row>
    <row r="1670" spans="1:20">
      <c r="A1670" s="1597"/>
      <c r="B1670" s="1597"/>
      <c r="C1670" s="1597"/>
      <c r="D1670" s="1597"/>
      <c r="E1670" s="1597"/>
      <c r="F1670" s="1597"/>
      <c r="G1670" s="1597"/>
      <c r="H1670" s="1597"/>
      <c r="I1670" s="1597"/>
      <c r="J1670" s="1597"/>
      <c r="K1670" s="1597"/>
      <c r="L1670" s="1597"/>
      <c r="M1670" s="1597"/>
      <c r="N1670" s="1597"/>
      <c r="O1670" s="1597"/>
      <c r="P1670" s="1597"/>
      <c r="Q1670" s="1597"/>
      <c r="R1670" s="1597"/>
      <c r="S1670" s="1597"/>
      <c r="T1670" s="1597"/>
    </row>
    <row r="1671" spans="1:20">
      <c r="A1671" s="1597"/>
      <c r="B1671" s="1597"/>
      <c r="C1671" s="1597"/>
      <c r="D1671" s="1597"/>
      <c r="E1671" s="1597"/>
      <c r="F1671" s="1597"/>
      <c r="G1671" s="1597"/>
      <c r="H1671" s="1597"/>
      <c r="I1671" s="1597"/>
      <c r="J1671" s="1597"/>
      <c r="K1671" s="1597"/>
      <c r="L1671" s="1597"/>
      <c r="M1671" s="1597"/>
      <c r="N1671" s="1597"/>
      <c r="O1671" s="1597"/>
      <c r="P1671" s="1597"/>
      <c r="Q1671" s="1597"/>
      <c r="R1671" s="1597"/>
      <c r="S1671" s="1597"/>
      <c r="T1671" s="1597"/>
    </row>
    <row r="1672" spans="1:20">
      <c r="A1672" s="1597"/>
      <c r="B1672" s="1597"/>
      <c r="C1672" s="1597"/>
      <c r="D1672" s="1597"/>
      <c r="E1672" s="1597"/>
      <c r="F1672" s="1597"/>
      <c r="G1672" s="1597"/>
      <c r="H1672" s="1597"/>
      <c r="I1672" s="1597"/>
      <c r="J1672" s="1597"/>
      <c r="K1672" s="1597"/>
      <c r="L1672" s="1597"/>
      <c r="M1672" s="1597"/>
      <c r="N1672" s="1597"/>
      <c r="O1672" s="1597"/>
      <c r="P1672" s="1597"/>
      <c r="Q1672" s="1597"/>
      <c r="R1672" s="1597"/>
      <c r="S1672" s="1597"/>
      <c r="T1672" s="1597"/>
    </row>
    <row r="1673" spans="1:20">
      <c r="A1673" s="1597"/>
      <c r="B1673" s="1597"/>
      <c r="C1673" s="1597"/>
      <c r="D1673" s="1597"/>
      <c r="E1673" s="1597"/>
      <c r="F1673" s="1597"/>
      <c r="G1673" s="1597"/>
      <c r="H1673" s="1597"/>
      <c r="I1673" s="1597"/>
      <c r="J1673" s="1597"/>
      <c r="K1673" s="1597"/>
      <c r="L1673" s="1597"/>
      <c r="M1673" s="1597"/>
      <c r="N1673" s="1597"/>
      <c r="O1673" s="1597"/>
      <c r="P1673" s="1597"/>
      <c r="Q1673" s="1597"/>
      <c r="R1673" s="1597"/>
      <c r="S1673" s="1597"/>
      <c r="T1673" s="1597"/>
    </row>
    <row r="1674" spans="1:20">
      <c r="A1674" s="1597"/>
      <c r="B1674" s="1597"/>
      <c r="C1674" s="1597"/>
      <c r="D1674" s="1597"/>
      <c r="E1674" s="1597"/>
      <c r="F1674" s="1597"/>
      <c r="G1674" s="1597"/>
      <c r="H1674" s="1597"/>
      <c r="I1674" s="1597"/>
      <c r="J1674" s="1597"/>
      <c r="K1674" s="1597"/>
      <c r="L1674" s="1597"/>
      <c r="M1674" s="1597"/>
      <c r="N1674" s="1597"/>
      <c r="O1674" s="1597"/>
      <c r="P1674" s="1597"/>
      <c r="Q1674" s="1597"/>
      <c r="R1674" s="1597"/>
      <c r="S1674" s="1597"/>
      <c r="T1674" s="1597"/>
    </row>
    <row r="1675" spans="1:20">
      <c r="A1675" s="1597"/>
      <c r="B1675" s="1597"/>
      <c r="C1675" s="1597"/>
      <c r="D1675" s="1597"/>
      <c r="E1675" s="1597"/>
      <c r="F1675" s="1597"/>
      <c r="G1675" s="1597"/>
      <c r="H1675" s="1597"/>
      <c r="I1675" s="1597"/>
      <c r="J1675" s="1597"/>
      <c r="K1675" s="1597"/>
      <c r="L1675" s="1597"/>
      <c r="M1675" s="1597"/>
      <c r="N1675" s="1597"/>
      <c r="O1675" s="1597"/>
      <c r="P1675" s="1597"/>
      <c r="Q1675" s="1597"/>
      <c r="R1675" s="1597"/>
      <c r="S1675" s="1597"/>
      <c r="T1675" s="1597"/>
    </row>
    <row r="1676" spans="1:20">
      <c r="A1676" s="1597"/>
      <c r="B1676" s="1597"/>
      <c r="C1676" s="1597"/>
      <c r="D1676" s="1597"/>
      <c r="E1676" s="1597"/>
      <c r="F1676" s="1597"/>
      <c r="G1676" s="1597"/>
      <c r="H1676" s="1597"/>
      <c r="I1676" s="1597"/>
      <c r="J1676" s="1597"/>
      <c r="K1676" s="1597"/>
      <c r="L1676" s="1597"/>
      <c r="M1676" s="1597"/>
      <c r="N1676" s="1597"/>
      <c r="O1676" s="1597"/>
      <c r="P1676" s="1597"/>
      <c r="Q1676" s="1597"/>
      <c r="R1676" s="1597"/>
      <c r="S1676" s="1597"/>
      <c r="T1676" s="1597"/>
    </row>
    <row r="1677" spans="1:20">
      <c r="A1677" s="1597"/>
      <c r="B1677" s="1597"/>
      <c r="C1677" s="1597"/>
      <c r="D1677" s="1597"/>
      <c r="E1677" s="1597"/>
      <c r="F1677" s="1597"/>
      <c r="G1677" s="1597"/>
      <c r="H1677" s="1597"/>
      <c r="I1677" s="1597"/>
      <c r="J1677" s="1597"/>
      <c r="K1677" s="1597"/>
      <c r="L1677" s="1597"/>
      <c r="M1677" s="1597"/>
      <c r="N1677" s="1597"/>
      <c r="O1677" s="1597"/>
      <c r="P1677" s="1597"/>
      <c r="Q1677" s="1597"/>
      <c r="R1677" s="1597"/>
      <c r="S1677" s="1597"/>
      <c r="T1677" s="1597"/>
    </row>
    <row r="1678" spans="1:20">
      <c r="A1678" s="1597"/>
      <c r="B1678" s="1597"/>
      <c r="C1678" s="1597"/>
      <c r="D1678" s="1597"/>
      <c r="E1678" s="1597"/>
      <c r="F1678" s="1597"/>
      <c r="G1678" s="1597"/>
      <c r="H1678" s="1597"/>
      <c r="I1678" s="1597"/>
      <c r="J1678" s="1597"/>
      <c r="K1678" s="1597"/>
      <c r="L1678" s="1597"/>
      <c r="M1678" s="1597"/>
      <c r="N1678" s="1597"/>
      <c r="O1678" s="1597"/>
      <c r="P1678" s="1597"/>
      <c r="Q1678" s="1597"/>
      <c r="R1678" s="1597"/>
      <c r="S1678" s="1597"/>
      <c r="T1678" s="1597"/>
    </row>
    <row r="1679" spans="1:20">
      <c r="A1679" s="1597"/>
      <c r="B1679" s="1597"/>
      <c r="C1679" s="1597"/>
      <c r="D1679" s="1597"/>
      <c r="E1679" s="1597"/>
      <c r="F1679" s="1597"/>
      <c r="G1679" s="1597"/>
      <c r="H1679" s="1597"/>
      <c r="I1679" s="1597"/>
      <c r="J1679" s="1597"/>
      <c r="K1679" s="1597"/>
      <c r="L1679" s="1597"/>
      <c r="M1679" s="1597"/>
      <c r="N1679" s="1597"/>
      <c r="O1679" s="1597"/>
      <c r="P1679" s="1597"/>
      <c r="Q1679" s="1597"/>
      <c r="R1679" s="1597"/>
      <c r="S1679" s="1597"/>
      <c r="T1679" s="1597"/>
    </row>
    <row r="1680" spans="1:20">
      <c r="A1680" s="1597"/>
      <c r="B1680" s="1597"/>
      <c r="C1680" s="1597"/>
      <c r="D1680" s="1597"/>
      <c r="E1680" s="1597"/>
      <c r="F1680" s="1597"/>
      <c r="G1680" s="1597"/>
      <c r="H1680" s="1597"/>
      <c r="I1680" s="1597"/>
      <c r="J1680" s="1597"/>
      <c r="K1680" s="1597"/>
      <c r="L1680" s="1597"/>
      <c r="M1680" s="1597"/>
      <c r="N1680" s="1597"/>
      <c r="O1680" s="1597"/>
      <c r="P1680" s="1597"/>
      <c r="Q1680" s="1597"/>
      <c r="R1680" s="1597"/>
      <c r="S1680" s="1597"/>
      <c r="T1680" s="1597"/>
    </row>
    <row r="1681" spans="1:20">
      <c r="A1681" s="1597"/>
      <c r="B1681" s="1597"/>
      <c r="C1681" s="1597"/>
      <c r="D1681" s="1597"/>
      <c r="E1681" s="1597"/>
      <c r="F1681" s="1597"/>
      <c r="G1681" s="1597"/>
      <c r="H1681" s="1597"/>
      <c r="I1681" s="1597"/>
      <c r="J1681" s="1597"/>
      <c r="K1681" s="1597"/>
      <c r="L1681" s="1597"/>
      <c r="M1681" s="1597"/>
      <c r="N1681" s="1597"/>
      <c r="O1681" s="1597"/>
      <c r="P1681" s="1597"/>
      <c r="Q1681" s="1597"/>
      <c r="R1681" s="1597"/>
      <c r="S1681" s="1597"/>
      <c r="T1681" s="1597"/>
    </row>
    <row r="1682" spans="1:20">
      <c r="A1682" s="1597"/>
      <c r="B1682" s="1597"/>
      <c r="C1682" s="1597"/>
      <c r="D1682" s="1597"/>
      <c r="E1682" s="1597"/>
      <c r="F1682" s="1597"/>
      <c r="G1682" s="1597"/>
      <c r="H1682" s="1597"/>
      <c r="I1682" s="1597"/>
      <c r="J1682" s="1597"/>
      <c r="K1682" s="1597"/>
      <c r="L1682" s="1597"/>
      <c r="M1682" s="1597"/>
      <c r="N1682" s="1597"/>
      <c r="O1682" s="1597"/>
      <c r="P1682" s="1597"/>
      <c r="Q1682" s="1597"/>
      <c r="R1682" s="1597"/>
      <c r="S1682" s="1597"/>
      <c r="T1682" s="1597"/>
    </row>
    <row r="1683" spans="1:20">
      <c r="A1683" s="1597"/>
      <c r="B1683" s="1597"/>
      <c r="C1683" s="1597"/>
      <c r="D1683" s="1597"/>
      <c r="E1683" s="1597"/>
      <c r="F1683" s="1597"/>
      <c r="G1683" s="1597"/>
      <c r="H1683" s="1597"/>
      <c r="I1683" s="1597"/>
      <c r="J1683" s="1597"/>
      <c r="K1683" s="1597"/>
      <c r="L1683" s="1597"/>
      <c r="M1683" s="1597"/>
      <c r="N1683" s="1597"/>
      <c r="O1683" s="1597"/>
      <c r="P1683" s="1597"/>
      <c r="Q1683" s="1597"/>
      <c r="R1683" s="1597"/>
      <c r="S1683" s="1597"/>
      <c r="T1683" s="1597"/>
    </row>
    <row r="1684" spans="1:20">
      <c r="A1684" s="1597"/>
      <c r="B1684" s="1597"/>
      <c r="C1684" s="1597"/>
      <c r="D1684" s="1597"/>
      <c r="E1684" s="1597"/>
      <c r="F1684" s="1597"/>
      <c r="G1684" s="1597"/>
      <c r="H1684" s="1597"/>
      <c r="I1684" s="1597"/>
      <c r="J1684" s="1597"/>
      <c r="K1684" s="1597"/>
      <c r="L1684" s="1597"/>
      <c r="M1684" s="1597"/>
      <c r="N1684" s="1597"/>
      <c r="O1684" s="1597"/>
      <c r="P1684" s="1597"/>
      <c r="Q1684" s="1597"/>
      <c r="R1684" s="1597"/>
      <c r="S1684" s="1597"/>
      <c r="T1684" s="1597"/>
    </row>
    <row r="1685" spans="1:20">
      <c r="A1685" s="1597"/>
      <c r="B1685" s="1597"/>
      <c r="C1685" s="1597"/>
      <c r="D1685" s="1597"/>
      <c r="E1685" s="1597"/>
      <c r="F1685" s="1597"/>
      <c r="G1685" s="1597"/>
      <c r="H1685" s="1597"/>
      <c r="I1685" s="1597"/>
      <c r="J1685" s="1597"/>
      <c r="K1685" s="1597"/>
      <c r="L1685" s="1597"/>
      <c r="M1685" s="1597"/>
      <c r="N1685" s="1597"/>
      <c r="O1685" s="1597"/>
      <c r="P1685" s="1597"/>
      <c r="Q1685" s="1597"/>
      <c r="R1685" s="1597"/>
      <c r="S1685" s="1597"/>
      <c r="T1685" s="1597"/>
    </row>
    <row r="1686" spans="1:20">
      <c r="A1686" s="1597"/>
      <c r="B1686" s="1597"/>
      <c r="C1686" s="1597"/>
      <c r="D1686" s="1597"/>
      <c r="E1686" s="1597"/>
      <c r="F1686" s="1597"/>
      <c r="G1686" s="1597"/>
      <c r="H1686" s="1597"/>
      <c r="I1686" s="1597"/>
      <c r="J1686" s="1597"/>
      <c r="K1686" s="1597"/>
      <c r="L1686" s="1597"/>
      <c r="M1686" s="1597"/>
      <c r="N1686" s="1597"/>
      <c r="O1686" s="1597"/>
      <c r="P1686" s="1597"/>
      <c r="Q1686" s="1597"/>
      <c r="R1686" s="1597"/>
      <c r="S1686" s="1597"/>
      <c r="T1686" s="1597"/>
    </row>
    <row r="1687" spans="1:20">
      <c r="A1687" s="1597"/>
      <c r="B1687" s="1597"/>
      <c r="C1687" s="1597"/>
      <c r="D1687" s="1597"/>
      <c r="E1687" s="1597"/>
      <c r="F1687" s="1597"/>
      <c r="G1687" s="1597"/>
      <c r="H1687" s="1597"/>
      <c r="I1687" s="1597"/>
      <c r="J1687" s="1597"/>
      <c r="K1687" s="1597"/>
      <c r="L1687" s="1597"/>
      <c r="M1687" s="1597"/>
      <c r="N1687" s="1597"/>
      <c r="O1687" s="1597"/>
      <c r="P1687" s="1597"/>
      <c r="Q1687" s="1597"/>
      <c r="R1687" s="1597"/>
      <c r="S1687" s="1597"/>
      <c r="T1687" s="1597"/>
    </row>
    <row r="1688" spans="1:20">
      <c r="A1688" s="1597"/>
      <c r="B1688" s="1597"/>
      <c r="C1688" s="1597"/>
      <c r="D1688" s="1597"/>
      <c r="E1688" s="1597"/>
      <c r="F1688" s="1597"/>
      <c r="G1688" s="1597"/>
      <c r="H1688" s="1597"/>
      <c r="I1688" s="1597"/>
      <c r="J1688" s="1597"/>
      <c r="K1688" s="1597"/>
      <c r="L1688" s="1597"/>
      <c r="M1688" s="1597"/>
      <c r="N1688" s="1597"/>
      <c r="O1688" s="1597"/>
      <c r="P1688" s="1597"/>
      <c r="Q1688" s="1597"/>
      <c r="R1688" s="1597"/>
      <c r="S1688" s="1597"/>
      <c r="T1688" s="1597"/>
    </row>
    <row r="1689" spans="1:20">
      <c r="A1689" s="1597"/>
      <c r="B1689" s="1597"/>
      <c r="C1689" s="1597"/>
      <c r="D1689" s="1597"/>
      <c r="E1689" s="1597"/>
      <c r="F1689" s="1597"/>
      <c r="G1689" s="1597"/>
      <c r="H1689" s="1597"/>
      <c r="I1689" s="1597"/>
      <c r="J1689" s="1597"/>
      <c r="K1689" s="1597"/>
      <c r="L1689" s="1597"/>
      <c r="M1689" s="1597"/>
      <c r="N1689" s="1597"/>
      <c r="O1689" s="1597"/>
      <c r="P1689" s="1597"/>
      <c r="Q1689" s="1597"/>
      <c r="R1689" s="1597"/>
      <c r="S1689" s="1597"/>
      <c r="T1689" s="1597"/>
    </row>
    <row r="1690" spans="1:20">
      <c r="A1690" s="1597"/>
      <c r="B1690" s="1597"/>
      <c r="C1690" s="1597"/>
      <c r="D1690" s="1597"/>
      <c r="E1690" s="1597"/>
      <c r="F1690" s="1597"/>
      <c r="G1690" s="1597"/>
      <c r="H1690" s="1597"/>
      <c r="I1690" s="1597"/>
      <c r="J1690" s="1597"/>
      <c r="K1690" s="1597"/>
      <c r="L1690" s="1597"/>
      <c r="M1690" s="1597"/>
      <c r="N1690" s="1597"/>
      <c r="O1690" s="1597"/>
      <c r="P1690" s="1597"/>
      <c r="Q1690" s="1597"/>
      <c r="R1690" s="1597"/>
      <c r="S1690" s="1597"/>
      <c r="T1690" s="1597"/>
    </row>
    <row r="1691" spans="1:20">
      <c r="A1691" s="1597"/>
      <c r="B1691" s="1597"/>
      <c r="C1691" s="1597"/>
      <c r="D1691" s="1597"/>
      <c r="E1691" s="1597"/>
      <c r="F1691" s="1597"/>
      <c r="G1691" s="1597"/>
      <c r="H1691" s="1597"/>
      <c r="I1691" s="1597"/>
      <c r="J1691" s="1597"/>
      <c r="K1691" s="1597"/>
      <c r="L1691" s="1597"/>
      <c r="M1691" s="1597"/>
      <c r="N1691" s="1597"/>
      <c r="O1691" s="1597"/>
      <c r="P1691" s="1597"/>
      <c r="Q1691" s="1597"/>
      <c r="R1691" s="1597"/>
      <c r="S1691" s="1597"/>
      <c r="T1691" s="1597"/>
    </row>
    <row r="1692" spans="1:20">
      <c r="A1692" s="1597"/>
      <c r="B1692" s="1597"/>
      <c r="C1692" s="1597"/>
      <c r="D1692" s="1597"/>
      <c r="E1692" s="1597"/>
      <c r="F1692" s="1597"/>
      <c r="G1692" s="1597"/>
      <c r="H1692" s="1597"/>
      <c r="I1692" s="1597"/>
      <c r="J1692" s="1597"/>
      <c r="K1692" s="1597"/>
      <c r="L1692" s="1597"/>
      <c r="M1692" s="1597"/>
      <c r="N1692" s="1597"/>
      <c r="O1692" s="1597"/>
      <c r="P1692" s="1597"/>
      <c r="Q1692" s="1597"/>
      <c r="R1692" s="1597"/>
      <c r="S1692" s="1597"/>
      <c r="T1692" s="1597"/>
    </row>
    <row r="1693" spans="1:20">
      <c r="A1693" s="1597"/>
      <c r="B1693" s="1597"/>
      <c r="C1693" s="1597"/>
      <c r="D1693" s="1597"/>
      <c r="E1693" s="1597"/>
      <c r="F1693" s="1597"/>
      <c r="G1693" s="1597"/>
      <c r="H1693" s="1597"/>
      <c r="I1693" s="1597"/>
      <c r="J1693" s="1597"/>
      <c r="K1693" s="1597"/>
      <c r="L1693" s="1597"/>
      <c r="M1693" s="1597"/>
      <c r="N1693" s="1597"/>
      <c r="O1693" s="1597"/>
      <c r="P1693" s="1597"/>
      <c r="Q1693" s="1597"/>
      <c r="R1693" s="1597"/>
      <c r="S1693" s="1597"/>
      <c r="T1693" s="1597"/>
    </row>
    <row r="1694" spans="1:20">
      <c r="A1694" s="1597"/>
      <c r="B1694" s="1597"/>
      <c r="C1694" s="1597"/>
      <c r="D1694" s="1597"/>
      <c r="E1694" s="1597"/>
      <c r="F1694" s="1597"/>
      <c r="G1694" s="1597"/>
      <c r="H1694" s="1597"/>
      <c r="I1694" s="1597"/>
      <c r="J1694" s="1597"/>
      <c r="K1694" s="1597"/>
      <c r="L1694" s="1597"/>
      <c r="M1694" s="1597"/>
      <c r="N1694" s="1597"/>
      <c r="O1694" s="1597"/>
      <c r="P1694" s="1597"/>
      <c r="Q1694" s="1597"/>
      <c r="R1694" s="1597"/>
      <c r="S1694" s="1597"/>
      <c r="T1694" s="1597"/>
    </row>
    <row r="1695" spans="1:20">
      <c r="A1695" s="1597"/>
      <c r="B1695" s="1597"/>
      <c r="C1695" s="1597"/>
      <c r="D1695" s="1597"/>
      <c r="E1695" s="1597"/>
      <c r="F1695" s="1597"/>
      <c r="G1695" s="1597"/>
      <c r="H1695" s="1597"/>
      <c r="I1695" s="1597"/>
      <c r="J1695" s="1597"/>
      <c r="K1695" s="1597"/>
      <c r="L1695" s="1597"/>
      <c r="M1695" s="1597"/>
      <c r="N1695" s="1597"/>
      <c r="O1695" s="1597"/>
      <c r="P1695" s="1597"/>
      <c r="Q1695" s="1597"/>
      <c r="R1695" s="1597"/>
      <c r="S1695" s="1597"/>
      <c r="T1695" s="1597"/>
    </row>
    <row r="1696" spans="1:20">
      <c r="A1696" s="1597"/>
      <c r="B1696" s="1597"/>
      <c r="C1696" s="1597"/>
      <c r="D1696" s="1597"/>
      <c r="E1696" s="1597"/>
      <c r="F1696" s="1597"/>
      <c r="G1696" s="1597"/>
      <c r="H1696" s="1597"/>
      <c r="I1696" s="1597"/>
      <c r="J1696" s="1597"/>
      <c r="K1696" s="1597"/>
      <c r="L1696" s="1597"/>
      <c r="M1696" s="1597"/>
      <c r="N1696" s="1597"/>
      <c r="O1696" s="1597"/>
      <c r="P1696" s="1597"/>
      <c r="Q1696" s="1597"/>
      <c r="R1696" s="1597"/>
      <c r="S1696" s="1597"/>
      <c r="T1696" s="1597"/>
    </row>
    <row r="1697" spans="1:20">
      <c r="A1697" s="1597"/>
      <c r="B1697" s="1597"/>
      <c r="C1697" s="1597"/>
      <c r="D1697" s="1597"/>
      <c r="E1697" s="1597"/>
      <c r="F1697" s="1597"/>
      <c r="G1697" s="1597"/>
      <c r="H1697" s="1597"/>
      <c r="I1697" s="1597"/>
      <c r="J1697" s="1597"/>
      <c r="K1697" s="1597"/>
      <c r="L1697" s="1597"/>
      <c r="M1697" s="1597"/>
      <c r="N1697" s="1597"/>
      <c r="O1697" s="1597"/>
      <c r="P1697" s="1597"/>
      <c r="Q1697" s="1597"/>
      <c r="R1697" s="1597"/>
      <c r="S1697" s="1597"/>
      <c r="T1697" s="1597"/>
    </row>
    <row r="1698" spans="1:20">
      <c r="A1698" s="1597"/>
      <c r="B1698" s="1597"/>
      <c r="C1698" s="1597"/>
      <c r="D1698" s="1597"/>
      <c r="E1698" s="1597"/>
      <c r="F1698" s="1597"/>
      <c r="G1698" s="1597"/>
      <c r="H1698" s="1597"/>
      <c r="I1698" s="1597"/>
      <c r="J1698" s="1597"/>
      <c r="K1698" s="1597"/>
      <c r="L1698" s="1597"/>
      <c r="M1698" s="1597"/>
      <c r="N1698" s="1597"/>
      <c r="O1698" s="1597"/>
      <c r="P1698" s="1597"/>
      <c r="Q1698" s="1597"/>
      <c r="R1698" s="1597"/>
      <c r="S1698" s="1597"/>
      <c r="T1698" s="1597"/>
    </row>
    <row r="1699" spans="1:20">
      <c r="A1699" s="1597"/>
      <c r="B1699" s="1597"/>
      <c r="C1699" s="1597"/>
      <c r="D1699" s="1597"/>
      <c r="E1699" s="1597"/>
      <c r="F1699" s="1597"/>
      <c r="G1699" s="1597"/>
      <c r="H1699" s="1597"/>
      <c r="I1699" s="1597"/>
      <c r="J1699" s="1597"/>
      <c r="K1699" s="1597"/>
      <c r="L1699" s="1597"/>
      <c r="M1699" s="1597"/>
      <c r="N1699" s="1597"/>
      <c r="O1699" s="1597"/>
      <c r="P1699" s="1597"/>
      <c r="Q1699" s="1597"/>
      <c r="R1699" s="1597"/>
      <c r="S1699" s="1597"/>
      <c r="T1699" s="1597"/>
    </row>
    <row r="1700" spans="1:20">
      <c r="A1700" s="1597"/>
      <c r="B1700" s="1597"/>
      <c r="C1700" s="1597"/>
      <c r="D1700" s="1597"/>
      <c r="E1700" s="1597"/>
      <c r="F1700" s="1597"/>
      <c r="G1700" s="1597"/>
      <c r="H1700" s="1597"/>
      <c r="I1700" s="1597"/>
      <c r="J1700" s="1597"/>
      <c r="K1700" s="1597"/>
      <c r="L1700" s="1597"/>
      <c r="M1700" s="1597"/>
      <c r="N1700" s="1597"/>
      <c r="O1700" s="1597"/>
      <c r="P1700" s="1597"/>
      <c r="Q1700" s="1597"/>
      <c r="R1700" s="1597"/>
      <c r="S1700" s="1597"/>
      <c r="T1700" s="1597"/>
    </row>
    <row r="1701" spans="1:20">
      <c r="A1701" s="1597"/>
      <c r="B1701" s="1597"/>
      <c r="C1701" s="1597"/>
      <c r="D1701" s="1597"/>
      <c r="E1701" s="1597"/>
      <c r="F1701" s="1597"/>
      <c r="G1701" s="1597"/>
      <c r="H1701" s="1597"/>
      <c r="I1701" s="1597"/>
      <c r="J1701" s="1597"/>
      <c r="K1701" s="1597"/>
      <c r="L1701" s="1597"/>
      <c r="M1701" s="1597"/>
      <c r="N1701" s="1597"/>
      <c r="O1701" s="1597"/>
      <c r="P1701" s="1597"/>
      <c r="Q1701" s="1597"/>
      <c r="R1701" s="1597"/>
      <c r="S1701" s="1597"/>
      <c r="T1701" s="1597"/>
    </row>
    <row r="1702" spans="1:20">
      <c r="A1702" s="1597"/>
      <c r="B1702" s="1597"/>
      <c r="C1702" s="1597"/>
      <c r="D1702" s="1597"/>
      <c r="E1702" s="1597"/>
      <c r="F1702" s="1597"/>
      <c r="G1702" s="1597"/>
      <c r="H1702" s="1597"/>
      <c r="I1702" s="1597"/>
      <c r="J1702" s="1597"/>
      <c r="K1702" s="1597"/>
      <c r="L1702" s="1597"/>
      <c r="M1702" s="1597"/>
      <c r="N1702" s="1597"/>
      <c r="O1702" s="1597"/>
      <c r="P1702" s="1597"/>
      <c r="Q1702" s="1597"/>
      <c r="R1702" s="1597"/>
      <c r="S1702" s="1597"/>
      <c r="T1702" s="1597"/>
    </row>
    <row r="1703" spans="1:20">
      <c r="A1703" s="1597"/>
      <c r="B1703" s="1597"/>
      <c r="C1703" s="1597"/>
      <c r="D1703" s="1597"/>
      <c r="E1703" s="1597"/>
      <c r="F1703" s="1597"/>
      <c r="G1703" s="1597"/>
      <c r="H1703" s="1597"/>
      <c r="I1703" s="1597"/>
      <c r="J1703" s="1597"/>
      <c r="K1703" s="1597"/>
      <c r="L1703" s="1597"/>
      <c r="M1703" s="1597"/>
      <c r="N1703" s="1597"/>
      <c r="O1703" s="1597"/>
      <c r="P1703" s="1597"/>
      <c r="Q1703" s="1597"/>
      <c r="R1703" s="1597"/>
      <c r="S1703" s="1597"/>
      <c r="T1703" s="1597"/>
    </row>
    <row r="1704" spans="1:20">
      <c r="A1704" s="1597"/>
      <c r="B1704" s="1597"/>
      <c r="C1704" s="1597"/>
      <c r="D1704" s="1597"/>
      <c r="E1704" s="1597"/>
      <c r="F1704" s="1597"/>
      <c r="G1704" s="1597"/>
      <c r="H1704" s="1597"/>
      <c r="I1704" s="1597"/>
      <c r="J1704" s="1597"/>
      <c r="K1704" s="1597"/>
      <c r="L1704" s="1597"/>
      <c r="M1704" s="1597"/>
      <c r="N1704" s="1597"/>
      <c r="O1704" s="1597"/>
      <c r="P1704" s="1597"/>
      <c r="Q1704" s="1597"/>
      <c r="R1704" s="1597"/>
      <c r="S1704" s="1597"/>
      <c r="T1704" s="1597"/>
    </row>
    <row r="1705" spans="1:20">
      <c r="A1705" s="1597"/>
      <c r="B1705" s="1597"/>
      <c r="C1705" s="1597"/>
      <c r="D1705" s="1597"/>
      <c r="E1705" s="1597"/>
      <c r="F1705" s="1597"/>
      <c r="G1705" s="1597"/>
      <c r="H1705" s="1597"/>
      <c r="I1705" s="1597"/>
      <c r="J1705" s="1597"/>
      <c r="K1705" s="1597"/>
      <c r="L1705" s="1597"/>
      <c r="M1705" s="1597"/>
      <c r="N1705" s="1597"/>
      <c r="O1705" s="1597"/>
      <c r="P1705" s="1597"/>
      <c r="Q1705" s="1597"/>
      <c r="R1705" s="1597"/>
      <c r="S1705" s="1597"/>
      <c r="T1705" s="1597"/>
    </row>
    <row r="1706" spans="1:20">
      <c r="A1706" s="1597"/>
      <c r="B1706" s="1597"/>
      <c r="C1706" s="1597"/>
      <c r="D1706" s="1597"/>
      <c r="E1706" s="1597"/>
      <c r="F1706" s="1597"/>
      <c r="G1706" s="1597"/>
      <c r="H1706" s="1597"/>
      <c r="I1706" s="1597"/>
      <c r="J1706" s="1597"/>
      <c r="K1706" s="1597"/>
      <c r="L1706" s="1597"/>
      <c r="M1706" s="1597"/>
      <c r="N1706" s="1597"/>
      <c r="O1706" s="1597"/>
      <c r="P1706" s="1597"/>
      <c r="Q1706" s="1597"/>
      <c r="R1706" s="1597"/>
      <c r="S1706" s="1597"/>
      <c r="T1706" s="1597"/>
    </row>
    <row r="1707" spans="1:20">
      <c r="A1707" s="1597"/>
      <c r="B1707" s="1597"/>
      <c r="C1707" s="1597"/>
      <c r="D1707" s="1597"/>
      <c r="E1707" s="1597"/>
      <c r="F1707" s="1597"/>
      <c r="G1707" s="1597"/>
      <c r="H1707" s="1597"/>
      <c r="I1707" s="1597"/>
      <c r="J1707" s="1597"/>
      <c r="K1707" s="1597"/>
      <c r="L1707" s="1597"/>
      <c r="M1707" s="1597"/>
      <c r="N1707" s="1597"/>
      <c r="O1707" s="1597"/>
      <c r="P1707" s="1597"/>
      <c r="Q1707" s="1597"/>
      <c r="R1707" s="1597"/>
      <c r="S1707" s="1597"/>
      <c r="T1707" s="1597"/>
    </row>
    <row r="1708" spans="1:20">
      <c r="A1708" s="1597"/>
      <c r="B1708" s="1597"/>
      <c r="C1708" s="1597"/>
      <c r="D1708" s="1597"/>
      <c r="E1708" s="1597"/>
      <c r="F1708" s="1597"/>
      <c r="G1708" s="1597"/>
      <c r="H1708" s="1597"/>
      <c r="I1708" s="1597"/>
      <c r="J1708" s="1597"/>
      <c r="K1708" s="1597"/>
      <c r="L1708" s="1597"/>
      <c r="M1708" s="1597"/>
      <c r="N1708" s="1597"/>
      <c r="O1708" s="1597"/>
      <c r="P1708" s="1597"/>
      <c r="Q1708" s="1597"/>
      <c r="R1708" s="1597"/>
      <c r="S1708" s="1597"/>
      <c r="T1708" s="1597"/>
    </row>
    <row r="1709" spans="1:20">
      <c r="A1709" s="1597"/>
      <c r="B1709" s="1597"/>
      <c r="C1709" s="1597"/>
      <c r="D1709" s="1597"/>
      <c r="E1709" s="1597"/>
      <c r="F1709" s="1597"/>
      <c r="G1709" s="1597"/>
      <c r="H1709" s="1597"/>
      <c r="I1709" s="1597"/>
      <c r="J1709" s="1597"/>
      <c r="K1709" s="1597"/>
      <c r="L1709" s="1597"/>
      <c r="M1709" s="1597"/>
      <c r="N1709" s="1597"/>
      <c r="O1709" s="1597"/>
      <c r="P1709" s="1597"/>
      <c r="Q1709" s="1597"/>
      <c r="R1709" s="1597"/>
      <c r="S1709" s="1597"/>
      <c r="T1709" s="1597"/>
    </row>
    <row r="1710" spans="1:20">
      <c r="A1710" s="1597"/>
      <c r="B1710" s="1597"/>
      <c r="C1710" s="1597"/>
      <c r="D1710" s="1597"/>
      <c r="E1710" s="1597"/>
      <c r="F1710" s="1597"/>
      <c r="G1710" s="1597"/>
      <c r="H1710" s="1597"/>
      <c r="I1710" s="1597"/>
      <c r="J1710" s="1597"/>
      <c r="K1710" s="1597"/>
      <c r="L1710" s="1597"/>
      <c r="M1710" s="1597"/>
      <c r="N1710" s="1597"/>
      <c r="O1710" s="1597"/>
      <c r="P1710" s="1597"/>
      <c r="Q1710" s="1597"/>
      <c r="R1710" s="1597"/>
      <c r="S1710" s="1597"/>
      <c r="T1710" s="1597"/>
    </row>
    <row r="1711" spans="1:20">
      <c r="A1711" s="1597"/>
      <c r="B1711" s="1597"/>
      <c r="C1711" s="1597"/>
      <c r="D1711" s="1597"/>
      <c r="E1711" s="1597"/>
      <c r="F1711" s="1597"/>
      <c r="G1711" s="1597"/>
      <c r="H1711" s="1597"/>
      <c r="I1711" s="1597"/>
      <c r="J1711" s="1597"/>
      <c r="K1711" s="1597"/>
      <c r="L1711" s="1597"/>
      <c r="M1711" s="1597"/>
      <c r="N1711" s="1597"/>
      <c r="O1711" s="1597"/>
      <c r="P1711" s="1597"/>
      <c r="Q1711" s="1597"/>
      <c r="R1711" s="1597"/>
      <c r="S1711" s="1597"/>
      <c r="T1711" s="1597"/>
    </row>
    <row r="1712" spans="1:20">
      <c r="A1712" s="1597"/>
      <c r="B1712" s="1597"/>
      <c r="C1712" s="1597"/>
      <c r="D1712" s="1597"/>
      <c r="E1712" s="1597"/>
      <c r="F1712" s="1597"/>
      <c r="G1712" s="1597"/>
      <c r="H1712" s="1597"/>
      <c r="I1712" s="1597"/>
      <c r="J1712" s="1597"/>
      <c r="K1712" s="1597"/>
      <c r="L1712" s="1597"/>
      <c r="M1712" s="1597"/>
      <c r="N1712" s="1597"/>
      <c r="O1712" s="1597"/>
      <c r="P1712" s="1597"/>
      <c r="Q1712" s="1597"/>
      <c r="R1712" s="1597"/>
      <c r="S1712" s="1597"/>
      <c r="T1712" s="1597"/>
    </row>
    <row r="1713" spans="1:20">
      <c r="A1713" s="1597"/>
      <c r="B1713" s="1597"/>
      <c r="C1713" s="1597"/>
      <c r="D1713" s="1597"/>
      <c r="E1713" s="1597"/>
      <c r="F1713" s="1597"/>
      <c r="G1713" s="1597"/>
      <c r="H1713" s="1597"/>
      <c r="I1713" s="1597"/>
      <c r="J1713" s="1597"/>
      <c r="K1713" s="1597"/>
      <c r="L1713" s="1597"/>
      <c r="M1713" s="1597"/>
      <c r="N1713" s="1597"/>
      <c r="O1713" s="1597"/>
      <c r="P1713" s="1597"/>
      <c r="Q1713" s="1597"/>
      <c r="R1713" s="1597"/>
      <c r="S1713" s="1597"/>
      <c r="T1713" s="1597"/>
    </row>
    <row r="1714" spans="1:20">
      <c r="A1714" s="1597"/>
      <c r="B1714" s="1597"/>
      <c r="C1714" s="1597"/>
      <c r="D1714" s="1597"/>
      <c r="E1714" s="1597"/>
      <c r="F1714" s="1597"/>
      <c r="G1714" s="1597"/>
      <c r="H1714" s="1597"/>
      <c r="I1714" s="1597"/>
      <c r="J1714" s="1597"/>
      <c r="K1714" s="1597"/>
      <c r="L1714" s="1597"/>
      <c r="M1714" s="1597"/>
      <c r="N1714" s="1597"/>
      <c r="O1714" s="1597"/>
      <c r="P1714" s="1597"/>
      <c r="Q1714" s="1597"/>
      <c r="R1714" s="1597"/>
      <c r="S1714" s="1597"/>
      <c r="T1714" s="1597"/>
    </row>
    <row r="1715" spans="1:20">
      <c r="A1715" s="1597"/>
      <c r="B1715" s="1597"/>
      <c r="C1715" s="1597"/>
      <c r="D1715" s="1597"/>
      <c r="E1715" s="1597"/>
      <c r="F1715" s="1597"/>
      <c r="G1715" s="1597"/>
      <c r="H1715" s="1597"/>
      <c r="I1715" s="1597"/>
      <c r="J1715" s="1597"/>
      <c r="K1715" s="1597"/>
      <c r="L1715" s="1597"/>
      <c r="M1715" s="1597"/>
      <c r="N1715" s="1597"/>
      <c r="O1715" s="1597"/>
      <c r="P1715" s="1597"/>
      <c r="Q1715" s="1597"/>
      <c r="R1715" s="1597"/>
      <c r="S1715" s="1597"/>
      <c r="T1715" s="1597"/>
    </row>
    <row r="1716" spans="1:20">
      <c r="A1716" s="1597"/>
      <c r="B1716" s="1597"/>
      <c r="C1716" s="1597"/>
      <c r="D1716" s="1597"/>
      <c r="E1716" s="1597"/>
      <c r="F1716" s="1597"/>
      <c r="G1716" s="1597"/>
      <c r="H1716" s="1597"/>
      <c r="I1716" s="1597"/>
      <c r="J1716" s="1597"/>
      <c r="K1716" s="1597"/>
      <c r="L1716" s="1597"/>
      <c r="M1716" s="1597"/>
      <c r="N1716" s="1597"/>
      <c r="O1716" s="1597"/>
      <c r="P1716" s="1597"/>
      <c r="Q1716" s="1597"/>
      <c r="R1716" s="1597"/>
      <c r="S1716" s="1597"/>
      <c r="T1716" s="1597"/>
    </row>
    <row r="1717" spans="1:20">
      <c r="A1717" s="1597"/>
      <c r="B1717" s="1597"/>
      <c r="C1717" s="1597"/>
      <c r="D1717" s="1597"/>
      <c r="E1717" s="1597"/>
      <c r="F1717" s="1597"/>
      <c r="G1717" s="1597"/>
      <c r="H1717" s="1597"/>
      <c r="I1717" s="1597"/>
      <c r="J1717" s="1597"/>
      <c r="K1717" s="1597"/>
      <c r="L1717" s="1597"/>
      <c r="M1717" s="1597"/>
      <c r="N1717" s="1597"/>
      <c r="O1717" s="1597"/>
      <c r="P1717" s="1597"/>
      <c r="Q1717" s="1597"/>
      <c r="R1717" s="1597"/>
      <c r="S1717" s="1597"/>
      <c r="T1717" s="1597"/>
    </row>
    <row r="1718" spans="1:20">
      <c r="A1718" s="1597"/>
      <c r="B1718" s="1597"/>
      <c r="C1718" s="1597"/>
      <c r="D1718" s="1597"/>
      <c r="E1718" s="1597"/>
      <c r="F1718" s="1597"/>
      <c r="G1718" s="1597"/>
      <c r="H1718" s="1597"/>
      <c r="I1718" s="1597"/>
      <c r="J1718" s="1597"/>
      <c r="K1718" s="1597"/>
      <c r="L1718" s="1597"/>
      <c r="M1718" s="1597"/>
      <c r="N1718" s="1597"/>
      <c r="O1718" s="1597"/>
      <c r="P1718" s="1597"/>
      <c r="Q1718" s="1597"/>
      <c r="R1718" s="1597"/>
      <c r="S1718" s="1597"/>
      <c r="T1718" s="1597"/>
    </row>
    <row r="1719" spans="1:20">
      <c r="A1719" s="1597"/>
      <c r="B1719" s="1597"/>
      <c r="C1719" s="1597"/>
      <c r="D1719" s="1597"/>
      <c r="E1719" s="1597"/>
      <c r="F1719" s="1597"/>
      <c r="G1719" s="1597"/>
      <c r="H1719" s="1597"/>
      <c r="I1719" s="1597"/>
      <c r="J1719" s="1597"/>
      <c r="K1719" s="1597"/>
      <c r="L1719" s="1597"/>
      <c r="M1719" s="1597"/>
      <c r="N1719" s="1597"/>
      <c r="O1719" s="1597"/>
      <c r="P1719" s="1597"/>
      <c r="Q1719" s="1597"/>
      <c r="R1719" s="1597"/>
      <c r="S1719" s="1597"/>
      <c r="T1719" s="1597"/>
    </row>
    <row r="1720" spans="1:20">
      <c r="A1720" s="1597"/>
      <c r="B1720" s="1597"/>
      <c r="C1720" s="1597"/>
      <c r="D1720" s="1597"/>
      <c r="E1720" s="1597"/>
      <c r="F1720" s="1597"/>
      <c r="G1720" s="1597"/>
      <c r="H1720" s="1597"/>
      <c r="I1720" s="1597"/>
      <c r="J1720" s="1597"/>
      <c r="K1720" s="1597"/>
      <c r="L1720" s="1597"/>
      <c r="M1720" s="1597"/>
      <c r="N1720" s="1597"/>
      <c r="O1720" s="1597"/>
      <c r="P1720" s="1597"/>
      <c r="Q1720" s="1597"/>
      <c r="R1720" s="1597"/>
      <c r="S1720" s="1597"/>
      <c r="T1720" s="1597"/>
    </row>
    <row r="1721" spans="1:20">
      <c r="A1721" s="1597"/>
      <c r="B1721" s="1597"/>
      <c r="C1721" s="1597"/>
      <c r="D1721" s="1597"/>
      <c r="E1721" s="1597"/>
      <c r="F1721" s="1597"/>
      <c r="G1721" s="1597"/>
      <c r="H1721" s="1597"/>
      <c r="I1721" s="1597"/>
      <c r="J1721" s="1597"/>
      <c r="K1721" s="1597"/>
      <c r="L1721" s="1597"/>
      <c r="M1721" s="1597"/>
      <c r="N1721" s="1597"/>
      <c r="O1721" s="1597"/>
      <c r="P1721" s="1597"/>
      <c r="Q1721" s="1597"/>
      <c r="R1721" s="1597"/>
      <c r="S1721" s="1597"/>
      <c r="T1721" s="1597"/>
    </row>
    <row r="1722" spans="1:20">
      <c r="A1722" s="1597"/>
      <c r="B1722" s="1597"/>
      <c r="C1722" s="1597"/>
      <c r="D1722" s="1597"/>
      <c r="E1722" s="1597"/>
      <c r="F1722" s="1597"/>
      <c r="G1722" s="1597"/>
      <c r="H1722" s="1597"/>
      <c r="I1722" s="1597"/>
      <c r="J1722" s="1597"/>
      <c r="K1722" s="1597"/>
      <c r="L1722" s="1597"/>
      <c r="M1722" s="1597"/>
      <c r="N1722" s="1597"/>
      <c r="O1722" s="1597"/>
      <c r="P1722" s="1597"/>
      <c r="Q1722" s="1597"/>
      <c r="R1722" s="1597"/>
      <c r="S1722" s="1597"/>
      <c r="T1722" s="1597"/>
    </row>
    <row r="1723" spans="1:20">
      <c r="A1723" s="1597"/>
      <c r="B1723" s="1597"/>
      <c r="C1723" s="1597"/>
      <c r="D1723" s="1597"/>
      <c r="E1723" s="1597"/>
      <c r="F1723" s="1597"/>
      <c r="G1723" s="1597"/>
      <c r="H1723" s="1597"/>
      <c r="I1723" s="1597"/>
      <c r="J1723" s="1597"/>
      <c r="K1723" s="1597"/>
      <c r="L1723" s="1597"/>
      <c r="M1723" s="1597"/>
      <c r="N1723" s="1597"/>
      <c r="O1723" s="1597"/>
      <c r="P1723" s="1597"/>
      <c r="Q1723" s="1597"/>
      <c r="R1723" s="1597"/>
      <c r="S1723" s="1597"/>
      <c r="T1723" s="1597"/>
    </row>
    <row r="1724" spans="1:20">
      <c r="A1724" s="1597"/>
      <c r="B1724" s="1597"/>
      <c r="C1724" s="1597"/>
      <c r="D1724" s="1597"/>
      <c r="E1724" s="1597"/>
      <c r="F1724" s="1597"/>
      <c r="G1724" s="1597"/>
      <c r="H1724" s="1597"/>
      <c r="I1724" s="1597"/>
      <c r="J1724" s="1597"/>
      <c r="K1724" s="1597"/>
      <c r="L1724" s="1597"/>
      <c r="M1724" s="1597"/>
      <c r="N1724" s="1597"/>
      <c r="O1724" s="1597"/>
      <c r="P1724" s="1597"/>
      <c r="Q1724" s="1597"/>
      <c r="R1724" s="1597"/>
      <c r="S1724" s="1597"/>
      <c r="T1724" s="1597"/>
    </row>
    <row r="1725" spans="1:20">
      <c r="A1725" s="1597"/>
      <c r="B1725" s="1597"/>
      <c r="C1725" s="1597"/>
      <c r="D1725" s="1597"/>
      <c r="E1725" s="1597"/>
      <c r="F1725" s="1597"/>
      <c r="G1725" s="1597"/>
      <c r="H1725" s="1597"/>
      <c r="I1725" s="1597"/>
      <c r="J1725" s="1597"/>
      <c r="K1725" s="1597"/>
      <c r="L1725" s="1597"/>
      <c r="M1725" s="1597"/>
      <c r="N1725" s="1597"/>
      <c r="O1725" s="1597"/>
      <c r="P1725" s="1597"/>
      <c r="Q1725" s="1597"/>
      <c r="R1725" s="1597"/>
      <c r="S1725" s="1597"/>
      <c r="T1725" s="1597"/>
    </row>
    <row r="1726" spans="1:20">
      <c r="A1726" s="1597"/>
      <c r="B1726" s="1597"/>
      <c r="C1726" s="1597"/>
      <c r="D1726" s="1597"/>
      <c r="E1726" s="1597"/>
      <c r="F1726" s="1597"/>
      <c r="G1726" s="1597"/>
      <c r="H1726" s="1597"/>
      <c r="I1726" s="1597"/>
      <c r="J1726" s="1597"/>
      <c r="K1726" s="1597"/>
      <c r="L1726" s="1597"/>
      <c r="M1726" s="1597"/>
      <c r="N1726" s="1597"/>
      <c r="O1726" s="1597"/>
      <c r="P1726" s="1597"/>
      <c r="Q1726" s="1597"/>
      <c r="R1726" s="1597"/>
      <c r="S1726" s="1597"/>
      <c r="T1726" s="1597"/>
    </row>
    <row r="1727" spans="1:20">
      <c r="A1727" s="1597"/>
      <c r="B1727" s="1597"/>
      <c r="C1727" s="1597"/>
      <c r="D1727" s="1597"/>
      <c r="E1727" s="1597"/>
      <c r="F1727" s="1597"/>
      <c r="G1727" s="1597"/>
      <c r="H1727" s="1597"/>
      <c r="I1727" s="1597"/>
      <c r="J1727" s="1597"/>
      <c r="K1727" s="1597"/>
      <c r="L1727" s="1597"/>
      <c r="M1727" s="1597"/>
      <c r="N1727" s="1597"/>
      <c r="O1727" s="1597"/>
      <c r="P1727" s="1597"/>
      <c r="Q1727" s="1597"/>
      <c r="R1727" s="1597"/>
      <c r="S1727" s="1597"/>
      <c r="T1727" s="1597"/>
    </row>
    <row r="1728" spans="1:20">
      <c r="A1728" s="1597"/>
      <c r="B1728" s="1597"/>
      <c r="C1728" s="1597"/>
      <c r="D1728" s="1597"/>
      <c r="E1728" s="1597"/>
      <c r="F1728" s="1597"/>
      <c r="G1728" s="1597"/>
      <c r="H1728" s="1597"/>
      <c r="I1728" s="1597"/>
      <c r="J1728" s="1597"/>
      <c r="K1728" s="1597"/>
      <c r="L1728" s="1597"/>
      <c r="M1728" s="1597"/>
      <c r="N1728" s="1597"/>
      <c r="O1728" s="1597"/>
      <c r="P1728" s="1597"/>
      <c r="Q1728" s="1597"/>
      <c r="R1728" s="1597"/>
      <c r="S1728" s="1597"/>
      <c r="T1728" s="1597"/>
    </row>
    <row r="1729" spans="1:20">
      <c r="A1729" s="1597"/>
      <c r="B1729" s="1597"/>
      <c r="C1729" s="1597"/>
      <c r="D1729" s="1597"/>
      <c r="E1729" s="1597"/>
      <c r="F1729" s="1597"/>
      <c r="G1729" s="1597"/>
      <c r="H1729" s="1597"/>
      <c r="I1729" s="1597"/>
      <c r="J1729" s="1597"/>
      <c r="K1729" s="1597"/>
      <c r="L1729" s="1597"/>
      <c r="M1729" s="1597"/>
      <c r="N1729" s="1597"/>
      <c r="O1729" s="1597"/>
      <c r="P1729" s="1597"/>
      <c r="Q1729" s="1597"/>
      <c r="R1729" s="1597"/>
      <c r="S1729" s="1597"/>
      <c r="T1729" s="1597"/>
    </row>
    <row r="1730" spans="1:20">
      <c r="A1730" s="1597"/>
      <c r="B1730" s="1597"/>
      <c r="C1730" s="1597"/>
      <c r="D1730" s="1597"/>
      <c r="E1730" s="1597"/>
      <c r="F1730" s="1597"/>
      <c r="G1730" s="1597"/>
      <c r="H1730" s="1597"/>
      <c r="I1730" s="1597"/>
      <c r="J1730" s="1597"/>
      <c r="K1730" s="1597"/>
      <c r="L1730" s="1597"/>
      <c r="M1730" s="1597"/>
      <c r="N1730" s="1597"/>
      <c r="O1730" s="1597"/>
      <c r="P1730" s="1597"/>
      <c r="Q1730" s="1597"/>
      <c r="R1730" s="1597"/>
      <c r="S1730" s="1597"/>
      <c r="T1730" s="1597"/>
    </row>
    <row r="1731" spans="1:20">
      <c r="A1731" s="1597"/>
      <c r="B1731" s="1597"/>
      <c r="C1731" s="1597"/>
      <c r="D1731" s="1597"/>
      <c r="E1731" s="1597"/>
      <c r="F1731" s="1597"/>
      <c r="G1731" s="1597"/>
      <c r="H1731" s="1597"/>
      <c r="I1731" s="1597"/>
      <c r="J1731" s="1597"/>
      <c r="K1731" s="1597"/>
      <c r="L1731" s="1597"/>
      <c r="M1731" s="1597"/>
      <c r="N1731" s="1597"/>
      <c r="O1731" s="1597"/>
      <c r="P1731" s="1597"/>
      <c r="Q1731" s="1597"/>
      <c r="R1731" s="1597"/>
      <c r="S1731" s="1597"/>
      <c r="T1731" s="1597"/>
    </row>
    <row r="1732" spans="1:20">
      <c r="A1732" s="1597"/>
      <c r="B1732" s="1597"/>
      <c r="C1732" s="1597"/>
      <c r="D1732" s="1597"/>
      <c r="E1732" s="1597"/>
      <c r="F1732" s="1597"/>
      <c r="G1732" s="1597"/>
      <c r="H1732" s="1597"/>
      <c r="I1732" s="1597"/>
      <c r="J1732" s="1597"/>
      <c r="K1732" s="1597"/>
      <c r="L1732" s="1597"/>
      <c r="M1732" s="1597"/>
      <c r="N1732" s="1597"/>
      <c r="O1732" s="1597"/>
      <c r="P1732" s="1597"/>
      <c r="Q1732" s="1597"/>
      <c r="R1732" s="1597"/>
      <c r="S1732" s="1597"/>
      <c r="T1732" s="1597"/>
    </row>
    <row r="1733" spans="1:20">
      <c r="A1733" s="1597"/>
      <c r="B1733" s="1597"/>
      <c r="C1733" s="1597"/>
      <c r="D1733" s="1597"/>
      <c r="E1733" s="1597"/>
      <c r="F1733" s="1597"/>
      <c r="G1733" s="1597"/>
      <c r="H1733" s="1597"/>
      <c r="I1733" s="1597"/>
      <c r="J1733" s="1597"/>
      <c r="K1733" s="1597"/>
      <c r="L1733" s="1597"/>
      <c r="M1733" s="1597"/>
      <c r="N1733" s="1597"/>
      <c r="O1733" s="1597"/>
      <c r="P1733" s="1597"/>
      <c r="Q1733" s="1597"/>
      <c r="R1733" s="1597"/>
      <c r="S1733" s="1597"/>
      <c r="T1733" s="1597"/>
    </row>
    <row r="1734" spans="1:20">
      <c r="A1734" s="1597"/>
      <c r="B1734" s="1597"/>
      <c r="C1734" s="1597"/>
      <c r="D1734" s="1597"/>
      <c r="E1734" s="1597"/>
      <c r="F1734" s="1597"/>
      <c r="G1734" s="1597"/>
      <c r="H1734" s="1597"/>
      <c r="I1734" s="1597"/>
      <c r="J1734" s="1597"/>
      <c r="K1734" s="1597"/>
      <c r="L1734" s="1597"/>
      <c r="M1734" s="1597"/>
      <c r="N1734" s="1597"/>
      <c r="O1734" s="1597"/>
      <c r="P1734" s="1597"/>
      <c r="Q1734" s="1597"/>
      <c r="R1734" s="1597"/>
      <c r="S1734" s="1597"/>
      <c r="T1734" s="1597"/>
    </row>
    <row r="1735" spans="1:20">
      <c r="A1735" s="1597"/>
      <c r="B1735" s="1597"/>
      <c r="C1735" s="1597"/>
      <c r="D1735" s="1597"/>
      <c r="E1735" s="1597"/>
      <c r="F1735" s="1597"/>
      <c r="G1735" s="1597"/>
      <c r="H1735" s="1597"/>
      <c r="I1735" s="1597"/>
      <c r="J1735" s="1597"/>
      <c r="K1735" s="1597"/>
      <c r="L1735" s="1597"/>
      <c r="M1735" s="1597"/>
      <c r="N1735" s="1597"/>
      <c r="O1735" s="1597"/>
      <c r="P1735" s="1597"/>
      <c r="Q1735" s="1597"/>
      <c r="R1735" s="1597"/>
      <c r="S1735" s="1597"/>
      <c r="T1735" s="1597"/>
    </row>
    <row r="1736" spans="1:20">
      <c r="A1736" s="1597"/>
      <c r="B1736" s="1597"/>
      <c r="C1736" s="1597"/>
      <c r="D1736" s="1597"/>
      <c r="E1736" s="1597"/>
      <c r="F1736" s="1597"/>
      <c r="G1736" s="1597"/>
      <c r="H1736" s="1597"/>
      <c r="I1736" s="1597"/>
      <c r="J1736" s="1597"/>
      <c r="K1736" s="1597"/>
      <c r="L1736" s="1597"/>
      <c r="M1736" s="1597"/>
      <c r="N1736" s="1597"/>
      <c r="O1736" s="1597"/>
      <c r="P1736" s="1597"/>
      <c r="Q1736" s="1597"/>
      <c r="R1736" s="1597"/>
      <c r="S1736" s="1597"/>
      <c r="T1736" s="1597"/>
    </row>
    <row r="1737" spans="1:20">
      <c r="A1737" s="1597"/>
      <c r="B1737" s="1597"/>
      <c r="C1737" s="1597"/>
      <c r="D1737" s="1597"/>
      <c r="E1737" s="1597"/>
      <c r="F1737" s="1597"/>
      <c r="G1737" s="1597"/>
      <c r="H1737" s="1597"/>
      <c r="I1737" s="1597"/>
      <c r="J1737" s="1597"/>
      <c r="K1737" s="1597"/>
      <c r="L1737" s="1597"/>
      <c r="M1737" s="1597"/>
      <c r="N1737" s="1597"/>
      <c r="O1737" s="1597"/>
      <c r="P1737" s="1597"/>
      <c r="Q1737" s="1597"/>
      <c r="R1737" s="1597"/>
      <c r="S1737" s="1597"/>
      <c r="T1737" s="1597"/>
    </row>
    <row r="1738" spans="1:20">
      <c r="A1738" s="1597"/>
      <c r="B1738" s="1597"/>
      <c r="C1738" s="1597"/>
      <c r="D1738" s="1597"/>
      <c r="E1738" s="1597"/>
      <c r="F1738" s="1597"/>
      <c r="G1738" s="1597"/>
      <c r="H1738" s="1597"/>
      <c r="I1738" s="1597"/>
      <c r="J1738" s="1597"/>
      <c r="K1738" s="1597"/>
      <c r="L1738" s="1597"/>
      <c r="M1738" s="1597"/>
      <c r="N1738" s="1597"/>
      <c r="O1738" s="1597"/>
      <c r="P1738" s="1597"/>
      <c r="Q1738" s="1597"/>
      <c r="R1738" s="1597"/>
      <c r="S1738" s="1597"/>
      <c r="T1738" s="1597"/>
    </row>
    <row r="1739" spans="1:20">
      <c r="A1739" s="1597"/>
      <c r="B1739" s="1597"/>
      <c r="C1739" s="1597"/>
      <c r="D1739" s="1597"/>
      <c r="E1739" s="1597"/>
      <c r="F1739" s="1597"/>
      <c r="G1739" s="1597"/>
      <c r="H1739" s="1597"/>
      <c r="I1739" s="1597"/>
      <c r="J1739" s="1597"/>
      <c r="K1739" s="1597"/>
      <c r="L1739" s="1597"/>
      <c r="M1739" s="1597"/>
      <c r="N1739" s="1597"/>
      <c r="O1739" s="1597"/>
      <c r="P1739" s="1597"/>
      <c r="Q1739" s="1597"/>
      <c r="R1739" s="1597"/>
      <c r="S1739" s="1597"/>
      <c r="T1739" s="1597"/>
    </row>
    <row r="1740" spans="1:20">
      <c r="A1740" s="1597"/>
      <c r="B1740" s="1597"/>
      <c r="C1740" s="1597"/>
      <c r="D1740" s="1597"/>
      <c r="E1740" s="1597"/>
      <c r="F1740" s="1597"/>
      <c r="G1740" s="1597"/>
      <c r="H1740" s="1597"/>
      <c r="I1740" s="1597"/>
      <c r="J1740" s="1597"/>
      <c r="K1740" s="1597"/>
      <c r="L1740" s="1597"/>
      <c r="M1740" s="1597"/>
      <c r="N1740" s="1597"/>
      <c r="O1740" s="1597"/>
      <c r="P1740" s="1597"/>
      <c r="Q1740" s="1597"/>
      <c r="R1740" s="1597"/>
      <c r="S1740" s="1597"/>
      <c r="T1740" s="1597"/>
    </row>
    <row r="1741" spans="1:20">
      <c r="A1741" s="1597"/>
      <c r="B1741" s="1597"/>
      <c r="C1741" s="1597"/>
      <c r="D1741" s="1597"/>
      <c r="E1741" s="1597"/>
      <c r="F1741" s="1597"/>
      <c r="G1741" s="1597"/>
      <c r="H1741" s="1597"/>
      <c r="I1741" s="1597"/>
      <c r="J1741" s="1597"/>
      <c r="K1741" s="1597"/>
      <c r="L1741" s="1597"/>
      <c r="M1741" s="1597"/>
      <c r="N1741" s="1597"/>
      <c r="O1741" s="1597"/>
      <c r="P1741" s="1597"/>
      <c r="Q1741" s="1597"/>
      <c r="R1741" s="1597"/>
      <c r="S1741" s="1597"/>
      <c r="T1741" s="1597"/>
    </row>
    <row r="1742" spans="1:20">
      <c r="A1742" s="1597"/>
      <c r="B1742" s="1597"/>
      <c r="C1742" s="1597"/>
      <c r="D1742" s="1597"/>
      <c r="E1742" s="1597"/>
      <c r="F1742" s="1597"/>
      <c r="G1742" s="1597"/>
      <c r="H1742" s="1597"/>
      <c r="I1742" s="1597"/>
      <c r="J1742" s="1597"/>
      <c r="K1742" s="1597"/>
      <c r="L1742" s="1597"/>
      <c r="M1742" s="1597"/>
      <c r="N1742" s="1597"/>
      <c r="O1742" s="1597"/>
      <c r="P1742" s="1597"/>
      <c r="Q1742" s="1597"/>
      <c r="R1742" s="1597"/>
      <c r="S1742" s="1597"/>
      <c r="T1742" s="1597"/>
    </row>
    <row r="1743" spans="1:20">
      <c r="A1743" s="1597"/>
      <c r="B1743" s="1597"/>
      <c r="C1743" s="1597"/>
      <c r="D1743" s="1597"/>
      <c r="E1743" s="1597"/>
      <c r="F1743" s="1597"/>
      <c r="G1743" s="1597"/>
      <c r="H1743" s="1597"/>
      <c r="I1743" s="1597"/>
      <c r="J1743" s="1597"/>
      <c r="K1743" s="1597"/>
      <c r="L1743" s="1597"/>
      <c r="M1743" s="1597"/>
      <c r="N1743" s="1597"/>
      <c r="O1743" s="1597"/>
      <c r="P1743" s="1597"/>
      <c r="Q1743" s="1597"/>
      <c r="R1743" s="1597"/>
      <c r="S1743" s="1597"/>
      <c r="T1743" s="1597"/>
    </row>
    <row r="1744" spans="1:20">
      <c r="A1744" s="1597"/>
      <c r="B1744" s="1597"/>
      <c r="C1744" s="1597"/>
      <c r="D1744" s="1597"/>
      <c r="E1744" s="1597"/>
      <c r="F1744" s="1597"/>
      <c r="G1744" s="1597"/>
      <c r="H1744" s="1597"/>
      <c r="I1744" s="1597"/>
      <c r="J1744" s="1597"/>
      <c r="K1744" s="1597"/>
      <c r="L1744" s="1597"/>
      <c r="M1744" s="1597"/>
      <c r="N1744" s="1597"/>
      <c r="O1744" s="1597"/>
      <c r="P1744" s="1597"/>
      <c r="Q1744" s="1597"/>
      <c r="R1744" s="1597"/>
      <c r="S1744" s="1597"/>
      <c r="T1744" s="1597"/>
    </row>
    <row r="1745" spans="1:20">
      <c r="A1745" s="1597"/>
      <c r="B1745" s="1597"/>
      <c r="C1745" s="1597"/>
      <c r="D1745" s="1597"/>
      <c r="E1745" s="1597"/>
      <c r="F1745" s="1597"/>
      <c r="G1745" s="1597"/>
      <c r="H1745" s="1597"/>
      <c r="I1745" s="1597"/>
      <c r="J1745" s="1597"/>
      <c r="K1745" s="1597"/>
      <c r="L1745" s="1597"/>
      <c r="M1745" s="1597"/>
      <c r="N1745" s="1597"/>
      <c r="O1745" s="1597"/>
      <c r="P1745" s="1597"/>
      <c r="Q1745" s="1597"/>
      <c r="R1745" s="1597"/>
      <c r="S1745" s="1597"/>
      <c r="T1745" s="1597"/>
    </row>
    <row r="1746" spans="1:20">
      <c r="A1746" s="1597"/>
      <c r="B1746" s="1597"/>
      <c r="C1746" s="1597"/>
      <c r="D1746" s="1597"/>
      <c r="E1746" s="1597"/>
      <c r="F1746" s="1597"/>
      <c r="G1746" s="1597"/>
      <c r="H1746" s="1597"/>
      <c r="I1746" s="1597"/>
      <c r="J1746" s="1597"/>
      <c r="K1746" s="1597"/>
      <c r="L1746" s="1597"/>
      <c r="M1746" s="1597"/>
      <c r="N1746" s="1597"/>
      <c r="O1746" s="1597"/>
      <c r="P1746" s="1597"/>
      <c r="Q1746" s="1597"/>
      <c r="R1746" s="1597"/>
      <c r="S1746" s="1597"/>
      <c r="T1746" s="1597"/>
    </row>
    <row r="1747" spans="1:20">
      <c r="A1747" s="1597"/>
      <c r="B1747" s="1597"/>
      <c r="C1747" s="1597"/>
      <c r="D1747" s="1597"/>
      <c r="E1747" s="1597"/>
      <c r="F1747" s="1597"/>
      <c r="G1747" s="1597"/>
      <c r="H1747" s="1597"/>
      <c r="I1747" s="1597"/>
      <c r="J1747" s="1597"/>
      <c r="K1747" s="1597"/>
      <c r="L1747" s="1597"/>
      <c r="M1747" s="1597"/>
      <c r="N1747" s="1597"/>
      <c r="O1747" s="1597"/>
      <c r="P1747" s="1597"/>
      <c r="Q1747" s="1597"/>
      <c r="R1747" s="1597"/>
      <c r="S1747" s="1597"/>
      <c r="T1747" s="1597"/>
    </row>
    <row r="1748" spans="1:20">
      <c r="A1748" s="1597"/>
      <c r="B1748" s="1597"/>
      <c r="C1748" s="1597"/>
      <c r="D1748" s="1597"/>
      <c r="E1748" s="1597"/>
      <c r="F1748" s="1597"/>
      <c r="G1748" s="1597"/>
      <c r="H1748" s="1597"/>
      <c r="I1748" s="1597"/>
      <c r="J1748" s="1597"/>
      <c r="K1748" s="1597"/>
      <c r="L1748" s="1597"/>
      <c r="M1748" s="1597"/>
      <c r="N1748" s="1597"/>
      <c r="O1748" s="1597"/>
      <c r="P1748" s="1597"/>
      <c r="Q1748" s="1597"/>
      <c r="R1748" s="1597"/>
      <c r="S1748" s="1597"/>
      <c r="T1748" s="1597"/>
    </row>
    <row r="1749" spans="1:20">
      <c r="A1749" s="1597"/>
      <c r="B1749" s="1597"/>
      <c r="C1749" s="1597"/>
      <c r="D1749" s="1597"/>
      <c r="E1749" s="1597"/>
      <c r="F1749" s="1597"/>
      <c r="G1749" s="1597"/>
      <c r="H1749" s="1597"/>
      <c r="I1749" s="1597"/>
      <c r="J1749" s="1597"/>
      <c r="K1749" s="1597"/>
      <c r="L1749" s="1597"/>
      <c r="M1749" s="1597"/>
      <c r="N1749" s="1597"/>
      <c r="O1749" s="1597"/>
      <c r="P1749" s="1597"/>
      <c r="Q1749" s="1597"/>
      <c r="R1749" s="1597"/>
      <c r="S1749" s="1597"/>
      <c r="T1749" s="1597"/>
    </row>
    <row r="1750" spans="1:20">
      <c r="A1750" s="1597"/>
      <c r="B1750" s="1597"/>
      <c r="C1750" s="1597"/>
      <c r="D1750" s="1597"/>
      <c r="E1750" s="1597"/>
      <c r="F1750" s="1597"/>
      <c r="G1750" s="1597"/>
      <c r="H1750" s="1597"/>
      <c r="I1750" s="1597"/>
      <c r="J1750" s="1597"/>
      <c r="K1750" s="1597"/>
      <c r="L1750" s="1597"/>
      <c r="M1750" s="1597"/>
      <c r="N1750" s="1597"/>
      <c r="O1750" s="1597"/>
      <c r="P1750" s="1597"/>
      <c r="Q1750" s="1597"/>
      <c r="R1750" s="1597"/>
      <c r="S1750" s="1597"/>
      <c r="T1750" s="1597"/>
    </row>
    <row r="1751" spans="1:20">
      <c r="A1751" s="1597"/>
      <c r="B1751" s="1597"/>
      <c r="C1751" s="1597"/>
      <c r="D1751" s="1597"/>
      <c r="E1751" s="1597"/>
      <c r="F1751" s="1597"/>
      <c r="G1751" s="1597"/>
      <c r="H1751" s="1597"/>
      <c r="I1751" s="1597"/>
      <c r="J1751" s="1597"/>
      <c r="K1751" s="1597"/>
      <c r="L1751" s="1597"/>
      <c r="M1751" s="1597"/>
      <c r="N1751" s="1597"/>
      <c r="O1751" s="1597"/>
      <c r="P1751" s="1597"/>
      <c r="Q1751" s="1597"/>
      <c r="R1751" s="1597"/>
      <c r="S1751" s="1597"/>
      <c r="T1751" s="1597"/>
    </row>
    <row r="1752" spans="1:20">
      <c r="A1752" s="1597"/>
      <c r="B1752" s="1597"/>
      <c r="C1752" s="1597"/>
      <c r="D1752" s="1597"/>
      <c r="E1752" s="1597"/>
      <c r="F1752" s="1597"/>
      <c r="G1752" s="1597"/>
      <c r="H1752" s="1597"/>
      <c r="I1752" s="1597"/>
      <c r="J1752" s="1597"/>
      <c r="K1752" s="1597"/>
      <c r="L1752" s="1597"/>
      <c r="M1752" s="1597"/>
      <c r="N1752" s="1597"/>
      <c r="O1752" s="1597"/>
      <c r="P1752" s="1597"/>
      <c r="Q1752" s="1597"/>
      <c r="R1752" s="1597"/>
      <c r="S1752" s="1597"/>
      <c r="T1752" s="1597"/>
    </row>
    <row r="1753" spans="1:20">
      <c r="A1753" s="1597"/>
      <c r="B1753" s="1597"/>
      <c r="C1753" s="1597"/>
      <c r="D1753" s="1597"/>
      <c r="E1753" s="1597"/>
      <c r="F1753" s="1597"/>
      <c r="G1753" s="1597"/>
      <c r="H1753" s="1597"/>
      <c r="I1753" s="1597"/>
      <c r="J1753" s="1597"/>
      <c r="K1753" s="1597"/>
      <c r="L1753" s="1597"/>
      <c r="M1753" s="1597"/>
      <c r="N1753" s="1597"/>
      <c r="O1753" s="1597"/>
      <c r="P1753" s="1597"/>
      <c r="Q1753" s="1597"/>
      <c r="R1753" s="1597"/>
      <c r="S1753" s="1597"/>
      <c r="T1753" s="1597"/>
    </row>
    <row r="1754" spans="1:20">
      <c r="A1754" s="1597"/>
      <c r="B1754" s="1597"/>
      <c r="C1754" s="1597"/>
      <c r="D1754" s="1597"/>
      <c r="E1754" s="1597"/>
      <c r="F1754" s="1597"/>
      <c r="G1754" s="1597"/>
      <c r="H1754" s="1597"/>
      <c r="I1754" s="1597"/>
      <c r="J1754" s="1597"/>
      <c r="K1754" s="1597"/>
      <c r="L1754" s="1597"/>
      <c r="M1754" s="1597"/>
      <c r="N1754" s="1597"/>
      <c r="O1754" s="1597"/>
      <c r="P1754" s="1597"/>
      <c r="Q1754" s="1597"/>
      <c r="R1754" s="1597"/>
      <c r="S1754" s="1597"/>
      <c r="T1754" s="1597"/>
    </row>
    <row r="1755" spans="1:20">
      <c r="A1755" s="1597"/>
      <c r="B1755" s="1597"/>
      <c r="C1755" s="1597"/>
      <c r="D1755" s="1597"/>
      <c r="E1755" s="1597"/>
      <c r="F1755" s="1597"/>
      <c r="G1755" s="1597"/>
      <c r="H1755" s="1597"/>
      <c r="I1755" s="1597"/>
      <c r="J1755" s="1597"/>
      <c r="K1755" s="1597"/>
      <c r="L1755" s="1597"/>
      <c r="M1755" s="1597"/>
      <c r="N1755" s="1597"/>
      <c r="O1755" s="1597"/>
      <c r="P1755" s="1597"/>
      <c r="Q1755" s="1597"/>
      <c r="R1755" s="1597"/>
      <c r="S1755" s="1597"/>
      <c r="T1755" s="1597"/>
    </row>
    <row r="1756" spans="1:20">
      <c r="A1756" s="1597"/>
      <c r="B1756" s="1597"/>
      <c r="C1756" s="1597"/>
      <c r="D1756" s="1597"/>
      <c r="E1756" s="1597"/>
      <c r="F1756" s="1597"/>
      <c r="G1756" s="1597"/>
      <c r="H1756" s="1597"/>
      <c r="I1756" s="1597"/>
      <c r="J1756" s="1597"/>
      <c r="K1756" s="1597"/>
      <c r="L1756" s="1597"/>
      <c r="M1756" s="1597"/>
      <c r="N1756" s="1597"/>
      <c r="O1756" s="1597"/>
      <c r="P1756" s="1597"/>
      <c r="Q1756" s="1597"/>
      <c r="R1756" s="1597"/>
      <c r="S1756" s="1597"/>
      <c r="T1756" s="1597"/>
    </row>
    <row r="1757" spans="1:20">
      <c r="A1757" s="1597"/>
      <c r="B1757" s="1597"/>
      <c r="C1757" s="1597"/>
      <c r="D1757" s="1597"/>
      <c r="E1757" s="1597"/>
      <c r="F1757" s="1597"/>
      <c r="G1757" s="1597"/>
      <c r="H1757" s="1597"/>
      <c r="I1757" s="1597"/>
      <c r="J1757" s="1597"/>
      <c r="K1757" s="1597"/>
      <c r="L1757" s="1597"/>
      <c r="M1757" s="1597"/>
      <c r="N1757" s="1597"/>
      <c r="O1757" s="1597"/>
      <c r="P1757" s="1597"/>
      <c r="Q1757" s="1597"/>
      <c r="R1757" s="1597"/>
      <c r="S1757" s="1597"/>
      <c r="T1757" s="1597"/>
    </row>
    <row r="1758" spans="1:20">
      <c r="A1758" s="1597"/>
      <c r="B1758" s="1597"/>
      <c r="C1758" s="1597"/>
      <c r="D1758" s="1597"/>
      <c r="E1758" s="1597"/>
      <c r="F1758" s="1597"/>
      <c r="G1758" s="1597"/>
      <c r="H1758" s="1597"/>
      <c r="I1758" s="1597"/>
      <c r="J1758" s="1597"/>
      <c r="K1758" s="1597"/>
      <c r="L1758" s="1597"/>
      <c r="M1758" s="1597"/>
      <c r="N1758" s="1597"/>
      <c r="O1758" s="1597"/>
      <c r="P1758" s="1597"/>
      <c r="Q1758" s="1597"/>
      <c r="R1758" s="1597"/>
      <c r="S1758" s="1597"/>
      <c r="T1758" s="1597"/>
    </row>
    <row r="1759" spans="1:20">
      <c r="A1759" s="1597"/>
      <c r="B1759" s="1597"/>
      <c r="C1759" s="1597"/>
      <c r="D1759" s="1597"/>
      <c r="E1759" s="1597"/>
      <c r="F1759" s="1597"/>
      <c r="G1759" s="1597"/>
      <c r="H1759" s="1597"/>
      <c r="I1759" s="1597"/>
      <c r="J1759" s="1597"/>
      <c r="K1759" s="1597"/>
      <c r="L1759" s="1597"/>
      <c r="M1759" s="1597"/>
      <c r="N1759" s="1597"/>
      <c r="O1759" s="1597"/>
      <c r="P1759" s="1597"/>
      <c r="Q1759" s="1597"/>
      <c r="R1759" s="1597"/>
      <c r="S1759" s="1597"/>
      <c r="T1759" s="1597"/>
    </row>
    <row r="1760" spans="1:20">
      <c r="A1760" s="1597"/>
      <c r="B1760" s="1597"/>
      <c r="C1760" s="1597"/>
      <c r="D1760" s="1597"/>
      <c r="E1760" s="1597"/>
      <c r="F1760" s="1597"/>
      <c r="G1760" s="1597"/>
      <c r="H1760" s="1597"/>
      <c r="I1760" s="1597"/>
      <c r="J1760" s="1597"/>
      <c r="K1760" s="1597"/>
      <c r="L1760" s="1597"/>
      <c r="M1760" s="1597"/>
      <c r="N1760" s="1597"/>
      <c r="O1760" s="1597"/>
      <c r="P1760" s="1597"/>
      <c r="Q1760" s="1597"/>
      <c r="R1760" s="1597"/>
      <c r="S1760" s="1597"/>
      <c r="T1760" s="1597"/>
    </row>
    <row r="1761" spans="1:20">
      <c r="A1761" s="1597"/>
      <c r="B1761" s="1597"/>
      <c r="C1761" s="1597"/>
      <c r="D1761" s="1597"/>
      <c r="E1761" s="1597"/>
      <c r="F1761" s="1597"/>
      <c r="G1761" s="1597"/>
      <c r="H1761" s="1597"/>
      <c r="I1761" s="1597"/>
      <c r="J1761" s="1597"/>
      <c r="K1761" s="1597"/>
      <c r="L1761" s="1597"/>
      <c r="M1761" s="1597"/>
      <c r="N1761" s="1597"/>
      <c r="O1761" s="1597"/>
      <c r="P1761" s="1597"/>
      <c r="Q1761" s="1597"/>
      <c r="R1761" s="1597"/>
      <c r="S1761" s="1597"/>
      <c r="T1761" s="1597"/>
    </row>
    <row r="1762" spans="1:20">
      <c r="A1762" s="1597"/>
      <c r="B1762" s="1597"/>
      <c r="C1762" s="1597"/>
      <c r="D1762" s="1597"/>
      <c r="E1762" s="1597"/>
      <c r="F1762" s="1597"/>
      <c r="G1762" s="1597"/>
      <c r="H1762" s="1597"/>
      <c r="I1762" s="1597"/>
      <c r="J1762" s="1597"/>
      <c r="K1762" s="1597"/>
      <c r="L1762" s="1597"/>
      <c r="M1762" s="1597"/>
      <c r="N1762" s="1597"/>
      <c r="O1762" s="1597"/>
      <c r="P1762" s="1597"/>
      <c r="Q1762" s="1597"/>
      <c r="R1762" s="1597"/>
      <c r="S1762" s="1597"/>
      <c r="T1762" s="1597"/>
    </row>
    <row r="1763" spans="1:20">
      <c r="A1763" s="1597"/>
      <c r="B1763" s="1597"/>
      <c r="C1763" s="1597"/>
      <c r="D1763" s="1597"/>
      <c r="E1763" s="1597"/>
      <c r="F1763" s="1597"/>
      <c r="G1763" s="1597"/>
      <c r="H1763" s="1597"/>
      <c r="I1763" s="1597"/>
      <c r="J1763" s="1597"/>
      <c r="K1763" s="1597"/>
      <c r="L1763" s="1597"/>
      <c r="M1763" s="1597"/>
      <c r="N1763" s="1597"/>
      <c r="O1763" s="1597"/>
      <c r="P1763" s="1597"/>
      <c r="Q1763" s="1597"/>
      <c r="R1763" s="1597"/>
      <c r="S1763" s="1597"/>
      <c r="T1763" s="1597"/>
    </row>
    <row r="1764" spans="1:20">
      <c r="A1764" s="1597"/>
      <c r="B1764" s="1597"/>
      <c r="C1764" s="1597"/>
      <c r="D1764" s="1597"/>
      <c r="E1764" s="1597"/>
      <c r="F1764" s="1597"/>
      <c r="G1764" s="1597"/>
      <c r="H1764" s="1597"/>
      <c r="I1764" s="1597"/>
      <c r="J1764" s="1597"/>
      <c r="K1764" s="1597"/>
      <c r="L1764" s="1597"/>
      <c r="M1764" s="1597"/>
      <c r="N1764" s="1597"/>
      <c r="O1764" s="1597"/>
      <c r="P1764" s="1597"/>
      <c r="Q1764" s="1597"/>
      <c r="R1764" s="1597"/>
      <c r="S1764" s="1597"/>
      <c r="T1764" s="1597"/>
    </row>
    <row r="1765" spans="1:20">
      <c r="A1765" s="1597"/>
      <c r="B1765" s="1597"/>
      <c r="C1765" s="1597"/>
      <c r="D1765" s="1597"/>
      <c r="E1765" s="1597"/>
      <c r="F1765" s="1597"/>
      <c r="G1765" s="1597"/>
      <c r="H1765" s="1597"/>
      <c r="I1765" s="1597"/>
      <c r="J1765" s="1597"/>
      <c r="K1765" s="1597"/>
      <c r="L1765" s="1597"/>
      <c r="M1765" s="1597"/>
      <c r="N1765" s="1597"/>
      <c r="O1765" s="1597"/>
      <c r="P1765" s="1597"/>
      <c r="Q1765" s="1597"/>
      <c r="R1765" s="1597"/>
      <c r="S1765" s="1597"/>
      <c r="T1765" s="1597"/>
    </row>
    <row r="1766" spans="1:20">
      <c r="A1766" s="1597"/>
      <c r="B1766" s="1597"/>
      <c r="C1766" s="1597"/>
      <c r="D1766" s="1597"/>
      <c r="E1766" s="1597"/>
      <c r="F1766" s="1597"/>
      <c r="G1766" s="1597"/>
      <c r="H1766" s="1597"/>
      <c r="I1766" s="1597"/>
      <c r="J1766" s="1597"/>
      <c r="K1766" s="1597"/>
      <c r="L1766" s="1597"/>
      <c r="M1766" s="1597"/>
      <c r="N1766" s="1597"/>
      <c r="O1766" s="1597"/>
      <c r="P1766" s="1597"/>
      <c r="Q1766" s="1597"/>
      <c r="R1766" s="1597"/>
      <c r="S1766" s="1597"/>
      <c r="T1766" s="1597"/>
    </row>
    <row r="1767" spans="1:20">
      <c r="A1767" s="1597"/>
      <c r="B1767" s="1597"/>
      <c r="C1767" s="1597"/>
      <c r="D1767" s="1597"/>
      <c r="E1767" s="1597"/>
      <c r="F1767" s="1597"/>
      <c r="G1767" s="1597"/>
      <c r="H1767" s="1597"/>
      <c r="I1767" s="1597"/>
      <c r="J1767" s="1597"/>
      <c r="K1767" s="1597"/>
      <c r="L1767" s="1597"/>
      <c r="M1767" s="1597"/>
      <c r="N1767" s="1597"/>
      <c r="O1767" s="1597"/>
      <c r="P1767" s="1597"/>
      <c r="Q1767" s="1597"/>
      <c r="R1767" s="1597"/>
      <c r="S1767" s="1597"/>
      <c r="T1767" s="1597"/>
    </row>
    <row r="1768" spans="1:20">
      <c r="A1768" s="1597"/>
      <c r="B1768" s="1597"/>
      <c r="C1768" s="1597"/>
      <c r="D1768" s="1597"/>
      <c r="E1768" s="1597"/>
      <c r="F1768" s="1597"/>
      <c r="G1768" s="1597"/>
      <c r="H1768" s="1597"/>
      <c r="I1768" s="1597"/>
      <c r="J1768" s="1597"/>
      <c r="K1768" s="1597"/>
      <c r="L1768" s="1597"/>
      <c r="M1768" s="1597"/>
      <c r="N1768" s="1597"/>
      <c r="O1768" s="1597"/>
      <c r="P1768" s="1597"/>
      <c r="Q1768" s="1597"/>
      <c r="R1768" s="1597"/>
      <c r="S1768" s="1597"/>
      <c r="T1768" s="1597"/>
    </row>
    <row r="1769" spans="1:20">
      <c r="A1769" s="1597"/>
      <c r="B1769" s="1597"/>
      <c r="C1769" s="1597"/>
      <c r="D1769" s="1597"/>
      <c r="E1769" s="1597"/>
      <c r="F1769" s="1597"/>
      <c r="G1769" s="1597"/>
      <c r="H1769" s="1597"/>
      <c r="I1769" s="1597"/>
      <c r="J1769" s="1597"/>
      <c r="K1769" s="1597"/>
      <c r="L1769" s="1597"/>
      <c r="M1769" s="1597"/>
      <c r="N1769" s="1597"/>
      <c r="O1769" s="1597"/>
      <c r="P1769" s="1597"/>
      <c r="Q1769" s="1597"/>
      <c r="R1769" s="1597"/>
      <c r="S1769" s="1597"/>
      <c r="T1769" s="1597"/>
    </row>
    <row r="1770" spans="1:20">
      <c r="A1770" s="1597"/>
      <c r="B1770" s="1597"/>
      <c r="C1770" s="1597"/>
      <c r="D1770" s="1597"/>
      <c r="E1770" s="1597"/>
      <c r="F1770" s="1597"/>
      <c r="G1770" s="1597"/>
      <c r="H1770" s="1597"/>
      <c r="I1770" s="1597"/>
      <c r="J1770" s="1597"/>
      <c r="K1770" s="1597"/>
      <c r="L1770" s="1597"/>
      <c r="M1770" s="1597"/>
      <c r="N1770" s="1597"/>
      <c r="O1770" s="1597"/>
      <c r="P1770" s="1597"/>
      <c r="Q1770" s="1597"/>
      <c r="R1770" s="1597"/>
      <c r="S1770" s="1597"/>
      <c r="T1770" s="1597"/>
    </row>
    <row r="1771" spans="1:20">
      <c r="A1771" s="1597"/>
      <c r="B1771" s="1597"/>
      <c r="C1771" s="1597"/>
      <c r="D1771" s="1597"/>
      <c r="E1771" s="1597"/>
      <c r="F1771" s="1597"/>
      <c r="G1771" s="1597"/>
      <c r="H1771" s="1597"/>
      <c r="I1771" s="1597"/>
      <c r="J1771" s="1597"/>
      <c r="K1771" s="1597"/>
      <c r="L1771" s="1597"/>
      <c r="M1771" s="1597"/>
      <c r="N1771" s="1597"/>
      <c r="O1771" s="1597"/>
      <c r="P1771" s="1597"/>
      <c r="Q1771" s="1597"/>
      <c r="R1771" s="1597"/>
      <c r="S1771" s="1597"/>
      <c r="T1771" s="1597"/>
    </row>
    <row r="1772" spans="1:20">
      <c r="A1772" s="1597"/>
      <c r="B1772" s="1597"/>
      <c r="C1772" s="1597"/>
      <c r="D1772" s="1597"/>
      <c r="E1772" s="1597"/>
      <c r="F1772" s="1597"/>
      <c r="G1772" s="1597"/>
      <c r="H1772" s="1597"/>
      <c r="I1772" s="1597"/>
      <c r="J1772" s="1597"/>
      <c r="K1772" s="1597"/>
      <c r="L1772" s="1597"/>
      <c r="M1772" s="1597"/>
      <c r="N1772" s="1597"/>
      <c r="O1772" s="1597"/>
      <c r="P1772" s="1597"/>
      <c r="Q1772" s="1597"/>
      <c r="R1772" s="1597"/>
      <c r="S1772" s="1597"/>
      <c r="T1772" s="1597"/>
    </row>
    <row r="1773" spans="1:20">
      <c r="A1773" s="1597"/>
      <c r="B1773" s="1597"/>
      <c r="C1773" s="1597"/>
      <c r="D1773" s="1597"/>
      <c r="E1773" s="1597"/>
      <c r="F1773" s="1597"/>
      <c r="G1773" s="1597"/>
      <c r="H1773" s="1597"/>
      <c r="I1773" s="1597"/>
      <c r="J1773" s="1597"/>
      <c r="K1773" s="1597"/>
      <c r="L1773" s="1597"/>
      <c r="M1773" s="1597"/>
      <c r="N1773" s="1597"/>
      <c r="O1773" s="1597"/>
      <c r="P1773" s="1597"/>
      <c r="Q1773" s="1597"/>
      <c r="R1773" s="1597"/>
      <c r="S1773" s="1597"/>
      <c r="T1773" s="1597"/>
    </row>
    <row r="1774" spans="1:20">
      <c r="A1774" s="1597"/>
      <c r="B1774" s="1597"/>
      <c r="C1774" s="1597"/>
      <c r="D1774" s="1597"/>
      <c r="E1774" s="1597"/>
      <c r="F1774" s="1597"/>
      <c r="G1774" s="1597"/>
      <c r="H1774" s="1597"/>
      <c r="I1774" s="1597"/>
      <c r="J1774" s="1597"/>
      <c r="K1774" s="1597"/>
      <c r="L1774" s="1597"/>
      <c r="M1774" s="1597"/>
      <c r="N1774" s="1597"/>
      <c r="O1774" s="1597"/>
      <c r="P1774" s="1597"/>
      <c r="Q1774" s="1597"/>
      <c r="R1774" s="1597"/>
      <c r="S1774" s="1597"/>
      <c r="T1774" s="1597"/>
    </row>
    <row r="1775" spans="1:20">
      <c r="A1775" s="1597"/>
      <c r="B1775" s="1597"/>
      <c r="C1775" s="1597"/>
      <c r="D1775" s="1597"/>
      <c r="E1775" s="1597"/>
      <c r="F1775" s="1597"/>
      <c r="G1775" s="1597"/>
      <c r="H1775" s="1597"/>
      <c r="I1775" s="1597"/>
      <c r="J1775" s="1597"/>
      <c r="K1775" s="1597"/>
      <c r="L1775" s="1597"/>
      <c r="M1775" s="1597"/>
      <c r="N1775" s="1597"/>
      <c r="O1775" s="1597"/>
      <c r="P1775" s="1597"/>
      <c r="Q1775" s="1597"/>
      <c r="R1775" s="1597"/>
      <c r="S1775" s="1597"/>
      <c r="T1775" s="1597"/>
    </row>
    <row r="1776" spans="1:20">
      <c r="A1776" s="1597"/>
      <c r="B1776" s="1597"/>
      <c r="C1776" s="1597"/>
      <c r="D1776" s="1597"/>
      <c r="E1776" s="1597"/>
      <c r="F1776" s="1597"/>
      <c r="G1776" s="1597"/>
      <c r="H1776" s="1597"/>
      <c r="I1776" s="1597"/>
      <c r="J1776" s="1597"/>
      <c r="K1776" s="1597"/>
      <c r="L1776" s="1597"/>
      <c r="M1776" s="1597"/>
      <c r="N1776" s="1597"/>
      <c r="O1776" s="1597"/>
      <c r="P1776" s="1597"/>
      <c r="Q1776" s="1597"/>
      <c r="R1776" s="1597"/>
      <c r="S1776" s="1597"/>
      <c r="T1776" s="1597"/>
    </row>
    <row r="1777" spans="1:20">
      <c r="A1777" s="1597"/>
      <c r="B1777" s="1597"/>
      <c r="C1777" s="1597"/>
      <c r="D1777" s="1597"/>
      <c r="E1777" s="1597"/>
      <c r="F1777" s="1597"/>
      <c r="G1777" s="1597"/>
      <c r="H1777" s="1597"/>
      <c r="I1777" s="1597"/>
      <c r="J1777" s="1597"/>
      <c r="K1777" s="1597"/>
      <c r="L1777" s="1597"/>
      <c r="M1777" s="1597"/>
      <c r="N1777" s="1597"/>
      <c r="O1777" s="1597"/>
      <c r="P1777" s="1597"/>
      <c r="Q1777" s="1597"/>
      <c r="R1777" s="1597"/>
      <c r="S1777" s="1597"/>
      <c r="T1777" s="1597"/>
    </row>
    <row r="1778" spans="1:20">
      <c r="A1778" s="1597"/>
      <c r="B1778" s="1597"/>
      <c r="C1778" s="1597"/>
      <c r="D1778" s="1597"/>
      <c r="E1778" s="1597"/>
      <c r="F1778" s="1597"/>
      <c r="G1778" s="1597"/>
      <c r="H1778" s="1597"/>
      <c r="I1778" s="1597"/>
      <c r="J1778" s="1597"/>
      <c r="K1778" s="1597"/>
      <c r="L1778" s="1597"/>
      <c r="M1778" s="1597"/>
      <c r="N1778" s="1597"/>
      <c r="O1778" s="1597"/>
      <c r="P1778" s="1597"/>
      <c r="Q1778" s="1597"/>
      <c r="R1778" s="1597"/>
      <c r="S1778" s="1597"/>
      <c r="T1778" s="1597"/>
    </row>
    <row r="1779" spans="1:20">
      <c r="A1779" s="1597"/>
      <c r="B1779" s="1597"/>
      <c r="C1779" s="1597"/>
      <c r="D1779" s="1597"/>
      <c r="E1779" s="1597"/>
      <c r="F1779" s="1597"/>
      <c r="G1779" s="1597"/>
      <c r="H1779" s="1597"/>
      <c r="I1779" s="1597"/>
      <c r="J1779" s="1597"/>
      <c r="K1779" s="1597"/>
      <c r="L1779" s="1597"/>
      <c r="M1779" s="1597"/>
      <c r="N1779" s="1597"/>
      <c r="O1779" s="1597"/>
      <c r="P1779" s="1597"/>
      <c r="Q1779" s="1597"/>
      <c r="R1779" s="1597"/>
      <c r="S1779" s="1597"/>
      <c r="T1779" s="1597"/>
    </row>
    <row r="1780" spans="1:20">
      <c r="A1780" s="1597"/>
      <c r="B1780" s="1597"/>
      <c r="C1780" s="1597"/>
      <c r="D1780" s="1597"/>
      <c r="E1780" s="1597"/>
      <c r="F1780" s="1597"/>
      <c r="G1780" s="1597"/>
      <c r="H1780" s="1597"/>
      <c r="I1780" s="1597"/>
      <c r="J1780" s="1597"/>
      <c r="K1780" s="1597"/>
      <c r="L1780" s="1597"/>
      <c r="M1780" s="1597"/>
      <c r="N1780" s="1597"/>
      <c r="O1780" s="1597"/>
      <c r="P1780" s="1597"/>
      <c r="Q1780" s="1597"/>
      <c r="R1780" s="1597"/>
      <c r="S1780" s="1597"/>
      <c r="T1780" s="1597"/>
    </row>
    <row r="1781" spans="1:20">
      <c r="A1781" s="1597"/>
      <c r="B1781" s="1597"/>
      <c r="C1781" s="1597"/>
      <c r="D1781" s="1597"/>
      <c r="E1781" s="1597"/>
      <c r="F1781" s="1597"/>
      <c r="G1781" s="1597"/>
      <c r="H1781" s="1597"/>
      <c r="I1781" s="1597"/>
      <c r="J1781" s="1597"/>
      <c r="K1781" s="1597"/>
      <c r="L1781" s="1597"/>
      <c r="M1781" s="1597"/>
      <c r="N1781" s="1597"/>
      <c r="O1781" s="1597"/>
      <c r="P1781" s="1597"/>
      <c r="Q1781" s="1597"/>
      <c r="R1781" s="1597"/>
      <c r="S1781" s="1597"/>
      <c r="T1781" s="1597"/>
    </row>
    <row r="1782" spans="1:20">
      <c r="A1782" s="1597"/>
      <c r="B1782" s="1597"/>
      <c r="C1782" s="1597"/>
      <c r="D1782" s="1597"/>
      <c r="E1782" s="1597"/>
      <c r="F1782" s="1597"/>
      <c r="G1782" s="1597"/>
      <c r="H1782" s="1597"/>
      <c r="I1782" s="1597"/>
      <c r="J1782" s="1597"/>
      <c r="K1782" s="1597"/>
      <c r="L1782" s="1597"/>
      <c r="M1782" s="1597"/>
      <c r="N1782" s="1597"/>
      <c r="O1782" s="1597"/>
      <c r="P1782" s="1597"/>
      <c r="Q1782" s="1597"/>
      <c r="R1782" s="1597"/>
      <c r="S1782" s="1597"/>
      <c r="T1782" s="1597"/>
    </row>
    <row r="1783" spans="1:20">
      <c r="A1783" s="1597"/>
      <c r="B1783" s="1597"/>
      <c r="C1783" s="1597"/>
      <c r="D1783" s="1597"/>
      <c r="E1783" s="1597"/>
      <c r="F1783" s="1597"/>
      <c r="G1783" s="1597"/>
      <c r="H1783" s="1597"/>
      <c r="I1783" s="1597"/>
      <c r="J1783" s="1597"/>
      <c r="K1783" s="1597"/>
      <c r="L1783" s="1597"/>
      <c r="M1783" s="1597"/>
      <c r="N1783" s="1597"/>
      <c r="O1783" s="1597"/>
      <c r="P1783" s="1597"/>
      <c r="Q1783" s="1597"/>
      <c r="R1783" s="1597"/>
      <c r="S1783" s="1597"/>
      <c r="T1783" s="1597"/>
    </row>
    <row r="1784" spans="1:20">
      <c r="A1784" s="1597"/>
      <c r="B1784" s="1597"/>
      <c r="C1784" s="1597"/>
      <c r="D1784" s="1597"/>
      <c r="E1784" s="1597"/>
      <c r="F1784" s="1597"/>
      <c r="G1784" s="1597"/>
      <c r="H1784" s="1597"/>
      <c r="I1784" s="1597"/>
      <c r="J1784" s="1597"/>
      <c r="K1784" s="1597"/>
      <c r="L1784" s="1597"/>
      <c r="M1784" s="1597"/>
      <c r="N1784" s="1597"/>
      <c r="O1784" s="1597"/>
      <c r="P1784" s="1597"/>
      <c r="Q1784" s="1597"/>
      <c r="R1784" s="1597"/>
      <c r="S1784" s="1597"/>
      <c r="T1784" s="1597"/>
    </row>
    <row r="1785" spans="1:20">
      <c r="A1785" s="1597"/>
      <c r="B1785" s="1597"/>
      <c r="C1785" s="1597"/>
      <c r="D1785" s="1597"/>
      <c r="E1785" s="1597"/>
      <c r="F1785" s="1597"/>
      <c r="G1785" s="1597"/>
      <c r="H1785" s="1597"/>
      <c r="I1785" s="1597"/>
      <c r="J1785" s="1597"/>
      <c r="K1785" s="1597"/>
      <c r="L1785" s="1597"/>
      <c r="M1785" s="1597"/>
      <c r="N1785" s="1597"/>
      <c r="O1785" s="1597"/>
      <c r="P1785" s="1597"/>
      <c r="Q1785" s="1597"/>
      <c r="R1785" s="1597"/>
      <c r="S1785" s="1597"/>
      <c r="T1785" s="1597"/>
    </row>
    <row r="1786" spans="1:20">
      <c r="A1786" s="1597"/>
      <c r="B1786" s="1597"/>
      <c r="C1786" s="1597"/>
      <c r="D1786" s="1597"/>
      <c r="E1786" s="1597"/>
      <c r="F1786" s="1597"/>
      <c r="G1786" s="1597"/>
      <c r="H1786" s="1597"/>
      <c r="I1786" s="1597"/>
      <c r="J1786" s="1597"/>
      <c r="K1786" s="1597"/>
      <c r="L1786" s="1597"/>
      <c r="M1786" s="1597"/>
      <c r="N1786" s="1597"/>
      <c r="O1786" s="1597"/>
      <c r="P1786" s="1597"/>
      <c r="Q1786" s="1597"/>
      <c r="R1786" s="1597"/>
      <c r="S1786" s="1597"/>
      <c r="T1786" s="1597"/>
    </row>
    <row r="1787" spans="1:20">
      <c r="A1787" s="1597"/>
      <c r="B1787" s="1597"/>
      <c r="C1787" s="1597"/>
      <c r="D1787" s="1597"/>
      <c r="E1787" s="1597"/>
      <c r="F1787" s="1597"/>
      <c r="G1787" s="1597"/>
      <c r="H1787" s="1597"/>
      <c r="I1787" s="1597"/>
      <c r="J1787" s="1597"/>
      <c r="K1787" s="1597"/>
      <c r="L1787" s="1597"/>
      <c r="M1787" s="1597"/>
      <c r="N1787" s="1597"/>
      <c r="O1787" s="1597"/>
      <c r="P1787" s="1597"/>
      <c r="Q1787" s="1597"/>
      <c r="R1787" s="1597"/>
      <c r="S1787" s="1597"/>
      <c r="T1787" s="1597"/>
    </row>
    <row r="1788" spans="1:20">
      <c r="A1788" s="1597"/>
      <c r="B1788" s="1597"/>
      <c r="C1788" s="1597"/>
      <c r="D1788" s="1597"/>
      <c r="E1788" s="1597"/>
      <c r="F1788" s="1597"/>
      <c r="G1788" s="1597"/>
      <c r="H1788" s="1597"/>
      <c r="I1788" s="1597"/>
      <c r="J1788" s="1597"/>
      <c r="K1788" s="1597"/>
      <c r="L1788" s="1597"/>
      <c r="M1788" s="1597"/>
      <c r="N1788" s="1597"/>
      <c r="O1788" s="1597"/>
      <c r="P1788" s="1597"/>
      <c r="Q1788" s="1597"/>
      <c r="R1788" s="1597"/>
      <c r="S1788" s="1597"/>
      <c r="T1788" s="1597"/>
    </row>
    <row r="1789" spans="1:20">
      <c r="A1789" s="1597"/>
      <c r="B1789" s="1597"/>
      <c r="C1789" s="1597"/>
      <c r="D1789" s="1597"/>
      <c r="E1789" s="1597"/>
      <c r="F1789" s="1597"/>
      <c r="G1789" s="1597"/>
      <c r="H1789" s="1597"/>
      <c r="I1789" s="1597"/>
      <c r="J1789" s="1597"/>
      <c r="K1789" s="1597"/>
      <c r="L1789" s="1597"/>
      <c r="M1789" s="1597"/>
      <c r="N1789" s="1597"/>
      <c r="O1789" s="1597"/>
      <c r="P1789" s="1597"/>
      <c r="Q1789" s="1597"/>
      <c r="R1789" s="1597"/>
      <c r="S1789" s="1597"/>
      <c r="T1789" s="1597"/>
    </row>
    <row r="1790" spans="1:20">
      <c r="A1790" s="1597"/>
      <c r="B1790" s="1597"/>
      <c r="C1790" s="1597"/>
      <c r="D1790" s="1597"/>
      <c r="E1790" s="1597"/>
      <c r="F1790" s="1597"/>
      <c r="G1790" s="1597"/>
      <c r="H1790" s="1597"/>
      <c r="I1790" s="1597"/>
      <c r="J1790" s="1597"/>
      <c r="K1790" s="1597"/>
      <c r="L1790" s="1597"/>
      <c r="M1790" s="1597"/>
      <c r="N1790" s="1597"/>
      <c r="O1790" s="1597"/>
      <c r="P1790" s="1597"/>
      <c r="Q1790" s="1597"/>
      <c r="R1790" s="1597"/>
      <c r="S1790" s="1597"/>
      <c r="T1790" s="1597"/>
    </row>
    <row r="1791" spans="1:20">
      <c r="A1791" s="1597"/>
      <c r="B1791" s="1597"/>
      <c r="C1791" s="1597"/>
      <c r="D1791" s="1597"/>
      <c r="E1791" s="1597"/>
      <c r="F1791" s="1597"/>
      <c r="G1791" s="1597"/>
      <c r="H1791" s="1597"/>
      <c r="I1791" s="1597"/>
      <c r="J1791" s="1597"/>
      <c r="K1791" s="1597"/>
      <c r="L1791" s="1597"/>
      <c r="M1791" s="1597"/>
      <c r="N1791" s="1597"/>
      <c r="O1791" s="1597"/>
      <c r="P1791" s="1597"/>
      <c r="Q1791" s="1597"/>
      <c r="R1791" s="1597"/>
      <c r="S1791" s="1597"/>
      <c r="T1791" s="1597"/>
    </row>
    <row r="1792" spans="1:20">
      <c r="A1792" s="1597"/>
      <c r="B1792" s="1597"/>
      <c r="C1792" s="1597"/>
      <c r="D1792" s="1597"/>
      <c r="E1792" s="1597"/>
      <c r="F1792" s="1597"/>
      <c r="G1792" s="1597"/>
      <c r="H1792" s="1597"/>
      <c r="I1792" s="1597"/>
      <c r="J1792" s="1597"/>
      <c r="K1792" s="1597"/>
      <c r="L1792" s="1597"/>
      <c r="M1792" s="1597"/>
      <c r="N1792" s="1597"/>
      <c r="O1792" s="1597"/>
      <c r="P1792" s="1597"/>
      <c r="Q1792" s="1597"/>
      <c r="R1792" s="1597"/>
      <c r="S1792" s="1597"/>
      <c r="T1792" s="1597"/>
    </row>
    <row r="1793" spans="1:20">
      <c r="A1793" s="1597"/>
      <c r="B1793" s="1597"/>
      <c r="C1793" s="1597"/>
      <c r="D1793" s="1597"/>
      <c r="E1793" s="1597"/>
      <c r="F1793" s="1597"/>
      <c r="G1793" s="1597"/>
      <c r="H1793" s="1597"/>
      <c r="I1793" s="1597"/>
      <c r="J1793" s="1597"/>
      <c r="K1793" s="1597"/>
      <c r="L1793" s="1597"/>
      <c r="M1793" s="1597"/>
      <c r="N1793" s="1597"/>
      <c r="O1793" s="1597"/>
      <c r="P1793" s="1597"/>
      <c r="Q1793" s="1597"/>
      <c r="R1793" s="1597"/>
      <c r="S1793" s="1597"/>
      <c r="T1793" s="1597"/>
    </row>
    <row r="1794" spans="1:20">
      <c r="A1794" s="1597"/>
      <c r="B1794" s="1597"/>
      <c r="C1794" s="1597"/>
      <c r="D1794" s="1597"/>
      <c r="E1794" s="1597"/>
      <c r="F1794" s="1597"/>
      <c r="G1794" s="1597"/>
      <c r="H1794" s="1597"/>
      <c r="I1794" s="1597"/>
      <c r="J1794" s="1597"/>
      <c r="K1794" s="1597"/>
      <c r="L1794" s="1597"/>
      <c r="M1794" s="1597"/>
      <c r="N1794" s="1597"/>
      <c r="O1794" s="1597"/>
      <c r="P1794" s="1597"/>
      <c r="Q1794" s="1597"/>
      <c r="R1794" s="1597"/>
      <c r="S1794" s="1597"/>
      <c r="T1794" s="1597"/>
    </row>
    <row r="1795" spans="1:20">
      <c r="A1795" s="1597"/>
      <c r="B1795" s="1597"/>
      <c r="C1795" s="1597"/>
      <c r="D1795" s="1597"/>
      <c r="E1795" s="1597"/>
      <c r="F1795" s="1597"/>
      <c r="G1795" s="1597"/>
      <c r="H1795" s="1597"/>
      <c r="I1795" s="1597"/>
      <c r="J1795" s="1597"/>
      <c r="K1795" s="1597"/>
      <c r="L1795" s="1597"/>
      <c r="M1795" s="1597"/>
      <c r="N1795" s="1597"/>
      <c r="O1795" s="1597"/>
      <c r="P1795" s="1597"/>
      <c r="Q1795" s="1597"/>
      <c r="R1795" s="1597"/>
      <c r="S1795" s="1597"/>
      <c r="T1795" s="1597"/>
    </row>
    <row r="1796" spans="1:20">
      <c r="A1796" s="1597"/>
      <c r="B1796" s="1597"/>
      <c r="C1796" s="1597"/>
      <c r="D1796" s="1597"/>
      <c r="E1796" s="1597"/>
      <c r="F1796" s="1597"/>
      <c r="G1796" s="1597"/>
      <c r="H1796" s="1597"/>
      <c r="I1796" s="1597"/>
      <c r="J1796" s="1597"/>
      <c r="K1796" s="1597"/>
      <c r="L1796" s="1597"/>
      <c r="M1796" s="1597"/>
      <c r="N1796" s="1597"/>
      <c r="O1796" s="1597"/>
      <c r="P1796" s="1597"/>
      <c r="Q1796" s="1597"/>
      <c r="R1796" s="1597"/>
      <c r="S1796" s="1597"/>
      <c r="T1796" s="1597"/>
    </row>
    <row r="1797" spans="1:20">
      <c r="A1797" s="1597"/>
      <c r="B1797" s="1597"/>
      <c r="C1797" s="1597"/>
      <c r="D1797" s="1597"/>
      <c r="E1797" s="1597"/>
      <c r="F1797" s="1597"/>
      <c r="G1797" s="1597"/>
      <c r="H1797" s="1597"/>
      <c r="I1797" s="1597"/>
      <c r="J1797" s="1597"/>
      <c r="K1797" s="1597"/>
      <c r="L1797" s="1597"/>
      <c r="M1797" s="1597"/>
      <c r="N1797" s="1597"/>
      <c r="O1797" s="1597"/>
      <c r="P1797" s="1597"/>
      <c r="Q1797" s="1597"/>
      <c r="R1797" s="1597"/>
      <c r="S1797" s="1597"/>
      <c r="T1797" s="1597"/>
    </row>
    <row r="1798" spans="1:20">
      <c r="A1798" s="1597"/>
      <c r="B1798" s="1597"/>
      <c r="C1798" s="1597"/>
      <c r="D1798" s="1597"/>
      <c r="E1798" s="1597"/>
      <c r="F1798" s="1597"/>
      <c r="G1798" s="1597"/>
      <c r="H1798" s="1597"/>
      <c r="I1798" s="1597"/>
      <c r="J1798" s="1597"/>
      <c r="K1798" s="1597"/>
      <c r="L1798" s="1597"/>
      <c r="M1798" s="1597"/>
      <c r="N1798" s="1597"/>
      <c r="O1798" s="1597"/>
      <c r="P1798" s="1597"/>
      <c r="Q1798" s="1597"/>
      <c r="R1798" s="1597"/>
      <c r="S1798" s="1597"/>
      <c r="T1798" s="1597"/>
    </row>
    <row r="1799" spans="1:20">
      <c r="A1799" s="1597"/>
      <c r="B1799" s="1597"/>
      <c r="C1799" s="1597"/>
      <c r="D1799" s="1597"/>
      <c r="E1799" s="1597"/>
      <c r="F1799" s="1597"/>
      <c r="G1799" s="1597"/>
      <c r="H1799" s="1597"/>
      <c r="I1799" s="1597"/>
      <c r="J1799" s="1597"/>
      <c r="K1799" s="1597"/>
      <c r="L1799" s="1597"/>
      <c r="M1799" s="1597"/>
      <c r="N1799" s="1597"/>
      <c r="O1799" s="1597"/>
      <c r="P1799" s="1597"/>
      <c r="Q1799" s="1597"/>
      <c r="R1799" s="1597"/>
      <c r="S1799" s="1597"/>
      <c r="T1799" s="1597"/>
    </row>
    <row r="1800" spans="1:20">
      <c r="A1800" s="1597"/>
      <c r="B1800" s="1597"/>
      <c r="C1800" s="1597"/>
      <c r="D1800" s="1597"/>
      <c r="E1800" s="1597"/>
      <c r="F1800" s="1597"/>
      <c r="G1800" s="1597"/>
      <c r="H1800" s="1597"/>
      <c r="I1800" s="1597"/>
      <c r="J1800" s="1597"/>
      <c r="K1800" s="1597"/>
      <c r="L1800" s="1597"/>
      <c r="M1800" s="1597"/>
      <c r="N1800" s="1597"/>
      <c r="O1800" s="1597"/>
      <c r="P1800" s="1597"/>
      <c r="Q1800" s="1597"/>
      <c r="R1800" s="1597"/>
      <c r="S1800" s="1597"/>
      <c r="T1800" s="1597"/>
    </row>
    <row r="1801" spans="1:20">
      <c r="A1801" s="1597"/>
      <c r="B1801" s="1597"/>
      <c r="C1801" s="1597"/>
      <c r="D1801" s="1597"/>
      <c r="E1801" s="1597"/>
      <c r="F1801" s="1597"/>
      <c r="G1801" s="1597"/>
      <c r="H1801" s="1597"/>
      <c r="I1801" s="1597"/>
      <c r="J1801" s="1597"/>
      <c r="K1801" s="1597"/>
      <c r="L1801" s="1597"/>
      <c r="M1801" s="1597"/>
      <c r="N1801" s="1597"/>
      <c r="O1801" s="1597"/>
      <c r="P1801" s="1597"/>
      <c r="Q1801" s="1597"/>
      <c r="R1801" s="1597"/>
      <c r="S1801" s="1597"/>
      <c r="T1801" s="1597"/>
    </row>
    <row r="1802" spans="1:20">
      <c r="A1802" s="1597"/>
      <c r="B1802" s="1597"/>
      <c r="C1802" s="1597"/>
      <c r="D1802" s="1597"/>
      <c r="E1802" s="1597"/>
      <c r="F1802" s="1597"/>
      <c r="G1802" s="1597"/>
      <c r="H1802" s="1597"/>
      <c r="I1802" s="1597"/>
      <c r="J1802" s="1597"/>
      <c r="K1802" s="1597"/>
      <c r="L1802" s="1597"/>
      <c r="M1802" s="1597"/>
      <c r="N1802" s="1597"/>
      <c r="O1802" s="1597"/>
      <c r="P1802" s="1597"/>
      <c r="Q1802" s="1597"/>
      <c r="R1802" s="1597"/>
      <c r="S1802" s="1597"/>
      <c r="T1802" s="1597"/>
    </row>
    <row r="1803" spans="1:20">
      <c r="A1803" s="1597"/>
      <c r="B1803" s="1597"/>
      <c r="C1803" s="1597"/>
      <c r="D1803" s="1597"/>
      <c r="E1803" s="1597"/>
      <c r="F1803" s="1597"/>
      <c r="G1803" s="1597"/>
      <c r="H1803" s="1597"/>
      <c r="I1803" s="1597"/>
      <c r="J1803" s="1597"/>
      <c r="K1803" s="1597"/>
      <c r="L1803" s="1597"/>
      <c r="M1803" s="1597"/>
      <c r="N1803" s="1597"/>
      <c r="O1803" s="1597"/>
      <c r="P1803" s="1597"/>
      <c r="Q1803" s="1597"/>
      <c r="R1803" s="1597"/>
      <c r="S1803" s="1597"/>
      <c r="T1803" s="1597"/>
    </row>
    <row r="1804" spans="1:20">
      <c r="A1804" s="1597"/>
      <c r="B1804" s="1597"/>
      <c r="C1804" s="1597"/>
      <c r="D1804" s="1597"/>
      <c r="E1804" s="1597"/>
      <c r="F1804" s="1597"/>
      <c r="G1804" s="1597"/>
      <c r="H1804" s="1597"/>
      <c r="I1804" s="1597"/>
      <c r="J1804" s="1597"/>
      <c r="K1804" s="1597"/>
      <c r="L1804" s="1597"/>
      <c r="M1804" s="1597"/>
      <c r="N1804" s="1597"/>
      <c r="O1804" s="1597"/>
      <c r="P1804" s="1597"/>
      <c r="Q1804" s="1597"/>
      <c r="R1804" s="1597"/>
      <c r="S1804" s="1597"/>
      <c r="T1804" s="1597"/>
    </row>
    <row r="1805" spans="1:20">
      <c r="A1805" s="1597"/>
      <c r="B1805" s="1597"/>
      <c r="C1805" s="1597"/>
      <c r="D1805" s="1597"/>
      <c r="E1805" s="1597"/>
      <c r="F1805" s="1597"/>
      <c r="G1805" s="1597"/>
      <c r="H1805" s="1597"/>
      <c r="I1805" s="1597"/>
      <c r="J1805" s="1597"/>
      <c r="K1805" s="1597"/>
      <c r="L1805" s="1597"/>
      <c r="M1805" s="1597"/>
      <c r="N1805" s="1597"/>
      <c r="O1805" s="1597"/>
      <c r="P1805" s="1597"/>
      <c r="Q1805" s="1597"/>
      <c r="R1805" s="1597"/>
      <c r="S1805" s="1597"/>
      <c r="T1805" s="1597"/>
    </row>
    <row r="1806" spans="1:20">
      <c r="A1806" s="1597"/>
      <c r="B1806" s="1597"/>
      <c r="C1806" s="1597"/>
      <c r="D1806" s="1597"/>
      <c r="E1806" s="1597"/>
      <c r="F1806" s="1597"/>
      <c r="G1806" s="1597"/>
      <c r="H1806" s="1597"/>
      <c r="I1806" s="1597"/>
      <c r="J1806" s="1597"/>
      <c r="K1806" s="1597"/>
      <c r="L1806" s="1597"/>
      <c r="M1806" s="1597"/>
      <c r="N1806" s="1597"/>
      <c r="O1806" s="1597"/>
      <c r="P1806" s="1597"/>
      <c r="Q1806" s="1597"/>
      <c r="R1806" s="1597"/>
      <c r="S1806" s="1597"/>
      <c r="T1806" s="1597"/>
    </row>
    <row r="1807" spans="1:20">
      <c r="A1807" s="1597"/>
      <c r="B1807" s="1597"/>
      <c r="C1807" s="1597"/>
      <c r="D1807" s="1597"/>
      <c r="E1807" s="1597"/>
      <c r="F1807" s="1597"/>
      <c r="G1807" s="1597"/>
      <c r="H1807" s="1597"/>
      <c r="I1807" s="1597"/>
      <c r="J1807" s="1597"/>
      <c r="K1807" s="1597"/>
      <c r="L1807" s="1597"/>
      <c r="M1807" s="1597"/>
      <c r="N1807" s="1597"/>
      <c r="O1807" s="1597"/>
      <c r="P1807" s="1597"/>
      <c r="Q1807" s="1597"/>
      <c r="R1807" s="1597"/>
      <c r="S1807" s="1597"/>
      <c r="T1807" s="1597"/>
    </row>
    <row r="1808" spans="1:20">
      <c r="A1808" s="1597"/>
      <c r="B1808" s="1597"/>
      <c r="C1808" s="1597"/>
      <c r="D1808" s="1597"/>
      <c r="E1808" s="1597"/>
      <c r="F1808" s="1597"/>
      <c r="G1808" s="1597"/>
      <c r="H1808" s="1597"/>
      <c r="I1808" s="1597"/>
      <c r="J1808" s="1597"/>
      <c r="K1808" s="1597"/>
      <c r="L1808" s="1597"/>
      <c r="M1808" s="1597"/>
      <c r="N1808" s="1597"/>
      <c r="O1808" s="1597"/>
      <c r="P1808" s="1597"/>
      <c r="Q1808" s="1597"/>
      <c r="R1808" s="1597"/>
      <c r="S1808" s="1597"/>
      <c r="T1808" s="1597"/>
    </row>
    <row r="1809" spans="1:20">
      <c r="A1809" s="1597"/>
      <c r="B1809" s="1597"/>
      <c r="C1809" s="1597"/>
      <c r="D1809" s="1597"/>
      <c r="E1809" s="1597"/>
      <c r="F1809" s="1597"/>
      <c r="G1809" s="1597"/>
      <c r="H1809" s="1597"/>
      <c r="I1809" s="1597"/>
      <c r="J1809" s="1597"/>
      <c r="K1809" s="1597"/>
      <c r="L1809" s="1597"/>
      <c r="M1809" s="1597"/>
      <c r="N1809" s="1597"/>
      <c r="O1809" s="1597"/>
      <c r="P1809" s="1597"/>
      <c r="Q1809" s="1597"/>
      <c r="R1809" s="1597"/>
      <c r="S1809" s="1597"/>
      <c r="T1809" s="1597"/>
    </row>
    <row r="1810" spans="1:20">
      <c r="A1810" s="1597"/>
      <c r="B1810" s="1597"/>
      <c r="C1810" s="1597"/>
      <c r="D1810" s="1597"/>
      <c r="E1810" s="1597"/>
      <c r="F1810" s="1597"/>
      <c r="G1810" s="1597"/>
      <c r="H1810" s="1597"/>
      <c r="I1810" s="1597"/>
      <c r="J1810" s="1597"/>
      <c r="K1810" s="1597"/>
      <c r="L1810" s="1597"/>
      <c r="M1810" s="1597"/>
      <c r="N1810" s="1597"/>
      <c r="O1810" s="1597"/>
      <c r="P1810" s="1597"/>
      <c r="Q1810" s="1597"/>
      <c r="R1810" s="1597"/>
      <c r="S1810" s="1597"/>
      <c r="T1810" s="1597"/>
    </row>
    <row r="1811" spans="1:20">
      <c r="A1811" s="1597"/>
      <c r="B1811" s="1597"/>
      <c r="C1811" s="1597"/>
      <c r="D1811" s="1597"/>
      <c r="E1811" s="1597"/>
      <c r="F1811" s="1597"/>
      <c r="G1811" s="1597"/>
      <c r="H1811" s="1597"/>
      <c r="I1811" s="1597"/>
      <c r="J1811" s="1597"/>
      <c r="K1811" s="1597"/>
      <c r="L1811" s="1597"/>
      <c r="M1811" s="1597"/>
      <c r="N1811" s="1597"/>
      <c r="O1811" s="1597"/>
      <c r="P1811" s="1597"/>
      <c r="Q1811" s="1597"/>
      <c r="R1811" s="1597"/>
      <c r="S1811" s="1597"/>
      <c r="T1811" s="1597"/>
    </row>
    <row r="1812" spans="1:20">
      <c r="A1812" s="1597"/>
      <c r="B1812" s="1597"/>
      <c r="C1812" s="1597"/>
      <c r="D1812" s="1597"/>
      <c r="E1812" s="1597"/>
      <c r="F1812" s="1597"/>
      <c r="G1812" s="1597"/>
      <c r="H1812" s="1597"/>
      <c r="I1812" s="1597"/>
      <c r="J1812" s="1597"/>
      <c r="K1812" s="1597"/>
      <c r="L1812" s="1597"/>
      <c r="M1812" s="1597"/>
      <c r="N1812" s="1597"/>
      <c r="O1812" s="1597"/>
      <c r="P1812" s="1597"/>
      <c r="Q1812" s="1597"/>
      <c r="R1812" s="1597"/>
      <c r="S1812" s="1597"/>
      <c r="T1812" s="1597"/>
    </row>
    <row r="1813" spans="1:20">
      <c r="A1813" s="1597"/>
      <c r="B1813" s="1597"/>
      <c r="C1813" s="1597"/>
      <c r="D1813" s="1597"/>
      <c r="E1813" s="1597"/>
      <c r="F1813" s="1597"/>
      <c r="G1813" s="1597"/>
      <c r="H1813" s="1597"/>
      <c r="I1813" s="1597"/>
      <c r="J1813" s="1597"/>
      <c r="K1813" s="1597"/>
      <c r="L1813" s="1597"/>
      <c r="M1813" s="1597"/>
      <c r="N1813" s="1597"/>
      <c r="O1813" s="1597"/>
      <c r="P1813" s="1597"/>
      <c r="Q1813" s="1597"/>
      <c r="R1813" s="1597"/>
      <c r="S1813" s="1597"/>
      <c r="T1813" s="1597"/>
    </row>
    <row r="1814" spans="1:20">
      <c r="A1814" s="1597"/>
      <c r="B1814" s="1597"/>
      <c r="C1814" s="1597"/>
      <c r="D1814" s="1597"/>
      <c r="E1814" s="1597"/>
      <c r="F1814" s="1597"/>
      <c r="G1814" s="1597"/>
      <c r="H1814" s="1597"/>
      <c r="I1814" s="1597"/>
      <c r="J1814" s="1597"/>
      <c r="K1814" s="1597"/>
      <c r="L1814" s="1597"/>
      <c r="M1814" s="1597"/>
      <c r="N1814" s="1597"/>
      <c r="O1814" s="1597"/>
      <c r="P1814" s="1597"/>
      <c r="Q1814" s="1597"/>
      <c r="R1814" s="1597"/>
      <c r="S1814" s="1597"/>
      <c r="T1814" s="1597"/>
    </row>
    <row r="1815" spans="1:20">
      <c r="A1815" s="1597"/>
      <c r="B1815" s="1597"/>
      <c r="C1815" s="1597"/>
      <c r="D1815" s="1597"/>
      <c r="E1815" s="1597"/>
      <c r="F1815" s="1597"/>
      <c r="G1815" s="1597"/>
      <c r="H1815" s="1597"/>
      <c r="I1815" s="1597"/>
      <c r="J1815" s="1597"/>
      <c r="K1815" s="1597"/>
      <c r="L1815" s="1597"/>
      <c r="M1815" s="1597"/>
      <c r="N1815" s="1597"/>
      <c r="O1815" s="1597"/>
      <c r="P1815" s="1597"/>
      <c r="Q1815" s="1597"/>
      <c r="R1815" s="1597"/>
      <c r="S1815" s="1597"/>
      <c r="T1815" s="1597"/>
    </row>
    <row r="1816" spans="1:20">
      <c r="A1816" s="1597"/>
      <c r="B1816" s="1597"/>
      <c r="C1816" s="1597"/>
      <c r="D1816" s="1597"/>
      <c r="E1816" s="1597"/>
      <c r="F1816" s="1597"/>
      <c r="G1816" s="1597"/>
      <c r="H1816" s="1597"/>
      <c r="I1816" s="1597"/>
      <c r="J1816" s="1597"/>
      <c r="K1816" s="1597"/>
      <c r="L1816" s="1597"/>
      <c r="M1816" s="1597"/>
      <c r="N1816" s="1597"/>
      <c r="O1816" s="1597"/>
      <c r="P1816" s="1597"/>
      <c r="Q1816" s="1597"/>
      <c r="R1816" s="1597"/>
      <c r="S1816" s="1597"/>
      <c r="T1816" s="1597"/>
    </row>
    <row r="1817" spans="1:20">
      <c r="A1817" s="1597"/>
      <c r="B1817" s="1597"/>
      <c r="C1817" s="1597"/>
      <c r="D1817" s="1597"/>
      <c r="E1817" s="1597"/>
      <c r="F1817" s="1597"/>
      <c r="G1817" s="1597"/>
      <c r="H1817" s="1597"/>
      <c r="I1817" s="1597"/>
      <c r="J1817" s="1597"/>
      <c r="K1817" s="1597"/>
      <c r="L1817" s="1597"/>
      <c r="M1817" s="1597"/>
      <c r="N1817" s="1597"/>
      <c r="O1817" s="1597"/>
      <c r="P1817" s="1597"/>
      <c r="Q1817" s="1597"/>
      <c r="R1817" s="1597"/>
      <c r="S1817" s="1597"/>
      <c r="T1817" s="1597"/>
    </row>
    <row r="1818" spans="1:20">
      <c r="A1818" s="1597"/>
      <c r="B1818" s="1597"/>
      <c r="C1818" s="1597"/>
      <c r="D1818" s="1597"/>
      <c r="E1818" s="1597"/>
      <c r="F1818" s="1597"/>
      <c r="G1818" s="1597"/>
      <c r="H1818" s="1597"/>
      <c r="I1818" s="1597"/>
      <c r="J1818" s="1597"/>
      <c r="K1818" s="1597"/>
      <c r="L1818" s="1597"/>
      <c r="M1818" s="1597"/>
      <c r="N1818" s="1597"/>
      <c r="O1818" s="1597"/>
      <c r="P1818" s="1597"/>
      <c r="Q1818" s="1597"/>
      <c r="R1818" s="1597"/>
      <c r="S1818" s="1597"/>
      <c r="T1818" s="1597"/>
    </row>
    <row r="1819" spans="1:20">
      <c r="A1819" s="1597"/>
      <c r="B1819" s="1597"/>
      <c r="C1819" s="1597"/>
      <c r="D1819" s="1597"/>
      <c r="E1819" s="1597"/>
      <c r="F1819" s="1597"/>
      <c r="G1819" s="1597"/>
      <c r="H1819" s="1597"/>
      <c r="I1819" s="1597"/>
      <c r="J1819" s="1597"/>
      <c r="K1819" s="1597"/>
      <c r="L1819" s="1597"/>
      <c r="M1819" s="1597"/>
      <c r="N1819" s="1597"/>
      <c r="O1819" s="1597"/>
      <c r="P1819" s="1597"/>
      <c r="Q1819" s="1597"/>
      <c r="R1819" s="1597"/>
      <c r="S1819" s="1597"/>
      <c r="T1819" s="1597"/>
    </row>
    <row r="1820" spans="1:20">
      <c r="A1820" s="1597"/>
      <c r="B1820" s="1597"/>
      <c r="C1820" s="1597"/>
      <c r="D1820" s="1597"/>
      <c r="E1820" s="1597"/>
      <c r="F1820" s="1597"/>
      <c r="G1820" s="1597"/>
      <c r="H1820" s="1597"/>
      <c r="I1820" s="1597"/>
      <c r="J1820" s="1597"/>
      <c r="K1820" s="1597"/>
      <c r="L1820" s="1597"/>
      <c r="M1820" s="1597"/>
      <c r="N1820" s="1597"/>
      <c r="O1820" s="1597"/>
      <c r="P1820" s="1597"/>
      <c r="Q1820" s="1597"/>
      <c r="R1820" s="1597"/>
      <c r="S1820" s="1597"/>
      <c r="T1820" s="1597"/>
    </row>
    <row r="1821" spans="1:20">
      <c r="A1821" s="1597"/>
      <c r="B1821" s="1597"/>
      <c r="C1821" s="1597"/>
      <c r="D1821" s="1597"/>
      <c r="E1821" s="1597"/>
      <c r="F1821" s="1597"/>
      <c r="G1821" s="1597"/>
      <c r="H1821" s="1597"/>
      <c r="I1821" s="1597"/>
      <c r="J1821" s="1597"/>
      <c r="K1821" s="1597"/>
      <c r="L1821" s="1597"/>
      <c r="M1821" s="1597"/>
      <c r="N1821" s="1597"/>
      <c r="O1821" s="1597"/>
      <c r="P1821" s="1597"/>
      <c r="Q1821" s="1597"/>
      <c r="R1821" s="1597"/>
      <c r="S1821" s="1597"/>
      <c r="T1821" s="1597"/>
    </row>
    <row r="1822" spans="1:20">
      <c r="A1822" s="1597"/>
      <c r="B1822" s="1597"/>
      <c r="C1822" s="1597"/>
      <c r="D1822" s="1597"/>
      <c r="E1822" s="1597"/>
      <c r="F1822" s="1597"/>
      <c r="G1822" s="1597"/>
      <c r="H1822" s="1597"/>
      <c r="I1822" s="1597"/>
      <c r="J1822" s="1597"/>
      <c r="K1822" s="1597"/>
      <c r="L1822" s="1597"/>
      <c r="M1822" s="1597"/>
      <c r="N1822" s="1597"/>
      <c r="O1822" s="1597"/>
      <c r="P1822" s="1597"/>
      <c r="Q1822" s="1597"/>
      <c r="R1822" s="1597"/>
      <c r="S1822" s="1597"/>
      <c r="T1822" s="1597"/>
    </row>
    <row r="1823" spans="1:20">
      <c r="A1823" s="1597"/>
      <c r="B1823" s="1597"/>
      <c r="C1823" s="1597"/>
      <c r="D1823" s="1597"/>
      <c r="E1823" s="1597"/>
      <c r="F1823" s="1597"/>
      <c r="G1823" s="1597"/>
      <c r="H1823" s="1597"/>
      <c r="I1823" s="1597"/>
      <c r="J1823" s="1597"/>
      <c r="K1823" s="1597"/>
      <c r="L1823" s="1597"/>
      <c r="M1823" s="1597"/>
      <c r="N1823" s="1597"/>
      <c r="O1823" s="1597"/>
      <c r="P1823" s="1597"/>
      <c r="Q1823" s="1597"/>
      <c r="R1823" s="1597"/>
      <c r="S1823" s="1597"/>
      <c r="T1823" s="1597"/>
    </row>
    <row r="1824" spans="1:20">
      <c r="A1824" s="1597"/>
      <c r="B1824" s="1597"/>
      <c r="C1824" s="1597"/>
      <c r="D1824" s="1597"/>
      <c r="E1824" s="1597"/>
      <c r="F1824" s="1597"/>
      <c r="G1824" s="1597"/>
      <c r="H1824" s="1597"/>
      <c r="I1824" s="1597"/>
      <c r="J1824" s="1597"/>
      <c r="K1824" s="1597"/>
      <c r="L1824" s="1597"/>
      <c r="M1824" s="1597"/>
      <c r="N1824" s="1597"/>
      <c r="O1824" s="1597"/>
      <c r="P1824" s="1597"/>
      <c r="Q1824" s="1597"/>
      <c r="R1824" s="1597"/>
      <c r="S1824" s="1597"/>
      <c r="T1824" s="1597"/>
    </row>
    <row r="1825" spans="1:20">
      <c r="A1825" s="1597"/>
      <c r="B1825" s="1597"/>
      <c r="C1825" s="1597"/>
      <c r="D1825" s="1597"/>
      <c r="E1825" s="1597"/>
      <c r="F1825" s="1597"/>
      <c r="G1825" s="1597"/>
      <c r="H1825" s="1597"/>
      <c r="I1825" s="1597"/>
      <c r="J1825" s="1597"/>
      <c r="K1825" s="1597"/>
      <c r="L1825" s="1597"/>
      <c r="M1825" s="1597"/>
      <c r="N1825" s="1597"/>
      <c r="O1825" s="1597"/>
      <c r="P1825" s="1597"/>
      <c r="Q1825" s="1597"/>
      <c r="R1825" s="1597"/>
      <c r="S1825" s="1597"/>
      <c r="T1825" s="1597"/>
    </row>
    <row r="1826" spans="1:20">
      <c r="A1826" s="1597"/>
      <c r="B1826" s="1597"/>
      <c r="C1826" s="1597"/>
      <c r="D1826" s="1597"/>
      <c r="E1826" s="1597"/>
      <c r="F1826" s="1597"/>
      <c r="G1826" s="1597"/>
      <c r="H1826" s="1597"/>
      <c r="I1826" s="1597"/>
      <c r="J1826" s="1597"/>
      <c r="K1826" s="1597"/>
      <c r="L1826" s="1597"/>
      <c r="M1826" s="1597"/>
      <c r="N1826" s="1597"/>
      <c r="O1826" s="1597"/>
      <c r="P1826" s="1597"/>
      <c r="Q1826" s="1597"/>
      <c r="R1826" s="1597"/>
      <c r="S1826" s="1597"/>
      <c r="T1826" s="1597"/>
    </row>
    <row r="1827" spans="1:20">
      <c r="A1827" s="1597"/>
      <c r="B1827" s="1597"/>
      <c r="C1827" s="1597"/>
      <c r="D1827" s="1597"/>
      <c r="E1827" s="1597"/>
      <c r="F1827" s="1597"/>
      <c r="G1827" s="1597"/>
      <c r="H1827" s="1597"/>
      <c r="I1827" s="1597"/>
      <c r="J1827" s="1597"/>
      <c r="K1827" s="1597"/>
      <c r="L1827" s="1597"/>
      <c r="M1827" s="1597"/>
      <c r="N1827" s="1597"/>
      <c r="O1827" s="1597"/>
      <c r="P1827" s="1597"/>
      <c r="Q1827" s="1597"/>
      <c r="R1827" s="1597"/>
      <c r="S1827" s="1597"/>
      <c r="T1827" s="1597"/>
    </row>
    <row r="1828" spans="1:20">
      <c r="A1828" s="1597"/>
      <c r="B1828" s="1597"/>
      <c r="C1828" s="1597"/>
      <c r="D1828" s="1597"/>
      <c r="E1828" s="1597"/>
      <c r="F1828" s="1597"/>
      <c r="G1828" s="1597"/>
      <c r="H1828" s="1597"/>
      <c r="I1828" s="1597"/>
      <c r="J1828" s="1597"/>
      <c r="K1828" s="1597"/>
      <c r="L1828" s="1597"/>
      <c r="M1828" s="1597"/>
      <c r="N1828" s="1597"/>
      <c r="O1828" s="1597"/>
      <c r="P1828" s="1597"/>
      <c r="Q1828" s="1597"/>
      <c r="R1828" s="1597"/>
      <c r="S1828" s="1597"/>
      <c r="T1828" s="1597"/>
    </row>
    <row r="1829" spans="1:20">
      <c r="A1829" s="1597"/>
      <c r="B1829" s="1597"/>
      <c r="C1829" s="1597"/>
      <c r="D1829" s="1597"/>
      <c r="E1829" s="1597"/>
      <c r="F1829" s="1597"/>
      <c r="G1829" s="1597"/>
      <c r="H1829" s="1597"/>
      <c r="I1829" s="1597"/>
      <c r="J1829" s="1597"/>
      <c r="K1829" s="1597"/>
      <c r="L1829" s="1597"/>
      <c r="M1829" s="1597"/>
      <c r="N1829" s="1597"/>
      <c r="O1829" s="1597"/>
      <c r="P1829" s="1597"/>
      <c r="Q1829" s="1597"/>
      <c r="R1829" s="1597"/>
      <c r="S1829" s="1597"/>
      <c r="T1829" s="1597"/>
    </row>
    <row r="1830" spans="1:20">
      <c r="A1830" s="1597"/>
      <c r="B1830" s="1597"/>
      <c r="C1830" s="1597"/>
      <c r="D1830" s="1597"/>
      <c r="E1830" s="1597"/>
      <c r="F1830" s="1597"/>
      <c r="G1830" s="1597"/>
      <c r="H1830" s="1597"/>
      <c r="I1830" s="1597"/>
      <c r="J1830" s="1597"/>
      <c r="K1830" s="1597"/>
      <c r="L1830" s="1597"/>
      <c r="M1830" s="1597"/>
      <c r="N1830" s="1597"/>
      <c r="O1830" s="1597"/>
      <c r="P1830" s="1597"/>
      <c r="Q1830" s="1597"/>
      <c r="R1830" s="1597"/>
      <c r="S1830" s="1597"/>
      <c r="T1830" s="1597"/>
    </row>
    <row r="1831" spans="1:20">
      <c r="A1831" s="1597"/>
      <c r="B1831" s="1597"/>
      <c r="C1831" s="1597"/>
      <c r="D1831" s="1597"/>
      <c r="E1831" s="1597"/>
      <c r="F1831" s="1597"/>
      <c r="G1831" s="1597"/>
      <c r="H1831" s="1597"/>
      <c r="I1831" s="1597"/>
      <c r="J1831" s="1597"/>
      <c r="K1831" s="1597"/>
      <c r="L1831" s="1597"/>
      <c r="M1831" s="1597"/>
      <c r="N1831" s="1597"/>
      <c r="O1831" s="1597"/>
      <c r="P1831" s="1597"/>
      <c r="Q1831" s="1597"/>
      <c r="R1831" s="1597"/>
      <c r="S1831" s="1597"/>
      <c r="T1831" s="1597"/>
    </row>
    <row r="1832" spans="1:20">
      <c r="A1832" s="1597"/>
      <c r="B1832" s="1597"/>
      <c r="C1832" s="1597"/>
      <c r="D1832" s="1597"/>
      <c r="E1832" s="1597"/>
      <c r="F1832" s="1597"/>
      <c r="G1832" s="1597"/>
      <c r="H1832" s="1597"/>
      <c r="I1832" s="1597"/>
      <c r="J1832" s="1597"/>
      <c r="K1832" s="1597"/>
      <c r="L1832" s="1597"/>
      <c r="M1832" s="1597"/>
      <c r="N1832" s="1597"/>
      <c r="O1832" s="1597"/>
      <c r="P1832" s="1597"/>
      <c r="Q1832" s="1597"/>
      <c r="R1832" s="1597"/>
      <c r="S1832" s="1597"/>
      <c r="T1832" s="1597"/>
    </row>
    <row r="1833" spans="1:20">
      <c r="A1833" s="1597"/>
      <c r="B1833" s="1597"/>
      <c r="C1833" s="1597"/>
      <c r="D1833" s="1597"/>
      <c r="E1833" s="1597"/>
      <c r="F1833" s="1597"/>
      <c r="G1833" s="1597"/>
      <c r="H1833" s="1597"/>
      <c r="I1833" s="1597"/>
      <c r="J1833" s="1597"/>
      <c r="K1833" s="1597"/>
      <c r="L1833" s="1597"/>
      <c r="M1833" s="1597"/>
      <c r="N1833" s="1597"/>
      <c r="O1833" s="1597"/>
      <c r="P1833" s="1597"/>
      <c r="Q1833" s="1597"/>
      <c r="R1833" s="1597"/>
      <c r="S1833" s="1597"/>
      <c r="T1833" s="1597"/>
    </row>
    <row r="1834" spans="1:20">
      <c r="A1834" s="1597"/>
      <c r="B1834" s="1597"/>
      <c r="C1834" s="1597"/>
      <c r="D1834" s="1597"/>
      <c r="E1834" s="1597"/>
      <c r="F1834" s="1597"/>
      <c r="G1834" s="1597"/>
      <c r="H1834" s="1597"/>
      <c r="I1834" s="1597"/>
      <c r="J1834" s="1597"/>
      <c r="K1834" s="1597"/>
      <c r="L1834" s="1597"/>
      <c r="M1834" s="1597"/>
      <c r="N1834" s="1597"/>
      <c r="O1834" s="1597"/>
      <c r="P1834" s="1597"/>
      <c r="Q1834" s="1597"/>
      <c r="R1834" s="1597"/>
      <c r="S1834" s="1597"/>
      <c r="T1834" s="1597"/>
    </row>
    <row r="1835" spans="1:20">
      <c r="A1835" s="1597"/>
      <c r="B1835" s="1597"/>
      <c r="C1835" s="1597"/>
      <c r="D1835" s="1597"/>
      <c r="E1835" s="1597"/>
      <c r="F1835" s="1597"/>
      <c r="G1835" s="1597"/>
      <c r="H1835" s="1597"/>
      <c r="I1835" s="1597"/>
      <c r="J1835" s="1597"/>
      <c r="K1835" s="1597"/>
      <c r="L1835" s="1597"/>
      <c r="M1835" s="1597"/>
      <c r="N1835" s="1597"/>
      <c r="O1835" s="1597"/>
      <c r="P1835" s="1597"/>
      <c r="Q1835" s="1597"/>
      <c r="R1835" s="1597"/>
      <c r="S1835" s="1597"/>
      <c r="T1835" s="1597"/>
    </row>
    <row r="1836" spans="1:20">
      <c r="A1836" s="1597"/>
      <c r="B1836" s="1597"/>
      <c r="C1836" s="1597"/>
      <c r="D1836" s="1597"/>
      <c r="E1836" s="1597"/>
      <c r="F1836" s="1597"/>
      <c r="G1836" s="1597"/>
      <c r="H1836" s="1597"/>
      <c r="I1836" s="1597"/>
      <c r="J1836" s="1597"/>
      <c r="K1836" s="1597"/>
      <c r="L1836" s="1597"/>
      <c r="M1836" s="1597"/>
      <c r="N1836" s="1597"/>
      <c r="O1836" s="1597"/>
      <c r="P1836" s="1597"/>
      <c r="Q1836" s="1597"/>
      <c r="R1836" s="1597"/>
      <c r="S1836" s="1597"/>
      <c r="T1836" s="1597"/>
    </row>
    <row r="1837" spans="1:20">
      <c r="A1837" s="1597"/>
      <c r="B1837" s="1597"/>
      <c r="C1837" s="1597"/>
      <c r="D1837" s="1597"/>
      <c r="E1837" s="1597"/>
      <c r="F1837" s="1597"/>
      <c r="G1837" s="1597"/>
      <c r="H1837" s="1597"/>
      <c r="I1837" s="1597"/>
      <c r="J1837" s="1597"/>
      <c r="K1837" s="1597"/>
      <c r="L1837" s="1597"/>
      <c r="M1837" s="1597"/>
      <c r="N1837" s="1597"/>
      <c r="O1837" s="1597"/>
      <c r="P1837" s="1597"/>
      <c r="Q1837" s="1597"/>
      <c r="R1837" s="1597"/>
      <c r="S1837" s="1597"/>
      <c r="T1837" s="1597"/>
    </row>
    <row r="1838" spans="1:20">
      <c r="A1838" s="1597"/>
      <c r="B1838" s="1597"/>
      <c r="C1838" s="1597"/>
      <c r="D1838" s="1597"/>
      <c r="E1838" s="1597"/>
      <c r="F1838" s="1597"/>
      <c r="G1838" s="1597"/>
      <c r="H1838" s="1597"/>
      <c r="I1838" s="1597"/>
      <c r="J1838" s="1597"/>
      <c r="K1838" s="1597"/>
      <c r="L1838" s="1597"/>
      <c r="M1838" s="1597"/>
      <c r="N1838" s="1597"/>
      <c r="O1838" s="1597"/>
      <c r="P1838" s="1597"/>
      <c r="Q1838" s="1597"/>
      <c r="R1838" s="1597"/>
      <c r="S1838" s="1597"/>
      <c r="T1838" s="1597"/>
    </row>
    <row r="1839" spans="1:20">
      <c r="A1839" s="1597"/>
      <c r="B1839" s="1597"/>
      <c r="C1839" s="1597"/>
      <c r="D1839" s="1597"/>
      <c r="E1839" s="1597"/>
      <c r="F1839" s="1597"/>
      <c r="G1839" s="1597"/>
      <c r="H1839" s="1597"/>
      <c r="I1839" s="1597"/>
      <c r="J1839" s="1597"/>
      <c r="K1839" s="1597"/>
      <c r="L1839" s="1597"/>
      <c r="M1839" s="1597"/>
      <c r="N1839" s="1597"/>
      <c r="O1839" s="1597"/>
      <c r="P1839" s="1597"/>
      <c r="Q1839" s="1597"/>
      <c r="R1839" s="1597"/>
      <c r="S1839" s="1597"/>
      <c r="T1839" s="1597"/>
    </row>
    <row r="1840" spans="1:20">
      <c r="A1840" s="1597"/>
      <c r="B1840" s="1597"/>
      <c r="C1840" s="1597"/>
      <c r="D1840" s="1597"/>
      <c r="E1840" s="1597"/>
      <c r="F1840" s="1597"/>
      <c r="G1840" s="1597"/>
      <c r="H1840" s="1597"/>
      <c r="I1840" s="1597"/>
      <c r="J1840" s="1597"/>
      <c r="K1840" s="1597"/>
      <c r="L1840" s="1597"/>
      <c r="M1840" s="1597"/>
      <c r="N1840" s="1597"/>
      <c r="O1840" s="1597"/>
      <c r="P1840" s="1597"/>
      <c r="Q1840" s="1597"/>
      <c r="R1840" s="1597"/>
      <c r="S1840" s="1597"/>
      <c r="T1840" s="1597"/>
    </row>
    <row r="1841" spans="1:20">
      <c r="A1841" s="1597"/>
      <c r="B1841" s="1597"/>
      <c r="C1841" s="1597"/>
      <c r="D1841" s="1597"/>
      <c r="E1841" s="1597"/>
      <c r="F1841" s="1597"/>
      <c r="G1841" s="1597"/>
      <c r="H1841" s="1597"/>
      <c r="I1841" s="1597"/>
      <c r="J1841" s="1597"/>
      <c r="K1841" s="1597"/>
      <c r="L1841" s="1597"/>
      <c r="M1841" s="1597"/>
      <c r="N1841" s="1597"/>
      <c r="O1841" s="1597"/>
      <c r="P1841" s="1597"/>
      <c r="Q1841" s="1597"/>
      <c r="R1841" s="1597"/>
      <c r="S1841" s="1597"/>
      <c r="T1841" s="1597"/>
    </row>
    <row r="1842" spans="1:20">
      <c r="A1842" s="1597"/>
      <c r="B1842" s="1597"/>
      <c r="C1842" s="1597"/>
      <c r="D1842" s="1597"/>
      <c r="E1842" s="1597"/>
      <c r="F1842" s="1597"/>
      <c r="G1842" s="1597"/>
      <c r="H1842" s="1597"/>
      <c r="I1842" s="1597"/>
      <c r="J1842" s="1597"/>
      <c r="K1842" s="1597"/>
      <c r="L1842" s="1597"/>
      <c r="M1842" s="1597"/>
      <c r="N1842" s="1597"/>
      <c r="O1842" s="1597"/>
      <c r="P1842" s="1597"/>
      <c r="Q1842" s="1597"/>
      <c r="R1842" s="1597"/>
      <c r="S1842" s="1597"/>
      <c r="T1842" s="1597"/>
    </row>
    <row r="1843" spans="1:20">
      <c r="A1843" s="1597"/>
      <c r="B1843" s="1597"/>
      <c r="C1843" s="1597"/>
      <c r="D1843" s="1597"/>
      <c r="E1843" s="1597"/>
      <c r="F1843" s="1597"/>
      <c r="G1843" s="1597"/>
      <c r="H1843" s="1597"/>
      <c r="I1843" s="1597"/>
      <c r="J1843" s="1597"/>
      <c r="K1843" s="1597"/>
      <c r="L1843" s="1597"/>
      <c r="M1843" s="1597"/>
      <c r="N1843" s="1597"/>
      <c r="O1843" s="1597"/>
      <c r="P1843" s="1597"/>
      <c r="Q1843" s="1597"/>
      <c r="R1843" s="1597"/>
      <c r="S1843" s="1597"/>
      <c r="T1843" s="1597"/>
    </row>
    <row r="1844" spans="1:20">
      <c r="A1844" s="1597"/>
      <c r="B1844" s="1597"/>
      <c r="C1844" s="1597"/>
      <c r="D1844" s="1597"/>
      <c r="E1844" s="1597"/>
      <c r="F1844" s="1597"/>
      <c r="G1844" s="1597"/>
      <c r="H1844" s="1597"/>
      <c r="I1844" s="1597"/>
      <c r="J1844" s="1597"/>
      <c r="K1844" s="1597"/>
      <c r="L1844" s="1597"/>
      <c r="M1844" s="1597"/>
      <c r="N1844" s="1597"/>
      <c r="O1844" s="1597"/>
      <c r="P1844" s="1597"/>
      <c r="Q1844" s="1597"/>
      <c r="R1844" s="1597"/>
      <c r="S1844" s="1597"/>
      <c r="T1844" s="1597"/>
    </row>
    <row r="1845" spans="1:20">
      <c r="A1845" s="1597"/>
      <c r="B1845" s="1597"/>
      <c r="C1845" s="1597"/>
      <c r="D1845" s="1597"/>
      <c r="E1845" s="1597"/>
      <c r="F1845" s="1597"/>
      <c r="G1845" s="1597"/>
      <c r="H1845" s="1597"/>
      <c r="I1845" s="1597"/>
      <c r="J1845" s="1597"/>
      <c r="K1845" s="1597"/>
      <c r="L1845" s="1597"/>
      <c r="M1845" s="1597"/>
      <c r="N1845" s="1597"/>
      <c r="O1845" s="1597"/>
      <c r="P1845" s="1597"/>
      <c r="Q1845" s="1597"/>
      <c r="R1845" s="1597"/>
      <c r="S1845" s="1597"/>
      <c r="T1845" s="1597"/>
    </row>
    <row r="1846" spans="1:20">
      <c r="A1846" s="1597"/>
      <c r="B1846" s="1597"/>
      <c r="C1846" s="1597"/>
      <c r="D1846" s="1597"/>
      <c r="E1846" s="1597"/>
      <c r="F1846" s="1597"/>
      <c r="G1846" s="1597"/>
      <c r="H1846" s="1597"/>
      <c r="I1846" s="1597"/>
      <c r="J1846" s="1597"/>
      <c r="K1846" s="1597"/>
      <c r="L1846" s="1597"/>
      <c r="M1846" s="1597"/>
      <c r="N1846" s="1597"/>
      <c r="O1846" s="1597"/>
      <c r="P1846" s="1597"/>
      <c r="Q1846" s="1597"/>
      <c r="R1846" s="1597"/>
      <c r="S1846" s="1597"/>
      <c r="T1846" s="1597"/>
    </row>
    <row r="1847" spans="1:20">
      <c r="A1847" s="1597"/>
      <c r="B1847" s="1597"/>
      <c r="C1847" s="1597"/>
      <c r="D1847" s="1597"/>
      <c r="E1847" s="1597"/>
      <c r="F1847" s="1597"/>
      <c r="G1847" s="1597"/>
      <c r="H1847" s="1597"/>
      <c r="I1847" s="1597"/>
      <c r="J1847" s="1597"/>
      <c r="K1847" s="1597"/>
      <c r="L1847" s="1597"/>
      <c r="M1847" s="1597"/>
      <c r="N1847" s="1597"/>
      <c r="O1847" s="1597"/>
      <c r="P1847" s="1597"/>
      <c r="Q1847" s="1597"/>
      <c r="R1847" s="1597"/>
      <c r="S1847" s="1597"/>
      <c r="T1847" s="1597"/>
    </row>
    <row r="1848" spans="1:20">
      <c r="A1848" s="1597"/>
      <c r="B1848" s="1597"/>
      <c r="C1848" s="1597"/>
      <c r="D1848" s="1597"/>
      <c r="E1848" s="1597"/>
      <c r="F1848" s="1597"/>
      <c r="G1848" s="1597"/>
      <c r="H1848" s="1597"/>
      <c r="I1848" s="1597"/>
      <c r="J1848" s="1597"/>
      <c r="K1848" s="1597"/>
      <c r="L1848" s="1597"/>
      <c r="M1848" s="1597"/>
      <c r="N1848" s="1597"/>
      <c r="O1848" s="1597"/>
      <c r="P1848" s="1597"/>
      <c r="Q1848" s="1597"/>
      <c r="R1848" s="1597"/>
      <c r="S1848" s="1597"/>
      <c r="T1848" s="1597"/>
    </row>
    <row r="1849" spans="1:20">
      <c r="A1849" s="1597"/>
      <c r="B1849" s="1597"/>
      <c r="C1849" s="1597"/>
      <c r="D1849" s="1597"/>
      <c r="E1849" s="1597"/>
      <c r="F1849" s="1597"/>
      <c r="G1849" s="1597"/>
      <c r="H1849" s="1597"/>
      <c r="I1849" s="1597"/>
      <c r="J1849" s="1597"/>
      <c r="K1849" s="1597"/>
      <c r="L1849" s="1597"/>
      <c r="M1849" s="1597"/>
      <c r="N1849" s="1597"/>
      <c r="O1849" s="1597"/>
      <c r="P1849" s="1597"/>
      <c r="Q1849" s="1597"/>
      <c r="R1849" s="1597"/>
      <c r="S1849" s="1597"/>
      <c r="T1849" s="1597"/>
    </row>
    <row r="1850" spans="1:20">
      <c r="A1850" s="1597"/>
      <c r="B1850" s="1597"/>
      <c r="C1850" s="1597"/>
      <c r="D1850" s="1597"/>
      <c r="E1850" s="1597"/>
      <c r="F1850" s="1597"/>
      <c r="G1850" s="1597"/>
      <c r="H1850" s="1597"/>
      <c r="I1850" s="1597"/>
      <c r="J1850" s="1597"/>
      <c r="K1850" s="1597"/>
      <c r="L1850" s="1597"/>
      <c r="M1850" s="1597"/>
      <c r="N1850" s="1597"/>
      <c r="O1850" s="1597"/>
      <c r="P1850" s="1597"/>
      <c r="Q1850" s="1597"/>
      <c r="R1850" s="1597"/>
      <c r="S1850" s="1597"/>
      <c r="T1850" s="1597"/>
    </row>
    <row r="1851" spans="1:20">
      <c r="A1851" s="1597"/>
      <c r="B1851" s="1597"/>
      <c r="C1851" s="1597"/>
      <c r="D1851" s="1597"/>
      <c r="E1851" s="1597"/>
      <c r="F1851" s="1597"/>
      <c r="G1851" s="1597"/>
      <c r="H1851" s="1597"/>
      <c r="I1851" s="1597"/>
      <c r="J1851" s="1597"/>
      <c r="K1851" s="1597"/>
      <c r="L1851" s="1597"/>
      <c r="M1851" s="1597"/>
      <c r="N1851" s="1597"/>
      <c r="O1851" s="1597"/>
      <c r="P1851" s="1597"/>
      <c r="Q1851" s="1597"/>
      <c r="R1851" s="1597"/>
      <c r="S1851" s="1597"/>
      <c r="T1851" s="1597"/>
    </row>
    <row r="1852" spans="1:20">
      <c r="A1852" s="1597"/>
      <c r="B1852" s="1597"/>
      <c r="C1852" s="1597"/>
      <c r="D1852" s="1597"/>
      <c r="E1852" s="1597"/>
      <c r="F1852" s="1597"/>
      <c r="G1852" s="1597"/>
      <c r="H1852" s="1597"/>
      <c r="I1852" s="1597"/>
      <c r="J1852" s="1597"/>
      <c r="K1852" s="1597"/>
      <c r="L1852" s="1597"/>
      <c r="M1852" s="1597"/>
      <c r="N1852" s="1597"/>
      <c r="O1852" s="1597"/>
      <c r="P1852" s="1597"/>
      <c r="Q1852" s="1597"/>
      <c r="R1852" s="1597"/>
      <c r="S1852" s="1597"/>
      <c r="T1852" s="1597"/>
    </row>
    <row r="1853" spans="1:20">
      <c r="A1853" s="1597"/>
      <c r="B1853" s="1597"/>
      <c r="C1853" s="1597"/>
      <c r="D1853" s="1597"/>
      <c r="E1853" s="1597"/>
      <c r="F1853" s="1597"/>
      <c r="G1853" s="1597"/>
      <c r="H1853" s="1597"/>
      <c r="I1853" s="1597"/>
      <c r="J1853" s="1597"/>
      <c r="K1853" s="1597"/>
      <c r="L1853" s="1597"/>
      <c r="M1853" s="1597"/>
      <c r="N1853" s="1597"/>
      <c r="O1853" s="1597"/>
      <c r="P1853" s="1597"/>
      <c r="Q1853" s="1597"/>
      <c r="R1853" s="1597"/>
      <c r="S1853" s="1597"/>
      <c r="T1853" s="1597"/>
    </row>
    <row r="1854" spans="1:20">
      <c r="A1854" s="1597"/>
      <c r="B1854" s="1597"/>
      <c r="C1854" s="1597"/>
      <c r="D1854" s="1597"/>
      <c r="E1854" s="1597"/>
      <c r="F1854" s="1597"/>
      <c r="G1854" s="1597"/>
      <c r="H1854" s="1597"/>
      <c r="I1854" s="1597"/>
      <c r="J1854" s="1597"/>
      <c r="K1854" s="1597"/>
      <c r="L1854" s="1597"/>
      <c r="M1854" s="1597"/>
      <c r="N1854" s="1597"/>
      <c r="O1854" s="1597"/>
      <c r="P1854" s="1597"/>
      <c r="Q1854" s="1597"/>
      <c r="R1854" s="1597"/>
      <c r="S1854" s="1597"/>
      <c r="T1854" s="1597"/>
    </row>
    <row r="1855" spans="1:20">
      <c r="A1855" s="1597"/>
      <c r="B1855" s="1597"/>
      <c r="C1855" s="1597"/>
      <c r="D1855" s="1597"/>
      <c r="E1855" s="1597"/>
      <c r="F1855" s="1597"/>
      <c r="G1855" s="1597"/>
      <c r="H1855" s="1597"/>
      <c r="I1855" s="1597"/>
      <c r="J1855" s="1597"/>
      <c r="K1855" s="1597"/>
      <c r="L1855" s="1597"/>
      <c r="M1855" s="1597"/>
      <c r="N1855" s="1597"/>
      <c r="O1855" s="1597"/>
      <c r="P1855" s="1597"/>
      <c r="Q1855" s="1597"/>
      <c r="R1855" s="1597"/>
      <c r="S1855" s="1597"/>
      <c r="T1855" s="1597"/>
    </row>
    <row r="1856" spans="1:20">
      <c r="A1856" s="1597"/>
      <c r="B1856" s="1597"/>
      <c r="C1856" s="1597"/>
      <c r="D1856" s="1597"/>
      <c r="E1856" s="1597"/>
      <c r="F1856" s="1597"/>
      <c r="G1856" s="1597"/>
      <c r="H1856" s="1597"/>
      <c r="I1856" s="1597"/>
      <c r="J1856" s="1597"/>
      <c r="K1856" s="1597"/>
      <c r="L1856" s="1597"/>
      <c r="M1856" s="1597"/>
      <c r="N1856" s="1597"/>
      <c r="O1856" s="1597"/>
      <c r="P1856" s="1597"/>
      <c r="Q1856" s="1597"/>
      <c r="R1856" s="1597"/>
      <c r="S1856" s="1597"/>
      <c r="T1856" s="1597"/>
    </row>
    <row r="1857" spans="1:20">
      <c r="A1857" s="1597"/>
      <c r="B1857" s="1597"/>
      <c r="C1857" s="1597"/>
      <c r="D1857" s="1597"/>
      <c r="E1857" s="1597"/>
      <c r="F1857" s="1597"/>
      <c r="G1857" s="1597"/>
      <c r="H1857" s="1597"/>
      <c r="I1857" s="1597"/>
      <c r="J1857" s="1597"/>
      <c r="K1857" s="1597"/>
      <c r="L1857" s="1597"/>
      <c r="M1857" s="1597"/>
      <c r="N1857" s="1597"/>
      <c r="O1857" s="1597"/>
      <c r="P1857" s="1597"/>
      <c r="Q1857" s="1597"/>
      <c r="R1857" s="1597"/>
      <c r="S1857" s="1597"/>
      <c r="T1857" s="1597"/>
    </row>
    <row r="1858" spans="1:20">
      <c r="A1858" s="1597"/>
      <c r="B1858" s="1597"/>
      <c r="C1858" s="1597"/>
      <c r="D1858" s="1597"/>
      <c r="E1858" s="1597"/>
      <c r="F1858" s="1597"/>
      <c r="G1858" s="1597"/>
      <c r="H1858" s="1597"/>
      <c r="I1858" s="1597"/>
      <c r="J1858" s="1597"/>
      <c r="K1858" s="1597"/>
      <c r="L1858" s="1597"/>
      <c r="M1858" s="1597"/>
      <c r="N1858" s="1597"/>
      <c r="O1858" s="1597"/>
      <c r="P1858" s="1597"/>
      <c r="Q1858" s="1597"/>
      <c r="R1858" s="1597"/>
      <c r="S1858" s="1597"/>
      <c r="T1858" s="1597"/>
    </row>
    <row r="1859" spans="1:20">
      <c r="A1859" s="1597"/>
      <c r="B1859" s="1597"/>
      <c r="C1859" s="1597"/>
      <c r="D1859" s="1597"/>
      <c r="E1859" s="1597"/>
      <c r="F1859" s="1597"/>
      <c r="G1859" s="1597"/>
      <c r="H1859" s="1597"/>
      <c r="I1859" s="1597"/>
      <c r="J1859" s="1597"/>
      <c r="K1859" s="1597"/>
      <c r="L1859" s="1597"/>
      <c r="M1859" s="1597"/>
      <c r="N1859" s="1597"/>
      <c r="O1859" s="1597"/>
      <c r="P1859" s="1597"/>
      <c r="Q1859" s="1597"/>
      <c r="R1859" s="1597"/>
      <c r="S1859" s="1597"/>
      <c r="T1859" s="1597"/>
    </row>
    <row r="1860" spans="1:20">
      <c r="A1860" s="1597"/>
      <c r="B1860" s="1597"/>
      <c r="C1860" s="1597"/>
      <c r="D1860" s="1597"/>
      <c r="E1860" s="1597"/>
      <c r="F1860" s="1597"/>
      <c r="G1860" s="1597"/>
      <c r="H1860" s="1597"/>
      <c r="I1860" s="1597"/>
      <c r="J1860" s="1597"/>
      <c r="K1860" s="1597"/>
      <c r="L1860" s="1597"/>
      <c r="M1860" s="1597"/>
      <c r="N1860" s="1597"/>
      <c r="O1860" s="1597"/>
      <c r="P1860" s="1597"/>
      <c r="Q1860" s="1597"/>
      <c r="R1860" s="1597"/>
      <c r="S1860" s="1597"/>
      <c r="T1860" s="1597"/>
    </row>
    <row r="1861" spans="1:20">
      <c r="A1861" s="1597"/>
      <c r="B1861" s="1597"/>
      <c r="C1861" s="1597"/>
      <c r="D1861" s="1597"/>
      <c r="E1861" s="1597"/>
      <c r="F1861" s="1597"/>
      <c r="G1861" s="1597"/>
      <c r="H1861" s="1597"/>
      <c r="I1861" s="1597"/>
      <c r="J1861" s="1597"/>
      <c r="K1861" s="1597"/>
      <c r="L1861" s="1597"/>
      <c r="M1861" s="1597"/>
      <c r="N1861" s="1597"/>
      <c r="O1861" s="1597"/>
      <c r="P1861" s="1597"/>
      <c r="Q1861" s="1597"/>
      <c r="R1861" s="1597"/>
      <c r="S1861" s="1597"/>
      <c r="T1861" s="1597"/>
    </row>
    <row r="1862" spans="1:20">
      <c r="A1862" s="1597"/>
      <c r="B1862" s="1597"/>
      <c r="C1862" s="1597"/>
      <c r="D1862" s="1597"/>
      <c r="E1862" s="1597"/>
      <c r="F1862" s="1597"/>
      <c r="G1862" s="1597"/>
      <c r="H1862" s="1597"/>
      <c r="I1862" s="1597"/>
      <c r="J1862" s="1597"/>
      <c r="K1862" s="1597"/>
      <c r="L1862" s="1597"/>
      <c r="M1862" s="1597"/>
      <c r="N1862" s="1597"/>
      <c r="O1862" s="1597"/>
      <c r="P1862" s="1597"/>
      <c r="Q1862" s="1597"/>
      <c r="R1862" s="1597"/>
      <c r="S1862" s="1597"/>
      <c r="T1862" s="1597"/>
    </row>
    <row r="1863" spans="1:20">
      <c r="A1863" s="1597"/>
      <c r="B1863" s="1597"/>
      <c r="C1863" s="1597"/>
      <c r="D1863" s="1597"/>
      <c r="E1863" s="1597"/>
      <c r="F1863" s="1597"/>
      <c r="G1863" s="1597"/>
      <c r="H1863" s="1597"/>
      <c r="I1863" s="1597"/>
      <c r="J1863" s="1597"/>
      <c r="K1863" s="1597"/>
      <c r="L1863" s="1597"/>
      <c r="M1863" s="1597"/>
      <c r="N1863" s="1597"/>
      <c r="O1863" s="1597"/>
      <c r="P1863" s="1597"/>
      <c r="Q1863" s="1597"/>
      <c r="R1863" s="1597"/>
      <c r="S1863" s="1597"/>
      <c r="T1863" s="1597"/>
    </row>
    <row r="1864" spans="1:20">
      <c r="A1864" s="1597"/>
      <c r="B1864" s="1597"/>
      <c r="C1864" s="1597"/>
      <c r="D1864" s="1597"/>
      <c r="E1864" s="1597"/>
      <c r="F1864" s="1597"/>
      <c r="G1864" s="1597"/>
      <c r="H1864" s="1597"/>
      <c r="I1864" s="1597"/>
      <c r="J1864" s="1597"/>
      <c r="K1864" s="1597"/>
      <c r="L1864" s="1597"/>
      <c r="M1864" s="1597"/>
      <c r="N1864" s="1597"/>
      <c r="O1864" s="1597"/>
      <c r="P1864" s="1597"/>
      <c r="Q1864" s="1597"/>
      <c r="R1864" s="1597"/>
      <c r="S1864" s="1597"/>
      <c r="T1864" s="1597"/>
    </row>
    <row r="1865" spans="1:20">
      <c r="A1865" s="1597"/>
      <c r="B1865" s="1597"/>
      <c r="C1865" s="1597"/>
      <c r="D1865" s="1597"/>
      <c r="E1865" s="1597"/>
      <c r="F1865" s="1597"/>
      <c r="G1865" s="1597"/>
      <c r="H1865" s="1597"/>
      <c r="I1865" s="1597"/>
      <c r="J1865" s="1597"/>
      <c r="K1865" s="1597"/>
      <c r="L1865" s="1597"/>
      <c r="M1865" s="1597"/>
      <c r="N1865" s="1597"/>
      <c r="O1865" s="1597"/>
      <c r="P1865" s="1597"/>
      <c r="Q1865" s="1597"/>
      <c r="R1865" s="1597"/>
      <c r="S1865" s="1597"/>
      <c r="T1865" s="1597"/>
    </row>
    <row r="1866" spans="1:20">
      <c r="A1866" s="1597"/>
      <c r="B1866" s="1597"/>
      <c r="C1866" s="1597"/>
      <c r="D1866" s="1597"/>
      <c r="E1866" s="1597"/>
      <c r="F1866" s="1597"/>
      <c r="G1866" s="1597"/>
      <c r="H1866" s="1597"/>
      <c r="I1866" s="1597"/>
      <c r="J1866" s="1597"/>
      <c r="K1866" s="1597"/>
      <c r="L1866" s="1597"/>
      <c r="M1866" s="1597"/>
      <c r="N1866" s="1597"/>
      <c r="O1866" s="1597"/>
      <c r="P1866" s="1597"/>
      <c r="Q1866" s="1597"/>
      <c r="R1866" s="1597"/>
      <c r="S1866" s="1597"/>
      <c r="T1866" s="1597"/>
    </row>
    <row r="1867" spans="1:20">
      <c r="A1867" s="1597"/>
      <c r="B1867" s="1597"/>
      <c r="C1867" s="1597"/>
      <c r="D1867" s="1597"/>
      <c r="E1867" s="1597"/>
      <c r="F1867" s="1597"/>
      <c r="G1867" s="1597"/>
      <c r="H1867" s="1597"/>
      <c r="I1867" s="1597"/>
      <c r="J1867" s="1597"/>
      <c r="K1867" s="1597"/>
      <c r="L1867" s="1597"/>
      <c r="M1867" s="1597"/>
      <c r="N1867" s="1597"/>
      <c r="O1867" s="1597"/>
      <c r="P1867" s="1597"/>
      <c r="Q1867" s="1597"/>
      <c r="R1867" s="1597"/>
      <c r="S1867" s="1597"/>
      <c r="T1867" s="1597"/>
    </row>
    <row r="1868" spans="1:20">
      <c r="A1868" s="1597"/>
      <c r="B1868" s="1597"/>
      <c r="C1868" s="1597"/>
      <c r="D1868" s="1597"/>
      <c r="E1868" s="1597"/>
      <c r="F1868" s="1597"/>
      <c r="G1868" s="1597"/>
      <c r="H1868" s="1597"/>
      <c r="I1868" s="1597"/>
      <c r="J1868" s="1597"/>
      <c r="K1868" s="1597"/>
      <c r="L1868" s="1597"/>
      <c r="M1868" s="1597"/>
      <c r="N1868" s="1597"/>
      <c r="O1868" s="1597"/>
      <c r="P1868" s="1597"/>
      <c r="Q1868" s="1597"/>
      <c r="R1868" s="1597"/>
      <c r="S1868" s="1597"/>
      <c r="T1868" s="1597"/>
    </row>
    <row r="1869" spans="1:20">
      <c r="A1869" s="1597"/>
      <c r="B1869" s="1597"/>
      <c r="C1869" s="1597"/>
      <c r="D1869" s="1597"/>
      <c r="E1869" s="1597"/>
      <c r="F1869" s="1597"/>
      <c r="G1869" s="1597"/>
      <c r="H1869" s="1597"/>
      <c r="I1869" s="1597"/>
      <c r="J1869" s="1597"/>
      <c r="K1869" s="1597"/>
      <c r="L1869" s="1597"/>
      <c r="M1869" s="1597"/>
      <c r="N1869" s="1597"/>
      <c r="O1869" s="1597"/>
      <c r="P1869" s="1597"/>
      <c r="Q1869" s="1597"/>
      <c r="R1869" s="1597"/>
      <c r="S1869" s="1597"/>
      <c r="T1869" s="1597"/>
    </row>
    <row r="1870" spans="1:20">
      <c r="A1870" s="1597"/>
      <c r="B1870" s="1597"/>
      <c r="C1870" s="1597"/>
      <c r="D1870" s="1597"/>
      <c r="E1870" s="1597"/>
      <c r="F1870" s="1597"/>
      <c r="G1870" s="1597"/>
      <c r="H1870" s="1597"/>
      <c r="I1870" s="1597"/>
      <c r="J1870" s="1597"/>
      <c r="K1870" s="1597"/>
      <c r="L1870" s="1597"/>
      <c r="M1870" s="1597"/>
      <c r="N1870" s="1597"/>
      <c r="O1870" s="1597"/>
      <c r="P1870" s="1597"/>
      <c r="Q1870" s="1597"/>
      <c r="R1870" s="1597"/>
      <c r="S1870" s="1597"/>
      <c r="T1870" s="1597"/>
    </row>
    <row r="1871" spans="1:20">
      <c r="A1871" s="1597"/>
      <c r="B1871" s="1597"/>
      <c r="C1871" s="1597"/>
      <c r="D1871" s="1597"/>
      <c r="E1871" s="1597"/>
      <c r="F1871" s="1597"/>
      <c r="G1871" s="1597"/>
      <c r="H1871" s="1597"/>
      <c r="I1871" s="1597"/>
      <c r="J1871" s="1597"/>
      <c r="K1871" s="1597"/>
      <c r="L1871" s="1597"/>
      <c r="M1871" s="1597"/>
      <c r="N1871" s="1597"/>
      <c r="O1871" s="1597"/>
      <c r="P1871" s="1597"/>
      <c r="Q1871" s="1597"/>
      <c r="R1871" s="1597"/>
      <c r="S1871" s="1597"/>
      <c r="T1871" s="1597"/>
    </row>
    <row r="1872" spans="1:20">
      <c r="A1872" s="1597"/>
      <c r="B1872" s="1597"/>
      <c r="C1872" s="1597"/>
      <c r="D1872" s="1597"/>
      <c r="E1872" s="1597"/>
      <c r="F1872" s="1597"/>
      <c r="G1872" s="1597"/>
      <c r="H1872" s="1597"/>
      <c r="I1872" s="1597"/>
      <c r="J1872" s="1597"/>
      <c r="K1872" s="1597"/>
      <c r="L1872" s="1597"/>
      <c r="M1872" s="1597"/>
      <c r="N1872" s="1597"/>
      <c r="O1872" s="1597"/>
      <c r="P1872" s="1597"/>
      <c r="Q1872" s="1597"/>
      <c r="R1872" s="1597"/>
      <c r="S1872" s="1597"/>
      <c r="T1872" s="1597"/>
    </row>
    <row r="1873" spans="1:20">
      <c r="A1873" s="1597"/>
      <c r="B1873" s="1597"/>
      <c r="C1873" s="1597"/>
      <c r="D1873" s="1597"/>
      <c r="E1873" s="1597"/>
      <c r="F1873" s="1597"/>
      <c r="G1873" s="1597"/>
      <c r="H1873" s="1597"/>
      <c r="I1873" s="1597"/>
      <c r="J1873" s="1597"/>
      <c r="K1873" s="1597"/>
      <c r="L1873" s="1597"/>
      <c r="M1873" s="1597"/>
      <c r="N1873" s="1597"/>
      <c r="O1873" s="1597"/>
      <c r="P1873" s="1597"/>
      <c r="Q1873" s="1597"/>
      <c r="R1873" s="1597"/>
      <c r="S1873" s="1597"/>
      <c r="T1873" s="1597"/>
    </row>
    <row r="1874" spans="1:20">
      <c r="A1874" s="1597"/>
      <c r="B1874" s="1597"/>
      <c r="C1874" s="1597"/>
      <c r="D1874" s="1597"/>
      <c r="E1874" s="1597"/>
      <c r="F1874" s="1597"/>
      <c r="G1874" s="1597"/>
      <c r="H1874" s="1597"/>
      <c r="I1874" s="1597"/>
      <c r="J1874" s="1597"/>
      <c r="K1874" s="1597"/>
      <c r="L1874" s="1597"/>
      <c r="M1874" s="1597"/>
      <c r="N1874" s="1597"/>
      <c r="O1874" s="1597"/>
      <c r="P1874" s="1597"/>
      <c r="Q1874" s="1597"/>
      <c r="R1874" s="1597"/>
      <c r="S1874" s="1597"/>
      <c r="T1874" s="1597"/>
    </row>
    <row r="1875" spans="1:20">
      <c r="A1875" s="1597"/>
      <c r="B1875" s="1597"/>
      <c r="C1875" s="1597"/>
      <c r="D1875" s="1597"/>
      <c r="E1875" s="1597"/>
      <c r="F1875" s="1597"/>
      <c r="G1875" s="1597"/>
      <c r="H1875" s="1597"/>
      <c r="I1875" s="1597"/>
      <c r="J1875" s="1597"/>
      <c r="K1875" s="1597"/>
      <c r="L1875" s="1597"/>
      <c r="M1875" s="1597"/>
      <c r="N1875" s="1597"/>
      <c r="O1875" s="1597"/>
      <c r="P1875" s="1597"/>
      <c r="Q1875" s="1597"/>
      <c r="R1875" s="1597"/>
      <c r="S1875" s="1597"/>
      <c r="T1875" s="1597"/>
    </row>
    <row r="1876" spans="1:20">
      <c r="A1876" s="1597"/>
      <c r="B1876" s="1597"/>
      <c r="C1876" s="1597"/>
      <c r="D1876" s="1597"/>
      <c r="E1876" s="1597"/>
      <c r="F1876" s="1597"/>
      <c r="G1876" s="1597"/>
      <c r="H1876" s="1597"/>
      <c r="I1876" s="1597"/>
      <c r="J1876" s="1597"/>
      <c r="K1876" s="1597"/>
      <c r="L1876" s="1597"/>
      <c r="M1876" s="1597"/>
      <c r="N1876" s="1597"/>
      <c r="O1876" s="1597"/>
      <c r="P1876" s="1597"/>
      <c r="Q1876" s="1597"/>
      <c r="R1876" s="1597"/>
      <c r="S1876" s="1597"/>
      <c r="T1876" s="1597"/>
    </row>
    <row r="1877" spans="1:20">
      <c r="A1877" s="1597"/>
      <c r="B1877" s="1597"/>
      <c r="C1877" s="1597"/>
      <c r="D1877" s="1597"/>
      <c r="E1877" s="1597"/>
      <c r="F1877" s="1597"/>
      <c r="G1877" s="1597"/>
      <c r="H1877" s="1597"/>
      <c r="I1877" s="1597"/>
      <c r="J1877" s="1597"/>
      <c r="K1877" s="1597"/>
      <c r="L1877" s="1597"/>
      <c r="M1877" s="1597"/>
      <c r="N1877" s="1597"/>
      <c r="O1877" s="1597"/>
      <c r="P1877" s="1597"/>
      <c r="Q1877" s="1597"/>
      <c r="R1877" s="1597"/>
      <c r="S1877" s="1597"/>
      <c r="T1877" s="1597"/>
    </row>
    <row r="1878" spans="1:20">
      <c r="A1878" s="1597"/>
      <c r="B1878" s="1597"/>
      <c r="C1878" s="1597"/>
      <c r="D1878" s="1597"/>
      <c r="E1878" s="1597"/>
      <c r="F1878" s="1597"/>
      <c r="G1878" s="1597"/>
      <c r="H1878" s="1597"/>
      <c r="I1878" s="1597"/>
      <c r="J1878" s="1597"/>
      <c r="K1878" s="1597"/>
      <c r="L1878" s="1597"/>
      <c r="M1878" s="1597"/>
      <c r="N1878" s="1597"/>
      <c r="O1878" s="1597"/>
      <c r="P1878" s="1597"/>
      <c r="Q1878" s="1597"/>
      <c r="R1878" s="1597"/>
      <c r="S1878" s="1597"/>
      <c r="T1878" s="1597"/>
    </row>
    <row r="1879" spans="1:20">
      <c r="A1879" s="1597"/>
      <c r="B1879" s="1597"/>
      <c r="C1879" s="1597"/>
      <c r="D1879" s="1597"/>
      <c r="E1879" s="1597"/>
      <c r="F1879" s="1597"/>
      <c r="G1879" s="1597"/>
      <c r="H1879" s="1597"/>
      <c r="I1879" s="1597"/>
      <c r="J1879" s="1597"/>
      <c r="K1879" s="1597"/>
      <c r="L1879" s="1597"/>
      <c r="M1879" s="1597"/>
      <c r="N1879" s="1597"/>
      <c r="O1879" s="1597"/>
      <c r="P1879" s="1597"/>
      <c r="Q1879" s="1597"/>
      <c r="R1879" s="1597"/>
      <c r="S1879" s="1597"/>
      <c r="T1879" s="1597"/>
    </row>
    <row r="1880" spans="1:20">
      <c r="A1880" s="1597"/>
      <c r="B1880" s="1597"/>
      <c r="C1880" s="1597"/>
      <c r="D1880" s="1597"/>
      <c r="E1880" s="1597"/>
      <c r="F1880" s="1597"/>
      <c r="G1880" s="1597"/>
      <c r="H1880" s="1597"/>
      <c r="I1880" s="1597"/>
      <c r="J1880" s="1597"/>
      <c r="K1880" s="1597"/>
      <c r="L1880" s="1597"/>
      <c r="M1880" s="1597"/>
      <c r="N1880" s="1597"/>
      <c r="O1880" s="1597"/>
      <c r="P1880" s="1597"/>
      <c r="Q1880" s="1597"/>
      <c r="R1880" s="1597"/>
      <c r="S1880" s="1597"/>
      <c r="T1880" s="1597"/>
    </row>
    <row r="1881" spans="1:20">
      <c r="A1881" s="1597"/>
      <c r="B1881" s="1597"/>
      <c r="C1881" s="1597"/>
      <c r="D1881" s="1597"/>
      <c r="E1881" s="1597"/>
      <c r="F1881" s="1597"/>
      <c r="G1881" s="1597"/>
      <c r="H1881" s="1597"/>
      <c r="I1881" s="1597"/>
      <c r="J1881" s="1597"/>
      <c r="K1881" s="1597"/>
      <c r="L1881" s="1597"/>
      <c r="M1881" s="1597"/>
      <c r="N1881" s="1597"/>
      <c r="O1881" s="1597"/>
      <c r="P1881" s="1597"/>
      <c r="Q1881" s="1597"/>
      <c r="R1881" s="1597"/>
      <c r="S1881" s="1597"/>
      <c r="T1881" s="1597"/>
    </row>
    <row r="1882" spans="1:20">
      <c r="A1882" s="1597"/>
      <c r="B1882" s="1597"/>
      <c r="C1882" s="1597"/>
      <c r="D1882" s="1597"/>
      <c r="E1882" s="1597"/>
      <c r="F1882" s="1597"/>
      <c r="G1882" s="1597"/>
      <c r="H1882" s="1597"/>
      <c r="I1882" s="1597"/>
      <c r="J1882" s="1597"/>
      <c r="K1882" s="1597"/>
      <c r="L1882" s="1597"/>
      <c r="M1882" s="1597"/>
      <c r="N1882" s="1597"/>
      <c r="O1882" s="1597"/>
      <c r="P1882" s="1597"/>
      <c r="Q1882" s="1597"/>
      <c r="R1882" s="1597"/>
      <c r="S1882" s="1597"/>
      <c r="T1882" s="1597"/>
    </row>
    <row r="1883" spans="1:20">
      <c r="A1883" s="1597"/>
      <c r="B1883" s="1597"/>
      <c r="C1883" s="1597"/>
      <c r="D1883" s="1597"/>
      <c r="E1883" s="1597"/>
      <c r="F1883" s="1597"/>
      <c r="G1883" s="1597"/>
      <c r="H1883" s="1597"/>
      <c r="I1883" s="1597"/>
      <c r="J1883" s="1597"/>
      <c r="K1883" s="1597"/>
      <c r="L1883" s="1597"/>
      <c r="M1883" s="1597"/>
      <c r="N1883" s="1597"/>
      <c r="O1883" s="1597"/>
      <c r="P1883" s="1597"/>
      <c r="Q1883" s="1597"/>
      <c r="R1883" s="1597"/>
      <c r="S1883" s="1597"/>
      <c r="T1883" s="1597"/>
    </row>
    <row r="1884" spans="1:20">
      <c r="A1884" s="1597"/>
      <c r="B1884" s="1597"/>
      <c r="C1884" s="1597"/>
      <c r="D1884" s="1597"/>
      <c r="E1884" s="1597"/>
      <c r="F1884" s="1597"/>
      <c r="G1884" s="1597"/>
      <c r="H1884" s="1597"/>
      <c r="I1884" s="1597"/>
      <c r="J1884" s="1597"/>
      <c r="K1884" s="1597"/>
      <c r="L1884" s="1597"/>
      <c r="M1884" s="1597"/>
      <c r="N1884" s="1597"/>
      <c r="O1884" s="1597"/>
      <c r="P1884" s="1597"/>
      <c r="Q1884" s="1597"/>
      <c r="R1884" s="1597"/>
      <c r="S1884" s="1597"/>
      <c r="T1884" s="1597"/>
    </row>
    <row r="1885" spans="1:20">
      <c r="A1885" s="1597"/>
      <c r="B1885" s="1597"/>
      <c r="C1885" s="1597"/>
      <c r="D1885" s="1597"/>
      <c r="E1885" s="1597"/>
      <c r="F1885" s="1597"/>
      <c r="G1885" s="1597"/>
      <c r="H1885" s="1597"/>
      <c r="I1885" s="1597"/>
      <c r="J1885" s="1597"/>
      <c r="K1885" s="1597"/>
      <c r="L1885" s="1597"/>
      <c r="M1885" s="1597"/>
      <c r="N1885" s="1597"/>
      <c r="O1885" s="1597"/>
      <c r="P1885" s="1597"/>
      <c r="Q1885" s="1597"/>
      <c r="R1885" s="1597"/>
      <c r="S1885" s="1597"/>
      <c r="T1885" s="1597"/>
    </row>
    <row r="1886" spans="1:20">
      <c r="A1886" s="1597"/>
      <c r="B1886" s="1597"/>
      <c r="C1886" s="1597"/>
      <c r="D1886" s="1597"/>
      <c r="E1886" s="1597"/>
      <c r="F1886" s="1597"/>
      <c r="G1886" s="1597"/>
      <c r="H1886" s="1597"/>
      <c r="I1886" s="1597"/>
      <c r="J1886" s="1597"/>
      <c r="K1886" s="1597"/>
      <c r="L1886" s="1597"/>
      <c r="M1886" s="1597"/>
      <c r="N1886" s="1597"/>
      <c r="O1886" s="1597"/>
      <c r="P1886" s="1597"/>
      <c r="Q1886" s="1597"/>
      <c r="R1886" s="1597"/>
      <c r="S1886" s="1597"/>
      <c r="T1886" s="1597"/>
    </row>
    <row r="1887" spans="1:20">
      <c r="A1887" s="1597"/>
      <c r="B1887" s="1597"/>
      <c r="C1887" s="1597"/>
      <c r="D1887" s="1597"/>
      <c r="E1887" s="1597"/>
      <c r="F1887" s="1597"/>
      <c r="G1887" s="1597"/>
      <c r="H1887" s="1597"/>
      <c r="I1887" s="1597"/>
      <c r="J1887" s="1597"/>
      <c r="K1887" s="1597"/>
      <c r="L1887" s="1597"/>
      <c r="M1887" s="1597"/>
      <c r="N1887" s="1597"/>
      <c r="O1887" s="1597"/>
      <c r="P1887" s="1597"/>
      <c r="Q1887" s="1597"/>
      <c r="R1887" s="1597"/>
      <c r="S1887" s="1597"/>
      <c r="T1887" s="1597"/>
    </row>
    <row r="1888" spans="1:20">
      <c r="A1888" s="1597"/>
      <c r="B1888" s="1597"/>
      <c r="C1888" s="1597"/>
      <c r="D1888" s="1597"/>
      <c r="E1888" s="1597"/>
      <c r="F1888" s="1597"/>
      <c r="G1888" s="1597"/>
      <c r="H1888" s="1597"/>
      <c r="I1888" s="1597"/>
      <c r="J1888" s="1597"/>
      <c r="K1888" s="1597"/>
      <c r="L1888" s="1597"/>
      <c r="M1888" s="1597"/>
      <c r="N1888" s="1597"/>
      <c r="O1888" s="1597"/>
      <c r="P1888" s="1597"/>
      <c r="Q1888" s="1597"/>
      <c r="R1888" s="1597"/>
      <c r="S1888" s="1597"/>
      <c r="T1888" s="1597"/>
    </row>
    <row r="1889" spans="1:20">
      <c r="A1889" s="1597"/>
      <c r="B1889" s="1597"/>
      <c r="C1889" s="1597"/>
      <c r="D1889" s="1597"/>
      <c r="E1889" s="1597"/>
      <c r="F1889" s="1597"/>
      <c r="G1889" s="1597"/>
      <c r="H1889" s="1597"/>
      <c r="I1889" s="1597"/>
      <c r="J1889" s="1597"/>
      <c r="K1889" s="1597"/>
      <c r="L1889" s="1597"/>
      <c r="M1889" s="1597"/>
      <c r="N1889" s="1597"/>
      <c r="O1889" s="1597"/>
      <c r="P1889" s="1597"/>
      <c r="Q1889" s="1597"/>
      <c r="R1889" s="1597"/>
      <c r="S1889" s="1597"/>
      <c r="T1889" s="1597"/>
    </row>
    <row r="1890" spans="1:20">
      <c r="A1890" s="1597"/>
      <c r="B1890" s="1597"/>
      <c r="C1890" s="1597"/>
      <c r="D1890" s="1597"/>
      <c r="E1890" s="1597"/>
      <c r="F1890" s="1597"/>
      <c r="G1890" s="1597"/>
      <c r="H1890" s="1597"/>
      <c r="I1890" s="1597"/>
      <c r="J1890" s="1597"/>
      <c r="K1890" s="1597"/>
      <c r="L1890" s="1597"/>
      <c r="M1890" s="1597"/>
      <c r="N1890" s="1597"/>
      <c r="O1890" s="1597"/>
      <c r="P1890" s="1597"/>
      <c r="Q1890" s="1597"/>
      <c r="R1890" s="1597"/>
      <c r="S1890" s="1597"/>
      <c r="T1890" s="1597"/>
    </row>
    <row r="1891" spans="1:20">
      <c r="A1891" s="1597"/>
      <c r="B1891" s="1597"/>
      <c r="C1891" s="1597"/>
      <c r="D1891" s="1597"/>
      <c r="E1891" s="1597"/>
      <c r="F1891" s="1597"/>
      <c r="G1891" s="1597"/>
      <c r="H1891" s="1597"/>
      <c r="I1891" s="1597"/>
      <c r="J1891" s="1597"/>
      <c r="K1891" s="1597"/>
      <c r="L1891" s="1597"/>
      <c r="M1891" s="1597"/>
      <c r="N1891" s="1597"/>
      <c r="O1891" s="1597"/>
      <c r="P1891" s="1597"/>
      <c r="Q1891" s="1597"/>
      <c r="R1891" s="1597"/>
      <c r="S1891" s="1597"/>
      <c r="T1891" s="1597"/>
    </row>
    <row r="1892" spans="1:20">
      <c r="A1892" s="1597"/>
      <c r="B1892" s="1597"/>
      <c r="C1892" s="1597"/>
      <c r="D1892" s="1597"/>
      <c r="E1892" s="1597"/>
      <c r="F1892" s="1597"/>
      <c r="G1892" s="1597"/>
      <c r="H1892" s="1597"/>
      <c r="I1892" s="1597"/>
      <c r="J1892" s="1597"/>
      <c r="K1892" s="1597"/>
      <c r="L1892" s="1597"/>
      <c r="M1892" s="1597"/>
      <c r="N1892" s="1597"/>
      <c r="O1892" s="1597"/>
      <c r="P1892" s="1597"/>
      <c r="Q1892" s="1597"/>
      <c r="R1892" s="1597"/>
      <c r="S1892" s="1597"/>
      <c r="T1892" s="1597"/>
    </row>
    <row r="1893" spans="1:20">
      <c r="A1893" s="1597"/>
      <c r="B1893" s="1597"/>
      <c r="C1893" s="1597"/>
      <c r="D1893" s="1597"/>
      <c r="E1893" s="1597"/>
      <c r="F1893" s="1597"/>
      <c r="G1893" s="1597"/>
      <c r="H1893" s="1597"/>
      <c r="I1893" s="1597"/>
      <c r="J1893" s="1597"/>
      <c r="K1893" s="1597"/>
      <c r="L1893" s="1597"/>
      <c r="M1893" s="1597"/>
      <c r="N1893" s="1597"/>
      <c r="O1893" s="1597"/>
      <c r="P1893" s="1597"/>
      <c r="Q1893" s="1597"/>
      <c r="R1893" s="1597"/>
      <c r="S1893" s="1597"/>
      <c r="T1893" s="1597"/>
    </row>
    <row r="1894" spans="1:20">
      <c r="A1894" s="1597"/>
      <c r="B1894" s="1597"/>
      <c r="C1894" s="1597"/>
      <c r="D1894" s="1597"/>
      <c r="E1894" s="1597"/>
      <c r="F1894" s="1597"/>
      <c r="G1894" s="1597"/>
      <c r="H1894" s="1597"/>
      <c r="I1894" s="1597"/>
      <c r="J1894" s="1597"/>
      <c r="K1894" s="1597"/>
      <c r="L1894" s="1597"/>
      <c r="M1894" s="1597"/>
      <c r="N1894" s="1597"/>
      <c r="O1894" s="1597"/>
      <c r="P1894" s="1597"/>
      <c r="Q1894" s="1597"/>
      <c r="R1894" s="1597"/>
      <c r="S1894" s="1597"/>
      <c r="T1894" s="1597"/>
    </row>
    <row r="1895" spans="1:20">
      <c r="A1895" s="1597"/>
      <c r="B1895" s="1597"/>
      <c r="C1895" s="1597"/>
      <c r="D1895" s="1597"/>
      <c r="E1895" s="1597"/>
      <c r="F1895" s="1597"/>
      <c r="G1895" s="1597"/>
      <c r="H1895" s="1597"/>
      <c r="I1895" s="1597"/>
      <c r="J1895" s="1597"/>
      <c r="K1895" s="1597"/>
      <c r="L1895" s="1597"/>
      <c r="M1895" s="1597"/>
      <c r="N1895" s="1597"/>
      <c r="O1895" s="1597"/>
      <c r="P1895" s="1597"/>
      <c r="Q1895" s="1597"/>
      <c r="R1895" s="1597"/>
      <c r="S1895" s="1597"/>
      <c r="T1895" s="1597"/>
    </row>
    <row r="1896" spans="1:20">
      <c r="A1896" s="1597"/>
      <c r="B1896" s="1597"/>
      <c r="C1896" s="1597"/>
      <c r="D1896" s="1597"/>
      <c r="E1896" s="1597"/>
      <c r="F1896" s="1597"/>
      <c r="G1896" s="1597"/>
      <c r="H1896" s="1597"/>
      <c r="I1896" s="1597"/>
      <c r="J1896" s="1597"/>
      <c r="K1896" s="1597"/>
      <c r="L1896" s="1597"/>
      <c r="M1896" s="1597"/>
      <c r="N1896" s="1597"/>
      <c r="O1896" s="1597"/>
      <c r="P1896" s="1597"/>
      <c r="Q1896" s="1597"/>
      <c r="R1896" s="1597"/>
      <c r="S1896" s="1597"/>
      <c r="T1896" s="1597"/>
    </row>
    <row r="1897" spans="1:20">
      <c r="A1897" s="1597"/>
      <c r="B1897" s="1597"/>
      <c r="C1897" s="1597"/>
      <c r="D1897" s="1597"/>
      <c r="E1897" s="1597"/>
      <c r="F1897" s="1597"/>
      <c r="G1897" s="1597"/>
      <c r="H1897" s="1597"/>
      <c r="I1897" s="1597"/>
      <c r="J1897" s="1597"/>
      <c r="K1897" s="1597"/>
      <c r="L1897" s="1597"/>
      <c r="M1897" s="1597"/>
      <c r="N1897" s="1597"/>
      <c r="O1897" s="1597"/>
      <c r="P1897" s="1597"/>
      <c r="Q1897" s="1597"/>
      <c r="R1897" s="1597"/>
      <c r="S1897" s="1597"/>
      <c r="T1897" s="1597"/>
    </row>
    <row r="1898" spans="1:20">
      <c r="A1898" s="1597"/>
      <c r="B1898" s="1597"/>
      <c r="C1898" s="1597"/>
      <c r="D1898" s="1597"/>
      <c r="E1898" s="1597"/>
      <c r="F1898" s="1597"/>
      <c r="G1898" s="1597"/>
      <c r="H1898" s="1597"/>
      <c r="I1898" s="1597"/>
      <c r="J1898" s="1597"/>
      <c r="K1898" s="1597"/>
      <c r="L1898" s="1597"/>
      <c r="M1898" s="1597"/>
      <c r="N1898" s="1597"/>
      <c r="O1898" s="1597"/>
      <c r="P1898" s="1597"/>
      <c r="Q1898" s="1597"/>
      <c r="R1898" s="1597"/>
      <c r="S1898" s="1597"/>
      <c r="T1898" s="1597"/>
    </row>
    <row r="1899" spans="1:20">
      <c r="A1899" s="1597"/>
      <c r="B1899" s="1597"/>
      <c r="C1899" s="1597"/>
      <c r="D1899" s="1597"/>
      <c r="E1899" s="1597"/>
      <c r="F1899" s="1597"/>
      <c r="G1899" s="1597"/>
      <c r="H1899" s="1597"/>
      <c r="I1899" s="1597"/>
      <c r="J1899" s="1597"/>
      <c r="K1899" s="1597"/>
      <c r="L1899" s="1597"/>
      <c r="M1899" s="1597"/>
      <c r="N1899" s="1597"/>
      <c r="O1899" s="1597"/>
      <c r="P1899" s="1597"/>
      <c r="Q1899" s="1597"/>
      <c r="R1899" s="1597"/>
      <c r="S1899" s="1597"/>
      <c r="T1899" s="1597"/>
    </row>
    <row r="1900" spans="1:20">
      <c r="A1900" s="1597"/>
      <c r="B1900" s="1597"/>
      <c r="C1900" s="1597"/>
      <c r="D1900" s="1597"/>
      <c r="E1900" s="1597"/>
      <c r="F1900" s="1597"/>
      <c r="G1900" s="1597"/>
      <c r="H1900" s="1597"/>
      <c r="I1900" s="1597"/>
      <c r="J1900" s="1597"/>
      <c r="K1900" s="1597"/>
      <c r="L1900" s="1597"/>
      <c r="M1900" s="1597"/>
      <c r="N1900" s="1597"/>
      <c r="O1900" s="1597"/>
      <c r="P1900" s="1597"/>
      <c r="Q1900" s="1597"/>
      <c r="R1900" s="1597"/>
      <c r="S1900" s="1597"/>
      <c r="T1900" s="1597"/>
    </row>
    <row r="1901" spans="1:20">
      <c r="A1901" s="1597"/>
      <c r="B1901" s="1597"/>
      <c r="C1901" s="1597"/>
      <c r="D1901" s="1597"/>
      <c r="E1901" s="1597"/>
      <c r="F1901" s="1597"/>
      <c r="G1901" s="1597"/>
      <c r="H1901" s="1597"/>
      <c r="I1901" s="1597"/>
      <c r="J1901" s="1597"/>
      <c r="K1901" s="1597"/>
      <c r="L1901" s="1597"/>
      <c r="M1901" s="1597"/>
      <c r="N1901" s="1597"/>
      <c r="O1901" s="1597"/>
      <c r="P1901" s="1597"/>
      <c r="Q1901" s="1597"/>
      <c r="R1901" s="1597"/>
      <c r="S1901" s="1597"/>
      <c r="T1901" s="1597"/>
    </row>
    <row r="1902" spans="1:20">
      <c r="A1902" s="1597"/>
      <c r="B1902" s="1597"/>
      <c r="C1902" s="1597"/>
      <c r="D1902" s="1597"/>
      <c r="E1902" s="1597"/>
      <c r="F1902" s="1597"/>
      <c r="G1902" s="1597"/>
      <c r="H1902" s="1597"/>
      <c r="I1902" s="1597"/>
      <c r="J1902" s="1597"/>
      <c r="K1902" s="1597"/>
      <c r="L1902" s="1597"/>
      <c r="M1902" s="1597"/>
      <c r="N1902" s="1597"/>
      <c r="O1902" s="1597"/>
      <c r="P1902" s="1597"/>
      <c r="Q1902" s="1597"/>
      <c r="R1902" s="1597"/>
      <c r="S1902" s="1597"/>
      <c r="T1902" s="1597"/>
    </row>
    <row r="1903" spans="1:20">
      <c r="A1903" s="1597"/>
      <c r="B1903" s="1597"/>
      <c r="C1903" s="1597"/>
      <c r="D1903" s="1597"/>
      <c r="E1903" s="1597"/>
      <c r="F1903" s="1597"/>
      <c r="G1903" s="1597"/>
      <c r="H1903" s="1597"/>
      <c r="I1903" s="1597"/>
      <c r="J1903" s="1597"/>
      <c r="K1903" s="1597"/>
      <c r="L1903" s="1597"/>
      <c r="M1903" s="1597"/>
      <c r="N1903" s="1597"/>
      <c r="O1903" s="1597"/>
      <c r="P1903" s="1597"/>
      <c r="Q1903" s="1597"/>
      <c r="R1903" s="1597"/>
      <c r="S1903" s="1597"/>
      <c r="T1903" s="1597"/>
    </row>
    <row r="1904" spans="1:20">
      <c r="A1904" s="1597"/>
      <c r="B1904" s="1597"/>
      <c r="C1904" s="1597"/>
      <c r="D1904" s="1597"/>
      <c r="E1904" s="1597"/>
      <c r="F1904" s="1597"/>
      <c r="G1904" s="1597"/>
      <c r="H1904" s="1597"/>
      <c r="I1904" s="1597"/>
      <c r="J1904" s="1597"/>
      <c r="K1904" s="1597"/>
      <c r="L1904" s="1597"/>
      <c r="M1904" s="1597"/>
      <c r="N1904" s="1597"/>
      <c r="O1904" s="1597"/>
      <c r="P1904" s="1597"/>
      <c r="Q1904" s="1597"/>
      <c r="R1904" s="1597"/>
      <c r="S1904" s="1597"/>
      <c r="T1904" s="1597"/>
    </row>
    <row r="1905" spans="1:20">
      <c r="A1905" s="1597"/>
      <c r="B1905" s="1597"/>
      <c r="C1905" s="1597"/>
      <c r="D1905" s="1597"/>
      <c r="E1905" s="1597"/>
      <c r="F1905" s="1597"/>
      <c r="G1905" s="1597"/>
      <c r="H1905" s="1597"/>
      <c r="I1905" s="1597"/>
      <c r="J1905" s="1597"/>
      <c r="K1905" s="1597"/>
      <c r="L1905" s="1597"/>
      <c r="M1905" s="1597"/>
      <c r="N1905" s="1597"/>
      <c r="O1905" s="1597"/>
      <c r="P1905" s="1597"/>
      <c r="Q1905" s="1597"/>
      <c r="R1905" s="1597"/>
      <c r="S1905" s="1597"/>
      <c r="T1905" s="1597"/>
    </row>
    <row r="1906" spans="1:20">
      <c r="A1906" s="1597"/>
      <c r="B1906" s="1597"/>
      <c r="C1906" s="1597"/>
      <c r="D1906" s="1597"/>
      <c r="E1906" s="1597"/>
      <c r="F1906" s="1597"/>
      <c r="G1906" s="1597"/>
      <c r="H1906" s="1597"/>
      <c r="I1906" s="1597"/>
      <c r="J1906" s="1597"/>
      <c r="K1906" s="1597"/>
      <c r="L1906" s="1597"/>
      <c r="M1906" s="1597"/>
      <c r="N1906" s="1597"/>
      <c r="O1906" s="1597"/>
      <c r="P1906" s="1597"/>
      <c r="Q1906" s="1597"/>
      <c r="R1906" s="1597"/>
      <c r="S1906" s="1597"/>
      <c r="T1906" s="1597"/>
    </row>
    <row r="1907" spans="1:20">
      <c r="A1907" s="1597"/>
      <c r="B1907" s="1597"/>
      <c r="C1907" s="1597"/>
      <c r="D1907" s="1597"/>
      <c r="E1907" s="1597"/>
      <c r="F1907" s="1597"/>
      <c r="G1907" s="1597"/>
      <c r="H1907" s="1597"/>
      <c r="I1907" s="1597"/>
      <c r="J1907" s="1597"/>
      <c r="K1907" s="1597"/>
      <c r="L1907" s="1597"/>
      <c r="M1907" s="1597"/>
      <c r="N1907" s="1597"/>
      <c r="O1907" s="1597"/>
      <c r="P1907" s="1597"/>
      <c r="Q1907" s="1597"/>
      <c r="R1907" s="1597"/>
      <c r="S1907" s="1597"/>
      <c r="T1907" s="1597"/>
    </row>
    <row r="1908" spans="1:20">
      <c r="A1908" s="1597"/>
      <c r="B1908" s="1597"/>
      <c r="C1908" s="1597"/>
      <c r="D1908" s="1597"/>
      <c r="E1908" s="1597"/>
      <c r="F1908" s="1597"/>
      <c r="G1908" s="1597"/>
      <c r="H1908" s="1597"/>
      <c r="I1908" s="1597"/>
      <c r="J1908" s="1597"/>
      <c r="K1908" s="1597"/>
      <c r="L1908" s="1597"/>
      <c r="M1908" s="1597"/>
      <c r="N1908" s="1597"/>
      <c r="O1908" s="1597"/>
      <c r="P1908" s="1597"/>
      <c r="Q1908" s="1597"/>
      <c r="R1908" s="1597"/>
      <c r="S1908" s="1597"/>
      <c r="T1908" s="1597"/>
    </row>
    <row r="1909" spans="1:20">
      <c r="A1909" s="1597"/>
      <c r="B1909" s="1597"/>
      <c r="C1909" s="1597"/>
      <c r="D1909" s="1597"/>
      <c r="E1909" s="1597"/>
      <c r="F1909" s="1597"/>
      <c r="G1909" s="1597"/>
      <c r="H1909" s="1597"/>
      <c r="I1909" s="1597"/>
      <c r="J1909" s="1597"/>
      <c r="K1909" s="1597"/>
      <c r="L1909" s="1597"/>
      <c r="M1909" s="1597"/>
      <c r="N1909" s="1597"/>
      <c r="O1909" s="1597"/>
      <c r="P1909" s="1597"/>
      <c r="Q1909" s="1597"/>
      <c r="R1909" s="1597"/>
      <c r="S1909" s="1597"/>
      <c r="T1909" s="1597"/>
    </row>
    <row r="1910" spans="1:20">
      <c r="A1910" s="1597"/>
      <c r="B1910" s="1597"/>
      <c r="C1910" s="1597"/>
      <c r="D1910" s="1597"/>
      <c r="E1910" s="1597"/>
      <c r="F1910" s="1597"/>
      <c r="G1910" s="1597"/>
      <c r="H1910" s="1597"/>
      <c r="I1910" s="1597"/>
      <c r="J1910" s="1597"/>
      <c r="K1910" s="1597"/>
      <c r="L1910" s="1597"/>
      <c r="M1910" s="1597"/>
      <c r="N1910" s="1597"/>
      <c r="O1910" s="1597"/>
      <c r="P1910" s="1597"/>
      <c r="Q1910" s="1597"/>
      <c r="R1910" s="1597"/>
      <c r="S1910" s="1597"/>
      <c r="T1910" s="1597"/>
    </row>
    <row r="1911" spans="1:20">
      <c r="A1911" s="1597"/>
      <c r="B1911" s="1597"/>
      <c r="C1911" s="1597"/>
      <c r="D1911" s="1597"/>
      <c r="E1911" s="1597"/>
      <c r="F1911" s="1597"/>
      <c r="G1911" s="1597"/>
      <c r="H1911" s="1597"/>
      <c r="I1911" s="1597"/>
      <c r="J1911" s="1597"/>
      <c r="K1911" s="1597"/>
      <c r="L1911" s="1597"/>
      <c r="M1911" s="1597"/>
      <c r="N1911" s="1597"/>
      <c r="O1911" s="1597"/>
      <c r="P1911" s="1597"/>
      <c r="Q1911" s="1597"/>
      <c r="R1911" s="1597"/>
      <c r="S1911" s="1597"/>
      <c r="T1911" s="1597"/>
    </row>
    <row r="1912" spans="1:20">
      <c r="A1912" s="1597"/>
      <c r="B1912" s="1597"/>
      <c r="C1912" s="1597"/>
      <c r="D1912" s="1597"/>
      <c r="E1912" s="1597"/>
      <c r="F1912" s="1597"/>
      <c r="G1912" s="1597"/>
      <c r="H1912" s="1597"/>
      <c r="I1912" s="1597"/>
      <c r="J1912" s="1597"/>
      <c r="K1912" s="1597"/>
      <c r="L1912" s="1597"/>
      <c r="M1912" s="1597"/>
      <c r="N1912" s="1597"/>
      <c r="O1912" s="1597"/>
      <c r="P1912" s="1597"/>
      <c r="Q1912" s="1597"/>
      <c r="R1912" s="1597"/>
      <c r="S1912" s="1597"/>
      <c r="T1912" s="1597"/>
    </row>
    <row r="1913" spans="1:20">
      <c r="A1913" s="1597"/>
      <c r="B1913" s="1597"/>
      <c r="C1913" s="1597"/>
      <c r="D1913" s="1597"/>
      <c r="E1913" s="1597"/>
      <c r="F1913" s="1597"/>
      <c r="G1913" s="1597"/>
      <c r="H1913" s="1597"/>
      <c r="I1913" s="1597"/>
      <c r="J1913" s="1597"/>
      <c r="K1913" s="1597"/>
      <c r="L1913" s="1597"/>
      <c r="M1913" s="1597"/>
      <c r="N1913" s="1597"/>
      <c r="O1913" s="1597"/>
      <c r="P1913" s="1597"/>
      <c r="Q1913" s="1597"/>
      <c r="R1913" s="1597"/>
      <c r="S1913" s="1597"/>
      <c r="T1913" s="1597"/>
    </row>
    <row r="1914" spans="1:20">
      <c r="A1914" s="1597"/>
      <c r="B1914" s="1597"/>
      <c r="C1914" s="1597"/>
      <c r="D1914" s="1597"/>
      <c r="E1914" s="1597"/>
      <c r="F1914" s="1597"/>
      <c r="G1914" s="1597"/>
      <c r="H1914" s="1597"/>
      <c r="I1914" s="1597"/>
      <c r="J1914" s="1597"/>
      <c r="K1914" s="1597"/>
      <c r="L1914" s="1597"/>
      <c r="M1914" s="1597"/>
      <c r="N1914" s="1597"/>
      <c r="O1914" s="1597"/>
      <c r="P1914" s="1597"/>
      <c r="Q1914" s="1597"/>
      <c r="R1914" s="1597"/>
      <c r="S1914" s="1597"/>
      <c r="T1914" s="1597"/>
    </row>
    <row r="1915" spans="1:20">
      <c r="A1915" s="1597"/>
      <c r="B1915" s="1597"/>
      <c r="C1915" s="1597"/>
      <c r="D1915" s="1597"/>
      <c r="E1915" s="1597"/>
      <c r="F1915" s="1597"/>
      <c r="G1915" s="1597"/>
      <c r="H1915" s="1597"/>
      <c r="I1915" s="1597"/>
      <c r="J1915" s="1597"/>
      <c r="K1915" s="1597"/>
      <c r="L1915" s="1597"/>
      <c r="M1915" s="1597"/>
      <c r="N1915" s="1597"/>
      <c r="O1915" s="1597"/>
      <c r="P1915" s="1597"/>
      <c r="Q1915" s="1597"/>
      <c r="R1915" s="1597"/>
      <c r="S1915" s="1597"/>
      <c r="T1915" s="1597"/>
    </row>
    <row r="1916" spans="1:20">
      <c r="A1916" s="1597"/>
      <c r="B1916" s="1597"/>
      <c r="C1916" s="1597"/>
      <c r="D1916" s="1597"/>
      <c r="E1916" s="1597"/>
      <c r="F1916" s="1597"/>
      <c r="G1916" s="1597"/>
      <c r="H1916" s="1597"/>
      <c r="I1916" s="1597"/>
      <c r="J1916" s="1597"/>
      <c r="K1916" s="1597"/>
      <c r="L1916" s="1597"/>
      <c r="M1916" s="1597"/>
      <c r="N1916" s="1597"/>
      <c r="O1916" s="1597"/>
      <c r="P1916" s="1597"/>
      <c r="Q1916" s="1597"/>
      <c r="R1916" s="1597"/>
      <c r="S1916" s="1597"/>
      <c r="T1916" s="1597"/>
    </row>
    <row r="1917" spans="1:20">
      <c r="A1917" s="1597"/>
      <c r="B1917" s="1597"/>
      <c r="C1917" s="1597"/>
      <c r="D1917" s="1597"/>
      <c r="E1917" s="1597"/>
      <c r="F1917" s="1597"/>
      <c r="G1917" s="1597"/>
      <c r="H1917" s="1597"/>
      <c r="I1917" s="1597"/>
      <c r="J1917" s="1597"/>
      <c r="K1917" s="1597"/>
      <c r="L1917" s="1597"/>
      <c r="M1917" s="1597"/>
      <c r="N1917" s="1597"/>
      <c r="O1917" s="1597"/>
      <c r="P1917" s="1597"/>
      <c r="Q1917" s="1597"/>
      <c r="R1917" s="1597"/>
      <c r="S1917" s="1597"/>
      <c r="T1917" s="1597"/>
    </row>
    <row r="1918" spans="1:20">
      <c r="A1918" s="1597"/>
      <c r="B1918" s="1597"/>
      <c r="C1918" s="1597"/>
      <c r="D1918" s="1597"/>
      <c r="E1918" s="1597"/>
      <c r="F1918" s="1597"/>
      <c r="G1918" s="1597"/>
      <c r="H1918" s="1597"/>
      <c r="I1918" s="1597"/>
      <c r="J1918" s="1597"/>
      <c r="K1918" s="1597"/>
      <c r="L1918" s="1597"/>
      <c r="M1918" s="1597"/>
      <c r="N1918" s="1597"/>
      <c r="O1918" s="1597"/>
      <c r="P1918" s="1597"/>
      <c r="Q1918" s="1597"/>
      <c r="R1918" s="1597"/>
      <c r="S1918" s="1597"/>
      <c r="T1918" s="1597"/>
    </row>
    <row r="1919" spans="1:20">
      <c r="A1919" s="1597"/>
      <c r="B1919" s="1597"/>
      <c r="C1919" s="1597"/>
      <c r="D1919" s="1597"/>
      <c r="E1919" s="1597"/>
      <c r="F1919" s="1597"/>
      <c r="G1919" s="1597"/>
      <c r="H1919" s="1597"/>
      <c r="I1919" s="1597"/>
      <c r="J1919" s="1597"/>
      <c r="K1919" s="1597"/>
      <c r="L1919" s="1597"/>
      <c r="M1919" s="1597"/>
      <c r="N1919" s="1597"/>
      <c r="O1919" s="1597"/>
      <c r="P1919" s="1597"/>
      <c r="Q1919" s="1597"/>
      <c r="R1919" s="1597"/>
      <c r="S1919" s="1597"/>
      <c r="T1919" s="1597"/>
    </row>
    <row r="1920" spans="1:20">
      <c r="A1920" s="1597"/>
      <c r="B1920" s="1597"/>
      <c r="C1920" s="1597"/>
      <c r="D1920" s="1597"/>
      <c r="E1920" s="1597"/>
      <c r="F1920" s="1597"/>
      <c r="G1920" s="1597"/>
      <c r="H1920" s="1597"/>
      <c r="I1920" s="1597"/>
      <c r="J1920" s="1597"/>
      <c r="K1920" s="1597"/>
      <c r="L1920" s="1597"/>
      <c r="M1920" s="1597"/>
      <c r="N1920" s="1597"/>
      <c r="O1920" s="1597"/>
      <c r="P1920" s="1597"/>
      <c r="Q1920" s="1597"/>
      <c r="R1920" s="1597"/>
      <c r="S1920" s="1597"/>
      <c r="T1920" s="1597"/>
    </row>
    <row r="1921" spans="1:20">
      <c r="A1921" s="1597"/>
      <c r="B1921" s="1597"/>
      <c r="C1921" s="1597"/>
      <c r="D1921" s="1597"/>
      <c r="E1921" s="1597"/>
      <c r="F1921" s="1597"/>
      <c r="G1921" s="1597"/>
      <c r="H1921" s="1597"/>
      <c r="I1921" s="1597"/>
      <c r="J1921" s="1597"/>
      <c r="K1921" s="1597"/>
      <c r="L1921" s="1597"/>
      <c r="M1921" s="1597"/>
      <c r="N1921" s="1597"/>
      <c r="O1921" s="1597"/>
      <c r="P1921" s="1597"/>
      <c r="Q1921" s="1597"/>
      <c r="R1921" s="1597"/>
      <c r="S1921" s="1597"/>
      <c r="T1921" s="1597"/>
    </row>
    <row r="1922" spans="1:20">
      <c r="A1922" s="1597"/>
      <c r="B1922" s="1597"/>
      <c r="C1922" s="1597"/>
      <c r="D1922" s="1597"/>
      <c r="E1922" s="1597"/>
      <c r="F1922" s="1597"/>
      <c r="G1922" s="1597"/>
      <c r="H1922" s="1597"/>
      <c r="I1922" s="1597"/>
      <c r="J1922" s="1597"/>
      <c r="K1922" s="1597"/>
      <c r="L1922" s="1597"/>
      <c r="M1922" s="1597"/>
      <c r="N1922" s="1597"/>
      <c r="O1922" s="1597"/>
      <c r="P1922" s="1597"/>
      <c r="Q1922" s="1597"/>
      <c r="R1922" s="1597"/>
      <c r="S1922" s="1597"/>
      <c r="T1922" s="1597"/>
    </row>
    <row r="1923" spans="1:20">
      <c r="A1923" s="1597"/>
      <c r="B1923" s="1597"/>
      <c r="C1923" s="1597"/>
      <c r="D1923" s="1597"/>
      <c r="E1923" s="1597"/>
      <c r="F1923" s="1597"/>
      <c r="G1923" s="1597"/>
      <c r="H1923" s="1597"/>
      <c r="I1923" s="1597"/>
      <c r="J1923" s="1597"/>
      <c r="K1923" s="1597"/>
      <c r="L1923" s="1597"/>
      <c r="M1923" s="1597"/>
      <c r="N1923" s="1597"/>
      <c r="O1923" s="1597"/>
      <c r="P1923" s="1597"/>
      <c r="Q1923" s="1597"/>
      <c r="R1923" s="1597"/>
      <c r="S1923" s="1597"/>
      <c r="T1923" s="1597"/>
    </row>
    <row r="1924" spans="1:20">
      <c r="A1924" s="1597"/>
      <c r="B1924" s="1597"/>
      <c r="C1924" s="1597"/>
      <c r="D1924" s="1597"/>
      <c r="E1924" s="1597"/>
      <c r="F1924" s="1597"/>
      <c r="G1924" s="1597"/>
      <c r="H1924" s="1597"/>
      <c r="I1924" s="1597"/>
      <c r="J1924" s="1597"/>
      <c r="K1924" s="1597"/>
      <c r="L1924" s="1597"/>
      <c r="M1924" s="1597"/>
      <c r="N1924" s="1597"/>
      <c r="O1924" s="1597"/>
      <c r="P1924" s="1597"/>
      <c r="Q1924" s="1597"/>
      <c r="R1924" s="1597"/>
      <c r="S1924" s="1597"/>
      <c r="T1924" s="1597"/>
    </row>
    <row r="1925" spans="1:20">
      <c r="A1925" s="1597"/>
      <c r="B1925" s="1597"/>
      <c r="C1925" s="1597"/>
      <c r="D1925" s="1597"/>
      <c r="E1925" s="1597"/>
      <c r="F1925" s="1597"/>
      <c r="G1925" s="1597"/>
      <c r="H1925" s="1597"/>
      <c r="I1925" s="1597"/>
      <c r="J1925" s="1597"/>
      <c r="K1925" s="1597"/>
      <c r="L1925" s="1597"/>
      <c r="M1925" s="1597"/>
      <c r="N1925" s="1597"/>
      <c r="O1925" s="1597"/>
      <c r="P1925" s="1597"/>
      <c r="Q1925" s="1597"/>
      <c r="R1925" s="1597"/>
      <c r="S1925" s="1597"/>
      <c r="T1925" s="1597"/>
    </row>
    <row r="1926" spans="1:20">
      <c r="A1926" s="1597"/>
      <c r="B1926" s="1597"/>
      <c r="C1926" s="1597"/>
      <c r="D1926" s="1597"/>
      <c r="E1926" s="1597"/>
      <c r="F1926" s="1597"/>
      <c r="G1926" s="1597"/>
      <c r="H1926" s="1597"/>
      <c r="I1926" s="1597"/>
      <c r="J1926" s="1597"/>
      <c r="K1926" s="1597"/>
      <c r="L1926" s="1597"/>
      <c r="M1926" s="1597"/>
      <c r="N1926" s="1597"/>
      <c r="O1926" s="1597"/>
      <c r="P1926" s="1597"/>
      <c r="Q1926" s="1597"/>
      <c r="R1926" s="1597"/>
      <c r="S1926" s="1597"/>
      <c r="T1926" s="1597"/>
    </row>
    <row r="1927" spans="1:20">
      <c r="A1927" s="1597"/>
      <c r="B1927" s="1597"/>
      <c r="C1927" s="1597"/>
      <c r="D1927" s="1597"/>
      <c r="E1927" s="1597"/>
      <c r="F1927" s="1597"/>
      <c r="G1927" s="1597"/>
      <c r="H1927" s="1597"/>
      <c r="I1927" s="1597"/>
      <c r="J1927" s="1597"/>
      <c r="K1927" s="1597"/>
      <c r="L1927" s="1597"/>
      <c r="M1927" s="1597"/>
      <c r="N1927" s="1597"/>
      <c r="O1927" s="1597"/>
      <c r="P1927" s="1597"/>
      <c r="Q1927" s="1597"/>
      <c r="R1927" s="1597"/>
      <c r="S1927" s="1597"/>
      <c r="T1927" s="1597"/>
    </row>
    <row r="1928" spans="1:20">
      <c r="A1928" s="1597"/>
      <c r="B1928" s="1597"/>
      <c r="C1928" s="1597"/>
      <c r="D1928" s="1597"/>
      <c r="E1928" s="1597"/>
      <c r="F1928" s="1597"/>
      <c r="G1928" s="1597"/>
      <c r="H1928" s="1597"/>
      <c r="I1928" s="1597"/>
      <c r="J1928" s="1597"/>
      <c r="K1928" s="1597"/>
      <c r="L1928" s="1597"/>
      <c r="M1928" s="1597"/>
      <c r="N1928" s="1597"/>
      <c r="O1928" s="1597"/>
      <c r="P1928" s="1597"/>
      <c r="Q1928" s="1597"/>
      <c r="R1928" s="1597"/>
      <c r="S1928" s="1597"/>
      <c r="T1928" s="1597"/>
    </row>
    <row r="1929" spans="1:20">
      <c r="A1929" s="1597"/>
      <c r="B1929" s="1597"/>
      <c r="C1929" s="1597"/>
      <c r="D1929" s="1597"/>
      <c r="E1929" s="1597"/>
      <c r="F1929" s="1597"/>
      <c r="G1929" s="1597"/>
      <c r="H1929" s="1597"/>
      <c r="I1929" s="1597"/>
      <c r="J1929" s="1597"/>
      <c r="K1929" s="1597"/>
      <c r="L1929" s="1597"/>
      <c r="M1929" s="1597"/>
      <c r="N1929" s="1597"/>
      <c r="O1929" s="1597"/>
      <c r="P1929" s="1597"/>
      <c r="Q1929" s="1597"/>
      <c r="R1929" s="1597"/>
      <c r="S1929" s="1597"/>
      <c r="T1929" s="1597"/>
    </row>
    <row r="1930" spans="1:20">
      <c r="A1930" s="1597"/>
      <c r="B1930" s="1597"/>
      <c r="C1930" s="1597"/>
      <c r="D1930" s="1597"/>
      <c r="E1930" s="1597"/>
      <c r="F1930" s="1597"/>
      <c r="G1930" s="1597"/>
      <c r="H1930" s="1597"/>
      <c r="I1930" s="1597"/>
      <c r="J1930" s="1597"/>
      <c r="K1930" s="1597"/>
      <c r="L1930" s="1597"/>
      <c r="M1930" s="1597"/>
      <c r="N1930" s="1597"/>
      <c r="O1930" s="1597"/>
      <c r="P1930" s="1597"/>
      <c r="Q1930" s="1597"/>
      <c r="R1930" s="1597"/>
      <c r="S1930" s="1597"/>
      <c r="T1930" s="1597"/>
    </row>
    <row r="1931" spans="1:20">
      <c r="A1931" s="1597"/>
      <c r="B1931" s="1597"/>
      <c r="C1931" s="1597"/>
      <c r="D1931" s="1597"/>
      <c r="E1931" s="1597"/>
      <c r="F1931" s="1597"/>
      <c r="G1931" s="1597"/>
      <c r="H1931" s="1597"/>
      <c r="I1931" s="1597"/>
      <c r="J1931" s="1597"/>
      <c r="K1931" s="1597"/>
      <c r="L1931" s="1597"/>
      <c r="M1931" s="1597"/>
      <c r="N1931" s="1597"/>
      <c r="O1931" s="1597"/>
      <c r="P1931" s="1597"/>
      <c r="Q1931" s="1597"/>
      <c r="R1931" s="1597"/>
      <c r="S1931" s="1597"/>
      <c r="T1931" s="1597"/>
    </row>
    <row r="1932" spans="1:20">
      <c r="A1932" s="1597"/>
      <c r="B1932" s="1597"/>
      <c r="C1932" s="1597"/>
      <c r="D1932" s="1597"/>
      <c r="E1932" s="1597"/>
      <c r="F1932" s="1597"/>
      <c r="G1932" s="1597"/>
      <c r="H1932" s="1597"/>
      <c r="I1932" s="1597"/>
      <c r="J1932" s="1597"/>
      <c r="K1932" s="1597"/>
      <c r="L1932" s="1597"/>
      <c r="M1932" s="1597"/>
      <c r="N1932" s="1597"/>
      <c r="O1932" s="1597"/>
      <c r="P1932" s="1597"/>
      <c r="Q1932" s="1597"/>
      <c r="R1932" s="1597"/>
      <c r="S1932" s="1597"/>
      <c r="T1932" s="1597"/>
    </row>
    <row r="1933" spans="1:20">
      <c r="A1933" s="1597"/>
      <c r="B1933" s="1597"/>
      <c r="C1933" s="1597"/>
      <c r="D1933" s="1597"/>
      <c r="E1933" s="1597"/>
      <c r="F1933" s="1597"/>
      <c r="G1933" s="1597"/>
      <c r="H1933" s="1597"/>
      <c r="I1933" s="1597"/>
      <c r="J1933" s="1597"/>
      <c r="K1933" s="1597"/>
      <c r="L1933" s="1597"/>
      <c r="M1933" s="1597"/>
      <c r="N1933" s="1597"/>
      <c r="O1933" s="1597"/>
      <c r="P1933" s="1597"/>
      <c r="Q1933" s="1597"/>
      <c r="R1933" s="1597"/>
      <c r="S1933" s="1597"/>
      <c r="T1933" s="1597"/>
    </row>
    <row r="1934" spans="1:20">
      <c r="A1934" s="1597"/>
      <c r="B1934" s="1597"/>
      <c r="C1934" s="1597"/>
      <c r="D1934" s="1597"/>
      <c r="E1934" s="1597"/>
      <c r="F1934" s="1597"/>
      <c r="G1934" s="1597"/>
      <c r="H1934" s="1597"/>
      <c r="I1934" s="1597"/>
      <c r="J1934" s="1597"/>
      <c r="K1934" s="1597"/>
      <c r="L1934" s="1597"/>
      <c r="M1934" s="1597"/>
      <c r="N1934" s="1597"/>
      <c r="O1934" s="1597"/>
      <c r="P1934" s="1597"/>
      <c r="Q1934" s="1597"/>
      <c r="R1934" s="1597"/>
      <c r="S1934" s="1597"/>
      <c r="T1934" s="1597"/>
    </row>
    <row r="1935" spans="1:20">
      <c r="A1935" s="1597"/>
      <c r="B1935" s="1597"/>
      <c r="C1935" s="1597"/>
      <c r="D1935" s="1597"/>
      <c r="E1935" s="1597"/>
      <c r="F1935" s="1597"/>
      <c r="G1935" s="1597"/>
      <c r="H1935" s="1597"/>
      <c r="I1935" s="1597"/>
      <c r="J1935" s="1597"/>
      <c r="K1935" s="1597"/>
      <c r="L1935" s="1597"/>
      <c r="M1935" s="1597"/>
      <c r="N1935" s="1597"/>
      <c r="O1935" s="1597"/>
      <c r="P1935" s="1597"/>
      <c r="Q1935" s="1597"/>
      <c r="R1935" s="1597"/>
      <c r="S1935" s="1597"/>
      <c r="T1935" s="1597"/>
    </row>
    <row r="1936" spans="1:20">
      <c r="A1936" s="1597"/>
      <c r="B1936" s="1597"/>
      <c r="C1936" s="1597"/>
      <c r="D1936" s="1597"/>
      <c r="E1936" s="1597"/>
      <c r="F1936" s="1597"/>
      <c r="G1936" s="1597"/>
      <c r="H1936" s="1597"/>
      <c r="I1936" s="1597"/>
      <c r="J1936" s="1597"/>
      <c r="K1936" s="1597"/>
      <c r="L1936" s="1597"/>
      <c r="M1936" s="1597"/>
      <c r="N1936" s="1597"/>
      <c r="O1936" s="1597"/>
      <c r="P1936" s="1597"/>
      <c r="Q1936" s="1597"/>
      <c r="R1936" s="1597"/>
      <c r="S1936" s="1597"/>
      <c r="T1936" s="1597"/>
    </row>
    <row r="1937" spans="1:20">
      <c r="A1937" s="1597"/>
      <c r="B1937" s="1597"/>
      <c r="C1937" s="1597"/>
      <c r="D1937" s="1597"/>
      <c r="E1937" s="1597"/>
      <c r="F1937" s="1597"/>
      <c r="G1937" s="1597"/>
      <c r="H1937" s="1597"/>
      <c r="I1937" s="1597"/>
      <c r="J1937" s="1597"/>
      <c r="K1937" s="1597"/>
      <c r="L1937" s="1597"/>
      <c r="M1937" s="1597"/>
      <c r="N1937" s="1597"/>
      <c r="O1937" s="1597"/>
      <c r="P1937" s="1597"/>
      <c r="Q1937" s="1597"/>
      <c r="R1937" s="1597"/>
      <c r="S1937" s="1597"/>
      <c r="T1937" s="1597"/>
    </row>
    <row r="1938" spans="1:20">
      <c r="A1938" s="1597"/>
      <c r="B1938" s="1597"/>
      <c r="C1938" s="1597"/>
      <c r="D1938" s="1597"/>
      <c r="E1938" s="1597"/>
      <c r="F1938" s="1597"/>
      <c r="G1938" s="1597"/>
      <c r="H1938" s="1597"/>
      <c r="I1938" s="1597"/>
      <c r="J1938" s="1597"/>
      <c r="K1938" s="1597"/>
      <c r="L1938" s="1597"/>
      <c r="M1938" s="1597"/>
      <c r="N1938" s="1597"/>
      <c r="O1938" s="1597"/>
      <c r="P1938" s="1597"/>
      <c r="Q1938" s="1597"/>
      <c r="R1938" s="1597"/>
      <c r="S1938" s="1597"/>
      <c r="T1938" s="1597"/>
    </row>
    <row r="1939" spans="1:20">
      <c r="A1939" s="1597"/>
      <c r="B1939" s="1597"/>
      <c r="C1939" s="1597"/>
      <c r="D1939" s="1597"/>
      <c r="E1939" s="1597"/>
      <c r="F1939" s="1597"/>
      <c r="G1939" s="1597"/>
      <c r="H1939" s="1597"/>
      <c r="I1939" s="1597"/>
      <c r="J1939" s="1597"/>
      <c r="K1939" s="1597"/>
      <c r="L1939" s="1597"/>
      <c r="M1939" s="1597"/>
      <c r="N1939" s="1597"/>
      <c r="O1939" s="1597"/>
      <c r="P1939" s="1597"/>
      <c r="Q1939" s="1597"/>
      <c r="R1939" s="1597"/>
      <c r="S1939" s="1597"/>
      <c r="T1939" s="1597"/>
    </row>
    <row r="1940" spans="1:20">
      <c r="A1940" s="1597"/>
      <c r="B1940" s="1597"/>
      <c r="C1940" s="1597"/>
      <c r="D1940" s="1597"/>
      <c r="E1940" s="1597"/>
      <c r="F1940" s="1597"/>
      <c r="G1940" s="1597"/>
      <c r="H1940" s="1597"/>
      <c r="I1940" s="1597"/>
      <c r="J1940" s="1597"/>
      <c r="K1940" s="1597"/>
      <c r="L1940" s="1597"/>
      <c r="M1940" s="1597"/>
      <c r="N1940" s="1597"/>
      <c r="O1940" s="1597"/>
      <c r="P1940" s="1597"/>
      <c r="Q1940" s="1597"/>
      <c r="R1940" s="1597"/>
      <c r="S1940" s="1597"/>
      <c r="T1940" s="1597"/>
    </row>
    <row r="1941" spans="1:20">
      <c r="A1941" s="1597"/>
      <c r="B1941" s="1597"/>
      <c r="C1941" s="1597"/>
      <c r="D1941" s="1597"/>
      <c r="E1941" s="1597"/>
      <c r="F1941" s="1597"/>
      <c r="G1941" s="1597"/>
      <c r="H1941" s="1597"/>
      <c r="I1941" s="1597"/>
      <c r="J1941" s="1597"/>
      <c r="K1941" s="1597"/>
      <c r="L1941" s="1597"/>
      <c r="M1941" s="1597"/>
      <c r="N1941" s="1597"/>
      <c r="O1941" s="1597"/>
      <c r="P1941" s="1597"/>
      <c r="Q1941" s="1597"/>
      <c r="R1941" s="1597"/>
      <c r="S1941" s="1597"/>
      <c r="T1941" s="1597"/>
    </row>
    <row r="1942" spans="1:20">
      <c r="A1942" s="1597"/>
      <c r="B1942" s="1597"/>
      <c r="C1942" s="1597"/>
      <c r="D1942" s="1597"/>
      <c r="E1942" s="1597"/>
      <c r="F1942" s="1597"/>
      <c r="G1942" s="1597"/>
      <c r="H1942" s="1597"/>
      <c r="I1942" s="1597"/>
      <c r="J1942" s="1597"/>
      <c r="K1942" s="1597"/>
      <c r="L1942" s="1597"/>
      <c r="M1942" s="1597"/>
      <c r="N1942" s="1597"/>
      <c r="O1942" s="1597"/>
      <c r="P1942" s="1597"/>
      <c r="Q1942" s="1597"/>
      <c r="R1942" s="1597"/>
      <c r="S1942" s="1597"/>
      <c r="T1942" s="1597"/>
    </row>
    <row r="1943" spans="1:20">
      <c r="A1943" s="1597"/>
      <c r="B1943" s="1597"/>
      <c r="C1943" s="1597"/>
      <c r="D1943" s="1597"/>
      <c r="E1943" s="1597"/>
      <c r="F1943" s="1597"/>
      <c r="G1943" s="1597"/>
      <c r="H1943" s="1597"/>
      <c r="I1943" s="1597"/>
      <c r="J1943" s="1597"/>
      <c r="K1943" s="1597"/>
      <c r="L1943" s="1597"/>
      <c r="M1943" s="1597"/>
      <c r="N1943" s="1597"/>
      <c r="O1943" s="1597"/>
      <c r="P1943" s="1597"/>
      <c r="Q1943" s="1597"/>
      <c r="R1943" s="1597"/>
      <c r="S1943" s="1597"/>
      <c r="T1943" s="1597"/>
    </row>
    <row r="1944" spans="1:20">
      <c r="A1944" s="1597"/>
      <c r="B1944" s="1597"/>
      <c r="C1944" s="1597"/>
      <c r="D1944" s="1597"/>
      <c r="E1944" s="1597"/>
      <c r="F1944" s="1597"/>
      <c r="G1944" s="1597"/>
      <c r="H1944" s="1597"/>
      <c r="I1944" s="1597"/>
      <c r="J1944" s="1597"/>
      <c r="K1944" s="1597"/>
      <c r="L1944" s="1597"/>
      <c r="M1944" s="1597"/>
      <c r="N1944" s="1597"/>
      <c r="O1944" s="1597"/>
      <c r="P1944" s="1597"/>
      <c r="Q1944" s="1597"/>
      <c r="R1944" s="1597"/>
      <c r="S1944" s="1597"/>
      <c r="T1944" s="1597"/>
    </row>
    <row r="1945" spans="1:20">
      <c r="A1945" s="1597"/>
      <c r="B1945" s="1597"/>
      <c r="C1945" s="1597"/>
      <c r="D1945" s="1597"/>
      <c r="E1945" s="1597"/>
      <c r="F1945" s="1597"/>
      <c r="G1945" s="1597"/>
      <c r="H1945" s="1597"/>
      <c r="I1945" s="1597"/>
      <c r="J1945" s="1597"/>
      <c r="K1945" s="1597"/>
      <c r="L1945" s="1597"/>
      <c r="M1945" s="1597"/>
      <c r="N1945" s="1597"/>
      <c r="O1945" s="1597"/>
      <c r="P1945" s="1597"/>
      <c r="Q1945" s="1597"/>
      <c r="R1945" s="1597"/>
      <c r="S1945" s="1597"/>
      <c r="T1945" s="1597"/>
    </row>
    <row r="1946" spans="1:20">
      <c r="A1946" s="1597"/>
      <c r="B1946" s="1597"/>
      <c r="C1946" s="1597"/>
      <c r="D1946" s="1597"/>
      <c r="E1946" s="1597"/>
      <c r="F1946" s="1597"/>
      <c r="G1946" s="1597"/>
      <c r="H1946" s="1597"/>
      <c r="I1946" s="1597"/>
      <c r="J1946" s="1597"/>
      <c r="K1946" s="1597"/>
      <c r="L1946" s="1597"/>
      <c r="M1946" s="1597"/>
      <c r="N1946" s="1597"/>
      <c r="O1946" s="1597"/>
      <c r="P1946" s="1597"/>
      <c r="Q1946" s="1597"/>
      <c r="R1946" s="1597"/>
      <c r="S1946" s="1597"/>
      <c r="T1946" s="1597"/>
    </row>
    <row r="1947" spans="1:20">
      <c r="A1947" s="1597"/>
      <c r="B1947" s="1597"/>
      <c r="C1947" s="1597"/>
      <c r="D1947" s="1597"/>
      <c r="E1947" s="1597"/>
      <c r="F1947" s="1597"/>
      <c r="G1947" s="1597"/>
      <c r="H1947" s="1597"/>
      <c r="I1947" s="1597"/>
      <c r="J1947" s="1597"/>
      <c r="K1947" s="1597"/>
      <c r="L1947" s="1597"/>
      <c r="M1947" s="1597"/>
      <c r="N1947" s="1597"/>
      <c r="O1947" s="1597"/>
      <c r="P1947" s="1597"/>
      <c r="Q1947" s="1597"/>
      <c r="R1947" s="1597"/>
      <c r="S1947" s="1597"/>
      <c r="T1947" s="1597"/>
    </row>
    <row r="1948" spans="1:20">
      <c r="A1948" s="1597"/>
      <c r="B1948" s="1597"/>
      <c r="C1948" s="1597"/>
      <c r="D1948" s="1597"/>
      <c r="E1948" s="1597"/>
      <c r="F1948" s="1597"/>
      <c r="G1948" s="1597"/>
      <c r="H1948" s="1597"/>
      <c r="I1948" s="1597"/>
      <c r="J1948" s="1597"/>
      <c r="K1948" s="1597"/>
      <c r="L1948" s="1597"/>
      <c r="M1948" s="1597"/>
      <c r="N1948" s="1597"/>
      <c r="O1948" s="1597"/>
      <c r="P1948" s="1597"/>
      <c r="Q1948" s="1597"/>
      <c r="R1948" s="1597"/>
      <c r="S1948" s="1597"/>
      <c r="T1948" s="1597"/>
    </row>
    <row r="1949" spans="1:20">
      <c r="A1949" s="1597"/>
      <c r="B1949" s="1597"/>
      <c r="C1949" s="1597"/>
      <c r="D1949" s="1597"/>
      <c r="E1949" s="1597"/>
      <c r="F1949" s="1597"/>
      <c r="G1949" s="1597"/>
      <c r="H1949" s="1597"/>
      <c r="I1949" s="1597"/>
      <c r="J1949" s="1597"/>
      <c r="K1949" s="1597"/>
      <c r="L1949" s="1597"/>
      <c r="M1949" s="1597"/>
      <c r="N1949" s="1597"/>
      <c r="O1949" s="1597"/>
      <c r="P1949" s="1597"/>
      <c r="Q1949" s="1597"/>
      <c r="R1949" s="1597"/>
      <c r="S1949" s="1597"/>
      <c r="T1949" s="1597"/>
    </row>
    <row r="1950" spans="1:20">
      <c r="A1950" s="1597"/>
      <c r="B1950" s="1597"/>
      <c r="C1950" s="1597"/>
      <c r="D1950" s="1597"/>
      <c r="E1950" s="1597"/>
      <c r="F1950" s="1597"/>
      <c r="G1950" s="1597"/>
      <c r="H1950" s="1597"/>
      <c r="I1950" s="1597"/>
      <c r="J1950" s="1597"/>
      <c r="K1950" s="1597"/>
      <c r="L1950" s="1597"/>
      <c r="M1950" s="1597"/>
      <c r="N1950" s="1597"/>
      <c r="O1950" s="1597"/>
      <c r="P1950" s="1597"/>
      <c r="Q1950" s="1597"/>
      <c r="R1950" s="1597"/>
      <c r="S1950" s="1597"/>
      <c r="T1950" s="1597"/>
    </row>
    <row r="1951" spans="1:20">
      <c r="A1951" s="1597"/>
      <c r="B1951" s="1597"/>
      <c r="C1951" s="1597"/>
      <c r="D1951" s="1597"/>
      <c r="E1951" s="1597"/>
      <c r="F1951" s="1597"/>
      <c r="G1951" s="1597"/>
      <c r="H1951" s="1597"/>
      <c r="I1951" s="1597"/>
      <c r="J1951" s="1597"/>
      <c r="K1951" s="1597"/>
      <c r="L1951" s="1597"/>
      <c r="M1951" s="1597"/>
      <c r="N1951" s="1597"/>
      <c r="O1951" s="1597"/>
      <c r="P1951" s="1597"/>
      <c r="Q1951" s="1597"/>
      <c r="R1951" s="1597"/>
      <c r="S1951" s="1597"/>
      <c r="T1951" s="1597"/>
    </row>
    <row r="1952" spans="1:20">
      <c r="A1952" s="1597"/>
      <c r="B1952" s="1597"/>
      <c r="C1952" s="1597"/>
      <c r="D1952" s="1597"/>
      <c r="E1952" s="1597"/>
      <c r="F1952" s="1597"/>
      <c r="G1952" s="1597"/>
      <c r="H1952" s="1597"/>
      <c r="I1952" s="1597"/>
      <c r="J1952" s="1597"/>
      <c r="K1952" s="1597"/>
      <c r="L1952" s="1597"/>
      <c r="M1952" s="1597"/>
      <c r="N1952" s="1597"/>
      <c r="O1952" s="1597"/>
      <c r="P1952" s="1597"/>
      <c r="Q1952" s="1597"/>
      <c r="R1952" s="1597"/>
      <c r="S1952" s="1597"/>
      <c r="T1952" s="1597"/>
    </row>
    <row r="1953" spans="1:20">
      <c r="A1953" s="1597"/>
      <c r="B1953" s="1597"/>
      <c r="C1953" s="1597"/>
      <c r="D1953" s="1597"/>
      <c r="E1953" s="1597"/>
      <c r="F1953" s="1597"/>
      <c r="G1953" s="1597"/>
      <c r="H1953" s="1597"/>
      <c r="I1953" s="1597"/>
      <c r="J1953" s="1597"/>
      <c r="K1953" s="1597"/>
      <c r="L1953" s="1597"/>
      <c r="M1953" s="1597"/>
      <c r="N1953" s="1597"/>
      <c r="O1953" s="1597"/>
      <c r="P1953" s="1597"/>
      <c r="Q1953" s="1597"/>
      <c r="R1953" s="1597"/>
      <c r="S1953" s="1597"/>
      <c r="T1953" s="1597"/>
    </row>
    <row r="1954" spans="1:20">
      <c r="A1954" s="1597"/>
      <c r="B1954" s="1597"/>
      <c r="C1954" s="1597"/>
      <c r="D1954" s="1597"/>
      <c r="E1954" s="1597"/>
      <c r="F1954" s="1597"/>
      <c r="G1954" s="1597"/>
      <c r="H1954" s="1597"/>
      <c r="I1954" s="1597"/>
      <c r="J1954" s="1597"/>
      <c r="K1954" s="1597"/>
      <c r="L1954" s="1597"/>
      <c r="M1954" s="1597"/>
      <c r="N1954" s="1597"/>
      <c r="O1954" s="1597"/>
      <c r="P1954" s="1597"/>
      <c r="Q1954" s="1597"/>
      <c r="R1954" s="1597"/>
      <c r="S1954" s="1597"/>
      <c r="T1954" s="1597"/>
    </row>
    <row r="1955" spans="1:20">
      <c r="A1955" s="1597"/>
      <c r="B1955" s="1597"/>
      <c r="C1955" s="1597"/>
      <c r="D1955" s="1597"/>
      <c r="E1955" s="1597"/>
      <c r="F1955" s="1597"/>
      <c r="G1955" s="1597"/>
      <c r="H1955" s="1597"/>
      <c r="I1955" s="1597"/>
      <c r="J1955" s="1597"/>
      <c r="K1955" s="1597"/>
      <c r="L1955" s="1597"/>
      <c r="M1955" s="1597"/>
      <c r="N1955" s="1597"/>
      <c r="O1955" s="1597"/>
      <c r="P1955" s="1597"/>
      <c r="Q1955" s="1597"/>
      <c r="R1955" s="1597"/>
      <c r="S1955" s="1597"/>
      <c r="T1955" s="1597"/>
    </row>
    <row r="1956" spans="1:20">
      <c r="A1956" s="1597"/>
      <c r="B1956" s="1597"/>
      <c r="C1956" s="1597"/>
      <c r="D1956" s="1597"/>
      <c r="E1956" s="1597"/>
      <c r="F1956" s="1597"/>
      <c r="G1956" s="1597"/>
      <c r="H1956" s="1597"/>
      <c r="I1956" s="1597"/>
      <c r="J1956" s="1597"/>
      <c r="K1956" s="1597"/>
      <c r="L1956" s="1597"/>
      <c r="M1956" s="1597"/>
      <c r="N1956" s="1597"/>
      <c r="O1956" s="1597"/>
      <c r="P1956" s="1597"/>
      <c r="Q1956" s="1597"/>
      <c r="R1956" s="1597"/>
      <c r="S1956" s="1597"/>
      <c r="T1956" s="1597"/>
    </row>
    <row r="1957" spans="1:20">
      <c r="A1957" s="1597"/>
      <c r="B1957" s="1597"/>
      <c r="C1957" s="1597"/>
      <c r="D1957" s="1597"/>
      <c r="E1957" s="1597"/>
      <c r="F1957" s="1597"/>
      <c r="G1957" s="1597"/>
      <c r="H1957" s="1597"/>
      <c r="I1957" s="1597"/>
      <c r="J1957" s="1597"/>
      <c r="K1957" s="1597"/>
      <c r="L1957" s="1597"/>
      <c r="M1957" s="1597"/>
      <c r="N1957" s="1597"/>
      <c r="O1957" s="1597"/>
      <c r="P1957" s="1597"/>
      <c r="Q1957" s="1597"/>
      <c r="R1957" s="1597"/>
      <c r="S1957" s="1597"/>
      <c r="T1957" s="1597"/>
    </row>
    <row r="1958" spans="1:20">
      <c r="A1958" s="1597"/>
      <c r="B1958" s="1597"/>
      <c r="C1958" s="1597"/>
      <c r="D1958" s="1597"/>
      <c r="E1958" s="1597"/>
      <c r="F1958" s="1597"/>
      <c r="G1958" s="1597"/>
      <c r="H1958" s="1597"/>
      <c r="I1958" s="1597"/>
      <c r="J1958" s="1597"/>
      <c r="K1958" s="1597"/>
      <c r="L1958" s="1597"/>
      <c r="M1958" s="1597"/>
      <c r="N1958" s="1597"/>
      <c r="O1958" s="1597"/>
      <c r="P1958" s="1597"/>
      <c r="Q1958" s="1597"/>
      <c r="R1958" s="1597"/>
      <c r="S1958" s="1597"/>
      <c r="T1958" s="1597"/>
    </row>
    <row r="1959" spans="1:20">
      <c r="A1959" s="1597"/>
      <c r="B1959" s="1597"/>
      <c r="C1959" s="1597"/>
      <c r="D1959" s="1597"/>
      <c r="E1959" s="1597"/>
      <c r="F1959" s="1597"/>
      <c r="G1959" s="1597"/>
      <c r="H1959" s="1597"/>
      <c r="I1959" s="1597"/>
      <c r="J1959" s="1597"/>
      <c r="K1959" s="1597"/>
      <c r="L1959" s="1597"/>
      <c r="M1959" s="1597"/>
      <c r="N1959" s="1597"/>
      <c r="O1959" s="1597"/>
      <c r="P1959" s="1597"/>
      <c r="Q1959" s="1597"/>
      <c r="R1959" s="1597"/>
      <c r="S1959" s="1597"/>
      <c r="T1959" s="1597"/>
    </row>
    <row r="1960" spans="1:20">
      <c r="A1960" s="1597"/>
      <c r="B1960" s="1597"/>
      <c r="C1960" s="1597"/>
      <c r="D1960" s="1597"/>
      <c r="E1960" s="1597"/>
      <c r="F1960" s="1597"/>
      <c r="G1960" s="1597"/>
      <c r="H1960" s="1597"/>
      <c r="I1960" s="1597"/>
      <c r="J1960" s="1597"/>
      <c r="K1960" s="1597"/>
      <c r="L1960" s="1597"/>
      <c r="M1960" s="1597"/>
      <c r="N1960" s="1597"/>
      <c r="O1960" s="1597"/>
      <c r="P1960" s="1597"/>
      <c r="Q1960" s="1597"/>
      <c r="R1960" s="1597"/>
      <c r="S1960" s="1597"/>
      <c r="T1960" s="1597"/>
    </row>
    <row r="1961" spans="1:20">
      <c r="A1961" s="1597"/>
      <c r="B1961" s="1597"/>
      <c r="C1961" s="1597"/>
      <c r="D1961" s="1597"/>
      <c r="E1961" s="1597"/>
      <c r="F1961" s="1597"/>
      <c r="G1961" s="1597"/>
      <c r="H1961" s="1597"/>
      <c r="I1961" s="1597"/>
      <c r="J1961" s="1597"/>
      <c r="K1961" s="1597"/>
      <c r="L1961" s="1597"/>
      <c r="M1961" s="1597"/>
      <c r="N1961" s="1597"/>
      <c r="O1961" s="1597"/>
      <c r="P1961" s="1597"/>
      <c r="Q1961" s="1597"/>
      <c r="R1961" s="1597"/>
      <c r="S1961" s="1597"/>
      <c r="T1961" s="1597"/>
    </row>
    <row r="1962" spans="1:20">
      <c r="A1962" s="1597"/>
      <c r="B1962" s="1597"/>
      <c r="C1962" s="1597"/>
      <c r="D1962" s="1597"/>
      <c r="E1962" s="1597"/>
      <c r="F1962" s="1597"/>
      <c r="G1962" s="1597"/>
      <c r="H1962" s="1597"/>
      <c r="I1962" s="1597"/>
      <c r="J1962" s="1597"/>
      <c r="K1962" s="1597"/>
      <c r="L1962" s="1597"/>
      <c r="M1962" s="1597"/>
      <c r="N1962" s="1597"/>
      <c r="O1962" s="1597"/>
      <c r="P1962" s="1597"/>
      <c r="Q1962" s="1597"/>
      <c r="R1962" s="1597"/>
      <c r="S1962" s="1597"/>
      <c r="T1962" s="1597"/>
    </row>
    <row r="1963" spans="1:20">
      <c r="A1963" s="1597"/>
      <c r="B1963" s="1597"/>
      <c r="C1963" s="1597"/>
      <c r="D1963" s="1597"/>
      <c r="E1963" s="1597"/>
      <c r="F1963" s="1597"/>
      <c r="G1963" s="1597"/>
      <c r="H1963" s="1597"/>
      <c r="I1963" s="1597"/>
      <c r="J1963" s="1597"/>
      <c r="K1963" s="1597"/>
      <c r="L1963" s="1597"/>
      <c r="M1963" s="1597"/>
      <c r="N1963" s="1597"/>
      <c r="O1963" s="1597"/>
      <c r="P1963" s="1597"/>
      <c r="Q1963" s="1597"/>
      <c r="R1963" s="1597"/>
      <c r="S1963" s="1597"/>
      <c r="T1963" s="1597"/>
    </row>
    <row r="1964" spans="1:20">
      <c r="A1964" s="1597"/>
      <c r="B1964" s="1597"/>
      <c r="C1964" s="1597"/>
      <c r="D1964" s="1597"/>
      <c r="E1964" s="1597"/>
      <c r="F1964" s="1597"/>
      <c r="G1964" s="1597"/>
      <c r="H1964" s="1597"/>
      <c r="I1964" s="1597"/>
      <c r="J1964" s="1597"/>
      <c r="K1964" s="1597"/>
      <c r="L1964" s="1597"/>
      <c r="M1964" s="1597"/>
      <c r="N1964" s="1597"/>
      <c r="O1964" s="1597"/>
      <c r="P1964" s="1597"/>
      <c r="Q1964" s="1597"/>
      <c r="R1964" s="1597"/>
      <c r="S1964" s="1597"/>
      <c r="T1964" s="1597"/>
    </row>
    <row r="1965" spans="1:20">
      <c r="A1965" s="1597"/>
      <c r="B1965" s="1597"/>
      <c r="C1965" s="1597"/>
      <c r="D1965" s="1597"/>
      <c r="E1965" s="1597"/>
      <c r="F1965" s="1597"/>
      <c r="G1965" s="1597"/>
      <c r="H1965" s="1597"/>
      <c r="I1965" s="1597"/>
      <c r="J1965" s="1597"/>
      <c r="K1965" s="1597"/>
      <c r="L1965" s="1597"/>
      <c r="M1965" s="1597"/>
      <c r="N1965" s="1597"/>
      <c r="O1965" s="1597"/>
      <c r="P1965" s="1597"/>
      <c r="Q1965" s="1597"/>
      <c r="R1965" s="1597"/>
      <c r="S1965" s="1597"/>
      <c r="T1965" s="1597"/>
    </row>
    <row r="1966" spans="1:20">
      <c r="A1966" s="1597"/>
      <c r="B1966" s="1597"/>
      <c r="C1966" s="1597"/>
      <c r="D1966" s="1597"/>
      <c r="E1966" s="1597"/>
      <c r="F1966" s="1597"/>
      <c r="G1966" s="1597"/>
      <c r="H1966" s="1597"/>
      <c r="I1966" s="1597"/>
      <c r="J1966" s="1597"/>
      <c r="K1966" s="1597"/>
      <c r="L1966" s="1597"/>
      <c r="M1966" s="1597"/>
      <c r="N1966" s="1597"/>
      <c r="O1966" s="1597"/>
      <c r="P1966" s="1597"/>
      <c r="Q1966" s="1597"/>
      <c r="R1966" s="1597"/>
      <c r="S1966" s="1597"/>
      <c r="T1966" s="1597"/>
    </row>
    <row r="1967" spans="1:20">
      <c r="A1967" s="1597"/>
      <c r="B1967" s="1597"/>
      <c r="C1967" s="1597"/>
      <c r="D1967" s="1597"/>
      <c r="E1967" s="1597"/>
      <c r="F1967" s="1597"/>
      <c r="G1967" s="1597"/>
      <c r="H1967" s="1597"/>
      <c r="I1967" s="1597"/>
      <c r="J1967" s="1597"/>
      <c r="K1967" s="1597"/>
      <c r="L1967" s="1597"/>
      <c r="M1967" s="1597"/>
      <c r="N1967" s="1597"/>
      <c r="O1967" s="1597"/>
      <c r="P1967" s="1597"/>
      <c r="Q1967" s="1597"/>
      <c r="R1967" s="1597"/>
      <c r="S1967" s="1597"/>
      <c r="T1967" s="1597"/>
    </row>
    <row r="1968" spans="1:20">
      <c r="A1968" s="1597"/>
      <c r="B1968" s="1597"/>
      <c r="C1968" s="1597"/>
      <c r="D1968" s="1597"/>
      <c r="E1968" s="1597"/>
      <c r="F1968" s="1597"/>
      <c r="G1968" s="1597"/>
      <c r="H1968" s="1597"/>
      <c r="I1968" s="1597"/>
      <c r="J1968" s="1597"/>
      <c r="K1968" s="1597"/>
      <c r="L1968" s="1597"/>
      <c r="M1968" s="1597"/>
      <c r="N1968" s="1597"/>
      <c r="O1968" s="1597"/>
      <c r="P1968" s="1597"/>
      <c r="Q1968" s="1597"/>
      <c r="R1968" s="1597"/>
      <c r="S1968" s="1597"/>
      <c r="T1968" s="1597"/>
    </row>
    <row r="1969" spans="1:20">
      <c r="A1969" s="1597"/>
      <c r="B1969" s="1597"/>
      <c r="C1969" s="1597"/>
      <c r="D1969" s="1597"/>
      <c r="E1969" s="1597"/>
      <c r="F1969" s="1597"/>
      <c r="G1969" s="1597"/>
      <c r="H1969" s="1597"/>
      <c r="I1969" s="1597"/>
      <c r="J1969" s="1597"/>
      <c r="K1969" s="1597"/>
      <c r="L1969" s="1597"/>
      <c r="M1969" s="1597"/>
      <c r="N1969" s="1597"/>
      <c r="O1969" s="1597"/>
      <c r="P1969" s="1597"/>
      <c r="Q1969" s="1597"/>
      <c r="R1969" s="1597"/>
      <c r="S1969" s="1597"/>
      <c r="T1969" s="1597"/>
    </row>
    <row r="1970" spans="1:20">
      <c r="A1970" s="1597"/>
      <c r="B1970" s="1597"/>
      <c r="C1970" s="1597"/>
      <c r="D1970" s="1597"/>
      <c r="E1970" s="1597"/>
      <c r="F1970" s="1597"/>
      <c r="G1970" s="1597"/>
      <c r="H1970" s="1597"/>
      <c r="I1970" s="1597"/>
      <c r="J1970" s="1597"/>
      <c r="K1970" s="1597"/>
      <c r="L1970" s="1597"/>
      <c r="M1970" s="1597"/>
      <c r="N1970" s="1597"/>
      <c r="O1970" s="1597"/>
      <c r="P1970" s="1597"/>
      <c r="Q1970" s="1597"/>
      <c r="R1970" s="1597"/>
      <c r="S1970" s="1597"/>
      <c r="T1970" s="1597"/>
    </row>
    <row r="1971" spans="1:20">
      <c r="A1971" s="1597"/>
      <c r="B1971" s="1597"/>
      <c r="C1971" s="1597"/>
      <c r="D1971" s="1597"/>
      <c r="E1971" s="1597"/>
      <c r="F1971" s="1597"/>
      <c r="G1971" s="1597"/>
      <c r="H1971" s="1597"/>
      <c r="I1971" s="1597"/>
      <c r="J1971" s="1597"/>
      <c r="K1971" s="1597"/>
      <c r="L1971" s="1597"/>
      <c r="M1971" s="1597"/>
      <c r="N1971" s="1597"/>
      <c r="O1971" s="1597"/>
      <c r="P1971" s="1597"/>
      <c r="Q1971" s="1597"/>
      <c r="R1971" s="1597"/>
      <c r="S1971" s="1597"/>
      <c r="T1971" s="1597"/>
    </row>
    <row r="1972" spans="1:20">
      <c r="A1972" s="1597"/>
      <c r="B1972" s="1597"/>
      <c r="C1972" s="1597"/>
      <c r="D1972" s="1597"/>
      <c r="E1972" s="1597"/>
      <c r="F1972" s="1597"/>
      <c r="G1972" s="1597"/>
      <c r="H1972" s="1597"/>
      <c r="I1972" s="1597"/>
      <c r="J1972" s="1597"/>
      <c r="K1972" s="1597"/>
      <c r="L1972" s="1597"/>
      <c r="M1972" s="1597"/>
      <c r="N1972" s="1597"/>
      <c r="O1972" s="1597"/>
      <c r="P1972" s="1597"/>
      <c r="Q1972" s="1597"/>
      <c r="R1972" s="1597"/>
      <c r="S1972" s="1597"/>
      <c r="T1972" s="1597"/>
    </row>
    <row r="1973" spans="1:20">
      <c r="A1973" s="1597"/>
      <c r="B1973" s="1597"/>
      <c r="C1973" s="1597"/>
      <c r="D1973" s="1597"/>
      <c r="E1973" s="1597"/>
      <c r="F1973" s="1597"/>
      <c r="G1973" s="1597"/>
      <c r="H1973" s="1597"/>
      <c r="I1973" s="1597"/>
      <c r="J1973" s="1597"/>
      <c r="K1973" s="1597"/>
      <c r="L1973" s="1597"/>
      <c r="M1973" s="1597"/>
      <c r="N1973" s="1597"/>
      <c r="O1973" s="1597"/>
      <c r="P1973" s="1597"/>
      <c r="Q1973" s="1597"/>
      <c r="R1973" s="1597"/>
      <c r="S1973" s="1597"/>
      <c r="T1973" s="1597"/>
    </row>
    <row r="1974" spans="1:20">
      <c r="A1974" s="1597"/>
      <c r="B1974" s="1597"/>
      <c r="C1974" s="1597"/>
      <c r="D1974" s="1597"/>
      <c r="E1974" s="1597"/>
      <c r="F1974" s="1597"/>
      <c r="G1974" s="1597"/>
      <c r="H1974" s="1597"/>
      <c r="I1974" s="1597"/>
      <c r="J1974" s="1597"/>
      <c r="K1974" s="1597"/>
      <c r="L1974" s="1597"/>
      <c r="M1974" s="1597"/>
      <c r="N1974" s="1597"/>
      <c r="O1974" s="1597"/>
      <c r="P1974" s="1597"/>
      <c r="Q1974" s="1597"/>
      <c r="R1974" s="1597"/>
      <c r="S1974" s="1597"/>
      <c r="T1974" s="1597"/>
    </row>
    <row r="1975" spans="1:20">
      <c r="A1975" s="1597"/>
      <c r="B1975" s="1597"/>
      <c r="C1975" s="1597"/>
      <c r="D1975" s="1597"/>
      <c r="E1975" s="1597"/>
      <c r="F1975" s="1597"/>
      <c r="G1975" s="1597"/>
      <c r="H1975" s="1597"/>
      <c r="I1975" s="1597"/>
      <c r="J1975" s="1597"/>
      <c r="K1975" s="1597"/>
      <c r="L1975" s="1597"/>
      <c r="M1975" s="1597"/>
      <c r="N1975" s="1597"/>
      <c r="O1975" s="1597"/>
      <c r="P1975" s="1597"/>
      <c r="Q1975" s="1597"/>
      <c r="R1975" s="1597"/>
      <c r="S1975" s="1597"/>
      <c r="T1975" s="1597"/>
    </row>
    <row r="1976" spans="1:20">
      <c r="A1976" s="1597"/>
      <c r="B1976" s="1597"/>
      <c r="C1976" s="1597"/>
      <c r="D1976" s="1597"/>
      <c r="E1976" s="1597"/>
      <c r="F1976" s="1597"/>
      <c r="G1976" s="1597"/>
      <c r="H1976" s="1597"/>
      <c r="I1976" s="1597"/>
      <c r="J1976" s="1597"/>
      <c r="K1976" s="1597"/>
      <c r="L1976" s="1597"/>
      <c r="M1976" s="1597"/>
      <c r="N1976" s="1597"/>
      <c r="O1976" s="1597"/>
      <c r="P1976" s="1597"/>
      <c r="Q1976" s="1597"/>
      <c r="R1976" s="1597"/>
      <c r="S1976" s="1597"/>
      <c r="T1976" s="1597"/>
    </row>
    <row r="1977" spans="1:20">
      <c r="A1977" s="1597"/>
      <c r="B1977" s="1597"/>
      <c r="C1977" s="1597"/>
      <c r="D1977" s="1597"/>
      <c r="E1977" s="1597"/>
      <c r="F1977" s="1597"/>
      <c r="G1977" s="1597"/>
      <c r="H1977" s="1597"/>
      <c r="I1977" s="1597"/>
      <c r="J1977" s="1597"/>
      <c r="K1977" s="1597"/>
      <c r="L1977" s="1597"/>
      <c r="M1977" s="1597"/>
      <c r="N1977" s="1597"/>
      <c r="O1977" s="1597"/>
      <c r="P1977" s="1597"/>
      <c r="Q1977" s="1597"/>
      <c r="R1977" s="1597"/>
      <c r="S1977" s="1597"/>
      <c r="T1977" s="1597"/>
    </row>
    <row r="1978" spans="1:20">
      <c r="A1978" s="1597"/>
      <c r="B1978" s="1597"/>
      <c r="C1978" s="1597"/>
      <c r="D1978" s="1597"/>
      <c r="E1978" s="1597"/>
      <c r="F1978" s="1597"/>
      <c r="G1978" s="1597"/>
      <c r="H1978" s="1597"/>
      <c r="I1978" s="1597"/>
      <c r="J1978" s="1597"/>
      <c r="K1978" s="1597"/>
      <c r="L1978" s="1597"/>
      <c r="M1978" s="1597"/>
      <c r="N1978" s="1597"/>
      <c r="O1978" s="1597"/>
      <c r="P1978" s="1597"/>
      <c r="Q1978" s="1597"/>
      <c r="R1978" s="1597"/>
      <c r="S1978" s="1597"/>
      <c r="T1978" s="1597"/>
    </row>
    <row r="1979" spans="1:20">
      <c r="A1979" s="1597"/>
      <c r="B1979" s="1597"/>
      <c r="C1979" s="1597"/>
      <c r="D1979" s="1597"/>
      <c r="E1979" s="1597"/>
      <c r="F1979" s="1597"/>
      <c r="G1979" s="1597"/>
      <c r="H1979" s="1597"/>
      <c r="I1979" s="1597"/>
      <c r="J1979" s="1597"/>
      <c r="K1979" s="1597"/>
      <c r="L1979" s="1597"/>
      <c r="M1979" s="1597"/>
      <c r="N1979" s="1597"/>
      <c r="O1979" s="1597"/>
      <c r="P1979" s="1597"/>
      <c r="Q1979" s="1597"/>
      <c r="R1979" s="1597"/>
      <c r="S1979" s="1597"/>
      <c r="T1979" s="1597"/>
    </row>
    <row r="1980" spans="1:20">
      <c r="A1980" s="1597"/>
      <c r="B1980" s="1597"/>
      <c r="C1980" s="1597"/>
      <c r="D1980" s="1597"/>
      <c r="E1980" s="1597"/>
      <c r="F1980" s="1597"/>
      <c r="G1980" s="1597"/>
      <c r="H1980" s="1597"/>
      <c r="I1980" s="1597"/>
      <c r="J1980" s="1597"/>
      <c r="K1980" s="1597"/>
      <c r="L1980" s="1597"/>
      <c r="M1980" s="1597"/>
      <c r="N1980" s="1597"/>
      <c r="O1980" s="1597"/>
      <c r="P1980" s="1597"/>
      <c r="Q1980" s="1597"/>
      <c r="R1980" s="1597"/>
      <c r="S1980" s="1597"/>
      <c r="T1980" s="1597"/>
    </row>
    <row r="1981" spans="1:20">
      <c r="A1981" s="1597"/>
      <c r="B1981" s="1597"/>
      <c r="C1981" s="1597"/>
      <c r="D1981" s="1597"/>
      <c r="E1981" s="1597"/>
      <c r="F1981" s="1597"/>
      <c r="G1981" s="1597"/>
      <c r="H1981" s="1597"/>
      <c r="I1981" s="1597"/>
      <c r="J1981" s="1597"/>
      <c r="K1981" s="1597"/>
      <c r="L1981" s="1597"/>
      <c r="M1981" s="1597"/>
      <c r="N1981" s="1597"/>
      <c r="O1981" s="1597"/>
      <c r="P1981" s="1597"/>
      <c r="Q1981" s="1597"/>
      <c r="R1981" s="1597"/>
      <c r="S1981" s="1597"/>
      <c r="T1981" s="1597"/>
    </row>
    <row r="1982" spans="1:20">
      <c r="A1982" s="1597"/>
      <c r="B1982" s="1597"/>
      <c r="C1982" s="1597"/>
      <c r="D1982" s="1597"/>
      <c r="E1982" s="1597"/>
      <c r="F1982" s="1597"/>
      <c r="G1982" s="1597"/>
      <c r="H1982" s="1597"/>
      <c r="I1982" s="1597"/>
      <c r="J1982" s="1597"/>
      <c r="K1982" s="1597"/>
      <c r="L1982" s="1597"/>
      <c r="M1982" s="1597"/>
      <c r="N1982" s="1597"/>
      <c r="O1982" s="1597"/>
      <c r="P1982" s="1597"/>
      <c r="Q1982" s="1597"/>
      <c r="R1982" s="1597"/>
      <c r="S1982" s="1597"/>
      <c r="T1982" s="1597"/>
    </row>
    <row r="1983" spans="1:20">
      <c r="A1983" s="1597"/>
      <c r="B1983" s="1597"/>
      <c r="C1983" s="1597"/>
      <c r="D1983" s="1597"/>
      <c r="E1983" s="1597"/>
      <c r="F1983" s="1597"/>
      <c r="G1983" s="1597"/>
      <c r="H1983" s="1597"/>
      <c r="I1983" s="1597"/>
      <c r="J1983" s="1597"/>
      <c r="K1983" s="1597"/>
      <c r="L1983" s="1597"/>
      <c r="M1983" s="1597"/>
      <c r="N1983" s="1597"/>
      <c r="O1983" s="1597"/>
      <c r="P1983" s="1597"/>
      <c r="Q1983" s="1597"/>
      <c r="R1983" s="1597"/>
      <c r="S1983" s="1597"/>
      <c r="T1983" s="1597"/>
    </row>
    <row r="1984" spans="1:20">
      <c r="A1984" s="1597"/>
      <c r="B1984" s="1597"/>
      <c r="C1984" s="1597"/>
      <c r="D1984" s="1597"/>
      <c r="E1984" s="1597"/>
      <c r="F1984" s="1597"/>
      <c r="G1984" s="1597"/>
      <c r="H1984" s="1597"/>
      <c r="I1984" s="1597"/>
      <c r="J1984" s="1597"/>
      <c r="K1984" s="1597"/>
      <c r="L1984" s="1597"/>
      <c r="M1984" s="1597"/>
      <c r="N1984" s="1597"/>
      <c r="O1984" s="1597"/>
      <c r="P1984" s="1597"/>
      <c r="Q1984" s="1597"/>
      <c r="R1984" s="1597"/>
      <c r="S1984" s="1597"/>
      <c r="T1984" s="1597"/>
    </row>
    <row r="1985" spans="1:20">
      <c r="A1985" s="1597"/>
      <c r="B1985" s="1597"/>
      <c r="C1985" s="1597"/>
      <c r="D1985" s="1597"/>
      <c r="E1985" s="1597"/>
      <c r="F1985" s="1597"/>
      <c r="G1985" s="1597"/>
      <c r="H1985" s="1597"/>
      <c r="I1985" s="1597"/>
      <c r="J1985" s="1597"/>
      <c r="K1985" s="1597"/>
      <c r="L1985" s="1597"/>
      <c r="M1985" s="1597"/>
      <c r="N1985" s="1597"/>
      <c r="O1985" s="1597"/>
      <c r="P1985" s="1597"/>
      <c r="Q1985" s="1597"/>
      <c r="R1985" s="1597"/>
      <c r="S1985" s="1597"/>
      <c r="T1985" s="1597"/>
    </row>
    <row r="1986" spans="1:20">
      <c r="A1986" s="1597"/>
      <c r="B1986" s="1597"/>
      <c r="C1986" s="1597"/>
      <c r="D1986" s="1597"/>
      <c r="E1986" s="1597"/>
      <c r="F1986" s="1597"/>
      <c r="G1986" s="1597"/>
      <c r="H1986" s="1597"/>
      <c r="I1986" s="1597"/>
      <c r="J1986" s="1597"/>
      <c r="K1986" s="1597"/>
      <c r="L1986" s="1597"/>
      <c r="M1986" s="1597"/>
      <c r="N1986" s="1597"/>
      <c r="O1986" s="1597"/>
      <c r="P1986" s="1597"/>
      <c r="Q1986" s="1597"/>
      <c r="R1986" s="1597"/>
      <c r="S1986" s="1597"/>
      <c r="T1986" s="1597"/>
    </row>
    <row r="1987" spans="1:20">
      <c r="A1987" s="1597"/>
      <c r="B1987" s="1597"/>
      <c r="C1987" s="1597"/>
      <c r="D1987" s="1597"/>
      <c r="E1987" s="1597"/>
      <c r="F1987" s="1597"/>
      <c r="G1987" s="1597"/>
      <c r="H1987" s="1597"/>
      <c r="I1987" s="1597"/>
      <c r="J1987" s="1597"/>
      <c r="K1987" s="1597"/>
      <c r="L1987" s="1597"/>
      <c r="M1987" s="1597"/>
      <c r="N1987" s="1597"/>
      <c r="O1987" s="1597"/>
      <c r="P1987" s="1597"/>
      <c r="Q1987" s="1597"/>
      <c r="R1987" s="1597"/>
      <c r="S1987" s="1597"/>
      <c r="T1987" s="1597"/>
    </row>
    <row r="1988" spans="1:20">
      <c r="A1988" s="1597"/>
      <c r="B1988" s="1597"/>
      <c r="C1988" s="1597"/>
      <c r="D1988" s="1597"/>
      <c r="E1988" s="1597"/>
      <c r="F1988" s="1597"/>
      <c r="G1988" s="1597"/>
      <c r="H1988" s="1597"/>
      <c r="I1988" s="1597"/>
      <c r="J1988" s="1597"/>
      <c r="K1988" s="1597"/>
      <c r="L1988" s="1597"/>
      <c r="M1988" s="1597"/>
      <c r="N1988" s="1597"/>
      <c r="O1988" s="1597"/>
      <c r="P1988" s="1597"/>
      <c r="Q1988" s="1597"/>
      <c r="R1988" s="1597"/>
      <c r="S1988" s="1597"/>
      <c r="T1988" s="1597"/>
    </row>
    <row r="1989" spans="1:20">
      <c r="A1989" s="1597"/>
      <c r="B1989" s="1597"/>
      <c r="C1989" s="1597"/>
      <c r="D1989" s="1597"/>
      <c r="E1989" s="1597"/>
      <c r="F1989" s="1597"/>
      <c r="G1989" s="1597"/>
      <c r="H1989" s="1597"/>
      <c r="I1989" s="1597"/>
      <c r="J1989" s="1597"/>
      <c r="K1989" s="1597"/>
      <c r="L1989" s="1597"/>
      <c r="M1989" s="1597"/>
      <c r="N1989" s="1597"/>
      <c r="O1989" s="1597"/>
      <c r="P1989" s="1597"/>
      <c r="Q1989" s="1597"/>
      <c r="R1989" s="1597"/>
      <c r="S1989" s="1597"/>
      <c r="T1989" s="1597"/>
    </row>
    <row r="1990" spans="1:20">
      <c r="A1990" s="1597"/>
      <c r="B1990" s="1597"/>
      <c r="C1990" s="1597"/>
      <c r="D1990" s="1597"/>
      <c r="E1990" s="1597"/>
      <c r="F1990" s="1597"/>
      <c r="G1990" s="1597"/>
      <c r="H1990" s="1597"/>
      <c r="I1990" s="1597"/>
      <c r="J1990" s="1597"/>
      <c r="K1990" s="1597"/>
      <c r="L1990" s="1597"/>
      <c r="M1990" s="1597"/>
      <c r="N1990" s="1597"/>
      <c r="O1990" s="1597"/>
      <c r="P1990" s="1597"/>
      <c r="Q1990" s="1597"/>
      <c r="R1990" s="1597"/>
      <c r="S1990" s="1597"/>
      <c r="T1990" s="1597"/>
    </row>
    <row r="1991" spans="1:20">
      <c r="A1991" s="1597"/>
      <c r="B1991" s="1597"/>
      <c r="C1991" s="1597"/>
      <c r="D1991" s="1597"/>
      <c r="E1991" s="1597"/>
      <c r="F1991" s="1597"/>
      <c r="G1991" s="1597"/>
      <c r="H1991" s="1597"/>
      <c r="I1991" s="1597"/>
      <c r="J1991" s="1597"/>
      <c r="K1991" s="1597"/>
      <c r="L1991" s="1597"/>
      <c r="M1991" s="1597"/>
      <c r="N1991" s="1597"/>
      <c r="O1991" s="1597"/>
      <c r="P1991" s="1597"/>
      <c r="Q1991" s="1597"/>
      <c r="R1991" s="1597"/>
      <c r="S1991" s="1597"/>
      <c r="T1991" s="1597"/>
    </row>
    <row r="1992" spans="1:20">
      <c r="A1992" s="1597"/>
      <c r="B1992" s="1597"/>
      <c r="C1992" s="1597"/>
      <c r="D1992" s="1597"/>
      <c r="E1992" s="1597"/>
      <c r="F1992" s="1597"/>
      <c r="G1992" s="1597"/>
      <c r="H1992" s="1597"/>
      <c r="I1992" s="1597"/>
      <c r="J1992" s="1597"/>
      <c r="K1992" s="1597"/>
      <c r="L1992" s="1597"/>
      <c r="M1992" s="1597"/>
      <c r="N1992" s="1597"/>
      <c r="O1992" s="1597"/>
      <c r="P1992" s="1597"/>
      <c r="Q1992" s="1597"/>
      <c r="R1992" s="1597"/>
      <c r="S1992" s="1597"/>
      <c r="T1992" s="1597"/>
    </row>
    <row r="1993" spans="1:20">
      <c r="A1993" s="1597"/>
      <c r="B1993" s="1597"/>
      <c r="C1993" s="1597"/>
      <c r="D1993" s="1597"/>
      <c r="E1993" s="1597"/>
      <c r="F1993" s="1597"/>
      <c r="G1993" s="1597"/>
      <c r="H1993" s="1597"/>
      <c r="I1993" s="1597"/>
      <c r="J1993" s="1597"/>
      <c r="K1993" s="1597"/>
      <c r="L1993" s="1597"/>
      <c r="M1993" s="1597"/>
      <c r="N1993" s="1597"/>
      <c r="O1993" s="1597"/>
      <c r="P1993" s="1597"/>
      <c r="Q1993" s="1597"/>
      <c r="R1993" s="1597"/>
      <c r="S1993" s="1597"/>
      <c r="T1993" s="1597"/>
    </row>
    <row r="1994" spans="1:20">
      <c r="A1994" s="1597"/>
      <c r="B1994" s="1597"/>
      <c r="C1994" s="1597"/>
      <c r="D1994" s="1597"/>
      <c r="E1994" s="1597"/>
      <c r="F1994" s="1597"/>
      <c r="G1994" s="1597"/>
      <c r="H1994" s="1597"/>
      <c r="I1994" s="1597"/>
      <c r="J1994" s="1597"/>
      <c r="K1994" s="1597"/>
      <c r="L1994" s="1597"/>
      <c r="M1994" s="1597"/>
      <c r="N1994" s="1597"/>
      <c r="O1994" s="1597"/>
      <c r="P1994" s="1597"/>
      <c r="Q1994" s="1597"/>
      <c r="R1994" s="1597"/>
      <c r="S1994" s="1597"/>
      <c r="T1994" s="1597"/>
    </row>
    <row r="1995" spans="1:20">
      <c r="A1995" s="1597"/>
      <c r="B1995" s="1597"/>
      <c r="C1995" s="1597"/>
      <c r="D1995" s="1597"/>
      <c r="E1995" s="1597"/>
      <c r="F1995" s="1597"/>
      <c r="G1995" s="1597"/>
      <c r="H1995" s="1597"/>
      <c r="I1995" s="1597"/>
      <c r="J1995" s="1597"/>
      <c r="K1995" s="1597"/>
      <c r="L1995" s="1597"/>
      <c r="M1995" s="1597"/>
      <c r="N1995" s="1597"/>
      <c r="O1995" s="1597"/>
      <c r="P1995" s="1597"/>
      <c r="Q1995" s="1597"/>
      <c r="R1995" s="1597"/>
      <c r="S1995" s="1597"/>
      <c r="T1995" s="1597"/>
    </row>
    <row r="1996" spans="1:20">
      <c r="A1996" s="1597"/>
      <c r="B1996" s="1597"/>
      <c r="C1996" s="1597"/>
      <c r="D1996" s="1597"/>
      <c r="E1996" s="1597"/>
      <c r="F1996" s="1597"/>
      <c r="G1996" s="1597"/>
      <c r="H1996" s="1597"/>
      <c r="I1996" s="1597"/>
      <c r="J1996" s="1597"/>
      <c r="K1996" s="1597"/>
      <c r="L1996" s="1597"/>
      <c r="M1996" s="1597"/>
      <c r="N1996" s="1597"/>
      <c r="O1996" s="1597"/>
      <c r="P1996" s="1597"/>
      <c r="Q1996" s="1597"/>
      <c r="R1996" s="1597"/>
      <c r="S1996" s="1597"/>
      <c r="T1996" s="1597"/>
    </row>
    <row r="1997" spans="1:20">
      <c r="A1997" s="1597"/>
      <c r="B1997" s="1597"/>
      <c r="C1997" s="1597"/>
      <c r="D1997" s="1597"/>
      <c r="E1997" s="1597"/>
      <c r="F1997" s="1597"/>
      <c r="G1997" s="1597"/>
      <c r="H1997" s="1597"/>
      <c r="I1997" s="1597"/>
      <c r="J1997" s="1597"/>
      <c r="K1997" s="1597"/>
      <c r="L1997" s="1597"/>
      <c r="M1997" s="1597"/>
      <c r="N1997" s="1597"/>
      <c r="O1997" s="1597"/>
      <c r="P1997" s="1597"/>
      <c r="Q1997" s="1597"/>
      <c r="R1997" s="1597"/>
      <c r="S1997" s="1597"/>
      <c r="T1997" s="1597"/>
    </row>
    <row r="1998" spans="1:20">
      <c r="A1998" s="1597"/>
      <c r="B1998" s="1597"/>
      <c r="C1998" s="1597"/>
      <c r="D1998" s="1597"/>
      <c r="E1998" s="1597"/>
      <c r="F1998" s="1597"/>
      <c r="G1998" s="1597"/>
      <c r="H1998" s="1597"/>
      <c r="I1998" s="1597"/>
      <c r="J1998" s="1597"/>
      <c r="K1998" s="1597"/>
      <c r="L1998" s="1597"/>
      <c r="M1998" s="1597"/>
      <c r="N1998" s="1597"/>
      <c r="O1998" s="1597"/>
      <c r="P1998" s="1597"/>
      <c r="Q1998" s="1597"/>
      <c r="R1998" s="1597"/>
      <c r="S1998" s="1597"/>
      <c r="T1998" s="1597"/>
    </row>
    <row r="1999" spans="1:20">
      <c r="A1999" s="1597"/>
      <c r="B1999" s="1597"/>
      <c r="C1999" s="1597"/>
      <c r="D1999" s="1597"/>
      <c r="E1999" s="1597"/>
      <c r="F1999" s="1597"/>
      <c r="G1999" s="1597"/>
      <c r="H1999" s="1597"/>
      <c r="I1999" s="1597"/>
      <c r="J1999" s="1597"/>
      <c r="K1999" s="1597"/>
      <c r="L1999" s="1597"/>
      <c r="M1999" s="1597"/>
      <c r="N1999" s="1597"/>
      <c r="O1999" s="1597"/>
      <c r="P1999" s="1597"/>
      <c r="Q1999" s="1597"/>
      <c r="R1999" s="1597"/>
      <c r="S1999" s="1597"/>
      <c r="T1999" s="1597"/>
    </row>
    <row r="2000" spans="1:20">
      <c r="A2000" s="1597"/>
      <c r="B2000" s="1597"/>
      <c r="C2000" s="1597"/>
      <c r="D2000" s="1597"/>
      <c r="E2000" s="1597"/>
      <c r="F2000" s="1597"/>
      <c r="G2000" s="1597"/>
      <c r="H2000" s="1597"/>
      <c r="I2000" s="1597"/>
      <c r="J2000" s="1597"/>
      <c r="K2000" s="1597"/>
      <c r="L2000" s="1597"/>
      <c r="M2000" s="1597"/>
      <c r="N2000" s="1597"/>
      <c r="O2000" s="1597"/>
      <c r="P2000" s="1597"/>
      <c r="Q2000" s="1597"/>
      <c r="R2000" s="1597"/>
      <c r="S2000" s="1597"/>
      <c r="T2000" s="1597"/>
    </row>
    <row r="2001" spans="1:20">
      <c r="A2001" s="1597"/>
      <c r="B2001" s="1597"/>
      <c r="C2001" s="1597"/>
      <c r="D2001" s="1597"/>
      <c r="E2001" s="1597"/>
      <c r="F2001" s="1597"/>
      <c r="G2001" s="1597"/>
      <c r="H2001" s="1597"/>
      <c r="I2001" s="1597"/>
      <c r="J2001" s="1597"/>
      <c r="K2001" s="1597"/>
      <c r="L2001" s="1597"/>
      <c r="M2001" s="1597"/>
      <c r="N2001" s="1597"/>
      <c r="O2001" s="1597"/>
      <c r="P2001" s="1597"/>
      <c r="Q2001" s="1597"/>
      <c r="R2001" s="1597"/>
      <c r="S2001" s="1597"/>
      <c r="T2001" s="1597"/>
    </row>
    <row r="2002" spans="1:20">
      <c r="A2002" s="1597"/>
      <c r="B2002" s="1597"/>
      <c r="C2002" s="1597"/>
      <c r="D2002" s="1597"/>
      <c r="E2002" s="1597"/>
      <c r="F2002" s="1597"/>
      <c r="G2002" s="1597"/>
      <c r="H2002" s="1597"/>
      <c r="I2002" s="1597"/>
      <c r="J2002" s="1597"/>
      <c r="K2002" s="1597"/>
      <c r="L2002" s="1597"/>
      <c r="M2002" s="1597"/>
      <c r="N2002" s="1597"/>
      <c r="O2002" s="1597"/>
      <c r="P2002" s="1597"/>
      <c r="Q2002" s="1597"/>
      <c r="R2002" s="1597"/>
      <c r="S2002" s="1597"/>
      <c r="T2002" s="1597"/>
    </row>
    <row r="2003" spans="1:20">
      <c r="A2003" s="1597"/>
      <c r="B2003" s="1597"/>
      <c r="C2003" s="1597"/>
      <c r="D2003" s="1597"/>
      <c r="E2003" s="1597"/>
      <c r="F2003" s="1597"/>
      <c r="G2003" s="1597"/>
      <c r="H2003" s="1597"/>
      <c r="I2003" s="1597"/>
      <c r="J2003" s="1597"/>
      <c r="K2003" s="1597"/>
      <c r="L2003" s="1597"/>
      <c r="M2003" s="1597"/>
      <c r="N2003" s="1597"/>
      <c r="O2003" s="1597"/>
      <c r="P2003" s="1597"/>
      <c r="Q2003" s="1597"/>
      <c r="R2003" s="1597"/>
      <c r="S2003" s="1597"/>
      <c r="T2003" s="1597"/>
    </row>
    <row r="2004" spans="1:20">
      <c r="A2004" s="1597"/>
      <c r="B2004" s="1597"/>
      <c r="C2004" s="1597"/>
      <c r="D2004" s="1597"/>
      <c r="E2004" s="1597"/>
      <c r="F2004" s="1597"/>
      <c r="G2004" s="1597"/>
      <c r="H2004" s="1597"/>
      <c r="I2004" s="1597"/>
      <c r="J2004" s="1597"/>
      <c r="K2004" s="1597"/>
      <c r="L2004" s="1597"/>
      <c r="M2004" s="1597"/>
      <c r="N2004" s="1597"/>
      <c r="O2004" s="1597"/>
      <c r="P2004" s="1597"/>
      <c r="Q2004" s="1597"/>
      <c r="R2004" s="1597"/>
      <c r="S2004" s="1597"/>
      <c r="T2004" s="1597"/>
    </row>
    <row r="2005" spans="1:20">
      <c r="A2005" s="1597"/>
      <c r="B2005" s="1597"/>
      <c r="C2005" s="1597"/>
      <c r="D2005" s="1597"/>
      <c r="E2005" s="1597"/>
      <c r="F2005" s="1597"/>
      <c r="G2005" s="1597"/>
      <c r="H2005" s="1597"/>
      <c r="I2005" s="1597"/>
      <c r="J2005" s="1597"/>
      <c r="K2005" s="1597"/>
      <c r="L2005" s="1597"/>
      <c r="M2005" s="1597"/>
      <c r="N2005" s="1597"/>
      <c r="O2005" s="1597"/>
      <c r="P2005" s="1597"/>
      <c r="Q2005" s="1597"/>
      <c r="R2005" s="1597"/>
      <c r="S2005" s="1597"/>
      <c r="T2005" s="1597"/>
    </row>
    <row r="2006" spans="1:20">
      <c r="A2006" s="1597"/>
      <c r="B2006" s="1597"/>
      <c r="C2006" s="1597"/>
      <c r="D2006" s="1597"/>
      <c r="E2006" s="1597"/>
      <c r="F2006" s="1597"/>
      <c r="G2006" s="1597"/>
      <c r="H2006" s="1597"/>
      <c r="I2006" s="1597"/>
      <c r="J2006" s="1597"/>
      <c r="K2006" s="1597"/>
      <c r="L2006" s="1597"/>
      <c r="M2006" s="1597"/>
      <c r="N2006" s="1597"/>
      <c r="O2006" s="1597"/>
      <c r="P2006" s="1597"/>
      <c r="Q2006" s="1597"/>
      <c r="R2006" s="1597"/>
      <c r="S2006" s="1597"/>
      <c r="T2006" s="1597"/>
    </row>
    <row r="2007" spans="1:20">
      <c r="A2007" s="1597"/>
      <c r="B2007" s="1597"/>
      <c r="C2007" s="1597"/>
      <c r="D2007" s="1597"/>
      <c r="E2007" s="1597"/>
      <c r="F2007" s="1597"/>
      <c r="G2007" s="1597"/>
      <c r="H2007" s="1597"/>
      <c r="I2007" s="1597"/>
      <c r="J2007" s="1597"/>
      <c r="K2007" s="1597"/>
      <c r="L2007" s="1597"/>
      <c r="M2007" s="1597"/>
      <c r="N2007" s="1597"/>
      <c r="O2007" s="1597"/>
      <c r="P2007" s="1597"/>
      <c r="Q2007" s="1597"/>
      <c r="R2007" s="1597"/>
      <c r="S2007" s="1597"/>
      <c r="T2007" s="1597"/>
    </row>
    <row r="2008" spans="1:20">
      <c r="A2008" s="1597"/>
      <c r="B2008" s="1597"/>
      <c r="C2008" s="1597"/>
      <c r="D2008" s="1597"/>
      <c r="E2008" s="1597"/>
      <c r="F2008" s="1597"/>
      <c r="G2008" s="1597"/>
      <c r="H2008" s="1597"/>
      <c r="I2008" s="1597"/>
      <c r="J2008" s="1597"/>
      <c r="K2008" s="1597"/>
      <c r="L2008" s="1597"/>
      <c r="M2008" s="1597"/>
      <c r="N2008" s="1597"/>
      <c r="O2008" s="1597"/>
      <c r="P2008" s="1597"/>
      <c r="Q2008" s="1597"/>
      <c r="R2008" s="1597"/>
      <c r="S2008" s="1597"/>
      <c r="T2008" s="1597"/>
    </row>
    <row r="2009" spans="1:20">
      <c r="A2009" s="1597"/>
      <c r="B2009" s="1597"/>
      <c r="C2009" s="1597"/>
      <c r="D2009" s="1597"/>
      <c r="E2009" s="1597"/>
      <c r="F2009" s="1597"/>
      <c r="G2009" s="1597"/>
      <c r="H2009" s="1597"/>
      <c r="I2009" s="1597"/>
      <c r="J2009" s="1597"/>
      <c r="K2009" s="1597"/>
      <c r="L2009" s="1597"/>
      <c r="M2009" s="1597"/>
      <c r="N2009" s="1597"/>
      <c r="O2009" s="1597"/>
      <c r="P2009" s="1597"/>
      <c r="Q2009" s="1597"/>
      <c r="R2009" s="1597"/>
      <c r="S2009" s="1597"/>
      <c r="T2009" s="1597"/>
    </row>
    <row r="2010" spans="1:20">
      <c r="A2010" s="1597"/>
      <c r="B2010" s="1597"/>
      <c r="C2010" s="1597"/>
      <c r="D2010" s="1597"/>
      <c r="E2010" s="1597"/>
      <c r="F2010" s="1597"/>
      <c r="G2010" s="1597"/>
      <c r="H2010" s="1597"/>
      <c r="I2010" s="1597"/>
      <c r="J2010" s="1597"/>
      <c r="K2010" s="1597"/>
      <c r="L2010" s="1597"/>
      <c r="M2010" s="1597"/>
      <c r="N2010" s="1597"/>
      <c r="O2010" s="1597"/>
      <c r="P2010" s="1597"/>
      <c r="Q2010" s="1597"/>
      <c r="R2010" s="1597"/>
      <c r="S2010" s="1597"/>
      <c r="T2010" s="1597"/>
    </row>
    <row r="2011" spans="1:20">
      <c r="A2011" s="1597"/>
      <c r="B2011" s="1597"/>
      <c r="C2011" s="1597"/>
      <c r="D2011" s="1597"/>
      <c r="E2011" s="1597"/>
      <c r="F2011" s="1597"/>
      <c r="G2011" s="1597"/>
      <c r="H2011" s="1597"/>
      <c r="I2011" s="1597"/>
      <c r="J2011" s="1597"/>
      <c r="K2011" s="1597"/>
      <c r="L2011" s="1597"/>
      <c r="M2011" s="1597"/>
      <c r="N2011" s="1597"/>
      <c r="O2011" s="1597"/>
      <c r="P2011" s="1597"/>
      <c r="Q2011" s="1597"/>
      <c r="R2011" s="1597"/>
      <c r="S2011" s="1597"/>
      <c r="T2011" s="1597"/>
    </row>
    <row r="2012" spans="1:20">
      <c r="A2012" s="1597"/>
      <c r="B2012" s="1597"/>
      <c r="C2012" s="1597"/>
      <c r="D2012" s="1597"/>
      <c r="E2012" s="1597"/>
      <c r="F2012" s="1597"/>
      <c r="G2012" s="1597"/>
      <c r="H2012" s="1597"/>
      <c r="I2012" s="1597"/>
      <c r="J2012" s="1597"/>
      <c r="K2012" s="1597"/>
      <c r="L2012" s="1597"/>
      <c r="M2012" s="1597"/>
      <c r="N2012" s="1597"/>
      <c r="O2012" s="1597"/>
      <c r="P2012" s="1597"/>
      <c r="Q2012" s="1597"/>
      <c r="R2012" s="1597"/>
      <c r="S2012" s="1597"/>
      <c r="T2012" s="1597"/>
    </row>
    <row r="2013" spans="1:20">
      <c r="A2013" s="1597"/>
      <c r="B2013" s="1597"/>
      <c r="C2013" s="1597"/>
      <c r="D2013" s="1597"/>
      <c r="E2013" s="1597"/>
      <c r="F2013" s="1597"/>
      <c r="G2013" s="1597"/>
      <c r="H2013" s="1597"/>
      <c r="I2013" s="1597"/>
      <c r="J2013" s="1597"/>
      <c r="K2013" s="1597"/>
      <c r="L2013" s="1597"/>
      <c r="M2013" s="1597"/>
      <c r="N2013" s="1597"/>
      <c r="O2013" s="1597"/>
      <c r="P2013" s="1597"/>
      <c r="Q2013" s="1597"/>
      <c r="R2013" s="1597"/>
      <c r="S2013" s="1597"/>
      <c r="T2013" s="1597"/>
    </row>
    <row r="2014" spans="1:20">
      <c r="A2014" s="1597"/>
      <c r="B2014" s="1597"/>
      <c r="C2014" s="1597"/>
      <c r="D2014" s="1597"/>
      <c r="E2014" s="1597"/>
      <c r="F2014" s="1597"/>
      <c r="G2014" s="1597"/>
      <c r="H2014" s="1597"/>
      <c r="I2014" s="1597"/>
      <c r="J2014" s="1597"/>
      <c r="K2014" s="1597"/>
      <c r="L2014" s="1597"/>
      <c r="M2014" s="1597"/>
      <c r="N2014" s="1597"/>
      <c r="O2014" s="1597"/>
      <c r="P2014" s="1597"/>
      <c r="Q2014" s="1597"/>
      <c r="R2014" s="1597"/>
      <c r="S2014" s="1597"/>
      <c r="T2014" s="1597"/>
    </row>
    <row r="2015" spans="1:20">
      <c r="A2015" s="1597"/>
      <c r="B2015" s="1597"/>
      <c r="C2015" s="1597"/>
      <c r="D2015" s="1597"/>
      <c r="E2015" s="1597"/>
      <c r="F2015" s="1597"/>
      <c r="G2015" s="1597"/>
      <c r="H2015" s="1597"/>
      <c r="I2015" s="1597"/>
      <c r="J2015" s="1597"/>
      <c r="K2015" s="1597"/>
      <c r="L2015" s="1597"/>
      <c r="M2015" s="1597"/>
      <c r="N2015" s="1597"/>
      <c r="O2015" s="1597"/>
      <c r="P2015" s="1597"/>
      <c r="Q2015" s="1597"/>
      <c r="R2015" s="1597"/>
      <c r="S2015" s="1597"/>
      <c r="T2015" s="1597"/>
    </row>
    <row r="2016" spans="1:20">
      <c r="A2016" s="1597"/>
      <c r="B2016" s="1597"/>
      <c r="C2016" s="1597"/>
      <c r="D2016" s="1597"/>
      <c r="E2016" s="1597"/>
      <c r="F2016" s="1597"/>
      <c r="G2016" s="1597"/>
      <c r="H2016" s="1597"/>
      <c r="I2016" s="1597"/>
      <c r="J2016" s="1597"/>
      <c r="K2016" s="1597"/>
      <c r="L2016" s="1597"/>
      <c r="M2016" s="1597"/>
      <c r="N2016" s="1597"/>
      <c r="O2016" s="1597"/>
      <c r="P2016" s="1597"/>
      <c r="Q2016" s="1597"/>
      <c r="R2016" s="1597"/>
      <c r="S2016" s="1597"/>
      <c r="T2016" s="1597"/>
    </row>
    <row r="2017" spans="1:20">
      <c r="A2017" s="1597"/>
      <c r="B2017" s="1597"/>
      <c r="C2017" s="1597"/>
      <c r="D2017" s="1597"/>
      <c r="E2017" s="1597"/>
      <c r="F2017" s="1597"/>
      <c r="G2017" s="1597"/>
      <c r="H2017" s="1597"/>
      <c r="I2017" s="1597"/>
      <c r="J2017" s="1597"/>
      <c r="K2017" s="1597"/>
      <c r="L2017" s="1597"/>
      <c r="M2017" s="1597"/>
      <c r="N2017" s="1597"/>
      <c r="O2017" s="1597"/>
      <c r="P2017" s="1597"/>
      <c r="Q2017" s="1597"/>
      <c r="R2017" s="1597"/>
      <c r="S2017" s="1597"/>
      <c r="T2017" s="1597"/>
    </row>
    <row r="2018" spans="1:20">
      <c r="A2018" s="1597"/>
      <c r="B2018" s="1597"/>
      <c r="C2018" s="1597"/>
      <c r="D2018" s="1597"/>
      <c r="E2018" s="1597"/>
      <c r="F2018" s="1597"/>
      <c r="G2018" s="1597"/>
      <c r="H2018" s="1597"/>
      <c r="I2018" s="1597"/>
      <c r="J2018" s="1597"/>
      <c r="K2018" s="1597"/>
      <c r="L2018" s="1597"/>
      <c r="M2018" s="1597"/>
      <c r="N2018" s="1597"/>
      <c r="O2018" s="1597"/>
      <c r="P2018" s="1597"/>
      <c r="Q2018" s="1597"/>
      <c r="R2018" s="1597"/>
      <c r="S2018" s="1597"/>
      <c r="T2018" s="1597"/>
    </row>
    <row r="2019" spans="1:20">
      <c r="A2019" s="1597"/>
      <c r="B2019" s="1597"/>
      <c r="C2019" s="1597"/>
      <c r="D2019" s="1597"/>
      <c r="E2019" s="1597"/>
      <c r="F2019" s="1597"/>
      <c r="G2019" s="1597"/>
      <c r="H2019" s="1597"/>
      <c r="I2019" s="1597"/>
      <c r="J2019" s="1597"/>
      <c r="K2019" s="1597"/>
      <c r="L2019" s="1597"/>
      <c r="M2019" s="1597"/>
      <c r="N2019" s="1597"/>
      <c r="O2019" s="1597"/>
      <c r="P2019" s="1597"/>
      <c r="Q2019" s="1597"/>
      <c r="R2019" s="1597"/>
      <c r="S2019" s="1597"/>
      <c r="T2019" s="1597"/>
    </row>
    <row r="2020" spans="1:20">
      <c r="A2020" s="1597"/>
      <c r="B2020" s="1597"/>
      <c r="C2020" s="1597"/>
      <c r="D2020" s="1597"/>
      <c r="E2020" s="1597"/>
      <c r="F2020" s="1597"/>
      <c r="G2020" s="1597"/>
      <c r="H2020" s="1597"/>
      <c r="I2020" s="1597"/>
      <c r="J2020" s="1597"/>
      <c r="K2020" s="1597"/>
      <c r="L2020" s="1597"/>
      <c r="M2020" s="1597"/>
      <c r="N2020" s="1597"/>
      <c r="O2020" s="1597"/>
      <c r="P2020" s="1597"/>
      <c r="Q2020" s="1597"/>
      <c r="R2020" s="1597"/>
      <c r="S2020" s="1597"/>
      <c r="T2020" s="1597"/>
    </row>
    <row r="2021" spans="1:20">
      <c r="A2021" s="1597"/>
      <c r="B2021" s="1597"/>
      <c r="C2021" s="1597"/>
      <c r="D2021" s="1597"/>
      <c r="E2021" s="1597"/>
      <c r="F2021" s="1597"/>
      <c r="G2021" s="1597"/>
      <c r="H2021" s="1597"/>
      <c r="I2021" s="1597"/>
      <c r="J2021" s="1597"/>
      <c r="K2021" s="1597"/>
      <c r="L2021" s="1597"/>
      <c r="M2021" s="1597"/>
      <c r="N2021" s="1597"/>
      <c r="O2021" s="1597"/>
      <c r="P2021" s="1597"/>
      <c r="Q2021" s="1597"/>
      <c r="R2021" s="1597"/>
      <c r="S2021" s="1597"/>
      <c r="T2021" s="1597"/>
    </row>
    <row r="2022" spans="1:20">
      <c r="A2022" s="1597"/>
      <c r="B2022" s="1597"/>
      <c r="C2022" s="1597"/>
      <c r="D2022" s="1597"/>
      <c r="E2022" s="1597"/>
      <c r="F2022" s="1597"/>
      <c r="G2022" s="1597"/>
      <c r="H2022" s="1597"/>
      <c r="I2022" s="1597"/>
      <c r="J2022" s="1597"/>
      <c r="K2022" s="1597"/>
      <c r="L2022" s="1597"/>
      <c r="M2022" s="1597"/>
      <c r="N2022" s="1597"/>
      <c r="O2022" s="1597"/>
      <c r="P2022" s="1597"/>
      <c r="Q2022" s="1597"/>
      <c r="R2022" s="1597"/>
      <c r="S2022" s="1597"/>
      <c r="T2022" s="1597"/>
    </row>
    <row r="2023" spans="1:20">
      <c r="A2023" s="1597"/>
      <c r="B2023" s="1597"/>
      <c r="C2023" s="1597"/>
      <c r="D2023" s="1597"/>
      <c r="E2023" s="1597"/>
      <c r="F2023" s="1597"/>
      <c r="G2023" s="1597"/>
      <c r="H2023" s="1597"/>
      <c r="I2023" s="1597"/>
      <c r="J2023" s="1597"/>
      <c r="K2023" s="1597"/>
      <c r="L2023" s="1597"/>
      <c r="M2023" s="1597"/>
      <c r="N2023" s="1597"/>
      <c r="O2023" s="1597"/>
      <c r="P2023" s="1597"/>
      <c r="Q2023" s="1597"/>
      <c r="R2023" s="1597"/>
      <c r="S2023" s="1597"/>
      <c r="T2023" s="1597"/>
    </row>
    <row r="2024" spans="1:20">
      <c r="A2024" s="1597"/>
      <c r="B2024" s="1597"/>
      <c r="C2024" s="1597"/>
      <c r="D2024" s="1597"/>
      <c r="E2024" s="1597"/>
      <c r="F2024" s="1597"/>
      <c r="G2024" s="1597"/>
      <c r="H2024" s="1597"/>
      <c r="I2024" s="1597"/>
      <c r="J2024" s="1597"/>
      <c r="K2024" s="1597"/>
      <c r="L2024" s="1597"/>
      <c r="M2024" s="1597"/>
      <c r="N2024" s="1597"/>
      <c r="O2024" s="1597"/>
      <c r="P2024" s="1597"/>
      <c r="Q2024" s="1597"/>
      <c r="R2024" s="1597"/>
      <c r="S2024" s="1597"/>
      <c r="T2024" s="1597"/>
    </row>
    <row r="2025" spans="1:20">
      <c r="A2025" s="1597"/>
      <c r="B2025" s="1597"/>
      <c r="C2025" s="1597"/>
      <c r="D2025" s="1597"/>
      <c r="E2025" s="1597"/>
      <c r="F2025" s="1597"/>
      <c r="G2025" s="1597"/>
      <c r="H2025" s="1597"/>
      <c r="I2025" s="1597"/>
      <c r="J2025" s="1597"/>
      <c r="K2025" s="1597"/>
      <c r="L2025" s="1597"/>
      <c r="M2025" s="1597"/>
      <c r="N2025" s="1597"/>
      <c r="O2025" s="1597"/>
      <c r="P2025" s="1597"/>
      <c r="Q2025" s="1597"/>
      <c r="R2025" s="1597"/>
      <c r="S2025" s="1597"/>
      <c r="T2025" s="1597"/>
    </row>
    <row r="2026" spans="1:20">
      <c r="A2026" s="1597"/>
      <c r="B2026" s="1597"/>
      <c r="C2026" s="1597"/>
      <c r="D2026" s="1597"/>
      <c r="E2026" s="1597"/>
      <c r="F2026" s="1597"/>
      <c r="G2026" s="1597"/>
      <c r="H2026" s="1597"/>
      <c r="I2026" s="1597"/>
      <c r="J2026" s="1597"/>
      <c r="K2026" s="1597"/>
      <c r="L2026" s="1597"/>
      <c r="M2026" s="1597"/>
      <c r="N2026" s="1597"/>
      <c r="O2026" s="1597"/>
      <c r="P2026" s="1597"/>
      <c r="Q2026" s="1597"/>
      <c r="R2026" s="1597"/>
      <c r="S2026" s="1597"/>
      <c r="T2026" s="1597"/>
    </row>
    <row r="2027" spans="1:20">
      <c r="A2027" s="1597"/>
      <c r="B2027" s="1597"/>
      <c r="C2027" s="1597"/>
      <c r="D2027" s="1597"/>
      <c r="E2027" s="1597"/>
      <c r="F2027" s="1597"/>
      <c r="G2027" s="1597"/>
      <c r="H2027" s="1597"/>
      <c r="I2027" s="1597"/>
      <c r="J2027" s="1597"/>
      <c r="K2027" s="1597"/>
      <c r="L2027" s="1597"/>
      <c r="M2027" s="1597"/>
      <c r="N2027" s="1597"/>
      <c r="O2027" s="1597"/>
      <c r="P2027" s="1597"/>
      <c r="Q2027" s="1597"/>
      <c r="R2027" s="1597"/>
      <c r="S2027" s="1597"/>
      <c r="T2027" s="1597"/>
    </row>
    <row r="2028" spans="1:20">
      <c r="A2028" s="1597"/>
      <c r="B2028" s="1597"/>
      <c r="C2028" s="1597"/>
      <c r="D2028" s="1597"/>
      <c r="E2028" s="1597"/>
      <c r="F2028" s="1597"/>
      <c r="G2028" s="1597"/>
      <c r="H2028" s="1597"/>
      <c r="I2028" s="1597"/>
      <c r="J2028" s="1597"/>
      <c r="K2028" s="1597"/>
      <c r="L2028" s="1597"/>
      <c r="M2028" s="1597"/>
      <c r="N2028" s="1597"/>
      <c r="O2028" s="1597"/>
      <c r="P2028" s="1597"/>
      <c r="Q2028" s="1597"/>
      <c r="R2028" s="1597"/>
      <c r="S2028" s="1597"/>
      <c r="T2028" s="1597"/>
    </row>
    <row r="2029" spans="1:20">
      <c r="A2029" s="1597"/>
      <c r="B2029" s="1597"/>
      <c r="C2029" s="1597"/>
      <c r="D2029" s="1597"/>
      <c r="E2029" s="1597"/>
      <c r="F2029" s="1597"/>
      <c r="G2029" s="1597"/>
      <c r="H2029" s="1597"/>
      <c r="I2029" s="1597"/>
      <c r="J2029" s="1597"/>
      <c r="K2029" s="1597"/>
      <c r="L2029" s="1597"/>
      <c r="M2029" s="1597"/>
      <c r="N2029" s="1597"/>
      <c r="O2029" s="1597"/>
      <c r="P2029" s="1597"/>
      <c r="Q2029" s="1597"/>
      <c r="R2029" s="1597"/>
      <c r="S2029" s="1597"/>
      <c r="T2029" s="1597"/>
    </row>
    <row r="2030" spans="1:20">
      <c r="A2030" s="1597"/>
      <c r="B2030" s="1597"/>
      <c r="C2030" s="1597"/>
      <c r="D2030" s="1597"/>
      <c r="E2030" s="1597"/>
      <c r="F2030" s="1597"/>
      <c r="G2030" s="1597"/>
      <c r="H2030" s="1597"/>
      <c r="I2030" s="1597"/>
      <c r="J2030" s="1597"/>
      <c r="K2030" s="1597"/>
      <c r="L2030" s="1597"/>
      <c r="M2030" s="1597"/>
      <c r="N2030" s="1597"/>
      <c r="O2030" s="1597"/>
      <c r="P2030" s="1597"/>
      <c r="Q2030" s="1597"/>
      <c r="R2030" s="1597"/>
      <c r="S2030" s="1597"/>
      <c r="T2030" s="1597"/>
    </row>
    <row r="2031" spans="1:20">
      <c r="A2031" s="1597"/>
      <c r="B2031" s="1597"/>
      <c r="C2031" s="1597"/>
      <c r="D2031" s="1597"/>
      <c r="E2031" s="1597"/>
      <c r="F2031" s="1597"/>
      <c r="G2031" s="1597"/>
      <c r="H2031" s="1597"/>
      <c r="I2031" s="1597"/>
      <c r="J2031" s="1597"/>
      <c r="K2031" s="1597"/>
      <c r="L2031" s="1597"/>
      <c r="M2031" s="1597"/>
      <c r="N2031" s="1597"/>
      <c r="O2031" s="1597"/>
      <c r="P2031" s="1597"/>
      <c r="Q2031" s="1597"/>
      <c r="R2031" s="1597"/>
      <c r="S2031" s="1597"/>
      <c r="T2031" s="1597"/>
    </row>
    <row r="2032" spans="1:20">
      <c r="A2032" s="1597"/>
      <c r="B2032" s="1597"/>
      <c r="C2032" s="1597"/>
      <c r="D2032" s="1597"/>
      <c r="E2032" s="1597"/>
      <c r="F2032" s="1597"/>
      <c r="G2032" s="1597"/>
      <c r="H2032" s="1597"/>
      <c r="I2032" s="1597"/>
      <c r="J2032" s="1597"/>
      <c r="K2032" s="1597"/>
      <c r="L2032" s="1597"/>
      <c r="M2032" s="1597"/>
      <c r="N2032" s="1597"/>
      <c r="O2032" s="1597"/>
      <c r="P2032" s="1597"/>
      <c r="Q2032" s="1597"/>
      <c r="R2032" s="1597"/>
      <c r="S2032" s="1597"/>
      <c r="T2032" s="1597"/>
    </row>
    <row r="2033" spans="1:20">
      <c r="A2033" s="1597"/>
      <c r="B2033" s="1597"/>
      <c r="C2033" s="1597"/>
      <c r="D2033" s="1597"/>
      <c r="E2033" s="1597"/>
      <c r="F2033" s="1597"/>
      <c r="G2033" s="1597"/>
      <c r="H2033" s="1597"/>
      <c r="I2033" s="1597"/>
      <c r="J2033" s="1597"/>
      <c r="K2033" s="1597"/>
      <c r="L2033" s="1597"/>
      <c r="M2033" s="1597"/>
      <c r="N2033" s="1597"/>
      <c r="O2033" s="1597"/>
      <c r="P2033" s="1597"/>
      <c r="Q2033" s="1597"/>
      <c r="R2033" s="1597"/>
      <c r="S2033" s="1597"/>
      <c r="T2033" s="1597"/>
    </row>
    <row r="2034" spans="1:20">
      <c r="A2034" s="1597"/>
      <c r="B2034" s="1597"/>
      <c r="C2034" s="1597"/>
      <c r="D2034" s="1597"/>
      <c r="E2034" s="1597"/>
      <c r="F2034" s="1597"/>
      <c r="G2034" s="1597"/>
      <c r="H2034" s="1597"/>
      <c r="I2034" s="1597"/>
      <c r="J2034" s="1597"/>
      <c r="K2034" s="1597"/>
      <c r="L2034" s="1597"/>
      <c r="M2034" s="1597"/>
      <c r="N2034" s="1597"/>
      <c r="O2034" s="1597"/>
      <c r="P2034" s="1597"/>
      <c r="Q2034" s="1597"/>
      <c r="R2034" s="1597"/>
      <c r="S2034" s="1597"/>
      <c r="T2034" s="1597"/>
    </row>
    <row r="2035" spans="1:20">
      <c r="A2035" s="1597"/>
      <c r="B2035" s="1597"/>
      <c r="C2035" s="1597"/>
      <c r="D2035" s="1597"/>
      <c r="E2035" s="1597"/>
      <c r="F2035" s="1597"/>
      <c r="G2035" s="1597"/>
      <c r="H2035" s="1597"/>
      <c r="I2035" s="1597"/>
      <c r="J2035" s="1597"/>
      <c r="K2035" s="1597"/>
      <c r="L2035" s="1597"/>
      <c r="M2035" s="1597"/>
      <c r="N2035" s="1597"/>
      <c r="O2035" s="1597"/>
      <c r="P2035" s="1597"/>
      <c r="Q2035" s="1597"/>
      <c r="R2035" s="1597"/>
      <c r="S2035" s="1597"/>
      <c r="T2035" s="1597"/>
    </row>
    <row r="2036" spans="1:20">
      <c r="A2036" s="1597"/>
      <c r="B2036" s="1597"/>
      <c r="C2036" s="1597"/>
      <c r="D2036" s="1597"/>
      <c r="E2036" s="1597"/>
      <c r="F2036" s="1597"/>
      <c r="G2036" s="1597"/>
      <c r="H2036" s="1597"/>
      <c r="I2036" s="1597"/>
      <c r="J2036" s="1597"/>
      <c r="K2036" s="1597"/>
      <c r="L2036" s="1597"/>
      <c r="M2036" s="1597"/>
      <c r="N2036" s="1597"/>
      <c r="O2036" s="1597"/>
      <c r="P2036" s="1597"/>
      <c r="Q2036" s="1597"/>
      <c r="R2036" s="1597"/>
      <c r="S2036" s="1597"/>
      <c r="T2036" s="1597"/>
    </row>
    <row r="2037" spans="1:20">
      <c r="A2037" s="1597"/>
      <c r="B2037" s="1597"/>
      <c r="C2037" s="1597"/>
      <c r="D2037" s="1597"/>
      <c r="E2037" s="1597"/>
      <c r="F2037" s="1597"/>
      <c r="G2037" s="1597"/>
      <c r="H2037" s="1597"/>
      <c r="I2037" s="1597"/>
      <c r="J2037" s="1597"/>
      <c r="K2037" s="1597"/>
      <c r="L2037" s="1597"/>
      <c r="M2037" s="1597"/>
      <c r="N2037" s="1597"/>
      <c r="O2037" s="1597"/>
      <c r="P2037" s="1597"/>
      <c r="Q2037" s="1597"/>
      <c r="R2037" s="1597"/>
      <c r="S2037" s="1597"/>
      <c r="T2037" s="1597"/>
    </row>
    <row r="2038" spans="1:20">
      <c r="A2038" s="1597"/>
      <c r="B2038" s="1597"/>
      <c r="C2038" s="1597"/>
      <c r="D2038" s="1597"/>
      <c r="E2038" s="1597"/>
      <c r="F2038" s="1597"/>
      <c r="G2038" s="1597"/>
      <c r="H2038" s="1597"/>
      <c r="I2038" s="1597"/>
      <c r="J2038" s="1597"/>
      <c r="K2038" s="1597"/>
      <c r="L2038" s="1597"/>
      <c r="M2038" s="1597"/>
      <c r="N2038" s="1597"/>
      <c r="O2038" s="1597"/>
      <c r="P2038" s="1597"/>
      <c r="Q2038" s="1597"/>
      <c r="R2038" s="1597"/>
      <c r="S2038" s="1597"/>
      <c r="T2038" s="1597"/>
    </row>
    <row r="2039" spans="1:20">
      <c r="A2039" s="1597"/>
      <c r="B2039" s="1597"/>
      <c r="C2039" s="1597"/>
      <c r="D2039" s="1597"/>
      <c r="E2039" s="1597"/>
      <c r="F2039" s="1597"/>
      <c r="G2039" s="1597"/>
      <c r="H2039" s="1597"/>
      <c r="I2039" s="1597"/>
      <c r="J2039" s="1597"/>
      <c r="K2039" s="1597"/>
      <c r="L2039" s="1597"/>
      <c r="M2039" s="1597"/>
      <c r="N2039" s="1597"/>
      <c r="O2039" s="1597"/>
      <c r="P2039" s="1597"/>
      <c r="Q2039" s="1597"/>
      <c r="R2039" s="1597"/>
      <c r="S2039" s="1597"/>
      <c r="T2039" s="1597"/>
    </row>
    <row r="2040" spans="1:20">
      <c r="A2040" s="1597"/>
      <c r="B2040" s="1597"/>
      <c r="C2040" s="1597"/>
      <c r="D2040" s="1597"/>
      <c r="E2040" s="1597"/>
      <c r="F2040" s="1597"/>
      <c r="G2040" s="1597"/>
      <c r="H2040" s="1597"/>
      <c r="I2040" s="1597"/>
      <c r="J2040" s="1597"/>
      <c r="K2040" s="1597"/>
      <c r="L2040" s="1597"/>
      <c r="M2040" s="1597"/>
      <c r="N2040" s="1597"/>
      <c r="O2040" s="1597"/>
      <c r="P2040" s="1597"/>
      <c r="Q2040" s="1597"/>
      <c r="R2040" s="1597"/>
      <c r="S2040" s="1597"/>
      <c r="T2040" s="1597"/>
    </row>
    <row r="2041" spans="1:20">
      <c r="A2041" s="1597"/>
      <c r="B2041" s="1597"/>
      <c r="C2041" s="1597"/>
      <c r="D2041" s="1597"/>
      <c r="E2041" s="1597"/>
      <c r="F2041" s="1597"/>
      <c r="G2041" s="1597"/>
      <c r="H2041" s="1597"/>
      <c r="I2041" s="1597"/>
      <c r="J2041" s="1597"/>
      <c r="K2041" s="1597"/>
      <c r="L2041" s="1597"/>
      <c r="M2041" s="1597"/>
      <c r="N2041" s="1597"/>
      <c r="O2041" s="1597"/>
      <c r="P2041" s="1597"/>
      <c r="Q2041" s="1597"/>
      <c r="R2041" s="1597"/>
      <c r="S2041" s="1597"/>
      <c r="T2041" s="1597"/>
    </row>
    <row r="2042" spans="1:20">
      <c r="A2042" s="1597"/>
      <c r="B2042" s="1597"/>
      <c r="C2042" s="1597"/>
      <c r="D2042" s="1597"/>
      <c r="E2042" s="1597"/>
      <c r="F2042" s="1597"/>
      <c r="G2042" s="1597"/>
      <c r="H2042" s="1597"/>
      <c r="I2042" s="1597"/>
      <c r="J2042" s="1597"/>
      <c r="K2042" s="1597"/>
      <c r="L2042" s="1597"/>
      <c r="M2042" s="1597"/>
      <c r="N2042" s="1597"/>
      <c r="O2042" s="1597"/>
      <c r="P2042" s="1597"/>
      <c r="Q2042" s="1597"/>
      <c r="R2042" s="1597"/>
      <c r="S2042" s="1597"/>
      <c r="T2042" s="1597"/>
    </row>
    <row r="2043" spans="1:20">
      <c r="A2043" s="1597"/>
      <c r="B2043" s="1597"/>
      <c r="C2043" s="1597"/>
      <c r="D2043" s="1597"/>
      <c r="E2043" s="1597"/>
      <c r="F2043" s="1597"/>
      <c r="G2043" s="1597"/>
      <c r="H2043" s="1597"/>
      <c r="I2043" s="1597"/>
      <c r="J2043" s="1597"/>
      <c r="K2043" s="1597"/>
      <c r="L2043" s="1597"/>
      <c r="M2043" s="1597"/>
      <c r="N2043" s="1597"/>
      <c r="O2043" s="1597"/>
      <c r="P2043" s="1597"/>
      <c r="Q2043" s="1597"/>
      <c r="R2043" s="1597"/>
      <c r="S2043" s="1597"/>
      <c r="T2043" s="1597"/>
    </row>
    <row r="2044" spans="1:20">
      <c r="A2044" s="1597"/>
      <c r="B2044" s="1597"/>
      <c r="C2044" s="1597"/>
      <c r="D2044" s="1597"/>
      <c r="E2044" s="1597"/>
      <c r="F2044" s="1597"/>
      <c r="G2044" s="1597"/>
      <c r="H2044" s="1597"/>
      <c r="I2044" s="1597"/>
      <c r="J2044" s="1597"/>
      <c r="K2044" s="1597"/>
      <c r="L2044" s="1597"/>
      <c r="M2044" s="1597"/>
      <c r="N2044" s="1597"/>
      <c r="O2044" s="1597"/>
      <c r="P2044" s="1597"/>
      <c r="Q2044" s="1597"/>
      <c r="R2044" s="1597"/>
      <c r="S2044" s="1597"/>
      <c r="T2044" s="1597"/>
    </row>
    <row r="2045" spans="1:20">
      <c r="A2045" s="1597"/>
      <c r="B2045" s="1597"/>
      <c r="C2045" s="1597"/>
      <c r="D2045" s="1597"/>
      <c r="E2045" s="1597"/>
      <c r="F2045" s="1597"/>
      <c r="G2045" s="1597"/>
      <c r="H2045" s="1597"/>
      <c r="I2045" s="1597"/>
      <c r="J2045" s="1597"/>
      <c r="K2045" s="1597"/>
      <c r="L2045" s="1597"/>
      <c r="M2045" s="1597"/>
      <c r="N2045" s="1597"/>
      <c r="O2045" s="1597"/>
      <c r="P2045" s="1597"/>
      <c r="Q2045" s="1597"/>
      <c r="R2045" s="1597"/>
      <c r="S2045" s="1597"/>
      <c r="T2045" s="1597"/>
    </row>
    <row r="2046" spans="1:20">
      <c r="A2046" s="1597"/>
      <c r="B2046" s="1597"/>
      <c r="C2046" s="1597"/>
      <c r="D2046" s="1597"/>
      <c r="E2046" s="1597"/>
      <c r="F2046" s="1597"/>
      <c r="G2046" s="1597"/>
      <c r="H2046" s="1597"/>
      <c r="I2046" s="1597"/>
      <c r="J2046" s="1597"/>
      <c r="K2046" s="1597"/>
      <c r="L2046" s="1597"/>
      <c r="M2046" s="1597"/>
      <c r="N2046" s="1597"/>
      <c r="O2046" s="1597"/>
      <c r="P2046" s="1597"/>
      <c r="Q2046" s="1597"/>
      <c r="R2046" s="1597"/>
      <c r="S2046" s="1597"/>
      <c r="T2046" s="1597"/>
    </row>
    <row r="2047" spans="1:20">
      <c r="A2047" s="1597"/>
      <c r="B2047" s="1597"/>
      <c r="C2047" s="1597"/>
      <c r="D2047" s="1597"/>
      <c r="E2047" s="1597"/>
      <c r="F2047" s="1597"/>
      <c r="G2047" s="1597"/>
      <c r="H2047" s="1597"/>
      <c r="I2047" s="1597"/>
      <c r="J2047" s="1597"/>
      <c r="K2047" s="1597"/>
      <c r="L2047" s="1597"/>
      <c r="M2047" s="1597"/>
      <c r="N2047" s="1597"/>
      <c r="O2047" s="1597"/>
      <c r="P2047" s="1597"/>
      <c r="Q2047" s="1597"/>
      <c r="R2047" s="1597"/>
      <c r="S2047" s="1597"/>
      <c r="T2047" s="1597"/>
    </row>
    <row r="2048" spans="1:20">
      <c r="A2048" s="1597"/>
      <c r="B2048" s="1597"/>
      <c r="C2048" s="1597"/>
      <c r="D2048" s="1597"/>
      <c r="E2048" s="1597"/>
      <c r="F2048" s="1597"/>
      <c r="G2048" s="1597"/>
      <c r="H2048" s="1597"/>
      <c r="I2048" s="1597"/>
      <c r="J2048" s="1597"/>
      <c r="K2048" s="1597"/>
      <c r="L2048" s="1597"/>
      <c r="M2048" s="1597"/>
      <c r="N2048" s="1597"/>
      <c r="O2048" s="1597"/>
      <c r="P2048" s="1597"/>
      <c r="Q2048" s="1597"/>
      <c r="R2048" s="1597"/>
      <c r="S2048" s="1597"/>
      <c r="T2048" s="1597"/>
    </row>
    <row r="2049" spans="1:20">
      <c r="A2049" s="1597"/>
      <c r="B2049" s="1597"/>
      <c r="C2049" s="1597"/>
      <c r="D2049" s="1597"/>
      <c r="E2049" s="1597"/>
      <c r="F2049" s="1597"/>
      <c r="G2049" s="1597"/>
      <c r="H2049" s="1597"/>
      <c r="I2049" s="1597"/>
      <c r="J2049" s="1597"/>
      <c r="K2049" s="1597"/>
      <c r="L2049" s="1597"/>
      <c r="M2049" s="1597"/>
      <c r="N2049" s="1597"/>
      <c r="O2049" s="1597"/>
      <c r="P2049" s="1597"/>
      <c r="Q2049" s="1597"/>
      <c r="R2049" s="1597"/>
      <c r="S2049" s="1597"/>
      <c r="T2049" s="1597"/>
    </row>
    <row r="2050" spans="1:20">
      <c r="A2050" s="1597"/>
      <c r="B2050" s="1597"/>
      <c r="C2050" s="1597"/>
      <c r="D2050" s="1597"/>
      <c r="E2050" s="1597"/>
      <c r="F2050" s="1597"/>
      <c r="G2050" s="1597"/>
      <c r="H2050" s="1597"/>
      <c r="I2050" s="1597"/>
      <c r="J2050" s="1597"/>
      <c r="K2050" s="1597"/>
      <c r="L2050" s="1597"/>
      <c r="M2050" s="1597"/>
      <c r="N2050" s="1597"/>
      <c r="O2050" s="1597"/>
      <c r="P2050" s="1597"/>
      <c r="Q2050" s="1597"/>
      <c r="R2050" s="1597"/>
      <c r="S2050" s="1597"/>
      <c r="T2050" s="1597"/>
    </row>
    <row r="2051" spans="1:20">
      <c r="A2051" s="1597"/>
      <c r="B2051" s="1597"/>
      <c r="C2051" s="1597"/>
      <c r="D2051" s="1597"/>
      <c r="E2051" s="1597"/>
      <c r="F2051" s="1597"/>
      <c r="G2051" s="1597"/>
      <c r="H2051" s="1597"/>
      <c r="I2051" s="1597"/>
      <c r="J2051" s="1597"/>
      <c r="K2051" s="1597"/>
      <c r="L2051" s="1597"/>
      <c r="M2051" s="1597"/>
      <c r="N2051" s="1597"/>
      <c r="O2051" s="1597"/>
      <c r="P2051" s="1597"/>
      <c r="Q2051" s="1597"/>
      <c r="R2051" s="1597"/>
      <c r="S2051" s="1597"/>
      <c r="T2051" s="1597"/>
    </row>
    <row r="2052" spans="1:20">
      <c r="A2052" s="1597"/>
      <c r="B2052" s="1597"/>
      <c r="C2052" s="1597"/>
      <c r="D2052" s="1597"/>
      <c r="E2052" s="1597"/>
      <c r="F2052" s="1597"/>
      <c r="G2052" s="1597"/>
      <c r="H2052" s="1597"/>
      <c r="I2052" s="1597"/>
      <c r="J2052" s="1597"/>
      <c r="K2052" s="1597"/>
      <c r="L2052" s="1597"/>
      <c r="M2052" s="1597"/>
      <c r="N2052" s="1597"/>
      <c r="O2052" s="1597"/>
      <c r="P2052" s="1597"/>
      <c r="Q2052" s="1597"/>
      <c r="R2052" s="1597"/>
      <c r="S2052" s="1597"/>
      <c r="T2052" s="1597"/>
    </row>
    <row r="2053" spans="1:20">
      <c r="A2053" s="1597"/>
      <c r="B2053" s="1597"/>
      <c r="C2053" s="1597"/>
      <c r="D2053" s="1597"/>
      <c r="E2053" s="1597"/>
      <c r="F2053" s="1597"/>
      <c r="G2053" s="1597"/>
      <c r="H2053" s="1597"/>
      <c r="I2053" s="1597"/>
      <c r="J2053" s="1597"/>
      <c r="K2053" s="1597"/>
      <c r="L2053" s="1597"/>
      <c r="M2053" s="1597"/>
      <c r="N2053" s="1597"/>
      <c r="O2053" s="1597"/>
      <c r="P2053" s="1597"/>
      <c r="Q2053" s="1597"/>
      <c r="R2053" s="1597"/>
      <c r="S2053" s="1597"/>
      <c r="T2053" s="1597"/>
    </row>
    <row r="2054" spans="1:20">
      <c r="A2054" s="1597"/>
      <c r="B2054" s="1597"/>
      <c r="C2054" s="1597"/>
      <c r="D2054" s="1597"/>
      <c r="E2054" s="1597"/>
      <c r="F2054" s="1597"/>
      <c r="G2054" s="1597"/>
      <c r="H2054" s="1597"/>
      <c r="I2054" s="1597"/>
      <c r="J2054" s="1597"/>
      <c r="K2054" s="1597"/>
      <c r="L2054" s="1597"/>
      <c r="M2054" s="1597"/>
      <c r="N2054" s="1597"/>
      <c r="O2054" s="1597"/>
      <c r="P2054" s="1597"/>
      <c r="Q2054" s="1597"/>
      <c r="R2054" s="1597"/>
      <c r="S2054" s="1597"/>
      <c r="T2054" s="1597"/>
    </row>
    <row r="2055" spans="1:20">
      <c r="A2055" s="1597"/>
      <c r="B2055" s="1597"/>
      <c r="C2055" s="1597"/>
      <c r="D2055" s="1597"/>
      <c r="E2055" s="1597"/>
      <c r="F2055" s="1597"/>
      <c r="G2055" s="1597"/>
      <c r="H2055" s="1597"/>
      <c r="I2055" s="1597"/>
      <c r="J2055" s="1597"/>
      <c r="K2055" s="1597"/>
      <c r="L2055" s="1597"/>
      <c r="M2055" s="1597"/>
      <c r="N2055" s="1597"/>
      <c r="O2055" s="1597"/>
      <c r="P2055" s="1597"/>
      <c r="Q2055" s="1597"/>
      <c r="R2055" s="1597"/>
      <c r="S2055" s="1597"/>
      <c r="T2055" s="1597"/>
    </row>
    <row r="2056" spans="1:20">
      <c r="A2056" s="1597"/>
      <c r="B2056" s="1597"/>
      <c r="C2056" s="1597"/>
      <c r="D2056" s="1597"/>
      <c r="E2056" s="1597"/>
      <c r="F2056" s="1597"/>
      <c r="G2056" s="1597"/>
      <c r="H2056" s="1597"/>
      <c r="I2056" s="1597"/>
      <c r="J2056" s="1597"/>
      <c r="K2056" s="1597"/>
      <c r="L2056" s="1597"/>
      <c r="M2056" s="1597"/>
      <c r="N2056" s="1597"/>
      <c r="O2056" s="1597"/>
      <c r="P2056" s="1597"/>
      <c r="Q2056" s="1597"/>
      <c r="R2056" s="1597"/>
      <c r="S2056" s="1597"/>
      <c r="T2056" s="1597"/>
    </row>
    <row r="2057" spans="1:20">
      <c r="A2057" s="1597"/>
      <c r="B2057" s="1597"/>
      <c r="C2057" s="1597"/>
      <c r="D2057" s="1597"/>
      <c r="E2057" s="1597"/>
      <c r="F2057" s="1597"/>
      <c r="G2057" s="1597"/>
      <c r="H2057" s="1597"/>
      <c r="I2057" s="1597"/>
      <c r="J2057" s="1597"/>
      <c r="K2057" s="1597"/>
      <c r="L2057" s="1597"/>
      <c r="M2057" s="1597"/>
      <c r="N2057" s="1597"/>
      <c r="O2057" s="1597"/>
      <c r="P2057" s="1597"/>
      <c r="Q2057" s="1597"/>
      <c r="R2057" s="1597"/>
      <c r="S2057" s="1597"/>
      <c r="T2057" s="1597"/>
    </row>
    <row r="2058" spans="1:20">
      <c r="A2058" s="1597"/>
      <c r="B2058" s="1597"/>
      <c r="C2058" s="1597"/>
      <c r="D2058" s="1597"/>
      <c r="E2058" s="1597"/>
      <c r="F2058" s="1597"/>
      <c r="G2058" s="1597"/>
      <c r="H2058" s="1597"/>
      <c r="I2058" s="1597"/>
      <c r="J2058" s="1597"/>
      <c r="K2058" s="1597"/>
      <c r="L2058" s="1597"/>
      <c r="M2058" s="1597"/>
      <c r="N2058" s="1597"/>
      <c r="O2058" s="1597"/>
      <c r="P2058" s="1597"/>
      <c r="Q2058" s="1597"/>
      <c r="R2058" s="1597"/>
      <c r="S2058" s="1597"/>
      <c r="T2058" s="1597"/>
    </row>
    <row r="2059" spans="1:20">
      <c r="A2059" s="1597"/>
      <c r="B2059" s="1597"/>
      <c r="C2059" s="1597"/>
      <c r="D2059" s="1597"/>
      <c r="E2059" s="1597"/>
      <c r="F2059" s="1597"/>
      <c r="G2059" s="1597"/>
      <c r="H2059" s="1597"/>
      <c r="I2059" s="1597"/>
      <c r="J2059" s="1597"/>
      <c r="K2059" s="1597"/>
      <c r="L2059" s="1597"/>
      <c r="M2059" s="1597"/>
      <c r="N2059" s="1597"/>
      <c r="O2059" s="1597"/>
      <c r="P2059" s="1597"/>
      <c r="Q2059" s="1597"/>
      <c r="R2059" s="1597"/>
      <c r="S2059" s="1597"/>
      <c r="T2059" s="1597"/>
    </row>
    <row r="2060" spans="1:20">
      <c r="A2060" s="1597"/>
      <c r="B2060" s="1597"/>
      <c r="C2060" s="1597"/>
      <c r="D2060" s="1597"/>
      <c r="E2060" s="1597"/>
      <c r="F2060" s="1597"/>
      <c r="G2060" s="1597"/>
      <c r="H2060" s="1597"/>
      <c r="I2060" s="1597"/>
      <c r="J2060" s="1597"/>
      <c r="K2060" s="1597"/>
      <c r="L2060" s="1597"/>
      <c r="M2060" s="1597"/>
      <c r="N2060" s="1597"/>
      <c r="O2060" s="1597"/>
      <c r="P2060" s="1597"/>
      <c r="Q2060" s="1597"/>
      <c r="R2060" s="1597"/>
      <c r="S2060" s="1597"/>
      <c r="T2060" s="1597"/>
    </row>
    <row r="2061" spans="1:20">
      <c r="A2061" s="1597"/>
      <c r="B2061" s="1597"/>
      <c r="C2061" s="1597"/>
      <c r="D2061" s="1597"/>
      <c r="E2061" s="1597"/>
      <c r="F2061" s="1597"/>
      <c r="G2061" s="1597"/>
      <c r="H2061" s="1597"/>
      <c r="I2061" s="1597"/>
      <c r="J2061" s="1597"/>
      <c r="K2061" s="1597"/>
      <c r="L2061" s="1597"/>
      <c r="M2061" s="1597"/>
      <c r="N2061" s="1597"/>
      <c r="O2061" s="1597"/>
      <c r="P2061" s="1597"/>
      <c r="Q2061" s="1597"/>
      <c r="R2061" s="1597"/>
      <c r="S2061" s="1597"/>
      <c r="T2061" s="1597"/>
    </row>
    <row r="2062" spans="1:20">
      <c r="A2062" s="1597"/>
      <c r="B2062" s="1597"/>
      <c r="C2062" s="1597"/>
      <c r="D2062" s="1597"/>
      <c r="E2062" s="1597"/>
      <c r="F2062" s="1597"/>
      <c r="G2062" s="1597"/>
      <c r="H2062" s="1597"/>
      <c r="I2062" s="1597"/>
      <c r="J2062" s="1597"/>
      <c r="K2062" s="1597"/>
      <c r="L2062" s="1597"/>
      <c r="M2062" s="1597"/>
      <c r="N2062" s="1597"/>
      <c r="O2062" s="1597"/>
      <c r="P2062" s="1597"/>
      <c r="Q2062" s="1597"/>
      <c r="R2062" s="1597"/>
      <c r="S2062" s="1597"/>
      <c r="T2062" s="1597"/>
    </row>
    <row r="2063" spans="1:20">
      <c r="A2063" s="1597"/>
      <c r="B2063" s="1597"/>
      <c r="C2063" s="1597"/>
      <c r="D2063" s="1597"/>
      <c r="E2063" s="1597"/>
      <c r="F2063" s="1597"/>
      <c r="G2063" s="1597"/>
      <c r="H2063" s="1597"/>
      <c r="I2063" s="1597"/>
      <c r="J2063" s="1597"/>
      <c r="K2063" s="1597"/>
      <c r="L2063" s="1597"/>
      <c r="M2063" s="1597"/>
      <c r="N2063" s="1597"/>
      <c r="O2063" s="1597"/>
      <c r="P2063" s="1597"/>
      <c r="Q2063" s="1597"/>
      <c r="R2063" s="1597"/>
      <c r="S2063" s="1597"/>
      <c r="T2063" s="1597"/>
    </row>
    <row r="2064" spans="1:20">
      <c r="A2064" s="1597"/>
      <c r="B2064" s="1597"/>
      <c r="C2064" s="1597"/>
      <c r="D2064" s="1597"/>
      <c r="E2064" s="1597"/>
      <c r="F2064" s="1597"/>
      <c r="G2064" s="1597"/>
      <c r="H2064" s="1597"/>
      <c r="I2064" s="1597"/>
      <c r="J2064" s="1597"/>
      <c r="K2064" s="1597"/>
      <c r="L2064" s="1597"/>
      <c r="M2064" s="1597"/>
      <c r="N2064" s="1597"/>
      <c r="O2064" s="1597"/>
      <c r="P2064" s="1597"/>
      <c r="Q2064" s="1597"/>
      <c r="R2064" s="1597"/>
      <c r="S2064" s="1597"/>
      <c r="T2064" s="1597"/>
    </row>
    <row r="2065" spans="1:20">
      <c r="A2065" s="1597"/>
      <c r="B2065" s="1597"/>
      <c r="C2065" s="1597"/>
      <c r="D2065" s="1597"/>
      <c r="E2065" s="1597"/>
      <c r="F2065" s="1597"/>
      <c r="G2065" s="1597"/>
      <c r="H2065" s="1597"/>
      <c r="I2065" s="1597"/>
      <c r="J2065" s="1597"/>
      <c r="K2065" s="1597"/>
      <c r="L2065" s="1597"/>
      <c r="M2065" s="1597"/>
      <c r="N2065" s="1597"/>
      <c r="O2065" s="1597"/>
      <c r="P2065" s="1597"/>
      <c r="Q2065" s="1597"/>
      <c r="R2065" s="1597"/>
      <c r="S2065" s="1597"/>
      <c r="T2065" s="1597"/>
    </row>
    <row r="2066" spans="1:20">
      <c r="A2066" s="1597"/>
      <c r="B2066" s="1597"/>
      <c r="C2066" s="1597"/>
      <c r="D2066" s="1597"/>
      <c r="E2066" s="1597"/>
      <c r="F2066" s="1597"/>
      <c r="G2066" s="1597"/>
      <c r="H2066" s="1597"/>
      <c r="I2066" s="1597"/>
      <c r="J2066" s="1597"/>
      <c r="K2066" s="1597"/>
      <c r="L2066" s="1597"/>
      <c r="M2066" s="1597"/>
      <c r="N2066" s="1597"/>
      <c r="O2066" s="1597"/>
      <c r="P2066" s="1597"/>
      <c r="Q2066" s="1597"/>
      <c r="R2066" s="1597"/>
      <c r="S2066" s="1597"/>
      <c r="T2066" s="1597"/>
    </row>
    <row r="2067" spans="1:20">
      <c r="A2067" s="1597"/>
      <c r="B2067" s="1597"/>
      <c r="C2067" s="1597"/>
      <c r="D2067" s="1597"/>
      <c r="E2067" s="1597"/>
      <c r="F2067" s="1597"/>
      <c r="G2067" s="1597"/>
      <c r="H2067" s="1597"/>
      <c r="I2067" s="1597"/>
      <c r="J2067" s="1597"/>
      <c r="K2067" s="1597"/>
      <c r="L2067" s="1597"/>
      <c r="M2067" s="1597"/>
      <c r="N2067" s="1597"/>
      <c r="O2067" s="1597"/>
      <c r="P2067" s="1597"/>
      <c r="Q2067" s="1597"/>
      <c r="R2067" s="1597"/>
      <c r="S2067" s="1597"/>
      <c r="T2067" s="1597"/>
    </row>
    <row r="2068" spans="1:20">
      <c r="A2068" s="1597"/>
      <c r="B2068" s="1597"/>
      <c r="C2068" s="1597"/>
      <c r="D2068" s="1597"/>
      <c r="E2068" s="1597"/>
      <c r="F2068" s="1597"/>
      <c r="G2068" s="1597"/>
      <c r="H2068" s="1597"/>
      <c r="I2068" s="1597"/>
      <c r="J2068" s="1597"/>
      <c r="K2068" s="1597"/>
      <c r="L2068" s="1597"/>
      <c r="M2068" s="1597"/>
      <c r="N2068" s="1597"/>
      <c r="O2068" s="1597"/>
      <c r="P2068" s="1597"/>
      <c r="Q2068" s="1597"/>
      <c r="R2068" s="1597"/>
      <c r="S2068" s="1597"/>
      <c r="T2068" s="1597"/>
    </row>
    <row r="2069" spans="1:20">
      <c r="A2069" s="1597"/>
      <c r="B2069" s="1597"/>
      <c r="C2069" s="1597"/>
      <c r="D2069" s="1597"/>
      <c r="E2069" s="1597"/>
      <c r="F2069" s="1597"/>
      <c r="G2069" s="1597"/>
      <c r="H2069" s="1597"/>
      <c r="I2069" s="1597"/>
      <c r="J2069" s="1597"/>
      <c r="K2069" s="1597"/>
      <c r="L2069" s="1597"/>
      <c r="M2069" s="1597"/>
      <c r="N2069" s="1597"/>
      <c r="O2069" s="1597"/>
      <c r="P2069" s="1597"/>
      <c r="Q2069" s="1597"/>
      <c r="R2069" s="1597"/>
      <c r="S2069" s="1597"/>
      <c r="T2069" s="1597"/>
    </row>
    <row r="2070" spans="1:20">
      <c r="A2070" s="1597"/>
      <c r="B2070" s="1597"/>
      <c r="C2070" s="1597"/>
      <c r="D2070" s="1597"/>
      <c r="E2070" s="1597"/>
      <c r="F2070" s="1597"/>
      <c r="G2070" s="1597"/>
      <c r="H2070" s="1597"/>
      <c r="I2070" s="1597"/>
      <c r="J2070" s="1597"/>
      <c r="K2070" s="1597"/>
      <c r="L2070" s="1597"/>
      <c r="M2070" s="1597"/>
      <c r="N2070" s="1597"/>
      <c r="O2070" s="1597"/>
      <c r="P2070" s="1597"/>
      <c r="Q2070" s="1597"/>
      <c r="R2070" s="1597"/>
      <c r="S2070" s="1597"/>
      <c r="T2070" s="1597"/>
    </row>
    <row r="2071" spans="1:20">
      <c r="A2071" s="1597"/>
      <c r="B2071" s="1597"/>
      <c r="C2071" s="1597"/>
      <c r="D2071" s="1597"/>
      <c r="E2071" s="1597"/>
      <c r="F2071" s="1597"/>
      <c r="G2071" s="1597"/>
      <c r="H2071" s="1597"/>
      <c r="I2071" s="1597"/>
      <c r="J2071" s="1597"/>
      <c r="K2071" s="1597"/>
      <c r="L2071" s="1597"/>
      <c r="M2071" s="1597"/>
      <c r="N2071" s="1597"/>
      <c r="O2071" s="1597"/>
      <c r="P2071" s="1597"/>
      <c r="Q2071" s="1597"/>
      <c r="R2071" s="1597"/>
      <c r="S2071" s="1597"/>
      <c r="T2071" s="1597"/>
    </row>
    <row r="2072" spans="1:20">
      <c r="A2072" s="1597"/>
      <c r="B2072" s="1597"/>
      <c r="C2072" s="1597"/>
      <c r="D2072" s="1597"/>
      <c r="E2072" s="1597"/>
      <c r="F2072" s="1597"/>
      <c r="G2072" s="1597"/>
      <c r="H2072" s="1597"/>
      <c r="I2072" s="1597"/>
      <c r="J2072" s="1597"/>
      <c r="K2072" s="1597"/>
      <c r="L2072" s="1597"/>
      <c r="M2072" s="1597"/>
      <c r="N2072" s="1597"/>
      <c r="O2072" s="1597"/>
      <c r="P2072" s="1597"/>
      <c r="Q2072" s="1597"/>
      <c r="R2072" s="1597"/>
      <c r="S2072" s="1597"/>
      <c r="T2072" s="1597"/>
    </row>
    <row r="2073" spans="1:20">
      <c r="A2073" s="1597"/>
      <c r="B2073" s="1597"/>
      <c r="C2073" s="1597"/>
      <c r="D2073" s="1597"/>
      <c r="E2073" s="1597"/>
      <c r="F2073" s="1597"/>
      <c r="G2073" s="1597"/>
      <c r="H2073" s="1597"/>
      <c r="I2073" s="1597"/>
      <c r="J2073" s="1597"/>
      <c r="K2073" s="1597"/>
      <c r="L2073" s="1597"/>
      <c r="M2073" s="1597"/>
      <c r="N2073" s="1597"/>
      <c r="O2073" s="1597"/>
      <c r="P2073" s="1597"/>
      <c r="Q2073" s="1597"/>
      <c r="R2073" s="1597"/>
      <c r="S2073" s="1597"/>
      <c r="T2073" s="1597"/>
    </row>
    <row r="2074" spans="1:20">
      <c r="A2074" s="1597"/>
      <c r="B2074" s="1597"/>
      <c r="C2074" s="1597"/>
      <c r="D2074" s="1597"/>
      <c r="E2074" s="1597"/>
      <c r="F2074" s="1597"/>
      <c r="G2074" s="1597"/>
      <c r="H2074" s="1597"/>
      <c r="I2074" s="1597"/>
      <c r="J2074" s="1597"/>
      <c r="K2074" s="1597"/>
      <c r="L2074" s="1597"/>
      <c r="M2074" s="1597"/>
      <c r="N2074" s="1597"/>
      <c r="O2074" s="1597"/>
      <c r="P2074" s="1597"/>
      <c r="Q2074" s="1597"/>
      <c r="R2074" s="1597"/>
      <c r="S2074" s="1597"/>
      <c r="T2074" s="1597"/>
    </row>
    <row r="2075" spans="1:20">
      <c r="A2075" s="1597"/>
      <c r="B2075" s="1597"/>
      <c r="C2075" s="1597"/>
      <c r="D2075" s="1597"/>
      <c r="E2075" s="1597"/>
      <c r="F2075" s="1597"/>
      <c r="G2075" s="1597"/>
      <c r="H2075" s="1597"/>
      <c r="I2075" s="1597"/>
      <c r="J2075" s="1597"/>
      <c r="K2075" s="1597"/>
      <c r="L2075" s="1597"/>
      <c r="M2075" s="1597"/>
      <c r="N2075" s="1597"/>
      <c r="O2075" s="1597"/>
      <c r="P2075" s="1597"/>
      <c r="Q2075" s="1597"/>
      <c r="R2075" s="1597"/>
      <c r="S2075" s="1597"/>
      <c r="T2075" s="1597"/>
    </row>
    <row r="2076" spans="1:20">
      <c r="A2076" s="1597"/>
      <c r="B2076" s="1597"/>
      <c r="C2076" s="1597"/>
      <c r="D2076" s="1597"/>
      <c r="E2076" s="1597"/>
      <c r="F2076" s="1597"/>
      <c r="G2076" s="1597"/>
      <c r="H2076" s="1597"/>
      <c r="I2076" s="1597"/>
      <c r="J2076" s="1597"/>
      <c r="K2076" s="1597"/>
      <c r="L2076" s="1597"/>
      <c r="M2076" s="1597"/>
      <c r="N2076" s="1597"/>
      <c r="O2076" s="1597"/>
      <c r="P2076" s="1597"/>
      <c r="Q2076" s="1597"/>
      <c r="R2076" s="1597"/>
      <c r="S2076" s="1597"/>
      <c r="T2076" s="1597"/>
    </row>
    <row r="2077" spans="1:20">
      <c r="A2077" s="1597"/>
      <c r="B2077" s="1597"/>
      <c r="C2077" s="1597"/>
      <c r="D2077" s="1597"/>
      <c r="E2077" s="1597"/>
      <c r="F2077" s="1597"/>
      <c r="G2077" s="1597"/>
      <c r="H2077" s="1597"/>
      <c r="I2077" s="1597"/>
      <c r="J2077" s="1597"/>
      <c r="K2077" s="1597"/>
      <c r="L2077" s="1597"/>
      <c r="M2077" s="1597"/>
      <c r="N2077" s="1597"/>
      <c r="O2077" s="1597"/>
      <c r="P2077" s="1597"/>
      <c r="Q2077" s="1597"/>
      <c r="R2077" s="1597"/>
      <c r="S2077" s="1597"/>
      <c r="T2077" s="1597"/>
    </row>
    <row r="2078" spans="1:20">
      <c r="A2078" s="1597"/>
      <c r="B2078" s="1597"/>
      <c r="C2078" s="1597"/>
      <c r="D2078" s="1597"/>
      <c r="E2078" s="1597"/>
      <c r="F2078" s="1597"/>
      <c r="G2078" s="1597"/>
      <c r="H2078" s="1597"/>
      <c r="I2078" s="1597"/>
      <c r="J2078" s="1597"/>
      <c r="K2078" s="1597"/>
      <c r="L2078" s="1597"/>
      <c r="M2078" s="1597"/>
      <c r="N2078" s="1597"/>
      <c r="O2078" s="1597"/>
      <c r="P2078" s="1597"/>
      <c r="Q2078" s="1597"/>
      <c r="R2078" s="1597"/>
      <c r="S2078" s="1597"/>
      <c r="T2078" s="1597"/>
    </row>
    <row r="2079" spans="1:20">
      <c r="A2079" s="1597"/>
      <c r="B2079" s="1597"/>
      <c r="C2079" s="1597"/>
      <c r="D2079" s="1597"/>
      <c r="E2079" s="1597"/>
      <c r="F2079" s="1597"/>
      <c r="G2079" s="1597"/>
      <c r="H2079" s="1597"/>
      <c r="I2079" s="1597"/>
      <c r="J2079" s="1597"/>
      <c r="K2079" s="1597"/>
      <c r="L2079" s="1597"/>
      <c r="M2079" s="1597"/>
      <c r="N2079" s="1597"/>
      <c r="O2079" s="1597"/>
      <c r="P2079" s="1597"/>
      <c r="Q2079" s="1597"/>
      <c r="R2079" s="1597"/>
      <c r="S2079" s="1597"/>
      <c r="T2079" s="1597"/>
    </row>
    <row r="2080" spans="1:20">
      <c r="A2080" s="1597"/>
      <c r="B2080" s="1597"/>
      <c r="C2080" s="1597"/>
      <c r="D2080" s="1597"/>
      <c r="E2080" s="1597"/>
      <c r="F2080" s="1597"/>
      <c r="G2080" s="1597"/>
      <c r="H2080" s="1597"/>
      <c r="I2080" s="1597"/>
      <c r="J2080" s="1597"/>
      <c r="K2080" s="1597"/>
      <c r="L2080" s="1597"/>
      <c r="M2080" s="1597"/>
      <c r="N2080" s="1597"/>
      <c r="O2080" s="1597"/>
      <c r="P2080" s="1597"/>
      <c r="Q2080" s="1597"/>
      <c r="R2080" s="1597"/>
      <c r="S2080" s="1597"/>
      <c r="T2080" s="1597"/>
    </row>
    <row r="2081" spans="1:20">
      <c r="A2081" s="1597"/>
      <c r="B2081" s="1597"/>
      <c r="C2081" s="1597"/>
      <c r="D2081" s="1597"/>
      <c r="E2081" s="1597"/>
      <c r="F2081" s="1597"/>
      <c r="G2081" s="1597"/>
      <c r="H2081" s="1597"/>
      <c r="I2081" s="1597"/>
      <c r="J2081" s="1597"/>
      <c r="K2081" s="1597"/>
      <c r="L2081" s="1597"/>
      <c r="M2081" s="1597"/>
      <c r="N2081" s="1597"/>
      <c r="O2081" s="1597"/>
      <c r="P2081" s="1597"/>
      <c r="Q2081" s="1597"/>
      <c r="R2081" s="1597"/>
      <c r="S2081" s="1597"/>
      <c r="T2081" s="1597"/>
    </row>
    <row r="2082" spans="1:20">
      <c r="A2082" s="1597"/>
      <c r="B2082" s="1597"/>
      <c r="C2082" s="1597"/>
      <c r="D2082" s="1597"/>
      <c r="E2082" s="1597"/>
      <c r="F2082" s="1597"/>
      <c r="G2082" s="1597"/>
      <c r="H2082" s="1597"/>
      <c r="I2082" s="1597"/>
      <c r="J2082" s="1597"/>
      <c r="K2082" s="1597"/>
      <c r="L2082" s="1597"/>
      <c r="M2082" s="1597"/>
      <c r="N2082" s="1597"/>
      <c r="O2082" s="1597"/>
      <c r="P2082" s="1597"/>
      <c r="Q2082" s="1597"/>
      <c r="R2082" s="1597"/>
      <c r="S2082" s="1597"/>
      <c r="T2082" s="1597"/>
    </row>
    <row r="2083" spans="1:20">
      <c r="A2083" s="1597"/>
      <c r="B2083" s="1597"/>
      <c r="C2083" s="1597"/>
      <c r="D2083" s="1597"/>
      <c r="E2083" s="1597"/>
      <c r="F2083" s="1597"/>
      <c r="G2083" s="1597"/>
      <c r="H2083" s="1597"/>
      <c r="I2083" s="1597"/>
      <c r="J2083" s="1597"/>
      <c r="K2083" s="1597"/>
      <c r="L2083" s="1597"/>
      <c r="M2083" s="1597"/>
      <c r="N2083" s="1597"/>
      <c r="O2083" s="1597"/>
      <c r="P2083" s="1597"/>
      <c r="Q2083" s="1597"/>
      <c r="R2083" s="1597"/>
      <c r="S2083" s="1597"/>
      <c r="T2083" s="1597"/>
    </row>
    <row r="2084" spans="1:20">
      <c r="A2084" s="1597"/>
      <c r="B2084" s="1597"/>
      <c r="C2084" s="1597"/>
      <c r="D2084" s="1597"/>
      <c r="E2084" s="1597"/>
      <c r="F2084" s="1597"/>
      <c r="G2084" s="1597"/>
      <c r="H2084" s="1597"/>
      <c r="I2084" s="1597"/>
      <c r="J2084" s="1597"/>
      <c r="K2084" s="1597"/>
      <c r="L2084" s="1597"/>
      <c r="M2084" s="1597"/>
      <c r="N2084" s="1597"/>
      <c r="O2084" s="1597"/>
      <c r="P2084" s="1597"/>
      <c r="Q2084" s="1597"/>
      <c r="R2084" s="1597"/>
      <c r="S2084" s="1597"/>
      <c r="T2084" s="1597"/>
    </row>
    <row r="2085" spans="1:20">
      <c r="A2085" s="1597"/>
      <c r="B2085" s="1597"/>
      <c r="C2085" s="1597"/>
      <c r="D2085" s="1597"/>
      <c r="E2085" s="1597"/>
      <c r="F2085" s="1597"/>
      <c r="G2085" s="1597"/>
      <c r="H2085" s="1597"/>
      <c r="I2085" s="1597"/>
      <c r="J2085" s="1597"/>
      <c r="K2085" s="1597"/>
      <c r="L2085" s="1597"/>
      <c r="M2085" s="1597"/>
      <c r="N2085" s="1597"/>
      <c r="O2085" s="1597"/>
      <c r="P2085" s="1597"/>
      <c r="Q2085" s="1597"/>
      <c r="R2085" s="1597"/>
      <c r="S2085" s="1597"/>
      <c r="T2085" s="1597"/>
    </row>
    <row r="2086" spans="1:20">
      <c r="A2086" s="1597"/>
      <c r="B2086" s="1597"/>
      <c r="C2086" s="1597"/>
      <c r="D2086" s="1597"/>
      <c r="E2086" s="1597"/>
      <c r="F2086" s="1597"/>
      <c r="G2086" s="1597"/>
      <c r="H2086" s="1597"/>
      <c r="I2086" s="1597"/>
      <c r="J2086" s="1597"/>
      <c r="K2086" s="1597"/>
      <c r="L2086" s="1597"/>
      <c r="M2086" s="1597"/>
      <c r="N2086" s="1597"/>
      <c r="O2086" s="1597"/>
      <c r="P2086" s="1597"/>
      <c r="Q2086" s="1597"/>
      <c r="R2086" s="1597"/>
      <c r="S2086" s="1597"/>
      <c r="T2086" s="1597"/>
    </row>
    <row r="2087" spans="1:20">
      <c r="A2087" s="1597"/>
      <c r="B2087" s="1597"/>
      <c r="C2087" s="1597"/>
      <c r="D2087" s="1597"/>
      <c r="E2087" s="1597"/>
      <c r="F2087" s="1597"/>
      <c r="G2087" s="1597"/>
      <c r="H2087" s="1597"/>
      <c r="I2087" s="1597"/>
      <c r="J2087" s="1597"/>
      <c r="K2087" s="1597"/>
      <c r="L2087" s="1597"/>
      <c r="M2087" s="1597"/>
      <c r="N2087" s="1597"/>
      <c r="O2087" s="1597"/>
      <c r="P2087" s="1597"/>
      <c r="Q2087" s="1597"/>
      <c r="R2087" s="1597"/>
      <c r="S2087" s="1597"/>
      <c r="T2087" s="1597"/>
    </row>
    <row r="2088" spans="1:20">
      <c r="A2088" s="1597"/>
      <c r="B2088" s="1597"/>
      <c r="C2088" s="1597"/>
      <c r="D2088" s="1597"/>
      <c r="E2088" s="1597"/>
      <c r="F2088" s="1597"/>
      <c r="G2088" s="1597"/>
      <c r="H2088" s="1597"/>
      <c r="I2088" s="1597"/>
      <c r="J2088" s="1597"/>
      <c r="K2088" s="1597"/>
      <c r="L2088" s="1597"/>
      <c r="M2088" s="1597"/>
      <c r="N2088" s="1597"/>
      <c r="O2088" s="1597"/>
      <c r="P2088" s="1597"/>
      <c r="Q2088" s="1597"/>
      <c r="R2088" s="1597"/>
      <c r="S2088" s="1597"/>
      <c r="T2088" s="1597"/>
    </row>
    <row r="2089" spans="1:20">
      <c r="A2089" s="1597"/>
      <c r="B2089" s="1597"/>
      <c r="C2089" s="1597"/>
      <c r="D2089" s="1597"/>
      <c r="E2089" s="1597"/>
      <c r="F2089" s="1597"/>
      <c r="G2089" s="1597"/>
      <c r="H2089" s="1597"/>
      <c r="I2089" s="1597"/>
      <c r="J2089" s="1597"/>
      <c r="K2089" s="1597"/>
      <c r="L2089" s="1597"/>
      <c r="M2089" s="1597"/>
      <c r="N2089" s="1597"/>
      <c r="O2089" s="1597"/>
      <c r="P2089" s="1597"/>
      <c r="Q2089" s="1597"/>
      <c r="R2089" s="1597"/>
      <c r="S2089" s="1597"/>
      <c r="T2089" s="1597"/>
    </row>
    <row r="2090" spans="1:20">
      <c r="A2090" s="1597"/>
      <c r="B2090" s="1597"/>
      <c r="C2090" s="1597"/>
      <c r="D2090" s="1597"/>
      <c r="E2090" s="1597"/>
      <c r="F2090" s="1597"/>
      <c r="G2090" s="1597"/>
      <c r="H2090" s="1597"/>
      <c r="I2090" s="1597"/>
      <c r="J2090" s="1597"/>
      <c r="K2090" s="1597"/>
      <c r="L2090" s="1597"/>
      <c r="M2090" s="1597"/>
      <c r="N2090" s="1597"/>
      <c r="O2090" s="1597"/>
      <c r="P2090" s="1597"/>
      <c r="Q2090" s="1597"/>
      <c r="R2090" s="1597"/>
      <c r="S2090" s="1597"/>
      <c r="T2090" s="1597"/>
    </row>
    <row r="2091" spans="1:20">
      <c r="A2091" s="1597"/>
      <c r="B2091" s="1597"/>
      <c r="C2091" s="1597"/>
      <c r="D2091" s="1597"/>
      <c r="E2091" s="1597"/>
      <c r="F2091" s="1597"/>
      <c r="G2091" s="1597"/>
      <c r="H2091" s="1597"/>
      <c r="I2091" s="1597"/>
      <c r="J2091" s="1597"/>
      <c r="K2091" s="1597"/>
      <c r="L2091" s="1597"/>
      <c r="M2091" s="1597"/>
      <c r="N2091" s="1597"/>
      <c r="O2091" s="1597"/>
      <c r="P2091" s="1597"/>
      <c r="Q2091" s="1597"/>
      <c r="R2091" s="1597"/>
      <c r="S2091" s="1597"/>
      <c r="T2091" s="1597"/>
    </row>
    <row r="2092" spans="1:20">
      <c r="A2092" s="1597"/>
      <c r="B2092" s="1597"/>
      <c r="C2092" s="1597"/>
      <c r="D2092" s="1597"/>
      <c r="E2092" s="1597"/>
      <c r="F2092" s="1597"/>
      <c r="G2092" s="1597"/>
      <c r="H2092" s="1597"/>
      <c r="I2092" s="1597"/>
      <c r="J2092" s="1597"/>
      <c r="K2092" s="1597"/>
      <c r="L2092" s="1597"/>
      <c r="M2092" s="1597"/>
      <c r="N2092" s="1597"/>
      <c r="O2092" s="1597"/>
      <c r="P2092" s="1597"/>
      <c r="Q2092" s="1597"/>
      <c r="R2092" s="1597"/>
      <c r="S2092" s="1597"/>
      <c r="T2092" s="1597"/>
    </row>
    <row r="2093" spans="1:20">
      <c r="A2093" s="1597"/>
      <c r="B2093" s="1597"/>
      <c r="C2093" s="1597"/>
      <c r="D2093" s="1597"/>
      <c r="E2093" s="1597"/>
      <c r="F2093" s="1597"/>
      <c r="G2093" s="1597"/>
      <c r="H2093" s="1597"/>
      <c r="I2093" s="1597"/>
      <c r="J2093" s="1597"/>
      <c r="K2093" s="1597"/>
      <c r="L2093" s="1597"/>
      <c r="M2093" s="1597"/>
      <c r="N2093" s="1597"/>
      <c r="O2093" s="1597"/>
      <c r="P2093" s="1597"/>
      <c r="Q2093" s="1597"/>
      <c r="R2093" s="1597"/>
      <c r="S2093" s="1597"/>
      <c r="T2093" s="1597"/>
    </row>
    <row r="2094" spans="1:20">
      <c r="A2094" s="1597"/>
      <c r="B2094" s="1597"/>
      <c r="C2094" s="1597"/>
      <c r="D2094" s="1597"/>
      <c r="E2094" s="1597"/>
      <c r="F2094" s="1597"/>
      <c r="G2094" s="1597"/>
      <c r="H2094" s="1597"/>
      <c r="I2094" s="1597"/>
      <c r="J2094" s="1597"/>
      <c r="K2094" s="1597"/>
      <c r="L2094" s="1597"/>
      <c r="M2094" s="1597"/>
      <c r="N2094" s="1597"/>
      <c r="O2094" s="1597"/>
      <c r="P2094" s="1597"/>
      <c r="Q2094" s="1597"/>
      <c r="R2094" s="1597"/>
      <c r="S2094" s="1597"/>
      <c r="T2094" s="1597"/>
    </row>
    <row r="2095" spans="1:20">
      <c r="A2095" s="1597"/>
      <c r="B2095" s="1597"/>
      <c r="C2095" s="1597"/>
      <c r="D2095" s="1597"/>
      <c r="E2095" s="1597"/>
      <c r="F2095" s="1597"/>
      <c r="G2095" s="1597"/>
      <c r="H2095" s="1597"/>
      <c r="I2095" s="1597"/>
      <c r="J2095" s="1597"/>
      <c r="K2095" s="1597"/>
      <c r="L2095" s="1597"/>
      <c r="M2095" s="1597"/>
      <c r="N2095" s="1597"/>
      <c r="O2095" s="1597"/>
      <c r="P2095" s="1597"/>
      <c r="Q2095" s="1597"/>
      <c r="R2095" s="1597"/>
      <c r="S2095" s="1597"/>
      <c r="T2095" s="1597"/>
    </row>
    <row r="2096" spans="1:20">
      <c r="A2096" s="1597"/>
      <c r="B2096" s="1597"/>
      <c r="C2096" s="1597"/>
      <c r="D2096" s="1597"/>
      <c r="E2096" s="1597"/>
      <c r="F2096" s="1597"/>
      <c r="G2096" s="1597"/>
      <c r="H2096" s="1597"/>
      <c r="I2096" s="1597"/>
      <c r="J2096" s="1597"/>
      <c r="K2096" s="1597"/>
      <c r="L2096" s="1597"/>
      <c r="M2096" s="1597"/>
      <c r="N2096" s="1597"/>
      <c r="O2096" s="1597"/>
      <c r="P2096" s="1597"/>
      <c r="Q2096" s="1597"/>
      <c r="R2096" s="1597"/>
      <c r="S2096" s="1597"/>
      <c r="T2096" s="1597"/>
    </row>
    <row r="2097" spans="1:20">
      <c r="A2097" s="1597"/>
      <c r="B2097" s="1597"/>
      <c r="C2097" s="1597"/>
      <c r="D2097" s="1597"/>
      <c r="E2097" s="1597"/>
      <c r="F2097" s="1597"/>
      <c r="G2097" s="1597"/>
      <c r="H2097" s="1597"/>
      <c r="I2097" s="1597"/>
      <c r="J2097" s="1597"/>
      <c r="K2097" s="1597"/>
      <c r="L2097" s="1597"/>
      <c r="M2097" s="1597"/>
      <c r="N2097" s="1597"/>
      <c r="O2097" s="1597"/>
      <c r="P2097" s="1597"/>
      <c r="Q2097" s="1597"/>
      <c r="R2097" s="1597"/>
      <c r="S2097" s="1597"/>
      <c r="T2097" s="1597"/>
    </row>
    <row r="2098" spans="1:20">
      <c r="A2098" s="1597"/>
      <c r="B2098" s="1597"/>
      <c r="C2098" s="1597"/>
      <c r="D2098" s="1597"/>
      <c r="E2098" s="1597"/>
      <c r="F2098" s="1597"/>
      <c r="G2098" s="1597"/>
      <c r="H2098" s="1597"/>
      <c r="I2098" s="1597"/>
      <c r="J2098" s="1597"/>
      <c r="K2098" s="1597"/>
      <c r="L2098" s="1597"/>
      <c r="M2098" s="1597"/>
      <c r="N2098" s="1597"/>
      <c r="O2098" s="1597"/>
      <c r="P2098" s="1597"/>
      <c r="Q2098" s="1597"/>
      <c r="R2098" s="1597"/>
      <c r="S2098" s="1597"/>
      <c r="T2098" s="1597"/>
    </row>
    <row r="2099" spans="1:20">
      <c r="A2099" s="1597"/>
      <c r="B2099" s="1597"/>
      <c r="C2099" s="1597"/>
      <c r="D2099" s="1597"/>
      <c r="E2099" s="1597"/>
      <c r="F2099" s="1597"/>
      <c r="G2099" s="1597"/>
      <c r="H2099" s="1597"/>
      <c r="I2099" s="1597"/>
      <c r="J2099" s="1597"/>
      <c r="K2099" s="1597"/>
      <c r="L2099" s="1597"/>
      <c r="M2099" s="1597"/>
      <c r="N2099" s="1597"/>
      <c r="O2099" s="1597"/>
      <c r="P2099" s="1597"/>
      <c r="Q2099" s="1597"/>
      <c r="R2099" s="1597"/>
      <c r="S2099" s="1597"/>
      <c r="T2099" s="1597"/>
    </row>
    <row r="2100" spans="1:20">
      <c r="A2100" s="1597"/>
      <c r="B2100" s="1597"/>
      <c r="C2100" s="1597"/>
      <c r="D2100" s="1597"/>
      <c r="E2100" s="1597"/>
      <c r="F2100" s="1597"/>
      <c r="G2100" s="1597"/>
      <c r="H2100" s="1597"/>
      <c r="I2100" s="1597"/>
      <c r="J2100" s="1597"/>
      <c r="K2100" s="1597"/>
      <c r="L2100" s="1597"/>
      <c r="M2100" s="1597"/>
      <c r="N2100" s="1597"/>
      <c r="O2100" s="1597"/>
      <c r="P2100" s="1597"/>
      <c r="Q2100" s="1597"/>
      <c r="R2100" s="1597"/>
      <c r="S2100" s="1597"/>
      <c r="T2100" s="1597"/>
    </row>
    <row r="2101" spans="1:20">
      <c r="A2101" s="1597"/>
      <c r="B2101" s="1597"/>
      <c r="C2101" s="1597"/>
      <c r="D2101" s="1597"/>
      <c r="E2101" s="1597"/>
      <c r="F2101" s="1597"/>
      <c r="G2101" s="1597"/>
      <c r="H2101" s="1597"/>
      <c r="I2101" s="1597"/>
      <c r="J2101" s="1597"/>
      <c r="K2101" s="1597"/>
      <c r="L2101" s="1597"/>
      <c r="M2101" s="1597"/>
      <c r="N2101" s="1597"/>
      <c r="O2101" s="1597"/>
      <c r="P2101" s="1597"/>
      <c r="Q2101" s="1597"/>
      <c r="R2101" s="1597"/>
      <c r="S2101" s="1597"/>
      <c r="T2101" s="1597"/>
    </row>
    <row r="2102" spans="1:20">
      <c r="A2102" s="1597"/>
      <c r="B2102" s="1597"/>
      <c r="C2102" s="1597"/>
      <c r="D2102" s="1597"/>
      <c r="E2102" s="1597"/>
      <c r="F2102" s="1597"/>
      <c r="G2102" s="1597"/>
      <c r="H2102" s="1597"/>
      <c r="I2102" s="1597"/>
      <c r="J2102" s="1597"/>
      <c r="K2102" s="1597"/>
      <c r="L2102" s="1597"/>
      <c r="M2102" s="1597"/>
      <c r="N2102" s="1597"/>
      <c r="O2102" s="1597"/>
      <c r="P2102" s="1597"/>
      <c r="Q2102" s="1597"/>
      <c r="R2102" s="1597"/>
      <c r="S2102" s="1597"/>
      <c r="T2102" s="1597"/>
    </row>
    <row r="2103" spans="1:20">
      <c r="A2103" s="1597"/>
      <c r="B2103" s="1597"/>
      <c r="C2103" s="1597"/>
      <c r="D2103" s="1597"/>
      <c r="E2103" s="1597"/>
      <c r="F2103" s="1597"/>
      <c r="G2103" s="1597"/>
      <c r="H2103" s="1597"/>
      <c r="I2103" s="1597"/>
      <c r="J2103" s="1597"/>
      <c r="K2103" s="1597"/>
      <c r="L2103" s="1597"/>
      <c r="M2103" s="1597"/>
      <c r="N2103" s="1597"/>
      <c r="O2103" s="1597"/>
      <c r="P2103" s="1597"/>
      <c r="Q2103" s="1597"/>
      <c r="R2103" s="1597"/>
      <c r="S2103" s="1597"/>
      <c r="T2103" s="1597"/>
    </row>
    <row r="2104" spans="1:20">
      <c r="A2104" s="1597"/>
      <c r="B2104" s="1597"/>
      <c r="C2104" s="1597"/>
      <c r="D2104" s="1597"/>
      <c r="E2104" s="1597"/>
      <c r="F2104" s="1597"/>
      <c r="G2104" s="1597"/>
      <c r="H2104" s="1597"/>
      <c r="I2104" s="1597"/>
      <c r="J2104" s="1597"/>
      <c r="K2104" s="1597"/>
      <c r="L2104" s="1597"/>
      <c r="M2104" s="1597"/>
      <c r="N2104" s="1597"/>
      <c r="O2104" s="1597"/>
      <c r="P2104" s="1597"/>
      <c r="Q2104" s="1597"/>
      <c r="R2104" s="1597"/>
      <c r="S2104" s="1597"/>
      <c r="T2104" s="1597"/>
    </row>
    <row r="2105" spans="1:20">
      <c r="A2105" s="1597"/>
      <c r="B2105" s="1597"/>
      <c r="C2105" s="1597"/>
      <c r="D2105" s="1597"/>
      <c r="E2105" s="1597"/>
      <c r="F2105" s="1597"/>
      <c r="G2105" s="1597"/>
      <c r="H2105" s="1597"/>
      <c r="I2105" s="1597"/>
      <c r="J2105" s="1597"/>
      <c r="K2105" s="1597"/>
      <c r="L2105" s="1597"/>
      <c r="M2105" s="1597"/>
      <c r="N2105" s="1597"/>
      <c r="O2105" s="1597"/>
      <c r="P2105" s="1597"/>
      <c r="Q2105" s="1597"/>
      <c r="R2105" s="1597"/>
      <c r="S2105" s="1597"/>
      <c r="T2105" s="1597"/>
    </row>
    <row r="2106" spans="1:20">
      <c r="A2106" s="1597"/>
      <c r="B2106" s="1597"/>
      <c r="C2106" s="1597"/>
      <c r="D2106" s="1597"/>
      <c r="E2106" s="1597"/>
      <c r="F2106" s="1597"/>
      <c r="G2106" s="1597"/>
      <c r="H2106" s="1597"/>
      <c r="I2106" s="1597"/>
      <c r="J2106" s="1597"/>
      <c r="K2106" s="1597"/>
      <c r="L2106" s="1597"/>
      <c r="M2106" s="1597"/>
      <c r="N2106" s="1597"/>
      <c r="O2106" s="1597"/>
      <c r="P2106" s="1597"/>
      <c r="Q2106" s="1597"/>
      <c r="R2106" s="1597"/>
      <c r="S2106" s="1597"/>
      <c r="T2106" s="1597"/>
    </row>
    <row r="2107" spans="1:20">
      <c r="A2107" s="1597"/>
      <c r="B2107" s="1597"/>
      <c r="C2107" s="1597"/>
      <c r="D2107" s="1597"/>
      <c r="E2107" s="1597"/>
      <c r="F2107" s="1597"/>
      <c r="G2107" s="1597"/>
      <c r="H2107" s="1597"/>
      <c r="I2107" s="1597"/>
      <c r="J2107" s="1597"/>
      <c r="K2107" s="1597"/>
      <c r="L2107" s="1597"/>
      <c r="M2107" s="1597"/>
      <c r="N2107" s="1597"/>
      <c r="O2107" s="1597"/>
      <c r="P2107" s="1597"/>
      <c r="Q2107" s="1597"/>
      <c r="R2107" s="1597"/>
      <c r="S2107" s="1597"/>
      <c r="T2107" s="1597"/>
    </row>
    <row r="2108" spans="1:20">
      <c r="A2108" s="1597"/>
      <c r="B2108" s="1597"/>
      <c r="C2108" s="1597"/>
      <c r="D2108" s="1597"/>
      <c r="E2108" s="1597"/>
      <c r="F2108" s="1597"/>
      <c r="G2108" s="1597"/>
      <c r="H2108" s="1597"/>
      <c r="I2108" s="1597"/>
      <c r="J2108" s="1597"/>
      <c r="K2108" s="1597"/>
      <c r="L2108" s="1597"/>
      <c r="M2108" s="1597"/>
      <c r="N2108" s="1597"/>
      <c r="O2108" s="1597"/>
      <c r="P2108" s="1597"/>
      <c r="Q2108" s="1597"/>
      <c r="R2108" s="1597"/>
      <c r="S2108" s="1597"/>
      <c r="T2108" s="1597"/>
    </row>
    <row r="2109" spans="1:20">
      <c r="A2109" s="1597"/>
      <c r="B2109" s="1597"/>
      <c r="C2109" s="1597"/>
      <c r="D2109" s="1597"/>
      <c r="E2109" s="1597"/>
      <c r="F2109" s="1597"/>
      <c r="G2109" s="1597"/>
      <c r="H2109" s="1597"/>
      <c r="I2109" s="1597"/>
      <c r="J2109" s="1597"/>
      <c r="K2109" s="1597"/>
      <c r="L2109" s="1597"/>
      <c r="M2109" s="1597"/>
      <c r="N2109" s="1597"/>
      <c r="O2109" s="1597"/>
      <c r="P2109" s="1597"/>
      <c r="Q2109" s="1597"/>
      <c r="R2109" s="1597"/>
      <c r="S2109" s="1597"/>
      <c r="T2109" s="1597"/>
    </row>
    <row r="2110" spans="1:20">
      <c r="A2110" s="1597"/>
      <c r="B2110" s="1597"/>
      <c r="C2110" s="1597"/>
      <c r="D2110" s="1597"/>
      <c r="E2110" s="1597"/>
      <c r="F2110" s="1597"/>
      <c r="G2110" s="1597"/>
      <c r="H2110" s="1597"/>
      <c r="I2110" s="1597"/>
      <c r="J2110" s="1597"/>
      <c r="K2110" s="1597"/>
      <c r="L2110" s="1597"/>
      <c r="M2110" s="1597"/>
      <c r="N2110" s="1597"/>
      <c r="O2110" s="1597"/>
      <c r="P2110" s="1597"/>
      <c r="Q2110" s="1597"/>
      <c r="R2110" s="1597"/>
      <c r="S2110" s="1597"/>
      <c r="T2110" s="1597"/>
    </row>
    <row r="2111" spans="1:20">
      <c r="A2111" s="1597"/>
      <c r="B2111" s="1597"/>
      <c r="C2111" s="1597"/>
      <c r="D2111" s="1597"/>
      <c r="E2111" s="1597"/>
      <c r="F2111" s="1597"/>
      <c r="G2111" s="1597"/>
      <c r="H2111" s="1597"/>
      <c r="I2111" s="1597"/>
      <c r="J2111" s="1597"/>
      <c r="K2111" s="1597"/>
      <c r="L2111" s="1597"/>
      <c r="M2111" s="1597"/>
      <c r="N2111" s="1597"/>
      <c r="O2111" s="1597"/>
      <c r="P2111" s="1597"/>
      <c r="Q2111" s="1597"/>
      <c r="R2111" s="1597"/>
      <c r="S2111" s="1597"/>
      <c r="T2111" s="1597"/>
    </row>
    <row r="2112" spans="1:20">
      <c r="A2112" s="1597"/>
      <c r="B2112" s="1597"/>
      <c r="C2112" s="1597"/>
      <c r="D2112" s="1597"/>
      <c r="E2112" s="1597"/>
      <c r="F2112" s="1597"/>
      <c r="G2112" s="1597"/>
      <c r="H2112" s="1597"/>
      <c r="I2112" s="1597"/>
      <c r="J2112" s="1597"/>
      <c r="K2112" s="1597"/>
      <c r="L2112" s="1597"/>
      <c r="M2112" s="1597"/>
      <c r="N2112" s="1597"/>
      <c r="O2112" s="1597"/>
      <c r="P2112" s="1597"/>
      <c r="Q2112" s="1597"/>
      <c r="R2112" s="1597"/>
      <c r="S2112" s="1597"/>
      <c r="T2112" s="1597"/>
    </row>
    <row r="2113" spans="1:20">
      <c r="A2113" s="1597"/>
      <c r="B2113" s="1597"/>
      <c r="C2113" s="1597"/>
      <c r="D2113" s="1597"/>
      <c r="E2113" s="1597"/>
      <c r="F2113" s="1597"/>
      <c r="G2113" s="1597"/>
      <c r="H2113" s="1597"/>
      <c r="I2113" s="1597"/>
      <c r="J2113" s="1597"/>
      <c r="K2113" s="1597"/>
      <c r="L2113" s="1597"/>
      <c r="M2113" s="1597"/>
      <c r="N2113" s="1597"/>
      <c r="O2113" s="1597"/>
      <c r="P2113" s="1597"/>
      <c r="Q2113" s="1597"/>
      <c r="R2113" s="1597"/>
      <c r="S2113" s="1597"/>
      <c r="T2113" s="1597"/>
    </row>
    <row r="2114" spans="1:20">
      <c r="A2114" s="1597"/>
      <c r="B2114" s="1597"/>
      <c r="C2114" s="1597"/>
      <c r="D2114" s="1597"/>
      <c r="E2114" s="1597"/>
      <c r="F2114" s="1597"/>
      <c r="G2114" s="1597"/>
      <c r="H2114" s="1597"/>
      <c r="I2114" s="1597"/>
      <c r="J2114" s="1597"/>
      <c r="K2114" s="1597"/>
      <c r="L2114" s="1597"/>
      <c r="M2114" s="1597"/>
      <c r="N2114" s="1597"/>
      <c r="O2114" s="1597"/>
      <c r="P2114" s="1597"/>
      <c r="Q2114" s="1597"/>
      <c r="R2114" s="1597"/>
      <c r="S2114" s="1597"/>
      <c r="T2114" s="1597"/>
    </row>
    <row r="2115" spans="1:20">
      <c r="A2115" s="1597"/>
      <c r="B2115" s="1597"/>
      <c r="C2115" s="1597"/>
      <c r="D2115" s="1597"/>
      <c r="E2115" s="1597"/>
      <c r="F2115" s="1597"/>
      <c r="G2115" s="1597"/>
      <c r="H2115" s="1597"/>
      <c r="I2115" s="1597"/>
      <c r="J2115" s="1597"/>
      <c r="K2115" s="1597"/>
      <c r="L2115" s="1597"/>
      <c r="M2115" s="1597"/>
      <c r="N2115" s="1597"/>
      <c r="O2115" s="1597"/>
      <c r="P2115" s="1597"/>
      <c r="Q2115" s="1597"/>
      <c r="R2115" s="1597"/>
      <c r="S2115" s="1597"/>
      <c r="T2115" s="1597"/>
    </row>
    <row r="2116" spans="1:20">
      <c r="A2116" s="1597"/>
      <c r="B2116" s="1597"/>
      <c r="C2116" s="1597"/>
      <c r="D2116" s="1597"/>
      <c r="E2116" s="1597"/>
      <c r="F2116" s="1597"/>
      <c r="G2116" s="1597"/>
      <c r="H2116" s="1597"/>
      <c r="I2116" s="1597"/>
      <c r="J2116" s="1597"/>
      <c r="K2116" s="1597"/>
      <c r="L2116" s="1597"/>
      <c r="M2116" s="1597"/>
      <c r="N2116" s="1597"/>
      <c r="O2116" s="1597"/>
      <c r="P2116" s="1597"/>
      <c r="Q2116" s="1597"/>
      <c r="R2116" s="1597"/>
      <c r="S2116" s="1597"/>
      <c r="T2116" s="1597"/>
    </row>
    <row r="2117" spans="1:20">
      <c r="A2117" s="1597"/>
      <c r="B2117" s="1597"/>
      <c r="C2117" s="1597"/>
      <c r="D2117" s="1597"/>
      <c r="E2117" s="1597"/>
      <c r="F2117" s="1597"/>
      <c r="G2117" s="1597"/>
      <c r="H2117" s="1597"/>
      <c r="I2117" s="1597"/>
      <c r="J2117" s="1597"/>
      <c r="K2117" s="1597"/>
      <c r="L2117" s="1597"/>
      <c r="M2117" s="1597"/>
      <c r="N2117" s="1597"/>
      <c r="O2117" s="1597"/>
      <c r="P2117" s="1597"/>
      <c r="Q2117" s="1597"/>
      <c r="R2117" s="1597"/>
      <c r="S2117" s="1597"/>
      <c r="T2117" s="1597"/>
    </row>
    <row r="2118" spans="1:20">
      <c r="A2118" s="1597"/>
      <c r="B2118" s="1597"/>
      <c r="C2118" s="1597"/>
      <c r="D2118" s="1597"/>
      <c r="E2118" s="1597"/>
      <c r="F2118" s="1597"/>
      <c r="G2118" s="1597"/>
      <c r="H2118" s="1597"/>
      <c r="I2118" s="1597"/>
      <c r="J2118" s="1597"/>
      <c r="K2118" s="1597"/>
      <c r="L2118" s="1597"/>
      <c r="M2118" s="1597"/>
      <c r="N2118" s="1597"/>
      <c r="O2118" s="1597"/>
      <c r="P2118" s="1597"/>
      <c r="Q2118" s="1597"/>
      <c r="R2118" s="1597"/>
      <c r="S2118" s="1597"/>
      <c r="T2118" s="1597"/>
    </row>
    <row r="2119" spans="1:20">
      <c r="A2119" s="1597"/>
      <c r="B2119" s="1597"/>
      <c r="C2119" s="1597"/>
      <c r="D2119" s="1597"/>
      <c r="E2119" s="1597"/>
      <c r="F2119" s="1597"/>
      <c r="G2119" s="1597"/>
      <c r="H2119" s="1597"/>
      <c r="I2119" s="1597"/>
      <c r="J2119" s="1597"/>
      <c r="K2119" s="1597"/>
      <c r="L2119" s="1597"/>
      <c r="M2119" s="1597"/>
      <c r="N2119" s="1597"/>
      <c r="O2119" s="1597"/>
      <c r="P2119" s="1597"/>
      <c r="Q2119" s="1597"/>
      <c r="R2119" s="1597"/>
      <c r="S2119" s="1597"/>
      <c r="T2119" s="1597"/>
    </row>
    <row r="2120" spans="1:20">
      <c r="A2120" s="1597"/>
      <c r="B2120" s="1597"/>
      <c r="C2120" s="1597"/>
      <c r="D2120" s="1597"/>
      <c r="E2120" s="1597"/>
      <c r="F2120" s="1597"/>
      <c r="G2120" s="1597"/>
      <c r="H2120" s="1597"/>
      <c r="I2120" s="1597"/>
      <c r="J2120" s="1597"/>
      <c r="K2120" s="1597"/>
      <c r="L2120" s="1597"/>
      <c r="M2120" s="1597"/>
      <c r="N2120" s="1597"/>
      <c r="O2120" s="1597"/>
      <c r="P2120" s="1597"/>
      <c r="Q2120" s="1597"/>
      <c r="R2120" s="1597"/>
      <c r="S2120" s="1597"/>
      <c r="T2120" s="1597"/>
    </row>
    <row r="2121" spans="1:20">
      <c r="A2121" s="1597"/>
      <c r="B2121" s="1597"/>
      <c r="C2121" s="1597"/>
      <c r="D2121" s="1597"/>
      <c r="E2121" s="1597"/>
      <c r="F2121" s="1597"/>
      <c r="G2121" s="1597"/>
      <c r="H2121" s="1597"/>
      <c r="I2121" s="1597"/>
      <c r="J2121" s="1597"/>
      <c r="K2121" s="1597"/>
      <c r="L2121" s="1597"/>
      <c r="M2121" s="1597"/>
      <c r="N2121" s="1597"/>
      <c r="O2121" s="1597"/>
      <c r="P2121" s="1597"/>
      <c r="Q2121" s="1597"/>
      <c r="R2121" s="1597"/>
      <c r="S2121" s="1597"/>
      <c r="T2121" s="1597"/>
    </row>
    <row r="2122" spans="1:20">
      <c r="A2122" s="1597"/>
      <c r="B2122" s="1597"/>
      <c r="C2122" s="1597"/>
      <c r="D2122" s="1597"/>
      <c r="E2122" s="1597"/>
      <c r="F2122" s="1597"/>
      <c r="G2122" s="1597"/>
      <c r="H2122" s="1597"/>
      <c r="I2122" s="1597"/>
      <c r="J2122" s="1597"/>
      <c r="K2122" s="1597"/>
      <c r="L2122" s="1597"/>
      <c r="M2122" s="1597"/>
      <c r="N2122" s="1597"/>
      <c r="O2122" s="1597"/>
      <c r="P2122" s="1597"/>
      <c r="Q2122" s="1597"/>
      <c r="R2122" s="1597"/>
      <c r="S2122" s="1597"/>
      <c r="T2122" s="1597"/>
    </row>
    <row r="2123" spans="1:20">
      <c r="A2123" s="1597"/>
      <c r="B2123" s="1597"/>
      <c r="C2123" s="1597"/>
      <c r="D2123" s="1597"/>
      <c r="E2123" s="1597"/>
      <c r="F2123" s="1597"/>
      <c r="G2123" s="1597"/>
      <c r="H2123" s="1597"/>
      <c r="I2123" s="1597"/>
      <c r="J2123" s="1597"/>
      <c r="K2123" s="1597"/>
      <c r="L2123" s="1597"/>
      <c r="M2123" s="1597"/>
      <c r="N2123" s="1597"/>
      <c r="O2123" s="1597"/>
      <c r="P2123" s="1597"/>
      <c r="Q2123" s="1597"/>
      <c r="R2123" s="1597"/>
      <c r="S2123" s="1597"/>
      <c r="T2123" s="1597"/>
    </row>
    <row r="2124" spans="1:20">
      <c r="A2124" s="1597"/>
      <c r="B2124" s="1597"/>
      <c r="C2124" s="1597"/>
      <c r="D2124" s="1597"/>
      <c r="E2124" s="1597"/>
      <c r="F2124" s="1597"/>
      <c r="G2124" s="1597"/>
      <c r="H2124" s="1597"/>
      <c r="I2124" s="1597"/>
      <c r="J2124" s="1597"/>
      <c r="K2124" s="1597"/>
      <c r="L2124" s="1597"/>
      <c r="M2124" s="1597"/>
      <c r="N2124" s="1597"/>
      <c r="O2124" s="1597"/>
      <c r="P2124" s="1597"/>
      <c r="Q2124" s="1597"/>
      <c r="R2124" s="1597"/>
      <c r="S2124" s="1597"/>
      <c r="T2124" s="1597"/>
    </row>
    <row r="2125" spans="1:20">
      <c r="A2125" s="1597"/>
      <c r="B2125" s="1597"/>
      <c r="C2125" s="1597"/>
      <c r="D2125" s="1597"/>
      <c r="E2125" s="1597"/>
      <c r="F2125" s="1597"/>
      <c r="G2125" s="1597"/>
      <c r="H2125" s="1597"/>
      <c r="I2125" s="1597"/>
      <c r="J2125" s="1597"/>
      <c r="K2125" s="1597"/>
      <c r="L2125" s="1597"/>
      <c r="M2125" s="1597"/>
      <c r="N2125" s="1597"/>
      <c r="O2125" s="1597"/>
      <c r="P2125" s="1597"/>
      <c r="Q2125" s="1597"/>
      <c r="R2125" s="1597"/>
      <c r="S2125" s="1597"/>
      <c r="T2125" s="1597"/>
    </row>
    <row r="2126" spans="1:20">
      <c r="A2126" s="1597"/>
      <c r="B2126" s="1597"/>
      <c r="C2126" s="1597"/>
      <c r="D2126" s="1597"/>
      <c r="E2126" s="1597"/>
      <c r="F2126" s="1597"/>
      <c r="G2126" s="1597"/>
      <c r="H2126" s="1597"/>
      <c r="I2126" s="1597"/>
      <c r="J2126" s="1597"/>
      <c r="K2126" s="1597"/>
      <c r="L2126" s="1597"/>
      <c r="M2126" s="1597"/>
      <c r="N2126" s="1597"/>
      <c r="O2126" s="1597"/>
      <c r="P2126" s="1597"/>
      <c r="Q2126" s="1597"/>
      <c r="R2126" s="1597"/>
      <c r="S2126" s="1597"/>
      <c r="T2126" s="1597"/>
    </row>
    <row r="2127" spans="1:20">
      <c r="A2127" s="1597"/>
      <c r="B2127" s="1597"/>
      <c r="C2127" s="1597"/>
      <c r="D2127" s="1597"/>
      <c r="E2127" s="1597"/>
      <c r="F2127" s="1597"/>
      <c r="G2127" s="1597"/>
      <c r="H2127" s="1597"/>
      <c r="I2127" s="1597"/>
      <c r="J2127" s="1597"/>
      <c r="K2127" s="1597"/>
      <c r="L2127" s="1597"/>
      <c r="M2127" s="1597"/>
      <c r="N2127" s="1597"/>
      <c r="O2127" s="1597"/>
      <c r="P2127" s="1597"/>
      <c r="Q2127" s="1597"/>
      <c r="R2127" s="1597"/>
      <c r="S2127" s="1597"/>
      <c r="T2127" s="1597"/>
    </row>
    <row r="2128" spans="1:20">
      <c r="A2128" s="1597"/>
      <c r="B2128" s="1597"/>
      <c r="C2128" s="1597"/>
      <c r="D2128" s="1597"/>
      <c r="E2128" s="1597"/>
      <c r="F2128" s="1597"/>
      <c r="G2128" s="1597"/>
      <c r="H2128" s="1597"/>
      <c r="I2128" s="1597"/>
      <c r="J2128" s="1597"/>
      <c r="K2128" s="1597"/>
      <c r="L2128" s="1597"/>
      <c r="M2128" s="1597"/>
      <c r="N2128" s="1597"/>
      <c r="O2128" s="1597"/>
      <c r="P2128" s="1597"/>
      <c r="Q2128" s="1597"/>
      <c r="R2128" s="1597"/>
      <c r="S2128" s="1597"/>
      <c r="T2128" s="1597"/>
    </row>
    <row r="2129" spans="1:20">
      <c r="A2129" s="1597"/>
      <c r="B2129" s="1597"/>
      <c r="C2129" s="1597"/>
      <c r="D2129" s="1597"/>
      <c r="E2129" s="1597"/>
      <c r="F2129" s="1597"/>
      <c r="G2129" s="1597"/>
      <c r="H2129" s="1597"/>
      <c r="I2129" s="1597"/>
      <c r="J2129" s="1597"/>
      <c r="K2129" s="1597"/>
      <c r="L2129" s="1597"/>
      <c r="M2129" s="1597"/>
      <c r="N2129" s="1597"/>
      <c r="O2129" s="1597"/>
      <c r="P2129" s="1597"/>
      <c r="Q2129" s="1597"/>
      <c r="R2129" s="1597"/>
      <c r="S2129" s="1597"/>
      <c r="T2129" s="1597"/>
    </row>
    <row r="2130" spans="1:20">
      <c r="A2130" s="1597"/>
      <c r="B2130" s="1597"/>
      <c r="C2130" s="1597"/>
      <c r="D2130" s="1597"/>
      <c r="E2130" s="1597"/>
      <c r="F2130" s="1597"/>
      <c r="G2130" s="1597"/>
      <c r="H2130" s="1597"/>
      <c r="I2130" s="1597"/>
      <c r="J2130" s="1597"/>
      <c r="K2130" s="1597"/>
      <c r="L2130" s="1597"/>
      <c r="M2130" s="1597"/>
      <c r="N2130" s="1597"/>
      <c r="O2130" s="1597"/>
      <c r="P2130" s="1597"/>
      <c r="Q2130" s="1597"/>
      <c r="R2130" s="1597"/>
      <c r="S2130" s="1597"/>
      <c r="T2130" s="1597"/>
    </row>
    <row r="2131" spans="1:20">
      <c r="A2131" s="1597"/>
      <c r="B2131" s="1597"/>
      <c r="C2131" s="1597"/>
      <c r="D2131" s="1597"/>
      <c r="E2131" s="1597"/>
      <c r="F2131" s="1597"/>
      <c r="G2131" s="1597"/>
      <c r="H2131" s="1597"/>
      <c r="I2131" s="1597"/>
      <c r="J2131" s="1597"/>
      <c r="K2131" s="1597"/>
      <c r="L2131" s="1597"/>
      <c r="M2131" s="1597"/>
      <c r="N2131" s="1597"/>
      <c r="O2131" s="1597"/>
      <c r="P2131" s="1597"/>
      <c r="Q2131" s="1597"/>
      <c r="R2131" s="1597"/>
      <c r="S2131" s="1597"/>
      <c r="T2131" s="1597"/>
    </row>
    <row r="2132" spans="1:20">
      <c r="A2132" s="1597"/>
      <c r="B2132" s="1597"/>
      <c r="C2132" s="1597"/>
      <c r="D2132" s="1597"/>
      <c r="E2132" s="1597"/>
      <c r="F2132" s="1597"/>
      <c r="G2132" s="1597"/>
      <c r="H2132" s="1597"/>
      <c r="I2132" s="1597"/>
      <c r="J2132" s="1597"/>
      <c r="K2132" s="1597"/>
      <c r="L2132" s="1597"/>
      <c r="M2132" s="1597"/>
      <c r="N2132" s="1597"/>
      <c r="O2132" s="1597"/>
      <c r="P2132" s="1597"/>
      <c r="Q2132" s="1597"/>
      <c r="R2132" s="1597"/>
      <c r="S2132" s="1597"/>
      <c r="T2132" s="1597"/>
    </row>
    <row r="2133" spans="1:20">
      <c r="A2133" s="1597"/>
      <c r="B2133" s="1597"/>
      <c r="C2133" s="1597"/>
      <c r="D2133" s="1597"/>
      <c r="E2133" s="1597"/>
      <c r="F2133" s="1597"/>
      <c r="G2133" s="1597"/>
      <c r="H2133" s="1597"/>
      <c r="I2133" s="1597"/>
      <c r="J2133" s="1597"/>
      <c r="K2133" s="1597"/>
      <c r="L2133" s="1597"/>
      <c r="M2133" s="1597"/>
      <c r="N2133" s="1597"/>
      <c r="O2133" s="1597"/>
      <c r="P2133" s="1597"/>
      <c r="Q2133" s="1597"/>
      <c r="R2133" s="1597"/>
      <c r="S2133" s="1597"/>
      <c r="T2133" s="1597"/>
    </row>
    <row r="2134" spans="1:20">
      <c r="A2134" s="1597"/>
      <c r="B2134" s="1597"/>
      <c r="C2134" s="1597"/>
      <c r="D2134" s="1597"/>
      <c r="E2134" s="1597"/>
      <c r="F2134" s="1597"/>
      <c r="G2134" s="1597"/>
      <c r="H2134" s="1597"/>
      <c r="I2134" s="1597"/>
      <c r="J2134" s="1597"/>
      <c r="K2134" s="1597"/>
      <c r="L2134" s="1597"/>
      <c r="M2134" s="1597"/>
      <c r="N2134" s="1597"/>
      <c r="O2134" s="1597"/>
      <c r="P2134" s="1597"/>
      <c r="Q2134" s="1597"/>
      <c r="R2134" s="1597"/>
      <c r="S2134" s="1597"/>
      <c r="T2134" s="1597"/>
    </row>
    <row r="2135" spans="1:20">
      <c r="A2135" s="1597"/>
      <c r="B2135" s="1597"/>
      <c r="C2135" s="1597"/>
      <c r="D2135" s="1597"/>
      <c r="E2135" s="1597"/>
      <c r="F2135" s="1597"/>
      <c r="G2135" s="1597"/>
      <c r="H2135" s="1597"/>
      <c r="I2135" s="1597"/>
      <c r="J2135" s="1597"/>
      <c r="K2135" s="1597"/>
      <c r="L2135" s="1597"/>
      <c r="M2135" s="1597"/>
      <c r="N2135" s="1597"/>
      <c r="O2135" s="1597"/>
      <c r="P2135" s="1597"/>
      <c r="Q2135" s="1597"/>
      <c r="R2135" s="1597"/>
      <c r="S2135" s="1597"/>
      <c r="T2135" s="1597"/>
    </row>
    <row r="2136" spans="1:20">
      <c r="A2136" s="1597"/>
      <c r="B2136" s="1597"/>
      <c r="C2136" s="1597"/>
      <c r="D2136" s="1597"/>
      <c r="E2136" s="1597"/>
      <c r="F2136" s="1597"/>
      <c r="G2136" s="1597"/>
      <c r="H2136" s="1597"/>
      <c r="I2136" s="1597"/>
      <c r="J2136" s="1597"/>
      <c r="K2136" s="1597"/>
      <c r="L2136" s="1597"/>
      <c r="M2136" s="1597"/>
      <c r="N2136" s="1597"/>
      <c r="O2136" s="1597"/>
      <c r="P2136" s="1597"/>
      <c r="Q2136" s="1597"/>
      <c r="R2136" s="1597"/>
      <c r="S2136" s="1597"/>
      <c r="T2136" s="1597"/>
    </row>
    <row r="2137" spans="1:20">
      <c r="A2137" s="1597"/>
      <c r="B2137" s="1597"/>
      <c r="C2137" s="1597"/>
      <c r="D2137" s="1597"/>
      <c r="E2137" s="1597"/>
      <c r="F2137" s="1597"/>
      <c r="G2137" s="1597"/>
      <c r="H2137" s="1597"/>
      <c r="I2137" s="1597"/>
      <c r="J2137" s="1597"/>
      <c r="K2137" s="1597"/>
      <c r="L2137" s="1597"/>
      <c r="M2137" s="1597"/>
      <c r="N2137" s="1597"/>
      <c r="O2137" s="1597"/>
      <c r="P2137" s="1597"/>
      <c r="Q2137" s="1597"/>
      <c r="R2137" s="1597"/>
      <c r="S2137" s="1597"/>
      <c r="T2137" s="1597"/>
    </row>
    <row r="2138" spans="1:20">
      <c r="A2138" s="1597"/>
      <c r="B2138" s="1597"/>
      <c r="C2138" s="1597"/>
      <c r="D2138" s="1597"/>
      <c r="E2138" s="1597"/>
      <c r="F2138" s="1597"/>
      <c r="G2138" s="1597"/>
      <c r="H2138" s="1597"/>
      <c r="I2138" s="1597"/>
      <c r="J2138" s="1597"/>
      <c r="K2138" s="1597"/>
      <c r="L2138" s="1597"/>
      <c r="M2138" s="1597"/>
      <c r="N2138" s="1597"/>
      <c r="O2138" s="1597"/>
      <c r="P2138" s="1597"/>
      <c r="Q2138" s="1597"/>
      <c r="R2138" s="1597"/>
      <c r="S2138" s="1597"/>
      <c r="T2138" s="1597"/>
    </row>
    <row r="2139" spans="1:20">
      <c r="A2139" s="1597"/>
      <c r="B2139" s="1597"/>
      <c r="C2139" s="1597"/>
      <c r="D2139" s="1597"/>
      <c r="E2139" s="1597"/>
      <c r="F2139" s="1597"/>
      <c r="G2139" s="1597"/>
      <c r="H2139" s="1597"/>
      <c r="I2139" s="1597"/>
      <c r="J2139" s="1597"/>
      <c r="K2139" s="1597"/>
      <c r="L2139" s="1597"/>
      <c r="M2139" s="1597"/>
      <c r="N2139" s="1597"/>
      <c r="O2139" s="1597"/>
      <c r="P2139" s="1597"/>
      <c r="Q2139" s="1597"/>
      <c r="R2139" s="1597"/>
      <c r="S2139" s="1597"/>
      <c r="T2139" s="1597"/>
    </row>
    <row r="2140" spans="1:20">
      <c r="A2140" s="1597"/>
      <c r="B2140" s="1597"/>
      <c r="C2140" s="1597"/>
      <c r="D2140" s="1597"/>
      <c r="E2140" s="1597"/>
      <c r="F2140" s="1597"/>
      <c r="G2140" s="1597"/>
      <c r="H2140" s="1597"/>
      <c r="I2140" s="1597"/>
      <c r="J2140" s="1597"/>
      <c r="K2140" s="1597"/>
      <c r="L2140" s="1597"/>
      <c r="M2140" s="1597"/>
      <c r="N2140" s="1597"/>
      <c r="O2140" s="1597"/>
      <c r="P2140" s="1597"/>
      <c r="Q2140" s="1597"/>
      <c r="R2140" s="1597"/>
      <c r="S2140" s="1597"/>
      <c r="T2140" s="1597"/>
    </row>
    <row r="2141" spans="1:20">
      <c r="A2141" s="1597"/>
      <c r="B2141" s="1597"/>
      <c r="C2141" s="1597"/>
      <c r="D2141" s="1597"/>
      <c r="E2141" s="1597"/>
      <c r="F2141" s="1597"/>
      <c r="G2141" s="1597"/>
      <c r="H2141" s="1597"/>
      <c r="I2141" s="1597"/>
      <c r="J2141" s="1597"/>
      <c r="K2141" s="1597"/>
      <c r="L2141" s="1597"/>
      <c r="M2141" s="1597"/>
      <c r="N2141" s="1597"/>
      <c r="O2141" s="1597"/>
      <c r="P2141" s="1597"/>
      <c r="Q2141" s="1597"/>
      <c r="R2141" s="1597"/>
      <c r="S2141" s="1597"/>
      <c r="T2141" s="1597"/>
    </row>
    <row r="2142" spans="1:20">
      <c r="A2142" s="1597"/>
      <c r="B2142" s="1597"/>
      <c r="C2142" s="1597"/>
      <c r="D2142" s="1597"/>
      <c r="E2142" s="1597"/>
      <c r="F2142" s="1597"/>
      <c r="G2142" s="1597"/>
      <c r="H2142" s="1597"/>
      <c r="I2142" s="1597"/>
      <c r="J2142" s="1597"/>
      <c r="K2142" s="1597"/>
      <c r="L2142" s="1597"/>
      <c r="M2142" s="1597"/>
      <c r="N2142" s="1597"/>
      <c r="O2142" s="1597"/>
      <c r="P2142" s="1597"/>
      <c r="Q2142" s="1597"/>
      <c r="R2142" s="1597"/>
      <c r="S2142" s="1597"/>
      <c r="T2142" s="1597"/>
    </row>
    <row r="2143" spans="1:20">
      <c r="A2143" s="1597"/>
      <c r="B2143" s="1597"/>
      <c r="C2143" s="1597"/>
      <c r="D2143" s="1597"/>
      <c r="E2143" s="1597"/>
      <c r="F2143" s="1597"/>
      <c r="G2143" s="1597"/>
      <c r="H2143" s="1597"/>
      <c r="I2143" s="1597"/>
      <c r="J2143" s="1597"/>
      <c r="K2143" s="1597"/>
      <c r="L2143" s="1597"/>
      <c r="M2143" s="1597"/>
      <c r="N2143" s="1597"/>
      <c r="O2143" s="1597"/>
      <c r="P2143" s="1597"/>
      <c r="Q2143" s="1597"/>
      <c r="R2143" s="1597"/>
      <c r="S2143" s="1597"/>
      <c r="T2143" s="1597"/>
    </row>
    <row r="2144" spans="1:20">
      <c r="A2144" s="1597"/>
      <c r="B2144" s="1597"/>
      <c r="C2144" s="1597"/>
      <c r="D2144" s="1597"/>
      <c r="E2144" s="1597"/>
      <c r="F2144" s="1597"/>
      <c r="G2144" s="1597"/>
      <c r="H2144" s="1597"/>
      <c r="I2144" s="1597"/>
      <c r="J2144" s="1597"/>
      <c r="K2144" s="1597"/>
      <c r="L2144" s="1597"/>
      <c r="M2144" s="1597"/>
      <c r="N2144" s="1597"/>
      <c r="O2144" s="1597"/>
      <c r="P2144" s="1597"/>
      <c r="Q2144" s="1597"/>
      <c r="R2144" s="1597"/>
      <c r="S2144" s="1597"/>
      <c r="T2144" s="1597"/>
    </row>
    <row r="2145" spans="1:20">
      <c r="A2145" s="1597"/>
      <c r="B2145" s="1597"/>
      <c r="C2145" s="1597"/>
      <c r="D2145" s="1597"/>
      <c r="E2145" s="1597"/>
      <c r="F2145" s="1597"/>
      <c r="G2145" s="1597"/>
      <c r="H2145" s="1597"/>
      <c r="I2145" s="1597"/>
      <c r="J2145" s="1597"/>
      <c r="K2145" s="1597"/>
      <c r="L2145" s="1597"/>
      <c r="M2145" s="1597"/>
      <c r="N2145" s="1597"/>
      <c r="O2145" s="1597"/>
      <c r="P2145" s="1597"/>
      <c r="Q2145" s="1597"/>
      <c r="R2145" s="1597"/>
      <c r="S2145" s="1597"/>
      <c r="T2145" s="1597"/>
    </row>
    <row r="2146" spans="1:20">
      <c r="A2146" s="1597"/>
      <c r="B2146" s="1597"/>
      <c r="C2146" s="1597"/>
      <c r="D2146" s="1597"/>
      <c r="E2146" s="1597"/>
      <c r="F2146" s="1597"/>
      <c r="G2146" s="1597"/>
      <c r="H2146" s="1597"/>
      <c r="I2146" s="1597"/>
      <c r="J2146" s="1597"/>
      <c r="K2146" s="1597"/>
      <c r="L2146" s="1597"/>
      <c r="M2146" s="1597"/>
      <c r="N2146" s="1597"/>
      <c r="O2146" s="1597"/>
      <c r="P2146" s="1597"/>
      <c r="Q2146" s="1597"/>
      <c r="R2146" s="1597"/>
      <c r="S2146" s="1597"/>
      <c r="T2146" s="1597"/>
    </row>
    <row r="2147" spans="1:20">
      <c r="A2147" s="1597"/>
      <c r="B2147" s="1597"/>
      <c r="C2147" s="1597"/>
      <c r="D2147" s="1597"/>
      <c r="E2147" s="1597"/>
      <c r="F2147" s="1597"/>
      <c r="G2147" s="1597"/>
      <c r="H2147" s="1597"/>
      <c r="I2147" s="1597"/>
      <c r="J2147" s="1597"/>
      <c r="K2147" s="1597"/>
      <c r="L2147" s="1597"/>
      <c r="M2147" s="1597"/>
      <c r="N2147" s="1597"/>
      <c r="O2147" s="1597"/>
      <c r="P2147" s="1597"/>
      <c r="Q2147" s="1597"/>
      <c r="R2147" s="1597"/>
      <c r="S2147" s="1597"/>
      <c r="T2147" s="1597"/>
    </row>
    <row r="2148" spans="1:20">
      <c r="A2148" s="1597"/>
      <c r="B2148" s="1597"/>
      <c r="C2148" s="1597"/>
      <c r="D2148" s="1597"/>
      <c r="E2148" s="1597"/>
      <c r="F2148" s="1597"/>
      <c r="G2148" s="1597"/>
      <c r="H2148" s="1597"/>
      <c r="I2148" s="1597"/>
      <c r="J2148" s="1597"/>
      <c r="K2148" s="1597"/>
      <c r="L2148" s="1597"/>
      <c r="M2148" s="1597"/>
      <c r="N2148" s="1597"/>
      <c r="O2148" s="1597"/>
      <c r="P2148" s="1597"/>
      <c r="Q2148" s="1597"/>
      <c r="R2148" s="1597"/>
      <c r="S2148" s="1597"/>
      <c r="T2148" s="1597"/>
    </row>
    <row r="2149" spans="1:20">
      <c r="A2149" s="1597"/>
      <c r="B2149" s="1597"/>
      <c r="C2149" s="1597"/>
      <c r="D2149" s="1597"/>
      <c r="E2149" s="1597"/>
      <c r="F2149" s="1597"/>
      <c r="G2149" s="1597"/>
      <c r="H2149" s="1597"/>
      <c r="I2149" s="1597"/>
      <c r="J2149" s="1597"/>
      <c r="K2149" s="1597"/>
      <c r="L2149" s="1597"/>
      <c r="M2149" s="1597"/>
      <c r="N2149" s="1597"/>
      <c r="O2149" s="1597"/>
      <c r="P2149" s="1597"/>
      <c r="Q2149" s="1597"/>
      <c r="R2149" s="1597"/>
      <c r="S2149" s="1597"/>
      <c r="T2149" s="1597"/>
    </row>
    <row r="2150" spans="1:20">
      <c r="A2150" s="1597"/>
      <c r="B2150" s="1597"/>
      <c r="C2150" s="1597"/>
      <c r="D2150" s="1597"/>
      <c r="E2150" s="1597"/>
      <c r="F2150" s="1597"/>
      <c r="G2150" s="1597"/>
      <c r="H2150" s="1597"/>
      <c r="I2150" s="1597"/>
      <c r="J2150" s="1597"/>
      <c r="K2150" s="1597"/>
      <c r="L2150" s="1597"/>
      <c r="M2150" s="1597"/>
      <c r="N2150" s="1597"/>
      <c r="O2150" s="1597"/>
      <c r="P2150" s="1597"/>
      <c r="Q2150" s="1597"/>
      <c r="R2150" s="1597"/>
      <c r="S2150" s="1597"/>
      <c r="T2150" s="1597"/>
    </row>
    <row r="2151" spans="1:20">
      <c r="A2151" s="1597"/>
      <c r="B2151" s="1597"/>
      <c r="C2151" s="1597"/>
      <c r="D2151" s="1597"/>
      <c r="E2151" s="1597"/>
      <c r="F2151" s="1597"/>
      <c r="G2151" s="1597"/>
      <c r="H2151" s="1597"/>
      <c r="I2151" s="1597"/>
      <c r="J2151" s="1597"/>
      <c r="K2151" s="1597"/>
      <c r="L2151" s="1597"/>
      <c r="M2151" s="1597"/>
      <c r="N2151" s="1597"/>
      <c r="O2151" s="1597"/>
      <c r="P2151" s="1597"/>
      <c r="Q2151" s="1597"/>
      <c r="R2151" s="1597"/>
      <c r="S2151" s="1597"/>
      <c r="T2151" s="1597"/>
    </row>
    <row r="2152" spans="1:20">
      <c r="A2152" s="1597"/>
      <c r="B2152" s="1597"/>
      <c r="C2152" s="1597"/>
      <c r="D2152" s="1597"/>
      <c r="E2152" s="1597"/>
      <c r="F2152" s="1597"/>
      <c r="G2152" s="1597"/>
      <c r="H2152" s="1597"/>
      <c r="I2152" s="1597"/>
      <c r="J2152" s="1597"/>
      <c r="K2152" s="1597"/>
      <c r="L2152" s="1597"/>
      <c r="M2152" s="1597"/>
      <c r="N2152" s="1597"/>
      <c r="O2152" s="1597"/>
      <c r="P2152" s="1597"/>
      <c r="Q2152" s="1597"/>
      <c r="R2152" s="1597"/>
      <c r="S2152" s="1597"/>
      <c r="T2152" s="1597"/>
    </row>
    <row r="2153" spans="1:20">
      <c r="A2153" s="1597"/>
      <c r="B2153" s="1597"/>
      <c r="C2153" s="1597"/>
      <c r="D2153" s="1597"/>
      <c r="E2153" s="1597"/>
      <c r="F2153" s="1597"/>
      <c r="G2153" s="1597"/>
      <c r="H2153" s="1597"/>
      <c r="I2153" s="1597"/>
      <c r="J2153" s="1597"/>
      <c r="K2153" s="1597"/>
      <c r="L2153" s="1597"/>
      <c r="M2153" s="1597"/>
      <c r="N2153" s="1597"/>
      <c r="O2153" s="1597"/>
      <c r="P2153" s="1597"/>
      <c r="Q2153" s="1597"/>
      <c r="R2153" s="1597"/>
      <c r="S2153" s="1597"/>
      <c r="T2153" s="1597"/>
    </row>
    <row r="2154" spans="1:20">
      <c r="A2154" s="1597"/>
      <c r="B2154" s="1597"/>
      <c r="C2154" s="1597"/>
      <c r="D2154" s="1597"/>
      <c r="E2154" s="1597"/>
      <c r="F2154" s="1597"/>
      <c r="G2154" s="1597"/>
      <c r="H2154" s="1597"/>
      <c r="I2154" s="1597"/>
      <c r="J2154" s="1597"/>
      <c r="K2154" s="1597"/>
      <c r="L2154" s="1597"/>
      <c r="M2154" s="1597"/>
      <c r="N2154" s="1597"/>
      <c r="O2154" s="1597"/>
      <c r="P2154" s="1597"/>
      <c r="Q2154" s="1597"/>
      <c r="R2154" s="1597"/>
      <c r="S2154" s="1597"/>
      <c r="T2154" s="1597"/>
    </row>
    <row r="2155" spans="1:20">
      <c r="A2155" s="1597"/>
      <c r="B2155" s="1597"/>
      <c r="C2155" s="1597"/>
      <c r="D2155" s="1597"/>
      <c r="E2155" s="1597"/>
      <c r="F2155" s="1597"/>
      <c r="G2155" s="1597"/>
      <c r="H2155" s="1597"/>
      <c r="I2155" s="1597"/>
      <c r="J2155" s="1597"/>
      <c r="K2155" s="1597"/>
      <c r="L2155" s="1597"/>
      <c r="M2155" s="1597"/>
      <c r="N2155" s="1597"/>
      <c r="O2155" s="1597"/>
      <c r="P2155" s="1597"/>
      <c r="Q2155" s="1597"/>
      <c r="R2155" s="1597"/>
      <c r="S2155" s="1597"/>
      <c r="T2155" s="1597"/>
    </row>
    <row r="2156" spans="1:20">
      <c r="A2156" s="1597"/>
      <c r="B2156" s="1597"/>
      <c r="C2156" s="1597"/>
      <c r="D2156" s="1597"/>
      <c r="E2156" s="1597"/>
      <c r="F2156" s="1597"/>
      <c r="G2156" s="1597"/>
      <c r="H2156" s="1597"/>
      <c r="I2156" s="1597"/>
      <c r="J2156" s="1597"/>
      <c r="K2156" s="1597"/>
      <c r="L2156" s="1597"/>
      <c r="M2156" s="1597"/>
      <c r="N2156" s="1597"/>
      <c r="O2156" s="1597"/>
      <c r="P2156" s="1597"/>
      <c r="Q2156" s="1597"/>
      <c r="R2156" s="1597"/>
      <c r="S2156" s="1597"/>
      <c r="T2156" s="1597"/>
    </row>
    <row r="2157" spans="1:20">
      <c r="A2157" s="1597"/>
      <c r="B2157" s="1597"/>
      <c r="C2157" s="1597"/>
      <c r="D2157" s="1597"/>
      <c r="E2157" s="1597"/>
      <c r="F2157" s="1597"/>
      <c r="G2157" s="1597"/>
      <c r="H2157" s="1597"/>
      <c r="I2157" s="1597"/>
      <c r="J2157" s="1597"/>
      <c r="K2157" s="1597"/>
      <c r="L2157" s="1597"/>
      <c r="M2157" s="1597"/>
      <c r="N2157" s="1597"/>
      <c r="O2157" s="1597"/>
      <c r="P2157" s="1597"/>
      <c r="Q2157" s="1597"/>
      <c r="R2157" s="1597"/>
      <c r="S2157" s="1597"/>
      <c r="T2157" s="1597"/>
    </row>
    <row r="2158" spans="1:20">
      <c r="A2158" s="1597"/>
      <c r="B2158" s="1597"/>
      <c r="C2158" s="1597"/>
      <c r="D2158" s="1597"/>
      <c r="E2158" s="1597"/>
      <c r="F2158" s="1597"/>
      <c r="G2158" s="1597"/>
      <c r="H2158" s="1597"/>
      <c r="I2158" s="1597"/>
      <c r="J2158" s="1597"/>
      <c r="K2158" s="1597"/>
      <c r="L2158" s="1597"/>
      <c r="M2158" s="1597"/>
      <c r="N2158" s="1597"/>
      <c r="O2158" s="1597"/>
      <c r="P2158" s="1597"/>
      <c r="Q2158" s="1597"/>
      <c r="R2158" s="1597"/>
      <c r="S2158" s="1597"/>
      <c r="T2158" s="1597"/>
    </row>
    <row r="2159" spans="1:20">
      <c r="A2159" s="1597"/>
      <c r="B2159" s="1597"/>
      <c r="C2159" s="1597"/>
      <c r="D2159" s="1597"/>
      <c r="E2159" s="1597"/>
      <c r="F2159" s="1597"/>
      <c r="G2159" s="1597"/>
      <c r="H2159" s="1597"/>
      <c r="I2159" s="1597"/>
      <c r="J2159" s="1597"/>
      <c r="K2159" s="1597"/>
      <c r="L2159" s="1597"/>
      <c r="M2159" s="1597"/>
      <c r="N2159" s="1597"/>
      <c r="O2159" s="1597"/>
      <c r="P2159" s="1597"/>
      <c r="Q2159" s="1597"/>
      <c r="R2159" s="1597"/>
      <c r="S2159" s="1597"/>
      <c r="T2159" s="1597"/>
    </row>
    <row r="2160" spans="1:20">
      <c r="A2160" s="1597"/>
      <c r="B2160" s="1597"/>
      <c r="C2160" s="1597"/>
      <c r="D2160" s="1597"/>
      <c r="E2160" s="1597"/>
      <c r="F2160" s="1597"/>
      <c r="G2160" s="1597"/>
      <c r="H2160" s="1597"/>
      <c r="I2160" s="1597"/>
      <c r="J2160" s="1597"/>
      <c r="K2160" s="1597"/>
      <c r="L2160" s="1597"/>
      <c r="M2160" s="1597"/>
      <c r="N2160" s="1597"/>
      <c r="O2160" s="1597"/>
      <c r="P2160" s="1597"/>
      <c r="Q2160" s="1597"/>
      <c r="R2160" s="1597"/>
      <c r="S2160" s="1597"/>
      <c r="T2160" s="1597"/>
    </row>
    <row r="2161" spans="1:20">
      <c r="A2161" s="1597"/>
      <c r="B2161" s="1597"/>
      <c r="C2161" s="1597"/>
      <c r="D2161" s="1597"/>
      <c r="E2161" s="1597"/>
      <c r="F2161" s="1597"/>
      <c r="G2161" s="1597"/>
      <c r="H2161" s="1597"/>
      <c r="I2161" s="1597"/>
      <c r="J2161" s="1597"/>
      <c r="K2161" s="1597"/>
      <c r="L2161" s="1597"/>
      <c r="M2161" s="1597"/>
      <c r="N2161" s="1597"/>
      <c r="O2161" s="1597"/>
      <c r="P2161" s="1597"/>
      <c r="Q2161" s="1597"/>
      <c r="R2161" s="1597"/>
      <c r="S2161" s="1597"/>
      <c r="T2161" s="1597"/>
    </row>
    <row r="2162" spans="1:20">
      <c r="A2162" s="1597"/>
      <c r="B2162" s="1597"/>
      <c r="C2162" s="1597"/>
      <c r="D2162" s="1597"/>
      <c r="E2162" s="1597"/>
      <c r="F2162" s="1597"/>
      <c r="G2162" s="1597"/>
      <c r="H2162" s="1597"/>
      <c r="I2162" s="1597"/>
      <c r="J2162" s="1597"/>
      <c r="K2162" s="1597"/>
      <c r="L2162" s="1597"/>
      <c r="M2162" s="1597"/>
      <c r="N2162" s="1597"/>
      <c r="O2162" s="1597"/>
      <c r="P2162" s="1597"/>
      <c r="Q2162" s="1597"/>
      <c r="R2162" s="1597"/>
      <c r="S2162" s="1597"/>
      <c r="T2162" s="1597"/>
    </row>
    <row r="2163" spans="1:20">
      <c r="A2163" s="1597"/>
      <c r="B2163" s="1597"/>
      <c r="C2163" s="1597"/>
      <c r="D2163" s="1597"/>
      <c r="E2163" s="1597"/>
      <c r="F2163" s="1597"/>
      <c r="G2163" s="1597"/>
      <c r="H2163" s="1597"/>
      <c r="I2163" s="1597"/>
      <c r="J2163" s="1597"/>
      <c r="K2163" s="1597"/>
      <c r="L2163" s="1597"/>
      <c r="M2163" s="1597"/>
      <c r="N2163" s="1597"/>
      <c r="O2163" s="1597"/>
      <c r="P2163" s="1597"/>
      <c r="Q2163" s="1597"/>
      <c r="R2163" s="1597"/>
      <c r="S2163" s="1597"/>
      <c r="T2163" s="1597"/>
    </row>
    <row r="2164" spans="1:20">
      <c r="A2164" s="1597"/>
      <c r="B2164" s="1597"/>
      <c r="C2164" s="1597"/>
      <c r="D2164" s="1597"/>
      <c r="E2164" s="1597"/>
      <c r="F2164" s="1597"/>
      <c r="G2164" s="1597"/>
      <c r="H2164" s="1597"/>
      <c r="I2164" s="1597"/>
      <c r="J2164" s="1597"/>
      <c r="K2164" s="1597"/>
      <c r="L2164" s="1597"/>
      <c r="M2164" s="1597"/>
      <c r="N2164" s="1597"/>
      <c r="O2164" s="1597"/>
      <c r="P2164" s="1597"/>
      <c r="Q2164" s="1597"/>
      <c r="R2164" s="1597"/>
      <c r="S2164" s="1597"/>
      <c r="T2164" s="1597"/>
    </row>
    <row r="2165" spans="1:20">
      <c r="A2165" s="1597"/>
      <c r="B2165" s="1597"/>
      <c r="C2165" s="1597"/>
      <c r="D2165" s="1597"/>
      <c r="E2165" s="1597"/>
      <c r="F2165" s="1597"/>
      <c r="G2165" s="1597"/>
      <c r="H2165" s="1597"/>
      <c r="I2165" s="1597"/>
      <c r="J2165" s="1597"/>
      <c r="K2165" s="1597"/>
      <c r="L2165" s="1597"/>
      <c r="M2165" s="1597"/>
      <c r="N2165" s="1597"/>
      <c r="O2165" s="1597"/>
      <c r="P2165" s="1597"/>
      <c r="Q2165" s="1597"/>
      <c r="R2165" s="1597"/>
      <c r="S2165" s="1597"/>
      <c r="T2165" s="1597"/>
    </row>
    <row r="2166" spans="1:20">
      <c r="A2166" s="1597"/>
      <c r="B2166" s="1597"/>
      <c r="C2166" s="1597"/>
      <c r="D2166" s="1597"/>
      <c r="E2166" s="1597"/>
      <c r="F2166" s="1597"/>
      <c r="G2166" s="1597"/>
      <c r="H2166" s="1597"/>
      <c r="I2166" s="1597"/>
      <c r="J2166" s="1597"/>
      <c r="K2166" s="1597"/>
      <c r="L2166" s="1597"/>
      <c r="M2166" s="1597"/>
      <c r="N2166" s="1597"/>
      <c r="O2166" s="1597"/>
      <c r="P2166" s="1597"/>
      <c r="Q2166" s="1597"/>
      <c r="R2166" s="1597"/>
      <c r="S2166" s="1597"/>
      <c r="T2166" s="1597"/>
    </row>
    <row r="2167" spans="1:20">
      <c r="A2167" s="1597"/>
      <c r="B2167" s="1597"/>
      <c r="C2167" s="1597"/>
      <c r="D2167" s="1597"/>
      <c r="E2167" s="1597"/>
      <c r="F2167" s="1597"/>
      <c r="G2167" s="1597"/>
      <c r="H2167" s="1597"/>
      <c r="I2167" s="1597"/>
      <c r="J2167" s="1597"/>
      <c r="K2167" s="1597"/>
      <c r="L2167" s="1597"/>
      <c r="M2167" s="1597"/>
      <c r="N2167" s="1597"/>
      <c r="O2167" s="1597"/>
      <c r="P2167" s="1597"/>
      <c r="Q2167" s="1597"/>
      <c r="R2167" s="1597"/>
      <c r="S2167" s="1597"/>
      <c r="T2167" s="1597"/>
    </row>
    <row r="2168" spans="1:20">
      <c r="A2168" s="1597"/>
      <c r="B2168" s="1597"/>
      <c r="C2168" s="1597"/>
      <c r="D2168" s="1597"/>
      <c r="E2168" s="1597"/>
      <c r="F2168" s="1597"/>
      <c r="G2168" s="1597"/>
      <c r="H2168" s="1597"/>
      <c r="I2168" s="1597"/>
      <c r="J2168" s="1597"/>
      <c r="K2168" s="1597"/>
      <c r="L2168" s="1597"/>
      <c r="M2168" s="1597"/>
      <c r="N2168" s="1597"/>
      <c r="O2168" s="1597"/>
      <c r="P2168" s="1597"/>
      <c r="Q2168" s="1597"/>
      <c r="R2168" s="1597"/>
      <c r="S2168" s="1597"/>
      <c r="T2168" s="1597"/>
    </row>
    <row r="2169" spans="1:20">
      <c r="A2169" s="1597"/>
      <c r="B2169" s="1597"/>
      <c r="C2169" s="1597"/>
      <c r="D2169" s="1597"/>
      <c r="E2169" s="1597"/>
      <c r="F2169" s="1597"/>
      <c r="G2169" s="1597"/>
      <c r="H2169" s="1597"/>
      <c r="I2169" s="1597"/>
      <c r="J2169" s="1597"/>
      <c r="K2169" s="1597"/>
      <c r="L2169" s="1597"/>
      <c r="M2169" s="1597"/>
      <c r="N2169" s="1597"/>
      <c r="O2169" s="1597"/>
      <c r="P2169" s="1597"/>
      <c r="Q2169" s="1597"/>
      <c r="R2169" s="1597"/>
      <c r="S2169" s="1597"/>
      <c r="T2169" s="1597"/>
    </row>
    <row r="2170" spans="1:20">
      <c r="A2170" s="1597"/>
      <c r="B2170" s="1597"/>
      <c r="C2170" s="1597"/>
      <c r="D2170" s="1597"/>
      <c r="E2170" s="1597"/>
      <c r="F2170" s="1597"/>
      <c r="G2170" s="1597"/>
      <c r="H2170" s="1597"/>
      <c r="I2170" s="1597"/>
      <c r="J2170" s="1597"/>
      <c r="K2170" s="1597"/>
      <c r="L2170" s="1597"/>
      <c r="M2170" s="1597"/>
      <c r="N2170" s="1597"/>
      <c r="O2170" s="1597"/>
      <c r="P2170" s="1597"/>
      <c r="Q2170" s="1597"/>
      <c r="R2170" s="1597"/>
      <c r="S2170" s="1597"/>
      <c r="T2170" s="1597"/>
    </row>
    <row r="2171" spans="1:20">
      <c r="A2171" s="1597"/>
      <c r="B2171" s="1597"/>
      <c r="C2171" s="1597"/>
      <c r="D2171" s="1597"/>
      <c r="E2171" s="1597"/>
      <c r="F2171" s="1597"/>
      <c r="G2171" s="1597"/>
      <c r="H2171" s="1597"/>
      <c r="I2171" s="1597"/>
      <c r="J2171" s="1597"/>
      <c r="K2171" s="1597"/>
      <c r="L2171" s="1597"/>
      <c r="M2171" s="1597"/>
      <c r="N2171" s="1597"/>
      <c r="O2171" s="1597"/>
      <c r="P2171" s="1597"/>
      <c r="Q2171" s="1597"/>
      <c r="R2171" s="1597"/>
      <c r="S2171" s="1597"/>
      <c r="T2171" s="1597"/>
    </row>
    <row r="2172" spans="1:20">
      <c r="A2172" s="1597"/>
      <c r="B2172" s="1597"/>
      <c r="C2172" s="1597"/>
      <c r="D2172" s="1597"/>
      <c r="E2172" s="1597"/>
      <c r="F2172" s="1597"/>
      <c r="G2172" s="1597"/>
      <c r="H2172" s="1597"/>
      <c r="I2172" s="1597"/>
      <c r="J2172" s="1597"/>
      <c r="K2172" s="1597"/>
      <c r="L2172" s="1597"/>
      <c r="M2172" s="1597"/>
      <c r="N2172" s="1597"/>
      <c r="O2172" s="1597"/>
      <c r="P2172" s="1597"/>
      <c r="Q2172" s="1597"/>
      <c r="R2172" s="1597"/>
      <c r="S2172" s="1597"/>
      <c r="T2172" s="1597"/>
    </row>
    <row r="2173" spans="1:20">
      <c r="A2173" s="1597"/>
      <c r="B2173" s="1597"/>
      <c r="C2173" s="1597"/>
      <c r="D2173" s="1597"/>
      <c r="E2173" s="1597"/>
      <c r="F2173" s="1597"/>
      <c r="G2173" s="1597"/>
      <c r="H2173" s="1597"/>
      <c r="I2173" s="1597"/>
      <c r="J2173" s="1597"/>
      <c r="K2173" s="1597"/>
      <c r="L2173" s="1597"/>
      <c r="M2173" s="1597"/>
      <c r="N2173" s="1597"/>
      <c r="O2173" s="1597"/>
      <c r="P2173" s="1597"/>
      <c r="Q2173" s="1597"/>
      <c r="R2173" s="1597"/>
      <c r="S2173" s="1597"/>
      <c r="T2173" s="1597"/>
    </row>
    <row r="2174" spans="1:20">
      <c r="A2174" s="1597"/>
      <c r="B2174" s="1597"/>
      <c r="C2174" s="1597"/>
      <c r="D2174" s="1597"/>
      <c r="E2174" s="1597"/>
      <c r="F2174" s="1597"/>
      <c r="G2174" s="1597"/>
      <c r="H2174" s="1597"/>
      <c r="I2174" s="1597"/>
      <c r="J2174" s="1597"/>
      <c r="K2174" s="1597"/>
      <c r="L2174" s="1597"/>
      <c r="M2174" s="1597"/>
      <c r="N2174" s="1597"/>
      <c r="O2174" s="1597"/>
      <c r="P2174" s="1597"/>
      <c r="Q2174" s="1597"/>
      <c r="R2174" s="1597"/>
      <c r="S2174" s="1597"/>
      <c r="T2174" s="1597"/>
    </row>
    <row r="2175" spans="1:20">
      <c r="A2175" s="1597"/>
      <c r="B2175" s="1597"/>
      <c r="C2175" s="1597"/>
      <c r="D2175" s="1597"/>
      <c r="E2175" s="1597"/>
      <c r="F2175" s="1597"/>
      <c r="G2175" s="1597"/>
      <c r="H2175" s="1597"/>
      <c r="I2175" s="1597"/>
      <c r="J2175" s="1597"/>
      <c r="K2175" s="1597"/>
      <c r="L2175" s="1597"/>
      <c r="M2175" s="1597"/>
      <c r="N2175" s="1597"/>
      <c r="O2175" s="1597"/>
      <c r="P2175" s="1597"/>
      <c r="Q2175" s="1597"/>
      <c r="R2175" s="1597"/>
      <c r="S2175" s="1597"/>
      <c r="T2175" s="1597"/>
    </row>
    <row r="2176" spans="1:20">
      <c r="A2176" s="1597"/>
      <c r="B2176" s="1597"/>
      <c r="C2176" s="1597"/>
      <c r="D2176" s="1597"/>
      <c r="E2176" s="1597"/>
      <c r="F2176" s="1597"/>
      <c r="G2176" s="1597"/>
      <c r="H2176" s="1597"/>
      <c r="I2176" s="1597"/>
      <c r="J2176" s="1597"/>
      <c r="K2176" s="1597"/>
      <c r="L2176" s="1597"/>
      <c r="M2176" s="1597"/>
      <c r="N2176" s="1597"/>
      <c r="O2176" s="1597"/>
      <c r="P2176" s="1597"/>
      <c r="Q2176" s="1597"/>
      <c r="R2176" s="1597"/>
      <c r="S2176" s="1597"/>
      <c r="T2176" s="1597"/>
    </row>
    <row r="2177" spans="1:20">
      <c r="A2177" s="1597"/>
      <c r="B2177" s="1597"/>
      <c r="C2177" s="1597"/>
      <c r="D2177" s="1597"/>
      <c r="E2177" s="1597"/>
      <c r="F2177" s="1597"/>
      <c r="G2177" s="1597"/>
      <c r="H2177" s="1597"/>
      <c r="I2177" s="1597"/>
      <c r="J2177" s="1597"/>
      <c r="K2177" s="1597"/>
      <c r="L2177" s="1597"/>
      <c r="M2177" s="1597"/>
      <c r="N2177" s="1597"/>
      <c r="O2177" s="1597"/>
      <c r="P2177" s="1597"/>
      <c r="Q2177" s="1597"/>
      <c r="R2177" s="1597"/>
      <c r="S2177" s="1597"/>
      <c r="T2177" s="1597"/>
    </row>
    <row r="2178" spans="1:20">
      <c r="A2178" s="1597"/>
      <c r="B2178" s="1597"/>
      <c r="C2178" s="1597"/>
      <c r="D2178" s="1597"/>
      <c r="E2178" s="1597"/>
      <c r="F2178" s="1597"/>
      <c r="G2178" s="1597"/>
      <c r="H2178" s="1597"/>
      <c r="I2178" s="1597"/>
      <c r="J2178" s="1597"/>
      <c r="K2178" s="1597"/>
      <c r="L2178" s="1597"/>
      <c r="M2178" s="1597"/>
      <c r="N2178" s="1597"/>
      <c r="O2178" s="1597"/>
      <c r="P2178" s="1597"/>
      <c r="Q2178" s="1597"/>
      <c r="R2178" s="1597"/>
      <c r="S2178" s="1597"/>
      <c r="T2178" s="1597"/>
    </row>
    <row r="2179" spans="1:20">
      <c r="A2179" s="1597"/>
      <c r="B2179" s="1597"/>
      <c r="C2179" s="1597"/>
      <c r="D2179" s="1597"/>
      <c r="E2179" s="1597"/>
      <c r="F2179" s="1597"/>
      <c r="G2179" s="1597"/>
      <c r="H2179" s="1597"/>
      <c r="I2179" s="1597"/>
      <c r="J2179" s="1597"/>
      <c r="K2179" s="1597"/>
      <c r="L2179" s="1597"/>
      <c r="M2179" s="1597"/>
      <c r="N2179" s="1597"/>
      <c r="O2179" s="1597"/>
      <c r="P2179" s="1597"/>
      <c r="Q2179" s="1597"/>
      <c r="R2179" s="1597"/>
      <c r="S2179" s="1597"/>
      <c r="T2179" s="1597"/>
    </row>
    <row r="2180" spans="1:20">
      <c r="A2180" s="1597"/>
      <c r="B2180" s="1597"/>
      <c r="C2180" s="1597"/>
      <c r="D2180" s="1597"/>
      <c r="E2180" s="1597"/>
      <c r="F2180" s="1597"/>
      <c r="G2180" s="1597"/>
      <c r="H2180" s="1597"/>
      <c r="I2180" s="1597"/>
      <c r="J2180" s="1597"/>
      <c r="K2180" s="1597"/>
      <c r="L2180" s="1597"/>
      <c r="M2180" s="1597"/>
      <c r="N2180" s="1597"/>
      <c r="O2180" s="1597"/>
      <c r="P2180" s="1597"/>
      <c r="Q2180" s="1597"/>
      <c r="R2180" s="1597"/>
      <c r="S2180" s="1597"/>
      <c r="T2180" s="1597"/>
    </row>
    <row r="2181" spans="1:20">
      <c r="A2181" s="1597"/>
      <c r="B2181" s="1597"/>
      <c r="C2181" s="1597"/>
      <c r="D2181" s="1597"/>
      <c r="E2181" s="1597"/>
      <c r="F2181" s="1597"/>
      <c r="G2181" s="1597"/>
      <c r="H2181" s="1597"/>
      <c r="I2181" s="1597"/>
      <c r="J2181" s="1597"/>
      <c r="K2181" s="1597"/>
      <c r="L2181" s="1597"/>
      <c r="M2181" s="1597"/>
      <c r="N2181" s="1597"/>
      <c r="O2181" s="1597"/>
      <c r="P2181" s="1597"/>
      <c r="Q2181" s="1597"/>
      <c r="R2181" s="1597"/>
      <c r="S2181" s="1597"/>
      <c r="T2181" s="1597"/>
    </row>
    <row r="2182" spans="1:20">
      <c r="A2182" s="1597"/>
      <c r="B2182" s="1597"/>
      <c r="C2182" s="1597"/>
      <c r="D2182" s="1597"/>
      <c r="E2182" s="1597"/>
      <c r="F2182" s="1597"/>
      <c r="G2182" s="1597"/>
      <c r="H2182" s="1597"/>
      <c r="I2182" s="1597"/>
      <c r="J2182" s="1597"/>
      <c r="K2182" s="1597"/>
      <c r="L2182" s="1597"/>
      <c r="M2182" s="1597"/>
      <c r="N2182" s="1597"/>
      <c r="O2182" s="1597"/>
      <c r="P2182" s="1597"/>
      <c r="Q2182" s="1597"/>
      <c r="R2182" s="1597"/>
      <c r="S2182" s="1597"/>
      <c r="T2182" s="1597"/>
    </row>
    <row r="2183" spans="1:20">
      <c r="A2183" s="1597"/>
      <c r="B2183" s="1597"/>
      <c r="C2183" s="1597"/>
      <c r="D2183" s="1597"/>
      <c r="E2183" s="1597"/>
      <c r="F2183" s="1597"/>
      <c r="G2183" s="1597"/>
      <c r="H2183" s="1597"/>
      <c r="I2183" s="1597"/>
      <c r="J2183" s="1597"/>
      <c r="K2183" s="1597"/>
      <c r="L2183" s="1597"/>
      <c r="M2183" s="1597"/>
      <c r="N2183" s="1597"/>
      <c r="O2183" s="1597"/>
      <c r="P2183" s="1597"/>
      <c r="Q2183" s="1597"/>
      <c r="R2183" s="1597"/>
      <c r="S2183" s="1597"/>
      <c r="T2183" s="1597"/>
    </row>
    <row r="2184" spans="1:20">
      <c r="A2184" s="1597"/>
      <c r="B2184" s="1597"/>
      <c r="C2184" s="1597"/>
      <c r="D2184" s="1597"/>
      <c r="E2184" s="1597"/>
      <c r="F2184" s="1597"/>
      <c r="G2184" s="1597"/>
      <c r="H2184" s="1597"/>
      <c r="I2184" s="1597"/>
      <c r="J2184" s="1597"/>
      <c r="K2184" s="1597"/>
      <c r="L2184" s="1597"/>
      <c r="M2184" s="1597"/>
      <c r="N2184" s="1597"/>
      <c r="O2184" s="1597"/>
      <c r="P2184" s="1597"/>
      <c r="Q2184" s="1597"/>
      <c r="R2184" s="1597"/>
      <c r="S2184" s="1597"/>
      <c r="T2184" s="1597"/>
    </row>
    <row r="2185" spans="1:20">
      <c r="A2185" s="1597"/>
      <c r="B2185" s="1597"/>
      <c r="C2185" s="1597"/>
      <c r="D2185" s="1597"/>
      <c r="E2185" s="1597"/>
      <c r="F2185" s="1597"/>
      <c r="G2185" s="1597"/>
      <c r="H2185" s="1597"/>
      <c r="I2185" s="1597"/>
      <c r="J2185" s="1597"/>
      <c r="K2185" s="1597"/>
      <c r="L2185" s="1597"/>
      <c r="M2185" s="1597"/>
      <c r="N2185" s="1597"/>
      <c r="O2185" s="1597"/>
      <c r="P2185" s="1597"/>
      <c r="Q2185" s="1597"/>
      <c r="R2185" s="1597"/>
      <c r="S2185" s="1597"/>
      <c r="T2185" s="1597"/>
    </row>
    <row r="2186" spans="1:20">
      <c r="A2186" s="1597"/>
      <c r="B2186" s="1597"/>
      <c r="C2186" s="1597"/>
      <c r="D2186" s="1597"/>
      <c r="E2186" s="1597"/>
      <c r="F2186" s="1597"/>
      <c r="G2186" s="1597"/>
      <c r="H2186" s="1597"/>
      <c r="I2186" s="1597"/>
      <c r="J2186" s="1597"/>
      <c r="K2186" s="1597"/>
      <c r="L2186" s="1597"/>
      <c r="M2186" s="1597"/>
      <c r="N2186" s="1597"/>
      <c r="O2186" s="1597"/>
      <c r="P2186" s="1597"/>
      <c r="Q2186" s="1597"/>
      <c r="R2186" s="1597"/>
      <c r="S2186" s="1597"/>
      <c r="T2186" s="1597"/>
    </row>
    <row r="2187" spans="1:20">
      <c r="A2187" s="1597"/>
      <c r="B2187" s="1597"/>
      <c r="C2187" s="1597"/>
      <c r="D2187" s="1597"/>
      <c r="E2187" s="1597"/>
      <c r="F2187" s="1597"/>
      <c r="G2187" s="1597"/>
      <c r="H2187" s="1597"/>
      <c r="I2187" s="1597"/>
      <c r="J2187" s="1597"/>
      <c r="K2187" s="1597"/>
      <c r="L2187" s="1597"/>
      <c r="M2187" s="1597"/>
      <c r="N2187" s="1597"/>
      <c r="O2187" s="1597"/>
      <c r="P2187" s="1597"/>
      <c r="Q2187" s="1597"/>
      <c r="R2187" s="1597"/>
      <c r="S2187" s="1597"/>
      <c r="T2187" s="1597"/>
    </row>
    <row r="2188" spans="1:20">
      <c r="A2188" s="1597"/>
      <c r="B2188" s="1597"/>
      <c r="C2188" s="1597"/>
      <c r="D2188" s="1597"/>
      <c r="E2188" s="1597"/>
      <c r="F2188" s="1597"/>
      <c r="G2188" s="1597"/>
      <c r="H2188" s="1597"/>
      <c r="I2188" s="1597"/>
      <c r="J2188" s="1597"/>
      <c r="K2188" s="1597"/>
      <c r="L2188" s="1597"/>
      <c r="M2188" s="1597"/>
      <c r="N2188" s="1597"/>
      <c r="O2188" s="1597"/>
      <c r="P2188" s="1597"/>
      <c r="Q2188" s="1597"/>
      <c r="R2188" s="1597"/>
      <c r="S2188" s="1597"/>
      <c r="T2188" s="1597"/>
    </row>
    <row r="2189" spans="1:20">
      <c r="A2189" s="1597"/>
      <c r="B2189" s="1597"/>
      <c r="C2189" s="1597"/>
      <c r="D2189" s="1597"/>
      <c r="E2189" s="1597"/>
      <c r="F2189" s="1597"/>
      <c r="G2189" s="1597"/>
      <c r="H2189" s="1597"/>
      <c r="I2189" s="1597"/>
      <c r="J2189" s="1597"/>
      <c r="K2189" s="1597"/>
      <c r="L2189" s="1597"/>
      <c r="M2189" s="1597"/>
      <c r="N2189" s="1597"/>
      <c r="O2189" s="1597"/>
      <c r="P2189" s="1597"/>
      <c r="Q2189" s="1597"/>
      <c r="R2189" s="1597"/>
      <c r="S2189" s="1597"/>
      <c r="T2189" s="1597"/>
    </row>
    <row r="2190" spans="1:20">
      <c r="A2190" s="1597"/>
      <c r="B2190" s="1597"/>
      <c r="C2190" s="1597"/>
      <c r="D2190" s="1597"/>
      <c r="E2190" s="1597"/>
      <c r="F2190" s="1597"/>
      <c r="G2190" s="1597"/>
      <c r="H2190" s="1597"/>
      <c r="I2190" s="1597"/>
      <c r="J2190" s="1597"/>
      <c r="K2190" s="1597"/>
      <c r="L2190" s="1597"/>
      <c r="M2190" s="1597"/>
      <c r="N2190" s="1597"/>
      <c r="O2190" s="1597"/>
      <c r="P2190" s="1597"/>
      <c r="Q2190" s="1597"/>
      <c r="R2190" s="1597"/>
      <c r="S2190" s="1597"/>
      <c r="T2190" s="1597"/>
    </row>
    <row r="2191" spans="1:20">
      <c r="A2191" s="1597"/>
      <c r="B2191" s="1597"/>
      <c r="C2191" s="1597"/>
      <c r="D2191" s="1597"/>
      <c r="E2191" s="1597"/>
      <c r="F2191" s="1597"/>
      <c r="G2191" s="1597"/>
      <c r="H2191" s="1597"/>
      <c r="I2191" s="1597"/>
      <c r="J2191" s="1597"/>
      <c r="K2191" s="1597"/>
      <c r="L2191" s="1597"/>
      <c r="M2191" s="1597"/>
      <c r="N2191" s="1597"/>
      <c r="O2191" s="1597"/>
      <c r="P2191" s="1597"/>
      <c r="Q2191" s="1597"/>
      <c r="R2191" s="1597"/>
      <c r="S2191" s="1597"/>
      <c r="T2191" s="1597"/>
    </row>
    <row r="2192" spans="1:20">
      <c r="A2192" s="1597"/>
      <c r="B2192" s="1597"/>
      <c r="C2192" s="1597"/>
      <c r="D2192" s="1597"/>
      <c r="E2192" s="1597"/>
      <c r="F2192" s="1597"/>
      <c r="G2192" s="1597"/>
      <c r="H2192" s="1597"/>
      <c r="I2192" s="1597"/>
      <c r="J2192" s="1597"/>
      <c r="K2192" s="1597"/>
      <c r="L2192" s="1597"/>
      <c r="M2192" s="1597"/>
      <c r="N2192" s="1597"/>
      <c r="O2192" s="1597"/>
      <c r="P2192" s="1597"/>
      <c r="Q2192" s="1597"/>
      <c r="R2192" s="1597"/>
      <c r="S2192" s="1597"/>
      <c r="T2192" s="1597"/>
    </row>
    <row r="2193" spans="1:20">
      <c r="A2193" s="1597"/>
      <c r="B2193" s="1597"/>
      <c r="C2193" s="1597"/>
      <c r="D2193" s="1597"/>
      <c r="E2193" s="1597"/>
      <c r="F2193" s="1597"/>
      <c r="G2193" s="1597"/>
      <c r="H2193" s="1597"/>
      <c r="I2193" s="1597"/>
      <c r="J2193" s="1597"/>
      <c r="K2193" s="1597"/>
      <c r="L2193" s="1597"/>
      <c r="M2193" s="1597"/>
      <c r="N2193" s="1597"/>
      <c r="O2193" s="1597"/>
      <c r="P2193" s="1597"/>
      <c r="Q2193" s="1597"/>
      <c r="R2193" s="1597"/>
      <c r="S2193" s="1597"/>
      <c r="T2193" s="1597"/>
    </row>
    <row r="2194" spans="1:20">
      <c r="A2194" s="1597"/>
      <c r="B2194" s="1597"/>
      <c r="C2194" s="1597"/>
      <c r="D2194" s="1597"/>
      <c r="E2194" s="1597"/>
      <c r="F2194" s="1597"/>
      <c r="G2194" s="1597"/>
      <c r="H2194" s="1597"/>
      <c r="I2194" s="1597"/>
      <c r="J2194" s="1597"/>
      <c r="K2194" s="1597"/>
      <c r="L2194" s="1597"/>
      <c r="M2194" s="1597"/>
      <c r="N2194" s="1597"/>
      <c r="O2194" s="1597"/>
      <c r="P2194" s="1597"/>
      <c r="Q2194" s="1597"/>
      <c r="R2194" s="1597"/>
      <c r="S2194" s="1597"/>
      <c r="T2194" s="1597"/>
    </row>
    <row r="2195" spans="1:20">
      <c r="A2195" s="1597"/>
      <c r="B2195" s="1597"/>
      <c r="C2195" s="1597"/>
      <c r="D2195" s="1597"/>
      <c r="E2195" s="1597"/>
      <c r="F2195" s="1597"/>
      <c r="G2195" s="1597"/>
      <c r="H2195" s="1597"/>
      <c r="I2195" s="1597"/>
      <c r="J2195" s="1597"/>
      <c r="K2195" s="1597"/>
      <c r="L2195" s="1597"/>
      <c r="M2195" s="1597"/>
      <c r="N2195" s="1597"/>
      <c r="O2195" s="1597"/>
      <c r="P2195" s="1597"/>
      <c r="Q2195" s="1597"/>
      <c r="R2195" s="1597"/>
      <c r="S2195" s="1597"/>
      <c r="T2195" s="1597"/>
    </row>
    <row r="2196" spans="1:20">
      <c r="A2196" s="1597"/>
      <c r="B2196" s="1597"/>
      <c r="C2196" s="1597"/>
      <c r="D2196" s="1597"/>
      <c r="E2196" s="1597"/>
      <c r="F2196" s="1597"/>
      <c r="G2196" s="1597"/>
      <c r="H2196" s="1597"/>
      <c r="I2196" s="1597"/>
      <c r="J2196" s="1597"/>
      <c r="K2196" s="1597"/>
      <c r="L2196" s="1597"/>
      <c r="M2196" s="1597"/>
      <c r="N2196" s="1597"/>
      <c r="O2196" s="1597"/>
      <c r="P2196" s="1597"/>
      <c r="Q2196" s="1597"/>
      <c r="R2196" s="1597"/>
      <c r="S2196" s="1597"/>
      <c r="T2196" s="1597"/>
    </row>
    <row r="2197" spans="1:20">
      <c r="A2197" s="1597"/>
      <c r="B2197" s="1597"/>
      <c r="C2197" s="1597"/>
      <c r="D2197" s="1597"/>
      <c r="E2197" s="1597"/>
      <c r="F2197" s="1597"/>
      <c r="G2197" s="1597"/>
      <c r="H2197" s="1597"/>
      <c r="I2197" s="1597"/>
      <c r="J2197" s="1597"/>
      <c r="K2197" s="1597"/>
      <c r="L2197" s="1597"/>
      <c r="M2197" s="1597"/>
      <c r="N2197" s="1597"/>
      <c r="O2197" s="1597"/>
      <c r="P2197" s="1597"/>
      <c r="Q2197" s="1597"/>
      <c r="R2197" s="1597"/>
      <c r="S2197" s="1597"/>
      <c r="T2197" s="1597"/>
    </row>
    <row r="2198" spans="1:20">
      <c r="A2198" s="1597"/>
      <c r="B2198" s="1597"/>
      <c r="C2198" s="1597"/>
      <c r="D2198" s="1597"/>
      <c r="E2198" s="1597"/>
      <c r="F2198" s="1597"/>
      <c r="G2198" s="1597"/>
      <c r="H2198" s="1597"/>
      <c r="I2198" s="1597"/>
      <c r="J2198" s="1597"/>
      <c r="K2198" s="1597"/>
      <c r="L2198" s="1597"/>
      <c r="M2198" s="1597"/>
      <c r="N2198" s="1597"/>
      <c r="O2198" s="1597"/>
      <c r="P2198" s="1597"/>
      <c r="Q2198" s="1597"/>
      <c r="R2198" s="1597"/>
      <c r="S2198" s="1597"/>
      <c r="T2198" s="1597"/>
    </row>
    <row r="2199" spans="1:20">
      <c r="A2199" s="1597"/>
      <c r="B2199" s="1597"/>
      <c r="C2199" s="1597"/>
      <c r="D2199" s="1597"/>
      <c r="E2199" s="1597"/>
      <c r="F2199" s="1597"/>
      <c r="G2199" s="1597"/>
      <c r="H2199" s="1597"/>
      <c r="I2199" s="1597"/>
      <c r="J2199" s="1597"/>
      <c r="K2199" s="1597"/>
      <c r="L2199" s="1597"/>
      <c r="M2199" s="1597"/>
      <c r="N2199" s="1597"/>
      <c r="O2199" s="1597"/>
      <c r="P2199" s="1597"/>
      <c r="Q2199" s="1597"/>
      <c r="R2199" s="1597"/>
      <c r="S2199" s="1597"/>
      <c r="T2199" s="1597"/>
    </row>
    <row r="2200" spans="1:20">
      <c r="A2200" s="1597"/>
      <c r="B2200" s="1597"/>
      <c r="C2200" s="1597"/>
      <c r="D2200" s="1597"/>
      <c r="E2200" s="1597"/>
      <c r="F2200" s="1597"/>
      <c r="G2200" s="1597"/>
      <c r="H2200" s="1597"/>
      <c r="I2200" s="1597"/>
      <c r="J2200" s="1597"/>
      <c r="K2200" s="1597"/>
      <c r="L2200" s="1597"/>
      <c r="M2200" s="1597"/>
      <c r="N2200" s="1597"/>
      <c r="O2200" s="1597"/>
      <c r="P2200" s="1597"/>
      <c r="Q2200" s="1597"/>
      <c r="R2200" s="1597"/>
      <c r="S2200" s="1597"/>
      <c r="T2200" s="1597"/>
    </row>
    <row r="2201" spans="1:20">
      <c r="A2201" s="1597"/>
      <c r="B2201" s="1597"/>
      <c r="C2201" s="1597"/>
      <c r="D2201" s="1597"/>
      <c r="E2201" s="1597"/>
      <c r="F2201" s="1597"/>
      <c r="G2201" s="1597"/>
      <c r="H2201" s="1597"/>
      <c r="I2201" s="1597"/>
      <c r="J2201" s="1597"/>
      <c r="K2201" s="1597"/>
      <c r="L2201" s="1597"/>
      <c r="M2201" s="1597"/>
      <c r="N2201" s="1597"/>
      <c r="O2201" s="1597"/>
      <c r="P2201" s="1597"/>
      <c r="Q2201" s="1597"/>
      <c r="R2201" s="1597"/>
      <c r="S2201" s="1597"/>
      <c r="T2201" s="1597"/>
    </row>
    <row r="2202" spans="1:20">
      <c r="A2202" s="1597"/>
      <c r="B2202" s="1597"/>
      <c r="C2202" s="1597"/>
      <c r="D2202" s="1597"/>
      <c r="E2202" s="1597"/>
      <c r="F2202" s="1597"/>
      <c r="G2202" s="1597"/>
      <c r="H2202" s="1597"/>
      <c r="I2202" s="1597"/>
      <c r="J2202" s="1597"/>
      <c r="K2202" s="1597"/>
      <c r="L2202" s="1597"/>
      <c r="M2202" s="1597"/>
      <c r="N2202" s="1597"/>
      <c r="O2202" s="1597"/>
      <c r="P2202" s="1597"/>
      <c r="Q2202" s="1597"/>
      <c r="R2202" s="1597"/>
      <c r="S2202" s="1597"/>
      <c r="T2202" s="1597"/>
    </row>
    <row r="2203" spans="1:20">
      <c r="A2203" s="1597"/>
      <c r="B2203" s="1597"/>
      <c r="C2203" s="1597"/>
      <c r="D2203" s="1597"/>
      <c r="E2203" s="1597"/>
      <c r="F2203" s="1597"/>
      <c r="G2203" s="1597"/>
      <c r="H2203" s="1597"/>
      <c r="I2203" s="1597"/>
      <c r="J2203" s="1597"/>
      <c r="K2203" s="1597"/>
      <c r="L2203" s="1597"/>
      <c r="M2203" s="1597"/>
      <c r="N2203" s="1597"/>
      <c r="O2203" s="1597"/>
      <c r="P2203" s="1597"/>
      <c r="Q2203" s="1597"/>
      <c r="R2203" s="1597"/>
      <c r="S2203" s="1597"/>
      <c r="T2203" s="1597"/>
    </row>
    <row r="2204" spans="1:20">
      <c r="A2204" s="1597"/>
      <c r="B2204" s="1597"/>
      <c r="C2204" s="1597"/>
      <c r="D2204" s="1597"/>
      <c r="E2204" s="1597"/>
      <c r="F2204" s="1597"/>
      <c r="G2204" s="1597"/>
      <c r="H2204" s="1597"/>
      <c r="I2204" s="1597"/>
      <c r="J2204" s="1597"/>
      <c r="K2204" s="1597"/>
      <c r="L2204" s="1597"/>
      <c r="M2204" s="1597"/>
      <c r="N2204" s="1597"/>
      <c r="O2204" s="1597"/>
      <c r="P2204" s="1597"/>
      <c r="Q2204" s="1597"/>
      <c r="R2204" s="1597"/>
      <c r="S2204" s="1597"/>
      <c r="T2204" s="1597"/>
    </row>
    <row r="2205" spans="1:20">
      <c r="A2205" s="1597"/>
      <c r="B2205" s="1597"/>
      <c r="C2205" s="1597"/>
      <c r="D2205" s="1597"/>
      <c r="E2205" s="1597"/>
      <c r="F2205" s="1597"/>
      <c r="G2205" s="1597"/>
      <c r="H2205" s="1597"/>
      <c r="I2205" s="1597"/>
      <c r="J2205" s="1597"/>
      <c r="K2205" s="1597"/>
      <c r="L2205" s="1597"/>
      <c r="M2205" s="1597"/>
      <c r="N2205" s="1597"/>
      <c r="O2205" s="1597"/>
      <c r="P2205" s="1597"/>
      <c r="Q2205" s="1597"/>
      <c r="R2205" s="1597"/>
      <c r="S2205" s="1597"/>
      <c r="T2205" s="1597"/>
    </row>
    <row r="2206" spans="1:20">
      <c r="A2206" s="1597"/>
      <c r="B2206" s="1597"/>
      <c r="C2206" s="1597"/>
      <c r="D2206" s="1597"/>
      <c r="E2206" s="1597"/>
      <c r="F2206" s="1597"/>
      <c r="G2206" s="1597"/>
      <c r="H2206" s="1597"/>
      <c r="I2206" s="1597"/>
      <c r="J2206" s="1597"/>
      <c r="K2206" s="1597"/>
      <c r="L2206" s="1597"/>
      <c r="M2206" s="1597"/>
      <c r="N2206" s="1597"/>
      <c r="O2206" s="1597"/>
      <c r="P2206" s="1597"/>
      <c r="Q2206" s="1597"/>
      <c r="R2206" s="1597"/>
      <c r="S2206" s="1597"/>
      <c r="T2206" s="1597"/>
    </row>
    <row r="2207" spans="1:20">
      <c r="A2207" s="1597"/>
      <c r="B2207" s="1597"/>
      <c r="C2207" s="1597"/>
      <c r="D2207" s="1597"/>
      <c r="E2207" s="1597"/>
      <c r="F2207" s="1597"/>
      <c r="G2207" s="1597"/>
      <c r="H2207" s="1597"/>
      <c r="I2207" s="1597"/>
      <c r="J2207" s="1597"/>
      <c r="K2207" s="1597"/>
      <c r="L2207" s="1597"/>
      <c r="M2207" s="1597"/>
      <c r="N2207" s="1597"/>
      <c r="O2207" s="1597"/>
      <c r="P2207" s="1597"/>
      <c r="Q2207" s="1597"/>
      <c r="R2207" s="1597"/>
      <c r="S2207" s="1597"/>
      <c r="T2207" s="1597"/>
    </row>
    <row r="2208" spans="1:20">
      <c r="A2208" s="1597"/>
      <c r="B2208" s="1597"/>
      <c r="C2208" s="1597"/>
      <c r="D2208" s="1597"/>
      <c r="E2208" s="1597"/>
      <c r="F2208" s="1597"/>
      <c r="G2208" s="1597"/>
      <c r="H2208" s="1597"/>
      <c r="I2208" s="1597"/>
      <c r="J2208" s="1597"/>
      <c r="K2208" s="1597"/>
      <c r="L2208" s="1597"/>
      <c r="M2208" s="1597"/>
      <c r="N2208" s="1597"/>
      <c r="O2208" s="1597"/>
      <c r="P2208" s="1597"/>
      <c r="Q2208" s="1597"/>
      <c r="R2208" s="1597"/>
      <c r="S2208" s="1597"/>
      <c r="T2208" s="1597"/>
    </row>
    <row r="2209" spans="1:20">
      <c r="A2209" s="1597"/>
      <c r="B2209" s="1597"/>
      <c r="C2209" s="1597"/>
      <c r="D2209" s="1597"/>
      <c r="E2209" s="1597"/>
      <c r="F2209" s="1597"/>
      <c r="G2209" s="1597"/>
      <c r="H2209" s="1597"/>
      <c r="I2209" s="1597"/>
      <c r="J2209" s="1597"/>
      <c r="K2209" s="1597"/>
      <c r="L2209" s="1597"/>
      <c r="M2209" s="1597"/>
      <c r="N2209" s="1597"/>
      <c r="O2209" s="1597"/>
      <c r="P2209" s="1597"/>
      <c r="Q2209" s="1597"/>
      <c r="R2209" s="1597"/>
      <c r="S2209" s="1597"/>
      <c r="T2209" s="1597"/>
    </row>
    <row r="2210" spans="1:20">
      <c r="A2210" s="1597"/>
      <c r="B2210" s="1597"/>
      <c r="C2210" s="1597"/>
      <c r="D2210" s="1597"/>
      <c r="E2210" s="1597"/>
      <c r="F2210" s="1597"/>
      <c r="G2210" s="1597"/>
      <c r="H2210" s="1597"/>
      <c r="I2210" s="1597"/>
      <c r="J2210" s="1597"/>
      <c r="K2210" s="1597"/>
      <c r="L2210" s="1597"/>
      <c r="M2210" s="1597"/>
      <c r="N2210" s="1597"/>
      <c r="O2210" s="1597"/>
      <c r="P2210" s="1597"/>
      <c r="Q2210" s="1597"/>
      <c r="R2210" s="1597"/>
      <c r="S2210" s="1597"/>
      <c r="T2210" s="1597"/>
    </row>
    <row r="2211" spans="1:20">
      <c r="A2211" s="1597"/>
      <c r="B2211" s="1597"/>
      <c r="C2211" s="1597"/>
      <c r="D2211" s="1597"/>
      <c r="E2211" s="1597"/>
      <c r="F2211" s="1597"/>
      <c r="G2211" s="1597"/>
      <c r="H2211" s="1597"/>
      <c r="I2211" s="1597"/>
      <c r="J2211" s="1597"/>
      <c r="K2211" s="1597"/>
      <c r="L2211" s="1597"/>
      <c r="M2211" s="1597"/>
      <c r="N2211" s="1597"/>
      <c r="O2211" s="1597"/>
      <c r="P2211" s="1597"/>
      <c r="Q2211" s="1597"/>
      <c r="R2211" s="1597"/>
      <c r="S2211" s="1597"/>
      <c r="T2211" s="1597"/>
    </row>
    <row r="2212" spans="1:20">
      <c r="A2212" s="1597"/>
      <c r="B2212" s="1597"/>
      <c r="C2212" s="1597"/>
      <c r="D2212" s="1597"/>
      <c r="E2212" s="1597"/>
      <c r="F2212" s="1597"/>
      <c r="G2212" s="1597"/>
      <c r="H2212" s="1597"/>
      <c r="I2212" s="1597"/>
      <c r="J2212" s="1597"/>
      <c r="K2212" s="1597"/>
      <c r="L2212" s="1597"/>
      <c r="M2212" s="1597"/>
      <c r="N2212" s="1597"/>
      <c r="O2212" s="1597"/>
      <c r="P2212" s="1597"/>
      <c r="Q2212" s="1597"/>
      <c r="R2212" s="1597"/>
      <c r="S2212" s="1597"/>
      <c r="T2212" s="1597"/>
    </row>
    <row r="2213" spans="1:20">
      <c r="A2213" s="1597"/>
      <c r="B2213" s="1597"/>
      <c r="C2213" s="1597"/>
      <c r="D2213" s="1597"/>
      <c r="E2213" s="1597"/>
      <c r="F2213" s="1597"/>
      <c r="G2213" s="1597"/>
      <c r="H2213" s="1597"/>
      <c r="I2213" s="1597"/>
      <c r="J2213" s="1597"/>
      <c r="K2213" s="1597"/>
      <c r="L2213" s="1597"/>
      <c r="M2213" s="1597"/>
      <c r="N2213" s="1597"/>
      <c r="O2213" s="1597"/>
      <c r="P2213" s="1597"/>
      <c r="Q2213" s="1597"/>
      <c r="R2213" s="1597"/>
      <c r="S2213" s="1597"/>
      <c r="T2213" s="1597"/>
    </row>
    <row r="2214" spans="1:20">
      <c r="A2214" s="1597"/>
      <c r="B2214" s="1597"/>
      <c r="C2214" s="1597"/>
      <c r="D2214" s="1597"/>
      <c r="E2214" s="1597"/>
      <c r="F2214" s="1597"/>
      <c r="G2214" s="1597"/>
      <c r="H2214" s="1597"/>
      <c r="I2214" s="1597"/>
      <c r="J2214" s="1597"/>
      <c r="K2214" s="1597"/>
      <c r="L2214" s="1597"/>
      <c r="M2214" s="1597"/>
      <c r="N2214" s="1597"/>
      <c r="O2214" s="1597"/>
      <c r="P2214" s="1597"/>
      <c r="Q2214" s="1597"/>
      <c r="R2214" s="1597"/>
      <c r="S2214" s="1597"/>
      <c r="T2214" s="1597"/>
    </row>
    <row r="2215" spans="1:20">
      <c r="A2215" s="1597"/>
      <c r="B2215" s="1597"/>
      <c r="C2215" s="1597"/>
      <c r="D2215" s="1597"/>
      <c r="E2215" s="1597"/>
      <c r="F2215" s="1597"/>
      <c r="G2215" s="1597"/>
      <c r="H2215" s="1597"/>
      <c r="I2215" s="1597"/>
      <c r="J2215" s="1597"/>
      <c r="K2215" s="1597"/>
      <c r="L2215" s="1597"/>
      <c r="M2215" s="1597"/>
      <c r="N2215" s="1597"/>
      <c r="O2215" s="1597"/>
      <c r="P2215" s="1597"/>
      <c r="Q2215" s="1597"/>
      <c r="R2215" s="1597"/>
      <c r="S2215" s="1597"/>
      <c r="T2215" s="1597"/>
    </row>
    <row r="2216" spans="1:20">
      <c r="A2216" s="1597"/>
      <c r="B2216" s="1597"/>
      <c r="C2216" s="1597"/>
      <c r="D2216" s="1597"/>
      <c r="E2216" s="1597"/>
      <c r="F2216" s="1597"/>
      <c r="G2216" s="1597"/>
      <c r="H2216" s="1597"/>
      <c r="I2216" s="1597"/>
      <c r="J2216" s="1597"/>
      <c r="K2216" s="1597"/>
      <c r="L2216" s="1597"/>
      <c r="M2216" s="1597"/>
      <c r="N2216" s="1597"/>
      <c r="O2216" s="1597"/>
      <c r="P2216" s="1597"/>
      <c r="Q2216" s="1597"/>
      <c r="R2216" s="1597"/>
      <c r="S2216" s="1597"/>
      <c r="T2216" s="1597"/>
    </row>
    <row r="2217" spans="1:20">
      <c r="A2217" s="1597"/>
      <c r="B2217" s="1597"/>
      <c r="C2217" s="1597"/>
      <c r="D2217" s="1597"/>
      <c r="E2217" s="1597"/>
      <c r="F2217" s="1597"/>
      <c r="G2217" s="1597"/>
      <c r="H2217" s="1597"/>
      <c r="I2217" s="1597"/>
      <c r="J2217" s="1597"/>
      <c r="K2217" s="1597"/>
      <c r="L2217" s="1597"/>
      <c r="M2217" s="1597"/>
      <c r="N2217" s="1597"/>
      <c r="O2217" s="1597"/>
      <c r="P2217" s="1597"/>
      <c r="Q2217" s="1597"/>
      <c r="R2217" s="1597"/>
      <c r="S2217" s="1597"/>
      <c r="T2217" s="1597"/>
    </row>
    <row r="2218" spans="1:20">
      <c r="A2218" s="1597"/>
      <c r="B2218" s="1597"/>
      <c r="C2218" s="1597"/>
      <c r="D2218" s="1597"/>
      <c r="E2218" s="1597"/>
      <c r="F2218" s="1597"/>
      <c r="G2218" s="1597"/>
      <c r="H2218" s="1597"/>
      <c r="I2218" s="1597"/>
      <c r="J2218" s="1597"/>
      <c r="K2218" s="1597"/>
      <c r="L2218" s="1597"/>
      <c r="M2218" s="1597"/>
      <c r="N2218" s="1597"/>
      <c r="O2218" s="1597"/>
      <c r="P2218" s="1597"/>
      <c r="Q2218" s="1597"/>
      <c r="R2218" s="1597"/>
      <c r="S2218" s="1597"/>
      <c r="T2218" s="1597"/>
    </row>
    <row r="2219" spans="1:20">
      <c r="A2219" s="1597"/>
      <c r="B2219" s="1597"/>
      <c r="C2219" s="1597"/>
      <c r="D2219" s="1597"/>
      <c r="E2219" s="1597"/>
      <c r="F2219" s="1597"/>
      <c r="G2219" s="1597"/>
      <c r="H2219" s="1597"/>
      <c r="I2219" s="1597"/>
      <c r="J2219" s="1597"/>
      <c r="K2219" s="1597"/>
      <c r="L2219" s="1597"/>
      <c r="M2219" s="1597"/>
      <c r="N2219" s="1597"/>
      <c r="O2219" s="1597"/>
      <c r="P2219" s="1597"/>
      <c r="Q2219" s="1597"/>
      <c r="R2219" s="1597"/>
      <c r="S2219" s="1597"/>
      <c r="T2219" s="1597"/>
    </row>
    <row r="2220" spans="1:20">
      <c r="A2220" s="1597"/>
      <c r="B2220" s="1597"/>
      <c r="C2220" s="1597"/>
      <c r="D2220" s="1597"/>
      <c r="E2220" s="1597"/>
      <c r="F2220" s="1597"/>
      <c r="G2220" s="1597"/>
      <c r="H2220" s="1597"/>
      <c r="I2220" s="1597"/>
      <c r="J2220" s="1597"/>
      <c r="K2220" s="1597"/>
      <c r="L2220" s="1597"/>
      <c r="M2220" s="1597"/>
      <c r="N2220" s="1597"/>
      <c r="O2220" s="1597"/>
      <c r="P2220" s="1597"/>
      <c r="Q2220" s="1597"/>
      <c r="R2220" s="1597"/>
      <c r="S2220" s="1597"/>
      <c r="T2220" s="1597"/>
    </row>
    <row r="2221" spans="1:20">
      <c r="A2221" s="1597"/>
      <c r="B2221" s="1597"/>
      <c r="C2221" s="1597"/>
      <c r="D2221" s="1597"/>
      <c r="E2221" s="1597"/>
      <c r="F2221" s="1597"/>
      <c r="G2221" s="1597"/>
      <c r="H2221" s="1597"/>
      <c r="I2221" s="1597"/>
      <c r="J2221" s="1597"/>
      <c r="K2221" s="1597"/>
      <c r="L2221" s="1597"/>
      <c r="M2221" s="1597"/>
      <c r="N2221" s="1597"/>
      <c r="O2221" s="1597"/>
      <c r="P2221" s="1597"/>
      <c r="Q2221" s="1597"/>
      <c r="R2221" s="1597"/>
      <c r="S2221" s="1597"/>
      <c r="T2221" s="1597"/>
    </row>
    <row r="2222" spans="1:20">
      <c r="A2222" s="1597"/>
      <c r="B2222" s="1597"/>
      <c r="C2222" s="1597"/>
      <c r="D2222" s="1597"/>
      <c r="E2222" s="1597"/>
      <c r="F2222" s="1597"/>
      <c r="G2222" s="1597"/>
      <c r="H2222" s="1597"/>
      <c r="I2222" s="1597"/>
      <c r="J2222" s="1597"/>
      <c r="K2222" s="1597"/>
      <c r="L2222" s="1597"/>
      <c r="M2222" s="1597"/>
      <c r="N2222" s="1597"/>
      <c r="O2222" s="1597"/>
      <c r="P2222" s="1597"/>
      <c r="Q2222" s="1597"/>
      <c r="R2222" s="1597"/>
      <c r="S2222" s="1597"/>
      <c r="T2222" s="1597"/>
    </row>
    <row r="2223" spans="1:20">
      <c r="A2223" s="1597"/>
      <c r="B2223" s="1597"/>
      <c r="C2223" s="1597"/>
      <c r="D2223" s="1597"/>
      <c r="E2223" s="1597"/>
      <c r="F2223" s="1597"/>
      <c r="G2223" s="1597"/>
      <c r="H2223" s="1597"/>
      <c r="I2223" s="1597"/>
      <c r="J2223" s="1597"/>
      <c r="K2223" s="1597"/>
      <c r="L2223" s="1597"/>
      <c r="M2223" s="1597"/>
      <c r="N2223" s="1597"/>
      <c r="O2223" s="1597"/>
      <c r="P2223" s="1597"/>
      <c r="Q2223" s="1597"/>
      <c r="R2223" s="1597"/>
      <c r="S2223" s="1597"/>
      <c r="T2223" s="1597"/>
    </row>
    <row r="2224" spans="1:20">
      <c r="A2224" s="1597"/>
      <c r="B2224" s="1597"/>
      <c r="C2224" s="1597"/>
      <c r="D2224" s="1597"/>
      <c r="E2224" s="1597"/>
      <c r="F2224" s="1597"/>
      <c r="G2224" s="1597"/>
      <c r="H2224" s="1597"/>
      <c r="I2224" s="1597"/>
      <c r="J2224" s="1597"/>
      <c r="K2224" s="1597"/>
      <c r="L2224" s="1597"/>
      <c r="M2224" s="1597"/>
      <c r="N2224" s="1597"/>
      <c r="O2224" s="1597"/>
      <c r="P2224" s="1597"/>
      <c r="Q2224" s="1597"/>
      <c r="R2224" s="1597"/>
      <c r="S2224" s="1597"/>
      <c r="T2224" s="1597"/>
    </row>
    <row r="2225" spans="1:20">
      <c r="A2225" s="1597"/>
      <c r="B2225" s="1597"/>
      <c r="C2225" s="1597"/>
      <c r="D2225" s="1597"/>
      <c r="E2225" s="1597"/>
      <c r="F2225" s="1597"/>
      <c r="G2225" s="1597"/>
      <c r="H2225" s="1597"/>
      <c r="I2225" s="1597"/>
      <c r="J2225" s="1597"/>
      <c r="K2225" s="1597"/>
      <c r="L2225" s="1597"/>
      <c r="M2225" s="1597"/>
      <c r="N2225" s="1597"/>
      <c r="O2225" s="1597"/>
      <c r="P2225" s="1597"/>
      <c r="Q2225" s="1597"/>
      <c r="R2225" s="1597"/>
      <c r="S2225" s="1597"/>
      <c r="T2225" s="1597"/>
    </row>
    <row r="2226" spans="1:20">
      <c r="A2226" s="1597"/>
      <c r="B2226" s="1597"/>
      <c r="C2226" s="1597"/>
      <c r="D2226" s="1597"/>
      <c r="E2226" s="1597"/>
      <c r="F2226" s="1597"/>
      <c r="G2226" s="1597"/>
      <c r="H2226" s="1597"/>
      <c r="I2226" s="1597"/>
      <c r="J2226" s="1597"/>
      <c r="K2226" s="1597"/>
      <c r="L2226" s="1597"/>
      <c r="M2226" s="1597"/>
      <c r="N2226" s="1597"/>
      <c r="O2226" s="1597"/>
      <c r="P2226" s="1597"/>
      <c r="Q2226" s="1597"/>
      <c r="R2226" s="1597"/>
      <c r="S2226" s="1597"/>
      <c r="T2226" s="1597"/>
    </row>
    <row r="2227" spans="1:20">
      <c r="A2227" s="1597"/>
      <c r="B2227" s="1597"/>
      <c r="C2227" s="1597"/>
      <c r="D2227" s="1597"/>
      <c r="E2227" s="1597"/>
      <c r="F2227" s="1597"/>
      <c r="G2227" s="1597"/>
      <c r="H2227" s="1597"/>
      <c r="I2227" s="1597"/>
      <c r="J2227" s="1597"/>
      <c r="K2227" s="1597"/>
      <c r="L2227" s="1597"/>
      <c r="M2227" s="1597"/>
      <c r="N2227" s="1597"/>
      <c r="O2227" s="1597"/>
      <c r="P2227" s="1597"/>
      <c r="Q2227" s="1597"/>
      <c r="R2227" s="1597"/>
      <c r="S2227" s="1597"/>
      <c r="T2227" s="1597"/>
    </row>
    <row r="2228" spans="1:20">
      <c r="A2228" s="1597"/>
      <c r="B2228" s="1597"/>
      <c r="C2228" s="1597"/>
      <c r="D2228" s="1597"/>
      <c r="E2228" s="1597"/>
      <c r="F2228" s="1597"/>
      <c r="G2228" s="1597"/>
      <c r="H2228" s="1597"/>
      <c r="I2228" s="1597"/>
      <c r="J2228" s="1597"/>
      <c r="K2228" s="1597"/>
      <c r="L2228" s="1597"/>
      <c r="M2228" s="1597"/>
      <c r="N2228" s="1597"/>
      <c r="O2228" s="1597"/>
      <c r="P2228" s="1597"/>
      <c r="Q2228" s="1597"/>
      <c r="R2228" s="1597"/>
      <c r="S2228" s="1597"/>
      <c r="T2228" s="1597"/>
    </row>
    <row r="2229" spans="1:20">
      <c r="A2229" s="1597"/>
      <c r="B2229" s="1597"/>
      <c r="C2229" s="1597"/>
      <c r="D2229" s="1597"/>
      <c r="E2229" s="1597"/>
      <c r="F2229" s="1597"/>
      <c r="G2229" s="1597"/>
      <c r="H2229" s="1597"/>
      <c r="I2229" s="1597"/>
      <c r="J2229" s="1597"/>
      <c r="K2229" s="1597"/>
      <c r="L2229" s="1597"/>
      <c r="M2229" s="1597"/>
      <c r="N2229" s="1597"/>
      <c r="O2229" s="1597"/>
      <c r="P2229" s="1597"/>
      <c r="Q2229" s="1597"/>
      <c r="R2229" s="1597"/>
      <c r="S2229" s="1597"/>
      <c r="T2229" s="1597"/>
    </row>
    <row r="2230" spans="1:20">
      <c r="A2230" s="1597"/>
      <c r="B2230" s="1597"/>
      <c r="C2230" s="1597"/>
      <c r="D2230" s="1597"/>
      <c r="E2230" s="1597"/>
      <c r="F2230" s="1597"/>
      <c r="G2230" s="1597"/>
      <c r="H2230" s="1597"/>
      <c r="I2230" s="1597"/>
      <c r="J2230" s="1597"/>
      <c r="K2230" s="1597"/>
      <c r="L2230" s="1597"/>
      <c r="M2230" s="1597"/>
      <c r="N2230" s="1597"/>
      <c r="O2230" s="1597"/>
      <c r="P2230" s="1597"/>
      <c r="Q2230" s="1597"/>
      <c r="R2230" s="1597"/>
      <c r="S2230" s="1597"/>
      <c r="T2230" s="1597"/>
    </row>
    <row r="2231" spans="1:20">
      <c r="A2231" s="1597"/>
      <c r="B2231" s="1597"/>
      <c r="C2231" s="1597"/>
      <c r="D2231" s="1597"/>
      <c r="E2231" s="1597"/>
      <c r="F2231" s="1597"/>
      <c r="G2231" s="1597"/>
      <c r="H2231" s="1597"/>
      <c r="I2231" s="1597"/>
      <c r="J2231" s="1597"/>
      <c r="K2231" s="1597"/>
      <c r="L2231" s="1597"/>
      <c r="M2231" s="1597"/>
      <c r="N2231" s="1597"/>
      <c r="O2231" s="1597"/>
      <c r="P2231" s="1597"/>
      <c r="Q2231" s="1597"/>
      <c r="R2231" s="1597"/>
      <c r="S2231" s="1597"/>
      <c r="T2231" s="1597"/>
    </row>
    <row r="2232" spans="1:20">
      <c r="A2232" s="1597"/>
      <c r="B2232" s="1597"/>
      <c r="C2232" s="1597"/>
      <c r="D2232" s="1597"/>
      <c r="E2232" s="1597"/>
      <c r="F2232" s="1597"/>
      <c r="G2232" s="1597"/>
      <c r="H2232" s="1597"/>
      <c r="I2232" s="1597"/>
      <c r="J2232" s="1597"/>
      <c r="K2232" s="1597"/>
      <c r="L2232" s="1597"/>
      <c r="M2232" s="1597"/>
      <c r="N2232" s="1597"/>
      <c r="O2232" s="1597"/>
      <c r="P2232" s="1597"/>
      <c r="Q2232" s="1597"/>
      <c r="R2232" s="1597"/>
      <c r="S2232" s="1597"/>
      <c r="T2232" s="1597"/>
    </row>
    <row r="2233" spans="1:20">
      <c r="A2233" s="1597"/>
      <c r="B2233" s="1597"/>
      <c r="C2233" s="1597"/>
      <c r="D2233" s="1597"/>
      <c r="E2233" s="1597"/>
      <c r="F2233" s="1597"/>
      <c r="G2233" s="1597"/>
      <c r="H2233" s="1597"/>
      <c r="I2233" s="1597"/>
      <c r="J2233" s="1597"/>
      <c r="K2233" s="1597"/>
      <c r="L2233" s="1597"/>
      <c r="M2233" s="1597"/>
      <c r="N2233" s="1597"/>
      <c r="O2233" s="1597"/>
      <c r="P2233" s="1597"/>
      <c r="Q2233" s="1597"/>
      <c r="R2233" s="1597"/>
      <c r="S2233" s="1597"/>
      <c r="T2233" s="1597"/>
    </row>
    <row r="2234" spans="1:20">
      <c r="A2234" s="1597"/>
      <c r="B2234" s="1597"/>
      <c r="C2234" s="1597"/>
      <c r="D2234" s="1597"/>
      <c r="E2234" s="1597"/>
      <c r="F2234" s="1597"/>
      <c r="G2234" s="1597"/>
      <c r="H2234" s="1597"/>
      <c r="I2234" s="1597"/>
      <c r="J2234" s="1597"/>
      <c r="K2234" s="1597"/>
      <c r="L2234" s="1597"/>
      <c r="M2234" s="1597"/>
      <c r="N2234" s="1597"/>
      <c r="O2234" s="1597"/>
      <c r="P2234" s="1597"/>
      <c r="Q2234" s="1597"/>
      <c r="R2234" s="1597"/>
      <c r="S2234" s="1597"/>
      <c r="T2234" s="1597"/>
    </row>
    <row r="2235" spans="1:20">
      <c r="A2235" s="1597"/>
      <c r="B2235" s="1597"/>
      <c r="C2235" s="1597"/>
      <c r="D2235" s="1597"/>
      <c r="E2235" s="1597"/>
      <c r="F2235" s="1597"/>
      <c r="G2235" s="1597"/>
      <c r="H2235" s="1597"/>
      <c r="I2235" s="1597"/>
      <c r="J2235" s="1597"/>
      <c r="K2235" s="1597"/>
      <c r="L2235" s="1597"/>
      <c r="M2235" s="1597"/>
      <c r="N2235" s="1597"/>
      <c r="O2235" s="1597"/>
      <c r="P2235" s="1597"/>
      <c r="Q2235" s="1597"/>
      <c r="R2235" s="1597"/>
      <c r="S2235" s="1597"/>
      <c r="T2235" s="1597"/>
    </row>
  </sheetData>
  <mergeCells count="6">
    <mergeCell ref="B7:J7"/>
    <mergeCell ref="B2:J2"/>
    <mergeCell ref="B3:J3"/>
    <mergeCell ref="B4:J4"/>
    <mergeCell ref="B5:J5"/>
    <mergeCell ref="B6:J6"/>
  </mergeCells>
  <printOptions horizontalCentered="1" verticalCentered="1"/>
  <pageMargins left="0.25" right="0.25" top="0.25" bottom="0.35" header="0.5" footer="0.25"/>
  <pageSetup scale="50" orientation="landscape" r:id="rId1"/>
  <headerFooter alignWithMargins="0">
    <oddFooter>&amp;LExhibit No.____(RMM-4)&amp;CTAB  4 - Page  5&amp;R&amp;F.xls</oddFooter>
  </headerFooter>
  <rowBreaks count="2" manualBreakCount="2">
    <brk id="61" max="9" man="1"/>
    <brk id="109" max="9" man="1"/>
  </rowBreak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25"/>
  <dimension ref="A1:AU128"/>
  <sheetViews>
    <sheetView view="pageBreakPreview" zoomScale="70" zoomScaleNormal="75" zoomScaleSheetLayoutView="70" workbookViewId="0">
      <pane ySplit="10" topLeftCell="A11" activePane="bottomLeft" state="frozen"/>
      <selection activeCell="J89" sqref="J89"/>
      <selection pane="bottomLeft" sqref="A1:X1"/>
    </sheetView>
  </sheetViews>
  <sheetFormatPr defaultColWidth="10.25" defaultRowHeight="15.75"/>
  <cols>
    <col min="1" max="1" width="21.625" style="3" customWidth="1"/>
    <col min="2" max="2" width="5.875" style="3" customWidth="1"/>
    <col min="3" max="3" width="14.875" style="3" customWidth="1"/>
    <col min="4" max="4" width="14.875" style="3" hidden="1" customWidth="1"/>
    <col min="5" max="5" width="2.125" style="3" hidden="1" customWidth="1"/>
    <col min="6" max="6" width="16.875" style="3" hidden="1" customWidth="1"/>
    <col min="7" max="7" width="10.5" style="3" bestFit="1" customWidth="1"/>
    <col min="8" max="8" width="2.625" style="3" customWidth="1"/>
    <col min="9" max="9" width="15" style="3" customWidth="1"/>
    <col min="10" max="10" width="11" style="3" bestFit="1" customWidth="1"/>
    <col min="11" max="11" width="2.125" style="3" bestFit="1" customWidth="1"/>
    <col min="12" max="12" width="14.5" style="3" customWidth="1"/>
    <col min="13" max="13" width="1.625" style="3" customWidth="1"/>
    <col min="14" max="14" width="12" style="3" bestFit="1" customWidth="1"/>
    <col min="15" max="15" width="2.125" style="3" bestFit="1" customWidth="1"/>
    <col min="16" max="16" width="15.125" style="3" bestFit="1" customWidth="1"/>
    <col min="17" max="17" width="2.875" style="3" customWidth="1"/>
    <col min="18" max="18" width="12" style="3" customWidth="1"/>
    <col min="19" max="19" width="2.125" style="3" bestFit="1" customWidth="1"/>
    <col min="20" max="20" width="14.625" style="3" bestFit="1" customWidth="1"/>
    <col min="21" max="21" width="2.875" style="3" customWidth="1"/>
    <col min="22" max="22" width="9.625" style="3" customWidth="1"/>
    <col min="23" max="23" width="2.125" style="3" bestFit="1" customWidth="1"/>
    <col min="24" max="24" width="18.5" style="3" customWidth="1"/>
    <col min="25" max="25" width="13.625" style="3" customWidth="1"/>
    <col min="26" max="26" width="15.125" style="69" bestFit="1" customWidth="1"/>
    <col min="27" max="27" width="17" style="69" bestFit="1" customWidth="1"/>
    <col min="28" max="28" width="8.125" style="69" bestFit="1" customWidth="1"/>
    <col min="29" max="29" width="13" style="3" customWidth="1"/>
    <col min="30" max="30" width="17" style="3" customWidth="1"/>
    <col min="31" max="31" width="13" style="3" customWidth="1"/>
    <col min="32" max="32" width="14.125" style="3" bestFit="1" customWidth="1"/>
    <col min="33" max="33" width="14.75" style="3" customWidth="1"/>
    <col min="34" max="34" width="13.25" style="3" bestFit="1" customWidth="1"/>
    <col min="35" max="35" width="13" style="3" bestFit="1" customWidth="1"/>
    <col min="36" max="36" width="12.25" style="3" bestFit="1" customWidth="1"/>
    <col min="37" max="37" width="5.5" style="3" bestFit="1" customWidth="1"/>
    <col min="38" max="38" width="18" style="3" customWidth="1"/>
    <col min="39" max="39" width="10.25" style="3" customWidth="1"/>
    <col min="40" max="40" width="12.125" style="3" customWidth="1"/>
    <col min="41" max="16384" width="10.25" style="3"/>
  </cols>
  <sheetData>
    <row r="1" spans="1:45" ht="18">
      <c r="A1" s="1719" t="s">
        <v>185</v>
      </c>
      <c r="B1" s="1719"/>
      <c r="C1" s="1719"/>
      <c r="D1" s="1719"/>
      <c r="E1" s="1719"/>
      <c r="F1" s="1719"/>
      <c r="G1" s="1719"/>
      <c r="H1" s="1719"/>
      <c r="I1" s="1719"/>
      <c r="J1" s="1719"/>
      <c r="K1" s="1719"/>
      <c r="L1" s="1719"/>
      <c r="M1" s="1719"/>
      <c r="N1" s="1719"/>
      <c r="O1" s="1719"/>
      <c r="P1" s="1719"/>
      <c r="Q1" s="1719"/>
      <c r="R1" s="1719"/>
      <c r="S1" s="1719"/>
      <c r="T1" s="1719"/>
      <c r="U1" s="1719"/>
      <c r="V1" s="1719"/>
      <c r="W1" s="1719"/>
      <c r="X1" s="1719"/>
      <c r="Y1" s="20"/>
      <c r="Z1" s="74"/>
      <c r="AA1" s="74"/>
      <c r="AB1" s="74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</row>
    <row r="2" spans="1:45" ht="18">
      <c r="A2" s="1719" t="s">
        <v>346</v>
      </c>
      <c r="B2" s="1719"/>
      <c r="C2" s="1719"/>
      <c r="D2" s="1719"/>
      <c r="E2" s="1719"/>
      <c r="F2" s="1719"/>
      <c r="G2" s="1719"/>
      <c r="H2" s="1719"/>
      <c r="I2" s="1719"/>
      <c r="J2" s="1719"/>
      <c r="K2" s="1719"/>
      <c r="L2" s="1719"/>
      <c r="M2" s="1719"/>
      <c r="N2" s="1719"/>
      <c r="O2" s="1719"/>
      <c r="P2" s="1719"/>
      <c r="Q2" s="1719"/>
      <c r="R2" s="1719"/>
      <c r="S2" s="1719"/>
      <c r="T2" s="1719"/>
      <c r="U2" s="1719"/>
      <c r="V2" s="1719"/>
      <c r="W2" s="1719"/>
      <c r="X2" s="1719"/>
      <c r="Y2" s="20"/>
      <c r="Z2" s="74"/>
      <c r="AA2" s="74"/>
      <c r="AB2" s="74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</row>
    <row r="3" spans="1:45" ht="18">
      <c r="A3" s="1719" t="s">
        <v>840</v>
      </c>
      <c r="B3" s="1719"/>
      <c r="C3" s="1719"/>
      <c r="D3" s="1719"/>
      <c r="E3" s="1719"/>
      <c r="F3" s="1719"/>
      <c r="G3" s="1719"/>
      <c r="H3" s="1719"/>
      <c r="I3" s="1719"/>
      <c r="J3" s="1719"/>
      <c r="K3" s="1719"/>
      <c r="L3" s="1719"/>
      <c r="M3" s="1719"/>
      <c r="N3" s="1719"/>
      <c r="O3" s="1719"/>
      <c r="P3" s="1719"/>
      <c r="Q3" s="1719"/>
      <c r="R3" s="1719"/>
      <c r="S3" s="1719"/>
      <c r="T3" s="1719"/>
      <c r="U3" s="1719"/>
      <c r="V3" s="1719"/>
      <c r="W3" s="1719"/>
      <c r="X3" s="1719"/>
      <c r="Y3" s="20"/>
      <c r="Z3" s="74"/>
      <c r="AA3" s="74"/>
      <c r="AB3" s="74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</row>
    <row r="4" spans="1:45" ht="18">
      <c r="A4" s="1719"/>
      <c r="B4" s="1719"/>
      <c r="C4" s="1719"/>
      <c r="D4" s="1719"/>
      <c r="E4" s="1719"/>
      <c r="F4" s="1719"/>
      <c r="G4" s="1719"/>
      <c r="H4" s="1719"/>
      <c r="I4" s="1719"/>
      <c r="J4" s="1719"/>
      <c r="K4" s="1719"/>
      <c r="L4" s="1719"/>
      <c r="M4" s="1719"/>
      <c r="N4" s="1719"/>
      <c r="O4" s="1719"/>
      <c r="P4" s="1719"/>
      <c r="Q4" s="1719"/>
      <c r="R4" s="1719"/>
      <c r="S4" s="1719"/>
      <c r="T4" s="1719"/>
      <c r="U4" s="1719"/>
      <c r="V4" s="1719"/>
      <c r="W4" s="1719"/>
      <c r="X4" s="1719"/>
      <c r="Y4" s="20"/>
      <c r="Z4" s="74"/>
      <c r="AA4" s="74"/>
      <c r="AB4" s="74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</row>
    <row r="5" spans="1:45">
      <c r="A5" s="252"/>
      <c r="B5" s="250"/>
      <c r="C5" s="250"/>
      <c r="D5" s="251"/>
      <c r="E5" s="251"/>
      <c r="F5" s="250"/>
      <c r="G5" s="251"/>
      <c r="H5" s="251"/>
      <c r="I5" s="250"/>
      <c r="J5" s="251"/>
      <c r="K5" s="250"/>
      <c r="L5" s="250"/>
      <c r="M5" s="250"/>
      <c r="N5" s="251"/>
      <c r="O5" s="250"/>
      <c r="P5" s="250"/>
      <c r="Q5" s="250"/>
      <c r="R5" s="251"/>
      <c r="S5" s="250"/>
      <c r="T5" s="250"/>
      <c r="U5" s="250"/>
      <c r="V5" s="251"/>
      <c r="W5" s="250"/>
      <c r="X5" s="250"/>
      <c r="Y5" s="20"/>
      <c r="Z5" s="74"/>
      <c r="AA5" s="74"/>
      <c r="AB5" s="74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</row>
    <row r="6" spans="1:45" hidden="1">
      <c r="A6" s="252"/>
      <c r="B6" s="250"/>
      <c r="C6" s="250"/>
      <c r="D6" s="251"/>
      <c r="E6" s="251"/>
      <c r="F6" s="250"/>
      <c r="G6" s="251"/>
      <c r="H6" s="251"/>
      <c r="I6" s="250"/>
      <c r="J6" s="251"/>
      <c r="K6" s="250"/>
      <c r="L6" s="250"/>
      <c r="M6" s="250"/>
      <c r="N6" s="251"/>
      <c r="O6" s="250"/>
      <c r="P6" s="250"/>
      <c r="Q6" s="250"/>
      <c r="R6" s="251"/>
      <c r="S6" s="250"/>
      <c r="T6" s="250"/>
      <c r="U6" s="250"/>
      <c r="V6" s="251"/>
      <c r="W6" s="250"/>
      <c r="X6" s="250"/>
      <c r="Y6" s="20"/>
      <c r="Z6" s="74"/>
      <c r="AA6" s="74"/>
      <c r="AB6" s="74"/>
      <c r="AC6" s="74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</row>
    <row r="7" spans="1:45" hidden="1">
      <c r="A7" s="250"/>
      <c r="B7" s="250"/>
      <c r="C7" s="250"/>
      <c r="D7" s="251"/>
      <c r="E7" s="251"/>
      <c r="F7" s="250"/>
      <c r="G7" s="251"/>
      <c r="H7" s="251"/>
      <c r="I7" s="250"/>
      <c r="J7" s="251"/>
      <c r="K7" s="250"/>
      <c r="L7" s="250"/>
      <c r="M7" s="250"/>
      <c r="N7" s="251"/>
      <c r="O7" s="250"/>
      <c r="P7" s="250"/>
      <c r="Q7" s="250"/>
      <c r="R7" s="251"/>
      <c r="S7" s="250"/>
      <c r="T7" s="250"/>
      <c r="U7" s="250"/>
      <c r="V7" s="251"/>
      <c r="W7" s="250"/>
      <c r="X7" s="250"/>
      <c r="Y7" s="20"/>
      <c r="Z7" s="74"/>
      <c r="AA7" s="74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</row>
    <row r="8" spans="1:45">
      <c r="A8" s="253"/>
      <c r="B8" s="253"/>
      <c r="C8" s="254"/>
      <c r="D8" s="255"/>
      <c r="E8" s="255"/>
      <c r="F8" s="256" t="s">
        <v>588</v>
      </c>
      <c r="G8" s="255"/>
      <c r="H8" s="255"/>
      <c r="I8" s="762" t="s">
        <v>197</v>
      </c>
      <c r="J8" s="255"/>
      <c r="K8" s="256"/>
      <c r="L8" s="256"/>
      <c r="M8" s="256"/>
      <c r="N8" s="255"/>
      <c r="O8" s="256"/>
      <c r="P8" s="256"/>
      <c r="Q8" s="256"/>
      <c r="R8" s="255"/>
      <c r="S8" s="256"/>
      <c r="T8" s="256"/>
      <c r="U8" s="256"/>
      <c r="V8" s="255"/>
      <c r="W8" s="256"/>
      <c r="X8" s="256"/>
      <c r="Y8" s="20"/>
      <c r="Z8" s="74"/>
      <c r="AA8" s="74"/>
      <c r="AB8" s="74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</row>
    <row r="9" spans="1:45">
      <c r="A9" s="253"/>
      <c r="B9" s="253"/>
      <c r="C9" s="254" t="s">
        <v>348</v>
      </c>
      <c r="D9" s="256" t="s">
        <v>637</v>
      </c>
      <c r="E9" s="255"/>
      <c r="F9" s="258" t="s">
        <v>349</v>
      </c>
      <c r="G9" s="256" t="s">
        <v>197</v>
      </c>
      <c r="H9" s="256"/>
      <c r="I9" s="762" t="s">
        <v>349</v>
      </c>
      <c r="J9" s="256" t="s">
        <v>305</v>
      </c>
      <c r="K9" s="254"/>
      <c r="L9" s="256" t="s">
        <v>305</v>
      </c>
      <c r="M9" s="256"/>
      <c r="N9" s="256" t="s">
        <v>933</v>
      </c>
      <c r="O9" s="254"/>
      <c r="P9" s="256" t="s">
        <v>934</v>
      </c>
      <c r="Q9" s="256"/>
      <c r="R9" s="256" t="s">
        <v>818</v>
      </c>
      <c r="S9" s="254"/>
      <c r="T9" s="256" t="s">
        <v>818</v>
      </c>
      <c r="U9" s="256"/>
      <c r="V9" s="256" t="s">
        <v>935</v>
      </c>
      <c r="W9" s="254"/>
      <c r="X9" s="256" t="s">
        <v>935</v>
      </c>
      <c r="Y9" s="20"/>
      <c r="Z9" s="74"/>
      <c r="AA9" s="74"/>
      <c r="AB9" s="74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</row>
    <row r="10" spans="1:45">
      <c r="A10" s="253"/>
      <c r="B10" s="253"/>
      <c r="C10" s="259" t="s">
        <v>304</v>
      </c>
      <c r="D10" s="260" t="s">
        <v>13</v>
      </c>
      <c r="E10" s="261"/>
      <c r="F10" s="260" t="s">
        <v>304</v>
      </c>
      <c r="G10" s="260" t="s">
        <v>13</v>
      </c>
      <c r="H10" s="258"/>
      <c r="I10" s="256" t="s">
        <v>304</v>
      </c>
      <c r="J10" s="260" t="s">
        <v>13</v>
      </c>
      <c r="K10" s="260"/>
      <c r="L10" s="260" t="s">
        <v>349</v>
      </c>
      <c r="M10" s="260"/>
      <c r="N10" s="260" t="s">
        <v>13</v>
      </c>
      <c r="O10" s="260"/>
      <c r="P10" s="260" t="s">
        <v>349</v>
      </c>
      <c r="Q10" s="260"/>
      <c r="R10" s="260" t="s">
        <v>13</v>
      </c>
      <c r="S10" s="260"/>
      <c r="T10" s="260" t="s">
        <v>349</v>
      </c>
      <c r="U10" s="260"/>
      <c r="V10" s="260" t="s">
        <v>13</v>
      </c>
      <c r="W10" s="260"/>
      <c r="X10" s="260" t="s">
        <v>349</v>
      </c>
      <c r="Y10" s="20"/>
      <c r="Z10" s="74"/>
      <c r="AA10" s="74"/>
      <c r="AB10" s="74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</row>
    <row r="11" spans="1:45">
      <c r="A11" s="293" t="s">
        <v>436</v>
      </c>
      <c r="B11" s="1"/>
      <c r="C11" s="1"/>
      <c r="D11" s="2"/>
      <c r="E11" s="2"/>
      <c r="F11" s="1" t="s">
        <v>31</v>
      </c>
      <c r="G11" s="2"/>
      <c r="H11" s="1"/>
      <c r="I11" s="1"/>
      <c r="J11" s="2"/>
      <c r="K11" s="1"/>
      <c r="L11" s="1"/>
      <c r="M11" s="1"/>
      <c r="N11" s="2"/>
      <c r="O11" s="1"/>
      <c r="P11" s="1"/>
      <c r="Q11" s="1"/>
      <c r="R11" s="2"/>
      <c r="S11" s="1"/>
      <c r="T11" s="1"/>
      <c r="U11" s="1"/>
      <c r="V11" s="2"/>
      <c r="W11" s="1"/>
      <c r="X11" s="1"/>
      <c r="Y11" s="20"/>
      <c r="Z11" s="74"/>
      <c r="AA11" s="74"/>
      <c r="AB11" s="74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</row>
    <row r="12" spans="1:45">
      <c r="A12" s="309" t="s">
        <v>437</v>
      </c>
      <c r="B12" s="1"/>
      <c r="C12" s="1"/>
      <c r="D12" s="2"/>
      <c r="E12" s="2"/>
      <c r="F12" s="1"/>
      <c r="G12" s="2"/>
      <c r="H12" s="1"/>
      <c r="I12" s="1"/>
      <c r="J12" s="2"/>
      <c r="K12" s="1"/>
      <c r="L12" s="1"/>
      <c r="M12" s="1"/>
      <c r="N12" s="2"/>
      <c r="O12" s="1"/>
      <c r="P12" s="1"/>
      <c r="Q12" s="1"/>
      <c r="R12" s="2"/>
      <c r="S12" s="1"/>
      <c r="T12" s="1"/>
      <c r="U12" s="1"/>
      <c r="V12" s="2"/>
      <c r="W12" s="1"/>
      <c r="X12" s="1"/>
      <c r="Y12" s="20"/>
      <c r="Z12" s="74"/>
      <c r="AA12" s="74"/>
      <c r="AB12" s="74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</row>
    <row r="13" spans="1:45">
      <c r="A13" s="323"/>
      <c r="B13" s="1"/>
      <c r="C13" s="1"/>
      <c r="D13" s="2"/>
      <c r="E13" s="2"/>
      <c r="F13" s="1"/>
      <c r="G13" s="2"/>
      <c r="H13" s="1"/>
      <c r="I13" s="1"/>
      <c r="J13" s="2"/>
      <c r="K13" s="1"/>
      <c r="L13" s="1"/>
      <c r="M13" s="1"/>
      <c r="N13" s="2"/>
      <c r="O13" s="1"/>
      <c r="P13" s="1"/>
      <c r="Q13" s="1"/>
      <c r="R13" s="2"/>
      <c r="S13" s="1"/>
      <c r="T13" s="1"/>
      <c r="U13" s="1"/>
      <c r="V13" s="2"/>
      <c r="W13" s="1"/>
      <c r="X13" s="1"/>
      <c r="Y13" s="20"/>
      <c r="AA13" s="74"/>
      <c r="AB13" s="74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</row>
    <row r="14" spans="1:45">
      <c r="A14" s="323" t="s">
        <v>393</v>
      </c>
      <c r="B14" s="1"/>
      <c r="C14" s="319"/>
      <c r="D14" s="2"/>
      <c r="E14" s="2"/>
      <c r="F14" s="1"/>
      <c r="G14" s="2"/>
      <c r="H14" s="1"/>
      <c r="I14" s="1"/>
      <c r="J14" s="2"/>
      <c r="K14" s="1"/>
      <c r="L14" s="1"/>
      <c r="M14" s="1"/>
      <c r="N14" s="2"/>
      <c r="O14" s="1"/>
      <c r="P14" s="1"/>
      <c r="Q14" s="1"/>
      <c r="R14" s="2"/>
      <c r="S14" s="1"/>
      <c r="T14" s="1"/>
      <c r="U14" s="1"/>
      <c r="V14" s="2"/>
      <c r="W14" s="1"/>
      <c r="X14" s="1"/>
      <c r="Y14" s="20"/>
      <c r="Z14" s="74"/>
      <c r="AA14" s="40" t="s">
        <v>252</v>
      </c>
      <c r="AB14" s="40"/>
      <c r="AC14" s="20"/>
      <c r="AD14" s="20"/>
      <c r="AE14" s="20"/>
      <c r="AF14" s="20"/>
      <c r="AG14" s="20"/>
      <c r="AH14" s="20"/>
      <c r="AI14" s="20"/>
      <c r="AK14" s="20"/>
      <c r="AL14" s="20"/>
      <c r="AM14" s="20"/>
      <c r="AN14" s="20"/>
      <c r="AO14" s="20"/>
      <c r="AP14" s="20"/>
      <c r="AQ14" s="20"/>
      <c r="AR14" s="20"/>
      <c r="AS14" s="20"/>
    </row>
    <row r="15" spans="1:45">
      <c r="A15" s="323" t="s">
        <v>421</v>
      </c>
      <c r="B15" s="1"/>
      <c r="C15" s="319">
        <f>C57+C95</f>
        <v>316.43333333333368</v>
      </c>
      <c r="D15" s="298">
        <v>259</v>
      </c>
      <c r="E15" s="323"/>
      <c r="F15" s="321">
        <f>F57+F95</f>
        <v>81956</v>
      </c>
      <c r="G15" s="298">
        <v>259</v>
      </c>
      <c r="H15" s="323"/>
      <c r="I15" s="321">
        <f>I57+I95</f>
        <v>81956</v>
      </c>
      <c r="J15" s="301">
        <f>G15</f>
        <v>259</v>
      </c>
      <c r="K15" s="323"/>
      <c r="L15" s="321">
        <f>L57+L95</f>
        <v>81956</v>
      </c>
      <c r="M15" s="321"/>
      <c r="N15" s="301">
        <f>J15</f>
        <v>259</v>
      </c>
      <c r="O15" s="323"/>
      <c r="P15" s="321">
        <f>L15</f>
        <v>81956</v>
      </c>
      <c r="Q15" s="321"/>
      <c r="R15" s="301" t="s">
        <v>31</v>
      </c>
      <c r="S15" s="323"/>
      <c r="T15" s="2">
        <f t="shared" ref="T15:T17" si="0">R15*C15</f>
        <v>0</v>
      </c>
      <c r="U15" s="2"/>
      <c r="V15" s="301" t="s">
        <v>31</v>
      </c>
      <c r="W15" s="1"/>
      <c r="X15" s="2">
        <f t="shared" ref="X15:X17" si="1">V15*C15</f>
        <v>0</v>
      </c>
      <c r="AA15" s="55">
        <f>(J15-G15)/G15</f>
        <v>0</v>
      </c>
      <c r="AB15" s="55"/>
      <c r="AJ15" s="53"/>
      <c r="AK15" s="53"/>
      <c r="AN15" s="20"/>
      <c r="AO15" s="20"/>
      <c r="AP15" s="20"/>
      <c r="AQ15" s="20"/>
      <c r="AR15" s="20"/>
      <c r="AS15" s="20"/>
    </row>
    <row r="16" spans="1:45">
      <c r="A16" s="323" t="s">
        <v>422</v>
      </c>
      <c r="B16" s="1"/>
      <c r="C16" s="319">
        <f>C58+C96</f>
        <v>8726.8666666666722</v>
      </c>
      <c r="D16" s="298">
        <v>96</v>
      </c>
      <c r="E16" s="323"/>
      <c r="F16" s="321">
        <f>F58+F96</f>
        <v>837779</v>
      </c>
      <c r="G16" s="298">
        <v>96</v>
      </c>
      <c r="H16" s="323"/>
      <c r="I16" s="321">
        <f>I58+I96</f>
        <v>837779</v>
      </c>
      <c r="J16" s="301">
        <f>G16</f>
        <v>96</v>
      </c>
      <c r="K16" s="323"/>
      <c r="L16" s="321">
        <f>L58+L96</f>
        <v>837779</v>
      </c>
      <c r="M16" s="321"/>
      <c r="N16" s="301">
        <f>J16</f>
        <v>96</v>
      </c>
      <c r="O16" s="323"/>
      <c r="P16" s="321">
        <f t="shared" ref="P16:P17" si="2">L16</f>
        <v>837779</v>
      </c>
      <c r="Q16" s="321"/>
      <c r="R16" s="301" t="s">
        <v>31</v>
      </c>
      <c r="S16" s="323"/>
      <c r="T16" s="2">
        <f t="shared" si="0"/>
        <v>0</v>
      </c>
      <c r="U16" s="2"/>
      <c r="V16" s="301" t="s">
        <v>31</v>
      </c>
      <c r="W16" s="1"/>
      <c r="X16" s="2">
        <f t="shared" si="1"/>
        <v>0</v>
      </c>
      <c r="AA16" s="55">
        <f>(J16-G16)/G16</f>
        <v>0</v>
      </c>
      <c r="AB16" s="55"/>
      <c r="AD16" s="84"/>
      <c r="AE16" s="736"/>
      <c r="AF16" s="84"/>
      <c r="AG16" s="736"/>
      <c r="AH16" s="84"/>
      <c r="AI16" s="84"/>
      <c r="AJ16" s="736"/>
      <c r="AK16" s="736"/>
      <c r="AM16" s="237"/>
      <c r="AN16" s="20"/>
      <c r="AO16" s="20"/>
      <c r="AP16" s="20"/>
      <c r="AQ16" s="20"/>
      <c r="AR16" s="20"/>
      <c r="AS16" s="20"/>
    </row>
    <row r="17" spans="1:47">
      <c r="A17" s="323" t="s">
        <v>423</v>
      </c>
      <c r="B17" s="1"/>
      <c r="C17" s="319">
        <f>C59+C97</f>
        <v>3603.6666666666661</v>
      </c>
      <c r="D17" s="298">
        <v>192</v>
      </c>
      <c r="E17" s="325"/>
      <c r="F17" s="321">
        <f>F59+F97</f>
        <v>691904</v>
      </c>
      <c r="G17" s="298">
        <v>192</v>
      </c>
      <c r="H17" s="325"/>
      <c r="I17" s="321">
        <f>I59+I97</f>
        <v>691904</v>
      </c>
      <c r="J17" s="301">
        <f>G17</f>
        <v>192</v>
      </c>
      <c r="K17" s="325"/>
      <c r="L17" s="321">
        <f>L59+L97</f>
        <v>691904</v>
      </c>
      <c r="M17" s="321"/>
      <c r="N17" s="301">
        <f>J17</f>
        <v>192</v>
      </c>
      <c r="O17" s="325"/>
      <c r="P17" s="321">
        <f t="shared" si="2"/>
        <v>691904</v>
      </c>
      <c r="Q17" s="321"/>
      <c r="R17" s="301" t="s">
        <v>31</v>
      </c>
      <c r="S17" s="325"/>
      <c r="T17" s="2">
        <f t="shared" si="0"/>
        <v>0</v>
      </c>
      <c r="U17" s="2"/>
      <c r="V17" s="301" t="s">
        <v>31</v>
      </c>
      <c r="W17" s="1"/>
      <c r="X17" s="2">
        <f t="shared" si="1"/>
        <v>0</v>
      </c>
      <c r="AA17" s="55">
        <f>(J17-G17)/G17</f>
        <v>0</v>
      </c>
      <c r="AB17" s="55"/>
      <c r="AD17" s="84"/>
      <c r="AE17" s="736"/>
      <c r="AF17" s="84"/>
      <c r="AG17" s="736"/>
      <c r="AH17" s="84"/>
      <c r="AI17" s="84"/>
      <c r="AJ17" s="736"/>
      <c r="AK17" s="736"/>
      <c r="AM17" s="237"/>
      <c r="AN17" s="20"/>
      <c r="AO17" s="20"/>
      <c r="AP17" s="20"/>
      <c r="AQ17" s="20"/>
      <c r="AR17" s="20"/>
      <c r="AS17" s="20"/>
    </row>
    <row r="18" spans="1:47">
      <c r="A18" s="323" t="s">
        <v>394</v>
      </c>
      <c r="B18" s="1"/>
      <c r="C18" s="319">
        <f>SUM(C15:C17)</f>
        <v>12646.966666666673</v>
      </c>
      <c r="D18" s="298"/>
      <c r="E18" s="323"/>
      <c r="F18" s="321"/>
      <c r="G18" s="298"/>
      <c r="H18" s="323"/>
      <c r="I18" s="321"/>
      <c r="J18" s="301"/>
      <c r="K18" s="323"/>
      <c r="L18" s="321"/>
      <c r="M18" s="321"/>
      <c r="N18" s="301"/>
      <c r="O18" s="323"/>
      <c r="P18" s="321"/>
      <c r="Q18" s="321"/>
      <c r="R18" s="301"/>
      <c r="S18" s="323"/>
      <c r="T18" s="321"/>
      <c r="U18" s="321"/>
      <c r="V18" s="301"/>
      <c r="W18" s="323"/>
      <c r="X18" s="321"/>
      <c r="AD18" s="84"/>
      <c r="AE18" s="736"/>
      <c r="AF18" s="84"/>
      <c r="AG18" s="736"/>
      <c r="AH18" s="84"/>
      <c r="AI18" s="84"/>
      <c r="AJ18" s="736"/>
      <c r="AK18" s="736"/>
      <c r="AM18" s="237"/>
      <c r="AN18" s="20"/>
      <c r="AO18" s="20"/>
      <c r="AP18" s="20"/>
      <c r="AQ18" s="20"/>
      <c r="AR18" s="20"/>
      <c r="AS18" s="20"/>
    </row>
    <row r="19" spans="1:47">
      <c r="A19" s="323" t="s">
        <v>422</v>
      </c>
      <c r="B19" s="1"/>
      <c r="C19" s="319">
        <f>C61+C99</f>
        <v>1502047</v>
      </c>
      <c r="D19" s="298">
        <v>1.7</v>
      </c>
      <c r="E19" s="323" t="s">
        <v>31</v>
      </c>
      <c r="F19" s="321">
        <f>F61+F99</f>
        <v>2553480</v>
      </c>
      <c r="G19" s="298">
        <v>1.7</v>
      </c>
      <c r="H19" s="323" t="s">
        <v>31</v>
      </c>
      <c r="I19" s="321">
        <f>I61+I99</f>
        <v>2553480</v>
      </c>
      <c r="J19" s="301">
        <f ca="1">ROUND(G19*(1+$AC$49),2)</f>
        <v>1.89</v>
      </c>
      <c r="K19" s="323" t="s">
        <v>31</v>
      </c>
      <c r="L19" s="321">
        <f ca="1">L61+L99</f>
        <v>2838869</v>
      </c>
      <c r="M19" s="321"/>
      <c r="N19" s="301">
        <f ca="1">J19</f>
        <v>1.89</v>
      </c>
      <c r="O19" s="323" t="s">
        <v>31</v>
      </c>
      <c r="P19" s="321">
        <f ca="1">L19</f>
        <v>2838869</v>
      </c>
      <c r="Q19" s="321"/>
      <c r="R19" s="301" t="s">
        <v>31</v>
      </c>
      <c r="S19" s="323" t="s">
        <v>31</v>
      </c>
      <c r="T19" s="2">
        <f t="shared" ref="T19:T20" si="3">R19*C19</f>
        <v>0</v>
      </c>
      <c r="U19" s="2"/>
      <c r="V19" s="301" t="s">
        <v>31</v>
      </c>
      <c r="W19" s="1"/>
      <c r="X19" s="2">
        <f t="shared" ref="X19:X20" si="4">V19*C19</f>
        <v>0</v>
      </c>
      <c r="Z19" s="88" t="s">
        <v>31</v>
      </c>
      <c r="AA19" s="55">
        <f ca="1">(J19-G19)/G19</f>
        <v>0.11176470588235292</v>
      </c>
      <c r="AB19" s="55"/>
      <c r="AD19" s="84"/>
      <c r="AE19" s="737"/>
      <c r="AF19" s="84"/>
      <c r="AG19" s="737"/>
      <c r="AH19" s="84"/>
      <c r="AI19" s="84"/>
      <c r="AJ19" s="737"/>
      <c r="AK19" s="737"/>
      <c r="AM19" s="20"/>
      <c r="AN19" s="20"/>
      <c r="AO19" s="20"/>
      <c r="AP19" s="20"/>
      <c r="AQ19" s="20"/>
      <c r="AR19" s="20"/>
      <c r="AS19" s="20"/>
    </row>
    <row r="20" spans="1:47">
      <c r="A20" s="323" t="s">
        <v>423</v>
      </c>
      <c r="B20" s="1"/>
      <c r="C20" s="319">
        <f>C62+C100</f>
        <v>1828696</v>
      </c>
      <c r="D20" s="298">
        <v>1.39</v>
      </c>
      <c r="E20" s="323" t="s">
        <v>31</v>
      </c>
      <c r="F20" s="321">
        <f>F62+F100</f>
        <v>2541887</v>
      </c>
      <c r="G20" s="298">
        <v>1.39</v>
      </c>
      <c r="H20" s="323" t="s">
        <v>31</v>
      </c>
      <c r="I20" s="321">
        <f>I62+I100</f>
        <v>2541887</v>
      </c>
      <c r="J20" s="301">
        <f ca="1">ROUND(G20*(1+$AC$49),2)</f>
        <v>1.55</v>
      </c>
      <c r="K20" s="323" t="s">
        <v>31</v>
      </c>
      <c r="L20" s="321">
        <f ca="1">L62+L100</f>
        <v>2834479</v>
      </c>
      <c r="M20" s="321"/>
      <c r="N20" s="301">
        <f ca="1">J20</f>
        <v>1.55</v>
      </c>
      <c r="O20" s="323" t="s">
        <v>31</v>
      </c>
      <c r="P20" s="321">
        <f ca="1">L20</f>
        <v>2834479</v>
      </c>
      <c r="Q20" s="321"/>
      <c r="R20" s="301" t="s">
        <v>31</v>
      </c>
      <c r="S20" s="323" t="s">
        <v>31</v>
      </c>
      <c r="T20" s="2">
        <f t="shared" si="3"/>
        <v>0</v>
      </c>
      <c r="U20" s="2"/>
      <c r="V20" s="301" t="s">
        <v>31</v>
      </c>
      <c r="W20" s="1"/>
      <c r="X20" s="2">
        <f t="shared" si="4"/>
        <v>0</v>
      </c>
      <c r="AA20" s="55">
        <f ca="1">(J20-G20)/G20</f>
        <v>0.11510791366906487</v>
      </c>
      <c r="AB20" s="55"/>
      <c r="AD20" s="84"/>
      <c r="AE20" s="84"/>
      <c r="AM20" s="20"/>
      <c r="AN20" s="20"/>
      <c r="AO20" s="20"/>
      <c r="AP20" s="20"/>
      <c r="AQ20" s="20"/>
      <c r="AR20" s="20"/>
      <c r="AS20" s="20"/>
    </row>
    <row r="21" spans="1:47">
      <c r="A21" s="309" t="s">
        <v>424</v>
      </c>
      <c r="B21" s="1"/>
      <c r="C21" s="319"/>
      <c r="D21" s="355"/>
      <c r="E21" s="323"/>
      <c r="F21" s="321"/>
      <c r="G21" s="355"/>
      <c r="H21" s="323"/>
      <c r="I21" s="321"/>
      <c r="J21" s="304"/>
      <c r="K21" s="323"/>
      <c r="L21" s="321"/>
      <c r="M21" s="321"/>
      <c r="N21" s="304"/>
      <c r="O21" s="323"/>
      <c r="P21" s="321"/>
      <c r="Q21" s="321"/>
      <c r="R21" s="304"/>
      <c r="S21" s="323"/>
      <c r="T21" s="321"/>
      <c r="U21" s="321"/>
      <c r="V21" s="304"/>
      <c r="W21" s="323"/>
      <c r="X21" s="321"/>
      <c r="AC21" s="69"/>
      <c r="AM21" s="20"/>
      <c r="AN21" s="20"/>
      <c r="AO21" s="20"/>
      <c r="AP21" s="20"/>
      <c r="AQ21" s="20"/>
      <c r="AR21" s="20"/>
      <c r="AS21" s="20"/>
    </row>
    <row r="22" spans="1:47">
      <c r="A22" s="309" t="s">
        <v>425</v>
      </c>
      <c r="B22" s="1"/>
      <c r="C22" s="319">
        <f>C64+C102</f>
        <v>2516583.5</v>
      </c>
      <c r="D22" s="298">
        <v>4.4400000000000004</v>
      </c>
      <c r="E22" s="323"/>
      <c r="F22" s="321">
        <f>F64+F102</f>
        <v>11173631</v>
      </c>
      <c r="G22" s="298">
        <v>4.72</v>
      </c>
      <c r="H22" s="323"/>
      <c r="I22" s="321">
        <f>I64+I102</f>
        <v>11878274</v>
      </c>
      <c r="J22" s="301">
        <f ca="1">ROUND(G22*(1+($AC$49*1.1)),2)</f>
        <v>5.3</v>
      </c>
      <c r="K22" s="323"/>
      <c r="L22" s="321">
        <f ca="1">L64+L102</f>
        <v>13337892</v>
      </c>
      <c r="M22" s="321"/>
      <c r="N22" s="301">
        <f ca="1">ROUND(P22/C22,2)</f>
        <v>0.95</v>
      </c>
      <c r="O22" s="323"/>
      <c r="P22" s="321">
        <f ca="1">($Y$52-$P$15-$P$16-$P$17-$P$19-$P$20-$P$23-$P$25-$P$26-$P$27-$P$28-$P$29-$P$33-$P$34-$P$35-$P$36-$P$37-$P$38-$P$39-$P$40-$P$41-$P$42-$P$43-$P$44-$P$45-$P$46-$P$48)</f>
        <v>2396179.3958690213</v>
      </c>
      <c r="Q22" s="321"/>
      <c r="R22" s="301">
        <f ca="1">ROUND(T22/C22,2)</f>
        <v>0.86</v>
      </c>
      <c r="S22" s="323"/>
      <c r="T22" s="321">
        <f ca="1">(L22-P22)*Z52/(Z52+AA52)</f>
        <v>2169073.4912835415</v>
      </c>
      <c r="U22" s="321"/>
      <c r="V22" s="301">
        <f ca="1">ROUND(X22/C22,2)</f>
        <v>3.49</v>
      </c>
      <c r="W22" s="323"/>
      <c r="X22" s="321">
        <f ca="1">(L22-P22)*AA52/(Z52+AA52)</f>
        <v>8772639.1128474362</v>
      </c>
      <c r="AA22" s="55">
        <f ca="1">(J22-G22)/G22</f>
        <v>0.12288135593220341</v>
      </c>
      <c r="AB22" s="55"/>
      <c r="AC22" s="728">
        <f ca="1">L22/L49</f>
        <v>0.17959292400460244</v>
      </c>
      <c r="AD22" s="728">
        <f>'COS versus rates'!F153</f>
        <v>0.38524800539754989</v>
      </c>
      <c r="AE22" s="321">
        <f ca="1">AD22*Z49</f>
        <v>28611207.048768908</v>
      </c>
      <c r="AF22" s="329">
        <f>'COS versus rates'!F172</f>
        <v>8.7635246393401953</v>
      </c>
      <c r="AG22" s="4" t="s">
        <v>935</v>
      </c>
      <c r="AM22" s="20"/>
      <c r="AN22" s="20"/>
      <c r="AO22" s="20"/>
      <c r="AP22" s="20"/>
      <c r="AQ22" s="20"/>
      <c r="AR22" s="20"/>
      <c r="AS22" s="20"/>
    </row>
    <row r="23" spans="1:47">
      <c r="A23" s="309" t="s">
        <v>441</v>
      </c>
      <c r="B23" s="1"/>
      <c r="C23" s="319">
        <f>C65+C103</f>
        <v>1998.6666666666692</v>
      </c>
      <c r="D23" s="369">
        <v>4.4400000000000004</v>
      </c>
      <c r="E23" s="323"/>
      <c r="F23" s="321">
        <f>F65+F103</f>
        <v>8874</v>
      </c>
      <c r="G23" s="369">
        <v>4.72</v>
      </c>
      <c r="H23" s="323"/>
      <c r="I23" s="321">
        <f>I65+I103</f>
        <v>9434</v>
      </c>
      <c r="J23" s="805">
        <f ca="1">J22</f>
        <v>5.3</v>
      </c>
      <c r="K23" s="323"/>
      <c r="L23" s="321">
        <f ca="1">L65+L103</f>
        <v>10593</v>
      </c>
      <c r="M23" s="321"/>
      <c r="N23" s="805">
        <f ca="1">N22</f>
        <v>0.95</v>
      </c>
      <c r="O23" s="323"/>
      <c r="P23" s="321">
        <f ca="1">N23*C23</f>
        <v>1898.7333333333356</v>
      </c>
      <c r="Q23" s="321"/>
      <c r="R23" s="805">
        <f ca="1">R22</f>
        <v>0.86</v>
      </c>
      <c r="S23" s="323"/>
      <c r="T23" s="321">
        <f ca="1">R23*C23</f>
        <v>1718.8533333333355</v>
      </c>
      <c r="U23" s="321"/>
      <c r="V23" s="805">
        <f ca="1">V22</f>
        <v>3.49</v>
      </c>
      <c r="W23" s="323"/>
      <c r="X23" s="321">
        <f ca="1">V23*C23</f>
        <v>6975.3466666666764</v>
      </c>
      <c r="AA23" s="55">
        <f ca="1">(J23-G23)/G23</f>
        <v>0.12288135593220341</v>
      </c>
      <c r="AB23" s="55"/>
      <c r="AC23" s="69"/>
      <c r="AF23" s="329">
        <f>'COS versus rates'!F173</f>
        <v>2.1706157531991344</v>
      </c>
      <c r="AG23" s="4" t="s">
        <v>818</v>
      </c>
      <c r="AM23" s="20"/>
      <c r="AN23" s="20"/>
      <c r="AO23" s="20"/>
      <c r="AP23" s="20"/>
      <c r="AQ23" s="20"/>
      <c r="AR23" s="20"/>
      <c r="AS23" s="20"/>
    </row>
    <row r="24" spans="1:47">
      <c r="A24" s="323" t="s">
        <v>426</v>
      </c>
      <c r="B24" s="1"/>
      <c r="C24" s="319"/>
      <c r="D24" s="298"/>
      <c r="E24" s="323"/>
      <c r="F24" s="321"/>
      <c r="G24" s="298"/>
      <c r="H24" s="323"/>
      <c r="I24" s="321"/>
      <c r="J24" s="301"/>
      <c r="K24" s="323"/>
      <c r="L24" s="321"/>
      <c r="M24" s="321"/>
      <c r="N24" s="301"/>
      <c r="O24" s="323"/>
      <c r="P24" s="321"/>
      <c r="Q24" s="321"/>
      <c r="R24" s="301"/>
      <c r="S24" s="323"/>
      <c r="T24" s="321"/>
      <c r="U24" s="321"/>
      <c r="V24" s="301"/>
      <c r="W24" s="323"/>
      <c r="X24" s="321"/>
      <c r="AC24" s="88" t="s">
        <v>31</v>
      </c>
      <c r="AF24" s="3">
        <f>ROUND(AF22/2,2)</f>
        <v>4.38</v>
      </c>
      <c r="AG24" s="1701" t="s">
        <v>1087</v>
      </c>
      <c r="AM24" s="20"/>
      <c r="AN24" s="20"/>
      <c r="AO24" s="20"/>
      <c r="AP24" s="20"/>
      <c r="AQ24" s="20"/>
      <c r="AR24" s="20"/>
      <c r="AS24" s="20"/>
    </row>
    <row r="25" spans="1:47">
      <c r="A25" s="323" t="s">
        <v>427</v>
      </c>
      <c r="B25" s="319"/>
      <c r="C25" s="319">
        <f>C67+C105</f>
        <v>396791152.47443527</v>
      </c>
      <c r="D25" s="327">
        <v>5.2919999999999998</v>
      </c>
      <c r="E25" s="323" t="s">
        <v>374</v>
      </c>
      <c r="F25" s="321">
        <f>F67+F105</f>
        <v>20998188</v>
      </c>
      <c r="G25" s="327">
        <v>5.6289999999999996</v>
      </c>
      <c r="H25" s="323" t="s">
        <v>374</v>
      </c>
      <c r="I25" s="321">
        <f>I67+I105</f>
        <v>22335374</v>
      </c>
      <c r="J25" s="806">
        <f ca="1">ROUND(G25*(1+AA49)-J28,3)+0.004</f>
        <v>2.8460000000000001</v>
      </c>
      <c r="K25" s="323" t="s">
        <v>374</v>
      </c>
      <c r="L25" s="321">
        <f ca="1">L67+L105</f>
        <v>11292676</v>
      </c>
      <c r="M25" s="321"/>
      <c r="N25" s="806" t="s">
        <v>31</v>
      </c>
      <c r="O25" s="323" t="s">
        <v>31</v>
      </c>
      <c r="P25" s="321">
        <f>N25*C25</f>
        <v>0</v>
      </c>
      <c r="Q25" s="321"/>
      <c r="R25" s="806">
        <f ca="1">ROUND(T25/$C$25*100,3)</f>
        <v>1.242</v>
      </c>
      <c r="S25" s="323" t="s">
        <v>374</v>
      </c>
      <c r="T25" s="334">
        <f ca="1">($Z$52-$T$15-$T$16-$T$17-$T$19-$T$20-$T$22-$T$23-$T$27-$T$28-$T$29-$T$33-$T$34-$T$35-$T$36-$T$37-$T$38-$T$39-$T$40-$T$41-$T$42-$T$43-$T$44-$T$45-$T$46-$T$48)*($L$25/($L$25+$L$26))</f>
        <v>4927262.3177313227</v>
      </c>
      <c r="U25" s="321"/>
      <c r="V25" s="806">
        <f ca="1">ROUND(X25/$C$25*100,3)</f>
        <v>1.6040000000000001</v>
      </c>
      <c r="W25" s="323" t="s">
        <v>374</v>
      </c>
      <c r="X25" s="321">
        <f ca="1">($AA$52-$X$15-$X$16-$X$17-$X$19-$X$20-$X$22-$X$23-$X$27-$X$28-$X$29-$X$33-$X$34-$X$35-$X$36-$X$37-$X$38-$X$39-$X$40-$X$41-$X$42-$X$43-$X$44-$X$45-$X$46-$X$48)*($L$25/($L$25+$L$26))</f>
        <v>6365413.2887751395</v>
      </c>
      <c r="AA25" s="55">
        <f ca="1">((J25+J28)-G25)/G25</f>
        <v>0.11227571504707774</v>
      </c>
      <c r="AB25" s="55"/>
      <c r="AC25" s="69"/>
      <c r="AF25" s="3">
        <f>ROUND(AF23/2,2)</f>
        <v>1.0900000000000001</v>
      </c>
      <c r="AG25" s="1701" t="s">
        <v>1088</v>
      </c>
      <c r="AM25" s="20"/>
      <c r="AN25" s="20"/>
      <c r="AO25" s="20"/>
      <c r="AP25" s="20"/>
      <c r="AQ25" s="20"/>
      <c r="AR25" s="20"/>
      <c r="AS25" s="20"/>
    </row>
    <row r="26" spans="1:47">
      <c r="A26" s="323" t="s">
        <v>399</v>
      </c>
      <c r="B26" s="319"/>
      <c r="C26" s="319">
        <f>C68+C106</f>
        <v>502951619.70132762</v>
      </c>
      <c r="D26" s="327">
        <v>4.8499999999999996</v>
      </c>
      <c r="E26" s="323" t="s">
        <v>374</v>
      </c>
      <c r="F26" s="321">
        <f>F68+F106</f>
        <v>24393153</v>
      </c>
      <c r="G26" s="327">
        <v>5.157</v>
      </c>
      <c r="H26" s="323" t="s">
        <v>374</v>
      </c>
      <c r="I26" s="321">
        <f>I68+I106</f>
        <v>25937215</v>
      </c>
      <c r="J26" s="806">
        <f ca="1">ROUND(J25/G25*G26,3)-0.002</f>
        <v>2.6050000000000004</v>
      </c>
      <c r="K26" s="323" t="s">
        <v>374</v>
      </c>
      <c r="L26" s="321">
        <f ca="1">L68+L106</f>
        <v>13101889</v>
      </c>
      <c r="M26" s="321"/>
      <c r="N26" s="806" t="s">
        <v>31</v>
      </c>
      <c r="O26" s="323" t="s">
        <v>31</v>
      </c>
      <c r="P26" s="321">
        <f t="shared" ref="P26:P29" si="5">N26*C26</f>
        <v>0</v>
      </c>
      <c r="Q26" s="321"/>
      <c r="R26" s="806">
        <f ca="1">ROUND(T26/$C$26*100,3)</f>
        <v>1.137</v>
      </c>
      <c r="S26" s="323" t="s">
        <v>374</v>
      </c>
      <c r="T26" s="334">
        <f ca="1">($Z$52-$T$15-$T$16-$T$17-$T$19-$T$20-$T$22-$T$23-$T$27-$T$28-$T$29-$T$33-$T$34-$T$35-$T$36-$T$37-$T$38-$T$39-$T$40-$T$41-$T$42-$T$43-$T$44-$T$45-$T$46-$T$48)*($L$26/($L$25+$L$26))</f>
        <v>5716664.8508111387</v>
      </c>
      <c r="U26" s="321"/>
      <c r="V26" s="806">
        <f ca="1">ROUND(X26/$C$26*100,3)</f>
        <v>1.468</v>
      </c>
      <c r="W26" s="323" t="s">
        <v>374</v>
      </c>
      <c r="X26" s="321">
        <f ca="1">($AA$52-$X$15-$X$16-$X$17-$X$19-$X$20-$X$22-$X$23-$X$27-$X$28-$X$29-$X$33-$X$34-$X$35-$X$36-$X$37-$X$38-$X$39-$X$40-$X$41-$X$42-$X$43-$X$44-$X$45-$X$46-$X$48)*($L$26/($L$25+$L$26))</f>
        <v>7385223.6926532593</v>
      </c>
      <c r="AA26" s="55">
        <f ca="1">((J26+J29)-G26)/G26</f>
        <v>0.11227457824316475</v>
      </c>
      <c r="AB26" s="55"/>
      <c r="AC26" s="69"/>
      <c r="AF26" s="329">
        <f ca="1">V22</f>
        <v>3.49</v>
      </c>
      <c r="AG26" s="4" t="s">
        <v>1092</v>
      </c>
      <c r="AN26" s="20"/>
      <c r="AO26" s="20"/>
      <c r="AP26" s="20"/>
      <c r="AQ26" s="20"/>
      <c r="AR26" s="20"/>
      <c r="AS26" s="20"/>
    </row>
    <row r="27" spans="1:47">
      <c r="A27" s="323" t="s">
        <v>400</v>
      </c>
      <c r="B27" s="1"/>
      <c r="C27" s="319">
        <f>C69+C107</f>
        <v>497319.56666666747</v>
      </c>
      <c r="D27" s="612">
        <v>56</v>
      </c>
      <c r="E27" s="323" t="s">
        <v>374</v>
      </c>
      <c r="F27" s="321">
        <f>F69+F107</f>
        <v>278499</v>
      </c>
      <c r="G27" s="612">
        <v>56</v>
      </c>
      <c r="H27" s="323" t="s">
        <v>374</v>
      </c>
      <c r="I27" s="321">
        <f>I69+I107</f>
        <v>278499</v>
      </c>
      <c r="J27" s="612">
        <f>G27</f>
        <v>56</v>
      </c>
      <c r="K27" s="323" t="s">
        <v>374</v>
      </c>
      <c r="L27" s="321">
        <f>L69+L107</f>
        <v>278499</v>
      </c>
      <c r="M27" s="321"/>
      <c r="N27" s="1282" t="s">
        <v>31</v>
      </c>
      <c r="O27" s="323" t="s">
        <v>31</v>
      </c>
      <c r="P27" s="321">
        <f t="shared" si="5"/>
        <v>0</v>
      </c>
      <c r="Q27" s="321"/>
      <c r="R27" s="612">
        <f ca="1">ROUND(T27/C27*100,0)</f>
        <v>11</v>
      </c>
      <c r="S27" s="323" t="s">
        <v>374</v>
      </c>
      <c r="T27" s="321">
        <f ca="1">$L$27*Z52/($Z$52+$AA$52)</f>
        <v>55209.346114693821</v>
      </c>
      <c r="U27" s="321"/>
      <c r="V27" s="612">
        <f ca="1">ROUND(X27/C27*100,0)</f>
        <v>45</v>
      </c>
      <c r="W27" s="323" t="s">
        <v>374</v>
      </c>
      <c r="X27" s="321">
        <f ca="1">$L$27*AA52/($Z$52+$AA$52)</f>
        <v>223289.65388530618</v>
      </c>
      <c r="AA27" s="55">
        <f>(J27-G27)/G27</f>
        <v>0</v>
      </c>
      <c r="AB27" s="55"/>
      <c r="AC27" s="69"/>
      <c r="AF27" s="329">
        <f ca="1">R22</f>
        <v>0.86</v>
      </c>
      <c r="AG27" s="4" t="s">
        <v>1091</v>
      </c>
      <c r="AN27" s="20"/>
      <c r="AO27" s="20"/>
      <c r="AP27" s="20"/>
      <c r="AQ27" s="20"/>
      <c r="AR27" s="20"/>
      <c r="AS27" s="20"/>
    </row>
    <row r="28" spans="1:47" s="1184" customFormat="1">
      <c r="A28" s="1005" t="s">
        <v>1026</v>
      </c>
      <c r="C28" s="1026">
        <f>C25</f>
        <v>396791152.47443527</v>
      </c>
      <c r="D28" s="269"/>
      <c r="E28" s="1185"/>
      <c r="F28" s="1203"/>
      <c r="G28" s="269"/>
      <c r="H28" s="1185"/>
      <c r="I28" s="1203"/>
      <c r="J28" s="1230">
        <f>ROUND((I25/($I$25+$I$26)*$Y$28)/C28*100,3)-0.001</f>
        <v>3.415</v>
      </c>
      <c r="K28" s="1041" t="s">
        <v>374</v>
      </c>
      <c r="L28" s="1041">
        <f>L70+L108</f>
        <v>13550418</v>
      </c>
      <c r="M28" s="1041"/>
      <c r="N28" s="1230" t="s">
        <v>31</v>
      </c>
      <c r="O28" s="1041" t="s">
        <v>31</v>
      </c>
      <c r="P28" s="1040">
        <f t="shared" si="5"/>
        <v>0</v>
      </c>
      <c r="Q28" s="1041"/>
      <c r="R28" s="1230" t="s">
        <v>31</v>
      </c>
      <c r="S28" s="1041" t="s">
        <v>31</v>
      </c>
      <c r="T28" s="1040">
        <f t="shared" ref="T28:T29" si="6">R28*C28</f>
        <v>0</v>
      </c>
      <c r="U28" s="1041"/>
      <c r="V28" s="1230">
        <f>J28</f>
        <v>3.415</v>
      </c>
      <c r="W28" s="1041" t="s">
        <v>374</v>
      </c>
      <c r="X28" s="1041">
        <f>X70+X108</f>
        <v>13550418</v>
      </c>
      <c r="Y28" s="1204">
        <f>'NPC Spread'!F33</f>
        <v>29291580.401307046</v>
      </c>
      <c r="Z28" s="815" t="s">
        <v>913</v>
      </c>
      <c r="AC28" s="1205"/>
      <c r="AD28" s="1205"/>
      <c r="AF28" s="1184">
        <f ca="1">ROUND((AF24-AF26)/2+AF26,2)</f>
        <v>3.94</v>
      </c>
      <c r="AG28" s="1701" t="s">
        <v>1089</v>
      </c>
      <c r="AH28" s="3"/>
      <c r="AI28" s="1185"/>
      <c r="AJ28" s="1185"/>
      <c r="AK28" s="1185"/>
      <c r="AL28" s="1185"/>
      <c r="AM28" s="1185"/>
      <c r="AN28" s="1185"/>
      <c r="AO28" s="1185"/>
      <c r="AP28" s="1185"/>
      <c r="AQ28" s="1185"/>
      <c r="AR28" s="1185"/>
      <c r="AS28" s="1185"/>
      <c r="AU28" s="1204"/>
    </row>
    <row r="29" spans="1:47" s="1184" customFormat="1">
      <c r="A29" s="1005" t="s">
        <v>1027</v>
      </c>
      <c r="C29" s="1026">
        <f>C26</f>
        <v>502951619.70132762</v>
      </c>
      <c r="D29" s="269"/>
      <c r="E29" s="1185"/>
      <c r="F29" s="1203"/>
      <c r="G29" s="269"/>
      <c r="H29" s="1185"/>
      <c r="I29" s="1203"/>
      <c r="J29" s="1230">
        <f>ROUND((I26/($I$25+$I$26)*$Y$28)/C29*100,3)+0.002</f>
        <v>3.1309999999999998</v>
      </c>
      <c r="K29" s="1041" t="s">
        <v>374</v>
      </c>
      <c r="L29" s="1041">
        <f>L71+L109</f>
        <v>15747415</v>
      </c>
      <c r="M29" s="1041"/>
      <c r="N29" s="1230" t="s">
        <v>31</v>
      </c>
      <c r="O29" s="1041" t="s">
        <v>31</v>
      </c>
      <c r="P29" s="1040">
        <f t="shared" si="5"/>
        <v>0</v>
      </c>
      <c r="Q29" s="1041"/>
      <c r="R29" s="1230" t="s">
        <v>31</v>
      </c>
      <c r="S29" s="1041" t="s">
        <v>31</v>
      </c>
      <c r="T29" s="1040">
        <f t="shared" si="6"/>
        <v>0</v>
      </c>
      <c r="U29" s="1041"/>
      <c r="V29" s="1230">
        <f>J29</f>
        <v>3.1309999999999998</v>
      </c>
      <c r="W29" s="1041" t="s">
        <v>374</v>
      </c>
      <c r="X29" s="1041">
        <f>X71+X109</f>
        <v>15747415</v>
      </c>
      <c r="Y29" s="1005" t="s">
        <v>31</v>
      </c>
      <c r="Z29" s="815"/>
      <c r="AC29" s="1205"/>
      <c r="AD29" s="1205"/>
      <c r="AF29" s="1184">
        <f ca="1">ROUND((AF25-AF27)/2+AF27,2)</f>
        <v>0.98</v>
      </c>
      <c r="AG29" s="1701" t="s">
        <v>1090</v>
      </c>
      <c r="AH29" s="3"/>
      <c r="AI29" s="1185"/>
      <c r="AJ29" s="1185"/>
      <c r="AK29" s="1185"/>
      <c r="AL29" s="1185"/>
      <c r="AM29" s="1185"/>
      <c r="AN29" s="1185"/>
      <c r="AO29" s="1185"/>
      <c r="AP29" s="1185"/>
      <c r="AQ29" s="1185"/>
      <c r="AR29" s="1185"/>
      <c r="AS29" s="1185"/>
      <c r="AU29" s="1204"/>
    </row>
    <row r="30" spans="1:47" s="1184" customFormat="1">
      <c r="A30" s="1509" t="s">
        <v>926</v>
      </c>
      <c r="B30" s="1510"/>
      <c r="C30" s="1517"/>
      <c r="D30" s="1512"/>
      <c r="E30" s="1513"/>
      <c r="F30" s="1514"/>
      <c r="G30" s="1520">
        <f>G25</f>
        <v>5.6289999999999996</v>
      </c>
      <c r="H30" s="1518" t="s">
        <v>374</v>
      </c>
      <c r="I30" s="1514"/>
      <c r="J30" s="1520">
        <f ca="1">J25+J28</f>
        <v>6.2610000000000001</v>
      </c>
      <c r="K30" s="1518" t="s">
        <v>374</v>
      </c>
      <c r="L30" s="1521"/>
      <c r="M30" s="1521"/>
      <c r="N30" s="1520">
        <f>N25+N28</f>
        <v>0</v>
      </c>
      <c r="O30" s="1518" t="s">
        <v>31</v>
      </c>
      <c r="P30" s="1521"/>
      <c r="Q30" s="1521"/>
      <c r="R30" s="1520">
        <f ca="1">R25+R28</f>
        <v>1.242</v>
      </c>
      <c r="S30" s="1518" t="s">
        <v>374</v>
      </c>
      <c r="T30" s="1521"/>
      <c r="U30" s="1521"/>
      <c r="V30" s="1520">
        <f ca="1">V25+V28</f>
        <v>5.0190000000000001</v>
      </c>
      <c r="W30" s="1518" t="s">
        <v>374</v>
      </c>
      <c r="X30" s="1521"/>
      <c r="Y30" s="1005"/>
      <c r="Z30" s="815"/>
      <c r="AA30" s="55">
        <f ca="1">(J30-G30)/G30</f>
        <v>0.11227571504707774</v>
      </c>
      <c r="AC30" s="1205"/>
      <c r="AD30" s="1205"/>
      <c r="AI30" s="1185"/>
      <c r="AJ30" s="1185"/>
      <c r="AK30" s="1185"/>
      <c r="AL30" s="1185"/>
      <c r="AM30" s="1185"/>
      <c r="AN30" s="1185"/>
      <c r="AO30" s="1185"/>
      <c r="AP30" s="1185"/>
      <c r="AQ30" s="1185"/>
      <c r="AR30" s="1185"/>
      <c r="AS30" s="1185"/>
      <c r="AU30" s="1204"/>
    </row>
    <row r="31" spans="1:47" s="1184" customFormat="1">
      <c r="A31" s="1509" t="s">
        <v>927</v>
      </c>
      <c r="B31" s="1510"/>
      <c r="C31" s="1517"/>
      <c r="D31" s="1512"/>
      <c r="E31" s="1513"/>
      <c r="F31" s="1514"/>
      <c r="G31" s="1520">
        <f>G26</f>
        <v>5.157</v>
      </c>
      <c r="H31" s="1518" t="s">
        <v>374</v>
      </c>
      <c r="I31" s="1514"/>
      <c r="J31" s="1520">
        <f ca="1">J26+J29</f>
        <v>5.7360000000000007</v>
      </c>
      <c r="K31" s="1518" t="s">
        <v>374</v>
      </c>
      <c r="L31" s="1521"/>
      <c r="M31" s="1521"/>
      <c r="N31" s="1520">
        <f>N26+N29</f>
        <v>0</v>
      </c>
      <c r="O31" s="1518" t="s">
        <v>31</v>
      </c>
      <c r="P31" s="1521"/>
      <c r="Q31" s="1521"/>
      <c r="R31" s="1520">
        <f ca="1">R26+R29</f>
        <v>1.137</v>
      </c>
      <c r="S31" s="1518" t="s">
        <v>374</v>
      </c>
      <c r="T31" s="1521"/>
      <c r="U31" s="1521"/>
      <c r="V31" s="1520">
        <f ca="1">V26+V29</f>
        <v>4.5990000000000002</v>
      </c>
      <c r="W31" s="1518" t="s">
        <v>374</v>
      </c>
      <c r="X31" s="1521"/>
      <c r="Y31" s="1005"/>
      <c r="Z31" s="815"/>
      <c r="AA31" s="55">
        <f ca="1">(J31-G31)/G31</f>
        <v>0.11227457824316475</v>
      </c>
      <c r="AC31" s="1205"/>
      <c r="AD31" s="1205"/>
      <c r="AI31" s="1185"/>
      <c r="AJ31" s="1185"/>
      <c r="AK31" s="1185"/>
      <c r="AL31" s="1185"/>
      <c r="AM31" s="1185"/>
      <c r="AN31" s="1185"/>
      <c r="AO31" s="1185"/>
      <c r="AP31" s="1185"/>
      <c r="AQ31" s="1185"/>
      <c r="AR31" s="1185"/>
      <c r="AS31" s="1185"/>
      <c r="AU31" s="1204"/>
    </row>
    <row r="32" spans="1:47">
      <c r="A32" s="360" t="s">
        <v>401</v>
      </c>
      <c r="B32" s="1"/>
      <c r="C32" s="319"/>
      <c r="D32" s="332">
        <v>-0.01</v>
      </c>
      <c r="E32" s="2"/>
      <c r="F32" s="321"/>
      <c r="G32" s="332">
        <v>-0.01</v>
      </c>
      <c r="H32" s="1"/>
      <c r="I32" s="321"/>
      <c r="J32" s="807">
        <v>-0.01</v>
      </c>
      <c r="K32" s="1"/>
      <c r="L32" s="321"/>
      <c r="M32" s="321"/>
      <c r="N32" s="807">
        <v>-0.01</v>
      </c>
      <c r="O32" s="1"/>
      <c r="P32" s="321"/>
      <c r="Q32" s="321"/>
      <c r="R32" s="807">
        <v>-0.01</v>
      </c>
      <c r="S32" s="1"/>
      <c r="T32" s="321"/>
      <c r="U32" s="321"/>
      <c r="V32" s="807">
        <v>-0.01</v>
      </c>
      <c r="W32" s="1"/>
      <c r="X32" s="321"/>
      <c r="AN32" s="20"/>
      <c r="AO32" s="20"/>
      <c r="AP32" s="20"/>
      <c r="AQ32" s="20"/>
      <c r="AR32" s="20"/>
      <c r="AS32" s="20"/>
    </row>
    <row r="33" spans="1:47">
      <c r="A33" s="323" t="s">
        <v>421</v>
      </c>
      <c r="B33" s="1"/>
      <c r="C33" s="319">
        <f t="shared" ref="C33:C44" si="7">C73+C111</f>
        <v>0.46666666666666701</v>
      </c>
      <c r="D33" s="304">
        <v>259</v>
      </c>
      <c r="E33" s="364"/>
      <c r="F33" s="321">
        <f t="shared" ref="F33:F44" si="8">F73+F111</f>
        <v>-1</v>
      </c>
      <c r="G33" s="304">
        <v>259</v>
      </c>
      <c r="H33" s="293"/>
      <c r="I33" s="321">
        <f t="shared" ref="I33:I44" si="9">I73+I111</f>
        <v>-1</v>
      </c>
      <c r="J33" s="304">
        <f>J15</f>
        <v>259</v>
      </c>
      <c r="K33" s="293"/>
      <c r="L33" s="321">
        <f t="shared" ref="L33:L47" si="10">L73+L111</f>
        <v>-1</v>
      </c>
      <c r="M33" s="321"/>
      <c r="N33" s="304">
        <f>N15</f>
        <v>259</v>
      </c>
      <c r="O33" s="293"/>
      <c r="P33" s="321">
        <f>L33</f>
        <v>-1</v>
      </c>
      <c r="Q33" s="321"/>
      <c r="R33" s="304" t="str">
        <f>R15</f>
        <v xml:space="preserve"> </v>
      </c>
      <c r="S33" s="293"/>
      <c r="T33" s="322">
        <f>R33*C33*$R$32</f>
        <v>0</v>
      </c>
      <c r="U33" s="321"/>
      <c r="V33" s="304" t="str">
        <f>V15</f>
        <v xml:space="preserve"> </v>
      </c>
      <c r="W33" s="293"/>
      <c r="X33" s="322">
        <f>V33*C33*$V$32</f>
        <v>0</v>
      </c>
      <c r="Z33" s="88" t="s">
        <v>31</v>
      </c>
      <c r="AN33" s="20"/>
      <c r="AO33" s="20"/>
      <c r="AP33" s="20"/>
      <c r="AQ33" s="20"/>
      <c r="AR33" s="20"/>
      <c r="AS33" s="20"/>
    </row>
    <row r="34" spans="1:47">
      <c r="A34" s="323" t="s">
        <v>422</v>
      </c>
      <c r="B34" s="1"/>
      <c r="C34" s="319">
        <f t="shared" si="7"/>
        <v>68.599999999999994</v>
      </c>
      <c r="D34" s="304">
        <v>96</v>
      </c>
      <c r="E34" s="364"/>
      <c r="F34" s="321">
        <f t="shared" si="8"/>
        <v>-66</v>
      </c>
      <c r="G34" s="304">
        <v>96</v>
      </c>
      <c r="H34" s="293"/>
      <c r="I34" s="321">
        <f t="shared" si="9"/>
        <v>-66</v>
      </c>
      <c r="J34" s="304">
        <f>J16</f>
        <v>96</v>
      </c>
      <c r="K34" s="293"/>
      <c r="L34" s="321">
        <f t="shared" si="10"/>
        <v>-66</v>
      </c>
      <c r="M34" s="321"/>
      <c r="N34" s="304">
        <f>N16</f>
        <v>96</v>
      </c>
      <c r="O34" s="293"/>
      <c r="P34" s="321">
        <f t="shared" ref="P34:P37" si="11">L34</f>
        <v>-66</v>
      </c>
      <c r="Q34" s="321"/>
      <c r="R34" s="304" t="str">
        <f>R16</f>
        <v xml:space="preserve"> </v>
      </c>
      <c r="S34" s="293"/>
      <c r="T34" s="322">
        <f t="shared" ref="T34:T37" si="12">R34*C34*$R$32</f>
        <v>0</v>
      </c>
      <c r="U34" s="321"/>
      <c r="V34" s="304" t="str">
        <f>V16</f>
        <v xml:space="preserve"> </v>
      </c>
      <c r="W34" s="293"/>
      <c r="X34" s="322">
        <f t="shared" ref="X34:X37" si="13">V34*C34*$V$32</f>
        <v>0</v>
      </c>
      <c r="Z34" s="371"/>
      <c r="AD34" s="4" t="s">
        <v>31</v>
      </c>
      <c r="AM34" s="20"/>
      <c r="AN34" s="20"/>
      <c r="AO34" s="20"/>
      <c r="AP34" s="20"/>
      <c r="AQ34" s="20"/>
      <c r="AR34" s="20"/>
      <c r="AS34" s="20"/>
    </row>
    <row r="35" spans="1:47">
      <c r="A35" s="323" t="s">
        <v>423</v>
      </c>
      <c r="B35" s="1"/>
      <c r="C35" s="319">
        <f t="shared" si="7"/>
        <v>82</v>
      </c>
      <c r="D35" s="304">
        <v>192</v>
      </c>
      <c r="E35" s="372"/>
      <c r="F35" s="321">
        <f t="shared" si="8"/>
        <v>-157</v>
      </c>
      <c r="G35" s="304">
        <v>192</v>
      </c>
      <c r="H35" s="373"/>
      <c r="I35" s="321">
        <f t="shared" si="9"/>
        <v>-157</v>
      </c>
      <c r="J35" s="304">
        <f>J17</f>
        <v>192</v>
      </c>
      <c r="K35" s="373"/>
      <c r="L35" s="321">
        <f t="shared" si="10"/>
        <v>-157</v>
      </c>
      <c r="M35" s="321"/>
      <c r="N35" s="304">
        <f>N17</f>
        <v>192</v>
      </c>
      <c r="O35" s="373"/>
      <c r="P35" s="321">
        <f t="shared" si="11"/>
        <v>-157</v>
      </c>
      <c r="Q35" s="321"/>
      <c r="R35" s="304" t="str">
        <f>R17</f>
        <v xml:space="preserve"> </v>
      </c>
      <c r="S35" s="373"/>
      <c r="T35" s="322">
        <f t="shared" si="12"/>
        <v>0</v>
      </c>
      <c r="U35" s="321"/>
      <c r="V35" s="304" t="str">
        <f>V17</f>
        <v xml:space="preserve"> </v>
      </c>
      <c r="W35" s="373"/>
      <c r="X35" s="322">
        <f t="shared" si="13"/>
        <v>0</v>
      </c>
      <c r="Z35" s="1527" t="s">
        <v>31</v>
      </c>
      <c r="AM35" s="20"/>
      <c r="AN35" s="20"/>
      <c r="AO35" s="20"/>
      <c r="AP35" s="20"/>
      <c r="AQ35" s="20"/>
      <c r="AR35" s="20"/>
      <c r="AS35" s="20"/>
    </row>
    <row r="36" spans="1:47">
      <c r="A36" s="323" t="s">
        <v>422</v>
      </c>
      <c r="B36" s="1"/>
      <c r="C36" s="319">
        <f t="shared" si="7"/>
        <v>10765</v>
      </c>
      <c r="D36" s="304">
        <v>1.7</v>
      </c>
      <c r="E36" s="364"/>
      <c r="F36" s="321">
        <f t="shared" si="8"/>
        <v>-183</v>
      </c>
      <c r="G36" s="304">
        <v>1.7</v>
      </c>
      <c r="H36" s="293"/>
      <c r="I36" s="321">
        <f t="shared" si="9"/>
        <v>-183</v>
      </c>
      <c r="J36" s="304">
        <f ca="1">J19</f>
        <v>1.89</v>
      </c>
      <c r="K36" s="293"/>
      <c r="L36" s="321">
        <f t="shared" ca="1" si="10"/>
        <v>-203</v>
      </c>
      <c r="M36" s="321"/>
      <c r="N36" s="304">
        <f ca="1">N19</f>
        <v>1.89</v>
      </c>
      <c r="O36" s="293"/>
      <c r="P36" s="321">
        <f t="shared" ca="1" si="11"/>
        <v>-203</v>
      </c>
      <c r="Q36" s="321"/>
      <c r="R36" s="304" t="str">
        <f>R19</f>
        <v xml:space="preserve"> </v>
      </c>
      <c r="S36" s="293"/>
      <c r="T36" s="322">
        <f t="shared" si="12"/>
        <v>0</v>
      </c>
      <c r="U36" s="321"/>
      <c r="V36" s="304" t="str">
        <f>V19</f>
        <v xml:space="preserve"> </v>
      </c>
      <c r="W36" s="293"/>
      <c r="X36" s="322">
        <f t="shared" si="13"/>
        <v>0</v>
      </c>
      <c r="AM36" s="20"/>
      <c r="AN36" s="20"/>
      <c r="AO36" s="20"/>
      <c r="AP36" s="20"/>
      <c r="AQ36" s="20"/>
      <c r="AR36" s="20"/>
      <c r="AS36" s="20"/>
    </row>
    <row r="37" spans="1:47">
      <c r="A37" s="323" t="s">
        <v>423</v>
      </c>
      <c r="B37" s="1"/>
      <c r="C37" s="319">
        <f t="shared" si="7"/>
        <v>57957</v>
      </c>
      <c r="D37" s="304">
        <v>1.39</v>
      </c>
      <c r="E37" s="364" t="s">
        <v>31</v>
      </c>
      <c r="F37" s="321">
        <f t="shared" si="8"/>
        <v>-806</v>
      </c>
      <c r="G37" s="304">
        <v>1.39</v>
      </c>
      <c r="H37" s="293"/>
      <c r="I37" s="321">
        <f t="shared" si="9"/>
        <v>-806</v>
      </c>
      <c r="J37" s="304">
        <f ca="1">J20</f>
        <v>1.55</v>
      </c>
      <c r="K37" s="293"/>
      <c r="L37" s="321">
        <f t="shared" ca="1" si="10"/>
        <v>-898</v>
      </c>
      <c r="M37" s="321"/>
      <c r="N37" s="304">
        <f ca="1">N20</f>
        <v>1.55</v>
      </c>
      <c r="O37" s="293"/>
      <c r="P37" s="321">
        <f t="shared" ca="1" si="11"/>
        <v>-898</v>
      </c>
      <c r="Q37" s="321"/>
      <c r="R37" s="304" t="str">
        <f>R20</f>
        <v xml:space="preserve"> </v>
      </c>
      <c r="S37" s="293"/>
      <c r="T37" s="322">
        <f t="shared" si="12"/>
        <v>0</v>
      </c>
      <c r="U37" s="321"/>
      <c r="V37" s="304" t="str">
        <f>V20</f>
        <v xml:space="preserve"> </v>
      </c>
      <c r="W37" s="293"/>
      <c r="X37" s="322">
        <f t="shared" si="13"/>
        <v>0</v>
      </c>
      <c r="Z37" s="88" t="s">
        <v>31</v>
      </c>
      <c r="AM37" s="20"/>
      <c r="AN37" s="20"/>
      <c r="AO37" s="20"/>
      <c r="AP37" s="20"/>
      <c r="AQ37" s="20"/>
      <c r="AR37" s="20"/>
      <c r="AS37" s="20"/>
    </row>
    <row r="38" spans="1:47">
      <c r="A38" s="309" t="s">
        <v>425</v>
      </c>
      <c r="B38" s="1"/>
      <c r="C38" s="319">
        <f t="shared" si="7"/>
        <v>44958</v>
      </c>
      <c r="D38" s="304">
        <v>4.4400000000000004</v>
      </c>
      <c r="E38" s="364" t="s">
        <v>31</v>
      </c>
      <c r="F38" s="321">
        <f t="shared" si="8"/>
        <v>-1996</v>
      </c>
      <c r="G38" s="304">
        <v>4.72</v>
      </c>
      <c r="H38" s="293"/>
      <c r="I38" s="321">
        <f t="shared" si="9"/>
        <v>-2122</v>
      </c>
      <c r="J38" s="304">
        <f ca="1">J22</f>
        <v>5.3</v>
      </c>
      <c r="K38" s="293"/>
      <c r="L38" s="321">
        <f t="shared" ca="1" si="10"/>
        <v>-2382</v>
      </c>
      <c r="M38" s="321"/>
      <c r="N38" s="304">
        <f ca="1">N22</f>
        <v>0.95</v>
      </c>
      <c r="O38" s="293"/>
      <c r="P38" s="321">
        <f ca="1">N38*C38*N32</f>
        <v>-427.101</v>
      </c>
      <c r="Q38" s="321"/>
      <c r="R38" s="304">
        <f ca="1">R22</f>
        <v>0.86</v>
      </c>
      <c r="S38" s="293"/>
      <c r="T38" s="321">
        <f ca="1">R38*C38*$R$32</f>
        <v>-386.6388</v>
      </c>
      <c r="U38" s="321"/>
      <c r="V38" s="304">
        <f ca="1">V22</f>
        <v>3.49</v>
      </c>
      <c r="W38" s="293"/>
      <c r="X38" s="321">
        <f ca="1">V38*C38*$V$32</f>
        <v>-1569.0342000000001</v>
      </c>
      <c r="AM38" s="20"/>
      <c r="AN38" s="20"/>
      <c r="AO38" s="20"/>
      <c r="AP38" s="20"/>
      <c r="AQ38" s="20"/>
      <c r="AR38" s="20"/>
      <c r="AS38" s="20"/>
    </row>
    <row r="39" spans="1:47">
      <c r="A39" s="309" t="s">
        <v>441</v>
      </c>
      <c r="B39" s="1"/>
      <c r="C39" s="319">
        <f t="shared" si="7"/>
        <v>384.33333333333331</v>
      </c>
      <c r="D39" s="304">
        <v>4.4400000000000004</v>
      </c>
      <c r="E39" s="364" t="s">
        <v>31</v>
      </c>
      <c r="F39" s="321">
        <f t="shared" si="8"/>
        <v>-17</v>
      </c>
      <c r="G39" s="304">
        <v>4.72</v>
      </c>
      <c r="H39" s="293"/>
      <c r="I39" s="321">
        <f t="shared" si="9"/>
        <v>-18</v>
      </c>
      <c r="J39" s="304">
        <f ca="1">J23</f>
        <v>5.3</v>
      </c>
      <c r="K39" s="293"/>
      <c r="L39" s="321">
        <f t="shared" ca="1" si="10"/>
        <v>-20</v>
      </c>
      <c r="M39" s="321"/>
      <c r="N39" s="304">
        <f ca="1">N23</f>
        <v>0.95</v>
      </c>
      <c r="O39" s="293"/>
      <c r="P39" s="321">
        <f ca="1">N39*C39*N32</f>
        <v>-3.6511666666666662</v>
      </c>
      <c r="Q39" s="321"/>
      <c r="R39" s="304">
        <f ca="1">R23</f>
        <v>0.86</v>
      </c>
      <c r="S39" s="293"/>
      <c r="T39" s="321">
        <f ca="1">R39*C39*$R$32</f>
        <v>-3.3052666666666664</v>
      </c>
      <c r="U39" s="321"/>
      <c r="V39" s="304">
        <f ca="1">V23</f>
        <v>3.49</v>
      </c>
      <c r="W39" s="293"/>
      <c r="X39" s="321">
        <f ca="1">V39*C39*$V$32</f>
        <v>-13.413233333333332</v>
      </c>
      <c r="AM39" s="20"/>
      <c r="AN39" s="20"/>
      <c r="AO39" s="20"/>
      <c r="AP39" s="20"/>
      <c r="AQ39" s="20"/>
      <c r="AR39" s="20"/>
      <c r="AS39" s="20"/>
    </row>
    <row r="40" spans="1:47">
      <c r="A40" s="323" t="s">
        <v>427</v>
      </c>
      <c r="B40" s="1"/>
      <c r="C40" s="319">
        <f t="shared" si="7"/>
        <v>5159480</v>
      </c>
      <c r="D40" s="374">
        <v>5.2919999999999998</v>
      </c>
      <c r="E40" s="321" t="s">
        <v>374</v>
      </c>
      <c r="F40" s="321">
        <f t="shared" si="8"/>
        <v>-2732</v>
      </c>
      <c r="G40" s="374">
        <v>5.6289999999999996</v>
      </c>
      <c r="H40" s="323" t="s">
        <v>374</v>
      </c>
      <c r="I40" s="321">
        <f t="shared" si="9"/>
        <v>-2904</v>
      </c>
      <c r="J40" s="374">
        <f ca="1">J25</f>
        <v>2.8460000000000001</v>
      </c>
      <c r="K40" s="323" t="s">
        <v>374</v>
      </c>
      <c r="L40" s="321">
        <f t="shared" ca="1" si="10"/>
        <v>-1468</v>
      </c>
      <c r="M40" s="321"/>
      <c r="N40" s="374" t="str">
        <f>N25</f>
        <v xml:space="preserve"> </v>
      </c>
      <c r="O40" s="323" t="s">
        <v>31</v>
      </c>
      <c r="P40" s="321">
        <f>N40*C40</f>
        <v>0</v>
      </c>
      <c r="Q40" s="321"/>
      <c r="R40" s="374">
        <f ca="1">R25</f>
        <v>1.242</v>
      </c>
      <c r="S40" s="323" t="s">
        <v>374</v>
      </c>
      <c r="T40" s="321">
        <f ca="1">R40*C40/100*$R$32</f>
        <v>-640.80741599999999</v>
      </c>
      <c r="U40" s="321"/>
      <c r="V40" s="374">
        <f ca="1">V25</f>
        <v>1.6040000000000001</v>
      </c>
      <c r="W40" s="323" t="s">
        <v>374</v>
      </c>
      <c r="X40" s="321">
        <f ca="1">V40*C40/100*$V$32</f>
        <v>-827.58059200000002</v>
      </c>
      <c r="AM40" s="20"/>
      <c r="AN40" s="20"/>
      <c r="AO40" s="20"/>
      <c r="AP40" s="20"/>
      <c r="AQ40" s="20"/>
      <c r="AR40" s="20"/>
      <c r="AS40" s="20"/>
    </row>
    <row r="41" spans="1:47">
      <c r="A41" s="323" t="s">
        <v>399</v>
      </c>
      <c r="B41" s="1"/>
      <c r="C41" s="319">
        <f t="shared" si="7"/>
        <v>11810179</v>
      </c>
      <c r="D41" s="374">
        <v>4.8499999999999996</v>
      </c>
      <c r="E41" s="321" t="s">
        <v>374</v>
      </c>
      <c r="F41" s="321">
        <f t="shared" si="8"/>
        <v>-5730</v>
      </c>
      <c r="G41" s="374">
        <v>5.157</v>
      </c>
      <c r="H41" s="323" t="s">
        <v>374</v>
      </c>
      <c r="I41" s="321">
        <f t="shared" si="9"/>
        <v>-6090</v>
      </c>
      <c r="J41" s="374">
        <f ca="1">J26</f>
        <v>2.6050000000000004</v>
      </c>
      <c r="K41" s="323" t="s">
        <v>374</v>
      </c>
      <c r="L41" s="321">
        <f t="shared" ca="1" si="10"/>
        <v>-3077</v>
      </c>
      <c r="M41" s="321"/>
      <c r="N41" s="374" t="str">
        <f>N26</f>
        <v xml:space="preserve"> </v>
      </c>
      <c r="O41" s="323" t="s">
        <v>31</v>
      </c>
      <c r="P41" s="321">
        <f>N41*C41</f>
        <v>0</v>
      </c>
      <c r="Q41" s="321"/>
      <c r="R41" s="374">
        <f ca="1">R26</f>
        <v>1.137</v>
      </c>
      <c r="S41" s="323" t="s">
        <v>374</v>
      </c>
      <c r="T41" s="321">
        <f ca="1">R41*C41/100*$R$32</f>
        <v>-1342.8173523</v>
      </c>
      <c r="U41" s="321"/>
      <c r="V41" s="374">
        <f ca="1">V26</f>
        <v>1.468</v>
      </c>
      <c r="W41" s="323" t="s">
        <v>374</v>
      </c>
      <c r="X41" s="321">
        <f ca="1">V41*C41/100*$V$32</f>
        <v>-1733.7342772000002</v>
      </c>
      <c r="AM41" s="20"/>
      <c r="AN41" s="20"/>
      <c r="AO41" s="20"/>
      <c r="AP41" s="20"/>
      <c r="AQ41" s="20"/>
      <c r="AR41" s="20"/>
      <c r="AS41" s="20"/>
    </row>
    <row r="42" spans="1:47">
      <c r="A42" s="323" t="s">
        <v>400</v>
      </c>
      <c r="B42" s="1"/>
      <c r="C42" s="319">
        <f t="shared" si="7"/>
        <v>8797.9666666666708</v>
      </c>
      <c r="D42" s="375">
        <v>56</v>
      </c>
      <c r="E42" s="321" t="s">
        <v>374</v>
      </c>
      <c r="F42" s="321">
        <f t="shared" si="8"/>
        <v>-50</v>
      </c>
      <c r="G42" s="375">
        <v>56</v>
      </c>
      <c r="H42" s="323" t="s">
        <v>374</v>
      </c>
      <c r="I42" s="321">
        <f t="shared" si="9"/>
        <v>-50</v>
      </c>
      <c r="J42" s="375">
        <f>J27</f>
        <v>56</v>
      </c>
      <c r="K42" s="323" t="s">
        <v>374</v>
      </c>
      <c r="L42" s="321">
        <f t="shared" si="10"/>
        <v>-50</v>
      </c>
      <c r="M42" s="321"/>
      <c r="N42" s="375" t="str">
        <f>N27</f>
        <v xml:space="preserve"> </v>
      </c>
      <c r="O42" s="323" t="s">
        <v>31</v>
      </c>
      <c r="P42" s="321">
        <f>N42*C42</f>
        <v>0</v>
      </c>
      <c r="Q42" s="321"/>
      <c r="R42" s="375">
        <f ca="1">R27</f>
        <v>11</v>
      </c>
      <c r="S42" s="323" t="s">
        <v>374</v>
      </c>
      <c r="T42" s="321">
        <f t="shared" ref="T42" ca="1" si="14">T82+T120</f>
        <v>-9</v>
      </c>
      <c r="U42" s="321"/>
      <c r="V42" s="375">
        <f ca="1">V27</f>
        <v>45</v>
      </c>
      <c r="W42" s="323" t="s">
        <v>374</v>
      </c>
      <c r="X42" s="321">
        <f t="shared" ref="X42" ca="1" si="15">X82+X120</f>
        <v>-39</v>
      </c>
      <c r="AM42" s="20"/>
      <c r="AN42" s="20"/>
      <c r="AO42" s="20"/>
      <c r="AP42" s="20"/>
      <c r="AQ42" s="20"/>
      <c r="AR42" s="20"/>
      <c r="AS42" s="20"/>
    </row>
    <row r="43" spans="1:47">
      <c r="A43" s="323" t="s">
        <v>443</v>
      </c>
      <c r="B43" s="1"/>
      <c r="C43" s="319">
        <f t="shared" si="7"/>
        <v>150.6</v>
      </c>
      <c r="D43" s="298">
        <v>60</v>
      </c>
      <c r="E43" s="364" t="s">
        <v>31</v>
      </c>
      <c r="F43" s="321">
        <f t="shared" si="8"/>
        <v>9036</v>
      </c>
      <c r="G43" s="298">
        <v>60</v>
      </c>
      <c r="H43" s="1"/>
      <c r="I43" s="321">
        <f t="shared" si="9"/>
        <v>9036</v>
      </c>
      <c r="J43" s="298">
        <f>'Blocking - detail'!I504</f>
        <v>60</v>
      </c>
      <c r="K43" s="1"/>
      <c r="L43" s="321">
        <f t="shared" si="10"/>
        <v>9036</v>
      </c>
      <c r="M43" s="321"/>
      <c r="N43" s="301" t="s">
        <v>31</v>
      </c>
      <c r="O43" s="1"/>
      <c r="P43" s="321">
        <f>N43*C43</f>
        <v>0</v>
      </c>
      <c r="Q43" s="321"/>
      <c r="R43" s="298">
        <f ca="1">T43/C43</f>
        <v>11.894336305988995</v>
      </c>
      <c r="S43" s="1"/>
      <c r="T43" s="321">
        <f ca="1">L43*(Z52/(Z52+AA52))</f>
        <v>1791.2870476819426</v>
      </c>
      <c r="U43" s="321"/>
      <c r="V43" s="298">
        <f ca="1">X43/C43</f>
        <v>48.105663694011</v>
      </c>
      <c r="W43" s="1"/>
      <c r="X43" s="321">
        <f ca="1">L43*(AA52/(Z52+AA52))</f>
        <v>7244.7129523180565</v>
      </c>
      <c r="AM43" s="20"/>
      <c r="AN43" s="20"/>
      <c r="AO43" s="20"/>
      <c r="AP43" s="20"/>
      <c r="AQ43" s="20"/>
      <c r="AR43" s="20"/>
      <c r="AS43" s="20"/>
    </row>
    <row r="44" spans="1:47">
      <c r="A44" s="323" t="s">
        <v>444</v>
      </c>
      <c r="B44" s="1"/>
      <c r="C44" s="319">
        <f t="shared" si="7"/>
        <v>68722</v>
      </c>
      <c r="D44" s="339">
        <v>-30</v>
      </c>
      <c r="E44" s="321" t="s">
        <v>374</v>
      </c>
      <c r="F44" s="321">
        <f t="shared" si="8"/>
        <v>-20617</v>
      </c>
      <c r="G44" s="339">
        <v>-30</v>
      </c>
      <c r="H44" s="321" t="s">
        <v>374</v>
      </c>
      <c r="I44" s="321">
        <f t="shared" si="9"/>
        <v>-20617</v>
      </c>
      <c r="J44" s="339">
        <f>'Blocking - detail'!I505</f>
        <v>-30</v>
      </c>
      <c r="K44" s="321" t="s">
        <v>374</v>
      </c>
      <c r="L44" s="321">
        <f t="shared" si="10"/>
        <v>-20617</v>
      </c>
      <c r="M44" s="321"/>
      <c r="N44" s="339">
        <f>J44</f>
        <v>-30</v>
      </c>
      <c r="O44" s="321" t="s">
        <v>374</v>
      </c>
      <c r="P44" s="321">
        <f>L44</f>
        <v>-20617</v>
      </c>
      <c r="Q44" s="321"/>
      <c r="R44" s="1587" t="s">
        <v>31</v>
      </c>
      <c r="S44" s="321" t="s">
        <v>31</v>
      </c>
      <c r="T44" s="322">
        <f>R44*C44</f>
        <v>0</v>
      </c>
      <c r="U44" s="321"/>
      <c r="V44" s="1587" t="s">
        <v>31</v>
      </c>
      <c r="W44" s="321" t="s">
        <v>31</v>
      </c>
      <c r="X44" s="322">
        <f>V44*C44</f>
        <v>0</v>
      </c>
      <c r="AM44" s="20"/>
      <c r="AN44" s="20"/>
      <c r="AO44" s="20"/>
      <c r="AP44" s="20"/>
      <c r="AQ44" s="20"/>
      <c r="AR44" s="20"/>
      <c r="AS44" s="20"/>
    </row>
    <row r="45" spans="1:47" s="1184" customFormat="1">
      <c r="A45" s="1005" t="s">
        <v>1026</v>
      </c>
      <c r="C45" s="1026">
        <f>C40</f>
        <v>5159480</v>
      </c>
      <c r="D45" s="269"/>
      <c r="E45" s="1185"/>
      <c r="F45" s="1203"/>
      <c r="G45" s="269"/>
      <c r="H45" s="1185"/>
      <c r="I45" s="1203"/>
      <c r="J45" s="1230">
        <f>J28</f>
        <v>3.415</v>
      </c>
      <c r="K45" s="1041" t="s">
        <v>374</v>
      </c>
      <c r="L45" s="321">
        <f t="shared" si="10"/>
        <v>-1762</v>
      </c>
      <c r="M45" s="321"/>
      <c r="N45" s="1230" t="str">
        <f>N28</f>
        <v xml:space="preserve"> </v>
      </c>
      <c r="O45" s="1041" t="s">
        <v>31</v>
      </c>
      <c r="P45" s="1040">
        <f>N45*C45/100*N32</f>
        <v>0</v>
      </c>
      <c r="Q45" s="321"/>
      <c r="R45" s="1230" t="s">
        <v>31</v>
      </c>
      <c r="S45" s="1041" t="s">
        <v>31</v>
      </c>
      <c r="T45" s="1040">
        <f>R45*C45/100*R32</f>
        <v>0</v>
      </c>
      <c r="U45" s="321"/>
      <c r="V45" s="1230">
        <f>V28</f>
        <v>3.415</v>
      </c>
      <c r="W45" s="1041" t="s">
        <v>374</v>
      </c>
      <c r="X45" s="321">
        <f>L45</f>
        <v>-1762</v>
      </c>
      <c r="Z45" s="815"/>
      <c r="AC45" s="1205"/>
      <c r="AD45" s="1205"/>
      <c r="AI45" s="1185"/>
      <c r="AJ45" s="1185"/>
      <c r="AK45" s="1185"/>
      <c r="AL45" s="1185"/>
      <c r="AM45" s="1185"/>
      <c r="AN45" s="1185"/>
      <c r="AO45" s="1185"/>
      <c r="AP45" s="1185"/>
      <c r="AQ45" s="1185"/>
      <c r="AR45" s="1185"/>
      <c r="AS45" s="1185"/>
      <c r="AU45" s="1204"/>
    </row>
    <row r="46" spans="1:47" s="1184" customFormat="1">
      <c r="A46" s="1005" t="s">
        <v>1027</v>
      </c>
      <c r="C46" s="1026">
        <f>C41</f>
        <v>11810179</v>
      </c>
      <c r="D46" s="269"/>
      <c r="E46" s="1185"/>
      <c r="F46" s="1203"/>
      <c r="G46" s="269"/>
      <c r="H46" s="1185"/>
      <c r="I46" s="1203"/>
      <c r="J46" s="1230">
        <f>J29</f>
        <v>3.1309999999999998</v>
      </c>
      <c r="K46" s="1041" t="s">
        <v>374</v>
      </c>
      <c r="L46" s="321">
        <f t="shared" si="10"/>
        <v>-3698</v>
      </c>
      <c r="M46" s="321"/>
      <c r="N46" s="1230" t="str">
        <f>N29</f>
        <v xml:space="preserve"> </v>
      </c>
      <c r="O46" s="1041" t="s">
        <v>31</v>
      </c>
      <c r="P46" s="1040">
        <f>N46*C46/100*N32</f>
        <v>0</v>
      </c>
      <c r="Q46" s="321"/>
      <c r="R46" s="1230" t="s">
        <v>31</v>
      </c>
      <c r="S46" s="1041" t="s">
        <v>31</v>
      </c>
      <c r="T46" s="1040">
        <f>R46*C46/100*R32</f>
        <v>0</v>
      </c>
      <c r="U46" s="321"/>
      <c r="V46" s="1230">
        <f>V29</f>
        <v>3.1309999999999998</v>
      </c>
      <c r="W46" s="1041" t="s">
        <v>374</v>
      </c>
      <c r="X46" s="321">
        <f>L46</f>
        <v>-3698</v>
      </c>
      <c r="Y46" s="1184" t="s">
        <v>31</v>
      </c>
      <c r="Z46" s="815"/>
      <c r="AC46" s="1205"/>
      <c r="AD46" s="1205"/>
      <c r="AI46" s="1185"/>
      <c r="AJ46" s="1185"/>
      <c r="AK46" s="1185"/>
      <c r="AL46" s="1185"/>
      <c r="AM46" s="1185"/>
      <c r="AN46" s="1185"/>
      <c r="AO46" s="1185"/>
      <c r="AP46" s="1185"/>
      <c r="AQ46" s="1185"/>
      <c r="AR46" s="1185"/>
      <c r="AS46" s="1185"/>
      <c r="AU46" s="1204"/>
    </row>
    <row r="47" spans="1:47">
      <c r="A47" s="1" t="s">
        <v>381</v>
      </c>
      <c r="B47" s="65"/>
      <c r="C47" s="319">
        <f>C87+C125</f>
        <v>899742772.17576289</v>
      </c>
      <c r="D47" s="324"/>
      <c r="E47" s="2"/>
      <c r="F47" s="2">
        <f t="shared" ref="F47" si="16">F87+F125</f>
        <v>63536032</v>
      </c>
      <c r="G47" s="324"/>
      <c r="H47" s="1"/>
      <c r="I47" s="2">
        <f>I87+I125</f>
        <v>67121824</v>
      </c>
      <c r="J47" s="2"/>
      <c r="K47" s="1"/>
      <c r="L47" s="2">
        <f t="shared" ca="1" si="10"/>
        <v>74579006</v>
      </c>
      <c r="M47" s="2"/>
      <c r="N47" s="2"/>
      <c r="O47" s="1"/>
      <c r="P47" s="2">
        <f ca="1">SUM(P15:P46)</f>
        <v>9660692.3770356867</v>
      </c>
      <c r="Q47" s="2"/>
      <c r="R47" s="2"/>
      <c r="S47" s="1"/>
      <c r="T47" s="2">
        <f ca="1">SUM(T15:T46)</f>
        <v>12869337.577486744</v>
      </c>
      <c r="U47" s="2"/>
      <c r="V47" s="2"/>
      <c r="W47" s="1"/>
      <c r="X47" s="2">
        <f ca="1">SUM(X15:X46)</f>
        <v>52048976.045477591</v>
      </c>
      <c r="AA47" s="804"/>
      <c r="AB47" s="804"/>
      <c r="AM47" s="20"/>
      <c r="AN47" s="20"/>
      <c r="AO47" s="20"/>
      <c r="AP47" s="20"/>
      <c r="AQ47" s="20"/>
      <c r="AR47" s="20"/>
      <c r="AS47" s="20"/>
    </row>
    <row r="48" spans="1:47">
      <c r="A48" s="1" t="s">
        <v>363</v>
      </c>
      <c r="B48" s="25"/>
      <c r="C48" s="340">
        <f ca="1">C88+C126</f>
        <v>-3969620.9678243943</v>
      </c>
      <c r="D48" s="309"/>
      <c r="E48" s="309"/>
      <c r="F48" s="310">
        <f ca="1">I48</f>
        <v>-311647.89596808294</v>
      </c>
      <c r="G48" s="309"/>
      <c r="H48" s="309"/>
      <c r="I48" s="310">
        <f ca="1">I88+I126</f>
        <v>-311647.89596808294</v>
      </c>
      <c r="J48" s="309"/>
      <c r="K48" s="309"/>
      <c r="L48" s="310">
        <f ca="1">I48</f>
        <v>-311647.89596808294</v>
      </c>
      <c r="M48" s="51"/>
      <c r="N48" s="309"/>
      <c r="O48" s="309"/>
      <c r="P48" s="310">
        <f ca="1">$L$48*Y52/($Y$52+$Z$52+$AA$52)</f>
        <v>-40369.731568936026</v>
      </c>
      <c r="Q48" s="51"/>
      <c r="R48" s="309"/>
      <c r="S48" s="309"/>
      <c r="T48" s="310">
        <f ca="1">$L$48*Z52/($Y$52+$Z$52+$AA$52)</f>
        <v>-53777.89533058041</v>
      </c>
      <c r="U48" s="51"/>
      <c r="V48" s="309"/>
      <c r="W48" s="309"/>
      <c r="X48" s="310">
        <f ca="1">$L$48*AA52/($Y$52+$Z$52+$AA$52)</f>
        <v>-217500.2690685665</v>
      </c>
      <c r="Y48" s="289"/>
      <c r="Z48" s="290"/>
      <c r="AM48" s="20"/>
      <c r="AN48" s="20"/>
      <c r="AO48" s="20"/>
      <c r="AP48" s="20"/>
      <c r="AQ48" s="20"/>
      <c r="AR48" s="20"/>
      <c r="AS48" s="20"/>
    </row>
    <row r="49" spans="1:45" ht="16.5" thickBot="1">
      <c r="A49" s="1" t="s">
        <v>382</v>
      </c>
      <c r="B49" s="1"/>
      <c r="C49" s="366">
        <f ca="1">SUM(C47)+C48</f>
        <v>895773151.20793855</v>
      </c>
      <c r="D49" s="342"/>
      <c r="E49" s="343"/>
      <c r="F49" s="344">
        <f ca="1">F47+F48</f>
        <v>63224384.10403192</v>
      </c>
      <c r="G49" s="342"/>
      <c r="H49" s="345"/>
      <c r="I49" s="344">
        <f ca="1">I47+I48</f>
        <v>66810176.10403192</v>
      </c>
      <c r="J49" s="342"/>
      <c r="K49" s="345"/>
      <c r="L49" s="344">
        <f ca="1">L47+L48</f>
        <v>74267358.10403192</v>
      </c>
      <c r="M49" s="344"/>
      <c r="N49" s="342"/>
      <c r="O49" s="345"/>
      <c r="P49" s="344">
        <f ca="1">P47+P48</f>
        <v>9620322.6454667505</v>
      </c>
      <c r="Q49" s="344"/>
      <c r="R49" s="342"/>
      <c r="S49" s="345"/>
      <c r="T49" s="344">
        <f ca="1">T47+T48</f>
        <v>12815559.682156164</v>
      </c>
      <c r="U49" s="344"/>
      <c r="V49" s="342"/>
      <c r="W49" s="345"/>
      <c r="X49" s="344">
        <f ca="1">X47+X48</f>
        <v>51831475.776409023</v>
      </c>
      <c r="Y49" s="784" t="s">
        <v>409</v>
      </c>
      <c r="Z49" s="1129">
        <f ca="1">'Rate Spread targets'!Q24*1000</f>
        <v>74266982.95100601</v>
      </c>
      <c r="AA49" s="818">
        <f ca="1">'Rate Spread targets'!V24+0.00004</f>
        <v>0.11165184241398937</v>
      </c>
      <c r="AB49" s="777"/>
      <c r="AC49" s="801">
        <f ca="1">'Rate Spread targets'!V24</f>
        <v>0.11161184241398937</v>
      </c>
      <c r="AD49" s="4" t="s">
        <v>1046</v>
      </c>
      <c r="AM49" s="20"/>
      <c r="AN49" s="20"/>
      <c r="AO49" s="20"/>
      <c r="AP49" s="20"/>
      <c r="AQ49" s="20"/>
      <c r="AR49" s="20"/>
      <c r="AS49" s="20"/>
    </row>
    <row r="50" spans="1:45" ht="16.5" thickTop="1">
      <c r="A50" s="1"/>
      <c r="B50" s="1"/>
      <c r="C50" s="26"/>
      <c r="D50" s="351"/>
      <c r="E50" s="352"/>
      <c r="F50" s="322"/>
      <c r="G50" s="351"/>
      <c r="H50" s="23"/>
      <c r="I50" s="322"/>
      <c r="J50" s="351"/>
      <c r="K50" s="23"/>
      <c r="L50" s="322"/>
      <c r="M50" s="322"/>
      <c r="N50" s="351"/>
      <c r="O50" s="23"/>
      <c r="P50" s="322"/>
      <c r="Q50" s="322"/>
      <c r="R50" s="351"/>
      <c r="S50" s="23"/>
      <c r="T50" s="322"/>
      <c r="U50" s="322"/>
      <c r="V50" s="351"/>
      <c r="W50" s="23"/>
      <c r="X50" s="322"/>
      <c r="Y50" s="112" t="s">
        <v>263</v>
      </c>
      <c r="Z50" s="811">
        <f ca="1">Z49-L49</f>
        <v>-375.15302591025829</v>
      </c>
      <c r="AA50" s="814" t="s">
        <v>31</v>
      </c>
      <c r="AB50" s="777"/>
      <c r="AC50" s="55"/>
      <c r="AM50" s="20"/>
      <c r="AN50" s="20"/>
      <c r="AO50" s="20"/>
      <c r="AP50" s="20"/>
      <c r="AQ50" s="20"/>
      <c r="AR50" s="20"/>
      <c r="AS50" s="20"/>
    </row>
    <row r="51" spans="1:45">
      <c r="A51" s="1"/>
      <c r="B51" s="1"/>
      <c r="C51" s="26"/>
      <c r="D51" s="351"/>
      <c r="E51" s="352"/>
      <c r="F51" s="322"/>
      <c r="G51" s="351"/>
      <c r="H51" s="23"/>
      <c r="I51" s="322"/>
      <c r="J51" s="351"/>
      <c r="K51" s="23"/>
      <c r="L51" s="322"/>
      <c r="M51" s="322"/>
      <c r="N51" s="351"/>
      <c r="O51" s="23"/>
      <c r="P51" s="322"/>
      <c r="Q51" s="322"/>
      <c r="R51" s="351"/>
      <c r="S51" s="23"/>
      <c r="T51" s="322"/>
      <c r="U51" s="322"/>
      <c r="V51" s="351"/>
      <c r="W51" s="23"/>
      <c r="X51" s="322"/>
      <c r="Y51" s="1581">
        <f>'Exh No.__(JRS-17) p11'!J35+'Exh No.__(JRS-17) p11'!K35+'Exh No.__(JRS-17) p11'!L35</f>
        <v>0.12953635205376279</v>
      </c>
      <c r="Z51" s="1585">
        <f>'Exh No.__(JRS-17) p11'!I35</f>
        <v>0.17255978951350925</v>
      </c>
      <c r="AA51" s="744">
        <f>'Exh No.__(JRS-17) p11'!H35</f>
        <v>0.69790385843272817</v>
      </c>
      <c r="AB51" s="777"/>
      <c r="AC51" s="55"/>
      <c r="AM51" s="20"/>
      <c r="AN51" s="20"/>
      <c r="AO51" s="20"/>
      <c r="AP51" s="20"/>
      <c r="AQ51" s="20"/>
      <c r="AR51" s="20"/>
      <c r="AS51" s="20"/>
    </row>
    <row r="52" spans="1:45">
      <c r="A52" s="1"/>
      <c r="B52" s="1"/>
      <c r="C52" s="21"/>
      <c r="D52" s="337" t="s">
        <v>31</v>
      </c>
      <c r="E52" s="2"/>
      <c r="F52" s="2"/>
      <c r="G52" s="337" t="s">
        <v>31</v>
      </c>
      <c r="H52" s="1"/>
      <c r="I52" s="2" t="s">
        <v>31</v>
      </c>
      <c r="J52" s="353" t="s">
        <v>31</v>
      </c>
      <c r="K52" s="1"/>
      <c r="L52" s="2" t="s">
        <v>31</v>
      </c>
      <c r="M52" s="2"/>
      <c r="N52" s="353" t="s">
        <v>31</v>
      </c>
      <c r="O52" s="1"/>
      <c r="P52" s="2" t="s">
        <v>31</v>
      </c>
      <c r="Q52" s="2"/>
      <c r="R52" s="353" t="s">
        <v>31</v>
      </c>
      <c r="S52" s="1"/>
      <c r="T52" s="2" t="s">
        <v>31</v>
      </c>
      <c r="U52" s="2"/>
      <c r="V52" s="353" t="s">
        <v>31</v>
      </c>
      <c r="W52" s="1"/>
      <c r="X52" s="2" t="s">
        <v>31</v>
      </c>
      <c r="Y52" s="1204">
        <f ca="1">Y51*$L$49</f>
        <v>9620322.6454667524</v>
      </c>
      <c r="Z52" s="1204">
        <f t="shared" ref="Z52:AA52" ca="1" si="17">Z51*$L$49</f>
        <v>12815559.682156164</v>
      </c>
      <c r="AA52" s="1204">
        <f t="shared" ca="1" si="17"/>
        <v>51831475.776409023</v>
      </c>
      <c r="AB52" s="1272" t="s">
        <v>409</v>
      </c>
      <c r="AM52" s="20"/>
      <c r="AN52" s="20"/>
      <c r="AO52" s="20"/>
      <c r="AP52" s="20"/>
      <c r="AQ52" s="20"/>
      <c r="AR52" s="20"/>
      <c r="AS52" s="20"/>
    </row>
    <row r="53" spans="1:45">
      <c r="A53" s="293" t="s">
        <v>436</v>
      </c>
      <c r="B53" s="1"/>
      <c r="C53" s="1"/>
      <c r="D53" s="2"/>
      <c r="E53" s="2"/>
      <c r="F53" s="1" t="s">
        <v>31</v>
      </c>
      <c r="G53" s="2"/>
      <c r="H53" s="1"/>
      <c r="I53" s="1"/>
      <c r="J53" s="2"/>
      <c r="K53" s="1"/>
      <c r="L53" s="1"/>
      <c r="M53" s="1"/>
      <c r="N53" s="2"/>
      <c r="O53" s="1"/>
      <c r="P53" s="1"/>
      <c r="Q53" s="1"/>
      <c r="R53" s="2"/>
      <c r="S53" s="1"/>
      <c r="T53" s="1"/>
      <c r="U53" s="1"/>
      <c r="V53" s="2"/>
      <c r="W53" s="1"/>
      <c r="X53" s="1"/>
      <c r="AM53" s="20"/>
      <c r="AN53" s="20"/>
      <c r="AO53" s="20"/>
      <c r="AP53" s="20"/>
      <c r="AQ53" s="20"/>
      <c r="AR53" s="20"/>
      <c r="AS53" s="20"/>
    </row>
    <row r="54" spans="1:45">
      <c r="A54" s="309" t="s">
        <v>445</v>
      </c>
      <c r="B54" s="1"/>
      <c r="C54" s="1"/>
      <c r="D54" s="2"/>
      <c r="E54" s="2"/>
      <c r="F54" s="1"/>
      <c r="G54" s="2"/>
      <c r="H54" s="1"/>
      <c r="I54" s="1"/>
      <c r="J54" s="2"/>
      <c r="K54" s="1"/>
      <c r="L54" s="1"/>
      <c r="M54" s="1"/>
      <c r="N54" s="2"/>
      <c r="O54" s="1"/>
      <c r="P54" s="1"/>
      <c r="Q54" s="1"/>
      <c r="R54" s="2"/>
      <c r="S54" s="1"/>
      <c r="T54" s="1"/>
      <c r="U54" s="1"/>
      <c r="V54" s="2"/>
      <c r="W54" s="1"/>
      <c r="X54" s="1"/>
      <c r="Z54" s="276" t="s">
        <v>31</v>
      </c>
      <c r="AM54" s="20"/>
      <c r="AN54" s="20"/>
      <c r="AO54" s="20"/>
      <c r="AP54" s="20"/>
      <c r="AQ54" s="20"/>
      <c r="AR54" s="20"/>
      <c r="AS54" s="20"/>
    </row>
    <row r="55" spans="1:45">
      <c r="A55" s="323"/>
      <c r="B55" s="1"/>
      <c r="C55" s="1"/>
      <c r="D55" s="2"/>
      <c r="E55" s="2"/>
      <c r="F55" s="1"/>
      <c r="G55" s="2"/>
      <c r="H55" s="1"/>
      <c r="I55" s="1"/>
      <c r="J55" s="2"/>
      <c r="K55" s="1"/>
      <c r="L55" s="1"/>
      <c r="M55" s="1"/>
      <c r="N55" s="2"/>
      <c r="O55" s="1"/>
      <c r="P55" s="1"/>
      <c r="Q55" s="1"/>
      <c r="R55" s="2"/>
      <c r="S55" s="1"/>
      <c r="T55" s="1"/>
      <c r="U55" s="1"/>
      <c r="V55" s="2"/>
      <c r="W55" s="1"/>
      <c r="X55" s="1"/>
      <c r="Y55" s="20"/>
      <c r="Z55" s="74"/>
      <c r="AA55" s="74"/>
      <c r="AB55" s="74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</row>
    <row r="56" spans="1:45">
      <c r="A56" s="323" t="s">
        <v>393</v>
      </c>
      <c r="B56" s="1"/>
      <c r="C56" s="319"/>
      <c r="D56" s="2"/>
      <c r="E56" s="2"/>
      <c r="F56" s="1"/>
      <c r="G56" s="2"/>
      <c r="H56" s="1"/>
      <c r="I56" s="1"/>
      <c r="J56" s="2"/>
      <c r="K56" s="1"/>
      <c r="L56" s="1"/>
      <c r="M56" s="1"/>
      <c r="N56" s="2"/>
      <c r="O56" s="1"/>
      <c r="P56" s="1"/>
      <c r="Q56" s="1"/>
      <c r="R56" s="2"/>
      <c r="S56" s="1"/>
      <c r="T56" s="1"/>
      <c r="U56" s="1"/>
      <c r="V56" s="2"/>
      <c r="W56" s="1"/>
      <c r="X56" s="1"/>
      <c r="Y56" s="20"/>
      <c r="Z56" s="74"/>
      <c r="AA56" s="74"/>
      <c r="AB56" s="74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</row>
    <row r="57" spans="1:45">
      <c r="A57" s="323" t="s">
        <v>421</v>
      </c>
      <c r="B57" s="1"/>
      <c r="C57" s="319">
        <f>[50]Sheet1!$E$2+[50]Sheet1!$E$5+[50]Sheet1!$E$8+[50]Sheet1!$E$11</f>
        <v>268.23333333333369</v>
      </c>
      <c r="D57" s="298">
        <v>259</v>
      </c>
      <c r="E57" s="323"/>
      <c r="F57" s="321">
        <f>ROUND(D57*$C57,0)</f>
        <v>69472</v>
      </c>
      <c r="G57" s="298">
        <v>259</v>
      </c>
      <c r="H57" s="323"/>
      <c r="I57" s="321">
        <f>ROUND(G57*C57,0)</f>
        <v>69472</v>
      </c>
      <c r="J57" s="298">
        <f>$J$15</f>
        <v>259</v>
      </c>
      <c r="K57" s="323"/>
      <c r="L57" s="321">
        <f>ROUND(J57*$C57,0)</f>
        <v>69472</v>
      </c>
      <c r="M57" s="321"/>
      <c r="N57" s="298">
        <f>$N$15</f>
        <v>259</v>
      </c>
      <c r="O57" s="323"/>
      <c r="P57" s="321">
        <f>ROUND(N57*$C57,0)</f>
        <v>69472</v>
      </c>
      <c r="Q57" s="321"/>
      <c r="R57" s="298" t="str">
        <f>$R$15</f>
        <v xml:space="preserve"> </v>
      </c>
      <c r="S57" s="323"/>
      <c r="T57" s="321">
        <f>ROUND(R57*$C57,0)</f>
        <v>0</v>
      </c>
      <c r="U57" s="321"/>
      <c r="V57" s="298" t="str">
        <f>$V$15</f>
        <v xml:space="preserve"> </v>
      </c>
      <c r="W57" s="323"/>
      <c r="X57" s="321">
        <f>ROUND(V57*$C57,0)</f>
        <v>0</v>
      </c>
      <c r="AA57" s="74"/>
      <c r="AB57" s="74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</row>
    <row r="58" spans="1:45">
      <c r="A58" s="323" t="s">
        <v>422</v>
      </c>
      <c r="B58" s="1"/>
      <c r="C58" s="319">
        <f>[50]Sheet1!$E$3+[50]Sheet1!$E$6+[50]Sheet1!$E$9+[50]Sheet1!$E$12</f>
        <v>7728.2333333333399</v>
      </c>
      <c r="D58" s="298">
        <v>96</v>
      </c>
      <c r="E58" s="323"/>
      <c r="F58" s="321">
        <f>ROUND(D58*$C58,0)</f>
        <v>741910</v>
      </c>
      <c r="G58" s="298">
        <v>96</v>
      </c>
      <c r="H58" s="323"/>
      <c r="I58" s="321">
        <f>ROUND(G58*C58,0)</f>
        <v>741910</v>
      </c>
      <c r="J58" s="298">
        <f>$J$16</f>
        <v>96</v>
      </c>
      <c r="K58" s="323"/>
      <c r="L58" s="321">
        <f>ROUND(J58*$C58,0)</f>
        <v>741910</v>
      </c>
      <c r="M58" s="321"/>
      <c r="N58" s="298">
        <f>$N$16</f>
        <v>96</v>
      </c>
      <c r="O58" s="323"/>
      <c r="P58" s="321">
        <f>ROUND(N58*$C58,0)</f>
        <v>741910</v>
      </c>
      <c r="Q58" s="321"/>
      <c r="R58" s="298" t="str">
        <f>$R$16</f>
        <v xml:space="preserve"> </v>
      </c>
      <c r="S58" s="323"/>
      <c r="T58" s="321">
        <f>ROUND(R58*$C58,0)</f>
        <v>0</v>
      </c>
      <c r="U58" s="321"/>
      <c r="V58" s="298" t="str">
        <f>$V$16</f>
        <v xml:space="preserve"> </v>
      </c>
      <c r="W58" s="323"/>
      <c r="X58" s="321">
        <f>ROUND(V58*$C58,0)</f>
        <v>0</v>
      </c>
      <c r="AA58" s="74"/>
      <c r="AB58" s="74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</row>
    <row r="59" spans="1:45">
      <c r="A59" s="323" t="s">
        <v>423</v>
      </c>
      <c r="B59" s="1"/>
      <c r="C59" s="319">
        <f>[50]Sheet1!$E$4+[50]Sheet1!$E$7+[50]Sheet1!$E$10</f>
        <v>3062.6</v>
      </c>
      <c r="D59" s="298">
        <v>192</v>
      </c>
      <c r="E59" s="325"/>
      <c r="F59" s="321">
        <f>ROUND(D59*$C59,0)</f>
        <v>588019</v>
      </c>
      <c r="G59" s="298">
        <v>192</v>
      </c>
      <c r="H59" s="325"/>
      <c r="I59" s="321">
        <f>ROUND(G59*C59,0)</f>
        <v>588019</v>
      </c>
      <c r="J59" s="298">
        <f>$J$17</f>
        <v>192</v>
      </c>
      <c r="K59" s="325"/>
      <c r="L59" s="321">
        <f>ROUND(J59*$C59,0)</f>
        <v>588019</v>
      </c>
      <c r="M59" s="321"/>
      <c r="N59" s="298">
        <f>$N$17</f>
        <v>192</v>
      </c>
      <c r="O59" s="325"/>
      <c r="P59" s="321">
        <f>ROUND(N59*$C59,0)</f>
        <v>588019</v>
      </c>
      <c r="Q59" s="321"/>
      <c r="R59" s="298" t="str">
        <f>$R$17</f>
        <v xml:space="preserve"> </v>
      </c>
      <c r="S59" s="325"/>
      <c r="T59" s="321">
        <f>ROUND(R59*$C59,0)</f>
        <v>0</v>
      </c>
      <c r="U59" s="321"/>
      <c r="V59" s="298" t="str">
        <f>$V$17</f>
        <v xml:space="preserve"> </v>
      </c>
      <c r="W59" s="325"/>
      <c r="X59" s="321">
        <f>ROUND(V59*$C59,0)</f>
        <v>0</v>
      </c>
      <c r="AA59" s="74"/>
      <c r="AB59" s="74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</row>
    <row r="60" spans="1:45">
      <c r="A60" s="323" t="s">
        <v>394</v>
      </c>
      <c r="B60" s="1"/>
      <c r="C60" s="319">
        <f>SUM(C57:C59)</f>
        <v>11059.066666666673</v>
      </c>
      <c r="D60" s="298"/>
      <c r="E60" s="323"/>
      <c r="F60" s="321"/>
      <c r="G60" s="298"/>
      <c r="H60" s="323"/>
      <c r="I60" s="321"/>
      <c r="J60" s="298"/>
      <c r="K60" s="323"/>
      <c r="L60" s="321"/>
      <c r="M60" s="321"/>
      <c r="N60" s="298"/>
      <c r="O60" s="323"/>
      <c r="P60" s="321"/>
      <c r="Q60" s="321"/>
      <c r="R60" s="298"/>
      <c r="S60" s="323"/>
      <c r="T60" s="321"/>
      <c r="U60" s="321"/>
      <c r="V60" s="298"/>
      <c r="W60" s="323"/>
      <c r="X60" s="321"/>
      <c r="AA60" s="74"/>
      <c r="AB60" s="74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</row>
    <row r="61" spans="1:45">
      <c r="A61" s="323" t="s">
        <v>422</v>
      </c>
      <c r="B61" s="1"/>
      <c r="C61" s="319">
        <f>[50]Sheet1!$F$3+[50]Sheet1!$F$6+[50]Sheet1!$F$9+[50]Sheet1!$F$12</f>
        <v>1332188</v>
      </c>
      <c r="D61" s="298">
        <v>1.7</v>
      </c>
      <c r="E61" s="323" t="s">
        <v>31</v>
      </c>
      <c r="F61" s="321">
        <f>ROUND(D61*$C61,0)</f>
        <v>2264720</v>
      </c>
      <c r="G61" s="298">
        <v>1.7</v>
      </c>
      <c r="H61" s="323" t="s">
        <v>31</v>
      </c>
      <c r="I61" s="321">
        <f t="shared" ref="I61:I62" si="18">ROUND(G61*C61,0)</f>
        <v>2264720</v>
      </c>
      <c r="J61" s="298">
        <f ca="1">$J$19</f>
        <v>1.89</v>
      </c>
      <c r="K61" s="323" t="s">
        <v>31</v>
      </c>
      <c r="L61" s="321">
        <f ca="1">ROUND(J61*$C61,0)</f>
        <v>2517835</v>
      </c>
      <c r="M61" s="321"/>
      <c r="N61" s="298">
        <f ca="1">$N$19</f>
        <v>1.89</v>
      </c>
      <c r="O61" s="323" t="s">
        <v>31</v>
      </c>
      <c r="P61" s="321">
        <f ca="1">ROUND(N61*$C61,0)</f>
        <v>2517835</v>
      </c>
      <c r="Q61" s="321"/>
      <c r="R61" s="298" t="str">
        <f>$R$19</f>
        <v xml:space="preserve"> </v>
      </c>
      <c r="S61" s="323" t="s">
        <v>31</v>
      </c>
      <c r="T61" s="321">
        <f>ROUND(R61*$C61,0)</f>
        <v>0</v>
      </c>
      <c r="U61" s="321"/>
      <c r="V61" s="298" t="str">
        <f>$V$19</f>
        <v xml:space="preserve"> </v>
      </c>
      <c r="W61" s="323" t="s">
        <v>31</v>
      </c>
      <c r="X61" s="321">
        <f>ROUND(V61*$C61,0)</f>
        <v>0</v>
      </c>
      <c r="AA61" s="74"/>
      <c r="AB61" s="74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</row>
    <row r="62" spans="1:45">
      <c r="A62" s="323" t="s">
        <v>423</v>
      </c>
      <c r="B62" s="1"/>
      <c r="C62" s="319">
        <f>[50]Sheet1!$F$4+[50]Sheet1!$F$7+[50]Sheet1!$F$10</f>
        <v>1526782</v>
      </c>
      <c r="D62" s="298">
        <v>1.39</v>
      </c>
      <c r="E62" s="323" t="s">
        <v>31</v>
      </c>
      <c r="F62" s="321">
        <f>ROUND(D62*$C62,0)</f>
        <v>2122227</v>
      </c>
      <c r="G62" s="298">
        <v>1.39</v>
      </c>
      <c r="H62" s="323" t="s">
        <v>31</v>
      </c>
      <c r="I62" s="321">
        <f t="shared" si="18"/>
        <v>2122227</v>
      </c>
      <c r="J62" s="298">
        <f ca="1">$J$20</f>
        <v>1.55</v>
      </c>
      <c r="K62" s="323" t="s">
        <v>31</v>
      </c>
      <c r="L62" s="321">
        <f ca="1">ROUND(J62*$C62,0)</f>
        <v>2366512</v>
      </c>
      <c r="M62" s="321"/>
      <c r="N62" s="298">
        <f ca="1">$N$20</f>
        <v>1.55</v>
      </c>
      <c r="O62" s="323" t="s">
        <v>31</v>
      </c>
      <c r="P62" s="321">
        <f ca="1">ROUND(N62*$C62,0)</f>
        <v>2366512</v>
      </c>
      <c r="Q62" s="321"/>
      <c r="R62" s="298" t="str">
        <f>$R$20</f>
        <v xml:space="preserve"> </v>
      </c>
      <c r="S62" s="323" t="s">
        <v>31</v>
      </c>
      <c r="T62" s="321">
        <f>ROUND(R62*$C62,0)</f>
        <v>0</v>
      </c>
      <c r="U62" s="321"/>
      <c r="V62" s="298" t="str">
        <f>$V$20</f>
        <v xml:space="preserve"> </v>
      </c>
      <c r="W62" s="323" t="s">
        <v>31</v>
      </c>
      <c r="X62" s="321">
        <f>ROUND(V62*$C62,0)</f>
        <v>0</v>
      </c>
      <c r="AA62" s="74"/>
      <c r="AB62" s="74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</row>
    <row r="63" spans="1:45">
      <c r="A63" s="309" t="s">
        <v>424</v>
      </c>
      <c r="B63" s="1"/>
      <c r="C63" s="319"/>
      <c r="D63" s="355"/>
      <c r="E63" s="323"/>
      <c r="F63" s="321"/>
      <c r="G63" s="355"/>
      <c r="H63" s="323"/>
      <c r="I63" s="321"/>
      <c r="J63" s="355"/>
      <c r="K63" s="323"/>
      <c r="L63" s="321"/>
      <c r="M63" s="321"/>
      <c r="N63" s="355"/>
      <c r="O63" s="323"/>
      <c r="P63" s="321"/>
      <c r="Q63" s="321"/>
      <c r="R63" s="355"/>
      <c r="S63" s="323"/>
      <c r="T63" s="321"/>
      <c r="U63" s="321"/>
      <c r="V63" s="355"/>
      <c r="W63" s="323"/>
      <c r="X63" s="321"/>
      <c r="AA63" s="74"/>
      <c r="AB63" s="74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</row>
    <row r="64" spans="1:45">
      <c r="A64" s="309" t="s">
        <v>425</v>
      </c>
      <c r="B64" s="1"/>
      <c r="C64" s="319">
        <f>[50]Sheet1!$I$22+[50]Sheet1!$I$24</f>
        <v>2162284</v>
      </c>
      <c r="D64" s="298">
        <v>4.4400000000000004</v>
      </c>
      <c r="E64" s="323"/>
      <c r="F64" s="321">
        <f>ROUND(D64*$C64,0)</f>
        <v>9600541</v>
      </c>
      <c r="G64" s="298">
        <v>4.72</v>
      </c>
      <c r="H64" s="323"/>
      <c r="I64" s="321">
        <f t="shared" ref="I64:I65" si="19">ROUND(G64*C64,0)</f>
        <v>10205980</v>
      </c>
      <c r="J64" s="298">
        <f ca="1">$J$22</f>
        <v>5.3</v>
      </c>
      <c r="K64" s="323"/>
      <c r="L64" s="321">
        <f ca="1">ROUND(J64*$C64,0)</f>
        <v>11460105</v>
      </c>
      <c r="M64" s="321"/>
      <c r="N64" s="298">
        <f ca="1">$N$22</f>
        <v>0.95</v>
      </c>
      <c r="O64" s="323"/>
      <c r="P64" s="321">
        <f ca="1">ROUND(N64*$C64,0)</f>
        <v>2054170</v>
      </c>
      <c r="Q64" s="321"/>
      <c r="R64" s="298">
        <f ca="1">$R$22</f>
        <v>0.86</v>
      </c>
      <c r="S64" s="323"/>
      <c r="T64" s="321">
        <f ca="1">ROUND(R64*$C64,0)</f>
        <v>1859564</v>
      </c>
      <c r="U64" s="321"/>
      <c r="V64" s="298">
        <f ca="1">$V$22</f>
        <v>3.49</v>
      </c>
      <c r="W64" s="323"/>
      <c r="X64" s="321">
        <f ca="1">ROUND(V64*$C64,0)</f>
        <v>7546371</v>
      </c>
      <c r="AA64" s="74"/>
      <c r="AB64" s="74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</row>
    <row r="65" spans="1:47">
      <c r="A65" s="309" t="s">
        <v>441</v>
      </c>
      <c r="B65" s="1"/>
      <c r="C65" s="319">
        <f>[50]Sheet1!$J$22+[50]Sheet1!$J$24</f>
        <v>1056.3333333333362</v>
      </c>
      <c r="D65" s="369">
        <v>4.4400000000000004</v>
      </c>
      <c r="E65" s="323"/>
      <c r="F65" s="321">
        <f>ROUND(D65*$C65,0)</f>
        <v>4690</v>
      </c>
      <c r="G65" s="369">
        <v>4.72</v>
      </c>
      <c r="H65" s="323"/>
      <c r="I65" s="321">
        <f t="shared" si="19"/>
        <v>4986</v>
      </c>
      <c r="J65" s="369">
        <f ca="1">J64</f>
        <v>5.3</v>
      </c>
      <c r="K65" s="323"/>
      <c r="L65" s="321">
        <f ca="1">ROUND(J65*$C65,0)</f>
        <v>5599</v>
      </c>
      <c r="M65" s="321"/>
      <c r="N65" s="369">
        <f ca="1">N64</f>
        <v>0.95</v>
      </c>
      <c r="O65" s="323"/>
      <c r="P65" s="321">
        <f ca="1">ROUND(N65*$C65,0)</f>
        <v>1004</v>
      </c>
      <c r="Q65" s="321"/>
      <c r="R65" s="369">
        <f ca="1">R64</f>
        <v>0.86</v>
      </c>
      <c r="S65" s="323"/>
      <c r="T65" s="321">
        <f ca="1">ROUND(R65*$C65,0)</f>
        <v>908</v>
      </c>
      <c r="U65" s="321"/>
      <c r="V65" s="369">
        <f ca="1">V64</f>
        <v>3.49</v>
      </c>
      <c r="W65" s="323"/>
      <c r="X65" s="321">
        <f ca="1">ROUND(V65*$C65,0)</f>
        <v>3687</v>
      </c>
      <c r="AA65" s="74"/>
      <c r="AB65" s="74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</row>
    <row r="66" spans="1:47">
      <c r="A66" s="323" t="s">
        <v>426</v>
      </c>
      <c r="B66" s="1"/>
      <c r="C66" s="319"/>
      <c r="D66" s="298"/>
      <c r="E66" s="323"/>
      <c r="F66" s="321"/>
      <c r="G66" s="298"/>
      <c r="H66" s="323"/>
      <c r="I66" s="321"/>
      <c r="J66" s="298"/>
      <c r="K66" s="323"/>
      <c r="L66" s="321"/>
      <c r="M66" s="321"/>
      <c r="N66" s="298"/>
      <c r="O66" s="323"/>
      <c r="P66" s="321"/>
      <c r="Q66" s="321"/>
      <c r="R66" s="298"/>
      <c r="S66" s="323"/>
      <c r="T66" s="321"/>
      <c r="U66" s="321"/>
      <c r="V66" s="298"/>
      <c r="W66" s="323"/>
      <c r="X66" s="321"/>
      <c r="AA66" s="74"/>
      <c r="AB66" s="74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</row>
    <row r="67" spans="1:47">
      <c r="A67" s="323" t="s">
        <v>427</v>
      </c>
      <c r="B67" s="319"/>
      <c r="C67" s="319">
        <f>[50]Sheet1!$H$22+[50]Sheet1!$H$24+Temperature!C110*1000</f>
        <v>352966596.14110196</v>
      </c>
      <c r="D67" s="328">
        <v>5.2919999999999998</v>
      </c>
      <c r="E67" s="323" t="s">
        <v>374</v>
      </c>
      <c r="F67" s="321">
        <f>ROUND(D67*$C67/100,0)</f>
        <v>18678992</v>
      </c>
      <c r="G67" s="328">
        <v>5.6289999999999996</v>
      </c>
      <c r="H67" s="323" t="s">
        <v>374</v>
      </c>
      <c r="I67" s="321">
        <f>ROUND(G67*C67/100,0)</f>
        <v>19868490</v>
      </c>
      <c r="J67" s="327">
        <f ca="1">$J$25</f>
        <v>2.8460000000000001</v>
      </c>
      <c r="K67" s="323" t="s">
        <v>374</v>
      </c>
      <c r="L67" s="321">
        <f ca="1">ROUND(J67*$C67/100,0)</f>
        <v>10045429</v>
      </c>
      <c r="M67" s="321"/>
      <c r="N67" s="327" t="str">
        <f>$N$25</f>
        <v xml:space="preserve"> </v>
      </c>
      <c r="O67" s="323" t="s">
        <v>374</v>
      </c>
      <c r="P67" s="321">
        <f>ROUND(N67*$C67/100,0)</f>
        <v>0</v>
      </c>
      <c r="Q67" s="321"/>
      <c r="R67" s="327">
        <f ca="1">$R$25</f>
        <v>1.242</v>
      </c>
      <c r="S67" s="323" t="s">
        <v>374</v>
      </c>
      <c r="T67" s="321">
        <f ca="1">ROUND(R67*$C67/100,0)</f>
        <v>4383845</v>
      </c>
      <c r="U67" s="321"/>
      <c r="V67" s="327">
        <f ca="1">$V$25</f>
        <v>1.6040000000000001</v>
      </c>
      <c r="W67" s="323" t="s">
        <v>374</v>
      </c>
      <c r="X67" s="321">
        <f ca="1">ROUND(V67*$C67/100,0)</f>
        <v>5661584</v>
      </c>
      <c r="AA67" s="74"/>
      <c r="AB67" s="74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</row>
    <row r="68" spans="1:47">
      <c r="A68" s="323" t="s">
        <v>399</v>
      </c>
      <c r="B68" s="319"/>
      <c r="C68" s="319">
        <f>[50]Sheet1!$G$22+[50]Sheet1!$G$24-C67+Temperature!B110*1000</f>
        <v>441168417.03466094</v>
      </c>
      <c r="D68" s="328">
        <v>4.8499999999999996</v>
      </c>
      <c r="E68" s="323" t="s">
        <v>374</v>
      </c>
      <c r="F68" s="321">
        <f>ROUND(D68*$C68/100,0)</f>
        <v>21396668</v>
      </c>
      <c r="G68" s="328">
        <v>5.157</v>
      </c>
      <c r="H68" s="323" t="s">
        <v>374</v>
      </c>
      <c r="I68" s="321">
        <f t="shared" ref="I68:I69" si="20">ROUND(G68*C68/100,0)</f>
        <v>22751055</v>
      </c>
      <c r="J68" s="327">
        <f ca="1">$J$26</f>
        <v>2.6050000000000004</v>
      </c>
      <c r="K68" s="323" t="s">
        <v>374</v>
      </c>
      <c r="L68" s="321">
        <f ca="1">ROUND(J68*$C68/100,0)</f>
        <v>11492437</v>
      </c>
      <c r="M68" s="321"/>
      <c r="N68" s="327" t="str">
        <f>$N$26</f>
        <v xml:space="preserve"> </v>
      </c>
      <c r="O68" s="323" t="s">
        <v>374</v>
      </c>
      <c r="P68" s="321">
        <f>ROUND(N68*$C68/100,0)</f>
        <v>0</v>
      </c>
      <c r="Q68" s="321"/>
      <c r="R68" s="327">
        <f ca="1">$R$26</f>
        <v>1.137</v>
      </c>
      <c r="S68" s="323" t="s">
        <v>374</v>
      </c>
      <c r="T68" s="321">
        <f ca="1">ROUND(R68*$C68/100,0)</f>
        <v>5016085</v>
      </c>
      <c r="U68" s="321"/>
      <c r="V68" s="327">
        <f ca="1">$V$26</f>
        <v>1.468</v>
      </c>
      <c r="W68" s="323" t="s">
        <v>374</v>
      </c>
      <c r="X68" s="321">
        <f ca="1">ROUND(V68*$C68/100,0)</f>
        <v>6476352</v>
      </c>
      <c r="AA68" s="74"/>
      <c r="AB68" s="74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</row>
    <row r="69" spans="1:47">
      <c r="A69" s="323" t="s">
        <v>400</v>
      </c>
      <c r="B69" s="1"/>
      <c r="C69" s="319">
        <f>[50]Sheet1!$K$22+[50]Sheet1!$K$24</f>
        <v>386507.60000000073</v>
      </c>
      <c r="D69" s="991">
        <v>56</v>
      </c>
      <c r="E69" s="323" t="s">
        <v>374</v>
      </c>
      <c r="F69" s="321">
        <f>ROUND(D69*$C69/100,0)</f>
        <v>216444</v>
      </c>
      <c r="G69" s="991">
        <v>56</v>
      </c>
      <c r="H69" s="323" t="s">
        <v>374</v>
      </c>
      <c r="I69" s="321">
        <f t="shared" si="20"/>
        <v>216444</v>
      </c>
      <c r="J69" s="475">
        <f>$J$27</f>
        <v>56</v>
      </c>
      <c r="K69" s="323" t="s">
        <v>374</v>
      </c>
      <c r="L69" s="321">
        <f>ROUND(J69*$C69/100,0)</f>
        <v>216444</v>
      </c>
      <c r="M69" s="321"/>
      <c r="N69" s="475" t="str">
        <f>$N$27</f>
        <v xml:space="preserve"> </v>
      </c>
      <c r="O69" s="323" t="s">
        <v>374</v>
      </c>
      <c r="P69" s="321">
        <f>ROUND(N69*$C69/100,0)</f>
        <v>0</v>
      </c>
      <c r="Q69" s="321"/>
      <c r="R69" s="475">
        <f ca="1">$R$27</f>
        <v>11</v>
      </c>
      <c r="S69" s="323" t="s">
        <v>374</v>
      </c>
      <c r="T69" s="321">
        <f ca="1">ROUND(R69*$C69/100,0)</f>
        <v>42516</v>
      </c>
      <c r="U69" s="321"/>
      <c r="V69" s="475">
        <f ca="1">$V$27</f>
        <v>45</v>
      </c>
      <c r="W69" s="323" t="s">
        <v>374</v>
      </c>
      <c r="X69" s="321">
        <f ca="1">ROUND(V69*$C69/100,0)</f>
        <v>173928</v>
      </c>
      <c r="AA69" s="74"/>
      <c r="AB69" s="74"/>
      <c r="AC69" s="7" t="s">
        <v>31</v>
      </c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</row>
    <row r="70" spans="1:47" s="1184" customFormat="1">
      <c r="A70" s="1005" t="s">
        <v>924</v>
      </c>
      <c r="C70" s="1202">
        <f>C67</f>
        <v>352966596.14110196</v>
      </c>
      <c r="D70" s="269"/>
      <c r="E70" s="1185"/>
      <c r="F70" s="1203"/>
      <c r="G70" s="269"/>
      <c r="H70" s="1185"/>
      <c r="I70" s="1203"/>
      <c r="J70" s="1230">
        <f>J28</f>
        <v>3.415</v>
      </c>
      <c r="K70" s="1041" t="s">
        <v>374</v>
      </c>
      <c r="L70" s="1041">
        <f t="shared" ref="L70:L71" si="21">ROUND(J70*$C70/100,0)</f>
        <v>12053809</v>
      </c>
      <c r="M70" s="1041"/>
      <c r="N70" s="1230" t="str">
        <f>N28</f>
        <v xml:space="preserve"> </v>
      </c>
      <c r="O70" s="1041" t="s">
        <v>374</v>
      </c>
      <c r="P70" s="1041">
        <f t="shared" ref="P70:P71" si="22">ROUND(N70*$C70/100,0)</f>
        <v>0</v>
      </c>
      <c r="Q70" s="1041"/>
      <c r="R70" s="1230" t="str">
        <f>R28</f>
        <v xml:space="preserve"> </v>
      </c>
      <c r="S70" s="1041" t="s">
        <v>374</v>
      </c>
      <c r="T70" s="1041">
        <f t="shared" ref="T70:T71" si="23">ROUND(R70*$C70/100,0)</f>
        <v>0</v>
      </c>
      <c r="U70" s="1041"/>
      <c r="V70" s="1230">
        <f>V28</f>
        <v>3.415</v>
      </c>
      <c r="W70" s="1041" t="s">
        <v>374</v>
      </c>
      <c r="X70" s="1041">
        <f t="shared" ref="X70:X71" si="24">ROUND(V70*$C70/100,0)</f>
        <v>12053809</v>
      </c>
      <c r="Z70" s="1190"/>
      <c r="AA70" s="1274"/>
      <c r="AB70" s="1186"/>
      <c r="AC70" s="1205"/>
      <c r="AD70" s="1205"/>
      <c r="AI70" s="1185"/>
      <c r="AJ70" s="1185"/>
      <c r="AK70" s="1185"/>
      <c r="AL70" s="1185"/>
      <c r="AM70" s="1185"/>
      <c r="AN70" s="1185"/>
      <c r="AO70" s="1185"/>
      <c r="AP70" s="1185"/>
      <c r="AQ70" s="1185"/>
      <c r="AR70" s="1185"/>
      <c r="AS70" s="1185"/>
      <c r="AU70" s="1204"/>
    </row>
    <row r="71" spans="1:47" s="1184" customFormat="1">
      <c r="A71" s="1005" t="s">
        <v>925</v>
      </c>
      <c r="C71" s="1202">
        <f>C68</f>
        <v>441168417.03466094</v>
      </c>
      <c r="D71" s="269"/>
      <c r="E71" s="1185"/>
      <c r="F71" s="1203"/>
      <c r="G71" s="269"/>
      <c r="H71" s="1185"/>
      <c r="I71" s="1203"/>
      <c r="J71" s="1230">
        <f>J29</f>
        <v>3.1309999999999998</v>
      </c>
      <c r="K71" s="1041" t="s">
        <v>374</v>
      </c>
      <c r="L71" s="1041">
        <f t="shared" si="21"/>
        <v>13812983</v>
      </c>
      <c r="M71" s="1041"/>
      <c r="N71" s="1230" t="str">
        <f>N29</f>
        <v xml:space="preserve"> </v>
      </c>
      <c r="O71" s="1041" t="s">
        <v>374</v>
      </c>
      <c r="P71" s="1041">
        <f t="shared" si="22"/>
        <v>0</v>
      </c>
      <c r="Q71" s="1041"/>
      <c r="R71" s="1230" t="str">
        <f>R29</f>
        <v xml:space="preserve"> </v>
      </c>
      <c r="S71" s="1041" t="s">
        <v>374</v>
      </c>
      <c r="T71" s="1041">
        <f t="shared" si="23"/>
        <v>0</v>
      </c>
      <c r="U71" s="1041"/>
      <c r="V71" s="1230">
        <f>V29</f>
        <v>3.1309999999999998</v>
      </c>
      <c r="W71" s="1041" t="s">
        <v>374</v>
      </c>
      <c r="X71" s="1041">
        <f t="shared" si="24"/>
        <v>13812983</v>
      </c>
      <c r="Z71" s="1190"/>
      <c r="AA71" s="1274"/>
      <c r="AB71" s="1186"/>
      <c r="AC71" s="1205"/>
      <c r="AD71" s="1205"/>
      <c r="AI71" s="1185"/>
      <c r="AJ71" s="1185"/>
      <c r="AK71" s="1185"/>
      <c r="AL71" s="1185"/>
      <c r="AM71" s="1185"/>
      <c r="AN71" s="1185"/>
      <c r="AO71" s="1185"/>
      <c r="AP71" s="1185"/>
      <c r="AQ71" s="1185"/>
      <c r="AR71" s="1185"/>
      <c r="AS71" s="1185"/>
      <c r="AU71" s="1204"/>
    </row>
    <row r="72" spans="1:47">
      <c r="A72" s="360" t="s">
        <v>401</v>
      </c>
      <c r="B72" s="1"/>
      <c r="C72" s="319"/>
      <c r="D72" s="332">
        <v>-0.01</v>
      </c>
      <c r="E72" s="2"/>
      <c r="F72" s="321"/>
      <c r="G72" s="332">
        <v>-0.01</v>
      </c>
      <c r="H72" s="1"/>
      <c r="I72" s="321"/>
      <c r="J72" s="332">
        <v>-0.01</v>
      </c>
      <c r="K72" s="1"/>
      <c r="L72" s="321"/>
      <c r="M72" s="321"/>
      <c r="N72" s="332">
        <v>-0.01</v>
      </c>
      <c r="O72" s="1"/>
      <c r="P72" s="321"/>
      <c r="Q72" s="321"/>
      <c r="R72" s="332">
        <v>-0.01</v>
      </c>
      <c r="S72" s="1"/>
      <c r="T72" s="321"/>
      <c r="U72" s="321"/>
      <c r="V72" s="332">
        <v>-0.01</v>
      </c>
      <c r="W72" s="1"/>
      <c r="X72" s="321"/>
      <c r="AA72" s="416"/>
      <c r="AB72" s="74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</row>
    <row r="73" spans="1:47">
      <c r="A73" s="323" t="s">
        <v>421</v>
      </c>
      <c r="B73" s="21"/>
      <c r="C73" s="319">
        <f>[50]Sheet1!$E$5</f>
        <v>0.46666666666666701</v>
      </c>
      <c r="D73" s="304">
        <v>259</v>
      </c>
      <c r="E73" s="364"/>
      <c r="F73" s="321">
        <f>ROUND(D73*$C73*D72,0)</f>
        <v>-1</v>
      </c>
      <c r="G73" s="304">
        <v>259</v>
      </c>
      <c r="H73" s="293"/>
      <c r="I73" s="321">
        <f>ROUND(G73*C73*$G$72,0)</f>
        <v>-1</v>
      </c>
      <c r="J73" s="304">
        <f>J57</f>
        <v>259</v>
      </c>
      <c r="K73" s="293"/>
      <c r="L73" s="321">
        <f>ROUND(J73*$C73*J72,0)</f>
        <v>-1</v>
      </c>
      <c r="M73" s="321"/>
      <c r="N73" s="304">
        <f>N57</f>
        <v>259</v>
      </c>
      <c r="O73" s="293"/>
      <c r="P73" s="321">
        <f>ROUND(N73*$C73*N72,0)</f>
        <v>-1</v>
      </c>
      <c r="Q73" s="321"/>
      <c r="R73" s="304" t="str">
        <f>R57</f>
        <v xml:space="preserve"> </v>
      </c>
      <c r="S73" s="293"/>
      <c r="T73" s="321">
        <f>ROUND(R73*$C73*R72,0)</f>
        <v>0</v>
      </c>
      <c r="U73" s="321"/>
      <c r="V73" s="304" t="str">
        <f>V57</f>
        <v xml:space="preserve"> </v>
      </c>
      <c r="W73" s="293"/>
      <c r="X73" s="321">
        <f>ROUND(V73*$C73*V72,0)</f>
        <v>0</v>
      </c>
      <c r="AA73" s="416"/>
      <c r="AB73" s="74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</row>
    <row r="74" spans="1:47">
      <c r="A74" s="323" t="s">
        <v>422</v>
      </c>
      <c r="B74" s="1"/>
      <c r="C74" s="319">
        <f>[50]Sheet1!$E$6</f>
        <v>47.6</v>
      </c>
      <c r="D74" s="304">
        <v>96</v>
      </c>
      <c r="E74" s="364"/>
      <c r="F74" s="321">
        <f>ROUND(D74*$C74*D72,0)</f>
        <v>-46</v>
      </c>
      <c r="G74" s="304">
        <v>96</v>
      </c>
      <c r="H74" s="293"/>
      <c r="I74" s="321">
        <f t="shared" ref="I74:I79" si="25">ROUND(G74*C74*$G$72,0)</f>
        <v>-46</v>
      </c>
      <c r="J74" s="304">
        <f>J58</f>
        <v>96</v>
      </c>
      <c r="K74" s="293"/>
      <c r="L74" s="321">
        <f>ROUND(J74*$C74*J72,0)</f>
        <v>-46</v>
      </c>
      <c r="M74" s="321"/>
      <c r="N74" s="304">
        <f>N58</f>
        <v>96</v>
      </c>
      <c r="O74" s="293"/>
      <c r="P74" s="321">
        <f>ROUND(N74*$C74*N72,0)</f>
        <v>-46</v>
      </c>
      <c r="Q74" s="321"/>
      <c r="R74" s="304" t="str">
        <f>R58</f>
        <v xml:space="preserve"> </v>
      </c>
      <c r="S74" s="293"/>
      <c r="T74" s="321">
        <f>ROUND(R74*$C74*R72,0)</f>
        <v>0</v>
      </c>
      <c r="U74" s="321"/>
      <c r="V74" s="304" t="str">
        <f>V58</f>
        <v xml:space="preserve"> </v>
      </c>
      <c r="W74" s="293"/>
      <c r="X74" s="321">
        <f>ROUND(V74*$C74*V72,0)</f>
        <v>0</v>
      </c>
      <c r="AA74" s="416"/>
      <c r="AB74" s="74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</row>
    <row r="75" spans="1:47">
      <c r="A75" s="323" t="s">
        <v>423</v>
      </c>
      <c r="B75" s="1"/>
      <c r="C75" s="319">
        <f>[50]Sheet1!$E$7</f>
        <v>82</v>
      </c>
      <c r="D75" s="304">
        <v>192</v>
      </c>
      <c r="E75" s="372"/>
      <c r="F75" s="321">
        <f>ROUND(D75*$C75*D72,0)</f>
        <v>-157</v>
      </c>
      <c r="G75" s="304">
        <v>192</v>
      </c>
      <c r="H75" s="373"/>
      <c r="I75" s="321">
        <f t="shared" si="25"/>
        <v>-157</v>
      </c>
      <c r="J75" s="304">
        <f>J59</f>
        <v>192</v>
      </c>
      <c r="K75" s="373"/>
      <c r="L75" s="321">
        <f>ROUND(J75*$C75*J72,0)</f>
        <v>-157</v>
      </c>
      <c r="M75" s="321"/>
      <c r="N75" s="304">
        <f>N59</f>
        <v>192</v>
      </c>
      <c r="O75" s="373"/>
      <c r="P75" s="321">
        <f>ROUND(N75*$C75*N72,0)</f>
        <v>-157</v>
      </c>
      <c r="Q75" s="321"/>
      <c r="R75" s="304" t="str">
        <f>R59</f>
        <v xml:space="preserve"> </v>
      </c>
      <c r="S75" s="373"/>
      <c r="T75" s="321">
        <f>ROUND(R75*$C75*R72,0)</f>
        <v>0</v>
      </c>
      <c r="U75" s="321"/>
      <c r="V75" s="304" t="str">
        <f>V59</f>
        <v xml:space="preserve"> </v>
      </c>
      <c r="W75" s="373"/>
      <c r="X75" s="321">
        <f>ROUND(V75*$C75*V72,0)</f>
        <v>0</v>
      </c>
      <c r="AA75" s="416"/>
      <c r="AB75" s="74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</row>
    <row r="76" spans="1:47">
      <c r="A76" s="323" t="s">
        <v>422</v>
      </c>
      <c r="B76" s="1"/>
      <c r="C76" s="319">
        <f>[50]Sheet1!$F$6</f>
        <v>8428</v>
      </c>
      <c r="D76" s="304">
        <v>1.7</v>
      </c>
      <c r="E76" s="364"/>
      <c r="F76" s="321">
        <f>ROUND(D76*$C76*D72,0)</f>
        <v>-143</v>
      </c>
      <c r="G76" s="304">
        <v>1.7</v>
      </c>
      <c r="H76" s="293"/>
      <c r="I76" s="321">
        <f t="shared" si="25"/>
        <v>-143</v>
      </c>
      <c r="J76" s="304">
        <f ca="1">J61</f>
        <v>1.89</v>
      </c>
      <c r="K76" s="293"/>
      <c r="L76" s="321">
        <f ca="1">ROUND(J76*$C76*J72,0)</f>
        <v>-159</v>
      </c>
      <c r="M76" s="321"/>
      <c r="N76" s="304">
        <f ca="1">N61</f>
        <v>1.89</v>
      </c>
      <c r="O76" s="293"/>
      <c r="P76" s="321">
        <f ca="1">ROUND(N76*$C76*N72,0)</f>
        <v>-159</v>
      </c>
      <c r="Q76" s="321"/>
      <c r="R76" s="304" t="str">
        <f>R61</f>
        <v xml:space="preserve"> </v>
      </c>
      <c r="S76" s="293"/>
      <c r="T76" s="321">
        <f>ROUND(R76*$C76*R72,0)</f>
        <v>0</v>
      </c>
      <c r="U76" s="321"/>
      <c r="V76" s="304" t="str">
        <f>V61</f>
        <v xml:space="preserve"> </v>
      </c>
      <c r="W76" s="293"/>
      <c r="X76" s="321">
        <f>ROUND(V76*$C76*V72,0)</f>
        <v>0</v>
      </c>
      <c r="AA76" s="416"/>
      <c r="AB76" s="74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</row>
    <row r="77" spans="1:47">
      <c r="A77" s="323" t="s">
        <v>423</v>
      </c>
      <c r="B77" s="1"/>
      <c r="C77" s="319">
        <f>[50]Sheet1!$F$7</f>
        <v>57957</v>
      </c>
      <c r="D77" s="304">
        <v>1.39</v>
      </c>
      <c r="E77" s="364" t="s">
        <v>31</v>
      </c>
      <c r="F77" s="321">
        <f>ROUND(D77*$C77*D72,0)</f>
        <v>-806</v>
      </c>
      <c r="G77" s="304">
        <v>1.39</v>
      </c>
      <c r="H77" s="293"/>
      <c r="I77" s="321">
        <f t="shared" si="25"/>
        <v>-806</v>
      </c>
      <c r="J77" s="304">
        <f ca="1">J62</f>
        <v>1.55</v>
      </c>
      <c r="K77" s="293"/>
      <c r="L77" s="321">
        <f ca="1">ROUND(J77*$C77*J72,0)</f>
        <v>-898</v>
      </c>
      <c r="M77" s="321"/>
      <c r="N77" s="304">
        <f ca="1">N62</f>
        <v>1.55</v>
      </c>
      <c r="O77" s="293"/>
      <c r="P77" s="321">
        <f ca="1">ROUND(N77*$C77*N72,0)</f>
        <v>-898</v>
      </c>
      <c r="Q77" s="321"/>
      <c r="R77" s="304" t="str">
        <f>R62</f>
        <v xml:space="preserve"> </v>
      </c>
      <c r="S77" s="293"/>
      <c r="T77" s="321">
        <f>ROUND(R77*$C77*R72,0)</f>
        <v>0</v>
      </c>
      <c r="U77" s="321"/>
      <c r="V77" s="304" t="str">
        <f>V62</f>
        <v xml:space="preserve"> </v>
      </c>
      <c r="W77" s="293"/>
      <c r="X77" s="321">
        <f>ROUND(V77*$C77*V72,0)</f>
        <v>0</v>
      </c>
      <c r="AA77" s="416"/>
      <c r="AB77" s="74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</row>
    <row r="78" spans="1:47">
      <c r="A78" s="309" t="s">
        <v>425</v>
      </c>
      <c r="B78" s="1"/>
      <c r="C78" s="319">
        <f>[50]Sheet1!$I$5+[50]Sheet1!$I$6+[50]Sheet1!$I$7</f>
        <v>42970.5</v>
      </c>
      <c r="D78" s="304">
        <v>4.4400000000000004</v>
      </c>
      <c r="E78" s="364" t="s">
        <v>31</v>
      </c>
      <c r="F78" s="321">
        <f>ROUND(D78*$C78*D72,0)</f>
        <v>-1908</v>
      </c>
      <c r="G78" s="304">
        <v>4.72</v>
      </c>
      <c r="H78" s="293"/>
      <c r="I78" s="321">
        <f t="shared" si="25"/>
        <v>-2028</v>
      </c>
      <c r="J78" s="304">
        <f ca="1">J64</f>
        <v>5.3</v>
      </c>
      <c r="K78" s="293"/>
      <c r="L78" s="321">
        <f ca="1">ROUND(J78*$C78*J72,0)</f>
        <v>-2277</v>
      </c>
      <c r="M78" s="321"/>
      <c r="N78" s="304">
        <f ca="1">N64</f>
        <v>0.95</v>
      </c>
      <c r="O78" s="293"/>
      <c r="P78" s="321">
        <f ca="1">ROUND(N78*$C78*N72,0)</f>
        <v>-408</v>
      </c>
      <c r="Q78" s="321"/>
      <c r="R78" s="304">
        <f ca="1">R64</f>
        <v>0.86</v>
      </c>
      <c r="S78" s="293"/>
      <c r="T78" s="321">
        <f ca="1">ROUND(R78*$C78*R72,0)</f>
        <v>-370</v>
      </c>
      <c r="U78" s="321"/>
      <c r="V78" s="304">
        <f ca="1">V64</f>
        <v>3.49</v>
      </c>
      <c r="W78" s="293"/>
      <c r="X78" s="321">
        <f ca="1">ROUND(V78*$C78*V72,0)</f>
        <v>-1500</v>
      </c>
      <c r="AA78" s="416"/>
      <c r="AB78" s="74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</row>
    <row r="79" spans="1:47">
      <c r="A79" s="309" t="s">
        <v>441</v>
      </c>
      <c r="B79" s="1"/>
      <c r="C79" s="319">
        <f>[50]Sheet1!$J$5+[50]Sheet1!$J$6+[50]Sheet1!$J$7</f>
        <v>384.33333333333331</v>
      </c>
      <c r="D79" s="304">
        <v>4.4400000000000004</v>
      </c>
      <c r="E79" s="364" t="s">
        <v>31</v>
      </c>
      <c r="F79" s="321">
        <f>ROUND(D79*$C79*D72,0)</f>
        <v>-17</v>
      </c>
      <c r="G79" s="304">
        <v>4.72</v>
      </c>
      <c r="H79" s="293"/>
      <c r="I79" s="321">
        <f t="shared" si="25"/>
        <v>-18</v>
      </c>
      <c r="J79" s="304">
        <f ca="1">J65</f>
        <v>5.3</v>
      </c>
      <c r="K79" s="293"/>
      <c r="L79" s="321">
        <f ca="1">ROUND(J79*$C79*J72,0)</f>
        <v>-20</v>
      </c>
      <c r="M79" s="321"/>
      <c r="N79" s="304">
        <f ca="1">N65</f>
        <v>0.95</v>
      </c>
      <c r="O79" s="293"/>
      <c r="P79" s="321">
        <f ca="1">ROUND(N79*$C79*N72,0)</f>
        <v>-4</v>
      </c>
      <c r="Q79" s="321"/>
      <c r="R79" s="304">
        <f ca="1">R65</f>
        <v>0.86</v>
      </c>
      <c r="S79" s="293"/>
      <c r="T79" s="321">
        <f ca="1">ROUND(R79*$C79*R72,0)</f>
        <v>-3</v>
      </c>
      <c r="U79" s="321"/>
      <c r="V79" s="304">
        <f ca="1">V65</f>
        <v>3.49</v>
      </c>
      <c r="W79" s="293"/>
      <c r="X79" s="321">
        <f ca="1">ROUND(V79*$C79*V72,0)</f>
        <v>-13</v>
      </c>
      <c r="AA79" s="416"/>
      <c r="AB79" s="74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</row>
    <row r="80" spans="1:47">
      <c r="A80" s="323" t="s">
        <v>427</v>
      </c>
      <c r="B80" s="1"/>
      <c r="C80" s="319">
        <f>[50]Sheet1!$H$5+[50]Sheet1!$H$6+[50]Sheet1!$H$7</f>
        <v>4425080</v>
      </c>
      <c r="D80" s="374">
        <v>5.2939999999999996</v>
      </c>
      <c r="E80" s="321" t="s">
        <v>374</v>
      </c>
      <c r="F80" s="321">
        <f>ROUND(D80*$C80/100*D72,0)</f>
        <v>-2343</v>
      </c>
      <c r="G80" s="374">
        <v>5.6289999999999996</v>
      </c>
      <c r="H80" s="323" t="s">
        <v>374</v>
      </c>
      <c r="I80" s="321">
        <f>ROUND(G80*C80/100*$G$72,0)</f>
        <v>-2491</v>
      </c>
      <c r="J80" s="374">
        <f ca="1">J67</f>
        <v>2.8460000000000001</v>
      </c>
      <c r="K80" s="323" t="s">
        <v>374</v>
      </c>
      <c r="L80" s="321">
        <f ca="1">ROUND(J80*$C80/100*J72,0)</f>
        <v>-1259</v>
      </c>
      <c r="M80" s="321"/>
      <c r="N80" s="374" t="str">
        <f>N67</f>
        <v xml:space="preserve"> </v>
      </c>
      <c r="O80" s="323" t="s">
        <v>374</v>
      </c>
      <c r="P80" s="321">
        <f>ROUND(N80*$C80/100*N72,0)</f>
        <v>0</v>
      </c>
      <c r="Q80" s="321"/>
      <c r="R80" s="374">
        <f ca="1">R67</f>
        <v>1.242</v>
      </c>
      <c r="S80" s="323" t="s">
        <v>374</v>
      </c>
      <c r="T80" s="321">
        <f ca="1">ROUND(R80*$C80/100*R72,0)</f>
        <v>-550</v>
      </c>
      <c r="U80" s="321"/>
      <c r="V80" s="374">
        <f ca="1">V67</f>
        <v>1.6040000000000001</v>
      </c>
      <c r="W80" s="323" t="s">
        <v>374</v>
      </c>
      <c r="X80" s="321">
        <f ca="1">ROUND(V80*$C80/100*V72,0)</f>
        <v>-710</v>
      </c>
      <c r="AA80" s="416"/>
      <c r="AB80" s="74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</row>
    <row r="81" spans="1:47">
      <c r="A81" s="323" t="s">
        <v>399</v>
      </c>
      <c r="B81" s="1"/>
      <c r="C81" s="319">
        <f>[50]Sheet1!$G$5+[50]Sheet1!$G$6+[50]Sheet1!$G$7-C80</f>
        <v>11577379</v>
      </c>
      <c r="D81" s="374">
        <v>4.8520000000000003</v>
      </c>
      <c r="E81" s="321" t="s">
        <v>374</v>
      </c>
      <c r="F81" s="321">
        <f>ROUND(D81*$C81/100*D72,0)</f>
        <v>-5617</v>
      </c>
      <c r="G81" s="374">
        <v>5.157</v>
      </c>
      <c r="H81" s="323" t="s">
        <v>374</v>
      </c>
      <c r="I81" s="321">
        <f>ROUND(G81*C81/100*$G$72,0)</f>
        <v>-5970</v>
      </c>
      <c r="J81" s="374">
        <f ca="1">J68</f>
        <v>2.6050000000000004</v>
      </c>
      <c r="K81" s="323" t="s">
        <v>374</v>
      </c>
      <c r="L81" s="321">
        <f ca="1">ROUND(J81*$C81/100*J72,0)</f>
        <v>-3016</v>
      </c>
      <c r="M81" s="321"/>
      <c r="N81" s="374" t="str">
        <f>N68</f>
        <v xml:space="preserve"> </v>
      </c>
      <c r="O81" s="323" t="s">
        <v>374</v>
      </c>
      <c r="P81" s="321">
        <f>ROUND(N81*$C81/100*N72,0)</f>
        <v>0</v>
      </c>
      <c r="Q81" s="321"/>
      <c r="R81" s="374">
        <f ca="1">R68</f>
        <v>1.137</v>
      </c>
      <c r="S81" s="323" t="s">
        <v>374</v>
      </c>
      <c r="T81" s="321">
        <f ca="1">ROUND(R81*$C81/100*R72,0)</f>
        <v>-1316</v>
      </c>
      <c r="U81" s="321"/>
      <c r="V81" s="374">
        <f ca="1">V68</f>
        <v>1.468</v>
      </c>
      <c r="W81" s="323" t="s">
        <v>374</v>
      </c>
      <c r="X81" s="321">
        <f ca="1">ROUND(V81*$C81/100*V72,0)</f>
        <v>-1700</v>
      </c>
      <c r="AA81" s="416"/>
      <c r="AB81" s="74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</row>
    <row r="82" spans="1:47">
      <c r="A82" s="323" t="s">
        <v>400</v>
      </c>
      <c r="B82" s="1"/>
      <c r="C82" s="319">
        <f>[50]Sheet1!$K$5+[50]Sheet1!$K$6+[50]Sheet1!$K$7</f>
        <v>7635.9666666666699</v>
      </c>
      <c r="D82" s="375">
        <v>56</v>
      </c>
      <c r="E82" s="321" t="s">
        <v>374</v>
      </c>
      <c r="F82" s="321">
        <f>ROUND(D82*$C82/100*D72,0)</f>
        <v>-43</v>
      </c>
      <c r="G82" s="375">
        <v>56</v>
      </c>
      <c r="H82" s="323" t="s">
        <v>374</v>
      </c>
      <c r="I82" s="321">
        <f>ROUND(G82*C82/100*$G$72,0)</f>
        <v>-43</v>
      </c>
      <c r="J82" s="375">
        <f>J69</f>
        <v>56</v>
      </c>
      <c r="K82" s="323" t="s">
        <v>374</v>
      </c>
      <c r="L82" s="321">
        <f>ROUND(J82*$C82/100*J72,0)</f>
        <v>-43</v>
      </c>
      <c r="M82" s="321"/>
      <c r="N82" s="375" t="str">
        <f>N69</f>
        <v xml:space="preserve"> </v>
      </c>
      <c r="O82" s="323" t="s">
        <v>374</v>
      </c>
      <c r="P82" s="321">
        <f>ROUND(N82*$C82/100*N72,0)</f>
        <v>0</v>
      </c>
      <c r="Q82" s="321"/>
      <c r="R82" s="375">
        <f ca="1">R69</f>
        <v>11</v>
      </c>
      <c r="S82" s="323" t="s">
        <v>374</v>
      </c>
      <c r="T82" s="321">
        <f ca="1">ROUND(R82*$C82/100*R72,0)</f>
        <v>-8</v>
      </c>
      <c r="U82" s="321"/>
      <c r="V82" s="375">
        <f ca="1">V69</f>
        <v>45</v>
      </c>
      <c r="W82" s="323" t="s">
        <v>374</v>
      </c>
      <c r="X82" s="321">
        <f ca="1">ROUND(V82*$C82/100*V72,0)</f>
        <v>-34</v>
      </c>
      <c r="AA82" s="416"/>
      <c r="AB82" s="74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</row>
    <row r="83" spans="1:47">
      <c r="A83" s="323" t="s">
        <v>443</v>
      </c>
      <c r="B83" s="1"/>
      <c r="C83" s="319">
        <f>[50]Sheet1!$E$6+[50]Sheet1!$E$7</f>
        <v>129.6</v>
      </c>
      <c r="D83" s="298">
        <v>60</v>
      </c>
      <c r="E83" s="364" t="s">
        <v>31</v>
      </c>
      <c r="F83" s="321">
        <f>ROUND(D83*$C83,0)</f>
        <v>7776</v>
      </c>
      <c r="G83" s="298">
        <v>60</v>
      </c>
      <c r="H83" s="1"/>
      <c r="I83" s="321">
        <f>ROUND(G83*C83,0)</f>
        <v>7776</v>
      </c>
      <c r="J83" s="298">
        <f>$J$43</f>
        <v>60</v>
      </c>
      <c r="K83" s="1"/>
      <c r="L83" s="321">
        <f>ROUND(J83*$C83,0)</f>
        <v>7776</v>
      </c>
      <c r="M83" s="321"/>
      <c r="N83" s="298">
        <v>0</v>
      </c>
      <c r="O83" s="1"/>
      <c r="P83" s="321">
        <f>ROUND(N83*$C83,0)</f>
        <v>0</v>
      </c>
      <c r="Q83" s="321"/>
      <c r="R83" s="298">
        <f ca="1">R43</f>
        <v>11.894336305988995</v>
      </c>
      <c r="S83" s="1"/>
      <c r="T83" s="321">
        <f ca="1">ROUND(R83*$C83,0)</f>
        <v>1542</v>
      </c>
      <c r="U83" s="321"/>
      <c r="V83" s="298">
        <f ca="1">V43</f>
        <v>48.105663694011</v>
      </c>
      <c r="W83" s="1"/>
      <c r="X83" s="321">
        <f ca="1">ROUND(V83*$C83,0)</f>
        <v>6234</v>
      </c>
      <c r="AA83" s="3"/>
      <c r="AB83" s="105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</row>
    <row r="84" spans="1:47">
      <c r="A84" s="323" t="s">
        <v>444</v>
      </c>
      <c r="B84" s="305"/>
      <c r="C84" s="319">
        <f>[50]Sheet1!$F$6+[50]Sheet1!$F$7</f>
        <v>66385</v>
      </c>
      <c r="D84" s="339">
        <v>-30</v>
      </c>
      <c r="E84" s="321" t="s">
        <v>374</v>
      </c>
      <c r="F84" s="321">
        <f>ROUND(D84*$C84/100,0)</f>
        <v>-19916</v>
      </c>
      <c r="G84" s="339">
        <v>-30</v>
      </c>
      <c r="H84" s="321" t="s">
        <v>374</v>
      </c>
      <c r="I84" s="321">
        <f>-ROUND(G84*C84*$G$72,0)</f>
        <v>-19916</v>
      </c>
      <c r="J84" s="339">
        <f>$J$44</f>
        <v>-30</v>
      </c>
      <c r="K84" s="321" t="s">
        <v>374</v>
      </c>
      <c r="L84" s="321">
        <f>ROUND(J84*$C84/100,0)</f>
        <v>-19916</v>
      </c>
      <c r="M84" s="321"/>
      <c r="N84" s="339">
        <f>$J$44</f>
        <v>-30</v>
      </c>
      <c r="O84" s="321" t="s">
        <v>374</v>
      </c>
      <c r="P84" s="321">
        <f>ROUND(N84*$C84/100,0)</f>
        <v>-19916</v>
      </c>
      <c r="Q84" s="321"/>
      <c r="R84" s="339">
        <v>0</v>
      </c>
      <c r="S84" s="321" t="s">
        <v>374</v>
      </c>
      <c r="T84" s="321">
        <f>ROUND(R84*$C84/100,0)</f>
        <v>0</v>
      </c>
      <c r="U84" s="321"/>
      <c r="V84" s="339">
        <v>0</v>
      </c>
      <c r="W84" s="321" t="s">
        <v>374</v>
      </c>
      <c r="X84" s="321">
        <f>ROUND(V84*$C84/100,0)</f>
        <v>0</v>
      </c>
      <c r="AA84" s="3"/>
      <c r="AB84" s="105"/>
      <c r="AC84" s="7" t="s">
        <v>31</v>
      </c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</row>
    <row r="85" spans="1:47" s="1184" customFormat="1">
      <c r="A85" s="1005" t="s">
        <v>924</v>
      </c>
      <c r="C85" s="1202">
        <f>C80</f>
        <v>4425080</v>
      </c>
      <c r="D85" s="269"/>
      <c r="E85" s="1185"/>
      <c r="F85" s="1203"/>
      <c r="G85" s="269"/>
      <c r="H85" s="1185"/>
      <c r="I85" s="1203"/>
      <c r="J85" s="1230">
        <f>J70</f>
        <v>3.415</v>
      </c>
      <c r="K85" s="1041" t="s">
        <v>374</v>
      </c>
      <c r="L85" s="1041">
        <f>ROUND(J85*$C85/100*J72,0)</f>
        <v>-1511</v>
      </c>
      <c r="M85" s="1041"/>
      <c r="N85" s="1230" t="str">
        <f>N70</f>
        <v xml:space="preserve"> </v>
      </c>
      <c r="O85" s="1041" t="s">
        <v>374</v>
      </c>
      <c r="P85" s="1041">
        <f>ROUND(N85*$C85/100*N72,0)</f>
        <v>0</v>
      </c>
      <c r="Q85" s="1041"/>
      <c r="R85" s="1230" t="str">
        <f>R70</f>
        <v xml:space="preserve"> </v>
      </c>
      <c r="S85" s="1041" t="s">
        <v>374</v>
      </c>
      <c r="T85" s="1041">
        <f>ROUND(R85*$C85/100*R72,0)</f>
        <v>0</v>
      </c>
      <c r="U85" s="1041"/>
      <c r="V85" s="1230">
        <f>V70</f>
        <v>3.415</v>
      </c>
      <c r="W85" s="1041" t="s">
        <v>374</v>
      </c>
      <c r="X85" s="1041">
        <f>ROUND(V85*$C85/100*V72,0)</f>
        <v>-1511</v>
      </c>
      <c r="Z85" s="1190"/>
      <c r="AA85" s="1274"/>
      <c r="AB85" s="1186"/>
      <c r="AC85" s="1205"/>
      <c r="AD85" s="1205"/>
      <c r="AI85" s="1185"/>
      <c r="AJ85" s="1185"/>
      <c r="AK85" s="1185"/>
      <c r="AL85" s="1185"/>
      <c r="AM85" s="1185"/>
      <c r="AN85" s="1185"/>
      <c r="AO85" s="1185"/>
      <c r="AP85" s="1185"/>
      <c r="AQ85" s="1185"/>
      <c r="AR85" s="1185"/>
      <c r="AS85" s="1185"/>
      <c r="AU85" s="1204"/>
    </row>
    <row r="86" spans="1:47" s="1184" customFormat="1">
      <c r="A86" s="1005" t="s">
        <v>925</v>
      </c>
      <c r="C86" s="1202">
        <f>C81</f>
        <v>11577379</v>
      </c>
      <c r="D86" s="269"/>
      <c r="E86" s="1185"/>
      <c r="F86" s="1203"/>
      <c r="G86" s="269"/>
      <c r="H86" s="1185"/>
      <c r="I86" s="1203"/>
      <c r="J86" s="1230">
        <f>J71</f>
        <v>3.1309999999999998</v>
      </c>
      <c r="K86" s="1041" t="s">
        <v>374</v>
      </c>
      <c r="L86" s="1041">
        <f>ROUND(J86*$C86/100*J72,0)</f>
        <v>-3625</v>
      </c>
      <c r="M86" s="1041"/>
      <c r="N86" s="1230" t="str">
        <f>N71</f>
        <v xml:space="preserve"> </v>
      </c>
      <c r="O86" s="1041" t="s">
        <v>374</v>
      </c>
      <c r="P86" s="1041">
        <f>ROUND(N86*$C86/100*N72,0)</f>
        <v>0</v>
      </c>
      <c r="Q86" s="1041"/>
      <c r="R86" s="1230" t="str">
        <f>R71</f>
        <v xml:space="preserve"> </v>
      </c>
      <c r="S86" s="1041" t="s">
        <v>374</v>
      </c>
      <c r="T86" s="1041">
        <f>ROUND(R86*$C86/100*R72,0)</f>
        <v>0</v>
      </c>
      <c r="U86" s="1041"/>
      <c r="V86" s="1230">
        <f>V71</f>
        <v>3.1309999999999998</v>
      </c>
      <c r="W86" s="1041" t="s">
        <v>374</v>
      </c>
      <c r="X86" s="1041">
        <f>ROUND(V86*$C86/100*V72,0)</f>
        <v>-3625</v>
      </c>
      <c r="Z86" s="1190"/>
      <c r="AA86" s="1274"/>
      <c r="AB86" s="1186"/>
      <c r="AC86" s="1205"/>
      <c r="AD86" s="1205"/>
      <c r="AI86" s="1185"/>
      <c r="AJ86" s="1185"/>
      <c r="AK86" s="1185"/>
      <c r="AL86" s="1185"/>
      <c r="AM86" s="1185"/>
      <c r="AN86" s="1185"/>
      <c r="AO86" s="1185"/>
      <c r="AP86" s="1185"/>
      <c r="AQ86" s="1185"/>
      <c r="AR86" s="1185"/>
      <c r="AS86" s="1185"/>
      <c r="AU86" s="1204"/>
    </row>
    <row r="87" spans="1:47">
      <c r="A87" s="1" t="s">
        <v>381</v>
      </c>
      <c r="B87" s="307"/>
      <c r="C87" s="319">
        <f>SUM(C67:C68)</f>
        <v>794135013.17576289</v>
      </c>
      <c r="D87" s="330"/>
      <c r="E87" s="2"/>
      <c r="F87" s="2">
        <f>SUM(F57:F84)</f>
        <v>55660462</v>
      </c>
      <c r="G87" s="330"/>
      <c r="H87" s="1"/>
      <c r="I87" s="2">
        <f>SUM(I57:I84)</f>
        <v>58809460</v>
      </c>
      <c r="J87" s="330"/>
      <c r="K87" s="1"/>
      <c r="L87" s="2">
        <f ca="1">SUM(L57:L86)</f>
        <v>65345402</v>
      </c>
      <c r="M87" s="2"/>
      <c r="N87" s="330"/>
      <c r="O87" s="1"/>
      <c r="P87" s="2">
        <f ca="1">SUM(P57:P86)</f>
        <v>8317333</v>
      </c>
      <c r="Q87" s="2"/>
      <c r="R87" s="330"/>
      <c r="S87" s="1"/>
      <c r="T87" s="2">
        <f ca="1">SUM(T57:T86)</f>
        <v>11302213</v>
      </c>
      <c r="U87" s="2"/>
      <c r="V87" s="330"/>
      <c r="W87" s="1"/>
      <c r="X87" s="2">
        <f ca="1">SUM(X57:X86)</f>
        <v>45725855</v>
      </c>
      <c r="AA87" s="416"/>
      <c r="AB87" s="74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</row>
    <row r="88" spans="1:47">
      <c r="A88" s="1" t="s">
        <v>363</v>
      </c>
      <c r="B88" s="1"/>
      <c r="C88" s="349">
        <f>'Table 2'!H46</f>
        <v>-2278044.4690362429</v>
      </c>
      <c r="D88" s="309"/>
      <c r="E88" s="309"/>
      <c r="F88" s="310">
        <f>I88</f>
        <v>-139476.06740318847</v>
      </c>
      <c r="G88" s="309"/>
      <c r="H88" s="309"/>
      <c r="I88" s="310">
        <f>'Table 3'!E46</f>
        <v>-139476.06740318847</v>
      </c>
      <c r="J88" s="309"/>
      <c r="K88" s="309"/>
      <c r="L88" s="310">
        <f>I88</f>
        <v>-139476.06740318847</v>
      </c>
      <c r="M88" s="51"/>
      <c r="N88" s="309"/>
      <c r="O88" s="309"/>
      <c r="P88" s="310">
        <f ca="1">$L$88*Y52/($Y$52+$Z$52+$AA$52)</f>
        <v>-18067.22097021377</v>
      </c>
      <c r="Q88" s="51"/>
      <c r="R88" s="309"/>
      <c r="S88" s="309"/>
      <c r="T88" s="310">
        <f ca="1">$L$88*Z52/($Y$52+$Z$52+$AA$52)</f>
        <v>-24067.960833266228</v>
      </c>
      <c r="U88" s="51"/>
      <c r="V88" s="309"/>
      <c r="W88" s="309"/>
      <c r="X88" s="310">
        <f ca="1">$L$88*AA52/($Y$52+$Z$52+$AA$52)</f>
        <v>-97340.885599708476</v>
      </c>
      <c r="Y88" s="444"/>
      <c r="Z88" s="287"/>
      <c r="AA88" s="416"/>
      <c r="AB88" s="74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</row>
    <row r="89" spans="1:47" ht="16.5" thickBot="1">
      <c r="A89" s="1" t="s">
        <v>382</v>
      </c>
      <c r="B89" s="1"/>
      <c r="C89" s="366">
        <f>SUM(C87)+C88</f>
        <v>791856968.70672667</v>
      </c>
      <c r="D89" s="342"/>
      <c r="E89" s="343"/>
      <c r="F89" s="344">
        <f>F87+F88</f>
        <v>55520985.93259681</v>
      </c>
      <c r="G89" s="342"/>
      <c r="H89" s="345"/>
      <c r="I89" s="344">
        <f>I87+I88</f>
        <v>58669983.93259681</v>
      </c>
      <c r="J89" s="342"/>
      <c r="K89" s="345"/>
      <c r="L89" s="344">
        <f ca="1">L87+L88</f>
        <v>65205925.93259681</v>
      </c>
      <c r="M89" s="344"/>
      <c r="N89" s="342"/>
      <c r="O89" s="345"/>
      <c r="P89" s="344">
        <f ca="1">P87+P88</f>
        <v>8299265.7790297866</v>
      </c>
      <c r="Q89" s="344"/>
      <c r="R89" s="342"/>
      <c r="S89" s="345"/>
      <c r="T89" s="344">
        <f ca="1">T87+T88</f>
        <v>11278145.039166734</v>
      </c>
      <c r="U89" s="344"/>
      <c r="V89" s="342"/>
      <c r="W89" s="345"/>
      <c r="X89" s="344">
        <f ca="1">X87+X88</f>
        <v>45628514.11440029</v>
      </c>
      <c r="Y89" s="411"/>
      <c r="Z89" s="470"/>
      <c r="AA89" s="416"/>
      <c r="AB89" s="74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</row>
    <row r="90" spans="1:47" ht="16.5" thickTop="1">
      <c r="A90" s="1"/>
      <c r="B90" s="1"/>
      <c r="C90" s="21"/>
      <c r="D90" s="337" t="s">
        <v>31</v>
      </c>
      <c r="E90" s="2"/>
      <c r="F90" s="2"/>
      <c r="G90" s="337" t="s">
        <v>31</v>
      </c>
      <c r="H90" s="1"/>
      <c r="I90" s="2"/>
      <c r="J90" s="353" t="s">
        <v>31</v>
      </c>
      <c r="K90" s="1"/>
      <c r="L90" s="2" t="s">
        <v>31</v>
      </c>
      <c r="M90" s="2"/>
      <c r="N90" s="353" t="s">
        <v>31</v>
      </c>
      <c r="O90" s="1"/>
      <c r="P90" s="2" t="s">
        <v>31</v>
      </c>
      <c r="Q90" s="2"/>
      <c r="R90" s="353" t="s">
        <v>31</v>
      </c>
      <c r="S90" s="1"/>
      <c r="T90" s="2" t="s">
        <v>31</v>
      </c>
      <c r="U90" s="2"/>
      <c r="V90" s="353" t="s">
        <v>31</v>
      </c>
      <c r="W90" s="1"/>
      <c r="X90" s="2" t="s">
        <v>31</v>
      </c>
      <c r="Y90" s="20"/>
      <c r="Z90" s="74"/>
      <c r="AA90" s="416"/>
      <c r="AB90" s="74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</row>
    <row r="91" spans="1:47">
      <c r="A91" s="293" t="s">
        <v>436</v>
      </c>
      <c r="B91" s="1"/>
      <c r="C91" s="1"/>
      <c r="D91" s="2"/>
      <c r="E91" s="2"/>
      <c r="F91" s="1" t="s">
        <v>31</v>
      </c>
      <c r="G91" s="2"/>
      <c r="H91" s="1"/>
      <c r="I91" s="1"/>
      <c r="J91" s="2"/>
      <c r="K91" s="1"/>
      <c r="L91" s="1"/>
      <c r="M91" s="1"/>
      <c r="N91" s="2"/>
      <c r="O91" s="1"/>
      <c r="P91" s="1"/>
      <c r="Q91" s="1"/>
      <c r="R91" s="2"/>
      <c r="S91" s="1"/>
      <c r="T91" s="1"/>
      <c r="U91" s="1"/>
      <c r="V91" s="2"/>
      <c r="W91" s="1"/>
      <c r="X91" s="1"/>
      <c r="Y91" s="20"/>
      <c r="Z91" s="74"/>
      <c r="AA91" s="416"/>
      <c r="AB91" s="74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</row>
    <row r="92" spans="1:47">
      <c r="A92" s="309" t="s">
        <v>446</v>
      </c>
      <c r="B92" s="1"/>
      <c r="C92" s="1"/>
      <c r="D92" s="2"/>
      <c r="E92" s="2"/>
      <c r="F92" s="1"/>
      <c r="G92" s="2"/>
      <c r="H92" s="1"/>
      <c r="I92" s="1"/>
      <c r="J92" s="2"/>
      <c r="K92" s="1"/>
      <c r="L92" s="1"/>
      <c r="M92" s="1"/>
      <c r="N92" s="2"/>
      <c r="O92" s="1"/>
      <c r="P92" s="1"/>
      <c r="Q92" s="1"/>
      <c r="R92" s="2"/>
      <c r="S92" s="1"/>
      <c r="T92" s="1"/>
      <c r="U92" s="1"/>
      <c r="V92" s="2"/>
      <c r="W92" s="1"/>
      <c r="X92" s="1"/>
      <c r="Y92" s="20"/>
      <c r="Z92" s="74"/>
      <c r="AA92" s="416"/>
      <c r="AB92" s="74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</row>
    <row r="93" spans="1:47">
      <c r="A93" s="323"/>
      <c r="B93" s="1"/>
      <c r="C93" s="1"/>
      <c r="D93" s="2"/>
      <c r="E93" s="2"/>
      <c r="F93" s="1"/>
      <c r="G93" s="2"/>
      <c r="H93" s="1"/>
      <c r="I93" s="1"/>
      <c r="J93" s="2"/>
      <c r="K93" s="1"/>
      <c r="L93" s="1"/>
      <c r="M93" s="1"/>
      <c r="N93" s="2"/>
      <c r="O93" s="1"/>
      <c r="P93" s="1"/>
      <c r="Q93" s="1"/>
      <c r="R93" s="2"/>
      <c r="S93" s="1"/>
      <c r="T93" s="1"/>
      <c r="U93" s="1"/>
      <c r="V93" s="2"/>
      <c r="W93" s="1"/>
      <c r="X93" s="1"/>
      <c r="Y93" s="20"/>
      <c r="Z93" s="74"/>
      <c r="AA93" s="416"/>
      <c r="AB93" s="74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</row>
    <row r="94" spans="1:47">
      <c r="A94" s="323" t="s">
        <v>393</v>
      </c>
      <c r="B94" s="21"/>
      <c r="C94" s="319"/>
      <c r="D94" s="2"/>
      <c r="E94" s="2"/>
      <c r="F94" s="1"/>
      <c r="G94" s="2"/>
      <c r="H94" s="1"/>
      <c r="I94" s="1"/>
      <c r="J94" s="2"/>
      <c r="K94" s="1"/>
      <c r="L94" s="1"/>
      <c r="M94" s="1"/>
      <c r="N94" s="2"/>
      <c r="O94" s="1"/>
      <c r="P94" s="1"/>
      <c r="Q94" s="1"/>
      <c r="R94" s="2"/>
      <c r="S94" s="1"/>
      <c r="T94" s="1"/>
      <c r="U94" s="1"/>
      <c r="V94" s="2"/>
      <c r="W94" s="1"/>
      <c r="X94" s="1"/>
      <c r="Y94" s="20"/>
      <c r="Z94" s="74"/>
      <c r="AA94" s="416"/>
      <c r="AB94" s="74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</row>
    <row r="95" spans="1:47">
      <c r="A95" s="323" t="s">
        <v>421</v>
      </c>
      <c r="B95" s="1"/>
      <c r="C95" s="319">
        <f>[50]Sheet1!$E$13+[50]Sheet1!$E$17</f>
        <v>48.2</v>
      </c>
      <c r="D95" s="298">
        <v>259</v>
      </c>
      <c r="E95" s="323"/>
      <c r="F95" s="321">
        <f>ROUND(D95*$C95,0)</f>
        <v>12484</v>
      </c>
      <c r="G95" s="298">
        <v>259</v>
      </c>
      <c r="H95" s="323"/>
      <c r="I95" s="321">
        <f>ROUND(G95*C95,0)</f>
        <v>12484</v>
      </c>
      <c r="J95" s="298">
        <f>$J$15</f>
        <v>259</v>
      </c>
      <c r="K95" s="323"/>
      <c r="L95" s="321">
        <f>ROUND(J95*$C95,0)</f>
        <v>12484</v>
      </c>
      <c r="M95" s="321"/>
      <c r="N95" s="298">
        <f>$N$15</f>
        <v>259</v>
      </c>
      <c r="O95" s="323"/>
      <c r="P95" s="321">
        <f>ROUND(N95*$C95,0)</f>
        <v>12484</v>
      </c>
      <c r="Q95" s="321"/>
      <c r="R95" s="298" t="str">
        <f>$R$15</f>
        <v xml:space="preserve"> </v>
      </c>
      <c r="S95" s="323"/>
      <c r="T95" s="321">
        <f>ROUND(R95*$C95,0)</f>
        <v>0</v>
      </c>
      <c r="U95" s="321"/>
      <c r="V95" s="298" t="str">
        <f>$V$15</f>
        <v xml:space="preserve"> </v>
      </c>
      <c r="W95" s="323"/>
      <c r="X95" s="321">
        <f>ROUND(V95*$C95,0)</f>
        <v>0</v>
      </c>
      <c r="Y95" s="20"/>
      <c r="Z95" s="74"/>
      <c r="AA95" s="416"/>
      <c r="AB95" s="74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</row>
    <row r="96" spans="1:47">
      <c r="A96" s="323" t="s">
        <v>422</v>
      </c>
      <c r="B96" s="1"/>
      <c r="C96" s="319">
        <f>[50]Sheet1!$E$14+[50]Sheet1!$E$16+[50]Sheet1!$E$18</f>
        <v>998.63333333333298</v>
      </c>
      <c r="D96" s="298">
        <v>96</v>
      </c>
      <c r="E96" s="323"/>
      <c r="F96" s="321">
        <f>ROUND(D96*$C96,0)</f>
        <v>95869</v>
      </c>
      <c r="G96" s="298">
        <v>96</v>
      </c>
      <c r="H96" s="323"/>
      <c r="I96" s="321">
        <f>ROUND(G96*C96,0)</f>
        <v>95869</v>
      </c>
      <c r="J96" s="298">
        <f>$J$16</f>
        <v>96</v>
      </c>
      <c r="K96" s="323"/>
      <c r="L96" s="321">
        <f>ROUND(J96*$C96,0)</f>
        <v>95869</v>
      </c>
      <c r="M96" s="321"/>
      <c r="N96" s="298">
        <f>$N$16</f>
        <v>96</v>
      </c>
      <c r="O96" s="323"/>
      <c r="P96" s="321">
        <f>ROUND(N96*$C96,0)</f>
        <v>95869</v>
      </c>
      <c r="Q96" s="321"/>
      <c r="R96" s="298" t="str">
        <f>$R$16</f>
        <v xml:space="preserve"> </v>
      </c>
      <c r="S96" s="323"/>
      <c r="T96" s="321">
        <f>ROUND(R96*$C96,0)</f>
        <v>0</v>
      </c>
      <c r="U96" s="321"/>
      <c r="V96" s="298" t="str">
        <f>$V$16</f>
        <v xml:space="preserve"> </v>
      </c>
      <c r="W96" s="323"/>
      <c r="X96" s="321">
        <f>ROUND(V96*$C96,0)</f>
        <v>0</v>
      </c>
      <c r="Y96" s="20"/>
      <c r="Z96" s="74"/>
      <c r="AA96" s="416"/>
      <c r="AB96" s="74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</row>
    <row r="97" spans="1:47">
      <c r="A97" s="323" t="s">
        <v>423</v>
      </c>
      <c r="B97" s="1"/>
      <c r="C97" s="319">
        <f>[50]Sheet1!$E$15+[50]Sheet1!$E$19</f>
        <v>541.06666666666626</v>
      </c>
      <c r="D97" s="298">
        <v>192</v>
      </c>
      <c r="E97" s="325"/>
      <c r="F97" s="321">
        <f>ROUND(D97*$C97,0)</f>
        <v>103885</v>
      </c>
      <c r="G97" s="298">
        <v>192</v>
      </c>
      <c r="H97" s="325"/>
      <c r="I97" s="321">
        <f>ROUND(G97*C97,0)</f>
        <v>103885</v>
      </c>
      <c r="J97" s="298">
        <f>$J$17</f>
        <v>192</v>
      </c>
      <c r="K97" s="325"/>
      <c r="L97" s="321">
        <f>ROUND(J97*$C97,0)</f>
        <v>103885</v>
      </c>
      <c r="M97" s="321"/>
      <c r="N97" s="298">
        <f>$N$17</f>
        <v>192</v>
      </c>
      <c r="O97" s="325"/>
      <c r="P97" s="321">
        <f>ROUND(N97*$C97,0)</f>
        <v>103885</v>
      </c>
      <c r="Q97" s="321"/>
      <c r="R97" s="298" t="str">
        <f>$R$17</f>
        <v xml:space="preserve"> </v>
      </c>
      <c r="S97" s="325"/>
      <c r="T97" s="321">
        <f>ROUND(R97*$C97,0)</f>
        <v>0</v>
      </c>
      <c r="U97" s="321"/>
      <c r="V97" s="298" t="str">
        <f>$V$17</f>
        <v xml:space="preserve"> </v>
      </c>
      <c r="W97" s="325"/>
      <c r="X97" s="321">
        <f>ROUND(V97*$C97,0)</f>
        <v>0</v>
      </c>
      <c r="Y97" s="20"/>
      <c r="Z97" s="74"/>
      <c r="AA97" s="416"/>
      <c r="AB97" s="74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</row>
    <row r="98" spans="1:47">
      <c r="A98" s="323" t="s">
        <v>394</v>
      </c>
      <c r="B98" s="1"/>
      <c r="C98" s="319">
        <f>SUM(C95:C97)</f>
        <v>1587.8999999999992</v>
      </c>
      <c r="D98" s="298"/>
      <c r="E98" s="323"/>
      <c r="F98" s="321"/>
      <c r="G98" s="298"/>
      <c r="H98" s="323"/>
      <c r="I98" s="321"/>
      <c r="J98" s="298"/>
      <c r="K98" s="323"/>
      <c r="L98" s="321"/>
      <c r="M98" s="321"/>
      <c r="N98" s="298"/>
      <c r="O98" s="323"/>
      <c r="P98" s="321"/>
      <c r="Q98" s="321"/>
      <c r="R98" s="298"/>
      <c r="S98" s="323"/>
      <c r="T98" s="321"/>
      <c r="U98" s="321"/>
      <c r="V98" s="298"/>
      <c r="W98" s="323"/>
      <c r="X98" s="321"/>
      <c r="Y98" s="20"/>
      <c r="Z98" s="74"/>
      <c r="AA98" s="3"/>
      <c r="AB98" s="105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</row>
    <row r="99" spans="1:47">
      <c r="A99" s="323" t="s">
        <v>422</v>
      </c>
      <c r="B99" s="1"/>
      <c r="C99" s="319">
        <f>[50]Sheet1!$F$14+[50]Sheet1!$F$16+[50]Sheet1!$F$18</f>
        <v>169859</v>
      </c>
      <c r="D99" s="298">
        <v>1.7</v>
      </c>
      <c r="E99" s="323" t="s">
        <v>31</v>
      </c>
      <c r="F99" s="321">
        <f>ROUND(D99*$C99,0)</f>
        <v>288760</v>
      </c>
      <c r="G99" s="298">
        <v>1.7</v>
      </c>
      <c r="H99" s="323" t="s">
        <v>31</v>
      </c>
      <c r="I99" s="321">
        <f t="shared" ref="I99:I100" si="26">ROUND(G99*C99,0)</f>
        <v>288760</v>
      </c>
      <c r="J99" s="298">
        <f ca="1">$J$19</f>
        <v>1.89</v>
      </c>
      <c r="K99" s="323" t="s">
        <v>31</v>
      </c>
      <c r="L99" s="321">
        <f ca="1">ROUND(J99*$C99,0)</f>
        <v>321034</v>
      </c>
      <c r="M99" s="321"/>
      <c r="N99" s="298">
        <f ca="1">$N$19</f>
        <v>1.89</v>
      </c>
      <c r="O99" s="323" t="s">
        <v>31</v>
      </c>
      <c r="P99" s="321">
        <f ca="1">ROUND(N99*$C99,0)</f>
        <v>321034</v>
      </c>
      <c r="Q99" s="321"/>
      <c r="R99" s="298" t="str">
        <f>$R$19</f>
        <v xml:space="preserve"> </v>
      </c>
      <c r="S99" s="323" t="s">
        <v>31</v>
      </c>
      <c r="T99" s="321">
        <f>ROUND(R99*$C99,0)</f>
        <v>0</v>
      </c>
      <c r="U99" s="321"/>
      <c r="V99" s="298" t="str">
        <f>$V$19</f>
        <v xml:space="preserve"> </v>
      </c>
      <c r="W99" s="323" t="s">
        <v>31</v>
      </c>
      <c r="X99" s="321">
        <f>ROUND(V99*$C99,0)</f>
        <v>0</v>
      </c>
      <c r="Y99" s="20"/>
      <c r="Z99" s="74"/>
      <c r="AA99" s="3"/>
      <c r="AB99" s="105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</row>
    <row r="100" spans="1:47">
      <c r="A100" s="323" t="s">
        <v>423</v>
      </c>
      <c r="B100" s="1"/>
      <c r="C100" s="319">
        <f>[50]Sheet1!$F$15+[50]Sheet1!$F$19</f>
        <v>301914</v>
      </c>
      <c r="D100" s="298">
        <v>1.39</v>
      </c>
      <c r="E100" s="323" t="s">
        <v>31</v>
      </c>
      <c r="F100" s="321">
        <f>ROUND(D100*$C100,0)</f>
        <v>419660</v>
      </c>
      <c r="G100" s="298">
        <v>1.39</v>
      </c>
      <c r="H100" s="323" t="s">
        <v>31</v>
      </c>
      <c r="I100" s="321">
        <f t="shared" si="26"/>
        <v>419660</v>
      </c>
      <c r="J100" s="298">
        <f ca="1">$J$20</f>
        <v>1.55</v>
      </c>
      <c r="K100" s="323" t="s">
        <v>31</v>
      </c>
      <c r="L100" s="321">
        <f ca="1">ROUND(J100*$C100,0)</f>
        <v>467967</v>
      </c>
      <c r="M100" s="321"/>
      <c r="N100" s="298">
        <f ca="1">$N$20</f>
        <v>1.55</v>
      </c>
      <c r="O100" s="323" t="s">
        <v>31</v>
      </c>
      <c r="P100" s="321">
        <f ca="1">ROUND(N100*$C100,0)</f>
        <v>467967</v>
      </c>
      <c r="Q100" s="321"/>
      <c r="R100" s="298" t="str">
        <f>$R$20</f>
        <v xml:space="preserve"> </v>
      </c>
      <c r="S100" s="323" t="s">
        <v>31</v>
      </c>
      <c r="T100" s="321">
        <f>ROUND(R100*$C100,0)</f>
        <v>0</v>
      </c>
      <c r="U100" s="321"/>
      <c r="V100" s="298" t="str">
        <f>$V$20</f>
        <v xml:space="preserve"> </v>
      </c>
      <c r="W100" s="323" t="s">
        <v>31</v>
      </c>
      <c r="X100" s="321">
        <f>ROUND(V100*$C100,0)</f>
        <v>0</v>
      </c>
      <c r="Y100" s="20"/>
      <c r="Z100" s="74"/>
      <c r="AA100" s="416"/>
      <c r="AB100" s="74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</row>
    <row r="101" spans="1:47">
      <c r="A101" s="309" t="s">
        <v>424</v>
      </c>
      <c r="B101" s="1"/>
      <c r="C101" s="319"/>
      <c r="D101" s="355"/>
      <c r="E101" s="323"/>
      <c r="F101" s="321"/>
      <c r="G101" s="355"/>
      <c r="H101" s="323"/>
      <c r="I101" s="321"/>
      <c r="J101" s="355"/>
      <c r="K101" s="323"/>
      <c r="L101" s="321"/>
      <c r="M101" s="321"/>
      <c r="N101" s="355"/>
      <c r="O101" s="323"/>
      <c r="P101" s="321"/>
      <c r="Q101" s="321"/>
      <c r="R101" s="355"/>
      <c r="S101" s="323"/>
      <c r="T101" s="321"/>
      <c r="U101" s="321"/>
      <c r="V101" s="355"/>
      <c r="W101" s="323"/>
      <c r="X101" s="321"/>
      <c r="Y101" s="20"/>
      <c r="Z101" s="74"/>
      <c r="AA101" s="74"/>
      <c r="AB101" s="74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</row>
    <row r="102" spans="1:47">
      <c r="A102" s="309" t="s">
        <v>425</v>
      </c>
      <c r="B102" s="1"/>
      <c r="C102" s="319">
        <f>[50]Sheet1!$I$23</f>
        <v>354299.5</v>
      </c>
      <c r="D102" s="298">
        <v>4.4400000000000004</v>
      </c>
      <c r="E102" s="323"/>
      <c r="F102" s="321">
        <f>ROUND(D102*$C102,0)</f>
        <v>1573090</v>
      </c>
      <c r="G102" s="298">
        <v>4.72</v>
      </c>
      <c r="H102" s="323"/>
      <c r="I102" s="321">
        <f t="shared" ref="I102:I103" si="27">ROUND(G102*C102,0)</f>
        <v>1672294</v>
      </c>
      <c r="J102" s="298">
        <f ca="1">$J$22</f>
        <v>5.3</v>
      </c>
      <c r="K102" s="323"/>
      <c r="L102" s="321">
        <f ca="1">ROUND(J102*$C102,0)</f>
        <v>1877787</v>
      </c>
      <c r="M102" s="321"/>
      <c r="N102" s="298">
        <f ca="1">$N$22</f>
        <v>0.95</v>
      </c>
      <c r="O102" s="323"/>
      <c r="P102" s="321">
        <f ca="1">ROUND(N102*$C102,0)</f>
        <v>336585</v>
      </c>
      <c r="Q102" s="321"/>
      <c r="R102" s="298">
        <f ca="1">$R$22</f>
        <v>0.86</v>
      </c>
      <c r="S102" s="323"/>
      <c r="T102" s="321">
        <f ca="1">ROUND(R102*$C102,0)</f>
        <v>304698</v>
      </c>
      <c r="U102" s="321"/>
      <c r="V102" s="298">
        <f ca="1">$V$22</f>
        <v>3.49</v>
      </c>
      <c r="W102" s="323"/>
      <c r="X102" s="321">
        <f ca="1">ROUND(V102*$C102,0)</f>
        <v>1236505</v>
      </c>
      <c r="Y102" s="20"/>
      <c r="Z102" s="74"/>
      <c r="AA102" s="74"/>
      <c r="AB102" s="74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</row>
    <row r="103" spans="1:47">
      <c r="A103" s="309" t="s">
        <v>441</v>
      </c>
      <c r="B103" s="1"/>
      <c r="C103" s="319">
        <f>[50]Sheet1!$J$23</f>
        <v>942.33333333333303</v>
      </c>
      <c r="D103" s="369">
        <v>4.4400000000000004</v>
      </c>
      <c r="E103" s="323"/>
      <c r="F103" s="321">
        <f>ROUND(D103*$C103,0)</f>
        <v>4184</v>
      </c>
      <c r="G103" s="369">
        <v>4.72</v>
      </c>
      <c r="H103" s="323"/>
      <c r="I103" s="321">
        <f t="shared" si="27"/>
        <v>4448</v>
      </c>
      <c r="J103" s="369">
        <f ca="1">J102</f>
        <v>5.3</v>
      </c>
      <c r="K103" s="323"/>
      <c r="L103" s="321">
        <f ca="1">ROUND(J103*$C103,0)</f>
        <v>4994</v>
      </c>
      <c r="M103" s="321"/>
      <c r="N103" s="369">
        <f ca="1">N102</f>
        <v>0.95</v>
      </c>
      <c r="O103" s="323"/>
      <c r="P103" s="321">
        <f ca="1">ROUND(N103*$C103,0)</f>
        <v>895</v>
      </c>
      <c r="Q103" s="321"/>
      <c r="R103" s="369">
        <f ca="1">R102</f>
        <v>0.86</v>
      </c>
      <c r="S103" s="323"/>
      <c r="T103" s="321">
        <f ca="1">ROUND(R103*$C103,0)</f>
        <v>810</v>
      </c>
      <c r="U103" s="321"/>
      <c r="V103" s="369">
        <f ca="1">V102</f>
        <v>3.49</v>
      </c>
      <c r="W103" s="323"/>
      <c r="X103" s="321">
        <f ca="1">ROUND(V103*$C103,0)</f>
        <v>3289</v>
      </c>
      <c r="Y103" s="20"/>
      <c r="Z103" s="74"/>
      <c r="AA103" s="74"/>
      <c r="AB103" s="74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</row>
    <row r="104" spans="1:47">
      <c r="A104" s="323" t="s">
        <v>426</v>
      </c>
      <c r="B104" s="1"/>
      <c r="C104" s="319"/>
      <c r="D104" s="298"/>
      <c r="E104" s="323"/>
      <c r="F104" s="321"/>
      <c r="G104" s="298"/>
      <c r="H104" s="323"/>
      <c r="I104" s="321"/>
      <c r="J104" s="298"/>
      <c r="K104" s="323"/>
      <c r="L104" s="321"/>
      <c r="M104" s="321"/>
      <c r="N104" s="298"/>
      <c r="O104" s="323"/>
      <c r="P104" s="321"/>
      <c r="Q104" s="321"/>
      <c r="R104" s="298"/>
      <c r="S104" s="323"/>
      <c r="T104" s="321"/>
      <c r="U104" s="321"/>
      <c r="V104" s="298"/>
      <c r="W104" s="323"/>
      <c r="X104" s="321"/>
      <c r="Y104" s="20"/>
      <c r="Z104" s="74"/>
      <c r="AA104" s="74"/>
      <c r="AB104" s="74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</row>
    <row r="105" spans="1:47">
      <c r="A105" s="323" t="s">
        <v>427</v>
      </c>
      <c r="B105" s="1"/>
      <c r="C105" s="319">
        <f>[50]Sheet1!$H$23</f>
        <v>43824556.333333328</v>
      </c>
      <c r="D105" s="328">
        <v>5.2919999999999998</v>
      </c>
      <c r="E105" s="323" t="s">
        <v>374</v>
      </c>
      <c r="F105" s="321">
        <f>ROUND(D105*$C105/100,0)</f>
        <v>2319196</v>
      </c>
      <c r="G105" s="328">
        <v>5.6289999999999996</v>
      </c>
      <c r="H105" s="323" t="s">
        <v>374</v>
      </c>
      <c r="I105" s="321">
        <f>ROUND(G105*C105/100,0)</f>
        <v>2466884</v>
      </c>
      <c r="J105" s="327">
        <f ca="1">$J$25</f>
        <v>2.8460000000000001</v>
      </c>
      <c r="K105" s="323" t="s">
        <v>374</v>
      </c>
      <c r="L105" s="321">
        <f ca="1">ROUND(J105*$C105/100,0)</f>
        <v>1247247</v>
      </c>
      <c r="M105" s="321"/>
      <c r="N105" s="327" t="str">
        <f>$N$25</f>
        <v xml:space="preserve"> </v>
      </c>
      <c r="O105" s="323" t="s">
        <v>374</v>
      </c>
      <c r="P105" s="321">
        <f>ROUND(N105*$C105/100,0)</f>
        <v>0</v>
      </c>
      <c r="Q105" s="321"/>
      <c r="R105" s="327">
        <f ca="1">$R$25</f>
        <v>1.242</v>
      </c>
      <c r="S105" s="323" t="s">
        <v>374</v>
      </c>
      <c r="T105" s="321">
        <f ca="1">ROUND(R105*$C105/100,0)</f>
        <v>544301</v>
      </c>
      <c r="U105" s="321"/>
      <c r="V105" s="327">
        <f ca="1">$V$25</f>
        <v>1.6040000000000001</v>
      </c>
      <c r="W105" s="323" t="s">
        <v>374</v>
      </c>
      <c r="X105" s="321">
        <f ca="1">ROUND(V105*$C105/100,0)</f>
        <v>702946</v>
      </c>
      <c r="Y105" s="20"/>
      <c r="Z105" s="74"/>
      <c r="AA105" s="74"/>
      <c r="AB105" s="74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</row>
    <row r="106" spans="1:47">
      <c r="A106" s="323" t="s">
        <v>399</v>
      </c>
      <c r="B106" s="1"/>
      <c r="C106" s="319">
        <f>[50]Sheet1!$G$23-C105</f>
        <v>61783202.666666672</v>
      </c>
      <c r="D106" s="328">
        <v>4.8499999999999996</v>
      </c>
      <c r="E106" s="323" t="s">
        <v>374</v>
      </c>
      <c r="F106" s="321">
        <f>ROUND(D106*$C106/100,0)</f>
        <v>2996485</v>
      </c>
      <c r="G106" s="328">
        <v>5.157</v>
      </c>
      <c r="H106" s="323" t="s">
        <v>374</v>
      </c>
      <c r="I106" s="321">
        <f t="shared" ref="I106:I107" si="28">ROUND(G106*C106/100,0)</f>
        <v>3186160</v>
      </c>
      <c r="J106" s="327">
        <f ca="1">$J$26</f>
        <v>2.6050000000000004</v>
      </c>
      <c r="K106" s="323" t="s">
        <v>374</v>
      </c>
      <c r="L106" s="321">
        <f ca="1">ROUND(J106*$C106/100,0)</f>
        <v>1609452</v>
      </c>
      <c r="M106" s="321"/>
      <c r="N106" s="327" t="str">
        <f>$N$26</f>
        <v xml:space="preserve"> </v>
      </c>
      <c r="O106" s="323" t="s">
        <v>374</v>
      </c>
      <c r="P106" s="321">
        <f>ROUND(N106*$C106/100,0)</f>
        <v>0</v>
      </c>
      <c r="Q106" s="321"/>
      <c r="R106" s="327">
        <f ca="1">$R$26</f>
        <v>1.137</v>
      </c>
      <c r="S106" s="323" t="s">
        <v>374</v>
      </c>
      <c r="T106" s="321">
        <f ca="1">ROUND(R106*$C106/100,0)</f>
        <v>702475</v>
      </c>
      <c r="U106" s="321"/>
      <c r="V106" s="327">
        <f ca="1">$V$26</f>
        <v>1.468</v>
      </c>
      <c r="W106" s="323" t="s">
        <v>374</v>
      </c>
      <c r="X106" s="321">
        <f ca="1">ROUND(V106*$C106/100,0)</f>
        <v>906977</v>
      </c>
      <c r="Y106" s="20"/>
      <c r="Z106" s="74"/>
      <c r="AA106" s="74"/>
      <c r="AB106" s="74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</row>
    <row r="107" spans="1:47">
      <c r="A107" s="323" t="s">
        <v>400</v>
      </c>
      <c r="B107" s="1"/>
      <c r="C107" s="319">
        <f>[50]Sheet1!$K$23</f>
        <v>110811.9666666667</v>
      </c>
      <c r="D107" s="991">
        <v>56</v>
      </c>
      <c r="E107" s="323" t="s">
        <v>374</v>
      </c>
      <c r="F107" s="321">
        <f>ROUND(D107*$C107/100,0)</f>
        <v>62055</v>
      </c>
      <c r="G107" s="991">
        <v>56</v>
      </c>
      <c r="H107" s="323" t="s">
        <v>374</v>
      </c>
      <c r="I107" s="321">
        <f t="shared" si="28"/>
        <v>62055</v>
      </c>
      <c r="J107" s="475">
        <f>$J$27</f>
        <v>56</v>
      </c>
      <c r="K107" s="323" t="s">
        <v>374</v>
      </c>
      <c r="L107" s="321">
        <f>ROUND(J107*$C107/100,0)</f>
        <v>62055</v>
      </c>
      <c r="M107" s="321"/>
      <c r="N107" s="475" t="str">
        <f>$N$27</f>
        <v xml:space="preserve"> </v>
      </c>
      <c r="O107" s="323" t="s">
        <v>374</v>
      </c>
      <c r="P107" s="321">
        <f>ROUND(N107*$C107/100,0)</f>
        <v>0</v>
      </c>
      <c r="Q107" s="321"/>
      <c r="R107" s="475">
        <f ca="1">$R$27</f>
        <v>11</v>
      </c>
      <c r="S107" s="323" t="s">
        <v>374</v>
      </c>
      <c r="T107" s="321">
        <f ca="1">ROUND(R107*$C107/100,0)</f>
        <v>12189</v>
      </c>
      <c r="U107" s="321"/>
      <c r="V107" s="475">
        <f ca="1">$V$27</f>
        <v>45</v>
      </c>
      <c r="W107" s="323" t="s">
        <v>374</v>
      </c>
      <c r="X107" s="321">
        <f ca="1">ROUND(V107*$C107/100,0)</f>
        <v>49865</v>
      </c>
      <c r="Y107" s="20"/>
      <c r="Z107" s="74"/>
      <c r="AA107" s="74"/>
      <c r="AB107" s="74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</row>
    <row r="108" spans="1:47" s="1184" customFormat="1">
      <c r="A108" s="1005" t="s">
        <v>924</v>
      </c>
      <c r="C108" s="1202">
        <f>C105</f>
        <v>43824556.333333328</v>
      </c>
      <c r="D108" s="269"/>
      <c r="E108" s="1185"/>
      <c r="F108" s="1203"/>
      <c r="G108" s="269"/>
      <c r="H108" s="1185"/>
      <c r="I108" s="1203"/>
      <c r="J108" s="1230">
        <f>J28</f>
        <v>3.415</v>
      </c>
      <c r="K108" s="1041" t="s">
        <v>374</v>
      </c>
      <c r="L108" s="1041">
        <f t="shared" ref="L108:L109" si="29">ROUND(J108*$C108/100,0)</f>
        <v>1496609</v>
      </c>
      <c r="M108" s="1041"/>
      <c r="N108" s="1230" t="str">
        <f>N28</f>
        <v xml:space="preserve"> </v>
      </c>
      <c r="O108" s="1041" t="s">
        <v>374</v>
      </c>
      <c r="P108" s="1041">
        <f t="shared" ref="P108:P109" si="30">ROUND(N108*$C108/100,0)</f>
        <v>0</v>
      </c>
      <c r="Q108" s="1041"/>
      <c r="R108" s="1230" t="str">
        <f>R28</f>
        <v xml:space="preserve"> </v>
      </c>
      <c r="S108" s="1041" t="s">
        <v>374</v>
      </c>
      <c r="T108" s="1041">
        <f t="shared" ref="T108:T109" si="31">ROUND(R108*$C108/100,0)</f>
        <v>0</v>
      </c>
      <c r="U108" s="1041"/>
      <c r="V108" s="1230">
        <f>V28</f>
        <v>3.415</v>
      </c>
      <c r="W108" s="1041" t="s">
        <v>374</v>
      </c>
      <c r="X108" s="1041">
        <f t="shared" ref="X108:X109" si="32">ROUND(V108*$C108/100,0)</f>
        <v>1496609</v>
      </c>
      <c r="Z108" s="815"/>
      <c r="AC108" s="1205"/>
      <c r="AD108" s="1205"/>
      <c r="AI108" s="1185"/>
      <c r="AJ108" s="1185"/>
      <c r="AK108" s="1185"/>
      <c r="AL108" s="1185"/>
      <c r="AM108" s="1185"/>
      <c r="AN108" s="1185"/>
      <c r="AO108" s="1185"/>
      <c r="AP108" s="1185"/>
      <c r="AQ108" s="1185"/>
      <c r="AR108" s="1185"/>
      <c r="AS108" s="1185"/>
      <c r="AU108" s="1204"/>
    </row>
    <row r="109" spans="1:47" s="1184" customFormat="1">
      <c r="A109" s="1005" t="s">
        <v>925</v>
      </c>
      <c r="C109" s="1202">
        <f>C106</f>
        <v>61783202.666666672</v>
      </c>
      <c r="D109" s="269"/>
      <c r="E109" s="1185"/>
      <c r="F109" s="1203"/>
      <c r="G109" s="269"/>
      <c r="H109" s="1185"/>
      <c r="I109" s="1203"/>
      <c r="J109" s="1230">
        <f>J29</f>
        <v>3.1309999999999998</v>
      </c>
      <c r="K109" s="1041" t="s">
        <v>374</v>
      </c>
      <c r="L109" s="1041">
        <f t="shared" si="29"/>
        <v>1934432</v>
      </c>
      <c r="M109" s="1041"/>
      <c r="N109" s="1230" t="str">
        <f>N29</f>
        <v xml:space="preserve"> </v>
      </c>
      <c r="O109" s="1041" t="s">
        <v>374</v>
      </c>
      <c r="P109" s="1041">
        <f t="shared" si="30"/>
        <v>0</v>
      </c>
      <c r="Q109" s="1041"/>
      <c r="R109" s="1230" t="str">
        <f>R29</f>
        <v xml:space="preserve"> </v>
      </c>
      <c r="S109" s="1041" t="s">
        <v>374</v>
      </c>
      <c r="T109" s="1041">
        <f t="shared" si="31"/>
        <v>0</v>
      </c>
      <c r="U109" s="1041"/>
      <c r="V109" s="1230">
        <f>V29</f>
        <v>3.1309999999999998</v>
      </c>
      <c r="W109" s="1041" t="s">
        <v>374</v>
      </c>
      <c r="X109" s="1041">
        <f t="shared" si="32"/>
        <v>1934432</v>
      </c>
      <c r="Z109" s="815"/>
      <c r="AC109" s="1205"/>
      <c r="AD109" s="1205"/>
      <c r="AI109" s="1185"/>
      <c r="AJ109" s="1185"/>
      <c r="AK109" s="1185"/>
      <c r="AL109" s="1185"/>
      <c r="AM109" s="1185"/>
      <c r="AN109" s="1185"/>
      <c r="AO109" s="1185"/>
      <c r="AP109" s="1185"/>
      <c r="AQ109" s="1185"/>
      <c r="AR109" s="1185"/>
      <c r="AS109" s="1185"/>
      <c r="AU109" s="1204"/>
    </row>
    <row r="110" spans="1:47">
      <c r="A110" s="360" t="s">
        <v>401</v>
      </c>
      <c r="B110" s="1"/>
      <c r="C110" s="319"/>
      <c r="D110" s="332">
        <v>-0.01</v>
      </c>
      <c r="E110" s="2"/>
      <c r="F110" s="321"/>
      <c r="G110" s="332">
        <v>-0.01</v>
      </c>
      <c r="H110" s="1"/>
      <c r="I110" s="321"/>
      <c r="J110" s="332">
        <v>-0.01</v>
      </c>
      <c r="K110" s="1"/>
      <c r="L110" s="321"/>
      <c r="M110" s="321"/>
      <c r="N110" s="332">
        <v>-0.01</v>
      </c>
      <c r="O110" s="1"/>
      <c r="P110" s="321"/>
      <c r="Q110" s="321"/>
      <c r="R110" s="332">
        <v>-0.01</v>
      </c>
      <c r="S110" s="1"/>
      <c r="T110" s="321"/>
      <c r="U110" s="321"/>
      <c r="V110" s="332">
        <v>-0.01</v>
      </c>
      <c r="W110" s="1"/>
      <c r="X110" s="321"/>
      <c r="Y110" s="20"/>
      <c r="Z110" s="74"/>
      <c r="AA110" s="74"/>
      <c r="AB110" s="74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</row>
    <row r="111" spans="1:47">
      <c r="A111" s="323" t="s">
        <v>421</v>
      </c>
      <c r="B111" s="1"/>
      <c r="C111" s="319">
        <v>0</v>
      </c>
      <c r="D111" s="304">
        <v>259</v>
      </c>
      <c r="E111" s="364"/>
      <c r="F111" s="321">
        <f>ROUND(D111*$C111*D110,0)</f>
        <v>0</v>
      </c>
      <c r="G111" s="304">
        <v>259</v>
      </c>
      <c r="H111" s="293"/>
      <c r="I111" s="321">
        <f>ROUND(G111*C111*$G$72,0)</f>
        <v>0</v>
      </c>
      <c r="J111" s="304">
        <f>J95</f>
        <v>259</v>
      </c>
      <c r="K111" s="293"/>
      <c r="L111" s="321">
        <f>ROUND(J111*$C111*J110,0)</f>
        <v>0</v>
      </c>
      <c r="M111" s="321"/>
      <c r="N111" s="304">
        <f>N95</f>
        <v>259</v>
      </c>
      <c r="O111" s="293"/>
      <c r="P111" s="321">
        <f>ROUND(N111*$C111*N110,0)</f>
        <v>0</v>
      </c>
      <c r="Q111" s="321"/>
      <c r="R111" s="304" t="str">
        <f>R95</f>
        <v xml:space="preserve"> </v>
      </c>
      <c r="S111" s="293"/>
      <c r="T111" s="321">
        <f>ROUND(R111*$C111*R110,0)</f>
        <v>0</v>
      </c>
      <c r="U111" s="321"/>
      <c r="V111" s="304" t="str">
        <f>V95</f>
        <v xml:space="preserve"> </v>
      </c>
      <c r="W111" s="293"/>
      <c r="X111" s="321">
        <f>ROUND(V111*$C111*V110,0)</f>
        <v>0</v>
      </c>
      <c r="Y111" s="20"/>
      <c r="Z111" s="74"/>
      <c r="AA111" s="74"/>
      <c r="AB111" s="74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</row>
    <row r="112" spans="1:47">
      <c r="A112" s="323" t="s">
        <v>422</v>
      </c>
      <c r="B112" s="1"/>
      <c r="C112" s="319">
        <f>[50]Sheet1!$E$16</f>
        <v>21</v>
      </c>
      <c r="D112" s="304">
        <v>96</v>
      </c>
      <c r="E112" s="364"/>
      <c r="F112" s="321">
        <f>ROUND(D112*$C112*D110,0)</f>
        <v>-20</v>
      </c>
      <c r="G112" s="304">
        <v>96</v>
      </c>
      <c r="H112" s="293"/>
      <c r="I112" s="321">
        <f t="shared" ref="I112:I117" si="33">ROUND(G112*C112*$G$72,0)</f>
        <v>-20</v>
      </c>
      <c r="J112" s="304">
        <f>J96</f>
        <v>96</v>
      </c>
      <c r="K112" s="293"/>
      <c r="L112" s="321">
        <f>ROUND(J112*$C112*J110,0)</f>
        <v>-20</v>
      </c>
      <c r="M112" s="321"/>
      <c r="N112" s="304">
        <f>N96</f>
        <v>96</v>
      </c>
      <c r="O112" s="293"/>
      <c r="P112" s="321">
        <f>ROUND(N112*$C112*N110,0)</f>
        <v>-20</v>
      </c>
      <c r="Q112" s="321"/>
      <c r="R112" s="304" t="str">
        <f>R96</f>
        <v xml:space="preserve"> </v>
      </c>
      <c r="S112" s="293"/>
      <c r="T112" s="321">
        <f>ROUND(R112*$C112*R110,0)</f>
        <v>0</v>
      </c>
      <c r="U112" s="321"/>
      <c r="V112" s="304" t="str">
        <f>V96</f>
        <v xml:space="preserve"> </v>
      </c>
      <c r="W112" s="293"/>
      <c r="X112" s="321">
        <f>ROUND(V112*$C112*V110,0)</f>
        <v>0</v>
      </c>
      <c r="Y112" s="20"/>
      <c r="Z112" s="74"/>
      <c r="AA112" s="74"/>
      <c r="AB112" s="74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</row>
    <row r="113" spans="1:47">
      <c r="A113" s="323" t="s">
        <v>423</v>
      </c>
      <c r="B113" s="1"/>
      <c r="C113" s="319">
        <v>0</v>
      </c>
      <c r="D113" s="304">
        <v>192</v>
      </c>
      <c r="E113" s="372"/>
      <c r="F113" s="321">
        <f>ROUND(D113*$C113*D110,0)</f>
        <v>0</v>
      </c>
      <c r="G113" s="304">
        <v>192</v>
      </c>
      <c r="H113" s="373"/>
      <c r="I113" s="321">
        <f t="shared" si="33"/>
        <v>0</v>
      </c>
      <c r="J113" s="304">
        <f>J97</f>
        <v>192</v>
      </c>
      <c r="K113" s="373"/>
      <c r="L113" s="321">
        <f>ROUND(J113*$C113*J110,0)</f>
        <v>0</v>
      </c>
      <c r="M113" s="321"/>
      <c r="N113" s="304">
        <f>N97</f>
        <v>192</v>
      </c>
      <c r="O113" s="373"/>
      <c r="P113" s="321">
        <f>ROUND(N113*$C113*N110,0)</f>
        <v>0</v>
      </c>
      <c r="Q113" s="321"/>
      <c r="R113" s="304" t="str">
        <f>R97</f>
        <v xml:space="preserve"> </v>
      </c>
      <c r="S113" s="373"/>
      <c r="T113" s="321">
        <f>ROUND(R113*$C113*R110,0)</f>
        <v>0</v>
      </c>
      <c r="U113" s="321"/>
      <c r="V113" s="304" t="str">
        <f>V97</f>
        <v xml:space="preserve"> </v>
      </c>
      <c r="W113" s="373"/>
      <c r="X113" s="321">
        <f>ROUND(V113*$C113*V110,0)</f>
        <v>0</v>
      </c>
      <c r="Y113" s="20"/>
      <c r="Z113" s="74"/>
      <c r="AA113" s="74"/>
      <c r="AB113" s="74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</row>
    <row r="114" spans="1:47">
      <c r="A114" s="323" t="s">
        <v>422</v>
      </c>
      <c r="B114" s="1"/>
      <c r="C114" s="319">
        <f>[50]Sheet1!$F$16</f>
        <v>2337</v>
      </c>
      <c r="D114" s="304">
        <v>1.7</v>
      </c>
      <c r="E114" s="364"/>
      <c r="F114" s="321">
        <f>ROUND(D114*$C114*D110,0)</f>
        <v>-40</v>
      </c>
      <c r="G114" s="304">
        <v>1.7</v>
      </c>
      <c r="H114" s="293"/>
      <c r="I114" s="321">
        <f t="shared" si="33"/>
        <v>-40</v>
      </c>
      <c r="J114" s="304">
        <f ca="1">J99</f>
        <v>1.89</v>
      </c>
      <c r="K114" s="293"/>
      <c r="L114" s="321">
        <f ca="1">ROUND(J114*$C114*J110,0)</f>
        <v>-44</v>
      </c>
      <c r="M114" s="321"/>
      <c r="N114" s="304">
        <f ca="1">N99</f>
        <v>1.89</v>
      </c>
      <c r="O114" s="293"/>
      <c r="P114" s="321">
        <f ca="1">ROUND(N114*$C114*N110,0)</f>
        <v>-44</v>
      </c>
      <c r="Q114" s="321"/>
      <c r="R114" s="304" t="str">
        <f>R99</f>
        <v xml:space="preserve"> </v>
      </c>
      <c r="S114" s="293"/>
      <c r="T114" s="321">
        <f>ROUND(R114*$C114*R110,0)</f>
        <v>0</v>
      </c>
      <c r="U114" s="321"/>
      <c r="V114" s="304" t="str">
        <f>V99</f>
        <v xml:space="preserve"> </v>
      </c>
      <c r="W114" s="293"/>
      <c r="X114" s="321">
        <f>ROUND(V114*$C114*V110,0)</f>
        <v>0</v>
      </c>
      <c r="Y114" s="20"/>
      <c r="Z114" s="74"/>
      <c r="AA114" s="74"/>
      <c r="AB114" s="74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</row>
    <row r="115" spans="1:47">
      <c r="A115" s="323" t="s">
        <v>423</v>
      </c>
      <c r="B115" s="1"/>
      <c r="C115" s="319">
        <v>0</v>
      </c>
      <c r="D115" s="304">
        <v>1.39</v>
      </c>
      <c r="E115" s="364" t="s">
        <v>31</v>
      </c>
      <c r="F115" s="321">
        <f>ROUND(D115*$C115*D110,0)</f>
        <v>0</v>
      </c>
      <c r="G115" s="304">
        <v>1.39</v>
      </c>
      <c r="H115" s="293"/>
      <c r="I115" s="321">
        <f t="shared" si="33"/>
        <v>0</v>
      </c>
      <c r="J115" s="304">
        <f ca="1">J100</f>
        <v>1.55</v>
      </c>
      <c r="K115" s="293"/>
      <c r="L115" s="321">
        <f ca="1">ROUND(J115*$C115*J110,0)</f>
        <v>0</v>
      </c>
      <c r="M115" s="321"/>
      <c r="N115" s="304">
        <f ca="1">N100</f>
        <v>1.55</v>
      </c>
      <c r="O115" s="293"/>
      <c r="P115" s="321">
        <f ca="1">ROUND(N115*$C115*N110,0)</f>
        <v>0</v>
      </c>
      <c r="Q115" s="321"/>
      <c r="R115" s="304" t="str">
        <f>R100</f>
        <v xml:space="preserve"> </v>
      </c>
      <c r="S115" s="293"/>
      <c r="T115" s="321">
        <f>ROUND(R115*$C115*R110,0)</f>
        <v>0</v>
      </c>
      <c r="U115" s="321"/>
      <c r="V115" s="304" t="str">
        <f>V100</f>
        <v xml:space="preserve"> </v>
      </c>
      <c r="W115" s="293"/>
      <c r="X115" s="321">
        <f>ROUND(V115*$C115*V110,0)</f>
        <v>0</v>
      </c>
      <c r="Y115" s="20"/>
      <c r="Z115" s="74"/>
      <c r="AA115" s="74"/>
      <c r="AB115" s="74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</row>
    <row r="116" spans="1:47">
      <c r="A116" s="309" t="s">
        <v>425</v>
      </c>
      <c r="B116" s="1"/>
      <c r="C116" s="319">
        <f>[50]Sheet1!$I$16</f>
        <v>1987.5</v>
      </c>
      <c r="D116" s="304">
        <v>4.4400000000000004</v>
      </c>
      <c r="E116" s="364" t="s">
        <v>31</v>
      </c>
      <c r="F116" s="321">
        <f>ROUND(D116*$C116*D110,0)</f>
        <v>-88</v>
      </c>
      <c r="G116" s="304">
        <v>4.72</v>
      </c>
      <c r="H116" s="293"/>
      <c r="I116" s="321">
        <f t="shared" si="33"/>
        <v>-94</v>
      </c>
      <c r="J116" s="304">
        <f ca="1">J102</f>
        <v>5.3</v>
      </c>
      <c r="K116" s="293"/>
      <c r="L116" s="321">
        <f ca="1">ROUND(J116*$C116*J110,0)</f>
        <v>-105</v>
      </c>
      <c r="M116" s="321"/>
      <c r="N116" s="304">
        <f ca="1">N102</f>
        <v>0.95</v>
      </c>
      <c r="O116" s="293"/>
      <c r="P116" s="321">
        <f ca="1">ROUND(N116*$C116*N110,0)</f>
        <v>-19</v>
      </c>
      <c r="Q116" s="321"/>
      <c r="R116" s="304">
        <f ca="1">R102</f>
        <v>0.86</v>
      </c>
      <c r="S116" s="293"/>
      <c r="T116" s="321">
        <f ca="1">ROUND(R116*$C116*R110,0)</f>
        <v>-17</v>
      </c>
      <c r="U116" s="321"/>
      <c r="V116" s="304">
        <f ca="1">V102</f>
        <v>3.49</v>
      </c>
      <c r="W116" s="293"/>
      <c r="X116" s="321">
        <f ca="1">ROUND(V116*$C116*V110,0)</f>
        <v>-69</v>
      </c>
      <c r="Y116" s="20"/>
      <c r="Z116" s="74"/>
      <c r="AA116" s="74"/>
      <c r="AB116" s="74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</row>
    <row r="117" spans="1:47">
      <c r="A117" s="309" t="s">
        <v>441</v>
      </c>
      <c r="B117" s="1"/>
      <c r="C117" s="319">
        <f>[50]Sheet1!$J$16</f>
        <v>0</v>
      </c>
      <c r="D117" s="304">
        <v>4.4400000000000004</v>
      </c>
      <c r="E117" s="364" t="s">
        <v>31</v>
      </c>
      <c r="F117" s="321">
        <f>ROUND(D117*$C117*D110,0)</f>
        <v>0</v>
      </c>
      <c r="G117" s="304">
        <v>4.72</v>
      </c>
      <c r="H117" s="293"/>
      <c r="I117" s="321">
        <f t="shared" si="33"/>
        <v>0</v>
      </c>
      <c r="J117" s="304">
        <f ca="1">J103</f>
        <v>5.3</v>
      </c>
      <c r="K117" s="293"/>
      <c r="L117" s="321">
        <f ca="1">ROUND(J117*$C117*J110,0)</f>
        <v>0</v>
      </c>
      <c r="M117" s="321"/>
      <c r="N117" s="304">
        <f ca="1">N103</f>
        <v>0.95</v>
      </c>
      <c r="O117" s="293"/>
      <c r="P117" s="321">
        <f ca="1">ROUND(N117*$C117*N110,0)</f>
        <v>0</v>
      </c>
      <c r="Q117" s="321"/>
      <c r="R117" s="304">
        <f ca="1">R103</f>
        <v>0.86</v>
      </c>
      <c r="S117" s="293"/>
      <c r="T117" s="321">
        <f ca="1">ROUND(R117*$C117*R110,0)</f>
        <v>0</v>
      </c>
      <c r="U117" s="321"/>
      <c r="V117" s="304">
        <f ca="1">V103</f>
        <v>3.49</v>
      </c>
      <c r="W117" s="293"/>
      <c r="X117" s="321">
        <f ca="1">ROUND(V117*$C117*V110,0)</f>
        <v>0</v>
      </c>
      <c r="Y117" s="20"/>
      <c r="Z117" s="74"/>
      <c r="AA117" s="74"/>
      <c r="AB117" s="74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</row>
    <row r="118" spans="1:47">
      <c r="A118" s="323" t="s">
        <v>427</v>
      </c>
      <c r="B118" s="1"/>
      <c r="C118" s="319">
        <f>[50]Sheet1!$H$16</f>
        <v>734400</v>
      </c>
      <c r="D118" s="374">
        <v>5.2939999999999996</v>
      </c>
      <c r="E118" s="321" t="s">
        <v>374</v>
      </c>
      <c r="F118" s="321">
        <f>ROUND(D118*$C118/100*D110,0)</f>
        <v>-389</v>
      </c>
      <c r="G118" s="374">
        <v>5.6289999999999996</v>
      </c>
      <c r="H118" s="323" t="s">
        <v>374</v>
      </c>
      <c r="I118" s="321">
        <f>ROUND(G118*C118/100*$G$72,0)</f>
        <v>-413</v>
      </c>
      <c r="J118" s="374">
        <f ca="1">J105</f>
        <v>2.8460000000000001</v>
      </c>
      <c r="K118" s="323" t="s">
        <v>374</v>
      </c>
      <c r="L118" s="321">
        <f ca="1">ROUND(J118*$C118/100*J110,0)</f>
        <v>-209</v>
      </c>
      <c r="M118" s="321"/>
      <c r="N118" s="374" t="str">
        <f>N105</f>
        <v xml:space="preserve"> </v>
      </c>
      <c r="O118" s="323" t="s">
        <v>374</v>
      </c>
      <c r="P118" s="321">
        <f>ROUND(N118*$C118/100*N110,0)</f>
        <v>0</v>
      </c>
      <c r="Q118" s="321"/>
      <c r="R118" s="374">
        <f ca="1">R105</f>
        <v>1.242</v>
      </c>
      <c r="S118" s="323" t="s">
        <v>374</v>
      </c>
      <c r="T118" s="321">
        <f ca="1">ROUND(R118*$C118/100*R110,0)</f>
        <v>-91</v>
      </c>
      <c r="U118" s="321"/>
      <c r="V118" s="374">
        <f ca="1">V105</f>
        <v>1.6040000000000001</v>
      </c>
      <c r="W118" s="323" t="s">
        <v>374</v>
      </c>
      <c r="X118" s="321">
        <f ca="1">ROUND(V118*$C118/100*V110,0)</f>
        <v>-118</v>
      </c>
      <c r="Y118" s="20"/>
      <c r="Z118" s="74"/>
      <c r="AA118" s="74"/>
      <c r="AB118" s="74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</row>
    <row r="119" spans="1:47">
      <c r="A119" s="323" t="s">
        <v>399</v>
      </c>
      <c r="B119" s="1"/>
      <c r="C119" s="319">
        <f>[50]Sheet1!$G$16-C118</f>
        <v>232800</v>
      </c>
      <c r="D119" s="374">
        <v>4.8520000000000003</v>
      </c>
      <c r="E119" s="321" t="s">
        <v>374</v>
      </c>
      <c r="F119" s="321">
        <f>ROUND(D119*$C119/100*D110,0)</f>
        <v>-113</v>
      </c>
      <c r="G119" s="374">
        <v>5.157</v>
      </c>
      <c r="H119" s="323" t="s">
        <v>374</v>
      </c>
      <c r="I119" s="321">
        <f>ROUND(G119*C119/100*$G$72,0)</f>
        <v>-120</v>
      </c>
      <c r="J119" s="374">
        <f ca="1">J106</f>
        <v>2.6050000000000004</v>
      </c>
      <c r="K119" s="323" t="s">
        <v>374</v>
      </c>
      <c r="L119" s="321">
        <f ca="1">ROUND(J119*$C119/100*J110,0)</f>
        <v>-61</v>
      </c>
      <c r="M119" s="321"/>
      <c r="N119" s="374" t="str">
        <f>N106</f>
        <v xml:space="preserve"> </v>
      </c>
      <c r="O119" s="323" t="s">
        <v>374</v>
      </c>
      <c r="P119" s="321">
        <f>ROUND(N119*$C119/100*N110,0)</f>
        <v>0</v>
      </c>
      <c r="Q119" s="321"/>
      <c r="R119" s="374">
        <f ca="1">R106</f>
        <v>1.137</v>
      </c>
      <c r="S119" s="323" t="s">
        <v>374</v>
      </c>
      <c r="T119" s="321">
        <f ca="1">ROUND(R119*$C119/100*R110,0)</f>
        <v>-26</v>
      </c>
      <c r="U119" s="321"/>
      <c r="V119" s="374">
        <f ca="1">V106</f>
        <v>1.468</v>
      </c>
      <c r="W119" s="323" t="s">
        <v>374</v>
      </c>
      <c r="X119" s="321">
        <f ca="1">ROUND(V119*$C119/100*V110,0)</f>
        <v>-34</v>
      </c>
      <c r="Y119" s="20"/>
      <c r="Z119" s="74"/>
      <c r="AA119" s="74"/>
      <c r="AB119" s="74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</row>
    <row r="120" spans="1:47">
      <c r="A120" s="323" t="s">
        <v>400</v>
      </c>
      <c r="B120" s="1"/>
      <c r="C120" s="319">
        <f>[50]Sheet1!$K$16</f>
        <v>1162</v>
      </c>
      <c r="D120" s="375">
        <v>56</v>
      </c>
      <c r="E120" s="321" t="s">
        <v>374</v>
      </c>
      <c r="F120" s="321">
        <f>ROUND(D120*$C120/100*D110,0)</f>
        <v>-7</v>
      </c>
      <c r="G120" s="375">
        <v>56</v>
      </c>
      <c r="H120" s="323" t="s">
        <v>374</v>
      </c>
      <c r="I120" s="321">
        <f>ROUND(G120*C120/100*$G$72,0)</f>
        <v>-7</v>
      </c>
      <c r="J120" s="375">
        <f>J107</f>
        <v>56</v>
      </c>
      <c r="K120" s="323" t="s">
        <v>374</v>
      </c>
      <c r="L120" s="321">
        <f>ROUND(J120*$C120/100*J110,0)</f>
        <v>-7</v>
      </c>
      <c r="M120" s="321"/>
      <c r="N120" s="375" t="str">
        <f>N107</f>
        <v xml:space="preserve"> </v>
      </c>
      <c r="O120" s="323" t="s">
        <v>374</v>
      </c>
      <c r="P120" s="321">
        <f>ROUND(N120*$C120/100*N110,0)</f>
        <v>0</v>
      </c>
      <c r="Q120" s="321"/>
      <c r="R120" s="375">
        <f ca="1">R107</f>
        <v>11</v>
      </c>
      <c r="S120" s="323" t="s">
        <v>374</v>
      </c>
      <c r="T120" s="321">
        <f ca="1">ROUND(R120*$C120/100*R110,0)</f>
        <v>-1</v>
      </c>
      <c r="U120" s="321"/>
      <c r="V120" s="375">
        <f ca="1">V107</f>
        <v>45</v>
      </c>
      <c r="W120" s="323" t="s">
        <v>374</v>
      </c>
      <c r="X120" s="321">
        <f ca="1">ROUND(V120*$C120/100*V110,0)</f>
        <v>-5</v>
      </c>
      <c r="Y120" s="20"/>
      <c r="Z120" s="74"/>
      <c r="AA120" s="74"/>
      <c r="AB120" s="74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</row>
    <row r="121" spans="1:47">
      <c r="A121" s="323" t="s">
        <v>443</v>
      </c>
      <c r="B121" s="1"/>
      <c r="C121" s="319">
        <f>[50]Sheet1!$E$16</f>
        <v>21</v>
      </c>
      <c r="D121" s="298">
        <v>60</v>
      </c>
      <c r="E121" s="364" t="s">
        <v>31</v>
      </c>
      <c r="F121" s="321">
        <f>ROUND(D121*$C121,0)</f>
        <v>1260</v>
      </c>
      <c r="G121" s="298">
        <v>60</v>
      </c>
      <c r="H121" s="1"/>
      <c r="I121" s="321">
        <f>ROUND(G121*C121,0)</f>
        <v>1260</v>
      </c>
      <c r="J121" s="298">
        <f>$J$43</f>
        <v>60</v>
      </c>
      <c r="K121" s="1"/>
      <c r="L121" s="321">
        <f>ROUND(J121*$C121,0)</f>
        <v>1260</v>
      </c>
      <c r="M121" s="321"/>
      <c r="N121" s="298">
        <v>0</v>
      </c>
      <c r="O121" s="1"/>
      <c r="P121" s="321">
        <f>ROUND(N121*$C121,0)</f>
        <v>0</v>
      </c>
      <c r="Q121" s="321"/>
      <c r="R121" s="298">
        <f ca="1">R43</f>
        <v>11.894336305988995</v>
      </c>
      <c r="S121" s="1"/>
      <c r="T121" s="321">
        <f ca="1">ROUND(R121*$C121,0)</f>
        <v>250</v>
      </c>
      <c r="U121" s="321"/>
      <c r="V121" s="298">
        <f ca="1">V43</f>
        <v>48.105663694011</v>
      </c>
      <c r="W121" s="1"/>
      <c r="X121" s="321">
        <f ca="1">ROUND(V121*$C121,0)</f>
        <v>1010</v>
      </c>
      <c r="Y121" s="20"/>
      <c r="Z121" s="74"/>
      <c r="AA121" s="74"/>
      <c r="AB121" s="74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</row>
    <row r="122" spans="1:47">
      <c r="A122" s="323" t="s">
        <v>444</v>
      </c>
      <c r="B122" s="1"/>
      <c r="C122" s="319">
        <f>[50]Sheet1!$F$16</f>
        <v>2337</v>
      </c>
      <c r="D122" s="339">
        <v>-30</v>
      </c>
      <c r="E122" s="321" t="s">
        <v>374</v>
      </c>
      <c r="F122" s="321">
        <f>ROUND(D122*$C122/100,0)</f>
        <v>-701</v>
      </c>
      <c r="G122" s="339">
        <v>-30</v>
      </c>
      <c r="H122" s="321" t="s">
        <v>374</v>
      </c>
      <c r="I122" s="321">
        <f>-ROUND(G122*C122*$G$72,0)</f>
        <v>-701</v>
      </c>
      <c r="J122" s="339">
        <f>$J$44</f>
        <v>-30</v>
      </c>
      <c r="K122" s="321" t="s">
        <v>374</v>
      </c>
      <c r="L122" s="321">
        <f>ROUND(J122*$C122/100,0)</f>
        <v>-701</v>
      </c>
      <c r="M122" s="321"/>
      <c r="N122" s="339">
        <f>$J$44</f>
        <v>-30</v>
      </c>
      <c r="O122" s="321" t="s">
        <v>374</v>
      </c>
      <c r="P122" s="321">
        <f>ROUND(N122*$C122/100,0)</f>
        <v>-701</v>
      </c>
      <c r="Q122" s="321"/>
      <c r="R122" s="339">
        <v>0</v>
      </c>
      <c r="S122" s="321" t="s">
        <v>374</v>
      </c>
      <c r="T122" s="321">
        <f>ROUND(R122*$C122/100,0)</f>
        <v>0</v>
      </c>
      <c r="U122" s="321"/>
      <c r="V122" s="339">
        <v>0</v>
      </c>
      <c r="W122" s="321" t="s">
        <v>374</v>
      </c>
      <c r="X122" s="321">
        <f>ROUND(V122*$C122/100,0)</f>
        <v>0</v>
      </c>
      <c r="Y122" s="20"/>
      <c r="Z122" s="74"/>
      <c r="AA122" s="74"/>
      <c r="AB122" s="74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</row>
    <row r="123" spans="1:47" s="1184" customFormat="1">
      <c r="A123" s="1005" t="s">
        <v>924</v>
      </c>
      <c r="C123" s="1202">
        <f>C118</f>
        <v>734400</v>
      </c>
      <c r="D123" s="269"/>
      <c r="E123" s="1185"/>
      <c r="F123" s="1203"/>
      <c r="G123" s="269"/>
      <c r="H123" s="1185"/>
      <c r="I123" s="1203"/>
      <c r="J123" s="1230">
        <f>J108</f>
        <v>3.415</v>
      </c>
      <c r="K123" s="1041" t="s">
        <v>374</v>
      </c>
      <c r="L123" s="1041">
        <f>ROUND(J123*$C123/100*J110,0)</f>
        <v>-251</v>
      </c>
      <c r="M123" s="1041"/>
      <c r="N123" s="1230" t="str">
        <f>N108</f>
        <v xml:space="preserve"> </v>
      </c>
      <c r="O123" s="1041" t="s">
        <v>374</v>
      </c>
      <c r="P123" s="1041">
        <f>ROUND(N123*$C123/100*N110,0)</f>
        <v>0</v>
      </c>
      <c r="Q123" s="1041"/>
      <c r="R123" s="1230" t="str">
        <f>R108</f>
        <v xml:space="preserve"> </v>
      </c>
      <c r="S123" s="1041" t="s">
        <v>374</v>
      </c>
      <c r="T123" s="1041">
        <f>ROUND(R123*$C123/100*R110,0)</f>
        <v>0</v>
      </c>
      <c r="U123" s="1041"/>
      <c r="V123" s="1230">
        <f>V108</f>
        <v>3.415</v>
      </c>
      <c r="W123" s="1041" t="s">
        <v>374</v>
      </c>
      <c r="X123" s="1041">
        <f>ROUND(V123*$C123/100*V110,0)</f>
        <v>-251</v>
      </c>
      <c r="Z123" s="815"/>
      <c r="AC123" s="1205"/>
      <c r="AD123" s="1205"/>
      <c r="AI123" s="1185"/>
      <c r="AJ123" s="1185"/>
      <c r="AK123" s="1185"/>
      <c r="AL123" s="1185"/>
      <c r="AM123" s="1185"/>
      <c r="AN123" s="1185"/>
      <c r="AO123" s="1185"/>
      <c r="AP123" s="1185"/>
      <c r="AQ123" s="1185"/>
      <c r="AR123" s="1185"/>
      <c r="AS123" s="1185"/>
      <c r="AU123" s="1204"/>
    </row>
    <row r="124" spans="1:47" s="1184" customFormat="1">
      <c r="A124" s="1005" t="s">
        <v>925</v>
      </c>
      <c r="C124" s="1202">
        <f>C119</f>
        <v>232800</v>
      </c>
      <c r="D124" s="269"/>
      <c r="E124" s="1185"/>
      <c r="F124" s="1203"/>
      <c r="G124" s="269"/>
      <c r="H124" s="1185"/>
      <c r="I124" s="1203"/>
      <c r="J124" s="1230">
        <f>J109</f>
        <v>3.1309999999999998</v>
      </c>
      <c r="K124" s="1041" t="s">
        <v>374</v>
      </c>
      <c r="L124" s="1041">
        <f>ROUND(J124*$C124/100*J110,0)</f>
        <v>-73</v>
      </c>
      <c r="M124" s="1041"/>
      <c r="N124" s="1230" t="str">
        <f>N109</f>
        <v xml:space="preserve"> </v>
      </c>
      <c r="O124" s="1041" t="s">
        <v>374</v>
      </c>
      <c r="P124" s="1041">
        <f>ROUND(N124*$C124/100*N110,0)</f>
        <v>0</v>
      </c>
      <c r="Q124" s="1041"/>
      <c r="R124" s="1230" t="str">
        <f>R109</f>
        <v xml:space="preserve"> </v>
      </c>
      <c r="S124" s="1041" t="s">
        <v>374</v>
      </c>
      <c r="T124" s="1041">
        <f>ROUND(R124*$C124/100*R110,0)</f>
        <v>0</v>
      </c>
      <c r="U124" s="1041"/>
      <c r="V124" s="1230">
        <f>V109</f>
        <v>3.1309999999999998</v>
      </c>
      <c r="W124" s="1041" t="s">
        <v>374</v>
      </c>
      <c r="X124" s="1041">
        <f>ROUND(V124*$C124/100*V110,0)</f>
        <v>-73</v>
      </c>
      <c r="Z124" s="815"/>
      <c r="AC124" s="1205"/>
      <c r="AD124" s="1205"/>
      <c r="AI124" s="1185"/>
      <c r="AJ124" s="1185"/>
      <c r="AK124" s="1185"/>
      <c r="AL124" s="1185"/>
      <c r="AM124" s="1185"/>
      <c r="AN124" s="1185"/>
      <c r="AO124" s="1185"/>
      <c r="AP124" s="1185"/>
      <c r="AQ124" s="1185"/>
      <c r="AR124" s="1185"/>
      <c r="AS124" s="1185"/>
      <c r="AU124" s="1204"/>
    </row>
    <row r="125" spans="1:47">
      <c r="A125" s="1" t="s">
        <v>381</v>
      </c>
      <c r="B125" s="1"/>
      <c r="C125" s="319">
        <f>SUM(C105:C106)</f>
        <v>105607759</v>
      </c>
      <c r="D125" s="330"/>
      <c r="E125" s="2"/>
      <c r="F125" s="2">
        <f>SUM(F95:F122)</f>
        <v>7875570</v>
      </c>
      <c r="G125" s="330"/>
      <c r="H125" s="1"/>
      <c r="I125" s="2">
        <f>SUM(I95:I122)</f>
        <v>8312364</v>
      </c>
      <c r="J125" s="330"/>
      <c r="K125" s="1"/>
      <c r="L125" s="2">
        <f ca="1">SUM(L95:L124)</f>
        <v>9233604</v>
      </c>
      <c r="M125" s="2"/>
      <c r="N125" s="330"/>
      <c r="O125" s="1"/>
      <c r="P125" s="2">
        <f ca="1">SUM(P95:P124)</f>
        <v>1337935</v>
      </c>
      <c r="Q125" s="2"/>
      <c r="R125" s="330"/>
      <c r="S125" s="1"/>
      <c r="T125" s="2">
        <f ca="1">SUM(T95:T124)</f>
        <v>1564588</v>
      </c>
      <c r="U125" s="2"/>
      <c r="V125" s="330"/>
      <c r="W125" s="1"/>
      <c r="X125" s="2">
        <f ca="1">SUM(X95:X124)</f>
        <v>6331083</v>
      </c>
      <c r="Y125" s="20"/>
      <c r="Z125" s="74"/>
      <c r="AA125" s="74"/>
      <c r="AB125" s="74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</row>
    <row r="126" spans="1:47">
      <c r="A126" s="1" t="s">
        <v>363</v>
      </c>
      <c r="B126" s="1"/>
      <c r="C126" s="349">
        <f ca="1">'Table 2'!H76</f>
        <v>-1691576.4987881514</v>
      </c>
      <c r="D126" s="309"/>
      <c r="E126" s="309"/>
      <c r="F126" s="310">
        <f ca="1">I126</f>
        <v>-172171.8285648945</v>
      </c>
      <c r="G126" s="309"/>
      <c r="H126" s="309"/>
      <c r="I126" s="310">
        <f ca="1">'Table 3'!E76</f>
        <v>-172171.8285648945</v>
      </c>
      <c r="J126" s="309"/>
      <c r="K126" s="309"/>
      <c r="L126" s="310">
        <f ca="1">I126</f>
        <v>-172171.8285648945</v>
      </c>
      <c r="M126" s="51"/>
      <c r="N126" s="309"/>
      <c r="O126" s="309"/>
      <c r="P126" s="310">
        <f ca="1">$L$126*Y52/($Y$52+$Z$52+$AA$52)</f>
        <v>-22302.510598722263</v>
      </c>
      <c r="Q126" s="51"/>
      <c r="R126" s="309"/>
      <c r="S126" s="309"/>
      <c r="T126" s="310">
        <f ca="1">$L$126*Z52/($Y$52+$Z$52+$AA$52)</f>
        <v>-29709.934497314189</v>
      </c>
      <c r="U126" s="51"/>
      <c r="V126" s="309"/>
      <c r="W126" s="309"/>
      <c r="X126" s="310">
        <f ca="1">$L$126*AA52/($Y$52+$Z$52+$AA$52)</f>
        <v>-120159.38346885807</v>
      </c>
      <c r="Y126" s="444"/>
      <c r="Z126" s="287"/>
      <c r="AA126" s="74"/>
      <c r="AB126" s="74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</row>
    <row r="127" spans="1:47" ht="16.5" thickBot="1">
      <c r="A127" s="1" t="s">
        <v>382</v>
      </c>
      <c r="B127" s="1"/>
      <c r="C127" s="366">
        <f ca="1">SUM(C125)+C126</f>
        <v>103916182.50121185</v>
      </c>
      <c r="D127" s="342"/>
      <c r="E127" s="343"/>
      <c r="F127" s="344">
        <f ca="1">F125+F126</f>
        <v>7703398.1714351056</v>
      </c>
      <c r="G127" s="342"/>
      <c r="H127" s="345"/>
      <c r="I127" s="344">
        <f ca="1">I125+I126</f>
        <v>8140192.1714351056</v>
      </c>
      <c r="J127" s="342"/>
      <c r="K127" s="345"/>
      <c r="L127" s="344">
        <f ca="1">L125+L126</f>
        <v>9061432.1714351047</v>
      </c>
      <c r="M127" s="344"/>
      <c r="N127" s="342"/>
      <c r="O127" s="345"/>
      <c r="P127" s="344">
        <f ca="1">P125+P126</f>
        <v>1315632.4894012776</v>
      </c>
      <c r="Q127" s="344"/>
      <c r="R127" s="342"/>
      <c r="S127" s="345"/>
      <c r="T127" s="344">
        <f ca="1">T125+T126</f>
        <v>1534878.0655026857</v>
      </c>
      <c r="U127" s="344"/>
      <c r="V127" s="342"/>
      <c r="W127" s="345"/>
      <c r="X127" s="344">
        <f ca="1">X125+X126</f>
        <v>6210923.616531142</v>
      </c>
      <c r="Y127" s="411"/>
      <c r="Z127" s="470"/>
      <c r="AA127" s="74"/>
      <c r="AB127" s="74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</row>
    <row r="128" spans="1:47" ht="16.5" thickTop="1">
      <c r="A128" s="303"/>
      <c r="B128" s="378"/>
      <c r="C128" s="303"/>
      <c r="D128" s="1"/>
      <c r="E128" s="21"/>
      <c r="F128" s="379"/>
      <c r="G128" s="1"/>
      <c r="H128" s="303"/>
      <c r="I128" s="379"/>
      <c r="J128" s="303"/>
      <c r="K128" s="303"/>
      <c r="L128" s="303"/>
      <c r="M128" s="303"/>
      <c r="N128" s="303"/>
      <c r="O128" s="303"/>
      <c r="P128" s="303"/>
      <c r="Q128" s="303"/>
      <c r="R128" s="303"/>
      <c r="S128" s="303"/>
      <c r="T128" s="303"/>
      <c r="U128" s="303"/>
      <c r="V128" s="303"/>
      <c r="W128" s="303"/>
      <c r="X128" s="303"/>
      <c r="Y128" s="20"/>
      <c r="Z128" s="74"/>
      <c r="AA128" s="74"/>
      <c r="AB128" s="74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</row>
  </sheetData>
  <mergeCells count="4">
    <mergeCell ref="A1:X1"/>
    <mergeCell ref="A2:X2"/>
    <mergeCell ref="A3:X3"/>
    <mergeCell ref="A4:X4"/>
  </mergeCells>
  <printOptions horizontalCentered="1"/>
  <pageMargins left="0" right="0" top="0.25" bottom="0.05" header="0.5" footer="0.25"/>
  <pageSetup scale="51" fitToHeight="10" orientation="landscape" r:id="rId1"/>
  <headerFooter alignWithMargins="0"/>
  <rowBreaks count="1" manualBreakCount="1">
    <brk id="10" max="2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5:F21"/>
  <sheetViews>
    <sheetView workbookViewId="0">
      <selection activeCell="F30" sqref="F30"/>
    </sheetView>
  </sheetViews>
  <sheetFormatPr defaultRowHeight="12.75"/>
  <cols>
    <col min="1" max="1" width="14.75" style="1595" customWidth="1"/>
    <col min="2" max="2" width="19.625" style="1595" bestFit="1" customWidth="1"/>
    <col min="3" max="3" width="26" style="1595" bestFit="1" customWidth="1"/>
    <col min="4" max="4" width="16.625" style="1595" bestFit="1" customWidth="1"/>
    <col min="5" max="16384" width="9" style="1595"/>
  </cols>
  <sheetData>
    <row r="5" spans="1:6">
      <c r="B5" s="1595" t="s">
        <v>962</v>
      </c>
    </row>
    <row r="6" spans="1:6">
      <c r="A6" s="1595" t="s">
        <v>797</v>
      </c>
      <c r="B6" s="1595" t="s">
        <v>723</v>
      </c>
      <c r="C6" s="1595" t="s">
        <v>724</v>
      </c>
      <c r="D6" s="1595" t="s">
        <v>725</v>
      </c>
    </row>
    <row r="7" spans="1:6">
      <c r="A7" s="1595" t="s">
        <v>963</v>
      </c>
      <c r="B7" s="1596">
        <v>-165237.05999999994</v>
      </c>
      <c r="C7" s="1596">
        <v>6713187</v>
      </c>
      <c r="D7" s="1596">
        <v>6331</v>
      </c>
      <c r="E7" s="781">
        <f>C7/D7</f>
        <v>1060.3675564681726</v>
      </c>
      <c r="F7" s="1074">
        <f>B7/E7</f>
        <v>-155.82998460492752</v>
      </c>
    </row>
    <row r="8" spans="1:6">
      <c r="A8" s="1595" t="s">
        <v>964</v>
      </c>
      <c r="B8" s="1596">
        <v>-339517.30000000016</v>
      </c>
      <c r="C8" s="1596">
        <v>8611367</v>
      </c>
      <c r="D8" s="1596">
        <v>8293</v>
      </c>
      <c r="E8" s="781">
        <f>C8/D8</f>
        <v>1038.3898468587965</v>
      </c>
      <c r="F8" s="1074">
        <f t="shared" ref="F8:F10" si="0">B8/E8</f>
        <v>-326.96515766892776</v>
      </c>
    </row>
    <row r="9" spans="1:6">
      <c r="A9" s="1595" t="s">
        <v>965</v>
      </c>
      <c r="B9" s="1596">
        <v>-669223.93999999959</v>
      </c>
      <c r="C9" s="1596">
        <v>11425360</v>
      </c>
      <c r="D9" s="1596">
        <v>10855</v>
      </c>
      <c r="E9" s="781">
        <f>C9/D9</f>
        <v>1052.5435283279594</v>
      </c>
      <c r="F9" s="1074">
        <f t="shared" si="0"/>
        <v>-635.81592778695779</v>
      </c>
    </row>
    <row r="10" spans="1:6">
      <c r="A10" s="1595" t="s">
        <v>664</v>
      </c>
      <c r="B10" s="1596">
        <v>-1173978.2999999998</v>
      </c>
      <c r="C10" s="1596">
        <v>26749914</v>
      </c>
      <c r="D10" s="1596">
        <v>25479</v>
      </c>
      <c r="E10" s="781">
        <f>D10/6</f>
        <v>4246.5</v>
      </c>
      <c r="F10" s="1074">
        <f t="shared" si="0"/>
        <v>-276.45785941363471</v>
      </c>
    </row>
    <row r="12" spans="1:6">
      <c r="B12" s="822" t="s">
        <v>966</v>
      </c>
      <c r="C12" s="820">
        <f>D12/D10*C10</f>
        <v>32705888.022606853</v>
      </c>
      <c r="D12" s="820">
        <f>5192*6</f>
        <v>31152</v>
      </c>
      <c r="E12" s="781"/>
    </row>
    <row r="13" spans="1:6">
      <c r="B13" s="819"/>
      <c r="C13" s="819"/>
      <c r="D13" s="819"/>
      <c r="E13" s="781">
        <f>C10/D10</f>
        <v>1049.8808430472154</v>
      </c>
    </row>
    <row r="14" spans="1:6">
      <c r="B14" s="794" t="s">
        <v>726</v>
      </c>
      <c r="C14" s="819"/>
      <c r="D14" s="781">
        <f>5428*6</f>
        <v>32568</v>
      </c>
      <c r="E14" s="1075" t="s">
        <v>31</v>
      </c>
    </row>
    <row r="15" spans="1:6">
      <c r="B15" s="794" t="s">
        <v>967</v>
      </c>
      <c r="C15" s="819"/>
      <c r="D15" s="781">
        <f>D14/D12*C12</f>
        <v>34192519.296361707</v>
      </c>
      <c r="E15" s="819"/>
    </row>
    <row r="16" spans="1:6">
      <c r="B16" s="780"/>
      <c r="C16" s="780"/>
      <c r="D16" s="781"/>
      <c r="E16" s="819"/>
    </row>
    <row r="17" spans="2:5">
      <c r="B17" s="780"/>
      <c r="C17" s="780" t="s">
        <v>40</v>
      </c>
      <c r="D17" s="780" t="s">
        <v>25</v>
      </c>
      <c r="E17" s="819"/>
    </row>
    <row r="18" spans="2:5">
      <c r="B18" s="794" t="s">
        <v>959</v>
      </c>
      <c r="C18" s="781">
        <f>D9/D10*D14/6</f>
        <v>2312.5295341261431</v>
      </c>
      <c r="D18" s="781">
        <f>C9/C10*$D$15</f>
        <v>14604227.971270457</v>
      </c>
      <c r="E18" s="819"/>
    </row>
    <row r="19" spans="2:5">
      <c r="B19" s="794" t="s">
        <v>960</v>
      </c>
      <c r="C19" s="781">
        <f>D8/D10*D14/6</f>
        <v>1766.7256956709446</v>
      </c>
      <c r="D19" s="781">
        <f>C8/C10*$D$15</f>
        <v>11007300.147415517</v>
      </c>
      <c r="E19" s="819"/>
    </row>
    <row r="20" spans="2:5">
      <c r="B20" s="794" t="s">
        <v>961</v>
      </c>
      <c r="C20" s="781">
        <f>D7/D10*D14/6</f>
        <v>1348.7447702029124</v>
      </c>
      <c r="D20" s="781">
        <f>C7/C10*$D$15</f>
        <v>8580991.1776757333</v>
      </c>
      <c r="E20" s="819"/>
    </row>
    <row r="21" spans="2:5">
      <c r="B21" s="780" t="s">
        <v>665</v>
      </c>
      <c r="C21" s="781">
        <f>SUM(C18:C20)</f>
        <v>5428</v>
      </c>
      <c r="D21" s="781">
        <f>SUM(D18:D20)</f>
        <v>34192519.296361707</v>
      </c>
      <c r="E21" s="819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29">
    <pageSetUpPr fitToPage="1"/>
  </sheetPr>
  <dimension ref="A1:K45"/>
  <sheetViews>
    <sheetView zoomScale="85" zoomScaleNormal="85" workbookViewId="0"/>
  </sheetViews>
  <sheetFormatPr defaultColWidth="9.625" defaultRowHeight="15.75"/>
  <cols>
    <col min="1" max="1" width="14.5" style="4" customWidth="1"/>
    <col min="2" max="2" width="16.25" style="4" customWidth="1"/>
    <col min="3" max="3" width="14.625" style="4" customWidth="1"/>
    <col min="4" max="4" width="13.75" style="4" bestFit="1" customWidth="1"/>
    <col min="5" max="5" width="13.5" style="4" bestFit="1" customWidth="1"/>
    <col min="6" max="6" width="13.5" style="4" customWidth="1"/>
    <col min="7" max="7" width="14.125" style="4" bestFit="1" customWidth="1"/>
    <col min="8" max="9" width="13.625" style="4" customWidth="1"/>
    <col min="10" max="10" width="15.625" style="4" customWidth="1"/>
    <col min="11" max="11" width="13.5" style="4" bestFit="1" customWidth="1"/>
    <col min="12" max="14" width="9.625" style="4"/>
    <col min="15" max="15" width="9.75" style="4" bestFit="1" customWidth="1"/>
    <col min="16" max="16384" width="9.625" style="4"/>
  </cols>
  <sheetData>
    <row r="1" spans="1:11">
      <c r="A1" s="421"/>
      <c r="B1" s="421"/>
      <c r="C1" s="421"/>
      <c r="D1" s="421"/>
      <c r="E1" s="421"/>
      <c r="F1" s="421"/>
      <c r="G1" s="421"/>
      <c r="J1" s="849" t="s">
        <v>0</v>
      </c>
      <c r="K1" s="421"/>
    </row>
    <row r="2" spans="1:11">
      <c r="A2" s="421"/>
      <c r="B2" s="421"/>
      <c r="C2" s="421"/>
      <c r="D2" s="421"/>
      <c r="E2" s="421"/>
      <c r="F2" s="421"/>
      <c r="G2" s="421"/>
      <c r="J2" s="849" t="s">
        <v>1</v>
      </c>
      <c r="K2" s="421"/>
    </row>
    <row r="3" spans="1:11" ht="18.75">
      <c r="A3" s="850" t="s">
        <v>849</v>
      </c>
      <c r="B3" s="851"/>
      <c r="C3" s="851"/>
      <c r="D3" s="851"/>
      <c r="E3" s="851"/>
      <c r="F3" s="851"/>
      <c r="G3" s="851"/>
      <c r="H3" s="851"/>
      <c r="I3" s="851"/>
      <c r="J3" s="851"/>
      <c r="K3" s="421"/>
    </row>
    <row r="4" spans="1:11" ht="18.75">
      <c r="A4" s="850" t="s">
        <v>47</v>
      </c>
      <c r="B4" s="851"/>
      <c r="C4" s="851"/>
      <c r="D4" s="851"/>
      <c r="E4" s="851"/>
      <c r="F4" s="851"/>
      <c r="G4" s="851"/>
      <c r="H4" s="851"/>
      <c r="I4" s="851"/>
      <c r="J4" s="851"/>
      <c r="K4" s="421"/>
    </row>
    <row r="5" spans="1:11" ht="18.75">
      <c r="A5" s="850" t="s">
        <v>2</v>
      </c>
      <c r="B5" s="851"/>
      <c r="C5" s="851"/>
      <c r="D5" s="851"/>
      <c r="E5" s="851"/>
      <c r="F5" s="851"/>
      <c r="G5" s="851"/>
      <c r="H5" s="851"/>
      <c r="I5" s="851"/>
      <c r="J5" s="851"/>
      <c r="K5" s="421"/>
    </row>
    <row r="6" spans="1:11" ht="18.75">
      <c r="A6" s="850" t="str">
        <f>'305 Inputs'!B4</f>
        <v>12 Months Ended December 2013</v>
      </c>
      <c r="B6" s="851"/>
      <c r="C6" s="851"/>
      <c r="D6" s="851"/>
      <c r="E6" s="851"/>
      <c r="F6" s="851"/>
      <c r="G6" s="851"/>
      <c r="H6" s="852"/>
      <c r="I6" s="852"/>
      <c r="J6" s="851"/>
      <c r="K6" s="421"/>
    </row>
    <row r="8" spans="1:11" ht="20.25">
      <c r="F8" s="43"/>
    </row>
    <row r="10" spans="1:11">
      <c r="A10" s="421"/>
      <c r="B10" s="421"/>
      <c r="C10" s="853" t="s">
        <v>3</v>
      </c>
      <c r="D10" s="853" t="s">
        <v>4</v>
      </c>
      <c r="E10" s="853" t="s">
        <v>5</v>
      </c>
      <c r="F10" s="853" t="s">
        <v>6</v>
      </c>
      <c r="G10" s="853" t="s">
        <v>7</v>
      </c>
      <c r="H10" s="853" t="s">
        <v>8</v>
      </c>
      <c r="I10" s="853" t="s">
        <v>744</v>
      </c>
      <c r="J10" s="853" t="s">
        <v>745</v>
      </c>
    </row>
    <row r="11" spans="1:11">
      <c r="A11" s="421"/>
      <c r="B11" s="421"/>
      <c r="C11" s="851"/>
      <c r="D11" s="851"/>
      <c r="E11" s="851"/>
      <c r="F11" s="851"/>
      <c r="G11" s="851"/>
      <c r="H11" s="851"/>
      <c r="I11" s="851"/>
      <c r="J11" s="851"/>
    </row>
    <row r="12" spans="1:11">
      <c r="A12" s="421"/>
      <c r="B12" s="421"/>
      <c r="C12" s="854"/>
      <c r="D12" s="855"/>
      <c r="E12" s="855"/>
      <c r="F12" s="855" t="s">
        <v>9</v>
      </c>
      <c r="G12" s="856" t="s">
        <v>719</v>
      </c>
      <c r="H12" s="857"/>
      <c r="I12" s="858" t="s">
        <v>9</v>
      </c>
      <c r="J12" s="855" t="s">
        <v>9</v>
      </c>
      <c r="K12" s="421"/>
    </row>
    <row r="13" spans="1:11">
      <c r="A13" s="421"/>
      <c r="B13" s="421"/>
      <c r="C13" s="859" t="s">
        <v>9</v>
      </c>
      <c r="D13" s="860" t="s">
        <v>11</v>
      </c>
      <c r="E13" s="75" t="s">
        <v>12</v>
      </c>
      <c r="F13" s="75" t="s">
        <v>719</v>
      </c>
      <c r="G13" s="860" t="s">
        <v>14</v>
      </c>
      <c r="H13" s="860" t="s">
        <v>13</v>
      </c>
      <c r="I13" s="75" t="s">
        <v>45</v>
      </c>
      <c r="J13" s="860" t="s">
        <v>76</v>
      </c>
      <c r="K13" s="861"/>
    </row>
    <row r="14" spans="1:11" ht="18.75">
      <c r="A14" s="421"/>
      <c r="B14" s="421"/>
      <c r="C14" s="859" t="s">
        <v>1</v>
      </c>
      <c r="D14" s="860" t="s">
        <v>176</v>
      </c>
      <c r="E14" s="75" t="s">
        <v>16</v>
      </c>
      <c r="F14" s="862" t="s">
        <v>15</v>
      </c>
      <c r="G14" s="863" t="s">
        <v>1</v>
      </c>
      <c r="H14" s="864" t="s">
        <v>171</v>
      </c>
      <c r="I14" s="75" t="s">
        <v>15</v>
      </c>
      <c r="J14" s="860" t="s">
        <v>1</v>
      </c>
      <c r="K14" s="853"/>
    </row>
    <row r="15" spans="1:11">
      <c r="A15" s="421"/>
      <c r="B15" s="421"/>
      <c r="C15" s="864"/>
      <c r="D15" s="865"/>
      <c r="E15" s="864"/>
      <c r="F15" s="864"/>
      <c r="H15" s="864"/>
      <c r="I15" s="75"/>
      <c r="J15" s="864"/>
      <c r="K15" s="853"/>
    </row>
    <row r="16" spans="1:11" ht="34.9" customHeight="1">
      <c r="A16" s="866" t="s">
        <v>17</v>
      </c>
      <c r="B16" s="867"/>
      <c r="C16" s="868">
        <f>'Table 2'!M38</f>
        <v>134480729.90000001</v>
      </c>
      <c r="D16" s="868">
        <f ca="1">'Table 2'!N38-E16</f>
        <v>2629076.2474947814</v>
      </c>
      <c r="E16" s="868">
        <f>'Table 3'!H38</f>
        <v>-3644017.9699999993</v>
      </c>
      <c r="F16" s="868">
        <f ca="1">SUM(D16:E16)</f>
        <v>-1014941.7225052179</v>
      </c>
      <c r="G16" s="868">
        <f ca="1">C16+F16</f>
        <v>133465788.17749479</v>
      </c>
      <c r="H16" s="868">
        <f>'Table 3'!L38</f>
        <v>7595104.4886623984</v>
      </c>
      <c r="I16" s="868">
        <f t="shared" ref="I16:I20" si="0">SUM(H16:H16)</f>
        <v>7595104.4886623984</v>
      </c>
      <c r="J16" s="868">
        <f ca="1">G16+I16</f>
        <v>141060892.66615719</v>
      </c>
      <c r="K16" s="474"/>
    </row>
    <row r="17" spans="1:11" ht="34.9" customHeight="1">
      <c r="A17" s="869" t="s">
        <v>18</v>
      </c>
      <c r="B17" s="870"/>
      <c r="C17" s="868">
        <f>'Table 2'!M68</f>
        <v>114230629.45000002</v>
      </c>
      <c r="D17" s="868">
        <f>'Table 2'!N68-E17</f>
        <v>-2154515.6143896515</v>
      </c>
      <c r="E17" s="868">
        <f>'Table 3'!H68</f>
        <v>-1236604.94</v>
      </c>
      <c r="F17" s="868">
        <f t="shared" ref="F17:F20" si="1">SUM(D17:E17)</f>
        <v>-3391120.5543896514</v>
      </c>
      <c r="G17" s="868">
        <f t="shared" ref="G17:G20" si="2">C17+F17</f>
        <v>110839508.89561036</v>
      </c>
      <c r="H17" s="868">
        <f>'Table 3'!L68</f>
        <v>6067369.3616972622</v>
      </c>
      <c r="I17" s="868">
        <f t="shared" si="0"/>
        <v>6067369.3616972622</v>
      </c>
      <c r="J17" s="868">
        <f t="shared" ref="J17:J21" si="3">G17+I17</f>
        <v>116906878.25730762</v>
      </c>
      <c r="K17" s="474"/>
    </row>
    <row r="18" spans="1:11" ht="34.9" customHeight="1">
      <c r="A18" s="869" t="s">
        <v>30</v>
      </c>
      <c r="B18" s="870"/>
      <c r="C18" s="868">
        <f ca="1">'Table 2'!M97</f>
        <v>48088590.099999994</v>
      </c>
      <c r="D18" s="868">
        <f ca="1">'Table 2'!N97-E18</f>
        <v>-1178597.2111470387</v>
      </c>
      <c r="E18" s="868">
        <f>'Table 3'!H97</f>
        <v>0</v>
      </c>
      <c r="F18" s="868">
        <f ca="1">SUM(D18:E18)</f>
        <v>-1178597.2111470387</v>
      </c>
      <c r="G18" s="868">
        <f ca="1">C18+F18</f>
        <v>46909992.888852954</v>
      </c>
      <c r="H18" s="868">
        <f ca="1">'Table 3'!L97</f>
        <v>2672678.9088631859</v>
      </c>
      <c r="I18" s="868">
        <f t="shared" ca="1" si="0"/>
        <v>2672678.9088631859</v>
      </c>
      <c r="J18" s="868">
        <f t="shared" ca="1" si="3"/>
        <v>49582671.797716141</v>
      </c>
      <c r="K18" s="474"/>
    </row>
    <row r="19" spans="1:11" ht="34.9" customHeight="1">
      <c r="A19" s="869" t="s">
        <v>204</v>
      </c>
      <c r="B19" s="870"/>
      <c r="C19" s="868">
        <f ca="1">'Table 2'!M117</f>
        <v>12823928.670000002</v>
      </c>
      <c r="D19" s="868">
        <f ca="1">'Table 2'!N117-E19</f>
        <v>199021.52813907282</v>
      </c>
      <c r="E19" s="868">
        <f>'Table 3'!H117</f>
        <v>-812138.36</v>
      </c>
      <c r="F19" s="868">
        <f ca="1">SUM(D19:E19)</f>
        <v>-613116.83186092717</v>
      </c>
      <c r="G19" s="868">
        <f t="shared" ca="1" si="2"/>
        <v>12210811.838139074</v>
      </c>
      <c r="H19" s="868">
        <f ca="1">'Table 3'!L117</f>
        <v>690680.33186092565</v>
      </c>
      <c r="I19" s="868">
        <f t="shared" ca="1" si="0"/>
        <v>690680.33186092565</v>
      </c>
      <c r="J19" s="868">
        <f t="shared" ca="1" si="3"/>
        <v>12901492.17</v>
      </c>
      <c r="K19" s="474"/>
    </row>
    <row r="20" spans="1:11" ht="34.9" customHeight="1" thickBot="1">
      <c r="A20" s="871" t="s">
        <v>19</v>
      </c>
      <c r="B20" s="872"/>
      <c r="C20" s="873">
        <f>'Table 2'!M137</f>
        <v>1134229.6000000001</v>
      </c>
      <c r="D20" s="873">
        <f ca="1">'Table 2'!N137-E20</f>
        <v>19501.598623834783</v>
      </c>
      <c r="E20" s="873">
        <f>'Table 3'!H137</f>
        <v>0</v>
      </c>
      <c r="F20" s="873">
        <f t="shared" ca="1" si="1"/>
        <v>19501.598623834783</v>
      </c>
      <c r="G20" s="873">
        <f t="shared" ca="1" si="2"/>
        <v>1153731.1986238349</v>
      </c>
      <c r="H20" s="868">
        <f ca="1">'Table 3'!L137</f>
        <v>-8.2702816865057684</v>
      </c>
      <c r="I20" s="868">
        <f t="shared" ca="1" si="0"/>
        <v>-8.2702816865057684</v>
      </c>
      <c r="J20" s="1476">
        <f t="shared" ca="1" si="3"/>
        <v>1153722.9283421484</v>
      </c>
      <c r="K20" s="474"/>
    </row>
    <row r="21" spans="1:11" ht="34.9" customHeight="1" thickTop="1" thickBot="1">
      <c r="A21" s="874" t="s">
        <v>77</v>
      </c>
      <c r="B21" s="875"/>
      <c r="C21" s="876">
        <f t="shared" ref="C21:I21" ca="1" si="4">SUM(C16:C20)</f>
        <v>310758107.72000009</v>
      </c>
      <c r="D21" s="876">
        <f t="shared" ca="1" si="4"/>
        <v>-485513.45127900119</v>
      </c>
      <c r="E21" s="876">
        <f t="shared" si="4"/>
        <v>-5692761.2699999996</v>
      </c>
      <c r="F21" s="876">
        <f t="shared" ca="1" si="4"/>
        <v>-6178274.7212789999</v>
      </c>
      <c r="G21" s="876">
        <f t="shared" ca="1" si="4"/>
        <v>304579832.998721</v>
      </c>
      <c r="H21" s="876">
        <f t="shared" ca="1" si="4"/>
        <v>17025824.820802085</v>
      </c>
      <c r="I21" s="876">
        <f t="shared" ca="1" si="4"/>
        <v>17025824.820802085</v>
      </c>
      <c r="J21" s="1477">
        <f t="shared" ca="1" si="3"/>
        <v>321605657.8195231</v>
      </c>
      <c r="K21" s="474"/>
    </row>
    <row r="22" spans="1:11" ht="20.25" hidden="1" customHeight="1" thickTop="1">
      <c r="A22" s="877" t="s">
        <v>92</v>
      </c>
      <c r="B22" s="878"/>
      <c r="C22" s="879"/>
      <c r="D22" s="879"/>
      <c r="E22" s="879"/>
      <c r="F22" s="879"/>
      <c r="G22" s="879"/>
      <c r="H22" s="879"/>
      <c r="I22" s="879"/>
      <c r="J22" s="879"/>
      <c r="K22" s="421"/>
    </row>
    <row r="23" spans="1:11" ht="34.9" hidden="1" customHeight="1">
      <c r="A23" s="871" t="s">
        <v>89</v>
      </c>
      <c r="B23" s="872"/>
      <c r="C23" s="868">
        <v>0</v>
      </c>
      <c r="D23" s="868">
        <v>0</v>
      </c>
      <c r="E23" s="868">
        <v>0</v>
      </c>
      <c r="F23" s="868">
        <v>0</v>
      </c>
      <c r="G23" s="868">
        <v>0</v>
      </c>
      <c r="H23" s="868"/>
      <c r="I23" s="868"/>
      <c r="J23" s="868">
        <v>0</v>
      </c>
      <c r="K23" s="421"/>
    </row>
    <row r="24" spans="1:11" ht="34.9" hidden="1" customHeight="1">
      <c r="A24" s="871" t="s">
        <v>90</v>
      </c>
      <c r="B24" s="872"/>
      <c r="C24" s="868">
        <v>0</v>
      </c>
      <c r="D24" s="868">
        <v>0</v>
      </c>
      <c r="E24" s="868">
        <v>0</v>
      </c>
      <c r="F24" s="868">
        <v>0</v>
      </c>
      <c r="G24" s="868">
        <v>0</v>
      </c>
      <c r="H24" s="868"/>
      <c r="I24" s="868"/>
      <c r="J24" s="868">
        <v>0</v>
      </c>
      <c r="K24" s="421"/>
    </row>
    <row r="25" spans="1:11" ht="34.9" hidden="1" customHeight="1" thickBot="1">
      <c r="A25" s="880" t="s">
        <v>91</v>
      </c>
      <c r="B25" s="881"/>
      <c r="C25" s="882">
        <f ca="1">+C21+C23+C24</f>
        <v>310758107.72000009</v>
      </c>
      <c r="D25" s="882">
        <f ca="1">+D21+D23+D24</f>
        <v>-485513.45127900119</v>
      </c>
      <c r="E25" s="882">
        <f>+E21+E23+E24</f>
        <v>-5692761.2699999996</v>
      </c>
      <c r="F25" s="882">
        <f ca="1">+F21+F23+F24</f>
        <v>-6178274.7212789999</v>
      </c>
      <c r="G25" s="882">
        <f ca="1">+G21+G23+G24</f>
        <v>304579832.998721</v>
      </c>
      <c r="H25" s="882"/>
      <c r="I25" s="882"/>
      <c r="J25" s="882">
        <f ca="1">+J21+J23+J24</f>
        <v>321605657.8195231</v>
      </c>
      <c r="K25" s="421"/>
    </row>
    <row r="26" spans="1:11" ht="16.5" thickTop="1">
      <c r="A26" s="871"/>
      <c r="B26" s="872"/>
      <c r="C26" s="76"/>
      <c r="D26" s="75"/>
      <c r="E26" s="75"/>
      <c r="F26" s="75"/>
      <c r="G26" s="75"/>
      <c r="H26" s="75"/>
      <c r="I26" s="75"/>
      <c r="J26" s="75"/>
      <c r="K26" s="421"/>
    </row>
    <row r="27" spans="1:11">
      <c r="A27" s="871"/>
      <c r="B27" s="872"/>
      <c r="C27" s="76"/>
      <c r="D27" s="76"/>
      <c r="E27" s="75" t="s">
        <v>20</v>
      </c>
      <c r="F27" s="75"/>
      <c r="G27" s="75"/>
      <c r="H27" s="75"/>
      <c r="I27" s="75"/>
      <c r="J27" s="75"/>
      <c r="K27" s="883"/>
    </row>
    <row r="28" spans="1:11">
      <c r="A28" s="871" t="s">
        <v>21</v>
      </c>
      <c r="B28" s="872"/>
      <c r="C28" s="76" t="s">
        <v>170</v>
      </c>
      <c r="D28" s="75" t="s">
        <v>98</v>
      </c>
      <c r="E28" s="75" t="s">
        <v>22</v>
      </c>
      <c r="F28" s="75" t="s">
        <v>43</v>
      </c>
      <c r="G28" s="75" t="s">
        <v>42</v>
      </c>
      <c r="H28" s="75" t="s">
        <v>29</v>
      </c>
      <c r="I28" s="884" t="s">
        <v>906</v>
      </c>
      <c r="J28" s="884" t="s">
        <v>746</v>
      </c>
      <c r="K28" s="885"/>
    </row>
    <row r="29" spans="1:11" ht="15" customHeight="1">
      <c r="A29" s="871"/>
      <c r="B29" s="872"/>
      <c r="C29" s="76"/>
      <c r="D29" s="75"/>
      <c r="E29" s="75" t="s">
        <v>29</v>
      </c>
      <c r="F29" s="75"/>
      <c r="G29" s="75"/>
      <c r="H29" s="75"/>
      <c r="I29" s="75"/>
      <c r="J29" s="75"/>
      <c r="K29" s="421"/>
    </row>
    <row r="30" spans="1:11" ht="16.5" customHeight="1">
      <c r="A30" s="869"/>
      <c r="B30" s="870"/>
      <c r="C30" s="77"/>
      <c r="D30" s="77"/>
      <c r="E30" s="77"/>
      <c r="F30" s="77"/>
      <c r="G30" s="77"/>
      <c r="H30" s="77"/>
      <c r="I30" s="77"/>
      <c r="J30" s="77"/>
      <c r="K30" s="421"/>
    </row>
    <row r="31" spans="1:11">
      <c r="A31" s="665"/>
    </row>
    <row r="32" spans="1:11">
      <c r="A32" s="665"/>
    </row>
    <row r="33" spans="1:10" ht="54" customHeight="1">
      <c r="A33" s="1732" t="s">
        <v>901</v>
      </c>
      <c r="B33" s="1732"/>
      <c r="C33" s="1732"/>
      <c r="D33" s="1732"/>
      <c r="E33" s="1732"/>
      <c r="F33" s="1732"/>
      <c r="G33" s="1732"/>
      <c r="H33" s="1732"/>
      <c r="I33" s="1732"/>
      <c r="J33" s="1732"/>
    </row>
    <row r="34" spans="1:10" ht="15.75" customHeight="1">
      <c r="A34" s="44"/>
    </row>
    <row r="35" spans="1:10" ht="18" customHeight="1">
      <c r="B35" s="421"/>
      <c r="C35" s="421"/>
      <c r="D35" s="421"/>
      <c r="E35" s="421"/>
      <c r="F35" s="421"/>
      <c r="G35" s="421"/>
    </row>
    <row r="36" spans="1:10" ht="18" customHeight="1">
      <c r="A36" s="851"/>
      <c r="C36" s="883"/>
      <c r="D36" s="421"/>
      <c r="E36" s="421"/>
      <c r="F36" s="421"/>
      <c r="G36" s="421"/>
    </row>
    <row r="37" spans="1:10" ht="24">
      <c r="A37" s="886"/>
      <c r="B37" s="421"/>
      <c r="C37" s="887"/>
      <c r="D37" s="421"/>
      <c r="E37" s="421"/>
      <c r="F37" s="421"/>
      <c r="G37" s="421"/>
    </row>
    <row r="38" spans="1:10">
      <c r="B38" s="888"/>
    </row>
    <row r="39" spans="1:10">
      <c r="B39" s="888"/>
    </row>
    <row r="40" spans="1:10">
      <c r="B40" s="888"/>
      <c r="D40" s="421"/>
    </row>
    <row r="41" spans="1:10">
      <c r="B41" s="888"/>
      <c r="D41" s="421"/>
    </row>
    <row r="42" spans="1:10">
      <c r="B42" s="888"/>
    </row>
    <row r="43" spans="1:10">
      <c r="B43" s="888"/>
    </row>
    <row r="44" spans="1:10">
      <c r="B44" s="888"/>
      <c r="G44" s="889"/>
    </row>
    <row r="45" spans="1:10">
      <c r="B45" s="888"/>
    </row>
  </sheetData>
  <mergeCells count="1">
    <mergeCell ref="A33:J33"/>
  </mergeCells>
  <printOptions horizontalCentered="1"/>
  <pageMargins left="0.22" right="0.5" top="0.5" bottom="0.55000000000000004" header="0.5" footer="0.38"/>
  <pageSetup scale="86" orientation="landscape" r:id="rId1"/>
  <headerFooter alignWithMargins="0">
    <oddFooter>&amp;C&amp;8Prepared by Pricing &amp;D&amp;R&amp;8&amp;F&amp;A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30"/>
  <dimension ref="B1:AD38"/>
  <sheetViews>
    <sheetView zoomScale="85" zoomScaleNormal="85" workbookViewId="0"/>
  </sheetViews>
  <sheetFormatPr defaultColWidth="9.625" defaultRowHeight="15.75"/>
  <cols>
    <col min="1" max="1" width="9.625" style="4" customWidth="1"/>
    <col min="2" max="2" width="14.5" style="4" customWidth="1"/>
    <col min="3" max="3" width="14.75" style="4" customWidth="1"/>
    <col min="4" max="4" width="17" style="4" customWidth="1"/>
    <col min="5" max="5" width="13.5" style="4" customWidth="1"/>
    <col min="6" max="6" width="15.875" style="4" customWidth="1"/>
    <col min="7" max="7" width="12.625" style="4" customWidth="1"/>
    <col min="8" max="8" width="9.625" style="4"/>
    <col min="9" max="11" width="15.625" style="4" customWidth="1"/>
    <col min="12" max="16384" width="9.625" style="4"/>
  </cols>
  <sheetData>
    <row r="1" spans="2:30">
      <c r="B1" s="421"/>
      <c r="C1" s="421"/>
      <c r="D1" s="421"/>
      <c r="E1" s="421"/>
      <c r="F1" s="421"/>
      <c r="G1" s="421" t="s">
        <v>88</v>
      </c>
      <c r="H1" s="421"/>
      <c r="I1" s="421"/>
      <c r="J1" s="421"/>
    </row>
    <row r="2" spans="2:30">
      <c r="B2" s="421"/>
      <c r="C2" s="421"/>
      <c r="D2" s="421"/>
      <c r="E2" s="421"/>
      <c r="F2" s="421"/>
      <c r="G2" s="421" t="s">
        <v>81</v>
      </c>
      <c r="H2" s="421"/>
      <c r="I2" s="421"/>
      <c r="J2" s="421"/>
    </row>
    <row r="3" spans="2:30" ht="23.25">
      <c r="B3" s="890" t="s">
        <v>849</v>
      </c>
      <c r="C3" s="891"/>
      <c r="D3" s="891"/>
      <c r="E3" s="891"/>
      <c r="F3" s="851"/>
      <c r="G3" s="421"/>
      <c r="H3" s="421"/>
      <c r="I3" s="421"/>
      <c r="J3" s="421"/>
    </row>
    <row r="4" spans="2:30" ht="23.25">
      <c r="B4" s="890" t="s">
        <v>47</v>
      </c>
      <c r="C4" s="891"/>
      <c r="D4" s="891"/>
      <c r="E4" s="891"/>
      <c r="F4" s="851"/>
      <c r="G4" s="421"/>
      <c r="H4" s="421"/>
      <c r="I4" s="421"/>
      <c r="J4" s="421"/>
    </row>
    <row r="5" spans="2:30" ht="23.25">
      <c r="B5" s="890" t="s">
        <v>2</v>
      </c>
      <c r="C5" s="891"/>
      <c r="D5" s="891"/>
      <c r="E5" s="891"/>
      <c r="F5" s="851"/>
      <c r="G5" s="421"/>
      <c r="H5" s="421"/>
      <c r="I5" s="421"/>
      <c r="J5" s="421"/>
    </row>
    <row r="6" spans="2:30" ht="23.25">
      <c r="B6" s="890" t="str">
        <f>'305 Inputs'!B4</f>
        <v>12 Months Ended December 2013</v>
      </c>
      <c r="C6" s="891"/>
      <c r="D6" s="891"/>
      <c r="E6" s="891"/>
      <c r="F6" s="851"/>
      <c r="G6" s="421"/>
      <c r="H6" s="421"/>
      <c r="I6" s="421"/>
      <c r="J6" s="421"/>
    </row>
    <row r="8" spans="2:30" ht="22.5">
      <c r="B8" s="50" t="s">
        <v>169</v>
      </c>
      <c r="C8" s="892"/>
      <c r="D8" s="892"/>
      <c r="E8" s="892"/>
      <c r="F8" s="892"/>
    </row>
    <row r="10" spans="2:30">
      <c r="B10" s="421"/>
      <c r="C10" s="421"/>
      <c r="D10" s="853" t="s">
        <v>3</v>
      </c>
      <c r="E10" s="853" t="s">
        <v>4</v>
      </c>
      <c r="F10" s="853" t="s">
        <v>5</v>
      </c>
      <c r="G10" s="421"/>
      <c r="H10" s="421"/>
      <c r="I10" s="421"/>
      <c r="J10" s="421"/>
    </row>
    <row r="11" spans="2:30">
      <c r="B11" s="421"/>
      <c r="C11" s="421"/>
      <c r="D11" s="851"/>
      <c r="E11" s="851"/>
      <c r="F11" s="851"/>
      <c r="G11" s="851"/>
      <c r="H11" s="851"/>
      <c r="I11" s="421"/>
      <c r="J11" s="421"/>
    </row>
    <row r="12" spans="2:30">
      <c r="B12" s="421"/>
      <c r="C12" s="421"/>
      <c r="D12" s="854"/>
      <c r="E12" s="893" t="s">
        <v>31</v>
      </c>
      <c r="F12" s="854" t="s">
        <v>31</v>
      </c>
      <c r="G12" s="421"/>
      <c r="H12" s="421"/>
      <c r="I12" s="421"/>
      <c r="J12" s="421"/>
    </row>
    <row r="13" spans="2:30">
      <c r="B13" s="421"/>
      <c r="C13" s="421"/>
      <c r="D13" s="859" t="s">
        <v>9</v>
      </c>
      <c r="E13" s="75" t="s">
        <v>9</v>
      </c>
      <c r="F13" s="860" t="s">
        <v>9</v>
      </c>
      <c r="G13" s="421"/>
      <c r="H13" s="421"/>
      <c r="I13" s="421"/>
      <c r="J13" s="853"/>
    </row>
    <row r="14" spans="2:30" ht="18.75">
      <c r="B14" s="421"/>
      <c r="C14" s="421"/>
      <c r="D14" s="859" t="s">
        <v>81</v>
      </c>
      <c r="E14" s="75" t="s">
        <v>176</v>
      </c>
      <c r="F14" s="860" t="s">
        <v>14</v>
      </c>
      <c r="G14" s="421"/>
      <c r="H14" s="421"/>
      <c r="I14" s="421"/>
      <c r="J14" s="421"/>
    </row>
    <row r="15" spans="2:30">
      <c r="B15" s="421"/>
      <c r="C15" s="421"/>
      <c r="D15" s="864"/>
      <c r="E15" s="864" t="s">
        <v>81</v>
      </c>
      <c r="F15" s="894" t="s">
        <v>169</v>
      </c>
      <c r="G15" s="421"/>
      <c r="H15" s="421"/>
      <c r="I15" s="421"/>
      <c r="J15" s="421"/>
      <c r="K15" s="421"/>
      <c r="L15" s="421"/>
      <c r="M15" s="421"/>
      <c r="N15" s="421"/>
      <c r="O15" s="421"/>
      <c r="P15" s="421"/>
      <c r="Q15" s="421"/>
      <c r="R15" s="421"/>
      <c r="S15" s="421"/>
      <c r="T15" s="421"/>
      <c r="U15" s="421"/>
      <c r="V15" s="421"/>
      <c r="W15" s="421"/>
      <c r="X15" s="421"/>
      <c r="Y15" s="421"/>
      <c r="Z15" s="421"/>
      <c r="AA15" s="421"/>
      <c r="AB15" s="421"/>
      <c r="AC15" s="421"/>
      <c r="AD15" s="421"/>
    </row>
    <row r="16" spans="2:30" ht="34.9" customHeight="1">
      <c r="B16" s="866" t="s">
        <v>17</v>
      </c>
      <c r="C16" s="867"/>
      <c r="D16" s="895">
        <f>'Table 2'!G38</f>
        <v>1626261175</v>
      </c>
      <c r="E16" s="896">
        <f>'Table 2'!K38</f>
        <v>-45379055.610151276</v>
      </c>
      <c r="F16" s="897">
        <f t="shared" ref="F16:F20" si="0">D16+E16</f>
        <v>1580882119.3898487</v>
      </c>
      <c r="G16" s="64"/>
      <c r="H16" s="421"/>
      <c r="I16" s="883"/>
      <c r="J16" s="64"/>
      <c r="K16" s="421"/>
      <c r="L16" s="421"/>
      <c r="M16" s="421"/>
      <c r="N16" s="421"/>
      <c r="O16" s="421"/>
      <c r="P16" s="421"/>
      <c r="Q16" s="421"/>
      <c r="R16" s="421"/>
      <c r="S16" s="421"/>
      <c r="T16" s="421"/>
      <c r="U16" s="421"/>
      <c r="V16" s="421"/>
      <c r="W16" s="421"/>
      <c r="X16" s="421"/>
      <c r="Y16" s="421"/>
      <c r="Z16" s="421"/>
      <c r="AA16" s="421"/>
      <c r="AB16" s="421"/>
      <c r="AC16" s="421"/>
      <c r="AD16" s="421"/>
    </row>
    <row r="17" spans="2:30" ht="34.9" customHeight="1">
      <c r="B17" s="869" t="s">
        <v>18</v>
      </c>
      <c r="C17" s="870"/>
      <c r="D17" s="897">
        <f>'Table 2'!G68</f>
        <v>1503695878</v>
      </c>
      <c r="E17" s="896">
        <f>'Table 2'!K68</f>
        <v>-22311364.739932209</v>
      </c>
      <c r="F17" s="897">
        <f t="shared" si="0"/>
        <v>1481384513.2600677</v>
      </c>
      <c r="G17" s="64"/>
      <c r="H17" s="421"/>
      <c r="I17" s="883"/>
      <c r="J17" s="64"/>
      <c r="K17" s="421"/>
      <c r="L17" s="421"/>
      <c r="M17" s="421"/>
      <c r="N17" s="421"/>
      <c r="O17" s="421"/>
      <c r="P17" s="421"/>
      <c r="Q17" s="421"/>
      <c r="R17" s="421"/>
      <c r="S17" s="421"/>
      <c r="T17" s="421"/>
      <c r="U17" s="421"/>
      <c r="V17" s="421"/>
      <c r="W17" s="421"/>
      <c r="X17" s="421"/>
      <c r="Y17" s="421"/>
      <c r="Z17" s="421"/>
      <c r="AA17" s="421"/>
      <c r="AB17" s="421"/>
      <c r="AC17" s="421"/>
      <c r="AD17" s="421">
        <v>4.8740385218734944E-2</v>
      </c>
    </row>
    <row r="18" spans="2:30" ht="34.9" customHeight="1">
      <c r="B18" s="869" t="s">
        <v>30</v>
      </c>
      <c r="C18" s="870"/>
      <c r="D18" s="897">
        <f ca="1">'Table 2'!G97</f>
        <v>792482358</v>
      </c>
      <c r="E18" s="896">
        <f ca="1">'Table 2'!K97</f>
        <v>-2411070</v>
      </c>
      <c r="F18" s="897">
        <f t="shared" ca="1" si="0"/>
        <v>790071288</v>
      </c>
      <c r="G18" s="64"/>
      <c r="H18" s="421"/>
      <c r="I18" s="883"/>
      <c r="J18" s="64"/>
      <c r="K18" s="421"/>
      <c r="L18" s="421"/>
      <c r="M18" s="421"/>
      <c r="N18" s="421"/>
      <c r="O18" s="421"/>
      <c r="P18" s="421"/>
      <c r="Q18" s="421"/>
      <c r="R18" s="421"/>
      <c r="S18" s="421"/>
      <c r="T18" s="421"/>
      <c r="U18" s="421"/>
      <c r="V18" s="421"/>
      <c r="W18" s="421"/>
      <c r="X18" s="421"/>
      <c r="Y18" s="421"/>
      <c r="Z18" s="421"/>
      <c r="AA18" s="421"/>
      <c r="AB18" s="421"/>
      <c r="AC18" s="421"/>
      <c r="AD18" s="421"/>
    </row>
    <row r="19" spans="2:30" ht="34.9" customHeight="1">
      <c r="B19" s="869" t="s">
        <v>204</v>
      </c>
      <c r="C19" s="870"/>
      <c r="D19" s="897">
        <f>'Table 2'!G117</f>
        <v>161182919</v>
      </c>
      <c r="E19" s="896">
        <f>'Table 2'!K117</f>
        <v>-12649552.441529689</v>
      </c>
      <c r="F19" s="897">
        <f t="shared" si="0"/>
        <v>148533366.55847031</v>
      </c>
      <c r="G19" s="421"/>
      <c r="H19" s="421"/>
      <c r="I19" s="883"/>
      <c r="J19" s="64"/>
      <c r="K19" s="421"/>
      <c r="L19" s="421"/>
      <c r="M19" s="421"/>
      <c r="N19" s="421"/>
      <c r="O19" s="421"/>
      <c r="P19" s="421"/>
      <c r="Q19" s="421"/>
      <c r="R19" s="421"/>
      <c r="S19" s="421"/>
      <c r="T19" s="421"/>
      <c r="U19" s="421"/>
      <c r="V19" s="421"/>
      <c r="W19" s="421"/>
      <c r="X19" s="421"/>
      <c r="Y19" s="421"/>
      <c r="Z19" s="421"/>
      <c r="AA19" s="421"/>
      <c r="AB19" s="421"/>
      <c r="AC19" s="421"/>
      <c r="AD19" s="421"/>
    </row>
    <row r="20" spans="2:30" ht="34.9" customHeight="1">
      <c r="B20" s="898" t="s">
        <v>19</v>
      </c>
      <c r="C20" s="899"/>
      <c r="D20" s="900">
        <f>'Table 2'!G137</f>
        <v>9065642</v>
      </c>
      <c r="E20" s="901">
        <f>'Table 2'!K137</f>
        <v>224504.06522204238</v>
      </c>
      <c r="F20" s="900">
        <f t="shared" si="0"/>
        <v>9290146.0652220417</v>
      </c>
      <c r="G20" s="421"/>
      <c r="H20" s="421"/>
      <c r="I20" s="883"/>
      <c r="J20" s="64"/>
      <c r="K20" s="421"/>
      <c r="L20" s="421"/>
      <c r="M20" s="421"/>
      <c r="N20" s="421"/>
      <c r="O20" s="421"/>
      <c r="P20" s="421"/>
      <c r="Q20" s="421"/>
      <c r="R20" s="421"/>
      <c r="S20" s="421"/>
      <c r="T20" s="421"/>
      <c r="U20" s="421"/>
      <c r="V20" s="421"/>
      <c r="W20" s="421"/>
      <c r="X20" s="421"/>
      <c r="Y20" s="421"/>
      <c r="Z20" s="421"/>
      <c r="AA20" s="421"/>
      <c r="AB20" s="421"/>
      <c r="AC20" s="421"/>
      <c r="AD20" s="421"/>
    </row>
    <row r="21" spans="2:30" ht="34.9" customHeight="1" thickBot="1">
      <c r="B21" s="880" t="s">
        <v>77</v>
      </c>
      <c r="C21" s="881"/>
      <c r="D21" s="902">
        <f ca="1">SUM(D16:D20)</f>
        <v>4092687972</v>
      </c>
      <c r="E21" s="902">
        <f ca="1">SUM(E16:E20)</f>
        <v>-82526538.726391137</v>
      </c>
      <c r="F21" s="902">
        <f ca="1">SUM(F16:F20)</f>
        <v>4010161433.2736092</v>
      </c>
      <c r="G21" s="421"/>
      <c r="H21" s="421"/>
      <c r="I21" s="883"/>
      <c r="J21" s="64"/>
      <c r="K21" s="421"/>
      <c r="L21" s="421"/>
      <c r="M21" s="421"/>
      <c r="N21" s="421"/>
      <c r="O21" s="421"/>
      <c r="P21" s="421"/>
      <c r="Q21" s="421"/>
      <c r="R21" s="421"/>
      <c r="S21" s="421"/>
      <c r="T21" s="421"/>
      <c r="U21" s="421"/>
      <c r="V21" s="421"/>
      <c r="W21" s="421"/>
      <c r="X21" s="421"/>
      <c r="Y21" s="421"/>
      <c r="Z21" s="421"/>
      <c r="AA21" s="421"/>
      <c r="AB21" s="421"/>
      <c r="AC21" s="421"/>
      <c r="AD21" s="421"/>
    </row>
    <row r="22" spans="2:30" ht="16.5" hidden="1" thickTop="1">
      <c r="B22" s="869" t="s">
        <v>92</v>
      </c>
      <c r="C22" s="870"/>
      <c r="D22" s="897"/>
      <c r="E22" s="903"/>
      <c r="F22" s="897"/>
      <c r="G22" s="421"/>
      <c r="H22" s="421"/>
      <c r="I22" s="883"/>
      <c r="J22" s="64"/>
      <c r="K22" s="421"/>
      <c r="L22" s="421"/>
      <c r="M22" s="421"/>
      <c r="N22" s="421"/>
      <c r="O22" s="421"/>
      <c r="P22" s="421"/>
      <c r="Q22" s="421"/>
      <c r="R22" s="421"/>
      <c r="S22" s="421"/>
      <c r="T22" s="421"/>
      <c r="U22" s="421"/>
      <c r="V22" s="421"/>
      <c r="W22" s="421"/>
      <c r="X22" s="421"/>
      <c r="Y22" s="421"/>
      <c r="Z22" s="421"/>
      <c r="AA22" s="421"/>
      <c r="AB22" s="421"/>
      <c r="AC22" s="421"/>
      <c r="AD22" s="421"/>
    </row>
    <row r="23" spans="2:30" ht="34.9" hidden="1" customHeight="1">
      <c r="B23" s="869" t="s">
        <v>89</v>
      </c>
      <c r="C23" s="870"/>
      <c r="D23" s="897">
        <v>0</v>
      </c>
      <c r="E23" s="896">
        <v>0</v>
      </c>
      <c r="F23" s="897">
        <f>D23+E23</f>
        <v>0</v>
      </c>
      <c r="G23" s="421"/>
      <c r="H23" s="421"/>
      <c r="I23" s="883"/>
      <c r="J23" s="64"/>
      <c r="K23" s="421"/>
      <c r="L23" s="421"/>
      <c r="M23" s="421"/>
      <c r="N23" s="421"/>
      <c r="O23" s="421"/>
      <c r="P23" s="421"/>
      <c r="Q23" s="421"/>
      <c r="R23" s="421"/>
      <c r="S23" s="421"/>
      <c r="T23" s="421"/>
      <c r="U23" s="421"/>
      <c r="V23" s="421"/>
      <c r="W23" s="421"/>
      <c r="X23" s="421"/>
      <c r="Y23" s="421"/>
      <c r="Z23" s="421"/>
      <c r="AA23" s="421"/>
      <c r="AB23" s="421"/>
      <c r="AC23" s="421"/>
      <c r="AD23" s="421"/>
    </row>
    <row r="24" spans="2:30" ht="34.9" hidden="1" customHeight="1" thickBot="1">
      <c r="B24" s="904" t="s">
        <v>90</v>
      </c>
      <c r="C24" s="905"/>
      <c r="D24" s="906">
        <v>0</v>
      </c>
      <c r="E24" s="907">
        <v>0</v>
      </c>
      <c r="F24" s="906">
        <f>D24+E24</f>
        <v>0</v>
      </c>
      <c r="G24" s="421"/>
      <c r="H24" s="421"/>
      <c r="I24" s="883"/>
      <c r="J24" s="64"/>
      <c r="K24" s="421"/>
      <c r="L24" s="421"/>
      <c r="M24" s="421"/>
      <c r="N24" s="421"/>
      <c r="O24" s="421"/>
      <c r="P24" s="421"/>
      <c r="Q24" s="421"/>
      <c r="R24" s="421"/>
      <c r="S24" s="421"/>
      <c r="T24" s="421"/>
      <c r="U24" s="421"/>
      <c r="V24" s="421"/>
      <c r="W24" s="421"/>
      <c r="X24" s="421"/>
      <c r="Y24" s="421"/>
      <c r="Z24" s="421"/>
      <c r="AA24" s="421"/>
      <c r="AB24" s="421"/>
      <c r="AC24" s="421"/>
      <c r="AD24" s="421"/>
    </row>
    <row r="25" spans="2:30" ht="34.9" hidden="1" customHeight="1" thickTop="1">
      <c r="B25" s="869" t="s">
        <v>91</v>
      </c>
      <c r="C25" s="870"/>
      <c r="D25" s="897">
        <f ca="1">SUM(D21:D24)</f>
        <v>4092687972</v>
      </c>
      <c r="E25" s="903">
        <f ca="1">SUM(E21:E24)</f>
        <v>-82526538.726391137</v>
      </c>
      <c r="F25" s="897">
        <f ca="1">SUM(F21:F24)</f>
        <v>4010161433.2736092</v>
      </c>
      <c r="G25" s="421"/>
      <c r="H25" s="421"/>
      <c r="I25" s="883"/>
      <c r="J25" s="64"/>
      <c r="K25" s="421"/>
      <c r="L25" s="421"/>
      <c r="M25" s="421"/>
      <c r="N25" s="421"/>
      <c r="O25" s="421"/>
      <c r="P25" s="421"/>
      <c r="Q25" s="421"/>
      <c r="R25" s="421"/>
      <c r="S25" s="421"/>
      <c r="T25" s="421"/>
      <c r="U25" s="421"/>
      <c r="V25" s="421"/>
      <c r="W25" s="421"/>
      <c r="X25" s="421"/>
      <c r="Y25" s="421"/>
      <c r="Z25" s="421"/>
      <c r="AA25" s="421"/>
      <c r="AB25" s="421"/>
      <c r="AC25" s="421"/>
      <c r="AD25" s="421"/>
    </row>
    <row r="26" spans="2:30" ht="16.5" thickTop="1">
      <c r="B26" s="871"/>
      <c r="C26" s="872"/>
      <c r="D26" s="76"/>
      <c r="E26" s="75"/>
      <c r="F26" s="75"/>
      <c r="G26" s="421"/>
      <c r="H26" s="421"/>
      <c r="I26" s="421"/>
      <c r="J26" s="421"/>
      <c r="K26" s="421"/>
      <c r="L26" s="421"/>
      <c r="M26" s="421"/>
      <c r="N26" s="421"/>
      <c r="O26" s="421"/>
      <c r="P26" s="421"/>
      <c r="Q26" s="421"/>
      <c r="R26" s="421"/>
      <c r="S26" s="421"/>
      <c r="T26" s="421"/>
      <c r="U26" s="421"/>
      <c r="V26" s="421"/>
      <c r="W26" s="421"/>
      <c r="X26" s="421"/>
      <c r="Y26" s="421"/>
      <c r="Z26" s="421"/>
      <c r="AA26" s="421"/>
      <c r="AB26" s="421"/>
      <c r="AC26" s="421"/>
      <c r="AD26" s="421"/>
    </row>
    <row r="27" spans="2:30">
      <c r="B27" s="871" t="s">
        <v>21</v>
      </c>
      <c r="C27" s="872"/>
      <c r="D27" s="76" t="s">
        <v>170</v>
      </c>
      <c r="E27" s="75" t="s">
        <v>98</v>
      </c>
      <c r="F27" s="75" t="s">
        <v>747</v>
      </c>
      <c r="G27" s="421"/>
      <c r="H27" s="421"/>
      <c r="I27" s="421"/>
      <c r="J27" s="421"/>
      <c r="K27" s="421"/>
      <c r="L27" s="421"/>
      <c r="M27" s="421"/>
      <c r="N27" s="421"/>
      <c r="O27" s="421"/>
      <c r="P27" s="421"/>
      <c r="Q27" s="421"/>
      <c r="R27" s="421"/>
      <c r="S27" s="421"/>
      <c r="T27" s="421"/>
      <c r="U27" s="421"/>
      <c r="V27" s="421"/>
      <c r="W27" s="421"/>
      <c r="X27" s="421"/>
      <c r="Y27" s="421"/>
      <c r="Z27" s="421"/>
      <c r="AA27" s="421"/>
      <c r="AB27" s="421"/>
      <c r="AC27" s="421"/>
      <c r="AD27" s="421"/>
    </row>
    <row r="28" spans="2:30" ht="15" customHeight="1">
      <c r="B28" s="871"/>
      <c r="C28" s="872"/>
      <c r="D28" s="76"/>
      <c r="E28" s="75" t="s">
        <v>31</v>
      </c>
      <c r="F28" s="75"/>
      <c r="G28" s="421"/>
      <c r="H28" s="421"/>
      <c r="I28" s="421"/>
      <c r="J28" s="421"/>
      <c r="K28" s="421"/>
      <c r="L28" s="421"/>
      <c r="M28" s="421"/>
      <c r="N28" s="421"/>
      <c r="O28" s="421"/>
      <c r="P28" s="421"/>
      <c r="Q28" s="421"/>
      <c r="R28" s="421"/>
      <c r="S28" s="421"/>
      <c r="T28" s="421"/>
      <c r="U28" s="421"/>
      <c r="V28" s="421"/>
      <c r="W28" s="421"/>
      <c r="X28" s="421"/>
      <c r="Y28" s="421"/>
      <c r="Z28" s="421"/>
      <c r="AA28" s="421"/>
      <c r="AB28" s="421"/>
      <c r="AC28" s="421"/>
      <c r="AD28" s="421"/>
    </row>
    <row r="29" spans="2:30" ht="16.5" customHeight="1">
      <c r="B29" s="869"/>
      <c r="C29" s="870"/>
      <c r="D29" s="77"/>
      <c r="E29" s="77" t="s">
        <v>31</v>
      </c>
      <c r="F29" s="77"/>
      <c r="G29" s="421"/>
      <c r="H29" s="421"/>
      <c r="I29" s="421"/>
      <c r="J29" s="421"/>
      <c r="K29" s="421"/>
      <c r="L29" s="421"/>
      <c r="M29" s="421"/>
      <c r="N29" s="421"/>
      <c r="O29" s="421"/>
      <c r="P29" s="421"/>
      <c r="Q29" s="421"/>
      <c r="R29" s="421"/>
      <c r="S29" s="421"/>
      <c r="T29" s="421"/>
      <c r="U29" s="421"/>
      <c r="V29" s="421"/>
      <c r="W29" s="421"/>
      <c r="X29" s="421"/>
      <c r="Y29" s="421"/>
      <c r="Z29" s="421"/>
      <c r="AA29" s="421"/>
      <c r="AB29" s="421"/>
      <c r="AC29" s="421"/>
      <c r="AD29" s="421"/>
    </row>
    <row r="30" spans="2:30">
      <c r="B30" s="665"/>
    </row>
    <row r="31" spans="2:30">
      <c r="B31" s="665"/>
    </row>
    <row r="32" spans="2:30" ht="18" customHeight="1">
      <c r="B32" s="44" t="s">
        <v>911</v>
      </c>
      <c r="C32" s="421"/>
      <c r="D32" s="421"/>
      <c r="E32" s="421"/>
      <c r="F32" s="421"/>
    </row>
    <row r="33" spans="2:9">
      <c r="B33" s="908" t="s">
        <v>905</v>
      </c>
      <c r="F33" s="659"/>
    </row>
    <row r="34" spans="2:9">
      <c r="B34" s="849"/>
    </row>
    <row r="35" spans="2:9" ht="18" customHeight="1">
      <c r="B35" s="909" t="s">
        <v>31</v>
      </c>
      <c r="C35" s="421"/>
      <c r="D35" s="421"/>
      <c r="E35" s="421"/>
      <c r="F35" s="421"/>
    </row>
    <row r="36" spans="2:9" ht="18" customHeight="1">
      <c r="B36" s="909" t="s">
        <v>31</v>
      </c>
      <c r="C36" s="421"/>
      <c r="D36" s="421"/>
      <c r="E36" s="421"/>
      <c r="F36" s="421"/>
      <c r="I36" s="4" t="s">
        <v>31</v>
      </c>
    </row>
    <row r="37" spans="2:9" ht="18" customHeight="1">
      <c r="B37" s="851"/>
      <c r="C37" s="421"/>
      <c r="D37" s="421"/>
      <c r="E37" s="421"/>
      <c r="F37" s="421"/>
    </row>
    <row r="38" spans="2:9">
      <c r="B38" s="421"/>
      <c r="C38" s="421"/>
      <c r="D38" s="887"/>
      <c r="E38" s="421"/>
      <c r="F38" s="421"/>
    </row>
  </sheetData>
  <printOptions horizontalCentered="1"/>
  <pageMargins left="1" right="0.5" top="0.5" bottom="0.55000000000000004" header="0.5" footer="0.38"/>
  <pageSetup scale="72" orientation="landscape" r:id="rId1"/>
  <headerFooter alignWithMargins="0">
    <oddFooter>&amp;C&amp;8Prepared by Pricing &amp;D&amp;R&amp;8&amp;F&amp;A</oddFooter>
  </headerFooter>
  <colBreaks count="1" manualBreakCount="1">
    <brk id="8" max="34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Y147"/>
  <sheetViews>
    <sheetView topLeftCell="A3" zoomScale="70" zoomScaleNormal="70" workbookViewId="0">
      <pane xSplit="3" ySplit="9" topLeftCell="D102" activePane="bottomRight" state="frozen"/>
      <selection activeCell="F26" sqref="F26"/>
      <selection pane="topRight" activeCell="F26" sqref="F26"/>
      <selection pane="bottomLeft" activeCell="F26" sqref="F26"/>
      <selection pane="bottomRight" activeCell="G14" activeCellId="1" sqref="G13 G14"/>
    </sheetView>
  </sheetViews>
  <sheetFormatPr defaultRowHeight="15.75"/>
  <cols>
    <col min="1" max="1" width="5.875" style="4" customWidth="1"/>
    <col min="2" max="2" width="15.5" style="4" customWidth="1"/>
    <col min="3" max="3" width="7.625" style="4" customWidth="1"/>
    <col min="4" max="6" width="13" style="4" customWidth="1"/>
    <col min="7" max="7" width="17.75" style="4" customWidth="1"/>
    <col min="8" max="8" width="11.5" style="4" bestFit="1" customWidth="1"/>
    <col min="9" max="9" width="13.75" style="4" bestFit="1" customWidth="1"/>
    <col min="10" max="10" width="17.75" style="4" customWidth="1"/>
    <col min="11" max="11" width="15.75" style="4" customWidth="1"/>
    <col min="12" max="12" width="18.25" style="4" customWidth="1"/>
    <col min="13" max="16" width="15.625" style="4" customWidth="1"/>
    <col min="17" max="17" width="13.875" style="4" bestFit="1" customWidth="1"/>
    <col min="18" max="18" width="9" style="4"/>
    <col min="19" max="20" width="14.625" style="4" bestFit="1" customWidth="1"/>
    <col min="21" max="23" width="11.125" style="4" bestFit="1" customWidth="1"/>
    <col min="24" max="24" width="9" style="4"/>
    <col min="25" max="25" width="10.375" style="4" customWidth="1"/>
    <col min="26" max="26" width="9" style="4"/>
    <col min="27" max="28" width="15.25" style="4" bestFit="1" customWidth="1"/>
    <col min="29" max="29" width="12.75" style="4" bestFit="1" customWidth="1"/>
    <col min="30" max="33" width="9" style="4"/>
    <col min="34" max="36" width="13.625" style="4" bestFit="1" customWidth="1"/>
    <col min="37" max="16384" width="9" style="4"/>
  </cols>
  <sheetData>
    <row r="1" spans="1:25">
      <c r="M1" s="910"/>
      <c r="N1" s="910"/>
      <c r="Q1" s="4" t="s">
        <v>98</v>
      </c>
    </row>
    <row r="2" spans="1:25">
      <c r="Q2" s="4" t="s">
        <v>172</v>
      </c>
    </row>
    <row r="3" spans="1:25">
      <c r="B3" s="851"/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  <c r="Q3" s="851"/>
      <c r="R3" s="849"/>
      <c r="S3" s="849"/>
      <c r="T3" s="849"/>
      <c r="U3" s="849"/>
      <c r="V3" s="421"/>
      <c r="W3" s="421"/>
      <c r="X3" s="421"/>
      <c r="Y3" s="421"/>
    </row>
    <row r="4" spans="1:25" ht="18.75">
      <c r="A4" s="850" t="s">
        <v>850</v>
      </c>
      <c r="B4" s="851"/>
      <c r="C4" s="851"/>
      <c r="D4" s="851"/>
      <c r="E4" s="851"/>
      <c r="F4" s="851"/>
      <c r="G4" s="851"/>
      <c r="H4" s="851"/>
      <c r="I4" s="851"/>
      <c r="J4" s="851"/>
      <c r="K4" s="851"/>
      <c r="L4" s="851"/>
      <c r="M4" s="851"/>
      <c r="N4" s="851"/>
      <c r="O4" s="851"/>
      <c r="P4" s="851"/>
      <c r="Q4" s="851"/>
      <c r="R4" s="849"/>
      <c r="S4" s="849"/>
      <c r="T4" s="849"/>
      <c r="U4" s="849"/>
      <c r="V4" s="421"/>
      <c r="W4" s="421"/>
      <c r="X4" s="421"/>
      <c r="Y4" s="421"/>
    </row>
    <row r="5" spans="1:25" ht="18.75">
      <c r="A5" s="850" t="s">
        <v>2</v>
      </c>
      <c r="B5" s="851"/>
      <c r="C5" s="851"/>
      <c r="D5" s="851"/>
      <c r="E5" s="851"/>
      <c r="F5" s="851"/>
      <c r="G5" s="851"/>
      <c r="H5" s="851"/>
      <c r="I5" s="851"/>
      <c r="J5" s="851"/>
      <c r="K5" s="851"/>
      <c r="L5" s="851"/>
      <c r="M5" s="851"/>
      <c r="N5" s="851"/>
      <c r="O5" s="851"/>
      <c r="P5" s="851"/>
      <c r="Q5" s="851"/>
      <c r="R5" s="849"/>
      <c r="S5" s="849"/>
      <c r="T5" s="849"/>
      <c r="U5" s="849"/>
      <c r="V5" s="421"/>
      <c r="W5" s="421"/>
      <c r="X5" s="421"/>
      <c r="Y5" s="421"/>
    </row>
    <row r="6" spans="1:25" ht="18.75">
      <c r="A6" s="850" t="str">
        <f>'305 Inputs'!B4</f>
        <v>12 Months Ended December 2013</v>
      </c>
      <c r="B6" s="851"/>
      <c r="C6" s="851"/>
      <c r="D6" s="851"/>
      <c r="E6" s="851"/>
      <c r="F6" s="851"/>
      <c r="G6" s="851"/>
      <c r="H6" s="851"/>
      <c r="I6" s="851"/>
      <c r="J6" s="851"/>
      <c r="K6" s="851"/>
      <c r="L6" s="851"/>
      <c r="M6" s="851"/>
      <c r="N6" s="851"/>
      <c r="O6" s="851"/>
      <c r="P6" s="851"/>
      <c r="Q6" s="851"/>
      <c r="R6" s="849"/>
      <c r="S6" s="849"/>
      <c r="T6" s="911"/>
      <c r="U6" s="849"/>
      <c r="V6" s="421"/>
      <c r="W6" s="421"/>
      <c r="X6" s="421"/>
      <c r="Y6" s="421"/>
    </row>
    <row r="7" spans="1:25" ht="18.75">
      <c r="A7" s="912"/>
      <c r="B7" s="853"/>
      <c r="C7" s="853"/>
      <c r="D7" s="853"/>
      <c r="E7" s="853"/>
      <c r="F7" s="853"/>
      <c r="G7" s="853"/>
      <c r="H7" s="853"/>
      <c r="I7" s="853"/>
      <c r="J7" s="853"/>
      <c r="K7" s="853"/>
      <c r="L7" s="853"/>
      <c r="M7" s="853"/>
      <c r="N7" s="853"/>
      <c r="O7" s="853"/>
      <c r="P7" s="853"/>
      <c r="Q7" s="853"/>
      <c r="R7" s="849"/>
      <c r="S7" s="849"/>
      <c r="T7" s="911"/>
      <c r="U7" s="849"/>
      <c r="V7" s="421"/>
      <c r="W7" s="421"/>
      <c r="X7" s="421"/>
      <c r="Y7" s="421"/>
    </row>
    <row r="8" spans="1:25" ht="18.75">
      <c r="A8" s="850"/>
      <c r="B8" s="851"/>
      <c r="C8" s="851"/>
      <c r="D8" s="853"/>
      <c r="E8" s="853"/>
      <c r="F8" s="853"/>
      <c r="G8" s="853"/>
      <c r="H8" s="853"/>
      <c r="I8" s="853"/>
      <c r="J8" s="853" t="s">
        <v>719</v>
      </c>
      <c r="K8" s="853"/>
      <c r="L8" s="853"/>
      <c r="M8" s="853"/>
      <c r="N8" s="853"/>
      <c r="O8" s="853"/>
      <c r="P8" s="853"/>
      <c r="Q8" s="853"/>
      <c r="R8" s="849"/>
      <c r="S8" s="849"/>
      <c r="T8" s="911"/>
      <c r="U8" s="849"/>
      <c r="V8" s="421"/>
      <c r="W8" s="421"/>
      <c r="X8" s="421"/>
      <c r="Y8" s="421"/>
    </row>
    <row r="9" spans="1:25" ht="18.75">
      <c r="A9" s="850"/>
      <c r="B9" s="851"/>
      <c r="C9" s="851"/>
      <c r="D9" s="853"/>
      <c r="E9" s="1001"/>
      <c r="F9" s="24" t="s">
        <v>39</v>
      </c>
      <c r="G9" s="853"/>
      <c r="H9" s="853"/>
      <c r="I9" s="853"/>
      <c r="J9" s="862" t="s">
        <v>12</v>
      </c>
      <c r="K9" s="862" t="s">
        <v>9</v>
      </c>
      <c r="L9" s="913"/>
      <c r="M9" s="853" t="s">
        <v>41</v>
      </c>
      <c r="N9" s="853" t="s">
        <v>719</v>
      </c>
      <c r="O9" s="853" t="s">
        <v>45</v>
      </c>
      <c r="P9" s="853"/>
      <c r="Q9" s="853"/>
      <c r="R9" s="851"/>
      <c r="S9" s="851"/>
      <c r="T9" s="852"/>
      <c r="U9" s="851"/>
      <c r="V9" s="421"/>
      <c r="W9" s="421"/>
      <c r="X9" s="421"/>
      <c r="Y9" s="421"/>
    </row>
    <row r="10" spans="1:25" ht="19.5">
      <c r="A10" s="850"/>
      <c r="B10" s="851"/>
      <c r="C10" s="851"/>
      <c r="D10" s="862" t="s">
        <v>39</v>
      </c>
      <c r="E10" s="24"/>
      <c r="F10" s="24" t="s">
        <v>40</v>
      </c>
      <c r="G10" s="40" t="s">
        <v>41</v>
      </c>
      <c r="H10" s="24" t="s">
        <v>199</v>
      </c>
      <c r="I10" s="24" t="s">
        <v>788</v>
      </c>
      <c r="J10" s="40" t="s">
        <v>176</v>
      </c>
      <c r="K10" s="40" t="s">
        <v>75</v>
      </c>
      <c r="L10" s="913" t="s">
        <v>14</v>
      </c>
      <c r="M10" s="40" t="s">
        <v>37</v>
      </c>
      <c r="N10" s="40" t="s">
        <v>748</v>
      </c>
      <c r="O10" s="40" t="s">
        <v>15</v>
      </c>
      <c r="P10" s="853" t="s">
        <v>9</v>
      </c>
      <c r="Q10" s="853" t="s">
        <v>14</v>
      </c>
      <c r="R10" s="851"/>
      <c r="S10" s="851"/>
      <c r="T10" s="852"/>
      <c r="U10" s="851"/>
      <c r="V10" s="421"/>
      <c r="W10" s="421"/>
      <c r="X10" s="421"/>
      <c r="Y10" s="421"/>
    </row>
    <row r="11" spans="1:25">
      <c r="B11" s="5"/>
      <c r="C11" s="7"/>
      <c r="D11" s="27" t="s">
        <v>40</v>
      </c>
      <c r="E11" s="27" t="s">
        <v>44</v>
      </c>
      <c r="F11" s="27" t="s">
        <v>304</v>
      </c>
      <c r="G11" s="27" t="s">
        <v>81</v>
      </c>
      <c r="H11" s="27" t="s">
        <v>44</v>
      </c>
      <c r="I11" s="27" t="s">
        <v>15</v>
      </c>
      <c r="J11" s="27" t="s">
        <v>81</v>
      </c>
      <c r="K11" s="27" t="s">
        <v>81</v>
      </c>
      <c r="L11" s="28" t="s">
        <v>81</v>
      </c>
      <c r="M11" s="27" t="s">
        <v>70</v>
      </c>
      <c r="N11" s="27" t="s">
        <v>70</v>
      </c>
      <c r="O11" s="27" t="s">
        <v>70</v>
      </c>
      <c r="P11" s="27" t="s">
        <v>15</v>
      </c>
      <c r="Q11" s="27" t="s">
        <v>1</v>
      </c>
    </row>
    <row r="12" spans="1:25" ht="15.75" customHeight="1">
      <c r="A12" s="5" t="s">
        <v>17</v>
      </c>
      <c r="B12" s="5"/>
      <c r="D12" s="9"/>
      <c r="E12" s="9"/>
      <c r="F12" s="9"/>
      <c r="G12" s="9"/>
      <c r="H12" s="9"/>
      <c r="I12" s="9"/>
      <c r="J12" s="9"/>
      <c r="K12" s="9"/>
      <c r="L12" s="48"/>
      <c r="M12" s="7"/>
      <c r="N12" s="7"/>
      <c r="O12" s="7"/>
      <c r="P12" s="7"/>
      <c r="U12" s="55"/>
    </row>
    <row r="13" spans="1:25" ht="15.75" customHeight="1">
      <c r="B13" s="4" t="s">
        <v>48</v>
      </c>
      <c r="D13" s="32">
        <f>SUMIF('305 Inputs'!$A$116:$A$141,"=16",'305 Inputs'!$J$116:$J$141)</f>
        <v>100211.08333333299</v>
      </c>
      <c r="E13" s="32">
        <f>F13-D13+D17</f>
        <v>212.326012539396</v>
      </c>
      <c r="F13" s="32">
        <f>'Rate Design Work'!C107/12</f>
        <v>100327.74267920572</v>
      </c>
      <c r="G13" s="32">
        <f>SUMIF('305 Inputs'!$A$116:$A$141,"=16",'305 Inputs'!$H$116:$H$141)</f>
        <v>1553800739</v>
      </c>
      <c r="H13" s="32">
        <f>'Normalized Monthly kWh'!AC6</f>
        <v>-5617739.7424748819</v>
      </c>
      <c r="I13" s="32">
        <f>'305 VS COGNOS kWh'!E7+'305 VS COGNOS kWh'!K7+'305 VS COGNOS kWh'!E11+'305 VS COGNOS kWh'!K11+G17</f>
        <v>1302431</v>
      </c>
      <c r="J13" s="32">
        <f>Temperature!B22*1000</f>
        <v>-43682155.460323513</v>
      </c>
      <c r="K13" s="32">
        <f>H13+I13+J13</f>
        <v>-47997464.202798396</v>
      </c>
      <c r="L13" s="92">
        <f t="shared" ref="L13:L18" si="0">G13+K13</f>
        <v>1505803274.7972016</v>
      </c>
      <c r="M13" s="29">
        <f>'Table 3'!D13</f>
        <v>128918533.31999999</v>
      </c>
      <c r="N13" s="29">
        <f ca="1">'Table 3'!I13</f>
        <v>-2149198.2055864464</v>
      </c>
      <c r="O13" s="29">
        <f>'Table 3'!M13</f>
        <v>7238160.0387255251</v>
      </c>
      <c r="P13" s="29">
        <f ca="1">N13+O13</f>
        <v>5088961.8331390787</v>
      </c>
      <c r="Q13" s="29">
        <f t="shared" ref="Q13:Q18" ca="1" si="1">+P13+M13</f>
        <v>134007495.15313907</v>
      </c>
      <c r="S13" s="8"/>
      <c r="T13" s="8"/>
      <c r="U13" s="55"/>
    </row>
    <row r="14" spans="1:25" ht="15.75" customHeight="1">
      <c r="B14" s="4" t="s">
        <v>93</v>
      </c>
      <c r="D14" s="32">
        <f>SUMIF('305 Inputs'!$A$116:$A$141,"=17",'305 Inputs'!$J$116:$J$141)</f>
        <v>4195.5</v>
      </c>
      <c r="E14" s="32">
        <f t="shared" ref="E14:E18" si="2">F14-D14</f>
        <v>9.0404435484169881</v>
      </c>
      <c r="F14" s="32">
        <f>'Rate Design Work'!C122/12</f>
        <v>4204.540443548417</v>
      </c>
      <c r="G14" s="32">
        <f>SUMIF('305 Inputs'!$A$116:$A$141,"=17",'305 Inputs'!$H$116:$H$141)</f>
        <v>66140030</v>
      </c>
      <c r="H14" s="32">
        <f>'Normalized Monthly kWh'!AC7</f>
        <v>-238853.93279447255</v>
      </c>
      <c r="I14" s="32">
        <f>'305 VS COGNOS kWh'!E8+'305 VS COGNOS kWh'!K8</f>
        <v>-20465</v>
      </c>
      <c r="J14" s="32">
        <f>Temperature!B40*1000</f>
        <v>-1477602.4824209907</v>
      </c>
      <c r="K14" s="32">
        <f t="shared" ref="K14:K18" si="3">H14+I14+J14</f>
        <v>-1736921.4152154634</v>
      </c>
      <c r="L14" s="92">
        <f t="shared" si="0"/>
        <v>64403108.584784538</v>
      </c>
      <c r="M14" s="29">
        <f>'Table 3'!D14</f>
        <v>5469581.2800000003</v>
      </c>
      <c r="N14" s="29">
        <f>'Table 3'!I14</f>
        <v>-67312.612234995788</v>
      </c>
      <c r="O14" s="29">
        <f>'Table 3'!M14</f>
        <v>307033.08237999957</v>
      </c>
      <c r="P14" s="29">
        <f t="shared" ref="P14:P18" si="4">N14+O14</f>
        <v>239720.47014500378</v>
      </c>
      <c r="Q14" s="29">
        <f t="shared" si="1"/>
        <v>5709301.7501450041</v>
      </c>
      <c r="S14" s="8"/>
      <c r="T14" s="8"/>
      <c r="U14" s="55"/>
    </row>
    <row r="15" spans="1:25" ht="15.75" customHeight="1">
      <c r="B15" s="4" t="s">
        <v>49</v>
      </c>
      <c r="D15" s="32">
        <f>SUMIF('305 Inputs'!$A$116:$A$141,"=18",'305 Inputs'!$J$116:$J$141)</f>
        <v>84.25</v>
      </c>
      <c r="E15" s="32">
        <f t="shared" si="2"/>
        <v>0.56201612903250009</v>
      </c>
      <c r="F15" s="32">
        <f>'Rate Design Work'!C137/12</f>
        <v>84.8120161290325</v>
      </c>
      <c r="G15" s="32">
        <f>SUMIF('305 Inputs'!$A$116:$A$141,"=18",'305 Inputs'!$H$116:$H$141)</f>
        <v>2277450</v>
      </c>
      <c r="H15" s="32">
        <f>'Normalized Monthly kWh'!AC8</f>
        <v>-8269.9564010600807</v>
      </c>
      <c r="I15" s="32">
        <f>'305 VS COGNOS kWh'!E9+'305 VS COGNOS kWh'!K9</f>
        <v>11840</v>
      </c>
      <c r="J15" s="32">
        <f>Temperature!B58*1000</f>
        <v>-88681.417640957749</v>
      </c>
      <c r="K15" s="32">
        <f t="shared" si="3"/>
        <v>-85111.374042017822</v>
      </c>
      <c r="L15" s="92">
        <f t="shared" si="0"/>
        <v>2192338.6259579821</v>
      </c>
      <c r="M15" s="29">
        <f>'Table 3'!D15</f>
        <v>208013.63</v>
      </c>
      <c r="N15" s="29">
        <f ca="1">'Table 3'!I15</f>
        <v>-4667.1278019458014</v>
      </c>
      <c r="O15" s="29">
        <f>'Table 3'!M15</f>
        <v>9840.0720316130028</v>
      </c>
      <c r="P15" s="29">
        <f t="shared" ca="1" si="4"/>
        <v>5172.9442296672014</v>
      </c>
      <c r="Q15" s="29">
        <f t="shared" ca="1" si="1"/>
        <v>213186.5742296672</v>
      </c>
      <c r="S15" s="8"/>
      <c r="T15" s="8"/>
      <c r="U15" s="55"/>
    </row>
    <row r="16" spans="1:25" ht="15.75" customHeight="1">
      <c r="B16" s="7" t="s">
        <v>162</v>
      </c>
      <c r="D16" s="32">
        <f>SUMIF('305 Inputs'!$A$116:$A$141,"=18x",'305 Inputs'!$J$116:$J$141)</f>
        <v>18</v>
      </c>
      <c r="E16" s="32">
        <f t="shared" si="2"/>
        <v>-2.6836917562498286E-3</v>
      </c>
      <c r="F16" s="32">
        <f>'Rate Design Work'!C152/12</f>
        <v>17.99731630824375</v>
      </c>
      <c r="G16" s="32">
        <f>SUMIF('305 Inputs'!$A$116:$A$141,"=18x",'305 Inputs'!$H$116:$H$141)</f>
        <v>435337</v>
      </c>
      <c r="H16" s="32">
        <f>'Normalized Monthly kWh'!AC9</f>
        <v>-1581.2292178126904</v>
      </c>
      <c r="I16" s="32">
        <f>'305 VS COGNOS kWh'!E10+'305 VS COGNOS kWh'!K10</f>
        <v>2379</v>
      </c>
      <c r="J16" s="32">
        <v>0</v>
      </c>
      <c r="K16" s="32">
        <f t="shared" si="3"/>
        <v>797.77078218730958</v>
      </c>
      <c r="L16" s="92">
        <f t="shared" si="0"/>
        <v>436134.77078218729</v>
      </c>
      <c r="M16" s="29">
        <f>'Table 3'!D16</f>
        <v>39022.58</v>
      </c>
      <c r="N16" s="29">
        <f ca="1">'Table 3'!I16</f>
        <v>591.19358699290706</v>
      </c>
      <c r="O16" s="29">
        <f>'Table 3'!M16</f>
        <v>1940.0394119354969</v>
      </c>
      <c r="P16" s="29">
        <f t="shared" ca="1" si="4"/>
        <v>2531.232998928404</v>
      </c>
      <c r="Q16" s="29">
        <f t="shared" ca="1" si="1"/>
        <v>41553.812998928406</v>
      </c>
      <c r="S16" s="8"/>
      <c r="T16" s="8"/>
      <c r="U16" s="55"/>
    </row>
    <row r="17" spans="2:21" ht="15.75" customHeight="1">
      <c r="B17" s="7" t="s">
        <v>250</v>
      </c>
      <c r="D17" s="32">
        <f>SUMIF('305 Inputs'!$A$116:$A$141,"=135",'305 Inputs'!$J$116:$J$141)</f>
        <v>95.6666666666667</v>
      </c>
      <c r="E17" s="32">
        <f>-D17</f>
        <v>-95.6666666666667</v>
      </c>
      <c r="F17" s="32">
        <f>0</f>
        <v>0</v>
      </c>
      <c r="G17" s="32">
        <f>SUMIF('305 Inputs'!$A$116:$A$141,"=135",'305 Inputs'!$H$116:$H$141)</f>
        <v>1371628</v>
      </c>
      <c r="H17" s="32">
        <v>0</v>
      </c>
      <c r="I17" s="32">
        <f>-G17</f>
        <v>-1371628</v>
      </c>
      <c r="J17" s="32">
        <v>0</v>
      </c>
      <c r="K17" s="32">
        <f t="shared" si="3"/>
        <v>-1371628</v>
      </c>
      <c r="L17" s="92">
        <f t="shared" si="0"/>
        <v>0</v>
      </c>
      <c r="M17" s="29">
        <f>'Table 3'!D17</f>
        <v>115470.99</v>
      </c>
      <c r="N17" s="29">
        <f ca="1">'Table 3'!I17</f>
        <v>1110.5355754840039</v>
      </c>
      <c r="O17" s="29">
        <f>'Table 3'!M17</f>
        <v>0</v>
      </c>
      <c r="P17" s="29">
        <f t="shared" ca="1" si="4"/>
        <v>1110.5355754840039</v>
      </c>
      <c r="Q17" s="29">
        <f t="shared" ca="1" si="1"/>
        <v>116581.525575484</v>
      </c>
      <c r="S17" s="8"/>
      <c r="T17" s="8"/>
      <c r="U17" s="55"/>
    </row>
    <row r="18" spans="2:21" ht="15.75" customHeight="1">
      <c r="B18" s="7" t="s">
        <v>749</v>
      </c>
      <c r="D18" s="93">
        <f>SUMIF('305 Inputs'!$A$116:$A$141,"=24",'305 Inputs'!$J$116:$J$141)</f>
        <v>1452.75</v>
      </c>
      <c r="E18" s="93">
        <f t="shared" si="2"/>
        <v>-38.602777777777874</v>
      </c>
      <c r="F18" s="93">
        <f>'Rate Design Work'!C250/12</f>
        <v>1414.1472222222221</v>
      </c>
      <c r="G18" s="93">
        <f>SUMIF('305 Inputs'!$A$116:$A$141,"=24",'305 Inputs'!$H$116:$H$141)</f>
        <v>7081030</v>
      </c>
      <c r="H18" s="93">
        <f>'Normalized Monthly kWh'!AC11</f>
        <v>-25719.640630090842</v>
      </c>
      <c r="I18" s="93">
        <f>'305 VS COGNOS kWh'!E13+'305 VS COGNOS kWh'!K13</f>
        <v>38683</v>
      </c>
      <c r="J18" s="93">
        <f>Temperature!O75*1000</f>
        <v>-104638.24976581024</v>
      </c>
      <c r="K18" s="93">
        <f t="shared" si="3"/>
        <v>-91674.890395901079</v>
      </c>
      <c r="L18" s="94">
        <f t="shared" si="0"/>
        <v>6989355.1096040988</v>
      </c>
      <c r="M18" s="31">
        <f>'Table 3'!D18</f>
        <v>779714.74</v>
      </c>
      <c r="N18" s="31">
        <f>'Table 3'!I18</f>
        <v>572.92786398061617</v>
      </c>
      <c r="O18" s="31">
        <f>'Table 3'!M18</f>
        <v>38131.256113341544</v>
      </c>
      <c r="P18" s="31">
        <f t="shared" si="4"/>
        <v>38704.183977322158</v>
      </c>
      <c r="Q18" s="31">
        <f t="shared" si="1"/>
        <v>818418.92397732218</v>
      </c>
      <c r="S18" s="8"/>
      <c r="T18" s="8"/>
      <c r="U18" s="55"/>
    </row>
    <row r="19" spans="2:21" ht="15.75" customHeight="1">
      <c r="B19" s="7" t="s">
        <v>35</v>
      </c>
      <c r="C19" s="11"/>
      <c r="D19" s="32">
        <f t="shared" ref="D19:M19" si="5">SUM(D13:D18)</f>
        <v>106057.24999999967</v>
      </c>
      <c r="E19" s="32">
        <f t="shared" si="5"/>
        <v>87.656344080644644</v>
      </c>
      <c r="F19" s="32">
        <f t="shared" si="5"/>
        <v>106049.23967741364</v>
      </c>
      <c r="G19" s="32">
        <f t="shared" si="5"/>
        <v>1631106214</v>
      </c>
      <c r="H19" s="32">
        <f t="shared" si="5"/>
        <v>-5892164.5015183175</v>
      </c>
      <c r="I19" s="32">
        <f t="shared" si="5"/>
        <v>-36760</v>
      </c>
      <c r="J19" s="32">
        <f t="shared" si="5"/>
        <v>-45353077.610151269</v>
      </c>
      <c r="K19" s="32">
        <f t="shared" si="5"/>
        <v>-51282002.111669593</v>
      </c>
      <c r="L19" s="92">
        <f t="shared" si="5"/>
        <v>1579824211.8883305</v>
      </c>
      <c r="M19" s="29">
        <f t="shared" si="5"/>
        <v>135530336.54000002</v>
      </c>
      <c r="N19" s="29">
        <f t="shared" ref="N19:Q19" ca="1" si="6">SUM(N13:N18)</f>
        <v>-2218903.2885969304</v>
      </c>
      <c r="O19" s="29">
        <f t="shared" si="6"/>
        <v>7595104.4886624161</v>
      </c>
      <c r="P19" s="29">
        <f t="shared" ca="1" si="6"/>
        <v>5376201.2000654833</v>
      </c>
      <c r="Q19" s="29">
        <f t="shared" ca="1" si="6"/>
        <v>140906537.74006546</v>
      </c>
      <c r="S19" s="8"/>
      <c r="T19" s="8"/>
      <c r="U19" s="55"/>
    </row>
    <row r="20" spans="2:21" ht="15.75" customHeight="1">
      <c r="B20" s="7"/>
      <c r="C20" s="11"/>
      <c r="D20" s="9"/>
      <c r="E20" s="9"/>
      <c r="F20" s="9"/>
      <c r="G20" s="9"/>
      <c r="H20" s="9"/>
      <c r="I20" s="9"/>
      <c r="J20" s="9"/>
      <c r="K20" s="9"/>
      <c r="L20" s="48"/>
      <c r="M20" s="29"/>
      <c r="N20" s="29"/>
      <c r="O20" s="29"/>
      <c r="P20" s="29"/>
      <c r="Q20" s="8"/>
      <c r="S20" s="8"/>
      <c r="T20" s="8"/>
      <c r="U20" s="55"/>
    </row>
    <row r="21" spans="2:21" ht="15.75" customHeight="1">
      <c r="B21" s="4" t="s">
        <v>50</v>
      </c>
      <c r="C21" s="11"/>
      <c r="D21" s="93">
        <f>SUMIF('305 Inputs'!$A$116:$A$141,"=15r",'305 Inputs'!$J$116:$J$141)</f>
        <v>1133.25</v>
      </c>
      <c r="E21" s="93">
        <f>F21-D21+D25</f>
        <v>8</v>
      </c>
      <c r="F21" s="93">
        <f>'Rate Design Work'!C44/12</f>
        <v>1141.25</v>
      </c>
      <c r="G21" s="93">
        <f>SUMIF('305 Inputs'!$A$116:$A$141,"=15r",'305 Inputs'!$H$116:$H$141)</f>
        <v>1050961</v>
      </c>
      <c r="H21" s="93">
        <f>'Normalized Monthly kWh'!AC10</f>
        <v>-3835.498481682414</v>
      </c>
      <c r="I21" s="93">
        <f>'305 VS COGNOS kWh'!E12+'305 VS COGNOS kWh'!K12</f>
        <v>10782</v>
      </c>
      <c r="J21" s="93">
        <v>0</v>
      </c>
      <c r="K21" s="93">
        <f>H21+I21+J21</f>
        <v>6946.5015183175856</v>
      </c>
      <c r="L21" s="94">
        <f>G21+K21</f>
        <v>1057907.5015183175</v>
      </c>
      <c r="M21" s="90">
        <f>'Table 3'!D21</f>
        <v>152163.23000000001</v>
      </c>
      <c r="N21" s="31">
        <f ca="1">'Table 3'!I21</f>
        <v>1408.6660917134377</v>
      </c>
      <c r="O21" s="31">
        <f>'Table 3'!M21</f>
        <v>-1.807347871363163E-8</v>
      </c>
      <c r="P21" s="31">
        <f ca="1">N21+O21</f>
        <v>1408.6660916953642</v>
      </c>
      <c r="Q21" s="31">
        <f ca="1">+P21+M21</f>
        <v>153571.89609169538</v>
      </c>
      <c r="S21" s="8"/>
      <c r="T21" s="8"/>
      <c r="U21" s="55"/>
    </row>
    <row r="22" spans="2:21" ht="15.75" customHeight="1">
      <c r="B22" s="4" t="s">
        <v>35</v>
      </c>
      <c r="D22" s="32">
        <f>SUM(D21:D21)</f>
        <v>1133.25</v>
      </c>
      <c r="E22" s="32">
        <f>SUM(E21:E21)</f>
        <v>8</v>
      </c>
      <c r="F22" s="32">
        <f>SUM(F21:F21)</f>
        <v>1141.25</v>
      </c>
      <c r="G22" s="32">
        <f t="shared" ref="G22:Q22" si="7">SUM(G21:G21)</f>
        <v>1050961</v>
      </c>
      <c r="H22" s="32">
        <f t="shared" si="7"/>
        <v>-3835.498481682414</v>
      </c>
      <c r="I22" s="32">
        <f t="shared" si="7"/>
        <v>10782</v>
      </c>
      <c r="J22" s="32">
        <f t="shared" si="7"/>
        <v>0</v>
      </c>
      <c r="K22" s="32">
        <f t="shared" si="7"/>
        <v>6946.5015183175856</v>
      </c>
      <c r="L22" s="92">
        <f t="shared" si="7"/>
        <v>1057907.5015183175</v>
      </c>
      <c r="M22" s="29">
        <f t="shared" si="7"/>
        <v>152163.23000000001</v>
      </c>
      <c r="N22" s="29">
        <f t="shared" ca="1" si="7"/>
        <v>1408.6660917134377</v>
      </c>
      <c r="O22" s="29">
        <f t="shared" si="7"/>
        <v>-1.807347871363163E-8</v>
      </c>
      <c r="P22" s="29">
        <f t="shared" ca="1" si="7"/>
        <v>1408.6660916953642</v>
      </c>
      <c r="Q22" s="29">
        <f t="shared" ca="1" si="7"/>
        <v>153571.89609169538</v>
      </c>
      <c r="S22" s="12"/>
      <c r="T22" s="12"/>
      <c r="U22" s="16"/>
    </row>
    <row r="23" spans="2:21" ht="15.75" customHeight="1">
      <c r="D23" s="9"/>
      <c r="E23" s="9"/>
      <c r="F23" s="9"/>
      <c r="G23" s="9"/>
      <c r="H23" s="9"/>
      <c r="I23" s="9"/>
      <c r="J23" s="9"/>
      <c r="K23" s="9"/>
      <c r="L23" s="48"/>
      <c r="M23" s="29"/>
      <c r="N23" s="29"/>
      <c r="O23" s="29"/>
      <c r="P23" s="29"/>
      <c r="Q23" s="29"/>
      <c r="S23" s="12"/>
      <c r="T23" s="12"/>
      <c r="U23" s="16"/>
    </row>
    <row r="24" spans="2:21" s="11" customFormat="1" ht="15.75" customHeight="1">
      <c r="B24" s="4" t="s">
        <v>34</v>
      </c>
      <c r="D24" s="93">
        <v>0</v>
      </c>
      <c r="E24" s="93"/>
      <c r="F24" s="93"/>
      <c r="G24" s="93">
        <f>SUMIF('305 Inputs'!$A$116:$A$141,"=aga",'305 Inputs'!$H$116:$H$141)</f>
        <v>0</v>
      </c>
      <c r="H24" s="93"/>
      <c r="I24" s="93"/>
      <c r="J24" s="93">
        <v>0</v>
      </c>
      <c r="K24" s="93">
        <f>J24</f>
        <v>0</v>
      </c>
      <c r="L24" s="94">
        <f>G24+K24</f>
        <v>0</v>
      </c>
      <c r="M24" s="31">
        <f>'Table 3'!D24</f>
        <v>783.03</v>
      </c>
      <c r="N24" s="31">
        <f>'Table 3'!I24</f>
        <v>0</v>
      </c>
      <c r="O24" s="31">
        <f>'Table 3'!M24</f>
        <v>0</v>
      </c>
      <c r="P24" s="31">
        <f>N24+O24</f>
        <v>0</v>
      </c>
      <c r="Q24" s="31">
        <f>+P24+M24</f>
        <v>783.03</v>
      </c>
      <c r="S24" s="12"/>
      <c r="T24" s="12"/>
      <c r="U24" s="16"/>
    </row>
    <row r="25" spans="2:21" s="11" customFormat="1" ht="15.75" customHeight="1">
      <c r="B25" s="4"/>
      <c r="D25" s="93"/>
      <c r="E25" s="93"/>
      <c r="F25" s="93"/>
      <c r="G25" s="32"/>
      <c r="H25" s="32"/>
      <c r="I25" s="32"/>
      <c r="J25" s="93"/>
      <c r="K25" s="93"/>
      <c r="L25" s="94"/>
      <c r="M25" s="31"/>
      <c r="N25" s="31"/>
      <c r="O25" s="31"/>
      <c r="P25" s="31"/>
      <c r="Q25" s="31"/>
      <c r="S25" s="12"/>
      <c r="T25" s="12"/>
      <c r="U25" s="16"/>
    </row>
    <row r="26" spans="2:21" s="11" customFormat="1" ht="15.75" customHeight="1">
      <c r="B26" s="4" t="s">
        <v>672</v>
      </c>
      <c r="D26" s="93">
        <f>SUMIF('305 Inputs'!$A$116:$A$141,"=def",'305 Inputs'!$J$116:$J$141)</f>
        <v>0</v>
      </c>
      <c r="E26" s="93"/>
      <c r="F26" s="93"/>
      <c r="G26" s="93">
        <f>SUMIF('305 Inputs'!$A$116:$A$141,"=def",'305 Inputs'!$H$116:$H$141)</f>
        <v>0</v>
      </c>
      <c r="H26" s="93"/>
      <c r="I26" s="93"/>
      <c r="J26" s="93">
        <v>0</v>
      </c>
      <c r="K26" s="93">
        <v>0</v>
      </c>
      <c r="L26" s="94">
        <v>0</v>
      </c>
      <c r="M26" s="31">
        <f>'Table 3'!D26</f>
        <v>-1320000</v>
      </c>
      <c r="N26" s="31">
        <f>'Table 3'!I26</f>
        <v>1320000</v>
      </c>
      <c r="O26" s="31">
        <f>'Table 3'!M26</f>
        <v>0</v>
      </c>
      <c r="P26" s="31">
        <f>N26+O26</f>
        <v>1320000</v>
      </c>
      <c r="Q26" s="31">
        <f t="shared" ref="Q26:Q34" si="8">+P26+M26</f>
        <v>0</v>
      </c>
      <c r="S26" s="12"/>
      <c r="T26" s="12"/>
      <c r="U26" s="16"/>
    </row>
    <row r="27" spans="2:21" ht="15.75" customHeight="1">
      <c r="B27" s="4" t="s">
        <v>750</v>
      </c>
      <c r="D27" s="93">
        <f>SUMIF('305 Inputs'!$A$116:$A$141,"=rev",'305 Inputs'!$J$116:$J$141)</f>
        <v>0</v>
      </c>
      <c r="E27" s="93"/>
      <c r="F27" s="93"/>
      <c r="G27" s="93">
        <f>SUMIF('305 Inputs'!$A$116:$A$141,"=rev",'305 Inputs'!$H$116:$H$141)</f>
        <v>0</v>
      </c>
      <c r="H27" s="93"/>
      <c r="I27" s="93"/>
      <c r="J27" s="93">
        <v>0</v>
      </c>
      <c r="K27" s="93">
        <v>0</v>
      </c>
      <c r="L27" s="94">
        <v>0</v>
      </c>
      <c r="M27" s="31">
        <f>'Table 3'!D27</f>
        <v>-5182008.2699999996</v>
      </c>
      <c r="N27" s="31">
        <f>'Table 3'!I27</f>
        <v>5182008.2699999996</v>
      </c>
      <c r="O27" s="31">
        <f>'Table 3'!M27</f>
        <v>0</v>
      </c>
      <c r="P27" s="31">
        <f t="shared" ref="P27:P36" si="9">N27+O27</f>
        <v>5182008.2699999996</v>
      </c>
      <c r="Q27" s="31">
        <f t="shared" si="8"/>
        <v>0</v>
      </c>
      <c r="S27" s="12"/>
      <c r="T27" s="12"/>
      <c r="U27" s="16"/>
    </row>
    <row r="28" spans="2:21" s="11" customFormat="1" ht="15.75" customHeight="1">
      <c r="B28" s="4" t="s">
        <v>239</v>
      </c>
      <c r="D28" s="93">
        <v>0</v>
      </c>
      <c r="E28" s="93"/>
      <c r="F28" s="93"/>
      <c r="G28" s="93">
        <f>SUMIF('305 Inputs'!$A$116:$A$141,"=acq",'305 Inputs'!$H$116:$H$141)</f>
        <v>0</v>
      </c>
      <c r="H28" s="93"/>
      <c r="I28" s="93"/>
      <c r="J28" s="93">
        <v>0</v>
      </c>
      <c r="K28" s="93">
        <f t="shared" ref="K28:K34" si="10">J28</f>
        <v>0</v>
      </c>
      <c r="L28" s="94">
        <f t="shared" ref="L28:L34" si="11">G28+K28</f>
        <v>0</v>
      </c>
      <c r="M28" s="31">
        <f>'Table 3'!D28</f>
        <v>0</v>
      </c>
      <c r="N28" s="31">
        <f>'Table 3'!I28</f>
        <v>0</v>
      </c>
      <c r="O28" s="31">
        <f>'Table 3'!M28</f>
        <v>0</v>
      </c>
      <c r="P28" s="31">
        <f t="shared" si="9"/>
        <v>0</v>
      </c>
      <c r="Q28" s="31">
        <f t="shared" si="8"/>
        <v>0</v>
      </c>
      <c r="S28" s="12"/>
      <c r="T28" s="12"/>
      <c r="U28" s="16"/>
    </row>
    <row r="29" spans="2:21" s="11" customFormat="1" ht="15.75" customHeight="1">
      <c r="B29" s="4" t="s">
        <v>163</v>
      </c>
      <c r="D29" s="93">
        <v>0</v>
      </c>
      <c r="E29" s="93"/>
      <c r="F29" s="93"/>
      <c r="G29" s="93">
        <f>SUMIF('305 Inputs'!$A$116:$A$141,"=cent",'305 Inputs'!$H$116:$H$141)</f>
        <v>0</v>
      </c>
      <c r="H29" s="93"/>
      <c r="I29" s="93"/>
      <c r="J29" s="93">
        <v>0</v>
      </c>
      <c r="K29" s="93">
        <f t="shared" si="10"/>
        <v>0</v>
      </c>
      <c r="L29" s="94">
        <f t="shared" si="11"/>
        <v>0</v>
      </c>
      <c r="M29" s="31">
        <f>'Table 3'!D29</f>
        <v>0</v>
      </c>
      <c r="N29" s="31">
        <f>'Table 3'!I29</f>
        <v>0</v>
      </c>
      <c r="O29" s="31">
        <f>'Table 3'!M29</f>
        <v>0</v>
      </c>
      <c r="P29" s="31">
        <f t="shared" si="9"/>
        <v>0</v>
      </c>
      <c r="Q29" s="31">
        <f t="shared" si="8"/>
        <v>0</v>
      </c>
      <c r="S29" s="12"/>
      <c r="T29" s="12"/>
      <c r="U29" s="16"/>
    </row>
    <row r="30" spans="2:21" s="11" customFormat="1" ht="15.75" customHeight="1">
      <c r="B30" s="4" t="s">
        <v>177</v>
      </c>
      <c r="D30" s="93">
        <v>0</v>
      </c>
      <c r="E30" s="93"/>
      <c r="F30" s="93"/>
      <c r="G30" s="93">
        <f>SUMIF('305 Inputs'!$A$116:$A$141,"=merger",'305 Inputs'!$H$116:$H$141)</f>
        <v>0</v>
      </c>
      <c r="H30" s="93"/>
      <c r="I30" s="93"/>
      <c r="J30" s="93">
        <v>0</v>
      </c>
      <c r="K30" s="93">
        <f t="shared" si="10"/>
        <v>0</v>
      </c>
      <c r="L30" s="94">
        <f t="shared" si="11"/>
        <v>0</v>
      </c>
      <c r="M30" s="31">
        <f>'Table 3'!D30</f>
        <v>0</v>
      </c>
      <c r="N30" s="31">
        <f>'Table 3'!I30</f>
        <v>0</v>
      </c>
      <c r="O30" s="31">
        <f>'Table 3'!M30</f>
        <v>0</v>
      </c>
      <c r="P30" s="31">
        <f t="shared" si="9"/>
        <v>0</v>
      </c>
      <c r="Q30" s="31">
        <f t="shared" si="8"/>
        <v>0</v>
      </c>
      <c r="S30" s="12"/>
      <c r="T30" s="12"/>
      <c r="U30" s="16"/>
    </row>
    <row r="31" spans="2:21" s="11" customFormat="1" ht="15.75" customHeight="1">
      <c r="B31" s="4" t="s">
        <v>757</v>
      </c>
      <c r="D31" s="93">
        <v>0</v>
      </c>
      <c r="E31" s="93"/>
      <c r="F31" s="93"/>
      <c r="G31" s="93">
        <f>SUMIF('305 Inputs'!$A$116:$A$141,"=merger",'305 Inputs'!$H$116:$H$141)</f>
        <v>0</v>
      </c>
      <c r="H31" s="93"/>
      <c r="I31" s="93"/>
      <c r="J31" s="93">
        <v>0</v>
      </c>
      <c r="K31" s="93">
        <f t="shared" si="10"/>
        <v>0</v>
      </c>
      <c r="L31" s="94">
        <f t="shared" si="11"/>
        <v>0</v>
      </c>
      <c r="M31" s="31">
        <f>'Table 3'!D31</f>
        <v>4639762.9400000004</v>
      </c>
      <c r="N31" s="31">
        <f>'Table 3'!I31</f>
        <v>-4639762.9400000004</v>
      </c>
      <c r="O31" s="31">
        <f>'Table 3'!M31</f>
        <v>0</v>
      </c>
      <c r="P31" s="31">
        <f t="shared" ref="P31" si="12">N31+O31</f>
        <v>-4639762.9400000004</v>
      </c>
      <c r="Q31" s="31">
        <f t="shared" ref="Q31" si="13">+P31+M31</f>
        <v>0</v>
      </c>
      <c r="S31" s="12"/>
      <c r="T31" s="12"/>
      <c r="U31" s="16"/>
    </row>
    <row r="32" spans="2:21" s="11" customFormat="1" ht="15.75" customHeight="1">
      <c r="B32" s="4" t="s">
        <v>758</v>
      </c>
      <c r="D32" s="93">
        <v>0</v>
      </c>
      <c r="E32" s="93"/>
      <c r="F32" s="93"/>
      <c r="G32" s="93">
        <f>SUMIF('305 Inputs'!$A$116:$A$141,"=merger",'305 Inputs'!$H$116:$H$141)</f>
        <v>0</v>
      </c>
      <c r="H32" s="93"/>
      <c r="I32" s="93"/>
      <c r="J32" s="93">
        <v>0</v>
      </c>
      <c r="K32" s="93">
        <f t="shared" si="10"/>
        <v>0</v>
      </c>
      <c r="L32" s="94">
        <f t="shared" si="11"/>
        <v>0</v>
      </c>
      <c r="M32" s="31">
        <f>'Table 3'!D32</f>
        <v>42670.280000000006</v>
      </c>
      <c r="N32" s="31">
        <f>'Table 3'!I32</f>
        <v>-42670.280000000006</v>
      </c>
      <c r="O32" s="31">
        <f>'Table 3'!M32</f>
        <v>0</v>
      </c>
      <c r="P32" s="31">
        <f t="shared" ref="P32" si="14">N32+O32</f>
        <v>-42670.280000000006</v>
      </c>
      <c r="Q32" s="31">
        <f t="shared" ref="Q32" si="15">+P32+M32</f>
        <v>0</v>
      </c>
      <c r="S32" s="12"/>
      <c r="T32" s="12"/>
      <c r="U32" s="16"/>
    </row>
    <row r="33" spans="1:21" s="11" customFormat="1" ht="15.75" customHeight="1">
      <c r="B33" s="4" t="s">
        <v>82</v>
      </c>
      <c r="D33" s="93">
        <v>0</v>
      </c>
      <c r="E33" s="93"/>
      <c r="F33" s="93"/>
      <c r="G33" s="93">
        <f>SUMIF('305 Inputs'!$A$116:$A$141,"=bpa",'305 Inputs'!$H$116:$H$141)</f>
        <v>0</v>
      </c>
      <c r="H33" s="93"/>
      <c r="I33" s="93"/>
      <c r="J33" s="93">
        <v>0</v>
      </c>
      <c r="K33" s="93">
        <f t="shared" si="10"/>
        <v>0</v>
      </c>
      <c r="L33" s="94">
        <f t="shared" si="11"/>
        <v>0</v>
      </c>
      <c r="M33" s="31">
        <f>'Table 3'!D33</f>
        <v>769276.97</v>
      </c>
      <c r="N33" s="31">
        <f>'Table 3'!I33</f>
        <v>-769276.97</v>
      </c>
      <c r="O33" s="31">
        <f>'Table 3'!M33</f>
        <v>0</v>
      </c>
      <c r="P33" s="31">
        <f t="shared" si="9"/>
        <v>-769276.97</v>
      </c>
      <c r="Q33" s="31">
        <f t="shared" si="8"/>
        <v>0</v>
      </c>
      <c r="S33" s="12"/>
      <c r="T33" s="12"/>
      <c r="U33" s="16"/>
    </row>
    <row r="34" spans="1:21" s="11" customFormat="1" ht="15.75" customHeight="1">
      <c r="B34" s="4" t="s">
        <v>690</v>
      </c>
      <c r="D34" s="93">
        <v>0</v>
      </c>
      <c r="E34" s="93"/>
      <c r="F34" s="93"/>
      <c r="G34" s="93">
        <f>SUMIF('305 Inputs'!$A$116:$A$141,"=smud",'305 Inputs'!$H$116:$H$141)</f>
        <v>0</v>
      </c>
      <c r="H34" s="93"/>
      <c r="I34" s="93"/>
      <c r="J34" s="93">
        <v>0</v>
      </c>
      <c r="K34" s="93">
        <f t="shared" si="10"/>
        <v>0</v>
      </c>
      <c r="L34" s="94">
        <f t="shared" si="11"/>
        <v>0</v>
      </c>
      <c r="M34" s="31">
        <f>'Table 3'!D34</f>
        <v>128745.18</v>
      </c>
      <c r="N34" s="31">
        <f>'Table 3'!I34</f>
        <v>-128745.18</v>
      </c>
      <c r="O34" s="31">
        <f>'Table 3'!M34</f>
        <v>0</v>
      </c>
      <c r="P34" s="31">
        <f t="shared" si="9"/>
        <v>-128745.18</v>
      </c>
      <c r="Q34" s="31">
        <f t="shared" si="8"/>
        <v>0</v>
      </c>
      <c r="S34" s="12"/>
      <c r="T34" s="12"/>
      <c r="U34" s="16"/>
    </row>
    <row r="35" spans="1:21" ht="15.75" customHeight="1">
      <c r="B35" s="11"/>
      <c r="D35" s="9"/>
      <c r="E35" s="9"/>
      <c r="F35" s="9"/>
      <c r="G35" s="9"/>
      <c r="H35" s="9"/>
      <c r="I35" s="9"/>
      <c r="J35" s="9"/>
      <c r="K35" s="9"/>
      <c r="L35" s="48"/>
      <c r="M35" s="29"/>
      <c r="N35" s="29"/>
      <c r="O35" s="29"/>
      <c r="P35" s="29"/>
      <c r="Q35" s="29"/>
      <c r="S35" s="12"/>
      <c r="T35" s="12"/>
      <c r="U35" s="16"/>
    </row>
    <row r="36" spans="1:21" s="11" customFormat="1" ht="15.75" customHeight="1">
      <c r="B36" s="4" t="s">
        <v>80</v>
      </c>
      <c r="D36" s="93">
        <v>0</v>
      </c>
      <c r="E36" s="93"/>
      <c r="F36" s="93"/>
      <c r="G36" s="93">
        <f>SUMIF('305 Inputs'!$A$116:$A$141,"=unbilled",'305 Inputs'!$H$116:$H$141)</f>
        <v>-5896000</v>
      </c>
      <c r="H36" s="93">
        <f>-G36</f>
        <v>5896000</v>
      </c>
      <c r="I36" s="93"/>
      <c r="J36" s="93">
        <v>0</v>
      </c>
      <c r="K36" s="93">
        <f>H36+I36+J36</f>
        <v>5896000</v>
      </c>
      <c r="L36" s="94">
        <f>G36+K36</f>
        <v>0</v>
      </c>
      <c r="M36" s="31">
        <f>'Table 3'!D36</f>
        <v>-281000</v>
      </c>
      <c r="N36" s="31">
        <f>'Table 3'!I36</f>
        <v>281000</v>
      </c>
      <c r="O36" s="31">
        <f>'Table 3'!M36</f>
        <v>0</v>
      </c>
      <c r="P36" s="31">
        <f t="shared" si="9"/>
        <v>281000</v>
      </c>
      <c r="Q36" s="31">
        <f>+P36+M36</f>
        <v>0</v>
      </c>
      <c r="S36" s="12"/>
      <c r="T36" s="12"/>
      <c r="U36" s="16"/>
    </row>
    <row r="37" spans="1:21" ht="15.75" customHeight="1">
      <c r="D37" s="95"/>
      <c r="E37" s="95"/>
      <c r="F37" s="95"/>
      <c r="G37" s="95"/>
      <c r="H37" s="95"/>
      <c r="I37" s="95"/>
      <c r="J37" s="95"/>
      <c r="K37" s="95"/>
      <c r="L37" s="96"/>
      <c r="M37" s="90"/>
      <c r="N37" s="90"/>
      <c r="O37" s="90"/>
      <c r="P37" s="90"/>
      <c r="Q37" s="8"/>
      <c r="S37" s="12"/>
      <c r="T37" s="12"/>
      <c r="U37" s="16"/>
    </row>
    <row r="38" spans="1:21" ht="15.75" customHeight="1">
      <c r="B38" s="33" t="s">
        <v>9</v>
      </c>
      <c r="C38" s="34"/>
      <c r="D38" s="97">
        <f t="shared" ref="D38:Q38" si="16">+D19+D22+D24+SUM(D26:D36)</f>
        <v>107190.49999999967</v>
      </c>
      <c r="E38" s="97">
        <f t="shared" si="16"/>
        <v>95.656344080644644</v>
      </c>
      <c r="F38" s="97">
        <f t="shared" si="16"/>
        <v>107190.48967741364</v>
      </c>
      <c r="G38" s="97">
        <f t="shared" si="16"/>
        <v>1626261175</v>
      </c>
      <c r="H38" s="97">
        <f t="shared" si="16"/>
        <v>0</v>
      </c>
      <c r="I38" s="97">
        <f t="shared" si="16"/>
        <v>-25978</v>
      </c>
      <c r="J38" s="97">
        <f t="shared" si="16"/>
        <v>-45353077.610151269</v>
      </c>
      <c r="K38" s="97">
        <f t="shared" si="16"/>
        <v>-45379055.610151276</v>
      </c>
      <c r="L38" s="97">
        <f t="shared" si="16"/>
        <v>1580882119.3898487</v>
      </c>
      <c r="M38" s="37">
        <f t="shared" si="16"/>
        <v>134480729.90000001</v>
      </c>
      <c r="N38" s="37">
        <f t="shared" ca="1" si="16"/>
        <v>-1014941.7225052177</v>
      </c>
      <c r="O38" s="37">
        <f t="shared" si="16"/>
        <v>7595104.4886623984</v>
      </c>
      <c r="P38" s="37">
        <f t="shared" ca="1" si="16"/>
        <v>6580162.7661571782</v>
      </c>
      <c r="Q38" s="37">
        <f t="shared" ca="1" si="16"/>
        <v>141060892.66615716</v>
      </c>
      <c r="S38" s="8"/>
      <c r="T38" s="8"/>
      <c r="U38" s="55"/>
    </row>
    <row r="39" spans="1:21" ht="15.75" customHeight="1">
      <c r="D39" s="9"/>
      <c r="E39" s="9"/>
      <c r="F39" s="9" t="s">
        <v>31</v>
      </c>
      <c r="G39" s="914"/>
      <c r="H39" s="914"/>
      <c r="I39" s="914"/>
      <c r="J39" s="9"/>
      <c r="K39" s="9"/>
      <c r="L39" s="48"/>
      <c r="M39" s="29"/>
      <c r="N39" s="663"/>
      <c r="O39" s="663"/>
      <c r="P39" s="663"/>
      <c r="Q39" s="8"/>
      <c r="S39" s="8"/>
      <c r="T39" s="8"/>
      <c r="U39" s="55"/>
    </row>
    <row r="40" spans="1:21" ht="15.75" customHeight="1">
      <c r="A40" s="5" t="s">
        <v>18</v>
      </c>
      <c r="B40" s="5"/>
      <c r="D40" s="9"/>
      <c r="E40" s="9"/>
      <c r="F40" s="9"/>
      <c r="G40" s="9"/>
      <c r="H40" s="9"/>
      <c r="I40" s="9"/>
      <c r="J40" s="9"/>
      <c r="K40" s="9"/>
      <c r="L40" s="48"/>
      <c r="M40" s="29"/>
      <c r="N40" s="29"/>
      <c r="O40" s="29"/>
      <c r="P40" s="29"/>
      <c r="Q40" s="8"/>
      <c r="S40" s="8"/>
      <c r="T40" s="8"/>
      <c r="U40" s="55"/>
    </row>
    <row r="41" spans="1:21" ht="15.75" customHeight="1">
      <c r="B41" s="915" t="s">
        <v>51</v>
      </c>
      <c r="D41" s="32">
        <f>SUMIF('305 Inputs'!$A$7:$A$44,"=24",'305 Inputs'!$J$7:$J$443)</f>
        <v>16707.166666666664</v>
      </c>
      <c r="E41" s="32">
        <f t="shared" ref="E41:E43" si="17">F41-D41</f>
        <v>56.022222222192795</v>
      </c>
      <c r="F41" s="32">
        <f>'Rate Design Work'!C285/12</f>
        <v>16763.188888888857</v>
      </c>
      <c r="G41" s="32">
        <f>SUMIF('305 Inputs'!$A$7:$A$44,"=24",'305 Inputs'!$H$7:$H$44)</f>
        <v>525146469</v>
      </c>
      <c r="H41" s="32">
        <f>'Normalized Monthly kWh'!AC14</f>
        <v>-1485757.4271905404</v>
      </c>
      <c r="I41" s="32">
        <f>'305 VS COGNOS kWh'!E18+'305 VS COGNOS kWh'!K18</f>
        <v>104610</v>
      </c>
      <c r="J41" s="32">
        <f>Temperature!B75*1000</f>
        <v>-7719602.4045018842</v>
      </c>
      <c r="K41" s="32">
        <f>H41+I41+J41</f>
        <v>-9100749.8316924237</v>
      </c>
      <c r="L41" s="92">
        <f>G41+K41</f>
        <v>516045719.1683076</v>
      </c>
      <c r="M41" s="29">
        <f>'Table 3'!D41</f>
        <v>45257755.719999999</v>
      </c>
      <c r="N41" s="29">
        <f>'Table 3'!I41</f>
        <v>-1965843.1044501271</v>
      </c>
      <c r="O41" s="29">
        <f>'Table 3'!M41</f>
        <v>2451639.4151916057</v>
      </c>
      <c r="P41" s="29">
        <f>N41+O41</f>
        <v>485796.31074147858</v>
      </c>
      <c r="Q41" s="29">
        <f>+P41+M41</f>
        <v>45743552.030741476</v>
      </c>
      <c r="S41" s="8"/>
      <c r="T41" s="8"/>
      <c r="U41" s="55"/>
    </row>
    <row r="42" spans="1:21" s="11" customFormat="1" ht="15.75" customHeight="1">
      <c r="B42" s="915" t="s">
        <v>52</v>
      </c>
      <c r="D42" s="32">
        <f>SUMIF('305 Inputs'!$A$7:$A$44,"=24f",'305 Inputs'!$J$7:$J$44)</f>
        <v>117</v>
      </c>
      <c r="E42" s="32">
        <f t="shared" si="17"/>
        <v>5.2777777778075574E-2</v>
      </c>
      <c r="F42" s="32">
        <f>'Rate Design Work'!C389/12</f>
        <v>117.05277777777808</v>
      </c>
      <c r="G42" s="32">
        <f>SUMIF('305 Inputs'!$A$7:$A$44,"=24f",'305 Inputs'!$H$7:$H$44)</f>
        <v>1282106</v>
      </c>
      <c r="H42" s="32">
        <f>'Normalized Monthly kWh'!AC15</f>
        <v>-3590.4726383423845</v>
      </c>
      <c r="I42" s="32">
        <f>'305 VS COGNOS kWh'!E19+'305 VS COGNOS kWh'!K19</f>
        <v>-12787.339432767048</v>
      </c>
      <c r="J42" s="32">
        <v>0</v>
      </c>
      <c r="K42" s="32">
        <f>H42+I42+J42</f>
        <v>-16377.812071109433</v>
      </c>
      <c r="L42" s="92">
        <f>G42+K42</f>
        <v>1265728.1879288906</v>
      </c>
      <c r="M42" s="29">
        <f>'Table 3'!D42</f>
        <v>162255.56</v>
      </c>
      <c r="N42" s="29">
        <f>'Table 3'!I42</f>
        <v>-5424.9925895785391</v>
      </c>
      <c r="O42" s="29">
        <f>'Table 3'!M42</f>
        <v>7408.3782684219186</v>
      </c>
      <c r="P42" s="29">
        <f>N42+O42</f>
        <v>1983.3856788433795</v>
      </c>
      <c r="Q42" s="29">
        <f>+P42+M42</f>
        <v>164238.94567884339</v>
      </c>
      <c r="S42" s="12"/>
      <c r="T42" s="12"/>
      <c r="U42" s="16"/>
    </row>
    <row r="43" spans="1:21" ht="15.75" customHeight="1">
      <c r="B43" s="915" t="s">
        <v>57</v>
      </c>
      <c r="D43" s="93">
        <f>SUMIF('305 Inputs'!$A$7:$A$44,"=24fp",'305 Inputs'!$J$7:$J$44)</f>
        <v>85.4166666666667</v>
      </c>
      <c r="E43" s="93">
        <f t="shared" si="17"/>
        <v>-1.3265277777778408</v>
      </c>
      <c r="F43" s="93">
        <f>'Rate Design Work'!C495/12</f>
        <v>84.090138888888859</v>
      </c>
      <c r="G43" s="93">
        <f>SUMIF('305 Inputs'!$A$7:$A$44,"=24fp",'305 Inputs'!$H$7:$H$44)</f>
        <v>455587</v>
      </c>
      <c r="H43" s="93">
        <f>'Normalized Monthly kWh'!AC16</f>
        <v>-1302.4656054484105</v>
      </c>
      <c r="I43" s="93">
        <f>'305 VS COGNOS kWh'!E20+'305 VS COGNOS kWh'!K20</f>
        <v>4866</v>
      </c>
      <c r="J43" s="93">
        <v>0</v>
      </c>
      <c r="K43" s="93">
        <f>H43+I43+J43</f>
        <v>3563.5343945515897</v>
      </c>
      <c r="L43" s="94">
        <f>G43+K43</f>
        <v>459150.53439455159</v>
      </c>
      <c r="M43" s="31">
        <f>'Table 3'!D43</f>
        <v>112853.24</v>
      </c>
      <c r="N43" s="31">
        <f>'Table 3'!I43</f>
        <v>621.74899619271605</v>
      </c>
      <c r="O43" s="31">
        <f>'Table 3'!M43</f>
        <v>3887.5101743380073</v>
      </c>
      <c r="P43" s="31">
        <f t="shared" ref="P43" si="18">N43+O43</f>
        <v>4509.2591705307232</v>
      </c>
      <c r="Q43" s="31">
        <f>+P43+M43</f>
        <v>117362.49917053073</v>
      </c>
      <c r="S43" s="8"/>
      <c r="T43" s="8"/>
      <c r="U43" s="55"/>
    </row>
    <row r="44" spans="1:21" ht="15.75" customHeight="1">
      <c r="B44" s="4" t="s">
        <v>35</v>
      </c>
      <c r="D44" s="32">
        <f t="shared" ref="D44:J44" si="19">SUM(D41:D43)</f>
        <v>16909.583333333332</v>
      </c>
      <c r="E44" s="32">
        <f t="shared" si="19"/>
        <v>54.74847222219303</v>
      </c>
      <c r="F44" s="32">
        <f t="shared" si="19"/>
        <v>16964.331805555525</v>
      </c>
      <c r="G44" s="32">
        <f t="shared" si="19"/>
        <v>526884162</v>
      </c>
      <c r="H44" s="32">
        <f t="shared" si="19"/>
        <v>-1490650.3654343311</v>
      </c>
      <c r="I44" s="32">
        <f t="shared" si="19"/>
        <v>96688.660567232946</v>
      </c>
      <c r="J44" s="32">
        <f t="shared" si="19"/>
        <v>-7719602.4045018842</v>
      </c>
      <c r="K44" s="32">
        <f>H44+I44+J44</f>
        <v>-9113564.1093689818</v>
      </c>
      <c r="L44" s="92">
        <f t="shared" ref="L44:Q44" si="20">SUM(L41:L43)</f>
        <v>517770597.89063108</v>
      </c>
      <c r="M44" s="32">
        <f t="shared" si="20"/>
        <v>45532864.520000003</v>
      </c>
      <c r="N44" s="32">
        <f t="shared" si="20"/>
        <v>-1970646.3480435128</v>
      </c>
      <c r="O44" s="32">
        <f t="shared" si="20"/>
        <v>2462935.303634366</v>
      </c>
      <c r="P44" s="32">
        <f t="shared" si="20"/>
        <v>492288.95559085265</v>
      </c>
      <c r="Q44" s="32">
        <f t="shared" si="20"/>
        <v>46025153.475590855</v>
      </c>
      <c r="U44" s="55"/>
    </row>
    <row r="45" spans="1:21" ht="15.75" customHeight="1">
      <c r="D45" s="32"/>
      <c r="E45" s="32"/>
      <c r="F45" s="32"/>
      <c r="G45" s="9"/>
      <c r="H45" s="9"/>
      <c r="I45" s="9"/>
      <c r="J45" s="9"/>
      <c r="K45" s="9"/>
      <c r="L45" s="48" t="s">
        <v>31</v>
      </c>
      <c r="M45" s="29"/>
      <c r="N45" s="29"/>
      <c r="O45" s="29"/>
      <c r="P45" s="29"/>
      <c r="Q45" s="8"/>
      <c r="S45" s="8"/>
      <c r="T45" s="8"/>
      <c r="U45" s="55"/>
    </row>
    <row r="46" spans="1:21" ht="15.75" customHeight="1">
      <c r="B46" s="915" t="s">
        <v>53</v>
      </c>
      <c r="D46" s="93">
        <f>SUMIF('305 Inputs'!$A$7:$A$44,"=36",'305 Inputs'!$J$7:$J$44)</f>
        <v>923.8333333333336</v>
      </c>
      <c r="E46" s="93">
        <f>F46-D46</f>
        <v>-2.2444444444441842</v>
      </c>
      <c r="F46" s="93">
        <f>'Rate Design Work'!C647/12</f>
        <v>921.58888888888941</v>
      </c>
      <c r="G46" s="93">
        <f>SUMIF('305 Inputs'!$A$7:$A$44,"=36",'305 Inputs'!$H$7:$H$44)</f>
        <v>805622774</v>
      </c>
      <c r="H46" s="93">
        <f>'Normalized Monthly kWh'!AC18</f>
        <v>-2278044.4690362429</v>
      </c>
      <c r="I46" s="93">
        <f>'305 VS COGNOS kWh'!E22+'305 VS COGNOS kWh'!K22+'305 VS COGNOS kWh'!E27+'305 VS COGNOS kWh'!K27</f>
        <v>-279120</v>
      </c>
      <c r="J46" s="93">
        <f>Temperature!B110*1000</f>
        <v>-11208640.824237088</v>
      </c>
      <c r="K46" s="93">
        <f>H46+I46+J46</f>
        <v>-13765805.29327333</v>
      </c>
      <c r="L46" s="94">
        <f>G46+K46</f>
        <v>791856968.70672667</v>
      </c>
      <c r="M46" s="31">
        <f>'Table 3'!D46</f>
        <v>58097833.770000003</v>
      </c>
      <c r="N46" s="31">
        <f>'Table 3'!I46</f>
        <v>-2442020.6861532568</v>
      </c>
      <c r="O46" s="31">
        <f>'Table 3'!M46</f>
        <v>3014170.8487500623</v>
      </c>
      <c r="P46" s="31">
        <f t="shared" ref="P46" si="21">N46+O46</f>
        <v>572150.16259680549</v>
      </c>
      <c r="Q46" s="31">
        <f>+P46+M46</f>
        <v>58669983.93259681</v>
      </c>
      <c r="S46" s="8"/>
      <c r="T46" s="8"/>
      <c r="U46" s="55"/>
    </row>
    <row r="47" spans="1:21" ht="15.75" customHeight="1">
      <c r="B47" s="4" t="s">
        <v>35</v>
      </c>
      <c r="D47" s="32">
        <f t="shared" ref="D47:I47" si="22">SUM(D46:D46)</f>
        <v>923.8333333333336</v>
      </c>
      <c r="E47" s="32">
        <f t="shared" si="22"/>
        <v>-2.2444444444441842</v>
      </c>
      <c r="F47" s="32">
        <f t="shared" si="22"/>
        <v>921.58888888888941</v>
      </c>
      <c r="G47" s="32">
        <f t="shared" si="22"/>
        <v>805622774</v>
      </c>
      <c r="H47" s="32">
        <f t="shared" si="22"/>
        <v>-2278044.4690362429</v>
      </c>
      <c r="I47" s="32">
        <f t="shared" si="22"/>
        <v>-279120</v>
      </c>
      <c r="J47" s="32">
        <f t="shared" ref="J47:Q47" si="23">SUM(J46:J46)</f>
        <v>-11208640.824237088</v>
      </c>
      <c r="K47" s="32">
        <f t="shared" si="23"/>
        <v>-13765805.29327333</v>
      </c>
      <c r="L47" s="92">
        <f t="shared" si="23"/>
        <v>791856968.70672667</v>
      </c>
      <c r="M47" s="29">
        <f t="shared" si="23"/>
        <v>58097833.770000003</v>
      </c>
      <c r="N47" s="29">
        <f t="shared" si="23"/>
        <v>-2442020.6861532568</v>
      </c>
      <c r="O47" s="29">
        <f t="shared" si="23"/>
        <v>3014170.8487500623</v>
      </c>
      <c r="P47" s="29">
        <f t="shared" si="23"/>
        <v>572150.16259680549</v>
      </c>
      <c r="Q47" s="29">
        <f t="shared" si="23"/>
        <v>58669983.93259681</v>
      </c>
      <c r="S47" s="8"/>
      <c r="T47" s="8"/>
      <c r="U47" s="55"/>
    </row>
    <row r="48" spans="1:21" ht="15.75" customHeight="1">
      <c r="D48" s="32"/>
      <c r="E48" s="32"/>
      <c r="F48" s="32"/>
      <c r="G48" s="9"/>
      <c r="H48" s="9"/>
      <c r="I48" s="9"/>
      <c r="J48" s="9" t="s">
        <v>31</v>
      </c>
      <c r="K48" s="9" t="s">
        <v>31</v>
      </c>
      <c r="L48" s="48" t="s">
        <v>31</v>
      </c>
      <c r="M48" s="29" t="s">
        <v>31</v>
      </c>
      <c r="N48" s="29" t="s">
        <v>31</v>
      </c>
      <c r="O48" s="29" t="s">
        <v>31</v>
      </c>
      <c r="P48" s="29"/>
      <c r="Q48" s="29" t="s">
        <v>31</v>
      </c>
      <c r="S48" s="8"/>
      <c r="T48" s="8"/>
      <c r="U48" s="55"/>
    </row>
    <row r="49" spans="2:21" ht="15.75" customHeight="1">
      <c r="B49" s="915" t="s">
        <v>54</v>
      </c>
      <c r="C49" s="11"/>
      <c r="D49" s="93">
        <f>SUMIF('305 Inputs'!$A$7:$A$44,"=48t",'305 Inputs'!$J$7:$J$44)</f>
        <v>31.3333333333333</v>
      </c>
      <c r="E49" s="93">
        <f>F49-D49</f>
        <v>-0.52777777777780344</v>
      </c>
      <c r="F49" s="93">
        <f>'Rate Design Work'!C1056/12</f>
        <v>30.805555555555497</v>
      </c>
      <c r="G49" s="93">
        <f>SUMIF('305 Inputs'!$A$7:$A$44,"=48t",'305 Inputs'!$H$7:$H$44)</f>
        <v>173025362</v>
      </c>
      <c r="H49" s="93">
        <f>'Normalized Monthly kWh'!AC19</f>
        <v>-487369.75745244743</v>
      </c>
      <c r="I49" s="93">
        <f>'305 VS COGNOS kWh'!E23+'305 VS COGNOS kWh'!K23</f>
        <v>-728400</v>
      </c>
      <c r="J49" s="93">
        <f>(Temperature!B127+Temperature!F127)*1000</f>
        <v>-2497544.1717604715</v>
      </c>
      <c r="K49" s="93">
        <f>H49+I49+J49</f>
        <v>-3713313.929212919</v>
      </c>
      <c r="L49" s="94">
        <f>G49+K49</f>
        <v>169312048.07078707</v>
      </c>
      <c r="M49" s="31">
        <f>'Table 3'!D49</f>
        <v>11404602.67</v>
      </c>
      <c r="N49" s="31">
        <f>'Table 3'!I49</f>
        <v>-520389.36568257096</v>
      </c>
      <c r="O49" s="31">
        <f>'Table 3'!M49</f>
        <v>590244.64373454079</v>
      </c>
      <c r="P49" s="31">
        <f t="shared" ref="P49" si="24">N49+O49</f>
        <v>69855.278051969828</v>
      </c>
      <c r="Q49" s="31">
        <f>+P49+M49</f>
        <v>11474457.94805197</v>
      </c>
      <c r="U49" s="55"/>
    </row>
    <row r="50" spans="2:21" ht="15.75" customHeight="1">
      <c r="B50" s="4" t="s">
        <v>35</v>
      </c>
      <c r="D50" s="32">
        <f t="shared" ref="D50:I50" si="25">SUM(D49)</f>
        <v>31.3333333333333</v>
      </c>
      <c r="E50" s="32">
        <f t="shared" si="25"/>
        <v>-0.52777777777780344</v>
      </c>
      <c r="F50" s="32">
        <f t="shared" si="25"/>
        <v>30.805555555555497</v>
      </c>
      <c r="G50" s="32">
        <f t="shared" si="25"/>
        <v>173025362</v>
      </c>
      <c r="H50" s="32">
        <f t="shared" si="25"/>
        <v>-487369.75745244743</v>
      </c>
      <c r="I50" s="32">
        <f t="shared" si="25"/>
        <v>-728400</v>
      </c>
      <c r="J50" s="32">
        <f t="shared" ref="J50:Q50" si="26">SUM(J49)</f>
        <v>-2497544.1717604715</v>
      </c>
      <c r="K50" s="32">
        <f t="shared" si="26"/>
        <v>-3713313.929212919</v>
      </c>
      <c r="L50" s="92">
        <f>SUM(L49)</f>
        <v>169312048.07078707</v>
      </c>
      <c r="M50" s="29">
        <f>SUM(M49)</f>
        <v>11404602.67</v>
      </c>
      <c r="N50" s="29">
        <f t="shared" si="26"/>
        <v>-520389.36568257096</v>
      </c>
      <c r="O50" s="29">
        <f t="shared" si="26"/>
        <v>590244.64373454079</v>
      </c>
      <c r="P50" s="29">
        <f t="shared" si="26"/>
        <v>69855.278051969828</v>
      </c>
      <c r="Q50" s="29">
        <f t="shared" si="26"/>
        <v>11474457.94805197</v>
      </c>
      <c r="S50" s="8"/>
      <c r="T50" s="8"/>
      <c r="U50" s="55"/>
    </row>
    <row r="51" spans="2:21" ht="15.75" customHeight="1">
      <c r="D51" s="32"/>
      <c r="E51" s="32"/>
      <c r="F51" s="32"/>
      <c r="G51" s="9"/>
      <c r="H51" s="9"/>
      <c r="I51" s="9"/>
      <c r="J51" s="9" t="s">
        <v>31</v>
      </c>
      <c r="K51" s="9" t="s">
        <v>31</v>
      </c>
      <c r="L51" s="48" t="s">
        <v>31</v>
      </c>
      <c r="M51" s="29" t="s">
        <v>31</v>
      </c>
      <c r="N51" s="29" t="s">
        <v>31</v>
      </c>
      <c r="O51" s="29" t="s">
        <v>31</v>
      </c>
      <c r="P51" s="29"/>
      <c r="Q51" s="29" t="s">
        <v>31</v>
      </c>
      <c r="S51" s="8"/>
      <c r="T51" s="8"/>
      <c r="U51" s="55"/>
    </row>
    <row r="52" spans="2:21" ht="15.75" customHeight="1">
      <c r="B52" s="915" t="s">
        <v>55</v>
      </c>
      <c r="D52" s="32">
        <f>SUMIF('305 Inputs'!$A$7:$A$44,"=15n",'305 Inputs'!$J$7:$J$44)</f>
        <v>1327.8333333333339</v>
      </c>
      <c r="E52" s="32">
        <f t="shared" ref="E52:E53" si="27">F52-D52</f>
        <v>6.7499999999993179</v>
      </c>
      <c r="F52" s="32">
        <f>'Rate Design Work'!C62/12</f>
        <v>1334.5833333333333</v>
      </c>
      <c r="G52" s="32">
        <f>SUMIF('305 Inputs'!$A$7:$A$44,"=15n",'305 Inputs'!$H$7:$H$44)</f>
        <v>2130486</v>
      </c>
      <c r="H52" s="32">
        <f>'Normalized Monthly kWh'!AC20</f>
        <v>-6099.8611148977507</v>
      </c>
      <c r="I52" s="32">
        <f>'305 VS COGNOS kWh'!E24+'305 VS COGNOS kWh'!K24</f>
        <v>25962</v>
      </c>
      <c r="J52" s="32">
        <v>0</v>
      </c>
      <c r="K52" s="32">
        <f>H52+I52+J52</f>
        <v>19862.138885102249</v>
      </c>
      <c r="L52" s="92">
        <f>G52+K52</f>
        <v>2150348.1388851022</v>
      </c>
      <c r="M52" s="29">
        <f>'Table 3'!D52</f>
        <v>298998.27</v>
      </c>
      <c r="N52" s="29">
        <f>'Table 3'!I52</f>
        <v>-2964.1674620829322</v>
      </c>
      <c r="O52" s="29">
        <f>'Table 3'!M52</f>
        <v>17.524038293049671</v>
      </c>
      <c r="P52" s="29">
        <f>N52+O52</f>
        <v>-2946.6434237898825</v>
      </c>
      <c r="Q52" s="29">
        <f>+P52+M52</f>
        <v>296051.62657621014</v>
      </c>
      <c r="S52" s="8"/>
      <c r="T52" s="8"/>
      <c r="U52" s="55"/>
    </row>
    <row r="53" spans="2:21" ht="15.75" customHeight="1">
      <c r="B53" s="915" t="s">
        <v>56</v>
      </c>
      <c r="D53" s="93">
        <f>SUMIF('305 Inputs'!$A$7:$A$44,"=54",'305 Inputs'!$J$7:$J$44)</f>
        <v>30.1666666666667</v>
      </c>
      <c r="E53" s="93">
        <f t="shared" si="27"/>
        <v>-0.18888888888895039</v>
      </c>
      <c r="F53" s="93">
        <f>'Rate Design Work'!C1220/12</f>
        <v>29.977777777777749</v>
      </c>
      <c r="G53" s="93">
        <f>SUMIF('305 Inputs'!$A$7:$A$44,"=54",'305 Inputs'!$H$7:$H$44)</f>
        <v>296094</v>
      </c>
      <c r="H53" s="93">
        <f>'Normalized Monthly kWh'!AC21</f>
        <v>-835.54696208078599</v>
      </c>
      <c r="I53" s="93">
        <f>'305 VS COGNOS kWh'!E25+'305 VS COGNOS kWh'!K25</f>
        <v>-708</v>
      </c>
      <c r="J53" s="93">
        <v>0</v>
      </c>
      <c r="K53" s="93">
        <f>H53+I53+J53</f>
        <v>-1543.546962080786</v>
      </c>
      <c r="L53" s="94">
        <f>G53+K53</f>
        <v>294550.45303791919</v>
      </c>
      <c r="M53" s="31">
        <f>'Table 3'!D53</f>
        <v>26869.71</v>
      </c>
      <c r="N53" s="31">
        <f>'Table 3'!I53</f>
        <v>-1080.7270482270571</v>
      </c>
      <c r="O53" s="31">
        <f>'Table 3'!M53</f>
        <v>1.0415399999874353</v>
      </c>
      <c r="P53" s="31">
        <f t="shared" ref="P53" si="28">N53+O53</f>
        <v>-1079.6855082270697</v>
      </c>
      <c r="Q53" s="31">
        <f>+P53+M53</f>
        <v>25790.024491772929</v>
      </c>
      <c r="S53" s="8"/>
      <c r="T53" s="8"/>
      <c r="U53" s="55"/>
    </row>
    <row r="54" spans="2:21" ht="15.75" customHeight="1">
      <c r="B54" s="4" t="s">
        <v>35</v>
      </c>
      <c r="D54" s="32">
        <f t="shared" ref="D54:I54" si="29">SUM(D52:D53)</f>
        <v>1358.0000000000007</v>
      </c>
      <c r="E54" s="32">
        <f t="shared" si="29"/>
        <v>6.5611111111103675</v>
      </c>
      <c r="F54" s="32">
        <f t="shared" si="29"/>
        <v>1364.5611111111109</v>
      </c>
      <c r="G54" s="32">
        <f t="shared" si="29"/>
        <v>2426580</v>
      </c>
      <c r="H54" s="32">
        <f t="shared" si="29"/>
        <v>-6935.4080769785369</v>
      </c>
      <c r="I54" s="32">
        <f t="shared" si="29"/>
        <v>25254</v>
      </c>
      <c r="J54" s="32">
        <f t="shared" ref="J54:Q54" si="30">SUM(J52:J53)</f>
        <v>0</v>
      </c>
      <c r="K54" s="32">
        <f t="shared" si="30"/>
        <v>18318.591923021464</v>
      </c>
      <c r="L54" s="92">
        <f t="shared" si="30"/>
        <v>2444898.5919230212</v>
      </c>
      <c r="M54" s="29">
        <f t="shared" si="30"/>
        <v>325867.98000000004</v>
      </c>
      <c r="N54" s="29">
        <f t="shared" si="30"/>
        <v>-4044.8945103099895</v>
      </c>
      <c r="O54" s="29">
        <f t="shared" si="30"/>
        <v>18.565578293037106</v>
      </c>
      <c r="P54" s="29">
        <f t="shared" si="30"/>
        <v>-4026.3289320169524</v>
      </c>
      <c r="Q54" s="29">
        <f t="shared" si="30"/>
        <v>321841.65106798307</v>
      </c>
      <c r="U54" s="55"/>
    </row>
    <row r="55" spans="2:21" ht="15.75" customHeight="1">
      <c r="D55" s="32"/>
      <c r="E55" s="32"/>
      <c r="F55" s="32" t="s">
        <v>31</v>
      </c>
      <c r="G55" s="9"/>
      <c r="H55" s="9"/>
      <c r="I55" s="9"/>
      <c r="J55" s="9" t="s">
        <v>31</v>
      </c>
      <c r="K55" s="9" t="s">
        <v>31</v>
      </c>
      <c r="L55" s="48" t="s">
        <v>31</v>
      </c>
      <c r="M55" s="29" t="s">
        <v>31</v>
      </c>
      <c r="N55" s="29" t="s">
        <v>31</v>
      </c>
      <c r="O55" s="29" t="s">
        <v>31</v>
      </c>
      <c r="P55" s="29"/>
      <c r="Q55" s="8"/>
      <c r="S55" s="8"/>
      <c r="T55" s="8"/>
      <c r="U55" s="55"/>
    </row>
    <row r="56" spans="2:21" s="11" customFormat="1" ht="15.75" customHeight="1">
      <c r="B56" s="4" t="s">
        <v>34</v>
      </c>
      <c r="D56" s="93">
        <v>0</v>
      </c>
      <c r="E56" s="93"/>
      <c r="F56" s="93"/>
      <c r="G56" s="93">
        <f>SUMIF('305 Inputs'!$A$7:$A$44,"=aga",'305 Inputs'!$H$7:$H$44)</f>
        <v>0</v>
      </c>
      <c r="H56" s="93"/>
      <c r="I56" s="93"/>
      <c r="J56" s="93">
        <v>0</v>
      </c>
      <c r="K56" s="93">
        <f>J56</f>
        <v>0</v>
      </c>
      <c r="L56" s="94">
        <f>G56+K56</f>
        <v>0</v>
      </c>
      <c r="M56" s="31">
        <f>'Table 3'!D56</f>
        <v>415441.25</v>
      </c>
      <c r="N56" s="31">
        <f>'Table 3'!I56</f>
        <v>0</v>
      </c>
      <c r="O56" s="31">
        <f>'Table 3'!M56</f>
        <v>0</v>
      </c>
      <c r="P56" s="31">
        <f t="shared" ref="P56" si="31">N56+O56</f>
        <v>0</v>
      </c>
      <c r="Q56" s="31">
        <f>+P56+M56</f>
        <v>415441.25</v>
      </c>
      <c r="S56" s="12"/>
      <c r="T56" s="12"/>
      <c r="U56" s="16"/>
    </row>
    <row r="57" spans="2:21" s="11" customFormat="1" ht="15.75" customHeight="1">
      <c r="B57" s="4"/>
      <c r="D57" s="93"/>
      <c r="E57" s="93"/>
      <c r="F57" s="93"/>
      <c r="G57" s="32"/>
      <c r="H57" s="32"/>
      <c r="I57" s="32"/>
      <c r="J57" s="93"/>
      <c r="K57" s="93"/>
      <c r="L57" s="94"/>
      <c r="M57" s="31"/>
      <c r="N57" s="31"/>
      <c r="O57" s="31"/>
      <c r="P57" s="31"/>
      <c r="Q57" s="31"/>
      <c r="S57" s="12"/>
      <c r="T57" s="12"/>
      <c r="U57" s="16"/>
    </row>
    <row r="58" spans="2:21" s="11" customFormat="1" ht="15.75" customHeight="1">
      <c r="B58" s="4" t="s">
        <v>672</v>
      </c>
      <c r="D58" s="93">
        <f>SUMIF('305 Inputs'!$A$7:$A$44,"=def",'305 Inputs'!$J$7:$J$44)</f>
        <v>0</v>
      </c>
      <c r="E58" s="93"/>
      <c r="F58" s="93"/>
      <c r="G58" s="93">
        <f>SUMIF('305 Inputs'!$A$7:$A$44,"=def",'305 Inputs'!$H$7:$H$44)</f>
        <v>0</v>
      </c>
      <c r="H58" s="93"/>
      <c r="I58" s="93"/>
      <c r="J58" s="93">
        <v>0</v>
      </c>
      <c r="K58" s="93">
        <f>J58</f>
        <v>0</v>
      </c>
      <c r="L58" s="94">
        <v>0</v>
      </c>
      <c r="M58" s="31">
        <f>'Table 3'!D58</f>
        <v>-1020000</v>
      </c>
      <c r="N58" s="31">
        <f>'Table 3'!I58</f>
        <v>1020000</v>
      </c>
      <c r="O58" s="31">
        <f>'Table 3'!M58</f>
        <v>0</v>
      </c>
      <c r="P58" s="31">
        <f t="shared" ref="P58:P66" si="32">N58+O58</f>
        <v>1020000</v>
      </c>
      <c r="Q58" s="31">
        <f t="shared" ref="Q58:Q64" si="33">+P58+M58</f>
        <v>0</v>
      </c>
      <c r="S58" s="12"/>
      <c r="T58" s="12"/>
      <c r="U58" s="16"/>
    </row>
    <row r="59" spans="2:21" ht="15.75" customHeight="1">
      <c r="B59" s="4" t="s">
        <v>750</v>
      </c>
      <c r="D59" s="93">
        <f>SUMIF('305 Inputs'!$A$7:$A$44,"=rev",'305 Inputs'!$J$7:$J$44)</f>
        <v>0</v>
      </c>
      <c r="E59" s="93"/>
      <c r="F59" s="93"/>
      <c r="G59" s="93">
        <f>SUMIF('305 Inputs'!$A$7:$A$44,"=rep",'305 Inputs'!$H$7:$H$44)</f>
        <v>0</v>
      </c>
      <c r="H59" s="93"/>
      <c r="I59" s="93"/>
      <c r="J59" s="93">
        <v>0</v>
      </c>
      <c r="K59" s="93">
        <f t="shared" ref="K59:K64" si="34">J59</f>
        <v>0</v>
      </c>
      <c r="L59" s="94">
        <v>0</v>
      </c>
      <c r="M59" s="29">
        <f>'Table 3'!D59</f>
        <v>-4316156.59</v>
      </c>
      <c r="N59" s="663">
        <f>'Table 3'!I59</f>
        <v>4316156.59</v>
      </c>
      <c r="O59" s="31">
        <f>'Table 3'!M59</f>
        <v>0</v>
      </c>
      <c r="P59" s="31">
        <f t="shared" si="32"/>
        <v>4316156.59</v>
      </c>
      <c r="Q59" s="31">
        <f t="shared" si="33"/>
        <v>0</v>
      </c>
      <c r="S59" s="8"/>
      <c r="T59" s="8"/>
      <c r="U59" s="55"/>
    </row>
    <row r="60" spans="2:21" s="11" customFormat="1" ht="15.75" customHeight="1">
      <c r="B60" s="4" t="s">
        <v>239</v>
      </c>
      <c r="D60" s="93">
        <v>0</v>
      </c>
      <c r="E60" s="93"/>
      <c r="F60" s="93"/>
      <c r="G60" s="93">
        <f>SUMIF('305 Inputs'!$A$7:$A$44,"=acq",'305 Inputs'!$H$7:$H$44)</f>
        <v>0</v>
      </c>
      <c r="H60" s="93"/>
      <c r="I60" s="93"/>
      <c r="J60" s="93">
        <v>0</v>
      </c>
      <c r="K60" s="93">
        <f t="shared" si="34"/>
        <v>0</v>
      </c>
      <c r="L60" s="94">
        <f>G60+K60</f>
        <v>0</v>
      </c>
      <c r="M60" s="31">
        <f>'Table 3'!D60</f>
        <v>0</v>
      </c>
      <c r="N60" s="31">
        <f>'Table 3'!I60</f>
        <v>0</v>
      </c>
      <c r="O60" s="31">
        <f>'Table 3'!M60</f>
        <v>0</v>
      </c>
      <c r="P60" s="31">
        <f t="shared" si="32"/>
        <v>0</v>
      </c>
      <c r="Q60" s="31">
        <f t="shared" si="33"/>
        <v>0</v>
      </c>
      <c r="S60" s="12"/>
      <c r="T60" s="12"/>
      <c r="U60" s="16"/>
    </row>
    <row r="61" spans="2:21" s="11" customFormat="1" ht="15.75" customHeight="1">
      <c r="B61" s="4" t="s">
        <v>757</v>
      </c>
      <c r="D61" s="93">
        <v>0</v>
      </c>
      <c r="E61" s="93"/>
      <c r="F61" s="93"/>
      <c r="G61" s="93">
        <f>SUMIF('305 Inputs'!$A$7:$A$44,"=cent",'305 Inputs'!$H$7:$H$44)</f>
        <v>0</v>
      </c>
      <c r="H61" s="93"/>
      <c r="I61" s="93"/>
      <c r="J61" s="93">
        <v>0</v>
      </c>
      <c r="K61" s="93">
        <f t="shared" si="34"/>
        <v>0</v>
      </c>
      <c r="L61" s="94">
        <f>G61+K61</f>
        <v>0</v>
      </c>
      <c r="M61" s="31">
        <f>'Table 3'!D61</f>
        <v>3876602.16</v>
      </c>
      <c r="N61" s="31">
        <f>'Table 3'!I61</f>
        <v>-3876602.16</v>
      </c>
      <c r="O61" s="31">
        <f>'Table 3'!M61</f>
        <v>0</v>
      </c>
      <c r="P61" s="31">
        <f t="shared" si="32"/>
        <v>-3876602.16</v>
      </c>
      <c r="Q61" s="31">
        <f t="shared" si="33"/>
        <v>0</v>
      </c>
      <c r="S61" s="12"/>
      <c r="T61" s="12"/>
      <c r="U61" s="16"/>
    </row>
    <row r="62" spans="2:21" s="11" customFormat="1" ht="15.75" customHeight="1">
      <c r="B62" s="4" t="s">
        <v>758</v>
      </c>
      <c r="D62" s="93">
        <v>0</v>
      </c>
      <c r="E62" s="93"/>
      <c r="F62" s="93"/>
      <c r="G62" s="93">
        <f>SUMIF('305 Inputs'!$A$7:$A$44,"=merger",'305 Inputs'!$H$7:$H$44)</f>
        <v>0</v>
      </c>
      <c r="H62" s="93"/>
      <c r="I62" s="93"/>
      <c r="J62" s="93">
        <v>0</v>
      </c>
      <c r="K62" s="93">
        <f t="shared" si="34"/>
        <v>0</v>
      </c>
      <c r="L62" s="94">
        <v>0</v>
      </c>
      <c r="M62" s="31">
        <f>'Table 3'!D62</f>
        <v>11667.31</v>
      </c>
      <c r="N62" s="31">
        <f>'Table 3'!I62</f>
        <v>-11667.31</v>
      </c>
      <c r="O62" s="31">
        <f>'Table 3'!M62</f>
        <v>0</v>
      </c>
      <c r="P62" s="31">
        <f t="shared" si="32"/>
        <v>-11667.31</v>
      </c>
      <c r="Q62" s="31">
        <f t="shared" si="33"/>
        <v>0</v>
      </c>
      <c r="S62" s="12"/>
      <c r="T62" s="12"/>
      <c r="U62" s="16"/>
    </row>
    <row r="63" spans="2:21" s="11" customFormat="1" ht="15.75" customHeight="1">
      <c r="B63" s="4" t="s">
        <v>95</v>
      </c>
      <c r="D63" s="93">
        <v>0</v>
      </c>
      <c r="E63" s="93"/>
      <c r="F63" s="93"/>
      <c r="G63" s="93">
        <f>SUMIF('305 Inputs'!$A$7:$A$44,"=bpa",'305 Inputs'!$H$7:$H$44)</f>
        <v>0</v>
      </c>
      <c r="H63" s="93"/>
      <c r="I63" s="93"/>
      <c r="J63" s="93">
        <v>0</v>
      </c>
      <c r="K63" s="93">
        <f t="shared" si="34"/>
        <v>0</v>
      </c>
      <c r="L63" s="94">
        <f>G63+K63</f>
        <v>0</v>
      </c>
      <c r="M63" s="31">
        <f>'Table 3'!D63</f>
        <v>63027.97</v>
      </c>
      <c r="N63" s="31">
        <f>'Table 3'!I63</f>
        <v>-63027.97</v>
      </c>
      <c r="O63" s="31">
        <f>'Table 3'!M63</f>
        <v>0</v>
      </c>
      <c r="P63" s="31">
        <f t="shared" si="32"/>
        <v>-63027.97</v>
      </c>
      <c r="Q63" s="31">
        <f t="shared" si="33"/>
        <v>0</v>
      </c>
      <c r="S63" s="12"/>
      <c r="T63" s="12"/>
      <c r="U63" s="16"/>
    </row>
    <row r="64" spans="2:21" s="11" customFormat="1" ht="15.75" customHeight="1">
      <c r="B64" s="4" t="s">
        <v>690</v>
      </c>
      <c r="D64" s="93">
        <v>0</v>
      </c>
      <c r="E64" s="93"/>
      <c r="F64" s="93"/>
      <c r="G64" s="93">
        <f>SUMIF('305 Inputs'!$A$7:$A$44,"=smud",'305 Inputs'!$H$7:$H$44)</f>
        <v>0</v>
      </c>
      <c r="H64" s="93"/>
      <c r="I64" s="93"/>
      <c r="J64" s="93">
        <v>0</v>
      </c>
      <c r="K64" s="93">
        <f t="shared" si="34"/>
        <v>0</v>
      </c>
      <c r="L64" s="94">
        <f>G64+K64</f>
        <v>0</v>
      </c>
      <c r="M64" s="31">
        <f>'Table 3'!D64</f>
        <v>115878.41</v>
      </c>
      <c r="N64" s="31">
        <f>'Table 3'!I64</f>
        <v>-115878.41</v>
      </c>
      <c r="O64" s="31">
        <f>'Table 3'!M64</f>
        <v>0</v>
      </c>
      <c r="P64" s="31">
        <f t="shared" si="32"/>
        <v>-115878.41</v>
      </c>
      <c r="Q64" s="31">
        <f t="shared" si="33"/>
        <v>0</v>
      </c>
      <c r="S64" s="12"/>
      <c r="T64" s="12"/>
      <c r="U64" s="16"/>
    </row>
    <row r="65" spans="1:21" ht="15.75" customHeight="1">
      <c r="B65" s="11"/>
      <c r="D65" s="32"/>
      <c r="E65" s="32"/>
      <c r="F65" s="32"/>
      <c r="G65" s="32"/>
      <c r="H65" s="32"/>
      <c r="I65" s="32"/>
      <c r="J65" s="9"/>
      <c r="K65" s="9"/>
      <c r="L65" s="48"/>
      <c r="M65" s="29"/>
      <c r="N65" s="663"/>
      <c r="O65" s="29"/>
      <c r="P65" s="29"/>
      <c r="Q65" s="29"/>
      <c r="S65" s="8"/>
      <c r="T65" s="8"/>
      <c r="U65" s="55"/>
    </row>
    <row r="66" spans="1:21" s="11" customFormat="1" ht="15.75" customHeight="1">
      <c r="B66" s="4" t="s">
        <v>80</v>
      </c>
      <c r="D66" s="93">
        <v>0</v>
      </c>
      <c r="E66" s="93"/>
      <c r="F66" s="93"/>
      <c r="G66" s="93">
        <f>SUMIF('305 Inputs'!$A$7:$A$44,"=unbilled",'305 Inputs'!$H$7:$H$44)</f>
        <v>-4263000</v>
      </c>
      <c r="H66" s="93">
        <f>-G66</f>
        <v>4263000</v>
      </c>
      <c r="I66" s="93"/>
      <c r="J66" s="93">
        <v>0</v>
      </c>
      <c r="K66" s="93">
        <f>H66+I66+J66</f>
        <v>4263000</v>
      </c>
      <c r="L66" s="94">
        <f>G66+K66</f>
        <v>0</v>
      </c>
      <c r="M66" s="31">
        <f>'Table 3'!D66</f>
        <v>-277000</v>
      </c>
      <c r="N66" s="31">
        <f>'Table 3'!I66</f>
        <v>277000</v>
      </c>
      <c r="O66" s="31">
        <f>'Table 3'!M66</f>
        <v>0</v>
      </c>
      <c r="P66" s="31">
        <f t="shared" si="32"/>
        <v>277000</v>
      </c>
      <c r="Q66" s="31">
        <f>+P66+M66</f>
        <v>0</v>
      </c>
      <c r="S66" s="12"/>
      <c r="T66" s="12"/>
      <c r="U66" s="16"/>
    </row>
    <row r="67" spans="1:21" ht="15.75" customHeight="1">
      <c r="B67" s="11"/>
      <c r="D67" s="32"/>
      <c r="E67" s="32"/>
      <c r="F67" s="32"/>
      <c r="G67" s="98"/>
      <c r="H67" s="9"/>
      <c r="I67" s="9"/>
      <c r="J67" s="9"/>
      <c r="K67" s="9"/>
      <c r="L67" s="99"/>
      <c r="M67" s="29"/>
      <c r="N67" s="663"/>
      <c r="O67" s="663"/>
      <c r="P67" s="663"/>
      <c r="Q67" s="8"/>
      <c r="S67" s="8"/>
      <c r="T67" s="8"/>
      <c r="U67" s="55"/>
    </row>
    <row r="68" spans="1:21" ht="15.75" customHeight="1">
      <c r="B68" s="33" t="s">
        <v>9</v>
      </c>
      <c r="C68" s="34"/>
      <c r="D68" s="97">
        <f>+D44+D47+D50+SUM(D56:D66)+D54</f>
        <v>19222.749999999996</v>
      </c>
      <c r="E68" s="97">
        <f>+E44+E47+E50+SUM(E56:E66)+E54</f>
        <v>58.53736111108141</v>
      </c>
      <c r="F68" s="97">
        <f>+F44+F47+F50+SUM(F56:F66)+F54</f>
        <v>19281.287361111081</v>
      </c>
      <c r="G68" s="97">
        <f>+G44+G47+G50+G54+SUM(G56:G66)</f>
        <v>1503695878</v>
      </c>
      <c r="H68" s="97">
        <f>+H44+H47+H50+H54+SUM(H56:H66)</f>
        <v>0</v>
      </c>
      <c r="I68" s="97">
        <f>+I44+I47+I50+I54+SUM(I56:I66)</f>
        <v>-885577.33943276713</v>
      </c>
      <c r="J68" s="97">
        <f>+J44+J47+J50+SUM(J56:J66)+J54</f>
        <v>-21425787.400499441</v>
      </c>
      <c r="K68" s="97">
        <f>+K44+K47+K50+SUM(K56:K66)+K54</f>
        <v>-22311364.739932209</v>
      </c>
      <c r="L68" s="97">
        <f>+L44+L47+L50+SUM(L56:L66)+L54</f>
        <v>1481384513.2600677</v>
      </c>
      <c r="M68" s="37">
        <f>+M44+M47+M50+M54+M56+SUM(M58:M66)</f>
        <v>114230629.45000002</v>
      </c>
      <c r="N68" s="37">
        <f>+N44+N47+N50+N54+N56+SUM(N58:N66)</f>
        <v>-3391120.5543896514</v>
      </c>
      <c r="O68" s="37">
        <f>+O44+O47+O50+O54+O56+SUM(O58:O66)</f>
        <v>6067369.3616972622</v>
      </c>
      <c r="P68" s="37">
        <f>+P44+P47+P50+P54+P56+SUM(P58:P66)</f>
        <v>2676248.8073076108</v>
      </c>
      <c r="Q68" s="37">
        <f>+Q44+Q47+Q50+Q54+Q56+Q60+Q61+Q62+Q63+Q66+Q64</f>
        <v>116906878.25730762</v>
      </c>
      <c r="S68" s="8"/>
      <c r="T68" s="8"/>
      <c r="U68" s="55"/>
    </row>
    <row r="69" spans="1:21" ht="15.75" customHeight="1">
      <c r="D69" s="32"/>
      <c r="E69" s="32"/>
      <c r="F69" s="32"/>
      <c r="G69" s="100"/>
      <c r="H69" s="32"/>
      <c r="I69" s="32"/>
      <c r="J69" s="32"/>
      <c r="K69" s="32"/>
      <c r="L69" s="92"/>
      <c r="M69" s="29"/>
      <c r="N69" s="29"/>
      <c r="O69" s="29"/>
      <c r="P69" s="29"/>
      <c r="Q69" s="663" t="s">
        <v>31</v>
      </c>
      <c r="U69" s="55"/>
    </row>
    <row r="70" spans="1:21" ht="15.75" customHeight="1">
      <c r="A70" s="5" t="s">
        <v>30</v>
      </c>
      <c r="B70" s="5"/>
      <c r="D70" s="32"/>
      <c r="E70" s="32"/>
      <c r="F70" s="32"/>
      <c r="G70" s="9"/>
      <c r="H70" s="9"/>
      <c r="I70" s="9"/>
      <c r="J70" s="9"/>
      <c r="K70" s="9"/>
      <c r="L70" s="48"/>
      <c r="M70" s="29"/>
      <c r="N70" s="29"/>
      <c r="O70" s="29"/>
      <c r="P70" s="29"/>
      <c r="Q70" s="8" t="s">
        <v>31</v>
      </c>
      <c r="S70" s="8"/>
      <c r="T70" s="8"/>
      <c r="U70" s="55"/>
    </row>
    <row r="71" spans="1:21" ht="15.75" customHeight="1">
      <c r="B71" s="915" t="s">
        <v>51</v>
      </c>
      <c r="D71" s="32">
        <f>SUMIF('305 Inputs'!$A$51:$A$71,"=24",'305 Inputs'!$J$51:$J$71)</f>
        <v>439.83333333333371</v>
      </c>
      <c r="E71" s="32">
        <f t="shared" ref="E71:E73" si="35">F71-D71</f>
        <v>-34.750000000000909</v>
      </c>
      <c r="F71" s="32">
        <f>'Rate Design Work'!C319/12</f>
        <v>405.0833333333328</v>
      </c>
      <c r="G71" s="32">
        <f ca="1">SUMIF('305 Inputs'!$A$51:$A$71,"=24",'305 Inputs'!$H$51:$H$70)</f>
        <v>19296979</v>
      </c>
      <c r="H71" s="32">
        <f ca="1">'Normalized Monthly kWh'!AC24</f>
        <v>-299510.970415727</v>
      </c>
      <c r="I71" s="32">
        <f>'305 VS COGNOS kWh'!E32+'305 VS COGNOS kWh'!K32</f>
        <v>-598042</v>
      </c>
      <c r="J71" s="32">
        <v>0</v>
      </c>
      <c r="K71" s="32">
        <f ca="1">H71+I71+J71</f>
        <v>-897552.970415727</v>
      </c>
      <c r="L71" s="92">
        <f ca="1">G71+K71</f>
        <v>18399426.029584274</v>
      </c>
      <c r="M71" s="29">
        <f>'Table 3'!D71</f>
        <v>1666288.09</v>
      </c>
      <c r="N71" s="29">
        <f ca="1">'Table 3'!I71</f>
        <v>-135553.57427024495</v>
      </c>
      <c r="O71" s="29">
        <f>'Table 3'!M71</f>
        <v>88092.134106666083</v>
      </c>
      <c r="P71" s="29">
        <f ca="1">N71+O71</f>
        <v>-47461.440163578867</v>
      </c>
      <c r="Q71" s="29">
        <f ca="1">+P71+M71</f>
        <v>1618826.6498364212</v>
      </c>
      <c r="S71" s="8"/>
      <c r="T71" s="8"/>
      <c r="U71" s="55"/>
    </row>
    <row r="72" spans="1:21" s="11" customFormat="1" ht="15.75" customHeight="1">
      <c r="B72" s="915" t="s">
        <v>52</v>
      </c>
      <c r="D72" s="32">
        <f>SUMIF('305 Inputs'!$A$51:$A$71,"=24f",'305 Inputs'!$J$51:$J$71)</f>
        <v>4</v>
      </c>
      <c r="E72" s="32">
        <f t="shared" si="35"/>
        <v>0</v>
      </c>
      <c r="F72" s="32">
        <f>'Rate Design Work'!C424/12</f>
        <v>4</v>
      </c>
      <c r="G72" s="32">
        <f ca="1">SUMIF('305 Inputs'!$A$51:$A$71,"=24f",'305 Inputs'!$H$51:$H$70)</f>
        <v>33313</v>
      </c>
      <c r="H72" s="32">
        <f ca="1">'Normalized Monthly kWh'!AC25</f>
        <v>-533.59230834667824</v>
      </c>
      <c r="I72" s="32">
        <f>'305 VS COGNOS kWh'!E33+'305 VS COGNOS kWh'!K33</f>
        <v>0</v>
      </c>
      <c r="J72" s="32">
        <v>0</v>
      </c>
      <c r="K72" s="32">
        <f ca="1">H72+I72+J72</f>
        <v>-533.59230834667824</v>
      </c>
      <c r="L72" s="92">
        <f ca="1">G72+K72</f>
        <v>32779.407691653323</v>
      </c>
      <c r="M72" s="29">
        <f>'Table 3'!D72</f>
        <v>7853.95</v>
      </c>
      <c r="N72" s="29">
        <f ca="1">'Table 3'!I72</f>
        <v>-219.00067922328657</v>
      </c>
      <c r="O72" s="29">
        <f>'Table 3'!M72</f>
        <v>197.80641999999989</v>
      </c>
      <c r="P72" s="29">
        <f ca="1">N72+O72</f>
        <v>-21.194259223286679</v>
      </c>
      <c r="Q72" s="29">
        <f ca="1">+P72+M72</f>
        <v>7832.7557407767135</v>
      </c>
      <c r="S72" s="12"/>
      <c r="T72" s="12"/>
      <c r="U72" s="16"/>
    </row>
    <row r="73" spans="1:21" ht="15.75" customHeight="1">
      <c r="B73" s="915" t="s">
        <v>57</v>
      </c>
      <c r="C73" s="11"/>
      <c r="D73" s="93">
        <f>SUMIF('305 Inputs'!$A$51:$A$71,"=24fp",'305 Inputs'!$J$51:$J$71)</f>
        <v>1</v>
      </c>
      <c r="E73" s="93">
        <f t="shared" si="35"/>
        <v>-6.8611111111108403E-2</v>
      </c>
      <c r="F73" s="93">
        <f>'Rate Design Work'!C530/12</f>
        <v>0.9313888888888916</v>
      </c>
      <c r="G73" s="93">
        <f ca="1">SUMIF('305 Inputs'!$A$51:$A$71,"=24fp",'305 Inputs'!H$51:H$70)</f>
        <v>9552</v>
      </c>
      <c r="H73" s="93">
        <f ca="1">'Normalized Monthly kWh'!AC26</f>
        <v>-152.99954160020027</v>
      </c>
      <c r="I73" s="93">
        <f>'305 VS COGNOS kWh'!E34+'305 VS COGNOS kWh'!K34</f>
        <v>0</v>
      </c>
      <c r="J73" s="93">
        <v>0</v>
      </c>
      <c r="K73" s="93">
        <f ca="1">H73+I73+J73</f>
        <v>-152.99954160020027</v>
      </c>
      <c r="L73" s="94">
        <f ca="1">G73+K73</f>
        <v>9399.0004583997998</v>
      </c>
      <c r="M73" s="31">
        <f>'Table 3'!D73</f>
        <v>2802.5600000000004</v>
      </c>
      <c r="N73" s="31">
        <f ca="1">'Table 3'!I73</f>
        <v>-51.332410189487078</v>
      </c>
      <c r="O73" s="31">
        <f>'Table 3'!M73</f>
        <v>113.42547999999988</v>
      </c>
      <c r="P73" s="31">
        <f t="shared" ref="P73" ca="1" si="36">N73+O73</f>
        <v>62.093069810512802</v>
      </c>
      <c r="Q73" s="31">
        <f ca="1">+P73+M73</f>
        <v>2864.653069810513</v>
      </c>
      <c r="S73" s="8"/>
      <c r="T73" s="8"/>
      <c r="U73" s="55"/>
    </row>
    <row r="74" spans="1:21" ht="15.75" customHeight="1">
      <c r="B74" s="4" t="s">
        <v>35</v>
      </c>
      <c r="D74" s="32">
        <f t="shared" ref="D74:I74" si="37">SUM(D71:D73)</f>
        <v>444.83333333333371</v>
      </c>
      <c r="E74" s="32">
        <f t="shared" si="37"/>
        <v>-34.81861111111202</v>
      </c>
      <c r="F74" s="32">
        <f t="shared" si="37"/>
        <v>410.01472222222168</v>
      </c>
      <c r="G74" s="32">
        <f t="shared" ca="1" si="37"/>
        <v>19339844</v>
      </c>
      <c r="H74" s="32">
        <f t="shared" ca="1" si="37"/>
        <v>-300197.56226567389</v>
      </c>
      <c r="I74" s="32">
        <f t="shared" si="37"/>
        <v>-598042</v>
      </c>
      <c r="J74" s="32">
        <f t="shared" ref="J74:Q74" si="38">SUM(J71:J73)</f>
        <v>0</v>
      </c>
      <c r="K74" s="32">
        <f ca="1">H74+I74+J74</f>
        <v>-898239.56226567389</v>
      </c>
      <c r="L74" s="92">
        <f ca="1">SUM(L71:L73)</f>
        <v>18441604.437734328</v>
      </c>
      <c r="M74" s="29">
        <f t="shared" si="38"/>
        <v>1676944.6</v>
      </c>
      <c r="N74" s="29">
        <f t="shared" ca="1" si="38"/>
        <v>-135823.90735965772</v>
      </c>
      <c r="O74" s="29">
        <f t="shared" si="38"/>
        <v>88403.366006666081</v>
      </c>
      <c r="P74" s="29">
        <f ca="1">SUM(P71:P73)</f>
        <v>-47420.54135299164</v>
      </c>
      <c r="Q74" s="29">
        <f t="shared" ca="1" si="38"/>
        <v>1629524.0586470084</v>
      </c>
      <c r="U74" s="55"/>
    </row>
    <row r="75" spans="1:21" ht="15.75" customHeight="1">
      <c r="D75" s="32"/>
      <c r="E75" s="32"/>
      <c r="F75" s="32"/>
      <c r="G75" s="9"/>
      <c r="H75" s="9"/>
      <c r="I75" s="9"/>
      <c r="J75" s="9" t="s">
        <v>31</v>
      </c>
      <c r="K75" s="9" t="s">
        <v>31</v>
      </c>
      <c r="L75" s="48" t="s">
        <v>31</v>
      </c>
      <c r="M75" s="29" t="s">
        <v>31</v>
      </c>
      <c r="N75" s="29" t="s">
        <v>31</v>
      </c>
      <c r="O75" s="29" t="s">
        <v>31</v>
      </c>
      <c r="P75" s="29"/>
      <c r="Q75" s="8"/>
      <c r="S75" s="8"/>
      <c r="T75" s="8"/>
      <c r="U75" s="55"/>
    </row>
    <row r="76" spans="1:21" s="11" customFormat="1" ht="15.75" customHeight="1">
      <c r="B76" s="915" t="s">
        <v>53</v>
      </c>
      <c r="C76" s="4"/>
      <c r="D76" s="93">
        <f>SUMIF('305 Inputs'!$A$51:$A$71,"=36",'305 Inputs'!$J$51:$J$71)</f>
        <v>131.75</v>
      </c>
      <c r="E76" s="93">
        <f>F76-D76</f>
        <v>0.57499999999993179</v>
      </c>
      <c r="F76" s="93">
        <f>'Rate Design Work'!C685/12</f>
        <v>132.32499999999993</v>
      </c>
      <c r="G76" s="93">
        <f ca="1">SUMIF('305 Inputs'!$A$51:$A$71,"=36",'305 Inputs'!H$51:H$70)</f>
        <v>106226160</v>
      </c>
      <c r="H76" s="93">
        <f ca="1">'Normalized Monthly kWh'!AC27</f>
        <v>-1691576.4987881514</v>
      </c>
      <c r="I76" s="93">
        <f>'305 VS COGNOS kWh'!E35+'305 VS COGNOS kWh'!K35</f>
        <v>-618401</v>
      </c>
      <c r="J76" s="93">
        <v>0</v>
      </c>
      <c r="K76" s="93">
        <f ca="1">H76+I76+J76</f>
        <v>-2309977.4987881514</v>
      </c>
      <c r="L76" s="94">
        <f ca="1">G76+K76</f>
        <v>103916182.50121185</v>
      </c>
      <c r="M76" s="31">
        <f>'Table 3'!D76</f>
        <v>8188440.0700000003</v>
      </c>
      <c r="N76" s="31">
        <f ca="1">'Table 3'!I76</f>
        <v>-467044.99003822083</v>
      </c>
      <c r="O76" s="31">
        <f>'Table 3'!M76</f>
        <v>418797.09147332609</v>
      </c>
      <c r="P76" s="31">
        <f t="shared" ref="P76" ca="1" si="39">N76+O76</f>
        <v>-48247.898564894742</v>
      </c>
      <c r="Q76" s="31">
        <f ca="1">+P76+M76</f>
        <v>8140192.1714351056</v>
      </c>
      <c r="S76" s="12"/>
      <c r="T76" s="12"/>
      <c r="U76" s="16"/>
    </row>
    <row r="77" spans="1:21" ht="15.75" customHeight="1">
      <c r="B77" s="4" t="s">
        <v>35</v>
      </c>
      <c r="D77" s="32">
        <f t="shared" ref="D77:Q77" si="40">SUM(D76:D76)</f>
        <v>131.75</v>
      </c>
      <c r="E77" s="32">
        <f t="shared" si="40"/>
        <v>0.57499999999993179</v>
      </c>
      <c r="F77" s="32">
        <f t="shared" si="40"/>
        <v>132.32499999999993</v>
      </c>
      <c r="G77" s="32">
        <f t="shared" ca="1" si="40"/>
        <v>106226160</v>
      </c>
      <c r="H77" s="32">
        <f t="shared" ca="1" si="40"/>
        <v>-1691576.4987881514</v>
      </c>
      <c r="I77" s="32">
        <f t="shared" si="40"/>
        <v>-618401</v>
      </c>
      <c r="J77" s="32">
        <f t="shared" si="40"/>
        <v>0</v>
      </c>
      <c r="K77" s="32">
        <f t="shared" ca="1" si="40"/>
        <v>-2309977.4987881514</v>
      </c>
      <c r="L77" s="92">
        <f t="shared" ca="1" si="40"/>
        <v>103916182.50121185</v>
      </c>
      <c r="M77" s="29">
        <f t="shared" si="40"/>
        <v>8188440.0700000003</v>
      </c>
      <c r="N77" s="29">
        <f t="shared" ca="1" si="40"/>
        <v>-467044.99003822083</v>
      </c>
      <c r="O77" s="29">
        <f t="shared" si="40"/>
        <v>418797.09147332609</v>
      </c>
      <c r="P77" s="29">
        <f t="shared" ca="1" si="40"/>
        <v>-48247.898564894742</v>
      </c>
      <c r="Q77" s="29">
        <f t="shared" ca="1" si="40"/>
        <v>8140192.1714351056</v>
      </c>
      <c r="S77" s="8"/>
      <c r="T77" s="8"/>
      <c r="U77" s="55"/>
    </row>
    <row r="78" spans="1:21" ht="15.75" customHeight="1">
      <c r="D78" s="32"/>
      <c r="E78" s="32"/>
      <c r="F78" s="32"/>
      <c r="G78" s="32"/>
      <c r="H78" s="32"/>
      <c r="I78" s="32"/>
      <c r="J78" s="9"/>
      <c r="K78" s="9"/>
      <c r="L78" s="48"/>
      <c r="M78" s="29"/>
      <c r="N78" s="29"/>
      <c r="O78" s="29"/>
      <c r="P78" s="29"/>
      <c r="Q78" s="8"/>
      <c r="S78" s="8"/>
      <c r="T78" s="8"/>
      <c r="U78" s="55"/>
    </row>
    <row r="79" spans="1:21" ht="15.75" customHeight="1">
      <c r="B79" s="915" t="s">
        <v>165</v>
      </c>
      <c r="C79" s="11"/>
      <c r="D79" s="32">
        <f>SUMIF('305 Inputs'!$A$51:$A$71,"=47",'305 Inputs'!$J$51:$J$71)</f>
        <v>1</v>
      </c>
      <c r="E79" s="32">
        <f t="shared" ref="E79:E81" si="41">F79-D79</f>
        <v>0</v>
      </c>
      <c r="F79" s="32">
        <f>'Rate Design Work'!C884/12</f>
        <v>1</v>
      </c>
      <c r="G79" s="32">
        <f ca="1">SUMIF('305 Inputs'!$A$51:$A$71,"=47",'305 Inputs'!H$51:H$70)</f>
        <v>2049000</v>
      </c>
      <c r="H79" s="32">
        <f ca="1">'Normalized Monthly kWh'!AC28</f>
        <v>-32467.553478183199</v>
      </c>
      <c r="I79" s="32">
        <f>'305 VS COGNOS kWh'!E36+'305 VS COGNOS kWh'!K36</f>
        <v>-22000</v>
      </c>
      <c r="J79" s="32">
        <v>0</v>
      </c>
      <c r="K79" s="32">
        <f ca="1">H79+I79+J79</f>
        <v>-54467.553478183196</v>
      </c>
      <c r="L79" s="92">
        <f ca="1">G79+K79</f>
        <v>1994532.4465218168</v>
      </c>
      <c r="M79" s="29">
        <f>'Table 3'!D79</f>
        <v>292762.90999999997</v>
      </c>
      <c r="N79" s="29">
        <f ca="1">'Table 3'!I79</f>
        <v>-15250.065432507447</v>
      </c>
      <c r="O79" s="29">
        <f>'Table 3'!M79</f>
        <v>14615.168235293997</v>
      </c>
      <c r="P79" s="29">
        <f ca="1">N79+O79</f>
        <v>-634.89719721344954</v>
      </c>
      <c r="Q79" s="29">
        <f ca="1">+P79+M79</f>
        <v>292128.01280278654</v>
      </c>
      <c r="S79" s="8"/>
      <c r="T79" s="8"/>
      <c r="U79" s="55"/>
    </row>
    <row r="80" spans="1:21" ht="15.75" customHeight="1">
      <c r="B80" s="915" t="s">
        <v>54</v>
      </c>
      <c r="C80" s="11"/>
      <c r="D80" s="32">
        <f>SUMIF('305 Inputs'!$A$51:$A$71,"=48m",'305 Inputs'!$J$51:$J$71)</f>
        <v>0</v>
      </c>
      <c r="E80" s="32">
        <f t="shared" si="41"/>
        <v>30.207070707070752</v>
      </c>
      <c r="F80" s="32">
        <f>'Rate Design Work'!C1073/12</f>
        <v>30.207070707070752</v>
      </c>
      <c r="G80" s="32">
        <f>'305 VS COGNOS kWh'!C37</f>
        <v>222311754</v>
      </c>
      <c r="H80" s="32">
        <f ca="1">'Normalized Monthly kWh'!AC30</f>
        <v>-3541996.3303991579</v>
      </c>
      <c r="I80" s="32">
        <f>'305 VS COGNOS kWh'!E37+'305 VS COGNOS kWh'!K37</f>
        <v>-1179399</v>
      </c>
      <c r="J80" s="32">
        <v>0</v>
      </c>
      <c r="K80" s="32">
        <f ca="1">H80+I80+J80</f>
        <v>-4721395.3303991575</v>
      </c>
      <c r="L80" s="92">
        <f ca="1">G80+K80</f>
        <v>217590358.66960084</v>
      </c>
      <c r="M80" s="29">
        <f>'Table 3'!D80</f>
        <v>14579168.93</v>
      </c>
      <c r="N80" s="29">
        <f ca="1">'Table 3'!I80</f>
        <v>-789885.36571521731</v>
      </c>
      <c r="O80" s="29">
        <f>'Table 3'!M80</f>
        <v>771868.70314790122</v>
      </c>
      <c r="P80" s="29">
        <f ca="1">N80+O80</f>
        <v>-18016.662567316089</v>
      </c>
      <c r="Q80" s="29">
        <f ca="1">+P80+M80</f>
        <v>14561152.267432684</v>
      </c>
      <c r="S80" s="8"/>
      <c r="T80" s="8"/>
      <c r="U80" s="55"/>
    </row>
    <row r="81" spans="2:21" ht="15.75" customHeight="1">
      <c r="B81" s="915" t="s">
        <v>587</v>
      </c>
      <c r="C81" s="11"/>
      <c r="D81" s="93">
        <f>SUMIF('305 Inputs'!$A$51:$A$71,"=48t",'305 Inputs'!$J$51:$J$71)</f>
        <v>32.0833333333333</v>
      </c>
      <c r="E81" s="93">
        <f t="shared" si="41"/>
        <v>-31.0833333333333</v>
      </c>
      <c r="F81" s="93">
        <f>'Rate Design Work'!C1093/12</f>
        <v>1</v>
      </c>
      <c r="G81" s="93">
        <f>'305 VS COGNOS kWh'!C38</f>
        <v>455274000</v>
      </c>
      <c r="H81" s="93">
        <f ca="1">'Normalized Monthly kWh'!AC29</f>
        <v>-7292369.4830914559</v>
      </c>
      <c r="I81" s="93">
        <f>'305 VS COGNOS kWh'!E38+'305 VS COGNOS kWh'!K38</f>
        <v>0</v>
      </c>
      <c r="J81" s="93">
        <v>0</v>
      </c>
      <c r="K81" s="93">
        <f ca="1">H81+I81+J81</f>
        <v>-7292369.4830914559</v>
      </c>
      <c r="L81" s="94">
        <f ca="1">G81+K81</f>
        <v>447981630.51690853</v>
      </c>
      <c r="M81" s="31">
        <f>'Table 3'!D81</f>
        <v>25031150.399999999</v>
      </c>
      <c r="N81" s="31">
        <f ca="1">'Table 3'!I81</f>
        <v>-1469480.5850413819</v>
      </c>
      <c r="O81" s="31">
        <f>'Table 3'!M81</f>
        <v>1378994.5799999982</v>
      </c>
      <c r="P81" s="31">
        <f t="shared" ref="P81" ca="1" si="42">N81+O81</f>
        <v>-90486.005041383673</v>
      </c>
      <c r="Q81" s="31">
        <f ca="1">+P81+M81</f>
        <v>24940664.394958615</v>
      </c>
      <c r="U81" s="55"/>
    </row>
    <row r="82" spans="2:21" ht="15.75" customHeight="1">
      <c r="B82" s="4" t="s">
        <v>35</v>
      </c>
      <c r="D82" s="32">
        <f t="shared" ref="D82:I82" si="43">SUM(D79:D81)</f>
        <v>33.0833333333333</v>
      </c>
      <c r="E82" s="32">
        <f t="shared" si="43"/>
        <v>-0.87626262626254814</v>
      </c>
      <c r="F82" s="32">
        <f t="shared" si="43"/>
        <v>32.207070707070756</v>
      </c>
      <c r="G82" s="32">
        <f t="shared" ca="1" si="43"/>
        <v>679634754</v>
      </c>
      <c r="H82" s="32">
        <f t="shared" ca="1" si="43"/>
        <v>-10866833.366968798</v>
      </c>
      <c r="I82" s="32">
        <f t="shared" si="43"/>
        <v>-1201399</v>
      </c>
      <c r="J82" s="32">
        <f t="shared" ref="J82:Q82" si="44">SUM(J79:J81)</f>
        <v>0</v>
      </c>
      <c r="K82" s="32">
        <f ca="1">H82+I82+J82</f>
        <v>-12068232.366968798</v>
      </c>
      <c r="L82" s="92">
        <f ca="1">SUM(L79:L81)</f>
        <v>667566521.63303113</v>
      </c>
      <c r="M82" s="29">
        <f t="shared" si="44"/>
        <v>39903082.239999995</v>
      </c>
      <c r="N82" s="29">
        <f t="shared" ca="1" si="44"/>
        <v>-2274616.0161891067</v>
      </c>
      <c r="O82" s="29">
        <f t="shared" si="44"/>
        <v>2165478.4513831935</v>
      </c>
      <c r="P82" s="29">
        <f t="shared" ca="1" si="44"/>
        <v>-109137.56480591321</v>
      </c>
      <c r="Q82" s="29">
        <f t="shared" ca="1" si="44"/>
        <v>39793944.675194085</v>
      </c>
      <c r="S82" s="8"/>
      <c r="T82" s="8"/>
      <c r="U82" s="55"/>
    </row>
    <row r="83" spans="2:21" ht="15.75" customHeight="1">
      <c r="D83" s="32"/>
      <c r="E83" s="32"/>
      <c r="F83" s="32"/>
      <c r="G83" s="32"/>
      <c r="H83" s="32"/>
      <c r="I83" s="32"/>
      <c r="J83" s="9"/>
      <c r="K83" s="32"/>
      <c r="L83" s="48"/>
      <c r="M83" s="29"/>
      <c r="N83" s="29"/>
      <c r="O83" s="29"/>
      <c r="P83" s="29"/>
      <c r="Q83" s="8"/>
      <c r="S83" s="8"/>
      <c r="T83" s="8"/>
      <c r="U83" s="55"/>
    </row>
    <row r="84" spans="2:21" ht="15.75" customHeight="1">
      <c r="B84" s="915" t="s">
        <v>55</v>
      </c>
      <c r="D84" s="93">
        <f>SUMIF('305 Inputs'!$A$51:$A$71,"=15n",'305 Inputs'!$J$51:$J$71)</f>
        <v>56.1666666666667</v>
      </c>
      <c r="E84" s="93">
        <f>F84-D84</f>
        <v>-8.3333333333364124E-2</v>
      </c>
      <c r="F84" s="93">
        <f>'Rate Design Work'!C80/12</f>
        <v>56.083333333333336</v>
      </c>
      <c r="G84" s="93">
        <f ca="1">SUMIF('305 Inputs'!$A$51:$A$71,"=15n",'305 Inputs'!H$51:H$70)</f>
        <v>142600</v>
      </c>
      <c r="H84" s="93">
        <f ca="1">'Normalized Monthly kWh'!AC31</f>
        <v>-2392.5719773770011</v>
      </c>
      <c r="I84" s="93">
        <f>'305 VS COGNOS kWh'!E40+'305 VS COGNOS kWh'!K40</f>
        <v>6772</v>
      </c>
      <c r="J84" s="93">
        <v>0</v>
      </c>
      <c r="K84" s="93">
        <f ca="1">H84+I84+J84</f>
        <v>4379.4280226229985</v>
      </c>
      <c r="L84" s="94">
        <f ca="1">G84+K84</f>
        <v>146979.428022623</v>
      </c>
      <c r="M84" s="90">
        <f>'Table 3'!D84</f>
        <v>18874.190000000002</v>
      </c>
      <c r="N84" s="31">
        <f ca="1">'Table 3'!I84</f>
        <v>136.70243994651412</v>
      </c>
      <c r="O84" s="31">
        <f>'Table 3'!M84</f>
        <v>0</v>
      </c>
      <c r="P84" s="31">
        <f t="shared" ref="P84" ca="1" si="45">N84+O84</f>
        <v>136.70243994651412</v>
      </c>
      <c r="Q84" s="31">
        <f ca="1">+P84+M84</f>
        <v>19010.892439946518</v>
      </c>
      <c r="S84" s="8"/>
      <c r="T84" s="8"/>
      <c r="U84" s="55"/>
    </row>
    <row r="85" spans="2:21" ht="15.75" customHeight="1">
      <c r="B85" s="4" t="s">
        <v>35</v>
      </c>
      <c r="D85" s="32">
        <f t="shared" ref="D85:Q85" si="46">SUM(D84:D84)</f>
        <v>56.1666666666667</v>
      </c>
      <c r="E85" s="32">
        <f t="shared" si="46"/>
        <v>-8.3333333333364124E-2</v>
      </c>
      <c r="F85" s="32">
        <f t="shared" si="46"/>
        <v>56.083333333333336</v>
      </c>
      <c r="G85" s="32">
        <f ca="1">SUM(G84:G84)</f>
        <v>142600</v>
      </c>
      <c r="H85" s="32">
        <f ca="1">SUM(H84:H84)</f>
        <v>-2392.5719773770011</v>
      </c>
      <c r="I85" s="32">
        <f>SUM(I84:I84)</f>
        <v>6772</v>
      </c>
      <c r="J85" s="32">
        <f t="shared" si="46"/>
        <v>0</v>
      </c>
      <c r="K85" s="32">
        <f t="shared" ca="1" si="46"/>
        <v>4379.4280226229985</v>
      </c>
      <c r="L85" s="92">
        <f t="shared" ca="1" si="46"/>
        <v>146979.428022623</v>
      </c>
      <c r="M85" s="29">
        <f t="shared" si="46"/>
        <v>18874.190000000002</v>
      </c>
      <c r="N85" s="29">
        <f t="shared" ca="1" si="46"/>
        <v>136.70243994651412</v>
      </c>
      <c r="O85" s="29">
        <f t="shared" si="46"/>
        <v>0</v>
      </c>
      <c r="P85" s="29">
        <f ca="1">SUM(P84:P84)</f>
        <v>136.70243994651412</v>
      </c>
      <c r="Q85" s="29">
        <f t="shared" ca="1" si="46"/>
        <v>19010.892439946518</v>
      </c>
      <c r="U85" s="55"/>
    </row>
    <row r="86" spans="2:21" ht="15.75" customHeight="1">
      <c r="D86" s="32"/>
      <c r="E86" s="32"/>
      <c r="F86" s="32"/>
      <c r="G86" s="32"/>
      <c r="H86" s="32"/>
      <c r="I86" s="32"/>
      <c r="J86" s="9" t="s">
        <v>31</v>
      </c>
      <c r="K86" s="9" t="s">
        <v>31</v>
      </c>
      <c r="L86" s="48" t="s">
        <v>31</v>
      </c>
      <c r="M86" s="29" t="s">
        <v>31</v>
      </c>
      <c r="N86" s="29"/>
      <c r="O86" s="29"/>
      <c r="P86" s="29"/>
      <c r="Q86" s="8"/>
      <c r="S86" s="8"/>
      <c r="T86" s="8"/>
      <c r="U86" s="55"/>
    </row>
    <row r="87" spans="2:21" s="11" customFormat="1" ht="15.75" customHeight="1">
      <c r="B87" s="4" t="s">
        <v>34</v>
      </c>
      <c r="D87" s="93">
        <v>0</v>
      </c>
      <c r="E87" s="93"/>
      <c r="F87" s="93"/>
      <c r="G87" s="93">
        <f ca="1">SUMIF('305 Inputs'!$A$51:$A$71,"=aga",'305 Inputs'!H$51:H$70)</f>
        <v>0</v>
      </c>
      <c r="H87" s="93"/>
      <c r="I87" s="93"/>
      <c r="J87" s="93">
        <v>0</v>
      </c>
      <c r="K87" s="32">
        <f>H87+J87</f>
        <v>0</v>
      </c>
      <c r="L87" s="94">
        <f ca="1">G87+K87</f>
        <v>0</v>
      </c>
      <c r="M87" s="31">
        <f>'Table 3'!D87</f>
        <v>0</v>
      </c>
      <c r="N87" s="31">
        <f>'Table 3'!I87</f>
        <v>0</v>
      </c>
      <c r="O87" s="31">
        <f>'Table 3'!M87</f>
        <v>0</v>
      </c>
      <c r="P87" s="31">
        <f t="shared" ref="P87" si="47">N87+O87</f>
        <v>0</v>
      </c>
      <c r="Q87" s="31">
        <f>+P87+M87</f>
        <v>0</v>
      </c>
      <c r="S87" s="12"/>
      <c r="T87" s="12"/>
      <c r="U87" s="16"/>
    </row>
    <row r="88" spans="2:21" s="11" customFormat="1" ht="15.75" customHeight="1">
      <c r="B88" s="4"/>
      <c r="D88" s="93"/>
      <c r="E88" s="93"/>
      <c r="F88" s="93"/>
      <c r="G88" s="93"/>
      <c r="H88" s="93"/>
      <c r="I88" s="93"/>
      <c r="J88" s="93"/>
      <c r="K88" s="93"/>
      <c r="L88" s="94"/>
      <c r="M88" s="31"/>
      <c r="N88" s="31"/>
      <c r="O88" s="31"/>
      <c r="P88" s="31"/>
      <c r="Q88" s="31"/>
      <c r="S88" s="12"/>
      <c r="T88" s="12"/>
      <c r="U88" s="16"/>
    </row>
    <row r="89" spans="2:21" s="11" customFormat="1" ht="15.75" customHeight="1">
      <c r="B89" s="4" t="s">
        <v>672</v>
      </c>
      <c r="D89" s="93">
        <f>SUMIF('305 Inputs'!$A$51:$A$71,"=def",'305 Inputs'!$J$51:$J$71)</f>
        <v>0</v>
      </c>
      <c r="E89" s="93"/>
      <c r="F89" s="93"/>
      <c r="G89" s="93">
        <f ca="1">SUMIF('305 Inputs'!$A$51:$A$71,"=def",'305 Inputs'!H$51:H$70)</f>
        <v>0</v>
      </c>
      <c r="H89" s="93"/>
      <c r="I89" s="93"/>
      <c r="J89" s="93">
        <v>0</v>
      </c>
      <c r="K89" s="93">
        <f>J89</f>
        <v>0</v>
      </c>
      <c r="L89" s="94">
        <v>0</v>
      </c>
      <c r="M89" s="31">
        <f>'Table 3'!D89</f>
        <v>-510000</v>
      </c>
      <c r="N89" s="31">
        <f>'Table 3'!I89</f>
        <v>510000</v>
      </c>
      <c r="O89" s="31">
        <f>'Table 3'!M89</f>
        <v>0</v>
      </c>
      <c r="P89" s="31">
        <f t="shared" ref="P89:P93" si="48">N89+O89</f>
        <v>510000</v>
      </c>
      <c r="Q89" s="31">
        <f>+P89+M89</f>
        <v>0</v>
      </c>
      <c r="S89" s="12"/>
      <c r="T89" s="12"/>
      <c r="U89" s="16"/>
    </row>
    <row r="90" spans="2:21" ht="15.75" customHeight="1">
      <c r="B90" s="4" t="s">
        <v>750</v>
      </c>
      <c r="D90" s="93">
        <f>SUMIF('305 Inputs'!$A$51:$A$71,"=rev",'305 Inputs'!$J$51:$J$71)</f>
        <v>0</v>
      </c>
      <c r="E90" s="93"/>
      <c r="F90" s="93"/>
      <c r="G90" s="93">
        <f ca="1">SUMIF('305 Inputs'!$A$51:$A$71,"=rev",'305 Inputs'!H$51:H$70)</f>
        <v>0</v>
      </c>
      <c r="H90" s="93"/>
      <c r="I90" s="93"/>
      <c r="J90" s="93">
        <v>0</v>
      </c>
      <c r="K90" s="93">
        <f t="shared" ref="K90:K93" si="49">J90</f>
        <v>0</v>
      </c>
      <c r="L90" s="94">
        <v>0</v>
      </c>
      <c r="M90" s="29">
        <f>'Table 3'!D90</f>
        <v>-1895180.84</v>
      </c>
      <c r="N90" s="29">
        <f>'Table 3'!I90</f>
        <v>1895180.84</v>
      </c>
      <c r="O90" s="31">
        <f>'Table 3'!M90</f>
        <v>0</v>
      </c>
      <c r="P90" s="31">
        <f t="shared" si="48"/>
        <v>1895180.84</v>
      </c>
      <c r="Q90" s="31">
        <f>+P90+M90</f>
        <v>0</v>
      </c>
      <c r="S90" s="8"/>
      <c r="T90" s="8"/>
      <c r="U90" s="55"/>
    </row>
    <row r="91" spans="2:21" s="11" customFormat="1" ht="15.75" customHeight="1">
      <c r="B91" s="4" t="s">
        <v>757</v>
      </c>
      <c r="D91" s="93">
        <v>0</v>
      </c>
      <c r="E91" s="93"/>
      <c r="F91" s="93"/>
      <c r="G91" s="93">
        <f ca="1">SUMIF('305 Inputs'!$A$51:$A$71,"=cent",'305 Inputs'!H$51:H$70)</f>
        <v>0</v>
      </c>
      <c r="H91" s="93"/>
      <c r="I91" s="93"/>
      <c r="J91" s="93">
        <v>0</v>
      </c>
      <c r="K91" s="93">
        <f t="shared" si="49"/>
        <v>0</v>
      </c>
      <c r="L91" s="94">
        <f ca="1">G91+K91</f>
        <v>0</v>
      </c>
      <c r="M91" s="31">
        <f>'Table 3'!D91</f>
        <v>1683434.48</v>
      </c>
      <c r="N91" s="31">
        <f>'Table 3'!I91</f>
        <v>-1683434.48</v>
      </c>
      <c r="O91" s="31">
        <f>'Table 3'!M91</f>
        <v>0</v>
      </c>
      <c r="P91" s="31">
        <f t="shared" si="48"/>
        <v>-1683434.48</v>
      </c>
      <c r="Q91" s="31">
        <f>+P91+M91</f>
        <v>0</v>
      </c>
      <c r="S91" s="12"/>
      <c r="T91" s="12"/>
      <c r="U91" s="16"/>
    </row>
    <row r="92" spans="2:21" s="11" customFormat="1" ht="15.75" customHeight="1">
      <c r="B92" s="4" t="s">
        <v>96</v>
      </c>
      <c r="D92" s="93">
        <v>0</v>
      </c>
      <c r="E92" s="93"/>
      <c r="F92" s="93"/>
      <c r="G92" s="93">
        <f ca="1">SUMIF('305 Inputs'!$A$51:$A$71,"=bpa",'305 Inputs'!H$51:H$70)</f>
        <v>0</v>
      </c>
      <c r="H92" s="93"/>
      <c r="I92" s="93"/>
      <c r="J92" s="93">
        <v>0</v>
      </c>
      <c r="K92" s="93">
        <f t="shared" si="49"/>
        <v>0</v>
      </c>
      <c r="L92" s="94">
        <f ca="1">G92+K92</f>
        <v>0</v>
      </c>
      <c r="M92" s="31">
        <f>'Table 3'!D92</f>
        <v>2749.52</v>
      </c>
      <c r="N92" s="31">
        <f>'Table 3'!I92</f>
        <v>-2749.52</v>
      </c>
      <c r="O92" s="31">
        <f>'Table 3'!M92</f>
        <v>0</v>
      </c>
      <c r="P92" s="31">
        <f t="shared" si="48"/>
        <v>-2749.52</v>
      </c>
      <c r="Q92" s="31">
        <f>+P92+M92</f>
        <v>0</v>
      </c>
      <c r="S92" s="12"/>
      <c r="T92" s="12"/>
      <c r="U92" s="16"/>
    </row>
    <row r="93" spans="2:21" s="11" customFormat="1" ht="15.75" customHeight="1">
      <c r="B93" s="4" t="s">
        <v>690</v>
      </c>
      <c r="D93" s="93">
        <v>0</v>
      </c>
      <c r="E93" s="93"/>
      <c r="F93" s="93"/>
      <c r="G93" s="93">
        <f ca="1">SUMIF('305 Inputs'!$A$51:$A$71,"=smudj",'305 Inputs'!H$51:H$70)</f>
        <v>0</v>
      </c>
      <c r="H93" s="93"/>
      <c r="I93" s="93"/>
      <c r="J93" s="93">
        <v>0</v>
      </c>
      <c r="K93" s="93">
        <f t="shared" si="49"/>
        <v>0</v>
      </c>
      <c r="L93" s="94">
        <f ca="1">G93+K93</f>
        <v>0</v>
      </c>
      <c r="M93" s="31">
        <f>'Table 3'!D93</f>
        <v>66245.84</v>
      </c>
      <c r="N93" s="31">
        <f>'Table 3'!I93</f>
        <v>-66245.84</v>
      </c>
      <c r="O93" s="31">
        <f>'Table 3'!M93</f>
        <v>0</v>
      </c>
      <c r="P93" s="31">
        <f t="shared" si="48"/>
        <v>-66245.84</v>
      </c>
      <c r="Q93" s="31">
        <f>+P93+M93</f>
        <v>0</v>
      </c>
      <c r="S93" s="12"/>
      <c r="T93" s="12"/>
      <c r="U93" s="16"/>
    </row>
    <row r="94" spans="2:21" ht="15.75" customHeight="1">
      <c r="D94" s="32"/>
      <c r="E94" s="32"/>
      <c r="F94" s="32"/>
      <c r="G94" s="32"/>
      <c r="H94" s="32"/>
      <c r="I94" s="32"/>
      <c r="J94" s="9"/>
      <c r="K94" s="9"/>
      <c r="L94" s="48"/>
      <c r="M94" s="29"/>
      <c r="N94" s="29"/>
      <c r="O94" s="29"/>
      <c r="P94" s="29"/>
      <c r="Q94" s="29"/>
      <c r="S94" s="8"/>
      <c r="T94" s="8"/>
      <c r="U94" s="55"/>
    </row>
    <row r="95" spans="2:21" s="11" customFormat="1" ht="15.75" customHeight="1">
      <c r="B95" s="4" t="s">
        <v>80</v>
      </c>
      <c r="D95" s="93">
        <v>0</v>
      </c>
      <c r="E95" s="93"/>
      <c r="F95" s="93"/>
      <c r="G95" s="93">
        <f ca="1">SUMIF('305 Inputs'!$A$51:$A$71,"unbilled",'305 Inputs'!H$51:H$70)</f>
        <v>-12861000</v>
      </c>
      <c r="H95" s="93">
        <f ca="1">-G95</f>
        <v>12861000</v>
      </c>
      <c r="I95" s="93"/>
      <c r="J95" s="93">
        <v>0</v>
      </c>
      <c r="K95" s="93">
        <f ca="1">H95+I95+J95</f>
        <v>12861000</v>
      </c>
      <c r="L95" s="94">
        <f ca="1">G95+K95</f>
        <v>0</v>
      </c>
      <c r="M95" s="31">
        <f ca="1">'Table 3'!D95</f>
        <v>-1046000</v>
      </c>
      <c r="N95" s="31">
        <f ca="1">'Table 3'!I95</f>
        <v>1046000</v>
      </c>
      <c r="O95" s="31">
        <f ca="1">'Table 3'!M95</f>
        <v>0</v>
      </c>
      <c r="P95" s="31">
        <f t="shared" ref="P95" ca="1" si="50">N95+O95</f>
        <v>1046000</v>
      </c>
      <c r="Q95" s="31">
        <f ca="1">+P95+M95</f>
        <v>0</v>
      </c>
      <c r="S95" s="12"/>
      <c r="T95" s="12"/>
      <c r="U95" s="16"/>
    </row>
    <row r="96" spans="2:21" ht="15.75" customHeight="1">
      <c r="B96" s="11"/>
      <c r="D96" s="32"/>
      <c r="E96" s="32"/>
      <c r="F96" s="32"/>
      <c r="G96" s="32"/>
      <c r="H96" s="32"/>
      <c r="I96" s="32"/>
      <c r="J96" s="9"/>
      <c r="K96" s="9"/>
      <c r="L96" s="48"/>
      <c r="M96" s="29"/>
      <c r="N96" s="663"/>
      <c r="O96" s="663"/>
      <c r="P96" s="663"/>
      <c r="Q96" s="8"/>
      <c r="S96" s="8"/>
      <c r="T96" s="8"/>
      <c r="U96" s="55"/>
    </row>
    <row r="97" spans="1:21" ht="15.75" customHeight="1">
      <c r="B97" s="33" t="s">
        <v>9</v>
      </c>
      <c r="C97" s="34"/>
      <c r="D97" s="97">
        <f t="shared" ref="D97:Q97" si="51">+D74+D77+D82+D85+D87+SUM(D89:D95)</f>
        <v>665.83333333333371</v>
      </c>
      <c r="E97" s="97">
        <f t="shared" si="51"/>
        <v>-35.203207070707997</v>
      </c>
      <c r="F97" s="97">
        <f t="shared" si="51"/>
        <v>630.63012626262571</v>
      </c>
      <c r="G97" s="97">
        <f t="shared" ca="1" si="51"/>
        <v>792482358</v>
      </c>
      <c r="H97" s="97">
        <f t="shared" ca="1" si="51"/>
        <v>0</v>
      </c>
      <c r="I97" s="97">
        <f t="shared" si="51"/>
        <v>-2411070</v>
      </c>
      <c r="J97" s="97">
        <f t="shared" si="51"/>
        <v>0</v>
      </c>
      <c r="K97" s="97">
        <f t="shared" ca="1" si="51"/>
        <v>-2411070</v>
      </c>
      <c r="L97" s="97">
        <f t="shared" ca="1" si="51"/>
        <v>790071288</v>
      </c>
      <c r="M97" s="37">
        <f t="shared" ca="1" si="51"/>
        <v>48088590.099999994</v>
      </c>
      <c r="N97" s="37">
        <f t="shared" ca="1" si="51"/>
        <v>-1178597.2111470387</v>
      </c>
      <c r="O97" s="37">
        <f t="shared" ca="1" si="51"/>
        <v>2672678.9088631859</v>
      </c>
      <c r="P97" s="37">
        <f t="shared" ca="1" si="51"/>
        <v>1494081.6977161469</v>
      </c>
      <c r="Q97" s="37">
        <f t="shared" ca="1" si="51"/>
        <v>49582671.797716141</v>
      </c>
      <c r="S97" s="8"/>
      <c r="T97" s="8"/>
      <c r="U97" s="55"/>
    </row>
    <row r="98" spans="1:21" ht="15.75" customHeight="1">
      <c r="B98" s="7"/>
      <c r="C98" s="7"/>
      <c r="D98" s="32" t="s">
        <v>31</v>
      </c>
      <c r="E98" s="32"/>
      <c r="F98" s="32"/>
      <c r="G98" s="32"/>
      <c r="H98" s="32"/>
      <c r="I98" s="32"/>
      <c r="J98" s="9"/>
      <c r="K98" s="9"/>
      <c r="L98" s="48"/>
      <c r="M98" s="29" t="s">
        <v>31</v>
      </c>
      <c r="N98" s="9"/>
      <c r="O98" s="9"/>
      <c r="P98" s="9"/>
      <c r="Q98" s="9"/>
      <c r="S98" s="8"/>
      <c r="T98" s="8"/>
      <c r="U98" s="55"/>
    </row>
    <row r="99" spans="1:21" ht="15.75" customHeight="1">
      <c r="A99" s="5" t="s">
        <v>204</v>
      </c>
      <c r="B99" s="915"/>
      <c r="D99" s="32"/>
      <c r="E99" s="32"/>
      <c r="F99" s="32"/>
      <c r="G99" s="32"/>
      <c r="H99" s="32"/>
      <c r="I99" s="32"/>
      <c r="J99" s="9"/>
      <c r="K99" s="9"/>
      <c r="L99" s="48"/>
      <c r="M99" s="29"/>
      <c r="N99" s="29"/>
      <c r="O99" s="29"/>
      <c r="P99" s="29"/>
      <c r="Q99" s="29"/>
      <c r="U99" s="55"/>
    </row>
    <row r="100" spans="1:21" ht="15.75" customHeight="1">
      <c r="A100" s="5"/>
      <c r="B100" s="915"/>
      <c r="D100" s="32"/>
      <c r="E100" s="32"/>
      <c r="F100" s="32"/>
      <c r="G100" s="32"/>
      <c r="H100" s="32"/>
      <c r="I100" s="32"/>
      <c r="J100" s="9"/>
      <c r="K100" s="9"/>
      <c r="L100" s="48"/>
      <c r="M100" s="29"/>
      <c r="N100" s="29"/>
      <c r="O100" s="29"/>
      <c r="P100" s="29"/>
      <c r="Q100" s="29"/>
      <c r="U100" s="55"/>
    </row>
    <row r="101" spans="1:21" ht="15.75" customHeight="1">
      <c r="B101" s="915" t="s">
        <v>58</v>
      </c>
      <c r="D101" s="32">
        <f>SUMIF('305 Inputs'!$A$77:$A$96,"=40",'305 Inputs'!$J$77:$J$96)</f>
        <v>5072.7500000000027</v>
      </c>
      <c r="E101" s="32">
        <f t="shared" ref="E101:E102" si="52">F101-D101</f>
        <v>-30.276099279330992</v>
      </c>
      <c r="F101" s="32">
        <f>'Rate Design Work'!C779</f>
        <v>5042.4739007206717</v>
      </c>
      <c r="G101" s="32">
        <f>SUMIF('305 Inputs'!$A$77:$A$96,"=40",'305 Inputs'!$H$77:$H$96)</f>
        <v>155921346</v>
      </c>
      <c r="H101" s="32">
        <f>'Normalized Monthly kWh'!AC34</f>
        <v>-204808.5383765107</v>
      </c>
      <c r="I101" s="32">
        <f>'305 VS COGNOS kWh'!E45+'305 VS COGNOS kWh'!K45</f>
        <v>-36767</v>
      </c>
      <c r="J101" s="32">
        <f>Temperature!B92*1000</f>
        <v>-12612802.441529689</v>
      </c>
      <c r="K101" s="32">
        <f>H101+I101+J101</f>
        <v>-12854377.979906199</v>
      </c>
      <c r="L101" s="92">
        <f>G101+K101</f>
        <v>143066968.0200938</v>
      </c>
      <c r="M101" s="29">
        <f ca="1">'Table 3'!D101</f>
        <v>12182855.710000001</v>
      </c>
      <c r="N101" s="29">
        <f ca="1">'Table 3'!I101</f>
        <v>-643773.92121458077</v>
      </c>
      <c r="O101" s="29">
        <f>'Table 3'!M101</f>
        <v>665434.71036092564</v>
      </c>
      <c r="P101" s="29">
        <f ca="1">N101+O101</f>
        <v>21660.789146344876</v>
      </c>
      <c r="Q101" s="29">
        <f ca="1">+P101+M101</f>
        <v>12204516.499146346</v>
      </c>
      <c r="S101" s="8"/>
      <c r="T101" s="8"/>
      <c r="U101" s="55"/>
    </row>
    <row r="102" spans="1:21" ht="15.75" customHeight="1">
      <c r="B102" s="915" t="s">
        <v>59</v>
      </c>
      <c r="D102" s="93">
        <f>SUMIF('305 Inputs'!$A$77:$A$96,"=40x",'305 Inputs'!$J$77:$J$96)</f>
        <v>186.833333333333</v>
      </c>
      <c r="E102" s="93">
        <f t="shared" si="52"/>
        <v>17.722747921911804</v>
      </c>
      <c r="F102" s="93">
        <f>'Rate Design Work'!C832</f>
        <v>204.55608125524481</v>
      </c>
      <c r="G102" s="93">
        <f>SUMIF('305 Inputs'!$A$77:$A$96,"=40x",'305 Inputs'!$H$77:$H$96)</f>
        <v>5473573</v>
      </c>
      <c r="H102" s="93">
        <f>'Normalized Monthly kWh'!AC35</f>
        <v>-7191.4616234892947</v>
      </c>
      <c r="I102" s="93">
        <f>'305 VS COGNOS kWh'!E46+'305 VS COGNOS kWh'!K46</f>
        <v>17</v>
      </c>
      <c r="J102" s="93">
        <v>0</v>
      </c>
      <c r="K102" s="93">
        <f>H102+I102+J102</f>
        <v>-7174.4616234892947</v>
      </c>
      <c r="L102" s="94">
        <f>G102+K102</f>
        <v>5466398.5383765111</v>
      </c>
      <c r="M102" s="90">
        <f ca="1">'Table 3'!D102</f>
        <v>453169.46</v>
      </c>
      <c r="N102" s="31">
        <f ca="1">'Table 3'!I102</f>
        <v>-16642.580646346451</v>
      </c>
      <c r="O102" s="31">
        <f>'Table 3'!M102</f>
        <v>25245.621500000008</v>
      </c>
      <c r="P102" s="31">
        <f t="shared" ref="P102" ca="1" si="53">N102+O102</f>
        <v>8603.0408536535579</v>
      </c>
      <c r="Q102" s="31">
        <f ca="1">+P102+M102</f>
        <v>461772.50085365359</v>
      </c>
      <c r="S102" s="8"/>
      <c r="T102" s="8"/>
      <c r="U102" s="55"/>
    </row>
    <row r="103" spans="1:21" ht="15.75" customHeight="1">
      <c r="B103" s="4" t="s">
        <v>35</v>
      </c>
      <c r="D103" s="32">
        <f t="shared" ref="D103:I103" si="54">SUM(D101:D102)</f>
        <v>5259.5833333333358</v>
      </c>
      <c r="E103" s="32">
        <f t="shared" si="54"/>
        <v>-12.553351357419189</v>
      </c>
      <c r="F103" s="32">
        <f t="shared" si="54"/>
        <v>5247.0299819759166</v>
      </c>
      <c r="G103" s="32">
        <f t="shared" si="54"/>
        <v>161394919</v>
      </c>
      <c r="H103" s="32">
        <f t="shared" si="54"/>
        <v>-212000</v>
      </c>
      <c r="I103" s="32">
        <f t="shared" si="54"/>
        <v>-36750</v>
      </c>
      <c r="J103" s="32">
        <f t="shared" ref="J103:Q103" si="55">SUM(J101:J102)</f>
        <v>-12612802.441529689</v>
      </c>
      <c r="K103" s="32">
        <f>SUM(K101:K102)</f>
        <v>-12861552.441529689</v>
      </c>
      <c r="L103" s="92">
        <f>SUM(L101:L102)</f>
        <v>148533366.55847031</v>
      </c>
      <c r="M103" s="29">
        <f t="shared" ca="1" si="55"/>
        <v>12636025.170000002</v>
      </c>
      <c r="N103" s="29">
        <f t="shared" ca="1" si="55"/>
        <v>-660416.50186092721</v>
      </c>
      <c r="O103" s="29">
        <f>SUM(O101:O102)</f>
        <v>690680.33186092565</v>
      </c>
      <c r="P103" s="29">
        <f ca="1">SUM(P101:P102)</f>
        <v>30263.829999998434</v>
      </c>
      <c r="Q103" s="29">
        <f t="shared" ca="1" si="55"/>
        <v>12666289</v>
      </c>
      <c r="S103" s="8"/>
      <c r="T103" s="8"/>
      <c r="U103" s="55"/>
    </row>
    <row r="104" spans="1:21" s="11" customFormat="1" ht="15.75" customHeight="1">
      <c r="A104" s="4"/>
      <c r="B104" s="4"/>
      <c r="C104" s="4"/>
      <c r="D104" s="32"/>
      <c r="E104" s="32"/>
      <c r="F104" s="32"/>
      <c r="G104" s="32"/>
      <c r="H104" s="32"/>
      <c r="I104" s="32"/>
      <c r="J104" s="9" t="s">
        <v>31</v>
      </c>
      <c r="K104" s="9" t="s">
        <v>31</v>
      </c>
      <c r="L104" s="48" t="s">
        <v>31</v>
      </c>
      <c r="M104" s="29" t="s">
        <v>31</v>
      </c>
      <c r="N104" s="29" t="s">
        <v>31</v>
      </c>
      <c r="O104" s="29" t="s">
        <v>31</v>
      </c>
      <c r="P104" s="29"/>
      <c r="Q104" s="9"/>
      <c r="R104" s="11" t="s">
        <v>31</v>
      </c>
      <c r="S104" s="12"/>
      <c r="T104" s="12"/>
      <c r="U104" s="16"/>
    </row>
    <row r="105" spans="1:21" s="11" customFormat="1" ht="15.75" customHeight="1">
      <c r="B105" s="4" t="s">
        <v>34</v>
      </c>
      <c r="D105" s="93">
        <v>0</v>
      </c>
      <c r="E105" s="93"/>
      <c r="F105" s="93"/>
      <c r="G105" s="93">
        <f>SUMIF('305 Inputs'!$B$77:$B$96,"=aga",'305 Inputs'!$H$77:$H$96)</f>
        <v>0</v>
      </c>
      <c r="H105" s="93"/>
      <c r="I105" s="93"/>
      <c r="J105" s="93">
        <v>0</v>
      </c>
      <c r="K105" s="93">
        <f>J105</f>
        <v>0</v>
      </c>
      <c r="L105" s="94">
        <f>G105+K105</f>
        <v>0</v>
      </c>
      <c r="M105" s="31">
        <f ca="1">'Table 3'!D105</f>
        <v>235203.17</v>
      </c>
      <c r="N105" s="31">
        <f>'Table 3'!I105</f>
        <v>0</v>
      </c>
      <c r="O105" s="31">
        <f ca="1">'Table 3'!M105</f>
        <v>0</v>
      </c>
      <c r="P105" s="31">
        <f t="shared" ref="P105" ca="1" si="56">N105+O105</f>
        <v>0</v>
      </c>
      <c r="Q105" s="31">
        <f ca="1">+P105+M105</f>
        <v>235203.17</v>
      </c>
      <c r="S105" s="12"/>
      <c r="T105" s="12"/>
      <c r="U105" s="16"/>
    </row>
    <row r="106" spans="1:21" s="11" customFormat="1" ht="15.75" customHeight="1">
      <c r="B106" s="4"/>
      <c r="D106" s="93"/>
      <c r="E106" s="93"/>
      <c r="F106" s="93"/>
      <c r="G106" s="93"/>
      <c r="H106" s="93"/>
      <c r="I106" s="93"/>
      <c r="J106" s="93"/>
      <c r="K106" s="93"/>
      <c r="L106" s="94"/>
      <c r="M106" s="31"/>
      <c r="N106" s="31"/>
      <c r="O106" s="31"/>
      <c r="P106" s="31"/>
      <c r="Q106" s="31"/>
      <c r="S106" s="12"/>
      <c r="T106" s="12"/>
      <c r="U106" s="16"/>
    </row>
    <row r="107" spans="1:21" s="11" customFormat="1" ht="15.75" customHeight="1">
      <c r="B107" s="4" t="s">
        <v>751</v>
      </c>
      <c r="D107" s="93">
        <f>SUMIF('305 Inputs'!$A$77:$A$96,"=irr",'305 Inputs'!$J$77:$J$96)</f>
        <v>0</v>
      </c>
      <c r="E107" s="93"/>
      <c r="F107" s="93"/>
      <c r="G107" s="93">
        <f>SUMIF('305 Inputs'!$A$77:$A$96,"=irr",'305 Inputs'!$H$77:$H$96)</f>
        <v>0</v>
      </c>
      <c r="H107" s="93"/>
      <c r="I107" s="93"/>
      <c r="J107" s="93">
        <v>0</v>
      </c>
      <c r="K107" s="93">
        <f>J107</f>
        <v>0</v>
      </c>
      <c r="L107" s="94">
        <v>0</v>
      </c>
      <c r="M107" s="31">
        <f ca="1">'Table 3'!D107</f>
        <v>0</v>
      </c>
      <c r="N107" s="31">
        <f ca="1">'Table 3'!I107</f>
        <v>0</v>
      </c>
      <c r="O107" s="31">
        <f ca="1">'Table 3'!M107</f>
        <v>0</v>
      </c>
      <c r="P107" s="31">
        <f t="shared" ref="P107:P113" ca="1" si="57">N107+O107</f>
        <v>0</v>
      </c>
      <c r="Q107" s="31">
        <f t="shared" ref="Q107:Q113" ca="1" si="58">+P107+M107</f>
        <v>0</v>
      </c>
      <c r="S107" s="12"/>
      <c r="T107" s="12"/>
      <c r="U107" s="16"/>
    </row>
    <row r="108" spans="1:21" s="11" customFormat="1" ht="15.75" customHeight="1">
      <c r="B108" s="4" t="s">
        <v>672</v>
      </c>
      <c r="D108" s="93">
        <f>SUMIF('305 Inputs'!$A$77:$A$96,"=def",'305 Inputs'!$J$77:$J$96)</f>
        <v>0</v>
      </c>
      <c r="E108" s="93"/>
      <c r="F108" s="93"/>
      <c r="G108" s="93">
        <f>SUMIF('305 Inputs'!$A$77:$A$96,"=def",'305 Inputs'!$H$77:$H$96)</f>
        <v>0</v>
      </c>
      <c r="H108" s="93"/>
      <c r="I108" s="93"/>
      <c r="J108" s="93">
        <v>0</v>
      </c>
      <c r="K108" s="93">
        <f t="shared" ref="K108:K113" si="59">J108</f>
        <v>0</v>
      </c>
      <c r="L108" s="94">
        <v>0</v>
      </c>
      <c r="M108" s="31">
        <f ca="1">'Table 3'!D108</f>
        <v>-120000</v>
      </c>
      <c r="N108" s="31">
        <f ca="1">'Table 3'!I108</f>
        <v>120000</v>
      </c>
      <c r="O108" s="31">
        <f ca="1">'Table 3'!M108</f>
        <v>0</v>
      </c>
      <c r="P108" s="31">
        <f t="shared" ca="1" si="57"/>
        <v>120000</v>
      </c>
      <c r="Q108" s="31">
        <f t="shared" ca="1" si="58"/>
        <v>0</v>
      </c>
      <c r="S108" s="12"/>
      <c r="T108" s="12"/>
      <c r="U108" s="16"/>
    </row>
    <row r="109" spans="1:21" ht="15.75" customHeight="1">
      <c r="B109" s="4" t="s">
        <v>750</v>
      </c>
      <c r="D109" s="93">
        <f>SUMIF('305 Inputs'!$A$77:$A$96,"=rev",'305 Inputs'!$J$77:$J$96)</f>
        <v>0</v>
      </c>
      <c r="E109" s="93"/>
      <c r="F109" s="93"/>
      <c r="G109" s="93">
        <f>SUMIF('305 Inputs'!$A$77:$A$96,"=rev",'305 Inputs'!$H$77:$H$96)</f>
        <v>0</v>
      </c>
      <c r="H109" s="93"/>
      <c r="I109" s="93"/>
      <c r="J109" s="93">
        <v>0</v>
      </c>
      <c r="K109" s="93">
        <f t="shared" si="59"/>
        <v>0</v>
      </c>
      <c r="L109" s="94">
        <v>0</v>
      </c>
      <c r="M109" s="29">
        <f ca="1">'Table 3'!D109</f>
        <v>-457544.29</v>
      </c>
      <c r="N109" s="29">
        <f ca="1">'Table 3'!I109</f>
        <v>457544.29</v>
      </c>
      <c r="O109" s="31">
        <f ca="1">'Table 3'!M109</f>
        <v>0</v>
      </c>
      <c r="P109" s="31">
        <f t="shared" ca="1" si="57"/>
        <v>457544.29</v>
      </c>
      <c r="Q109" s="31">
        <f t="shared" ca="1" si="58"/>
        <v>0</v>
      </c>
      <c r="S109" s="8"/>
      <c r="T109" s="8"/>
      <c r="U109" s="55"/>
    </row>
    <row r="110" spans="1:21" s="11" customFormat="1" ht="15.75" customHeight="1">
      <c r="B110" s="4" t="s">
        <v>163</v>
      </c>
      <c r="D110" s="93">
        <v>0</v>
      </c>
      <c r="E110" s="93"/>
      <c r="F110" s="93"/>
      <c r="G110" s="93">
        <f>SUMIF('305 Inputs'!$B$77:$B$96,"=cent",'305 Inputs'!$H$77:$H$96)</f>
        <v>0</v>
      </c>
      <c r="H110" s="93"/>
      <c r="I110" s="93"/>
      <c r="J110" s="93">
        <v>0</v>
      </c>
      <c r="K110" s="93">
        <f t="shared" si="59"/>
        <v>0</v>
      </c>
      <c r="L110" s="94">
        <f>G110+K110</f>
        <v>0</v>
      </c>
      <c r="M110" s="31">
        <f ca="1">'Table 3'!D110</f>
        <v>450938.03</v>
      </c>
      <c r="N110" s="31">
        <f ca="1">'Table 3'!I110</f>
        <v>-450938.03</v>
      </c>
      <c r="O110" s="31">
        <f ca="1">'Table 3'!M110</f>
        <v>0</v>
      </c>
      <c r="P110" s="31">
        <f t="shared" ca="1" si="57"/>
        <v>-450938.03</v>
      </c>
      <c r="Q110" s="31">
        <f t="shared" ca="1" si="58"/>
        <v>0</v>
      </c>
      <c r="S110" s="12"/>
      <c r="T110" s="12"/>
      <c r="U110" s="16"/>
    </row>
    <row r="111" spans="1:21" s="11" customFormat="1" ht="15.75" customHeight="1">
      <c r="B111" s="4" t="s">
        <v>177</v>
      </c>
      <c r="D111" s="93">
        <v>0</v>
      </c>
      <c r="E111" s="93"/>
      <c r="F111" s="93"/>
      <c r="G111" s="93">
        <f>SUMIF('305 Inputs'!$B$77:$B$96,"=merger",'305 Inputs'!$H$77:$H$96)</f>
        <v>0</v>
      </c>
      <c r="H111" s="93"/>
      <c r="I111" s="93"/>
      <c r="J111" s="93">
        <v>0</v>
      </c>
      <c r="K111" s="93">
        <f t="shared" si="59"/>
        <v>0</v>
      </c>
      <c r="L111" s="94">
        <f>G111+K111</f>
        <v>0</v>
      </c>
      <c r="M111" s="31">
        <f ca="1">'Table 3'!D111</f>
        <v>85.09</v>
      </c>
      <c r="N111" s="31">
        <f ca="1">'Table 3'!I111</f>
        <v>-85.09</v>
      </c>
      <c r="O111" s="31">
        <f ca="1">'Table 3'!M111</f>
        <v>0</v>
      </c>
      <c r="P111" s="31">
        <f t="shared" ca="1" si="57"/>
        <v>-85.09</v>
      </c>
      <c r="Q111" s="31">
        <f t="shared" ca="1" si="58"/>
        <v>0</v>
      </c>
      <c r="S111" s="12"/>
      <c r="T111" s="12"/>
      <c r="U111" s="16"/>
    </row>
    <row r="112" spans="1:21" s="11" customFormat="1" ht="15.75" customHeight="1">
      <c r="B112" s="4" t="s">
        <v>96</v>
      </c>
      <c r="D112" s="93">
        <v>0</v>
      </c>
      <c r="E112" s="93"/>
      <c r="F112" s="93"/>
      <c r="G112" s="93">
        <f>SUMIF('305 Inputs'!$B$77:$B$96,"=bpa",'305 Inputs'!$H$77:$H$96)</f>
        <v>0</v>
      </c>
      <c r="H112" s="93"/>
      <c r="I112" s="93"/>
      <c r="J112" s="93">
        <v>0</v>
      </c>
      <c r="K112" s="93">
        <f t="shared" si="59"/>
        <v>0</v>
      </c>
      <c r="L112" s="94">
        <f>G112+K112</f>
        <v>0</v>
      </c>
      <c r="M112" s="31">
        <f ca="1">'Table 3'!D112</f>
        <v>81144.960000000006</v>
      </c>
      <c r="N112" s="31">
        <f ca="1">'Table 3'!I112</f>
        <v>-81144.960000000006</v>
      </c>
      <c r="O112" s="31">
        <f ca="1">'Table 3'!M112</f>
        <v>0</v>
      </c>
      <c r="P112" s="31">
        <f t="shared" ca="1" si="57"/>
        <v>-81144.960000000006</v>
      </c>
      <c r="Q112" s="31">
        <f t="shared" ca="1" si="58"/>
        <v>0</v>
      </c>
      <c r="S112" s="12"/>
      <c r="T112" s="12"/>
      <c r="U112" s="16"/>
    </row>
    <row r="113" spans="1:21" s="11" customFormat="1" ht="15.75" customHeight="1">
      <c r="B113" s="4" t="s">
        <v>164</v>
      </c>
      <c r="D113" s="93">
        <v>0</v>
      </c>
      <c r="E113" s="93"/>
      <c r="F113" s="93"/>
      <c r="G113" s="93">
        <f>SUMIF('305 Inputs'!$A$77:$A$96,"=bpaadj",'305 Inputs'!$H$77:$H$96)</f>
        <v>0</v>
      </c>
      <c r="H113" s="93"/>
      <c r="I113" s="93"/>
      <c r="J113" s="93">
        <v>0</v>
      </c>
      <c r="K113" s="93">
        <f t="shared" si="59"/>
        <v>0</v>
      </c>
      <c r="L113" s="94">
        <f>G113+K113</f>
        <v>0</v>
      </c>
      <c r="M113" s="31">
        <f ca="1">'Table 3'!D113</f>
        <v>31076.54</v>
      </c>
      <c r="N113" s="31">
        <f ca="1">'Table 3'!I113</f>
        <v>-31076.54</v>
      </c>
      <c r="O113" s="31">
        <f ca="1">'Table 3'!M113</f>
        <v>0</v>
      </c>
      <c r="P113" s="31">
        <f t="shared" ca="1" si="57"/>
        <v>-31076.54</v>
      </c>
      <c r="Q113" s="31">
        <f t="shared" ca="1" si="58"/>
        <v>0</v>
      </c>
      <c r="S113" s="12"/>
      <c r="T113" s="12"/>
      <c r="U113" s="16"/>
    </row>
    <row r="114" spans="1:21" ht="15.75" customHeight="1">
      <c r="D114" s="32"/>
      <c r="E114" s="32"/>
      <c r="F114" s="32"/>
      <c r="G114" s="32"/>
      <c r="H114" s="32"/>
      <c r="I114" s="32"/>
      <c r="J114" s="9"/>
      <c r="K114" s="9"/>
      <c r="L114" s="48"/>
      <c r="M114" s="29"/>
      <c r="N114" s="29"/>
      <c r="O114" s="29"/>
      <c r="P114" s="29"/>
      <c r="Q114" s="29"/>
      <c r="S114" s="8"/>
      <c r="T114" s="8"/>
      <c r="U114" s="55"/>
    </row>
    <row r="115" spans="1:21" s="11" customFormat="1" ht="15.75" customHeight="1">
      <c r="B115" s="4" t="s">
        <v>80</v>
      </c>
      <c r="D115" s="93">
        <v>0</v>
      </c>
      <c r="E115" s="93"/>
      <c r="F115" s="93"/>
      <c r="G115" s="93">
        <f>SUMIF('305 Inputs'!$B$77:$B$96,"=unbilled",'305 Inputs'!$H$77:$H$96)</f>
        <v>-212000</v>
      </c>
      <c r="H115" s="93">
        <f>-G115</f>
        <v>212000</v>
      </c>
      <c r="I115" s="93"/>
      <c r="J115" s="93">
        <v>0</v>
      </c>
      <c r="K115" s="93">
        <f>H115+I115+J115</f>
        <v>212000</v>
      </c>
      <c r="L115" s="94">
        <f>G115+K115</f>
        <v>0</v>
      </c>
      <c r="M115" s="31">
        <f ca="1">'Table 3'!D115</f>
        <v>-33000</v>
      </c>
      <c r="N115" s="31">
        <f ca="1">'Table 3'!I115</f>
        <v>33000</v>
      </c>
      <c r="O115" s="31">
        <f ca="1">'Table 3'!M115</f>
        <v>0</v>
      </c>
      <c r="P115" s="31">
        <f t="shared" ref="P115" ca="1" si="60">N115+O115</f>
        <v>33000</v>
      </c>
      <c r="Q115" s="31">
        <f ca="1">+P115+M115</f>
        <v>0</v>
      </c>
      <c r="S115" s="12"/>
      <c r="T115" s="12"/>
      <c r="U115" s="16"/>
    </row>
    <row r="116" spans="1:21" ht="15.75" customHeight="1">
      <c r="B116" s="915"/>
      <c r="D116" s="32"/>
      <c r="E116" s="32"/>
      <c r="F116" s="32"/>
      <c r="G116" s="32"/>
      <c r="H116" s="32"/>
      <c r="I116" s="32"/>
      <c r="J116" s="32"/>
      <c r="K116" s="32"/>
      <c r="L116" s="92"/>
      <c r="M116" s="29"/>
      <c r="N116" s="29"/>
      <c r="O116" s="29"/>
      <c r="P116" s="29"/>
      <c r="Q116" s="29"/>
      <c r="S116" s="8"/>
      <c r="T116" s="8"/>
      <c r="U116" s="55"/>
    </row>
    <row r="117" spans="1:21" ht="15.75" customHeight="1">
      <c r="B117" s="33" t="s">
        <v>9</v>
      </c>
      <c r="C117" s="34"/>
      <c r="D117" s="97">
        <f t="shared" ref="D117:Q117" si="61">D103+D105+SUM(D107:D115)</f>
        <v>5259.5833333333358</v>
      </c>
      <c r="E117" s="97">
        <f t="shared" si="61"/>
        <v>-12.553351357419189</v>
      </c>
      <c r="F117" s="97">
        <f t="shared" si="61"/>
        <v>5247.0299819759166</v>
      </c>
      <c r="G117" s="97">
        <f>G103+G105+SUM(G107:G115)</f>
        <v>161182919</v>
      </c>
      <c r="H117" s="97">
        <f>H103+H105+SUM(H107:H115)</f>
        <v>0</v>
      </c>
      <c r="I117" s="97">
        <f>I103+I105+SUM(I107:I115)</f>
        <v>-36750</v>
      </c>
      <c r="J117" s="97">
        <f t="shared" si="61"/>
        <v>-12612802.441529689</v>
      </c>
      <c r="K117" s="97">
        <f t="shared" si="61"/>
        <v>-12649552.441529689</v>
      </c>
      <c r="L117" s="97">
        <f t="shared" si="61"/>
        <v>148533366.55847031</v>
      </c>
      <c r="M117" s="37">
        <f t="shared" ca="1" si="61"/>
        <v>12823928.670000002</v>
      </c>
      <c r="N117" s="37">
        <f t="shared" ca="1" si="61"/>
        <v>-613116.83186092717</v>
      </c>
      <c r="O117" s="37">
        <f t="shared" ca="1" si="61"/>
        <v>690680.33186092565</v>
      </c>
      <c r="P117" s="37">
        <f t="shared" ca="1" si="61"/>
        <v>77563.499999998443</v>
      </c>
      <c r="Q117" s="37">
        <f t="shared" ca="1" si="61"/>
        <v>12901492.17</v>
      </c>
      <c r="S117" s="8"/>
      <c r="T117" s="8"/>
      <c r="U117" s="55"/>
    </row>
    <row r="118" spans="1:21" ht="15.75" customHeight="1">
      <c r="B118" s="915"/>
      <c r="D118" s="32"/>
      <c r="E118" s="32"/>
      <c r="F118" s="32"/>
      <c r="G118" s="32"/>
      <c r="H118" s="32"/>
      <c r="I118" s="32"/>
      <c r="J118" s="32"/>
      <c r="K118" s="32"/>
      <c r="L118" s="92"/>
      <c r="M118" s="29"/>
      <c r="N118" s="29"/>
      <c r="O118" s="29"/>
      <c r="P118" s="29"/>
      <c r="Q118" s="29"/>
      <c r="S118" s="8"/>
      <c r="T118" s="8"/>
      <c r="U118" s="55"/>
    </row>
    <row r="119" spans="1:21" ht="15.75" customHeight="1">
      <c r="A119" s="5" t="s">
        <v>36</v>
      </c>
      <c r="B119" s="915"/>
      <c r="D119" s="32"/>
      <c r="E119" s="32"/>
      <c r="F119" s="32"/>
      <c r="G119" s="32"/>
      <c r="H119" s="32"/>
      <c r="I119" s="32"/>
      <c r="J119" s="9"/>
      <c r="K119" s="9"/>
      <c r="L119" s="48"/>
      <c r="M119" s="29"/>
      <c r="N119" s="29"/>
      <c r="O119" s="29"/>
      <c r="P119" s="29"/>
      <c r="Q119" s="29"/>
      <c r="U119" s="55"/>
    </row>
    <row r="120" spans="1:21" ht="15.75" customHeight="1">
      <c r="A120" s="5"/>
      <c r="B120" s="915"/>
      <c r="D120" s="32"/>
      <c r="E120" s="32"/>
      <c r="F120" s="32"/>
      <c r="G120" s="32"/>
      <c r="H120" s="32"/>
      <c r="I120" s="32"/>
      <c r="J120" s="9"/>
      <c r="K120" s="9"/>
      <c r="L120" s="48"/>
      <c r="M120" s="29"/>
      <c r="N120" s="29"/>
      <c r="O120" s="29"/>
      <c r="P120" s="29"/>
      <c r="Q120" s="29"/>
      <c r="U120" s="55"/>
    </row>
    <row r="121" spans="1:21" ht="15.75" customHeight="1">
      <c r="B121" s="915" t="s">
        <v>61</v>
      </c>
      <c r="D121" s="32">
        <f>SUMIF('305 Inputs'!A101:A110,"=52",'305 Inputs'!J101:J110)</f>
        <v>15</v>
      </c>
      <c r="E121" s="32">
        <f t="shared" ref="E121:E126" si="62">F121-D121</f>
        <v>0</v>
      </c>
      <c r="F121" s="32">
        <f>'Rate Design Work'!C1150/12</f>
        <v>15</v>
      </c>
      <c r="G121" s="32">
        <f>SUMIF('305 Inputs'!$A$101:$A$110,"=52",'305 Inputs'!H$101:H$110)</f>
        <v>219864</v>
      </c>
      <c r="H121" s="32">
        <f>'Normalized Monthly kWh'!AC38</f>
        <v>-21520.392182337586</v>
      </c>
      <c r="I121" s="32">
        <f>'305 VS COGNOS kWh'!E51+'305 VS COGNOS kWh'!K51</f>
        <v>-2.7479418890143279</v>
      </c>
      <c r="J121" s="32">
        <v>0</v>
      </c>
      <c r="K121" s="32">
        <f t="shared" ref="K121:K126" si="63">H121+I121+J121</f>
        <v>-21523.1401242266</v>
      </c>
      <c r="L121" s="92">
        <f t="shared" ref="L121:L126" si="64">G121+K121</f>
        <v>198340.8598757734</v>
      </c>
      <c r="M121" s="29">
        <f>'Table 3'!D121</f>
        <v>37772.9</v>
      </c>
      <c r="N121" s="29">
        <f ca="1">'Table 3'!I121</f>
        <v>-4261.0910453758434</v>
      </c>
      <c r="O121" s="29">
        <f>'Table 3'!M121</f>
        <v>4.176417930284515E-2</v>
      </c>
      <c r="P121" s="29">
        <f ca="1">N121+O121</f>
        <v>-4261.0492811965405</v>
      </c>
      <c r="Q121" s="29">
        <f t="shared" ref="Q121:Q127" ca="1" si="65">+P121+M121</f>
        <v>33511.850718803464</v>
      </c>
      <c r="S121" s="8"/>
      <c r="T121" s="8"/>
      <c r="U121" s="55"/>
    </row>
    <row r="122" spans="1:21" ht="15.75" customHeight="1">
      <c r="B122" s="915" t="s">
        <v>62</v>
      </c>
      <c r="D122" s="32">
        <f>SUMIF('305 Inputs'!$A$101:$A$110,"=53f",'305 Inputs'!J101:J110)</f>
        <v>112.25</v>
      </c>
      <c r="E122" s="32">
        <f t="shared" si="62"/>
        <v>-8.3333333333328596E-2</v>
      </c>
      <c r="F122" s="32">
        <f>'Rate Design Work'!C1194/12</f>
        <v>112.16666666666667</v>
      </c>
      <c r="G122" s="32">
        <f>SUMIF('305 Inputs'!$A$101:$A$110,"=53f",'305 Inputs'!H$101:H$110)</f>
        <v>3235066</v>
      </c>
      <c r="H122" s="32">
        <f>'Normalized Monthly kWh'!AC39</f>
        <v>-338730.70309951692</v>
      </c>
      <c r="I122" s="32">
        <f>'305 VS COGNOS kWh'!E52+'305 VS COGNOS kWh'!K52</f>
        <v>225547.35049026253</v>
      </c>
      <c r="J122" s="32">
        <v>0</v>
      </c>
      <c r="K122" s="32">
        <f t="shared" si="63"/>
        <v>-113183.35260925439</v>
      </c>
      <c r="L122" s="92">
        <f t="shared" si="64"/>
        <v>3121882.6473907456</v>
      </c>
      <c r="M122" s="29">
        <f>'Table 3'!D122</f>
        <v>232145.18</v>
      </c>
      <c r="N122" s="29">
        <f ca="1">'Table 3'!I122</f>
        <v>-16928.884110111387</v>
      </c>
      <c r="O122" s="29">
        <f>'Table 3'!M122</f>
        <v>-9.0125226808304433</v>
      </c>
      <c r="P122" s="29">
        <f t="shared" ref="P122:P127" ca="1" si="66">N122+O122</f>
        <v>-16937.896632792217</v>
      </c>
      <c r="Q122" s="29">
        <f t="shared" ca="1" si="65"/>
        <v>215207.28336720777</v>
      </c>
      <c r="S122" s="8"/>
      <c r="T122" s="8"/>
      <c r="U122" s="55"/>
    </row>
    <row r="123" spans="1:21" ht="15.75" customHeight="1">
      <c r="B123" s="915" t="s">
        <v>63</v>
      </c>
      <c r="D123" s="32">
        <f>SUMIF('305 Inputs'!$A$101:$A$110,"=53m",'305 Inputs'!J101:J110)</f>
        <v>105</v>
      </c>
      <c r="E123" s="32">
        <f t="shared" si="62"/>
        <v>-8.3333333333328596E-2</v>
      </c>
      <c r="F123" s="32">
        <f>'Rate Design Work'!C1207/12</f>
        <v>104.91666666666667</v>
      </c>
      <c r="G123" s="32">
        <f>SUMIF('305 Inputs'!$A$101:$A$110,"=53m",'305 Inputs'!H$101:H$110)</f>
        <v>1152902</v>
      </c>
      <c r="H123" s="32">
        <f>'Normalized Monthly kWh'!AC40</f>
        <v>-112849.8625519293</v>
      </c>
      <c r="I123" s="32">
        <f>'305 VS COGNOS kWh'!E53+'305 VS COGNOS kWh'!K53</f>
        <v>19</v>
      </c>
      <c r="J123" s="32">
        <v>0</v>
      </c>
      <c r="K123" s="32">
        <f t="shared" si="63"/>
        <v>-112830.8625519293</v>
      </c>
      <c r="L123" s="92">
        <f t="shared" si="64"/>
        <v>1040071.1374480707</v>
      </c>
      <c r="M123" s="29">
        <f>'Table 3'!D123</f>
        <v>81926.52</v>
      </c>
      <c r="N123" s="29">
        <f ca="1">'Table 3'!I123</f>
        <v>-10904.424413765702</v>
      </c>
      <c r="O123" s="29">
        <f>'Table 3'!M123</f>
        <v>-9.1929999907733873E-2</v>
      </c>
      <c r="P123" s="29">
        <f t="shared" ca="1" si="66"/>
        <v>-10904.51634376561</v>
      </c>
      <c r="Q123" s="29">
        <f t="shared" ca="1" si="65"/>
        <v>71022.003656234388</v>
      </c>
      <c r="S123" s="8"/>
      <c r="T123" s="8"/>
      <c r="U123" s="55"/>
    </row>
    <row r="124" spans="1:21" ht="15.75" customHeight="1">
      <c r="B124" s="915" t="s">
        <v>64</v>
      </c>
      <c r="D124" s="32">
        <f>SUMIF('305 Inputs'!$A$101:$A$110,"=51",'305 Inputs'!J101:J110)</f>
        <v>160.333333333333</v>
      </c>
      <c r="E124" s="32">
        <f t="shared" si="62"/>
        <v>2.6666666666669983</v>
      </c>
      <c r="F124" s="32">
        <f>'Rate Design Work'!C1135/12</f>
        <v>163</v>
      </c>
      <c r="G124" s="32">
        <f>SUMIF('305 Inputs'!$A$101:$A$110,"=51",'305 Inputs'!H$101:H$110)</f>
        <v>3526557</v>
      </c>
      <c r="H124" s="32">
        <f>'Normalized Monthly kWh'!AC41</f>
        <v>-345752.19227076345</v>
      </c>
      <c r="I124" s="32">
        <f>'305 VS COGNOS kWh'!E54+'305 VS COGNOS kWh'!K54</f>
        <v>5790.7960070017725</v>
      </c>
      <c r="J124" s="32">
        <v>0</v>
      </c>
      <c r="K124" s="32">
        <f t="shared" si="63"/>
        <v>-339961.39626376168</v>
      </c>
      <c r="L124" s="92">
        <f t="shared" si="64"/>
        <v>3186595.6037362386</v>
      </c>
      <c r="M124" s="29">
        <f>'Table 3'!D124</f>
        <v>697459.73</v>
      </c>
      <c r="N124" s="29">
        <f ca="1">'Table 3'!I124</f>
        <v>-76479.78928306853</v>
      </c>
      <c r="O124" s="29">
        <f>'Table 3'!M124</f>
        <v>0.95310839451849461</v>
      </c>
      <c r="P124" s="29">
        <f t="shared" ca="1" si="66"/>
        <v>-76478.836174674012</v>
      </c>
      <c r="Q124" s="29">
        <f t="shared" ca="1" si="65"/>
        <v>620980.893825326</v>
      </c>
      <c r="S124" s="8"/>
      <c r="T124" s="8"/>
      <c r="U124" s="55"/>
    </row>
    <row r="125" spans="1:21" s="11" customFormat="1" ht="15.75" customHeight="1">
      <c r="B125" s="915" t="s">
        <v>65</v>
      </c>
      <c r="D125" s="32">
        <f>SUMIF('305 Inputs'!$A$101:$A$110,"=57",'305 Inputs'!J101:J110)</f>
        <v>41.8333333333333</v>
      </c>
      <c r="E125" s="32">
        <f t="shared" si="62"/>
        <v>-7.9166666666666359</v>
      </c>
      <c r="F125" s="32">
        <f>'Rate Design Work'!C1262/12</f>
        <v>33.916666666666664</v>
      </c>
      <c r="G125" s="32">
        <f>SUMIF('305 Inputs'!$A$101:$A$110,"=57",'305 Inputs'!H$101:H$110)</f>
        <v>1939253</v>
      </c>
      <c r="H125" s="32">
        <f>'Normalized Monthly kWh'!AC42</f>
        <v>-189146.84989545256</v>
      </c>
      <c r="I125" s="32">
        <f>'305 VS COGNOS kWh'!E55+'305 VS COGNOS kWh'!K55</f>
        <v>-6850.3333333330229</v>
      </c>
      <c r="J125" s="32">
        <v>0</v>
      </c>
      <c r="K125" s="32">
        <f t="shared" si="63"/>
        <v>-195997.18322878558</v>
      </c>
      <c r="L125" s="92">
        <f t="shared" si="64"/>
        <v>1743255.8167712144</v>
      </c>
      <c r="M125" s="29">
        <f>'Table 3'!D125</f>
        <v>241433.75</v>
      </c>
      <c r="N125" s="29">
        <f ca="1">'Table 3'!I125</f>
        <v>-28523.532523843754</v>
      </c>
      <c r="O125" s="29">
        <f>'Table 3'!M125</f>
        <v>-0.16070157958893105</v>
      </c>
      <c r="P125" s="29">
        <f t="shared" ca="1" si="66"/>
        <v>-28523.693225423343</v>
      </c>
      <c r="Q125" s="29">
        <f t="shared" ca="1" si="65"/>
        <v>212910.05677457666</v>
      </c>
      <c r="S125" s="12"/>
      <c r="T125" s="12"/>
      <c r="U125" s="16"/>
    </row>
    <row r="126" spans="1:21" s="11" customFormat="1" ht="15.75" customHeight="1">
      <c r="B126" s="915" t="s">
        <v>752</v>
      </c>
      <c r="D126" s="93">
        <f>SUMIF('305 Inputs'!$A$101:$A$110,"=12",'305 Inputs'!J101:J110)</f>
        <v>0</v>
      </c>
      <c r="E126" s="93">
        <f t="shared" si="62"/>
        <v>0</v>
      </c>
      <c r="F126" s="93">
        <v>0</v>
      </c>
      <c r="G126" s="93">
        <f>SUMIF('305 Inputs'!$A$101:$A$110,"=12",'305 Inputs'!H$101:H$110)</f>
        <v>0</v>
      </c>
      <c r="H126" s="93">
        <v>0</v>
      </c>
      <c r="I126" s="93">
        <v>0</v>
      </c>
      <c r="J126" s="93">
        <v>0</v>
      </c>
      <c r="K126" s="93">
        <f t="shared" si="63"/>
        <v>0</v>
      </c>
      <c r="L126" s="94">
        <f t="shared" si="64"/>
        <v>0</v>
      </c>
      <c r="M126" s="31">
        <f>'Table 3'!D126</f>
        <v>0</v>
      </c>
      <c r="N126" s="31">
        <f ca="1">'Table 3'!I126</f>
        <v>0</v>
      </c>
      <c r="O126" s="31">
        <f ca="1">'Table 3'!M126</f>
        <v>0</v>
      </c>
      <c r="P126" s="31">
        <f t="shared" ca="1" si="66"/>
        <v>0</v>
      </c>
      <c r="Q126" s="31">
        <f t="shared" ca="1" si="65"/>
        <v>0</v>
      </c>
      <c r="S126" s="12"/>
      <c r="T126" s="12"/>
      <c r="U126" s="16"/>
    </row>
    <row r="127" spans="1:21" ht="15.75" customHeight="1">
      <c r="B127" s="4" t="s">
        <v>69</v>
      </c>
      <c r="D127" s="32">
        <f t="shared" ref="D127:N127" si="67">SUM(D121:D126)</f>
        <v>434.41666666666634</v>
      </c>
      <c r="E127" s="32">
        <f t="shared" si="67"/>
        <v>-5.4166666666662948</v>
      </c>
      <c r="F127" s="32">
        <f t="shared" si="67"/>
        <v>429.00000000000006</v>
      </c>
      <c r="G127" s="32">
        <f t="shared" si="67"/>
        <v>10073642</v>
      </c>
      <c r="H127" s="32">
        <f t="shared" si="67"/>
        <v>-1007999.9999999998</v>
      </c>
      <c r="I127" s="32">
        <f t="shared" si="67"/>
        <v>224504.06522204226</v>
      </c>
      <c r="J127" s="32">
        <f t="shared" si="67"/>
        <v>0</v>
      </c>
      <c r="K127" s="32">
        <f t="shared" si="67"/>
        <v>-783495.93477795762</v>
      </c>
      <c r="L127" s="92">
        <f t="shared" si="67"/>
        <v>9290146.0652220435</v>
      </c>
      <c r="M127" s="29">
        <f t="shared" si="67"/>
        <v>1290738.08</v>
      </c>
      <c r="N127" s="29">
        <f t="shared" ca="1" si="67"/>
        <v>-137097.72137616522</v>
      </c>
      <c r="O127" s="29">
        <f t="shared" ref="O127" ca="1" si="68">SUM(O121:O126)</f>
        <v>-8.2702816865057684</v>
      </c>
      <c r="P127" s="29">
        <f t="shared" ca="1" si="66"/>
        <v>-137105.99165785173</v>
      </c>
      <c r="Q127" s="29">
        <f t="shared" ca="1" si="65"/>
        <v>1153632.0883421483</v>
      </c>
      <c r="S127" s="8"/>
      <c r="T127" s="8"/>
      <c r="U127" s="55"/>
    </row>
    <row r="128" spans="1:21" ht="15.75" customHeight="1">
      <c r="D128" s="32"/>
      <c r="E128" s="32"/>
      <c r="F128" s="32"/>
      <c r="G128" s="32"/>
      <c r="H128" s="32"/>
      <c r="I128" s="32"/>
      <c r="J128" s="9"/>
      <c r="K128" s="9"/>
      <c r="L128" s="48"/>
      <c r="M128" s="29"/>
      <c r="N128" s="29"/>
      <c r="O128" s="29"/>
      <c r="P128" s="29"/>
      <c r="Q128" s="29"/>
      <c r="S128" s="8"/>
      <c r="T128" s="8"/>
      <c r="U128" s="55"/>
    </row>
    <row r="129" spans="1:21" ht="15.75" customHeight="1">
      <c r="B129" s="915" t="s">
        <v>34</v>
      </c>
      <c r="D129" s="93">
        <v>0</v>
      </c>
      <c r="E129" s="93"/>
      <c r="F129" s="93"/>
      <c r="G129" s="93">
        <f>SUMIF('305 Inputs'!$A$101:$A$110,"=aga",'305 Inputs'!H$101:H$110)</f>
        <v>0</v>
      </c>
      <c r="H129" s="93"/>
      <c r="I129" s="93"/>
      <c r="J129" s="93">
        <v>0</v>
      </c>
      <c r="K129" s="93">
        <f>J129</f>
        <v>0</v>
      </c>
      <c r="L129" s="94">
        <f>G129+K129</f>
        <v>0</v>
      </c>
      <c r="M129" s="31">
        <f>'Table 3'!D129</f>
        <v>90.84</v>
      </c>
      <c r="N129" s="31">
        <f>'Table 3'!I129</f>
        <v>0</v>
      </c>
      <c r="O129" s="31">
        <f>'Table 3'!M129</f>
        <v>0</v>
      </c>
      <c r="P129" s="31">
        <f t="shared" ref="P129" si="69">N129+O129</f>
        <v>0</v>
      </c>
      <c r="Q129" s="31">
        <f>+P129+M129</f>
        <v>90.84</v>
      </c>
      <c r="S129" s="8"/>
      <c r="T129" s="8"/>
      <c r="U129" s="55"/>
    </row>
    <row r="130" spans="1:21" ht="15.75" customHeight="1">
      <c r="B130" s="915"/>
      <c r="D130" s="93"/>
      <c r="E130" s="93"/>
      <c r="F130" s="93"/>
      <c r="G130" s="93"/>
      <c r="H130" s="93"/>
      <c r="I130" s="93"/>
      <c r="J130" s="93"/>
      <c r="K130" s="93"/>
      <c r="L130" s="94"/>
      <c r="M130" s="31"/>
      <c r="N130" s="31"/>
      <c r="O130" s="31"/>
      <c r="P130" s="31"/>
      <c r="Q130" s="31"/>
      <c r="S130" s="8"/>
      <c r="T130" s="8"/>
      <c r="U130" s="55"/>
    </row>
    <row r="131" spans="1:21" ht="15.75" customHeight="1">
      <c r="B131" s="4" t="s">
        <v>672</v>
      </c>
      <c r="D131" s="93">
        <f>SUMIF('305 Inputs'!$A$101:$A$110,"=def",'305 Inputs'!J101:J110)</f>
        <v>0</v>
      </c>
      <c r="E131" s="93"/>
      <c r="F131" s="93"/>
      <c r="G131" s="93">
        <f>SUMIF('305 Inputs'!$A$101:$A$110,"=def",'305 Inputs'!H$101:H$110)</f>
        <v>0</v>
      </c>
      <c r="H131" s="93"/>
      <c r="I131" s="93"/>
      <c r="J131" s="93">
        <v>0</v>
      </c>
      <c r="K131" s="93">
        <f>J131</f>
        <v>0</v>
      </c>
      <c r="L131" s="94">
        <v>0</v>
      </c>
      <c r="M131" s="31">
        <f>'Table 3'!D131</f>
        <v>-30000</v>
      </c>
      <c r="N131" s="31">
        <f>'Table 3'!F131</f>
        <v>30000</v>
      </c>
      <c r="O131" s="31">
        <f>'Table 3'!M131</f>
        <v>0</v>
      </c>
      <c r="P131" s="31">
        <f t="shared" ref="P131:P133" si="70">N131+O131</f>
        <v>30000</v>
      </c>
      <c r="Q131" s="31">
        <f>+P131+M131</f>
        <v>0</v>
      </c>
      <c r="S131" s="8"/>
      <c r="T131" s="8"/>
      <c r="U131" s="55"/>
    </row>
    <row r="132" spans="1:21" ht="15.75" customHeight="1">
      <c r="B132" s="4" t="s">
        <v>750</v>
      </c>
      <c r="D132" s="93">
        <f>SUMIF('305 Inputs'!$A$101:$A$110,"=rev",'305 Inputs'!J101:J110)</f>
        <v>0</v>
      </c>
      <c r="E132" s="93"/>
      <c r="F132" s="93"/>
      <c r="G132" s="93">
        <f>SUMIF('305 Inputs'!$A$101:$A$110,"=rev",'305 Inputs'!H$101:H$110)</f>
        <v>0</v>
      </c>
      <c r="H132" s="93"/>
      <c r="I132" s="93"/>
      <c r="J132" s="93">
        <v>0</v>
      </c>
      <c r="K132" s="93">
        <f>J132</f>
        <v>0</v>
      </c>
      <c r="L132" s="94">
        <v>0</v>
      </c>
      <c r="M132" s="31">
        <f>'Table 3'!D132</f>
        <v>-27450.3</v>
      </c>
      <c r="N132" s="31">
        <f>'Table 3'!F132</f>
        <v>27450.3</v>
      </c>
      <c r="O132" s="31">
        <f>'Table 3'!M132</f>
        <v>0</v>
      </c>
      <c r="P132" s="31">
        <f t="shared" si="70"/>
        <v>27450.3</v>
      </c>
      <c r="Q132" s="31">
        <f>+P132+M132</f>
        <v>0</v>
      </c>
      <c r="S132" s="8"/>
      <c r="T132" s="8"/>
      <c r="U132" s="55"/>
    </row>
    <row r="133" spans="1:21" ht="15.75" customHeight="1">
      <c r="B133" s="4" t="s">
        <v>163</v>
      </c>
      <c r="D133" s="93">
        <v>0</v>
      </c>
      <c r="E133" s="93"/>
      <c r="F133" s="93"/>
      <c r="G133" s="93">
        <f>SUMIF('305 Inputs'!$B$101:$B$110,"=cent",'305 Inputs'!$H$101:$H$110)</f>
        <v>0</v>
      </c>
      <c r="H133" s="93"/>
      <c r="I133" s="93"/>
      <c r="J133" s="93">
        <v>0</v>
      </c>
      <c r="K133" s="93">
        <f>J133</f>
        <v>0</v>
      </c>
      <c r="L133" s="94">
        <f>G133+K133</f>
        <v>0</v>
      </c>
      <c r="M133" s="31">
        <f>'Table 3'!D133</f>
        <v>26850.98</v>
      </c>
      <c r="N133" s="31">
        <f>'Table 3'!I133</f>
        <v>-26850.98</v>
      </c>
      <c r="O133" s="31">
        <f>'Table 3'!M133</f>
        <v>0</v>
      </c>
      <c r="P133" s="31">
        <f t="shared" si="70"/>
        <v>-26850.98</v>
      </c>
      <c r="Q133" s="31">
        <f>+P133+M133</f>
        <v>0</v>
      </c>
      <c r="S133" s="8"/>
      <c r="T133" s="8"/>
      <c r="U133" s="55"/>
    </row>
    <row r="134" spans="1:21" ht="15.75" customHeight="1">
      <c r="B134" s="11"/>
      <c r="D134" s="32"/>
      <c r="E134" s="32"/>
      <c r="F134" s="32"/>
      <c r="G134" s="32"/>
      <c r="H134" s="32"/>
      <c r="I134" s="32"/>
      <c r="J134" s="9"/>
      <c r="K134" s="9"/>
      <c r="L134" s="48"/>
      <c r="M134" s="29"/>
      <c r="N134" s="663"/>
      <c r="O134" s="663"/>
      <c r="P134" s="663"/>
      <c r="Q134" s="8"/>
      <c r="S134" s="8"/>
      <c r="T134" s="8"/>
      <c r="U134" s="55"/>
    </row>
    <row r="135" spans="1:21" s="11" customFormat="1" ht="15.75" customHeight="1">
      <c r="B135" s="4" t="s">
        <v>80</v>
      </c>
      <c r="D135" s="93">
        <v>0</v>
      </c>
      <c r="E135" s="93"/>
      <c r="F135" s="93"/>
      <c r="G135" s="93">
        <f>SUMIF('305 Inputs'!$B$101:$B$110,"=unbilled",'305 Inputs'!$H$101:$H$110)</f>
        <v>-1008000</v>
      </c>
      <c r="H135" s="93">
        <f>-G135</f>
        <v>1008000</v>
      </c>
      <c r="I135" s="93"/>
      <c r="J135" s="93">
        <v>0</v>
      </c>
      <c r="K135" s="93">
        <f>H135+I135+J135</f>
        <v>1008000</v>
      </c>
      <c r="L135" s="94">
        <f>G135+K135</f>
        <v>0</v>
      </c>
      <c r="M135" s="31">
        <f>'Table 3'!D135</f>
        <v>-126000</v>
      </c>
      <c r="N135" s="31">
        <f>'Table 3'!I135</f>
        <v>126000</v>
      </c>
      <c r="O135" s="31">
        <f>'Table 3'!M135</f>
        <v>0</v>
      </c>
      <c r="P135" s="31">
        <f t="shared" ref="P135" si="71">N135+O135</f>
        <v>126000</v>
      </c>
      <c r="Q135" s="31">
        <f>+P135+M135</f>
        <v>0</v>
      </c>
      <c r="S135" s="12"/>
      <c r="T135" s="12"/>
      <c r="U135" s="16"/>
    </row>
    <row r="136" spans="1:21" ht="15.75" customHeight="1">
      <c r="B136" s="11"/>
      <c r="D136" s="32"/>
      <c r="E136" s="32"/>
      <c r="F136" s="32"/>
      <c r="G136" s="32"/>
      <c r="H136" s="32"/>
      <c r="I136" s="32"/>
      <c r="J136" s="9"/>
      <c r="K136" s="9"/>
      <c r="L136" s="48"/>
      <c r="M136" s="29"/>
      <c r="N136" s="663"/>
      <c r="O136" s="663"/>
      <c r="P136" s="663"/>
      <c r="Q136" s="8"/>
      <c r="S136" s="8"/>
      <c r="T136" s="8"/>
      <c r="U136" s="55"/>
    </row>
    <row r="137" spans="1:21" ht="15.75" customHeight="1">
      <c r="B137" s="33" t="s">
        <v>9</v>
      </c>
      <c r="C137" s="34"/>
      <c r="D137" s="97">
        <f t="shared" ref="D137:Q137" si="72">D127+D129+SUM(D131:D135)</f>
        <v>434.41666666666634</v>
      </c>
      <c r="E137" s="97">
        <f t="shared" si="72"/>
        <v>-5.4166666666662948</v>
      </c>
      <c r="F137" s="97">
        <f t="shared" si="72"/>
        <v>429.00000000000006</v>
      </c>
      <c r="G137" s="97">
        <f t="shared" si="72"/>
        <v>9065642</v>
      </c>
      <c r="H137" s="97">
        <f t="shared" si="72"/>
        <v>0</v>
      </c>
      <c r="I137" s="97">
        <f t="shared" si="72"/>
        <v>224504.06522204226</v>
      </c>
      <c r="J137" s="97">
        <f t="shared" si="72"/>
        <v>0</v>
      </c>
      <c r="K137" s="97">
        <f t="shared" si="72"/>
        <v>224504.06522204238</v>
      </c>
      <c r="L137" s="97">
        <f t="shared" si="72"/>
        <v>9290146.0652220435</v>
      </c>
      <c r="M137" s="37">
        <f t="shared" si="72"/>
        <v>1134229.6000000001</v>
      </c>
      <c r="N137" s="37">
        <f t="shared" ca="1" si="72"/>
        <v>19501.598623834783</v>
      </c>
      <c r="O137" s="37">
        <f t="shared" ca="1" si="72"/>
        <v>-8.2702816865057684</v>
      </c>
      <c r="P137" s="37">
        <f t="shared" ca="1" si="72"/>
        <v>19493.328342148277</v>
      </c>
      <c r="Q137" s="37">
        <f t="shared" ca="1" si="72"/>
        <v>1153722.9283421484</v>
      </c>
      <c r="S137" s="8"/>
      <c r="T137" s="8"/>
      <c r="U137" s="55"/>
    </row>
    <row r="138" spans="1:21" ht="15.75" customHeight="1">
      <c r="B138" s="7"/>
      <c r="C138" s="7"/>
      <c r="D138" s="32" t="s">
        <v>31</v>
      </c>
      <c r="E138" s="32"/>
      <c r="F138" s="32"/>
      <c r="G138" s="32"/>
      <c r="H138" s="32"/>
      <c r="I138" s="32"/>
      <c r="J138" s="9"/>
      <c r="K138" s="9"/>
      <c r="L138" s="48"/>
      <c r="M138" s="29" t="s">
        <v>31</v>
      </c>
      <c r="N138" s="9"/>
      <c r="O138" s="9"/>
      <c r="P138" s="9"/>
      <c r="Q138" s="9"/>
      <c r="S138" s="8"/>
      <c r="T138" s="8"/>
      <c r="U138" s="55"/>
    </row>
    <row r="139" spans="1:21" ht="15.75" customHeight="1" thickBot="1">
      <c r="D139" s="32"/>
      <c r="E139" s="32"/>
      <c r="F139" s="32"/>
      <c r="G139" s="32"/>
      <c r="H139" s="32"/>
      <c r="I139" s="32"/>
      <c r="J139" s="9"/>
      <c r="K139" s="9"/>
      <c r="L139" s="48"/>
      <c r="M139" s="29"/>
      <c r="N139" s="9"/>
      <c r="O139" s="9"/>
      <c r="P139" s="9"/>
      <c r="Q139" s="8" t="s">
        <v>31</v>
      </c>
      <c r="S139" s="8"/>
      <c r="T139" s="8"/>
      <c r="U139" s="55"/>
    </row>
    <row r="140" spans="1:21" s="13" customFormat="1" ht="15.75" customHeight="1" thickTop="1" thickBot="1">
      <c r="A140" s="49"/>
      <c r="B140" s="35" t="s">
        <v>9</v>
      </c>
      <c r="C140" s="36"/>
      <c r="D140" s="101">
        <f t="shared" ref="D140:Q140" si="73">D38+D68+D97+D117+D137</f>
        <v>132773.08333333299</v>
      </c>
      <c r="E140" s="101">
        <f t="shared" si="73"/>
        <v>101.02048009693257</v>
      </c>
      <c r="F140" s="101">
        <f t="shared" si="73"/>
        <v>132778.43714676326</v>
      </c>
      <c r="G140" s="101">
        <f t="shared" ca="1" si="73"/>
        <v>4092687972</v>
      </c>
      <c r="H140" s="101">
        <f t="shared" ca="1" si="73"/>
        <v>0</v>
      </c>
      <c r="I140" s="101">
        <f t="shared" si="73"/>
        <v>-3134871.274210725</v>
      </c>
      <c r="J140" s="101">
        <f t="shared" si="73"/>
        <v>-79391667.4521804</v>
      </c>
      <c r="K140" s="101">
        <f t="shared" ca="1" si="73"/>
        <v>-82526538.726391137</v>
      </c>
      <c r="L140" s="102">
        <f t="shared" ca="1" si="73"/>
        <v>4010161433.2736092</v>
      </c>
      <c r="M140" s="39">
        <f t="shared" ca="1" si="73"/>
        <v>310758107.72000009</v>
      </c>
      <c r="N140" s="39">
        <f t="shared" ca="1" si="73"/>
        <v>-6178274.7212789999</v>
      </c>
      <c r="O140" s="39">
        <f t="shared" ca="1" si="73"/>
        <v>17025824.820802085</v>
      </c>
      <c r="P140" s="39">
        <f t="shared" ca="1" si="73"/>
        <v>10847550.099523082</v>
      </c>
      <c r="Q140" s="39">
        <f t="shared" ca="1" si="73"/>
        <v>321605657.8195231</v>
      </c>
      <c r="S140" s="17"/>
      <c r="T140" s="17"/>
      <c r="U140" s="18"/>
    </row>
    <row r="141" spans="1:21" ht="15.75" customHeight="1" thickTop="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41" t="s">
        <v>31</v>
      </c>
      <c r="M141" s="29" t="s">
        <v>31</v>
      </c>
      <c r="N141" s="7" t="s">
        <v>31</v>
      </c>
      <c r="O141" s="7"/>
      <c r="P141" s="7"/>
      <c r="Q141" s="663" t="s">
        <v>31</v>
      </c>
    </row>
    <row r="142" spans="1:21" ht="15.75" customHeight="1">
      <c r="A142" s="7"/>
      <c r="B142" s="7"/>
      <c r="C142" s="7"/>
      <c r="D142" s="7"/>
      <c r="E142" s="7"/>
      <c r="F142" s="7"/>
      <c r="G142" s="32"/>
      <c r="H142" s="32"/>
      <c r="I142" s="32"/>
      <c r="J142" s="7"/>
      <c r="K142" s="7"/>
      <c r="L142" s="88" t="s">
        <v>31</v>
      </c>
      <c r="M142" s="29" t="s">
        <v>31</v>
      </c>
      <c r="N142" s="29"/>
      <c r="O142" s="7"/>
      <c r="P142" s="32"/>
      <c r="Q142" s="7"/>
    </row>
    <row r="143" spans="1:21" ht="15.75" customHeight="1">
      <c r="A143" s="7"/>
      <c r="B143" s="909" t="s">
        <v>753</v>
      </c>
      <c r="C143" s="7"/>
      <c r="D143" s="7"/>
      <c r="E143" s="7"/>
      <c r="F143" s="7" t="s">
        <v>31</v>
      </c>
      <c r="G143" s="32"/>
      <c r="H143" s="32"/>
      <c r="I143" s="32"/>
      <c r="J143" s="7"/>
      <c r="K143" s="7"/>
      <c r="L143" s="7"/>
      <c r="M143" s="7"/>
      <c r="N143" s="7"/>
      <c r="O143" s="7"/>
      <c r="P143" s="29"/>
      <c r="Q143" s="7"/>
    </row>
    <row r="144" spans="1:21" ht="15.75" customHeight="1">
      <c r="A144" s="7"/>
      <c r="B144" s="909" t="s">
        <v>754</v>
      </c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</row>
    <row r="145" spans="2:12" ht="15.75" customHeight="1">
      <c r="B145" s="44" t="s">
        <v>907</v>
      </c>
      <c r="L145" s="7"/>
    </row>
    <row r="146" spans="2:12" ht="15.75" customHeight="1">
      <c r="L146" s="7"/>
    </row>
    <row r="147" spans="2:12" ht="15.75" customHeight="1">
      <c r="B147" s="44"/>
      <c r="L147" s="7"/>
    </row>
  </sheetData>
  <printOptions horizontalCentered="1"/>
  <pageMargins left="0.5" right="0.5" top="1" bottom="1" header="0.5" footer="0.5"/>
  <pageSetup scale="44" fitToHeight="0" orientation="landscape" r:id="rId1"/>
  <headerFooter alignWithMargins="0">
    <oddFooter>&amp;LPrepared by Pricing &amp;D&amp;CPage &amp;P of &amp;N&amp;R&amp;F&amp;A</oddFooter>
  </headerFooter>
  <rowBreaks count="1" manualBreakCount="1">
    <brk id="98" max="12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S158"/>
  <sheetViews>
    <sheetView view="pageBreakPreview" topLeftCell="A3" zoomScale="70" zoomScaleNormal="70" zoomScaleSheetLayoutView="70" workbookViewId="0">
      <pane xSplit="3" ySplit="9" topLeftCell="D108" activePane="bottomRight" state="frozen"/>
      <selection activeCell="F26" sqref="F26"/>
      <selection pane="topRight" activeCell="F26" sqref="F26"/>
      <selection pane="bottomLeft" activeCell="F26" sqref="F26"/>
      <selection pane="bottomRight" activeCell="D135" activeCellId="4" sqref="D36 D66 D95 D115 D135"/>
    </sheetView>
  </sheetViews>
  <sheetFormatPr defaultRowHeight="15.75"/>
  <cols>
    <col min="1" max="1" width="5.25" style="4" customWidth="1"/>
    <col min="2" max="2" width="19.5" style="4" customWidth="1"/>
    <col min="3" max="3" width="4" style="4" customWidth="1"/>
    <col min="4" max="4" width="17.625" style="4" customWidth="1"/>
    <col min="5" max="5" width="10.625" style="4" bestFit="1" customWidth="1"/>
    <col min="6" max="6" width="15.75" style="4" customWidth="1"/>
    <col min="7" max="7" width="15.625" style="4" customWidth="1"/>
    <col min="8" max="10" width="14.25" style="4" customWidth="1"/>
    <col min="11" max="11" width="10" style="4" hidden="1" customWidth="1"/>
    <col min="12" max="12" width="18.25" style="4" customWidth="1"/>
    <col min="13" max="13" width="15.875" style="4" customWidth="1"/>
    <col min="14" max="14" width="26.375" style="4" bestFit="1" customWidth="1"/>
    <col min="15" max="15" width="2.375" style="4" customWidth="1"/>
    <col min="16" max="16" width="14.5" style="4" customWidth="1"/>
    <col min="17" max="17" width="14.625" style="4" customWidth="1"/>
    <col min="18" max="18" width="33.375" style="4" customWidth="1"/>
    <col min="19" max="19" width="27" style="4" customWidth="1"/>
    <col min="20" max="16384" width="9" style="4"/>
  </cols>
  <sheetData>
    <row r="1" spans="1:19">
      <c r="J1" s="7"/>
      <c r="N1" s="4" t="s">
        <v>74</v>
      </c>
      <c r="Q1" s="4" t="s">
        <v>29</v>
      </c>
    </row>
    <row r="2" spans="1:19">
      <c r="J2" s="7"/>
      <c r="Q2" s="4" t="s">
        <v>173</v>
      </c>
    </row>
    <row r="3" spans="1:19" ht="18.75">
      <c r="A3" s="850" t="s">
        <v>849</v>
      </c>
      <c r="B3" s="850"/>
      <c r="C3" s="850"/>
      <c r="D3" s="850"/>
      <c r="E3" s="850"/>
      <c r="F3" s="850"/>
      <c r="G3" s="850"/>
      <c r="H3" s="850"/>
      <c r="I3" s="850"/>
      <c r="J3" s="850"/>
      <c r="K3" s="850"/>
      <c r="L3" s="850"/>
      <c r="M3" s="850"/>
      <c r="N3" s="850"/>
      <c r="O3" s="850"/>
      <c r="P3" s="850"/>
      <c r="Q3" s="850"/>
      <c r="R3" s="853"/>
    </row>
    <row r="4" spans="1:19" ht="18.75">
      <c r="A4" s="850" t="s">
        <v>47</v>
      </c>
      <c r="B4" s="850"/>
      <c r="C4" s="850"/>
      <c r="D4" s="850"/>
      <c r="E4" s="850"/>
      <c r="F4" s="850"/>
      <c r="G4" s="850"/>
      <c r="H4" s="850"/>
      <c r="I4" s="850"/>
      <c r="J4" s="850"/>
      <c r="K4" s="850"/>
      <c r="L4" s="850"/>
      <c r="M4" s="850"/>
      <c r="N4" s="850"/>
      <c r="O4" s="850"/>
      <c r="P4" s="850"/>
      <c r="Q4" s="850"/>
      <c r="R4" s="853"/>
    </row>
    <row r="5" spans="1:19" ht="18.75">
      <c r="A5" s="850" t="s">
        <v>2</v>
      </c>
      <c r="B5" s="850"/>
      <c r="C5" s="850"/>
      <c r="D5" s="850"/>
      <c r="E5" s="850"/>
      <c r="F5" s="850"/>
      <c r="G5" s="850"/>
      <c r="H5" s="850"/>
      <c r="I5" s="850"/>
      <c r="J5" s="850"/>
      <c r="K5" s="850"/>
      <c r="L5" s="850"/>
      <c r="M5" s="850"/>
      <c r="N5" s="850"/>
      <c r="O5" s="850"/>
      <c r="P5" s="850"/>
      <c r="Q5" s="850"/>
      <c r="R5" s="853"/>
    </row>
    <row r="6" spans="1:19" ht="18.75">
      <c r="A6" s="850" t="str">
        <f>'305 Inputs'!B4</f>
        <v>12 Months Ended December 2013</v>
      </c>
      <c r="B6" s="850"/>
      <c r="C6" s="850"/>
      <c r="D6" s="850"/>
      <c r="E6" s="850"/>
      <c r="F6" s="850"/>
      <c r="G6" s="850"/>
      <c r="H6" s="850"/>
      <c r="I6" s="850"/>
      <c r="J6" s="850"/>
      <c r="K6" s="850"/>
      <c r="L6" s="850"/>
      <c r="M6" s="850"/>
      <c r="N6" s="850"/>
      <c r="O6" s="850"/>
      <c r="P6" s="850"/>
      <c r="Q6" s="850"/>
      <c r="R6" s="853"/>
    </row>
    <row r="7" spans="1:19" ht="18.75">
      <c r="A7" s="850"/>
      <c r="B7" s="851"/>
      <c r="C7" s="851"/>
      <c r="D7" s="851"/>
      <c r="E7" s="851"/>
      <c r="F7" s="853"/>
      <c r="G7" s="853"/>
      <c r="H7" s="853"/>
      <c r="I7" s="853"/>
      <c r="J7" s="862"/>
      <c r="K7" s="853"/>
      <c r="L7" s="853"/>
      <c r="M7" s="853"/>
      <c r="N7" s="853"/>
      <c r="O7" s="851"/>
      <c r="P7" s="851"/>
      <c r="Q7" s="851"/>
      <c r="R7" s="853"/>
    </row>
    <row r="8" spans="1:19" ht="18.75">
      <c r="A8" s="850"/>
      <c r="B8" s="851"/>
      <c r="C8" s="851"/>
      <c r="D8" s="851"/>
      <c r="E8" s="851"/>
      <c r="F8" s="853"/>
      <c r="G8" s="853"/>
      <c r="H8" s="853"/>
      <c r="I8" s="853"/>
      <c r="J8" s="862"/>
      <c r="K8" s="853"/>
      <c r="L8" s="853"/>
      <c r="M8" s="40"/>
      <c r="N8" s="916"/>
      <c r="O8" s="917"/>
      <c r="P8" s="853"/>
      <c r="Q8" s="853"/>
      <c r="R8" s="853"/>
    </row>
    <row r="9" spans="1:19" ht="18.75">
      <c r="A9" s="850"/>
      <c r="B9" s="851"/>
      <c r="C9" s="851"/>
      <c r="D9" s="853">
        <v>305</v>
      </c>
      <c r="E9" s="1733" t="s">
        <v>719</v>
      </c>
      <c r="F9" s="1733"/>
      <c r="G9" s="1733"/>
      <c r="H9" s="1733"/>
      <c r="I9" s="1733"/>
      <c r="J9" s="1734"/>
      <c r="K9" s="918" t="s">
        <v>45</v>
      </c>
      <c r="L9" s="919"/>
      <c r="M9" s="919"/>
      <c r="N9" s="920"/>
      <c r="O9" s="921"/>
      <c r="P9" s="922"/>
      <c r="Q9" s="923"/>
      <c r="R9" s="851"/>
    </row>
    <row r="10" spans="1:19" ht="19.5">
      <c r="A10" s="850"/>
      <c r="B10" s="851"/>
      <c r="C10" s="851"/>
      <c r="D10" s="853"/>
      <c r="E10" s="24" t="s">
        <v>199</v>
      </c>
      <c r="F10" s="981"/>
      <c r="G10" s="924" t="s">
        <v>97</v>
      </c>
      <c r="H10" s="925"/>
      <c r="I10" s="862" t="s">
        <v>720</v>
      </c>
      <c r="J10" s="925" t="s">
        <v>85</v>
      </c>
      <c r="K10" s="926"/>
      <c r="L10" s="62" t="s">
        <v>796</v>
      </c>
      <c r="M10" s="927" t="s">
        <v>755</v>
      </c>
      <c r="N10" s="913" t="s">
        <v>86</v>
      </c>
      <c r="O10" s="928"/>
      <c r="P10" s="853" t="s">
        <v>10</v>
      </c>
      <c r="Q10" s="853" t="s">
        <v>14</v>
      </c>
      <c r="R10" s="851"/>
    </row>
    <row r="11" spans="1:19" ht="18.75">
      <c r="B11" s="5"/>
      <c r="D11" s="28" t="s">
        <v>33</v>
      </c>
      <c r="E11" s="27" t="s">
        <v>44</v>
      </c>
      <c r="F11" s="27" t="s">
        <v>83</v>
      </c>
      <c r="G11" s="27" t="s">
        <v>44</v>
      </c>
      <c r="H11" s="27" t="s">
        <v>12</v>
      </c>
      <c r="I11" s="27" t="s">
        <v>87</v>
      </c>
      <c r="J11" s="930" t="s">
        <v>84</v>
      </c>
      <c r="K11" s="56" t="s">
        <v>252</v>
      </c>
      <c r="L11" s="56" t="s">
        <v>31</v>
      </c>
      <c r="M11" s="27" t="s">
        <v>87</v>
      </c>
      <c r="N11" s="930" t="s">
        <v>756</v>
      </c>
      <c r="O11" s="929"/>
      <c r="P11" s="27" t="s">
        <v>15</v>
      </c>
      <c r="Q11" s="27" t="s">
        <v>1</v>
      </c>
      <c r="R11" s="47"/>
    </row>
    <row r="12" spans="1:19">
      <c r="A12" s="5" t="s">
        <v>17</v>
      </c>
      <c r="B12" s="5"/>
      <c r="D12" s="104"/>
      <c r="E12" s="7"/>
      <c r="F12" s="45"/>
      <c r="G12" s="45"/>
      <c r="H12" s="45"/>
      <c r="I12" s="45"/>
      <c r="J12" s="931"/>
      <c r="K12" s="116"/>
      <c r="L12" s="116"/>
      <c r="M12" s="45"/>
      <c r="N12" s="46"/>
      <c r="O12" s="932"/>
      <c r="P12" s="45"/>
      <c r="Q12" s="47"/>
      <c r="R12" s="47"/>
    </row>
    <row r="13" spans="1:19">
      <c r="B13" s="4" t="s">
        <v>48</v>
      </c>
      <c r="D13" s="30">
        <f>SUMIF('305 Inputs'!$B$116:$B$141,"=16",'305 Inputs'!$I$116:$I$141)</f>
        <v>128918533.31999999</v>
      </c>
      <c r="E13" s="29">
        <f>'Normalized Monthly revenue'!AC6</f>
        <v>-267238.32128544542</v>
      </c>
      <c r="F13" s="29">
        <f>'305 VS COGNOS Revenue'!E7+'305 VS COGNOS Revenue'!G7+'305 VS COGNOS Revenue'!N7</f>
        <v>-4786499.9643010013</v>
      </c>
      <c r="G13" s="29">
        <f ca="1">-SUMIF('305 Inputs'!A116:A141,"=b16",'305 Inputs'!I$116:I$140)</f>
        <v>6412876.3799999999</v>
      </c>
      <c r="H13" s="29">
        <f>Temperature!G22*1000</f>
        <v>-3508336.3</v>
      </c>
      <c r="I13" s="29">
        <f t="shared" ref="I13:I18" ca="1" si="0">SUM(E13:H13)</f>
        <v>-2149198.2055864464</v>
      </c>
      <c r="J13" s="30">
        <f t="shared" ref="J13:J18" ca="1" si="1">D13+I13</f>
        <v>126769335.11441354</v>
      </c>
      <c r="K13" s="824">
        <v>0</v>
      </c>
      <c r="L13" s="29">
        <f>'305 VS COGNOS Revenue'!R7</f>
        <v>7238160.0387255251</v>
      </c>
      <c r="M13" s="29">
        <f t="shared" ref="M13:M18" si="2">SUM(L13:L13)</f>
        <v>7238160.0387255251</v>
      </c>
      <c r="N13" s="30">
        <f t="shared" ref="N13:N18" ca="1" si="3">J13+M13</f>
        <v>134007495.15313907</v>
      </c>
      <c r="O13" s="10"/>
      <c r="P13" s="29">
        <f t="shared" ref="P13:P18" ca="1" si="4">I13+M13</f>
        <v>5088961.8331390787</v>
      </c>
      <c r="Q13" s="663">
        <f t="shared" ref="Q13:Q18" ca="1" si="5">+D13+P13</f>
        <v>134007495.15313907</v>
      </c>
      <c r="R13" s="933"/>
      <c r="S13" s="663">
        <f ca="1">D13+F13+G13</f>
        <v>130544909.73569898</v>
      </c>
    </row>
    <row r="14" spans="1:19">
      <c r="B14" s="4" t="s">
        <v>93</v>
      </c>
      <c r="D14" s="30">
        <f>SUMIF('305 Inputs'!$B$116:$B$141,"=17",'305 Inputs'!$I$116:$I$141)</f>
        <v>5469581.2800000003</v>
      </c>
      <c r="E14" s="29">
        <f>'Normalized Monthly revenue'!AC7</f>
        <v>-11315.249854995447</v>
      </c>
      <c r="F14" s="29">
        <f>'305 VS COGNOS Revenue'!E8+'305 VS COGNOS Revenue'!G8+'305 VS COGNOS Revenue'!N8</f>
        <v>-210311.16238000034</v>
      </c>
      <c r="G14" s="29">
        <f>-SUMIF('305 Inputs'!$A$116:$A$141,"=b17",'305 Inputs'!I116:I141)</f>
        <v>273122.89</v>
      </c>
      <c r="H14" s="29">
        <f>Temperature!G40*1000</f>
        <v>-118809.09</v>
      </c>
      <c r="I14" s="29">
        <f t="shared" si="0"/>
        <v>-67312.612234995788</v>
      </c>
      <c r="J14" s="30">
        <f t="shared" si="1"/>
        <v>5402268.6677650046</v>
      </c>
      <c r="K14" s="935">
        <f>$K$13</f>
        <v>0</v>
      </c>
      <c r="L14" s="29">
        <f>'305 VS COGNOS Revenue'!R8</f>
        <v>307033.08237999957</v>
      </c>
      <c r="M14" s="29">
        <f t="shared" si="2"/>
        <v>307033.08237999957</v>
      </c>
      <c r="N14" s="30">
        <f t="shared" si="3"/>
        <v>5709301.7501450041</v>
      </c>
      <c r="O14" s="10"/>
      <c r="P14" s="29">
        <f t="shared" si="4"/>
        <v>239720.47014500378</v>
      </c>
      <c r="Q14" s="663">
        <f t="shared" si="5"/>
        <v>5709301.7501450041</v>
      </c>
      <c r="R14" s="933"/>
      <c r="S14" s="663">
        <f t="shared" ref="S14:S18" si="6">D14+F14+G14</f>
        <v>5532393.0076199993</v>
      </c>
    </row>
    <row r="15" spans="1:19">
      <c r="B15" s="4" t="s">
        <v>49</v>
      </c>
      <c r="D15" s="30">
        <f>SUMIF('305 Inputs'!$B$116:$B$141,"=18",'305 Inputs'!$I$116:$I$141)</f>
        <v>208013.63</v>
      </c>
      <c r="E15" s="29">
        <f>'Normalized Monthly revenue'!AC8</f>
        <v>-432.42577033280719</v>
      </c>
      <c r="F15" s="29">
        <f>'305 VS COGNOS Revenue'!E9+'305 VS COGNOS Revenue'!G9+'305 VS COGNOS Revenue'!N9</f>
        <v>-5982.7920316129948</v>
      </c>
      <c r="G15" s="29">
        <f ca="1">-SUMIF('305 Inputs'!$A$116:$A$141,"=b18",'305 Inputs'!I$116:I$140)</f>
        <v>9396.16</v>
      </c>
      <c r="H15" s="29">
        <f>Temperature!G58*1000</f>
        <v>-7648.0699999999988</v>
      </c>
      <c r="I15" s="29">
        <f t="shared" ca="1" si="0"/>
        <v>-4667.1278019458014</v>
      </c>
      <c r="J15" s="30">
        <f t="shared" ca="1" si="1"/>
        <v>203346.50219805419</v>
      </c>
      <c r="K15" s="935">
        <f>$K$13</f>
        <v>0</v>
      </c>
      <c r="L15" s="29">
        <f>'305 VS COGNOS Revenue'!R9</f>
        <v>9840.0720316130028</v>
      </c>
      <c r="M15" s="29">
        <f t="shared" si="2"/>
        <v>9840.0720316130028</v>
      </c>
      <c r="N15" s="30">
        <f t="shared" ca="1" si="3"/>
        <v>213186.5742296672</v>
      </c>
      <c r="O15" s="10"/>
      <c r="P15" s="29">
        <f t="shared" ca="1" si="4"/>
        <v>5172.9442296672014</v>
      </c>
      <c r="Q15" s="663">
        <f t="shared" ca="1" si="5"/>
        <v>213186.5742296672</v>
      </c>
      <c r="R15" s="933"/>
      <c r="S15" s="663">
        <f t="shared" ca="1" si="6"/>
        <v>211426.997968387</v>
      </c>
    </row>
    <row r="16" spans="1:19">
      <c r="B16" s="7" t="s">
        <v>162</v>
      </c>
      <c r="D16" s="30">
        <f>SUMIF('305 Inputs'!$B$116:$B$141,"=18x",'305 Inputs'!$I$116:$I$141)</f>
        <v>39022.58</v>
      </c>
      <c r="E16" s="29">
        <f>'Normalized Monthly revenue'!AC9</f>
        <v>-81.187001071598146</v>
      </c>
      <c r="F16" s="29">
        <f>'305 VS COGNOS Revenue'!E10+'305 VS COGNOS Revenue'!G10+'305 VS COGNOS Revenue'!N10</f>
        <v>-1122.9294119354947</v>
      </c>
      <c r="G16" s="29">
        <f ca="1">-SUMIF('305 Inputs'!$A$116:$A$141,"=b18x",'305 Inputs'!I$116:I$139)</f>
        <v>1795.31</v>
      </c>
      <c r="H16" s="29">
        <v>0</v>
      </c>
      <c r="I16" s="29">
        <f t="shared" ca="1" si="0"/>
        <v>591.19358699290706</v>
      </c>
      <c r="J16" s="30">
        <f t="shared" ca="1" si="1"/>
        <v>39613.773586992909</v>
      </c>
      <c r="K16" s="935">
        <f>$K$13</f>
        <v>0</v>
      </c>
      <c r="L16" s="29">
        <f>'305 VS COGNOS Revenue'!R10</f>
        <v>1940.0394119354969</v>
      </c>
      <c r="M16" s="29">
        <f t="shared" si="2"/>
        <v>1940.0394119354969</v>
      </c>
      <c r="N16" s="30">
        <f t="shared" ca="1" si="3"/>
        <v>41553.812998928406</v>
      </c>
      <c r="O16" s="10"/>
      <c r="P16" s="29">
        <f t="shared" ca="1" si="4"/>
        <v>2531.232998928404</v>
      </c>
      <c r="Q16" s="663">
        <f t="shared" ca="1" si="5"/>
        <v>41553.812998928406</v>
      </c>
      <c r="R16" s="933"/>
      <c r="S16" s="663">
        <f t="shared" ca="1" si="6"/>
        <v>39694.960588064503</v>
      </c>
    </row>
    <row r="17" spans="1:19">
      <c r="B17" s="7" t="s">
        <v>250</v>
      </c>
      <c r="D17" s="30">
        <f>SUMIF('305 Inputs'!$B$116:$B$141,"=135",'305 Inputs'!$I$116:$I$141)</f>
        <v>115470.99</v>
      </c>
      <c r="E17" s="29">
        <v>0</v>
      </c>
      <c r="F17" s="29">
        <f>'305 VS COGNOS Revenue'!E11+'305 VS COGNOS Revenue'!G11+'305 VS COGNOS Revenue'!N11</f>
        <v>-4561.4944245159959</v>
      </c>
      <c r="G17" s="29">
        <f ca="1">-SUMIF('305 Inputs'!$A$116:$A$141,"=b135",'305 Inputs'!I$116:I$140)</f>
        <v>5672.03</v>
      </c>
      <c r="H17" s="29">
        <v>0</v>
      </c>
      <c r="I17" s="29">
        <f t="shared" ca="1" si="0"/>
        <v>1110.5355754840039</v>
      </c>
      <c r="J17" s="30">
        <f t="shared" ca="1" si="1"/>
        <v>116581.525575484</v>
      </c>
      <c r="K17" s="935">
        <f>$K$13</f>
        <v>0</v>
      </c>
      <c r="L17" s="29">
        <f>'305 VS COGNOS Revenue'!R11</f>
        <v>0</v>
      </c>
      <c r="M17" s="29">
        <f t="shared" si="2"/>
        <v>0</v>
      </c>
      <c r="N17" s="30">
        <f t="shared" ca="1" si="3"/>
        <v>116581.525575484</v>
      </c>
      <c r="O17" s="10"/>
      <c r="P17" s="29">
        <f t="shared" ca="1" si="4"/>
        <v>1110.5355754840039</v>
      </c>
      <c r="Q17" s="663">
        <f t="shared" ca="1" si="5"/>
        <v>116581.525575484</v>
      </c>
      <c r="R17" s="933"/>
      <c r="S17" s="663">
        <f t="shared" ca="1" si="6"/>
        <v>116581.525575484</v>
      </c>
    </row>
    <row r="18" spans="1:19">
      <c r="B18" s="7" t="s">
        <v>749</v>
      </c>
      <c r="D18" s="78">
        <f>SUMIF('305 Inputs'!$B$116:$B$141,"=24",'305 Inputs'!$I$116:$I$141)</f>
        <v>779714.74</v>
      </c>
      <c r="E18" s="31">
        <f>'Normalized Monthly revenue'!AC11</f>
        <v>-1618.0760226777425</v>
      </c>
      <c r="F18" s="31">
        <f>'305 VS COGNOS Revenue'!E13+'305 VS COGNOS Revenue'!G13+'305 VS COGNOS Revenue'!N13</f>
        <v>-17875.99611334164</v>
      </c>
      <c r="G18" s="31">
        <f>-SUMIF('305 Inputs'!$A$116:$A$141,"=b24",'305 Inputs'!I$116:I$142)</f>
        <v>29291.51</v>
      </c>
      <c r="H18" s="31">
        <f>Temperature!V75*1000</f>
        <v>-9224.51</v>
      </c>
      <c r="I18" s="31">
        <f t="shared" si="0"/>
        <v>572.92786398061617</v>
      </c>
      <c r="J18" s="78">
        <f t="shared" si="1"/>
        <v>780287.66786398063</v>
      </c>
      <c r="K18" s="936">
        <f>$K$13</f>
        <v>0</v>
      </c>
      <c r="L18" s="31">
        <f>'305 VS COGNOS Revenue'!R13</f>
        <v>38131.256113341544</v>
      </c>
      <c r="M18" s="31">
        <f t="shared" si="2"/>
        <v>38131.256113341544</v>
      </c>
      <c r="N18" s="78">
        <f t="shared" si="3"/>
        <v>818418.92397732218</v>
      </c>
      <c r="O18" s="10"/>
      <c r="P18" s="31">
        <f t="shared" si="4"/>
        <v>38704.183977322158</v>
      </c>
      <c r="Q18" s="662">
        <f t="shared" si="5"/>
        <v>818418.92397732218</v>
      </c>
      <c r="R18" s="933"/>
      <c r="S18" s="663">
        <f t="shared" si="6"/>
        <v>791130.25388665835</v>
      </c>
    </row>
    <row r="19" spans="1:19">
      <c r="B19" s="4" t="s">
        <v>35</v>
      </c>
      <c r="D19" s="30">
        <f>SUM(D13:D18)</f>
        <v>135530336.54000002</v>
      </c>
      <c r="E19" s="997">
        <f>SUM(E13:E18)</f>
        <v>-280685.25993452303</v>
      </c>
      <c r="F19" s="29">
        <f>SUM(F13:F18)</f>
        <v>-5026354.3386624083</v>
      </c>
      <c r="G19" s="29">
        <f t="shared" ref="G19:I19" ca="1" si="7">SUM(G13:G18)</f>
        <v>6732154.2799999993</v>
      </c>
      <c r="H19" s="29">
        <f t="shared" si="7"/>
        <v>-3644017.9699999993</v>
      </c>
      <c r="I19" s="29">
        <f t="shared" ca="1" si="7"/>
        <v>-2218903.2885969304</v>
      </c>
      <c r="J19" s="30">
        <f ca="1">SUM(J13:J18)</f>
        <v>133311433.25140306</v>
      </c>
      <c r="K19" s="935"/>
      <c r="L19" s="29">
        <f>SUM(L13:L18)</f>
        <v>7595104.4886624161</v>
      </c>
      <c r="M19" s="29">
        <f>SUM(M13:M18)</f>
        <v>7595104.4886624161</v>
      </c>
      <c r="N19" s="29">
        <f ca="1">SUM(N13:N18)</f>
        <v>140906537.74006546</v>
      </c>
      <c r="O19" s="10"/>
      <c r="P19" s="29">
        <f ca="1">SUM(P13:P18)</f>
        <v>5376201.2000654833</v>
      </c>
      <c r="Q19" s="29">
        <f ca="1">SUM(Q13:Q18)</f>
        <v>140906537.74006546</v>
      </c>
      <c r="R19" s="933"/>
      <c r="S19" s="663">
        <f ca="1">SUM(S13:S18)</f>
        <v>137236136.48133758</v>
      </c>
    </row>
    <row r="20" spans="1:19">
      <c r="D20" s="30"/>
      <c r="E20" s="29"/>
      <c r="F20" s="29"/>
      <c r="G20" s="29"/>
      <c r="H20" s="29"/>
      <c r="I20" s="29"/>
      <c r="J20" s="30"/>
      <c r="K20" s="935"/>
      <c r="L20" s="29"/>
      <c r="M20" s="29" t="s">
        <v>31</v>
      </c>
      <c r="N20" s="30"/>
      <c r="O20" s="10"/>
      <c r="P20" s="29"/>
      <c r="Q20" s="663"/>
      <c r="R20" s="933"/>
      <c r="S20" s="934"/>
    </row>
    <row r="21" spans="1:19" s="11" customFormat="1">
      <c r="B21" s="7" t="s">
        <v>50</v>
      </c>
      <c r="D21" s="78">
        <f>SUMIF('305 Inputs'!$B$116:$B$141,"=15r",'305 Inputs'!$I$116:$I$141)</f>
        <v>152163.23000000001</v>
      </c>
      <c r="E21" s="31">
        <f>'Normalized Monthly revenue'!AC10</f>
        <v>-314.74006547706313</v>
      </c>
      <c r="F21" s="31">
        <f>'305 VS COGNOS Revenue'!E12+'305 VS COGNOS Revenue'!G12+'305 VS COGNOS Revenue'!N12</f>
        <v>-2600.003842809499</v>
      </c>
      <c r="G21" s="31">
        <f ca="1">-SUMIF('305 Inputs'!$A$116:$A$141,"=b15r",'305 Inputs'!I$116:I$139)</f>
        <v>4323.41</v>
      </c>
      <c r="H21" s="31">
        <v>0</v>
      </c>
      <c r="I21" s="31">
        <f ca="1">SUM(E21:H21)</f>
        <v>1408.6660917134377</v>
      </c>
      <c r="J21" s="78">
        <f ca="1">D21+I21</f>
        <v>153571.89609171345</v>
      </c>
      <c r="K21" s="936">
        <v>0</v>
      </c>
      <c r="L21" s="31">
        <f>'305 VS COGNOS Revenue'!R12</f>
        <v>-1.807347871363163E-8</v>
      </c>
      <c r="M21" s="31">
        <f>SUM(L21:L21)</f>
        <v>-1.807347871363163E-8</v>
      </c>
      <c r="N21" s="78">
        <f ca="1">J21+M21</f>
        <v>153571.89609169538</v>
      </c>
      <c r="O21" s="655"/>
      <c r="P21" s="31">
        <f ca="1">I21+M21</f>
        <v>1408.6660916953642</v>
      </c>
      <c r="Q21" s="662">
        <f ca="1">+D21+P21</f>
        <v>153571.89609169538</v>
      </c>
      <c r="R21" s="933"/>
      <c r="S21" s="663">
        <f ca="1">D21+F21+G21</f>
        <v>153886.63615719051</v>
      </c>
    </row>
    <row r="22" spans="1:19">
      <c r="B22" s="4" t="s">
        <v>35</v>
      </c>
      <c r="D22" s="30">
        <f t="shared" ref="D22:J22" si="8">SUM(D21:D21)</f>
        <v>152163.23000000001</v>
      </c>
      <c r="E22" s="997">
        <f t="shared" si="8"/>
        <v>-314.74006547706313</v>
      </c>
      <c r="F22" s="29">
        <f t="shared" si="8"/>
        <v>-2600.003842809499</v>
      </c>
      <c r="G22" s="29">
        <f t="shared" ca="1" si="8"/>
        <v>4323.41</v>
      </c>
      <c r="H22" s="29">
        <f t="shared" si="8"/>
        <v>0</v>
      </c>
      <c r="I22" s="29">
        <f t="shared" ca="1" si="8"/>
        <v>1408.6660917134377</v>
      </c>
      <c r="J22" s="30">
        <f t="shared" ca="1" si="8"/>
        <v>153571.89609171345</v>
      </c>
      <c r="K22" s="936"/>
      <c r="L22" s="29">
        <f>SUM(L21:L21)</f>
        <v>-1.807347871363163E-8</v>
      </c>
      <c r="M22" s="29">
        <f>SUM(M21:M21)</f>
        <v>-1.807347871363163E-8</v>
      </c>
      <c r="N22" s="30">
        <f ca="1">SUM(N21:N21)</f>
        <v>153571.89609169538</v>
      </c>
      <c r="O22" s="10"/>
      <c r="P22" s="29">
        <f ca="1">SUM(P21:P21)</f>
        <v>1408.6660916953642</v>
      </c>
      <c r="Q22" s="29">
        <f ca="1">SUM(Q21:Q21)</f>
        <v>153571.89609169538</v>
      </c>
      <c r="R22" s="933"/>
    </row>
    <row r="23" spans="1:19">
      <c r="D23" s="30"/>
      <c r="E23" s="29"/>
      <c r="F23" s="29"/>
      <c r="G23" s="29"/>
      <c r="H23" s="29"/>
      <c r="I23" s="29"/>
      <c r="J23" s="30"/>
      <c r="K23" s="936"/>
      <c r="L23" s="935"/>
      <c r="M23" s="935"/>
      <c r="N23" s="30"/>
      <c r="O23" s="10"/>
      <c r="P23" s="29"/>
      <c r="Q23" s="663"/>
      <c r="R23" s="933"/>
      <c r="S23" s="937"/>
    </row>
    <row r="24" spans="1:19" s="11" customFormat="1">
      <c r="A24" s="4"/>
      <c r="B24" s="4" t="s">
        <v>34</v>
      </c>
      <c r="C24" s="4"/>
      <c r="D24" s="78">
        <f>SUMIF('305 Inputs'!$B$116:$B$141,"=aga",'305 Inputs'!$I$116:$I$141)</f>
        <v>783.03</v>
      </c>
      <c r="E24" s="31"/>
      <c r="F24" s="31">
        <v>0</v>
      </c>
      <c r="G24" s="31">
        <v>0</v>
      </c>
      <c r="H24" s="31">
        <v>0</v>
      </c>
      <c r="I24" s="31">
        <f>SUM(F24:H24)</f>
        <v>0</v>
      </c>
      <c r="J24" s="78">
        <f>D24+I24</f>
        <v>783.03</v>
      </c>
      <c r="K24" s="936">
        <v>0</v>
      </c>
      <c r="L24" s="31">
        <f>ROUND(J24*K24*((366-30)/(366+30*K24)),0)</f>
        <v>0</v>
      </c>
      <c r="M24" s="31">
        <f>SUM(L24:L24)</f>
        <v>0</v>
      </c>
      <c r="N24" s="30">
        <f>J24+M24</f>
        <v>783.03</v>
      </c>
      <c r="O24" s="655"/>
      <c r="P24" s="31">
        <f>I24+M24</f>
        <v>0</v>
      </c>
      <c r="Q24" s="662">
        <f>+D24+P24</f>
        <v>783.03</v>
      </c>
      <c r="R24" s="933"/>
    </row>
    <row r="25" spans="1:19" s="11" customFormat="1">
      <c r="A25" s="4"/>
      <c r="C25" s="4"/>
      <c r="D25" s="78"/>
      <c r="E25" s="31"/>
      <c r="F25" s="31"/>
      <c r="G25" s="31"/>
      <c r="H25" s="31"/>
      <c r="I25" s="31"/>
      <c r="J25" s="78"/>
      <c r="K25" s="936"/>
      <c r="L25" s="31"/>
      <c r="M25" s="31"/>
      <c r="N25" s="78"/>
      <c r="O25" s="655"/>
      <c r="P25" s="29"/>
      <c r="Q25" s="662"/>
      <c r="R25" s="933"/>
    </row>
    <row r="26" spans="1:19" s="11" customFormat="1">
      <c r="A26" s="4"/>
      <c r="B26" s="4" t="s">
        <v>672</v>
      </c>
      <c r="C26" s="4"/>
      <c r="D26" s="78">
        <f>SUMIF('305 Inputs'!$B$116:$B$141,"=def",'305 Inputs'!$I$116:$I$141)</f>
        <v>-1320000</v>
      </c>
      <c r="E26" s="31"/>
      <c r="F26" s="31">
        <f>-D26</f>
        <v>1320000</v>
      </c>
      <c r="G26" s="31">
        <v>0</v>
      </c>
      <c r="H26" s="31">
        <v>0</v>
      </c>
      <c r="I26" s="31">
        <f t="shared" ref="I26:I34" si="9">SUM(F26:H26)</f>
        <v>1320000</v>
      </c>
      <c r="J26" s="78">
        <f t="shared" ref="J26:J34" si="10">D26+I26</f>
        <v>0</v>
      </c>
      <c r="K26" s="936">
        <v>0</v>
      </c>
      <c r="L26" s="31">
        <f t="shared" ref="L26:L34" si="11">ROUND(J26*K26*((366-30)/(366+30*K26)),0)</f>
        <v>0</v>
      </c>
      <c r="M26" s="31">
        <f t="shared" ref="M26:M34" si="12">SUM(L26:L26)</f>
        <v>0</v>
      </c>
      <c r="N26" s="78">
        <f t="shared" ref="N26:N34" si="13">J26+M26</f>
        <v>0</v>
      </c>
      <c r="O26" s="655"/>
      <c r="P26" s="31">
        <f>I26+M26</f>
        <v>1320000</v>
      </c>
      <c r="Q26" s="662">
        <f t="shared" ref="Q26:Q34" si="14">+D26+P26</f>
        <v>0</v>
      </c>
      <c r="R26" s="933"/>
    </row>
    <row r="27" spans="1:19" s="11" customFormat="1">
      <c r="A27" s="4"/>
      <c r="B27" s="4" t="s">
        <v>750</v>
      </c>
      <c r="C27" s="4"/>
      <c r="D27" s="78">
        <f>SUMIF('305 Inputs'!$B$116:$B$141,"=rev",'305 Inputs'!$I$116:$I$141)</f>
        <v>-5182008.2699999996</v>
      </c>
      <c r="E27" s="31"/>
      <c r="F27" s="31">
        <f>-D27</f>
        <v>5182008.2699999996</v>
      </c>
      <c r="G27" s="31">
        <v>0</v>
      </c>
      <c r="H27" s="31">
        <v>0</v>
      </c>
      <c r="I27" s="31">
        <f t="shared" si="9"/>
        <v>5182008.2699999996</v>
      </c>
      <c r="J27" s="78">
        <f t="shared" si="10"/>
        <v>0</v>
      </c>
      <c r="K27" s="936">
        <v>0</v>
      </c>
      <c r="L27" s="31">
        <f t="shared" si="11"/>
        <v>0</v>
      </c>
      <c r="M27" s="31">
        <f t="shared" si="12"/>
        <v>0</v>
      </c>
      <c r="N27" s="78">
        <f t="shared" si="13"/>
        <v>0</v>
      </c>
      <c r="O27" s="655"/>
      <c r="P27" s="31">
        <f t="shared" ref="P27" si="15">I27+M27</f>
        <v>5182008.2699999996</v>
      </c>
      <c r="Q27" s="662">
        <f t="shared" si="14"/>
        <v>0</v>
      </c>
      <c r="R27" s="933"/>
    </row>
    <row r="28" spans="1:19" s="11" customFormat="1">
      <c r="B28" s="4" t="s">
        <v>239</v>
      </c>
      <c r="D28" s="78">
        <f>SUMIF('305 Inputs'!$B$116:$B$141,"=acq",'305 Inputs'!$I$116:$I$141)</f>
        <v>0</v>
      </c>
      <c r="E28" s="31"/>
      <c r="F28" s="31">
        <f>-D28</f>
        <v>0</v>
      </c>
      <c r="G28" s="31">
        <v>0</v>
      </c>
      <c r="H28" s="31">
        <v>0</v>
      </c>
      <c r="I28" s="31">
        <f t="shared" si="9"/>
        <v>0</v>
      </c>
      <c r="J28" s="78">
        <f t="shared" si="10"/>
        <v>0</v>
      </c>
      <c r="K28" s="936">
        <v>0</v>
      </c>
      <c r="L28" s="31">
        <f t="shared" si="11"/>
        <v>0</v>
      </c>
      <c r="M28" s="31">
        <f t="shared" si="12"/>
        <v>0</v>
      </c>
      <c r="N28" s="78">
        <f t="shared" si="13"/>
        <v>0</v>
      </c>
      <c r="O28" s="655"/>
      <c r="P28" s="31">
        <f>I28+M28</f>
        <v>0</v>
      </c>
      <c r="Q28" s="662">
        <f t="shared" si="14"/>
        <v>0</v>
      </c>
      <c r="R28" s="12"/>
    </row>
    <row r="29" spans="1:19" s="11" customFormat="1">
      <c r="B29" s="4" t="s">
        <v>163</v>
      </c>
      <c r="D29" s="78">
        <f>SUMIF('305 Inputs'!$B$116:$B$141,"=cent",'305 Inputs'!$I$116:$I$141)</f>
        <v>0</v>
      </c>
      <c r="E29" s="31"/>
      <c r="F29" s="31">
        <f>-D29</f>
        <v>0</v>
      </c>
      <c r="G29" s="31">
        <v>0</v>
      </c>
      <c r="H29" s="31">
        <v>0</v>
      </c>
      <c r="I29" s="31">
        <f t="shared" si="9"/>
        <v>0</v>
      </c>
      <c r="J29" s="78">
        <f t="shared" si="10"/>
        <v>0</v>
      </c>
      <c r="K29" s="936">
        <v>0</v>
      </c>
      <c r="L29" s="31">
        <f t="shared" si="11"/>
        <v>0</v>
      </c>
      <c r="M29" s="31">
        <f t="shared" si="12"/>
        <v>0</v>
      </c>
      <c r="N29" s="78">
        <f t="shared" si="13"/>
        <v>0</v>
      </c>
      <c r="O29" s="655"/>
      <c r="P29" s="31">
        <f>I29+M29</f>
        <v>0</v>
      </c>
      <c r="Q29" s="662">
        <f t="shared" si="14"/>
        <v>0</v>
      </c>
      <c r="R29" s="12"/>
      <c r="S29" s="12"/>
    </row>
    <row r="30" spans="1:19" s="11" customFormat="1">
      <c r="B30" s="4" t="s">
        <v>177</v>
      </c>
      <c r="D30" s="78">
        <f>SUMIF('305 Inputs'!$B$116:$B$141,"=merger",'305 Inputs'!$I$116:$I$141)</f>
        <v>0</v>
      </c>
      <c r="E30" s="31"/>
      <c r="F30" s="31">
        <f>-D30</f>
        <v>0</v>
      </c>
      <c r="G30" s="31">
        <v>0</v>
      </c>
      <c r="H30" s="31">
        <v>0</v>
      </c>
      <c r="I30" s="31">
        <f t="shared" si="9"/>
        <v>0</v>
      </c>
      <c r="J30" s="78">
        <f t="shared" si="10"/>
        <v>0</v>
      </c>
      <c r="K30" s="936">
        <v>0</v>
      </c>
      <c r="L30" s="31">
        <f t="shared" si="11"/>
        <v>0</v>
      </c>
      <c r="M30" s="31">
        <f t="shared" si="12"/>
        <v>0</v>
      </c>
      <c r="N30" s="78">
        <f t="shared" si="13"/>
        <v>0</v>
      </c>
      <c r="O30" s="655"/>
      <c r="P30" s="31">
        <f>I30+M30</f>
        <v>0</v>
      </c>
      <c r="Q30" s="662">
        <f t="shared" si="14"/>
        <v>0</v>
      </c>
      <c r="R30" s="12"/>
      <c r="S30" s="12"/>
    </row>
    <row r="31" spans="1:19" s="11" customFormat="1">
      <c r="B31" s="4" t="s">
        <v>757</v>
      </c>
      <c r="D31" s="78">
        <f>SUMIF('305 Inputs'!$B$116:$B$141,"=dsm",'305 Inputs'!$I$116:$I$141)</f>
        <v>4639762.9400000004</v>
      </c>
      <c r="E31" s="31"/>
      <c r="F31" s="31">
        <f t="shared" ref="F31:F32" si="16">-D31</f>
        <v>-4639762.9400000004</v>
      </c>
      <c r="G31" s="31">
        <v>0</v>
      </c>
      <c r="H31" s="31">
        <v>0</v>
      </c>
      <c r="I31" s="31">
        <f t="shared" si="9"/>
        <v>-4639762.9400000004</v>
      </c>
      <c r="J31" s="78">
        <f t="shared" si="10"/>
        <v>0</v>
      </c>
      <c r="K31" s="936">
        <v>0</v>
      </c>
      <c r="L31" s="31">
        <f t="shared" si="11"/>
        <v>0</v>
      </c>
      <c r="M31" s="31">
        <f t="shared" si="12"/>
        <v>0</v>
      </c>
      <c r="N31" s="78">
        <f t="shared" si="13"/>
        <v>0</v>
      </c>
      <c r="O31" s="655"/>
      <c r="P31" s="31">
        <f t="shared" ref="P31:P32" si="17">I31+M31</f>
        <v>-4639762.9400000004</v>
      </c>
      <c r="Q31" s="662">
        <f t="shared" si="14"/>
        <v>0</v>
      </c>
      <c r="R31" s="12"/>
      <c r="S31" s="12"/>
    </row>
    <row r="32" spans="1:19" s="11" customFormat="1">
      <c r="B32" s="4" t="s">
        <v>758</v>
      </c>
      <c r="D32" s="78">
        <f>SUMIF('305 Inputs'!$B$116:$B$141,"=blue",'305 Inputs'!$I$116:$I$141)</f>
        <v>42670.280000000006</v>
      </c>
      <c r="E32" s="31"/>
      <c r="F32" s="31">
        <f t="shared" si="16"/>
        <v>-42670.280000000006</v>
      </c>
      <c r="G32" s="31">
        <v>0</v>
      </c>
      <c r="H32" s="31">
        <v>0</v>
      </c>
      <c r="I32" s="31">
        <f t="shared" si="9"/>
        <v>-42670.280000000006</v>
      </c>
      <c r="J32" s="78">
        <f t="shared" si="10"/>
        <v>0</v>
      </c>
      <c r="K32" s="936">
        <v>0</v>
      </c>
      <c r="L32" s="31">
        <f t="shared" si="11"/>
        <v>0</v>
      </c>
      <c r="M32" s="31">
        <f t="shared" si="12"/>
        <v>0</v>
      </c>
      <c r="N32" s="78">
        <f t="shared" si="13"/>
        <v>0</v>
      </c>
      <c r="O32" s="655"/>
      <c r="P32" s="31">
        <f t="shared" si="17"/>
        <v>-42670.280000000006</v>
      </c>
      <c r="Q32" s="662">
        <f t="shared" si="14"/>
        <v>0</v>
      </c>
      <c r="R32" s="12"/>
      <c r="S32" s="12"/>
    </row>
    <row r="33" spans="1:19" s="11" customFormat="1">
      <c r="A33" s="4"/>
      <c r="B33" s="4" t="s">
        <v>94</v>
      </c>
      <c r="C33" s="4"/>
      <c r="D33" s="78">
        <f>SUMIF('305 Inputs'!$B$116:$B$141,"=bpa",'305 Inputs'!$I$116:$I$141)</f>
        <v>769276.97</v>
      </c>
      <c r="E33" s="31"/>
      <c r="F33" s="31">
        <v>0</v>
      </c>
      <c r="G33" s="31">
        <f>-D33</f>
        <v>-769276.97</v>
      </c>
      <c r="H33" s="31">
        <v>0</v>
      </c>
      <c r="I33" s="31">
        <f t="shared" si="9"/>
        <v>-769276.97</v>
      </c>
      <c r="J33" s="78">
        <f t="shared" si="10"/>
        <v>0</v>
      </c>
      <c r="K33" s="936">
        <v>0</v>
      </c>
      <c r="L33" s="31">
        <f t="shared" si="11"/>
        <v>0</v>
      </c>
      <c r="M33" s="31">
        <f t="shared" si="12"/>
        <v>0</v>
      </c>
      <c r="N33" s="78">
        <f t="shared" si="13"/>
        <v>0</v>
      </c>
      <c r="O33" s="655"/>
      <c r="P33" s="31">
        <f>I33+M33</f>
        <v>-769276.97</v>
      </c>
      <c r="Q33" s="662">
        <f t="shared" si="14"/>
        <v>0</v>
      </c>
      <c r="R33" s="12"/>
    </row>
    <row r="34" spans="1:19" s="11" customFormat="1">
      <c r="A34" s="4"/>
      <c r="B34" s="4" t="s">
        <v>690</v>
      </c>
      <c r="C34" s="4"/>
      <c r="D34" s="78">
        <f>SUMIF('305 Inputs'!$B$116:$B$141,"=smud",'305 Inputs'!$I$116:$I$141)</f>
        <v>128745.18</v>
      </c>
      <c r="E34" s="31"/>
      <c r="F34" s="31">
        <f>D34*-1</f>
        <v>-128745.18</v>
      </c>
      <c r="G34" s="31">
        <v>0</v>
      </c>
      <c r="H34" s="31">
        <v>0</v>
      </c>
      <c r="I34" s="31">
        <f t="shared" si="9"/>
        <v>-128745.18</v>
      </c>
      <c r="J34" s="78">
        <f t="shared" si="10"/>
        <v>0</v>
      </c>
      <c r="K34" s="936">
        <v>0</v>
      </c>
      <c r="L34" s="31">
        <f t="shared" si="11"/>
        <v>0</v>
      </c>
      <c r="M34" s="31">
        <f t="shared" si="12"/>
        <v>0</v>
      </c>
      <c r="N34" s="78">
        <f t="shared" si="13"/>
        <v>0</v>
      </c>
      <c r="O34" s="655"/>
      <c r="P34" s="31">
        <f>I34+M34</f>
        <v>-128745.18</v>
      </c>
      <c r="Q34" s="662">
        <f t="shared" si="14"/>
        <v>0</v>
      </c>
      <c r="R34" s="12"/>
    </row>
    <row r="35" spans="1:19" s="11" customFormat="1">
      <c r="A35" s="4"/>
      <c r="C35" s="4"/>
      <c r="D35" s="78"/>
      <c r="E35" s="31"/>
      <c r="F35" s="31"/>
      <c r="G35" s="31"/>
      <c r="H35" s="31"/>
      <c r="I35" s="31"/>
      <c r="J35" s="78"/>
      <c r="K35" s="936"/>
      <c r="L35" s="29"/>
      <c r="M35" s="31"/>
      <c r="N35" s="78"/>
      <c r="O35" s="655"/>
      <c r="P35" s="31"/>
      <c r="Q35" s="662"/>
      <c r="R35" s="12"/>
    </row>
    <row r="36" spans="1:19" s="11" customFormat="1">
      <c r="B36" s="4" t="s">
        <v>78</v>
      </c>
      <c r="D36" s="78">
        <f>SUMIF('305 Inputs'!$B$116:$B$141,"=unbilled",'305 Inputs'!$I$116:$I$141)</f>
        <v>-281000</v>
      </c>
      <c r="E36" s="31">
        <f>-D36</f>
        <v>281000</v>
      </c>
      <c r="F36" s="31">
        <v>0</v>
      </c>
      <c r="G36" s="31">
        <v>0</v>
      </c>
      <c r="H36" s="31">
        <v>0</v>
      </c>
      <c r="I36" s="31">
        <f>SUM(E36:H36)</f>
        <v>281000</v>
      </c>
      <c r="J36" s="78">
        <f>D36+I36</f>
        <v>0</v>
      </c>
      <c r="K36" s="936">
        <v>0</v>
      </c>
      <c r="L36" s="31">
        <f t="shared" ref="L36" si="18">ROUND(J36*K36*((366-30)/(366+30*K36)),0)</f>
        <v>0</v>
      </c>
      <c r="M36" s="31">
        <f>SUM(L36:L36)</f>
        <v>0</v>
      </c>
      <c r="N36" s="78">
        <f>J36+M36</f>
        <v>0</v>
      </c>
      <c r="O36" s="655"/>
      <c r="P36" s="31">
        <f>I36+M36</f>
        <v>281000</v>
      </c>
      <c r="Q36" s="662">
        <f>+D36+P36</f>
        <v>0</v>
      </c>
      <c r="R36" s="12"/>
    </row>
    <row r="37" spans="1:19" s="11" customFormat="1">
      <c r="A37" s="4"/>
      <c r="C37" s="4"/>
      <c r="D37" s="78"/>
      <c r="E37" s="31"/>
      <c r="F37" s="31"/>
      <c r="G37" s="31"/>
      <c r="H37" s="31"/>
      <c r="I37" s="31"/>
      <c r="J37" s="78"/>
      <c r="K37" s="936"/>
      <c r="L37" s="936"/>
      <c r="M37" s="936"/>
      <c r="N37" s="78"/>
      <c r="O37" s="655"/>
      <c r="P37" s="31"/>
      <c r="Q37" s="31"/>
      <c r="R37" s="12"/>
    </row>
    <row r="38" spans="1:19">
      <c r="B38" s="33" t="s">
        <v>9</v>
      </c>
      <c r="C38" s="34"/>
      <c r="D38" s="79">
        <f t="shared" ref="D38:N38" si="19">+D19+D22+D24+SUM(D26:D36)</f>
        <v>134480729.90000001</v>
      </c>
      <c r="E38" s="80">
        <f t="shared" si="19"/>
        <v>0</v>
      </c>
      <c r="F38" s="37">
        <f t="shared" si="19"/>
        <v>-3338124.4725052183</v>
      </c>
      <c r="G38" s="37">
        <f t="shared" ca="1" si="19"/>
        <v>5967200.7199999997</v>
      </c>
      <c r="H38" s="37">
        <f t="shared" si="19"/>
        <v>-3644017.9699999993</v>
      </c>
      <c r="I38" s="37">
        <f t="shared" ca="1" si="19"/>
        <v>-1014941.7225052177</v>
      </c>
      <c r="J38" s="79">
        <f t="shared" ca="1" si="19"/>
        <v>133465788.17749478</v>
      </c>
      <c r="K38" s="37">
        <f t="shared" si="19"/>
        <v>0</v>
      </c>
      <c r="L38" s="37">
        <f t="shared" si="19"/>
        <v>7595104.4886623984</v>
      </c>
      <c r="M38" s="37">
        <f t="shared" si="19"/>
        <v>7595104.4886623984</v>
      </c>
      <c r="N38" s="79">
        <f t="shared" ca="1" si="19"/>
        <v>141060892.66615716</v>
      </c>
      <c r="O38" s="80"/>
      <c r="P38" s="37">
        <f ca="1">+P19+P22+P24+SUM(P26:P36)</f>
        <v>6580162.7661571782</v>
      </c>
      <c r="Q38" s="37">
        <f ca="1">+Q19+Q22+Q24+SUM(Q26:Q36)</f>
        <v>141060892.66615716</v>
      </c>
      <c r="R38" s="8"/>
    </row>
    <row r="39" spans="1:19">
      <c r="D39" s="30"/>
      <c r="E39" s="29"/>
      <c r="F39" s="29"/>
      <c r="G39" s="29"/>
      <c r="H39" s="29"/>
      <c r="I39" s="29"/>
      <c r="J39" s="30"/>
      <c r="K39" s="29"/>
      <c r="L39" s="29"/>
      <c r="M39" s="29"/>
      <c r="N39" s="30"/>
      <c r="O39" s="10"/>
      <c r="P39" s="9"/>
      <c r="Q39" s="663"/>
      <c r="R39" s="8"/>
    </row>
    <row r="40" spans="1:19">
      <c r="A40" s="5" t="s">
        <v>18</v>
      </c>
      <c r="B40" s="5"/>
      <c r="D40" s="30"/>
      <c r="E40" s="29"/>
      <c r="F40" s="29"/>
      <c r="G40" s="29"/>
      <c r="H40" s="29"/>
      <c r="I40" s="29"/>
      <c r="J40" s="30"/>
      <c r="K40" s="29"/>
      <c r="L40" s="29"/>
      <c r="M40" s="29"/>
      <c r="N40" s="30"/>
      <c r="O40" s="10"/>
      <c r="P40" s="9"/>
      <c r="Q40" s="663"/>
      <c r="R40" s="8"/>
    </row>
    <row r="41" spans="1:19">
      <c r="B41" s="915" t="s">
        <v>51</v>
      </c>
      <c r="D41" s="30">
        <f>SUMIF('305 Inputs'!$B$7:$B$44,"=24",'305 Inputs'!$I$7:$I$44)</f>
        <v>45257755.719999999</v>
      </c>
      <c r="E41" s="29">
        <f>'Normalized Monthly revenue'!AC14</f>
        <v>-108790.9692585204</v>
      </c>
      <c r="F41" s="29">
        <f>'305 VS COGNOS Revenue'!E18+'305 VS COGNOS Revenue'!G18+'305 VS COGNOS Revenue'!N18+'305 VS COGNOS Revenue'!E26+'305 VS COGNOS Revenue'!G26+'305 VS COGNOS Revenue'!N26</f>
        <v>-1462467.6751916069</v>
      </c>
      <c r="G41" s="29">
        <f>-SUMIF('305 Inputs'!$A$7:$A$43,"=b24",'305 Inputs'!$I$7:$I$44)</f>
        <v>167917.36000000002</v>
      </c>
      <c r="H41" s="29">
        <f>Temperature!I75*1000</f>
        <v>-562501.81999999995</v>
      </c>
      <c r="I41" s="29">
        <f>SUM(E41:H41)</f>
        <v>-1965843.1044501271</v>
      </c>
      <c r="J41" s="30">
        <f>D41+I41</f>
        <v>43291912.61554987</v>
      </c>
      <c r="K41" s="824">
        <f>$K$13</f>
        <v>0</v>
      </c>
      <c r="L41" s="29">
        <f>'305 VS COGNOS Revenue'!R18+'305 VS COGNOS Revenue'!R26</f>
        <v>2451639.4151916057</v>
      </c>
      <c r="M41" s="29">
        <f>SUM(L41:L41)</f>
        <v>2451639.4151916057</v>
      </c>
      <c r="N41" s="30">
        <f>J41+M41</f>
        <v>45743552.030741476</v>
      </c>
      <c r="O41" s="10"/>
      <c r="P41" s="29">
        <f>I41+M41</f>
        <v>485796.31074147858</v>
      </c>
      <c r="Q41" s="663">
        <f>+D41+P41</f>
        <v>45743552.030741476</v>
      </c>
      <c r="R41" s="8"/>
      <c r="S41" s="663">
        <f t="shared" ref="S41:S43" si="20">D41+F41+G41</f>
        <v>43963205.404808395</v>
      </c>
    </row>
    <row r="42" spans="1:19" s="11" customFormat="1">
      <c r="B42" s="915" t="s">
        <v>52</v>
      </c>
      <c r="D42" s="30">
        <f>SUMIF('305 Inputs'!$B$7:$B$44,"=24f",'305 Inputs'!$I$7:$I$44)</f>
        <v>162255.56</v>
      </c>
      <c r="E42" s="29">
        <f>'Normalized Monthly revenue'!AC15</f>
        <v>-389.05432115663655</v>
      </c>
      <c r="F42" s="29">
        <f>'305 VS COGNOS Revenue'!E19+'305 VS COGNOS Revenue'!G19+'305 VS COGNOS Revenue'!N19</f>
        <v>-5039.538268421903</v>
      </c>
      <c r="G42" s="29">
        <f>-SUMIF('305 Inputs'!$A$7:$A$43,"=b24f",'305 Inputs'!$I$7:$I$44)</f>
        <v>3.6</v>
      </c>
      <c r="H42" s="29">
        <v>0</v>
      </c>
      <c r="I42" s="29">
        <f>SUM(E42:H42)</f>
        <v>-5424.9925895785391</v>
      </c>
      <c r="J42" s="30">
        <f>D42+I42</f>
        <v>156830.56741042147</v>
      </c>
      <c r="K42" s="935">
        <f>$K$13</f>
        <v>0</v>
      </c>
      <c r="L42" s="29">
        <f>'305 VS COGNOS Revenue'!R19</f>
        <v>7408.3782684219186</v>
      </c>
      <c r="M42" s="29">
        <f>SUM(L42:L42)</f>
        <v>7408.3782684219186</v>
      </c>
      <c r="N42" s="30">
        <f>J42+M42</f>
        <v>164238.94567884339</v>
      </c>
      <c r="O42" s="10"/>
      <c r="P42" s="29">
        <f>I42+M42</f>
        <v>1983.3856788433795</v>
      </c>
      <c r="Q42" s="663">
        <f>+D42+P42</f>
        <v>164238.94567884339</v>
      </c>
      <c r="R42" s="12"/>
      <c r="S42" s="663">
        <f t="shared" si="20"/>
        <v>157219.62173157811</v>
      </c>
    </row>
    <row r="43" spans="1:19">
      <c r="B43" s="915" t="s">
        <v>57</v>
      </c>
      <c r="C43" s="11"/>
      <c r="D43" s="78">
        <f>SUMIF('305 Inputs'!$B$7:$B$44,"=24fp",'305 Inputs'!$I$7:$I$44)</f>
        <v>112853.24</v>
      </c>
      <c r="E43" s="31">
        <f>'Normalized Monthly revenue'!AC16</f>
        <v>-281.50082946927245</v>
      </c>
      <c r="F43" s="31">
        <f>'305 VS COGNOS Revenue'!E20+'305 VS COGNOS Revenue'!G20+'305 VS COGNOS Revenue'!N20</f>
        <v>-967.06017433801151</v>
      </c>
      <c r="G43" s="31">
        <f>-SUMIF('305 Inputs'!$A$7:$A$43,"=b24fp",'305 Inputs'!$I$7:$I$44)</f>
        <v>1870.31</v>
      </c>
      <c r="H43" s="31">
        <v>0</v>
      </c>
      <c r="I43" s="31">
        <f>SUM(E43:H43)</f>
        <v>621.74899619271605</v>
      </c>
      <c r="J43" s="78">
        <f>D43+I43</f>
        <v>113474.98899619273</v>
      </c>
      <c r="K43" s="936">
        <f>$K$13</f>
        <v>0</v>
      </c>
      <c r="L43" s="31">
        <f>'305 VS COGNOS Revenue'!R20</f>
        <v>3887.5101743380073</v>
      </c>
      <c r="M43" s="31">
        <f>SUM(L43:L43)</f>
        <v>3887.5101743380073</v>
      </c>
      <c r="N43" s="78">
        <f>J43+M43</f>
        <v>117362.49917053073</v>
      </c>
      <c r="O43" s="655"/>
      <c r="P43" s="31">
        <f t="shared" ref="P43" si="21">I43+M43</f>
        <v>4509.2591705307232</v>
      </c>
      <c r="Q43" s="662">
        <f>+D43+P43</f>
        <v>117362.49917053073</v>
      </c>
      <c r="R43" s="8"/>
      <c r="S43" s="663">
        <f t="shared" si="20"/>
        <v>113756.48982566199</v>
      </c>
    </row>
    <row r="44" spans="1:19">
      <c r="B44" s="4" t="s">
        <v>35</v>
      </c>
      <c r="D44" s="30">
        <f t="shared" ref="D44:J44" si="22">SUM(D41:D43)</f>
        <v>45532864.520000003</v>
      </c>
      <c r="E44" s="997">
        <f t="shared" si="22"/>
        <v>-109461.52440914631</v>
      </c>
      <c r="F44" s="29">
        <f t="shared" si="22"/>
        <v>-1468474.2736343669</v>
      </c>
      <c r="G44" s="29">
        <f t="shared" si="22"/>
        <v>169791.27000000002</v>
      </c>
      <c r="H44" s="29">
        <f t="shared" si="22"/>
        <v>-562501.81999999995</v>
      </c>
      <c r="I44" s="29">
        <f t="shared" si="22"/>
        <v>-1970646.3480435128</v>
      </c>
      <c r="J44" s="30">
        <f t="shared" si="22"/>
        <v>43562218.171956487</v>
      </c>
      <c r="K44" s="935"/>
      <c r="L44" s="29">
        <f>SUM(L41:L43)</f>
        <v>2462935.303634366</v>
      </c>
      <c r="M44" s="29">
        <f>SUM(M41:M43)</f>
        <v>2462935.303634366</v>
      </c>
      <c r="N44" s="30">
        <f>SUM(N41:N43)</f>
        <v>46025153.475590855</v>
      </c>
      <c r="O44" s="10"/>
      <c r="P44" s="29">
        <f>SUM(P41:P43)</f>
        <v>492288.95559085265</v>
      </c>
      <c r="Q44" s="29">
        <f>SUM(Q41:Q43)</f>
        <v>46025153.475590855</v>
      </c>
      <c r="R44" s="8"/>
      <c r="S44" s="663">
        <f>SUM(S41:S43)</f>
        <v>44234181.516365632</v>
      </c>
    </row>
    <row r="45" spans="1:19">
      <c r="D45" s="30"/>
      <c r="E45" s="29"/>
      <c r="F45" s="29"/>
      <c r="G45" s="29"/>
      <c r="H45" s="29"/>
      <c r="I45" s="29"/>
      <c r="J45" s="30"/>
      <c r="K45" s="29"/>
      <c r="L45" s="29"/>
      <c r="M45" s="29"/>
      <c r="N45" s="30"/>
      <c r="O45" s="10"/>
      <c r="P45" s="29"/>
      <c r="Q45" s="663"/>
      <c r="R45" s="8"/>
    </row>
    <row r="46" spans="1:19">
      <c r="B46" s="915" t="s">
        <v>53</v>
      </c>
      <c r="D46" s="78">
        <f>SUMIF('305 Inputs'!$B$7:$B$44,"=36",'305 Inputs'!$I$7:$I$44)</f>
        <v>58097833.770000003</v>
      </c>
      <c r="E46" s="31">
        <f>'Normalized Monthly revenue'!AC18</f>
        <v>-139476.06740318847</v>
      </c>
      <c r="F46" s="31">
        <f>'305 VS COGNOS Revenue'!E22+'305 VS COGNOS Revenue'!G22+'305 VS COGNOS Revenue'!N22+'305 VS COGNOS Revenue'!E27+'305 VS COGNOS Revenue'!G27+'305 VS COGNOS Revenue'!N27</f>
        <v>-2106077.7987500681</v>
      </c>
      <c r="G46" s="31">
        <f>-SUMIF('305 Inputs'!$A$7:$A$43,"=b36",'305 Inputs'!$I$7:$I$44)</f>
        <v>371516.11</v>
      </c>
      <c r="H46" s="31">
        <f>Temperature!G110*1000</f>
        <v>-567982.93000000005</v>
      </c>
      <c r="I46" s="31">
        <f>SUM(E46:H46)</f>
        <v>-2442020.6861532568</v>
      </c>
      <c r="J46" s="78">
        <f>D46+I46</f>
        <v>55655813.083846748</v>
      </c>
      <c r="K46" s="938">
        <f>$K$13</f>
        <v>0</v>
      </c>
      <c r="L46" s="31">
        <f>'305 VS COGNOS Revenue'!R22+'305 VS COGNOS Revenue'!R27</f>
        <v>3014170.8487500623</v>
      </c>
      <c r="M46" s="31">
        <f>SUM(L46:L46)</f>
        <v>3014170.8487500623</v>
      </c>
      <c r="N46" s="78">
        <f>J46+M46</f>
        <v>58669983.93259681</v>
      </c>
      <c r="O46" s="655"/>
      <c r="P46" s="31">
        <f t="shared" ref="P46" si="23">I46+M46</f>
        <v>572150.16259680549</v>
      </c>
      <c r="Q46" s="662">
        <f>+D46+P46</f>
        <v>58669983.93259681</v>
      </c>
      <c r="R46" s="8"/>
      <c r="S46" s="663">
        <f>D46+F46+G46</f>
        <v>56363272.081249937</v>
      </c>
    </row>
    <row r="47" spans="1:19">
      <c r="B47" s="4" t="s">
        <v>35</v>
      </c>
      <c r="D47" s="30">
        <f t="shared" ref="D47:J47" si="24">SUM(D46:D46)</f>
        <v>58097833.770000003</v>
      </c>
      <c r="E47" s="997">
        <f t="shared" si="24"/>
        <v>-139476.06740318847</v>
      </c>
      <c r="F47" s="29">
        <f t="shared" si="24"/>
        <v>-2106077.7987500681</v>
      </c>
      <c r="G47" s="29">
        <f t="shared" si="24"/>
        <v>371516.11</v>
      </c>
      <c r="H47" s="29">
        <f t="shared" si="24"/>
        <v>-567982.93000000005</v>
      </c>
      <c r="I47" s="29">
        <f t="shared" si="24"/>
        <v>-2442020.6861532568</v>
      </c>
      <c r="J47" s="30">
        <f t="shared" si="24"/>
        <v>55655813.083846748</v>
      </c>
      <c r="K47" s="935"/>
      <c r="L47" s="29">
        <f>SUM(L46:L46)</f>
        <v>3014170.8487500623</v>
      </c>
      <c r="M47" s="29">
        <f>SUM(M46:M46)</f>
        <v>3014170.8487500623</v>
      </c>
      <c r="N47" s="30">
        <f>SUM(N46:N46)</f>
        <v>58669983.93259681</v>
      </c>
      <c r="O47" s="10"/>
      <c r="P47" s="29">
        <f>SUM(P46:P46)</f>
        <v>572150.16259680549</v>
      </c>
      <c r="Q47" s="29">
        <f>SUM(Q46:Q46)</f>
        <v>58669983.93259681</v>
      </c>
      <c r="R47" s="8"/>
    </row>
    <row r="48" spans="1:19">
      <c r="B48" s="915"/>
      <c r="D48" s="30"/>
      <c r="E48" s="29"/>
      <c r="F48" s="29"/>
      <c r="G48" s="29"/>
      <c r="H48" s="29"/>
      <c r="I48" s="29"/>
      <c r="J48" s="30"/>
      <c r="K48" s="935"/>
      <c r="L48" s="29"/>
      <c r="M48" s="29"/>
      <c r="N48" s="30"/>
      <c r="O48" s="10"/>
      <c r="P48" s="29"/>
      <c r="Q48" s="663"/>
      <c r="R48" s="8"/>
    </row>
    <row r="49" spans="1:19" s="11" customFormat="1">
      <c r="B49" s="915" t="s">
        <v>54</v>
      </c>
      <c r="D49" s="78">
        <f>SUMIF('305 Inputs'!$B$7:$B$44,"=48t",'305 Inputs'!$I$7:$I$44)</f>
        <v>11404602.67</v>
      </c>
      <c r="E49" s="31">
        <f>'Normalized Monthly revenue'!AC19</f>
        <v>-27264.051948029541</v>
      </c>
      <c r="F49" s="31">
        <f>'305 VS COGNOS Revenue'!E23+'305 VS COGNOS Revenue'!G23+'305 VS COGNOS Revenue'!N23</f>
        <v>-387005.12373454141</v>
      </c>
      <c r="G49" s="31">
        <f>-SUMIF('305 Inputs'!$A$7:$A$43,"=b48t",'305 Inputs'!$I$7:$I$44)</f>
        <v>0</v>
      </c>
      <c r="H49" s="31">
        <f>(Temperature!D127+Temperature!H127)*1000</f>
        <v>-106120.18999999999</v>
      </c>
      <c r="I49" s="31">
        <f>SUM(E49:H49)</f>
        <v>-520389.36568257096</v>
      </c>
      <c r="J49" s="78">
        <f>D49+I49</f>
        <v>10884213.30431743</v>
      </c>
      <c r="K49" s="938">
        <f>$K$13</f>
        <v>0</v>
      </c>
      <c r="L49" s="31">
        <f>'305 VS COGNOS Revenue'!R23</f>
        <v>590244.64373454079</v>
      </c>
      <c r="M49" s="31">
        <f>SUM(L49:L49)</f>
        <v>590244.64373454079</v>
      </c>
      <c r="N49" s="78">
        <f>J49+M49</f>
        <v>11474457.94805197</v>
      </c>
      <c r="O49" s="655"/>
      <c r="P49" s="31">
        <f t="shared" ref="P49" si="25">I49+M49</f>
        <v>69855.278051969828</v>
      </c>
      <c r="Q49" s="662">
        <f>+D49+P49</f>
        <v>11474457.94805197</v>
      </c>
      <c r="R49" s="12"/>
      <c r="S49" s="663">
        <f>D49+F49+G49</f>
        <v>11017597.546265459</v>
      </c>
    </row>
    <row r="50" spans="1:19">
      <c r="B50" s="4" t="s">
        <v>35</v>
      </c>
      <c r="D50" s="30">
        <f t="shared" ref="D50:J50" si="26">SUM(D49)</f>
        <v>11404602.67</v>
      </c>
      <c r="E50" s="997">
        <f t="shared" si="26"/>
        <v>-27264.051948029541</v>
      </c>
      <c r="F50" s="29">
        <f t="shared" si="26"/>
        <v>-387005.12373454141</v>
      </c>
      <c r="G50" s="29">
        <f t="shared" si="26"/>
        <v>0</v>
      </c>
      <c r="H50" s="29">
        <f t="shared" si="26"/>
        <v>-106120.18999999999</v>
      </c>
      <c r="I50" s="29">
        <f t="shared" si="26"/>
        <v>-520389.36568257096</v>
      </c>
      <c r="J50" s="30">
        <f t="shared" si="26"/>
        <v>10884213.30431743</v>
      </c>
      <c r="K50" s="935"/>
      <c r="L50" s="29">
        <f>SUM(L49)</f>
        <v>590244.64373454079</v>
      </c>
      <c r="M50" s="29">
        <f>SUM(M49)</f>
        <v>590244.64373454079</v>
      </c>
      <c r="N50" s="30">
        <f>SUM(N49)</f>
        <v>11474457.94805197</v>
      </c>
      <c r="O50" s="10"/>
      <c r="P50" s="29">
        <f>SUM(P49)</f>
        <v>69855.278051969828</v>
      </c>
      <c r="Q50" s="29">
        <f>SUM(Q49)</f>
        <v>11474457.94805197</v>
      </c>
      <c r="R50" s="8"/>
    </row>
    <row r="51" spans="1:19">
      <c r="D51" s="30"/>
      <c r="E51" s="29"/>
      <c r="F51" s="29"/>
      <c r="G51" s="29"/>
      <c r="H51" s="29"/>
      <c r="I51" s="29"/>
      <c r="J51" s="30" t="s">
        <v>31</v>
      </c>
      <c r="K51" s="29"/>
      <c r="L51" s="29"/>
      <c r="M51" s="29"/>
      <c r="N51" s="30"/>
      <c r="O51" s="939"/>
      <c r="P51" s="29"/>
      <c r="Q51" s="663"/>
    </row>
    <row r="52" spans="1:19">
      <c r="B52" s="915" t="s">
        <v>55</v>
      </c>
      <c r="D52" s="30">
        <f>SUMIF('305 Inputs'!$B$7:$B$44,"=15n",'305 Inputs'!$I$7:$I$44)</f>
        <v>298998.27</v>
      </c>
      <c r="E52" s="29">
        <f>'Normalized Monthly revenue'!AC20</f>
        <v>-734.38073140861252</v>
      </c>
      <c r="F52" s="29">
        <f>'305 VS COGNOS Revenue'!E24+'305 VS COGNOS Revenue'!G24+'305 VS COGNOS Revenue'!N24</f>
        <v>-4533.9267306743195</v>
      </c>
      <c r="G52" s="29">
        <f>-SUMIF('305 Inputs'!$A$7:$A$43,"=b15n",'305 Inputs'!$I$7:$I$44)</f>
        <v>2304.14</v>
      </c>
      <c r="H52" s="29">
        <v>0</v>
      </c>
      <c r="I52" s="29">
        <f>SUM(E52:H52)</f>
        <v>-2964.1674620829322</v>
      </c>
      <c r="J52" s="30">
        <f>D52+I52</f>
        <v>296034.10253791709</v>
      </c>
      <c r="K52" s="935">
        <v>0</v>
      </c>
      <c r="L52" s="29">
        <f>'305 VS COGNOS Revenue'!R24</f>
        <v>17.524038293049671</v>
      </c>
      <c r="M52" s="29">
        <f>SUM(L52:L52)</f>
        <v>17.524038293049671</v>
      </c>
      <c r="N52" s="30">
        <f>J52+M52</f>
        <v>296051.62657621014</v>
      </c>
      <c r="O52" s="10"/>
      <c r="P52" s="29">
        <f>I52+M52</f>
        <v>-2946.6434237898825</v>
      </c>
      <c r="Q52" s="663">
        <f>+D52+P52</f>
        <v>296051.62657621014</v>
      </c>
      <c r="R52" s="8"/>
      <c r="S52" s="663">
        <f t="shared" ref="S52:S53" si="27">D52+F52+G52</f>
        <v>296768.48326932569</v>
      </c>
    </row>
    <row r="53" spans="1:19">
      <c r="B53" s="915" t="s">
        <v>56</v>
      </c>
      <c r="D53" s="78">
        <f>SUMIF('305 Inputs'!$B$7:$B$44,"=54",'305 Inputs'!$I$7:$I$44)</f>
        <v>26869.71</v>
      </c>
      <c r="E53" s="31">
        <f>'Normalized Monthly revenue'!AC21</f>
        <v>-63.975508227073483</v>
      </c>
      <c r="F53" s="31">
        <f>'305 VS COGNOS Revenue'!E25+'305 VS COGNOS Revenue'!G25+'305 VS COGNOS Revenue'!N25</f>
        <v>-1016.7515399999836</v>
      </c>
      <c r="G53" s="31">
        <f>-SUMIF('305 Inputs'!$A$7:$A$43,"=b54",'305 Inputs'!$I$7:$I$44)</f>
        <v>0</v>
      </c>
      <c r="H53" s="31">
        <v>0</v>
      </c>
      <c r="I53" s="31">
        <f>SUM(E53:H53)</f>
        <v>-1080.7270482270571</v>
      </c>
      <c r="J53" s="78">
        <f>D53+I53</f>
        <v>25788.982951772941</v>
      </c>
      <c r="K53" s="936">
        <v>0</v>
      </c>
      <c r="L53" s="31">
        <f>'305 VS COGNOS Revenue'!R25</f>
        <v>1.0415399999874353</v>
      </c>
      <c r="M53" s="31">
        <f>SUM(L53:L53)</f>
        <v>1.0415399999874353</v>
      </c>
      <c r="N53" s="78">
        <f>J53+M53</f>
        <v>25790.024491772929</v>
      </c>
      <c r="O53" s="655"/>
      <c r="P53" s="31">
        <f t="shared" ref="P53" si="28">I53+M53</f>
        <v>-1079.6855082270697</v>
      </c>
      <c r="Q53" s="662">
        <f>+D53+P53</f>
        <v>25790.024491772929</v>
      </c>
      <c r="R53" s="8"/>
      <c r="S53" s="663">
        <f t="shared" si="27"/>
        <v>25852.958460000016</v>
      </c>
    </row>
    <row r="54" spans="1:19">
      <c r="B54" s="4" t="s">
        <v>35</v>
      </c>
      <c r="D54" s="30">
        <f t="shared" ref="D54:J54" si="29">SUM(D52:D53)</f>
        <v>325867.98000000004</v>
      </c>
      <c r="E54" s="997">
        <f t="shared" si="29"/>
        <v>-798.35623963568605</v>
      </c>
      <c r="F54" s="29">
        <f t="shared" si="29"/>
        <v>-5550.6782706743033</v>
      </c>
      <c r="G54" s="29">
        <f t="shared" si="29"/>
        <v>2304.14</v>
      </c>
      <c r="H54" s="29">
        <f t="shared" si="29"/>
        <v>0</v>
      </c>
      <c r="I54" s="29">
        <f t="shared" si="29"/>
        <v>-4044.8945103099895</v>
      </c>
      <c r="J54" s="30">
        <f t="shared" si="29"/>
        <v>321823.08548969001</v>
      </c>
      <c r="K54" s="936"/>
      <c r="L54" s="29">
        <f>SUM(L52:L53)</f>
        <v>18.565578293037106</v>
      </c>
      <c r="M54" s="29">
        <f>SUM(M52:M53)</f>
        <v>18.565578293037106</v>
      </c>
      <c r="N54" s="30">
        <f>SUM(N52:N53)</f>
        <v>321841.65106798307</v>
      </c>
      <c r="O54" s="10"/>
      <c r="P54" s="29">
        <f>SUM(P52:P53)</f>
        <v>-4026.3289320169524</v>
      </c>
      <c r="Q54" s="29">
        <f>SUM(Q52:Q53)</f>
        <v>321841.65106798307</v>
      </c>
      <c r="R54" s="8"/>
      <c r="S54" s="663">
        <f>SUM(S52:S53)</f>
        <v>322621.44172932568</v>
      </c>
    </row>
    <row r="55" spans="1:19">
      <c r="D55" s="30"/>
      <c r="E55" s="29"/>
      <c r="F55" s="29"/>
      <c r="G55" s="29"/>
      <c r="H55" s="29"/>
      <c r="I55" s="29"/>
      <c r="J55" s="30"/>
      <c r="K55" s="31"/>
      <c r="L55" s="29"/>
      <c r="M55" s="29"/>
      <c r="N55" s="30"/>
      <c r="O55" s="939"/>
      <c r="P55" s="29"/>
      <c r="Q55" s="663"/>
    </row>
    <row r="56" spans="1:19" s="11" customFormat="1">
      <c r="A56" s="4"/>
      <c r="B56" s="4" t="s">
        <v>34</v>
      </c>
      <c r="C56" s="4"/>
      <c r="D56" s="78">
        <f>SUMIF('305 Inputs'!$B$7:$B$44,"=aga",'305 Inputs'!$I$7:$I$44)</f>
        <v>415441.25</v>
      </c>
      <c r="E56" s="31"/>
      <c r="F56" s="31">
        <v>0</v>
      </c>
      <c r="G56" s="31">
        <v>0</v>
      </c>
      <c r="H56" s="31">
        <v>0</v>
      </c>
      <c r="I56" s="31">
        <f>SUM(F56:H56)</f>
        <v>0</v>
      </c>
      <c r="J56" s="78">
        <f>D56+I56</f>
        <v>415441.25</v>
      </c>
      <c r="K56" s="936">
        <v>0</v>
      </c>
      <c r="L56" s="31">
        <f t="shared" ref="L56:L66" si="30">ROUND(J56*K56*((366-30)/(366+30*K56)),0)</f>
        <v>0</v>
      </c>
      <c r="M56" s="31">
        <f>SUM(L56:L56)</f>
        <v>0</v>
      </c>
      <c r="N56" s="78">
        <f>J56+M56</f>
        <v>415441.25</v>
      </c>
      <c r="O56" s="655"/>
      <c r="P56" s="31">
        <f t="shared" ref="P56:P66" si="31">I56+M56</f>
        <v>0</v>
      </c>
      <c r="Q56" s="31">
        <f>+D56+P56</f>
        <v>415441.25</v>
      </c>
      <c r="R56" s="12"/>
    </row>
    <row r="57" spans="1:19" s="11" customFormat="1">
      <c r="A57" s="4"/>
      <c r="B57" s="4"/>
      <c r="C57" s="4"/>
      <c r="D57" s="30"/>
      <c r="E57" s="29"/>
      <c r="F57" s="31"/>
      <c r="G57" s="29"/>
      <c r="H57" s="29"/>
      <c r="I57" s="29"/>
      <c r="J57" s="30"/>
      <c r="K57" s="936"/>
      <c r="L57" s="31"/>
      <c r="M57" s="31"/>
      <c r="N57" s="30"/>
      <c r="O57" s="10"/>
      <c r="P57" s="29"/>
      <c r="Q57" s="29"/>
      <c r="R57" s="12"/>
    </row>
    <row r="58" spans="1:19" s="11" customFormat="1">
      <c r="A58" s="4"/>
      <c r="B58" s="4" t="s">
        <v>672</v>
      </c>
      <c r="C58" s="4"/>
      <c r="D58" s="78">
        <f>SUMIF('305 Inputs'!$B$7:$B$44,"=def",'305 Inputs'!$I$7:$I$44)</f>
        <v>-1020000</v>
      </c>
      <c r="E58" s="31"/>
      <c r="F58" s="31">
        <f>-D58</f>
        <v>1020000</v>
      </c>
      <c r="G58" s="31">
        <v>0</v>
      </c>
      <c r="H58" s="31">
        <v>0</v>
      </c>
      <c r="I58" s="31">
        <f t="shared" ref="I58:I64" si="32">SUM(F58:H58)</f>
        <v>1020000</v>
      </c>
      <c r="J58" s="78">
        <f t="shared" ref="J58:J64" si="33">D58+I58</f>
        <v>0</v>
      </c>
      <c r="K58" s="936">
        <v>0</v>
      </c>
      <c r="L58" s="31">
        <f t="shared" si="30"/>
        <v>0</v>
      </c>
      <c r="M58" s="31">
        <f t="shared" ref="M58:M64" si="34">SUM(L58:L58)</f>
        <v>0</v>
      </c>
      <c r="N58" s="78">
        <f t="shared" ref="N58:N64" si="35">J58+M58</f>
        <v>0</v>
      </c>
      <c r="O58" s="655"/>
      <c r="P58" s="31">
        <f t="shared" si="31"/>
        <v>1020000</v>
      </c>
      <c r="Q58" s="31">
        <f t="shared" ref="Q58:Q64" si="36">+D58+P58</f>
        <v>0</v>
      </c>
      <c r="R58" s="12"/>
    </row>
    <row r="59" spans="1:19" s="11" customFormat="1">
      <c r="A59" s="4"/>
      <c r="B59" s="4" t="s">
        <v>750</v>
      </c>
      <c r="C59" s="4"/>
      <c r="D59" s="78">
        <f>SUMIF('305 Inputs'!$B$7:$B$44,"=rev",'305 Inputs'!$I$7:$I$44)</f>
        <v>-4316156.59</v>
      </c>
      <c r="E59" s="31"/>
      <c r="F59" s="31">
        <f>-D59</f>
        <v>4316156.59</v>
      </c>
      <c r="G59" s="31">
        <v>0</v>
      </c>
      <c r="H59" s="31">
        <v>0</v>
      </c>
      <c r="I59" s="31">
        <f t="shared" si="32"/>
        <v>4316156.59</v>
      </c>
      <c r="J59" s="78">
        <f t="shared" si="33"/>
        <v>0</v>
      </c>
      <c r="K59" s="936">
        <v>0</v>
      </c>
      <c r="L59" s="31">
        <f t="shared" si="30"/>
        <v>0</v>
      </c>
      <c r="M59" s="31">
        <f t="shared" si="34"/>
        <v>0</v>
      </c>
      <c r="N59" s="78">
        <f t="shared" si="35"/>
        <v>0</v>
      </c>
      <c r="O59" s="655"/>
      <c r="P59" s="31">
        <f t="shared" si="31"/>
        <v>4316156.59</v>
      </c>
      <c r="Q59" s="31">
        <f t="shared" si="36"/>
        <v>0</v>
      </c>
      <c r="R59" s="12"/>
    </row>
    <row r="60" spans="1:19" s="11" customFormat="1">
      <c r="A60" s="4"/>
      <c r="B60" s="4" t="s">
        <v>238</v>
      </c>
      <c r="C60" s="4"/>
      <c r="D60" s="78">
        <f>SUMIF('305 Inputs'!$B$7:$B$44,"=acq",'305 Inputs'!$I$7:$I$44)</f>
        <v>0</v>
      </c>
      <c r="E60" s="31"/>
      <c r="F60" s="31">
        <f>-D60</f>
        <v>0</v>
      </c>
      <c r="G60" s="31">
        <v>0</v>
      </c>
      <c r="H60" s="31">
        <v>0</v>
      </c>
      <c r="I60" s="31">
        <f t="shared" si="32"/>
        <v>0</v>
      </c>
      <c r="J60" s="78">
        <f t="shared" si="33"/>
        <v>0</v>
      </c>
      <c r="K60" s="936">
        <v>0</v>
      </c>
      <c r="L60" s="31">
        <f t="shared" si="30"/>
        <v>0</v>
      </c>
      <c r="M60" s="31">
        <f t="shared" si="34"/>
        <v>0</v>
      </c>
      <c r="N60" s="78">
        <f t="shared" si="35"/>
        <v>0</v>
      </c>
      <c r="O60" s="655"/>
      <c r="P60" s="31">
        <f t="shared" si="31"/>
        <v>0</v>
      </c>
      <c r="Q60" s="31">
        <f t="shared" si="36"/>
        <v>0</v>
      </c>
      <c r="R60" s="12"/>
    </row>
    <row r="61" spans="1:19" s="11" customFormat="1">
      <c r="A61" s="4"/>
      <c r="B61" s="4" t="s">
        <v>759</v>
      </c>
      <c r="C61" s="4"/>
      <c r="D61" s="78">
        <f>SUMIF('305 Inputs'!$B$7:$B$44,"=dsm",'305 Inputs'!$I$7:$I$44)</f>
        <v>3876602.16</v>
      </c>
      <c r="E61" s="31"/>
      <c r="F61" s="31">
        <f>-D61</f>
        <v>-3876602.16</v>
      </c>
      <c r="G61" s="31">
        <v>0</v>
      </c>
      <c r="H61" s="31">
        <v>0</v>
      </c>
      <c r="I61" s="31">
        <f t="shared" si="32"/>
        <v>-3876602.16</v>
      </c>
      <c r="J61" s="78">
        <f t="shared" si="33"/>
        <v>0</v>
      </c>
      <c r="K61" s="936">
        <v>0</v>
      </c>
      <c r="L61" s="31">
        <f t="shared" si="30"/>
        <v>0</v>
      </c>
      <c r="M61" s="31">
        <f t="shared" si="34"/>
        <v>0</v>
      </c>
      <c r="N61" s="78">
        <f t="shared" si="35"/>
        <v>0</v>
      </c>
      <c r="O61" s="655"/>
      <c r="P61" s="31">
        <f t="shared" si="31"/>
        <v>-3876602.16</v>
      </c>
      <c r="Q61" s="31">
        <f t="shared" si="36"/>
        <v>0</v>
      </c>
      <c r="R61" s="12"/>
    </row>
    <row r="62" spans="1:19" s="11" customFormat="1">
      <c r="A62" s="4"/>
      <c r="B62" s="4" t="s">
        <v>758</v>
      </c>
      <c r="C62" s="4"/>
      <c r="D62" s="78">
        <f>SUMIF('305 Inputs'!$B$7:$B$44,"=blue",'305 Inputs'!$I$7:$I$44)</f>
        <v>11667.31</v>
      </c>
      <c r="E62" s="31"/>
      <c r="F62" s="31">
        <f>-D62</f>
        <v>-11667.31</v>
      </c>
      <c r="G62" s="31">
        <v>0</v>
      </c>
      <c r="H62" s="31">
        <v>0</v>
      </c>
      <c r="I62" s="31">
        <f t="shared" si="32"/>
        <v>-11667.31</v>
      </c>
      <c r="J62" s="78">
        <f t="shared" si="33"/>
        <v>0</v>
      </c>
      <c r="K62" s="936">
        <v>0</v>
      </c>
      <c r="L62" s="31">
        <f t="shared" si="30"/>
        <v>0</v>
      </c>
      <c r="M62" s="31">
        <f t="shared" si="34"/>
        <v>0</v>
      </c>
      <c r="N62" s="78">
        <f t="shared" si="35"/>
        <v>0</v>
      </c>
      <c r="O62" s="655"/>
      <c r="P62" s="31">
        <f t="shared" si="31"/>
        <v>-11667.31</v>
      </c>
      <c r="Q62" s="31">
        <f t="shared" si="36"/>
        <v>0</v>
      </c>
      <c r="R62" s="12"/>
    </row>
    <row r="63" spans="1:19" s="11" customFormat="1">
      <c r="A63" s="4"/>
      <c r="B63" s="4" t="s">
        <v>95</v>
      </c>
      <c r="C63" s="4"/>
      <c r="D63" s="78">
        <f>SUMIF('305 Inputs'!$B$7:$B$44,"=bpa",'305 Inputs'!$I$7:$I$44)</f>
        <v>63027.97</v>
      </c>
      <c r="E63" s="31"/>
      <c r="F63" s="31">
        <v>0</v>
      </c>
      <c r="G63" s="31">
        <f>-D63</f>
        <v>-63027.97</v>
      </c>
      <c r="H63" s="31">
        <v>0</v>
      </c>
      <c r="I63" s="31">
        <f t="shared" si="32"/>
        <v>-63027.97</v>
      </c>
      <c r="J63" s="78">
        <f t="shared" si="33"/>
        <v>0</v>
      </c>
      <c r="K63" s="936">
        <v>0</v>
      </c>
      <c r="L63" s="31">
        <f t="shared" si="30"/>
        <v>0</v>
      </c>
      <c r="M63" s="31">
        <f t="shared" si="34"/>
        <v>0</v>
      </c>
      <c r="N63" s="78">
        <f t="shared" si="35"/>
        <v>0</v>
      </c>
      <c r="O63" s="655"/>
      <c r="P63" s="31">
        <f t="shared" si="31"/>
        <v>-63027.97</v>
      </c>
      <c r="Q63" s="31">
        <f t="shared" si="36"/>
        <v>0</v>
      </c>
      <c r="R63" s="12"/>
    </row>
    <row r="64" spans="1:19" s="11" customFormat="1">
      <c r="A64" s="4"/>
      <c r="B64" s="4" t="s">
        <v>690</v>
      </c>
      <c r="C64" s="4"/>
      <c r="D64" s="78">
        <f>SUMIF('305 Inputs'!$B$7:$B$44,"=smud",'305 Inputs'!$I$7:$I$44)</f>
        <v>115878.41</v>
      </c>
      <c r="E64" s="31"/>
      <c r="F64" s="31">
        <f>D64*-1</f>
        <v>-115878.41</v>
      </c>
      <c r="G64" s="31">
        <v>0</v>
      </c>
      <c r="H64" s="31">
        <v>0</v>
      </c>
      <c r="I64" s="31">
        <f t="shared" si="32"/>
        <v>-115878.41</v>
      </c>
      <c r="J64" s="78">
        <f t="shared" si="33"/>
        <v>0</v>
      </c>
      <c r="K64" s="936">
        <v>0</v>
      </c>
      <c r="L64" s="31">
        <f t="shared" si="30"/>
        <v>0</v>
      </c>
      <c r="M64" s="31">
        <f t="shared" si="34"/>
        <v>0</v>
      </c>
      <c r="N64" s="78">
        <f t="shared" si="35"/>
        <v>0</v>
      </c>
      <c r="O64" s="655"/>
      <c r="P64" s="31">
        <f t="shared" si="31"/>
        <v>-115878.41</v>
      </c>
      <c r="Q64" s="31">
        <f t="shared" si="36"/>
        <v>0</v>
      </c>
      <c r="R64" s="12"/>
    </row>
    <row r="65" spans="1:19" s="11" customFormat="1">
      <c r="A65" s="4"/>
      <c r="D65" s="940"/>
      <c r="E65" s="980"/>
      <c r="F65" s="31"/>
      <c r="G65" s="29"/>
      <c r="H65" s="29"/>
      <c r="I65" s="29" t="s">
        <v>31</v>
      </c>
      <c r="J65" s="30"/>
      <c r="K65" s="936"/>
      <c r="L65" s="29"/>
      <c r="M65" s="31"/>
      <c r="N65" s="78"/>
      <c r="O65" s="10"/>
      <c r="P65" s="29"/>
      <c r="Q65" s="29"/>
      <c r="R65" s="12"/>
    </row>
    <row r="66" spans="1:19" s="11" customFormat="1">
      <c r="A66" s="4"/>
      <c r="B66" s="4" t="s">
        <v>79</v>
      </c>
      <c r="C66" s="4"/>
      <c r="D66" s="78">
        <f>SUMIF('305 Inputs'!$B$7:$B$44,"=unbilled",'305 Inputs'!$I$7:$I$44)</f>
        <v>-277000</v>
      </c>
      <c r="E66" s="31">
        <f>-D66</f>
        <v>277000</v>
      </c>
      <c r="F66" s="31">
        <v>0</v>
      </c>
      <c r="G66" s="31">
        <v>0</v>
      </c>
      <c r="H66" s="31">
        <v>0</v>
      </c>
      <c r="I66" s="31">
        <f>SUM(E66:H66)</f>
        <v>277000</v>
      </c>
      <c r="J66" s="78">
        <f>D66+I66</f>
        <v>0</v>
      </c>
      <c r="K66" s="936">
        <v>0</v>
      </c>
      <c r="L66" s="31">
        <f t="shared" si="30"/>
        <v>0</v>
      </c>
      <c r="M66" s="31">
        <f>SUM(L66:L66)</f>
        <v>0</v>
      </c>
      <c r="N66" s="78">
        <f>J66+M66</f>
        <v>0</v>
      </c>
      <c r="O66" s="655"/>
      <c r="P66" s="31">
        <f t="shared" si="31"/>
        <v>277000</v>
      </c>
      <c r="Q66" s="31">
        <f>+D66+P66</f>
        <v>0</v>
      </c>
      <c r="R66" s="12"/>
    </row>
    <row r="67" spans="1:19" s="11" customFormat="1">
      <c r="A67" s="4"/>
      <c r="C67" s="4"/>
      <c r="D67" s="30"/>
      <c r="E67" s="29"/>
      <c r="F67" s="31"/>
      <c r="G67" s="29"/>
      <c r="H67" s="29"/>
      <c r="I67" s="29"/>
      <c r="J67" s="30"/>
      <c r="K67" s="29"/>
      <c r="L67" s="29"/>
      <c r="M67" s="31"/>
      <c r="N67" s="30"/>
      <c r="O67" s="10"/>
      <c r="P67" s="29"/>
      <c r="Q67" s="29"/>
      <c r="R67" s="12"/>
    </row>
    <row r="68" spans="1:19">
      <c r="B68" s="33" t="s">
        <v>9</v>
      </c>
      <c r="C68" s="34"/>
      <c r="D68" s="79">
        <f t="shared" ref="D68:N68" si="37">+D44+D47+D50+D54+D56+SUM(D58:D66)</f>
        <v>114230629.45000002</v>
      </c>
      <c r="E68" s="80">
        <f t="shared" si="37"/>
        <v>0</v>
      </c>
      <c r="F68" s="37">
        <f t="shared" si="37"/>
        <v>-2635099.1643896503</v>
      </c>
      <c r="G68" s="37">
        <f t="shared" si="37"/>
        <v>480583.55000000005</v>
      </c>
      <c r="H68" s="37">
        <f t="shared" si="37"/>
        <v>-1236604.94</v>
      </c>
      <c r="I68" s="37">
        <f t="shared" si="37"/>
        <v>-3391120.5543896514</v>
      </c>
      <c r="J68" s="79">
        <f t="shared" si="37"/>
        <v>110839508.89561035</v>
      </c>
      <c r="K68" s="37">
        <f t="shared" si="37"/>
        <v>0</v>
      </c>
      <c r="L68" s="37">
        <f t="shared" si="37"/>
        <v>6067369.3616972622</v>
      </c>
      <c r="M68" s="37">
        <f t="shared" si="37"/>
        <v>6067369.3616972622</v>
      </c>
      <c r="N68" s="79">
        <f t="shared" si="37"/>
        <v>116906878.25730762</v>
      </c>
      <c r="O68" s="80"/>
      <c r="P68" s="37">
        <f>+P44+P47+P50+P54+P56+SUM(P58:P66)</f>
        <v>2676248.8073076108</v>
      </c>
      <c r="Q68" s="37">
        <f>+Q44+Q47+Q50+Q54+Q56+SUM(Q58:Q66)</f>
        <v>116906878.25730762</v>
      </c>
    </row>
    <row r="69" spans="1:19">
      <c r="D69" s="30"/>
      <c r="E69" s="29"/>
      <c r="F69" s="29" t="s">
        <v>31</v>
      </c>
      <c r="G69" s="29"/>
      <c r="H69" s="29"/>
      <c r="I69" s="29"/>
      <c r="J69" s="30" t="s">
        <v>31</v>
      </c>
      <c r="K69" s="935"/>
      <c r="L69" s="935"/>
      <c r="M69" s="29" t="s">
        <v>31</v>
      </c>
      <c r="N69" s="30"/>
      <c r="O69" s="939"/>
      <c r="P69" s="29"/>
      <c r="Q69" s="663"/>
    </row>
    <row r="70" spans="1:19">
      <c r="A70" s="5" t="s">
        <v>30</v>
      </c>
      <c r="B70" s="5"/>
      <c r="D70" s="30"/>
      <c r="E70" s="29"/>
      <c r="F70" s="29"/>
      <c r="G70" s="29"/>
      <c r="H70" s="29"/>
      <c r="I70" s="29"/>
      <c r="J70" s="30" t="s">
        <v>31</v>
      </c>
      <c r="K70" s="29"/>
      <c r="L70" s="29"/>
      <c r="M70" s="29"/>
      <c r="N70" s="30"/>
      <c r="O70" s="10"/>
      <c r="P70" s="29"/>
      <c r="Q70" s="663"/>
    </row>
    <row r="71" spans="1:19">
      <c r="B71" s="915" t="s">
        <v>51</v>
      </c>
      <c r="D71" s="30">
        <f>SUMIF('305 Inputs'!$B$51:$B$73,"=24",'305 Inputs'!$I$51:$I$73)</f>
        <v>1666288.09</v>
      </c>
      <c r="E71" s="29">
        <f ca="1">'Normalized Monthly revenue'!AC24</f>
        <v>-34132.350163578827</v>
      </c>
      <c r="F71" s="29">
        <f>'305 VS COGNOS Revenue'!E32+'305 VS COGNOS Revenue'!G32+'305 VS COGNOS Revenue'!N32</f>
        <v>-109848.69410666611</v>
      </c>
      <c r="G71" s="29">
        <f ca="1">-SUMIF('305 Inputs'!$A$51:$A$71,"=b24",'305 Inputs'!$I$51:$I$70)</f>
        <v>8427.4699999999993</v>
      </c>
      <c r="H71" s="29">
        <v>0</v>
      </c>
      <c r="I71" s="29">
        <f ca="1">SUM(E71:H71)</f>
        <v>-135553.57427024495</v>
      </c>
      <c r="J71" s="30">
        <f ca="1">D71+I71</f>
        <v>1530734.5157297552</v>
      </c>
      <c r="K71" s="935">
        <f>$K$13</f>
        <v>0</v>
      </c>
      <c r="L71" s="29">
        <f>'305 VS COGNOS Revenue'!R32</f>
        <v>88092.134106666083</v>
      </c>
      <c r="M71" s="29">
        <f>SUM(L71:L71)</f>
        <v>88092.134106666083</v>
      </c>
      <c r="N71" s="30">
        <f ca="1">J71+M71</f>
        <v>1618826.6498364212</v>
      </c>
      <c r="O71" s="10"/>
      <c r="P71" s="29">
        <f ca="1">I71+M71</f>
        <v>-47461.440163578867</v>
      </c>
      <c r="Q71" s="663">
        <f ca="1">+D71+P71</f>
        <v>1618826.6498364212</v>
      </c>
      <c r="R71" s="8"/>
      <c r="S71" s="663">
        <f t="shared" ref="S71:S73" ca="1" si="38">D71+F71+G71</f>
        <v>1564866.8658933339</v>
      </c>
    </row>
    <row r="72" spans="1:19" s="11" customFormat="1">
      <c r="B72" s="915" t="s">
        <v>52</v>
      </c>
      <c r="D72" s="30">
        <f>SUMIF('305 Inputs'!$B$51:$B$73,"=24f",'305 Inputs'!$I$51:$I$73)</f>
        <v>7853.95</v>
      </c>
      <c r="E72" s="29">
        <f ca="1">'Normalized Monthly revenue'!AC25</f>
        <v>-170.24425922328714</v>
      </c>
      <c r="F72" s="29">
        <f>'305 VS COGNOS Revenue'!E33+'305 VS COGNOS Revenue'!G33+'305 VS COGNOS Revenue'!N33</f>
        <v>-48.756419999999437</v>
      </c>
      <c r="G72" s="29">
        <f ca="1">-SUMIF('305 Inputs'!$A$51:$A$71,"=b24f",'305 Inputs'!$I$51:$I$70)</f>
        <v>0</v>
      </c>
      <c r="H72" s="29">
        <v>0</v>
      </c>
      <c r="I72" s="29">
        <f ca="1">SUM(E72:H72)</f>
        <v>-219.00067922328657</v>
      </c>
      <c r="J72" s="30">
        <f ca="1">D72+I72</f>
        <v>7634.9493207767136</v>
      </c>
      <c r="K72" s="935">
        <f>$K$13</f>
        <v>0</v>
      </c>
      <c r="L72" s="29">
        <f>'305 VS COGNOS Revenue'!R33</f>
        <v>197.80641999999989</v>
      </c>
      <c r="M72" s="29">
        <f>SUM(L72:L72)</f>
        <v>197.80641999999989</v>
      </c>
      <c r="N72" s="30">
        <f ca="1">J72+M72</f>
        <v>7832.7557407767135</v>
      </c>
      <c r="O72" s="655"/>
      <c r="P72" s="29">
        <f ca="1">I72+M72</f>
        <v>-21.194259223286679</v>
      </c>
      <c r="Q72" s="663">
        <f ca="1">+D72+P72</f>
        <v>7832.7557407767135</v>
      </c>
      <c r="R72" s="12"/>
      <c r="S72" s="663">
        <f t="shared" ca="1" si="38"/>
        <v>7805.1935800000001</v>
      </c>
    </row>
    <row r="73" spans="1:19">
      <c r="B73" s="915" t="s">
        <v>57</v>
      </c>
      <c r="D73" s="78">
        <f>SUMIF('305 Inputs'!$B$51:$B$73,"=24fp",'305 Inputs'!$I$51:$I$73)</f>
        <v>2802.5600000000004</v>
      </c>
      <c r="E73" s="31">
        <f ca="1">'Normalized Monthly revenue'!AC26</f>
        <v>-61.346930189487033</v>
      </c>
      <c r="F73" s="31">
        <f>'305 VS COGNOS Revenue'!E34+'305 VS COGNOS Revenue'!G34+'305 VS COGNOS Revenue'!N34</f>
        <v>-29.205480000000041</v>
      </c>
      <c r="G73" s="31">
        <f ca="1">-SUMIF('305 Inputs'!$A$51:$A$71,"=b24fp",'305 Inputs'!$I$51:$I$70)</f>
        <v>39.22</v>
      </c>
      <c r="H73" s="31">
        <v>0</v>
      </c>
      <c r="I73" s="31">
        <f ca="1">SUM(E73:H73)</f>
        <v>-51.332410189487078</v>
      </c>
      <c r="J73" s="78">
        <f ca="1">D73+I73</f>
        <v>2751.2275898105131</v>
      </c>
      <c r="K73" s="936">
        <f>$K$13</f>
        <v>0</v>
      </c>
      <c r="L73" s="31">
        <f>'305 VS COGNOS Revenue'!R34</f>
        <v>113.42547999999988</v>
      </c>
      <c r="M73" s="31">
        <f>SUM(L73:L73)</f>
        <v>113.42547999999988</v>
      </c>
      <c r="N73" s="78">
        <f ca="1">J73+M73</f>
        <v>2864.653069810513</v>
      </c>
      <c r="O73" s="655"/>
      <c r="P73" s="31">
        <f t="shared" ref="P73" ca="1" si="39">I73+M73</f>
        <v>62.093069810512802</v>
      </c>
      <c r="Q73" s="662">
        <f ca="1">+D73+P73</f>
        <v>2864.653069810513</v>
      </c>
      <c r="R73" s="8"/>
      <c r="S73" s="663">
        <f t="shared" ca="1" si="38"/>
        <v>2812.5745200000001</v>
      </c>
    </row>
    <row r="74" spans="1:19">
      <c r="B74" s="4" t="s">
        <v>35</v>
      </c>
      <c r="D74" s="30">
        <f t="shared" ref="D74:J74" si="40">SUM(D71:D73)</f>
        <v>1676944.6</v>
      </c>
      <c r="E74" s="997">
        <f t="shared" ca="1" si="40"/>
        <v>-34363.941352991598</v>
      </c>
      <c r="F74" s="29">
        <f t="shared" si="40"/>
        <v>-109926.65600666612</v>
      </c>
      <c r="G74" s="29">
        <f t="shared" ca="1" si="40"/>
        <v>8466.6899999999987</v>
      </c>
      <c r="H74" s="29">
        <f t="shared" si="40"/>
        <v>0</v>
      </c>
      <c r="I74" s="29">
        <f t="shared" ca="1" si="40"/>
        <v>-135823.90735965772</v>
      </c>
      <c r="J74" s="30">
        <f t="shared" ca="1" si="40"/>
        <v>1541120.6926403423</v>
      </c>
      <c r="K74" s="935"/>
      <c r="L74" s="29">
        <f>SUM(L71:L73)</f>
        <v>88403.366006666081</v>
      </c>
      <c r="M74" s="29">
        <f>SUM(M71:M73)</f>
        <v>88403.366006666081</v>
      </c>
      <c r="N74" s="30">
        <f ca="1">SUM(N71:N73)</f>
        <v>1629524.0586470084</v>
      </c>
      <c r="O74" s="10"/>
      <c r="P74" s="29">
        <f ca="1">SUM(P71:P73)</f>
        <v>-47420.54135299164</v>
      </c>
      <c r="Q74" s="663">
        <f ca="1">SUM(Q71:Q73)</f>
        <v>1629524.0586470084</v>
      </c>
      <c r="R74" s="8"/>
      <c r="S74" s="663">
        <f ca="1">SUM(S71:S73)</f>
        <v>1575484.6339933339</v>
      </c>
    </row>
    <row r="75" spans="1:19">
      <c r="D75" s="30"/>
      <c r="E75" s="29"/>
      <c r="F75" s="29"/>
      <c r="G75" s="29"/>
      <c r="H75" s="29"/>
      <c r="I75" s="29"/>
      <c r="J75" s="30"/>
      <c r="K75" s="29"/>
      <c r="L75" s="29"/>
      <c r="M75" s="29"/>
      <c r="N75" s="30"/>
      <c r="O75" s="939"/>
      <c r="P75" s="29"/>
      <c r="Q75" s="663"/>
    </row>
    <row r="76" spans="1:19">
      <c r="B76" s="915" t="s">
        <v>53</v>
      </c>
      <c r="D76" s="78">
        <f>SUMIF('305 Inputs'!$B$51:$B$73,"=36",'305 Inputs'!$I$51:$I$73)</f>
        <v>8188440.0700000003</v>
      </c>
      <c r="E76" s="31">
        <f ca="1">'Normalized Monthly revenue'!AC27</f>
        <v>-172171.8285648945</v>
      </c>
      <c r="F76" s="31">
        <f>'305 VS COGNOS Revenue'!E35+'305 VS COGNOS Revenue'!G35+'305 VS COGNOS Revenue'!N35</f>
        <v>-309418.98147332633</v>
      </c>
      <c r="G76" s="31">
        <f ca="1">-SUMIF('305 Inputs'!$A$51:$A$71,"=b36",'305 Inputs'!$I$51:$I$70)</f>
        <v>14545.82</v>
      </c>
      <c r="H76" s="31">
        <v>0</v>
      </c>
      <c r="I76" s="31">
        <f ca="1">SUM(E76:H76)</f>
        <v>-467044.99003822083</v>
      </c>
      <c r="J76" s="78">
        <f ca="1">D76+I76</f>
        <v>7721395.0799617795</v>
      </c>
      <c r="K76" s="936">
        <f>$K$13</f>
        <v>0</v>
      </c>
      <c r="L76" s="31">
        <f>'305 VS COGNOS Revenue'!R35</f>
        <v>418797.09147332609</v>
      </c>
      <c r="M76" s="31">
        <f>SUM(L76:L76)</f>
        <v>418797.09147332609</v>
      </c>
      <c r="N76" s="78">
        <f ca="1">J76+M76</f>
        <v>8140192.1714351056</v>
      </c>
      <c r="O76" s="655"/>
      <c r="P76" s="31">
        <f t="shared" ref="P76" ca="1" si="41">I76+M76</f>
        <v>-48247.898564894742</v>
      </c>
      <c r="Q76" s="662">
        <f ca="1">+D76+P76</f>
        <v>8140192.1714351056</v>
      </c>
      <c r="R76" s="8"/>
      <c r="S76" s="663">
        <f ca="1">D76+F76+G76</f>
        <v>7893566.9085266739</v>
      </c>
    </row>
    <row r="77" spans="1:19">
      <c r="B77" s="4" t="s">
        <v>35</v>
      </c>
      <c r="D77" s="30">
        <f t="shared" ref="D77:J77" si="42">SUM(D76:D76)</f>
        <v>8188440.0700000003</v>
      </c>
      <c r="E77" s="997">
        <f t="shared" ca="1" si="42"/>
        <v>-172171.8285648945</v>
      </c>
      <c r="F77" s="29">
        <f t="shared" si="42"/>
        <v>-309418.98147332633</v>
      </c>
      <c r="G77" s="29">
        <f t="shared" ca="1" si="42"/>
        <v>14545.82</v>
      </c>
      <c r="H77" s="29">
        <f t="shared" si="42"/>
        <v>0</v>
      </c>
      <c r="I77" s="29">
        <f t="shared" ca="1" si="42"/>
        <v>-467044.99003822083</v>
      </c>
      <c r="J77" s="30">
        <f t="shared" ca="1" si="42"/>
        <v>7721395.0799617795</v>
      </c>
      <c r="K77" s="935"/>
      <c r="L77" s="29">
        <f>SUM(L76:L76)</f>
        <v>418797.09147332609</v>
      </c>
      <c r="M77" s="29">
        <f>SUM(M76:M76)</f>
        <v>418797.09147332609</v>
      </c>
      <c r="N77" s="30">
        <f ca="1">SUM(N76:N76)</f>
        <v>8140192.1714351056</v>
      </c>
      <c r="O77" s="10"/>
      <c r="P77" s="29">
        <f ca="1">SUM(P76:P76)</f>
        <v>-48247.898564894742</v>
      </c>
      <c r="Q77" s="663">
        <f ca="1">SUM(Q76:Q76)</f>
        <v>8140192.1714351056</v>
      </c>
      <c r="R77" s="8"/>
    </row>
    <row r="78" spans="1:19">
      <c r="D78" s="30"/>
      <c r="E78" s="29"/>
      <c r="F78" s="29"/>
      <c r="G78" s="29"/>
      <c r="H78" s="29"/>
      <c r="I78" s="29"/>
      <c r="J78" s="30"/>
      <c r="K78" s="941"/>
      <c r="L78" s="29"/>
      <c r="M78" s="29" t="s">
        <v>31</v>
      </c>
      <c r="N78" s="30"/>
      <c r="O78" s="939"/>
      <c r="P78" s="29"/>
      <c r="Q78" s="663"/>
    </row>
    <row r="79" spans="1:19" s="11" customFormat="1">
      <c r="B79" s="915" t="s">
        <v>165</v>
      </c>
      <c r="D79" s="30">
        <f>SUMIF('305 Inputs'!$B$51:$B$73,"=47",'305 Inputs'!$I$51:$I$73)</f>
        <v>292762.90999999997</v>
      </c>
      <c r="E79" s="29">
        <f ca="1">'Normalized Monthly revenue'!AC28</f>
        <v>-6187.9871972134688</v>
      </c>
      <c r="F79" s="29">
        <f>'305 VS COGNOS Revenue'!E36+'305 VS COGNOS Revenue'!G36+'305 VS COGNOS Revenue'!N36</f>
        <v>-9062.0782352939787</v>
      </c>
      <c r="G79" s="29">
        <f ca="1">-SUMIF('305 Inputs'!$A$51:$A$71,"=b47",'305 Inputs'!$I$51:$I$70)</f>
        <v>0</v>
      </c>
      <c r="H79" s="29">
        <v>0</v>
      </c>
      <c r="I79" s="29">
        <f ca="1">SUM(E79:H79)</f>
        <v>-15250.065432507447</v>
      </c>
      <c r="J79" s="30">
        <f ca="1">D79+I79</f>
        <v>277512.84456749255</v>
      </c>
      <c r="K79" s="935">
        <v>0</v>
      </c>
      <c r="L79" s="29">
        <f>'305 VS COGNOS Revenue'!R36</f>
        <v>14615.168235293997</v>
      </c>
      <c r="M79" s="29">
        <f>SUM(L79:L79)</f>
        <v>14615.168235293997</v>
      </c>
      <c r="N79" s="30">
        <f ca="1">J79+M79</f>
        <v>292128.01280278654</v>
      </c>
      <c r="O79" s="655"/>
      <c r="P79" s="29">
        <f ca="1">I79+M79</f>
        <v>-634.89719721344954</v>
      </c>
      <c r="Q79" s="663">
        <f ca="1">+D79+P79</f>
        <v>292128.01280278654</v>
      </c>
      <c r="R79" s="12"/>
      <c r="S79" s="663">
        <f t="shared" ref="S79:S81" ca="1" si="43">D79+F79+G79</f>
        <v>283700.831764706</v>
      </c>
    </row>
    <row r="80" spans="1:19" s="11" customFormat="1">
      <c r="B80" s="915" t="s">
        <v>54</v>
      </c>
      <c r="D80" s="30">
        <f>'305 VS COGNOS Revenue'!C37</f>
        <v>14579168.93</v>
      </c>
      <c r="E80" s="29">
        <f ca="1">'Normalized Monthly revenue'!AC30</f>
        <v>-307473.73256731662</v>
      </c>
      <c r="F80" s="29">
        <f>'305 VS COGNOS Revenue'!E37+'305 VS COGNOS Revenue'!G37+'305 VS COGNOS Revenue'!N37</f>
        <v>-482411.63314790063</v>
      </c>
      <c r="G80" s="29">
        <f ca="1">-SUMIF('305 Inputs'!$A$51:$A$71,"=b48m",'305 Inputs'!$I$51:$I$70)</f>
        <v>0</v>
      </c>
      <c r="H80" s="29">
        <v>0</v>
      </c>
      <c r="I80" s="29">
        <f ca="1">SUM(E80:H80)</f>
        <v>-789885.36571521731</v>
      </c>
      <c r="J80" s="30">
        <f ca="1">D80+I80</f>
        <v>13789283.564284783</v>
      </c>
      <c r="K80" s="935">
        <f>$K$13</f>
        <v>0</v>
      </c>
      <c r="L80" s="29">
        <f>'305 VS COGNOS Revenue'!R37</f>
        <v>771868.70314790122</v>
      </c>
      <c r="M80" s="29">
        <f>SUM(L80:L80)</f>
        <v>771868.70314790122</v>
      </c>
      <c r="N80" s="30">
        <f ca="1">J80+M80</f>
        <v>14561152.267432684</v>
      </c>
      <c r="O80" s="655"/>
      <c r="P80" s="29">
        <f ca="1">I80+M80</f>
        <v>-18016.662567316089</v>
      </c>
      <c r="Q80" s="663">
        <f ca="1">+D80+P80</f>
        <v>14561152.267432684</v>
      </c>
      <c r="R80" s="12"/>
      <c r="S80" s="663">
        <f t="shared" ca="1" si="43"/>
        <v>14096757.296852099</v>
      </c>
    </row>
    <row r="81" spans="1:19" s="11" customFormat="1" ht="18">
      <c r="B81" s="915" t="s">
        <v>587</v>
      </c>
      <c r="D81" s="78">
        <f>'305 VS COGNOS Revenue'!C38</f>
        <v>25031150.399999999</v>
      </c>
      <c r="E81" s="31">
        <f ca="1">'Normalized Monthly revenue'!AC29</f>
        <v>-525378.60504138179</v>
      </c>
      <c r="F81" s="31">
        <f>'305 VS COGNOS Revenue'!E38+'305 VS COGNOS Revenue'!G38+'305 VS COGNOS Revenue'!N38</f>
        <v>-944101.9800000001</v>
      </c>
      <c r="G81" s="31">
        <f ca="1">-SUMIF('305 Inputs'!$A$51:$A$71,"=b48y",'305 Inputs'!$I$51:$I$70)</f>
        <v>0</v>
      </c>
      <c r="H81" s="90">
        <v>0</v>
      </c>
      <c r="I81" s="31">
        <f ca="1">SUM(E81:H81)</f>
        <v>-1469480.5850413819</v>
      </c>
      <c r="J81" s="78">
        <f ca="1">D81+I81</f>
        <v>23561669.814958617</v>
      </c>
      <c r="K81" s="936">
        <f>$K$13</f>
        <v>0</v>
      </c>
      <c r="L81" s="31">
        <f>'305 VS COGNOS Revenue'!R38</f>
        <v>1378994.5799999982</v>
      </c>
      <c r="M81" s="31">
        <f>SUM(L81:L81)</f>
        <v>1378994.5799999982</v>
      </c>
      <c r="N81" s="78">
        <f ca="1">J81+M81</f>
        <v>24940664.394958615</v>
      </c>
      <c r="O81" s="655"/>
      <c r="P81" s="31">
        <f t="shared" ref="P81" ca="1" si="44">I81+M81</f>
        <v>-90486.005041383673</v>
      </c>
      <c r="Q81" s="662">
        <f ca="1">+D81+P81</f>
        <v>24940664.394958615</v>
      </c>
      <c r="R81" s="12"/>
      <c r="S81" s="663">
        <f t="shared" ca="1" si="43"/>
        <v>24087048.419999998</v>
      </c>
    </row>
    <row r="82" spans="1:19">
      <c r="B82" s="4" t="s">
        <v>35</v>
      </c>
      <c r="D82" s="30">
        <f t="shared" ref="D82:J82" si="45">SUM(D79:D81)</f>
        <v>39903082.239999995</v>
      </c>
      <c r="E82" s="997">
        <f t="shared" ca="1" si="45"/>
        <v>-839040.32480591186</v>
      </c>
      <c r="F82" s="29">
        <f t="shared" si="45"/>
        <v>-1435575.6913831946</v>
      </c>
      <c r="G82" s="29">
        <f t="shared" ca="1" si="45"/>
        <v>0</v>
      </c>
      <c r="H82" s="29">
        <f t="shared" si="45"/>
        <v>0</v>
      </c>
      <c r="I82" s="29">
        <f t="shared" ca="1" si="45"/>
        <v>-2274616.0161891067</v>
      </c>
      <c r="J82" s="30">
        <f t="shared" ca="1" si="45"/>
        <v>37628466.223810896</v>
      </c>
      <c r="K82" s="935"/>
      <c r="L82" s="29">
        <f>SUM(L79:L81)</f>
        <v>2165478.4513831935</v>
      </c>
      <c r="M82" s="29">
        <f>SUM(M79:M81)</f>
        <v>2165478.4513831935</v>
      </c>
      <c r="N82" s="30">
        <f ca="1">SUM(N79:N81)</f>
        <v>39793944.675194085</v>
      </c>
      <c r="O82" s="10"/>
      <c r="P82" s="29">
        <f ca="1">SUM(P79:P81)</f>
        <v>-109137.56480591321</v>
      </c>
      <c r="Q82" s="663">
        <f ca="1">SUM(Q79:Q81)</f>
        <v>39793944.675194085</v>
      </c>
      <c r="R82" s="8"/>
      <c r="S82" s="663">
        <f ca="1">SUM(S79:S81)</f>
        <v>38467506.548616804</v>
      </c>
    </row>
    <row r="83" spans="1:19">
      <c r="D83" s="30"/>
      <c r="E83" s="29"/>
      <c r="F83" s="29"/>
      <c r="G83" s="29"/>
      <c r="H83" s="29"/>
      <c r="I83" s="29"/>
      <c r="J83" s="30"/>
      <c r="K83" s="29"/>
      <c r="L83" s="29"/>
      <c r="M83" s="29" t="s">
        <v>31</v>
      </c>
      <c r="N83" s="30"/>
      <c r="O83" s="939"/>
      <c r="P83" s="29"/>
      <c r="Q83" s="663"/>
    </row>
    <row r="84" spans="1:19">
      <c r="B84" s="915" t="s">
        <v>55</v>
      </c>
      <c r="D84" s="78">
        <f>SUMIF('305 Inputs'!$B$51:$B$73,"=15n",'305 Inputs'!$I$51:$I$73)</f>
        <v>18874.190000000002</v>
      </c>
      <c r="E84" s="31">
        <f ca="1">'Normalized Monthly revenue'!AC31</f>
        <v>-423.90527620202027</v>
      </c>
      <c r="F84" s="31">
        <f>'305 VS COGNOS Revenue'!E40+'305 VS COGNOS Revenue'!G40+'305 VS COGNOS Revenue'!N40</f>
        <v>442.93771614853438</v>
      </c>
      <c r="G84" s="31">
        <f ca="1">-SUMIF('305 Inputs'!$A$51:$A$71,"=b15n",'305 Inputs'!$I$51:$I$70)</f>
        <v>117.67</v>
      </c>
      <c r="H84" s="31">
        <v>0</v>
      </c>
      <c r="I84" s="31">
        <f ca="1">SUM(E84:H84)</f>
        <v>136.70243994651412</v>
      </c>
      <c r="J84" s="78">
        <f ca="1">D84+I84</f>
        <v>19010.892439946518</v>
      </c>
      <c r="K84" s="936">
        <v>0</v>
      </c>
      <c r="L84" s="31">
        <f>'305 VS COGNOS Revenue'!R40</f>
        <v>0</v>
      </c>
      <c r="M84" s="31">
        <f>SUM(L84:L84)</f>
        <v>0</v>
      </c>
      <c r="N84" s="78">
        <f ca="1">J84+M84</f>
        <v>19010.892439946518</v>
      </c>
      <c r="O84" s="655"/>
      <c r="P84" s="31">
        <f t="shared" ref="P84" ca="1" si="46">I84+M84</f>
        <v>136.70243994651412</v>
      </c>
      <c r="Q84" s="662">
        <f ca="1">+D84+P84</f>
        <v>19010.892439946518</v>
      </c>
      <c r="R84" s="8"/>
      <c r="S84" s="663">
        <f ca="1">D84+F84+G84</f>
        <v>19434.797716148536</v>
      </c>
    </row>
    <row r="85" spans="1:19">
      <c r="B85" s="4" t="s">
        <v>35</v>
      </c>
      <c r="D85" s="30">
        <f t="shared" ref="D85:J85" si="47">SUM(D84:D84)</f>
        <v>18874.190000000002</v>
      </c>
      <c r="E85" s="997">
        <f t="shared" ca="1" si="47"/>
        <v>-423.90527620202027</v>
      </c>
      <c r="F85" s="29">
        <f t="shared" si="47"/>
        <v>442.93771614853438</v>
      </c>
      <c r="G85" s="29">
        <f t="shared" ca="1" si="47"/>
        <v>117.67</v>
      </c>
      <c r="H85" s="29">
        <f t="shared" si="47"/>
        <v>0</v>
      </c>
      <c r="I85" s="29">
        <f t="shared" ca="1" si="47"/>
        <v>136.70243994651412</v>
      </c>
      <c r="J85" s="30">
        <f t="shared" ca="1" si="47"/>
        <v>19010.892439946518</v>
      </c>
      <c r="K85" s="936"/>
      <c r="L85" s="29">
        <f>SUM(L84:L84)</f>
        <v>0</v>
      </c>
      <c r="M85" s="29">
        <f>SUM(M84:M84)</f>
        <v>0</v>
      </c>
      <c r="N85" s="30">
        <f ca="1">SUM(N84:N84)</f>
        <v>19010.892439946518</v>
      </c>
      <c r="O85" s="10"/>
      <c r="P85" s="29">
        <f ca="1">SUM(P84:P84)</f>
        <v>136.70243994651412</v>
      </c>
      <c r="Q85" s="663">
        <f ca="1">SUM(Q84:Q84)</f>
        <v>19010.892439946518</v>
      </c>
      <c r="R85" s="8"/>
    </row>
    <row r="86" spans="1:19">
      <c r="D86" s="30"/>
      <c r="E86" s="29"/>
      <c r="F86" s="29"/>
      <c r="G86" s="29"/>
      <c r="H86" s="29"/>
      <c r="I86" s="29"/>
      <c r="J86" s="30"/>
      <c r="K86" s="31"/>
      <c r="L86" s="29"/>
      <c r="M86" s="29"/>
      <c r="N86" s="30"/>
      <c r="O86" s="939"/>
      <c r="P86" s="29"/>
      <c r="Q86" s="663"/>
    </row>
    <row r="87" spans="1:19" s="11" customFormat="1">
      <c r="B87" s="4" t="s">
        <v>34</v>
      </c>
      <c r="D87" s="30">
        <f>SUMIF('305 Inputs'!$B$51:$B$73,"=aga",'305 Inputs'!$I$51:$I$73)</f>
        <v>0</v>
      </c>
      <c r="E87" s="29"/>
      <c r="F87" s="31">
        <v>0</v>
      </c>
      <c r="G87" s="31">
        <v>0</v>
      </c>
      <c r="H87" s="31">
        <v>0</v>
      </c>
      <c r="I87" s="31">
        <f>SUM(F87:H87)</f>
        <v>0</v>
      </c>
      <c r="J87" s="78">
        <f>D87+I87</f>
        <v>0</v>
      </c>
      <c r="K87" s="936">
        <v>0</v>
      </c>
      <c r="L87" s="31">
        <f t="shared" ref="L87" si="48">ROUND(J87*K87*((366-30)/(366+30*K87)),0)</f>
        <v>0</v>
      </c>
      <c r="M87" s="31">
        <f>SUM(L87:L87)</f>
        <v>0</v>
      </c>
      <c r="N87" s="78">
        <f>J87+M87</f>
        <v>0</v>
      </c>
      <c r="O87" s="655"/>
      <c r="P87" s="31">
        <f t="shared" ref="P87:P95" si="49">I87+M87</f>
        <v>0</v>
      </c>
      <c r="Q87" s="662">
        <f>+D87+P87</f>
        <v>0</v>
      </c>
      <c r="R87" s="12"/>
    </row>
    <row r="88" spans="1:19" s="11" customFormat="1">
      <c r="B88" s="4"/>
      <c r="D88" s="30"/>
      <c r="E88" s="29"/>
      <c r="F88" s="31"/>
      <c r="G88" s="31"/>
      <c r="H88" s="31"/>
      <c r="I88" s="31"/>
      <c r="J88" s="78"/>
      <c r="K88" s="936"/>
      <c r="L88" s="31"/>
      <c r="M88" s="31"/>
      <c r="N88" s="78"/>
      <c r="O88" s="655"/>
      <c r="P88" s="31"/>
      <c r="Q88" s="662"/>
      <c r="R88" s="12"/>
    </row>
    <row r="89" spans="1:19" s="11" customFormat="1">
      <c r="B89" s="4" t="s">
        <v>672</v>
      </c>
      <c r="D89" s="78">
        <f>SUMIF('305 Inputs'!$B$51:$B$73,"=def",'305 Inputs'!$I$51:$I$73)</f>
        <v>-510000</v>
      </c>
      <c r="E89" s="31"/>
      <c r="F89" s="31">
        <f>-D89</f>
        <v>510000</v>
      </c>
      <c r="G89" s="31">
        <v>0</v>
      </c>
      <c r="H89" s="31">
        <v>0</v>
      </c>
      <c r="I89" s="31">
        <f>SUM(F89:H89)</f>
        <v>510000</v>
      </c>
      <c r="J89" s="78">
        <f>D89+I89</f>
        <v>0</v>
      </c>
      <c r="K89" s="936">
        <v>0</v>
      </c>
      <c r="L89" s="31">
        <f t="shared" ref="L89:L93" si="50">ROUND(J89*K89*((366-30)/(366+30*K89)),0)</f>
        <v>0</v>
      </c>
      <c r="M89" s="31">
        <f t="shared" ref="M89:M93" si="51">SUM(L89:L89)</f>
        <v>0</v>
      </c>
      <c r="N89" s="78">
        <f t="shared" ref="N89:N93" si="52">J89+M89</f>
        <v>0</v>
      </c>
      <c r="O89" s="655"/>
      <c r="P89" s="31">
        <f t="shared" si="49"/>
        <v>510000</v>
      </c>
      <c r="Q89" s="662">
        <f>+D89+P89</f>
        <v>0</v>
      </c>
      <c r="R89" s="12"/>
    </row>
    <row r="90" spans="1:19" s="11" customFormat="1">
      <c r="A90" s="4"/>
      <c r="B90" s="4" t="s">
        <v>750</v>
      </c>
      <c r="C90" s="4"/>
      <c r="D90" s="78">
        <f>SUMIF('305 Inputs'!$B$51:$B$73,"=rev",'305 Inputs'!$I$51:$I$73)</f>
        <v>-1895180.84</v>
      </c>
      <c r="E90" s="31"/>
      <c r="F90" s="31">
        <f>-D90</f>
        <v>1895180.84</v>
      </c>
      <c r="G90" s="31">
        <v>0</v>
      </c>
      <c r="H90" s="31">
        <v>0</v>
      </c>
      <c r="I90" s="31">
        <f>SUM(F90:H90)</f>
        <v>1895180.84</v>
      </c>
      <c r="J90" s="78">
        <f>D90+I90</f>
        <v>0</v>
      </c>
      <c r="K90" s="936">
        <v>0</v>
      </c>
      <c r="L90" s="31">
        <f t="shared" si="50"/>
        <v>0</v>
      </c>
      <c r="M90" s="31">
        <f t="shared" si="51"/>
        <v>0</v>
      </c>
      <c r="N90" s="78">
        <f t="shared" si="52"/>
        <v>0</v>
      </c>
      <c r="O90" s="655"/>
      <c r="P90" s="31">
        <f t="shared" si="49"/>
        <v>1895180.84</v>
      </c>
      <c r="Q90" s="662">
        <f>+D90+P90</f>
        <v>0</v>
      </c>
      <c r="R90" s="12"/>
    </row>
    <row r="91" spans="1:19" s="11" customFormat="1">
      <c r="B91" s="4" t="s">
        <v>757</v>
      </c>
      <c r="D91" s="78">
        <f>SUMIF('305 Inputs'!$B$51:$B$73,"=dsm",'305 Inputs'!$I$51:$I$73)</f>
        <v>1683434.48</v>
      </c>
      <c r="E91" s="31"/>
      <c r="F91" s="31">
        <f>-D91</f>
        <v>-1683434.48</v>
      </c>
      <c r="G91" s="31">
        <v>0</v>
      </c>
      <c r="H91" s="31">
        <v>0</v>
      </c>
      <c r="I91" s="31">
        <f>SUM(F91:H91)</f>
        <v>-1683434.48</v>
      </c>
      <c r="J91" s="78">
        <f>D91+I91</f>
        <v>0</v>
      </c>
      <c r="K91" s="936">
        <v>0</v>
      </c>
      <c r="L91" s="31">
        <f t="shared" si="50"/>
        <v>0</v>
      </c>
      <c r="M91" s="31">
        <f t="shared" si="51"/>
        <v>0</v>
      </c>
      <c r="N91" s="78">
        <f t="shared" si="52"/>
        <v>0</v>
      </c>
      <c r="O91" s="655"/>
      <c r="P91" s="31">
        <f t="shared" si="49"/>
        <v>-1683434.48</v>
      </c>
      <c r="Q91" s="662">
        <f>+D91+P91</f>
        <v>0</v>
      </c>
      <c r="R91" s="12"/>
    </row>
    <row r="92" spans="1:19" s="11" customFormat="1">
      <c r="B92" s="4" t="s">
        <v>96</v>
      </c>
      <c r="D92" s="78">
        <f>SUMIF('305 Inputs'!$B$51:$B$73,"=bpa",'305 Inputs'!$I$51:$I$73)</f>
        <v>2749.52</v>
      </c>
      <c r="E92" s="31"/>
      <c r="F92" s="31">
        <v>0</v>
      </c>
      <c r="G92" s="31">
        <f>-D92</f>
        <v>-2749.52</v>
      </c>
      <c r="H92" s="31">
        <v>0</v>
      </c>
      <c r="I92" s="31">
        <f>SUM(F92:H92)</f>
        <v>-2749.52</v>
      </c>
      <c r="J92" s="78">
        <f>D92+I92</f>
        <v>0</v>
      </c>
      <c r="K92" s="936">
        <v>0</v>
      </c>
      <c r="L92" s="31">
        <f t="shared" si="50"/>
        <v>0</v>
      </c>
      <c r="M92" s="31">
        <f t="shared" si="51"/>
        <v>0</v>
      </c>
      <c r="N92" s="78">
        <f t="shared" si="52"/>
        <v>0</v>
      </c>
      <c r="O92" s="655"/>
      <c r="P92" s="31">
        <f t="shared" si="49"/>
        <v>-2749.52</v>
      </c>
      <c r="Q92" s="662">
        <f>+D92+P92</f>
        <v>0</v>
      </c>
      <c r="R92" s="12"/>
    </row>
    <row r="93" spans="1:19" s="11" customFormat="1">
      <c r="B93" s="4" t="s">
        <v>690</v>
      </c>
      <c r="D93" s="78">
        <f>SUMIF('305 Inputs'!$B$51:$B$73,"=smud",'305 Inputs'!$I$51:$I$73)</f>
        <v>66245.84</v>
      </c>
      <c r="E93" s="31"/>
      <c r="F93" s="31">
        <f>D93*-1</f>
        <v>-66245.84</v>
      </c>
      <c r="G93" s="31">
        <v>0</v>
      </c>
      <c r="H93" s="31">
        <v>0</v>
      </c>
      <c r="I93" s="31">
        <f>SUM(F93:H93)</f>
        <v>-66245.84</v>
      </c>
      <c r="J93" s="78">
        <f>D93+I93</f>
        <v>0</v>
      </c>
      <c r="K93" s="936">
        <v>0</v>
      </c>
      <c r="L93" s="31">
        <f t="shared" si="50"/>
        <v>0</v>
      </c>
      <c r="M93" s="31">
        <f t="shared" si="51"/>
        <v>0</v>
      </c>
      <c r="N93" s="78">
        <f t="shared" si="52"/>
        <v>0</v>
      </c>
      <c r="O93" s="655"/>
      <c r="P93" s="31">
        <f t="shared" si="49"/>
        <v>-66245.84</v>
      </c>
      <c r="Q93" s="662">
        <f>+D93+P93</f>
        <v>0</v>
      </c>
      <c r="R93" s="12"/>
    </row>
    <row r="94" spans="1:19" s="11" customFormat="1">
      <c r="A94" s="4"/>
      <c r="C94" s="4"/>
      <c r="D94" s="30"/>
      <c r="E94" s="29"/>
      <c r="F94" s="29"/>
      <c r="G94" s="29"/>
      <c r="H94" s="29"/>
      <c r="I94" s="29"/>
      <c r="J94" s="30"/>
      <c r="K94" s="936"/>
      <c r="L94" s="29"/>
      <c r="M94" s="29"/>
      <c r="N94" s="78"/>
      <c r="O94" s="655"/>
      <c r="P94" s="31"/>
      <c r="Q94" s="663"/>
      <c r="R94" s="12"/>
    </row>
    <row r="95" spans="1:19" s="11" customFormat="1">
      <c r="B95" s="4" t="s">
        <v>79</v>
      </c>
      <c r="D95" s="78">
        <f ca="1">SUMIF('305 Inputs'!$B$51:$B$73,"=unbilled",'305 Inputs'!$I$51:$I$72)</f>
        <v>-1046000</v>
      </c>
      <c r="E95" s="31">
        <f ca="1">-D95</f>
        <v>1046000</v>
      </c>
      <c r="F95" s="31">
        <v>0</v>
      </c>
      <c r="G95" s="31">
        <v>0</v>
      </c>
      <c r="H95" s="31">
        <v>0</v>
      </c>
      <c r="I95" s="31">
        <f ca="1">SUM(E95:H95)</f>
        <v>1046000</v>
      </c>
      <c r="J95" s="78">
        <f ca="1">D95+I95</f>
        <v>0</v>
      </c>
      <c r="K95" s="936">
        <v>0</v>
      </c>
      <c r="L95" s="31">
        <f t="shared" ref="L95" ca="1" si="53">ROUND(J95*K95*((366-30)/(366+30*K95)),0)</f>
        <v>0</v>
      </c>
      <c r="M95" s="31">
        <f ca="1">SUM(L95:L95)</f>
        <v>0</v>
      </c>
      <c r="N95" s="78">
        <f ca="1">J95+M95</f>
        <v>0</v>
      </c>
      <c r="O95" s="655"/>
      <c r="P95" s="31">
        <f t="shared" ca="1" si="49"/>
        <v>1046000</v>
      </c>
      <c r="Q95" s="662">
        <f ca="1">+D95+P95</f>
        <v>0</v>
      </c>
      <c r="R95" s="12"/>
    </row>
    <row r="96" spans="1:19" s="11" customFormat="1">
      <c r="A96" s="4"/>
      <c r="C96" s="4"/>
      <c r="D96" s="78"/>
      <c r="E96" s="31"/>
      <c r="F96" s="31"/>
      <c r="G96" s="31"/>
      <c r="H96" s="31"/>
      <c r="I96" s="31"/>
      <c r="J96" s="78"/>
      <c r="K96" s="31"/>
      <c r="L96" s="31"/>
      <c r="M96" s="31"/>
      <c r="N96" s="78"/>
      <c r="O96" s="655"/>
      <c r="P96" s="31"/>
      <c r="Q96" s="31"/>
      <c r="R96" s="12"/>
    </row>
    <row r="97" spans="1:19">
      <c r="B97" s="33" t="s">
        <v>9</v>
      </c>
      <c r="C97" s="34"/>
      <c r="D97" s="79">
        <f t="shared" ref="D97:N97" ca="1" si="54">+D74+D77+D82+D85+D87+SUM(D89:D95)</f>
        <v>48088590.099999994</v>
      </c>
      <c r="E97" s="80">
        <f t="shared" ca="1" si="54"/>
        <v>0</v>
      </c>
      <c r="F97" s="37">
        <f t="shared" si="54"/>
        <v>-1198977.8711470389</v>
      </c>
      <c r="G97" s="37">
        <f t="shared" ca="1" si="54"/>
        <v>20380.659999999996</v>
      </c>
      <c r="H97" s="37">
        <f t="shared" si="54"/>
        <v>0</v>
      </c>
      <c r="I97" s="37">
        <f t="shared" ca="1" si="54"/>
        <v>-1178597.2111470387</v>
      </c>
      <c r="J97" s="79">
        <f t="shared" ca="1" si="54"/>
        <v>46909992.888852969</v>
      </c>
      <c r="K97" s="37">
        <f t="shared" si="54"/>
        <v>0</v>
      </c>
      <c r="L97" s="37">
        <f t="shared" ca="1" si="54"/>
        <v>2672678.9088631859</v>
      </c>
      <c r="M97" s="37">
        <f t="shared" ca="1" si="54"/>
        <v>2672678.9088631859</v>
      </c>
      <c r="N97" s="79">
        <f t="shared" ca="1" si="54"/>
        <v>49582671.797716141</v>
      </c>
      <c r="O97" s="80"/>
      <c r="P97" s="37">
        <f ca="1">+P74+P77+P82+P85+P87+SUM(P89:P95)</f>
        <v>1494081.6977161469</v>
      </c>
      <c r="Q97" s="37">
        <f ca="1">+Q74+Q77+Q82+Q85+Q87+SUM(Q89:Q95)</f>
        <v>49582671.797716141</v>
      </c>
      <c r="R97" s="8"/>
    </row>
    <row r="98" spans="1:19">
      <c r="D98" s="30"/>
      <c r="E98" s="29"/>
      <c r="F98" s="29"/>
      <c r="G98" s="29"/>
      <c r="H98" s="29"/>
      <c r="I98" s="29"/>
      <c r="J98" s="30" t="s">
        <v>31</v>
      </c>
      <c r="K98" s="29"/>
      <c r="L98" s="29"/>
      <c r="M98" s="29"/>
      <c r="N98" s="30" t="s">
        <v>31</v>
      </c>
      <c r="O98" s="939"/>
      <c r="P98" s="29"/>
      <c r="Q98" s="663"/>
      <c r="R98" s="942"/>
    </row>
    <row r="99" spans="1:19">
      <c r="B99" s="5"/>
      <c r="D99" s="30"/>
      <c r="E99" s="29"/>
      <c r="F99" s="29"/>
      <c r="G99" s="29"/>
      <c r="H99" s="29"/>
      <c r="I99" s="29"/>
      <c r="J99" s="30" t="s">
        <v>31</v>
      </c>
      <c r="K99" s="29"/>
      <c r="L99" s="29"/>
      <c r="M99" s="29"/>
      <c r="N99" s="30"/>
      <c r="O99" s="10"/>
      <c r="P99" s="29"/>
      <c r="Q99" s="663"/>
    </row>
    <row r="100" spans="1:19">
      <c r="A100" s="5" t="s">
        <v>204</v>
      </c>
      <c r="B100" s="5"/>
      <c r="D100" s="30"/>
      <c r="E100" s="29"/>
      <c r="F100" s="29"/>
      <c r="G100" s="29"/>
      <c r="H100" s="29"/>
      <c r="I100" s="29"/>
      <c r="J100" s="30"/>
      <c r="K100" s="29"/>
      <c r="L100" s="29"/>
      <c r="M100" s="29"/>
      <c r="N100" s="30"/>
      <c r="O100" s="10"/>
      <c r="P100" s="29"/>
      <c r="Q100" s="663"/>
    </row>
    <row r="101" spans="1:19">
      <c r="B101" s="915" t="s">
        <v>58</v>
      </c>
      <c r="D101" s="30">
        <f ca="1">SUMIF('305 Inputs'!B77:B98,"=40",'305 Inputs'!I77:I96)</f>
        <v>12182855.710000001</v>
      </c>
      <c r="E101" s="29">
        <f ca="1">'Normalized Monthly revenue'!AC34</f>
        <v>-31873.500853653604</v>
      </c>
      <c r="F101" s="29">
        <f>'305 VS COGNOS Revenue'!E45+'305 VS COGNOS Revenue'!G45+'305 VS COGNOS Revenue'!N45</f>
        <v>-440312.29036092712</v>
      </c>
      <c r="G101" s="29">
        <f ca="1">-SUMIF('305 Inputs'!$A$77:$A$96,"=b40",'305 Inputs'!I$77:I$93)</f>
        <v>640550.23</v>
      </c>
      <c r="H101" s="29">
        <f>Temperature!D92*1000</f>
        <v>-812138.36</v>
      </c>
      <c r="I101" s="29">
        <f ca="1">SUM(E101:H101)</f>
        <v>-643773.92121458077</v>
      </c>
      <c r="J101" s="30">
        <f ca="1">D101+I101</f>
        <v>11539081.78878542</v>
      </c>
      <c r="K101" s="935">
        <f>$K$13</f>
        <v>0</v>
      </c>
      <c r="L101" s="29">
        <f>'305 VS COGNOS Revenue'!R45</f>
        <v>665434.71036092564</v>
      </c>
      <c r="M101" s="29">
        <f>SUM(L101:L101)</f>
        <v>665434.71036092564</v>
      </c>
      <c r="N101" s="30">
        <f ca="1">J101+M101</f>
        <v>12204516.499146346</v>
      </c>
      <c r="O101" s="10"/>
      <c r="P101" s="29">
        <f ca="1">I101+M101</f>
        <v>21660.789146344876</v>
      </c>
      <c r="Q101" s="663">
        <f ca="1">+D101+P101</f>
        <v>12204516.499146346</v>
      </c>
      <c r="R101" s="8"/>
      <c r="S101" s="663">
        <f t="shared" ref="S101:S102" ca="1" si="55">D101+F101+G101</f>
        <v>12383093.649639074</v>
      </c>
    </row>
    <row r="102" spans="1:19" ht="18">
      <c r="B102" s="915" t="s">
        <v>59</v>
      </c>
      <c r="D102" s="78">
        <f ca="1">SUMIF('305 Inputs'!$A$77:$A$96,"=40x",'305 Inputs'!$I$77:$I$93)</f>
        <v>453169.46</v>
      </c>
      <c r="E102" s="31">
        <f ca="1">'Normalized Monthly revenue'!AC35</f>
        <v>-1126.4991463464028</v>
      </c>
      <c r="F102" s="90">
        <f>'305 VS COGNOS Revenue'!E46+'305 VS COGNOS Revenue'!G46+'305 VS COGNOS Revenue'!N46</f>
        <v>-15516.081500000049</v>
      </c>
      <c r="G102" s="90">
        <f ca="1">-SUMIF('305 Inputs'!$A$77:$A$96,"=b40x",'305 Inputs'!I$77:I$93)</f>
        <v>0</v>
      </c>
      <c r="H102" s="90">
        <v>0</v>
      </c>
      <c r="I102" s="31">
        <f ca="1">SUM(E102:H102)</f>
        <v>-16642.580646346451</v>
      </c>
      <c r="J102" s="78">
        <f ca="1">D102+I102</f>
        <v>436526.87935365358</v>
      </c>
      <c r="K102" s="943">
        <f>$K$13</f>
        <v>0</v>
      </c>
      <c r="L102" s="31">
        <f>'305 VS COGNOS Revenue'!R46</f>
        <v>25245.621500000008</v>
      </c>
      <c r="M102" s="31">
        <f>SUM(L102:L102)</f>
        <v>25245.621500000008</v>
      </c>
      <c r="N102" s="78">
        <f ca="1">J102+M102</f>
        <v>461772.50085365359</v>
      </c>
      <c r="O102" s="655"/>
      <c r="P102" s="31">
        <f t="shared" ref="P102" ca="1" si="56">I102+M102</f>
        <v>8603.0408536535579</v>
      </c>
      <c r="Q102" s="662">
        <f ca="1">+D102+P102</f>
        <v>461772.50085365359</v>
      </c>
      <c r="R102" s="8"/>
      <c r="S102" s="663">
        <f t="shared" ca="1" si="55"/>
        <v>437653.37849999999</v>
      </c>
    </row>
    <row r="103" spans="1:19">
      <c r="B103" s="4" t="s">
        <v>35</v>
      </c>
      <c r="D103" s="30">
        <f t="shared" ref="D103:J103" ca="1" si="57">SUM(D101:D102)</f>
        <v>12636025.170000002</v>
      </c>
      <c r="E103" s="997">
        <f t="shared" ca="1" si="57"/>
        <v>-33000.000000000007</v>
      </c>
      <c r="F103" s="29">
        <f t="shared" si="57"/>
        <v>-455828.37186092715</v>
      </c>
      <c r="G103" s="29">
        <f t="shared" ca="1" si="57"/>
        <v>640550.23</v>
      </c>
      <c r="H103" s="29">
        <f t="shared" si="57"/>
        <v>-812138.36</v>
      </c>
      <c r="I103" s="29">
        <f t="shared" ca="1" si="57"/>
        <v>-660416.50186092721</v>
      </c>
      <c r="J103" s="30">
        <f t="shared" ca="1" si="57"/>
        <v>11975608.668139074</v>
      </c>
      <c r="K103" s="935"/>
      <c r="L103" s="29">
        <f>SUM(L101:L102)</f>
        <v>690680.33186092565</v>
      </c>
      <c r="M103" s="29">
        <f>SUM(M101:M102)</f>
        <v>690680.33186092565</v>
      </c>
      <c r="N103" s="30">
        <f ca="1">SUM(N101:N102)</f>
        <v>12666289</v>
      </c>
      <c r="O103" s="10"/>
      <c r="P103" s="29">
        <f ca="1">SUM(P101:P102)</f>
        <v>30263.829999998434</v>
      </c>
      <c r="Q103" s="663">
        <f ca="1">SUM(Q101:Q102)</f>
        <v>12666289</v>
      </c>
      <c r="R103" s="8"/>
      <c r="S103" s="663">
        <f ca="1">SUM(S101:S102)</f>
        <v>12820747.028139073</v>
      </c>
    </row>
    <row r="104" spans="1:19" s="11" customFormat="1">
      <c r="A104" s="4"/>
      <c r="B104" s="4"/>
      <c r="C104" s="4"/>
      <c r="D104" s="30"/>
      <c r="E104" s="29"/>
      <c r="F104" s="29"/>
      <c r="G104" s="29"/>
      <c r="H104" s="29"/>
      <c r="I104" s="29"/>
      <c r="J104" s="30"/>
      <c r="K104" s="935"/>
      <c r="L104" s="29"/>
      <c r="M104" s="29"/>
      <c r="N104" s="30"/>
      <c r="O104" s="655"/>
      <c r="P104" s="29"/>
      <c r="Q104" s="663"/>
      <c r="R104" s="12"/>
    </row>
    <row r="105" spans="1:19" s="11" customFormat="1">
      <c r="B105" s="4" t="s">
        <v>34</v>
      </c>
      <c r="D105" s="78">
        <f ca="1">SUMIF('305 Inputs'!$A$77:$A$96,"=aga",'305 Inputs'!$I$77:$I$93)</f>
        <v>235203.17</v>
      </c>
      <c r="E105" s="31"/>
      <c r="F105" s="31">
        <v>0</v>
      </c>
      <c r="G105" s="31">
        <v>0</v>
      </c>
      <c r="H105" s="31">
        <v>0</v>
      </c>
      <c r="I105" s="31">
        <f>SUM(F105:H105)</f>
        <v>0</v>
      </c>
      <c r="J105" s="78">
        <f ca="1">D105+I105</f>
        <v>235203.17</v>
      </c>
      <c r="K105" s="936">
        <v>0</v>
      </c>
      <c r="L105" s="31">
        <f t="shared" ref="L105:L115" ca="1" si="58">ROUND(J105*K105*((366-30)/(366+30*K105)),0)</f>
        <v>0</v>
      </c>
      <c r="M105" s="31">
        <f ca="1">SUM(L105:L105)</f>
        <v>0</v>
      </c>
      <c r="N105" s="78">
        <f ca="1">J105+M105</f>
        <v>235203.17</v>
      </c>
      <c r="O105" s="655"/>
      <c r="P105" s="31">
        <f t="shared" ref="P105:P115" ca="1" si="59">I105+M105</f>
        <v>0</v>
      </c>
      <c r="Q105" s="662">
        <f ca="1">+D105+P105</f>
        <v>235203.17</v>
      </c>
      <c r="R105" s="12"/>
    </row>
    <row r="106" spans="1:19" s="11" customFormat="1">
      <c r="B106" s="4"/>
      <c r="D106" s="30"/>
      <c r="E106" s="29"/>
      <c r="F106" s="31"/>
      <c r="G106" s="31"/>
      <c r="H106" s="31"/>
      <c r="I106" s="31"/>
      <c r="J106" s="78"/>
      <c r="K106" s="936"/>
      <c r="L106" s="31"/>
      <c r="M106" s="31"/>
      <c r="N106" s="78"/>
      <c r="O106" s="655"/>
      <c r="P106" s="31"/>
      <c r="Q106" s="662"/>
      <c r="R106" s="12"/>
    </row>
    <row r="107" spans="1:19" s="11" customFormat="1">
      <c r="B107" s="4" t="s">
        <v>751</v>
      </c>
      <c r="D107" s="78">
        <f ca="1">SUMIF('305 Inputs'!$B$77:$B$96,"=irr",'305 Inputs'!$I$77:$I$93)</f>
        <v>0</v>
      </c>
      <c r="E107" s="31"/>
      <c r="F107" s="31">
        <f ca="1">-D107</f>
        <v>0</v>
      </c>
      <c r="G107" s="31">
        <v>0</v>
      </c>
      <c r="H107" s="31">
        <v>0</v>
      </c>
      <c r="I107" s="31">
        <f t="shared" ref="I107:I113" ca="1" si="60">SUM(F107:H107)</f>
        <v>0</v>
      </c>
      <c r="J107" s="78">
        <f t="shared" ref="J107:J113" ca="1" si="61">D107+I107</f>
        <v>0</v>
      </c>
      <c r="K107" s="936">
        <v>0</v>
      </c>
      <c r="L107" s="31">
        <f t="shared" ca="1" si="58"/>
        <v>0</v>
      </c>
      <c r="M107" s="31">
        <f t="shared" ref="M107:M113" ca="1" si="62">SUM(L107:L107)</f>
        <v>0</v>
      </c>
      <c r="N107" s="78">
        <f t="shared" ref="N107:N113" ca="1" si="63">J107+M107</f>
        <v>0</v>
      </c>
      <c r="O107" s="655"/>
      <c r="P107" s="31">
        <f t="shared" ca="1" si="59"/>
        <v>0</v>
      </c>
      <c r="Q107" s="662">
        <f t="shared" ref="Q107:Q113" ca="1" si="64">+D107+P107</f>
        <v>0</v>
      </c>
      <c r="R107" s="12"/>
    </row>
    <row r="108" spans="1:19" s="11" customFormat="1">
      <c r="B108" s="4" t="s">
        <v>672</v>
      </c>
      <c r="D108" s="78">
        <f ca="1">SUMIF('305 Inputs'!$B$77:$B$96,"=def",'305 Inputs'!$I$77:$I$93)</f>
        <v>-120000</v>
      </c>
      <c r="E108" s="31"/>
      <c r="F108" s="31">
        <f ca="1">-D108</f>
        <v>120000</v>
      </c>
      <c r="G108" s="31">
        <v>0</v>
      </c>
      <c r="H108" s="31">
        <v>0</v>
      </c>
      <c r="I108" s="31">
        <f t="shared" ca="1" si="60"/>
        <v>120000</v>
      </c>
      <c r="J108" s="78">
        <f t="shared" ca="1" si="61"/>
        <v>0</v>
      </c>
      <c r="K108" s="936">
        <v>0</v>
      </c>
      <c r="L108" s="31">
        <f t="shared" ca="1" si="58"/>
        <v>0</v>
      </c>
      <c r="M108" s="31">
        <f t="shared" ca="1" si="62"/>
        <v>0</v>
      </c>
      <c r="N108" s="78">
        <f t="shared" ca="1" si="63"/>
        <v>0</v>
      </c>
      <c r="O108" s="655"/>
      <c r="P108" s="31">
        <f t="shared" ca="1" si="59"/>
        <v>120000</v>
      </c>
      <c r="Q108" s="662">
        <f t="shared" ca="1" si="64"/>
        <v>0</v>
      </c>
      <c r="R108" s="12"/>
    </row>
    <row r="109" spans="1:19">
      <c r="B109" s="4" t="s">
        <v>750</v>
      </c>
      <c r="D109" s="78">
        <f ca="1">SUMIF('305 Inputs'!$B$77:$B$96,"=rev",'305 Inputs'!$I$77:$I$93)</f>
        <v>-457544.29</v>
      </c>
      <c r="E109" s="31"/>
      <c r="F109" s="31">
        <f ca="1">-D109</f>
        <v>457544.29</v>
      </c>
      <c r="G109" s="29">
        <v>0</v>
      </c>
      <c r="H109" s="31">
        <v>0</v>
      </c>
      <c r="I109" s="31">
        <f t="shared" ca="1" si="60"/>
        <v>457544.29</v>
      </c>
      <c r="J109" s="78">
        <f t="shared" ca="1" si="61"/>
        <v>0</v>
      </c>
      <c r="K109" s="936">
        <v>0</v>
      </c>
      <c r="L109" s="31">
        <f t="shared" ca="1" si="58"/>
        <v>0</v>
      </c>
      <c r="M109" s="31">
        <f t="shared" ca="1" si="62"/>
        <v>0</v>
      </c>
      <c r="N109" s="78">
        <f t="shared" ca="1" si="63"/>
        <v>0</v>
      </c>
      <c r="O109" s="944"/>
      <c r="P109" s="31">
        <f t="shared" ca="1" si="59"/>
        <v>457544.29</v>
      </c>
      <c r="Q109" s="662">
        <f t="shared" ca="1" si="64"/>
        <v>0</v>
      </c>
    </row>
    <row r="110" spans="1:19" s="11" customFormat="1">
      <c r="B110" s="4" t="s">
        <v>757</v>
      </c>
      <c r="D110" s="78">
        <f ca="1">SUMIF('305 Inputs'!$B$77:$B$96,"=dsm",'305 Inputs'!$I$77:$I$93)</f>
        <v>450938.03</v>
      </c>
      <c r="E110" s="31"/>
      <c r="F110" s="31">
        <f ca="1">-D110</f>
        <v>-450938.03</v>
      </c>
      <c r="G110" s="31">
        <v>0</v>
      </c>
      <c r="H110" s="31">
        <v>0</v>
      </c>
      <c r="I110" s="31">
        <f t="shared" ca="1" si="60"/>
        <v>-450938.03</v>
      </c>
      <c r="J110" s="78">
        <f t="shared" ca="1" si="61"/>
        <v>0</v>
      </c>
      <c r="K110" s="936">
        <v>0</v>
      </c>
      <c r="L110" s="31">
        <f t="shared" ca="1" si="58"/>
        <v>0</v>
      </c>
      <c r="M110" s="31">
        <f t="shared" ca="1" si="62"/>
        <v>0</v>
      </c>
      <c r="N110" s="78">
        <f t="shared" ca="1" si="63"/>
        <v>0</v>
      </c>
      <c r="O110" s="655"/>
      <c r="P110" s="31">
        <f t="shared" ca="1" si="59"/>
        <v>-450938.03</v>
      </c>
      <c r="Q110" s="662">
        <f t="shared" ca="1" si="64"/>
        <v>0</v>
      </c>
      <c r="R110" s="12"/>
    </row>
    <row r="111" spans="1:19" s="11" customFormat="1">
      <c r="B111" s="4" t="s">
        <v>758</v>
      </c>
      <c r="D111" s="78">
        <f ca="1">SUMIF('305 Inputs'!$B$77:$B$96,"=blue",'305 Inputs'!$I$77:$I$93)</f>
        <v>85.09</v>
      </c>
      <c r="E111" s="31"/>
      <c r="F111" s="31">
        <f ca="1">-D111</f>
        <v>-85.09</v>
      </c>
      <c r="G111" s="31">
        <v>0</v>
      </c>
      <c r="H111" s="31">
        <v>0</v>
      </c>
      <c r="I111" s="31">
        <f t="shared" ca="1" si="60"/>
        <v>-85.09</v>
      </c>
      <c r="J111" s="78">
        <f t="shared" ca="1" si="61"/>
        <v>0</v>
      </c>
      <c r="K111" s="936">
        <v>0</v>
      </c>
      <c r="L111" s="31">
        <f t="shared" ca="1" si="58"/>
        <v>0</v>
      </c>
      <c r="M111" s="31">
        <f t="shared" ca="1" si="62"/>
        <v>0</v>
      </c>
      <c r="N111" s="78">
        <f t="shared" ca="1" si="63"/>
        <v>0</v>
      </c>
      <c r="O111" s="655"/>
      <c r="P111" s="31">
        <f t="shared" ca="1" si="59"/>
        <v>-85.09</v>
      </c>
      <c r="Q111" s="662">
        <f t="shared" ca="1" si="64"/>
        <v>0</v>
      </c>
      <c r="R111" s="12"/>
    </row>
    <row r="112" spans="1:19" s="11" customFormat="1">
      <c r="B112" s="4" t="s">
        <v>96</v>
      </c>
      <c r="D112" s="78">
        <f ca="1">SUMIF('305 Inputs'!$B$77:$B$96,"=bpa",'305 Inputs'!$I$77:$I$93)</f>
        <v>81144.960000000006</v>
      </c>
      <c r="E112" s="31"/>
      <c r="F112" s="31">
        <v>0</v>
      </c>
      <c r="G112" s="31">
        <f ca="1">-D112</f>
        <v>-81144.960000000006</v>
      </c>
      <c r="H112" s="31">
        <v>0</v>
      </c>
      <c r="I112" s="31">
        <f t="shared" ca="1" si="60"/>
        <v>-81144.960000000006</v>
      </c>
      <c r="J112" s="78">
        <f t="shared" ca="1" si="61"/>
        <v>0</v>
      </c>
      <c r="K112" s="936">
        <v>0</v>
      </c>
      <c r="L112" s="31">
        <f t="shared" ca="1" si="58"/>
        <v>0</v>
      </c>
      <c r="M112" s="31">
        <f t="shared" ca="1" si="62"/>
        <v>0</v>
      </c>
      <c r="N112" s="78">
        <f t="shared" ca="1" si="63"/>
        <v>0</v>
      </c>
      <c r="O112" s="655"/>
      <c r="P112" s="31">
        <f t="shared" ca="1" si="59"/>
        <v>-81144.960000000006</v>
      </c>
      <c r="Q112" s="662">
        <f t="shared" ca="1" si="64"/>
        <v>0</v>
      </c>
      <c r="R112" s="12"/>
    </row>
    <row r="113" spans="1:19" s="11" customFormat="1">
      <c r="B113" s="4" t="s">
        <v>164</v>
      </c>
      <c r="D113" s="78">
        <f ca="1">SUMIF('305 Inputs'!$B$77:$B$96,"=bpaadj",'305 Inputs'!$I$77:$I$93)</f>
        <v>31076.54</v>
      </c>
      <c r="E113" s="31"/>
      <c r="F113" s="31">
        <v>0</v>
      </c>
      <c r="G113" s="31">
        <f ca="1">-D113</f>
        <v>-31076.54</v>
      </c>
      <c r="H113" s="31">
        <v>0</v>
      </c>
      <c r="I113" s="31">
        <f t="shared" ca="1" si="60"/>
        <v>-31076.54</v>
      </c>
      <c r="J113" s="78">
        <f t="shared" ca="1" si="61"/>
        <v>0</v>
      </c>
      <c r="K113" s="936">
        <v>0</v>
      </c>
      <c r="L113" s="31">
        <f t="shared" ca="1" si="58"/>
        <v>0</v>
      </c>
      <c r="M113" s="31">
        <f t="shared" ca="1" si="62"/>
        <v>0</v>
      </c>
      <c r="N113" s="78">
        <f t="shared" ca="1" si="63"/>
        <v>0</v>
      </c>
      <c r="O113" s="655"/>
      <c r="P113" s="31">
        <f t="shared" ca="1" si="59"/>
        <v>-31076.54</v>
      </c>
      <c r="Q113" s="662">
        <f t="shared" ca="1" si="64"/>
        <v>0</v>
      </c>
      <c r="R113" s="12"/>
    </row>
    <row r="114" spans="1:19" s="11" customFormat="1">
      <c r="B114" s="4"/>
      <c r="D114" s="78"/>
      <c r="E114" s="31"/>
      <c r="F114" s="31"/>
      <c r="G114" s="31"/>
      <c r="H114" s="31"/>
      <c r="I114" s="31"/>
      <c r="J114" s="78"/>
      <c r="K114" s="936"/>
      <c r="L114" s="29"/>
      <c r="M114" s="31"/>
      <c r="N114" s="78"/>
      <c r="O114" s="655"/>
      <c r="P114" s="31"/>
      <c r="Q114" s="662"/>
      <c r="R114" s="12"/>
    </row>
    <row r="115" spans="1:19" s="11" customFormat="1">
      <c r="B115" s="4" t="s">
        <v>79</v>
      </c>
      <c r="D115" s="78">
        <f ca="1">SUMIF('305 Inputs'!$A$77:$A$96,"=unbilled",'305 Inputs'!$I$77:$I$93)</f>
        <v>-33000</v>
      </c>
      <c r="E115" s="31">
        <f ca="1">-D115</f>
        <v>33000</v>
      </c>
      <c r="F115" s="31">
        <v>0</v>
      </c>
      <c r="G115" s="31">
        <v>0</v>
      </c>
      <c r="H115" s="31">
        <v>0</v>
      </c>
      <c r="I115" s="31">
        <f ca="1">SUM(E115:H115)</f>
        <v>33000</v>
      </c>
      <c r="J115" s="78">
        <f ca="1">D115+I115</f>
        <v>0</v>
      </c>
      <c r="K115" s="936">
        <v>0</v>
      </c>
      <c r="L115" s="31">
        <f t="shared" ca="1" si="58"/>
        <v>0</v>
      </c>
      <c r="M115" s="31">
        <f ca="1">SUM(L115:L115)</f>
        <v>0</v>
      </c>
      <c r="N115" s="78">
        <f ca="1">J115+M115</f>
        <v>0</v>
      </c>
      <c r="O115" s="655"/>
      <c r="P115" s="31">
        <f t="shared" ca="1" si="59"/>
        <v>33000</v>
      </c>
      <c r="Q115" s="662">
        <f ca="1">+D115+P115</f>
        <v>0</v>
      </c>
      <c r="R115" s="12"/>
    </row>
    <row r="116" spans="1:19" s="11" customFormat="1">
      <c r="A116" s="4"/>
      <c r="C116" s="4"/>
      <c r="D116" s="78"/>
      <c r="E116" s="31"/>
      <c r="F116" s="31"/>
      <c r="G116" s="31"/>
      <c r="H116" s="31"/>
      <c r="I116" s="31"/>
      <c r="J116" s="78"/>
      <c r="K116" s="31"/>
      <c r="L116" s="31"/>
      <c r="M116" s="31"/>
      <c r="N116" s="78"/>
      <c r="O116" s="655"/>
      <c r="P116" s="31"/>
      <c r="Q116" s="31"/>
      <c r="R116" s="12"/>
    </row>
    <row r="117" spans="1:19">
      <c r="B117" s="33" t="s">
        <v>9</v>
      </c>
      <c r="C117" s="34"/>
      <c r="D117" s="79">
        <f t="shared" ref="D117:P117" ca="1" si="65">D103+D105+SUM(D107:D115)</f>
        <v>12823928.670000002</v>
      </c>
      <c r="E117" s="80">
        <f t="shared" ca="1" si="65"/>
        <v>0</v>
      </c>
      <c r="F117" s="37">
        <f t="shared" ca="1" si="65"/>
        <v>-329307.20186092716</v>
      </c>
      <c r="G117" s="37">
        <f t="shared" ca="1" si="65"/>
        <v>528328.73</v>
      </c>
      <c r="H117" s="37">
        <f t="shared" si="65"/>
        <v>-812138.36</v>
      </c>
      <c r="I117" s="37">
        <f t="shared" ca="1" si="65"/>
        <v>-613116.83186092717</v>
      </c>
      <c r="J117" s="79">
        <f t="shared" ca="1" si="65"/>
        <v>12210811.838139074</v>
      </c>
      <c r="K117" s="37">
        <f t="shared" si="65"/>
        <v>0</v>
      </c>
      <c r="L117" s="37">
        <f t="shared" ca="1" si="65"/>
        <v>690680.33186092565</v>
      </c>
      <c r="M117" s="37">
        <f t="shared" ca="1" si="65"/>
        <v>690680.33186092565</v>
      </c>
      <c r="N117" s="79">
        <f t="shared" ca="1" si="65"/>
        <v>12901492.17</v>
      </c>
      <c r="O117" s="80"/>
      <c r="P117" s="37">
        <f t="shared" ca="1" si="65"/>
        <v>77563.499999998443</v>
      </c>
      <c r="Q117" s="37">
        <f ca="1">Q103+Q105+SUM(Q107:Q115)</f>
        <v>12901492.17</v>
      </c>
      <c r="R117" s="8"/>
    </row>
    <row r="118" spans="1:19">
      <c r="D118" s="30"/>
      <c r="E118" s="29"/>
      <c r="F118" s="29" t="s">
        <v>31</v>
      </c>
      <c r="G118" s="29"/>
      <c r="H118" s="29"/>
      <c r="I118" s="29"/>
      <c r="J118" s="30"/>
      <c r="K118" s="29"/>
      <c r="L118" s="29"/>
      <c r="M118" s="29"/>
      <c r="N118" s="30"/>
      <c r="O118" s="939"/>
      <c r="P118" s="29"/>
      <c r="Q118" s="663"/>
    </row>
    <row r="119" spans="1:19">
      <c r="B119" s="5"/>
      <c r="D119" s="30"/>
      <c r="E119" s="29"/>
      <c r="F119" s="29"/>
      <c r="G119" s="29"/>
      <c r="H119" s="29"/>
      <c r="I119" s="29"/>
      <c r="J119" s="30"/>
      <c r="K119" s="29"/>
      <c r="L119" s="29"/>
      <c r="M119" s="29"/>
      <c r="N119" s="30"/>
      <c r="O119" s="939"/>
      <c r="P119" s="29"/>
      <c r="Q119" s="663"/>
    </row>
    <row r="120" spans="1:19">
      <c r="A120" s="5" t="s">
        <v>36</v>
      </c>
      <c r="D120" s="6"/>
      <c r="E120" s="7"/>
      <c r="F120" s="7"/>
      <c r="G120" s="7"/>
      <c r="H120" s="7"/>
      <c r="J120" s="6"/>
      <c r="K120" s="7"/>
      <c r="L120" s="7"/>
      <c r="M120" s="7"/>
      <c r="N120" s="30"/>
      <c r="O120" s="939"/>
      <c r="R120" s="945"/>
    </row>
    <row r="121" spans="1:19">
      <c r="B121" s="915" t="s">
        <v>61</v>
      </c>
      <c r="D121" s="30">
        <f>SUMIF('305 Inputs'!$B$101:$B$111,"=52",'305 Inputs'!$I$101:$I$111)</f>
        <v>37772.9</v>
      </c>
      <c r="E121" s="29">
        <f>'Normalized Monthly revenue'!AC38</f>
        <v>-3660.1423456783405</v>
      </c>
      <c r="F121" s="29">
        <f>'305 VS COGNOS Revenue'!E51+'305 VS COGNOS Revenue'!G51+'305 VS COGNOS Revenue'!N51</f>
        <v>-600.94869969750312</v>
      </c>
      <c r="G121" s="29">
        <f ca="1">-SUMIF('305 Inputs'!$A$101:$A$111,"=b52",'305 Inputs'!$I$101:$I$110)</f>
        <v>0</v>
      </c>
      <c r="H121" s="29">
        <v>0</v>
      </c>
      <c r="I121" s="29">
        <f t="shared" ref="I121:I126" ca="1" si="66">SUM(E121:H121)</f>
        <v>-4261.0910453758434</v>
      </c>
      <c r="J121" s="30">
        <f t="shared" ref="J121:J126" ca="1" si="67">D121+I121</f>
        <v>33511.808954624161</v>
      </c>
      <c r="K121" s="935">
        <v>0</v>
      </c>
      <c r="L121" s="29">
        <f>'305 VS COGNOS Revenue'!R51</f>
        <v>4.176417930284515E-2</v>
      </c>
      <c r="M121" s="29">
        <f t="shared" ref="M121:M126" si="68">SUM(L121:L121)</f>
        <v>4.176417930284515E-2</v>
      </c>
      <c r="N121" s="30">
        <f t="shared" ref="N121:N126" ca="1" si="69">J121+M121</f>
        <v>33511.850718803464</v>
      </c>
      <c r="O121" s="10"/>
      <c r="P121" s="29">
        <f ca="1">I121+M121</f>
        <v>-4261.0492811965405</v>
      </c>
      <c r="Q121" s="663">
        <f t="shared" ref="Q121:Q126" ca="1" si="70">+D121+P121</f>
        <v>33511.850718803464</v>
      </c>
      <c r="R121" s="8"/>
      <c r="S121" s="663">
        <f t="shared" ref="S121:S126" ca="1" si="71">D121+F121+G121</f>
        <v>37171.951300302499</v>
      </c>
    </row>
    <row r="122" spans="1:19">
      <c r="B122" s="915" t="s">
        <v>62</v>
      </c>
      <c r="D122" s="30">
        <f>SUMIF('305 Inputs'!$B$101:$B$111,"=53f",'305 Inputs'!$I$101:$I$111)</f>
        <v>232145.18</v>
      </c>
      <c r="E122" s="29">
        <f>'Normalized Monthly revenue'!AC39</f>
        <v>-23505.811910458691</v>
      </c>
      <c r="F122" s="29">
        <f>'305 VS COGNOS Revenue'!E52+'305 VS COGNOS Revenue'!G52+'305 VS COGNOS Revenue'!N52</f>
        <v>6576.9278003473046</v>
      </c>
      <c r="G122" s="29">
        <f ca="1">-SUMIF('305 Inputs'!$A$101:$A$111,"=b53f",'305 Inputs'!$I$101:$I$110)</f>
        <v>0</v>
      </c>
      <c r="H122" s="29">
        <v>0</v>
      </c>
      <c r="I122" s="29">
        <f t="shared" ca="1" si="66"/>
        <v>-16928.884110111387</v>
      </c>
      <c r="J122" s="30">
        <f t="shared" ca="1" si="67"/>
        <v>215216.2958898886</v>
      </c>
      <c r="K122" s="935">
        <v>0</v>
      </c>
      <c r="L122" s="29">
        <f>'305 VS COGNOS Revenue'!R52</f>
        <v>-9.0125226808304433</v>
      </c>
      <c r="M122" s="29">
        <f t="shared" si="68"/>
        <v>-9.0125226808304433</v>
      </c>
      <c r="N122" s="30">
        <f t="shared" ca="1" si="69"/>
        <v>215207.28336720777</v>
      </c>
      <c r="O122" s="10"/>
      <c r="P122" s="29">
        <f t="shared" ref="P122:P126" ca="1" si="72">I122+M122</f>
        <v>-16937.896632792217</v>
      </c>
      <c r="Q122" s="663">
        <f t="shared" ca="1" si="70"/>
        <v>215207.28336720777</v>
      </c>
      <c r="R122" s="8"/>
      <c r="S122" s="663">
        <f t="shared" ca="1" si="71"/>
        <v>238722.10780034729</v>
      </c>
    </row>
    <row r="123" spans="1:19">
      <c r="B123" s="915" t="s">
        <v>63</v>
      </c>
      <c r="D123" s="30">
        <f>SUMIF('305 Inputs'!$B$101:$B$111,"=53m",'305 Inputs'!$I$101:$I$111)</f>
        <v>81926.52</v>
      </c>
      <c r="E123" s="29">
        <f>'Normalized Monthly revenue'!AC40</f>
        <v>-7756.9963437655988</v>
      </c>
      <c r="F123" s="29">
        <f>'305 VS COGNOS Revenue'!E53+'305 VS COGNOS Revenue'!G53+'305 VS COGNOS Revenue'!N53</f>
        <v>-3147.4280700001036</v>
      </c>
      <c r="G123" s="29">
        <f ca="1">-SUMIF('305 Inputs'!$A$101:$A$111,"=b53m",'305 Inputs'!$I$101:$I$110)</f>
        <v>0</v>
      </c>
      <c r="H123" s="29">
        <v>0</v>
      </c>
      <c r="I123" s="29">
        <f t="shared" ca="1" si="66"/>
        <v>-10904.424413765702</v>
      </c>
      <c r="J123" s="30">
        <f t="shared" ca="1" si="67"/>
        <v>71022.095586234296</v>
      </c>
      <c r="K123" s="935">
        <v>0</v>
      </c>
      <c r="L123" s="29">
        <f>'305 VS COGNOS Revenue'!R53</f>
        <v>-9.1929999907733873E-2</v>
      </c>
      <c r="M123" s="29">
        <f t="shared" si="68"/>
        <v>-9.1929999907733873E-2</v>
      </c>
      <c r="N123" s="30">
        <f t="shared" ca="1" si="69"/>
        <v>71022.003656234388</v>
      </c>
      <c r="O123" s="10"/>
      <c r="P123" s="29">
        <f t="shared" ca="1" si="72"/>
        <v>-10904.51634376561</v>
      </c>
      <c r="Q123" s="663">
        <f t="shared" ca="1" si="70"/>
        <v>71022.003656234388</v>
      </c>
      <c r="R123" s="8"/>
      <c r="S123" s="663">
        <f t="shared" ca="1" si="71"/>
        <v>78779.091929999908</v>
      </c>
    </row>
    <row r="124" spans="1:19">
      <c r="B124" s="915" t="s">
        <v>64</v>
      </c>
      <c r="D124" s="30">
        <f>SUMIF('305 Inputs'!$B$101:$B$111,"=51",'305 Inputs'!$I$101:$I$111)</f>
        <v>697459.73</v>
      </c>
      <c r="E124" s="29">
        <f>'Normalized Monthly revenue'!AC41</f>
        <v>-67823.106174674016</v>
      </c>
      <c r="F124" s="29">
        <f>'305 VS COGNOS Revenue'!E54+'305 VS COGNOS Revenue'!G54+'305 VS COGNOS Revenue'!N54</f>
        <v>-8656.6831083945071</v>
      </c>
      <c r="G124" s="29">
        <f ca="1">-SUMIF('305 Inputs'!$A$101:$A$111,"=b51",'305 Inputs'!$I$101:$I$110)</f>
        <v>0</v>
      </c>
      <c r="H124" s="29">
        <v>0</v>
      </c>
      <c r="I124" s="29">
        <f t="shared" ca="1" si="66"/>
        <v>-76479.78928306853</v>
      </c>
      <c r="J124" s="30">
        <f t="shared" ca="1" si="67"/>
        <v>620979.94071693148</v>
      </c>
      <c r="K124" s="935">
        <v>0</v>
      </c>
      <c r="L124" s="29">
        <f>'305 VS COGNOS Revenue'!R54</f>
        <v>0.95310839451849461</v>
      </c>
      <c r="M124" s="29">
        <f t="shared" si="68"/>
        <v>0.95310839451849461</v>
      </c>
      <c r="N124" s="30">
        <f t="shared" ca="1" si="69"/>
        <v>620980.893825326</v>
      </c>
      <c r="O124" s="10"/>
      <c r="P124" s="29">
        <f t="shared" ca="1" si="72"/>
        <v>-76478.836174674012</v>
      </c>
      <c r="Q124" s="663">
        <f t="shared" ca="1" si="70"/>
        <v>620980.893825326</v>
      </c>
      <c r="R124" s="8"/>
      <c r="S124" s="663">
        <f t="shared" ca="1" si="71"/>
        <v>688803.04689160548</v>
      </c>
    </row>
    <row r="125" spans="1:19" s="11" customFormat="1">
      <c r="B125" s="915" t="s">
        <v>65</v>
      </c>
      <c r="D125" s="30">
        <f>SUMIF('305 Inputs'!$B$101:$B$111,"=57",'305 Inputs'!$I$101:$I$111)</f>
        <v>241433.75</v>
      </c>
      <c r="E125" s="29">
        <f>'Normalized Monthly revenue'!AC42</f>
        <v>-23253.943225423351</v>
      </c>
      <c r="F125" s="29">
        <f>'305 VS COGNOS Revenue'!E55+'305 VS COGNOS Revenue'!G55+'305 VS COGNOS Revenue'!N55</f>
        <v>-5269.5892984204029</v>
      </c>
      <c r="G125" s="29">
        <f ca="1">-SUMIF('305 Inputs'!$A$101:$A$111,"=b57",'305 Inputs'!$I$101:$I$110)</f>
        <v>0</v>
      </c>
      <c r="H125" s="29">
        <v>0</v>
      </c>
      <c r="I125" s="29">
        <f t="shared" ca="1" si="66"/>
        <v>-28523.532523843754</v>
      </c>
      <c r="J125" s="30">
        <f t="shared" ca="1" si="67"/>
        <v>212910.21747615625</v>
      </c>
      <c r="K125" s="935">
        <v>0</v>
      </c>
      <c r="L125" s="29">
        <f>'305 VS COGNOS Revenue'!R55</f>
        <v>-0.16070157958893105</v>
      </c>
      <c r="M125" s="29">
        <f t="shared" si="68"/>
        <v>-0.16070157958893105</v>
      </c>
      <c r="N125" s="30">
        <f t="shared" ca="1" si="69"/>
        <v>212910.05677457666</v>
      </c>
      <c r="O125" s="10"/>
      <c r="P125" s="29">
        <f t="shared" ca="1" si="72"/>
        <v>-28523.693225423343</v>
      </c>
      <c r="Q125" s="663">
        <f t="shared" ca="1" si="70"/>
        <v>212910.05677457666</v>
      </c>
      <c r="R125" s="12"/>
      <c r="S125" s="663">
        <f t="shared" ca="1" si="71"/>
        <v>236164.16070157959</v>
      </c>
    </row>
    <row r="126" spans="1:19" s="11" customFormat="1">
      <c r="B126" s="915" t="s">
        <v>752</v>
      </c>
      <c r="D126" s="78">
        <f>SUMIF('305 Inputs'!$B$101:$B$111,"=12",'305 Inputs'!$I$101:$I$111)</f>
        <v>0</v>
      </c>
      <c r="E126" s="31">
        <v>0</v>
      </c>
      <c r="F126" s="31">
        <v>0</v>
      </c>
      <c r="G126" s="31">
        <f ca="1">-SUMIF('305 Inputs'!$A$101:$A$111,"=b12",'305 Inputs'!$I$101:$I$110)</f>
        <v>0</v>
      </c>
      <c r="H126" s="31">
        <v>0</v>
      </c>
      <c r="I126" s="31">
        <f t="shared" ca="1" si="66"/>
        <v>0</v>
      </c>
      <c r="J126" s="78">
        <f t="shared" ca="1" si="67"/>
        <v>0</v>
      </c>
      <c r="K126" s="936">
        <v>0</v>
      </c>
      <c r="L126" s="31">
        <f t="shared" ref="L126" ca="1" si="73">ROUND(J126*K126*((366-30)/(366+30*K126)),0)</f>
        <v>0</v>
      </c>
      <c r="M126" s="31">
        <f t="shared" ca="1" si="68"/>
        <v>0</v>
      </c>
      <c r="N126" s="78">
        <f t="shared" ca="1" si="69"/>
        <v>0</v>
      </c>
      <c r="O126" s="655"/>
      <c r="P126" s="31">
        <f t="shared" ca="1" si="72"/>
        <v>0</v>
      </c>
      <c r="Q126" s="662">
        <f t="shared" ca="1" si="70"/>
        <v>0</v>
      </c>
      <c r="R126" s="12"/>
      <c r="S126" s="663">
        <f t="shared" ca="1" si="71"/>
        <v>0</v>
      </c>
    </row>
    <row r="127" spans="1:19">
      <c r="B127" s="4" t="s">
        <v>69</v>
      </c>
      <c r="D127" s="30">
        <f t="shared" ref="D127:G127" si="74">SUM(D121:D126)</f>
        <v>1290738.08</v>
      </c>
      <c r="E127" s="997">
        <f t="shared" si="74"/>
        <v>-126000</v>
      </c>
      <c r="F127" s="29">
        <f t="shared" si="74"/>
        <v>-11097.721376165213</v>
      </c>
      <c r="G127" s="29">
        <f t="shared" ca="1" si="74"/>
        <v>0</v>
      </c>
      <c r="H127" s="29">
        <f>SUM(H121:H125)</f>
        <v>0</v>
      </c>
      <c r="I127" s="29">
        <f ca="1">SUM(I121:I125)</f>
        <v>-137097.72137616522</v>
      </c>
      <c r="J127" s="30">
        <f ca="1">SUM(J121:J126)</f>
        <v>1153640.3586238348</v>
      </c>
      <c r="K127" s="935"/>
      <c r="L127" s="29">
        <f ca="1">SUM(L121:L126)</f>
        <v>-8.2702816865057684</v>
      </c>
      <c r="M127" s="29">
        <f ca="1">SUM(M121:M126)</f>
        <v>-8.2702816865057684</v>
      </c>
      <c r="N127" s="30">
        <f ca="1">SUM(N121:N126)</f>
        <v>1153632.0883421483</v>
      </c>
      <c r="O127" s="10"/>
      <c r="P127" s="29">
        <f ca="1">SUM(P121:P126)</f>
        <v>-137105.99165785173</v>
      </c>
      <c r="Q127" s="29">
        <f ca="1">SUM(Q121:Q126)</f>
        <v>1153632.0883421483</v>
      </c>
      <c r="R127" s="8"/>
      <c r="S127" s="663">
        <f ca="1">SUM(S121:S126)</f>
        <v>1279640.3586238348</v>
      </c>
    </row>
    <row r="128" spans="1:19">
      <c r="D128" s="30"/>
      <c r="E128" s="29"/>
      <c r="F128" s="29"/>
      <c r="G128" s="29"/>
      <c r="H128" s="29"/>
      <c r="I128" s="29"/>
      <c r="J128" s="30"/>
      <c r="K128" s="935"/>
      <c r="L128" s="29"/>
      <c r="M128" s="29"/>
      <c r="N128" s="30"/>
      <c r="O128" s="10"/>
      <c r="P128" s="29"/>
      <c r="Q128" s="29"/>
      <c r="R128" s="8"/>
    </row>
    <row r="129" spans="1:19">
      <c r="B129" s="915" t="s">
        <v>34</v>
      </c>
      <c r="D129" s="78">
        <f>SUMIF('305 Inputs'!$B$101:$B$111,"=aga",'305 Inputs'!$I$101:$I$111)</f>
        <v>90.84</v>
      </c>
      <c r="E129" s="31"/>
      <c r="F129" s="31">
        <v>0</v>
      </c>
      <c r="G129" s="31">
        <v>0</v>
      </c>
      <c r="H129" s="31">
        <v>0</v>
      </c>
      <c r="I129" s="31">
        <f>SUM(F129:H129)</f>
        <v>0</v>
      </c>
      <c r="J129" s="78">
        <f>D129+I129</f>
        <v>90.84</v>
      </c>
      <c r="K129" s="936">
        <v>0</v>
      </c>
      <c r="L129" s="29">
        <f t="shared" ref="L129" si="75">ROUND(J129*K129*((366-30)/(366+30*K129)),0)</f>
        <v>0</v>
      </c>
      <c r="M129" s="31">
        <f>SUM(L129:L129)</f>
        <v>0</v>
      </c>
      <c r="N129" s="78">
        <f>J129+M129</f>
        <v>90.84</v>
      </c>
      <c r="O129" s="655"/>
      <c r="P129" s="31">
        <f t="shared" ref="P129" si="76">I129+M129</f>
        <v>0</v>
      </c>
      <c r="Q129" s="662">
        <f>+D129+P129</f>
        <v>90.84</v>
      </c>
      <c r="R129" s="945"/>
    </row>
    <row r="130" spans="1:19">
      <c r="B130" s="915"/>
      <c r="D130" s="30"/>
      <c r="E130" s="29"/>
      <c r="F130" s="31"/>
      <c r="G130" s="31"/>
      <c r="H130" s="31"/>
      <c r="I130" s="31"/>
      <c r="J130" s="78"/>
      <c r="K130" s="936"/>
      <c r="L130" s="31"/>
      <c r="M130" s="31"/>
      <c r="N130" s="78"/>
      <c r="O130" s="655"/>
      <c r="P130" s="31"/>
      <c r="Q130" s="662"/>
      <c r="R130" s="945"/>
    </row>
    <row r="131" spans="1:19">
      <c r="B131" s="4" t="s">
        <v>672</v>
      </c>
      <c r="D131" s="78">
        <f>SUMIF('305 Inputs'!$B$101:$B$111,"=def",'305 Inputs'!$I$101:$I$111)</f>
        <v>-30000</v>
      </c>
      <c r="E131" s="31"/>
      <c r="F131" s="31">
        <f>-D131</f>
        <v>30000</v>
      </c>
      <c r="G131" s="31">
        <v>0</v>
      </c>
      <c r="H131" s="31">
        <v>0</v>
      </c>
      <c r="I131" s="31">
        <f>SUM(F131:H131)</f>
        <v>30000</v>
      </c>
      <c r="J131" s="78">
        <f>D131+I131</f>
        <v>0</v>
      </c>
      <c r="K131" s="936">
        <v>0</v>
      </c>
      <c r="L131" s="31">
        <f t="shared" ref="L131:L133" si="77">ROUND(J131*K131*((366-30)/(366+30*K131)),0)</f>
        <v>0</v>
      </c>
      <c r="M131" s="31">
        <f>SUM(L131:L131)</f>
        <v>0</v>
      </c>
      <c r="N131" s="78">
        <f>J131+M131</f>
        <v>0</v>
      </c>
      <c r="O131" s="655"/>
      <c r="P131" s="31">
        <f t="shared" ref="P131:P135" si="78">I131+M131</f>
        <v>30000</v>
      </c>
      <c r="Q131" s="662">
        <f>+D131+P131</f>
        <v>0</v>
      </c>
      <c r="R131" s="945"/>
    </row>
    <row r="132" spans="1:19">
      <c r="B132" s="4" t="s">
        <v>750</v>
      </c>
      <c r="D132" s="78">
        <f>SUMIF('305 Inputs'!$B$101:$B$111,"=rev",'305 Inputs'!$I$101:$I$111)</f>
        <v>-27450.3</v>
      </c>
      <c r="E132" s="31"/>
      <c r="F132" s="31">
        <f>-D132</f>
        <v>27450.3</v>
      </c>
      <c r="G132" s="31">
        <v>0</v>
      </c>
      <c r="H132" s="31">
        <v>0</v>
      </c>
      <c r="I132" s="31">
        <f>SUM(F132:H132)</f>
        <v>27450.3</v>
      </c>
      <c r="J132" s="78">
        <f>D132+I132</f>
        <v>0</v>
      </c>
      <c r="K132" s="936">
        <v>0</v>
      </c>
      <c r="L132" s="31">
        <f t="shared" si="77"/>
        <v>0</v>
      </c>
      <c r="M132" s="31">
        <f>SUM(L132:L132)</f>
        <v>0</v>
      </c>
      <c r="N132" s="78">
        <f>J132+M132</f>
        <v>0</v>
      </c>
      <c r="O132" s="655"/>
      <c r="P132" s="31">
        <f t="shared" si="78"/>
        <v>27450.3</v>
      </c>
      <c r="Q132" s="662">
        <f>+D132+P132</f>
        <v>0</v>
      </c>
      <c r="R132" s="945"/>
    </row>
    <row r="133" spans="1:19" s="11" customFormat="1">
      <c r="B133" s="4" t="s">
        <v>757</v>
      </c>
      <c r="D133" s="78">
        <f>SUMIF('305 Inputs'!$B$101:$B$111,"=dsm",'305 Inputs'!$I$101:$I$111)</f>
        <v>26850.98</v>
      </c>
      <c r="E133" s="31"/>
      <c r="F133" s="31">
        <f>-D133</f>
        <v>-26850.98</v>
      </c>
      <c r="G133" s="31">
        <v>0</v>
      </c>
      <c r="H133" s="31">
        <v>0</v>
      </c>
      <c r="I133" s="31">
        <f>SUM(F133:H133)</f>
        <v>-26850.98</v>
      </c>
      <c r="J133" s="78">
        <f>D133+I133</f>
        <v>0</v>
      </c>
      <c r="K133" s="936">
        <v>0</v>
      </c>
      <c r="L133" s="31">
        <f t="shared" si="77"/>
        <v>0</v>
      </c>
      <c r="M133" s="31">
        <f>SUM(L133:L133)</f>
        <v>0</v>
      </c>
      <c r="N133" s="78">
        <f>J133+M133</f>
        <v>0</v>
      </c>
      <c r="O133" s="655"/>
      <c r="P133" s="31">
        <f t="shared" si="78"/>
        <v>-26850.98</v>
      </c>
      <c r="Q133" s="662">
        <f>+D133+P133</f>
        <v>0</v>
      </c>
      <c r="R133" s="12"/>
    </row>
    <row r="134" spans="1:19" s="11" customFormat="1">
      <c r="B134" s="4"/>
      <c r="D134" s="78"/>
      <c r="E134" s="31"/>
      <c r="F134" s="31"/>
      <c r="G134" s="31"/>
      <c r="H134" s="31"/>
      <c r="I134" s="31"/>
      <c r="J134" s="78"/>
      <c r="K134" s="936"/>
      <c r="L134" s="31"/>
      <c r="M134" s="31"/>
      <c r="N134" s="78"/>
      <c r="O134" s="655"/>
      <c r="P134" s="31"/>
      <c r="Q134" s="662"/>
      <c r="R134" s="12"/>
    </row>
    <row r="135" spans="1:19" s="11" customFormat="1">
      <c r="B135" s="4" t="s">
        <v>79</v>
      </c>
      <c r="D135" s="78">
        <f>SUMIF('305 Inputs'!$B$101:$B$111,"=unbilled",'305 Inputs'!$I$101:$I$111)</f>
        <v>-126000</v>
      </c>
      <c r="E135" s="31">
        <f>-D135</f>
        <v>126000</v>
      </c>
      <c r="F135" s="31">
        <v>0</v>
      </c>
      <c r="G135" s="31">
        <v>0</v>
      </c>
      <c r="H135" s="31">
        <v>0</v>
      </c>
      <c r="I135" s="31">
        <f>SUM(E135:H135)</f>
        <v>126000</v>
      </c>
      <c r="J135" s="78">
        <f>D135+I135</f>
        <v>0</v>
      </c>
      <c r="K135" s="936">
        <v>0</v>
      </c>
      <c r="L135" s="31">
        <f t="shared" ref="L135" si="79">ROUND(J135*K135*((366-30)/(366+30*K135)),0)</f>
        <v>0</v>
      </c>
      <c r="M135" s="31">
        <f>SUM(L135:L135)</f>
        <v>0</v>
      </c>
      <c r="N135" s="78">
        <f>J135+M135</f>
        <v>0</v>
      </c>
      <c r="O135" s="655"/>
      <c r="P135" s="31">
        <f t="shared" si="78"/>
        <v>126000</v>
      </c>
      <c r="Q135" s="662">
        <f>+D135+P135</f>
        <v>0</v>
      </c>
      <c r="R135" s="12"/>
    </row>
    <row r="136" spans="1:19" s="11" customFormat="1">
      <c r="A136" s="4"/>
      <c r="C136" s="4"/>
      <c r="D136" s="78"/>
      <c r="E136" s="31"/>
      <c r="F136" s="31"/>
      <c r="G136" s="31"/>
      <c r="H136" s="31"/>
      <c r="I136" s="31"/>
      <c r="J136" s="78"/>
      <c r="K136" s="31"/>
      <c r="L136" s="31"/>
      <c r="M136" s="31"/>
      <c r="N136" s="78"/>
      <c r="O136" s="655"/>
      <c r="P136" s="31"/>
      <c r="Q136" s="31"/>
      <c r="R136" s="12"/>
    </row>
    <row r="137" spans="1:19">
      <c r="B137" s="33" t="s">
        <v>9</v>
      </c>
      <c r="C137" s="34"/>
      <c r="D137" s="79">
        <f t="shared" ref="D137:N137" si="80">D127+D129+SUM(D131:D135)</f>
        <v>1134229.6000000001</v>
      </c>
      <c r="E137" s="80">
        <f t="shared" si="80"/>
        <v>0</v>
      </c>
      <c r="F137" s="37">
        <f t="shared" si="80"/>
        <v>19501.59862383479</v>
      </c>
      <c r="G137" s="37">
        <f t="shared" ca="1" si="80"/>
        <v>0</v>
      </c>
      <c r="H137" s="37">
        <f t="shared" si="80"/>
        <v>0</v>
      </c>
      <c r="I137" s="37">
        <f t="shared" ca="1" si="80"/>
        <v>19501.598623834783</v>
      </c>
      <c r="J137" s="79">
        <f t="shared" ca="1" si="80"/>
        <v>1153731.1986238349</v>
      </c>
      <c r="K137" s="37">
        <f t="shared" si="80"/>
        <v>0</v>
      </c>
      <c r="L137" s="37">
        <f t="shared" ca="1" si="80"/>
        <v>-8.2702816865057684</v>
      </c>
      <c r="M137" s="37">
        <f t="shared" ca="1" si="80"/>
        <v>-8.2702816865057684</v>
      </c>
      <c r="N137" s="79">
        <f t="shared" ca="1" si="80"/>
        <v>1153722.9283421484</v>
      </c>
      <c r="O137" s="80"/>
      <c r="P137" s="37">
        <f ca="1">P127+P129+SUM(P131:P135)</f>
        <v>19493.328342148277</v>
      </c>
      <c r="Q137" s="37">
        <f ca="1">Q127+Q129+SUM(Q131:Q135)</f>
        <v>1153722.9283421484</v>
      </c>
      <c r="R137" s="8"/>
    </row>
    <row r="138" spans="1:19">
      <c r="D138" s="30"/>
      <c r="E138" s="29"/>
      <c r="F138" s="29"/>
      <c r="G138" s="29"/>
      <c r="H138" s="29"/>
      <c r="I138" s="29"/>
      <c r="J138" s="6"/>
      <c r="K138" s="7"/>
      <c r="L138" s="7"/>
      <c r="M138" s="7" t="s">
        <v>31</v>
      </c>
      <c r="N138" s="30"/>
      <c r="O138" s="939"/>
      <c r="P138" s="29"/>
      <c r="Q138" s="663"/>
    </row>
    <row r="139" spans="1:19" ht="16.5" thickBot="1">
      <c r="D139" s="30"/>
      <c r="E139" s="29"/>
      <c r="F139" s="29"/>
      <c r="G139" s="29"/>
      <c r="H139" s="946"/>
      <c r="I139" s="29"/>
      <c r="J139" s="6"/>
      <c r="K139" s="7"/>
      <c r="L139" s="7"/>
      <c r="M139" s="7"/>
      <c r="N139" s="30"/>
      <c r="O139" s="939"/>
      <c r="P139" s="29"/>
      <c r="Q139" s="663"/>
    </row>
    <row r="140" spans="1:19" s="13" customFormat="1" ht="17.25" thickTop="1" thickBot="1">
      <c r="A140" s="4"/>
      <c r="B140" s="38" t="s">
        <v>166</v>
      </c>
      <c r="C140" s="36"/>
      <c r="D140" s="91">
        <f t="shared" ref="D140:J140" ca="1" si="81">D38+D68+D97+D117+D137</f>
        <v>310758107.72000009</v>
      </c>
      <c r="E140" s="998">
        <f t="shared" ca="1" si="81"/>
        <v>0</v>
      </c>
      <c r="F140" s="39">
        <f t="shared" ca="1" si="81"/>
        <v>-7482007.1112789996</v>
      </c>
      <c r="G140" s="39">
        <f t="shared" ca="1" si="81"/>
        <v>6996493.6600000001</v>
      </c>
      <c r="H140" s="39">
        <f t="shared" si="81"/>
        <v>-5692761.2699999996</v>
      </c>
      <c r="I140" s="39">
        <f t="shared" ca="1" si="81"/>
        <v>-6178274.7212789999</v>
      </c>
      <c r="J140" s="91">
        <f t="shared" ca="1" si="81"/>
        <v>304579832.998721</v>
      </c>
      <c r="K140" s="39"/>
      <c r="L140" s="39">
        <f ca="1">L38+L68+L97+L117+L137</f>
        <v>17025824.820802085</v>
      </c>
      <c r="M140" s="39">
        <f ca="1">M38+M68+M97+M117+M137</f>
        <v>17025824.820802085</v>
      </c>
      <c r="N140" s="91">
        <f ca="1">N38+N68+N97+N117+N137</f>
        <v>321605657.8195231</v>
      </c>
      <c r="O140" s="947"/>
      <c r="P140" s="39">
        <f ca="1">P38+P68+P97+P117+P137</f>
        <v>10847550.099523082</v>
      </c>
      <c r="Q140" s="39">
        <f ca="1">Q38+Q68+Q97+Q117+Q137</f>
        <v>321605657.8195231</v>
      </c>
      <c r="R140" s="17"/>
      <c r="S140" s="1183">
        <f ca="1">S19+S21+S44+S46+S49+S54+S74+S76+S82+S84+S103+S127</f>
        <v>311384075.97872102</v>
      </c>
    </row>
    <row r="141" spans="1:19" ht="16.5" thickTop="1">
      <c r="D141" s="7"/>
      <c r="E141" s="7"/>
      <c r="F141" s="948" t="s">
        <v>31</v>
      </c>
      <c r="G141" s="29"/>
      <c r="H141" s="7" t="s">
        <v>31</v>
      </c>
      <c r="I141" s="7"/>
      <c r="J141" s="29" t="s">
        <v>31</v>
      </c>
      <c r="M141" s="29"/>
      <c r="N141" s="32" t="s">
        <v>31</v>
      </c>
      <c r="O141" s="7"/>
      <c r="P141" s="7"/>
      <c r="Q141" s="8"/>
    </row>
    <row r="142" spans="1:19" ht="19.5" customHeight="1">
      <c r="D142" s="665" t="s">
        <v>902</v>
      </c>
      <c r="E142" s="665"/>
      <c r="F142" s="949"/>
      <c r="G142" s="949"/>
      <c r="H142" s="949"/>
      <c r="I142" s="949"/>
      <c r="J142" s="949"/>
      <c r="K142" s="949"/>
      <c r="L142" s="949"/>
      <c r="M142" s="949"/>
      <c r="N142" s="949"/>
      <c r="P142" s="663"/>
    </row>
    <row r="143" spans="1:19" ht="19.5" customHeight="1">
      <c r="D143" s="665" t="s">
        <v>903</v>
      </c>
      <c r="E143" s="665"/>
      <c r="F143" s="949"/>
      <c r="G143" s="949"/>
      <c r="H143" s="949"/>
      <c r="I143" s="949"/>
      <c r="J143" s="949"/>
      <c r="K143" s="949"/>
      <c r="L143" s="949"/>
      <c r="M143" s="949"/>
      <c r="N143" s="949"/>
      <c r="P143" s="663"/>
    </row>
    <row r="144" spans="1:19" ht="18.75">
      <c r="D144" s="44" t="s">
        <v>851</v>
      </c>
      <c r="E144" s="44"/>
      <c r="F144" s="117"/>
      <c r="G144" s="117"/>
      <c r="H144" s="117"/>
      <c r="I144" s="47"/>
      <c r="J144" s="47"/>
      <c r="K144" s="44"/>
      <c r="L144" s="44"/>
    </row>
    <row r="145" spans="4:12" ht="18.75">
      <c r="D145" s="44"/>
      <c r="E145" s="44"/>
      <c r="F145" s="950"/>
      <c r="G145" s="47"/>
      <c r="H145" s="47"/>
      <c r="K145" s="47"/>
      <c r="L145" s="47"/>
    </row>
    <row r="147" spans="4:12">
      <c r="F147" s="9"/>
      <c r="G147" s="9"/>
      <c r="I147" s="663"/>
    </row>
    <row r="148" spans="4:12">
      <c r="F148" s="9"/>
      <c r="G148" s="951"/>
    </row>
    <row r="149" spans="4:12">
      <c r="D149" s="9" t="s">
        <v>200</v>
      </c>
      <c r="F149" s="9">
        <f>'305 VS COGNOS Revenue'!E58</f>
        <v>-11140248.520724036</v>
      </c>
    </row>
    <row r="150" spans="4:12">
      <c r="D150" s="4" t="s">
        <v>690</v>
      </c>
      <c r="F150" s="9">
        <f>F34+F64+F93</f>
        <v>-310869.43</v>
      </c>
    </row>
    <row r="151" spans="4:12">
      <c r="D151" s="952" t="s">
        <v>672</v>
      </c>
      <c r="F151" s="663">
        <f ca="1">F26+F58+F89+F108+F131</f>
        <v>3000000</v>
      </c>
    </row>
    <row r="152" spans="4:12">
      <c r="D152" s="952" t="s">
        <v>760</v>
      </c>
      <c r="F152" s="663">
        <f ca="1">F27+F59+F90+F109+F132</f>
        <v>11878340.289999999</v>
      </c>
    </row>
    <row r="153" spans="4:12">
      <c r="D153" s="952" t="s">
        <v>761</v>
      </c>
      <c r="F153" s="9">
        <f ca="1">F107</f>
        <v>0</v>
      </c>
    </row>
    <row r="154" spans="4:12">
      <c r="D154" s="952" t="s">
        <v>757</v>
      </c>
      <c r="F154" s="9">
        <f ca="1">F31+F61+F91+F110+F133</f>
        <v>-10677588.590000002</v>
      </c>
    </row>
    <row r="155" spans="4:12">
      <c r="D155" s="952" t="s">
        <v>758</v>
      </c>
      <c r="F155" s="9">
        <f ca="1">F32+F62+F111</f>
        <v>-54422.68</v>
      </c>
    </row>
    <row r="156" spans="4:12">
      <c r="D156" s="952" t="s">
        <v>259</v>
      </c>
      <c r="F156" s="88">
        <v>-169064</v>
      </c>
    </row>
    <row r="157" spans="4:12">
      <c r="D157" s="952" t="s">
        <v>795</v>
      </c>
      <c r="F157" s="1069">
        <v>-8154</v>
      </c>
    </row>
    <row r="158" spans="4:12">
      <c r="F158" s="8">
        <f ca="1">SUM(F149:F157)</f>
        <v>-7482006.9307240378</v>
      </c>
    </row>
  </sheetData>
  <mergeCells count="1">
    <mergeCell ref="E9:J9"/>
  </mergeCells>
  <printOptions horizontalCentered="1"/>
  <pageMargins left="0.25" right="0.25" top="1" bottom="1" header="0.5" footer="0.5"/>
  <pageSetup scale="36" fitToHeight="0" orientation="landscape" r:id="rId1"/>
  <headerFooter alignWithMargins="0">
    <oddFooter>&amp;CPrepared by Pricing &amp;D&amp;R&amp;F&amp;A</oddFooter>
  </headerFooter>
  <rowBreaks count="1" manualBreakCount="1">
    <brk id="69" max="18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33">
    <pageSetUpPr fitToPage="1"/>
  </sheetPr>
  <dimension ref="A3:AI139"/>
  <sheetViews>
    <sheetView topLeftCell="A55" zoomScale="80" zoomScaleNormal="80" workbookViewId="0">
      <selection activeCell="G85" sqref="G85"/>
    </sheetView>
  </sheetViews>
  <sheetFormatPr defaultColWidth="9.625" defaultRowHeight="15.75"/>
  <cols>
    <col min="1" max="1" width="17.25" style="1005" bestFit="1" customWidth="1"/>
    <col min="2" max="9" width="16.375" style="1005" customWidth="1"/>
    <col min="10" max="10" width="12.375" style="1005" bestFit="1" customWidth="1"/>
    <col min="11" max="11" width="18" style="1005" bestFit="1" customWidth="1"/>
    <col min="12" max="12" width="14.5" style="1005" bestFit="1" customWidth="1"/>
    <col min="13" max="13" width="9.625" style="1005" customWidth="1"/>
    <col min="14" max="14" width="13.125" style="1005" bestFit="1" customWidth="1"/>
    <col min="15" max="15" width="14.625" style="1005" bestFit="1" customWidth="1"/>
    <col min="16" max="16" width="12" style="1005" bestFit="1" customWidth="1"/>
    <col min="17" max="17" width="14.875" style="1005" bestFit="1" customWidth="1"/>
    <col min="18" max="18" width="12.375" style="1005" bestFit="1" customWidth="1"/>
    <col min="19" max="19" width="12" style="1005" bestFit="1" customWidth="1"/>
    <col min="20" max="20" width="14.875" style="1005" bestFit="1" customWidth="1"/>
    <col min="21" max="21" width="9.625" style="1005" customWidth="1"/>
    <col min="22" max="23" width="9.625" style="1005"/>
    <col min="24" max="24" width="19.625" style="1005" bestFit="1" customWidth="1"/>
    <col min="25" max="25" width="13.25" style="1005" bestFit="1" customWidth="1"/>
    <col min="26" max="16384" width="9.625" style="1005"/>
  </cols>
  <sheetData>
    <row r="3" spans="1:27" ht="18.75">
      <c r="A3" s="1002" t="s">
        <v>46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3"/>
      <c r="L3" s="1003"/>
      <c r="M3" s="1003"/>
      <c r="N3" s="1003"/>
      <c r="O3" s="1003"/>
      <c r="P3" s="1003"/>
      <c r="Q3" s="1003"/>
      <c r="R3" s="1003"/>
      <c r="S3" s="1003"/>
      <c r="T3" s="1003"/>
      <c r="U3" s="1004"/>
      <c r="V3" s="1004"/>
      <c r="W3" s="1004"/>
      <c r="X3" s="1004"/>
      <c r="Y3" s="1004"/>
      <c r="Z3" s="1004"/>
      <c r="AA3" s="1004"/>
    </row>
    <row r="4" spans="1:27" ht="18.75">
      <c r="A4" s="1002" t="s">
        <v>847</v>
      </c>
      <c r="B4" s="1003"/>
      <c r="C4" s="1003"/>
      <c r="D4" s="1003"/>
      <c r="E4" s="1003"/>
      <c r="F4" s="1003"/>
      <c r="G4" s="1003"/>
      <c r="H4" s="1003"/>
      <c r="I4" s="1003"/>
      <c r="J4" s="1003"/>
      <c r="K4" s="1003"/>
      <c r="L4" s="1003"/>
      <c r="M4" s="1003"/>
      <c r="N4" s="1003"/>
      <c r="O4" s="1003"/>
      <c r="P4" s="1003"/>
      <c r="Q4" s="1003"/>
      <c r="R4" s="1003"/>
      <c r="S4" s="1003"/>
      <c r="T4" s="1003"/>
      <c r="U4" s="1004"/>
      <c r="V4" s="1004"/>
      <c r="W4" s="1004"/>
      <c r="X4" s="1004"/>
      <c r="Y4" s="1004"/>
      <c r="Z4" s="1004"/>
      <c r="AA4" s="1004"/>
    </row>
    <row r="7" spans="1:27">
      <c r="A7" s="1003" t="s">
        <v>66</v>
      </c>
      <c r="B7" s="1006" t="s">
        <v>12</v>
      </c>
      <c r="C7" s="1007" t="s">
        <v>205</v>
      </c>
      <c r="D7" s="1006" t="s">
        <v>205</v>
      </c>
      <c r="E7" s="1007"/>
      <c r="F7" s="1006"/>
      <c r="G7" s="1007" t="s">
        <v>1</v>
      </c>
      <c r="H7" s="1008"/>
      <c r="I7" s="1008"/>
      <c r="J7" s="1009"/>
      <c r="K7" s="1010"/>
      <c r="L7" s="1010"/>
      <c r="M7" s="1010"/>
      <c r="N7" s="1010"/>
      <c r="O7" s="1009"/>
      <c r="P7" s="1008"/>
      <c r="Q7" s="1008"/>
      <c r="R7" s="1008"/>
      <c r="S7" s="1008"/>
    </row>
    <row r="8" spans="1:27">
      <c r="A8" s="1005" t="s">
        <v>17</v>
      </c>
      <c r="B8" s="1006" t="s">
        <v>16</v>
      </c>
      <c r="C8" s="1007" t="s">
        <v>206</v>
      </c>
      <c r="D8" s="1006" t="s">
        <v>207</v>
      </c>
      <c r="E8" s="1007" t="s">
        <v>206</v>
      </c>
      <c r="F8" s="1006" t="s">
        <v>207</v>
      </c>
      <c r="G8" s="1007" t="s">
        <v>26</v>
      </c>
      <c r="H8" s="1009"/>
      <c r="K8" s="1008" t="s">
        <v>208</v>
      </c>
      <c r="L8" s="1008"/>
      <c r="M8" s="1011"/>
      <c r="N8" s="1011"/>
      <c r="O8" s="1011"/>
      <c r="P8" s="1012"/>
      <c r="Q8" s="1009"/>
      <c r="R8" s="1009"/>
      <c r="S8" s="1009"/>
      <c r="T8" s="1009"/>
      <c r="U8" s="1009"/>
    </row>
    <row r="9" spans="1:27">
      <c r="A9" s="1006" t="s">
        <v>24</v>
      </c>
      <c r="B9" s="1013" t="s">
        <v>23</v>
      </c>
      <c r="C9" s="1014" t="s">
        <v>23</v>
      </c>
      <c r="D9" s="1013" t="s">
        <v>23</v>
      </c>
      <c r="E9" s="1014" t="s">
        <v>38</v>
      </c>
      <c r="F9" s="1013" t="s">
        <v>38</v>
      </c>
      <c r="G9" s="1015" t="s">
        <v>198</v>
      </c>
      <c r="H9" s="1009"/>
      <c r="K9" s="1016" t="s">
        <v>904</v>
      </c>
      <c r="L9" s="1016"/>
      <c r="M9" s="1009"/>
      <c r="N9" s="1009"/>
      <c r="O9" s="1009"/>
      <c r="P9" s="1009"/>
      <c r="Q9" s="1009"/>
    </row>
    <row r="10" spans="1:27">
      <c r="A10" s="1017">
        <v>41275</v>
      </c>
      <c r="B10" s="1018">
        <f>'Temp. Adjustments'!C5</f>
        <v>-5397.4881542342318</v>
      </c>
      <c r="C10" s="1019">
        <f>$B10*$L$10/$L$12</f>
        <v>-2301.3353730636077</v>
      </c>
      <c r="D10" s="1018">
        <f t="shared" ref="D10:D21" si="0">$B10*$L$11/$L$12</f>
        <v>-3096.1527811706246</v>
      </c>
      <c r="E10" s="1020">
        <v>5.9490000000000001E-2</v>
      </c>
      <c r="F10" s="1021">
        <v>9.4159999999999994E-2</v>
      </c>
      <c r="G10" s="1022">
        <f>ROUND((C10*E10+D10*F10)*1000,2)/1000</f>
        <v>-428.44019000000003</v>
      </c>
      <c r="H10" s="1009"/>
      <c r="I10" s="1023"/>
      <c r="K10" s="1024" t="s">
        <v>209</v>
      </c>
      <c r="L10" s="1025">
        <v>663051744</v>
      </c>
      <c r="M10" s="1009"/>
      <c r="N10" s="1009"/>
      <c r="O10" s="1026"/>
      <c r="P10" s="1009"/>
      <c r="Q10" s="1009"/>
    </row>
    <row r="11" spans="1:27">
      <c r="A11" s="1017">
        <v>41306</v>
      </c>
      <c r="B11" s="1018">
        <f>'Temp. Adjustments'!C6</f>
        <v>9167.1935367512833</v>
      </c>
      <c r="C11" s="1019">
        <f t="shared" ref="C11:C21" si="1">$B11*$L$10/$L$12</f>
        <v>3908.6304879234904</v>
      </c>
      <c r="D11" s="1018">
        <f t="shared" si="0"/>
        <v>5258.563048827793</v>
      </c>
      <c r="E11" s="1020">
        <v>5.9490000000000001E-2</v>
      </c>
      <c r="F11" s="1021">
        <v>9.4159999999999994E-2</v>
      </c>
      <c r="G11" s="1022">
        <f t="shared" ref="G11:G21" si="2">ROUND((C11*E11+D11*F11)*1000,2)/1000</f>
        <v>727.67071999999996</v>
      </c>
      <c r="H11" s="1009"/>
      <c r="I11" s="1023"/>
      <c r="K11" s="1027" t="s">
        <v>210</v>
      </c>
      <c r="L11" s="1028">
        <v>892051426</v>
      </c>
      <c r="M11" s="1009"/>
      <c r="N11" s="1009"/>
      <c r="O11" s="1026"/>
      <c r="P11" s="1009"/>
      <c r="Q11" s="1009"/>
    </row>
    <row r="12" spans="1:27">
      <c r="A12" s="1017">
        <v>41334</v>
      </c>
      <c r="B12" s="1018">
        <f>'Temp. Adjustments'!C7</f>
        <v>7538.8508105996798</v>
      </c>
      <c r="C12" s="1019">
        <f>$B12*$L$10/$L$12</f>
        <v>3214.3514810814331</v>
      </c>
      <c r="D12" s="1018">
        <f t="shared" si="0"/>
        <v>4324.4993295182467</v>
      </c>
      <c r="E12" s="1020">
        <v>5.9490000000000001E-2</v>
      </c>
      <c r="F12" s="1021">
        <v>9.4159999999999994E-2</v>
      </c>
      <c r="G12" s="1022">
        <f t="shared" si="2"/>
        <v>598.41663000000005</v>
      </c>
      <c r="H12" s="1009"/>
      <c r="I12" s="1023"/>
      <c r="K12" s="1029" t="s">
        <v>9</v>
      </c>
      <c r="L12" s="1018">
        <f>SUM(L10:L11)</f>
        <v>1555103170</v>
      </c>
      <c r="M12" s="1009"/>
      <c r="N12" s="1009"/>
      <c r="O12" s="1026"/>
      <c r="P12" s="1009"/>
      <c r="Q12" s="1009"/>
    </row>
    <row r="13" spans="1:27">
      <c r="A13" s="1017">
        <v>41365</v>
      </c>
      <c r="B13" s="1018">
        <f>'Temp. Adjustments'!C8</f>
        <v>5971.6064586533248</v>
      </c>
      <c r="C13" s="1019">
        <f t="shared" si="1"/>
        <v>2546.123082555192</v>
      </c>
      <c r="D13" s="1018">
        <f t="shared" si="0"/>
        <v>3425.4833760981328</v>
      </c>
      <c r="E13" s="1020">
        <v>5.9490000000000001E-2</v>
      </c>
      <c r="F13" s="1021">
        <v>9.4159999999999994E-2</v>
      </c>
      <c r="G13" s="1022">
        <f t="shared" si="2"/>
        <v>474.01238000000001</v>
      </c>
      <c r="H13" s="1009"/>
      <c r="I13" s="1030"/>
      <c r="J13" s="1018"/>
      <c r="K13" s="1011"/>
      <c r="L13" s="1018"/>
      <c r="M13" s="1009"/>
      <c r="N13" s="1009"/>
      <c r="O13" s="1026"/>
      <c r="P13" s="1009"/>
      <c r="Q13" s="1009"/>
    </row>
    <row r="14" spans="1:27">
      <c r="A14" s="1017">
        <v>41395</v>
      </c>
      <c r="B14" s="1018">
        <f>'Temp. Adjustments'!C9</f>
        <v>-1196.6019823602678</v>
      </c>
      <c r="C14" s="1019">
        <f t="shared" si="1"/>
        <v>-510.19703810251559</v>
      </c>
      <c r="D14" s="1018">
        <f t="shared" si="0"/>
        <v>-686.40494425775216</v>
      </c>
      <c r="E14" s="1020">
        <v>5.9490000000000001E-2</v>
      </c>
      <c r="F14" s="1021">
        <v>9.4159999999999994E-2</v>
      </c>
      <c r="G14" s="1022">
        <f t="shared" si="2"/>
        <v>-94.983509999999995</v>
      </c>
      <c r="H14" s="1009"/>
      <c r="I14" s="1017"/>
      <c r="J14" s="1018"/>
      <c r="K14" s="1011"/>
      <c r="L14" s="1018"/>
      <c r="M14" s="1009"/>
      <c r="N14" s="1009"/>
      <c r="O14" s="1026"/>
      <c r="P14" s="1009"/>
      <c r="Q14" s="1009"/>
    </row>
    <row r="15" spans="1:27">
      <c r="A15" s="1017">
        <v>41426</v>
      </c>
      <c r="B15" s="1018">
        <f>'Temp. Adjustments'!C10</f>
        <v>-2488.0656115152647</v>
      </c>
      <c r="C15" s="1019">
        <f t="shared" si="1"/>
        <v>-1060.8403832792796</v>
      </c>
      <c r="D15" s="1018">
        <f t="shared" si="0"/>
        <v>-1427.225228235985</v>
      </c>
      <c r="E15" s="1020">
        <v>5.9490000000000001E-2</v>
      </c>
      <c r="F15" s="1021">
        <v>9.4159999999999994E-2</v>
      </c>
      <c r="G15" s="1031">
        <f>ROUND((C15*E15+D15*F15)*1000,2)/1000</f>
        <v>-197.49692000000002</v>
      </c>
      <c r="H15" s="1009"/>
      <c r="I15" s="1017"/>
      <c r="J15" s="1018"/>
      <c r="K15" s="1011"/>
      <c r="L15" s="1018"/>
      <c r="M15" s="1009"/>
      <c r="N15" s="1009"/>
      <c r="O15" s="1026"/>
      <c r="P15" s="1009"/>
      <c r="Q15" s="1009"/>
    </row>
    <row r="16" spans="1:27">
      <c r="A16" s="1017">
        <v>41456</v>
      </c>
      <c r="B16" s="1018">
        <f>'Temp. Adjustments'!C11</f>
        <v>-25948.581443855015</v>
      </c>
      <c r="C16" s="1019">
        <f t="shared" si="1"/>
        <v>-11063.736807040337</v>
      </c>
      <c r="D16" s="1018">
        <f t="shared" si="0"/>
        <v>-14884.844636814678</v>
      </c>
      <c r="E16" s="1020">
        <v>5.9490000000000001E-2</v>
      </c>
      <c r="F16" s="1021">
        <v>9.4159999999999994E-2</v>
      </c>
      <c r="G16" s="1022">
        <f>ROUND((C16*E16+D16*F16)*1000,2)/1000</f>
        <v>-2059.7386699999997</v>
      </c>
      <c r="H16" s="1017"/>
      <c r="I16" s="1017"/>
      <c r="J16" s="1018"/>
      <c r="K16" s="1011"/>
      <c r="L16" s="1011"/>
      <c r="M16" s="1009"/>
      <c r="N16" s="1009"/>
      <c r="O16" s="1026"/>
      <c r="P16" s="1009"/>
      <c r="Q16" s="1009"/>
    </row>
    <row r="17" spans="1:22">
      <c r="A17" s="1017">
        <v>41487</v>
      </c>
      <c r="B17" s="1018">
        <f>'Temp. Adjustments'!C12</f>
        <v>-10737.817938392021</v>
      </c>
      <c r="C17" s="1019">
        <f t="shared" si="1"/>
        <v>-4578.300043466129</v>
      </c>
      <c r="D17" s="1018">
        <f t="shared" si="0"/>
        <v>-6159.5178949258925</v>
      </c>
      <c r="E17" s="1020">
        <v>5.9490000000000001E-2</v>
      </c>
      <c r="F17" s="1021">
        <v>9.4159999999999994E-2</v>
      </c>
      <c r="G17" s="1022">
        <f t="shared" si="2"/>
        <v>-852.34327000000008</v>
      </c>
      <c r="H17" s="1009" t="s">
        <v>31</v>
      </c>
      <c r="I17" s="1017"/>
      <c r="J17" s="1018"/>
      <c r="K17" s="1011"/>
      <c r="L17" s="1011"/>
      <c r="M17" s="1009"/>
      <c r="N17" s="1009"/>
      <c r="O17" s="1026"/>
      <c r="P17" s="1009"/>
      <c r="Q17" s="1009"/>
    </row>
    <row r="18" spans="1:22">
      <c r="A18" s="1017">
        <v>41518</v>
      </c>
      <c r="B18" s="1018">
        <f>'Temp. Adjustments'!C13</f>
        <v>-5673.2278529194682</v>
      </c>
      <c r="C18" s="1019">
        <f t="shared" si="1"/>
        <v>-2418.9029349015018</v>
      </c>
      <c r="D18" s="1018">
        <f t="shared" si="0"/>
        <v>-3254.3249180179664</v>
      </c>
      <c r="E18" s="1020">
        <v>5.9490000000000001E-2</v>
      </c>
      <c r="F18" s="1021">
        <v>9.4159999999999994E-2</v>
      </c>
      <c r="G18" s="1022">
        <f t="shared" si="2"/>
        <v>-450.32777000000004</v>
      </c>
      <c r="H18" s="1009"/>
      <c r="I18" s="1017"/>
      <c r="J18" s="1018"/>
      <c r="K18" s="1011"/>
      <c r="L18" s="1011"/>
      <c r="M18" s="1009"/>
      <c r="N18" s="1009"/>
      <c r="O18" s="1026"/>
      <c r="P18" s="1009"/>
      <c r="Q18" s="1009"/>
    </row>
    <row r="19" spans="1:22">
      <c r="A19" s="1017">
        <v>41548</v>
      </c>
      <c r="B19" s="1018">
        <f>'Temp. Adjustments'!C14</f>
        <v>3592.3542839751781</v>
      </c>
      <c r="C19" s="1019">
        <f t="shared" si="1"/>
        <v>1531.6776526509257</v>
      </c>
      <c r="D19" s="1018">
        <f t="shared" si="0"/>
        <v>2060.6766313242529</v>
      </c>
      <c r="E19" s="1020">
        <v>5.9490000000000001E-2</v>
      </c>
      <c r="F19" s="1021">
        <v>9.4159999999999994E-2</v>
      </c>
      <c r="G19" s="1022">
        <f t="shared" si="2"/>
        <v>285.15282000000002</v>
      </c>
      <c r="H19" s="1017"/>
      <c r="I19" s="1017"/>
      <c r="J19" s="1018"/>
      <c r="K19" s="1011"/>
      <c r="L19" s="1011"/>
      <c r="M19" s="1009"/>
      <c r="N19" s="1009"/>
      <c r="O19" s="1026"/>
      <c r="P19" s="1009"/>
      <c r="Q19" s="1009"/>
    </row>
    <row r="20" spans="1:22">
      <c r="A20" s="1017">
        <v>41579</v>
      </c>
      <c r="B20" s="1018">
        <f>'Temp. Adjustments'!C15</f>
        <v>-553.49088774519305</v>
      </c>
      <c r="C20" s="1019">
        <f t="shared" si="1"/>
        <v>-235.99276593819718</v>
      </c>
      <c r="D20" s="1018">
        <f t="shared" si="0"/>
        <v>-317.49812180699587</v>
      </c>
      <c r="E20" s="1020">
        <v>5.9490000000000001E-2</v>
      </c>
      <c r="F20" s="1021">
        <v>9.4159999999999994E-2</v>
      </c>
      <c r="G20" s="1022">
        <f t="shared" si="2"/>
        <v>-43.934830000000005</v>
      </c>
      <c r="H20" s="1017"/>
      <c r="I20" s="1023"/>
      <c r="J20" s="1018"/>
      <c r="K20" s="1011"/>
      <c r="L20" s="1011"/>
      <c r="M20" s="1009"/>
      <c r="N20" s="1009"/>
      <c r="O20" s="1026"/>
      <c r="P20" s="1009"/>
      <c r="Q20" s="1009"/>
    </row>
    <row r="21" spans="1:22">
      <c r="A21" s="1017">
        <v>41609</v>
      </c>
      <c r="B21" s="1054">
        <f>'Temp. Adjustments'!C16</f>
        <v>-17956.886679281517</v>
      </c>
      <c r="C21" s="1033">
        <f t="shared" si="1"/>
        <v>-7656.3055488517712</v>
      </c>
      <c r="D21" s="1032">
        <f t="shared" si="0"/>
        <v>-10300.581130429746</v>
      </c>
      <c r="E21" s="1504">
        <f>0.05949*10/31+0.06199*21/31</f>
        <v>6.1183548387096776E-2</v>
      </c>
      <c r="F21" s="1035">
        <f>0.09416*10/31+0.09817*21/31</f>
        <v>9.6876451612903217E-2</v>
      </c>
      <c r="G21" s="1036">
        <f t="shared" si="2"/>
        <v>-1466.3236899999999</v>
      </c>
      <c r="H21" s="1009"/>
      <c r="I21" s="1023"/>
      <c r="J21" s="1018"/>
      <c r="K21" s="1011"/>
      <c r="L21" s="1011"/>
      <c r="M21" s="1009"/>
      <c r="N21" s="1009"/>
      <c r="O21" s="1009"/>
      <c r="P21" s="1009"/>
      <c r="Q21" s="1009"/>
    </row>
    <row r="22" spans="1:22">
      <c r="A22" s="1009" t="s">
        <v>9</v>
      </c>
      <c r="B22" s="1026">
        <f>SUM(B10:B21)</f>
        <v>-43682.155460323513</v>
      </c>
      <c r="C22" s="1019">
        <f>SUM(C10:C21)</f>
        <v>-18624.828190432298</v>
      </c>
      <c r="D22" s="1026">
        <f>SUM(D10:D21)</f>
        <v>-25057.327269891211</v>
      </c>
      <c r="E22" s="1037" t="s">
        <v>31</v>
      </c>
      <c r="F22" s="1005" t="s">
        <v>31</v>
      </c>
      <c r="G22" s="1038">
        <f>SUM(G10:G21)</f>
        <v>-3508.3362999999999</v>
      </c>
      <c r="H22" s="1039"/>
      <c r="I22" s="1011"/>
      <c r="J22" s="1018"/>
      <c r="K22" s="1011"/>
      <c r="L22" s="1040"/>
      <c r="M22" s="1009"/>
      <c r="N22" s="1009"/>
      <c r="O22" s="1026"/>
      <c r="P22" s="1009"/>
      <c r="Q22" s="1041"/>
    </row>
    <row r="23" spans="1:22">
      <c r="A23" s="1009"/>
      <c r="B23" s="1026"/>
      <c r="C23" s="1026"/>
      <c r="D23" s="1026"/>
      <c r="E23" s="1026"/>
      <c r="F23" s="1026"/>
      <c r="G23" s="1026"/>
      <c r="H23" s="1026"/>
      <c r="I23" s="1026"/>
      <c r="J23" s="1026"/>
      <c r="L23" s="1042"/>
      <c r="M23" s="1009"/>
      <c r="N23" s="1011"/>
      <c r="O23" s="1018"/>
      <c r="P23" s="1011"/>
      <c r="Q23" s="1040"/>
      <c r="R23" s="1009"/>
      <c r="S23" s="1009"/>
      <c r="T23" s="1026"/>
      <c r="U23" s="1009"/>
      <c r="V23" s="1041"/>
    </row>
    <row r="25" spans="1:22">
      <c r="A25" s="1003" t="s">
        <v>781</v>
      </c>
      <c r="B25" s="1006" t="s">
        <v>12</v>
      </c>
      <c r="C25" s="1007" t="s">
        <v>205</v>
      </c>
      <c r="D25" s="1006" t="s">
        <v>205</v>
      </c>
      <c r="E25" s="1007"/>
      <c r="F25" s="1006"/>
      <c r="G25" s="1007" t="s">
        <v>1</v>
      </c>
      <c r="H25" s="1008"/>
      <c r="I25" s="1008"/>
      <c r="J25" s="1009"/>
      <c r="K25" s="1010"/>
      <c r="L25" s="1010"/>
      <c r="M25" s="1010"/>
      <c r="N25" s="1010"/>
      <c r="O25" s="1009"/>
      <c r="P25" s="1008"/>
      <c r="Q25" s="1008"/>
      <c r="R25" s="1008"/>
      <c r="S25" s="1008"/>
    </row>
    <row r="26" spans="1:22">
      <c r="A26" s="1005" t="s">
        <v>17</v>
      </c>
      <c r="B26" s="1006" t="s">
        <v>16</v>
      </c>
      <c r="C26" s="1007" t="s">
        <v>206</v>
      </c>
      <c r="D26" s="1006" t="s">
        <v>207</v>
      </c>
      <c r="E26" s="1007" t="s">
        <v>206</v>
      </c>
      <c r="F26" s="1006" t="s">
        <v>207</v>
      </c>
      <c r="G26" s="1007" t="s">
        <v>26</v>
      </c>
      <c r="H26" s="1009"/>
      <c r="K26" s="1008" t="s">
        <v>208</v>
      </c>
      <c r="L26" s="1008"/>
      <c r="M26" s="1011"/>
      <c r="N26" s="1011"/>
      <c r="O26" s="1011"/>
      <c r="P26" s="1012"/>
      <c r="Q26" s="1009"/>
      <c r="R26" s="1009"/>
      <c r="S26" s="1009"/>
      <c r="T26" s="1009"/>
      <c r="U26" s="1009"/>
    </row>
    <row r="27" spans="1:22">
      <c r="A27" s="1006" t="s">
        <v>24</v>
      </c>
      <c r="B27" s="1013" t="s">
        <v>23</v>
      </c>
      <c r="C27" s="1014" t="s">
        <v>23</v>
      </c>
      <c r="D27" s="1013" t="s">
        <v>23</v>
      </c>
      <c r="E27" s="1014" t="s">
        <v>38</v>
      </c>
      <c r="F27" s="1013" t="s">
        <v>38</v>
      </c>
      <c r="G27" s="1015" t="s">
        <v>198</v>
      </c>
      <c r="H27" s="1009" t="s">
        <v>31</v>
      </c>
      <c r="K27" s="1016" t="str">
        <f>K9</f>
        <v>December 13 Blocking</v>
      </c>
      <c r="L27" s="1016"/>
      <c r="M27" s="1009"/>
      <c r="N27" s="1009"/>
      <c r="O27" s="1009"/>
      <c r="P27" s="1009"/>
      <c r="Q27" s="1009"/>
    </row>
    <row r="28" spans="1:22">
      <c r="A28" s="1017">
        <f>A10</f>
        <v>41275</v>
      </c>
      <c r="B28" s="1018">
        <f>'Temp. Adjustments'!D5</f>
        <v>-226.06517566012437</v>
      </c>
      <c r="C28" s="1019">
        <f>$B28*$L$28/$L$30</f>
        <v>-98.237094010087318</v>
      </c>
      <c r="D28" s="1018">
        <f>$B28*$L$29/$L$30</f>
        <v>-127.82808165003705</v>
      </c>
      <c r="E28" s="1020">
        <v>5.9490000000000001E-2</v>
      </c>
      <c r="F28" s="1021">
        <v>9.4159999999999994E-2</v>
      </c>
      <c r="G28" s="1022">
        <f t="shared" ref="G28:G34" si="3">ROUND((C28*E28+D28*F28)*1000,2)/1000</f>
        <v>-17.880419999999997</v>
      </c>
      <c r="H28" s="1009"/>
      <c r="I28" s="1023"/>
      <c r="K28" s="1024" t="s">
        <v>209</v>
      </c>
      <c r="L28" s="1025">
        <v>28732395</v>
      </c>
      <c r="M28" s="1009"/>
      <c r="N28" s="1009"/>
      <c r="O28" s="1026"/>
      <c r="P28" s="1009"/>
      <c r="Q28" s="1009"/>
    </row>
    <row r="29" spans="1:22">
      <c r="A29" s="1017">
        <f t="shared" ref="A29:A39" si="4">A11</f>
        <v>41306</v>
      </c>
      <c r="B29" s="1018">
        <f>'Temp. Adjustments'!D6</f>
        <v>413.1904267713669</v>
      </c>
      <c r="C29" s="1019">
        <f t="shared" ref="C29:C39" si="5">$B29*$L$28/$L$30</f>
        <v>179.55276251762226</v>
      </c>
      <c r="D29" s="1018">
        <f t="shared" ref="D29:D39" si="6">$B29*$L$29/$L$30</f>
        <v>233.63766425374462</v>
      </c>
      <c r="E29" s="1020">
        <v>5.9490000000000001E-2</v>
      </c>
      <c r="F29" s="1021">
        <v>9.4159999999999994E-2</v>
      </c>
      <c r="G29" s="1022">
        <f t="shared" si="3"/>
        <v>32.68092</v>
      </c>
      <c r="H29" s="1009"/>
      <c r="I29" s="1023"/>
      <c r="K29" s="1027" t="s">
        <v>210</v>
      </c>
      <c r="L29" s="1028">
        <v>37387170</v>
      </c>
      <c r="M29" s="1009"/>
      <c r="N29" s="1009"/>
      <c r="O29" s="1026"/>
      <c r="P29" s="1009"/>
      <c r="Q29" s="1009"/>
    </row>
    <row r="30" spans="1:22">
      <c r="A30" s="1017">
        <f t="shared" si="4"/>
        <v>41334</v>
      </c>
      <c r="B30" s="1018">
        <f>'Temp. Adjustments'!D7</f>
        <v>365.54017014233125</v>
      </c>
      <c r="C30" s="1019">
        <f t="shared" si="5"/>
        <v>158.84624402620719</v>
      </c>
      <c r="D30" s="1018">
        <f t="shared" si="6"/>
        <v>206.69392611612406</v>
      </c>
      <c r="E30" s="1020">
        <v>5.9490000000000001E-2</v>
      </c>
      <c r="F30" s="1021">
        <v>9.4159999999999994E-2</v>
      </c>
      <c r="G30" s="1022">
        <f t="shared" si="3"/>
        <v>28.91206</v>
      </c>
      <c r="H30" s="1009"/>
      <c r="I30" s="1023"/>
      <c r="K30" s="1029" t="s">
        <v>9</v>
      </c>
      <c r="L30" s="1018">
        <f>SUM(L28:L29)</f>
        <v>66119565</v>
      </c>
      <c r="M30" s="1009"/>
      <c r="N30" s="1009"/>
      <c r="O30" s="1026"/>
      <c r="P30" s="1009"/>
      <c r="Q30" s="1009"/>
    </row>
    <row r="31" spans="1:22">
      <c r="A31" s="1017">
        <f t="shared" si="4"/>
        <v>41365</v>
      </c>
      <c r="B31" s="1018">
        <f>'Temp. Adjustments'!D8</f>
        <v>297.5804454900848</v>
      </c>
      <c r="C31" s="1019">
        <f t="shared" si="5"/>
        <v>129.31420380786057</v>
      </c>
      <c r="D31" s="1018">
        <f t="shared" si="6"/>
        <v>168.26624168222421</v>
      </c>
      <c r="E31" s="1020">
        <v>5.9490000000000001E-2</v>
      </c>
      <c r="F31" s="1021">
        <v>9.4159999999999994E-2</v>
      </c>
      <c r="G31" s="1022">
        <f t="shared" si="3"/>
        <v>23.536849999999998</v>
      </c>
      <c r="H31" s="1009"/>
      <c r="I31" s="1030"/>
      <c r="J31" s="1018"/>
      <c r="K31" s="1011"/>
      <c r="L31" s="1018"/>
      <c r="M31" s="1009"/>
      <c r="N31" s="1009"/>
      <c r="O31" s="1026"/>
      <c r="P31" s="1009"/>
      <c r="Q31" s="1009"/>
    </row>
    <row r="32" spans="1:22">
      <c r="A32" s="1017">
        <f t="shared" si="4"/>
        <v>41395</v>
      </c>
      <c r="B32" s="1018">
        <f>'Temp. Adjustments'!D9</f>
        <v>-56.615119696793762</v>
      </c>
      <c r="C32" s="1019">
        <f t="shared" si="5"/>
        <v>-24.602218452292579</v>
      </c>
      <c r="D32" s="1018">
        <f t="shared" si="6"/>
        <v>-32.01290124450118</v>
      </c>
      <c r="E32" s="1020">
        <v>5.9490000000000001E-2</v>
      </c>
      <c r="F32" s="1021">
        <v>9.4159999999999994E-2</v>
      </c>
      <c r="G32" s="1022">
        <f t="shared" si="3"/>
        <v>-4.4779200000000001</v>
      </c>
      <c r="H32" s="1009"/>
      <c r="I32" s="1023"/>
      <c r="J32" s="1018"/>
      <c r="K32" s="1011"/>
      <c r="L32" s="1018"/>
      <c r="M32" s="1009"/>
      <c r="N32" s="1009"/>
      <c r="O32" s="1026"/>
      <c r="P32" s="1009"/>
      <c r="Q32" s="1009"/>
    </row>
    <row r="33" spans="1:21">
      <c r="A33" s="1017">
        <f t="shared" si="4"/>
        <v>41426</v>
      </c>
      <c r="B33" s="1018">
        <f>'Temp. Adjustments'!D10</f>
        <v>-100.9076809435157</v>
      </c>
      <c r="C33" s="1019">
        <f t="shared" si="5"/>
        <v>-43.849643405897567</v>
      </c>
      <c r="D33" s="1018">
        <f t="shared" si="6"/>
        <v>-57.058037537618134</v>
      </c>
      <c r="E33" s="1020">
        <v>5.9490000000000001E-2</v>
      </c>
      <c r="F33" s="1021">
        <v>9.4159999999999994E-2</v>
      </c>
      <c r="G33" s="1039">
        <f t="shared" si="3"/>
        <v>-7.9811999999999994</v>
      </c>
      <c r="H33" s="1009"/>
      <c r="I33" s="1023"/>
      <c r="J33" s="1018"/>
      <c r="K33" s="1011"/>
      <c r="L33" s="1018"/>
      <c r="M33" s="1009"/>
      <c r="N33" s="1009"/>
      <c r="O33" s="1026"/>
      <c r="P33" s="1009"/>
      <c r="Q33" s="1009"/>
    </row>
    <row r="34" spans="1:21">
      <c r="A34" s="1017">
        <f t="shared" si="4"/>
        <v>41456</v>
      </c>
      <c r="B34" s="1018">
        <f>'Temp. Adjustments'!D11</f>
        <v>-893.40037236528315</v>
      </c>
      <c r="C34" s="1019">
        <f t="shared" si="5"/>
        <v>-388.22899684755032</v>
      </c>
      <c r="D34" s="1018">
        <f t="shared" si="6"/>
        <v>-505.17137551773283</v>
      </c>
      <c r="E34" s="1020">
        <v>5.9490000000000001E-2</v>
      </c>
      <c r="F34" s="1021">
        <v>9.4159999999999994E-2</v>
      </c>
      <c r="G34" s="1022">
        <f t="shared" si="3"/>
        <v>-70.662679999999995</v>
      </c>
      <c r="H34" s="1017"/>
      <c r="I34" s="1023"/>
      <c r="J34" s="1018"/>
      <c r="K34" s="1011"/>
      <c r="L34" s="1011"/>
      <c r="M34" s="1009"/>
      <c r="N34" s="1009"/>
      <c r="O34" s="1026"/>
      <c r="P34" s="1009"/>
      <c r="Q34" s="1009"/>
    </row>
    <row r="35" spans="1:21">
      <c r="A35" s="1017">
        <f t="shared" si="4"/>
        <v>41487</v>
      </c>
      <c r="B35" s="1018">
        <f>'Temp. Adjustments'!D12</f>
        <v>-351.58307429483887</v>
      </c>
      <c r="C35" s="1019">
        <f t="shared" si="5"/>
        <v>-152.78115888925853</v>
      </c>
      <c r="D35" s="1018">
        <f t="shared" si="6"/>
        <v>-198.80191540558036</v>
      </c>
      <c r="E35" s="1020">
        <v>5.9490000000000001E-2</v>
      </c>
      <c r="F35" s="1021">
        <v>9.4159999999999994E-2</v>
      </c>
      <c r="G35" s="1022">
        <f>ROUND((C35*E35+D35*F35)*1000,2)/1000</f>
        <v>-27.808139999999998</v>
      </c>
      <c r="H35" s="1009"/>
      <c r="I35" s="1023"/>
      <c r="J35" s="1018"/>
      <c r="K35" s="1011"/>
      <c r="L35" s="1011"/>
      <c r="M35" s="1009"/>
      <c r="N35" s="1009"/>
      <c r="O35" s="1026"/>
      <c r="P35" s="1009"/>
      <c r="Q35" s="1009"/>
    </row>
    <row r="36" spans="1:21">
      <c r="A36" s="1017">
        <f t="shared" si="4"/>
        <v>41518</v>
      </c>
      <c r="B36" s="1018">
        <f>'Temp. Adjustments'!D13</f>
        <v>-187.272744079424</v>
      </c>
      <c r="C36" s="1019">
        <f t="shared" si="5"/>
        <v>-81.379761884760157</v>
      </c>
      <c r="D36" s="1018">
        <f t="shared" si="6"/>
        <v>-105.89298219466384</v>
      </c>
      <c r="E36" s="1020">
        <v>5.9490000000000001E-2</v>
      </c>
      <c r="F36" s="1021">
        <v>9.4159999999999994E-2</v>
      </c>
      <c r="G36" s="1022">
        <f>ROUND((C36*E36+D36*F36)*1000,2)/1000</f>
        <v>-14.81217</v>
      </c>
      <c r="H36" s="1009"/>
      <c r="I36" s="1023"/>
      <c r="J36" s="1018"/>
      <c r="K36" s="1011"/>
      <c r="L36" s="1011"/>
      <c r="M36" s="1009"/>
      <c r="N36" s="1009"/>
      <c r="O36" s="1026"/>
      <c r="P36" s="1009"/>
      <c r="Q36" s="1009"/>
    </row>
    <row r="37" spans="1:21">
      <c r="A37" s="1017">
        <f t="shared" si="4"/>
        <v>41548</v>
      </c>
      <c r="B37" s="1018">
        <f>'Temp. Adjustments'!D14</f>
        <v>140.88673580784479</v>
      </c>
      <c r="C37" s="1019">
        <f t="shared" si="5"/>
        <v>61.222625156285289</v>
      </c>
      <c r="D37" s="1018">
        <f t="shared" si="6"/>
        <v>79.664110651559497</v>
      </c>
      <c r="E37" s="1020">
        <v>5.9490000000000001E-2</v>
      </c>
      <c r="F37" s="1021">
        <v>9.4159999999999994E-2</v>
      </c>
      <c r="G37" s="1022">
        <f>ROUND((C37*E37+D37*F37)*1000,2)/1000</f>
        <v>11.14331</v>
      </c>
      <c r="H37" s="1017"/>
      <c r="I37" s="1023"/>
      <c r="J37" s="1018"/>
      <c r="K37" s="1011"/>
      <c r="L37" s="1011"/>
      <c r="M37" s="1009"/>
      <c r="N37" s="1009"/>
      <c r="O37" s="1026"/>
      <c r="P37" s="1009"/>
      <c r="Q37" s="1009"/>
    </row>
    <row r="38" spans="1:21">
      <c r="A38" s="1017">
        <f t="shared" si="4"/>
        <v>41579</v>
      </c>
      <c r="B38" s="1018">
        <f>'Temp. Adjustments'!D15</f>
        <v>-25.294527439383593</v>
      </c>
      <c r="C38" s="1019">
        <f t="shared" si="5"/>
        <v>-10.991789702892145</v>
      </c>
      <c r="D38" s="1018">
        <f t="shared" si="6"/>
        <v>-14.302737736491448</v>
      </c>
      <c r="E38" s="1020">
        <v>5.9490000000000001E-2</v>
      </c>
      <c r="F38" s="1021">
        <v>9.4159999999999994E-2</v>
      </c>
      <c r="G38" s="1022">
        <f>ROUND((C38*E38+D38*F38)*1000,2)/1000</f>
        <v>-2.0006500000000003</v>
      </c>
      <c r="H38" s="1017"/>
      <c r="I38" s="1023"/>
      <c r="J38" s="1018"/>
      <c r="K38" s="1011"/>
      <c r="L38" s="1011"/>
      <c r="M38" s="1009"/>
      <c r="N38" s="1009"/>
      <c r="O38" s="1026"/>
      <c r="P38" s="1009"/>
      <c r="Q38" s="1009"/>
    </row>
    <row r="39" spans="1:21">
      <c r="A39" s="1017">
        <f t="shared" si="4"/>
        <v>41609</v>
      </c>
      <c r="B39" s="1054">
        <f>'Temp. Adjustments'!D16</f>
        <v>-853.66156615325485</v>
      </c>
      <c r="C39" s="1033">
        <f t="shared" si="5"/>
        <v>-370.96041565055594</v>
      </c>
      <c r="D39" s="1045">
        <f t="shared" si="6"/>
        <v>-482.70115050269891</v>
      </c>
      <c r="E39" s="1504">
        <f>0.05949*10/31+0.06199*21/31</f>
        <v>6.1183548387096776E-2</v>
      </c>
      <c r="F39" s="1035">
        <f>0.09416*10/31+0.09817*21/31</f>
        <v>9.6876451612903217E-2</v>
      </c>
      <c r="G39" s="1036">
        <f>ROUND((C39*E39+D39*F39)*1000,2)/1000</f>
        <v>-69.459050000000005</v>
      </c>
      <c r="H39" s="1009"/>
      <c r="I39" s="1023"/>
      <c r="J39" s="1018"/>
      <c r="K39" s="1011"/>
      <c r="L39" s="1011"/>
      <c r="M39" s="1009"/>
      <c r="N39" s="1009"/>
      <c r="O39" s="1009"/>
      <c r="P39" s="1009"/>
      <c r="Q39" s="1009"/>
    </row>
    <row r="40" spans="1:21">
      <c r="A40" s="1009" t="s">
        <v>9</v>
      </c>
      <c r="B40" s="1026">
        <f>SUM(B28:B39)</f>
        <v>-1477.6024824209908</v>
      </c>
      <c r="C40" s="1019">
        <f>SUM(C28:C39)</f>
        <v>-642.09524333531931</v>
      </c>
      <c r="D40" s="1026">
        <f>SUM(D28:D39)</f>
        <v>-835.50723908567136</v>
      </c>
      <c r="E40" s="1037" t="s">
        <v>31</v>
      </c>
      <c r="F40" s="1005" t="s">
        <v>31</v>
      </c>
      <c r="G40" s="1038">
        <f>SUM(G28:G39)</f>
        <v>-118.80909</v>
      </c>
      <c r="H40" s="1039"/>
      <c r="I40" s="1011"/>
      <c r="J40" s="1018"/>
      <c r="K40" s="1011"/>
      <c r="L40" s="1040"/>
      <c r="M40" s="1009"/>
      <c r="N40" s="1009"/>
      <c r="O40" s="1026"/>
      <c r="P40" s="1009"/>
      <c r="Q40" s="1041"/>
    </row>
    <row r="41" spans="1:21">
      <c r="A41" s="1009"/>
      <c r="B41" s="1026"/>
      <c r="C41" s="1019"/>
      <c r="D41" s="1026"/>
      <c r="E41" s="1037"/>
      <c r="G41" s="1038"/>
      <c r="H41" s="1039"/>
      <c r="I41" s="1011"/>
      <c r="J41" s="1018"/>
      <c r="K41" s="1011"/>
      <c r="L41" s="1040"/>
      <c r="M41" s="1009"/>
      <c r="N41" s="1009"/>
      <c r="O41" s="1026"/>
      <c r="P41" s="1009"/>
      <c r="Q41" s="1041"/>
    </row>
    <row r="42" spans="1:21">
      <c r="A42" s="1009"/>
      <c r="B42" s="1026"/>
      <c r="C42" s="1019"/>
      <c r="D42" s="1026"/>
      <c r="E42" s="1037"/>
      <c r="G42" s="1038"/>
      <c r="H42" s="1039"/>
      <c r="I42" s="1011"/>
      <c r="J42" s="1018"/>
      <c r="K42" s="1011"/>
      <c r="L42" s="1040"/>
      <c r="M42" s="1009"/>
      <c r="N42" s="1009"/>
      <c r="O42" s="1026"/>
      <c r="P42" s="1009"/>
      <c r="Q42" s="1041"/>
    </row>
    <row r="43" spans="1:21">
      <c r="A43" s="1003" t="s">
        <v>242</v>
      </c>
      <c r="B43" s="1006" t="s">
        <v>12</v>
      </c>
      <c r="C43" s="1007" t="s">
        <v>205</v>
      </c>
      <c r="D43" s="1006" t="s">
        <v>205</v>
      </c>
      <c r="E43" s="1007"/>
      <c r="F43" s="1006"/>
      <c r="G43" s="1007" t="s">
        <v>1</v>
      </c>
      <c r="H43" s="1008"/>
      <c r="I43" s="1008"/>
      <c r="J43" s="1009"/>
      <c r="K43" s="1010"/>
      <c r="L43" s="1010"/>
      <c r="M43" s="1010"/>
      <c r="N43" s="1010"/>
      <c r="O43" s="1009"/>
      <c r="P43" s="1008"/>
      <c r="Q43" s="1008"/>
      <c r="R43" s="1008"/>
      <c r="S43" s="1008"/>
    </row>
    <row r="44" spans="1:21">
      <c r="A44" s="1005" t="s">
        <v>17</v>
      </c>
      <c r="B44" s="1006" t="s">
        <v>16</v>
      </c>
      <c r="C44" s="1007" t="s">
        <v>206</v>
      </c>
      <c r="D44" s="1006" t="s">
        <v>207</v>
      </c>
      <c r="E44" s="1007" t="s">
        <v>206</v>
      </c>
      <c r="F44" s="1006" t="s">
        <v>207</v>
      </c>
      <c r="G44" s="1007" t="s">
        <v>26</v>
      </c>
      <c r="H44" s="1009"/>
      <c r="K44" s="1008" t="s">
        <v>208</v>
      </c>
      <c r="L44" s="1008"/>
      <c r="M44" s="1011"/>
      <c r="N44" s="1011"/>
      <c r="O44" s="1011"/>
      <c r="P44" s="1012"/>
      <c r="Q44" s="1009"/>
      <c r="R44" s="1009"/>
      <c r="S44" s="1009"/>
      <c r="T44" s="1009"/>
      <c r="U44" s="1009"/>
    </row>
    <row r="45" spans="1:21">
      <c r="A45" s="1006" t="s">
        <v>24</v>
      </c>
      <c r="B45" s="1013" t="s">
        <v>23</v>
      </c>
      <c r="C45" s="1014" t="s">
        <v>23</v>
      </c>
      <c r="D45" s="1013" t="s">
        <v>23</v>
      </c>
      <c r="E45" s="1014" t="s">
        <v>38</v>
      </c>
      <c r="F45" s="1013" t="s">
        <v>38</v>
      </c>
      <c r="G45" s="1015" t="s">
        <v>198</v>
      </c>
      <c r="H45" s="1009"/>
      <c r="K45" s="1016" t="str">
        <f>K27</f>
        <v>December 13 Blocking</v>
      </c>
      <c r="L45" s="1016"/>
      <c r="M45" s="1009"/>
      <c r="N45" s="1009"/>
      <c r="O45" s="1009"/>
      <c r="P45" s="1009"/>
      <c r="Q45" s="1009"/>
    </row>
    <row r="46" spans="1:21">
      <c r="A46" s="1017">
        <f>A10</f>
        <v>41275</v>
      </c>
      <c r="B46" s="1018">
        <f>'Temp. Adjustments'!E5</f>
        <v>-8.0547808664139833</v>
      </c>
      <c r="C46" s="1019">
        <f>$B46*$L$46/$L$48</f>
        <v>-2.0124268108958998</v>
      </c>
      <c r="D46" s="1026">
        <f>$B46*$L$47/$L$48</f>
        <v>-6.0423540555180839</v>
      </c>
      <c r="E46" s="1020">
        <v>5.9490000000000001E-2</v>
      </c>
      <c r="F46" s="1021">
        <v>9.4159999999999994E-2</v>
      </c>
      <c r="G46" s="1022">
        <f>ROUND((C46*E46+D46*F46)*1000,2)/1000</f>
        <v>-0.68867</v>
      </c>
      <c r="H46" s="1009"/>
      <c r="K46" s="1024" t="s">
        <v>209</v>
      </c>
      <c r="L46" s="1025">
        <v>571962</v>
      </c>
      <c r="M46" s="1009"/>
      <c r="N46" s="1009"/>
      <c r="O46" s="1026"/>
      <c r="P46" s="1009"/>
      <c r="Q46" s="1009"/>
    </row>
    <row r="47" spans="1:21">
      <c r="A47" s="1017">
        <f t="shared" ref="A47:A57" si="7">A11</f>
        <v>41306</v>
      </c>
      <c r="B47" s="1018">
        <f>'Temp. Adjustments'!E6</f>
        <v>13.407272842300491</v>
      </c>
      <c r="C47" s="1019">
        <f t="shared" ref="C47:C57" si="8">$B47*$L$46/$L$48</f>
        <v>3.3497069350881161</v>
      </c>
      <c r="D47" s="1026">
        <f t="shared" ref="D47:D57" si="9">$B47*$L$47/$L$48</f>
        <v>10.057565907212375</v>
      </c>
      <c r="E47" s="1020">
        <v>5.9490000000000001E-2</v>
      </c>
      <c r="F47" s="1021">
        <v>9.4159999999999994E-2</v>
      </c>
      <c r="G47" s="1022">
        <f t="shared" ref="G47:G57" si="10">ROUND((C47*E47+D47*F47)*1000,2)/1000</f>
        <v>1.14629</v>
      </c>
      <c r="H47" s="1009"/>
      <c r="K47" s="1027" t="s">
        <v>210</v>
      </c>
      <c r="L47" s="1028">
        <v>1717328</v>
      </c>
      <c r="M47" s="1009"/>
      <c r="N47" s="1009"/>
      <c r="O47" s="1026"/>
      <c r="P47" s="1009"/>
      <c r="Q47" s="1009"/>
    </row>
    <row r="48" spans="1:21">
      <c r="A48" s="1017">
        <f t="shared" si="7"/>
        <v>41334</v>
      </c>
      <c r="B48" s="1018">
        <f>'Temp. Adjustments'!E7</f>
        <v>11.677610627468605</v>
      </c>
      <c r="C48" s="1019">
        <f t="shared" si="8"/>
        <v>2.9175637554474085</v>
      </c>
      <c r="D48" s="1026">
        <f t="shared" si="9"/>
        <v>8.7600468720211975</v>
      </c>
      <c r="E48" s="1020">
        <v>5.9490000000000001E-2</v>
      </c>
      <c r="F48" s="1021">
        <v>9.4159999999999994E-2</v>
      </c>
      <c r="G48" s="1022">
        <f t="shared" si="10"/>
        <v>0.99841000000000002</v>
      </c>
      <c r="H48" s="1009"/>
      <c r="K48" s="1029" t="s">
        <v>9</v>
      </c>
      <c r="L48" s="1018">
        <f>SUM(L46:L47)</f>
        <v>2289290</v>
      </c>
      <c r="M48" s="1009"/>
      <c r="N48" s="1009"/>
      <c r="O48" s="1026"/>
      <c r="P48" s="1009"/>
      <c r="Q48" s="1009"/>
    </row>
    <row r="49" spans="1:35">
      <c r="A49" s="1017">
        <f t="shared" si="7"/>
        <v>41365</v>
      </c>
      <c r="B49" s="1018">
        <f>'Temp. Adjustments'!E8</f>
        <v>10.267186646120198</v>
      </c>
      <c r="C49" s="1019">
        <f t="shared" si="8"/>
        <v>2.565179862965461</v>
      </c>
      <c r="D49" s="1026">
        <f t="shared" si="9"/>
        <v>7.7020067831547356</v>
      </c>
      <c r="E49" s="1020">
        <v>5.9490000000000001E-2</v>
      </c>
      <c r="F49" s="1021">
        <v>9.4159999999999994E-2</v>
      </c>
      <c r="G49" s="1022">
        <f t="shared" si="10"/>
        <v>0.87782000000000004</v>
      </c>
      <c r="H49" s="1009"/>
      <c r="I49" s="1029"/>
      <c r="J49" s="1018"/>
      <c r="K49" s="1011"/>
      <c r="L49" s="1011"/>
      <c r="M49" s="1009"/>
      <c r="N49" s="1009"/>
      <c r="O49" s="1026"/>
      <c r="P49" s="1009"/>
      <c r="Q49" s="1009"/>
    </row>
    <row r="50" spans="1:35">
      <c r="A50" s="1017">
        <f t="shared" si="7"/>
        <v>41395</v>
      </c>
      <c r="B50" s="1018">
        <f>'Temp. Adjustments'!E9</f>
        <v>-2.3577174312284495</v>
      </c>
      <c r="C50" s="1019">
        <f t="shared" si="8"/>
        <v>-0.58905808237500989</v>
      </c>
      <c r="D50" s="1026">
        <f t="shared" si="9"/>
        <v>-1.7686593488534397</v>
      </c>
      <c r="E50" s="1020">
        <v>5.9490000000000001E-2</v>
      </c>
      <c r="F50" s="1021">
        <v>9.4159999999999994E-2</v>
      </c>
      <c r="G50" s="1022">
        <f t="shared" si="10"/>
        <v>-0.20158000000000001</v>
      </c>
      <c r="H50" s="1009"/>
      <c r="I50" s="1029"/>
      <c r="J50" s="1018"/>
      <c r="K50" s="1011"/>
      <c r="L50" s="1018"/>
      <c r="M50" s="1009"/>
      <c r="N50" s="1009"/>
      <c r="O50" s="1026"/>
      <c r="P50" s="1009"/>
      <c r="Q50" s="1009"/>
    </row>
    <row r="51" spans="1:35">
      <c r="A51" s="1017">
        <f t="shared" si="7"/>
        <v>41426</v>
      </c>
      <c r="B51" s="1018">
        <f>'Temp. Adjustments'!E10</f>
        <v>-5.2470562015797144</v>
      </c>
      <c r="C51" s="1019">
        <f t="shared" si="8"/>
        <v>-1.3109377838403771</v>
      </c>
      <c r="D51" s="1026">
        <f t="shared" si="9"/>
        <v>-3.9361184177393378</v>
      </c>
      <c r="E51" s="1020">
        <v>5.9490000000000001E-2</v>
      </c>
      <c r="F51" s="1021">
        <v>9.4159999999999994E-2</v>
      </c>
      <c r="G51" s="1022">
        <f t="shared" si="10"/>
        <v>-0.44861000000000001</v>
      </c>
      <c r="H51" s="1009"/>
      <c r="I51" s="1029"/>
      <c r="J51" s="1018"/>
      <c r="K51" s="1011"/>
      <c r="L51" s="1018"/>
      <c r="M51" s="1009"/>
      <c r="N51" s="1009"/>
      <c r="O51" s="1026"/>
      <c r="P51" s="1009"/>
      <c r="Q51" s="1009"/>
    </row>
    <row r="52" spans="1:35">
      <c r="A52" s="1017">
        <f t="shared" si="7"/>
        <v>41456</v>
      </c>
      <c r="B52" s="1018">
        <f>'Temp. Adjustments'!E11</f>
        <v>-54.368183779701994</v>
      </c>
      <c r="C52" s="1019">
        <f t="shared" si="8"/>
        <v>-13.583484456318732</v>
      </c>
      <c r="D52" s="1026">
        <f t="shared" si="9"/>
        <v>-40.784699323383265</v>
      </c>
      <c r="E52" s="1020">
        <v>5.9490000000000001E-2</v>
      </c>
      <c r="F52" s="1021">
        <v>9.4159999999999994E-2</v>
      </c>
      <c r="G52" s="1022">
        <f t="shared" si="10"/>
        <v>-4.6483699999999999</v>
      </c>
      <c r="H52" s="1009"/>
      <c r="I52" s="1029"/>
      <c r="J52" s="1018"/>
      <c r="K52" s="1011"/>
      <c r="L52" s="1011"/>
      <c r="M52" s="1009"/>
      <c r="N52" s="1009"/>
      <c r="O52" s="1026"/>
      <c r="P52" s="1009"/>
      <c r="Q52" s="1009"/>
    </row>
    <row r="53" spans="1:35">
      <c r="A53" s="1017">
        <f t="shared" si="7"/>
        <v>41487</v>
      </c>
      <c r="B53" s="1018">
        <f>'Temp. Adjustments'!E12</f>
        <v>-21.768987313139277</v>
      </c>
      <c r="C53" s="1019">
        <f t="shared" si="8"/>
        <v>-5.438818813517627</v>
      </c>
      <c r="D53" s="1026">
        <f t="shared" si="9"/>
        <v>-16.330168499621653</v>
      </c>
      <c r="E53" s="1020">
        <v>5.9490000000000001E-2</v>
      </c>
      <c r="F53" s="1021">
        <v>9.4159999999999994E-2</v>
      </c>
      <c r="G53" s="1022">
        <f t="shared" si="10"/>
        <v>-1.8612</v>
      </c>
      <c r="H53" s="1009"/>
      <c r="I53" s="1029"/>
      <c r="J53" s="1018"/>
      <c r="K53" s="1011"/>
      <c r="L53" s="1011"/>
      <c r="M53" s="1009"/>
      <c r="N53" s="1009"/>
      <c r="O53" s="1026"/>
      <c r="P53" s="1009"/>
      <c r="Q53" s="1009"/>
    </row>
    <row r="54" spans="1:35">
      <c r="A54" s="1017">
        <f t="shared" si="7"/>
        <v>41518</v>
      </c>
      <c r="B54" s="1018">
        <f>'Temp. Adjustments'!E13</f>
        <v>-11.349403001108056</v>
      </c>
      <c r="C54" s="1019">
        <f t="shared" si="8"/>
        <v>-2.8355635325012409</v>
      </c>
      <c r="D54" s="1026">
        <f t="shared" si="9"/>
        <v>-8.5138394686068146</v>
      </c>
      <c r="E54" s="1020">
        <v>5.9490000000000001E-2</v>
      </c>
      <c r="F54" s="1021">
        <v>9.4159999999999994E-2</v>
      </c>
      <c r="G54" s="1022">
        <f t="shared" si="10"/>
        <v>-0.97035000000000005</v>
      </c>
      <c r="H54" s="1009"/>
      <c r="I54" s="1029"/>
      <c r="J54" s="1018"/>
      <c r="K54" s="1011"/>
      <c r="L54" s="1011"/>
      <c r="M54" s="1009"/>
      <c r="N54" s="1009"/>
      <c r="O54" s="1026"/>
      <c r="P54" s="1009"/>
      <c r="Q54" s="1009"/>
    </row>
    <row r="55" spans="1:35">
      <c r="A55" s="1017">
        <f t="shared" si="7"/>
        <v>41548</v>
      </c>
      <c r="B55" s="1018">
        <f>'Temp. Adjustments'!E14</f>
        <v>6.8989802169767644</v>
      </c>
      <c r="C55" s="1019">
        <f t="shared" si="8"/>
        <v>1.7236586552435316</v>
      </c>
      <c r="D55" s="1026">
        <f t="shared" si="9"/>
        <v>5.1753215617332335</v>
      </c>
      <c r="E55" s="1020">
        <v>5.9490000000000001E-2</v>
      </c>
      <c r="F55" s="1021">
        <v>9.4159999999999994E-2</v>
      </c>
      <c r="G55" s="1022">
        <f t="shared" si="10"/>
        <v>0.58984999999999999</v>
      </c>
      <c r="H55" s="1009"/>
      <c r="I55" s="1029"/>
      <c r="J55" s="1018"/>
      <c r="K55" s="1011"/>
      <c r="L55" s="1011"/>
      <c r="M55" s="1009"/>
      <c r="N55" s="1009"/>
      <c r="O55" s="1026"/>
      <c r="P55" s="1009"/>
      <c r="Q55" s="1009"/>
    </row>
    <row r="56" spans="1:35">
      <c r="A56" s="1017">
        <f t="shared" si="7"/>
        <v>41579</v>
      </c>
      <c r="B56" s="1018">
        <f>'Temp. Adjustments'!E15</f>
        <v>-0.97458481542348285</v>
      </c>
      <c r="C56" s="1019">
        <f t="shared" si="8"/>
        <v>-0.24349273364197899</v>
      </c>
      <c r="D56" s="1026">
        <f t="shared" si="9"/>
        <v>-0.73109208178150387</v>
      </c>
      <c r="E56" s="1020">
        <v>5.9490000000000001E-2</v>
      </c>
      <c r="F56" s="1021">
        <v>9.4159999999999994E-2</v>
      </c>
      <c r="G56" s="1022">
        <f t="shared" si="10"/>
        <v>-8.3330000000000001E-2</v>
      </c>
      <c r="H56" s="1009"/>
      <c r="I56" s="1029"/>
      <c r="J56" s="1018"/>
      <c r="K56" s="1011"/>
      <c r="L56" s="1011"/>
      <c r="M56" s="1009"/>
      <c r="N56" s="1009"/>
      <c r="O56" s="1026"/>
      <c r="P56" s="1009"/>
      <c r="Q56" s="1009"/>
    </row>
    <row r="57" spans="1:35">
      <c r="A57" s="1017">
        <f t="shared" si="7"/>
        <v>41609</v>
      </c>
      <c r="B57" s="1054">
        <f>'Temp. Adjustments'!E16</f>
        <v>-26.811754565228853</v>
      </c>
      <c r="C57" s="1033">
        <f t="shared" si="8"/>
        <v>-6.698716529857478</v>
      </c>
      <c r="D57" s="1045">
        <f t="shared" si="9"/>
        <v>-20.113038035371375</v>
      </c>
      <c r="E57" s="1504">
        <f>0.05949*10/31+0.06199*21/31</f>
        <v>6.1183548387096776E-2</v>
      </c>
      <c r="F57" s="1035">
        <f>0.09416*10/31+0.09817*21/31</f>
        <v>9.6876451612903217E-2</v>
      </c>
      <c r="G57" s="1046">
        <f t="shared" si="10"/>
        <v>-2.35833</v>
      </c>
      <c r="H57" s="1009"/>
      <c r="I57" s="1029"/>
      <c r="J57" s="1018"/>
      <c r="K57" s="1011"/>
      <c r="L57" s="1011"/>
      <c r="M57" s="1009"/>
      <c r="N57" s="1009"/>
      <c r="O57" s="1009"/>
      <c r="P57" s="1009"/>
      <c r="Q57" s="1009"/>
    </row>
    <row r="58" spans="1:35">
      <c r="A58" s="1009" t="s">
        <v>9</v>
      </c>
      <c r="B58" s="1026">
        <f>SUM(B46:B57)</f>
        <v>-88.681417640957747</v>
      </c>
      <c r="C58" s="1019">
        <f>SUM(C46:C57)</f>
        <v>-22.156389534203825</v>
      </c>
      <c r="D58" s="1070">
        <f>SUM(D46:D57)</f>
        <v>-66.525028106753936</v>
      </c>
      <c r="E58" s="1037" t="s">
        <v>31</v>
      </c>
      <c r="F58" s="1005" t="s">
        <v>31</v>
      </c>
      <c r="G58" s="1038">
        <f>SUM(G46:G57)</f>
        <v>-7.6480699999999988</v>
      </c>
      <c r="H58" s="1039"/>
      <c r="I58" s="1011"/>
      <c r="J58" s="1018"/>
      <c r="K58" s="1011"/>
      <c r="L58" s="1040"/>
      <c r="M58" s="1009"/>
      <c r="N58" s="1009"/>
      <c r="O58" s="1026"/>
      <c r="P58" s="1009"/>
      <c r="Q58" s="1041"/>
    </row>
    <row r="59" spans="1:35">
      <c r="A59" s="1009"/>
      <c r="B59" s="1026"/>
      <c r="C59" s="1026"/>
      <c r="D59" s="1026"/>
      <c r="E59" s="1026"/>
      <c r="F59" s="1026"/>
      <c r="G59" s="1026"/>
      <c r="H59" s="1026"/>
      <c r="I59" s="1026"/>
      <c r="J59" s="1026"/>
      <c r="L59" s="1042"/>
      <c r="M59" s="1009"/>
      <c r="N59" s="1011"/>
      <c r="O59" s="1018"/>
      <c r="P59" s="1011"/>
      <c r="Q59" s="1040"/>
      <c r="R59" s="1009"/>
      <c r="S59" s="1009"/>
      <c r="T59" s="1026"/>
      <c r="U59" s="1009"/>
      <c r="V59" s="1041"/>
    </row>
    <row r="60" spans="1:35">
      <c r="A60" s="1003" t="s">
        <v>67</v>
      </c>
      <c r="B60" s="1006" t="s">
        <v>12</v>
      </c>
      <c r="C60" s="1047" t="s">
        <v>205</v>
      </c>
      <c r="D60" s="1006" t="s">
        <v>205</v>
      </c>
      <c r="E60" s="1006" t="s">
        <v>205</v>
      </c>
      <c r="F60" s="1047"/>
      <c r="G60" s="1006"/>
      <c r="H60" s="1006"/>
      <c r="I60" s="1007" t="s">
        <v>1</v>
      </c>
      <c r="J60" s="1026"/>
      <c r="L60" s="1042"/>
      <c r="M60" s="1042"/>
      <c r="N60" s="1003" t="s">
        <v>67</v>
      </c>
      <c r="O60" s="1006" t="s">
        <v>12</v>
      </c>
      <c r="P60" s="1047" t="s">
        <v>205</v>
      </c>
      <c r="Q60" s="1006" t="s">
        <v>205</v>
      </c>
      <c r="R60" s="1006" t="s">
        <v>205</v>
      </c>
      <c r="S60" s="1047"/>
      <c r="T60" s="1006"/>
      <c r="U60" s="1006"/>
      <c r="V60" s="1007" t="s">
        <v>1</v>
      </c>
      <c r="W60" s="1026"/>
      <c r="Y60" s="1042"/>
      <c r="Z60" s="1009"/>
      <c r="AA60" s="1011"/>
      <c r="AB60" s="1018"/>
      <c r="AC60" s="1011"/>
      <c r="AD60" s="1040"/>
      <c r="AE60" s="1009"/>
      <c r="AF60" s="1009"/>
      <c r="AG60" s="1026"/>
      <c r="AH60" s="1009"/>
      <c r="AI60" s="1041"/>
    </row>
    <row r="61" spans="1:35">
      <c r="A61" s="1005" t="s">
        <v>18</v>
      </c>
      <c r="B61" s="1006" t="s">
        <v>16</v>
      </c>
      <c r="C61" s="1047" t="s">
        <v>206</v>
      </c>
      <c r="D61" s="1006" t="s">
        <v>207</v>
      </c>
      <c r="E61" s="1006" t="s">
        <v>211</v>
      </c>
      <c r="F61" s="1047" t="s">
        <v>206</v>
      </c>
      <c r="G61" s="1006" t="s">
        <v>207</v>
      </c>
      <c r="H61" s="1006" t="s">
        <v>211</v>
      </c>
      <c r="I61" s="1007" t="s">
        <v>26</v>
      </c>
      <c r="J61" s="1026"/>
      <c r="K61" s="1008" t="s">
        <v>208</v>
      </c>
      <c r="L61" s="1008"/>
      <c r="M61" s="1008"/>
      <c r="N61" s="1005" t="s">
        <v>17</v>
      </c>
      <c r="O61" s="1006" t="s">
        <v>16</v>
      </c>
      <c r="P61" s="1047" t="s">
        <v>206</v>
      </c>
      <c r="Q61" s="1006" t="s">
        <v>207</v>
      </c>
      <c r="R61" s="1006" t="s">
        <v>211</v>
      </c>
      <c r="S61" s="1047" t="s">
        <v>206</v>
      </c>
      <c r="T61" s="1006" t="s">
        <v>207</v>
      </c>
      <c r="U61" s="1006" t="s">
        <v>211</v>
      </c>
      <c r="V61" s="1007" t="s">
        <v>26</v>
      </c>
      <c r="W61" s="1026"/>
      <c r="X61" s="1008" t="s">
        <v>208</v>
      </c>
      <c r="Y61" s="1008"/>
      <c r="Z61" s="1009"/>
      <c r="AA61" s="1011"/>
      <c r="AB61" s="1018"/>
      <c r="AC61" s="1011"/>
      <c r="AD61" s="1040"/>
      <c r="AE61" s="1009"/>
      <c r="AF61" s="1009"/>
      <c r="AG61" s="1026"/>
      <c r="AH61" s="1009"/>
      <c r="AI61" s="1041"/>
    </row>
    <row r="62" spans="1:35">
      <c r="A62" s="1006" t="s">
        <v>24</v>
      </c>
      <c r="B62" s="1048" t="s">
        <v>23</v>
      </c>
      <c r="C62" s="1049" t="s">
        <v>23</v>
      </c>
      <c r="D62" s="1048" t="s">
        <v>23</v>
      </c>
      <c r="E62" s="1048" t="s">
        <v>23</v>
      </c>
      <c r="F62" s="1049" t="s">
        <v>38</v>
      </c>
      <c r="G62" s="1048" t="s">
        <v>38</v>
      </c>
      <c r="H62" s="1048" t="s">
        <v>38</v>
      </c>
      <c r="I62" s="1015" t="s">
        <v>198</v>
      </c>
      <c r="J62" s="1026"/>
      <c r="K62" s="1016" t="str">
        <f>K45</f>
        <v>December 13 Blocking</v>
      </c>
      <c r="L62" s="1016"/>
      <c r="M62" s="1010"/>
      <c r="N62" s="1006" t="s">
        <v>24</v>
      </c>
      <c r="O62" s="1048" t="s">
        <v>23</v>
      </c>
      <c r="P62" s="1049" t="s">
        <v>23</v>
      </c>
      <c r="Q62" s="1048" t="s">
        <v>23</v>
      </c>
      <c r="R62" s="1048" t="s">
        <v>23</v>
      </c>
      <c r="S62" s="1049" t="s">
        <v>38</v>
      </c>
      <c r="T62" s="1048" t="s">
        <v>38</v>
      </c>
      <c r="U62" s="1048" t="s">
        <v>38</v>
      </c>
      <c r="V62" s="1015" t="s">
        <v>198</v>
      </c>
      <c r="W62" s="1026"/>
      <c r="X62" s="1016" t="str">
        <f>K62</f>
        <v>December 13 Blocking</v>
      </c>
      <c r="Y62" s="1016"/>
      <c r="Z62" s="1009"/>
      <c r="AA62" s="1011"/>
      <c r="AB62" s="1018"/>
      <c r="AC62" s="1011"/>
      <c r="AD62" s="1040"/>
      <c r="AE62" s="1009"/>
      <c r="AF62" s="1009"/>
      <c r="AG62" s="1026"/>
      <c r="AH62" s="1009"/>
      <c r="AI62" s="1041"/>
    </row>
    <row r="63" spans="1:35">
      <c r="A63" s="1017">
        <f>A46</f>
        <v>41275</v>
      </c>
      <c r="B63" s="1026">
        <f>'Temp. Adjustments'!F5*($L$66/($L$66+$Y$66))</f>
        <v>-484.84174568988925</v>
      </c>
      <c r="C63" s="1050">
        <f>$B63*$L$63/$L$66</f>
        <v>-114.74867113908411</v>
      </c>
      <c r="D63" s="1026">
        <f>$B63*$L$64/$L$66</f>
        <v>-259.52571803660732</v>
      </c>
      <c r="E63" s="1026">
        <f>$B63*$L$65/$L$66</f>
        <v>-110.56735651419778</v>
      </c>
      <c r="F63" s="1020">
        <v>9.7659999999999997E-2</v>
      </c>
      <c r="G63" s="1043">
        <v>6.7460000000000006E-2</v>
      </c>
      <c r="H63" s="1044">
        <v>5.8119999999999998E-2</v>
      </c>
      <c r="I63" s="1031">
        <f>ROUND((C63*F63+D63*G63+E63*H63)*1000,2)/1000</f>
        <v>-35.140129999999999</v>
      </c>
      <c r="J63" s="1026"/>
      <c r="K63" s="1024" t="s">
        <v>209</v>
      </c>
      <c r="L63" s="1025">
        <v>124312446</v>
      </c>
      <c r="M63" s="1018"/>
      <c r="N63" s="1017">
        <f>A10</f>
        <v>41275</v>
      </c>
      <c r="O63" s="1026">
        <f>'Temp. Adjustments'!F5*(Temperature!$Y$66/(Temperature!$L$66+Temperature!$Y$66))</f>
        <v>-6.571969516565237</v>
      </c>
      <c r="P63" s="1050">
        <f>$O63*$Y$63/$Y$66</f>
        <v>-4.4876905945655432</v>
      </c>
      <c r="Q63" s="1026">
        <f t="shared" ref="Q63:Q74" si="11">$O63*$Y$64/$Y$66</f>
        <v>-1.8053521848266385</v>
      </c>
      <c r="R63" s="1026">
        <f>$O63*$Y$65/$Y$66</f>
        <v>-0.27892673717305516</v>
      </c>
      <c r="S63" s="1020">
        <v>9.7659999999999997E-2</v>
      </c>
      <c r="T63" s="1043">
        <v>6.7460000000000006E-2</v>
      </c>
      <c r="U63" s="1044">
        <v>5.8119999999999998E-2</v>
      </c>
      <c r="V63" s="1031">
        <f>ROUND((P63*S63+Q63*T63+R63*U63)*1000,2)/1000</f>
        <v>-0.57626999999999995</v>
      </c>
      <c r="W63" s="1026"/>
      <c r="X63" s="1024" t="s">
        <v>209</v>
      </c>
      <c r="Y63" s="1025">
        <v>4861719</v>
      </c>
      <c r="Z63" s="1009"/>
      <c r="AA63" s="1011"/>
      <c r="AB63" s="1018"/>
      <c r="AC63" s="1011"/>
      <c r="AD63" s="1040"/>
      <c r="AE63" s="1009"/>
      <c r="AF63" s="1009"/>
      <c r="AG63" s="1026"/>
      <c r="AH63" s="1009"/>
      <c r="AI63" s="1041"/>
    </row>
    <row r="64" spans="1:35">
      <c r="A64" s="1017">
        <f t="shared" ref="A64:A74" si="12">A47</f>
        <v>41306</v>
      </c>
      <c r="B64" s="1026">
        <f>'Temp. Adjustments'!F6*($L$66/($L$66+$Y$66))</f>
        <v>789.46767770392751</v>
      </c>
      <c r="C64" s="1050">
        <f t="shared" ref="C64:C74" si="13">$B64*$L$63/$L$66</f>
        <v>186.8452288382922</v>
      </c>
      <c r="D64" s="1026">
        <f t="shared" ref="D64:D74" si="14">$B64*$L$64/$L$66</f>
        <v>422.585653451246</v>
      </c>
      <c r="E64" s="1026">
        <f t="shared" ref="E64:E74" si="15">$B64*$L$65/$L$66</f>
        <v>180.03679541438927</v>
      </c>
      <c r="F64" s="1020">
        <v>9.7659999999999997E-2</v>
      </c>
      <c r="G64" s="1043">
        <v>6.7460000000000006E-2</v>
      </c>
      <c r="H64" s="1044">
        <v>5.8119999999999998E-2</v>
      </c>
      <c r="I64" s="1031">
        <f t="shared" ref="I64:I74" si="16">ROUND((C64*F64+D64*G64+E64*H64)*1000,2)/1000</f>
        <v>57.218669999999996</v>
      </c>
      <c r="J64" s="1026"/>
      <c r="K64" s="1024" t="s">
        <v>210</v>
      </c>
      <c r="L64" s="1018">
        <v>281155995</v>
      </c>
      <c r="M64" s="1018"/>
      <c r="N64" s="1017">
        <f t="shared" ref="N64:N74" si="17">A11</f>
        <v>41306</v>
      </c>
      <c r="O64" s="1026">
        <f>'Temp. Adjustments'!F6*(Temperature!$Y$66/(Temperature!$L$66+Temperature!$Y$66))</f>
        <v>10.701136109476632</v>
      </c>
      <c r="P64" s="1050">
        <f t="shared" ref="P64:P74" si="18">$O64*$Y$63/$Y$66</f>
        <v>7.307305328884552</v>
      </c>
      <c r="Q64" s="1026">
        <f t="shared" si="11"/>
        <v>2.9396544531551463</v>
      </c>
      <c r="R64" s="1026">
        <f t="shared" ref="R64:R74" si="19">$O64*$Y$65/$Y$66</f>
        <v>0.45417632743693348</v>
      </c>
      <c r="S64" s="1020">
        <v>9.7659999999999997E-2</v>
      </c>
      <c r="T64" s="1043">
        <v>6.7460000000000006E-2</v>
      </c>
      <c r="U64" s="1044">
        <v>5.8119999999999998E-2</v>
      </c>
      <c r="V64" s="1031">
        <f t="shared" ref="V64:V74" si="20">ROUND((P64*S64+Q64*T64+R64*U64)*1000,2)/1000</f>
        <v>0.93834000000000006</v>
      </c>
      <c r="W64" s="1026"/>
      <c r="X64" s="1024" t="s">
        <v>210</v>
      </c>
      <c r="Y64" s="1018">
        <v>1955820</v>
      </c>
      <c r="Z64" s="1009"/>
      <c r="AA64" s="1011"/>
      <c r="AB64" s="1018"/>
      <c r="AC64" s="1011"/>
      <c r="AD64" s="1040"/>
      <c r="AE64" s="1009"/>
      <c r="AF64" s="1009"/>
      <c r="AG64" s="1026"/>
      <c r="AH64" s="1009"/>
      <c r="AI64" s="1041"/>
    </row>
    <row r="65" spans="1:35">
      <c r="A65" s="1017">
        <f t="shared" si="12"/>
        <v>41334</v>
      </c>
      <c r="B65" s="1026">
        <f>'Temp. Adjustments'!F7*($L$66/($L$66+$Y$66))</f>
        <v>689.34039413763514</v>
      </c>
      <c r="C65" s="1050">
        <f t="shared" si="13"/>
        <v>163.14786194252346</v>
      </c>
      <c r="D65" s="1026">
        <f t="shared" si="14"/>
        <v>368.98959784423209</v>
      </c>
      <c r="E65" s="1026">
        <f t="shared" si="15"/>
        <v>157.20293435087959</v>
      </c>
      <c r="F65" s="1020">
        <v>9.7659999999999997E-2</v>
      </c>
      <c r="G65" s="1043">
        <v>6.7460000000000006E-2</v>
      </c>
      <c r="H65" s="1044">
        <v>5.8119999999999998E-2</v>
      </c>
      <c r="I65" s="1031">
        <f t="shared" si="16"/>
        <v>49.961690000000004</v>
      </c>
      <c r="J65" s="1026"/>
      <c r="K65" s="1051" t="s">
        <v>212</v>
      </c>
      <c r="L65" s="1028">
        <v>119782638</v>
      </c>
      <c r="M65" s="1018"/>
      <c r="N65" s="1017">
        <f t="shared" si="17"/>
        <v>41334</v>
      </c>
      <c r="O65" s="1026">
        <f>'Temp. Adjustments'!F7*(Temperature!$Y$66/(Temperature!$L$66+Temperature!$Y$66))</f>
        <v>9.3439232431673798</v>
      </c>
      <c r="P65" s="1050">
        <f t="shared" si="18"/>
        <v>6.3805281428968375</v>
      </c>
      <c r="Q65" s="1026">
        <f t="shared" si="11"/>
        <v>2.5668214375286791</v>
      </c>
      <c r="R65" s="1026">
        <f t="shared" si="19"/>
        <v>0.39657366274186329</v>
      </c>
      <c r="S65" s="1020">
        <v>9.7659999999999997E-2</v>
      </c>
      <c r="T65" s="1043">
        <v>6.7460000000000006E-2</v>
      </c>
      <c r="U65" s="1044">
        <v>5.8119999999999998E-2</v>
      </c>
      <c r="V65" s="1031">
        <f t="shared" si="20"/>
        <v>0.81933</v>
      </c>
      <c r="W65" s="1026"/>
      <c r="X65" s="1051" t="s">
        <v>212</v>
      </c>
      <c r="Y65" s="1028">
        <v>302174</v>
      </c>
      <c r="Z65" s="1009"/>
      <c r="AA65" s="1011"/>
      <c r="AB65" s="1018"/>
      <c r="AC65" s="1011"/>
      <c r="AD65" s="1040"/>
      <c r="AE65" s="1009"/>
      <c r="AF65" s="1009"/>
      <c r="AG65" s="1026"/>
      <c r="AH65" s="1009"/>
      <c r="AI65" s="1041"/>
    </row>
    <row r="66" spans="1:35">
      <c r="A66" s="1017">
        <f t="shared" si="12"/>
        <v>41365</v>
      </c>
      <c r="B66" s="1026">
        <f>'Temp. Adjustments'!F8*($L$66/($L$66+$Y$66))</f>
        <v>446.58103445751783</v>
      </c>
      <c r="C66" s="1050">
        <f t="shared" si="13"/>
        <v>105.69341587325768</v>
      </c>
      <c r="D66" s="1026">
        <f t="shared" si="14"/>
        <v>239.04555385222295</v>
      </c>
      <c r="E66" s="1026">
        <f t="shared" si="15"/>
        <v>101.8420647320372</v>
      </c>
      <c r="F66" s="1020">
        <v>9.7659999999999997E-2</v>
      </c>
      <c r="G66" s="1043">
        <v>6.7460000000000006E-2</v>
      </c>
      <c r="H66" s="1044">
        <v>5.8119999999999998E-2</v>
      </c>
      <c r="I66" s="1031">
        <f t="shared" si="16"/>
        <v>32.367089999999997</v>
      </c>
      <c r="J66" s="1026"/>
      <c r="K66" s="1029" t="s">
        <v>9</v>
      </c>
      <c r="L66" s="1018">
        <f>SUM(L63:L65)</f>
        <v>525251079</v>
      </c>
      <c r="M66" s="1018"/>
      <c r="N66" s="1017">
        <f t="shared" si="17"/>
        <v>41365</v>
      </c>
      <c r="O66" s="1026">
        <f>'Temp. Adjustments'!F8*(Temperature!$Y$66/(Temperature!$L$66+Temperature!$Y$66))</f>
        <v>6.0533503379640621</v>
      </c>
      <c r="P66" s="1050">
        <f t="shared" si="18"/>
        <v>4.1335498146816176</v>
      </c>
      <c r="Q66" s="1026">
        <f t="shared" si="11"/>
        <v>1.6628849587050591</v>
      </c>
      <c r="R66" s="1026">
        <f t="shared" si="19"/>
        <v>0.25691556457738568</v>
      </c>
      <c r="S66" s="1020">
        <v>9.7659999999999997E-2</v>
      </c>
      <c r="T66" s="1043">
        <v>6.7460000000000006E-2</v>
      </c>
      <c r="U66" s="1044">
        <v>5.8119999999999998E-2</v>
      </c>
      <c r="V66" s="1031">
        <f t="shared" si="20"/>
        <v>0.53078999999999998</v>
      </c>
      <c r="W66" s="1026"/>
      <c r="X66" s="1029" t="s">
        <v>9</v>
      </c>
      <c r="Y66" s="1018">
        <f>SUM(Y63:Y65)</f>
        <v>7119713</v>
      </c>
      <c r="Z66" s="1009"/>
      <c r="AA66" s="1011"/>
      <c r="AB66" s="1018"/>
      <c r="AC66" s="1011"/>
      <c r="AD66" s="1040"/>
      <c r="AE66" s="1009"/>
      <c r="AF66" s="1009"/>
      <c r="AG66" s="1026"/>
      <c r="AH66" s="1009"/>
      <c r="AI66" s="1041"/>
    </row>
    <row r="67" spans="1:35">
      <c r="A67" s="1017">
        <f t="shared" si="12"/>
        <v>41395</v>
      </c>
      <c r="B67" s="1026">
        <f>'Temp. Adjustments'!F9*($L$66/($L$66+$Y$66))</f>
        <v>-713.95134455460254</v>
      </c>
      <c r="C67" s="1050">
        <f t="shared" si="13"/>
        <v>-168.97259523111123</v>
      </c>
      <c r="D67" s="1026">
        <f t="shared" si="14"/>
        <v>-382.16332852090551</v>
      </c>
      <c r="E67" s="1026">
        <f t="shared" si="15"/>
        <v>-162.81542080258578</v>
      </c>
      <c r="F67" s="1020">
        <v>9.7659999999999997E-2</v>
      </c>
      <c r="G67" s="1043">
        <v>6.7460000000000006E-2</v>
      </c>
      <c r="H67" s="1044">
        <v>5.8119999999999998E-2</v>
      </c>
      <c r="I67" s="1031">
        <f t="shared" si="16"/>
        <v>-51.745429999999999</v>
      </c>
      <c r="J67" s="1026"/>
      <c r="L67" s="1042"/>
      <c r="M67" s="1042"/>
      <c r="N67" s="1017">
        <f t="shared" si="17"/>
        <v>41395</v>
      </c>
      <c r="O67" s="1026">
        <f>'Temp. Adjustments'!F9*(Temperature!$Y$66/(Temperature!$L$66+Temperature!$Y$66))</f>
        <v>-9.6775216128454318</v>
      </c>
      <c r="P67" s="1050">
        <f t="shared" si="18"/>
        <v>-6.6083268662769523</v>
      </c>
      <c r="Q67" s="1026">
        <f t="shared" si="11"/>
        <v>-2.6584625420765349</v>
      </c>
      <c r="R67" s="1026">
        <f t="shared" si="19"/>
        <v>-0.41073220449194453</v>
      </c>
      <c r="S67" s="1020">
        <v>9.7659999999999997E-2</v>
      </c>
      <c r="T67" s="1043">
        <v>6.7460000000000006E-2</v>
      </c>
      <c r="U67" s="1044">
        <v>5.8119999999999998E-2</v>
      </c>
      <c r="V67" s="1031">
        <f t="shared" si="20"/>
        <v>-0.84858</v>
      </c>
      <c r="W67" s="1026"/>
      <c r="Y67" s="1042"/>
      <c r="Z67" s="1009"/>
      <c r="AA67" s="1011"/>
      <c r="AB67" s="1018"/>
      <c r="AC67" s="1011"/>
      <c r="AD67" s="1040"/>
      <c r="AE67" s="1009"/>
      <c r="AF67" s="1009"/>
      <c r="AG67" s="1026"/>
      <c r="AH67" s="1009"/>
      <c r="AI67" s="1041"/>
    </row>
    <row r="68" spans="1:35">
      <c r="A68" s="1017">
        <f t="shared" si="12"/>
        <v>41426</v>
      </c>
      <c r="B68" s="1026">
        <f>'Temp. Adjustments'!F10*($L$66/($L$66+$Y$66))</f>
        <v>-849.18077701216032</v>
      </c>
      <c r="C68" s="1050">
        <f t="shared" si="13"/>
        <v>-200.97767278753599</v>
      </c>
      <c r="D68" s="1026">
        <f t="shared" si="14"/>
        <v>-454.54883548316718</v>
      </c>
      <c r="E68" s="1026">
        <f t="shared" si="15"/>
        <v>-193.65426874145712</v>
      </c>
      <c r="F68" s="1020">
        <v>9.7659999999999997E-2</v>
      </c>
      <c r="G68" s="1043">
        <v>6.7460000000000006E-2</v>
      </c>
      <c r="H68" s="1044">
        <v>5.8119999999999998E-2</v>
      </c>
      <c r="I68" s="1039">
        <f t="shared" si="16"/>
        <v>-61.546529999999997</v>
      </c>
      <c r="J68" s="1026"/>
      <c r="K68" s="1011"/>
      <c r="L68" s="1018"/>
      <c r="M68" s="1018"/>
      <c r="N68" s="1017">
        <f t="shared" si="17"/>
        <v>41426</v>
      </c>
      <c r="O68" s="1026">
        <f>'Temp. Adjustments'!F10*(Temperature!$Y$66/(Temperature!$L$66+Temperature!$Y$66))</f>
        <v>-11.510539738355455</v>
      </c>
      <c r="P68" s="1050">
        <f t="shared" si="18"/>
        <v>-7.8600092091096565</v>
      </c>
      <c r="Q68" s="1026">
        <f t="shared" si="11"/>
        <v>-3.1620015906638881</v>
      </c>
      <c r="R68" s="1026">
        <f t="shared" si="19"/>
        <v>-0.48852893858190932</v>
      </c>
      <c r="S68" s="1020">
        <v>9.7659999999999997E-2</v>
      </c>
      <c r="T68" s="1043">
        <v>6.7460000000000006E-2</v>
      </c>
      <c r="U68" s="1044">
        <v>5.8119999999999998E-2</v>
      </c>
      <c r="V68" s="1039">
        <f t="shared" si="20"/>
        <v>-1.0093099999999999</v>
      </c>
      <c r="W68" s="1026"/>
      <c r="X68" s="1011"/>
      <c r="Y68" s="1018"/>
      <c r="Z68" s="1009"/>
      <c r="AA68" s="1011"/>
      <c r="AB68" s="1018"/>
      <c r="AC68" s="1011"/>
      <c r="AD68" s="1040"/>
      <c r="AE68" s="1009"/>
      <c r="AF68" s="1009"/>
      <c r="AG68" s="1026"/>
      <c r="AH68" s="1009"/>
      <c r="AI68" s="1041"/>
    </row>
    <row r="69" spans="1:35">
      <c r="A69" s="1017">
        <f t="shared" si="12"/>
        <v>41456</v>
      </c>
      <c r="B69" s="1026">
        <f>'Temp. Adjustments'!F11*($L$66/($L$66+$Y$66))</f>
        <v>-4008.5243316089327</v>
      </c>
      <c r="C69" s="1050">
        <f t="shared" si="13"/>
        <v>-948.70716964833025</v>
      </c>
      <c r="D69" s="1026">
        <f t="shared" si="14"/>
        <v>-2145.6798319784498</v>
      </c>
      <c r="E69" s="1026">
        <f t="shared" si="15"/>
        <v>-914.13732998215266</v>
      </c>
      <c r="F69" s="1020">
        <v>9.7659999999999997E-2</v>
      </c>
      <c r="G69" s="1043">
        <v>6.7460000000000006E-2</v>
      </c>
      <c r="H69" s="1044">
        <v>5.8119999999999998E-2</v>
      </c>
      <c r="I69" s="1031">
        <f t="shared" si="16"/>
        <v>-290.52796999999998</v>
      </c>
      <c r="J69" s="1026"/>
      <c r="K69" s="1011"/>
      <c r="L69" s="1018"/>
      <c r="M69" s="1018"/>
      <c r="N69" s="1017">
        <f t="shared" si="17"/>
        <v>41456</v>
      </c>
      <c r="O69" s="1026">
        <f>'Temp. Adjustments'!F11*(Temperature!$Y$66/(Temperature!$L$66+Temperature!$Y$66))</f>
        <v>-54.335048390395464</v>
      </c>
      <c r="P69" s="1050">
        <f t="shared" si="18"/>
        <v>-37.10286315270082</v>
      </c>
      <c r="Q69" s="1026">
        <f t="shared" si="11"/>
        <v>-14.926103670597854</v>
      </c>
      <c r="R69" s="1026">
        <f t="shared" si="19"/>
        <v>-2.3060815670967858</v>
      </c>
      <c r="S69" s="1020">
        <v>9.7659999999999997E-2</v>
      </c>
      <c r="T69" s="1043">
        <v>6.7460000000000006E-2</v>
      </c>
      <c r="U69" s="1044">
        <v>5.8119999999999998E-2</v>
      </c>
      <c r="V69" s="1031">
        <f t="shared" si="20"/>
        <v>-4.7644099999999998</v>
      </c>
      <c r="W69" s="1026"/>
      <c r="X69" s="1011"/>
      <c r="Y69" s="1018"/>
      <c r="Z69" s="1009"/>
      <c r="AA69" s="1011"/>
      <c r="AB69" s="1018"/>
      <c r="AC69" s="1011"/>
      <c r="AD69" s="1040"/>
      <c r="AE69" s="1009"/>
      <c r="AF69" s="1009"/>
      <c r="AG69" s="1026"/>
      <c r="AH69" s="1009"/>
      <c r="AI69" s="1041"/>
    </row>
    <row r="70" spans="1:35">
      <c r="A70" s="1017">
        <f t="shared" si="12"/>
        <v>41487</v>
      </c>
      <c r="B70" s="1026">
        <f>'Temp. Adjustments'!F12*($L$66/($L$66+$Y$66))</f>
        <v>-2207.205751367002</v>
      </c>
      <c r="C70" s="1050">
        <f t="shared" si="13"/>
        <v>-522.384735125313</v>
      </c>
      <c r="D70" s="1026">
        <f t="shared" si="14"/>
        <v>-1181.4714029274978</v>
      </c>
      <c r="E70" s="1026">
        <f t="shared" si="15"/>
        <v>-503.349613314191</v>
      </c>
      <c r="F70" s="1020">
        <v>9.7659999999999997E-2</v>
      </c>
      <c r="G70" s="1043">
        <v>6.7460000000000006E-2</v>
      </c>
      <c r="H70" s="1044">
        <v>5.8119999999999998E-2</v>
      </c>
      <c r="I70" s="1031">
        <f t="shared" si="16"/>
        <v>-159.97282999999999</v>
      </c>
      <c r="J70" s="1026"/>
      <c r="L70" s="1042"/>
      <c r="M70" s="1042"/>
      <c r="N70" s="1017">
        <f t="shared" si="17"/>
        <v>41487</v>
      </c>
      <c r="O70" s="1026">
        <f>'Temp. Adjustments'!F12*(Temperature!$Y$66/(Temperature!$L$66+Temperature!$Y$66))</f>
        <v>-29.918399237943138</v>
      </c>
      <c r="P70" s="1050">
        <f t="shared" si="18"/>
        <v>-20.429875477381415</v>
      </c>
      <c r="Q70" s="1026">
        <f t="shared" si="11"/>
        <v>-8.2187306704011736</v>
      </c>
      <c r="R70" s="1026">
        <f t="shared" si="19"/>
        <v>-1.2697930901605488</v>
      </c>
      <c r="S70" s="1020">
        <v>9.7659999999999997E-2</v>
      </c>
      <c r="T70" s="1043">
        <v>6.7460000000000006E-2</v>
      </c>
      <c r="U70" s="1044">
        <v>5.8119999999999998E-2</v>
      </c>
      <c r="V70" s="1031">
        <f t="shared" si="20"/>
        <v>-2.6234199999999999</v>
      </c>
      <c r="W70" s="1026"/>
      <c r="Y70" s="1042"/>
      <c r="Z70" s="1009"/>
      <c r="AA70" s="1011"/>
      <c r="AB70" s="1018"/>
      <c r="AC70" s="1011"/>
      <c r="AD70" s="1040"/>
      <c r="AE70" s="1009"/>
      <c r="AF70" s="1009"/>
      <c r="AG70" s="1026"/>
      <c r="AH70" s="1009"/>
      <c r="AI70" s="1041"/>
    </row>
    <row r="71" spans="1:35">
      <c r="A71" s="1017">
        <f t="shared" si="12"/>
        <v>41518</v>
      </c>
      <c r="B71" s="1026">
        <f>'Temp. Adjustments'!F13*($L$66/($L$66+$Y$66))</f>
        <v>-1302.5895674737908</v>
      </c>
      <c r="C71" s="1050">
        <f t="shared" si="13"/>
        <v>-308.28703022378551</v>
      </c>
      <c r="D71" s="1026">
        <f t="shared" si="14"/>
        <v>-697.24914533628828</v>
      </c>
      <c r="E71" s="1026">
        <f t="shared" si="15"/>
        <v>-297.05339191371684</v>
      </c>
      <c r="F71" s="1020">
        <v>9.7659999999999997E-2</v>
      </c>
      <c r="G71" s="1043">
        <v>6.7460000000000006E-2</v>
      </c>
      <c r="H71" s="1044">
        <v>5.8119999999999998E-2</v>
      </c>
      <c r="I71" s="1031">
        <f t="shared" si="16"/>
        <v>-94.408479999999997</v>
      </c>
      <c r="J71" s="1026"/>
      <c r="L71" s="1042"/>
      <c r="M71" s="1042"/>
      <c r="N71" s="1017">
        <f>A18</f>
        <v>41518</v>
      </c>
      <c r="O71" s="1026">
        <f>'Temp. Adjustments'!F13*(Temperature!$Y$66/(Temperature!$L$66+Temperature!$Y$66))</f>
        <v>-17.656439459132507</v>
      </c>
      <c r="P71" s="1050">
        <f t="shared" si="18"/>
        <v>-12.05675666853625</v>
      </c>
      <c r="Q71" s="1026">
        <f t="shared" si="11"/>
        <v>-4.8503103176996802</v>
      </c>
      <c r="R71" s="1026">
        <f t="shared" si="19"/>
        <v>-0.74937247289657682</v>
      </c>
      <c r="S71" s="1020">
        <v>9.7659999999999997E-2</v>
      </c>
      <c r="T71" s="1043">
        <v>6.7460000000000006E-2</v>
      </c>
      <c r="U71" s="1044">
        <v>5.8119999999999998E-2</v>
      </c>
      <c r="V71" s="1031">
        <f t="shared" si="20"/>
        <v>-1.5482199999999999</v>
      </c>
      <c r="W71" s="1026"/>
      <c r="Y71" s="1042"/>
      <c r="Z71" s="1009"/>
      <c r="AA71" s="1011"/>
      <c r="AB71" s="1018"/>
      <c r="AC71" s="1011"/>
      <c r="AD71" s="1040"/>
      <c r="AE71" s="1009"/>
      <c r="AF71" s="1009"/>
      <c r="AG71" s="1026"/>
      <c r="AH71" s="1009"/>
      <c r="AI71" s="1041"/>
    </row>
    <row r="72" spans="1:35">
      <c r="A72" s="1017">
        <f t="shared" si="12"/>
        <v>41548</v>
      </c>
      <c r="B72" s="1026">
        <f>'Temp. Adjustments'!F14*($L$66/($L$66+$Y$66))</f>
        <v>871.83694183857324</v>
      </c>
      <c r="C72" s="1050">
        <f t="shared" si="13"/>
        <v>206.33976223228811</v>
      </c>
      <c r="D72" s="1026">
        <f t="shared" si="14"/>
        <v>466.67621002713105</v>
      </c>
      <c r="E72" s="1026">
        <f t="shared" si="15"/>
        <v>198.82096957915411</v>
      </c>
      <c r="F72" s="1020">
        <v>9.7659999999999997E-2</v>
      </c>
      <c r="G72" s="1043">
        <v>6.7460000000000006E-2</v>
      </c>
      <c r="H72" s="1044">
        <v>5.8119999999999998E-2</v>
      </c>
      <c r="I72" s="1031">
        <f t="shared" si="16"/>
        <v>63.188589999999998</v>
      </c>
      <c r="J72" s="1026"/>
      <c r="L72" s="1042"/>
      <c r="M72" s="1042"/>
      <c r="N72" s="1017">
        <f t="shared" si="17"/>
        <v>41548</v>
      </c>
      <c r="O72" s="1026">
        <f>'Temp. Adjustments'!F14*(Temperature!$Y$66/(Temperature!$L$66+Temperature!$Y$66))</f>
        <v>11.817641232657676</v>
      </c>
      <c r="P72" s="1050">
        <f t="shared" si="18"/>
        <v>8.0697144556241582</v>
      </c>
      <c r="Q72" s="1026">
        <f t="shared" si="11"/>
        <v>3.2463638738888121</v>
      </c>
      <c r="R72" s="1026">
        <f t="shared" si="19"/>
        <v>0.50156290314470553</v>
      </c>
      <c r="S72" s="1020">
        <v>9.7659999999999997E-2</v>
      </c>
      <c r="T72" s="1043">
        <v>6.7460000000000006E-2</v>
      </c>
      <c r="U72" s="1044">
        <v>5.8119999999999998E-2</v>
      </c>
      <c r="V72" s="1031">
        <f t="shared" si="20"/>
        <v>1.03624</v>
      </c>
      <c r="W72" s="1026"/>
      <c r="Y72" s="1042"/>
      <c r="Z72" s="1009"/>
      <c r="AA72" s="1011"/>
      <c r="AB72" s="1018"/>
      <c r="AC72" s="1011"/>
      <c r="AD72" s="1040"/>
      <c r="AE72" s="1009"/>
      <c r="AF72" s="1009"/>
      <c r="AG72" s="1026"/>
      <c r="AH72" s="1009"/>
      <c r="AI72" s="1041"/>
    </row>
    <row r="73" spans="1:35">
      <c r="A73" s="1017">
        <f t="shared" si="12"/>
        <v>41579</v>
      </c>
      <c r="B73" s="1026">
        <f>'Temp. Adjustments'!F15*($L$66/($L$66+$Y$66))</f>
        <v>56.083894375495532</v>
      </c>
      <c r="C73" s="1050">
        <f t="shared" si="13"/>
        <v>13.273511221142092</v>
      </c>
      <c r="D73" s="1026">
        <f t="shared" si="14"/>
        <v>30.020543997049742</v>
      </c>
      <c r="E73" s="1026">
        <f t="shared" si="15"/>
        <v>12.789839157303696</v>
      </c>
      <c r="F73" s="1020">
        <v>9.7659999999999997E-2</v>
      </c>
      <c r="G73" s="1043">
        <v>6.7460000000000006E-2</v>
      </c>
      <c r="H73" s="1044">
        <v>5.8119999999999998E-2</v>
      </c>
      <c r="I73" s="1031">
        <f t="shared" si="16"/>
        <v>4.0648200000000001</v>
      </c>
      <c r="J73" s="1026"/>
      <c r="L73" s="1042"/>
      <c r="M73" s="1042"/>
      <c r="N73" s="1017">
        <f t="shared" si="17"/>
        <v>41579</v>
      </c>
      <c r="O73" s="1026">
        <f>'Temp. Adjustments'!F15*(Temperature!$Y$66/(Temperature!$L$66+Temperature!$Y$66))</f>
        <v>0.76021020772780257</v>
      </c>
      <c r="P73" s="1050">
        <f t="shared" si="18"/>
        <v>0.51911199382674622</v>
      </c>
      <c r="Q73" s="1026">
        <f t="shared" si="11"/>
        <v>0.20883346400033131</v>
      </c>
      <c r="R73" s="1026">
        <f t="shared" si="19"/>
        <v>3.2264749900725073E-2</v>
      </c>
      <c r="S73" s="1020">
        <v>9.7659999999999997E-2</v>
      </c>
      <c r="T73" s="1043">
        <v>6.7460000000000006E-2</v>
      </c>
      <c r="U73" s="1044">
        <v>5.8119999999999998E-2</v>
      </c>
      <c r="V73" s="1031">
        <f t="shared" si="20"/>
        <v>6.6659999999999997E-2</v>
      </c>
      <c r="W73" s="1026"/>
      <c r="Y73" s="1042"/>
      <c r="Z73" s="1009"/>
      <c r="AA73" s="1011"/>
      <c r="AB73" s="1018"/>
      <c r="AC73" s="1011"/>
      <c r="AD73" s="1040"/>
      <c r="AE73" s="1009"/>
      <c r="AF73" s="1009"/>
      <c r="AG73" s="1026"/>
      <c r="AH73" s="1009"/>
      <c r="AI73" s="1041"/>
    </row>
    <row r="74" spans="1:35">
      <c r="A74" s="1017">
        <f t="shared" si="12"/>
        <v>41609</v>
      </c>
      <c r="B74" s="1052">
        <f>'Temp. Adjustments'!F16*($L$66/($L$66+$Y$66))</f>
        <v>-1006.6188293086565</v>
      </c>
      <c r="C74" s="1053">
        <f t="shared" si="13"/>
        <v>-238.23891823174262</v>
      </c>
      <c r="D74" s="1028">
        <f t="shared" si="14"/>
        <v>-538.82215545150837</v>
      </c>
      <c r="E74" s="1054">
        <f t="shared" si="15"/>
        <v>-229.55775562540558</v>
      </c>
      <c r="F74" s="1504">
        <f>0.09766*10/31+0.10359*21/31</f>
        <v>0.10167709677419355</v>
      </c>
      <c r="G74" s="1055">
        <f>0.06746*10/31+0.07156*21/31</f>
        <v>7.0237419354838709E-2</v>
      </c>
      <c r="H74" s="1056">
        <f>0.05812*10/31+0.06166*21/31</f>
        <v>6.0518064516129025E-2</v>
      </c>
      <c r="I74" s="1057">
        <f t="shared" si="16"/>
        <v>-75.961309999999997</v>
      </c>
      <c r="J74" s="1026"/>
      <c r="L74" s="1042"/>
      <c r="M74" s="1042"/>
      <c r="N74" s="1017">
        <f t="shared" si="17"/>
        <v>41609</v>
      </c>
      <c r="O74" s="1052">
        <f>'Temp. Adjustments'!F16*(Temperature!$Y$66/(Temperature!$L$66+Temperature!$Y$66))</f>
        <v>-13.644592941566568</v>
      </c>
      <c r="P74" s="1053">
        <f t="shared" si="18"/>
        <v>-9.3172543263022085</v>
      </c>
      <c r="Q74" s="1028">
        <f t="shared" si="11"/>
        <v>-3.7482364481510313</v>
      </c>
      <c r="R74" s="1054">
        <f t="shared" si="19"/>
        <v>-0.57910216711332829</v>
      </c>
      <c r="S74" s="1504">
        <f>0.09766*10/31+0.10359*21/31</f>
        <v>0.10167709677419355</v>
      </c>
      <c r="T74" s="1055">
        <f>0.06746*10/31+0.07156*21/31</f>
        <v>7.0237419354838709E-2</v>
      </c>
      <c r="U74" s="1056">
        <f>0.05812*10/31+0.06166*21/31</f>
        <v>6.0518064516129025E-2</v>
      </c>
      <c r="V74" s="1057">
        <f t="shared" si="20"/>
        <v>-1.24566</v>
      </c>
      <c r="W74" s="1026"/>
      <c r="Y74" s="1042"/>
      <c r="Z74" s="1009"/>
      <c r="AA74" s="1011"/>
      <c r="AB74" s="1018"/>
      <c r="AC74" s="1011"/>
      <c r="AD74" s="1040"/>
      <c r="AE74" s="1009"/>
      <c r="AF74" s="1009"/>
      <c r="AG74" s="1026"/>
      <c r="AH74" s="1009"/>
      <c r="AI74" s="1041"/>
    </row>
    <row r="75" spans="1:35">
      <c r="A75" s="1009" t="s">
        <v>9</v>
      </c>
      <c r="B75" s="1026">
        <f>SUM(B63:B74)</f>
        <v>-7719.6024045018839</v>
      </c>
      <c r="C75" s="1050">
        <f>SUM(C63:C74)</f>
        <v>-1827.0170122793991</v>
      </c>
      <c r="D75" s="1026">
        <f>SUM(D63:D74)</f>
        <v>-4132.1428585625426</v>
      </c>
      <c r="E75" s="1026">
        <f>SUM(E63:E74)</f>
        <v>-1760.4425336599429</v>
      </c>
      <c r="F75" s="1058" t="s">
        <v>31</v>
      </c>
      <c r="G75" s="1059" t="s">
        <v>31</v>
      </c>
      <c r="H75" s="1059" t="s">
        <v>31</v>
      </c>
      <c r="I75" s="1060">
        <f>SUM(I63:I74)</f>
        <v>-562.50181999999995</v>
      </c>
      <c r="J75" s="1039"/>
      <c r="L75" s="1042"/>
      <c r="M75" s="1042"/>
      <c r="N75" s="1009" t="s">
        <v>9</v>
      </c>
      <c r="O75" s="1026">
        <f>SUM(O63:O74)</f>
        <v>-104.63824976581024</v>
      </c>
      <c r="P75" s="1050">
        <f>SUM(P63:P74)</f>
        <v>-71.452566558958921</v>
      </c>
      <c r="Q75" s="1026">
        <f>SUM(Q63:Q74)</f>
        <v>-28.74463923713877</v>
      </c>
      <c r="R75" s="1026">
        <f>SUM(R63:R74)</f>
        <v>-4.4410439697125357</v>
      </c>
      <c r="S75" s="1058" t="s">
        <v>31</v>
      </c>
      <c r="T75" s="1059" t="s">
        <v>31</v>
      </c>
      <c r="U75" s="1059" t="s">
        <v>31</v>
      </c>
      <c r="V75" s="1060">
        <f>SUM(V63:V74)</f>
        <v>-9.2245100000000004</v>
      </c>
      <c r="W75" s="1039"/>
      <c r="Y75" s="1042"/>
      <c r="Z75" s="1009"/>
      <c r="AA75" s="1011"/>
      <c r="AB75" s="1018"/>
      <c r="AC75" s="1011"/>
      <c r="AD75" s="1040"/>
      <c r="AE75" s="1009"/>
      <c r="AF75" s="1009"/>
      <c r="AG75" s="1026"/>
      <c r="AH75" s="1009"/>
      <c r="AI75" s="1041"/>
    </row>
    <row r="76" spans="1:35">
      <c r="A76" s="1009"/>
      <c r="B76" s="1026"/>
      <c r="C76" s="1026"/>
      <c r="D76" s="1026"/>
      <c r="E76" s="1026"/>
      <c r="F76" s="1026"/>
      <c r="G76" s="1026"/>
      <c r="H76" s="1026"/>
      <c r="I76" s="1026"/>
      <c r="J76" s="1026"/>
      <c r="L76" s="1042"/>
      <c r="M76" s="1009"/>
      <c r="N76" s="1011"/>
      <c r="O76" s="1018"/>
      <c r="P76" s="1011"/>
      <c r="Q76" s="1040"/>
      <c r="R76" s="1009"/>
      <c r="S76" s="1009"/>
      <c r="T76" s="1026"/>
      <c r="U76" s="1009"/>
      <c r="V76" s="1041"/>
    </row>
    <row r="77" spans="1:35">
      <c r="A77" s="1003" t="s">
        <v>794</v>
      </c>
      <c r="B77" s="1006" t="s">
        <v>12</v>
      </c>
      <c r="C77" s="1007"/>
      <c r="D77" s="1007" t="s">
        <v>1</v>
      </c>
      <c r="E77" s="1026"/>
      <c r="F77" s="1026"/>
      <c r="G77" s="1026"/>
      <c r="H77" s="1026"/>
      <c r="J77" s="1042"/>
      <c r="K77" s="1009"/>
      <c r="L77" s="1011"/>
      <c r="M77" s="1018"/>
      <c r="N77" s="1011"/>
      <c r="O77" s="1040"/>
      <c r="P77" s="1009"/>
      <c r="Q77" s="1009"/>
      <c r="R77" s="1026"/>
      <c r="S77" s="1009"/>
      <c r="T77" s="1041"/>
      <c r="X77" s="1005" t="s">
        <v>31</v>
      </c>
    </row>
    <row r="78" spans="1:35">
      <c r="A78" s="1005" t="s">
        <v>18</v>
      </c>
      <c r="B78" s="1006" t="s">
        <v>16</v>
      </c>
      <c r="C78" s="1007" t="s">
        <v>206</v>
      </c>
      <c r="D78" s="1007" t="s">
        <v>26</v>
      </c>
      <c r="H78" s="1008"/>
      <c r="I78" s="1008"/>
    </row>
    <row r="79" spans="1:35">
      <c r="A79" s="1006" t="s">
        <v>24</v>
      </c>
      <c r="B79" s="1013" t="s">
        <v>23</v>
      </c>
      <c r="C79" s="1014" t="s">
        <v>38</v>
      </c>
      <c r="D79" s="1015" t="s">
        <v>198</v>
      </c>
      <c r="E79" s="1009"/>
      <c r="H79" s="1008"/>
      <c r="I79" s="1008"/>
      <c r="J79" s="1009"/>
      <c r="K79" s="1010"/>
      <c r="L79" s="1010"/>
      <c r="M79" s="1010"/>
      <c r="N79" s="1010"/>
    </row>
    <row r="80" spans="1:35">
      <c r="A80" s="1017">
        <f>A10</f>
        <v>41275</v>
      </c>
      <c r="B80" s="1018">
        <f>'Temp. Adjustments'!I5</f>
        <v>0</v>
      </c>
      <c r="C80" s="1020">
        <v>6.4390000000000003E-2</v>
      </c>
      <c r="D80" s="1022">
        <f>ROUND((B80*C80)*1000,2)/1000</f>
        <v>0</v>
      </c>
      <c r="E80" s="1026"/>
      <c r="H80" s="1008"/>
      <c r="I80" s="1008"/>
      <c r="J80" s="1009"/>
      <c r="K80" s="1011"/>
      <c r="L80" s="1011"/>
      <c r="M80" s="1011"/>
      <c r="N80" s="1012"/>
    </row>
    <row r="81" spans="1:21">
      <c r="A81" s="1017">
        <f t="shared" ref="A81:A91" si="21">A11</f>
        <v>41306</v>
      </c>
      <c r="B81" s="1018">
        <f>'Temp. Adjustments'!I6</f>
        <v>0</v>
      </c>
      <c r="C81" s="1020">
        <v>6.4390000000000003E-2</v>
      </c>
      <c r="D81" s="1022">
        <f t="shared" ref="D81:D91" si="22">ROUND((B81*C81)*1000,2)/1000</f>
        <v>0</v>
      </c>
      <c r="E81" s="1026"/>
      <c r="H81" s="1008"/>
      <c r="I81" s="1008"/>
      <c r="J81" s="1009"/>
      <c r="K81" s="1012"/>
      <c r="L81" s="1012"/>
      <c r="M81" s="1012"/>
      <c r="N81" s="1012"/>
    </row>
    <row r="82" spans="1:21">
      <c r="A82" s="1017">
        <f t="shared" si="21"/>
        <v>41334</v>
      </c>
      <c r="B82" s="1018">
        <f>'Temp. Adjustments'!I7</f>
        <v>0</v>
      </c>
      <c r="C82" s="1020">
        <v>6.4390000000000003E-2</v>
      </c>
      <c r="D82" s="1022">
        <f t="shared" si="22"/>
        <v>0</v>
      </c>
      <c r="E82" s="1026"/>
      <c r="H82" s="1008"/>
      <c r="I82" s="1008"/>
      <c r="J82" s="1009"/>
      <c r="K82" s="1029"/>
      <c r="L82" s="1018"/>
      <c r="M82" s="1011"/>
      <c r="N82" s="1011"/>
    </row>
    <row r="83" spans="1:21">
      <c r="A83" s="1017">
        <f t="shared" si="21"/>
        <v>41365</v>
      </c>
      <c r="B83" s="1018">
        <f>'Temp. Adjustments'!I8</f>
        <v>-95.370118347791106</v>
      </c>
      <c r="C83" s="1020">
        <v>6.4390000000000003E-2</v>
      </c>
      <c r="D83" s="1022">
        <f t="shared" si="22"/>
        <v>-6.1408800000000001</v>
      </c>
      <c r="E83" s="1026"/>
      <c r="H83" s="1008"/>
      <c r="I83" s="1008"/>
      <c r="J83" s="1009"/>
      <c r="K83" s="1029"/>
      <c r="L83" s="1018"/>
      <c r="M83" s="1011"/>
      <c r="N83" s="1011"/>
    </row>
    <row r="84" spans="1:21">
      <c r="A84" s="1017">
        <f t="shared" si="21"/>
        <v>41395</v>
      </c>
      <c r="B84" s="1018">
        <f>'Temp. Adjustments'!I9</f>
        <v>-1720.6828365684701</v>
      </c>
      <c r="C84" s="1020">
        <v>6.4390000000000003E-2</v>
      </c>
      <c r="D84" s="1022">
        <f t="shared" si="22"/>
        <v>-110.79477</v>
      </c>
      <c r="E84" s="1026"/>
      <c r="G84" s="1061"/>
      <c r="H84" s="1011"/>
      <c r="I84" s="1018"/>
      <c r="J84" s="1009"/>
      <c r="K84" s="1029"/>
      <c r="L84" s="1018"/>
      <c r="M84" s="1011"/>
      <c r="N84" s="1011"/>
    </row>
    <row r="85" spans="1:21">
      <c r="A85" s="1017">
        <f t="shared" si="21"/>
        <v>41426</v>
      </c>
      <c r="B85" s="1018">
        <f>'Temp. Adjustments'!I10</f>
        <v>-1600.7694866134302</v>
      </c>
      <c r="C85" s="1020">
        <v>6.4390000000000003E-2</v>
      </c>
      <c r="D85" s="1022">
        <f t="shared" si="22"/>
        <v>-103.07355</v>
      </c>
      <c r="E85" s="1026"/>
      <c r="H85" s="1011"/>
      <c r="I85" s="1018"/>
      <c r="J85" s="1009"/>
      <c r="K85" s="1029"/>
      <c r="L85" s="1018"/>
      <c r="M85" s="1011"/>
      <c r="N85" s="1011"/>
    </row>
    <row r="86" spans="1:21">
      <c r="A86" s="1017">
        <f t="shared" si="21"/>
        <v>41456</v>
      </c>
      <c r="B86" s="1018">
        <f>'Temp. Adjustments'!I11</f>
        <v>-5193.4399999999996</v>
      </c>
      <c r="C86" s="1020">
        <v>6.4390000000000003E-2</v>
      </c>
      <c r="D86" s="1022">
        <f t="shared" si="22"/>
        <v>-334.40559999999999</v>
      </c>
      <c r="E86" s="1026"/>
      <c r="J86" s="1009"/>
      <c r="K86" s="1029"/>
      <c r="L86" s="1018"/>
      <c r="M86" s="1011"/>
      <c r="N86" s="1011"/>
    </row>
    <row r="87" spans="1:21">
      <c r="A87" s="1017">
        <f t="shared" si="21"/>
        <v>41487</v>
      </c>
      <c r="B87" s="1018">
        <f>'Temp. Adjustments'!I12</f>
        <v>-2969.68</v>
      </c>
      <c r="C87" s="1020">
        <v>6.4390000000000003E-2</v>
      </c>
      <c r="D87" s="1022">
        <f t="shared" si="22"/>
        <v>-191.21770000000001</v>
      </c>
      <c r="E87" s="1026"/>
      <c r="J87" s="1009"/>
      <c r="K87" s="1029"/>
      <c r="L87" s="1018"/>
      <c r="M87" s="1011"/>
      <c r="N87" s="1011"/>
    </row>
    <row r="88" spans="1:21">
      <c r="A88" s="1017">
        <f t="shared" si="21"/>
        <v>41518</v>
      </c>
      <c r="B88" s="1018">
        <f>'Temp. Adjustments'!I13</f>
        <v>-2176.81</v>
      </c>
      <c r="C88" s="1020">
        <v>6.4390000000000003E-2</v>
      </c>
      <c r="D88" s="1022">
        <f t="shared" si="22"/>
        <v>-140.16479999999999</v>
      </c>
      <c r="E88" s="1026"/>
      <c r="J88" s="1009"/>
      <c r="K88" s="1029"/>
      <c r="L88" s="1018"/>
      <c r="M88" s="1011"/>
      <c r="N88" s="1011"/>
    </row>
    <row r="89" spans="1:21">
      <c r="A89" s="1017">
        <f t="shared" si="21"/>
        <v>41548</v>
      </c>
      <c r="B89" s="1018">
        <f>'Temp. Adjustments'!I14</f>
        <v>1143.95</v>
      </c>
      <c r="C89" s="1020">
        <v>6.4390000000000003E-2</v>
      </c>
      <c r="D89" s="1022">
        <f t="shared" si="22"/>
        <v>73.658940000000001</v>
      </c>
      <c r="E89" s="1026"/>
      <c r="J89" s="1009"/>
      <c r="K89" s="1029"/>
      <c r="L89" s="1018"/>
      <c r="M89" s="1011"/>
      <c r="N89" s="1011"/>
    </row>
    <row r="90" spans="1:21">
      <c r="A90" s="1017">
        <f t="shared" si="21"/>
        <v>41579</v>
      </c>
      <c r="B90" s="1018">
        <f>'Temp. Adjustments'!I15</f>
        <v>0</v>
      </c>
      <c r="C90" s="1020">
        <v>6.4390000000000003E-2</v>
      </c>
      <c r="D90" s="1022">
        <f t="shared" si="22"/>
        <v>0</v>
      </c>
      <c r="E90" s="1026"/>
      <c r="J90" s="1009"/>
      <c r="K90" s="1029"/>
      <c r="L90" s="1018"/>
      <c r="M90" s="1011"/>
      <c r="N90" s="1011"/>
    </row>
    <row r="91" spans="1:21">
      <c r="A91" s="1017">
        <f t="shared" si="21"/>
        <v>41609</v>
      </c>
      <c r="B91" s="1054">
        <f>'Temp. Adjustments'!I16</f>
        <v>0</v>
      </c>
      <c r="C91" s="1034">
        <f>0.06439*10/31+0.06816*21/31</f>
        <v>6.6943870967741931E-2</v>
      </c>
      <c r="D91" s="1036">
        <f t="shared" si="22"/>
        <v>0</v>
      </c>
      <c r="E91" s="1026"/>
      <c r="J91" s="1009"/>
      <c r="K91" s="1029"/>
      <c r="L91" s="1018"/>
      <c r="M91" s="1011"/>
      <c r="N91" s="1011"/>
    </row>
    <row r="92" spans="1:21">
      <c r="A92" s="1009" t="s">
        <v>9</v>
      </c>
      <c r="B92" s="1026">
        <f>SUM(B80:B91)</f>
        <v>-12612.80244152969</v>
      </c>
      <c r="C92" s="1037" t="s">
        <v>31</v>
      </c>
      <c r="D92" s="1038">
        <f>SUM(D80:D91)</f>
        <v>-812.13836000000003</v>
      </c>
      <c r="E92" s="1039"/>
      <c r="J92" s="1009"/>
      <c r="K92" s="1029"/>
      <c r="L92" s="1018"/>
      <c r="M92" s="1011"/>
      <c r="N92" s="1011"/>
    </row>
    <row r="93" spans="1:21">
      <c r="A93" s="1062"/>
      <c r="K93" s="1009"/>
      <c r="P93" s="1009"/>
      <c r="Q93" s="1029"/>
      <c r="R93" s="1018"/>
      <c r="S93" s="1011"/>
      <c r="T93" s="1011"/>
    </row>
    <row r="95" spans="1:21">
      <c r="A95" s="1003" t="s">
        <v>68</v>
      </c>
      <c r="B95" s="1006" t="s">
        <v>12</v>
      </c>
      <c r="C95" s="1007" t="s">
        <v>205</v>
      </c>
      <c r="D95" s="1006" t="s">
        <v>205</v>
      </c>
      <c r="E95" s="1007"/>
      <c r="F95" s="1006"/>
      <c r="G95" s="1007" t="s">
        <v>1</v>
      </c>
      <c r="H95" s="1008"/>
      <c r="I95" s="1008"/>
      <c r="J95" s="1009"/>
      <c r="K95" s="1010"/>
      <c r="L95" s="1010"/>
      <c r="M95" s="1010"/>
      <c r="N95" s="1010"/>
      <c r="O95" s="1009"/>
      <c r="P95" s="1008"/>
      <c r="Q95" s="1008"/>
      <c r="R95" s="1008"/>
      <c r="S95" s="1008"/>
    </row>
    <row r="96" spans="1:21">
      <c r="A96" s="1005" t="s">
        <v>18</v>
      </c>
      <c r="B96" s="1006" t="s">
        <v>16</v>
      </c>
      <c r="C96" s="1007" t="s">
        <v>206</v>
      </c>
      <c r="D96" s="1006" t="s">
        <v>207</v>
      </c>
      <c r="E96" s="1007" t="s">
        <v>206</v>
      </c>
      <c r="F96" s="1006" t="s">
        <v>207</v>
      </c>
      <c r="G96" s="1007" t="s">
        <v>26</v>
      </c>
      <c r="H96" s="1009"/>
      <c r="K96" s="1008" t="s">
        <v>208</v>
      </c>
      <c r="L96" s="1008"/>
      <c r="M96" s="1011"/>
      <c r="N96" s="1011"/>
      <c r="O96" s="1011"/>
      <c r="P96" s="1012"/>
      <c r="Q96" s="1009"/>
      <c r="R96" s="1009"/>
      <c r="S96" s="1009"/>
      <c r="T96" s="1009"/>
      <c r="U96" s="1009"/>
    </row>
    <row r="97" spans="1:24">
      <c r="A97" s="1006" t="s">
        <v>24</v>
      </c>
      <c r="B97" s="1013" t="s">
        <v>23</v>
      </c>
      <c r="C97" s="1014" t="s">
        <v>23</v>
      </c>
      <c r="D97" s="1013" t="s">
        <v>23</v>
      </c>
      <c r="E97" s="1014" t="s">
        <v>38</v>
      </c>
      <c r="F97" s="1013" t="s">
        <v>38</v>
      </c>
      <c r="G97" s="1015" t="s">
        <v>198</v>
      </c>
      <c r="H97" s="1009"/>
      <c r="K97" s="1016" t="s">
        <v>904</v>
      </c>
      <c r="L97" s="1016"/>
      <c r="M97" s="1009"/>
      <c r="N97" s="1009"/>
      <c r="O97" s="1009"/>
      <c r="P97" s="1009"/>
      <c r="Q97" s="1009"/>
    </row>
    <row r="98" spans="1:24">
      <c r="A98" s="1017">
        <v>41275</v>
      </c>
      <c r="B98" s="1018">
        <f>'Temp. Adjustments'!G5</f>
        <v>-688.70817269560882</v>
      </c>
      <c r="C98" s="1019">
        <f>$B98*$L$10/$L$12</f>
        <v>-293.64556887429956</v>
      </c>
      <c r="D98" s="1018">
        <f t="shared" ref="D98:D109" si="23">$B98*$L$11/$L$12</f>
        <v>-395.06260382130927</v>
      </c>
      <c r="E98" s="1020">
        <v>5.2920000000000002E-2</v>
      </c>
      <c r="F98" s="1021">
        <v>4.8500000000000001E-2</v>
      </c>
      <c r="G98" s="1022">
        <f>ROUND((C98*E98+D98*F98)*1000,2)/1000</f>
        <v>-34.70026</v>
      </c>
      <c r="H98" s="1009"/>
      <c r="I98" s="1023"/>
      <c r="K98" s="1024" t="s">
        <v>209</v>
      </c>
      <c r="L98" s="1025">
        <v>357745642</v>
      </c>
      <c r="M98" s="1009"/>
      <c r="N98" s="1009"/>
      <c r="O98" s="1026"/>
      <c r="P98" s="1009"/>
      <c r="Q98" s="1009"/>
    </row>
    <row r="99" spans="1:24">
      <c r="A99" s="1017">
        <v>41306</v>
      </c>
      <c r="B99" s="1018">
        <f>'Temp. Adjustments'!G6</f>
        <v>1135.6745899668365</v>
      </c>
      <c r="C99" s="1019">
        <f t="shared" ref="C99:C109" si="24">$B99*$L$10/$L$12</f>
        <v>484.21933156627534</v>
      </c>
      <c r="D99" s="1018">
        <f t="shared" si="23"/>
        <v>651.45525840056121</v>
      </c>
      <c r="E99" s="1020">
        <v>5.2920000000000002E-2</v>
      </c>
      <c r="F99" s="1021">
        <v>4.8500000000000001E-2</v>
      </c>
      <c r="G99" s="1022">
        <f t="shared" ref="G99:G102" si="25">ROUND((C99*E99+D99*F99)*1000,2)/1000</f>
        <v>57.220469999999999</v>
      </c>
      <c r="H99" s="1009"/>
      <c r="I99" s="1023"/>
      <c r="K99" s="1027" t="s">
        <v>210</v>
      </c>
      <c r="L99" s="1028">
        <v>447598012</v>
      </c>
      <c r="M99" s="1009"/>
      <c r="N99" s="1009"/>
      <c r="O99" s="1026"/>
      <c r="P99" s="1009"/>
      <c r="Q99" s="1009"/>
    </row>
    <row r="100" spans="1:24">
      <c r="A100" s="1017">
        <v>41334</v>
      </c>
      <c r="B100" s="1018">
        <f>'Temp. Adjustments'!G7</f>
        <v>1034.1631979710282</v>
      </c>
      <c r="C100" s="1019">
        <f>$B100*$L$10/$L$12</f>
        <v>440.93776234493015</v>
      </c>
      <c r="D100" s="1018">
        <f t="shared" si="23"/>
        <v>593.22543562609803</v>
      </c>
      <c r="E100" s="1020">
        <v>5.2920000000000002E-2</v>
      </c>
      <c r="F100" s="1021">
        <v>4.8500000000000001E-2</v>
      </c>
      <c r="G100" s="1022">
        <f t="shared" si="25"/>
        <v>52.10586</v>
      </c>
      <c r="H100" s="1009"/>
      <c r="I100" s="1023"/>
      <c r="K100" s="1029" t="s">
        <v>9</v>
      </c>
      <c r="L100" s="1018">
        <f>SUM(L98:L99)</f>
        <v>805343654</v>
      </c>
      <c r="M100" s="1009"/>
      <c r="N100" s="1009"/>
      <c r="O100" s="1026"/>
      <c r="P100" s="1009"/>
      <c r="Q100" s="1009"/>
    </row>
    <row r="101" spans="1:24">
      <c r="A101" s="1017">
        <v>41365</v>
      </c>
      <c r="B101" s="1018">
        <f>'Temp. Adjustments'!G8</f>
        <v>690.93675679804483</v>
      </c>
      <c r="C101" s="1019">
        <f t="shared" si="24"/>
        <v>294.59577372519112</v>
      </c>
      <c r="D101" s="1018">
        <f t="shared" si="23"/>
        <v>396.3409830728537</v>
      </c>
      <c r="E101" s="1020">
        <v>5.2920000000000002E-2</v>
      </c>
      <c r="F101" s="1021">
        <v>4.8500000000000001E-2</v>
      </c>
      <c r="G101" s="1022">
        <f t="shared" si="25"/>
        <v>34.812550000000002</v>
      </c>
      <c r="H101" s="1009"/>
      <c r="I101" s="1030"/>
      <c r="J101" s="1018"/>
      <c r="K101" s="1011"/>
      <c r="L101" s="1018"/>
      <c r="M101" s="1009"/>
      <c r="N101" s="1009"/>
      <c r="O101" s="1026"/>
      <c r="P101" s="1009"/>
      <c r="Q101" s="1009"/>
    </row>
    <row r="102" spans="1:24">
      <c r="A102" s="1017">
        <v>41395</v>
      </c>
      <c r="B102" s="1018">
        <f>'Temp. Adjustments'!G9</f>
        <v>-1140.5025345823153</v>
      </c>
      <c r="C102" s="1019">
        <f t="shared" si="24"/>
        <v>-486.27782977975954</v>
      </c>
      <c r="D102" s="1018">
        <f t="shared" si="23"/>
        <v>-654.22470480255572</v>
      </c>
      <c r="E102" s="1020">
        <v>5.2920000000000002E-2</v>
      </c>
      <c r="F102" s="1021">
        <v>4.8500000000000001E-2</v>
      </c>
      <c r="G102" s="1022">
        <f t="shared" si="25"/>
        <v>-57.463720000000002</v>
      </c>
      <c r="H102" s="1009"/>
      <c r="I102" s="1017"/>
      <c r="J102" s="1018"/>
      <c r="K102" s="1011"/>
      <c r="L102" s="1018"/>
      <c r="M102" s="1009"/>
      <c r="N102" s="1009"/>
      <c r="O102" s="1026"/>
      <c r="P102" s="1009"/>
      <c r="Q102" s="1009"/>
    </row>
    <row r="103" spans="1:24">
      <c r="A103" s="1017">
        <v>41426</v>
      </c>
      <c r="B103" s="1018">
        <f>'Temp. Adjustments'!G10</f>
        <v>-1321.8580029014943</v>
      </c>
      <c r="C103" s="1019">
        <f t="shared" si="24"/>
        <v>-563.60264132455779</v>
      </c>
      <c r="D103" s="1018">
        <f t="shared" si="23"/>
        <v>-758.25536157693648</v>
      </c>
      <c r="E103" s="1020">
        <v>5.2920000000000002E-2</v>
      </c>
      <c r="F103" s="1021">
        <v>4.8500000000000001E-2</v>
      </c>
      <c r="G103" s="1031">
        <f>ROUND((C103*E103+D103*F103)*1000,2)/1000</f>
        <v>-66.601240000000004</v>
      </c>
      <c r="H103" s="1009"/>
      <c r="I103" s="1017"/>
      <c r="J103" s="1018"/>
      <c r="K103" s="1011"/>
      <c r="L103" s="1018"/>
      <c r="M103" s="1009"/>
      <c r="N103" s="1009"/>
      <c r="O103" s="1026"/>
      <c r="P103" s="1009"/>
      <c r="Q103" s="1009"/>
    </row>
    <row r="104" spans="1:24">
      <c r="A104" s="1017">
        <v>41456</v>
      </c>
      <c r="B104" s="1018">
        <f>'Temp. Adjustments'!G11</f>
        <v>-5870.7314335979609</v>
      </c>
      <c r="C104" s="1019">
        <f t="shared" si="24"/>
        <v>-2503.1128420905657</v>
      </c>
      <c r="D104" s="1018">
        <f t="shared" si="23"/>
        <v>-3367.6185915073947</v>
      </c>
      <c r="E104" s="1020">
        <v>5.2920000000000002E-2</v>
      </c>
      <c r="F104" s="1021">
        <v>4.8500000000000001E-2</v>
      </c>
      <c r="G104" s="1022">
        <f>ROUND((C104*E104+D104*F104)*1000,2)/1000</f>
        <v>-295.79422999999997</v>
      </c>
      <c r="H104" s="1017"/>
      <c r="I104" s="1017"/>
      <c r="J104" s="1018"/>
      <c r="K104" s="1011"/>
      <c r="L104" s="1011"/>
      <c r="M104" s="1009"/>
      <c r="N104" s="1009"/>
      <c r="O104" s="1026"/>
      <c r="P104" s="1009"/>
      <c r="Q104" s="1009"/>
    </row>
    <row r="105" spans="1:24">
      <c r="A105" s="1017">
        <v>41487</v>
      </c>
      <c r="B105" s="1018">
        <f>'Temp. Adjustments'!G12</f>
        <v>-3168.7127753355376</v>
      </c>
      <c r="C105" s="1019">
        <f t="shared" si="24"/>
        <v>-1351.0489673307709</v>
      </c>
      <c r="D105" s="1018">
        <f t="shared" si="23"/>
        <v>-1817.6638080047667</v>
      </c>
      <c r="E105" s="1020">
        <v>5.2920000000000002E-2</v>
      </c>
      <c r="F105" s="1021">
        <v>4.8500000000000001E-2</v>
      </c>
      <c r="G105" s="1022">
        <f t="shared" ref="G105:G109" si="26">ROUND((C105*E105+D105*F105)*1000,2)/1000</f>
        <v>-159.65420999999998</v>
      </c>
      <c r="H105" s="1009" t="s">
        <v>31</v>
      </c>
      <c r="I105" s="1017"/>
      <c r="J105" s="1018"/>
      <c r="K105" s="1011"/>
      <c r="L105" s="1011"/>
      <c r="M105" s="1009"/>
      <c r="N105" s="1009"/>
      <c r="O105" s="1026"/>
      <c r="P105" s="1009"/>
      <c r="Q105" s="1009"/>
    </row>
    <row r="106" spans="1:24">
      <c r="A106" s="1017">
        <v>41518</v>
      </c>
      <c r="B106" s="1018">
        <f>'Temp. Adjustments'!G13</f>
        <v>-2086.448159407435</v>
      </c>
      <c r="C106" s="1019">
        <f t="shared" si="24"/>
        <v>-889.60212900902889</v>
      </c>
      <c r="D106" s="1018">
        <f t="shared" si="23"/>
        <v>-1196.8460303984061</v>
      </c>
      <c r="E106" s="1020">
        <v>5.2920000000000002E-2</v>
      </c>
      <c r="F106" s="1021">
        <v>4.8500000000000001E-2</v>
      </c>
      <c r="G106" s="1022">
        <f t="shared" si="26"/>
        <v>-105.12478</v>
      </c>
      <c r="H106" s="1009"/>
      <c r="I106" s="1017"/>
      <c r="J106" s="1018"/>
      <c r="K106" s="1011"/>
      <c r="L106" s="1011"/>
      <c r="M106" s="1009"/>
      <c r="N106" s="1009"/>
      <c r="O106" s="1026"/>
      <c r="P106" s="1009"/>
      <c r="Q106" s="1009"/>
    </row>
    <row r="107" spans="1:24">
      <c r="A107" s="1017">
        <v>41548</v>
      </c>
      <c r="B107" s="1018">
        <f>'Temp. Adjustments'!G14</f>
        <v>1602.5666262264222</v>
      </c>
      <c r="C107" s="1019">
        <f t="shared" si="24"/>
        <v>683.28881124692543</v>
      </c>
      <c r="D107" s="1018">
        <f t="shared" si="23"/>
        <v>919.27781497949672</v>
      </c>
      <c r="E107" s="1020">
        <v>5.2920000000000002E-2</v>
      </c>
      <c r="F107" s="1021">
        <v>4.8500000000000001E-2</v>
      </c>
      <c r="G107" s="1022">
        <f t="shared" si="26"/>
        <v>80.744619999999998</v>
      </c>
      <c r="H107" s="1017"/>
      <c r="I107" s="1017"/>
      <c r="J107" s="1018"/>
      <c r="K107" s="1011"/>
      <c r="L107" s="1011"/>
      <c r="M107" s="1009"/>
      <c r="N107" s="1009"/>
      <c r="O107" s="1026"/>
      <c r="P107" s="1009"/>
      <c r="Q107" s="1009"/>
    </row>
    <row r="108" spans="1:24">
      <c r="A108" s="1017">
        <v>41579</v>
      </c>
      <c r="B108" s="1018">
        <f>'Temp. Adjustments'!G15</f>
        <v>100.8161533180693</v>
      </c>
      <c r="C108" s="1019">
        <f t="shared" si="24"/>
        <v>42.985139230934266</v>
      </c>
      <c r="D108" s="1018">
        <f t="shared" si="23"/>
        <v>57.831014087135038</v>
      </c>
      <c r="E108" s="1020">
        <v>5.2920000000000002E-2</v>
      </c>
      <c r="F108" s="1021">
        <v>4.8500000000000001E-2</v>
      </c>
      <c r="G108" s="1022">
        <f t="shared" si="26"/>
        <v>5.07958</v>
      </c>
      <c r="H108" s="1017"/>
      <c r="I108" s="1023"/>
      <c r="J108" s="1018"/>
      <c r="K108" s="1011"/>
      <c r="L108" s="1011"/>
      <c r="M108" s="1009"/>
      <c r="N108" s="1009"/>
      <c r="O108" s="1026"/>
      <c r="P108" s="1009"/>
      <c r="Q108" s="1009"/>
    </row>
    <row r="109" spans="1:24">
      <c r="A109" s="1017">
        <v>41609</v>
      </c>
      <c r="B109" s="1054">
        <f>'Temp. Adjustments'!G16</f>
        <v>-1495.837069997137</v>
      </c>
      <c r="C109" s="1033">
        <f t="shared" si="24"/>
        <v>-637.78236526998512</v>
      </c>
      <c r="D109" s="1032">
        <f t="shared" si="23"/>
        <v>-858.05470472715194</v>
      </c>
      <c r="E109" s="1034">
        <f>0.05292*10/31+0.05629*21/31</f>
        <v>5.5202903225806454E-2</v>
      </c>
      <c r="F109" s="1035">
        <f>0.0485*10/31+0.05157*21/31</f>
        <v>5.0579677419354832E-2</v>
      </c>
      <c r="G109" s="1036">
        <f t="shared" si="26"/>
        <v>-78.60757000000001</v>
      </c>
      <c r="H109" s="1009"/>
      <c r="I109" s="1023"/>
      <c r="J109" s="1018"/>
      <c r="K109" s="1011"/>
      <c r="L109" s="1011"/>
      <c r="M109" s="1009"/>
      <c r="N109" s="1009"/>
      <c r="O109" s="1009"/>
      <c r="P109" s="1009"/>
      <c r="Q109" s="1009"/>
    </row>
    <row r="110" spans="1:24">
      <c r="A110" s="1009" t="s">
        <v>9</v>
      </c>
      <c r="B110" s="1026">
        <f>SUM(B98:B109)</f>
        <v>-11208.640824237087</v>
      </c>
      <c r="C110" s="1019">
        <f>SUM(C98:C109)</f>
        <v>-4779.0455255647112</v>
      </c>
      <c r="D110" s="1026">
        <f>SUM(D98:D109)</f>
        <v>-6429.5952986723769</v>
      </c>
      <c r="E110" s="1037" t="s">
        <v>31</v>
      </c>
      <c r="F110" s="1005" t="s">
        <v>31</v>
      </c>
      <c r="G110" s="1038">
        <f>SUM(G98:G109)</f>
        <v>-567.98293000000001</v>
      </c>
      <c r="H110" s="1039"/>
      <c r="I110" s="1011"/>
      <c r="J110" s="1018"/>
      <c r="K110" s="1011"/>
      <c r="L110" s="1040"/>
      <c r="M110" s="1009"/>
      <c r="N110" s="1009"/>
      <c r="O110" s="1026"/>
      <c r="P110" s="1009"/>
      <c r="Q110" s="1041"/>
    </row>
    <row r="111" spans="1:24">
      <c r="A111" s="1009"/>
      <c r="B111" s="1026"/>
      <c r="C111" s="1026"/>
      <c r="D111" s="1026"/>
      <c r="E111" s="1026"/>
      <c r="F111" s="1026"/>
      <c r="G111" s="1026"/>
      <c r="H111" s="1026"/>
      <c r="I111" s="1026"/>
      <c r="J111" s="1026"/>
      <c r="L111" s="1042"/>
      <c r="M111" s="1009"/>
      <c r="N111" s="1011"/>
      <c r="O111" s="1018"/>
      <c r="P111" s="1011"/>
      <c r="Q111" s="1040"/>
      <c r="R111" s="1009"/>
      <c r="S111" s="1009"/>
      <c r="T111" s="1026"/>
      <c r="U111" s="1009"/>
      <c r="V111" s="1041"/>
    </row>
    <row r="112" spans="1:24" ht="16.5" customHeight="1">
      <c r="A112" s="1003" t="s">
        <v>908</v>
      </c>
      <c r="B112" s="1006" t="s">
        <v>12</v>
      </c>
      <c r="C112" s="1007"/>
      <c r="D112" s="1007" t="s">
        <v>1</v>
      </c>
      <c r="E112" s="1003" t="s">
        <v>908</v>
      </c>
      <c r="F112" s="1006" t="s">
        <v>12</v>
      </c>
      <c r="G112" s="1007"/>
      <c r="H112" s="1007" t="s">
        <v>1</v>
      </c>
      <c r="J112" s="1042"/>
      <c r="K112" s="1009"/>
      <c r="L112" s="1011"/>
      <c r="M112" s="1018"/>
      <c r="N112" s="1011"/>
      <c r="O112" s="1040"/>
      <c r="P112" s="1009"/>
      <c r="Q112" s="1009"/>
      <c r="R112" s="1026"/>
      <c r="S112" s="1009"/>
      <c r="T112" s="1041"/>
      <c r="X112" s="1005" t="s">
        <v>31</v>
      </c>
    </row>
    <row r="113" spans="1:20">
      <c r="A113" s="1005" t="s">
        <v>909</v>
      </c>
      <c r="B113" s="1006" t="s">
        <v>16</v>
      </c>
      <c r="C113" s="1007" t="s">
        <v>206</v>
      </c>
      <c r="D113" s="1007" t="s">
        <v>26</v>
      </c>
      <c r="E113" s="1005" t="s">
        <v>910</v>
      </c>
      <c r="F113" s="1006" t="s">
        <v>16</v>
      </c>
      <c r="G113" s="1007" t="s">
        <v>206</v>
      </c>
      <c r="H113" s="1007" t="s">
        <v>26</v>
      </c>
      <c r="I113" s="1008"/>
    </row>
    <row r="114" spans="1:20">
      <c r="A114" s="1006" t="s">
        <v>24</v>
      </c>
      <c r="B114" s="1013" t="s">
        <v>23</v>
      </c>
      <c r="C114" s="1014" t="s">
        <v>38</v>
      </c>
      <c r="D114" s="1015" t="s">
        <v>198</v>
      </c>
      <c r="E114" s="1009"/>
      <c r="F114" s="1013" t="s">
        <v>23</v>
      </c>
      <c r="G114" s="1014" t="s">
        <v>38</v>
      </c>
      <c r="H114" s="1015" t="s">
        <v>198</v>
      </c>
      <c r="I114" s="1008"/>
      <c r="J114" s="1009"/>
      <c r="K114" s="1010"/>
      <c r="L114" s="1010"/>
      <c r="M114" s="1010"/>
      <c r="N114" s="1010"/>
    </row>
    <row r="115" spans="1:20">
      <c r="A115" s="1017">
        <v>41275</v>
      </c>
      <c r="B115" s="1018">
        <f>'Temp. Adjustments'!H5*Temperature!$L$115/Temperature!$L$117</f>
        <v>-84.865517591874209</v>
      </c>
      <c r="C115" s="1020">
        <v>4.2459999999999998E-2</v>
      </c>
      <c r="D115" s="1022">
        <f>ROUND((B115*C115)*1000,2)/1000</f>
        <v>-3.6033900000000001</v>
      </c>
      <c r="E115" s="1026"/>
      <c r="F115" s="1018">
        <f>'Temp. Adjustments'!H5*Temperature!$L$116/Temperature!$L$117</f>
        <v>-50.40671381460254</v>
      </c>
      <c r="G115" s="1020">
        <v>4.1919999999999999E-2</v>
      </c>
      <c r="H115" s="1022">
        <f>ROUND((F115*G115)*1000,2)/1000</f>
        <v>-2.1130500000000003</v>
      </c>
      <c r="I115" s="1008"/>
      <c r="J115" s="1009"/>
      <c r="K115" s="1011" t="s">
        <v>815</v>
      </c>
      <c r="L115" s="1018">
        <v>108093662</v>
      </c>
      <c r="M115" s="1011"/>
      <c r="N115" s="1012"/>
    </row>
    <row r="116" spans="1:20">
      <c r="A116" s="1017">
        <v>41306</v>
      </c>
      <c r="B116" s="1018">
        <f>'Temp. Adjustments'!H6*Temperature!$L$115/Temperature!$L$117</f>
        <v>134.57742770315977</v>
      </c>
      <c r="C116" s="1020">
        <v>4.2459999999999998E-2</v>
      </c>
      <c r="D116" s="1022">
        <f t="shared" ref="D116:D126" si="27">ROUND((B116*C116)*1000,2)/1000</f>
        <v>5.7141599999999997</v>
      </c>
      <c r="E116" s="1026"/>
      <c r="F116" s="1018">
        <f>'Temp. Adjustments'!H6*Temperature!$L$116/Temperature!$L$117</f>
        <v>79.933594663989425</v>
      </c>
      <c r="G116" s="1020">
        <v>4.1919999999999999E-2</v>
      </c>
      <c r="H116" s="1022">
        <f t="shared" ref="H116:H126" si="28">ROUND((F116*G116)*1000,2)/1000</f>
        <v>3.3508200000000001</v>
      </c>
      <c r="I116" s="1008"/>
      <c r="J116" s="1009"/>
      <c r="K116" s="1505" t="s">
        <v>816</v>
      </c>
      <c r="L116" s="1028">
        <v>64203300</v>
      </c>
      <c r="M116" s="1012"/>
      <c r="N116" s="1012"/>
    </row>
    <row r="117" spans="1:20">
      <c r="A117" s="1017">
        <v>41334</v>
      </c>
      <c r="B117" s="1018">
        <f>'Temp. Adjustments'!H7*Temperature!$L$115/Temperature!$L$117</f>
        <v>142.00881038758629</v>
      </c>
      <c r="C117" s="1020">
        <v>4.2459999999999998E-2</v>
      </c>
      <c r="D117" s="1022">
        <f t="shared" si="27"/>
        <v>6.0296899999999996</v>
      </c>
      <c r="E117" s="1026"/>
      <c r="F117" s="1018">
        <f>'Temp. Adjustments'!H7*Temperature!$L$116/Temperature!$L$117</f>
        <v>84.347537933882933</v>
      </c>
      <c r="G117" s="1020">
        <v>4.1919999999999999E-2</v>
      </c>
      <c r="H117" s="1022">
        <f t="shared" si="28"/>
        <v>3.5358499999999999</v>
      </c>
      <c r="I117" s="1008"/>
      <c r="J117" s="1009"/>
      <c r="K117" s="1029"/>
      <c r="L117" s="1018">
        <f>SUM(L115:L116)</f>
        <v>172296962</v>
      </c>
      <c r="M117" s="1011"/>
      <c r="N117" s="1011"/>
    </row>
    <row r="118" spans="1:20">
      <c r="A118" s="1017">
        <v>41365</v>
      </c>
      <c r="B118" s="1018">
        <f>'Temp. Adjustments'!H8*Temperature!$L$115/Temperature!$L$117</f>
        <v>91.469327664254763</v>
      </c>
      <c r="C118" s="1020">
        <v>4.2459999999999998E-2</v>
      </c>
      <c r="D118" s="1022">
        <f t="shared" si="27"/>
        <v>3.8837899999999999</v>
      </c>
      <c r="E118" s="1026"/>
      <c r="F118" s="1018">
        <f>'Temp. Adjustments'!H8*Temperature!$L$116/Temperature!$L$117</f>
        <v>54.329112143748517</v>
      </c>
      <c r="G118" s="1020">
        <v>4.1919999999999999E-2</v>
      </c>
      <c r="H118" s="1022">
        <f t="shared" si="28"/>
        <v>2.2774800000000002</v>
      </c>
      <c r="I118" s="1008"/>
      <c r="J118" s="1009"/>
      <c r="K118" s="1029"/>
      <c r="L118" s="1018"/>
      <c r="M118" s="1011"/>
      <c r="N118" s="1011"/>
    </row>
    <row r="119" spans="1:20">
      <c r="A119" s="1017">
        <v>41395</v>
      </c>
      <c r="B119" s="1018">
        <f>'Temp. Adjustments'!H9*Temperature!$L$115/Temperature!$L$117</f>
        <v>-149.588816116201</v>
      </c>
      <c r="C119" s="1020">
        <v>4.2459999999999998E-2</v>
      </c>
      <c r="D119" s="1022">
        <f t="shared" si="27"/>
        <v>-6.35154</v>
      </c>
      <c r="E119" s="1026"/>
      <c r="F119" s="1018">
        <f>'Temp. Adjustments'!H9*Temperature!$L$116/Temperature!$L$117</f>
        <v>-88.849757331315956</v>
      </c>
      <c r="G119" s="1020">
        <v>4.1919999999999999E-2</v>
      </c>
      <c r="H119" s="1022">
        <f t="shared" si="28"/>
        <v>-3.72458</v>
      </c>
      <c r="I119" s="1018"/>
      <c r="J119" s="1009"/>
      <c r="K119" s="1029"/>
      <c r="L119" s="1018"/>
      <c r="M119" s="1011"/>
      <c r="N119" s="1011"/>
    </row>
    <row r="120" spans="1:20">
      <c r="A120" s="1017">
        <v>41426</v>
      </c>
      <c r="B120" s="1018">
        <f>'Temp. Adjustments'!H10*Temperature!$L$115/Temperature!$L$117</f>
        <v>-173.9165517587281</v>
      </c>
      <c r="C120" s="1020">
        <v>4.2459999999999998E-2</v>
      </c>
      <c r="D120" s="1022">
        <f t="shared" si="27"/>
        <v>-7.3845000000000001</v>
      </c>
      <c r="E120" s="1026"/>
      <c r="F120" s="1018">
        <f>'Temp. Adjustments'!H10*Temperature!$L$116/Temperature!$L$117</f>
        <v>-103.29945660950175</v>
      </c>
      <c r="G120" s="1020">
        <v>4.1919999999999999E-2</v>
      </c>
      <c r="H120" s="1022">
        <f t="shared" si="28"/>
        <v>-4.3303100000000008</v>
      </c>
      <c r="I120" s="1018"/>
      <c r="J120" s="1009"/>
      <c r="K120" s="1029"/>
      <c r="L120" s="1018"/>
      <c r="M120" s="1011"/>
      <c r="N120" s="1011"/>
    </row>
    <row r="121" spans="1:20">
      <c r="A121" s="1017">
        <v>41456</v>
      </c>
      <c r="B121" s="1018">
        <f>'Temp. Adjustments'!H11*Temperature!$L$115/Temperature!$L$117</f>
        <v>-828.33902631649187</v>
      </c>
      <c r="C121" s="1020">
        <v>4.2459999999999998E-2</v>
      </c>
      <c r="D121" s="1022">
        <f t="shared" si="27"/>
        <v>-35.171279999999996</v>
      </c>
      <c r="E121" s="1026"/>
      <c r="F121" s="1018">
        <f>'Temp. Adjustments'!H11*Temperature!$L$116/Temperature!$L$117</f>
        <v>-492.00016008621878</v>
      </c>
      <c r="G121" s="1020">
        <v>4.1919999999999999E-2</v>
      </c>
      <c r="H121" s="1022">
        <f t="shared" si="28"/>
        <v>-20.624650000000003</v>
      </c>
      <c r="J121" s="1009"/>
      <c r="K121" s="1029"/>
      <c r="L121" s="1018"/>
      <c r="M121" s="1011"/>
      <c r="N121" s="1011"/>
    </row>
    <row r="122" spans="1:20">
      <c r="A122" s="1017">
        <v>41487</v>
      </c>
      <c r="B122" s="1018">
        <f>'Temp. Adjustments'!H12*Temperature!$L$115/Temperature!$L$117</f>
        <v>-437.37805247123526</v>
      </c>
      <c r="C122" s="1020">
        <v>4.2459999999999998E-2</v>
      </c>
      <c r="D122" s="1022">
        <f t="shared" si="27"/>
        <v>-18.571069999999999</v>
      </c>
      <c r="E122" s="1026"/>
      <c r="F122" s="1018">
        <f>'Temp. Adjustments'!H12*Temperature!$L$116/Temperature!$L$117</f>
        <v>-259.78502158828201</v>
      </c>
      <c r="G122" s="1020">
        <v>4.1919999999999999E-2</v>
      </c>
      <c r="H122" s="1022">
        <f t="shared" si="28"/>
        <v>-10.89019</v>
      </c>
      <c r="J122" s="1009"/>
      <c r="K122" s="1029"/>
      <c r="L122" s="1018"/>
      <c r="M122" s="1011"/>
      <c r="N122" s="1011"/>
    </row>
    <row r="123" spans="1:20">
      <c r="A123" s="1017">
        <v>41518</v>
      </c>
      <c r="B123" s="1018">
        <f>'Temp. Adjustments'!H13*Temperature!$L$115/Temperature!$L$117</f>
        <v>-299.97356616371184</v>
      </c>
      <c r="C123" s="1020">
        <v>4.2459999999999998E-2</v>
      </c>
      <c r="D123" s="1022">
        <f t="shared" si="27"/>
        <v>-12.736879999999999</v>
      </c>
      <c r="E123" s="1026"/>
      <c r="F123" s="1018">
        <f>'Temp. Adjustments'!H13*Temperature!$L$116/Temperature!$L$117</f>
        <v>-178.17226749592996</v>
      </c>
      <c r="G123" s="1020">
        <v>4.1919999999999999E-2</v>
      </c>
      <c r="H123" s="1022">
        <f t="shared" si="28"/>
        <v>-7.4689799999999993</v>
      </c>
      <c r="J123" s="1009"/>
      <c r="K123" s="1029"/>
      <c r="L123" s="1018"/>
      <c r="M123" s="1011"/>
      <c r="N123" s="1011"/>
    </row>
    <row r="124" spans="1:20">
      <c r="A124" s="1017">
        <v>41548</v>
      </c>
      <c r="B124" s="1018">
        <f>'Temp. Adjustments'!H14*Temperature!$L$115/Temperature!$L$117</f>
        <v>224.30852375718774</v>
      </c>
      <c r="C124" s="1020">
        <v>4.2459999999999998E-2</v>
      </c>
      <c r="D124" s="1022">
        <f t="shared" si="27"/>
        <v>9.5241399999999992</v>
      </c>
      <c r="E124" s="1026"/>
      <c r="F124" s="1018">
        <f>'Temp. Adjustments'!H14*Temperature!$L$116/Temperature!$L$117</f>
        <v>133.2302669451596</v>
      </c>
      <c r="G124" s="1020">
        <v>4.1919999999999999E-2</v>
      </c>
      <c r="H124" s="1022">
        <f t="shared" si="28"/>
        <v>5.5850100000000005</v>
      </c>
      <c r="J124" s="1009"/>
      <c r="K124" s="1029"/>
      <c r="L124" s="1018"/>
      <c r="M124" s="1011"/>
      <c r="N124" s="1011"/>
    </row>
    <row r="125" spans="1:20">
      <c r="A125" s="1017">
        <v>41579</v>
      </c>
      <c r="B125" s="1018">
        <f>'Temp. Adjustments'!H15*Temperature!$L$115/Temperature!$L$117</f>
        <v>14.492047252143918</v>
      </c>
      <c r="C125" s="1020">
        <v>4.2459999999999998E-2</v>
      </c>
      <c r="D125" s="1022">
        <f t="shared" si="27"/>
        <v>0.61533000000000004</v>
      </c>
      <c r="E125" s="1026"/>
      <c r="F125" s="1018">
        <f>'Temp. Adjustments'!H15*Temperature!$L$116/Temperature!$L$117</f>
        <v>8.6076948465634526</v>
      </c>
      <c r="G125" s="1020">
        <v>4.1919999999999999E-2</v>
      </c>
      <c r="H125" s="1022">
        <f t="shared" si="28"/>
        <v>0.36082999999999998</v>
      </c>
      <c r="J125" s="1009"/>
      <c r="K125" s="1029"/>
      <c r="L125" s="1018"/>
      <c r="M125" s="1011"/>
      <c r="N125" s="1011"/>
    </row>
    <row r="126" spans="1:20">
      <c r="A126" s="1017">
        <v>41609</v>
      </c>
      <c r="B126" s="1028">
        <f>'Temp. Adjustments'!H16*Temperature!$L$115/Temperature!$L$117</f>
        <v>-199.67479041077706</v>
      </c>
      <c r="C126" s="1035">
        <f>0.04246*10/31+0.04514*21/31</f>
        <v>4.427548387096774E-2</v>
      </c>
      <c r="D126" s="1036">
        <f t="shared" si="27"/>
        <v>-8.8407</v>
      </c>
      <c r="E126" s="1026"/>
      <c r="F126" s="1028">
        <f>'Temp. Adjustments'!H16*Temperature!$L$116/Temperature!$L$117</f>
        <v>-118.59881730327761</v>
      </c>
      <c r="G126" s="1035">
        <f>0.04192*10/31+0.04459*21/31</f>
        <v>4.3728709677419354E-2</v>
      </c>
      <c r="H126" s="1036">
        <f t="shared" si="28"/>
        <v>-5.1861699999999997</v>
      </c>
      <c r="J126" s="1009"/>
      <c r="K126" s="1029"/>
      <c r="L126" s="1018"/>
      <c r="M126" s="1011"/>
      <c r="N126" s="1011"/>
    </row>
    <row r="127" spans="1:20">
      <c r="A127" s="1009" t="s">
        <v>9</v>
      </c>
      <c r="B127" s="1026">
        <f>SUM(B115:B126)</f>
        <v>-1566.880184064687</v>
      </c>
      <c r="C127" s="1037" t="s">
        <v>31</v>
      </c>
      <c r="D127" s="1038">
        <f>SUM(D115:D126)</f>
        <v>-66.89224999999999</v>
      </c>
      <c r="E127" s="1039"/>
      <c r="F127" s="1026">
        <f>SUM(F115:F126)</f>
        <v>-930.66398769578461</v>
      </c>
      <c r="G127" s="1037" t="s">
        <v>31</v>
      </c>
      <c r="H127" s="1038">
        <f>SUM(H115:H126)</f>
        <v>-39.227940000000004</v>
      </c>
      <c r="J127" s="1009"/>
      <c r="K127" s="1029"/>
      <c r="L127" s="1018"/>
      <c r="M127" s="1011"/>
      <c r="N127" s="1011"/>
    </row>
    <row r="128" spans="1:20">
      <c r="A128" s="1062"/>
      <c r="K128" s="1009"/>
      <c r="P128" s="1009"/>
      <c r="Q128" s="1029"/>
      <c r="R128" s="1018"/>
      <c r="S128" s="1011"/>
      <c r="T128" s="1011"/>
    </row>
    <row r="129" spans="1:20">
      <c r="B129" s="1063"/>
      <c r="K129" s="1009"/>
      <c r="P129" s="1009"/>
      <c r="Q129" s="1011"/>
      <c r="R129" s="1018"/>
      <c r="S129" s="1064"/>
      <c r="T129" s="978"/>
    </row>
    <row r="130" spans="1:20">
      <c r="J130" s="979" t="s">
        <v>31</v>
      </c>
      <c r="Q130" s="1065"/>
      <c r="R130" s="1065"/>
      <c r="S130" s="1065"/>
      <c r="T130" s="1065"/>
    </row>
    <row r="131" spans="1:20">
      <c r="A131" s="1009"/>
      <c r="B131" s="1009" t="s">
        <v>25</v>
      </c>
      <c r="C131" s="1009" t="s">
        <v>1</v>
      </c>
      <c r="D131" s="1009"/>
      <c r="E131" s="1009"/>
      <c r="G131" s="1009"/>
      <c r="H131" s="1009"/>
      <c r="J131" s="1009"/>
      <c r="K131" s="1009"/>
      <c r="L131" s="1009"/>
      <c r="M131" s="1009"/>
      <c r="N131" s="1009"/>
      <c r="O131" s="1009"/>
      <c r="P131" s="1009"/>
      <c r="Q131" s="1009"/>
      <c r="R131" s="1009"/>
      <c r="S131" s="1009"/>
    </row>
    <row r="132" spans="1:20">
      <c r="A132" s="1009" t="s">
        <v>27</v>
      </c>
      <c r="B132" s="1026">
        <f>(B22+B40+B58+O75)*1000</f>
        <v>-45353077.610151276</v>
      </c>
      <c r="C132" s="1066">
        <f>(G22+G40+G58+V75)*1000</f>
        <v>-3644017.97</v>
      </c>
      <c r="D132" s="1026">
        <f>B132+B134+B136</f>
        <v>-79391667.452180415</v>
      </c>
      <c r="E132" s="1066">
        <f>C132+C134+C136</f>
        <v>-5692761.2700000005</v>
      </c>
      <c r="G132" s="1026"/>
      <c r="H132" s="1026"/>
      <c r="J132" s="1009"/>
      <c r="K132" s="1009" t="s">
        <v>31</v>
      </c>
      <c r="L132" s="1009"/>
      <c r="M132" s="1009"/>
      <c r="N132" s="1009"/>
      <c r="O132" s="1009"/>
      <c r="P132" s="1009"/>
      <c r="Q132" s="1009"/>
      <c r="R132" s="1009"/>
      <c r="S132" s="1009"/>
    </row>
    <row r="134" spans="1:20">
      <c r="A134" s="1009" t="s">
        <v>28</v>
      </c>
      <c r="B134" s="1026">
        <f>(B75+B110+B127+F127)*1000</f>
        <v>-21425787.400499444</v>
      </c>
      <c r="C134" s="1066">
        <f>(I75+G110+D127+H127)*1000</f>
        <v>-1236604.94</v>
      </c>
      <c r="D134" s="1009"/>
      <c r="E134" s="1009"/>
      <c r="G134" s="1026"/>
      <c r="H134" s="1026"/>
      <c r="J134" s="1009"/>
      <c r="K134" s="1009"/>
      <c r="L134" s="1009"/>
      <c r="M134" s="1009"/>
      <c r="N134" s="1009"/>
      <c r="O134" s="1009"/>
      <c r="P134" s="1009"/>
      <c r="Q134" s="1009"/>
      <c r="R134" s="1009"/>
      <c r="S134" s="1009"/>
    </row>
    <row r="135" spans="1:20">
      <c r="A135" s="1009"/>
      <c r="B135" s="1026"/>
      <c r="C135" s="1066"/>
      <c r="D135" s="1009"/>
      <c r="E135" s="1009"/>
      <c r="G135" s="1026"/>
      <c r="H135" s="1026"/>
      <c r="J135" s="1009"/>
      <c r="K135" s="1009"/>
      <c r="L135" s="1009"/>
      <c r="M135" s="1009"/>
      <c r="N135" s="1009"/>
      <c r="O135" s="1009"/>
      <c r="P135" s="1009"/>
      <c r="Q135" s="1009"/>
      <c r="R135" s="1009"/>
      <c r="S135" s="1009"/>
    </row>
    <row r="136" spans="1:20">
      <c r="A136" s="1009" t="s">
        <v>214</v>
      </c>
      <c r="B136" s="1026">
        <f>(B92)*1000</f>
        <v>-12612802.441529689</v>
      </c>
      <c r="C136" s="1066">
        <f>(D92)*1000</f>
        <v>-812138.36</v>
      </c>
      <c r="D136" s="1009"/>
      <c r="E136" s="1009"/>
      <c r="G136" s="1026"/>
      <c r="H136" s="1026"/>
      <c r="J136" s="1009"/>
      <c r="K136" s="1009"/>
      <c r="L136" s="1009"/>
      <c r="M136" s="1009"/>
      <c r="N136" s="1009"/>
      <c r="O136" s="1009"/>
      <c r="P136" s="1009"/>
      <c r="Q136" s="1009"/>
      <c r="R136" s="1009"/>
      <c r="S136" s="1009"/>
    </row>
    <row r="138" spans="1:20">
      <c r="A138" s="1005" t="s">
        <v>213</v>
      </c>
      <c r="B138" s="1009"/>
      <c r="C138" s="1009"/>
      <c r="D138" s="1009"/>
      <c r="E138" s="1009"/>
      <c r="F138" s="1009"/>
      <c r="G138" s="1009"/>
      <c r="H138" s="1009"/>
      <c r="I138" s="1009"/>
      <c r="J138" s="1009"/>
      <c r="K138" s="1009"/>
      <c r="L138" s="1009"/>
      <c r="M138" s="1009"/>
      <c r="N138" s="1009"/>
      <c r="O138" s="1009"/>
      <c r="P138" s="1009"/>
      <c r="Q138" s="1009"/>
      <c r="R138" s="1009"/>
      <c r="S138" s="1009"/>
      <c r="T138" s="1009"/>
    </row>
    <row r="139" spans="1:20">
      <c r="A139" s="1009" t="s">
        <v>31</v>
      </c>
      <c r="B139" s="1009"/>
      <c r="C139" s="1009"/>
      <c r="D139" s="1009"/>
      <c r="E139" s="1009"/>
      <c r="F139" s="1009"/>
      <c r="G139" s="1009"/>
      <c r="H139" s="1009"/>
      <c r="I139" s="1009"/>
      <c r="J139" s="1009"/>
      <c r="K139" s="1009"/>
      <c r="L139" s="1009"/>
      <c r="M139" s="1009"/>
      <c r="N139" s="1009"/>
      <c r="O139" s="1009"/>
      <c r="P139" s="1009"/>
      <c r="Q139" s="1009"/>
      <c r="R139" s="1009"/>
      <c r="S139" s="1009"/>
      <c r="T139" s="1009"/>
    </row>
  </sheetData>
  <printOptions horizontalCentered="1"/>
  <pageMargins left="1" right="0.5" top="0.25" bottom="0.2" header="0.5" footer="0.22"/>
  <pageSetup scale="31" fitToHeight="2" orientation="landscape" r:id="rId1"/>
  <headerFooter alignWithMargins="0">
    <oddFooter>&amp;CPrepared by Pricing&amp;R&amp;D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K35"/>
  <sheetViews>
    <sheetView zoomScale="80" zoomScaleNormal="80" zoomScaleSheetLayoutView="70" workbookViewId="0">
      <pane xSplit="2" ySplit="1" topLeftCell="C2" activePane="bottomRight" state="frozen"/>
      <selection activeCell="A4" sqref="A4:B15"/>
      <selection pane="topRight" activeCell="A4" sqref="A4:B15"/>
      <selection pane="bottomLeft" activeCell="A4" sqref="A4:B15"/>
      <selection pane="bottomRight" activeCell="J43" sqref="J43"/>
    </sheetView>
  </sheetViews>
  <sheetFormatPr defaultRowHeight="12.75"/>
  <cols>
    <col min="1" max="1" width="9" style="1480"/>
    <col min="2" max="2" width="6.375" style="1480" customWidth="1"/>
    <col min="3" max="3" width="11.75" style="1480" bestFit="1" customWidth="1"/>
    <col min="4" max="4" width="9.875" style="1480" customWidth="1"/>
    <col min="5" max="5" width="10.125" style="1480" customWidth="1"/>
    <col min="6" max="8" width="10.75" style="1480" bestFit="1" customWidth="1"/>
    <col min="9" max="11" width="9.5" style="1480" customWidth="1"/>
    <col min="12" max="12" width="5.125" style="1480" customWidth="1"/>
    <col min="13" max="21" width="9" style="1480"/>
    <col min="22" max="22" width="9.125" style="1480" customWidth="1"/>
    <col min="23" max="23" width="9" style="1480"/>
    <col min="24" max="24" width="4.25" style="1480" customWidth="1"/>
    <col min="25" max="257" width="9" style="1480"/>
    <col min="258" max="258" width="6.375" style="1480" customWidth="1"/>
    <col min="259" max="259" width="11.75" style="1480" bestFit="1" customWidth="1"/>
    <col min="260" max="260" width="9.875" style="1480" customWidth="1"/>
    <col min="261" max="261" width="10.125" style="1480" customWidth="1"/>
    <col min="262" max="264" width="10.75" style="1480" bestFit="1" customWidth="1"/>
    <col min="265" max="267" width="9.5" style="1480" customWidth="1"/>
    <col min="268" max="268" width="5.125" style="1480" customWidth="1"/>
    <col min="269" max="277" width="9" style="1480"/>
    <col min="278" max="278" width="9.125" style="1480" customWidth="1"/>
    <col min="279" max="279" width="9" style="1480"/>
    <col min="280" max="280" width="4.25" style="1480" customWidth="1"/>
    <col min="281" max="513" width="9" style="1480"/>
    <col min="514" max="514" width="6.375" style="1480" customWidth="1"/>
    <col min="515" max="515" width="11.75" style="1480" bestFit="1" customWidth="1"/>
    <col min="516" max="516" width="9.875" style="1480" customWidth="1"/>
    <col min="517" max="517" width="10.125" style="1480" customWidth="1"/>
    <col min="518" max="520" width="10.75" style="1480" bestFit="1" customWidth="1"/>
    <col min="521" max="523" width="9.5" style="1480" customWidth="1"/>
    <col min="524" max="524" width="5.125" style="1480" customWidth="1"/>
    <col min="525" max="533" width="9" style="1480"/>
    <col min="534" max="534" width="9.125" style="1480" customWidth="1"/>
    <col min="535" max="535" width="9" style="1480"/>
    <col min="536" max="536" width="4.25" style="1480" customWidth="1"/>
    <col min="537" max="769" width="9" style="1480"/>
    <col min="770" max="770" width="6.375" style="1480" customWidth="1"/>
    <col min="771" max="771" width="11.75" style="1480" bestFit="1" customWidth="1"/>
    <col min="772" max="772" width="9.875" style="1480" customWidth="1"/>
    <col min="773" max="773" width="10.125" style="1480" customWidth="1"/>
    <col min="774" max="776" width="10.75" style="1480" bestFit="1" customWidth="1"/>
    <col min="777" max="779" width="9.5" style="1480" customWidth="1"/>
    <col min="780" max="780" width="5.125" style="1480" customWidth="1"/>
    <col min="781" max="789" width="9" style="1480"/>
    <col min="790" max="790" width="9.125" style="1480" customWidth="1"/>
    <col min="791" max="791" width="9" style="1480"/>
    <col min="792" max="792" width="4.25" style="1480" customWidth="1"/>
    <col min="793" max="1025" width="9" style="1480"/>
    <col min="1026" max="1026" width="6.375" style="1480" customWidth="1"/>
    <col min="1027" max="1027" width="11.75" style="1480" bestFit="1" customWidth="1"/>
    <col min="1028" max="1028" width="9.875" style="1480" customWidth="1"/>
    <col min="1029" max="1029" width="10.125" style="1480" customWidth="1"/>
    <col min="1030" max="1032" width="10.75" style="1480" bestFit="1" customWidth="1"/>
    <col min="1033" max="1035" width="9.5" style="1480" customWidth="1"/>
    <col min="1036" max="1036" width="5.125" style="1480" customWidth="1"/>
    <col min="1037" max="1045" width="9" style="1480"/>
    <col min="1046" max="1046" width="9.125" style="1480" customWidth="1"/>
    <col min="1047" max="1047" width="9" style="1480"/>
    <col min="1048" max="1048" width="4.25" style="1480" customWidth="1"/>
    <col min="1049" max="1281" width="9" style="1480"/>
    <col min="1282" max="1282" width="6.375" style="1480" customWidth="1"/>
    <col min="1283" max="1283" width="11.75" style="1480" bestFit="1" customWidth="1"/>
    <col min="1284" max="1284" width="9.875" style="1480" customWidth="1"/>
    <col min="1285" max="1285" width="10.125" style="1480" customWidth="1"/>
    <col min="1286" max="1288" width="10.75" style="1480" bestFit="1" customWidth="1"/>
    <col min="1289" max="1291" width="9.5" style="1480" customWidth="1"/>
    <col min="1292" max="1292" width="5.125" style="1480" customWidth="1"/>
    <col min="1293" max="1301" width="9" style="1480"/>
    <col min="1302" max="1302" width="9.125" style="1480" customWidth="1"/>
    <col min="1303" max="1303" width="9" style="1480"/>
    <col min="1304" max="1304" width="4.25" style="1480" customWidth="1"/>
    <col min="1305" max="1537" width="9" style="1480"/>
    <col min="1538" max="1538" width="6.375" style="1480" customWidth="1"/>
    <col min="1539" max="1539" width="11.75" style="1480" bestFit="1" customWidth="1"/>
    <col min="1540" max="1540" width="9.875" style="1480" customWidth="1"/>
    <col min="1541" max="1541" width="10.125" style="1480" customWidth="1"/>
    <col min="1542" max="1544" width="10.75" style="1480" bestFit="1" customWidth="1"/>
    <col min="1545" max="1547" width="9.5" style="1480" customWidth="1"/>
    <col min="1548" max="1548" width="5.125" style="1480" customWidth="1"/>
    <col min="1549" max="1557" width="9" style="1480"/>
    <col min="1558" max="1558" width="9.125" style="1480" customWidth="1"/>
    <col min="1559" max="1559" width="9" style="1480"/>
    <col min="1560" max="1560" width="4.25" style="1480" customWidth="1"/>
    <col min="1561" max="1793" width="9" style="1480"/>
    <col min="1794" max="1794" width="6.375" style="1480" customWidth="1"/>
    <col min="1795" max="1795" width="11.75" style="1480" bestFit="1" customWidth="1"/>
    <col min="1796" max="1796" width="9.875" style="1480" customWidth="1"/>
    <col min="1797" max="1797" width="10.125" style="1480" customWidth="1"/>
    <col min="1798" max="1800" width="10.75" style="1480" bestFit="1" customWidth="1"/>
    <col min="1801" max="1803" width="9.5" style="1480" customWidth="1"/>
    <col min="1804" max="1804" width="5.125" style="1480" customWidth="1"/>
    <col min="1805" max="1813" width="9" style="1480"/>
    <col min="1814" max="1814" width="9.125" style="1480" customWidth="1"/>
    <col min="1815" max="1815" width="9" style="1480"/>
    <col min="1816" max="1816" width="4.25" style="1480" customWidth="1"/>
    <col min="1817" max="2049" width="9" style="1480"/>
    <col min="2050" max="2050" width="6.375" style="1480" customWidth="1"/>
    <col min="2051" max="2051" width="11.75" style="1480" bestFit="1" customWidth="1"/>
    <col min="2052" max="2052" width="9.875" style="1480" customWidth="1"/>
    <col min="2053" max="2053" width="10.125" style="1480" customWidth="1"/>
    <col min="2054" max="2056" width="10.75" style="1480" bestFit="1" customWidth="1"/>
    <col min="2057" max="2059" width="9.5" style="1480" customWidth="1"/>
    <col min="2060" max="2060" width="5.125" style="1480" customWidth="1"/>
    <col min="2061" max="2069" width="9" style="1480"/>
    <col min="2070" max="2070" width="9.125" style="1480" customWidth="1"/>
    <col min="2071" max="2071" width="9" style="1480"/>
    <col min="2072" max="2072" width="4.25" style="1480" customWidth="1"/>
    <col min="2073" max="2305" width="9" style="1480"/>
    <col min="2306" max="2306" width="6.375" style="1480" customWidth="1"/>
    <col min="2307" max="2307" width="11.75" style="1480" bestFit="1" customWidth="1"/>
    <col min="2308" max="2308" width="9.875" style="1480" customWidth="1"/>
    <col min="2309" max="2309" width="10.125" style="1480" customWidth="1"/>
    <col min="2310" max="2312" width="10.75" style="1480" bestFit="1" customWidth="1"/>
    <col min="2313" max="2315" width="9.5" style="1480" customWidth="1"/>
    <col min="2316" max="2316" width="5.125" style="1480" customWidth="1"/>
    <col min="2317" max="2325" width="9" style="1480"/>
    <col min="2326" max="2326" width="9.125" style="1480" customWidth="1"/>
    <col min="2327" max="2327" width="9" style="1480"/>
    <col min="2328" max="2328" width="4.25" style="1480" customWidth="1"/>
    <col min="2329" max="2561" width="9" style="1480"/>
    <col min="2562" max="2562" width="6.375" style="1480" customWidth="1"/>
    <col min="2563" max="2563" width="11.75" style="1480" bestFit="1" customWidth="1"/>
    <col min="2564" max="2564" width="9.875" style="1480" customWidth="1"/>
    <col min="2565" max="2565" width="10.125" style="1480" customWidth="1"/>
    <col min="2566" max="2568" width="10.75" style="1480" bestFit="1" customWidth="1"/>
    <col min="2569" max="2571" width="9.5" style="1480" customWidth="1"/>
    <col min="2572" max="2572" width="5.125" style="1480" customWidth="1"/>
    <col min="2573" max="2581" width="9" style="1480"/>
    <col min="2582" max="2582" width="9.125" style="1480" customWidth="1"/>
    <col min="2583" max="2583" width="9" style="1480"/>
    <col min="2584" max="2584" width="4.25" style="1480" customWidth="1"/>
    <col min="2585" max="2817" width="9" style="1480"/>
    <col min="2818" max="2818" width="6.375" style="1480" customWidth="1"/>
    <col min="2819" max="2819" width="11.75" style="1480" bestFit="1" customWidth="1"/>
    <col min="2820" max="2820" width="9.875" style="1480" customWidth="1"/>
    <col min="2821" max="2821" width="10.125" style="1480" customWidth="1"/>
    <col min="2822" max="2824" width="10.75" style="1480" bestFit="1" customWidth="1"/>
    <col min="2825" max="2827" width="9.5" style="1480" customWidth="1"/>
    <col min="2828" max="2828" width="5.125" style="1480" customWidth="1"/>
    <col min="2829" max="2837" width="9" style="1480"/>
    <col min="2838" max="2838" width="9.125" style="1480" customWidth="1"/>
    <col min="2839" max="2839" width="9" style="1480"/>
    <col min="2840" max="2840" width="4.25" style="1480" customWidth="1"/>
    <col min="2841" max="3073" width="9" style="1480"/>
    <col min="3074" max="3074" width="6.375" style="1480" customWidth="1"/>
    <col min="3075" max="3075" width="11.75" style="1480" bestFit="1" customWidth="1"/>
    <col min="3076" max="3076" width="9.875" style="1480" customWidth="1"/>
    <col min="3077" max="3077" width="10.125" style="1480" customWidth="1"/>
    <col min="3078" max="3080" width="10.75" style="1480" bestFit="1" customWidth="1"/>
    <col min="3081" max="3083" width="9.5" style="1480" customWidth="1"/>
    <col min="3084" max="3084" width="5.125" style="1480" customWidth="1"/>
    <col min="3085" max="3093" width="9" style="1480"/>
    <col min="3094" max="3094" width="9.125" style="1480" customWidth="1"/>
    <col min="3095" max="3095" width="9" style="1480"/>
    <col min="3096" max="3096" width="4.25" style="1480" customWidth="1"/>
    <col min="3097" max="3329" width="9" style="1480"/>
    <col min="3330" max="3330" width="6.375" style="1480" customWidth="1"/>
    <col min="3331" max="3331" width="11.75" style="1480" bestFit="1" customWidth="1"/>
    <col min="3332" max="3332" width="9.875" style="1480" customWidth="1"/>
    <col min="3333" max="3333" width="10.125" style="1480" customWidth="1"/>
    <col min="3334" max="3336" width="10.75" style="1480" bestFit="1" customWidth="1"/>
    <col min="3337" max="3339" width="9.5" style="1480" customWidth="1"/>
    <col min="3340" max="3340" width="5.125" style="1480" customWidth="1"/>
    <col min="3341" max="3349" width="9" style="1480"/>
    <col min="3350" max="3350" width="9.125" style="1480" customWidth="1"/>
    <col min="3351" max="3351" width="9" style="1480"/>
    <col min="3352" max="3352" width="4.25" style="1480" customWidth="1"/>
    <col min="3353" max="3585" width="9" style="1480"/>
    <col min="3586" max="3586" width="6.375" style="1480" customWidth="1"/>
    <col min="3587" max="3587" width="11.75" style="1480" bestFit="1" customWidth="1"/>
    <col min="3588" max="3588" width="9.875" style="1480" customWidth="1"/>
    <col min="3589" max="3589" width="10.125" style="1480" customWidth="1"/>
    <col min="3590" max="3592" width="10.75" style="1480" bestFit="1" customWidth="1"/>
    <col min="3593" max="3595" width="9.5" style="1480" customWidth="1"/>
    <col min="3596" max="3596" width="5.125" style="1480" customWidth="1"/>
    <col min="3597" max="3605" width="9" style="1480"/>
    <col min="3606" max="3606" width="9.125" style="1480" customWidth="1"/>
    <col min="3607" max="3607" width="9" style="1480"/>
    <col min="3608" max="3608" width="4.25" style="1480" customWidth="1"/>
    <col min="3609" max="3841" width="9" style="1480"/>
    <col min="3842" max="3842" width="6.375" style="1480" customWidth="1"/>
    <col min="3843" max="3843" width="11.75" style="1480" bestFit="1" customWidth="1"/>
    <col min="3844" max="3844" width="9.875" style="1480" customWidth="1"/>
    <col min="3845" max="3845" width="10.125" style="1480" customWidth="1"/>
    <col min="3846" max="3848" width="10.75" style="1480" bestFit="1" customWidth="1"/>
    <col min="3849" max="3851" width="9.5" style="1480" customWidth="1"/>
    <col min="3852" max="3852" width="5.125" style="1480" customWidth="1"/>
    <col min="3853" max="3861" width="9" style="1480"/>
    <col min="3862" max="3862" width="9.125" style="1480" customWidth="1"/>
    <col min="3863" max="3863" width="9" style="1480"/>
    <col min="3864" max="3864" width="4.25" style="1480" customWidth="1"/>
    <col min="3865" max="4097" width="9" style="1480"/>
    <col min="4098" max="4098" width="6.375" style="1480" customWidth="1"/>
    <col min="4099" max="4099" width="11.75" style="1480" bestFit="1" customWidth="1"/>
    <col min="4100" max="4100" width="9.875" style="1480" customWidth="1"/>
    <col min="4101" max="4101" width="10.125" style="1480" customWidth="1"/>
    <col min="4102" max="4104" width="10.75" style="1480" bestFit="1" customWidth="1"/>
    <col min="4105" max="4107" width="9.5" style="1480" customWidth="1"/>
    <col min="4108" max="4108" width="5.125" style="1480" customWidth="1"/>
    <col min="4109" max="4117" width="9" style="1480"/>
    <col min="4118" max="4118" width="9.125" style="1480" customWidth="1"/>
    <col min="4119" max="4119" width="9" style="1480"/>
    <col min="4120" max="4120" width="4.25" style="1480" customWidth="1"/>
    <col min="4121" max="4353" width="9" style="1480"/>
    <col min="4354" max="4354" width="6.375" style="1480" customWidth="1"/>
    <col min="4355" max="4355" width="11.75" style="1480" bestFit="1" customWidth="1"/>
    <col min="4356" max="4356" width="9.875" style="1480" customWidth="1"/>
    <col min="4357" max="4357" width="10.125" style="1480" customWidth="1"/>
    <col min="4358" max="4360" width="10.75" style="1480" bestFit="1" customWidth="1"/>
    <col min="4361" max="4363" width="9.5" style="1480" customWidth="1"/>
    <col min="4364" max="4364" width="5.125" style="1480" customWidth="1"/>
    <col min="4365" max="4373" width="9" style="1480"/>
    <col min="4374" max="4374" width="9.125" style="1480" customWidth="1"/>
    <col min="4375" max="4375" width="9" style="1480"/>
    <col min="4376" max="4376" width="4.25" style="1480" customWidth="1"/>
    <col min="4377" max="4609" width="9" style="1480"/>
    <col min="4610" max="4610" width="6.375" style="1480" customWidth="1"/>
    <col min="4611" max="4611" width="11.75" style="1480" bestFit="1" customWidth="1"/>
    <col min="4612" max="4612" width="9.875" style="1480" customWidth="1"/>
    <col min="4613" max="4613" width="10.125" style="1480" customWidth="1"/>
    <col min="4614" max="4616" width="10.75" style="1480" bestFit="1" customWidth="1"/>
    <col min="4617" max="4619" width="9.5" style="1480" customWidth="1"/>
    <col min="4620" max="4620" width="5.125" style="1480" customWidth="1"/>
    <col min="4621" max="4629" width="9" style="1480"/>
    <col min="4630" max="4630" width="9.125" style="1480" customWidth="1"/>
    <col min="4631" max="4631" width="9" style="1480"/>
    <col min="4632" max="4632" width="4.25" style="1480" customWidth="1"/>
    <col min="4633" max="4865" width="9" style="1480"/>
    <col min="4866" max="4866" width="6.375" style="1480" customWidth="1"/>
    <col min="4867" max="4867" width="11.75" style="1480" bestFit="1" customWidth="1"/>
    <col min="4868" max="4868" width="9.875" style="1480" customWidth="1"/>
    <col min="4869" max="4869" width="10.125" style="1480" customWidth="1"/>
    <col min="4870" max="4872" width="10.75" style="1480" bestFit="1" customWidth="1"/>
    <col min="4873" max="4875" width="9.5" style="1480" customWidth="1"/>
    <col min="4876" max="4876" width="5.125" style="1480" customWidth="1"/>
    <col min="4877" max="4885" width="9" style="1480"/>
    <col min="4886" max="4886" width="9.125" style="1480" customWidth="1"/>
    <col min="4887" max="4887" width="9" style="1480"/>
    <col min="4888" max="4888" width="4.25" style="1480" customWidth="1"/>
    <col min="4889" max="5121" width="9" style="1480"/>
    <col min="5122" max="5122" width="6.375" style="1480" customWidth="1"/>
    <col min="5123" max="5123" width="11.75" style="1480" bestFit="1" customWidth="1"/>
    <col min="5124" max="5124" width="9.875" style="1480" customWidth="1"/>
    <col min="5125" max="5125" width="10.125" style="1480" customWidth="1"/>
    <col min="5126" max="5128" width="10.75" style="1480" bestFit="1" customWidth="1"/>
    <col min="5129" max="5131" width="9.5" style="1480" customWidth="1"/>
    <col min="5132" max="5132" width="5.125" style="1480" customWidth="1"/>
    <col min="5133" max="5141" width="9" style="1480"/>
    <col min="5142" max="5142" width="9.125" style="1480" customWidth="1"/>
    <col min="5143" max="5143" width="9" style="1480"/>
    <col min="5144" max="5144" width="4.25" style="1480" customWidth="1"/>
    <col min="5145" max="5377" width="9" style="1480"/>
    <col min="5378" max="5378" width="6.375" style="1480" customWidth="1"/>
    <col min="5379" max="5379" width="11.75" style="1480" bestFit="1" customWidth="1"/>
    <col min="5380" max="5380" width="9.875" style="1480" customWidth="1"/>
    <col min="5381" max="5381" width="10.125" style="1480" customWidth="1"/>
    <col min="5382" max="5384" width="10.75" style="1480" bestFit="1" customWidth="1"/>
    <col min="5385" max="5387" width="9.5" style="1480" customWidth="1"/>
    <col min="5388" max="5388" width="5.125" style="1480" customWidth="1"/>
    <col min="5389" max="5397" width="9" style="1480"/>
    <col min="5398" max="5398" width="9.125" style="1480" customWidth="1"/>
    <col min="5399" max="5399" width="9" style="1480"/>
    <col min="5400" max="5400" width="4.25" style="1480" customWidth="1"/>
    <col min="5401" max="5633" width="9" style="1480"/>
    <col min="5634" max="5634" width="6.375" style="1480" customWidth="1"/>
    <col min="5635" max="5635" width="11.75" style="1480" bestFit="1" customWidth="1"/>
    <col min="5636" max="5636" width="9.875" style="1480" customWidth="1"/>
    <col min="5637" max="5637" width="10.125" style="1480" customWidth="1"/>
    <col min="5638" max="5640" width="10.75" style="1480" bestFit="1" customWidth="1"/>
    <col min="5641" max="5643" width="9.5" style="1480" customWidth="1"/>
    <col min="5644" max="5644" width="5.125" style="1480" customWidth="1"/>
    <col min="5645" max="5653" width="9" style="1480"/>
    <col min="5654" max="5654" width="9.125" style="1480" customWidth="1"/>
    <col min="5655" max="5655" width="9" style="1480"/>
    <col min="5656" max="5656" width="4.25" style="1480" customWidth="1"/>
    <col min="5657" max="5889" width="9" style="1480"/>
    <col min="5890" max="5890" width="6.375" style="1480" customWidth="1"/>
    <col min="5891" max="5891" width="11.75" style="1480" bestFit="1" customWidth="1"/>
    <col min="5892" max="5892" width="9.875" style="1480" customWidth="1"/>
    <col min="5893" max="5893" width="10.125" style="1480" customWidth="1"/>
    <col min="5894" max="5896" width="10.75" style="1480" bestFit="1" customWidth="1"/>
    <col min="5897" max="5899" width="9.5" style="1480" customWidth="1"/>
    <col min="5900" max="5900" width="5.125" style="1480" customWidth="1"/>
    <col min="5901" max="5909" width="9" style="1480"/>
    <col min="5910" max="5910" width="9.125" style="1480" customWidth="1"/>
    <col min="5911" max="5911" width="9" style="1480"/>
    <col min="5912" max="5912" width="4.25" style="1480" customWidth="1"/>
    <col min="5913" max="6145" width="9" style="1480"/>
    <col min="6146" max="6146" width="6.375" style="1480" customWidth="1"/>
    <col min="6147" max="6147" width="11.75" style="1480" bestFit="1" customWidth="1"/>
    <col min="6148" max="6148" width="9.875" style="1480" customWidth="1"/>
    <col min="6149" max="6149" width="10.125" style="1480" customWidth="1"/>
    <col min="6150" max="6152" width="10.75" style="1480" bestFit="1" customWidth="1"/>
    <col min="6153" max="6155" width="9.5" style="1480" customWidth="1"/>
    <col min="6156" max="6156" width="5.125" style="1480" customWidth="1"/>
    <col min="6157" max="6165" width="9" style="1480"/>
    <col min="6166" max="6166" width="9.125" style="1480" customWidth="1"/>
    <col min="6167" max="6167" width="9" style="1480"/>
    <col min="6168" max="6168" width="4.25" style="1480" customWidth="1"/>
    <col min="6169" max="6401" width="9" style="1480"/>
    <col min="6402" max="6402" width="6.375" style="1480" customWidth="1"/>
    <col min="6403" max="6403" width="11.75" style="1480" bestFit="1" customWidth="1"/>
    <col min="6404" max="6404" width="9.875" style="1480" customWidth="1"/>
    <col min="6405" max="6405" width="10.125" style="1480" customWidth="1"/>
    <col min="6406" max="6408" width="10.75" style="1480" bestFit="1" customWidth="1"/>
    <col min="6409" max="6411" width="9.5" style="1480" customWidth="1"/>
    <col min="6412" max="6412" width="5.125" style="1480" customWidth="1"/>
    <col min="6413" max="6421" width="9" style="1480"/>
    <col min="6422" max="6422" width="9.125" style="1480" customWidth="1"/>
    <col min="6423" max="6423" width="9" style="1480"/>
    <col min="6424" max="6424" width="4.25" style="1480" customWidth="1"/>
    <col min="6425" max="6657" width="9" style="1480"/>
    <col min="6658" max="6658" width="6.375" style="1480" customWidth="1"/>
    <col min="6659" max="6659" width="11.75" style="1480" bestFit="1" customWidth="1"/>
    <col min="6660" max="6660" width="9.875" style="1480" customWidth="1"/>
    <col min="6661" max="6661" width="10.125" style="1480" customWidth="1"/>
    <col min="6662" max="6664" width="10.75" style="1480" bestFit="1" customWidth="1"/>
    <col min="6665" max="6667" width="9.5" style="1480" customWidth="1"/>
    <col min="6668" max="6668" width="5.125" style="1480" customWidth="1"/>
    <col min="6669" max="6677" width="9" style="1480"/>
    <col min="6678" max="6678" width="9.125" style="1480" customWidth="1"/>
    <col min="6679" max="6679" width="9" style="1480"/>
    <col min="6680" max="6680" width="4.25" style="1480" customWidth="1"/>
    <col min="6681" max="6913" width="9" style="1480"/>
    <col min="6914" max="6914" width="6.375" style="1480" customWidth="1"/>
    <col min="6915" max="6915" width="11.75" style="1480" bestFit="1" customWidth="1"/>
    <col min="6916" max="6916" width="9.875" style="1480" customWidth="1"/>
    <col min="6917" max="6917" width="10.125" style="1480" customWidth="1"/>
    <col min="6918" max="6920" width="10.75" style="1480" bestFit="1" customWidth="1"/>
    <col min="6921" max="6923" width="9.5" style="1480" customWidth="1"/>
    <col min="6924" max="6924" width="5.125" style="1480" customWidth="1"/>
    <col min="6925" max="6933" width="9" style="1480"/>
    <col min="6934" max="6934" width="9.125" style="1480" customWidth="1"/>
    <col min="6935" max="6935" width="9" style="1480"/>
    <col min="6936" max="6936" width="4.25" style="1480" customWidth="1"/>
    <col min="6937" max="7169" width="9" style="1480"/>
    <col min="7170" max="7170" width="6.375" style="1480" customWidth="1"/>
    <col min="7171" max="7171" width="11.75" style="1480" bestFit="1" customWidth="1"/>
    <col min="7172" max="7172" width="9.875" style="1480" customWidth="1"/>
    <col min="7173" max="7173" width="10.125" style="1480" customWidth="1"/>
    <col min="7174" max="7176" width="10.75" style="1480" bestFit="1" customWidth="1"/>
    <col min="7177" max="7179" width="9.5" style="1480" customWidth="1"/>
    <col min="7180" max="7180" width="5.125" style="1480" customWidth="1"/>
    <col min="7181" max="7189" width="9" style="1480"/>
    <col min="7190" max="7190" width="9.125" style="1480" customWidth="1"/>
    <col min="7191" max="7191" width="9" style="1480"/>
    <col min="7192" max="7192" width="4.25" style="1480" customWidth="1"/>
    <col min="7193" max="7425" width="9" style="1480"/>
    <col min="7426" max="7426" width="6.375" style="1480" customWidth="1"/>
    <col min="7427" max="7427" width="11.75" style="1480" bestFit="1" customWidth="1"/>
    <col min="7428" max="7428" width="9.875" style="1480" customWidth="1"/>
    <col min="7429" max="7429" width="10.125" style="1480" customWidth="1"/>
    <col min="7430" max="7432" width="10.75" style="1480" bestFit="1" customWidth="1"/>
    <col min="7433" max="7435" width="9.5" style="1480" customWidth="1"/>
    <col min="7436" max="7436" width="5.125" style="1480" customWidth="1"/>
    <col min="7437" max="7445" width="9" style="1480"/>
    <col min="7446" max="7446" width="9.125" style="1480" customWidth="1"/>
    <col min="7447" max="7447" width="9" style="1480"/>
    <col min="7448" max="7448" width="4.25" style="1480" customWidth="1"/>
    <col min="7449" max="7681" width="9" style="1480"/>
    <col min="7682" max="7682" width="6.375" style="1480" customWidth="1"/>
    <col min="7683" max="7683" width="11.75" style="1480" bestFit="1" customWidth="1"/>
    <col min="7684" max="7684" width="9.875" style="1480" customWidth="1"/>
    <col min="7685" max="7685" width="10.125" style="1480" customWidth="1"/>
    <col min="7686" max="7688" width="10.75" style="1480" bestFit="1" customWidth="1"/>
    <col min="7689" max="7691" width="9.5" style="1480" customWidth="1"/>
    <col min="7692" max="7692" width="5.125" style="1480" customWidth="1"/>
    <col min="7693" max="7701" width="9" style="1480"/>
    <col min="7702" max="7702" width="9.125" style="1480" customWidth="1"/>
    <col min="7703" max="7703" width="9" style="1480"/>
    <col min="7704" max="7704" width="4.25" style="1480" customWidth="1"/>
    <col min="7705" max="7937" width="9" style="1480"/>
    <col min="7938" max="7938" width="6.375" style="1480" customWidth="1"/>
    <col min="7939" max="7939" width="11.75" style="1480" bestFit="1" customWidth="1"/>
    <col min="7940" max="7940" width="9.875" style="1480" customWidth="1"/>
    <col min="7941" max="7941" width="10.125" style="1480" customWidth="1"/>
    <col min="7942" max="7944" width="10.75" style="1480" bestFit="1" customWidth="1"/>
    <col min="7945" max="7947" width="9.5" style="1480" customWidth="1"/>
    <col min="7948" max="7948" width="5.125" style="1480" customWidth="1"/>
    <col min="7949" max="7957" width="9" style="1480"/>
    <col min="7958" max="7958" width="9.125" style="1480" customWidth="1"/>
    <col min="7959" max="7959" width="9" style="1480"/>
    <col min="7960" max="7960" width="4.25" style="1480" customWidth="1"/>
    <col min="7961" max="8193" width="9" style="1480"/>
    <col min="8194" max="8194" width="6.375" style="1480" customWidth="1"/>
    <col min="8195" max="8195" width="11.75" style="1480" bestFit="1" customWidth="1"/>
    <col min="8196" max="8196" width="9.875" style="1480" customWidth="1"/>
    <col min="8197" max="8197" width="10.125" style="1480" customWidth="1"/>
    <col min="8198" max="8200" width="10.75" style="1480" bestFit="1" customWidth="1"/>
    <col min="8201" max="8203" width="9.5" style="1480" customWidth="1"/>
    <col min="8204" max="8204" width="5.125" style="1480" customWidth="1"/>
    <col min="8205" max="8213" width="9" style="1480"/>
    <col min="8214" max="8214" width="9.125" style="1480" customWidth="1"/>
    <col min="8215" max="8215" width="9" style="1480"/>
    <col min="8216" max="8216" width="4.25" style="1480" customWidth="1"/>
    <col min="8217" max="8449" width="9" style="1480"/>
    <col min="8450" max="8450" width="6.375" style="1480" customWidth="1"/>
    <col min="8451" max="8451" width="11.75" style="1480" bestFit="1" customWidth="1"/>
    <col min="8452" max="8452" width="9.875" style="1480" customWidth="1"/>
    <col min="8453" max="8453" width="10.125" style="1480" customWidth="1"/>
    <col min="8454" max="8456" width="10.75" style="1480" bestFit="1" customWidth="1"/>
    <col min="8457" max="8459" width="9.5" style="1480" customWidth="1"/>
    <col min="8460" max="8460" width="5.125" style="1480" customWidth="1"/>
    <col min="8461" max="8469" width="9" style="1480"/>
    <col min="8470" max="8470" width="9.125" style="1480" customWidth="1"/>
    <col min="8471" max="8471" width="9" style="1480"/>
    <col min="8472" max="8472" width="4.25" style="1480" customWidth="1"/>
    <col min="8473" max="8705" width="9" style="1480"/>
    <col min="8706" max="8706" width="6.375" style="1480" customWidth="1"/>
    <col min="8707" max="8707" width="11.75" style="1480" bestFit="1" customWidth="1"/>
    <col min="8708" max="8708" width="9.875" style="1480" customWidth="1"/>
    <col min="8709" max="8709" width="10.125" style="1480" customWidth="1"/>
    <col min="8710" max="8712" width="10.75" style="1480" bestFit="1" customWidth="1"/>
    <col min="8713" max="8715" width="9.5" style="1480" customWidth="1"/>
    <col min="8716" max="8716" width="5.125" style="1480" customWidth="1"/>
    <col min="8717" max="8725" width="9" style="1480"/>
    <col min="8726" max="8726" width="9.125" style="1480" customWidth="1"/>
    <col min="8727" max="8727" width="9" style="1480"/>
    <col min="8728" max="8728" width="4.25" style="1480" customWidth="1"/>
    <col min="8729" max="8961" width="9" style="1480"/>
    <col min="8962" max="8962" width="6.375" style="1480" customWidth="1"/>
    <col min="8963" max="8963" width="11.75" style="1480" bestFit="1" customWidth="1"/>
    <col min="8964" max="8964" width="9.875" style="1480" customWidth="1"/>
    <col min="8965" max="8965" width="10.125" style="1480" customWidth="1"/>
    <col min="8966" max="8968" width="10.75" style="1480" bestFit="1" customWidth="1"/>
    <col min="8969" max="8971" width="9.5" style="1480" customWidth="1"/>
    <col min="8972" max="8972" width="5.125" style="1480" customWidth="1"/>
    <col min="8973" max="8981" width="9" style="1480"/>
    <col min="8982" max="8982" width="9.125" style="1480" customWidth="1"/>
    <col min="8983" max="8983" width="9" style="1480"/>
    <col min="8984" max="8984" width="4.25" style="1480" customWidth="1"/>
    <col min="8985" max="9217" width="9" style="1480"/>
    <col min="9218" max="9218" width="6.375" style="1480" customWidth="1"/>
    <col min="9219" max="9219" width="11.75" style="1480" bestFit="1" customWidth="1"/>
    <col min="9220" max="9220" width="9.875" style="1480" customWidth="1"/>
    <col min="9221" max="9221" width="10.125" style="1480" customWidth="1"/>
    <col min="9222" max="9224" width="10.75" style="1480" bestFit="1" customWidth="1"/>
    <col min="9225" max="9227" width="9.5" style="1480" customWidth="1"/>
    <col min="9228" max="9228" width="5.125" style="1480" customWidth="1"/>
    <col min="9229" max="9237" width="9" style="1480"/>
    <col min="9238" max="9238" width="9.125" style="1480" customWidth="1"/>
    <col min="9239" max="9239" width="9" style="1480"/>
    <col min="9240" max="9240" width="4.25" style="1480" customWidth="1"/>
    <col min="9241" max="9473" width="9" style="1480"/>
    <col min="9474" max="9474" width="6.375" style="1480" customWidth="1"/>
    <col min="9475" max="9475" width="11.75" style="1480" bestFit="1" customWidth="1"/>
    <col min="9476" max="9476" width="9.875" style="1480" customWidth="1"/>
    <col min="9477" max="9477" width="10.125" style="1480" customWidth="1"/>
    <col min="9478" max="9480" width="10.75" style="1480" bestFit="1" customWidth="1"/>
    <col min="9481" max="9483" width="9.5" style="1480" customWidth="1"/>
    <col min="9484" max="9484" width="5.125" style="1480" customWidth="1"/>
    <col min="9485" max="9493" width="9" style="1480"/>
    <col min="9494" max="9494" width="9.125" style="1480" customWidth="1"/>
    <col min="9495" max="9495" width="9" style="1480"/>
    <col min="9496" max="9496" width="4.25" style="1480" customWidth="1"/>
    <col min="9497" max="9729" width="9" style="1480"/>
    <col min="9730" max="9730" width="6.375" style="1480" customWidth="1"/>
    <col min="9731" max="9731" width="11.75" style="1480" bestFit="1" customWidth="1"/>
    <col min="9732" max="9732" width="9.875" style="1480" customWidth="1"/>
    <col min="9733" max="9733" width="10.125" style="1480" customWidth="1"/>
    <col min="9734" max="9736" width="10.75" style="1480" bestFit="1" customWidth="1"/>
    <col min="9737" max="9739" width="9.5" style="1480" customWidth="1"/>
    <col min="9740" max="9740" width="5.125" style="1480" customWidth="1"/>
    <col min="9741" max="9749" width="9" style="1480"/>
    <col min="9750" max="9750" width="9.125" style="1480" customWidth="1"/>
    <col min="9751" max="9751" width="9" style="1480"/>
    <col min="9752" max="9752" width="4.25" style="1480" customWidth="1"/>
    <col min="9753" max="9985" width="9" style="1480"/>
    <col min="9986" max="9986" width="6.375" style="1480" customWidth="1"/>
    <col min="9987" max="9987" width="11.75" style="1480" bestFit="1" customWidth="1"/>
    <col min="9988" max="9988" width="9.875" style="1480" customWidth="1"/>
    <col min="9989" max="9989" width="10.125" style="1480" customWidth="1"/>
    <col min="9990" max="9992" width="10.75" style="1480" bestFit="1" customWidth="1"/>
    <col min="9993" max="9995" width="9.5" style="1480" customWidth="1"/>
    <col min="9996" max="9996" width="5.125" style="1480" customWidth="1"/>
    <col min="9997" max="10005" width="9" style="1480"/>
    <col min="10006" max="10006" width="9.125" style="1480" customWidth="1"/>
    <col min="10007" max="10007" width="9" style="1480"/>
    <col min="10008" max="10008" width="4.25" style="1480" customWidth="1"/>
    <col min="10009" max="10241" width="9" style="1480"/>
    <col min="10242" max="10242" width="6.375" style="1480" customWidth="1"/>
    <col min="10243" max="10243" width="11.75" style="1480" bestFit="1" customWidth="1"/>
    <col min="10244" max="10244" width="9.875" style="1480" customWidth="1"/>
    <col min="10245" max="10245" width="10.125" style="1480" customWidth="1"/>
    <col min="10246" max="10248" width="10.75" style="1480" bestFit="1" customWidth="1"/>
    <col min="10249" max="10251" width="9.5" style="1480" customWidth="1"/>
    <col min="10252" max="10252" width="5.125" style="1480" customWidth="1"/>
    <col min="10253" max="10261" width="9" style="1480"/>
    <col min="10262" max="10262" width="9.125" style="1480" customWidth="1"/>
    <col min="10263" max="10263" width="9" style="1480"/>
    <col min="10264" max="10264" width="4.25" style="1480" customWidth="1"/>
    <col min="10265" max="10497" width="9" style="1480"/>
    <col min="10498" max="10498" width="6.375" style="1480" customWidth="1"/>
    <col min="10499" max="10499" width="11.75" style="1480" bestFit="1" customWidth="1"/>
    <col min="10500" max="10500" width="9.875" style="1480" customWidth="1"/>
    <col min="10501" max="10501" width="10.125" style="1480" customWidth="1"/>
    <col min="10502" max="10504" width="10.75" style="1480" bestFit="1" customWidth="1"/>
    <col min="10505" max="10507" width="9.5" style="1480" customWidth="1"/>
    <col min="10508" max="10508" width="5.125" style="1480" customWidth="1"/>
    <col min="10509" max="10517" width="9" style="1480"/>
    <col min="10518" max="10518" width="9.125" style="1480" customWidth="1"/>
    <col min="10519" max="10519" width="9" style="1480"/>
    <col min="10520" max="10520" width="4.25" style="1480" customWidth="1"/>
    <col min="10521" max="10753" width="9" style="1480"/>
    <col min="10754" max="10754" width="6.375" style="1480" customWidth="1"/>
    <col min="10755" max="10755" width="11.75" style="1480" bestFit="1" customWidth="1"/>
    <col min="10756" max="10756" width="9.875" style="1480" customWidth="1"/>
    <col min="10757" max="10757" width="10.125" style="1480" customWidth="1"/>
    <col min="10758" max="10760" width="10.75" style="1480" bestFit="1" customWidth="1"/>
    <col min="10761" max="10763" width="9.5" style="1480" customWidth="1"/>
    <col min="10764" max="10764" width="5.125" style="1480" customWidth="1"/>
    <col min="10765" max="10773" width="9" style="1480"/>
    <col min="10774" max="10774" width="9.125" style="1480" customWidth="1"/>
    <col min="10775" max="10775" width="9" style="1480"/>
    <col min="10776" max="10776" width="4.25" style="1480" customWidth="1"/>
    <col min="10777" max="11009" width="9" style="1480"/>
    <col min="11010" max="11010" width="6.375" style="1480" customWidth="1"/>
    <col min="11011" max="11011" width="11.75" style="1480" bestFit="1" customWidth="1"/>
    <col min="11012" max="11012" width="9.875" style="1480" customWidth="1"/>
    <col min="11013" max="11013" width="10.125" style="1480" customWidth="1"/>
    <col min="11014" max="11016" width="10.75" style="1480" bestFit="1" customWidth="1"/>
    <col min="11017" max="11019" width="9.5" style="1480" customWidth="1"/>
    <col min="11020" max="11020" width="5.125" style="1480" customWidth="1"/>
    <col min="11021" max="11029" width="9" style="1480"/>
    <col min="11030" max="11030" width="9.125" style="1480" customWidth="1"/>
    <col min="11031" max="11031" width="9" style="1480"/>
    <col min="11032" max="11032" width="4.25" style="1480" customWidth="1"/>
    <col min="11033" max="11265" width="9" style="1480"/>
    <col min="11266" max="11266" width="6.375" style="1480" customWidth="1"/>
    <col min="11267" max="11267" width="11.75" style="1480" bestFit="1" customWidth="1"/>
    <col min="11268" max="11268" width="9.875" style="1480" customWidth="1"/>
    <col min="11269" max="11269" width="10.125" style="1480" customWidth="1"/>
    <col min="11270" max="11272" width="10.75" style="1480" bestFit="1" customWidth="1"/>
    <col min="11273" max="11275" width="9.5" style="1480" customWidth="1"/>
    <col min="11276" max="11276" width="5.125" style="1480" customWidth="1"/>
    <col min="11277" max="11285" width="9" style="1480"/>
    <col min="11286" max="11286" width="9.125" style="1480" customWidth="1"/>
    <col min="11287" max="11287" width="9" style="1480"/>
    <col min="11288" max="11288" width="4.25" style="1480" customWidth="1"/>
    <col min="11289" max="11521" width="9" style="1480"/>
    <col min="11522" max="11522" width="6.375" style="1480" customWidth="1"/>
    <col min="11523" max="11523" width="11.75" style="1480" bestFit="1" customWidth="1"/>
    <col min="11524" max="11524" width="9.875" style="1480" customWidth="1"/>
    <col min="11525" max="11525" width="10.125" style="1480" customWidth="1"/>
    <col min="11526" max="11528" width="10.75" style="1480" bestFit="1" customWidth="1"/>
    <col min="11529" max="11531" width="9.5" style="1480" customWidth="1"/>
    <col min="11532" max="11532" width="5.125" style="1480" customWidth="1"/>
    <col min="11533" max="11541" width="9" style="1480"/>
    <col min="11542" max="11542" width="9.125" style="1480" customWidth="1"/>
    <col min="11543" max="11543" width="9" style="1480"/>
    <col min="11544" max="11544" width="4.25" style="1480" customWidth="1"/>
    <col min="11545" max="11777" width="9" style="1480"/>
    <col min="11778" max="11778" width="6.375" style="1480" customWidth="1"/>
    <col min="11779" max="11779" width="11.75" style="1480" bestFit="1" customWidth="1"/>
    <col min="11780" max="11780" width="9.875" style="1480" customWidth="1"/>
    <col min="11781" max="11781" width="10.125" style="1480" customWidth="1"/>
    <col min="11782" max="11784" width="10.75" style="1480" bestFit="1" customWidth="1"/>
    <col min="11785" max="11787" width="9.5" style="1480" customWidth="1"/>
    <col min="11788" max="11788" width="5.125" style="1480" customWidth="1"/>
    <col min="11789" max="11797" width="9" style="1480"/>
    <col min="11798" max="11798" width="9.125" style="1480" customWidth="1"/>
    <col min="11799" max="11799" width="9" style="1480"/>
    <col min="11800" max="11800" width="4.25" style="1480" customWidth="1"/>
    <col min="11801" max="12033" width="9" style="1480"/>
    <col min="12034" max="12034" width="6.375" style="1480" customWidth="1"/>
    <col min="12035" max="12035" width="11.75" style="1480" bestFit="1" customWidth="1"/>
    <col min="12036" max="12036" width="9.875" style="1480" customWidth="1"/>
    <col min="12037" max="12037" width="10.125" style="1480" customWidth="1"/>
    <col min="12038" max="12040" width="10.75" style="1480" bestFit="1" customWidth="1"/>
    <col min="12041" max="12043" width="9.5" style="1480" customWidth="1"/>
    <col min="12044" max="12044" width="5.125" style="1480" customWidth="1"/>
    <col min="12045" max="12053" width="9" style="1480"/>
    <col min="12054" max="12054" width="9.125" style="1480" customWidth="1"/>
    <col min="12055" max="12055" width="9" style="1480"/>
    <col min="12056" max="12056" width="4.25" style="1480" customWidth="1"/>
    <col min="12057" max="12289" width="9" style="1480"/>
    <col min="12290" max="12290" width="6.375" style="1480" customWidth="1"/>
    <col min="12291" max="12291" width="11.75" style="1480" bestFit="1" customWidth="1"/>
    <col min="12292" max="12292" width="9.875" style="1480" customWidth="1"/>
    <col min="12293" max="12293" width="10.125" style="1480" customWidth="1"/>
    <col min="12294" max="12296" width="10.75" style="1480" bestFit="1" customWidth="1"/>
    <col min="12297" max="12299" width="9.5" style="1480" customWidth="1"/>
    <col min="12300" max="12300" width="5.125" style="1480" customWidth="1"/>
    <col min="12301" max="12309" width="9" style="1480"/>
    <col min="12310" max="12310" width="9.125" style="1480" customWidth="1"/>
    <col min="12311" max="12311" width="9" style="1480"/>
    <col min="12312" max="12312" width="4.25" style="1480" customWidth="1"/>
    <col min="12313" max="12545" width="9" style="1480"/>
    <col min="12546" max="12546" width="6.375" style="1480" customWidth="1"/>
    <col min="12547" max="12547" width="11.75" style="1480" bestFit="1" customWidth="1"/>
    <col min="12548" max="12548" width="9.875" style="1480" customWidth="1"/>
    <col min="12549" max="12549" width="10.125" style="1480" customWidth="1"/>
    <col min="12550" max="12552" width="10.75" style="1480" bestFit="1" customWidth="1"/>
    <col min="12553" max="12555" width="9.5" style="1480" customWidth="1"/>
    <col min="12556" max="12556" width="5.125" style="1480" customWidth="1"/>
    <col min="12557" max="12565" width="9" style="1480"/>
    <col min="12566" max="12566" width="9.125" style="1480" customWidth="1"/>
    <col min="12567" max="12567" width="9" style="1480"/>
    <col min="12568" max="12568" width="4.25" style="1480" customWidth="1"/>
    <col min="12569" max="12801" width="9" style="1480"/>
    <col min="12802" max="12802" width="6.375" style="1480" customWidth="1"/>
    <col min="12803" max="12803" width="11.75" style="1480" bestFit="1" customWidth="1"/>
    <col min="12804" max="12804" width="9.875" style="1480" customWidth="1"/>
    <col min="12805" max="12805" width="10.125" style="1480" customWidth="1"/>
    <col min="12806" max="12808" width="10.75" style="1480" bestFit="1" customWidth="1"/>
    <col min="12809" max="12811" width="9.5" style="1480" customWidth="1"/>
    <col min="12812" max="12812" width="5.125" style="1480" customWidth="1"/>
    <col min="12813" max="12821" width="9" style="1480"/>
    <col min="12822" max="12822" width="9.125" style="1480" customWidth="1"/>
    <col min="12823" max="12823" width="9" style="1480"/>
    <col min="12824" max="12824" width="4.25" style="1480" customWidth="1"/>
    <col min="12825" max="13057" width="9" style="1480"/>
    <col min="13058" max="13058" width="6.375" style="1480" customWidth="1"/>
    <col min="13059" max="13059" width="11.75" style="1480" bestFit="1" customWidth="1"/>
    <col min="13060" max="13060" width="9.875" style="1480" customWidth="1"/>
    <col min="13061" max="13061" width="10.125" style="1480" customWidth="1"/>
    <col min="13062" max="13064" width="10.75" style="1480" bestFit="1" customWidth="1"/>
    <col min="13065" max="13067" width="9.5" style="1480" customWidth="1"/>
    <col min="13068" max="13068" width="5.125" style="1480" customWidth="1"/>
    <col min="13069" max="13077" width="9" style="1480"/>
    <col min="13078" max="13078" width="9.125" style="1480" customWidth="1"/>
    <col min="13079" max="13079" width="9" style="1480"/>
    <col min="13080" max="13080" width="4.25" style="1480" customWidth="1"/>
    <col min="13081" max="13313" width="9" style="1480"/>
    <col min="13314" max="13314" width="6.375" style="1480" customWidth="1"/>
    <col min="13315" max="13315" width="11.75" style="1480" bestFit="1" customWidth="1"/>
    <col min="13316" max="13316" width="9.875" style="1480" customWidth="1"/>
    <col min="13317" max="13317" width="10.125" style="1480" customWidth="1"/>
    <col min="13318" max="13320" width="10.75" style="1480" bestFit="1" customWidth="1"/>
    <col min="13321" max="13323" width="9.5" style="1480" customWidth="1"/>
    <col min="13324" max="13324" width="5.125" style="1480" customWidth="1"/>
    <col min="13325" max="13333" width="9" style="1480"/>
    <col min="13334" max="13334" width="9.125" style="1480" customWidth="1"/>
    <col min="13335" max="13335" width="9" style="1480"/>
    <col min="13336" max="13336" width="4.25" style="1480" customWidth="1"/>
    <col min="13337" max="13569" width="9" style="1480"/>
    <col min="13570" max="13570" width="6.375" style="1480" customWidth="1"/>
    <col min="13571" max="13571" width="11.75" style="1480" bestFit="1" customWidth="1"/>
    <col min="13572" max="13572" width="9.875" style="1480" customWidth="1"/>
    <col min="13573" max="13573" width="10.125" style="1480" customWidth="1"/>
    <col min="13574" max="13576" width="10.75" style="1480" bestFit="1" customWidth="1"/>
    <col min="13577" max="13579" width="9.5" style="1480" customWidth="1"/>
    <col min="13580" max="13580" width="5.125" style="1480" customWidth="1"/>
    <col min="13581" max="13589" width="9" style="1480"/>
    <col min="13590" max="13590" width="9.125" style="1480" customWidth="1"/>
    <col min="13591" max="13591" width="9" style="1480"/>
    <col min="13592" max="13592" width="4.25" style="1480" customWidth="1"/>
    <col min="13593" max="13825" width="9" style="1480"/>
    <col min="13826" max="13826" width="6.375" style="1480" customWidth="1"/>
    <col min="13827" max="13827" width="11.75" style="1480" bestFit="1" customWidth="1"/>
    <col min="13828" max="13828" width="9.875" style="1480" customWidth="1"/>
    <col min="13829" max="13829" width="10.125" style="1480" customWidth="1"/>
    <col min="13830" max="13832" width="10.75" style="1480" bestFit="1" customWidth="1"/>
    <col min="13833" max="13835" width="9.5" style="1480" customWidth="1"/>
    <col min="13836" max="13836" width="5.125" style="1480" customWidth="1"/>
    <col min="13837" max="13845" width="9" style="1480"/>
    <col min="13846" max="13846" width="9.125" style="1480" customWidth="1"/>
    <col min="13847" max="13847" width="9" style="1480"/>
    <col min="13848" max="13848" width="4.25" style="1480" customWidth="1"/>
    <col min="13849" max="14081" width="9" style="1480"/>
    <col min="14082" max="14082" width="6.375" style="1480" customWidth="1"/>
    <col min="14083" max="14083" width="11.75" style="1480" bestFit="1" customWidth="1"/>
    <col min="14084" max="14084" width="9.875" style="1480" customWidth="1"/>
    <col min="14085" max="14085" width="10.125" style="1480" customWidth="1"/>
    <col min="14086" max="14088" width="10.75" style="1480" bestFit="1" customWidth="1"/>
    <col min="14089" max="14091" width="9.5" style="1480" customWidth="1"/>
    <col min="14092" max="14092" width="5.125" style="1480" customWidth="1"/>
    <col min="14093" max="14101" width="9" style="1480"/>
    <col min="14102" max="14102" width="9.125" style="1480" customWidth="1"/>
    <col min="14103" max="14103" width="9" style="1480"/>
    <col min="14104" max="14104" width="4.25" style="1480" customWidth="1"/>
    <col min="14105" max="14337" width="9" style="1480"/>
    <col min="14338" max="14338" width="6.375" style="1480" customWidth="1"/>
    <col min="14339" max="14339" width="11.75" style="1480" bestFit="1" customWidth="1"/>
    <col min="14340" max="14340" width="9.875" style="1480" customWidth="1"/>
    <col min="14341" max="14341" width="10.125" style="1480" customWidth="1"/>
    <col min="14342" max="14344" width="10.75" style="1480" bestFit="1" customWidth="1"/>
    <col min="14345" max="14347" width="9.5" style="1480" customWidth="1"/>
    <col min="14348" max="14348" width="5.125" style="1480" customWidth="1"/>
    <col min="14349" max="14357" width="9" style="1480"/>
    <col min="14358" max="14358" width="9.125" style="1480" customWidth="1"/>
    <col min="14359" max="14359" width="9" style="1480"/>
    <col min="14360" max="14360" width="4.25" style="1480" customWidth="1"/>
    <col min="14361" max="14593" width="9" style="1480"/>
    <col min="14594" max="14594" width="6.375" style="1480" customWidth="1"/>
    <col min="14595" max="14595" width="11.75" style="1480" bestFit="1" customWidth="1"/>
    <col min="14596" max="14596" width="9.875" style="1480" customWidth="1"/>
    <col min="14597" max="14597" width="10.125" style="1480" customWidth="1"/>
    <col min="14598" max="14600" width="10.75" style="1480" bestFit="1" customWidth="1"/>
    <col min="14601" max="14603" width="9.5" style="1480" customWidth="1"/>
    <col min="14604" max="14604" width="5.125" style="1480" customWidth="1"/>
    <col min="14605" max="14613" width="9" style="1480"/>
    <col min="14614" max="14614" width="9.125" style="1480" customWidth="1"/>
    <col min="14615" max="14615" width="9" style="1480"/>
    <col min="14616" max="14616" width="4.25" style="1480" customWidth="1"/>
    <col min="14617" max="14849" width="9" style="1480"/>
    <col min="14850" max="14850" width="6.375" style="1480" customWidth="1"/>
    <col min="14851" max="14851" width="11.75" style="1480" bestFit="1" customWidth="1"/>
    <col min="14852" max="14852" width="9.875" style="1480" customWidth="1"/>
    <col min="14853" max="14853" width="10.125" style="1480" customWidth="1"/>
    <col min="14854" max="14856" width="10.75" style="1480" bestFit="1" customWidth="1"/>
    <col min="14857" max="14859" width="9.5" style="1480" customWidth="1"/>
    <col min="14860" max="14860" width="5.125" style="1480" customWidth="1"/>
    <col min="14861" max="14869" width="9" style="1480"/>
    <col min="14870" max="14870" width="9.125" style="1480" customWidth="1"/>
    <col min="14871" max="14871" width="9" style="1480"/>
    <col min="14872" max="14872" width="4.25" style="1480" customWidth="1"/>
    <col min="14873" max="15105" width="9" style="1480"/>
    <col min="15106" max="15106" width="6.375" style="1480" customWidth="1"/>
    <col min="15107" max="15107" width="11.75" style="1480" bestFit="1" customWidth="1"/>
    <col min="15108" max="15108" width="9.875" style="1480" customWidth="1"/>
    <col min="15109" max="15109" width="10.125" style="1480" customWidth="1"/>
    <col min="15110" max="15112" width="10.75" style="1480" bestFit="1" customWidth="1"/>
    <col min="15113" max="15115" width="9.5" style="1480" customWidth="1"/>
    <col min="15116" max="15116" width="5.125" style="1480" customWidth="1"/>
    <col min="15117" max="15125" width="9" style="1480"/>
    <col min="15126" max="15126" width="9.125" style="1480" customWidth="1"/>
    <col min="15127" max="15127" width="9" style="1480"/>
    <col min="15128" max="15128" width="4.25" style="1480" customWidth="1"/>
    <col min="15129" max="15361" width="9" style="1480"/>
    <col min="15362" max="15362" width="6.375" style="1480" customWidth="1"/>
    <col min="15363" max="15363" width="11.75" style="1480" bestFit="1" customWidth="1"/>
    <col min="15364" max="15364" width="9.875" style="1480" customWidth="1"/>
    <col min="15365" max="15365" width="10.125" style="1480" customWidth="1"/>
    <col min="15366" max="15368" width="10.75" style="1480" bestFit="1" customWidth="1"/>
    <col min="15369" max="15371" width="9.5" style="1480" customWidth="1"/>
    <col min="15372" max="15372" width="5.125" style="1480" customWidth="1"/>
    <col min="15373" max="15381" width="9" style="1480"/>
    <col min="15382" max="15382" width="9.125" style="1480" customWidth="1"/>
    <col min="15383" max="15383" width="9" style="1480"/>
    <col min="15384" max="15384" width="4.25" style="1480" customWidth="1"/>
    <col min="15385" max="15617" width="9" style="1480"/>
    <col min="15618" max="15618" width="6.375" style="1480" customWidth="1"/>
    <col min="15619" max="15619" width="11.75" style="1480" bestFit="1" customWidth="1"/>
    <col min="15620" max="15620" width="9.875" style="1480" customWidth="1"/>
    <col min="15621" max="15621" width="10.125" style="1480" customWidth="1"/>
    <col min="15622" max="15624" width="10.75" style="1480" bestFit="1" customWidth="1"/>
    <col min="15625" max="15627" width="9.5" style="1480" customWidth="1"/>
    <col min="15628" max="15628" width="5.125" style="1480" customWidth="1"/>
    <col min="15629" max="15637" width="9" style="1480"/>
    <col min="15638" max="15638" width="9.125" style="1480" customWidth="1"/>
    <col min="15639" max="15639" width="9" style="1480"/>
    <col min="15640" max="15640" width="4.25" style="1480" customWidth="1"/>
    <col min="15641" max="15873" width="9" style="1480"/>
    <col min="15874" max="15874" width="6.375" style="1480" customWidth="1"/>
    <col min="15875" max="15875" width="11.75" style="1480" bestFit="1" customWidth="1"/>
    <col min="15876" max="15876" width="9.875" style="1480" customWidth="1"/>
    <col min="15877" max="15877" width="10.125" style="1480" customWidth="1"/>
    <col min="15878" max="15880" width="10.75" style="1480" bestFit="1" customWidth="1"/>
    <col min="15881" max="15883" width="9.5" style="1480" customWidth="1"/>
    <col min="15884" max="15884" width="5.125" style="1480" customWidth="1"/>
    <col min="15885" max="15893" width="9" style="1480"/>
    <col min="15894" max="15894" width="9.125" style="1480" customWidth="1"/>
    <col min="15895" max="15895" width="9" style="1480"/>
    <col min="15896" max="15896" width="4.25" style="1480" customWidth="1"/>
    <col min="15897" max="16129" width="9" style="1480"/>
    <col min="16130" max="16130" width="6.375" style="1480" customWidth="1"/>
    <col min="16131" max="16131" width="11.75" style="1480" bestFit="1" customWidth="1"/>
    <col min="16132" max="16132" width="9.875" style="1480" customWidth="1"/>
    <col min="16133" max="16133" width="10.125" style="1480" customWidth="1"/>
    <col min="16134" max="16136" width="10.75" style="1480" bestFit="1" customWidth="1"/>
    <col min="16137" max="16139" width="9.5" style="1480" customWidth="1"/>
    <col min="16140" max="16140" width="5.125" style="1480" customWidth="1"/>
    <col min="16141" max="16149" width="9" style="1480"/>
    <col min="16150" max="16150" width="9.125" style="1480" customWidth="1"/>
    <col min="16151" max="16151" width="9" style="1480"/>
    <col min="16152" max="16152" width="4.25" style="1480" customWidth="1"/>
    <col min="16153" max="16384" width="9" style="1480"/>
  </cols>
  <sheetData>
    <row r="1" spans="1:11" ht="12.75" customHeight="1">
      <c r="A1" s="1478"/>
      <c r="B1" s="1478"/>
      <c r="C1" s="1479"/>
      <c r="D1" s="1479"/>
      <c r="E1" s="1479"/>
      <c r="F1" s="1479"/>
      <c r="G1" s="1479"/>
      <c r="H1" s="1479"/>
      <c r="I1" s="1479"/>
      <c r="J1" s="1479"/>
      <c r="K1" s="1479"/>
    </row>
    <row r="2" spans="1:11" s="1483" customFormat="1">
      <c r="A2" s="1481" t="s">
        <v>661</v>
      </c>
      <c r="B2" s="1481"/>
      <c r="C2" s="1482"/>
      <c r="D2" s="1482"/>
      <c r="E2" s="1482"/>
      <c r="F2" s="1482"/>
      <c r="G2" s="1482"/>
      <c r="H2" s="1482"/>
      <c r="I2" s="1482"/>
      <c r="J2" s="1482"/>
      <c r="K2" s="1482"/>
    </row>
    <row r="3" spans="1:11">
      <c r="A3" s="1484" t="s">
        <v>703</v>
      </c>
      <c r="B3" s="1485"/>
      <c r="C3" s="1484" t="s">
        <v>704</v>
      </c>
      <c r="D3" s="1485"/>
      <c r="E3" s="1486"/>
      <c r="F3" s="1484" t="s">
        <v>705</v>
      </c>
      <c r="G3" s="1485"/>
      <c r="H3" s="1485"/>
      <c r="I3" s="1487" t="s">
        <v>789</v>
      </c>
      <c r="J3" s="1484" t="s">
        <v>790</v>
      </c>
      <c r="K3" s="1486"/>
    </row>
    <row r="4" spans="1:11">
      <c r="A4" s="1488" t="s">
        <v>662</v>
      </c>
      <c r="B4" s="1489" t="s">
        <v>24</v>
      </c>
      <c r="C4" s="1488" t="s">
        <v>706</v>
      </c>
      <c r="D4" s="1489" t="s">
        <v>791</v>
      </c>
      <c r="E4" s="1490" t="s">
        <v>707</v>
      </c>
      <c r="F4" s="1488" t="s">
        <v>708</v>
      </c>
      <c r="G4" s="1489" t="s">
        <v>709</v>
      </c>
      <c r="H4" s="1489" t="s">
        <v>792</v>
      </c>
      <c r="I4" s="1491" t="s">
        <v>793</v>
      </c>
      <c r="J4" s="1488" t="s">
        <v>708</v>
      </c>
      <c r="K4" s="1490" t="s">
        <v>709</v>
      </c>
    </row>
    <row r="5" spans="1:11" ht="12.75" customHeight="1">
      <c r="A5" s="1492">
        <v>2013</v>
      </c>
      <c r="B5" s="1493">
        <v>1</v>
      </c>
      <c r="C5" s="1494">
        <v>-5397.4881542342318</v>
      </c>
      <c r="D5" s="1495">
        <v>-226.06517566012437</v>
      </c>
      <c r="E5" s="1496">
        <v>-8.0547808664139833</v>
      </c>
      <c r="F5" s="1494">
        <v>-491.41371520645453</v>
      </c>
      <c r="G5" s="1495">
        <v>-688.70817269560882</v>
      </c>
      <c r="H5" s="1496">
        <v>-135.27223140647675</v>
      </c>
      <c r="I5" s="1494">
        <v>0</v>
      </c>
      <c r="J5" s="1494">
        <v>0</v>
      </c>
      <c r="K5" s="1496">
        <v>0</v>
      </c>
    </row>
    <row r="6" spans="1:11" ht="12.75" customHeight="1">
      <c r="A6" s="1492">
        <v>2013</v>
      </c>
      <c r="B6" s="1493">
        <v>2</v>
      </c>
      <c r="C6" s="1494">
        <v>9167.1935367512833</v>
      </c>
      <c r="D6" s="1495">
        <v>413.1904267713669</v>
      </c>
      <c r="E6" s="1496">
        <v>13.407272842300491</v>
      </c>
      <c r="F6" s="1494">
        <v>800.1688138134042</v>
      </c>
      <c r="G6" s="1495">
        <v>1135.6745899668365</v>
      </c>
      <c r="H6" s="1496">
        <v>214.5110223671492</v>
      </c>
      <c r="I6" s="1494">
        <v>0</v>
      </c>
      <c r="J6" s="1494">
        <v>0</v>
      </c>
      <c r="K6" s="1496">
        <v>0</v>
      </c>
    </row>
    <row r="7" spans="1:11" ht="12.75" customHeight="1">
      <c r="A7" s="1492">
        <v>2013</v>
      </c>
      <c r="B7" s="1493">
        <v>3</v>
      </c>
      <c r="C7" s="1494">
        <v>7538.8508105996798</v>
      </c>
      <c r="D7" s="1495">
        <v>365.54017014233125</v>
      </c>
      <c r="E7" s="1496">
        <v>11.677610627468605</v>
      </c>
      <c r="F7" s="1494">
        <v>698.68431738080255</v>
      </c>
      <c r="G7" s="1495">
        <v>1034.1631979710282</v>
      </c>
      <c r="H7" s="1496">
        <v>226.35634832146926</v>
      </c>
      <c r="I7" s="1494">
        <v>0</v>
      </c>
      <c r="J7" s="1494">
        <v>0</v>
      </c>
      <c r="K7" s="1496">
        <v>0</v>
      </c>
    </row>
    <row r="8" spans="1:11" ht="12.75" customHeight="1">
      <c r="A8" s="1492">
        <v>2013</v>
      </c>
      <c r="B8" s="1493">
        <v>4</v>
      </c>
      <c r="C8" s="1494">
        <v>5971.6064586533248</v>
      </c>
      <c r="D8" s="1495">
        <v>297.5804454900848</v>
      </c>
      <c r="E8" s="1496">
        <v>10.267186646120198</v>
      </c>
      <c r="F8" s="1494">
        <v>452.63438479548194</v>
      </c>
      <c r="G8" s="1495">
        <v>690.93675679804483</v>
      </c>
      <c r="H8" s="1496">
        <v>145.79843980800328</v>
      </c>
      <c r="I8" s="1494">
        <v>-95.370118347791106</v>
      </c>
      <c r="J8" s="1494">
        <v>0</v>
      </c>
      <c r="K8" s="1496">
        <v>0</v>
      </c>
    </row>
    <row r="9" spans="1:11" ht="12.75" customHeight="1">
      <c r="A9" s="1492">
        <v>2013</v>
      </c>
      <c r="B9" s="1493">
        <v>5</v>
      </c>
      <c r="C9" s="1494">
        <v>-1196.6019823602678</v>
      </c>
      <c r="D9" s="1495">
        <v>-56.615119696793762</v>
      </c>
      <c r="E9" s="1496">
        <v>-2.3577174312284495</v>
      </c>
      <c r="F9" s="1494">
        <v>-723.628866167448</v>
      </c>
      <c r="G9" s="1495">
        <v>-1140.5025345823153</v>
      </c>
      <c r="H9" s="1496">
        <v>-238.43857344751697</v>
      </c>
      <c r="I9" s="1494">
        <v>-1720.6828365684701</v>
      </c>
      <c r="J9" s="1494">
        <v>0</v>
      </c>
      <c r="K9" s="1496">
        <v>0</v>
      </c>
    </row>
    <row r="10" spans="1:11" ht="12.75" customHeight="1">
      <c r="A10" s="1497">
        <v>2013</v>
      </c>
      <c r="B10" s="1498">
        <v>6</v>
      </c>
      <c r="C10" s="1499">
        <v>-2488.0656115152647</v>
      </c>
      <c r="D10" s="1500">
        <v>-100.9076809435157</v>
      </c>
      <c r="E10" s="1501">
        <v>-5.2470562015797144</v>
      </c>
      <c r="F10" s="1499">
        <v>-860.69131675051585</v>
      </c>
      <c r="G10" s="1500">
        <v>-1321.8580029014943</v>
      </c>
      <c r="H10" s="1501">
        <v>-277.21600836822984</v>
      </c>
      <c r="I10" s="1499">
        <v>-1600.7694866134302</v>
      </c>
      <c r="J10" s="1499">
        <v>0</v>
      </c>
      <c r="K10" s="1501">
        <v>0</v>
      </c>
    </row>
    <row r="11" spans="1:11">
      <c r="A11" s="1492">
        <v>2013</v>
      </c>
      <c r="B11" s="1493">
        <v>7</v>
      </c>
      <c r="C11" s="1494">
        <v>-25948.581443855015</v>
      </c>
      <c r="D11" s="1495">
        <v>-893.40037236528315</v>
      </c>
      <c r="E11" s="1496">
        <v>-54.368183779701994</v>
      </c>
      <c r="F11" s="1494">
        <v>-4062.8593799993282</v>
      </c>
      <c r="G11" s="1495">
        <v>-5870.7314335979609</v>
      </c>
      <c r="H11" s="1496">
        <v>-1320.3391864027108</v>
      </c>
      <c r="I11" s="1494">
        <v>-5193.4399999999996</v>
      </c>
      <c r="J11" s="1494">
        <v>0</v>
      </c>
      <c r="K11" s="1496">
        <v>0</v>
      </c>
    </row>
    <row r="12" spans="1:11">
      <c r="A12" s="1492">
        <v>2013</v>
      </c>
      <c r="B12" s="1493">
        <v>8</v>
      </c>
      <c r="C12" s="1494">
        <v>-10737.817938392021</v>
      </c>
      <c r="D12" s="1495">
        <v>-351.58307429483887</v>
      </c>
      <c r="E12" s="1496">
        <v>-21.768987313139277</v>
      </c>
      <c r="F12" s="1494">
        <v>-2237.124150604945</v>
      </c>
      <c r="G12" s="1495">
        <v>-3168.7127753355376</v>
      </c>
      <c r="H12" s="1496">
        <v>-697.16307405951727</v>
      </c>
      <c r="I12" s="1494">
        <v>-2969.68</v>
      </c>
      <c r="J12" s="1494">
        <v>0</v>
      </c>
      <c r="K12" s="1496">
        <v>0</v>
      </c>
    </row>
    <row r="13" spans="1:11">
      <c r="A13" s="1492">
        <v>2013</v>
      </c>
      <c r="B13" s="1493">
        <v>9</v>
      </c>
      <c r="C13" s="1494">
        <v>-5673.2278529194682</v>
      </c>
      <c r="D13" s="1495">
        <v>-187.272744079424</v>
      </c>
      <c r="E13" s="1496">
        <v>-11.349403001108056</v>
      </c>
      <c r="F13" s="1494">
        <v>-1320.2460069329234</v>
      </c>
      <c r="G13" s="1495">
        <v>-2086.448159407435</v>
      </c>
      <c r="H13" s="1496">
        <v>-478.14583365964182</v>
      </c>
      <c r="I13" s="1494">
        <v>-2176.81</v>
      </c>
      <c r="J13" s="1494">
        <v>0</v>
      </c>
      <c r="K13" s="1496">
        <v>0</v>
      </c>
    </row>
    <row r="14" spans="1:11">
      <c r="A14" s="1492">
        <v>2013</v>
      </c>
      <c r="B14" s="1493">
        <v>10</v>
      </c>
      <c r="C14" s="1494">
        <v>3592.3542839751781</v>
      </c>
      <c r="D14" s="1495">
        <v>140.88673580784479</v>
      </c>
      <c r="E14" s="1496">
        <v>6.8989802169767644</v>
      </c>
      <c r="F14" s="1494">
        <v>883.65458307123095</v>
      </c>
      <c r="G14" s="1495">
        <v>1602.5666262264222</v>
      </c>
      <c r="H14" s="1496">
        <v>357.53879070234734</v>
      </c>
      <c r="I14" s="1494">
        <v>1143.95</v>
      </c>
      <c r="J14" s="1494">
        <v>0</v>
      </c>
      <c r="K14" s="1496">
        <v>0</v>
      </c>
    </row>
    <row r="15" spans="1:11">
      <c r="A15" s="1492">
        <v>2013</v>
      </c>
      <c r="B15" s="1493">
        <v>11</v>
      </c>
      <c r="C15" s="1494">
        <v>-553.49088774519305</v>
      </c>
      <c r="D15" s="1495">
        <v>-25.294527439383593</v>
      </c>
      <c r="E15" s="1496">
        <v>-0.97458481542348285</v>
      </c>
      <c r="F15" s="1494">
        <v>56.844104583223334</v>
      </c>
      <c r="G15" s="1495">
        <v>100.8161533180693</v>
      </c>
      <c r="H15" s="1496">
        <v>23.09974209870737</v>
      </c>
      <c r="I15" s="1494">
        <v>0</v>
      </c>
      <c r="J15" s="1494">
        <v>0</v>
      </c>
      <c r="K15" s="1496">
        <v>0</v>
      </c>
    </row>
    <row r="16" spans="1:11">
      <c r="A16" s="1497">
        <v>2013</v>
      </c>
      <c r="B16" s="1498">
        <v>12</v>
      </c>
      <c r="C16" s="1499">
        <v>-17956.886679281517</v>
      </c>
      <c r="D16" s="1500">
        <v>-853.66156615325485</v>
      </c>
      <c r="E16" s="1501">
        <v>-26.811754565228853</v>
      </c>
      <c r="F16" s="1499">
        <v>-1020.2634222502231</v>
      </c>
      <c r="G16" s="1500">
        <v>-1495.837069997137</v>
      </c>
      <c r="H16" s="1501">
        <v>-318.27360771405466</v>
      </c>
      <c r="I16" s="1499">
        <v>0</v>
      </c>
      <c r="J16" s="1499">
        <v>0</v>
      </c>
      <c r="K16" s="1501">
        <v>0</v>
      </c>
    </row>
    <row r="17" spans="3:6">
      <c r="E17" s="1502"/>
    </row>
    <row r="18" spans="3:6">
      <c r="E18" s="1502"/>
    </row>
    <row r="19" spans="3:6">
      <c r="E19" s="1502"/>
    </row>
    <row r="20" spans="3:6">
      <c r="E20" s="1502"/>
    </row>
    <row r="22" spans="3:6">
      <c r="C22" s="1503"/>
      <c r="D22" s="1503"/>
      <c r="F22" s="1503"/>
    </row>
    <row r="23" spans="3:6">
      <c r="E23" s="1502"/>
    </row>
    <row r="24" spans="3:6">
      <c r="E24" s="1502"/>
    </row>
    <row r="25" spans="3:6">
      <c r="E25" s="1502"/>
    </row>
    <row r="26" spans="3:6">
      <c r="E26" s="1502"/>
    </row>
    <row r="27" spans="3:6">
      <c r="E27" s="1502"/>
    </row>
    <row r="28" spans="3:6">
      <c r="E28" s="1502"/>
    </row>
    <row r="29" spans="3:6">
      <c r="E29" s="1502"/>
    </row>
    <row r="30" spans="3:6">
      <c r="E30" s="1502"/>
    </row>
    <row r="31" spans="3:6">
      <c r="E31" s="1502"/>
    </row>
    <row r="32" spans="3:6">
      <c r="E32" s="1502"/>
    </row>
    <row r="33" spans="3:11">
      <c r="E33" s="1502"/>
    </row>
    <row r="35" spans="3:11">
      <c r="C35" s="1503"/>
      <c r="D35" s="1503"/>
      <c r="F35" s="1503"/>
      <c r="I35" s="1503"/>
      <c r="J35" s="1503"/>
      <c r="K35" s="1503"/>
    </row>
  </sheetData>
  <conditionalFormatting sqref="C1:H1">
    <cfRule type="cellIs" dxfId="0" priority="1" stopIfTrue="1" operator="lessThan">
      <formula>0</formula>
    </cfRule>
  </conditionalFormatting>
  <pageMargins left="0.75" right="0.75" top="1" bottom="1" header="0.5" footer="0.5"/>
  <pageSetup orientation="landscape" r:id="rId1"/>
  <headerFooter alignWithMargins="0">
    <oddFooter>&amp;L&amp;F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3">
    <pageSetUpPr fitToPage="1"/>
  </sheetPr>
  <dimension ref="A1:AB115"/>
  <sheetViews>
    <sheetView view="pageBreakPreview" zoomScaleNormal="100" zoomScaleSheetLayoutView="100" workbookViewId="0">
      <pane xSplit="1" ySplit="5" topLeftCell="H6" activePane="bottomRight" state="frozen"/>
      <selection activeCell="B1" sqref="B1"/>
      <selection pane="topRight" activeCell="B1" sqref="B1"/>
      <selection pane="bottomLeft" activeCell="B1" sqref="B1"/>
      <selection pane="bottomRight"/>
    </sheetView>
  </sheetViews>
  <sheetFormatPr defaultColWidth="8" defaultRowHeight="12.75"/>
  <cols>
    <col min="1" max="1" width="13.25" style="122" customWidth="1"/>
    <col min="2" max="2" width="6.625" style="122" customWidth="1"/>
    <col min="3" max="3" width="13.875" style="144" customWidth="1"/>
    <col min="4" max="4" width="1.625" style="123" customWidth="1"/>
    <col min="5" max="5" width="13.375" style="123" customWidth="1"/>
    <col min="6" max="6" width="1.375" style="123" customWidth="1"/>
    <col min="7" max="7" width="14.375" style="123" bestFit="1" customWidth="1"/>
    <col min="8" max="8" width="1.625" style="123" customWidth="1"/>
    <col min="9" max="9" width="14.375" style="123" customWidth="1"/>
    <col min="10" max="10" width="1.625" style="123" customWidth="1"/>
    <col min="11" max="11" width="14.625" style="123" customWidth="1"/>
    <col min="12" max="12" width="2.75" style="123" customWidth="1"/>
    <col min="13" max="13" width="7" style="122" customWidth="1"/>
    <col min="14" max="14" width="11.375" style="122" customWidth="1"/>
    <col min="15" max="15" width="9.875" style="122" bestFit="1" customWidth="1"/>
    <col min="16" max="16" width="14.25" style="122" customWidth="1"/>
    <col min="17" max="17" width="8.75" style="122" customWidth="1"/>
    <col min="18" max="18" width="12.5" style="122" customWidth="1"/>
    <col min="19" max="19" width="4.125" style="122" hidden="1" customWidth="1"/>
    <col min="20" max="20" width="14.75" style="122" hidden="1" customWidth="1"/>
    <col min="21" max="21" width="12.125" style="122" hidden="1" customWidth="1"/>
    <col min="22" max="22" width="12" style="122" hidden="1" customWidth="1"/>
    <col min="23" max="23" width="4.125" style="122" customWidth="1"/>
    <col min="24" max="24" width="12.375" style="122" customWidth="1"/>
    <col min="25" max="25" width="4.5" style="122" customWidth="1"/>
    <col min="26" max="26" width="9" style="122" customWidth="1"/>
    <col min="27" max="27" width="12.625" style="122" customWidth="1"/>
    <col min="28" max="28" width="14.125" style="122" bestFit="1" customWidth="1"/>
    <col min="29" max="16384" width="8" style="122"/>
  </cols>
  <sheetData>
    <row r="1" spans="1:28" ht="15.75">
      <c r="A1" s="118" t="s">
        <v>254</v>
      </c>
      <c r="B1" s="119"/>
      <c r="C1" s="757"/>
      <c r="D1" s="120"/>
      <c r="E1" s="120"/>
      <c r="F1" s="120"/>
      <c r="G1" s="120"/>
      <c r="H1" s="120"/>
      <c r="I1" s="120"/>
      <c r="J1" s="120"/>
    </row>
    <row r="2" spans="1:28" ht="15.75">
      <c r="A2" s="118"/>
    </row>
    <row r="3" spans="1:28">
      <c r="C3" s="757" t="s">
        <v>1</v>
      </c>
      <c r="O3" s="124" t="s">
        <v>255</v>
      </c>
      <c r="P3" s="147" t="s">
        <v>31</v>
      </c>
      <c r="R3" s="124" t="s">
        <v>718</v>
      </c>
      <c r="T3" s="147" t="s">
        <v>292</v>
      </c>
    </row>
    <row r="4" spans="1:28">
      <c r="K4" s="123" t="s">
        <v>692</v>
      </c>
      <c r="M4" s="124" t="s">
        <v>256</v>
      </c>
      <c r="N4" s="147" t="s">
        <v>263</v>
      </c>
      <c r="O4" s="124" t="s">
        <v>257</v>
      </c>
      <c r="P4" s="147" t="s">
        <v>582</v>
      </c>
      <c r="Q4" s="124" t="s">
        <v>256</v>
      </c>
      <c r="R4" s="147" t="s">
        <v>263</v>
      </c>
      <c r="S4" s="124"/>
      <c r="T4" s="124" t="s">
        <v>197</v>
      </c>
      <c r="U4" s="124" t="s">
        <v>256</v>
      </c>
      <c r="V4" s="147" t="s">
        <v>263</v>
      </c>
      <c r="W4" s="124"/>
      <c r="X4" s="147" t="s">
        <v>9</v>
      </c>
    </row>
    <row r="5" spans="1:28">
      <c r="A5" s="122" t="s">
        <v>258</v>
      </c>
      <c r="C5" s="758">
        <v>305</v>
      </c>
      <c r="E5" s="126" t="s">
        <v>200</v>
      </c>
      <c r="F5" s="126"/>
      <c r="G5" s="126" t="s">
        <v>259</v>
      </c>
      <c r="H5" s="126"/>
      <c r="I5" s="126" t="s">
        <v>260</v>
      </c>
      <c r="J5" s="126"/>
      <c r="K5" s="126" t="s">
        <v>261</v>
      </c>
      <c r="L5" s="126"/>
      <c r="M5" s="124" t="s">
        <v>31</v>
      </c>
      <c r="N5" s="147" t="s">
        <v>293</v>
      </c>
      <c r="O5" s="124" t="s">
        <v>264</v>
      </c>
      <c r="P5" s="124" t="s">
        <v>1</v>
      </c>
      <c r="Q5" s="147" t="s">
        <v>294</v>
      </c>
      <c r="R5" s="147" t="s">
        <v>295</v>
      </c>
      <c r="S5" s="124"/>
      <c r="T5" s="124" t="s">
        <v>1</v>
      </c>
      <c r="U5" s="147" t="s">
        <v>296</v>
      </c>
      <c r="V5" s="147" t="s">
        <v>297</v>
      </c>
      <c r="W5" s="124"/>
      <c r="X5" s="147" t="s">
        <v>44</v>
      </c>
    </row>
    <row r="6" spans="1:28" s="131" customFormat="1">
      <c r="A6" s="131" t="s">
        <v>265</v>
      </c>
      <c r="C6" s="144"/>
      <c r="D6" s="128"/>
      <c r="E6" s="129"/>
      <c r="F6" s="129"/>
      <c r="G6" s="129"/>
      <c r="H6" s="129"/>
      <c r="I6" s="129"/>
      <c r="J6" s="129"/>
      <c r="K6" s="129"/>
      <c r="L6" s="129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</row>
    <row r="7" spans="1:28" s="750" customFormat="1">
      <c r="A7" s="750" t="s">
        <v>266</v>
      </c>
      <c r="C7" s="759">
        <f>VLOOKUP(A7,'305 Inputs'!$E$116:$I$142,5,FALSE)</f>
        <v>135331409.69999999</v>
      </c>
      <c r="D7" s="753"/>
      <c r="E7" s="760">
        <f>-('305 VS COGNOS kWh'!C7/('305 VS COGNOS kWh'!C7+'305 VS COGNOS kWh'!C11)*'WA SBC'!AN16)</f>
        <v>-4688868.1823155042</v>
      </c>
      <c r="F7" s="759"/>
      <c r="G7" s="760">
        <f>-[60]Sheet1!$I$2+[61]Sheet1!$I$2</f>
        <v>-5222.849999999904</v>
      </c>
      <c r="H7" s="759"/>
      <c r="I7" s="759">
        <f t="shared" ref="I7:I13" si="0">C7+E7+G7</f>
        <v>130637318.6676845</v>
      </c>
      <c r="J7" s="759"/>
      <c r="K7" s="760">
        <f>[44]Sheet1!$I$2</f>
        <v>130544909.735699</v>
      </c>
      <c r="L7" s="759"/>
      <c r="M7" s="795">
        <f t="shared" ref="M7:M14" si="1">ROUND(K7/I7*100,3)-100</f>
        <v>-7.0999999999997954E-2</v>
      </c>
      <c r="N7" s="761">
        <f t="shared" ref="N7:N14" si="2">K7-I7</f>
        <v>-92408.931985497475</v>
      </c>
      <c r="O7" s="755">
        <f t="shared" ref="O7:O14" si="3">IF(ABS(M7)&lt;=0.5,0,IF(I7&gt;K7,(I7*0.995)-K7,(I7*1.005)-K7))</f>
        <v>0</v>
      </c>
      <c r="P7" s="760">
        <f>'Rate Design Work'!I115-K11-Temperature!G22*1000</f>
        <v>137783069.77442452</v>
      </c>
      <c r="Q7" s="770">
        <f t="shared" ref="Q7:Q14" si="4">((P7-I7)/I7)*100</f>
        <v>5.4699156256547221</v>
      </c>
      <c r="R7" s="761">
        <f t="shared" ref="R7:R14" si="5">P7-K7</f>
        <v>7238160.0387255251</v>
      </c>
      <c r="S7" s="756"/>
      <c r="T7" s="760" t="e">
        <f>'Rate Design Work'!F115-#REF!*1000</f>
        <v>#REF!</v>
      </c>
      <c r="U7" s="756" t="e">
        <f t="shared" ref="U7:U14" si="6">((T7-P7)/P7)*100</f>
        <v>#REF!</v>
      </c>
      <c r="V7" s="761" t="e">
        <f t="shared" ref="V7:V14" si="7">T7-P7</f>
        <v>#REF!</v>
      </c>
      <c r="W7" s="756"/>
      <c r="X7" s="761">
        <f t="shared" ref="X7:X13" si="8">G7+N7+R7</f>
        <v>7140528.256740028</v>
      </c>
      <c r="Y7" s="750" t="str">
        <f>IF(ABS(O7)&lt;1, "OK", "NOPE")</f>
        <v>OK</v>
      </c>
      <c r="Z7" s="761" t="s">
        <v>31</v>
      </c>
      <c r="AA7" s="799"/>
    </row>
    <row r="8" spans="1:28" s="750" customFormat="1">
      <c r="A8" s="750" t="s">
        <v>267</v>
      </c>
      <c r="C8" s="759">
        <f>VLOOKUP(A8,'305 Inputs'!$E$116:$I$142,5,FALSE)</f>
        <v>5742704.1699999999</v>
      </c>
      <c r="D8" s="753"/>
      <c r="E8" s="760">
        <f>-'WA SBC'!AN17</f>
        <v>-200195.69402638945</v>
      </c>
      <c r="F8" s="759"/>
      <c r="G8" s="760">
        <f>-[61]Sheet1!$I$3+[60]Sheet1!$I$3</f>
        <v>1585.6899999999998</v>
      </c>
      <c r="H8" s="759"/>
      <c r="I8" s="759">
        <f t="shared" si="0"/>
        <v>5544094.1659736112</v>
      </c>
      <c r="J8" s="759"/>
      <c r="K8" s="760">
        <f>[44]Sheet1!$I$3</f>
        <v>5532393.0076200003</v>
      </c>
      <c r="L8" s="759"/>
      <c r="M8" s="750">
        <f t="shared" si="1"/>
        <v>-0.21099999999999852</v>
      </c>
      <c r="N8" s="761">
        <f t="shared" si="2"/>
        <v>-11701.158353610896</v>
      </c>
      <c r="O8" s="755">
        <f t="shared" si="3"/>
        <v>0</v>
      </c>
      <c r="P8" s="760">
        <f>'Rate Design Work'!I130-Temperature!G40*1000</f>
        <v>5839426.0899999999</v>
      </c>
      <c r="Q8" s="770">
        <f t="shared" si="4"/>
        <v>5.3269644271008652</v>
      </c>
      <c r="R8" s="761">
        <f t="shared" si="5"/>
        <v>307033.08237999957</v>
      </c>
      <c r="S8" s="756"/>
      <c r="T8" s="760">
        <f>'Rate Design Work'!F130</f>
        <v>5415524</v>
      </c>
      <c r="U8" s="756">
        <f t="shared" si="6"/>
        <v>-7.2593108203891976</v>
      </c>
      <c r="V8" s="761">
        <f t="shared" si="7"/>
        <v>-423902.08999999985</v>
      </c>
      <c r="W8" s="756"/>
      <c r="X8" s="761">
        <f t="shared" si="8"/>
        <v>296917.61402638868</v>
      </c>
      <c r="AA8" s="799"/>
    </row>
    <row r="9" spans="1:28" s="750" customFormat="1">
      <c r="A9" s="750" t="s">
        <v>268</v>
      </c>
      <c r="B9" s="761"/>
      <c r="C9" s="759">
        <f>VLOOKUP(A9,'305 Inputs'!$E$116:$I$142,5,FALSE)</f>
        <v>217409.79</v>
      </c>
      <c r="D9" s="753"/>
      <c r="E9" s="760">
        <f>-('305 VS COGNOS kWh'!C9/('305 VS COGNOS kWh'!C9+'305 VS COGNOS kWh'!C10)*'WA SBC'!AN18)</f>
        <v>-6858.5878682658013</v>
      </c>
      <c r="F9" s="759"/>
      <c r="G9" s="760">
        <f>[62]Sheet1!$L$2</f>
        <v>1122.81</v>
      </c>
      <c r="H9" s="759"/>
      <c r="I9" s="759">
        <f t="shared" si="0"/>
        <v>211674.0121317342</v>
      </c>
      <c r="J9" s="759"/>
      <c r="K9" s="760">
        <f>[46]Sheet1!$L$2</f>
        <v>211426.997968387</v>
      </c>
      <c r="L9" s="759"/>
      <c r="M9" s="750">
        <f t="shared" si="1"/>
        <v>-0.11700000000000443</v>
      </c>
      <c r="N9" s="761">
        <f t="shared" si="2"/>
        <v>-247.01416334719397</v>
      </c>
      <c r="O9" s="755">
        <f t="shared" si="3"/>
        <v>0</v>
      </c>
      <c r="P9" s="760">
        <f>'Rate Design Work'!I145-Temperature!G58*1000</f>
        <v>221267.07</v>
      </c>
      <c r="Q9" s="770">
        <f t="shared" si="4"/>
        <v>4.5319960498011538</v>
      </c>
      <c r="R9" s="761">
        <f t="shared" si="5"/>
        <v>9840.0720316130028</v>
      </c>
      <c r="S9" s="756"/>
      <c r="T9" s="760">
        <f>'Rate Design Work'!F145</f>
        <v>203844</v>
      </c>
      <c r="U9" s="756">
        <f t="shared" si="6"/>
        <v>-7.8742263817205185</v>
      </c>
      <c r="V9" s="761">
        <f t="shared" si="7"/>
        <v>-17423.070000000007</v>
      </c>
      <c r="W9" s="756"/>
      <c r="X9" s="761">
        <f t="shared" si="8"/>
        <v>10715.867868265808</v>
      </c>
      <c r="AA9" s="799"/>
    </row>
    <row r="10" spans="1:28" s="750" customFormat="1">
      <c r="A10" s="750" t="s">
        <v>269</v>
      </c>
      <c r="B10" s="987"/>
      <c r="C10" s="759">
        <f>VLOOKUP(A10,'305 Inputs'!$E$116:$I$142,5,FALSE)</f>
        <v>40817.89</v>
      </c>
      <c r="D10" s="753"/>
      <c r="E10" s="760">
        <f>-('305 VS COGNOS kWh'!C10/('305 VS COGNOS kWh'!C9+'305 VS COGNOS kWh'!C10)*'WA SBC'!AN18)</f>
        <v>-1311.0263965431641</v>
      </c>
      <c r="F10" s="759"/>
      <c r="G10" s="760">
        <f>[62]Sheet1!$L$3</f>
        <v>217.93</v>
      </c>
      <c r="H10" s="759"/>
      <c r="I10" s="759">
        <f t="shared" si="0"/>
        <v>39724.793603456834</v>
      </c>
      <c r="J10" s="759"/>
      <c r="K10" s="760">
        <f>[46]Sheet1!$L$3</f>
        <v>39694.960588064503</v>
      </c>
      <c r="L10" s="759"/>
      <c r="M10" s="750">
        <f t="shared" si="1"/>
        <v>-7.5000000000002842E-2</v>
      </c>
      <c r="N10" s="761">
        <f t="shared" si="2"/>
        <v>-29.833015392330708</v>
      </c>
      <c r="O10" s="755">
        <f t="shared" si="3"/>
        <v>0</v>
      </c>
      <c r="P10" s="760">
        <f>'Rate Design Work'!I160</f>
        <v>41635</v>
      </c>
      <c r="Q10" s="770">
        <f t="shared" si="4"/>
        <v>4.8085999278217546</v>
      </c>
      <c r="R10" s="761">
        <f t="shared" si="5"/>
        <v>1940.0394119354969</v>
      </c>
      <c r="S10" s="756"/>
      <c r="T10" s="760">
        <f>'Rate Design Work'!F160</f>
        <v>39694</v>
      </c>
      <c r="U10" s="756">
        <f t="shared" si="6"/>
        <v>-4.6619430767383205</v>
      </c>
      <c r="V10" s="761">
        <f t="shared" si="7"/>
        <v>-1941</v>
      </c>
      <c r="W10" s="756"/>
      <c r="X10" s="761">
        <f t="shared" si="8"/>
        <v>2128.136396543166</v>
      </c>
      <c r="Y10" s="756"/>
      <c r="AA10" s="799"/>
    </row>
    <row r="11" spans="1:28" s="750" customFormat="1">
      <c r="A11" s="750" t="s">
        <v>250</v>
      </c>
      <c r="C11" s="759">
        <f>VLOOKUP(A11,'305 Inputs'!$E$116:$I$142,5,FALSE)</f>
        <v>121143.02</v>
      </c>
      <c r="D11" s="753"/>
      <c r="E11" s="760">
        <f>-('305 VS COGNOS kWh'!C11/('305 VS COGNOS kWh'!C7+'305 VS COGNOS kWh'!C11)*'WA SBC'!AN16)</f>
        <v>-4139.1297646776638</v>
      </c>
      <c r="F11" s="759"/>
      <c r="G11" s="760">
        <f>-[63]Sheet1!$I$2+[64]Sheet1!$I$2</f>
        <v>-241.19</v>
      </c>
      <c r="H11" s="759"/>
      <c r="I11" s="759">
        <f>C11+E11+G11</f>
        <v>116762.70023532234</v>
      </c>
      <c r="J11" s="759"/>
      <c r="K11" s="760">
        <f>[45]Sheet1!$J$2-2616.75</f>
        <v>116581.525575484</v>
      </c>
      <c r="L11" s="759"/>
      <c r="M11" s="750">
        <f>ROUND(K11/I11*100,3)-100</f>
        <v>-0.15500000000000114</v>
      </c>
      <c r="N11" s="761">
        <f>K11-I11</f>
        <v>-181.17465983833245</v>
      </c>
      <c r="O11" s="755">
        <f>IF(ABS(M11)&lt;=0.5,0,IF(I11&gt;K11,(I11*0.995)-K11,(I11*1.005)-K11))</f>
        <v>0</v>
      </c>
      <c r="P11" s="760">
        <f>K11</f>
        <v>116581.525575484</v>
      </c>
      <c r="Q11" s="770">
        <f>((P11-I11)/I11)*100</f>
        <v>-0.1551648424310117</v>
      </c>
      <c r="R11" s="761">
        <f>P11-K11</f>
        <v>0</v>
      </c>
      <c r="S11" s="756"/>
      <c r="T11" s="760">
        <f>'Rate Design Work'!F45</f>
        <v>153888</v>
      </c>
      <c r="U11" s="756">
        <f>((T11-P11)/P11)*100</f>
        <v>32.000331304946656</v>
      </c>
      <c r="V11" s="761">
        <f>T11-P11</f>
        <v>37306.474424515996</v>
      </c>
      <c r="W11" s="756"/>
      <c r="X11" s="761">
        <f>G11+N11+R11</f>
        <v>-422.36465983833244</v>
      </c>
      <c r="AA11" s="799"/>
    </row>
    <row r="12" spans="1:28" s="750" customFormat="1">
      <c r="A12" s="750" t="s">
        <v>270</v>
      </c>
      <c r="C12" s="759">
        <f>VLOOKUP(A12,'305 Inputs'!$E$116:$I$142,5,FALSE)</f>
        <v>156486.64000000001</v>
      </c>
      <c r="D12" s="753"/>
      <c r="E12" s="760">
        <f>-'WA SBC'!AN15</f>
        <v>-2868.215528968366</v>
      </c>
      <c r="F12" s="759"/>
      <c r="G12" s="760">
        <f>[65]Sheet1!$K$10-[66]Sheet1!$K$10</f>
        <v>214.32000000000096</v>
      </c>
      <c r="H12" s="759"/>
      <c r="I12" s="759">
        <f t="shared" si="0"/>
        <v>153832.74447103165</v>
      </c>
      <c r="J12" s="759"/>
      <c r="K12" s="760">
        <f>[43]Sheet1!$J$28</f>
        <v>153886.63615719051</v>
      </c>
      <c r="L12" s="759"/>
      <c r="M12" s="750">
        <f t="shared" ref="M12" si="9">ROUND(K12/I12*100,3)-100</f>
        <v>3.4999999999996589E-2</v>
      </c>
      <c r="N12" s="761">
        <f t="shared" ref="N12:N13" si="10">K12-I12</f>
        <v>53.891686158865923</v>
      </c>
      <c r="O12" s="755">
        <f t="shared" ref="O12:O13" si="11">IF(ABS(M12)&lt;=0.5,0,IF(I12&gt;K12,(I12*0.995)-K12,(I12*1.005)-K12))</f>
        <v>0</v>
      </c>
      <c r="P12" s="760">
        <f>'Rate Design Work'!I45</f>
        <v>153886.63615717244</v>
      </c>
      <c r="Q12" s="770">
        <f t="shared" ref="Q12" si="12">((P12-I12)/I12)*100</f>
        <v>3.5032649470113836E-2</v>
      </c>
      <c r="R12" s="761">
        <f t="shared" ref="R12:R13" si="13">P12-K12</f>
        <v>-1.807347871363163E-8</v>
      </c>
      <c r="S12" s="756"/>
      <c r="T12" s="760">
        <f>'Rate Design Work'!F44</f>
        <v>0</v>
      </c>
      <c r="U12" s="756">
        <f t="shared" ref="U12" si="14">((T12-P12)/P12)*100</f>
        <v>-100</v>
      </c>
      <c r="V12" s="761">
        <f t="shared" ref="V12:V13" si="15">T12-P12</f>
        <v>-153886.63615717244</v>
      </c>
      <c r="W12" s="756"/>
      <c r="X12" s="761">
        <f t="shared" si="8"/>
        <v>268.2116861407934</v>
      </c>
      <c r="AA12" s="799"/>
    </row>
    <row r="13" spans="1:28" s="750" customFormat="1">
      <c r="A13" s="750" t="s">
        <v>749</v>
      </c>
      <c r="C13" s="759">
        <f>VLOOKUP(A13,'305 Inputs'!$E$116:$I$142,5,FALSE)</f>
        <v>809006.25</v>
      </c>
      <c r="D13" s="753"/>
      <c r="E13" s="760">
        <f>-('305 VS COGNOS kWh'!C13/('305 VS COGNOS kWh'!C13+'305 VS COGNOS kWh'!C18+'305 VS COGNOS kWh'!C19+'305 VS COGNOS kWh'!C20+'305 VS COGNOS kWh'!C26)*'WA SBC'!AN23)</f>
        <v>-21322.012137239271</v>
      </c>
      <c r="F13" s="759"/>
      <c r="G13" s="760">
        <f>[67]Sheet1!$Q$19-[68]Sheet1!$Q$17</f>
        <v>2736.6799999999994</v>
      </c>
      <c r="H13" s="759"/>
      <c r="I13" s="759">
        <f t="shared" si="0"/>
        <v>790420.91786276083</v>
      </c>
      <c r="J13" s="759"/>
      <c r="K13" s="760">
        <f>[47]Sheet1!$R$32</f>
        <v>791130.25388665847</v>
      </c>
      <c r="L13" s="759"/>
      <c r="M13" s="795">
        <f>ROUND(K13/I13*100,3)-100</f>
        <v>9.0000000000003411E-2</v>
      </c>
      <c r="N13" s="761">
        <f t="shared" si="10"/>
        <v>709.33602389763109</v>
      </c>
      <c r="O13" s="755">
        <f t="shared" si="11"/>
        <v>0</v>
      </c>
      <c r="P13" s="760">
        <f>'Rate Design Work'!I273-K21-Temperature!V75*1000</f>
        <v>829261.51</v>
      </c>
      <c r="Q13" s="770">
        <f>((P13-I13)/I13)*100</f>
        <v>4.9139124812462249</v>
      </c>
      <c r="R13" s="761">
        <f t="shared" si="13"/>
        <v>38131.256113341544</v>
      </c>
      <c r="S13" s="756"/>
      <c r="T13" s="760">
        <v>31869846</v>
      </c>
      <c r="U13" s="756">
        <f>((T13-P13)/P13)*100</f>
        <v>3743.1599218924312</v>
      </c>
      <c r="V13" s="761">
        <f t="shared" si="15"/>
        <v>31040584.489999998</v>
      </c>
      <c r="W13" s="756"/>
      <c r="X13" s="761">
        <f t="shared" si="8"/>
        <v>41577.272137239175</v>
      </c>
      <c r="Y13" s="1180" t="s">
        <v>31</v>
      </c>
      <c r="Z13" s="1168" t="s">
        <v>31</v>
      </c>
      <c r="AA13" s="1181" t="s">
        <v>31</v>
      </c>
      <c r="AB13" s="756"/>
    </row>
    <row r="14" spans="1:28" s="131" customFormat="1">
      <c r="A14" s="131" t="s">
        <v>271</v>
      </c>
      <c r="C14" s="140">
        <f>SUM(C7:C13)</f>
        <v>142418977.45999995</v>
      </c>
      <c r="D14" s="128"/>
      <c r="E14" s="140">
        <f>SUM(E7:E13)</f>
        <v>-4925562.8480375875</v>
      </c>
      <c r="F14" s="140"/>
      <c r="G14" s="140">
        <f>SUM(G7:G13)</f>
        <v>413.39000000009582</v>
      </c>
      <c r="H14" s="140"/>
      <c r="I14" s="140">
        <f>SUM(I7:I13)</f>
        <v>137493828.00196242</v>
      </c>
      <c r="J14" s="140"/>
      <c r="K14" s="140">
        <f>SUM(K7:K13)</f>
        <v>137390023.11749479</v>
      </c>
      <c r="L14" s="140"/>
      <c r="M14" s="131">
        <f t="shared" si="1"/>
        <v>-7.5000000000002842E-2</v>
      </c>
      <c r="N14" s="149">
        <f t="shared" si="2"/>
        <v>-103804.88446763158</v>
      </c>
      <c r="O14" s="135">
        <f t="shared" si="3"/>
        <v>0</v>
      </c>
      <c r="P14" s="133">
        <f>SUM(P7:P13)</f>
        <v>144985127.60615718</v>
      </c>
      <c r="Q14" s="771">
        <f t="shared" si="4"/>
        <v>5.4484624605024736</v>
      </c>
      <c r="R14" s="149">
        <f t="shared" si="5"/>
        <v>7595104.4886623919</v>
      </c>
      <c r="S14" s="136"/>
      <c r="T14" s="133" t="e">
        <f>SUM(T7:T12)</f>
        <v>#REF!</v>
      </c>
      <c r="U14" s="136" t="e">
        <f t="shared" si="6"/>
        <v>#REF!</v>
      </c>
      <c r="V14" s="149" t="e">
        <f t="shared" si="7"/>
        <v>#REF!</v>
      </c>
      <c r="W14" s="136"/>
      <c r="X14" s="149">
        <f>SUM(X7:X13)</f>
        <v>7491712.9941947684</v>
      </c>
      <c r="Y14" s="136"/>
      <c r="AA14" s="136"/>
    </row>
    <row r="15" spans="1:28" s="131" customFormat="1">
      <c r="C15" s="140"/>
      <c r="D15" s="128"/>
      <c r="E15" s="140"/>
      <c r="F15" s="140"/>
      <c r="G15" s="140"/>
      <c r="H15" s="140"/>
      <c r="I15" s="140"/>
      <c r="J15" s="140"/>
      <c r="K15" s="140"/>
      <c r="L15" s="140"/>
      <c r="N15" s="136"/>
      <c r="O15" s="135"/>
      <c r="P15" s="135"/>
      <c r="Q15" s="136"/>
      <c r="R15" s="136"/>
      <c r="S15" s="136"/>
      <c r="T15" s="135"/>
      <c r="U15" s="136"/>
      <c r="V15" s="136"/>
      <c r="W15" s="136"/>
      <c r="X15" s="136"/>
      <c r="Y15" s="136"/>
      <c r="AA15" s="136"/>
    </row>
    <row r="16" spans="1:28" s="131" customFormat="1">
      <c r="C16" s="140"/>
      <c r="D16" s="128"/>
      <c r="E16" s="143" t="s">
        <v>31</v>
      </c>
      <c r="F16" s="143"/>
      <c r="G16" s="140"/>
      <c r="H16" s="140"/>
      <c r="I16" s="140"/>
      <c r="J16" s="140"/>
      <c r="K16" s="140"/>
      <c r="L16" s="140"/>
      <c r="N16" s="136"/>
      <c r="O16" s="135"/>
      <c r="P16" s="135"/>
      <c r="Q16" s="136"/>
      <c r="R16" s="136"/>
      <c r="S16" s="136"/>
      <c r="T16" s="135"/>
      <c r="U16" s="136"/>
      <c r="V16" s="136"/>
      <c r="W16" s="136"/>
      <c r="X16" s="136"/>
      <c r="Y16" s="136"/>
      <c r="AA16" s="136"/>
    </row>
    <row r="17" spans="1:28" s="131" customFormat="1">
      <c r="A17" s="131" t="s">
        <v>272</v>
      </c>
      <c r="C17" s="140"/>
      <c r="D17" s="128"/>
      <c r="E17" s="140"/>
      <c r="F17" s="140"/>
      <c r="G17" s="140"/>
      <c r="H17" s="140"/>
      <c r="I17" s="140"/>
      <c r="J17" s="140"/>
      <c r="K17" s="140"/>
      <c r="L17" s="140"/>
      <c r="N17" s="136"/>
      <c r="O17" s="135"/>
      <c r="P17" s="135"/>
      <c r="Q17" s="136"/>
      <c r="R17" s="136"/>
      <c r="S17" s="136"/>
      <c r="T17" s="135"/>
      <c r="U17" s="136"/>
      <c r="V17" s="136"/>
      <c r="W17" s="136"/>
      <c r="X17" s="136"/>
      <c r="Y17" s="136"/>
      <c r="AA17" s="136"/>
    </row>
    <row r="18" spans="1:28" s="750" customFormat="1">
      <c r="A18" s="750" t="s">
        <v>51</v>
      </c>
      <c r="C18" s="759">
        <f>VLOOKUP(A18,'305 Inputs'!$E$7:$I$43,5,FALSE)+'305 Inputs'!I29</f>
        <v>45363661.269999996</v>
      </c>
      <c r="D18" s="753"/>
      <c r="E18" s="760">
        <f>-('305 VS COGNOS kWh'!C18/('305 VS COGNOS kWh'!C13+'305 VS COGNOS kWh'!C18+'305 VS COGNOS kWh'!C20+'305 VS COGNOS kWh'!C19+'305 VS COGNOS kWh'!C26)*'WA SBC'!AN23)</f>
        <v>-1579001.1822944838</v>
      </c>
      <c r="F18" s="759"/>
      <c r="G18" s="760">
        <f>[67]Sheet1!$Q$16-[68]Sheet1!$Q$14</f>
        <v>-36583.610000000008</v>
      </c>
      <c r="H18" s="759"/>
      <c r="I18" s="759">
        <f t="shared" ref="I18:I27" si="16">C18+E18+G18</f>
        <v>43748076.477705516</v>
      </c>
      <c r="J18" s="759"/>
      <c r="K18" s="760">
        <f>[47]Sheet1!$R$29</f>
        <v>43903386.734901726</v>
      </c>
      <c r="L18" s="759"/>
      <c r="M18" s="795">
        <f>ROUND(K18/I18*100,3)-100</f>
        <v>0.35500000000000398</v>
      </c>
      <c r="N18" s="761">
        <f t="shared" ref="N18:N28" si="17">K18-I18</f>
        <v>155310.25719621032</v>
      </c>
      <c r="O18" s="755">
        <f t="shared" ref="O18:O28" si="18">IF(ABS(M18)&lt;=0.5,0,IF(I18&gt;K18,(I18*0.995)-K18,(I18*1.005)-K18))</f>
        <v>0</v>
      </c>
      <c r="P18" s="760">
        <f>'Rate Design Work'!I308-K26-Temperature!I75*1000</f>
        <v>46355026.150093332</v>
      </c>
      <c r="Q18" s="770">
        <f>((P18-I18)/I18)*100</f>
        <v>5.9590041032234762</v>
      </c>
      <c r="R18" s="761">
        <f t="shared" ref="R18:R28" si="19">P18-K18</f>
        <v>2451639.4151916057</v>
      </c>
      <c r="S18" s="756"/>
      <c r="T18" s="760">
        <v>31869846</v>
      </c>
      <c r="U18" s="756">
        <f>((T18-P18)/P18)*100</f>
        <v>-31.248348567837382</v>
      </c>
      <c r="V18" s="761">
        <f t="shared" ref="V18:V28" si="20">T18-P18</f>
        <v>-14485180.150093332</v>
      </c>
      <c r="W18" s="756"/>
      <c r="X18" s="761">
        <f t="shared" ref="X18:X23" si="21">G18+N18+R18</f>
        <v>2570366.0623878161</v>
      </c>
      <c r="Y18" s="1180" t="s">
        <v>31</v>
      </c>
      <c r="Z18" s="1168" t="s">
        <v>31</v>
      </c>
      <c r="AA18" s="799"/>
      <c r="AB18" s="756"/>
    </row>
    <row r="19" spans="1:28" s="750" customFormat="1">
      <c r="A19" s="750" t="s">
        <v>52</v>
      </c>
      <c r="C19" s="759">
        <f>VLOOKUP(A19,'305 Inputs'!$E$7:$I$43,5,FALSE)+'305 Inputs'!I37</f>
        <v>162259.16</v>
      </c>
      <c r="D19" s="753"/>
      <c r="E19" s="760">
        <f>-('305 VS COGNOS kWh'!C19/('305 VS COGNOS kWh'!C13+'305 VS COGNOS kWh'!C18+'305 VS COGNOS kWh'!C19+'305 VS COGNOS kWh'!C20+'305 VS COGNOS kWh'!C26)*'WA SBC'!AN23)</f>
        <v>-3860.6078060998602</v>
      </c>
      <c r="F19" s="759"/>
      <c r="G19" s="760">
        <f>[69]Sheet1!$M$2-[70]Sheet1!$M$5</f>
        <v>-1488.76</v>
      </c>
      <c r="H19" s="759"/>
      <c r="I19" s="759">
        <f t="shared" si="16"/>
        <v>156909.79219390012</v>
      </c>
      <c r="J19" s="759"/>
      <c r="K19" s="760">
        <f>[48]Sheet1!$M$6</f>
        <v>157219.62173157808</v>
      </c>
      <c r="L19" s="759"/>
      <c r="M19" s="795">
        <f>ROUND(K19/I19*100,3)-100</f>
        <v>0.19700000000000273</v>
      </c>
      <c r="N19" s="761">
        <f t="shared" si="17"/>
        <v>309.82953767795698</v>
      </c>
      <c r="O19" s="755">
        <f t="shared" si="18"/>
        <v>0</v>
      </c>
      <c r="P19" s="760">
        <f>'Rate Design Work'!I412</f>
        <v>164628</v>
      </c>
      <c r="Q19" s="770">
        <f>((P19-I19)/I19)*100</f>
        <v>4.9188821794895743</v>
      </c>
      <c r="R19" s="761">
        <f t="shared" si="19"/>
        <v>7408.3782684219186</v>
      </c>
      <c r="S19" s="756"/>
      <c r="T19" s="760">
        <v>139779</v>
      </c>
      <c r="U19" s="756">
        <f>((T19-P19)/P19)*100</f>
        <v>-15.094030177126614</v>
      </c>
      <c r="V19" s="761">
        <f t="shared" si="20"/>
        <v>-24849</v>
      </c>
      <c r="W19" s="756"/>
      <c r="X19" s="761">
        <f t="shared" si="21"/>
        <v>6229.4478060998754</v>
      </c>
      <c r="AA19" s="799"/>
    </row>
    <row r="20" spans="1:28" s="750" customFormat="1">
      <c r="A20" s="993" t="s">
        <v>298</v>
      </c>
      <c r="C20" s="759">
        <f>VLOOKUP(A20,'305 Inputs'!$E$7:$I$43,5,FALSE)</f>
        <v>114723.55</v>
      </c>
      <c r="D20" s="753"/>
      <c r="E20" s="760">
        <f>-('305 VS COGNOS kWh'!C20/('305 VS COGNOS kWh'!C13+'305 VS COGNOS kWh'!C18+'305 VS COGNOS kWh'!C19+'305 VS COGNOS kWh'!C20+'305 VS COGNOS kWh'!C26)*'WA SBC'!AN23)</f>
        <v>-1371.8387781958877</v>
      </c>
      <c r="F20" s="759"/>
      <c r="G20" s="760">
        <f>[71]Sheet1!$O$2-[72]Sheet1!$O$2</f>
        <v>537.83000000000004</v>
      </c>
      <c r="H20" s="759"/>
      <c r="I20" s="759">
        <f t="shared" si="16"/>
        <v>113889.54122180412</v>
      </c>
      <c r="J20" s="759"/>
      <c r="K20" s="760">
        <f>[49]Sheet1!$Q$6</f>
        <v>113756.48982566199</v>
      </c>
      <c r="L20" s="759"/>
      <c r="M20" s="795">
        <f>ROUND(K20/I20*100,3)-100</f>
        <v>-0.11700000000000443</v>
      </c>
      <c r="N20" s="761">
        <f t="shared" si="17"/>
        <v>-133.05139614212385</v>
      </c>
      <c r="O20" s="755">
        <f t="shared" si="18"/>
        <v>0</v>
      </c>
      <c r="P20" s="760">
        <f>'Rate Design Work'!I518</f>
        <v>117644</v>
      </c>
      <c r="Q20" s="770">
        <f>((P20-I20)/I20)*100</f>
        <v>3.2965790694370569</v>
      </c>
      <c r="R20" s="761">
        <f t="shared" si="19"/>
        <v>3887.5101743380073</v>
      </c>
      <c r="S20" s="756"/>
      <c r="T20" s="760">
        <v>112893</v>
      </c>
      <c r="U20" s="756">
        <f>((T20-P20)/P20)*100</f>
        <v>-4.0384549998299955</v>
      </c>
      <c r="V20" s="761">
        <f t="shared" si="20"/>
        <v>-4751</v>
      </c>
      <c r="W20" s="756"/>
      <c r="X20" s="761">
        <f t="shared" si="21"/>
        <v>4292.2887781958834</v>
      </c>
      <c r="AA20" s="799"/>
    </row>
    <row r="21" spans="1:28" s="750" customFormat="1">
      <c r="A21" s="750" t="s">
        <v>273</v>
      </c>
      <c r="C21" s="759">
        <v>0</v>
      </c>
      <c r="D21" s="753"/>
      <c r="E21" s="760">
        <v>0</v>
      </c>
      <c r="F21" s="759"/>
      <c r="G21" s="760">
        <v>0</v>
      </c>
      <c r="H21" s="759"/>
      <c r="I21" s="759">
        <f t="shared" si="16"/>
        <v>0</v>
      </c>
      <c r="J21" s="759"/>
      <c r="K21" s="760">
        <v>0</v>
      </c>
      <c r="L21" s="759"/>
      <c r="M21" s="795">
        <v>0</v>
      </c>
      <c r="N21" s="761">
        <f t="shared" si="17"/>
        <v>0</v>
      </c>
      <c r="O21" s="755">
        <f t="shared" si="18"/>
        <v>0</v>
      </c>
      <c r="P21" s="760">
        <v>0</v>
      </c>
      <c r="Q21" s="770">
        <v>0</v>
      </c>
      <c r="R21" s="761">
        <f t="shared" si="19"/>
        <v>0</v>
      </c>
      <c r="S21" s="756"/>
      <c r="T21" s="760">
        <v>0</v>
      </c>
      <c r="U21" s="756">
        <v>0</v>
      </c>
      <c r="V21" s="761">
        <f t="shared" si="20"/>
        <v>0</v>
      </c>
      <c r="W21" s="756"/>
      <c r="X21" s="761">
        <f>G21+N21</f>
        <v>0</v>
      </c>
      <c r="AA21" s="799"/>
    </row>
    <row r="22" spans="1:28" s="750" customFormat="1">
      <c r="A22" s="750" t="s">
        <v>53</v>
      </c>
      <c r="C22" s="759">
        <f>VLOOKUP(A22,'305 Inputs'!$E$7:$I$43,5,FALSE)+'305 Inputs'!I33</f>
        <v>58386049.289999999</v>
      </c>
      <c r="D22" s="753"/>
      <c r="E22" s="760">
        <f>-('305 VS COGNOS kWh'!C22/('305 VS COGNOS kWh'!C22+'305 VS COGNOS kWh'!C27)*'WA SBC'!AN24)</f>
        <v>-2047191.6069258254</v>
      </c>
      <c r="F22" s="759"/>
      <c r="G22" s="760">
        <f>[73]Sheet1!$Q$11-[74]Sheet1!$Q$14</f>
        <v>-19428.649999999994</v>
      </c>
      <c r="H22" s="759"/>
      <c r="I22" s="759">
        <f t="shared" si="16"/>
        <v>56319429.033074178</v>
      </c>
      <c r="J22" s="759"/>
      <c r="K22" s="760">
        <f>[50]Sheet1!$O$22</f>
        <v>56283287.389649935</v>
      </c>
      <c r="L22" s="759"/>
      <c r="M22" s="795">
        <f t="shared" ref="M22:M28" si="22">ROUND(K22/I22*100,3)-100</f>
        <v>-6.3999999999992951E-2</v>
      </c>
      <c r="N22" s="761">
        <f t="shared" si="17"/>
        <v>-36141.643424242735</v>
      </c>
      <c r="O22" s="755">
        <f t="shared" si="18"/>
        <v>0</v>
      </c>
      <c r="P22" s="760">
        <f>'Rate Design Work'!I674-K27-Temperature!G110*1000</f>
        <v>59297458.238399997</v>
      </c>
      <c r="Q22" s="770">
        <f t="shared" ref="Q22:Q28" si="23">((P22-I22)/I22)*100</f>
        <v>5.2877475081946246</v>
      </c>
      <c r="R22" s="986">
        <f>P22-K22</f>
        <v>3014170.8487500623</v>
      </c>
      <c r="S22" s="756"/>
      <c r="T22" s="760">
        <f>'Rate Design Work'!F674</f>
        <v>55660462</v>
      </c>
      <c r="U22" s="756">
        <f t="shared" ref="U22:U28" si="24">((T22-P22)/P22)*100</f>
        <v>-6.133477465050504</v>
      </c>
      <c r="V22" s="761">
        <f t="shared" si="20"/>
        <v>-3636996.2383999974</v>
      </c>
      <c r="W22" s="756"/>
      <c r="X22" s="761">
        <f t="shared" si="21"/>
        <v>2958600.5553258196</v>
      </c>
      <c r="Z22" s="1168"/>
      <c r="AA22" s="799"/>
    </row>
    <row r="23" spans="1:28" s="750" customFormat="1">
      <c r="A23" s="750" t="s">
        <v>54</v>
      </c>
      <c r="C23" s="759">
        <f>VLOOKUP(A23,'305 Inputs'!$E$7:$I$43,5,FALSE)+'305 Inputs'!I44</f>
        <v>11404602.67</v>
      </c>
      <c r="D23" s="753"/>
      <c r="E23" s="760">
        <f>-'WA SBC'!AN25</f>
        <v>-355217.31811082416</v>
      </c>
      <c r="F23" s="759"/>
      <c r="G23" s="760">
        <f>-[75]Sheet1!$R$2</f>
        <v>-42290.400000000001</v>
      </c>
      <c r="H23" s="759"/>
      <c r="I23" s="759">
        <f t="shared" si="16"/>
        <v>11007094.951889176</v>
      </c>
      <c r="J23" s="759"/>
      <c r="K23" s="760">
        <f>[53]Sheet1!$S$2+[53]Sheet1!$S$3+[53]Sheet1!$S$4</f>
        <v>11017597.546265459</v>
      </c>
      <c r="L23" s="759"/>
      <c r="M23" s="795">
        <f t="shared" si="22"/>
        <v>9.4999999999998863E-2</v>
      </c>
      <c r="N23" s="761">
        <f t="shared" si="17"/>
        <v>10502.594376282766</v>
      </c>
      <c r="O23" s="755">
        <f t="shared" si="18"/>
        <v>0</v>
      </c>
      <c r="P23" s="760">
        <f>'Rate Design Work'!I1064-(Temperature!D127+Temperature!H127)*1000</f>
        <v>11607842.189999999</v>
      </c>
      <c r="Q23" s="770">
        <f t="shared" si="23"/>
        <v>5.4578182593738394</v>
      </c>
      <c r="R23" s="761">
        <f t="shared" si="19"/>
        <v>590244.64373454079</v>
      </c>
      <c r="S23" s="756"/>
      <c r="T23" s="760">
        <v>7698008</v>
      </c>
      <c r="U23" s="756">
        <f t="shared" si="24"/>
        <v>-33.682695939545674</v>
      </c>
      <c r="V23" s="761">
        <f t="shared" si="20"/>
        <v>-3909834.1899999995</v>
      </c>
      <c r="W23" s="756"/>
      <c r="X23" s="761">
        <f t="shared" si="21"/>
        <v>558456.83811082353</v>
      </c>
      <c r="AA23" s="799"/>
    </row>
    <row r="24" spans="1:28" s="750" customFormat="1">
      <c r="A24" s="750" t="s">
        <v>55</v>
      </c>
      <c r="C24" s="759">
        <f>VLOOKUP(A24,'305 Inputs'!$E$7:$I$43,5,FALSE)+'305 Inputs'!I35</f>
        <v>301302.41000000003</v>
      </c>
      <c r="D24" s="753"/>
      <c r="E24" s="760">
        <f>-'WA SBC'!AN22</f>
        <v>-5818.4841912810543</v>
      </c>
      <c r="F24" s="759"/>
      <c r="G24" s="760">
        <f>[65]Sheet1!$K$8-[66]Sheet1!$K$8</f>
        <v>1271.880000000001</v>
      </c>
      <c r="H24" s="759"/>
      <c r="I24" s="759">
        <f t="shared" si="16"/>
        <v>296755.80580871896</v>
      </c>
      <c r="J24" s="759"/>
      <c r="K24" s="760">
        <f>[43]Sheet1!$J$26</f>
        <v>296768.48326932569</v>
      </c>
      <c r="L24" s="759"/>
      <c r="M24" s="795">
        <f t="shared" si="22"/>
        <v>4.0000000000048885E-3</v>
      </c>
      <c r="N24" s="761">
        <f t="shared" si="17"/>
        <v>12.677460606733803</v>
      </c>
      <c r="O24" s="755">
        <f t="shared" si="18"/>
        <v>0</v>
      </c>
      <c r="P24" s="760">
        <f>'Rate Design Work'!I63</f>
        <v>296786.00730761874</v>
      </c>
      <c r="Q24" s="770">
        <f t="shared" si="23"/>
        <v>1.0177222587938371E-2</v>
      </c>
      <c r="R24" s="761">
        <f t="shared" si="19"/>
        <v>17.524038293049671</v>
      </c>
      <c r="S24" s="756"/>
      <c r="T24" s="760">
        <v>296573</v>
      </c>
      <c r="U24" s="756">
        <f t="shared" si="24"/>
        <v>-7.1771344461653785E-2</v>
      </c>
      <c r="V24" s="761">
        <f t="shared" si="20"/>
        <v>-213.00730761874001</v>
      </c>
      <c r="W24" s="756"/>
      <c r="X24" s="761">
        <f>G24+N24+R24</f>
        <v>1302.0814988997845</v>
      </c>
      <c r="AA24" s="799"/>
    </row>
    <row r="25" spans="1:28" s="750" customFormat="1">
      <c r="A25" s="750" t="s">
        <v>56</v>
      </c>
      <c r="C25" s="759">
        <f>VLOOKUP(A25,'305 Inputs'!$E$7:$I$43,5,FALSE)</f>
        <v>26869.71</v>
      </c>
      <c r="D25" s="753"/>
      <c r="E25" s="760">
        <f>-'WA SBC'!AN26</f>
        <v>-938.42237694888047</v>
      </c>
      <c r="F25" s="759"/>
      <c r="G25" s="760">
        <f>-[76]Sheet1!$I$5</f>
        <v>-78.83</v>
      </c>
      <c r="H25" s="759"/>
      <c r="I25" s="759">
        <f t="shared" si="16"/>
        <v>25852.457623051116</v>
      </c>
      <c r="J25" s="759"/>
      <c r="K25" s="760">
        <f>[58]Sheet1!$I$5</f>
        <v>25852.958460000013</v>
      </c>
      <c r="L25" s="759"/>
      <c r="M25" s="795">
        <f t="shared" si="22"/>
        <v>1.9999999999953388E-3</v>
      </c>
      <c r="N25" s="761">
        <f t="shared" si="17"/>
        <v>0.50083694889690378</v>
      </c>
      <c r="O25" s="755">
        <f t="shared" si="18"/>
        <v>0</v>
      </c>
      <c r="P25" s="760">
        <f>'Rate Design Work'!I1224</f>
        <v>25854</v>
      </c>
      <c r="Q25" s="770">
        <f t="shared" si="23"/>
        <v>5.9660747592100967E-3</v>
      </c>
      <c r="R25" s="761">
        <f t="shared" si="19"/>
        <v>1.0415399999874353</v>
      </c>
      <c r="S25" s="756"/>
      <c r="T25" s="760">
        <v>18590</v>
      </c>
      <c r="U25" s="756">
        <f t="shared" si="24"/>
        <v>-28.096232691266344</v>
      </c>
      <c r="V25" s="761">
        <f t="shared" si="20"/>
        <v>-7264</v>
      </c>
      <c r="W25" s="756"/>
      <c r="X25" s="761">
        <f>G25+N25+R25</f>
        <v>-77.287623051115659</v>
      </c>
      <c r="AA25" s="799"/>
    </row>
    <row r="26" spans="1:28" s="750" customFormat="1">
      <c r="A26" s="750" t="s">
        <v>218</v>
      </c>
      <c r="C26" s="759">
        <f>VLOOKUP(A26,'305 Inputs'!$E$7:$I$43,5,FALSE)</f>
        <v>62011.81</v>
      </c>
      <c r="D26" s="753"/>
      <c r="E26" s="760">
        <f>-('305 VS COGNOS kWh'!C26/('305 VS COGNOS kWh'!C13+'305 VS COGNOS kWh'!C18+'305 VS COGNOS kWh'!C19+'305 VS COGNOS kWh'!C20+'305 VS COGNOS kWh'!C26)*'WA SBC'!AN23)</f>
        <v>-2291.2830454945151</v>
      </c>
      <c r="F26" s="759"/>
      <c r="G26" s="760">
        <f>[67]Sheet1!$N$17</f>
        <v>8.7100000000000009</v>
      </c>
      <c r="H26" s="759"/>
      <c r="I26" s="759">
        <f t="shared" ref="I26" si="25">C26+E26+G26</f>
        <v>59729.236954505483</v>
      </c>
      <c r="J26" s="759"/>
      <c r="K26" s="760">
        <f>[47]Sheet1!$R$30</f>
        <v>59818.66990666667</v>
      </c>
      <c r="L26" s="759"/>
      <c r="M26" s="795">
        <f t="shared" ref="M26" si="26">ROUND(K26/I26*100,3)-100</f>
        <v>0.15000000000000568</v>
      </c>
      <c r="N26" s="761">
        <f t="shared" ref="N26" si="27">K26-I26</f>
        <v>89.432952161187131</v>
      </c>
      <c r="O26" s="755">
        <f t="shared" ref="O26" si="28">IF(ABS(M26)&lt;=0.5,0,IF(I26&gt;K26,(I26*0.995)-K26,(I26*1.005)-K26))</f>
        <v>0</v>
      </c>
      <c r="P26" s="760">
        <f>K26</f>
        <v>59818.66990666667</v>
      </c>
      <c r="Q26" s="770">
        <f t="shared" ref="Q26" si="29">((P26-I26)/I26)*100</f>
        <v>0.1497306122114139</v>
      </c>
      <c r="R26" s="761">
        <f t="shared" ref="R26" si="30">P26-K26</f>
        <v>0</v>
      </c>
      <c r="S26" s="756"/>
      <c r="T26" s="760">
        <v>515</v>
      </c>
      <c r="U26" s="756">
        <f t="shared" ref="U26" si="31">((T26-P26)/P26)*100</f>
        <v>-99.139064775590057</v>
      </c>
      <c r="V26" s="761">
        <f t="shared" ref="V26" si="32">T26-P26</f>
        <v>-59303.66990666667</v>
      </c>
      <c r="W26" s="756"/>
      <c r="X26" s="761">
        <f>G26+N26+R26</f>
        <v>98.142952161187139</v>
      </c>
    </row>
    <row r="27" spans="1:28" s="750" customFormat="1">
      <c r="A27" s="750" t="s">
        <v>691</v>
      </c>
      <c r="C27" s="759">
        <f>VLOOKUP(A27,'305 Inputs'!$E$7:$I$43,5,FALSE)</f>
        <v>83300.59</v>
      </c>
      <c r="D27" s="753"/>
      <c r="E27" s="760">
        <f>-('305 VS COGNOS kWh'!C27/('305 VS COGNOS kWh'!C22+'305 VS COGNOS kWh'!C27)*'WA SBC'!AN24)</f>
        <v>-2905.0697691858254</v>
      </c>
      <c r="F27" s="759"/>
      <c r="G27" s="760">
        <v>0</v>
      </c>
      <c r="H27" s="759"/>
      <c r="I27" s="759">
        <f t="shared" si="16"/>
        <v>80395.520230814174</v>
      </c>
      <c r="J27" s="759"/>
      <c r="K27" s="760">
        <f>[50]Sheet1!$O$24</f>
        <v>79984.691599999991</v>
      </c>
      <c r="L27" s="759"/>
      <c r="M27" s="795">
        <f t="shared" si="22"/>
        <v>-0.51099999999999568</v>
      </c>
      <c r="N27" s="761">
        <f t="shared" si="17"/>
        <v>-410.82863081418327</v>
      </c>
      <c r="O27" s="755">
        <f t="shared" si="18"/>
        <v>8.8510296601161826</v>
      </c>
      <c r="P27" s="760">
        <f>K27</f>
        <v>79984.691599999991</v>
      </c>
      <c r="Q27" s="770">
        <f t="shared" si="23"/>
        <v>-0.51100935678343917</v>
      </c>
      <c r="R27" s="761">
        <f t="shared" si="19"/>
        <v>0</v>
      </c>
      <c r="S27" s="756"/>
      <c r="T27" s="760">
        <v>515</v>
      </c>
      <c r="U27" s="756">
        <f t="shared" si="24"/>
        <v>-99.356126791642225</v>
      </c>
      <c r="V27" s="761">
        <f t="shared" si="20"/>
        <v>-79469.691599999991</v>
      </c>
      <c r="W27" s="756"/>
      <c r="X27" s="761">
        <f>G27+N27+R27</f>
        <v>-410.82863081418327</v>
      </c>
    </row>
    <row r="28" spans="1:28" s="131" customFormat="1">
      <c r="A28" s="131" t="s">
        <v>274</v>
      </c>
      <c r="C28" s="140">
        <f>SUM(C18:C27)</f>
        <v>115904780.45999998</v>
      </c>
      <c r="D28" s="128"/>
      <c r="E28" s="140">
        <f>SUM(E18:E27)</f>
        <v>-3998595.8132983395</v>
      </c>
      <c r="F28" s="140"/>
      <c r="G28" s="140">
        <f>SUM(G18:G27)</f>
        <v>-98051.829999999987</v>
      </c>
      <c r="H28" s="140"/>
      <c r="I28" s="140">
        <f>SUM(I18:I27)</f>
        <v>111808132.81670167</v>
      </c>
      <c r="J28" s="140"/>
      <c r="K28" s="140">
        <f>SUM(K18:K27)</f>
        <v>111937672.58561033</v>
      </c>
      <c r="L28" s="140"/>
      <c r="M28" s="150">
        <f t="shared" si="22"/>
        <v>0.11599999999999966</v>
      </c>
      <c r="N28" s="149">
        <f t="shared" si="17"/>
        <v>129539.76890866458</v>
      </c>
      <c r="O28" s="135">
        <f t="shared" si="18"/>
        <v>0</v>
      </c>
      <c r="P28" s="140">
        <f>SUM(P18:P27)</f>
        <v>118005041.9473076</v>
      </c>
      <c r="Q28" s="771">
        <f t="shared" si="23"/>
        <v>5.5424493500532321</v>
      </c>
      <c r="R28" s="149">
        <f t="shared" si="19"/>
        <v>6067369.3616972715</v>
      </c>
      <c r="S28" s="136"/>
      <c r="T28" s="140">
        <f>SUM(T18:T27)</f>
        <v>95797181</v>
      </c>
      <c r="U28" s="136">
        <f t="shared" si="24"/>
        <v>-18.819417018828741</v>
      </c>
      <c r="V28" s="149">
        <f t="shared" si="20"/>
        <v>-22207860.947307602</v>
      </c>
      <c r="W28" s="136"/>
      <c r="X28" s="149">
        <f>SUM(X18:X27)</f>
        <v>6098857.3006059499</v>
      </c>
      <c r="Z28" s="149" t="s">
        <v>31</v>
      </c>
    </row>
    <row r="29" spans="1:28" s="131" customFormat="1">
      <c r="C29" s="140"/>
      <c r="D29" s="128"/>
      <c r="E29" s="140"/>
      <c r="F29" s="140"/>
      <c r="G29" s="140"/>
      <c r="H29" s="140"/>
      <c r="I29" s="140" t="s">
        <v>31</v>
      </c>
      <c r="J29" s="140"/>
      <c r="K29" s="140"/>
      <c r="L29" s="140"/>
      <c r="O29" s="135"/>
      <c r="Q29" s="136"/>
      <c r="R29" s="136"/>
      <c r="S29" s="136"/>
      <c r="U29" s="136"/>
      <c r="V29" s="136"/>
      <c r="W29" s="136"/>
      <c r="X29" s="136"/>
      <c r="Z29" s="131" t="s">
        <v>31</v>
      </c>
    </row>
    <row r="30" spans="1:28" s="131" customFormat="1">
      <c r="C30" s="140"/>
      <c r="D30" s="128"/>
      <c r="E30" s="140"/>
      <c r="F30" s="140"/>
      <c r="G30" s="140"/>
      <c r="H30" s="140"/>
      <c r="I30" s="140"/>
      <c r="J30" s="140"/>
      <c r="K30" s="140"/>
      <c r="L30" s="140"/>
      <c r="N30" s="132"/>
      <c r="O30" s="135"/>
      <c r="Q30" s="136"/>
      <c r="R30" s="136"/>
      <c r="S30" s="136"/>
      <c r="U30" s="136"/>
      <c r="V30" s="136"/>
      <c r="W30" s="136"/>
      <c r="X30" s="136"/>
    </row>
    <row r="31" spans="1:28" s="131" customFormat="1">
      <c r="A31" s="131" t="s">
        <v>275</v>
      </c>
      <c r="C31" s="140"/>
      <c r="D31" s="128"/>
      <c r="E31" s="140"/>
      <c r="F31" s="140"/>
      <c r="G31" s="140"/>
      <c r="H31" s="140"/>
      <c r="I31" s="140"/>
      <c r="J31" s="140"/>
      <c r="K31" s="140"/>
      <c r="L31" s="140"/>
      <c r="N31" s="132"/>
      <c r="O31" s="135"/>
      <c r="Q31" s="136"/>
      <c r="R31" s="136"/>
      <c r="S31" s="136"/>
      <c r="U31" s="136"/>
      <c r="V31" s="136"/>
      <c r="W31" s="136"/>
      <c r="X31" s="136"/>
    </row>
    <row r="32" spans="1:28" s="750" customFormat="1">
      <c r="A32" s="750" t="s">
        <v>51</v>
      </c>
      <c r="C32" s="759">
        <f>VLOOKUP(A32,'305 Inputs'!$E$51:$I$71,5,FALSE)+'305 Inputs'!I64</f>
        <v>1674715.56</v>
      </c>
      <c r="D32" s="753"/>
      <c r="E32" s="760">
        <f>-('305 VS COGNOS kWh'!C32/('305 VS COGNOS kWh'!C32+'305 VS COGNOS kWh'!C33+'305 VS COGNOS kWh'!C34)*'WA SBC'!AN31)</f>
        <v>-58093.642833337632</v>
      </c>
      <c r="F32" s="759"/>
      <c r="G32" s="760">
        <f>[67]Sheet1!$Q$18-[68]Sheet1!$Q$16</f>
        <v>-6001.5</v>
      </c>
      <c r="H32" s="759"/>
      <c r="I32" s="759">
        <f t="shared" ref="I32:I40" si="33">C32+E32+G32</f>
        <v>1610620.4171666624</v>
      </c>
      <c r="J32" s="759"/>
      <c r="K32" s="760">
        <f>[47]Sheet1!$R$31</f>
        <v>1564866.8658933339</v>
      </c>
      <c r="L32" s="759"/>
      <c r="M32" s="795">
        <f t="shared" ref="M32:M41" si="34">ROUND(K32/I32*100,3)-100</f>
        <v>-2.840999999999994</v>
      </c>
      <c r="N32" s="761">
        <f t="shared" ref="N32:N40" si="35">K32-I32</f>
        <v>-45753.551273328485</v>
      </c>
      <c r="O32" s="755">
        <f t="shared" ref="O32:O41" si="36">IF(ABS(M32)&lt;=0.5,0,IF(I32&gt;K32,(I32*0.995)-K32,(I32*1.005)-K32))</f>
        <v>37700.44918749528</v>
      </c>
      <c r="P32" s="760">
        <f>'Rate Design Work'!I342</f>
        <v>1652959</v>
      </c>
      <c r="Q32" s="770">
        <f t="shared" ref="Q32:Q41" si="37">((P32-I32)/I32)*100</f>
        <v>2.6287126614114267</v>
      </c>
      <c r="R32" s="761">
        <f t="shared" ref="R32:R41" si="38">P32-K32</f>
        <v>88092.134106666083</v>
      </c>
      <c r="S32" s="756"/>
      <c r="T32" s="760">
        <v>1418240</v>
      </c>
      <c r="U32" s="756">
        <f t="shared" ref="U32:U41" si="39">((T32-P32)/P32)*100</f>
        <v>-14.199928733864542</v>
      </c>
      <c r="V32" s="761">
        <f t="shared" ref="V32:V41" si="40">T32-P32</f>
        <v>-234719</v>
      </c>
      <c r="W32" s="756"/>
      <c r="X32" s="761">
        <f t="shared" ref="X32:X39" si="41">G32+N32+R32</f>
        <v>36337.082833337598</v>
      </c>
      <c r="Y32" s="1182" t="s">
        <v>31</v>
      </c>
      <c r="Z32" s="755"/>
      <c r="AA32" s="799"/>
    </row>
    <row r="33" spans="1:27" s="750" customFormat="1">
      <c r="A33" s="750" t="s">
        <v>52</v>
      </c>
      <c r="C33" s="759">
        <f>VLOOKUP(A33,'305 Inputs'!$E$51:$I$71,5,FALSE)</f>
        <v>7853.95</v>
      </c>
      <c r="D33" s="753"/>
      <c r="E33" s="760">
        <f>-('305 VS COGNOS kWh'!C33/('305 VS COGNOS kWh'!C32+'305 VS COGNOS kWh'!C33+'305 VS COGNOS kWh'!C34)*'WA SBC'!AN31)</f>
        <v>-100.28893764702634</v>
      </c>
      <c r="F33" s="759"/>
      <c r="G33" s="760">
        <v>0</v>
      </c>
      <c r="H33" s="759"/>
      <c r="I33" s="759">
        <f t="shared" si="33"/>
        <v>7753.6610623529732</v>
      </c>
      <c r="J33" s="759"/>
      <c r="K33" s="760">
        <f>[48]Sheet1!$M$7</f>
        <v>7805.1935800000001</v>
      </c>
      <c r="L33" s="759"/>
      <c r="M33" s="795">
        <f t="shared" si="34"/>
        <v>0.66500000000000625</v>
      </c>
      <c r="N33" s="761">
        <f t="shared" si="35"/>
        <v>51.532517647026907</v>
      </c>
      <c r="O33" s="755">
        <f t="shared" si="36"/>
        <v>-12.764212335262528</v>
      </c>
      <c r="P33" s="760">
        <f>'Rate Design Work'!I447</f>
        <v>8003</v>
      </c>
      <c r="Q33" s="770">
        <f t="shared" si="37"/>
        <v>3.2157575065753634</v>
      </c>
      <c r="R33" s="761">
        <f t="shared" si="38"/>
        <v>197.80641999999989</v>
      </c>
      <c r="S33" s="756"/>
      <c r="T33" s="760">
        <v>6139</v>
      </c>
      <c r="U33" s="756">
        <f t="shared" si="39"/>
        <v>-23.291265775334249</v>
      </c>
      <c r="V33" s="761">
        <f t="shared" si="40"/>
        <v>-1864</v>
      </c>
      <c r="W33" s="756"/>
      <c r="X33" s="761">
        <f t="shared" si="41"/>
        <v>249.3389376470268</v>
      </c>
      <c r="AA33" s="799"/>
    </row>
    <row r="34" spans="1:27" s="750" customFormat="1">
      <c r="A34" s="993" t="s">
        <v>298</v>
      </c>
      <c r="C34" s="759">
        <f>VLOOKUP(A34,'305 Inputs'!$E$51:$I$71,5,FALSE)</f>
        <v>2841.78</v>
      </c>
      <c r="D34" s="753"/>
      <c r="E34" s="760">
        <f>-('305 VS COGNOS kWh'!C34/('305 VS COGNOS kWh'!C32+'305 VS COGNOS kWh'!C33+'305 VS COGNOS kWh'!C34)*'WA SBC'!AN31)</f>
        <v>-28.756339339128733</v>
      </c>
      <c r="F34" s="759"/>
      <c r="G34" s="760">
        <v>0</v>
      </c>
      <c r="H34" s="759"/>
      <c r="I34" s="759">
        <f t="shared" si="33"/>
        <v>2813.0236606608714</v>
      </c>
      <c r="J34" s="759"/>
      <c r="K34" s="760">
        <f>[49]Sheet1!$Q$7</f>
        <v>2812.5745200000001</v>
      </c>
      <c r="L34" s="759"/>
      <c r="M34" s="795">
        <f t="shared" si="34"/>
        <v>-1.6000000000005343E-2</v>
      </c>
      <c r="N34" s="761">
        <f t="shared" si="35"/>
        <v>-0.44914066087130777</v>
      </c>
      <c r="O34" s="755">
        <f t="shared" si="36"/>
        <v>0</v>
      </c>
      <c r="P34" s="760">
        <f>'Rate Design Work'!I553</f>
        <v>2926</v>
      </c>
      <c r="Q34" s="770">
        <f t="shared" si="37"/>
        <v>4.0161887338191367</v>
      </c>
      <c r="R34" s="761">
        <f t="shared" si="38"/>
        <v>113.42547999999988</v>
      </c>
      <c r="S34" s="756"/>
      <c r="T34" s="760">
        <v>1696</v>
      </c>
      <c r="U34" s="756">
        <f t="shared" si="39"/>
        <v>-42.036910457963089</v>
      </c>
      <c r="V34" s="761">
        <f t="shared" si="40"/>
        <v>-1230</v>
      </c>
      <c r="W34" s="756"/>
      <c r="X34" s="761">
        <f t="shared" si="41"/>
        <v>112.97633933912857</v>
      </c>
      <c r="AA34" s="799"/>
    </row>
    <row r="35" spans="1:27" s="750" customFormat="1">
      <c r="A35" s="750" t="s">
        <v>53</v>
      </c>
      <c r="C35" s="759">
        <f>VLOOKUP(A35,'305 Inputs'!$E$51:$I$71,5,FALSE)+'305 Inputs'!I68</f>
        <v>8202985.8900000006</v>
      </c>
      <c r="D35" s="753"/>
      <c r="E35" s="760">
        <f>-'WA SBC'!AN32</f>
        <v>-269780.02724671608</v>
      </c>
      <c r="F35" s="759"/>
      <c r="G35" s="760">
        <f>[77]Sheet1!$Q$12-[78]Sheet1!$Q$15</f>
        <v>-46974.75</v>
      </c>
      <c r="H35" s="759"/>
      <c r="I35" s="759">
        <f t="shared" si="33"/>
        <v>7886231.1127532842</v>
      </c>
      <c r="J35" s="759"/>
      <c r="K35" s="760">
        <f>[79]Sheet1!$R$23</f>
        <v>7893566.9085266739</v>
      </c>
      <c r="L35" s="759"/>
      <c r="M35" s="795">
        <f t="shared" si="34"/>
        <v>9.3000000000003524E-2</v>
      </c>
      <c r="N35" s="761">
        <f t="shared" si="35"/>
        <v>7335.7957733897492</v>
      </c>
      <c r="O35" s="755">
        <f t="shared" si="36"/>
        <v>0</v>
      </c>
      <c r="P35" s="760">
        <f>'Rate Design Work'!I712</f>
        <v>8312364</v>
      </c>
      <c r="Q35" s="770">
        <f t="shared" si="37"/>
        <v>5.4035049335238412</v>
      </c>
      <c r="R35" s="986">
        <f t="shared" si="38"/>
        <v>418797.09147332609</v>
      </c>
      <c r="S35" s="756"/>
      <c r="T35" s="760">
        <v>8131326</v>
      </c>
      <c r="U35" s="756">
        <f t="shared" si="39"/>
        <v>-2.1779363848840112</v>
      </c>
      <c r="V35" s="761">
        <f t="shared" si="40"/>
        <v>-181038</v>
      </c>
      <c r="W35" s="756"/>
      <c r="X35" s="761">
        <f t="shared" si="41"/>
        <v>379158.13724671584</v>
      </c>
      <c r="AA35" s="799"/>
    </row>
    <row r="36" spans="1:27" s="750" customFormat="1">
      <c r="A36" s="750" t="s">
        <v>165</v>
      </c>
      <c r="C36" s="759">
        <f>VLOOKUP(A36,'305 Inputs'!$E$51:$I$71,5,FALSE)</f>
        <v>292762.90999999997</v>
      </c>
      <c r="D36" s="753"/>
      <c r="E36" s="760">
        <f>-'WA SBC'!AN33</f>
        <v>-4241.1699999999992</v>
      </c>
      <c r="F36" s="759"/>
      <c r="G36" s="760">
        <f>[80]Sheet1!$Q$2-[81]Sheet1!$Q$2</f>
        <v>-4816.6299999999974</v>
      </c>
      <c r="H36" s="759"/>
      <c r="I36" s="759">
        <f t="shared" si="33"/>
        <v>283705.11</v>
      </c>
      <c r="J36" s="759"/>
      <c r="K36" s="760">
        <f>[52]Sheet1!$O$2</f>
        <v>283700.831764706</v>
      </c>
      <c r="L36" s="759"/>
      <c r="M36" s="795">
        <f t="shared" si="34"/>
        <v>-1.9999999999953388E-3</v>
      </c>
      <c r="N36" s="761">
        <f t="shared" si="35"/>
        <v>-4.2782352939830162</v>
      </c>
      <c r="O36" s="755">
        <f t="shared" si="36"/>
        <v>0</v>
      </c>
      <c r="P36" s="760">
        <f>'Rate Design Work'!I896</f>
        <v>298316</v>
      </c>
      <c r="Q36" s="770">
        <f t="shared" si="37"/>
        <v>5.1500270826986565</v>
      </c>
      <c r="R36" s="761">
        <f t="shared" si="38"/>
        <v>14615.168235293997</v>
      </c>
      <c r="S36" s="756"/>
      <c r="T36" s="760">
        <v>858176</v>
      </c>
      <c r="U36" s="756">
        <f t="shared" si="39"/>
        <v>187.67347376607356</v>
      </c>
      <c r="V36" s="761">
        <f t="shared" si="40"/>
        <v>559860</v>
      </c>
      <c r="W36" s="756"/>
      <c r="X36" s="761">
        <f t="shared" si="41"/>
        <v>9794.2600000000166</v>
      </c>
      <c r="AA36" s="799"/>
    </row>
    <row r="37" spans="1:27" s="750" customFormat="1">
      <c r="A37" s="750" t="s">
        <v>54</v>
      </c>
      <c r="C37" s="759">
        <f>VLOOKUP(A37,'305 Inputs'!$E$51:$I$71,5,FALSE)-C38</f>
        <v>14579168.93</v>
      </c>
      <c r="D37" s="753"/>
      <c r="E37" s="760">
        <f>-'WA SBC'!AN34</f>
        <v>-457891.36765309336</v>
      </c>
      <c r="F37" s="759"/>
      <c r="G37" s="760">
        <f>[82]Sheet1!$R$2-[75]Sheet1!$R$3</f>
        <v>-32935.86</v>
      </c>
      <c r="H37" s="759"/>
      <c r="I37" s="759">
        <f>C37+E37+G37</f>
        <v>14088341.702346906</v>
      </c>
      <c r="J37" s="759"/>
      <c r="K37" s="760">
        <f>[53]Sheet1!$S$5+[53]Sheet1!$S$6</f>
        <v>14096757.296852099</v>
      </c>
      <c r="L37" s="759"/>
      <c r="M37" s="795">
        <f>ROUND(K37/I37*100,3)-100</f>
        <v>6.0000000000002274E-2</v>
      </c>
      <c r="N37" s="761">
        <f>K37-I37</f>
        <v>8415.5945051927119</v>
      </c>
      <c r="O37" s="755">
        <f>IF(ABS(M37)&lt;=0.5,0,IF(I37&gt;K37,(I37*0.995)-K37,(I37*1.005)-K37))</f>
        <v>0</v>
      </c>
      <c r="P37" s="760">
        <f>'Rate Design Work'!I1083</f>
        <v>14868626</v>
      </c>
      <c r="Q37" s="770">
        <f>((P37-I37)/I37)*100</f>
        <v>5.5385105936429007</v>
      </c>
      <c r="R37" s="986">
        <f t="shared" si="38"/>
        <v>771868.70314790122</v>
      </c>
      <c r="S37" s="756"/>
      <c r="T37" s="760">
        <v>-225839</v>
      </c>
      <c r="U37" s="756">
        <f>((T37-P37)/P37)*100</f>
        <v>-101.51889623156841</v>
      </c>
      <c r="V37" s="761">
        <f>T37-P37</f>
        <v>-15094465</v>
      </c>
      <c r="W37" s="756"/>
      <c r="X37" s="761">
        <f t="shared" si="41"/>
        <v>747348.43765309395</v>
      </c>
      <c r="AA37" s="799"/>
    </row>
    <row r="38" spans="1:27" s="750" customFormat="1">
      <c r="A38" s="993" t="s">
        <v>587</v>
      </c>
      <c r="C38" s="759">
        <f>[83]Sheet1!$L$2</f>
        <v>25031150.399999999</v>
      </c>
      <c r="D38" s="753"/>
      <c r="E38" s="760">
        <f>-'WA SBC'!AN35</f>
        <v>-944101.9800000001</v>
      </c>
      <c r="F38" s="759"/>
      <c r="G38" s="760">
        <v>0</v>
      </c>
      <c r="H38" s="759"/>
      <c r="I38" s="759">
        <f t="shared" si="33"/>
        <v>24087048.419999998</v>
      </c>
      <c r="J38" s="759"/>
      <c r="K38" s="760">
        <f>[54]Sheet1!$M$2</f>
        <v>24087048.420000002</v>
      </c>
      <c r="L38" s="759"/>
      <c r="M38" s="795">
        <f t="shared" si="34"/>
        <v>0</v>
      </c>
      <c r="N38" s="761">
        <f t="shared" si="35"/>
        <v>0</v>
      </c>
      <c r="O38" s="755">
        <f t="shared" si="36"/>
        <v>0</v>
      </c>
      <c r="P38" s="760">
        <f>'Rate Design Work'!I1102</f>
        <v>25466043</v>
      </c>
      <c r="Q38" s="770">
        <f t="shared" si="37"/>
        <v>5.7250459083022927</v>
      </c>
      <c r="R38" s="986">
        <f t="shared" si="38"/>
        <v>1378994.5799999982</v>
      </c>
      <c r="S38" s="756"/>
      <c r="T38" s="760">
        <v>29509698</v>
      </c>
      <c r="U38" s="756">
        <f t="shared" si="39"/>
        <v>15.878615299597193</v>
      </c>
      <c r="V38" s="761">
        <f t="shared" si="40"/>
        <v>4043655</v>
      </c>
      <c r="W38" s="756"/>
      <c r="X38" s="761">
        <f t="shared" si="41"/>
        <v>1378994.5799999982</v>
      </c>
      <c r="AA38" s="799"/>
    </row>
    <row r="39" spans="1:27" s="750" customFormat="1">
      <c r="A39" s="750" t="s">
        <v>60</v>
      </c>
      <c r="B39" s="750" t="s">
        <v>31</v>
      </c>
      <c r="C39" s="759">
        <v>0</v>
      </c>
      <c r="D39" s="753"/>
      <c r="E39" s="760">
        <v>0</v>
      </c>
      <c r="F39" s="759"/>
      <c r="G39" s="760">
        <v>0</v>
      </c>
      <c r="H39" s="759"/>
      <c r="I39" s="759">
        <v>0</v>
      </c>
      <c r="J39" s="759"/>
      <c r="K39" s="760">
        <v>0</v>
      </c>
      <c r="L39" s="759"/>
      <c r="M39" s="795" t="e">
        <f t="shared" si="34"/>
        <v>#DIV/0!</v>
      </c>
      <c r="N39" s="761">
        <f t="shared" si="35"/>
        <v>0</v>
      </c>
      <c r="O39" s="755" t="e">
        <f t="shared" si="36"/>
        <v>#DIV/0!</v>
      </c>
      <c r="P39" s="760">
        <f>K39</f>
        <v>0</v>
      </c>
      <c r="Q39" s="770" t="e">
        <f t="shared" si="37"/>
        <v>#DIV/0!</v>
      </c>
      <c r="R39" s="761">
        <f t="shared" si="38"/>
        <v>0</v>
      </c>
      <c r="S39" s="756"/>
      <c r="T39" s="760">
        <v>2372611</v>
      </c>
      <c r="U39" s="756" t="e">
        <f t="shared" si="39"/>
        <v>#DIV/0!</v>
      </c>
      <c r="V39" s="761">
        <f t="shared" si="40"/>
        <v>2372611</v>
      </c>
      <c r="W39" s="756"/>
      <c r="X39" s="761">
        <f t="shared" si="41"/>
        <v>0</v>
      </c>
      <c r="AA39" s="799"/>
    </row>
    <row r="40" spans="1:27" s="750" customFormat="1">
      <c r="A40" s="750" t="s">
        <v>55</v>
      </c>
      <c r="C40" s="759">
        <f>VLOOKUP(A40,'305 Inputs'!$E$51:$I$71,5,FALSE)+'305 Inputs'!I70</f>
        <v>18991.86</v>
      </c>
      <c r="D40" s="753"/>
      <c r="E40" s="760">
        <f>-'WA SBC'!AN30</f>
        <v>-388.71950926728005</v>
      </c>
      <c r="F40" s="759"/>
      <c r="G40" s="760">
        <f>[65]Sheet1!$K$9-[66]Sheet1!$K$9</f>
        <v>820.05000000000098</v>
      </c>
      <c r="H40" s="759"/>
      <c r="I40" s="759">
        <f t="shared" si="33"/>
        <v>19423.190490732719</v>
      </c>
      <c r="J40" s="759"/>
      <c r="K40" s="760">
        <f>[43]Sheet1!$J$27</f>
        <v>19434.797716148532</v>
      </c>
      <c r="L40" s="759"/>
      <c r="M40" s="795">
        <f t="shared" si="34"/>
        <v>6.0000000000002274E-2</v>
      </c>
      <c r="N40" s="761">
        <f t="shared" si="35"/>
        <v>11.607225415813446</v>
      </c>
      <c r="O40" s="755">
        <f t="shared" si="36"/>
        <v>0</v>
      </c>
      <c r="P40" s="760">
        <f>'Rate Design Work'!I81</f>
        <v>19434.797716148514</v>
      </c>
      <c r="Q40" s="770">
        <f t="shared" si="37"/>
        <v>5.9759623020395891E-2</v>
      </c>
      <c r="R40" s="761">
        <f t="shared" si="38"/>
        <v>0</v>
      </c>
      <c r="S40" s="756"/>
      <c r="T40" s="760">
        <v>19177</v>
      </c>
      <c r="U40" s="756">
        <f t="shared" si="39"/>
        <v>-1.3264749132650255</v>
      </c>
      <c r="V40" s="761">
        <f t="shared" si="40"/>
        <v>-257.79771614851416</v>
      </c>
      <c r="W40" s="756"/>
      <c r="X40" s="761">
        <f>G40+N40+R40</f>
        <v>831.65722541581442</v>
      </c>
      <c r="AA40" s="799"/>
    </row>
    <row r="41" spans="1:27" s="131" customFormat="1">
      <c r="A41" s="131" t="s">
        <v>276</v>
      </c>
      <c r="C41" s="140">
        <f>SUM(C32:C40)</f>
        <v>49810471.280000001</v>
      </c>
      <c r="D41" s="128"/>
      <c r="E41" s="140">
        <f>SUM(E32:E40)</f>
        <v>-1734625.9525194005</v>
      </c>
      <c r="F41" s="140"/>
      <c r="G41" s="140">
        <f>SUM(G32:G40)</f>
        <v>-89908.689999999988</v>
      </c>
      <c r="H41" s="140"/>
      <c r="I41" s="140">
        <f>SUM(I32:I40)</f>
        <v>47985936.637480594</v>
      </c>
      <c r="J41" s="140"/>
      <c r="K41" s="140">
        <f>SUM(K32:K40)</f>
        <v>47955992.888852961</v>
      </c>
      <c r="L41" s="140"/>
      <c r="M41" s="150">
        <f t="shared" si="34"/>
        <v>-6.1999999999997613E-2</v>
      </c>
      <c r="N41" s="149">
        <f>SUM(N32:N40)</f>
        <v>-29943.748627638037</v>
      </c>
      <c r="O41" s="135">
        <f t="shared" si="36"/>
        <v>0</v>
      </c>
      <c r="P41" s="140">
        <f>SUM(P32:P40)</f>
        <v>50628671.797716148</v>
      </c>
      <c r="Q41" s="771">
        <f t="shared" si="37"/>
        <v>5.5073118197121547</v>
      </c>
      <c r="R41" s="149">
        <f t="shared" si="38"/>
        <v>2672678.9088631868</v>
      </c>
      <c r="S41" s="136"/>
      <c r="T41" s="140">
        <f>SUM(T32:T40)</f>
        <v>42091224</v>
      </c>
      <c r="U41" s="136">
        <f t="shared" si="39"/>
        <v>-16.862871362351779</v>
      </c>
      <c r="V41" s="149">
        <f t="shared" si="40"/>
        <v>-8537447.7977161482</v>
      </c>
      <c r="W41" s="136"/>
      <c r="X41" s="149">
        <f>SUM(X32:X40)</f>
        <v>2552826.470235548</v>
      </c>
    </row>
    <row r="42" spans="1:27" s="131" customFormat="1">
      <c r="C42" s="140"/>
      <c r="D42" s="128"/>
      <c r="E42" s="140"/>
      <c r="F42" s="140"/>
      <c r="G42" s="140"/>
      <c r="H42" s="140"/>
      <c r="I42" s="140"/>
      <c r="J42" s="140"/>
      <c r="K42" s="140"/>
      <c r="L42" s="140"/>
      <c r="N42" s="133"/>
      <c r="O42" s="135"/>
      <c r="Q42" s="136"/>
      <c r="R42" s="136"/>
      <c r="S42" s="136"/>
      <c r="U42" s="136"/>
      <c r="V42" s="136"/>
      <c r="W42" s="136"/>
      <c r="X42" s="136"/>
    </row>
    <row r="43" spans="1:27" s="131" customFormat="1">
      <c r="C43" s="140"/>
      <c r="D43" s="128"/>
      <c r="E43" s="140"/>
      <c r="F43" s="140"/>
      <c r="G43" s="140"/>
      <c r="H43" s="140"/>
      <c r="I43" s="140"/>
      <c r="J43" s="140"/>
      <c r="K43" s="140"/>
      <c r="L43" s="140"/>
      <c r="N43" s="133"/>
      <c r="O43" s="135"/>
      <c r="Q43" s="136"/>
      <c r="R43" s="136"/>
      <c r="S43" s="136"/>
      <c r="U43" s="136"/>
      <c r="V43" s="136"/>
      <c r="W43" s="136"/>
      <c r="X43" s="136"/>
    </row>
    <row r="44" spans="1:27" s="131" customFormat="1" ht="12.75" customHeight="1">
      <c r="A44" s="131" t="s">
        <v>277</v>
      </c>
      <c r="C44" s="140"/>
      <c r="D44" s="128"/>
      <c r="E44" s="140"/>
      <c r="F44" s="140"/>
      <c r="G44" s="140"/>
      <c r="H44" s="140"/>
      <c r="I44" s="140"/>
      <c r="J44" s="140"/>
      <c r="K44" s="140"/>
      <c r="L44" s="140"/>
      <c r="N44" s="133"/>
      <c r="O44" s="135"/>
      <c r="Q44" s="136"/>
      <c r="R44" s="136"/>
      <c r="S44" s="136"/>
      <c r="U44" s="136"/>
      <c r="V44" s="136"/>
      <c r="W44" s="136"/>
      <c r="X44" s="136"/>
    </row>
    <row r="45" spans="1:27" s="750" customFormat="1" ht="11.25" customHeight="1">
      <c r="A45" s="750" t="s">
        <v>58</v>
      </c>
      <c r="C45" s="759">
        <f>VLOOKUP(A45,'305 Inputs'!$E$77:$I$96,5,FALSE)+'305 Inputs'!I95</f>
        <v>12823405.940000001</v>
      </c>
      <c r="D45" s="753"/>
      <c r="E45" s="760">
        <f>-('305 VS COGNOS kWh'!C45/('305 VS COGNOS kWh'!C45+'305 VS COGNOS kWh'!C46)*'WA SBC'!AN39)</f>
        <v>-438554.11937512434</v>
      </c>
      <c r="F45" s="759"/>
      <c r="G45" s="994">
        <f>[84]Sheet1!$Q$8-[85]Sheet1!$Q$8</f>
        <v>2095.2600000000002</v>
      </c>
      <c r="H45" s="759"/>
      <c r="I45" s="759">
        <f>C45+E45+G45</f>
        <v>12386947.080624877</v>
      </c>
      <c r="J45" s="759"/>
      <c r="K45" s="760">
        <f>[51]Sheet1!$Q$15</f>
        <v>12383093.649639074</v>
      </c>
      <c r="L45" s="759"/>
      <c r="M45" s="795">
        <f>ROUND(K45/I45*100,3)-100</f>
        <v>-3.1000000000005912E-2</v>
      </c>
      <c r="N45" s="761">
        <f>K45-I45</f>
        <v>-3853.4309858027846</v>
      </c>
      <c r="O45" s="755">
        <f>IF(ABS(M45)&lt;=0.5,0,IF(I45&gt;K45,(I45*0.995)-K45,(I45*1.005)-K45))</f>
        <v>0</v>
      </c>
      <c r="P45" s="760">
        <f>'Rate Design Work'!I819-Temperature!D92*1000</f>
        <v>13048528.359999999</v>
      </c>
      <c r="Q45" s="770">
        <f>((P45-I45)/I45)*100</f>
        <v>5.3409550801257515</v>
      </c>
      <c r="R45" s="761">
        <f>P45-K45</f>
        <v>665434.71036092564</v>
      </c>
      <c r="S45" s="756"/>
      <c r="T45" s="760">
        <v>8839304</v>
      </c>
      <c r="U45" s="756">
        <f>((T45-P45)/P45)*100</f>
        <v>-32.258230536581365</v>
      </c>
      <c r="V45" s="761">
        <f>T45-P45</f>
        <v>-4209224.3599999994</v>
      </c>
      <c r="W45" s="756"/>
      <c r="X45" s="761">
        <f>G45+N45+R45</f>
        <v>663676.53937512287</v>
      </c>
      <c r="AA45" s="799"/>
    </row>
    <row r="46" spans="1:27" s="750" customFormat="1">
      <c r="A46" s="750" t="s">
        <v>59</v>
      </c>
      <c r="C46" s="759">
        <f>VLOOKUP(A46,'305 Inputs'!$E$77:$I$94,5,FALSE)</f>
        <v>453169.46</v>
      </c>
      <c r="D46" s="753"/>
      <c r="E46" s="760">
        <f>-('305 VS COGNOS kWh'!C46/('305 VS COGNOS kWh'!C45+'305 VS COGNOS kWh'!C46)*'WA SBC'!AN39)</f>
        <v>-15395.313396348296</v>
      </c>
      <c r="F46" s="759"/>
      <c r="G46" s="994">
        <f>[84]Sheet1!$Q$9-[85]Sheet1!$Q$9</f>
        <v>1.1800000000000002</v>
      </c>
      <c r="H46" s="759"/>
      <c r="I46" s="759">
        <f>C46+E46+G46</f>
        <v>437775.32660365175</v>
      </c>
      <c r="J46" s="759"/>
      <c r="K46" s="760">
        <f>[51]Sheet1!$Q$16</f>
        <v>437653.37849999999</v>
      </c>
      <c r="L46" s="759"/>
      <c r="M46" s="795">
        <f>ROUND(K46/I46*100,3)-100</f>
        <v>-2.8000000000005798E-2</v>
      </c>
      <c r="N46" s="761">
        <f>K46-I46</f>
        <v>-121.94810365175363</v>
      </c>
      <c r="O46" s="755">
        <f>IF(ABS(M46)&lt;=0.5,0,IF(I46&gt;K46,(I46*0.995)-K46,(I46*1.005)-K46))</f>
        <v>0</v>
      </c>
      <c r="P46" s="760">
        <f>'Rate Design Work'!I872</f>
        <v>462899</v>
      </c>
      <c r="Q46" s="770">
        <f>((P46-I46)/I46)*100</f>
        <v>5.7389422997551556</v>
      </c>
      <c r="R46" s="761">
        <f>P46-K46</f>
        <v>25245.621500000008</v>
      </c>
      <c r="S46" s="756"/>
      <c r="T46" s="760">
        <v>1173033</v>
      </c>
      <c r="U46" s="756">
        <f>((T46-P46)/P46)*100</f>
        <v>153.41013914482426</v>
      </c>
      <c r="V46" s="761">
        <f>T46-P46</f>
        <v>710134</v>
      </c>
      <c r="W46" s="756"/>
      <c r="X46" s="761">
        <f>G46+N46+R46</f>
        <v>25124.853396348255</v>
      </c>
      <c r="AA46" s="799"/>
    </row>
    <row r="47" spans="1:27" s="131" customFormat="1">
      <c r="A47" s="131" t="s">
        <v>278</v>
      </c>
      <c r="C47" s="140">
        <f>SUM(C45:C46)</f>
        <v>13276575.400000002</v>
      </c>
      <c r="D47" s="128"/>
      <c r="E47" s="140">
        <f>SUM(E45:E46)</f>
        <v>-453949.43277147261</v>
      </c>
      <c r="F47" s="140"/>
      <c r="G47" s="140">
        <f>SUM(G45:G46)</f>
        <v>2096.44</v>
      </c>
      <c r="H47" s="140"/>
      <c r="I47" s="140">
        <f>SUM(I45:I46)</f>
        <v>12824722.407228528</v>
      </c>
      <c r="J47" s="140"/>
      <c r="K47" s="140">
        <f>SUM(K45:K46)</f>
        <v>12820747.028139073</v>
      </c>
      <c r="L47" s="140"/>
      <c r="M47" s="150">
        <f>ROUND(K47/I47*100,3)-100</f>
        <v>-3.1000000000005912E-2</v>
      </c>
      <c r="N47" s="149">
        <f>SUM(N45:N46)</f>
        <v>-3975.3790894545382</v>
      </c>
      <c r="O47" s="135">
        <f>IF(ABS(M47)&lt;=0.5,0,IF(I47&gt;K47,(I47*0.995)-K47,(I47*1.005)-K47))</f>
        <v>0</v>
      </c>
      <c r="P47" s="140">
        <f>SUM(P45:P46)</f>
        <v>13511427.359999999</v>
      </c>
      <c r="Q47" s="771">
        <f>((P47-I47)/I47)*100</f>
        <v>5.3545404802244869</v>
      </c>
      <c r="R47" s="149">
        <f>P47-K47</f>
        <v>690680.331860926</v>
      </c>
      <c r="S47" s="136"/>
      <c r="T47" s="140">
        <f>SUM(T45:T46)</f>
        <v>10012337</v>
      </c>
      <c r="U47" s="136">
        <f>((T47-P47)/P47)*100</f>
        <v>-25.89726656384881</v>
      </c>
      <c r="V47" s="149">
        <f>T47-P47</f>
        <v>-3499090.3599999994</v>
      </c>
      <c r="W47" s="136"/>
      <c r="X47" s="149">
        <f>SUM(X45:X46)</f>
        <v>688801.39277147118</v>
      </c>
    </row>
    <row r="48" spans="1:27" s="131" customFormat="1">
      <c r="C48" s="140"/>
      <c r="D48" s="128"/>
      <c r="E48" s="140"/>
      <c r="F48" s="140"/>
      <c r="G48" s="140"/>
      <c r="H48" s="140"/>
      <c r="I48" s="140"/>
      <c r="J48" s="140"/>
      <c r="K48" s="140"/>
      <c r="L48" s="140"/>
      <c r="N48" s="133"/>
      <c r="O48" s="135"/>
      <c r="Q48" s="136"/>
      <c r="R48" s="136"/>
      <c r="S48" s="136"/>
      <c r="U48" s="136"/>
      <c r="V48" s="136"/>
      <c r="W48" s="136"/>
      <c r="X48" s="136"/>
    </row>
    <row r="49" spans="1:27" s="131" customFormat="1">
      <c r="C49" s="140"/>
      <c r="D49" s="128"/>
      <c r="E49" s="140"/>
      <c r="F49" s="140"/>
      <c r="G49" s="140"/>
      <c r="H49" s="140"/>
      <c r="I49" s="140"/>
      <c r="J49" s="140"/>
      <c r="K49" s="140"/>
      <c r="L49" s="140"/>
      <c r="N49" s="133"/>
      <c r="O49" s="135"/>
      <c r="Q49" s="136"/>
      <c r="R49" s="136"/>
      <c r="S49" s="136"/>
      <c r="U49" s="136"/>
      <c r="V49" s="136"/>
      <c r="W49" s="136"/>
      <c r="X49" s="136"/>
    </row>
    <row r="50" spans="1:27" s="131" customFormat="1">
      <c r="A50" s="131" t="s">
        <v>279</v>
      </c>
      <c r="C50" s="140"/>
      <c r="D50" s="128"/>
      <c r="E50" s="140"/>
      <c r="F50" s="140"/>
      <c r="G50" s="140"/>
      <c r="H50" s="140"/>
      <c r="I50" s="140"/>
      <c r="J50" s="140"/>
      <c r="K50" s="140"/>
      <c r="L50" s="140"/>
      <c r="N50" s="133"/>
      <c r="O50" s="135"/>
      <c r="Q50" s="136"/>
      <c r="R50" s="136"/>
      <c r="S50" s="136"/>
      <c r="U50" s="136"/>
      <c r="V50" s="136"/>
      <c r="W50" s="136"/>
      <c r="X50" s="136"/>
    </row>
    <row r="51" spans="1:27" s="750" customFormat="1">
      <c r="A51" s="750" t="s">
        <v>61</v>
      </c>
      <c r="C51" s="759">
        <f>VLOOKUP(A51,'305 Inputs'!$E$101:$I$110,5,FALSE)</f>
        <v>37772.9</v>
      </c>
      <c r="D51" s="753"/>
      <c r="E51" s="760">
        <f>-'WA SBC'!AN44</f>
        <v>-600.95091586234071</v>
      </c>
      <c r="F51" s="759"/>
      <c r="G51" s="760">
        <v>0</v>
      </c>
      <c r="H51" s="759"/>
      <c r="I51" s="759">
        <f>C51+E51+G51</f>
        <v>37171.949084137661</v>
      </c>
      <c r="J51" s="759"/>
      <c r="K51" s="760">
        <f>[56]Sheet1!$I$2</f>
        <v>37171.951300302499</v>
      </c>
      <c r="L51" s="759"/>
      <c r="M51" s="795">
        <f t="shared" ref="M51:M56" si="42">ROUND(K51/I51*100,3)-100</f>
        <v>0</v>
      </c>
      <c r="N51" s="761">
        <f t="shared" ref="N51:N55" si="43">K51-I51</f>
        <v>2.2161648375913501E-3</v>
      </c>
      <c r="O51" s="755">
        <f t="shared" ref="O51:O56" si="44">IF(ABS(M51)&lt;=0.5,0,IF(I51&gt;K51,(I51*0.995)-K51,(I51*1.005)-K51))</f>
        <v>0</v>
      </c>
      <c r="P51" s="760">
        <f>'Rate Design Work'!I1153</f>
        <v>37171.993064481801</v>
      </c>
      <c r="Q51" s="770">
        <f t="shared" ref="Q51:Q56" si="45">((P51-I51)/I51)*100</f>
        <v>1.1831594851507041E-4</v>
      </c>
      <c r="R51" s="761">
        <f t="shared" ref="R51:R56" si="46">P51-K51</f>
        <v>4.176417930284515E-2</v>
      </c>
      <c r="S51" s="756"/>
      <c r="T51" s="760">
        <v>59948.32</v>
      </c>
      <c r="U51" s="756">
        <f t="shared" ref="U51:U56" si="47">((T51-P51)/P51)*100</f>
        <v>61.272816058069267</v>
      </c>
      <c r="V51" s="761">
        <f t="shared" ref="V51:V56" si="48">T51-P51</f>
        <v>22776.326935518198</v>
      </c>
      <c r="W51" s="756"/>
      <c r="X51" s="761">
        <f>G51+N51+R51</f>
        <v>4.39803441404365E-2</v>
      </c>
      <c r="AA51" s="799"/>
    </row>
    <row r="52" spans="1:27" s="750" customFormat="1">
      <c r="A52" s="750" t="s">
        <v>62</v>
      </c>
      <c r="C52" s="759">
        <f>VLOOKUP(A52,'305 Inputs'!$E$101:$I$110,5,FALSE)</f>
        <v>232145.18</v>
      </c>
      <c r="D52" s="753"/>
      <c r="E52" s="760">
        <f>-('305 VS COGNOS kWh'!C52/('305 VS COGNOS kWh'!C52+'305 VS COGNOS kWh'!C53)*'WA SBC'!AN45)</f>
        <v>-8835.9914639576473</v>
      </c>
      <c r="F52" s="759"/>
      <c r="G52" s="760">
        <f>[86]Sheet1!$K$2</f>
        <v>15412.4</v>
      </c>
      <c r="H52" s="759"/>
      <c r="I52" s="759">
        <f>C52+E52+G52</f>
        <v>238721.58853604234</v>
      </c>
      <c r="J52" s="759"/>
      <c r="K52" s="760">
        <f>[57]Sheet1!$K$27+[57]Sheet1!$L$27</f>
        <v>238722.10780034729</v>
      </c>
      <c r="L52" s="759"/>
      <c r="M52" s="795">
        <f t="shared" si="42"/>
        <v>0</v>
      </c>
      <c r="N52" s="761">
        <f t="shared" si="43"/>
        <v>0.5192643049522303</v>
      </c>
      <c r="O52" s="755">
        <f t="shared" si="44"/>
        <v>0</v>
      </c>
      <c r="P52" s="760">
        <f>'Rate Design Work'!I1197</f>
        <v>238713.09527766646</v>
      </c>
      <c r="Q52" s="770">
        <f t="shared" si="45"/>
        <v>-3.5578090896441466E-3</v>
      </c>
      <c r="R52" s="986">
        <f t="shared" si="46"/>
        <v>-9.0125226808304433</v>
      </c>
      <c r="S52" s="756"/>
      <c r="T52" s="760">
        <v>213189.22</v>
      </c>
      <c r="U52" s="756">
        <f t="shared" si="47"/>
        <v>-10.692281145270888</v>
      </c>
      <c r="V52" s="761">
        <f t="shared" si="48"/>
        <v>-25523.875277666462</v>
      </c>
      <c r="W52" s="756"/>
      <c r="X52" s="761">
        <f>G52+N52+R52</f>
        <v>15403.906741624121</v>
      </c>
      <c r="AA52" s="799"/>
    </row>
    <row r="53" spans="1:27" s="750" customFormat="1">
      <c r="A53" s="750" t="s">
        <v>63</v>
      </c>
      <c r="C53" s="759">
        <f>VLOOKUP(A53,'305 Inputs'!$E$101:$I$110,5,FALSE)</f>
        <v>81926.52</v>
      </c>
      <c r="D53" s="753"/>
      <c r="E53" s="760">
        <f>-('305 VS COGNOS kWh'!C53/('305 VS COGNOS kWh'!C52+'305 VS COGNOS kWh'!C53)*'WA SBC'!AN45)</f>
        <v>-3148.9410821231158</v>
      </c>
      <c r="F53" s="759"/>
      <c r="G53" s="760">
        <f>[86]Sheet1!$K$3-[87]Sheet1!$H$2</f>
        <v>0.23999999999999844</v>
      </c>
      <c r="H53" s="759"/>
      <c r="I53" s="759">
        <f>C53+E53+G53</f>
        <v>78777.818917876895</v>
      </c>
      <c r="J53" s="759"/>
      <c r="K53" s="760">
        <f>[57]Sheet1!$K$28</f>
        <v>78779.091929999908</v>
      </c>
      <c r="L53" s="759"/>
      <c r="M53" s="795">
        <f t="shared" si="42"/>
        <v>1.9999999999953388E-3</v>
      </c>
      <c r="N53" s="761">
        <f t="shared" si="43"/>
        <v>1.2730121230124496</v>
      </c>
      <c r="O53" s="755">
        <f t="shared" si="44"/>
        <v>0</v>
      </c>
      <c r="P53" s="760">
        <f>'Rate Design Work'!I1209</f>
        <v>78779</v>
      </c>
      <c r="Q53" s="770">
        <f t="shared" si="45"/>
        <v>1.4992572012382729E-3</v>
      </c>
      <c r="R53" s="761">
        <f t="shared" si="46"/>
        <v>-9.1929999907733873E-2</v>
      </c>
      <c r="S53" s="756"/>
      <c r="T53" s="760">
        <v>62311</v>
      </c>
      <c r="U53" s="756">
        <f t="shared" si="47"/>
        <v>-20.904048033105269</v>
      </c>
      <c r="V53" s="761">
        <f t="shared" si="48"/>
        <v>-16468</v>
      </c>
      <c r="W53" s="756"/>
      <c r="X53" s="761">
        <f>G53+N53+R53</f>
        <v>1.4210821231047142</v>
      </c>
      <c r="AA53" s="799"/>
    </row>
    <row r="54" spans="1:27" s="750" customFormat="1">
      <c r="A54" s="750" t="s">
        <v>64</v>
      </c>
      <c r="C54" s="759">
        <f>VLOOKUP(A54,'305 Inputs'!$E$101:$I$110,5,FALSE)</f>
        <v>697459.73</v>
      </c>
      <c r="D54" s="753"/>
      <c r="E54" s="760">
        <f>-'WA SBC'!AN43</f>
        <v>-9633.9574285143553</v>
      </c>
      <c r="F54" s="759"/>
      <c r="G54" s="760">
        <f>[88]Sheet1!$K$2-[89]Sheet1!$K$2</f>
        <v>973.52999999999975</v>
      </c>
      <c r="H54" s="759"/>
      <c r="I54" s="759">
        <f>C54+E54+G54</f>
        <v>688799.30257148563</v>
      </c>
      <c r="J54" s="759"/>
      <c r="K54" s="760">
        <f>[55]Sheet1!$K$11</f>
        <v>688803.04689160548</v>
      </c>
      <c r="L54" s="759"/>
      <c r="M54" s="795">
        <f t="shared" si="42"/>
        <v>1.0000000000047748E-3</v>
      </c>
      <c r="N54" s="761">
        <f t="shared" si="43"/>
        <v>3.7443201198475435</v>
      </c>
      <c r="O54" s="755">
        <f t="shared" si="44"/>
        <v>0</v>
      </c>
      <c r="P54" s="760">
        <f>'Rate Design Work'!I1137</f>
        <v>688804</v>
      </c>
      <c r="Q54" s="770">
        <f t="shared" si="45"/>
        <v>6.81973471347777E-4</v>
      </c>
      <c r="R54" s="761">
        <f t="shared" si="46"/>
        <v>0.95310839451849461</v>
      </c>
      <c r="S54" s="756"/>
      <c r="T54" s="760">
        <v>516157</v>
      </c>
      <c r="U54" s="756">
        <f t="shared" si="47"/>
        <v>-25.064749914344286</v>
      </c>
      <c r="V54" s="761">
        <f t="shared" si="48"/>
        <v>-172647</v>
      </c>
      <c r="W54" s="756"/>
      <c r="X54" s="761">
        <f>G54+N54+R54</f>
        <v>978.22742851436578</v>
      </c>
      <c r="AA54" s="799"/>
    </row>
    <row r="55" spans="1:27" s="750" customFormat="1">
      <c r="A55" s="750" t="s">
        <v>65</v>
      </c>
      <c r="C55" s="759">
        <f>VLOOKUP(A55,'305 Inputs'!$E$101:$I$110,5,FALSE)</f>
        <v>241433.75</v>
      </c>
      <c r="D55" s="753"/>
      <c r="E55" s="760">
        <f>-'WA SBC'!AN46</f>
        <v>-5294.6332067790472</v>
      </c>
      <c r="F55" s="759"/>
      <c r="G55" s="760">
        <f>[90]Sheet1!$L$2-[91]Sheet1!$L$2</f>
        <v>-0.34999999999999432</v>
      </c>
      <c r="H55" s="759"/>
      <c r="I55" s="759">
        <f>C55+E55+G55</f>
        <v>236138.76679322094</v>
      </c>
      <c r="J55" s="759"/>
      <c r="K55" s="760">
        <f>[59]Sheet1!$K$10</f>
        <v>236164.16070157959</v>
      </c>
      <c r="L55" s="759"/>
      <c r="M55" s="795">
        <f t="shared" si="42"/>
        <v>1.099999999999568E-2</v>
      </c>
      <c r="N55" s="761">
        <f t="shared" si="43"/>
        <v>25.393908358644694</v>
      </c>
      <c r="O55" s="755">
        <f t="shared" si="44"/>
        <v>0</v>
      </c>
      <c r="P55" s="760">
        <f>'Rate Design Work'!I1264</f>
        <v>236164</v>
      </c>
      <c r="Q55" s="770">
        <f t="shared" si="45"/>
        <v>1.0685753602309469E-2</v>
      </c>
      <c r="R55" s="761">
        <f t="shared" si="46"/>
        <v>-0.16070157958893105</v>
      </c>
      <c r="S55" s="756"/>
      <c r="T55" s="760">
        <v>233013</v>
      </c>
      <c r="U55" s="756">
        <f t="shared" si="47"/>
        <v>-1.3342423061940007</v>
      </c>
      <c r="V55" s="761">
        <f t="shared" si="48"/>
        <v>-3151</v>
      </c>
      <c r="W55" s="756"/>
      <c r="X55" s="761">
        <f>G55+N55+R55</f>
        <v>24.883206779055769</v>
      </c>
      <c r="AA55" s="799"/>
    </row>
    <row r="56" spans="1:27">
      <c r="A56" s="122" t="s">
        <v>280</v>
      </c>
      <c r="C56" s="140">
        <f>SUM(C51:C55)</f>
        <v>1290738.08</v>
      </c>
      <c r="D56" s="128"/>
      <c r="E56" s="148">
        <f>SUM(E51:E55)</f>
        <v>-27514.474097236507</v>
      </c>
      <c r="F56" s="140"/>
      <c r="G56" s="140">
        <f>SUM(G51:G55)</f>
        <v>16385.82</v>
      </c>
      <c r="H56" s="140"/>
      <c r="I56" s="140">
        <f>SUM(I51:I55)</f>
        <v>1279609.4259027634</v>
      </c>
      <c r="J56" s="140"/>
      <c r="K56" s="140">
        <f>SUM(K51:K55)</f>
        <v>1279640.3586238348</v>
      </c>
      <c r="L56" s="140"/>
      <c r="M56" s="150">
        <f t="shared" si="42"/>
        <v>1.9999999999953388E-3</v>
      </c>
      <c r="N56" s="149">
        <f>SUM(N51:N55)</f>
        <v>30.932721071294509</v>
      </c>
      <c r="O56" s="135">
        <f t="shared" si="44"/>
        <v>0</v>
      </c>
      <c r="P56" s="140">
        <f>SUM(P51:P55)</f>
        <v>1279632.0883421483</v>
      </c>
      <c r="Q56" s="771">
        <f t="shared" si="45"/>
        <v>1.7710434860992862E-3</v>
      </c>
      <c r="R56" s="149">
        <f t="shared" si="46"/>
        <v>-8.2702816864475608</v>
      </c>
      <c r="S56" s="136"/>
      <c r="T56" s="140">
        <f>SUM(T51:T55)</f>
        <v>1084618.54</v>
      </c>
      <c r="U56" s="136">
        <f t="shared" si="47"/>
        <v>-15.239813858903913</v>
      </c>
      <c r="V56" s="149">
        <f t="shared" si="48"/>
        <v>-195013.54834214831</v>
      </c>
      <c r="W56" s="136"/>
      <c r="X56" s="149">
        <f>SUM(X51:X55)</f>
        <v>16408.482439384788</v>
      </c>
      <c r="Y56" s="131"/>
    </row>
    <row r="57" spans="1:27">
      <c r="D57" s="128"/>
      <c r="E57" s="140"/>
      <c r="F57" s="140"/>
      <c r="G57" s="140"/>
      <c r="H57" s="140"/>
      <c r="I57" s="140"/>
      <c r="J57" s="140"/>
      <c r="K57" s="140"/>
      <c r="L57" s="140"/>
      <c r="M57" s="150"/>
      <c r="N57" s="131"/>
      <c r="O57" s="135"/>
      <c r="P57" s="131"/>
      <c r="Q57" s="771"/>
      <c r="R57" s="131"/>
      <c r="S57" s="131"/>
      <c r="T57" s="131"/>
      <c r="U57" s="131"/>
      <c r="V57" s="131"/>
      <c r="W57" s="131"/>
      <c r="X57" s="131"/>
      <c r="Y57" s="131"/>
    </row>
    <row r="58" spans="1:27">
      <c r="A58" s="122" t="s">
        <v>281</v>
      </c>
      <c r="C58" s="140">
        <f>C56+C47+C41+C28+C14</f>
        <v>322701542.67999995</v>
      </c>
      <c r="D58" s="128"/>
      <c r="E58" s="140">
        <f>E56+E47+E41+E28+E14</f>
        <v>-11140248.520724036</v>
      </c>
      <c r="F58" s="140"/>
      <c r="G58" s="140">
        <f>G56+G47+G41+G28+G14</f>
        <v>-169064.86999999988</v>
      </c>
      <c r="H58" s="140"/>
      <c r="I58" s="140">
        <f>I56+I47+I41+I28+I14</f>
        <v>311392229.289276</v>
      </c>
      <c r="J58" s="140"/>
      <c r="K58" s="140">
        <f>K56+K47+K41+K28+K14</f>
        <v>311384075.97872102</v>
      </c>
      <c r="L58" s="140"/>
      <c r="M58" s="150">
        <f>ROUND(K58/I58*100,3)-100</f>
        <v>-3.0000000000001137E-3</v>
      </c>
      <c r="N58" s="140">
        <f>N56+N47+N41+N28+N14</f>
        <v>-8153.3105549882748</v>
      </c>
      <c r="O58" s="135">
        <f>IF(ABS(M58)&lt;=0.5,0,IF(I58&gt;K58,(I58*0.995)-K58,(I58*1.005)-K58))</f>
        <v>0</v>
      </c>
      <c r="P58" s="140">
        <f>P56+P47+P41+P28+P14</f>
        <v>328409900.79952312</v>
      </c>
      <c r="Q58" s="771">
        <f>((P58-I58)/I58)*100</f>
        <v>5.4650276755744267</v>
      </c>
      <c r="R58" s="149">
        <f>P58-K58</f>
        <v>17025824.820802093</v>
      </c>
      <c r="S58" s="136"/>
      <c r="T58" s="140" t="e">
        <f>T56+T47+T41+T28+T14</f>
        <v>#REF!</v>
      </c>
      <c r="U58" s="136" t="e">
        <f>((T58-P58)/P58)*100</f>
        <v>#REF!</v>
      </c>
      <c r="V58" s="149" t="e">
        <f>T58-P58</f>
        <v>#REF!</v>
      </c>
      <c r="W58" s="136"/>
      <c r="X58" s="140">
        <f>X56+X47+X41+X28+X14</f>
        <v>16848606.640247121</v>
      </c>
      <c r="Y58" s="131"/>
      <c r="AA58" s="800"/>
    </row>
    <row r="59" spans="1:27">
      <c r="D59" s="128"/>
      <c r="E59" s="140"/>
      <c r="F59" s="140"/>
      <c r="G59" s="140"/>
      <c r="H59" s="140"/>
      <c r="I59" s="140"/>
      <c r="J59" s="140"/>
      <c r="K59" s="140"/>
      <c r="L59" s="140"/>
      <c r="M59" s="131"/>
      <c r="N59" s="149" t="s">
        <v>31</v>
      </c>
      <c r="O59" s="135"/>
      <c r="P59" s="131"/>
      <c r="Q59" s="131"/>
      <c r="R59" s="149" t="s">
        <v>31</v>
      </c>
      <c r="S59" s="131"/>
      <c r="T59" s="131"/>
      <c r="U59" s="131"/>
      <c r="V59" s="131"/>
      <c r="W59" s="131"/>
      <c r="X59" s="131"/>
      <c r="Y59" s="131"/>
    </row>
    <row r="60" spans="1:27">
      <c r="D60" s="128"/>
      <c r="E60" s="140"/>
      <c r="F60" s="140"/>
      <c r="G60" s="140"/>
      <c r="H60" s="140"/>
      <c r="I60" s="140"/>
      <c r="J60" s="140"/>
      <c r="K60" s="140"/>
      <c r="L60" s="140"/>
      <c r="M60" s="131"/>
      <c r="N60" s="131"/>
      <c r="O60" s="135"/>
      <c r="P60" s="131"/>
      <c r="Q60" s="131"/>
      <c r="R60" s="131"/>
      <c r="S60" s="131"/>
      <c r="T60" s="131"/>
      <c r="U60" s="131"/>
      <c r="V60" s="131"/>
      <c r="W60" s="131"/>
      <c r="X60" s="131"/>
      <c r="Y60" s="131"/>
    </row>
    <row r="61" spans="1:27">
      <c r="D61" s="128"/>
      <c r="E61" s="140"/>
      <c r="F61" s="140"/>
      <c r="G61" s="140"/>
      <c r="H61" s="140"/>
      <c r="I61" s="140"/>
      <c r="J61" s="140"/>
      <c r="K61" s="140"/>
      <c r="L61" s="140"/>
      <c r="M61" s="131"/>
      <c r="N61" s="131"/>
      <c r="O61" s="135"/>
      <c r="P61" s="131"/>
      <c r="Q61" s="131"/>
      <c r="R61" s="131"/>
      <c r="S61" s="131"/>
      <c r="T61" s="131"/>
      <c r="U61" s="131"/>
      <c r="V61" s="131"/>
      <c r="W61" s="131"/>
      <c r="X61" s="131"/>
      <c r="Y61" s="131"/>
    </row>
    <row r="62" spans="1:27">
      <c r="A62" s="122" t="s">
        <v>282</v>
      </c>
      <c r="C62" s="139"/>
      <c r="D62" s="128"/>
      <c r="E62" s="140"/>
      <c r="F62" s="140"/>
      <c r="G62" s="140"/>
      <c r="H62" s="140"/>
      <c r="I62" s="140"/>
      <c r="J62" s="140"/>
      <c r="K62" s="140"/>
      <c r="L62" s="140"/>
      <c r="M62" s="131"/>
      <c r="N62" s="131"/>
      <c r="O62" s="135"/>
      <c r="P62" s="131"/>
      <c r="Q62" s="131"/>
      <c r="R62" s="131"/>
      <c r="S62" s="131"/>
      <c r="T62" s="131"/>
      <c r="U62" s="131"/>
      <c r="V62" s="131"/>
      <c r="W62" s="131"/>
      <c r="X62" s="131"/>
      <c r="Y62" s="131"/>
    </row>
    <row r="63" spans="1:27">
      <c r="A63" s="122" t="s">
        <v>270</v>
      </c>
      <c r="C63" s="140">
        <f>SUMIF($A$6:$A$56,$A63,C$6:C$56)</f>
        <v>156486.64000000001</v>
      </c>
      <c r="D63" s="140"/>
      <c r="E63" s="140">
        <f>SUMIF($A$6:$A$56,$A63,E$6:E$56)</f>
        <v>-2868.215528968366</v>
      </c>
      <c r="F63" s="140"/>
      <c r="G63" s="140">
        <f>SUMIF($A$6:$A$56,$A63,G$6:G$56)</f>
        <v>214.32000000000096</v>
      </c>
      <c r="H63" s="140"/>
      <c r="I63" s="140">
        <f>SUMIF($A$6:$A$56,$A63,I$6:I$56)</f>
        <v>153832.74447103165</v>
      </c>
      <c r="J63" s="140"/>
      <c r="K63" s="140">
        <f>SUMIF($A$6:$A$56,$A63,K$6:K$56)</f>
        <v>153886.63615719051</v>
      </c>
      <c r="L63" s="140"/>
      <c r="M63" s="150">
        <f>ROUND(K63/I63*100,3)-100</f>
        <v>3.4999999999996589E-2</v>
      </c>
      <c r="N63" s="149">
        <f>K63-I63</f>
        <v>53.891686158865923</v>
      </c>
      <c r="O63" s="135">
        <f>IF(ABS(M63)&lt;=0.5,0,IF(I63&gt;K63,(I63*0.995)-K63,(I63*1.005)-K63))</f>
        <v>0</v>
      </c>
      <c r="P63" s="140">
        <f>SUMIF($A$6:$A$56,$A63,P$6:P$56)</f>
        <v>153886.63615717244</v>
      </c>
      <c r="Q63" s="136">
        <f>((P63-I63)/I63)*100</f>
        <v>3.5032649470113836E-2</v>
      </c>
      <c r="R63" s="149">
        <f>P63-K63</f>
        <v>-1.807347871363163E-8</v>
      </c>
      <c r="S63" s="136"/>
      <c r="T63" s="140">
        <f>SUMIF($A$6:$A$56,$A63,T$6:T$56)</f>
        <v>0</v>
      </c>
      <c r="U63" s="136">
        <f>((T63-P63)/P63)*100</f>
        <v>-100</v>
      </c>
      <c r="V63" s="149">
        <f>T63-P63</f>
        <v>-153886.63615717244</v>
      </c>
      <c r="W63" s="136"/>
      <c r="X63" s="149">
        <f>G63+N63+R63</f>
        <v>268.2116861407934</v>
      </c>
      <c r="Y63" s="131"/>
    </row>
    <row r="64" spans="1:27">
      <c r="A64" s="122" t="s">
        <v>55</v>
      </c>
      <c r="C64" s="140">
        <f>SUMIF($A$6:$A$56,$A64,C$6:C$56)</f>
        <v>320294.27</v>
      </c>
      <c r="D64" s="140"/>
      <c r="E64" s="140">
        <f>SUMIF($A$6:$A$56,$A64,E$6:E$56)</f>
        <v>-6207.2037005483344</v>
      </c>
      <c r="F64" s="140"/>
      <c r="G64" s="140">
        <f>SUMIF($A$6:$A$56,$A64,G$6:G$56)</f>
        <v>2091.9300000000021</v>
      </c>
      <c r="H64" s="140"/>
      <c r="I64" s="140">
        <f>SUMIF($A$6:$A$56,$A64,I$6:I$56)</f>
        <v>316178.99629945168</v>
      </c>
      <c r="J64" s="140"/>
      <c r="K64" s="140">
        <f>SUMIF($A$6:$A$56,$A64,K$6:K$56)</f>
        <v>316203.28098547424</v>
      </c>
      <c r="L64" s="140"/>
      <c r="M64" s="150">
        <f>ROUND(K64/I64*100,3)-100</f>
        <v>7.9999999999955662E-3</v>
      </c>
      <c r="N64" s="149">
        <f>K64-I64</f>
        <v>24.284686022554524</v>
      </c>
      <c r="O64" s="135">
        <f>IF(ABS(M64)&lt;=0.5,0,IF(I64&gt;K64,(I64*0.995)-K64,(I64*1.005)-K64))</f>
        <v>0</v>
      </c>
      <c r="P64" s="140">
        <f>SUMIF($A$6:$A$56,$A64,P$6:P$56)</f>
        <v>316220.80502376723</v>
      </c>
      <c r="Q64" s="136">
        <f>((P64-I64)/I64)*100</f>
        <v>1.3223118804498049E-2</v>
      </c>
      <c r="R64" s="149">
        <f>P64-K64</f>
        <v>17.524038292991463</v>
      </c>
      <c r="S64" s="136"/>
      <c r="T64" s="140">
        <f>SUMIF($A$6:$A$56,$A64,T$6:T$56)</f>
        <v>315750</v>
      </c>
      <c r="U64" s="136">
        <f>((T64-P64)/P64)*100</f>
        <v>-0.14888489823806594</v>
      </c>
      <c r="V64" s="149">
        <f>T64-P64</f>
        <v>-470.8050237672287</v>
      </c>
      <c r="W64" s="136"/>
      <c r="X64" s="149">
        <f>G64+N64+R64</f>
        <v>2133.7387243155481</v>
      </c>
      <c r="Y64" s="131"/>
    </row>
    <row r="65" spans="1:25">
      <c r="A65" s="122" t="s">
        <v>283</v>
      </c>
      <c r="C65" s="143">
        <f>SUM(C63:C64)</f>
        <v>476780.91000000003</v>
      </c>
      <c r="D65" s="143"/>
      <c r="E65" s="143">
        <f>SUM(E63:E64)</f>
        <v>-9075.4192295167013</v>
      </c>
      <c r="F65" s="143"/>
      <c r="G65" s="143">
        <f>SUM(G63:G64)</f>
        <v>2306.2500000000032</v>
      </c>
      <c r="H65" s="143"/>
      <c r="I65" s="143">
        <f>SUM(I63:I64)</f>
        <v>470011.74077048333</v>
      </c>
      <c r="J65" s="143"/>
      <c r="K65" s="143">
        <f>SUM(K63:K64)</f>
        <v>470089.91714266478</v>
      </c>
      <c r="L65" s="143"/>
      <c r="M65" s="150">
        <f>ROUND(K65/I65*100,3)-100</f>
        <v>1.6999999999995907E-2</v>
      </c>
      <c r="N65" s="149">
        <f>K65-I65</f>
        <v>78.176372181449551</v>
      </c>
      <c r="O65" s="135">
        <f>IF(ABS(M65)&lt;=0.5,0,IF(I65&gt;K65,(I65*0.995)-K65,(I65*1.005)-K65))</f>
        <v>0</v>
      </c>
      <c r="P65" s="143">
        <f>SUM(P63:P64)</f>
        <v>470107.44118093967</v>
      </c>
      <c r="Q65" s="136">
        <f>((P65-I65)/I65)*100</f>
        <v>2.0361280826614706E-2</v>
      </c>
      <c r="R65" s="149">
        <f>P65-K65</f>
        <v>17.524038274888881</v>
      </c>
      <c r="S65" s="136"/>
      <c r="T65" s="143">
        <f>SUM(T63:T64)</f>
        <v>315750</v>
      </c>
      <c r="U65" s="136">
        <f>((T65-P65)/P65)*100</f>
        <v>-32.834502851770225</v>
      </c>
      <c r="V65" s="149">
        <f>T65-P65</f>
        <v>-154357.44118093967</v>
      </c>
      <c r="W65" s="136"/>
      <c r="X65" s="149">
        <f>SUM(X63:X64)</f>
        <v>2401.9504104563416</v>
      </c>
      <c r="Y65" s="131"/>
    </row>
    <row r="66" spans="1:25"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50"/>
      <c r="N66" s="149"/>
      <c r="O66" s="135"/>
      <c r="P66" s="139"/>
      <c r="Q66" s="136"/>
      <c r="R66" s="136"/>
      <c r="S66" s="136"/>
      <c r="T66" s="139"/>
      <c r="U66" s="136"/>
      <c r="V66" s="136"/>
      <c r="W66" s="136"/>
      <c r="X66" s="136"/>
      <c r="Y66" s="131"/>
    </row>
    <row r="67" spans="1:25">
      <c r="A67" s="122" t="s">
        <v>266</v>
      </c>
      <c r="C67" s="140">
        <f>SUMIF($A$6:$A$56,$A67,C$6:C$56)</f>
        <v>135331409.69999999</v>
      </c>
      <c r="D67" s="140"/>
      <c r="E67" s="140">
        <f>SUMIF($A$6:$A$56,$A67,E$6:E$56)</f>
        <v>-4688868.1823155042</v>
      </c>
      <c r="F67" s="140"/>
      <c r="G67" s="140">
        <f>SUMIF($A$6:$A$56,$A67,G$6:G$56)</f>
        <v>-5222.849999999904</v>
      </c>
      <c r="H67" s="140"/>
      <c r="I67" s="140">
        <f>SUMIF($A$6:$A$56,$A67,I$6:I$56)</f>
        <v>130637318.6676845</v>
      </c>
      <c r="J67" s="140"/>
      <c r="K67" s="140">
        <f>SUMIF($A$6:$A$56,$A67,K$6:K$56)</f>
        <v>130544909.735699</v>
      </c>
      <c r="L67" s="140"/>
      <c r="M67" s="150">
        <f>ROUND(K67/I67*100,3)-100</f>
        <v>-7.0999999999997954E-2</v>
      </c>
      <c r="N67" s="149">
        <f>K67-I67</f>
        <v>-92408.931985497475</v>
      </c>
      <c r="O67" s="135">
        <f>IF(ABS(M67)&lt;=0.5,0,IF(I67&gt;K67,(I67*0.995)-K67,(I67*1.005)-K67))</f>
        <v>0</v>
      </c>
      <c r="P67" s="140">
        <f>SUMIF($A$6:$A$56,$A67,P$6:P$56)</f>
        <v>137783069.77442452</v>
      </c>
      <c r="Q67" s="136">
        <f>((P67-I67)/I67)*100</f>
        <v>5.4699156256547221</v>
      </c>
      <c r="R67" s="149">
        <f>P67-K67</f>
        <v>7238160.0387255251</v>
      </c>
      <c r="S67" s="136"/>
      <c r="T67" s="140" t="e">
        <f>SUMIF($A$6:$A$56,$A67,T$6:T$56)</f>
        <v>#REF!</v>
      </c>
      <c r="U67" s="136" t="e">
        <f>((T67-P67)/P67)*100</f>
        <v>#REF!</v>
      </c>
      <c r="V67" s="149" t="e">
        <f>T67-P67</f>
        <v>#REF!</v>
      </c>
      <c r="W67" s="136"/>
      <c r="X67" s="149">
        <f t="shared" ref="X67:X68" si="49">G67+N67+R67</f>
        <v>7140528.256740028</v>
      </c>
      <c r="Y67" s="131"/>
    </row>
    <row r="68" spans="1:25">
      <c r="A68" s="122" t="s">
        <v>267</v>
      </c>
      <c r="C68" s="140">
        <f>SUMIF($A$6:$A$56,$A68,C$6:C$56)</f>
        <v>5742704.1699999999</v>
      </c>
      <c r="D68" s="140"/>
      <c r="E68" s="140">
        <f>SUMIF($A$6:$A$56,$A68,E$6:E$56)</f>
        <v>-200195.69402638945</v>
      </c>
      <c r="F68" s="140"/>
      <c r="G68" s="140">
        <f>SUMIF($A$6:$A$56,$A68,G$6:G$56)</f>
        <v>1585.6899999999998</v>
      </c>
      <c r="H68" s="140"/>
      <c r="I68" s="140">
        <f>SUMIF($A$6:$A$56,$A68,I$6:I$56)</f>
        <v>5544094.1659736112</v>
      </c>
      <c r="J68" s="140"/>
      <c r="K68" s="140">
        <f>SUMIF($A$6:$A$56,$A68,K$6:K$56)</f>
        <v>5532393.0076200003</v>
      </c>
      <c r="L68" s="140"/>
      <c r="M68" s="150">
        <f>ROUND(K68/I68*100,3)-100</f>
        <v>-0.21099999999999852</v>
      </c>
      <c r="N68" s="149">
        <f>K68-I68</f>
        <v>-11701.158353610896</v>
      </c>
      <c r="O68" s="135">
        <f>IF(ABS(M68)&lt;=0.5,0,IF(I68&gt;K68,(I68*0.995)-K68,(I68*1.005)-K68))</f>
        <v>0</v>
      </c>
      <c r="P68" s="140">
        <f>SUMIF($A$6:$A$56,$A68,P$6:P$56)</f>
        <v>5839426.0899999999</v>
      </c>
      <c r="Q68" s="136">
        <f>((P68-I68)/I68)*100</f>
        <v>5.3269644271008652</v>
      </c>
      <c r="R68" s="149">
        <f>P68-K68</f>
        <v>307033.08237999957</v>
      </c>
      <c r="S68" s="136"/>
      <c r="T68" s="140">
        <f>SUMIF($A$6:$A$56,$A68,T$6:T$56)</f>
        <v>5415524</v>
      </c>
      <c r="U68" s="136">
        <f>((T68-P68)/P68)*100</f>
        <v>-7.2593108203891976</v>
      </c>
      <c r="V68" s="149">
        <f>T68-P68</f>
        <v>-423902.08999999985</v>
      </c>
      <c r="W68" s="136"/>
      <c r="X68" s="149">
        <f t="shared" si="49"/>
        <v>296917.61402638868</v>
      </c>
      <c r="Y68" s="131"/>
    </row>
    <row r="69" spans="1:25">
      <c r="A69" s="122" t="s">
        <v>284</v>
      </c>
      <c r="C69" s="143">
        <f>SUM(C67:C68)</f>
        <v>141074113.86999997</v>
      </c>
      <c r="D69" s="143"/>
      <c r="E69" s="143">
        <f>SUM(E67:E68)</f>
        <v>-4889063.8763418933</v>
      </c>
      <c r="F69" s="143"/>
      <c r="G69" s="143">
        <f>SUM(G67:G68)</f>
        <v>-3637.1599999999044</v>
      </c>
      <c r="H69" s="143"/>
      <c r="I69" s="143">
        <f>SUM(I67:I68)</f>
        <v>136181412.8336581</v>
      </c>
      <c r="J69" s="143"/>
      <c r="K69" s="143">
        <f>SUM(K67:K68)</f>
        <v>136077302.743319</v>
      </c>
      <c r="L69" s="143"/>
      <c r="M69" s="150">
        <f>ROUND(K69/I69*100,3)-100</f>
        <v>-7.5999999999993406E-2</v>
      </c>
      <c r="N69" s="149">
        <f>K69-I69</f>
        <v>-104110.0903390944</v>
      </c>
      <c r="O69" s="135">
        <f>IF(ABS(M69)&lt;=0.5,0,IF(I69&gt;K69,(I69*0.995)-K69,(I69*1.005)-K69))</f>
        <v>0</v>
      </c>
      <c r="P69" s="143">
        <f>SUM(P67:P68)</f>
        <v>143622495.86442453</v>
      </c>
      <c r="Q69" s="136">
        <f>((P69-I69)/I69)*100</f>
        <v>5.4640959261125515</v>
      </c>
      <c r="R69" s="149">
        <f>P69-K69</f>
        <v>7545193.1211055219</v>
      </c>
      <c r="S69" s="136"/>
      <c r="T69" s="143" t="e">
        <f>SUM(T67:T68)</f>
        <v>#REF!</v>
      </c>
      <c r="U69" s="136" t="e">
        <f>((T69-P69)/P69)*100</f>
        <v>#REF!</v>
      </c>
      <c r="V69" s="149" t="e">
        <f>T69-P69</f>
        <v>#REF!</v>
      </c>
      <c r="W69" s="136"/>
      <c r="X69" s="149">
        <f>SUM(X67:X68)</f>
        <v>7437445.8707664171</v>
      </c>
      <c r="Y69" s="131"/>
    </row>
    <row r="70" spans="1:25"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50"/>
      <c r="N70" s="149"/>
      <c r="O70" s="135"/>
      <c r="P70" s="143"/>
      <c r="Q70" s="136"/>
      <c r="R70" s="149"/>
      <c r="S70" s="136"/>
      <c r="T70" s="143"/>
      <c r="U70" s="136"/>
      <c r="V70" s="149"/>
      <c r="W70" s="136"/>
      <c r="X70" s="149"/>
      <c r="Y70" s="131"/>
    </row>
    <row r="71" spans="1:25">
      <c r="A71" s="131" t="s">
        <v>250</v>
      </c>
      <c r="C71" s="140">
        <f>SUMIF($A$6:$A$56,$A71,C$6:C$56)</f>
        <v>121143.02</v>
      </c>
      <c r="D71" s="140"/>
      <c r="E71" s="140">
        <f>SUMIF($A$6:$A$56,$A71,E$6:E$56)</f>
        <v>-4139.1297646776638</v>
      </c>
      <c r="F71" s="140"/>
      <c r="G71" s="140">
        <f>SUMIF($A$6:$A$56,$A71,G$6:G$56)</f>
        <v>-241.19</v>
      </c>
      <c r="H71" s="140"/>
      <c r="I71" s="140">
        <f>SUMIF($A$6:$A$56,$A71,I$6:I$56)</f>
        <v>116762.70023532234</v>
      </c>
      <c r="J71" s="140"/>
      <c r="K71" s="140">
        <f>SUMIF($A$6:$A$56,$A71,K$6:K$56)</f>
        <v>116581.525575484</v>
      </c>
      <c r="L71" s="140"/>
      <c r="M71" s="150">
        <f>ROUND(K71/I71*100,3)-100</f>
        <v>-0.15500000000000114</v>
      </c>
      <c r="N71" s="149">
        <f>K71-I71</f>
        <v>-181.17465983833245</v>
      </c>
      <c r="O71" s="135">
        <f>IF(ABS(M71)&lt;=0.5,0,IF(I71&gt;K71,(I71*0.995)-K71,(I71*1.005)-K71))</f>
        <v>0</v>
      </c>
      <c r="P71" s="140">
        <f>SUMIF($A$6:$A$56,$A71,P$6:P$56)</f>
        <v>116581.525575484</v>
      </c>
      <c r="Q71" s="136">
        <f>((P71-I71)/I71)*100</f>
        <v>-0.1551648424310117</v>
      </c>
      <c r="R71" s="149">
        <f>P71-K71</f>
        <v>0</v>
      </c>
      <c r="S71" s="136"/>
      <c r="T71" s="140">
        <f>SUMIF($A$6:$A$56,$A71,T$6:T$56)</f>
        <v>153888</v>
      </c>
      <c r="U71" s="136">
        <f>((T71-P71)/P71)*100</f>
        <v>32.000331304946656</v>
      </c>
      <c r="V71" s="149">
        <f>T71-P71</f>
        <v>37306.474424515996</v>
      </c>
      <c r="W71" s="136"/>
      <c r="X71" s="149">
        <f>G71+N71+R71</f>
        <v>-422.36465983833244</v>
      </c>
      <c r="Y71" s="131"/>
    </row>
    <row r="72" spans="1:25"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50"/>
      <c r="N72" s="149"/>
      <c r="O72" s="135"/>
      <c r="P72" s="139"/>
      <c r="Q72" s="136"/>
      <c r="R72" s="136"/>
      <c r="S72" s="136"/>
      <c r="T72" s="139"/>
      <c r="U72" s="136"/>
      <c r="V72" s="136"/>
      <c r="W72" s="136"/>
      <c r="X72" s="136"/>
      <c r="Y72" s="131"/>
    </row>
    <row r="73" spans="1:25">
      <c r="A73" s="122" t="s">
        <v>268</v>
      </c>
      <c r="C73" s="140">
        <f>SUMIF($A$6:$A$56,$A73,C$6:C$56)</f>
        <v>217409.79</v>
      </c>
      <c r="D73" s="140"/>
      <c r="E73" s="140">
        <f>SUMIF($A$6:$A$56,$A73,E$6:E$56)</f>
        <v>-6858.5878682658013</v>
      </c>
      <c r="F73" s="140"/>
      <c r="G73" s="140">
        <f>SUMIF($A$6:$A$56,$A73,G$6:G$56)</f>
        <v>1122.81</v>
      </c>
      <c r="H73" s="140"/>
      <c r="I73" s="140">
        <f>SUMIF($A$6:$A$56,$A73,I$6:I$56)</f>
        <v>211674.0121317342</v>
      </c>
      <c r="J73" s="140"/>
      <c r="K73" s="140">
        <f>SUMIF($A$6:$A$56,$A73,K$6:K$56)</f>
        <v>211426.997968387</v>
      </c>
      <c r="L73" s="140"/>
      <c r="M73" s="150">
        <f>ROUND(K73/I73*100,3)-100</f>
        <v>-0.11700000000000443</v>
      </c>
      <c r="N73" s="149">
        <f>K73-I73</f>
        <v>-247.01416334719397</v>
      </c>
      <c r="O73" s="135">
        <f>IF(ABS(M73)&lt;=0.5,0,IF(I73&gt;K73,(I73*0.995)-K73,(I73*1.005)-K73))</f>
        <v>0</v>
      </c>
      <c r="P73" s="140">
        <f>SUMIF($A$6:$A$56,$A73,P$6:P$56)</f>
        <v>221267.07</v>
      </c>
      <c r="Q73" s="136">
        <f>((P73-I73)/I73)*100</f>
        <v>4.5319960498011538</v>
      </c>
      <c r="R73" s="149">
        <f>P73-K73</f>
        <v>9840.0720316130028</v>
      </c>
      <c r="S73" s="136"/>
      <c r="T73" s="140">
        <f>SUMIF($A$6:$A$56,$A73,T$6:T$56)</f>
        <v>203844</v>
      </c>
      <c r="U73" s="136">
        <f>((T73-P73)/P73)*100</f>
        <v>-7.8742263817205185</v>
      </c>
      <c r="V73" s="149">
        <f>T73-P73</f>
        <v>-17423.070000000007</v>
      </c>
      <c r="W73" s="136"/>
      <c r="X73" s="149">
        <f t="shared" ref="X73:X74" si="50">G73+N73+R73</f>
        <v>10715.867868265808</v>
      </c>
      <c r="Y73" s="131"/>
    </row>
    <row r="74" spans="1:25">
      <c r="A74" s="122" t="s">
        <v>269</v>
      </c>
      <c r="C74" s="140">
        <f>SUMIF($A$6:$A$56,$A74,C$6:C$56)</f>
        <v>40817.89</v>
      </c>
      <c r="D74" s="140"/>
      <c r="E74" s="140">
        <f>SUMIF($A$6:$A$56,$A74,E$6:E$56)</f>
        <v>-1311.0263965431641</v>
      </c>
      <c r="F74" s="140"/>
      <c r="G74" s="140">
        <f>SUMIF($A$6:$A$56,$A74,G$6:G$56)</f>
        <v>217.93</v>
      </c>
      <c r="H74" s="140"/>
      <c r="I74" s="140">
        <f>SUMIF($A$6:$A$56,$A74,I$6:I$56)</f>
        <v>39724.793603456834</v>
      </c>
      <c r="J74" s="140"/>
      <c r="K74" s="140">
        <f>SUMIF($A$6:$A$56,$A74,K$6:K$56)</f>
        <v>39694.960588064503</v>
      </c>
      <c r="L74" s="140"/>
      <c r="M74" s="150">
        <f>ROUND(K74/I74*100,3)-100</f>
        <v>-7.5000000000002842E-2</v>
      </c>
      <c r="N74" s="149">
        <f>K74-I74</f>
        <v>-29.833015392330708</v>
      </c>
      <c r="O74" s="135">
        <f>IF(ABS(M74)&lt;=0.5,0,IF(I74&gt;K74,(I74*0.995)-K74,(I74*1.005)-K74))</f>
        <v>0</v>
      </c>
      <c r="P74" s="140">
        <f>SUMIF($A$6:$A$56,$A74,P$6:P$56)</f>
        <v>41635</v>
      </c>
      <c r="Q74" s="136">
        <f>((P74-I74)/I74)*100</f>
        <v>4.8085999278217546</v>
      </c>
      <c r="R74" s="149">
        <f>P74-K74</f>
        <v>1940.0394119354969</v>
      </c>
      <c r="S74" s="136"/>
      <c r="T74" s="140">
        <f>SUMIF($A$6:$A$56,$A74,T$6:T$56)</f>
        <v>39694</v>
      </c>
      <c r="U74" s="136">
        <f>((T74-P74)/P74)*100</f>
        <v>-4.6619430767383205</v>
      </c>
      <c r="V74" s="149">
        <f>T74-P74</f>
        <v>-1941</v>
      </c>
      <c r="W74" s="136"/>
      <c r="X74" s="149">
        <f t="shared" si="50"/>
        <v>2128.136396543166</v>
      </c>
      <c r="Y74" s="131"/>
    </row>
    <row r="75" spans="1:25">
      <c r="A75" s="122" t="s">
        <v>285</v>
      </c>
      <c r="C75" s="143">
        <f>SUM(C73:C74)</f>
        <v>258227.68</v>
      </c>
      <c r="D75" s="143"/>
      <c r="E75" s="143">
        <f>SUM(E73:E74)</f>
        <v>-8169.6142648089653</v>
      </c>
      <c r="F75" s="143"/>
      <c r="G75" s="143">
        <f>SUM(G73:G74)</f>
        <v>1340.74</v>
      </c>
      <c r="H75" s="143"/>
      <c r="I75" s="143">
        <f>SUM(I73:I74)</f>
        <v>251398.80573519104</v>
      </c>
      <c r="J75" s="143"/>
      <c r="K75" s="143">
        <f>SUM(K73:K74)</f>
        <v>251121.95855645151</v>
      </c>
      <c r="L75" s="143"/>
      <c r="M75" s="150">
        <f>ROUND(K75/I75*100,3)-100</f>
        <v>-0.10999999999999943</v>
      </c>
      <c r="N75" s="149">
        <f>K75-I75</f>
        <v>-276.84717873952468</v>
      </c>
      <c r="O75" s="135">
        <f>IF(ABS(M75)&lt;=0.5,0,IF(I75&gt;K75,(I75*0.995)-K75,(I75*1.005)-K75))</f>
        <v>0</v>
      </c>
      <c r="P75" s="143">
        <f>SUM(P73:P74)</f>
        <v>262902.07</v>
      </c>
      <c r="Q75" s="136">
        <f>((P75-I75)/I75)*100</f>
        <v>4.5757036240362421</v>
      </c>
      <c r="R75" s="149">
        <f>P75-K75</f>
        <v>11780.111443548492</v>
      </c>
      <c r="S75" s="136"/>
      <c r="T75" s="143">
        <f>SUM(T73:T74)</f>
        <v>243538</v>
      </c>
      <c r="U75" s="136">
        <f>((T75-P75)/P75)*100</f>
        <v>-7.3655068596454969</v>
      </c>
      <c r="V75" s="149">
        <f>T75-P75</f>
        <v>-19364.070000000007</v>
      </c>
      <c r="W75" s="136"/>
      <c r="X75" s="149">
        <f>SUM(X73:X74)</f>
        <v>12844.004264808975</v>
      </c>
      <c r="Y75" s="131"/>
    </row>
    <row r="76" spans="1:25">
      <c r="C76" s="139"/>
      <c r="D76" s="128"/>
      <c r="E76" s="140"/>
      <c r="F76" s="140"/>
      <c r="G76" s="140"/>
      <c r="H76" s="140"/>
      <c r="I76" s="140"/>
      <c r="J76" s="140"/>
      <c r="K76" s="140"/>
      <c r="L76" s="140"/>
      <c r="M76" s="150"/>
      <c r="N76" s="149"/>
      <c r="O76" s="135"/>
      <c r="P76" s="140"/>
      <c r="Q76" s="136"/>
      <c r="R76" s="136"/>
      <c r="S76" s="136"/>
      <c r="T76" s="140"/>
      <c r="U76" s="136"/>
      <c r="V76" s="136"/>
      <c r="W76" s="136"/>
      <c r="X76" s="136"/>
      <c r="Y76" s="131"/>
    </row>
    <row r="77" spans="1:25">
      <c r="A77" s="122" t="s">
        <v>51</v>
      </c>
      <c r="C77" s="140">
        <f>SUMIF($A$6:$A$56,$A77,C$6:C$56)</f>
        <v>47038376.829999998</v>
      </c>
      <c r="D77" s="128"/>
      <c r="E77" s="140">
        <f>SUMIF($A$6:$A$56,$A77,E$6:E$56)</f>
        <v>-1637094.8251278214</v>
      </c>
      <c r="F77" s="140"/>
      <c r="G77" s="140">
        <f>SUMIF($A$6:$A$56,$A77,G$6:G$56)</f>
        <v>-42585.110000000008</v>
      </c>
      <c r="H77" s="140"/>
      <c r="I77" s="140">
        <f>SUMIF($A$6:$A$56,$A77,I$6:I$56)</f>
        <v>45358696.894872181</v>
      </c>
      <c r="J77" s="140"/>
      <c r="K77" s="140">
        <f>SUMIF($A$6:$A$56,$A77,K$6:K$56)</f>
        <v>45468253.60079506</v>
      </c>
      <c r="L77" s="140"/>
      <c r="M77" s="150">
        <f t="shared" ref="M77:M82" si="51">ROUND(K77/I77*100,3)-100</f>
        <v>0.24200000000000443</v>
      </c>
      <c r="N77" s="149">
        <f t="shared" ref="N77:N82" si="52">K77-I77</f>
        <v>109556.70592287928</v>
      </c>
      <c r="O77" s="135">
        <f t="shared" ref="O77:O82" si="53">IF(ABS(M77)&lt;=0.5,0,IF(I77&gt;K77,(I77*0.995)-K77,(I77*1.005)-K77))</f>
        <v>0</v>
      </c>
      <c r="P77" s="140">
        <f>SUMIF($A$6:$A$56,$A77,P$6:P$56)</f>
        <v>48007985.150093332</v>
      </c>
      <c r="Q77" s="136">
        <f t="shared" ref="Q77:Q82" si="54">((P77-I77)/I77)*100</f>
        <v>5.8407503667078542</v>
      </c>
      <c r="R77" s="149">
        <f t="shared" ref="R77:R82" si="55">P77-K77</f>
        <v>2539731.5492982715</v>
      </c>
      <c r="S77" s="136"/>
      <c r="T77" s="140">
        <f>SUMIF($A$6:$A$56,$A77,T$6:T$56)</f>
        <v>33288086</v>
      </c>
      <c r="U77" s="136">
        <f t="shared" ref="U77:U82" si="56">((T77-P77)/P77)*100</f>
        <v>-30.661355822521358</v>
      </c>
      <c r="V77" s="149">
        <f t="shared" ref="V77:V82" si="57">T77-P77</f>
        <v>-14719899.150093332</v>
      </c>
      <c r="W77" s="136"/>
      <c r="X77" s="149">
        <f t="shared" ref="X77:X81" si="58">G77+N77+R77</f>
        <v>2606703.1452211509</v>
      </c>
      <c r="Y77" s="131"/>
    </row>
    <row r="78" spans="1:25">
      <c r="A78" s="122" t="s">
        <v>52</v>
      </c>
      <c r="C78" s="140">
        <f>SUMIF($A$6:$A$56,$A78,C$6:C$56)</f>
        <v>170113.11000000002</v>
      </c>
      <c r="D78" s="128"/>
      <c r="E78" s="140">
        <f>SUMIF($A$6:$A$56,$A78,E$6:E$56)</f>
        <v>-3960.8967437468864</v>
      </c>
      <c r="F78" s="140"/>
      <c r="G78" s="140">
        <f>SUMIF($A$6:$A$56,$A78,G$6:G$56)</f>
        <v>-1488.76</v>
      </c>
      <c r="H78" s="128"/>
      <c r="I78" s="140">
        <f>SUMIF($A$6:$A$56,$A78,I$6:I$56)</f>
        <v>164663.45325625309</v>
      </c>
      <c r="J78" s="128"/>
      <c r="K78" s="140">
        <f>SUMIF($A$6:$A$56,$A78,K$6:K$56)</f>
        <v>165024.81531157807</v>
      </c>
      <c r="L78" s="144"/>
      <c r="M78" s="150">
        <f t="shared" si="51"/>
        <v>0.21899999999999409</v>
      </c>
      <c r="N78" s="149">
        <f t="shared" si="52"/>
        <v>361.36205532497843</v>
      </c>
      <c r="O78" s="135">
        <f t="shared" si="53"/>
        <v>0</v>
      </c>
      <c r="P78" s="140">
        <f>SUMIF($A$6:$A$56,$A78,P$6:P$56)</f>
        <v>172631</v>
      </c>
      <c r="Q78" s="136">
        <f t="shared" si="54"/>
        <v>4.838685565125143</v>
      </c>
      <c r="R78" s="149">
        <f t="shared" si="55"/>
        <v>7606.1846884219267</v>
      </c>
      <c r="S78" s="136"/>
      <c r="T78" s="140">
        <f>SUMIF($A$6:$A$56,$A78,T$6:T$56)</f>
        <v>145918</v>
      </c>
      <c r="U78" s="136">
        <f t="shared" si="56"/>
        <v>-15.474045797104807</v>
      </c>
      <c r="V78" s="149">
        <f t="shared" si="57"/>
        <v>-26713</v>
      </c>
      <c r="W78" s="136"/>
      <c r="X78" s="149">
        <f t="shared" si="58"/>
        <v>6478.7867437469049</v>
      </c>
      <c r="Y78" s="131"/>
    </row>
    <row r="79" spans="1:25">
      <c r="A79" s="142" t="s">
        <v>298</v>
      </c>
      <c r="C79" s="140">
        <f>SUMIF($A$6:$A$56,$A79,C$6:C$56)</f>
        <v>117565.33</v>
      </c>
      <c r="D79" s="128"/>
      <c r="E79" s="140">
        <f>SUMIF($A$6:$A$56,$A79,E$6:E$56)</f>
        <v>-1400.5951175350165</v>
      </c>
      <c r="F79" s="140"/>
      <c r="G79" s="140">
        <f>SUMIF($A$6:$A$56,$A79,G$6:G$56)</f>
        <v>537.83000000000004</v>
      </c>
      <c r="H79" s="128"/>
      <c r="I79" s="140">
        <f>SUMIF($A$6:$A$56,$A79,I$6:I$56)</f>
        <v>116702.56488246498</v>
      </c>
      <c r="J79" s="128"/>
      <c r="K79" s="140">
        <f>SUMIF($A$6:$A$56,$A79,K$6:K$56)</f>
        <v>116569.06434566199</v>
      </c>
      <c r="L79" s="144"/>
      <c r="M79" s="150">
        <f t="shared" si="51"/>
        <v>-0.11400000000000432</v>
      </c>
      <c r="N79" s="149">
        <f t="shared" si="52"/>
        <v>-133.50053680299607</v>
      </c>
      <c r="O79" s="135">
        <f t="shared" si="53"/>
        <v>0</v>
      </c>
      <c r="P79" s="140">
        <f>SUMIF($A$6:$A$56,$A79,P$6:P$56)</f>
        <v>120570</v>
      </c>
      <c r="Q79" s="136">
        <f t="shared" si="54"/>
        <v>3.3139246951684727</v>
      </c>
      <c r="R79" s="149">
        <f t="shared" si="55"/>
        <v>4000.9356543380127</v>
      </c>
      <c r="S79" s="136"/>
      <c r="T79" s="140">
        <f>SUMIF($A$6:$A$56,$A79,T$6:T$56)</f>
        <v>114589</v>
      </c>
      <c r="U79" s="136">
        <f t="shared" si="56"/>
        <v>-4.9606037986232066</v>
      </c>
      <c r="V79" s="149">
        <f t="shared" si="57"/>
        <v>-5981</v>
      </c>
      <c r="W79" s="136"/>
      <c r="X79" s="149">
        <f t="shared" si="58"/>
        <v>4405.2651175350165</v>
      </c>
      <c r="Y79" s="131"/>
    </row>
    <row r="80" spans="1:25">
      <c r="A80" s="131" t="s">
        <v>749</v>
      </c>
      <c r="C80" s="140">
        <f>SUMIF($A$6:$A$56,$A80,C$6:C$56)</f>
        <v>809006.25</v>
      </c>
      <c r="D80" s="128"/>
      <c r="E80" s="140">
        <f>SUMIF($A$6:$A$56,$A80,E$6:E$56)</f>
        <v>-21322.012137239271</v>
      </c>
      <c r="F80" s="140"/>
      <c r="G80" s="140">
        <f>SUMIF($A$6:$A$56,$A80,G$6:G$56)</f>
        <v>2736.6799999999994</v>
      </c>
      <c r="H80" s="128"/>
      <c r="I80" s="140">
        <f>SUMIF($A$6:$A$56,$A80,I$6:I$56)</f>
        <v>790420.91786276083</v>
      </c>
      <c r="J80" s="128"/>
      <c r="K80" s="140">
        <f>SUMIF($A$6:$A$56,$A80,K$6:K$56)</f>
        <v>791130.25388665847</v>
      </c>
      <c r="L80" s="144"/>
      <c r="M80" s="150">
        <f t="shared" si="51"/>
        <v>9.0000000000003411E-2</v>
      </c>
      <c r="N80" s="149">
        <f t="shared" si="52"/>
        <v>709.33602389763109</v>
      </c>
      <c r="O80" s="135">
        <f t="shared" si="53"/>
        <v>0</v>
      </c>
      <c r="P80" s="140">
        <f>SUMIF($A$6:$A$56,$A80,P$6:P$56)</f>
        <v>829261.51</v>
      </c>
      <c r="Q80" s="136">
        <f t="shared" si="54"/>
        <v>4.9139124812462249</v>
      </c>
      <c r="R80" s="149">
        <f t="shared" si="55"/>
        <v>38131.256113341544</v>
      </c>
      <c r="S80" s="136"/>
      <c r="T80" s="140">
        <f>SUMIF($A$6:$A$56,$A80,T$6:T$56)</f>
        <v>31869846</v>
      </c>
      <c r="U80" s="136">
        <f t="shared" si="56"/>
        <v>3743.1599218924312</v>
      </c>
      <c r="V80" s="149">
        <f t="shared" si="57"/>
        <v>31040584.489999998</v>
      </c>
      <c r="W80" s="136"/>
      <c r="X80" s="149">
        <f t="shared" si="58"/>
        <v>41577.272137239175</v>
      </c>
      <c r="Y80" s="131"/>
    </row>
    <row r="81" spans="1:25">
      <c r="A81" s="131" t="s">
        <v>218</v>
      </c>
      <c r="C81" s="140">
        <f>SUMIF($A$6:$A$56,$A81,C$6:C$56)</f>
        <v>62011.81</v>
      </c>
      <c r="D81" s="140"/>
      <c r="E81" s="140">
        <f>SUMIF($A$6:$A$56,$A81,E$6:E$56)</f>
        <v>-2291.2830454945151</v>
      </c>
      <c r="F81" s="140"/>
      <c r="G81" s="140">
        <f>SUMIF($A$6:$A$56,$A81,G$6:G$56)</f>
        <v>8.7100000000000009</v>
      </c>
      <c r="H81" s="140"/>
      <c r="I81" s="140">
        <f>SUMIF($A$6:$A$56,$A81,I$6:I$56)</f>
        <v>59729.236954505483</v>
      </c>
      <c r="J81" s="140"/>
      <c r="K81" s="140">
        <f>SUMIF($A$6:$A$56,$A81,K$6:K$56)</f>
        <v>59818.66990666667</v>
      </c>
      <c r="L81" s="140"/>
      <c r="M81" s="150">
        <f t="shared" si="51"/>
        <v>0.15000000000000568</v>
      </c>
      <c r="N81" s="149">
        <f t="shared" si="52"/>
        <v>89.432952161187131</v>
      </c>
      <c r="O81" s="135">
        <f t="shared" si="53"/>
        <v>0</v>
      </c>
      <c r="P81" s="140">
        <f>SUMIF($A$6:$A$56,$A81,P$6:P$56)</f>
        <v>59818.66990666667</v>
      </c>
      <c r="Q81" s="136">
        <f t="shared" si="54"/>
        <v>0.1497306122114139</v>
      </c>
      <c r="R81" s="149">
        <f t="shared" si="55"/>
        <v>0</v>
      </c>
      <c r="S81" s="136"/>
      <c r="T81" s="140">
        <f>SUMIF($A$6:$A$56,$A81,T$6:T$56)</f>
        <v>515</v>
      </c>
      <c r="U81" s="136">
        <f t="shared" si="56"/>
        <v>-99.139064775590057</v>
      </c>
      <c r="V81" s="149">
        <f t="shared" si="57"/>
        <v>-59303.66990666667</v>
      </c>
      <c r="W81" s="136"/>
      <c r="X81" s="149">
        <f t="shared" si="58"/>
        <v>98.142952161187139</v>
      </c>
      <c r="Y81" s="131"/>
    </row>
    <row r="82" spans="1:25">
      <c r="A82" s="122" t="s">
        <v>286</v>
      </c>
      <c r="C82" s="140">
        <f>SUM(C77:C81)</f>
        <v>48197073.329999998</v>
      </c>
      <c r="D82" s="140"/>
      <c r="E82" s="140">
        <f>SUM(E77:E81)</f>
        <v>-1666069.6121718371</v>
      </c>
      <c r="F82" s="140"/>
      <c r="G82" s="140">
        <f>SUM(G77:G81)</f>
        <v>-40790.650000000009</v>
      </c>
      <c r="H82" s="140"/>
      <c r="I82" s="140">
        <f>SUM(I77:I81)</f>
        <v>46490213.067828156</v>
      </c>
      <c r="J82" s="140"/>
      <c r="K82" s="140">
        <f>SUM(K77:K81)</f>
        <v>46600796.40424563</v>
      </c>
      <c r="L82" s="140"/>
      <c r="M82" s="150">
        <f t="shared" si="51"/>
        <v>0.23799999999999955</v>
      </c>
      <c r="N82" s="149">
        <f t="shared" si="52"/>
        <v>110583.33641747385</v>
      </c>
      <c r="O82" s="135">
        <f t="shared" si="53"/>
        <v>0</v>
      </c>
      <c r="P82" s="140">
        <f>SUM(P77:P81)</f>
        <v>49190266.329999998</v>
      </c>
      <c r="Q82" s="136">
        <f t="shared" si="54"/>
        <v>5.8077885300988541</v>
      </c>
      <c r="R82" s="149">
        <f t="shared" si="55"/>
        <v>2589469.9257543683</v>
      </c>
      <c r="S82" s="136"/>
      <c r="T82" s="140">
        <f>SUM(T77:T79)</f>
        <v>33548593</v>
      </c>
      <c r="U82" s="136">
        <f t="shared" si="56"/>
        <v>-31.798309903560138</v>
      </c>
      <c r="V82" s="149">
        <f t="shared" si="57"/>
        <v>-15641673.329999998</v>
      </c>
      <c r="W82" s="136"/>
      <c r="X82" s="149">
        <f>SUM(X77:X81)</f>
        <v>2659262.6121718334</v>
      </c>
      <c r="Y82" s="131"/>
    </row>
    <row r="83" spans="1:25">
      <c r="D83" s="128"/>
      <c r="E83" s="128"/>
      <c r="F83" s="128"/>
      <c r="G83" s="128"/>
      <c r="H83" s="128"/>
      <c r="I83" s="128"/>
      <c r="J83" s="128"/>
      <c r="K83" s="133"/>
      <c r="L83" s="133"/>
      <c r="M83" s="150"/>
      <c r="N83" s="149"/>
      <c r="O83" s="135"/>
      <c r="P83" s="133"/>
      <c r="Q83" s="136"/>
      <c r="R83" s="136"/>
      <c r="S83" s="136"/>
      <c r="T83" s="128"/>
      <c r="U83" s="136"/>
      <c r="V83" s="136"/>
      <c r="W83" s="136"/>
      <c r="X83" s="136"/>
      <c r="Y83" s="131"/>
    </row>
    <row r="84" spans="1:25">
      <c r="A84" s="122" t="s">
        <v>53</v>
      </c>
      <c r="C84" s="140">
        <f>SUMIF($A$6:$A$56,$A84,C$6:C$56)</f>
        <v>66589035.18</v>
      </c>
      <c r="D84" s="140"/>
      <c r="E84" s="140">
        <f>SUMIF($A$6:$A$56,$A84,E$6:E$56)</f>
        <v>-2316971.6341725416</v>
      </c>
      <c r="F84" s="140"/>
      <c r="G84" s="140">
        <f>SUMIF($A$6:$A$56,$A84,G$6:G$56)</f>
        <v>-66403.399999999994</v>
      </c>
      <c r="H84" s="140"/>
      <c r="I84" s="140">
        <f>SUMIF($A$6:$A$56,$A84,I$6:I$56)</f>
        <v>64205660.145827465</v>
      </c>
      <c r="J84" s="140"/>
      <c r="K84" s="140">
        <f>SUMIF($A$6:$A$56,$A84,K$6:K$56)</f>
        <v>64176854.298176609</v>
      </c>
      <c r="L84" s="140"/>
      <c r="M84" s="150">
        <f>ROUND(K84/I84*100,3)-100</f>
        <v>-4.5000000000001705E-2</v>
      </c>
      <c r="N84" s="149">
        <f>K84-I84</f>
        <v>-28805.84765085578</v>
      </c>
      <c r="O84" s="135">
        <f>IF(ABS(M84)&lt;=0.5,0,IF(I84&gt;K84,(I84*0.995)-K84,(I84*1.005)-K84))</f>
        <v>0</v>
      </c>
      <c r="P84" s="140">
        <f>SUMIF($A$6:$A$56,$A84,P$6:P$56)</f>
        <v>67609822.238399997</v>
      </c>
      <c r="Q84" s="136">
        <f>((P84-I84)/I84)*100</f>
        <v>5.301965722088692</v>
      </c>
      <c r="R84" s="149">
        <f>P84-K84</f>
        <v>3432967.9402233884</v>
      </c>
      <c r="S84" s="136"/>
      <c r="T84" s="140">
        <f>SUMIF($A$6:$A$56,$A84,T$6:T$56)</f>
        <v>63791788</v>
      </c>
      <c r="U84" s="136">
        <f>((T84-P84)/P84)*100</f>
        <v>-5.6471591138594777</v>
      </c>
      <c r="V84" s="149">
        <f>T84-P84</f>
        <v>-3818034.2383999974</v>
      </c>
      <c r="W84" s="136"/>
      <c r="X84" s="149">
        <f t="shared" ref="X84:X85" si="59">G84+N84+R84</f>
        <v>3337758.6925725327</v>
      </c>
      <c r="Y84" s="131"/>
    </row>
    <row r="85" spans="1:25">
      <c r="A85" s="131" t="s">
        <v>691</v>
      </c>
      <c r="C85" s="140">
        <f>SUMIF($A$6:$A$56,$A85,C$6:C$56)</f>
        <v>83300.59</v>
      </c>
      <c r="D85" s="140"/>
      <c r="E85" s="140">
        <f>SUMIF($A$6:$A$56,$A85,E$6:E$56)</f>
        <v>-2905.0697691858254</v>
      </c>
      <c r="F85" s="140"/>
      <c r="G85" s="140">
        <f>SUMIF($A$6:$A$56,$A85,G$6:G$56)</f>
        <v>0</v>
      </c>
      <c r="H85" s="140"/>
      <c r="I85" s="140">
        <f>SUMIF($A$6:$A$56,$A85,I$6:I$56)</f>
        <v>80395.520230814174</v>
      </c>
      <c r="J85" s="140"/>
      <c r="K85" s="140">
        <f>SUMIF($A$6:$A$56,$A85,K$6:K$56)</f>
        <v>79984.691599999991</v>
      </c>
      <c r="L85" s="140"/>
      <c r="M85" s="150">
        <f>ROUND(K85/I85*100,3)-100</f>
        <v>-0.51099999999999568</v>
      </c>
      <c r="N85" s="149">
        <f>K85-I85</f>
        <v>-410.82863081418327</v>
      </c>
      <c r="O85" s="135">
        <f>IF(ABS(M85)&lt;=0.5,0,IF(I85&gt;K85,(I85*0.995)-K85,(I85*1.005)-K85))</f>
        <v>8.8510296601161826</v>
      </c>
      <c r="P85" s="140">
        <f>SUMIF($A$6:$A$56,$A85,P$6:P$56)</f>
        <v>79984.691599999991</v>
      </c>
      <c r="Q85" s="136">
        <f>((P85-I85)/I85)*100</f>
        <v>-0.51100935678343917</v>
      </c>
      <c r="R85" s="149">
        <f>P85-K85</f>
        <v>0</v>
      </c>
      <c r="S85" s="136"/>
      <c r="T85" s="140">
        <f>SUMIF($A$6:$A$56,$A85,T$6:T$56)</f>
        <v>515</v>
      </c>
      <c r="U85" s="136">
        <f>((T85-P85)/P85)*100</f>
        <v>-99.356126791642225</v>
      </c>
      <c r="V85" s="149">
        <f>T85-P85</f>
        <v>-79469.691599999991</v>
      </c>
      <c r="W85" s="136"/>
      <c r="X85" s="149">
        <f t="shared" si="59"/>
        <v>-410.82863081418327</v>
      </c>
      <c r="Y85" s="131"/>
    </row>
    <row r="86" spans="1:25">
      <c r="A86" s="122" t="s">
        <v>287</v>
      </c>
      <c r="C86" s="140">
        <f>SUM(C84:C85)</f>
        <v>66672335.770000003</v>
      </c>
      <c r="D86" s="140"/>
      <c r="E86" s="140">
        <f>SUM(E84:E85)</f>
        <v>-2319876.7039417275</v>
      </c>
      <c r="F86" s="140"/>
      <c r="G86" s="140">
        <f>SUM(G84:G85)</f>
        <v>-66403.399999999994</v>
      </c>
      <c r="H86" s="140"/>
      <c r="I86" s="140">
        <f>SUM(I84:I85)</f>
        <v>64286055.66605828</v>
      </c>
      <c r="J86" s="140"/>
      <c r="K86" s="140">
        <f>SUM(K84:K85)</f>
        <v>64256838.989776611</v>
      </c>
      <c r="L86" s="140"/>
      <c r="M86" s="150">
        <f>ROUND(K86/I86*100,3)-100</f>
        <v>-4.5000000000001705E-2</v>
      </c>
      <c r="N86" s="149">
        <f>K86-I86</f>
        <v>-29216.676281668246</v>
      </c>
      <c r="O86" s="135">
        <f>IF(ABS(M86)&lt;=0.5,0,IF(I86&gt;K86,(I86*0.995)-K86,(I86*1.005)-K86))</f>
        <v>0</v>
      </c>
      <c r="P86" s="140">
        <f>SUM(P84:P85)</f>
        <v>67689806.929999992</v>
      </c>
      <c r="Q86" s="136">
        <f>((P86-I86)/I86)*100</f>
        <v>5.2946960716067446</v>
      </c>
      <c r="R86" s="149">
        <f>P86-K86</f>
        <v>3432967.9402233809</v>
      </c>
      <c r="S86" s="136"/>
      <c r="T86" s="140">
        <f>SUM(T84:T84)</f>
        <v>63791788</v>
      </c>
      <c r="U86" s="136">
        <f>((T86-P86)/P86)*100</f>
        <v>-5.7586497979393672</v>
      </c>
      <c r="V86" s="149">
        <f>T86-P86</f>
        <v>-3898018.9299999923</v>
      </c>
      <c r="W86" s="136"/>
      <c r="X86" s="149">
        <f>SUM(X84:X85)</f>
        <v>3337347.8639417184</v>
      </c>
      <c r="Y86" s="131"/>
    </row>
    <row r="87" spans="1:25">
      <c r="C87" s="140"/>
      <c r="D87" s="140"/>
      <c r="E87" s="140"/>
      <c r="F87" s="140"/>
      <c r="G87" s="140"/>
      <c r="H87" s="140"/>
      <c r="I87" s="140"/>
      <c r="J87" s="140"/>
      <c r="K87" s="140"/>
      <c r="L87" s="140"/>
      <c r="M87" s="150"/>
      <c r="N87" s="149"/>
      <c r="O87" s="135"/>
      <c r="P87" s="140"/>
      <c r="Q87" s="136"/>
      <c r="R87" s="136"/>
      <c r="S87" s="136"/>
      <c r="T87" s="140"/>
      <c r="U87" s="136"/>
      <c r="V87" s="136"/>
      <c r="W87" s="136"/>
      <c r="X87" s="136"/>
      <c r="Y87" s="131"/>
    </row>
    <row r="88" spans="1:25">
      <c r="D88" s="144"/>
      <c r="E88" s="144"/>
      <c r="F88" s="144"/>
      <c r="G88" s="144"/>
      <c r="H88" s="144"/>
      <c r="I88" s="144"/>
      <c r="J88" s="144"/>
      <c r="K88" s="144"/>
      <c r="L88" s="144"/>
      <c r="M88" s="150"/>
      <c r="N88" s="149"/>
      <c r="O88" s="135"/>
      <c r="P88" s="144"/>
      <c r="Q88" s="136"/>
      <c r="R88" s="136"/>
      <c r="S88" s="136"/>
      <c r="T88" s="144"/>
      <c r="U88" s="136"/>
      <c r="V88" s="136"/>
      <c r="W88" s="136"/>
      <c r="X88" s="136"/>
      <c r="Y88" s="131"/>
    </row>
    <row r="89" spans="1:25">
      <c r="A89" s="122" t="s">
        <v>58</v>
      </c>
      <c r="C89" s="140">
        <f>SUMIF($A$6:$A$56,$A89,C$6:C$56)</f>
        <v>12823405.940000001</v>
      </c>
      <c r="D89" s="140"/>
      <c r="E89" s="140">
        <f>SUMIF($A$6:$A$56,$A89,E$6:E$56)</f>
        <v>-438554.11937512434</v>
      </c>
      <c r="F89" s="140"/>
      <c r="G89" s="140">
        <f>SUMIF($A$6:$A$56,$A89,G$6:G$56)</f>
        <v>2095.2600000000002</v>
      </c>
      <c r="H89" s="140"/>
      <c r="I89" s="140">
        <f>SUMIF($A$6:$A$56,$A89,I$6:I$56)</f>
        <v>12386947.080624877</v>
      </c>
      <c r="J89" s="140"/>
      <c r="K89" s="140">
        <f>SUMIF($A$6:$A$56,$A89,K$6:K$56)</f>
        <v>12383093.649639074</v>
      </c>
      <c r="L89" s="140"/>
      <c r="M89" s="150">
        <f>ROUND(K89/I89*100,3)-100</f>
        <v>-3.1000000000005912E-2</v>
      </c>
      <c r="N89" s="149">
        <f>K89-I89</f>
        <v>-3853.4309858027846</v>
      </c>
      <c r="O89" s="135">
        <f>IF(ABS(M89)&lt;=0.5,0,IF(I89&gt;K89,(I89*0.995)-K89,(I89*1.005)-K89))</f>
        <v>0</v>
      </c>
      <c r="P89" s="140">
        <f>SUMIF($A$6:$A$56,$A89,P$6:P$56)</f>
        <v>13048528.359999999</v>
      </c>
      <c r="Q89" s="136">
        <f>((P89-I89)/I89)*100</f>
        <v>5.3409550801257515</v>
      </c>
      <c r="R89" s="149">
        <f>P89-K89</f>
        <v>665434.71036092564</v>
      </c>
      <c r="S89" s="136"/>
      <c r="T89" s="140">
        <f>SUMIF($A$6:$A$56,$A89,T$6:T$56)</f>
        <v>8839304</v>
      </c>
      <c r="U89" s="136">
        <f>((T89-P89)/P89)*100</f>
        <v>-32.258230536581365</v>
      </c>
      <c r="V89" s="149">
        <f>T89-P89</f>
        <v>-4209224.3599999994</v>
      </c>
      <c r="W89" s="136"/>
      <c r="X89" s="149">
        <f t="shared" ref="X89:X90" si="60">G89+N89+R89</f>
        <v>663676.53937512287</v>
      </c>
      <c r="Y89" s="131"/>
    </row>
    <row r="90" spans="1:25">
      <c r="A90" s="122" t="s">
        <v>59</v>
      </c>
      <c r="C90" s="140">
        <f>SUMIF($A$6:$A$56,$A90,C$6:C$56)</f>
        <v>453169.46</v>
      </c>
      <c r="D90" s="140"/>
      <c r="E90" s="140">
        <f>SUMIF($A$6:$A$56,$A90,E$6:E$56)</f>
        <v>-15395.313396348296</v>
      </c>
      <c r="F90" s="140"/>
      <c r="G90" s="140">
        <f>SUMIF($A$6:$A$56,$A90,G$6:G$56)</f>
        <v>1.1800000000000002</v>
      </c>
      <c r="H90" s="140"/>
      <c r="I90" s="140">
        <f>SUMIF($A$6:$A$56,$A90,I$6:I$56)</f>
        <v>437775.32660365175</v>
      </c>
      <c r="J90" s="140"/>
      <c r="K90" s="140">
        <f>SUMIF($A$6:$A$56,$A90,K$6:K$56)</f>
        <v>437653.37849999999</v>
      </c>
      <c r="L90" s="140"/>
      <c r="M90" s="150">
        <f>ROUND(K90/I90*100,3)-100</f>
        <v>-2.8000000000005798E-2</v>
      </c>
      <c r="N90" s="149">
        <f>K90-I90</f>
        <v>-121.94810365175363</v>
      </c>
      <c r="O90" s="135">
        <f>IF(ABS(M90)&lt;=0.5,0,IF(I90&gt;K90,(I90*0.995)-K90,(I90*1.005)-K90))</f>
        <v>0</v>
      </c>
      <c r="P90" s="140">
        <f>SUMIF($A$6:$A$56,$A90,P$6:P$56)</f>
        <v>462899</v>
      </c>
      <c r="Q90" s="136">
        <f>((P90-I90)/I90)*100</f>
        <v>5.7389422997551556</v>
      </c>
      <c r="R90" s="149">
        <f>P90-K90</f>
        <v>25245.621500000008</v>
      </c>
      <c r="S90" s="136"/>
      <c r="T90" s="140">
        <f>SUMIF($A$6:$A$56,$A90,T$6:T$56)</f>
        <v>1173033</v>
      </c>
      <c r="U90" s="136">
        <f>((T90-P90)/P90)*100</f>
        <v>153.41013914482426</v>
      </c>
      <c r="V90" s="149">
        <f>T90-P90</f>
        <v>710134</v>
      </c>
      <c r="W90" s="136"/>
      <c r="X90" s="149">
        <f t="shared" si="60"/>
        <v>25124.853396348255</v>
      </c>
      <c r="Y90" s="131"/>
    </row>
    <row r="91" spans="1:25">
      <c r="A91" s="122" t="s">
        <v>288</v>
      </c>
      <c r="C91" s="140">
        <f>SUM(C89:C90)</f>
        <v>13276575.400000002</v>
      </c>
      <c r="D91" s="140"/>
      <c r="E91" s="140">
        <f>SUM(E89:E90)</f>
        <v>-453949.43277147261</v>
      </c>
      <c r="F91" s="140"/>
      <c r="G91" s="140">
        <f>SUM(G89:G90)</f>
        <v>2096.44</v>
      </c>
      <c r="H91" s="140"/>
      <c r="I91" s="140">
        <f>SUM(I89:I90)</f>
        <v>12824722.407228528</v>
      </c>
      <c r="J91" s="140"/>
      <c r="K91" s="140">
        <f>SUM(K89:K90)</f>
        <v>12820747.028139073</v>
      </c>
      <c r="L91" s="140"/>
      <c r="M91" s="150">
        <f>ROUND(K91/I91*100,3)-100</f>
        <v>-3.1000000000005912E-2</v>
      </c>
      <c r="N91" s="149">
        <f>K91-I91</f>
        <v>-3975.3790894541889</v>
      </c>
      <c r="O91" s="135">
        <f>IF(ABS(M91)&lt;=0.5,0,IF(I91&gt;K91,(I91*0.995)-K91,(I91*1.005)-K91))</f>
        <v>0</v>
      </c>
      <c r="P91" s="140">
        <f>SUM(P89:P90)</f>
        <v>13511427.359999999</v>
      </c>
      <c r="Q91" s="136">
        <f>((P91-I91)/I91)*100</f>
        <v>5.3545404802244869</v>
      </c>
      <c r="R91" s="149">
        <f>P91-K91</f>
        <v>690680.331860926</v>
      </c>
      <c r="S91" s="136"/>
      <c r="T91" s="140">
        <f>SUM(T89:T90)</f>
        <v>10012337</v>
      </c>
      <c r="U91" s="136">
        <f>((T91-P91)/P91)*100</f>
        <v>-25.89726656384881</v>
      </c>
      <c r="V91" s="149">
        <f>T91-P91</f>
        <v>-3499090.3599999994</v>
      </c>
      <c r="W91" s="136"/>
      <c r="X91" s="149">
        <f>SUM(X89:X90)</f>
        <v>688801.39277147118</v>
      </c>
      <c r="Y91" s="131"/>
    </row>
    <row r="92" spans="1:25">
      <c r="D92" s="144"/>
      <c r="E92" s="144"/>
      <c r="F92" s="144"/>
      <c r="G92" s="144"/>
      <c r="H92" s="144"/>
      <c r="I92" s="144"/>
      <c r="J92" s="144"/>
      <c r="K92" s="144"/>
      <c r="L92" s="144"/>
      <c r="M92" s="150"/>
      <c r="N92" s="149"/>
      <c r="O92" s="135"/>
      <c r="P92" s="144"/>
      <c r="Q92" s="136"/>
      <c r="R92" s="136"/>
      <c r="S92" s="136"/>
      <c r="T92" s="144"/>
      <c r="U92" s="136"/>
      <c r="V92" s="136"/>
      <c r="W92" s="136"/>
      <c r="X92" s="136"/>
      <c r="Y92" s="131"/>
    </row>
    <row r="93" spans="1:25">
      <c r="A93" s="122" t="s">
        <v>165</v>
      </c>
      <c r="C93" s="140">
        <f>SUMIF($A$6:$A$56,$A93,C$6:C$56)</f>
        <v>292762.90999999997</v>
      </c>
      <c r="D93" s="140"/>
      <c r="E93" s="140">
        <f>SUMIF($A$6:$A$56,$A93,E$6:E$56)</f>
        <v>-4241.1699999999992</v>
      </c>
      <c r="F93" s="140"/>
      <c r="G93" s="140">
        <f>SUMIF($A$6:$A$56,$A93,G$6:G$56)</f>
        <v>-4816.6299999999974</v>
      </c>
      <c r="H93" s="140"/>
      <c r="I93" s="140">
        <f>SUMIF($A$6:$A$56,$A93,I$6:I$56)</f>
        <v>283705.11</v>
      </c>
      <c r="J93" s="140"/>
      <c r="K93" s="140">
        <f>SUMIF($A$6:$A$56,$A93,K$6:K$56)</f>
        <v>283700.831764706</v>
      </c>
      <c r="L93" s="140"/>
      <c r="M93" s="150">
        <f>ROUND(K93/I93*100,3)-100</f>
        <v>-1.9999999999953388E-3</v>
      </c>
      <c r="N93" s="149">
        <f>K93-I93</f>
        <v>-4.2782352939830162</v>
      </c>
      <c r="O93" s="135">
        <f>IF(ABS(M93)&lt;=0.5,0,IF(I93&gt;K93,(I93*0.995)-K93,(I93*1.005)-K93))</f>
        <v>0</v>
      </c>
      <c r="P93" s="140">
        <f>SUMIF($A$6:$A$56,$A93,P$6:P$56)</f>
        <v>298316</v>
      </c>
      <c r="Q93" s="136">
        <f>((P93-I93)/I93)*100</f>
        <v>5.1500270826986565</v>
      </c>
      <c r="R93" s="149">
        <f>P93-K93</f>
        <v>14615.168235293997</v>
      </c>
      <c r="S93" s="136"/>
      <c r="T93" s="140">
        <f>SUMIF($A$6:$A$56,$A93,T$6:T$56)</f>
        <v>858176</v>
      </c>
      <c r="U93" s="136">
        <f>((T93-P93)/P93)*100</f>
        <v>187.67347376607356</v>
      </c>
      <c r="V93" s="149">
        <f>T93-P93</f>
        <v>559860</v>
      </c>
      <c r="W93" s="136"/>
      <c r="X93" s="149">
        <f>G93+N93+R93</f>
        <v>9794.2600000000166</v>
      </c>
      <c r="Y93" s="131"/>
    </row>
    <row r="94" spans="1:25">
      <c r="D94" s="144"/>
      <c r="E94" s="144"/>
      <c r="F94" s="144"/>
      <c r="G94" s="144"/>
      <c r="H94" s="144"/>
      <c r="I94" s="144"/>
      <c r="J94" s="144"/>
      <c r="K94" s="144"/>
      <c r="L94" s="144"/>
      <c r="M94" s="150"/>
      <c r="N94" s="149"/>
      <c r="O94" s="135"/>
      <c r="P94" s="144"/>
      <c r="Q94" s="136"/>
      <c r="R94" s="136"/>
      <c r="S94" s="136"/>
      <c r="T94" s="144"/>
      <c r="U94" s="136"/>
      <c r="V94" s="136"/>
      <c r="W94" s="136"/>
      <c r="X94" s="136"/>
      <c r="Y94" s="131"/>
    </row>
    <row r="95" spans="1:25">
      <c r="A95" s="122" t="s">
        <v>54</v>
      </c>
      <c r="C95" s="140">
        <f>SUMIF($A$6:$A$56,$A95,C$6:C$56)</f>
        <v>25983771.600000001</v>
      </c>
      <c r="D95" s="140"/>
      <c r="E95" s="140">
        <f>SUMIF($A$6:$A$56,$A95,E$6:E$56)</f>
        <v>-813108.68576391751</v>
      </c>
      <c r="F95" s="140"/>
      <c r="G95" s="140">
        <f>SUMIF($A$6:$A$56,$A95,G$6:G$56)</f>
        <v>-75226.260000000009</v>
      </c>
      <c r="H95" s="140"/>
      <c r="I95" s="140">
        <f>SUMIF($A$6:$A$56,$A95,I$6:I$56)</f>
        <v>25095436.654236082</v>
      </c>
      <c r="J95" s="140"/>
      <c r="K95" s="140">
        <f>SUMIF($A$6:$A$56,$A95,K$6:K$56)</f>
        <v>25114354.843117557</v>
      </c>
      <c r="L95" s="140"/>
      <c r="M95" s="150">
        <f>ROUND(K95/I95*100,3)-100</f>
        <v>7.5000000000002842E-2</v>
      </c>
      <c r="N95" s="149">
        <f>K95-I95</f>
        <v>18918.188881475478</v>
      </c>
      <c r="O95" s="135">
        <f>IF(ABS(M95)&lt;=0.5,0,IF(I95&gt;K95,(I95*0.995)-K95,(I95*1.005)-K95))</f>
        <v>0</v>
      </c>
      <c r="P95" s="140">
        <f>SUMIF($A$6:$A$56,$A95,P$6:P$56)</f>
        <v>26476468.189999998</v>
      </c>
      <c r="Q95" s="136">
        <f>((P95-I95)/I95)*100</f>
        <v>5.5031181755938841</v>
      </c>
      <c r="R95" s="149">
        <f>P95-K95</f>
        <v>1362113.3468824401</v>
      </c>
      <c r="S95" s="136"/>
      <c r="T95" s="140">
        <f>SUMIF($A$6:$A$56,$A95,T$6:T$56)</f>
        <v>7472169</v>
      </c>
      <c r="U95" s="136">
        <f>((T95-P95)/P95)*100</f>
        <v>-71.778074981986478</v>
      </c>
      <c r="V95" s="149">
        <f>T95-P95</f>
        <v>-19004299.189999998</v>
      </c>
      <c r="W95" s="136"/>
      <c r="X95" s="149">
        <f t="shared" ref="X95:X97" si="61">G95+N95+R95</f>
        <v>1305805.2757639156</v>
      </c>
      <c r="Y95" s="131"/>
    </row>
    <row r="96" spans="1:25">
      <c r="A96" s="122" t="s">
        <v>60</v>
      </c>
      <c r="C96" s="140">
        <f>SUMIF($A$6:$A$56,$A96,C$6:C$56)</f>
        <v>0</v>
      </c>
      <c r="D96" s="140"/>
      <c r="E96" s="140">
        <f>SUMIF($A$6:$A$56,$A96,E$6:E$56)</f>
        <v>0</v>
      </c>
      <c r="F96" s="140"/>
      <c r="G96" s="140">
        <f>SUMIF($A$6:$A$56,$A96,G$6:G$56)</f>
        <v>0</v>
      </c>
      <c r="H96" s="140"/>
      <c r="I96" s="140">
        <f>SUMIF($A$6:$A$56,$A96,I$6:I$56)</f>
        <v>0</v>
      </c>
      <c r="J96" s="140"/>
      <c r="K96" s="140">
        <f>SUMIF($A$6:$A$56,$A96,K$6:K$56)</f>
        <v>0</v>
      </c>
      <c r="L96" s="140"/>
      <c r="M96" s="150" t="e">
        <f>ROUND(K96/I96*100,3)-100</f>
        <v>#DIV/0!</v>
      </c>
      <c r="N96" s="149">
        <f>K96-I96</f>
        <v>0</v>
      </c>
      <c r="O96" s="135" t="e">
        <f>IF(ABS(M96)&lt;=0.5,0,IF(I96&gt;K96,(I96*0.995)-K96,(I96*1.005)-K96))</f>
        <v>#DIV/0!</v>
      </c>
      <c r="P96" s="140">
        <f>SUMIF($A$6:$A$56,$A96,P$6:P$56)</f>
        <v>0</v>
      </c>
      <c r="Q96" s="136" t="e">
        <f>((P96-I96)/I96)*100</f>
        <v>#DIV/0!</v>
      </c>
      <c r="R96" s="149">
        <f>P96-K96</f>
        <v>0</v>
      </c>
      <c r="S96" s="136"/>
      <c r="T96" s="140">
        <f>SUMIF($A$6:$A$56,$A96,T$6:T$56)</f>
        <v>2372611</v>
      </c>
      <c r="U96" s="136" t="e">
        <f>((T96-P96)/P96)*100</f>
        <v>#DIV/0!</v>
      </c>
      <c r="V96" s="149">
        <f>T96-P96</f>
        <v>2372611</v>
      </c>
      <c r="W96" s="136"/>
      <c r="X96" s="149">
        <f t="shared" si="61"/>
        <v>0</v>
      </c>
      <c r="Y96" s="131"/>
    </row>
    <row r="97" spans="1:25">
      <c r="A97" s="122" t="s">
        <v>587</v>
      </c>
      <c r="C97" s="140">
        <f>SUMIF($A$6:$A$56,$A97,C$6:C$56)</f>
        <v>25031150.399999999</v>
      </c>
      <c r="D97" s="140"/>
      <c r="E97" s="140">
        <f>SUMIF($A$6:$A$56,$A97,E$6:E$56)</f>
        <v>-944101.9800000001</v>
      </c>
      <c r="F97" s="140"/>
      <c r="G97" s="140">
        <f>SUMIF($A$6:$A$56,$A97,G$6:G$56)</f>
        <v>0</v>
      </c>
      <c r="H97" s="140"/>
      <c r="I97" s="140">
        <f>SUMIF($A$6:$A$56,$A97,I$6:I$56)</f>
        <v>24087048.419999998</v>
      </c>
      <c r="J97" s="140"/>
      <c r="K97" s="140">
        <f>SUMIF($A$6:$A$56,$A97,K$6:K$56)</f>
        <v>24087048.420000002</v>
      </c>
      <c r="L97" s="140"/>
      <c r="M97" s="150">
        <f>ROUND(K97/I97*100,3)-100</f>
        <v>0</v>
      </c>
      <c r="N97" s="149">
        <f>K97-I97</f>
        <v>0</v>
      </c>
      <c r="O97" s="135">
        <f>IF(ABS(M97)&lt;=0.5,0,IF(I97&gt;K97,(I97*0.995)-K97,(I97*1.005)-K97))</f>
        <v>0</v>
      </c>
      <c r="P97" s="140">
        <f>SUMIF($A$6:$A$56,$A97,P$6:P$56)</f>
        <v>25466043</v>
      </c>
      <c r="Q97" s="136">
        <f>((P97-I97)/I97)*100</f>
        <v>5.7250459083022927</v>
      </c>
      <c r="R97" s="149">
        <f>P97-K97</f>
        <v>1378994.5799999982</v>
      </c>
      <c r="S97" s="136"/>
      <c r="T97" s="140">
        <f>SUMIF($A$6:$A$56,$A97,T$6:T$56)</f>
        <v>29509698</v>
      </c>
      <c r="U97" s="136">
        <f>((T97-P97)/P97)*100</f>
        <v>15.878615299597193</v>
      </c>
      <c r="V97" s="149">
        <f>T97-P97</f>
        <v>4043655</v>
      </c>
      <c r="W97" s="136"/>
      <c r="X97" s="149">
        <f t="shared" si="61"/>
        <v>1378994.5799999982</v>
      </c>
      <c r="Y97" s="131"/>
    </row>
    <row r="98" spans="1:25">
      <c r="A98" s="122" t="s">
        <v>289</v>
      </c>
      <c r="C98" s="140">
        <f>SUM(C95:C97)</f>
        <v>51014922</v>
      </c>
      <c r="D98" s="140"/>
      <c r="E98" s="140">
        <f>SUM(E95:E97)</f>
        <v>-1757210.6657639176</v>
      </c>
      <c r="F98" s="140"/>
      <c r="G98" s="140">
        <f>SUM(G95:G97)</f>
        <v>-75226.260000000009</v>
      </c>
      <c r="H98" s="140"/>
      <c r="I98" s="140">
        <f>SUM(I95:I97)</f>
        <v>49182485.07423608</v>
      </c>
      <c r="J98" s="140"/>
      <c r="K98" s="140">
        <f>SUM(K95:K97)</f>
        <v>49201403.263117559</v>
      </c>
      <c r="L98" s="140"/>
      <c r="M98" s="150">
        <f>ROUND(K98/I98*100,3)-100</f>
        <v>3.7999999999996703E-2</v>
      </c>
      <c r="N98" s="149">
        <f>K98-I98</f>
        <v>18918.188881479204</v>
      </c>
      <c r="O98" s="135">
        <f>IF(ABS(M98)&lt;=0.5,0,IF(I98&gt;K98,(I98*0.995)-K98,(I98*1.005)-K98))</f>
        <v>0</v>
      </c>
      <c r="P98" s="140">
        <f>SUM(P95:P97)</f>
        <v>51942511.189999998</v>
      </c>
      <c r="Q98" s="136">
        <f>((P98-I98)/I98)*100</f>
        <v>5.6118069503766073</v>
      </c>
      <c r="R98" s="149">
        <f>P98-K98</f>
        <v>2741107.9268824384</v>
      </c>
      <c r="S98" s="136"/>
      <c r="T98" s="140">
        <f>SUM(T95:T97)</f>
        <v>39354478</v>
      </c>
      <c r="U98" s="136">
        <f>((T98-P98)/P98)*100</f>
        <v>-24.234548737842797</v>
      </c>
      <c r="V98" s="149">
        <f>T98-P98</f>
        <v>-12588033.189999998</v>
      </c>
      <c r="W98" s="136"/>
      <c r="X98" s="149">
        <f>SUM(X95:X97)</f>
        <v>2684799.8557639141</v>
      </c>
      <c r="Y98" s="131"/>
    </row>
    <row r="99" spans="1:25">
      <c r="D99" s="144"/>
      <c r="E99" s="144"/>
      <c r="F99" s="144"/>
      <c r="G99" s="144"/>
      <c r="H99" s="144"/>
      <c r="I99" s="144"/>
      <c r="J99" s="144"/>
      <c r="K99" s="144"/>
      <c r="L99" s="144"/>
      <c r="M99" s="150"/>
      <c r="N99" s="149"/>
      <c r="O99" s="135"/>
      <c r="P99" s="144"/>
      <c r="Q99" s="136"/>
      <c r="R99" s="136"/>
      <c r="S99" s="136"/>
      <c r="T99" s="144"/>
      <c r="U99" s="136"/>
      <c r="V99" s="136"/>
      <c r="W99" s="136"/>
      <c r="X99" s="136"/>
      <c r="Y99" s="131"/>
    </row>
    <row r="100" spans="1:25">
      <c r="A100" s="122" t="s">
        <v>64</v>
      </c>
      <c r="C100" s="140">
        <f>SUMIF($A$6:$A$56,$A100,C$6:C$56)</f>
        <v>697459.73</v>
      </c>
      <c r="D100" s="140"/>
      <c r="E100" s="140">
        <f>SUMIF($A$6:$A$56,$A100,E$6:E$56)</f>
        <v>-9633.9574285143553</v>
      </c>
      <c r="F100" s="140"/>
      <c r="G100" s="140">
        <f>SUMIF($A$6:$A$56,$A100,G$6:G$56)</f>
        <v>973.52999999999975</v>
      </c>
      <c r="H100" s="140"/>
      <c r="I100" s="140">
        <f>SUMIF($A$6:$A$56,$A100,I$6:I$56)</f>
        <v>688799.30257148563</v>
      </c>
      <c r="J100" s="140"/>
      <c r="K100" s="140">
        <f>SUMIF($A$6:$A$56,$A100,K$6:K$56)</f>
        <v>688803.04689160548</v>
      </c>
      <c r="L100" s="140"/>
      <c r="M100" s="150">
        <f>ROUND(K100/I100*100,3)-100</f>
        <v>1.0000000000047748E-3</v>
      </c>
      <c r="N100" s="149">
        <f>K100-I100</f>
        <v>3.7443201198475435</v>
      </c>
      <c r="O100" s="135">
        <f>IF(ABS(M100)&lt;=0.5,0,IF(I100&gt;K100,(I100*0.995)-K100,(I100*1.005)-K100))</f>
        <v>0</v>
      </c>
      <c r="P100" s="140">
        <f>SUMIF($A$6:$A$56,$A100,P$6:P$56)</f>
        <v>688804</v>
      </c>
      <c r="Q100" s="136">
        <f>((P100-I100)/I100)*100</f>
        <v>6.81973471347777E-4</v>
      </c>
      <c r="R100" s="149">
        <f>P100-K100</f>
        <v>0.95310839451849461</v>
      </c>
      <c r="S100" s="136"/>
      <c r="T100" s="140">
        <f>SUMIF($A$6:$A$56,$A100,T$6:T$56)</f>
        <v>516157</v>
      </c>
      <c r="U100" s="136">
        <f>((T100-P100)/P100)*100</f>
        <v>-25.064749914344286</v>
      </c>
      <c r="V100" s="149">
        <f>T100-P100</f>
        <v>-172647</v>
      </c>
      <c r="W100" s="136"/>
      <c r="X100" s="149">
        <f>G100+N100+R100</f>
        <v>978.22742851436578</v>
      </c>
      <c r="Y100" s="131"/>
    </row>
    <row r="101" spans="1:25">
      <c r="D101" s="144"/>
      <c r="E101" s="144"/>
      <c r="F101" s="144"/>
      <c r="G101" s="144"/>
      <c r="H101" s="144"/>
      <c r="I101" s="144"/>
      <c r="J101" s="144"/>
      <c r="K101" s="144"/>
      <c r="L101" s="144"/>
      <c r="M101" s="150"/>
      <c r="N101" s="149"/>
      <c r="O101" s="135"/>
      <c r="P101" s="144"/>
      <c r="Q101" s="136"/>
      <c r="R101" s="136"/>
      <c r="S101" s="136"/>
      <c r="T101" s="144"/>
      <c r="U101" s="136"/>
      <c r="V101" s="136"/>
      <c r="W101" s="136"/>
      <c r="X101" s="136"/>
      <c r="Y101" s="131"/>
    </row>
    <row r="102" spans="1:25">
      <c r="A102" s="122" t="s">
        <v>61</v>
      </c>
      <c r="C102" s="140">
        <f>SUMIF($A$6:$A$56,$A102,C$6:C$56)</f>
        <v>37772.9</v>
      </c>
      <c r="D102" s="140"/>
      <c r="E102" s="140">
        <f>SUMIF($A$6:$A$56,$A102,E$6:E$56)</f>
        <v>-600.95091586234071</v>
      </c>
      <c r="F102" s="140"/>
      <c r="G102" s="140">
        <f>SUMIF($A$6:$A$56,$A102,G$6:G$56)</f>
        <v>0</v>
      </c>
      <c r="H102" s="140"/>
      <c r="I102" s="140">
        <f>SUMIF($A$6:$A$56,$A102,I$6:I$56)</f>
        <v>37171.949084137661</v>
      </c>
      <c r="J102" s="140"/>
      <c r="K102" s="140">
        <f>SUMIF($A$6:$A$56,$A102,K$6:K$56)</f>
        <v>37171.951300302499</v>
      </c>
      <c r="L102" s="140"/>
      <c r="M102" s="150">
        <f>ROUND(K102/I102*100,3)-100</f>
        <v>0</v>
      </c>
      <c r="N102" s="149">
        <f>K102-I102</f>
        <v>2.2161648375913501E-3</v>
      </c>
      <c r="O102" s="135">
        <f>IF(ABS(M102)&lt;=0.5,0,IF(I102&gt;K102,(I102*0.995)-K102,(I102*1.005)-K102))</f>
        <v>0</v>
      </c>
      <c r="P102" s="140">
        <f>SUMIF($A$6:$A$56,$A102,P$6:P$56)</f>
        <v>37171.993064481801</v>
      </c>
      <c r="Q102" s="136">
        <f>((P102-I102)/I102)*100</f>
        <v>1.1831594851507041E-4</v>
      </c>
      <c r="R102" s="149">
        <f>P102-K102</f>
        <v>4.176417930284515E-2</v>
      </c>
      <c r="S102" s="136"/>
      <c r="T102" s="140">
        <f>SUMIF($A$6:$A$56,$A102,T$6:T$56)</f>
        <v>59948.32</v>
      </c>
      <c r="U102" s="136">
        <f>((T102-P102)/P102)*100</f>
        <v>61.272816058069267</v>
      </c>
      <c r="V102" s="149">
        <f>T102-P102</f>
        <v>22776.326935518198</v>
      </c>
      <c r="W102" s="136"/>
      <c r="X102" s="149">
        <f>G102+N102+R102</f>
        <v>4.39803441404365E-2</v>
      </c>
      <c r="Y102" s="131"/>
    </row>
    <row r="103" spans="1:25">
      <c r="D103" s="144"/>
      <c r="E103" s="144"/>
      <c r="F103" s="144"/>
      <c r="G103" s="144"/>
      <c r="H103" s="144"/>
      <c r="I103" s="144"/>
      <c r="J103" s="144"/>
      <c r="K103" s="144"/>
      <c r="L103" s="144"/>
      <c r="M103" s="150"/>
      <c r="N103" s="149"/>
      <c r="O103" s="135"/>
      <c r="P103" s="144"/>
      <c r="Q103" s="136"/>
      <c r="R103" s="136"/>
      <c r="S103" s="136"/>
      <c r="T103" s="144"/>
      <c r="U103" s="136"/>
      <c r="V103" s="136"/>
      <c r="W103" s="136"/>
      <c r="X103" s="136"/>
      <c r="Y103" s="131"/>
    </row>
    <row r="104" spans="1:25">
      <c r="A104" s="122" t="s">
        <v>62</v>
      </c>
      <c r="C104" s="140">
        <f>SUMIF($A$6:$A$56,$A104,C$6:C$56)</f>
        <v>232145.18</v>
      </c>
      <c r="D104" s="140"/>
      <c r="E104" s="140">
        <f>SUMIF($A$6:$A$56,$A104,E$6:E$56)</f>
        <v>-8835.9914639576473</v>
      </c>
      <c r="F104" s="140"/>
      <c r="G104" s="140">
        <f>SUMIF($A$6:$A$56,$A104,G$6:G$56)</f>
        <v>15412.4</v>
      </c>
      <c r="H104" s="140"/>
      <c r="I104" s="140">
        <f>SUMIF($A$6:$A$56,$A104,I$6:I$56)</f>
        <v>238721.58853604234</v>
      </c>
      <c r="J104" s="140"/>
      <c r="K104" s="140">
        <f>SUMIF($A$6:$A$56,$A104,K$6:K$56)</f>
        <v>238722.10780034729</v>
      </c>
      <c r="L104" s="140"/>
      <c r="M104" s="150">
        <f>ROUND(K104/I104*100,3)-100</f>
        <v>0</v>
      </c>
      <c r="N104" s="149">
        <f>K104-I104</f>
        <v>0.5192643049522303</v>
      </c>
      <c r="O104" s="135">
        <f>IF(ABS(M104)&lt;=0.5,0,IF(I104&gt;K104,(I104*0.995)-K104,(I104*1.005)-K104))</f>
        <v>0</v>
      </c>
      <c r="P104" s="140">
        <f>SUMIF($A$6:$A$56,$A104,P$6:P$56)</f>
        <v>238713.09527766646</v>
      </c>
      <c r="Q104" s="136">
        <f>((P104-I104)/I104)*100</f>
        <v>-3.5578090896441466E-3</v>
      </c>
      <c r="R104" s="149">
        <f>P104-K104</f>
        <v>-9.0125226808304433</v>
      </c>
      <c r="S104" s="136"/>
      <c r="T104" s="140">
        <f>SUMIF($A$6:$A$56,$A104,T$6:T$56)</f>
        <v>213189.22</v>
      </c>
      <c r="U104" s="136">
        <f>((T104-P104)/P104)*100</f>
        <v>-10.692281145270888</v>
      </c>
      <c r="V104" s="149">
        <f>T104-P104</f>
        <v>-25523.875277666462</v>
      </c>
      <c r="W104" s="136"/>
      <c r="X104" s="149">
        <f t="shared" ref="X104:X105" si="62">G104+N104+R104</f>
        <v>15403.906741624121</v>
      </c>
      <c r="Y104" s="131"/>
    </row>
    <row r="105" spans="1:25">
      <c r="A105" s="122" t="s">
        <v>63</v>
      </c>
      <c r="C105" s="140">
        <f>SUMIF($A$6:$A$56,$A105,C$6:C$56)</f>
        <v>81926.52</v>
      </c>
      <c r="D105" s="140"/>
      <c r="E105" s="140">
        <f>SUMIF($A$6:$A$56,$A105,E$6:E$56)</f>
        <v>-3148.9410821231158</v>
      </c>
      <c r="F105" s="140"/>
      <c r="G105" s="140">
        <f>SUMIF($A$6:$A$56,$A105,G$6:G$56)</f>
        <v>0.23999999999999844</v>
      </c>
      <c r="H105" s="140"/>
      <c r="I105" s="140">
        <f>SUMIF($A$6:$A$56,$A105,I$6:I$56)</f>
        <v>78777.818917876895</v>
      </c>
      <c r="J105" s="140"/>
      <c r="K105" s="140">
        <f>SUMIF($A$6:$A$56,$A105,K$6:K$56)</f>
        <v>78779.091929999908</v>
      </c>
      <c r="L105" s="140"/>
      <c r="M105" s="150">
        <f>ROUND(K105/I105*100,3)-100</f>
        <v>1.9999999999953388E-3</v>
      </c>
      <c r="N105" s="149">
        <f>K105-I105</f>
        <v>1.2730121230124496</v>
      </c>
      <c r="O105" s="135">
        <f>IF(ABS(M105)&lt;=0.5,0,IF(I105&gt;K105,(I105*0.995)-K105,(I105*1.005)-K105))</f>
        <v>0</v>
      </c>
      <c r="P105" s="140">
        <f>SUMIF($A$6:$A$56,$A105,P$6:P$56)</f>
        <v>78779</v>
      </c>
      <c r="Q105" s="136">
        <f>((P105-I105)/I105)*100</f>
        <v>1.4992572012382729E-3</v>
      </c>
      <c r="R105" s="149">
        <f>P105-K105</f>
        <v>-9.1929999907733873E-2</v>
      </c>
      <c r="S105" s="136"/>
      <c r="T105" s="140">
        <f>SUMIF($A$6:$A$56,$A105,T$6:T$56)</f>
        <v>62311</v>
      </c>
      <c r="U105" s="136">
        <f>((T105-P105)/P105)*100</f>
        <v>-20.904048033105269</v>
      </c>
      <c r="V105" s="149">
        <f>T105-P105</f>
        <v>-16468</v>
      </c>
      <c r="W105" s="136"/>
      <c r="X105" s="149">
        <f t="shared" si="62"/>
        <v>1.4210821231047142</v>
      </c>
      <c r="Y105" s="131"/>
    </row>
    <row r="106" spans="1:25">
      <c r="A106" s="122" t="s">
        <v>290</v>
      </c>
      <c r="C106" s="140">
        <f>SUM(C104:C105)</f>
        <v>314071.7</v>
      </c>
      <c r="D106" s="140"/>
      <c r="E106" s="140">
        <f>SUM(E104:E105)</f>
        <v>-11984.932546080763</v>
      </c>
      <c r="F106" s="140"/>
      <c r="G106" s="140">
        <f>SUM(G104:G105)</f>
        <v>15412.64</v>
      </c>
      <c r="H106" s="140"/>
      <c r="I106" s="140">
        <f>SUM(I104:I105)</f>
        <v>317499.40745391924</v>
      </c>
      <c r="J106" s="140"/>
      <c r="K106" s="140">
        <f>SUM(K104:K105)</f>
        <v>317501.1997303472</v>
      </c>
      <c r="L106" s="140"/>
      <c r="M106" s="150">
        <f>ROUND(K106/I106*100,3)-100</f>
        <v>1.0000000000047748E-3</v>
      </c>
      <c r="N106" s="149">
        <f>K106-I106</f>
        <v>1.7922764279646799</v>
      </c>
      <c r="O106" s="135">
        <f>IF(ABS(M106)&lt;=0.5,0,IF(I106&gt;K106,(I106*0.995)-K106,(I106*1.005)-K106))</f>
        <v>0</v>
      </c>
      <c r="P106" s="140">
        <f>SUM(P104:P105)</f>
        <v>317492.09527766646</v>
      </c>
      <c r="Q106" s="136">
        <f>((P106-I106)/I106)*100</f>
        <v>-2.3030519368244053E-3</v>
      </c>
      <c r="R106" s="149">
        <f>P106-K106</f>
        <v>-9.1044526807381772</v>
      </c>
      <c r="S106" s="136"/>
      <c r="T106" s="140">
        <f>SUM(T104:T105)</f>
        <v>275500.21999999997</v>
      </c>
      <c r="U106" s="136">
        <f>((T106-P106)/P106)*100</f>
        <v>-13.22611677652699</v>
      </c>
      <c r="V106" s="149">
        <f>T106-P106</f>
        <v>-41991.875277666491</v>
      </c>
      <c r="W106" s="136"/>
      <c r="X106" s="149">
        <f>SUM(X104:X105)</f>
        <v>15405.327823747226</v>
      </c>
      <c r="Y106" s="131"/>
    </row>
    <row r="107" spans="1:25">
      <c r="D107" s="144"/>
      <c r="E107" s="144"/>
      <c r="F107" s="144"/>
      <c r="G107" s="144"/>
      <c r="H107" s="144"/>
      <c r="I107" s="144"/>
      <c r="J107" s="144"/>
      <c r="K107" s="144"/>
      <c r="L107" s="144"/>
      <c r="M107" s="150"/>
      <c r="N107" s="149"/>
      <c r="O107" s="135"/>
      <c r="P107" s="144"/>
      <c r="Q107" s="136"/>
      <c r="R107" s="136"/>
      <c r="S107" s="136"/>
      <c r="T107" s="144"/>
      <c r="U107" s="136"/>
      <c r="V107" s="136"/>
      <c r="W107" s="136"/>
      <c r="X107" s="136"/>
      <c r="Y107" s="131"/>
    </row>
    <row r="108" spans="1:25">
      <c r="A108" s="122" t="s">
        <v>56</v>
      </c>
      <c r="C108" s="140">
        <f>SUMIF($A$6:$A$56,$A108,C$6:C$56)</f>
        <v>26869.71</v>
      </c>
      <c r="D108" s="140"/>
      <c r="E108" s="140">
        <f>SUMIF($A$6:$A$56,$A108,E$6:E$56)</f>
        <v>-938.42237694888047</v>
      </c>
      <c r="F108" s="140"/>
      <c r="G108" s="140">
        <f>SUMIF($A$6:$A$56,$A108,G$6:G$56)</f>
        <v>-78.83</v>
      </c>
      <c r="H108" s="140"/>
      <c r="I108" s="140">
        <f>SUMIF($A$6:$A$56,$A108,I$6:I$56)</f>
        <v>25852.457623051116</v>
      </c>
      <c r="J108" s="140"/>
      <c r="K108" s="140">
        <f>SUMIF($A$6:$A$56,$A108,K$6:K$56)</f>
        <v>25852.958460000013</v>
      </c>
      <c r="L108" s="140"/>
      <c r="M108" s="150">
        <f>ROUND(K108/I108*100,3)-100</f>
        <v>1.9999999999953388E-3</v>
      </c>
      <c r="N108" s="149">
        <f>K108-I108</f>
        <v>0.50083694889690378</v>
      </c>
      <c r="O108" s="135">
        <f>IF(ABS(M108)&lt;=0.5,0,IF(I108&gt;K108,(I108*0.995)-K108,(I108*1.005)-K108))</f>
        <v>0</v>
      </c>
      <c r="P108" s="140">
        <f>SUMIF($A$6:$A$56,$A108,P$6:P$56)</f>
        <v>25854</v>
      </c>
      <c r="Q108" s="136">
        <f>((P108-I108)/I108)*100</f>
        <v>5.9660747592100967E-3</v>
      </c>
      <c r="R108" s="149">
        <f>P108-K108</f>
        <v>1.0415399999874353</v>
      </c>
      <c r="S108" s="136"/>
      <c r="T108" s="140">
        <f>SUMIF($A$6:$A$56,$A108,T$6:T$56)</f>
        <v>18590</v>
      </c>
      <c r="U108" s="136">
        <f>((T108-P108)/P108)*100</f>
        <v>-28.096232691266344</v>
      </c>
      <c r="V108" s="149">
        <f>T108-P108</f>
        <v>-7264</v>
      </c>
      <c r="W108" s="136"/>
      <c r="X108" s="149">
        <f>G108+N108+R108</f>
        <v>-77.287623051115659</v>
      </c>
      <c r="Y108" s="131"/>
    </row>
    <row r="109" spans="1:25">
      <c r="D109" s="144"/>
      <c r="E109" s="144"/>
      <c r="F109" s="144"/>
      <c r="G109" s="144"/>
      <c r="H109" s="144"/>
      <c r="I109" s="144"/>
      <c r="J109" s="144"/>
      <c r="K109" s="144"/>
      <c r="L109" s="144"/>
      <c r="M109" s="150"/>
      <c r="N109" s="149"/>
      <c r="O109" s="135"/>
      <c r="P109" s="144"/>
      <c r="Q109" s="136"/>
      <c r="R109" s="136"/>
      <c r="S109" s="136"/>
      <c r="T109" s="144"/>
      <c r="U109" s="136"/>
      <c r="V109" s="136"/>
      <c r="W109" s="136"/>
      <c r="X109" s="136"/>
      <c r="Y109" s="131"/>
    </row>
    <row r="110" spans="1:25">
      <c r="A110" s="122" t="s">
        <v>65</v>
      </c>
      <c r="C110" s="140">
        <f>SUMIF($A$6:$A$56,$A110,C$6:C$56)</f>
        <v>241433.75</v>
      </c>
      <c r="D110" s="140"/>
      <c r="E110" s="140">
        <f>SUMIF($A$6:$A$56,$A110,E$6:E$56)</f>
        <v>-5294.6332067790472</v>
      </c>
      <c r="F110" s="140"/>
      <c r="G110" s="140">
        <f>SUMIF($A$6:$A$56,$A110,G$6:G$56)</f>
        <v>-0.34999999999999432</v>
      </c>
      <c r="H110" s="140"/>
      <c r="I110" s="140">
        <f>SUMIF($A$6:$A$56,$A110,I$6:I$56)</f>
        <v>236138.76679322094</v>
      </c>
      <c r="J110" s="140"/>
      <c r="K110" s="140">
        <f>SUMIF($A$6:$A$56,$A110,K$6:K$56)</f>
        <v>236164.16070157959</v>
      </c>
      <c r="L110" s="140"/>
      <c r="M110" s="150">
        <f>ROUND(K110/I110*100,3)-100</f>
        <v>1.099999999999568E-2</v>
      </c>
      <c r="N110" s="149">
        <f>K110-I110</f>
        <v>25.393908358644694</v>
      </c>
      <c r="O110" s="135">
        <f>IF(ABS(M110)&lt;=0.5,0,IF(I110&gt;K110,(I110*0.995)-K110,(I110*1.005)-K110))</f>
        <v>0</v>
      </c>
      <c r="P110" s="140">
        <f>SUMIF($A$6:$A$56,$A110,P$6:P$56)</f>
        <v>236164</v>
      </c>
      <c r="Q110" s="136">
        <f>((P110-I110)/I110)*100</f>
        <v>1.0685753602309469E-2</v>
      </c>
      <c r="R110" s="149">
        <f>P110-K110</f>
        <v>-0.16070157958893105</v>
      </c>
      <c r="S110" s="136"/>
      <c r="T110" s="140">
        <f>SUMIF($A$6:$A$56,$A110,T$6:T$56)</f>
        <v>233013</v>
      </c>
      <c r="U110" s="136">
        <f>((T110-P110)/P110)*100</f>
        <v>-1.3342423061940007</v>
      </c>
      <c r="V110" s="149">
        <f>T110-P110</f>
        <v>-3151</v>
      </c>
      <c r="W110" s="136"/>
      <c r="X110" s="149">
        <f>G110+N110+R110</f>
        <v>24.883206779055769</v>
      </c>
      <c r="Y110" s="131"/>
    </row>
    <row r="111" spans="1:25">
      <c r="D111" s="128"/>
      <c r="E111" s="128"/>
      <c r="F111" s="128"/>
      <c r="G111" s="128"/>
      <c r="H111" s="128"/>
      <c r="I111" s="128"/>
      <c r="J111" s="128"/>
      <c r="K111" s="128"/>
      <c r="L111" s="128"/>
      <c r="M111" s="150"/>
      <c r="N111" s="149"/>
      <c r="O111" s="135"/>
      <c r="P111" s="128"/>
      <c r="Q111" s="136"/>
      <c r="R111" s="136"/>
      <c r="S111" s="136"/>
      <c r="T111" s="128"/>
      <c r="U111" s="136"/>
      <c r="V111" s="136"/>
      <c r="W111" s="136"/>
      <c r="X111" s="136"/>
      <c r="Y111" s="131"/>
    </row>
    <row r="112" spans="1:25">
      <c r="A112" s="122" t="s">
        <v>281</v>
      </c>
      <c r="C112" s="140">
        <f>C110+C108+C106+C102+C100+C98+C93+C91+C85+C81+C86+C82+C75+C71+C69+C65</f>
        <v>322846855.08000004</v>
      </c>
      <c r="D112" s="140"/>
      <c r="E112" s="140">
        <f>E110+E108+E106+E102+E100+E98+E93+E91+E85+E81+E86+E82+E75+E71+E69+E65</f>
        <v>-11145444.873538718</v>
      </c>
      <c r="F112" s="140"/>
      <c r="G112" s="140">
        <f>G110+G108+G106+G102+G100+G98+G93+G91+G86+G82+G75+G71+G69+G65</f>
        <v>-169064.86999999994</v>
      </c>
      <c r="H112" s="140"/>
      <c r="I112" s="140">
        <f>I110+I108+I106+I102+I100+I98+I93+I91+I86+I82+I75+I71+I69+I65</f>
        <v>311392229.28927594</v>
      </c>
      <c r="J112" s="140"/>
      <c r="K112" s="140">
        <f>K110+K108+K106+K102+K100+K98+K93+K91+K86+K82+K75+K71+K69+K65</f>
        <v>311384075.97872108</v>
      </c>
      <c r="L112" s="140"/>
      <c r="M112" s="150">
        <f>ROUND(K112/I112*100,3)-100</f>
        <v>-3.0000000000001137E-3</v>
      </c>
      <c r="N112" s="140">
        <f>N110+N108+N106+N102+N100+N98+N93+N91+N86+N82+N75+N71+N69+N65</f>
        <v>-8153.3105549339816</v>
      </c>
      <c r="O112" s="135">
        <f>IF(ABS(M112)&lt;=0.5,0,IF(I112&gt;K112,(I112*0.995)-K112,(I112*1.005)-K112))</f>
        <v>0</v>
      </c>
      <c r="P112" s="140">
        <f>P110+P108+P106+P102+P100+P98+P93+P91+P86+P82+P75+P71+P69+P65</f>
        <v>328409900.79952312</v>
      </c>
      <c r="Q112" s="136">
        <f>((P112-I112)/I112)*100</f>
        <v>5.4650276755744471</v>
      </c>
      <c r="R112" s="140">
        <f>R110+R108+R106+R102+R100+R98+R93+R91+R86+R82+R75+R71+R69+R65</f>
        <v>17025824.820802066</v>
      </c>
      <c r="S112" s="136"/>
      <c r="T112" s="140" t="e">
        <f>T110+T108+T106+T102+T100+T98+T93+T91+T86+T85+T82+T75+T69+T65</f>
        <v>#REF!</v>
      </c>
      <c r="U112" s="136" t="e">
        <f>((T112-P112)/P112)*100</f>
        <v>#REF!</v>
      </c>
      <c r="V112" s="140" t="e">
        <f>V110+V108+V106+V102+V100+V98+V93+V91+V86+V85+V82+V75+V69+V65</f>
        <v>#REF!</v>
      </c>
      <c r="W112" s="136"/>
      <c r="X112" s="140">
        <f>X110+X108+X106+X102+X100+X98+X93+X91+X86+X82+X75+X71+X69+X65</f>
        <v>16848606.640247114</v>
      </c>
      <c r="Y112" s="131"/>
    </row>
    <row r="113" spans="9:24">
      <c r="P113" s="151"/>
      <c r="R113" s="151"/>
      <c r="T113" s="151"/>
      <c r="U113" s="151"/>
      <c r="V113" s="151"/>
      <c r="W113" s="151"/>
      <c r="X113" s="151"/>
    </row>
    <row r="115" spans="9:24">
      <c r="I115" s="141" t="s">
        <v>31</v>
      </c>
    </row>
  </sheetData>
  <phoneticPr fontId="35" type="noConversion"/>
  <pageMargins left="0.25" right="0.25" top="1" bottom="1" header="0.5" footer="0.5"/>
  <pageSetup scale="61" fitToHeight="2" orientation="landscape" r:id="rId1"/>
  <headerFooter alignWithMargins="0"/>
  <rowBreaks count="1" manualBreakCount="1">
    <brk id="61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2">
    <pageSetUpPr fitToPage="1"/>
  </sheetPr>
  <dimension ref="B1:AL59"/>
  <sheetViews>
    <sheetView view="pageBreakPreview" topLeftCell="B1" zoomScale="70" zoomScaleNormal="55" zoomScaleSheetLayoutView="70" workbookViewId="0">
      <selection activeCell="B1" sqref="B1"/>
    </sheetView>
  </sheetViews>
  <sheetFormatPr defaultColWidth="10.25" defaultRowHeight="15.75"/>
  <cols>
    <col min="1" max="1" width="0" style="155" hidden="1" customWidth="1"/>
    <col min="2" max="2" width="4.625" style="155" customWidth="1"/>
    <col min="3" max="3" width="2.125" style="155" customWidth="1"/>
    <col min="4" max="4" width="35.875" style="156" customWidth="1"/>
    <col min="5" max="5" width="2.125" style="156" customWidth="1"/>
    <col min="6" max="6" width="5.625" style="156" bestFit="1" customWidth="1"/>
    <col min="7" max="7" width="2.125" style="156" customWidth="1"/>
    <col min="8" max="8" width="9.25" style="155" hidden="1" customWidth="1"/>
    <col min="9" max="9" width="9.25" style="155" customWidth="1"/>
    <col min="10" max="10" width="2" style="155" customWidth="1"/>
    <col min="11" max="11" width="11" style="155" hidden="1" customWidth="1"/>
    <col min="12" max="12" width="11" style="155" bestFit="1" customWidth="1"/>
    <col min="13" max="13" width="2.875" style="155" customWidth="1"/>
    <col min="14" max="14" width="10.25" style="155" hidden="1" customWidth="1"/>
    <col min="15" max="15" width="12.625" style="155" bestFit="1" customWidth="1"/>
    <col min="16" max="16" width="2.75" style="155" customWidth="1"/>
    <col min="17" max="17" width="14.625" style="155" customWidth="1"/>
    <col min="18" max="18" width="2" style="155" customWidth="1"/>
    <col min="19" max="19" width="20.25" style="155" hidden="1" customWidth="1"/>
    <col min="20" max="20" width="2.625" style="155" hidden="1" customWidth="1"/>
    <col min="21" max="21" width="10.5" style="155" bestFit="1" customWidth="1"/>
    <col min="22" max="22" width="8.75" style="155" bestFit="1" customWidth="1"/>
    <col min="23" max="23" width="14.125" style="155" hidden="1" customWidth="1"/>
    <col min="24" max="24" width="8.75" style="155" hidden="1" customWidth="1"/>
    <col min="25" max="25" width="8.875" style="155" hidden="1" customWidth="1"/>
    <col min="26" max="26" width="7.75" style="155" hidden="1" customWidth="1"/>
    <col min="27" max="27" width="2.625" style="155" hidden="1" customWidth="1"/>
    <col min="28" max="28" width="11.5" style="155" hidden="1" customWidth="1"/>
    <col min="29" max="29" width="3.875" style="155" customWidth="1"/>
    <col min="30" max="30" width="11.75" style="155" bestFit="1" customWidth="1"/>
    <col min="31" max="31" width="2.125" style="155" customWidth="1"/>
    <col min="32" max="32" width="8.25" style="155" customWidth="1"/>
    <col min="33" max="33" width="3.125" style="155" customWidth="1"/>
    <col min="34" max="34" width="7.25" style="155" customWidth="1"/>
    <col min="35" max="35" width="0.125" style="155" customWidth="1"/>
    <col min="36" max="36" width="10.25" style="155" customWidth="1"/>
    <col min="37" max="37" width="13.5" style="155" bestFit="1" customWidth="1"/>
    <col min="38" max="16384" width="10.25" style="155"/>
  </cols>
  <sheetData>
    <row r="1" spans="2:38" ht="18.75">
      <c r="C1" s="1149"/>
      <c r="D1" s="1150"/>
      <c r="Q1" s="157" t="s">
        <v>31</v>
      </c>
    </row>
    <row r="2" spans="2:38">
      <c r="B2" s="1716" t="s">
        <v>1066</v>
      </c>
      <c r="C2" s="1716"/>
      <c r="D2" s="1716"/>
      <c r="E2" s="1716"/>
      <c r="F2" s="1716"/>
      <c r="G2" s="1716"/>
      <c r="H2" s="1716"/>
      <c r="I2" s="1716"/>
      <c r="J2" s="1716"/>
      <c r="K2" s="1716"/>
      <c r="L2" s="1716"/>
      <c r="M2" s="1716"/>
      <c r="N2" s="1716"/>
      <c r="O2" s="1716"/>
      <c r="P2" s="1716"/>
      <c r="Q2" s="1716"/>
      <c r="R2" s="1716"/>
      <c r="S2" s="1716"/>
      <c r="T2" s="1716"/>
      <c r="U2" s="1716"/>
      <c r="V2" s="1716"/>
      <c r="W2" s="161"/>
      <c r="X2" s="161"/>
      <c r="Y2" s="161"/>
      <c r="Z2" s="161"/>
      <c r="AA2" s="161"/>
      <c r="AB2" s="161"/>
      <c r="AC2" s="161"/>
      <c r="AD2" s="161"/>
      <c r="AE2" s="161"/>
      <c r="AF2" s="161"/>
    </row>
    <row r="3" spans="2:38">
      <c r="B3" s="1717" t="s">
        <v>185</v>
      </c>
      <c r="C3" s="1717"/>
      <c r="D3" s="1717"/>
      <c r="E3" s="1717"/>
      <c r="F3" s="1717"/>
      <c r="G3" s="1717"/>
      <c r="H3" s="1717"/>
      <c r="I3" s="1717"/>
      <c r="J3" s="1717"/>
      <c r="K3" s="1717"/>
      <c r="L3" s="1717"/>
      <c r="M3" s="1717"/>
      <c r="N3" s="1717"/>
      <c r="O3" s="1717"/>
      <c r="P3" s="1717"/>
      <c r="Q3" s="1717"/>
      <c r="R3" s="1717"/>
      <c r="S3" s="1717"/>
      <c r="T3" s="1717"/>
      <c r="U3" s="1717"/>
      <c r="V3" s="1717"/>
      <c r="W3" s="160"/>
      <c r="X3" s="160"/>
      <c r="Y3" s="160"/>
      <c r="Z3" s="160"/>
      <c r="AA3" s="160"/>
      <c r="AB3" s="160"/>
      <c r="AC3" s="160"/>
      <c r="AD3" s="160"/>
      <c r="AE3" s="160"/>
      <c r="AF3" s="160"/>
      <c r="AG3" s="160"/>
      <c r="AH3" s="160"/>
      <c r="AI3" s="160"/>
    </row>
    <row r="4" spans="2:38">
      <c r="B4" s="1717" t="s">
        <v>1056</v>
      </c>
      <c r="C4" s="1717"/>
      <c r="D4" s="1717"/>
      <c r="E4" s="1717"/>
      <c r="F4" s="1717"/>
      <c r="G4" s="1717"/>
      <c r="H4" s="1717"/>
      <c r="I4" s="1717"/>
      <c r="J4" s="1717"/>
      <c r="K4" s="1717"/>
      <c r="L4" s="1717"/>
      <c r="M4" s="1717"/>
      <c r="N4" s="1717"/>
      <c r="O4" s="1717"/>
      <c r="P4" s="1717"/>
      <c r="Q4" s="1717"/>
      <c r="R4" s="1717"/>
      <c r="S4" s="1717"/>
      <c r="T4" s="1717"/>
      <c r="U4" s="1717"/>
      <c r="V4" s="1717"/>
      <c r="W4" s="160"/>
      <c r="X4" s="160"/>
      <c r="Y4" s="160"/>
      <c r="Z4" s="160"/>
      <c r="AA4" s="160"/>
      <c r="AB4" s="160"/>
      <c r="AC4" s="160"/>
      <c r="AD4" s="160"/>
      <c r="AE4" s="160"/>
      <c r="AF4" s="160"/>
      <c r="AG4" s="160"/>
      <c r="AH4" s="160"/>
      <c r="AI4" s="160"/>
    </row>
    <row r="5" spans="2:38">
      <c r="B5" s="1717" t="s">
        <v>301</v>
      </c>
      <c r="C5" s="1717"/>
      <c r="D5" s="1717"/>
      <c r="E5" s="1717"/>
      <c r="F5" s="1717"/>
      <c r="G5" s="1717"/>
      <c r="H5" s="1717"/>
      <c r="I5" s="1717"/>
      <c r="J5" s="1717"/>
      <c r="K5" s="1717"/>
      <c r="L5" s="1717"/>
      <c r="M5" s="1717"/>
      <c r="N5" s="1717"/>
      <c r="O5" s="1717"/>
      <c r="P5" s="1717"/>
      <c r="Q5" s="1717"/>
      <c r="R5" s="1717"/>
      <c r="S5" s="1717"/>
      <c r="T5" s="1717"/>
      <c r="U5" s="1717"/>
      <c r="V5" s="1717"/>
      <c r="W5" s="160"/>
      <c r="X5" s="160"/>
      <c r="Y5" s="160"/>
      <c r="Z5" s="160" t="s">
        <v>31</v>
      </c>
      <c r="AA5" s="160"/>
      <c r="AB5" s="160"/>
      <c r="AC5" s="160"/>
      <c r="AD5" s="160"/>
      <c r="AE5" s="160"/>
      <c r="AF5" s="160"/>
      <c r="AG5" s="160"/>
      <c r="AH5" s="160"/>
      <c r="AI5" s="160"/>
    </row>
    <row r="6" spans="2:38">
      <c r="B6" s="1717" t="s">
        <v>302</v>
      </c>
      <c r="C6" s="1717"/>
      <c r="D6" s="1717"/>
      <c r="E6" s="1717"/>
      <c r="F6" s="1717"/>
      <c r="G6" s="1717"/>
      <c r="H6" s="1717"/>
      <c r="I6" s="1717"/>
      <c r="J6" s="1717"/>
      <c r="K6" s="1717"/>
      <c r="L6" s="1717"/>
      <c r="M6" s="1717"/>
      <c r="N6" s="1717"/>
      <c r="O6" s="1717"/>
      <c r="P6" s="1717"/>
      <c r="Q6" s="1717"/>
      <c r="R6" s="1717"/>
      <c r="S6" s="1717"/>
      <c r="T6" s="1717"/>
      <c r="U6" s="1717"/>
      <c r="V6" s="1717"/>
      <c r="W6" s="160"/>
      <c r="X6" s="160"/>
      <c r="Y6" s="160"/>
      <c r="Z6" s="160"/>
      <c r="AA6" s="160"/>
      <c r="AB6" s="160"/>
      <c r="AC6" s="160"/>
      <c r="AD6" s="160"/>
      <c r="AE6" s="160"/>
      <c r="AF6" s="160"/>
      <c r="AG6" s="160"/>
      <c r="AH6" s="160"/>
      <c r="AI6" s="160"/>
    </row>
    <row r="7" spans="2:38">
      <c r="B7" s="1716" t="s">
        <v>840</v>
      </c>
      <c r="C7" s="1716"/>
      <c r="D7" s="1716"/>
      <c r="E7" s="1716"/>
      <c r="F7" s="1716"/>
      <c r="G7" s="1716"/>
      <c r="H7" s="1716"/>
      <c r="I7" s="1716"/>
      <c r="J7" s="1716"/>
      <c r="K7" s="1716"/>
      <c r="L7" s="1716"/>
      <c r="M7" s="1716"/>
      <c r="N7" s="1716"/>
      <c r="O7" s="1716"/>
      <c r="P7" s="1716"/>
      <c r="Q7" s="1716"/>
      <c r="R7" s="1716"/>
      <c r="S7" s="1716"/>
      <c r="T7" s="1716"/>
      <c r="U7" s="1716"/>
      <c r="V7" s="1716"/>
      <c r="W7" s="161"/>
      <c r="X7" s="161"/>
      <c r="Y7" s="161"/>
      <c r="Z7" s="161"/>
      <c r="AA7" s="161"/>
      <c r="AB7" s="161"/>
      <c r="AC7" s="161"/>
      <c r="AD7" s="161"/>
      <c r="AE7" s="161"/>
      <c r="AF7" s="161"/>
      <c r="AG7" s="161"/>
      <c r="AH7" s="161"/>
      <c r="AI7" s="161"/>
    </row>
    <row r="8" spans="2:38">
      <c r="M8" s="162"/>
      <c r="N8" s="163"/>
      <c r="O8" s="163"/>
      <c r="P8" s="164"/>
      <c r="Q8" s="164"/>
      <c r="R8" s="163"/>
      <c r="S8" s="163"/>
      <c r="T8" s="163"/>
      <c r="U8" s="164"/>
      <c r="V8" s="164"/>
      <c r="W8" s="164"/>
      <c r="X8" s="164"/>
      <c r="Y8" s="164"/>
      <c r="Z8" s="164"/>
      <c r="AA8" s="164"/>
      <c r="AB8" s="1128" t="s">
        <v>1049</v>
      </c>
      <c r="AC8" s="164"/>
      <c r="AD8" s="164"/>
      <c r="AE8" s="164"/>
      <c r="AF8" s="164"/>
      <c r="AG8" s="164"/>
      <c r="AH8" s="164"/>
      <c r="AI8" s="164"/>
      <c r="AJ8" s="162"/>
      <c r="AK8" s="162"/>
      <c r="AL8" s="162"/>
    </row>
    <row r="9" spans="2:38">
      <c r="N9" s="166" t="s">
        <v>304</v>
      </c>
      <c r="R9" s="1670" t="s">
        <v>31</v>
      </c>
      <c r="S9" s="1130"/>
      <c r="T9" s="168"/>
      <c r="AA9" s="167"/>
      <c r="AB9" s="1668" t="s">
        <v>306</v>
      </c>
      <c r="AC9" s="167"/>
      <c r="AD9" s="1669" t="s">
        <v>305</v>
      </c>
      <c r="AE9" s="167"/>
      <c r="AF9" s="1669" t="s">
        <v>307</v>
      </c>
      <c r="AG9" s="167"/>
      <c r="AH9" s="167"/>
      <c r="AI9" s="167"/>
    </row>
    <row r="10" spans="2:38">
      <c r="F10" s="154" t="s">
        <v>308</v>
      </c>
      <c r="G10" s="154"/>
      <c r="H10" s="166" t="s">
        <v>309</v>
      </c>
      <c r="N10" s="1669" t="s">
        <v>187</v>
      </c>
      <c r="O10" s="166" t="s">
        <v>197</v>
      </c>
      <c r="P10" s="167"/>
      <c r="Q10" s="1128" t="s">
        <v>305</v>
      </c>
      <c r="R10" s="1669"/>
      <c r="S10" s="1669"/>
      <c r="T10" s="1669"/>
      <c r="U10" s="1670" t="s">
        <v>31</v>
      </c>
      <c r="V10" s="168"/>
      <c r="W10" s="1713" t="s">
        <v>171</v>
      </c>
      <c r="X10" s="1713"/>
      <c r="Y10" s="1713"/>
      <c r="Z10" s="1713"/>
      <c r="AA10" s="168"/>
      <c r="AB10" s="168"/>
      <c r="AC10" s="168"/>
      <c r="AD10" s="1128" t="s">
        <v>171</v>
      </c>
      <c r="AE10" s="168"/>
      <c r="AF10" s="1669" t="s">
        <v>171</v>
      </c>
      <c r="AG10" s="171"/>
      <c r="AH10" s="168"/>
      <c r="AI10" s="171"/>
    </row>
    <row r="11" spans="2:38">
      <c r="B11" s="171" t="s">
        <v>186</v>
      </c>
      <c r="F11" s="154" t="s">
        <v>310</v>
      </c>
      <c r="G11" s="154"/>
      <c r="H11" s="166" t="s">
        <v>311</v>
      </c>
      <c r="I11" s="166" t="s">
        <v>309</v>
      </c>
      <c r="K11" s="166" t="s">
        <v>312</v>
      </c>
      <c r="N11" s="166" t="s">
        <v>37</v>
      </c>
      <c r="O11" s="166" t="s">
        <v>37</v>
      </c>
      <c r="P11" s="171"/>
      <c r="Q11" s="1131" t="s">
        <v>37</v>
      </c>
      <c r="R11" s="166"/>
      <c r="S11" s="166"/>
      <c r="T11" s="166"/>
      <c r="U11" s="1718" t="s">
        <v>171</v>
      </c>
      <c r="V11" s="1718"/>
      <c r="W11" s="172" t="s">
        <v>252</v>
      </c>
      <c r="X11" s="1671" t="s">
        <v>1049</v>
      </c>
      <c r="Y11" s="1133" t="s">
        <v>201</v>
      </c>
      <c r="Z11" s="166" t="s">
        <v>201</v>
      </c>
      <c r="AA11" s="171"/>
      <c r="AB11" s="171"/>
      <c r="AC11" s="171"/>
      <c r="AD11" s="166" t="s">
        <v>189</v>
      </c>
      <c r="AE11" s="171"/>
      <c r="AF11" s="166" t="s">
        <v>314</v>
      </c>
      <c r="AG11" s="171"/>
      <c r="AH11" s="1669"/>
      <c r="AI11" s="173"/>
      <c r="AJ11" s="162"/>
    </row>
    <row r="12" spans="2:38">
      <c r="B12" s="174" t="s">
        <v>188</v>
      </c>
      <c r="D12" s="175" t="s">
        <v>202</v>
      </c>
      <c r="F12" s="175" t="s">
        <v>188</v>
      </c>
      <c r="G12" s="176"/>
      <c r="H12" s="177" t="s">
        <v>304</v>
      </c>
      <c r="I12" s="1668" t="s">
        <v>311</v>
      </c>
      <c r="K12" s="177" t="s">
        <v>304</v>
      </c>
      <c r="L12" s="1668" t="s">
        <v>312</v>
      </c>
      <c r="N12" s="178" t="s">
        <v>198</v>
      </c>
      <c r="O12" s="178" t="s">
        <v>198</v>
      </c>
      <c r="P12" s="1669"/>
      <c r="Q12" s="1132" t="s">
        <v>198</v>
      </c>
      <c r="R12" s="179"/>
      <c r="S12" s="178"/>
      <c r="T12" s="179"/>
      <c r="U12" s="180" t="s">
        <v>198</v>
      </c>
      <c r="V12" s="1668" t="s">
        <v>315</v>
      </c>
      <c r="W12" s="180" t="s">
        <v>198</v>
      </c>
      <c r="X12" s="1668" t="s">
        <v>315</v>
      </c>
      <c r="Y12" s="180" t="s">
        <v>198</v>
      </c>
      <c r="Z12" s="1668" t="s">
        <v>315</v>
      </c>
      <c r="AA12" s="173"/>
      <c r="AB12" s="181" t="s">
        <v>316</v>
      </c>
      <c r="AC12" s="173"/>
      <c r="AD12" s="178" t="s">
        <v>316</v>
      </c>
      <c r="AE12" s="173"/>
      <c r="AF12" s="1668" t="s">
        <v>25</v>
      </c>
      <c r="AG12" s="173"/>
      <c r="AH12" s="1669"/>
      <c r="AI12" s="173"/>
      <c r="AJ12" s="162"/>
    </row>
    <row r="13" spans="2:38">
      <c r="B13" s="182"/>
      <c r="D13" s="172" t="s">
        <v>317</v>
      </c>
      <c r="F13" s="172" t="s">
        <v>318</v>
      </c>
      <c r="G13" s="154"/>
      <c r="H13" s="172"/>
      <c r="I13" s="172" t="s">
        <v>319</v>
      </c>
      <c r="K13" s="172"/>
      <c r="L13" s="172" t="s">
        <v>320</v>
      </c>
      <c r="N13" s="172"/>
      <c r="O13" s="172" t="s">
        <v>321</v>
      </c>
      <c r="P13" s="172"/>
      <c r="Q13" s="1133" t="s">
        <v>322</v>
      </c>
      <c r="R13" s="172"/>
      <c r="S13" s="172"/>
      <c r="T13" s="172"/>
      <c r="U13" s="1133" t="s">
        <v>323</v>
      </c>
      <c r="V13" s="1133" t="s">
        <v>324</v>
      </c>
      <c r="W13" s="1133" t="s">
        <v>325</v>
      </c>
      <c r="X13" s="1133" t="s">
        <v>326</v>
      </c>
      <c r="Y13" s="1133" t="s">
        <v>829</v>
      </c>
      <c r="Z13" s="1133" t="s">
        <v>830</v>
      </c>
      <c r="AA13" s="172"/>
      <c r="AB13" s="172"/>
      <c r="AC13" s="172"/>
      <c r="AD13" s="1133" t="s">
        <v>325</v>
      </c>
      <c r="AE13" s="172"/>
      <c r="AF13" s="1133" t="s">
        <v>326</v>
      </c>
      <c r="AG13" s="172"/>
      <c r="AH13" s="169"/>
      <c r="AI13" s="169"/>
      <c r="AJ13" s="162"/>
    </row>
    <row r="14" spans="2:38">
      <c r="P14" s="172"/>
      <c r="Q14" s="1133" t="s">
        <v>31</v>
      </c>
      <c r="V14" s="1133" t="s">
        <v>328</v>
      </c>
      <c r="X14" s="1133" t="s">
        <v>31</v>
      </c>
      <c r="Y14" s="1133" t="s">
        <v>1050</v>
      </c>
      <c r="Z14" s="1133" t="s">
        <v>1051</v>
      </c>
      <c r="AD14" s="1133" t="s">
        <v>831</v>
      </c>
      <c r="AF14" s="1133" t="s">
        <v>832</v>
      </c>
      <c r="AH14" s="162"/>
      <c r="AI14" s="162"/>
      <c r="AJ14" s="162"/>
    </row>
    <row r="15" spans="2:38">
      <c r="D15" s="183" t="s">
        <v>17</v>
      </c>
      <c r="AH15" s="162"/>
      <c r="AI15" s="162"/>
      <c r="AJ15" s="162"/>
    </row>
    <row r="16" spans="2:38">
      <c r="B16" s="171">
        <v>1</v>
      </c>
      <c r="D16" s="156" t="s">
        <v>330</v>
      </c>
      <c r="F16" s="184" t="s">
        <v>833</v>
      </c>
      <c r="G16" s="184"/>
      <c r="H16" s="185">
        <v>101336.91666666667</v>
      </c>
      <c r="I16" s="185">
        <f>'Exh No.__(JRS-17) p1-10'!C89/12</f>
        <v>104635.09245519141</v>
      </c>
      <c r="J16" s="157"/>
      <c r="K16" s="185">
        <v>1569938.6044392167</v>
      </c>
      <c r="L16" s="185">
        <f>'Exh No.__(JRS-17) p1-10'!C101/1000</f>
        <v>1572834.8567787264</v>
      </c>
      <c r="N16" s="186">
        <v>102672.94442530281</v>
      </c>
      <c r="O16" s="186">
        <f>'Exh No.__(JRS-17) p1-10'!I101/1000</f>
        <v>140088.11881608813</v>
      </c>
      <c r="P16" s="187"/>
      <c r="Q16" s="186">
        <f ca="1">O16+U16</f>
        <v>158303.83692419622</v>
      </c>
      <c r="R16" s="186"/>
      <c r="S16" s="188"/>
      <c r="T16" s="186"/>
      <c r="U16" s="186">
        <f ca="1">'Exh No.__(JRS-16) Table A p1'!U16+'Exh No.__(JRS-16) Table B p2'!W16</f>
        <v>18215.7181081081</v>
      </c>
      <c r="V16" s="189">
        <f ca="1">U16/O16</f>
        <v>0.13003042843356502</v>
      </c>
      <c r="W16" s="186">
        <f ca="1">(AB16/100)*L16</f>
        <v>2485.079073710388</v>
      </c>
      <c r="X16" s="189">
        <f ca="1">W16/O16</f>
        <v>1.7739399277485295E-2</v>
      </c>
      <c r="Y16" s="186">
        <f ca="1">U16+W16</f>
        <v>20700.797181818489</v>
      </c>
      <c r="Z16" s="189">
        <f ca="1">Y16/O16</f>
        <v>0.14776982771105032</v>
      </c>
      <c r="AA16" s="187"/>
      <c r="AB16" s="190">
        <f ca="1">ROUND((((Q16/$Q$44)*$W$51)/L16)*100,3)</f>
        <v>0.158</v>
      </c>
      <c r="AC16" s="187"/>
      <c r="AD16" s="191">
        <f ca="1">Q16/L16*100</f>
        <v>10.064873387178952</v>
      </c>
      <c r="AE16" s="187"/>
      <c r="AF16" s="192">
        <f ca="1">(U16/L16)*100</f>
        <v>1.1581456266435459</v>
      </c>
      <c r="AG16" s="187"/>
      <c r="AH16" s="193" t="s">
        <v>31</v>
      </c>
      <c r="AI16" s="194"/>
      <c r="AJ16" s="195" t="s">
        <v>31</v>
      </c>
      <c r="AK16" s="157" t="s">
        <v>31</v>
      </c>
    </row>
    <row r="17" spans="2:38">
      <c r="H17" s="196"/>
      <c r="I17" s="196"/>
      <c r="K17" s="196"/>
      <c r="L17" s="196"/>
      <c r="N17" s="196"/>
      <c r="O17" s="196"/>
      <c r="P17" s="162"/>
      <c r="Q17" s="196"/>
      <c r="R17" s="162"/>
      <c r="S17" s="197"/>
      <c r="T17" s="162"/>
      <c r="U17" s="196"/>
      <c r="V17" s="198"/>
      <c r="W17" s="196"/>
      <c r="X17" s="199"/>
      <c r="Y17" s="196"/>
      <c r="Z17" s="199"/>
      <c r="AA17" s="162"/>
      <c r="AB17" s="200"/>
      <c r="AC17" s="162"/>
      <c r="AD17" s="197"/>
      <c r="AE17" s="162"/>
      <c r="AF17" s="201"/>
      <c r="AG17" s="162"/>
      <c r="AH17" s="20"/>
      <c r="AI17" s="162"/>
      <c r="AJ17" s="162"/>
    </row>
    <row r="18" spans="2:38">
      <c r="V18" s="202"/>
      <c r="X18" s="202"/>
      <c r="Z18" s="202"/>
      <c r="AB18" s="203"/>
      <c r="AF18" s="204"/>
      <c r="AH18" s="20"/>
      <c r="AI18" s="162"/>
      <c r="AJ18" s="162"/>
    </row>
    <row r="19" spans="2:38">
      <c r="B19" s="86">
        <f>MAX(B$13:B18)+1</f>
        <v>2</v>
      </c>
      <c r="D19" s="183" t="s">
        <v>332</v>
      </c>
      <c r="H19" s="205">
        <f>SUM(H16:H16)</f>
        <v>101336.91666666667</v>
      </c>
      <c r="I19" s="205">
        <f>SUM(I16:I16)</f>
        <v>104635.09245519141</v>
      </c>
      <c r="K19" s="205">
        <f>SUM(K16:K16)</f>
        <v>1569938.6044392167</v>
      </c>
      <c r="L19" s="205">
        <f>SUM(L16:L16)</f>
        <v>1572834.8567787264</v>
      </c>
      <c r="M19" s="205"/>
      <c r="N19" s="206">
        <f>SUM(N16:N16)</f>
        <v>102672.94442530281</v>
      </c>
      <c r="O19" s="206">
        <f>SUM(O16:O16)</f>
        <v>140088.11881608813</v>
      </c>
      <c r="P19" s="187"/>
      <c r="Q19" s="206">
        <f ca="1">SUM(Q16:Q16)</f>
        <v>158303.83692419622</v>
      </c>
      <c r="R19" s="206"/>
      <c r="S19" s="206"/>
      <c r="T19" s="206"/>
      <c r="U19" s="186">
        <f ca="1">SUM(U16)</f>
        <v>18215.7181081081</v>
      </c>
      <c r="V19" s="189">
        <f ca="1">U19/O19</f>
        <v>0.13003042843356502</v>
      </c>
      <c r="W19" s="186">
        <f ca="1">SUM(W16)</f>
        <v>2485.079073710388</v>
      </c>
      <c r="X19" s="189">
        <f ca="1">W19/O19</f>
        <v>1.7739399277485295E-2</v>
      </c>
      <c r="Y19" s="186">
        <f ca="1">U19+W19</f>
        <v>20700.797181818489</v>
      </c>
      <c r="Z19" s="189">
        <f ca="1">Y19/O19</f>
        <v>0.14776982771105032</v>
      </c>
      <c r="AA19" s="187"/>
      <c r="AB19" s="207"/>
      <c r="AC19" s="187"/>
      <c r="AD19" s="191">
        <f ca="1">Q19/L19*100</f>
        <v>10.064873387178952</v>
      </c>
      <c r="AE19" s="187"/>
      <c r="AF19" s="192">
        <f ca="1">(U19/L19)*100</f>
        <v>1.1581456266435459</v>
      </c>
      <c r="AG19" s="187"/>
      <c r="AH19" s="192"/>
      <c r="AI19" s="194"/>
      <c r="AJ19" s="162"/>
    </row>
    <row r="20" spans="2:38">
      <c r="L20" s="1117" t="s">
        <v>31</v>
      </c>
      <c r="V20" s="202"/>
      <c r="X20" s="202"/>
      <c r="Z20" s="202"/>
      <c r="AB20" s="203"/>
      <c r="AF20" s="204"/>
      <c r="AH20" s="20"/>
      <c r="AI20" s="162"/>
      <c r="AJ20" s="162"/>
    </row>
    <row r="21" spans="2:38">
      <c r="D21" s="183" t="s">
        <v>333</v>
      </c>
      <c r="H21" s="208"/>
      <c r="I21" s="208"/>
      <c r="V21" s="202"/>
      <c r="X21" s="202"/>
      <c r="Z21" s="202"/>
      <c r="AB21" s="203"/>
      <c r="AF21" s="204"/>
      <c r="AH21" s="20"/>
      <c r="AI21" s="162"/>
      <c r="AJ21" s="162"/>
    </row>
    <row r="22" spans="2:38">
      <c r="B22" s="86">
        <f>MAX(B$13:B21)+1</f>
        <v>3</v>
      </c>
      <c r="D22" s="156" t="s">
        <v>334</v>
      </c>
      <c r="F22" s="154">
        <v>24</v>
      </c>
      <c r="G22" s="154"/>
      <c r="H22" s="185">
        <v>17306.416666666664</v>
      </c>
      <c r="I22" s="185">
        <f>'Exh No.__(JRS-17) p1-10'!C177/12</f>
        <v>18788.493749999969</v>
      </c>
      <c r="K22" s="185">
        <v>513041.74113523914</v>
      </c>
      <c r="L22" s="185">
        <f ca="1">'Exh No.__(JRS-17) p1-10'!C205/1000</f>
        <v>543201.5574379696</v>
      </c>
      <c r="N22" s="206">
        <v>33647.646251191611</v>
      </c>
      <c r="O22" s="186">
        <f ca="1">'Exh No.__(JRS-17) p1-10'!I205/1000</f>
        <v>48473.096458215186</v>
      </c>
      <c r="P22" s="187"/>
      <c r="Q22" s="186">
        <f t="shared" ref="Q22:Q29" ca="1" si="0">O22+U22</f>
        <v>51726.187872244038</v>
      </c>
      <c r="R22" s="186"/>
      <c r="S22" s="188"/>
      <c r="T22" s="186"/>
      <c r="U22" s="186">
        <f ca="1">'Exh No.__(JRS-16) Table A p1'!U22+'Exh No.__(JRS-16) Table B p2'!W22</f>
        <v>3253.0914140288528</v>
      </c>
      <c r="V22" s="189">
        <f ca="1">U22/O22</f>
        <v>6.7111277218138629E-2</v>
      </c>
      <c r="W22" s="186">
        <f t="shared" ref="W22:W29" ca="1" si="1">(AB22/100)*L22</f>
        <v>814.80233615695442</v>
      </c>
      <c r="X22" s="189">
        <f ca="1">W22/O22</f>
        <v>1.6809372532231998E-2</v>
      </c>
      <c r="Y22" s="186">
        <f t="shared" ref="Y22:Y29" ca="1" si="2">U22+W22</f>
        <v>4067.8937501858072</v>
      </c>
      <c r="Z22" s="189">
        <f ca="1">Y22/O22</f>
        <v>8.3920649750370613E-2</v>
      </c>
      <c r="AA22" s="187"/>
      <c r="AB22" s="190">
        <f t="shared" ref="AB22:AB29" ca="1" si="3">ROUND((((Q22/$Q$44)*$W$51)/L22)*100,3)</f>
        <v>0.15</v>
      </c>
      <c r="AC22" s="187"/>
      <c r="AD22" s="191">
        <f ca="1">Q22/L22*100</f>
        <v>9.5224667830873919</v>
      </c>
      <c r="AE22" s="187"/>
      <c r="AF22" s="192">
        <f ca="1">(U22/L22)*100</f>
        <v>0.59887372734573519</v>
      </c>
      <c r="AG22" s="187"/>
      <c r="AH22" s="192"/>
      <c r="AI22" s="194"/>
      <c r="AJ22" s="162"/>
      <c r="AK22" s="209"/>
      <c r="AL22" s="14"/>
    </row>
    <row r="23" spans="2:38">
      <c r="B23" s="86">
        <f>MAX(B$13:B22)+1</f>
        <v>4</v>
      </c>
      <c r="D23" s="156" t="s">
        <v>335</v>
      </c>
      <c r="E23" s="52"/>
      <c r="F23" s="154">
        <v>33</v>
      </c>
      <c r="G23" s="154"/>
      <c r="H23" s="185">
        <v>0</v>
      </c>
      <c r="I23" s="185">
        <v>0</v>
      </c>
      <c r="K23" s="185">
        <v>0</v>
      </c>
      <c r="L23" s="185">
        <v>0</v>
      </c>
      <c r="N23" s="186">
        <v>0</v>
      </c>
      <c r="O23" s="186">
        <v>0</v>
      </c>
      <c r="P23" s="187"/>
      <c r="Q23" s="186">
        <f t="shared" ca="1" si="0"/>
        <v>0</v>
      </c>
      <c r="R23" s="186"/>
      <c r="S23" s="188"/>
      <c r="T23" s="186"/>
      <c r="U23" s="186">
        <f ca="1">'Exh No.__(JRS-16) Table A p1'!U23+'Exh No.__(JRS-16) Table B p2'!W23</f>
        <v>0</v>
      </c>
      <c r="V23" s="189">
        <f ca="1">V24</f>
        <v>0.13011227414115964</v>
      </c>
      <c r="W23" s="186">
        <f t="shared" ca="1" si="1"/>
        <v>0</v>
      </c>
      <c r="X23" s="189">
        <f ca="1">X24</f>
        <v>1.7832287842669822E-2</v>
      </c>
      <c r="Y23" s="186">
        <f t="shared" ca="1" si="2"/>
        <v>0</v>
      </c>
      <c r="Z23" s="189">
        <f ca="1">V23+X23</f>
        <v>0.14794456198382946</v>
      </c>
      <c r="AA23" s="187"/>
      <c r="AB23" s="190">
        <f ca="1">AB24</f>
        <v>0.13300000000000001</v>
      </c>
      <c r="AC23" s="187"/>
      <c r="AD23" s="191">
        <v>0</v>
      </c>
      <c r="AE23" s="187"/>
      <c r="AF23" s="192">
        <v>0</v>
      </c>
      <c r="AG23" s="187"/>
      <c r="AH23" s="192"/>
      <c r="AI23" s="194"/>
      <c r="AJ23" s="162"/>
      <c r="AK23" s="209"/>
      <c r="AL23" s="14"/>
    </row>
    <row r="24" spans="2:38">
      <c r="B24" s="86">
        <f>MAX(B$13:B23)+1</f>
        <v>5</v>
      </c>
      <c r="D24" s="156" t="s">
        <v>336</v>
      </c>
      <c r="F24" s="154">
        <v>36</v>
      </c>
      <c r="G24" s="154"/>
      <c r="H24" s="185">
        <v>1058.6666666666667</v>
      </c>
      <c r="I24" s="185">
        <f>'Exh No.__(JRS-17) p1-10'!C606/12</f>
        <v>1053.9138888888895</v>
      </c>
      <c r="K24" s="185">
        <v>901191.51506367233</v>
      </c>
      <c r="L24" s="185">
        <f ca="1">'Exh No.__(JRS-17) p1-10'!C637/1000</f>
        <v>895773.15120793856</v>
      </c>
      <c r="N24" s="206">
        <v>49005.26783999426</v>
      </c>
      <c r="O24" s="186">
        <f ca="1">'Exh No.__(JRS-17) p1-10'!I637/1000</f>
        <v>66810.176104031925</v>
      </c>
      <c r="P24" s="187"/>
      <c r="Q24" s="186">
        <f t="shared" ca="1" si="0"/>
        <v>75503.000052698888</v>
      </c>
      <c r="R24" s="186"/>
      <c r="S24" s="188"/>
      <c r="T24" s="186"/>
      <c r="U24" s="186">
        <f ca="1">'Exh No.__(JRS-16) Table A p1'!U24+'Exh No.__(JRS-16) Table B p2'!W24</f>
        <v>8692.8239486669554</v>
      </c>
      <c r="V24" s="189">
        <f ca="1">U24/O24</f>
        <v>0.13011227414115964</v>
      </c>
      <c r="W24" s="186">
        <f t="shared" ca="1" si="1"/>
        <v>1191.3782911065582</v>
      </c>
      <c r="X24" s="189">
        <f t="shared" ref="X24:X29" ca="1" si="4">W24/O24</f>
        <v>1.7832287842669822E-2</v>
      </c>
      <c r="Y24" s="186">
        <f t="shared" ca="1" si="2"/>
        <v>9884.2022397735127</v>
      </c>
      <c r="Z24" s="189">
        <f t="shared" ref="Z24:Z29" ca="1" si="5">Y24/O24</f>
        <v>0.14794456198382946</v>
      </c>
      <c r="AA24" s="187"/>
      <c r="AB24" s="190">
        <f t="shared" ca="1" si="3"/>
        <v>0.13300000000000001</v>
      </c>
      <c r="AC24" s="187"/>
      <c r="AD24" s="191">
        <f ca="1">Q24/L24*100</f>
        <v>8.4288081140726376</v>
      </c>
      <c r="AE24" s="187"/>
      <c r="AF24" s="192">
        <f ca="1">(U24/L24)*100</f>
        <v>0.97042693643416245</v>
      </c>
      <c r="AG24" s="187"/>
      <c r="AH24" s="192"/>
      <c r="AI24" s="194"/>
      <c r="AJ24" s="162"/>
      <c r="AK24" s="209"/>
      <c r="AL24" s="14"/>
    </row>
    <row r="25" spans="2:38">
      <c r="B25" s="86">
        <f>MAX(B$13:B24)+1</f>
        <v>6</v>
      </c>
      <c r="D25" s="156" t="s">
        <v>196</v>
      </c>
      <c r="F25" s="154" t="s">
        <v>337</v>
      </c>
      <c r="G25" s="154"/>
      <c r="H25" s="185">
        <v>5259</v>
      </c>
      <c r="I25" s="185">
        <f>'Exh No.__(JRS-17) p1-10'!C726</f>
        <v>5247.0299819759166</v>
      </c>
      <c r="K25" s="185">
        <v>168033.04399999999</v>
      </c>
      <c r="L25" s="185">
        <f>'Exh No.__(JRS-17) p1-10'!C769/1000</f>
        <v>148533.3665584703</v>
      </c>
      <c r="N25" s="206">
        <v>10140.337</v>
      </c>
      <c r="O25" s="186">
        <f ca="1">'Exh No.__(JRS-17) p1-10'!I769/1000</f>
        <v>12666.289000000001</v>
      </c>
      <c r="P25" s="187"/>
      <c r="Q25" s="186">
        <f t="shared" ca="1" si="0"/>
        <v>13517.365716172122</v>
      </c>
      <c r="R25" s="186"/>
      <c r="S25" s="188"/>
      <c r="T25" s="186"/>
      <c r="U25" s="186">
        <f ca="1">'Exh No.__(JRS-16) Table A p1'!U25+'Exh No.__(JRS-16) Table B p2'!W25</f>
        <v>851.07671617212065</v>
      </c>
      <c r="V25" s="189">
        <f ca="1">U25/O25</f>
        <v>6.7192270456810241E-2</v>
      </c>
      <c r="W25" s="186">
        <f t="shared" ca="1" si="1"/>
        <v>212.40271417861251</v>
      </c>
      <c r="X25" s="189">
        <f t="shared" ca="1" si="4"/>
        <v>1.6769135314898664E-2</v>
      </c>
      <c r="Y25" s="186">
        <f t="shared" ca="1" si="2"/>
        <v>1063.4794303507331</v>
      </c>
      <c r="Z25" s="189">
        <f t="shared" ca="1" si="5"/>
        <v>8.3961405771708908E-2</v>
      </c>
      <c r="AA25" s="187"/>
      <c r="AB25" s="190">
        <f t="shared" ca="1" si="3"/>
        <v>0.14299999999999999</v>
      </c>
      <c r="AC25" s="187"/>
      <c r="AD25" s="191">
        <f ca="1">Q25/L25*100</f>
        <v>9.1005583656861351</v>
      </c>
      <c r="AE25" s="187"/>
      <c r="AF25" s="192">
        <f ca="1">(U25/L25)*100</f>
        <v>0.57298688900119521</v>
      </c>
      <c r="AG25" s="187"/>
      <c r="AH25" s="192"/>
      <c r="AI25" s="194"/>
      <c r="AJ25" s="162"/>
    </row>
    <row r="26" spans="2:38">
      <c r="B26" s="86">
        <f>MAX(B$13:B25)+1</f>
        <v>7</v>
      </c>
      <c r="D26" s="156" t="s">
        <v>338</v>
      </c>
      <c r="F26" s="154">
        <v>47</v>
      </c>
      <c r="G26" s="154"/>
      <c r="H26" s="185">
        <v>1.0833333333333333</v>
      </c>
      <c r="I26" s="185">
        <f>'Exh No.__(JRS-17) p1-10'!C885/12</f>
        <v>1</v>
      </c>
      <c r="K26" s="185">
        <v>1616.6904507017675</v>
      </c>
      <c r="L26" s="185">
        <f ca="1">'Exh No.__(JRS-17) p1-10'!C899/1000</f>
        <v>1994.5324465218168</v>
      </c>
      <c r="N26" s="206">
        <v>165.62561725051643</v>
      </c>
      <c r="O26" s="186">
        <f ca="1">'Exh No.__(JRS-17) p1-10'!I899/1000</f>
        <v>292.12801280278654</v>
      </c>
      <c r="P26" s="187"/>
      <c r="Q26" s="186">
        <f t="shared" ca="1" si="0"/>
        <v>327.11883446735618</v>
      </c>
      <c r="R26" s="186"/>
      <c r="S26" s="188"/>
      <c r="T26" s="186"/>
      <c r="U26" s="186">
        <f ca="1">'Exh No.__(JRS-16) Table A p1'!U26+'Exh No.__(JRS-16) Table B p2'!W26</f>
        <v>34.990821664569651</v>
      </c>
      <c r="V26" s="189">
        <f ca="1">U26/O26</f>
        <v>0.11977906989766057</v>
      </c>
      <c r="W26" s="186">
        <f t="shared" ca="1" si="1"/>
        <v>5.1458937120262878</v>
      </c>
      <c r="X26" s="189">
        <f t="shared" ca="1" si="4"/>
        <v>1.7615201166963204E-2</v>
      </c>
      <c r="Y26" s="186">
        <f t="shared" ca="1" si="2"/>
        <v>40.136715376595937</v>
      </c>
      <c r="Z26" s="189">
        <f t="shared" ca="1" si="5"/>
        <v>0.13739427106462376</v>
      </c>
      <c r="AA26" s="187"/>
      <c r="AB26" s="190">
        <f t="shared" ca="1" si="3"/>
        <v>0.25800000000000001</v>
      </c>
      <c r="AC26" s="187"/>
      <c r="AD26" s="191">
        <f ca="1">Q26/L26*100</f>
        <v>16.400777788188169</v>
      </c>
      <c r="AE26" s="187"/>
      <c r="AF26" s="192">
        <f ca="1">(U26/L26)*100</f>
        <v>1.7543370490456904</v>
      </c>
      <c r="AG26" s="187"/>
      <c r="AH26" s="192"/>
      <c r="AI26" s="194"/>
      <c r="AJ26" s="162"/>
    </row>
    <row r="27" spans="2:38">
      <c r="B27" s="86">
        <f>MAX(B$13:B26)+1</f>
        <v>8</v>
      </c>
      <c r="D27" s="156" t="s">
        <v>339</v>
      </c>
      <c r="F27" s="154">
        <v>48</v>
      </c>
      <c r="G27" s="154"/>
      <c r="H27" s="185">
        <v>63.666666666666671</v>
      </c>
      <c r="I27" s="185">
        <f>('Exh No.__(JRS-17) p1-10'!C926+'Exh No.__(JRS-17) p1-10'!C1095)/12</f>
        <v>62.012626262626249</v>
      </c>
      <c r="K27" s="185">
        <v>856497.09877425549</v>
      </c>
      <c r="L27" s="185">
        <f ca="1">('Exh No.__(JRS-17) p1-10'!C936+'Exh No.__(JRS-17) p1-10'!C1106)/1000</f>
        <v>834884.0372572965</v>
      </c>
      <c r="N27" s="206">
        <v>38996.209349631463</v>
      </c>
      <c r="O27" s="186">
        <f ca="1">('Exh No.__(JRS-17) p1-10'!I936+'Exh No.__(JRS-17) p1-10'!I1106)/1000</f>
        <v>50976.274610443281</v>
      </c>
      <c r="P27" s="187"/>
      <c r="Q27" s="186">
        <f t="shared" ca="1" si="0"/>
        <v>57609.399572544033</v>
      </c>
      <c r="R27" s="186"/>
      <c r="S27" s="188"/>
      <c r="T27" s="186"/>
      <c r="U27" s="186">
        <f ca="1">'Exh No.__(JRS-16) Table A p1'!U27+'Exh No.__(JRS-16) Table B p2'!W27</f>
        <v>6633.1249621007491</v>
      </c>
      <c r="V27" s="189">
        <f ca="1">U27/O27</f>
        <v>0.13012180691489469</v>
      </c>
      <c r="W27" s="186">
        <f t="shared" ca="1" si="1"/>
        <v>910.02360061045317</v>
      </c>
      <c r="X27" s="189">
        <f t="shared" ca="1" si="4"/>
        <v>1.7851904784427317E-2</v>
      </c>
      <c r="Y27" s="186">
        <f t="shared" ca="1" si="2"/>
        <v>7543.1485627112024</v>
      </c>
      <c r="Z27" s="189">
        <f t="shared" ca="1" si="5"/>
        <v>0.147973711699322</v>
      </c>
      <c r="AA27" s="187"/>
      <c r="AB27" s="190">
        <f t="shared" ca="1" si="3"/>
        <v>0.109</v>
      </c>
      <c r="AC27" s="187"/>
      <c r="AD27" s="191">
        <f ca="1">Q27/L27*100</f>
        <v>6.9002875850637242</v>
      </c>
      <c r="AE27" s="187"/>
      <c r="AF27" s="192">
        <f ca="1">(U27/L27)*100</f>
        <v>0.79449656073092911</v>
      </c>
      <c r="AG27" s="187"/>
      <c r="AH27" s="192"/>
      <c r="AI27" s="194"/>
      <c r="AJ27" s="162"/>
      <c r="AK27" s="157" t="s">
        <v>31</v>
      </c>
    </row>
    <row r="28" spans="2:38" hidden="1">
      <c r="B28" s="86">
        <f>MAX(B$13:B26)+1</f>
        <v>8</v>
      </c>
      <c r="D28" s="156" t="s">
        <v>670</v>
      </c>
      <c r="F28" s="184" t="s">
        <v>671</v>
      </c>
      <c r="G28" s="154"/>
      <c r="H28" s="185">
        <v>63.666666666666671</v>
      </c>
      <c r="I28" s="185">
        <v>0</v>
      </c>
      <c r="K28" s="185">
        <v>856497.09877425549</v>
      </c>
      <c r="L28" s="185">
        <v>0</v>
      </c>
      <c r="N28" s="206">
        <v>38996.209349631463</v>
      </c>
      <c r="O28" s="186">
        <v>0</v>
      </c>
      <c r="P28" s="187"/>
      <c r="Q28" s="186">
        <f t="shared" si="0"/>
        <v>0</v>
      </c>
      <c r="R28" s="186"/>
      <c r="S28" s="188"/>
      <c r="T28" s="186"/>
      <c r="U28" s="186">
        <f>'Exh No.__(JRS-16) Table A p1'!U28+'Exh No.__(JRS-16) Table B p2'!W28</f>
        <v>0</v>
      </c>
      <c r="V28" s="189">
        <v>0</v>
      </c>
      <c r="W28" s="186">
        <v>0</v>
      </c>
      <c r="X28" s="189">
        <v>0</v>
      </c>
      <c r="Y28" s="186">
        <f t="shared" si="2"/>
        <v>0</v>
      </c>
      <c r="Z28" s="189">
        <v>0</v>
      </c>
      <c r="AA28" s="187"/>
      <c r="AB28" s="190" t="e">
        <f t="shared" ca="1" si="3"/>
        <v>#DIV/0!</v>
      </c>
      <c r="AC28" s="187"/>
      <c r="AD28" s="191">
        <v>0</v>
      </c>
      <c r="AE28" s="187"/>
      <c r="AF28" s="192">
        <v>0</v>
      </c>
      <c r="AG28" s="187"/>
      <c r="AH28" s="192"/>
      <c r="AI28" s="194"/>
      <c r="AJ28" s="162"/>
    </row>
    <row r="29" spans="2:38">
      <c r="B29" s="86">
        <f>MAX(B$13:B28)+1</f>
        <v>9</v>
      </c>
      <c r="D29" s="156" t="s">
        <v>192</v>
      </c>
      <c r="F29" s="154" t="s">
        <v>193</v>
      </c>
      <c r="G29" s="154"/>
      <c r="H29" s="185">
        <v>28</v>
      </c>
      <c r="I29" s="185">
        <f>'Exh No.__(JRS-17) p1-10'!C1226/12</f>
        <v>29.977777777777749</v>
      </c>
      <c r="K29" s="185">
        <v>233.86177246899351</v>
      </c>
      <c r="L29" s="185">
        <f>'Exh No.__(JRS-17) p1-10'!C1232/1000</f>
        <v>294.55045303791917</v>
      </c>
      <c r="N29" s="206">
        <v>18.659249899021408</v>
      </c>
      <c r="O29" s="186">
        <f>'Exh No.__(JRS-17) p1-10'!I1232/1000</f>
        <v>25.790024491772925</v>
      </c>
      <c r="P29" s="187"/>
      <c r="Q29" s="186">
        <f t="shared" ca="1" si="0"/>
        <v>27.522686684920942</v>
      </c>
      <c r="R29" s="186"/>
      <c r="S29" s="188"/>
      <c r="T29" s="186"/>
      <c r="U29" s="186">
        <f ca="1">'Exh No.__(JRS-16) Table A p1'!U29+'Exh No.__(JRS-16) Table B p2'!W29</f>
        <v>1.7326621931480164</v>
      </c>
      <c r="V29" s="189">
        <f ca="1">U29/O29</f>
        <v>6.7183425657495577E-2</v>
      </c>
      <c r="W29" s="186">
        <f t="shared" ca="1" si="1"/>
        <v>0.43298916596574116</v>
      </c>
      <c r="X29" s="189">
        <f t="shared" ca="1" si="4"/>
        <v>1.6789017245945836E-2</v>
      </c>
      <c r="Y29" s="186">
        <f t="shared" ca="1" si="2"/>
        <v>2.1656513591137574</v>
      </c>
      <c r="Z29" s="189">
        <f t="shared" ca="1" si="5"/>
        <v>8.3972442903441399E-2</v>
      </c>
      <c r="AA29" s="187"/>
      <c r="AB29" s="190">
        <f t="shared" ca="1" si="3"/>
        <v>0.14699999999999999</v>
      </c>
      <c r="AC29" s="187"/>
      <c r="AD29" s="191">
        <f ca="1">Q29/L29*100</f>
        <v>9.343963453818823</v>
      </c>
      <c r="AE29" s="187"/>
      <c r="AF29" s="192">
        <f ca="1">(U29/L29)*100</f>
        <v>0.58823952748256714</v>
      </c>
      <c r="AG29" s="187"/>
      <c r="AH29" s="192"/>
      <c r="AI29" s="194"/>
      <c r="AJ29" s="162"/>
    </row>
    <row r="30" spans="2:38">
      <c r="B30" s="171"/>
      <c r="F30" s="154"/>
      <c r="G30" s="154"/>
      <c r="H30" s="196"/>
      <c r="I30" s="196"/>
      <c r="K30" s="196"/>
      <c r="L30" s="196"/>
      <c r="N30" s="196"/>
      <c r="O30" s="196"/>
      <c r="P30" s="162"/>
      <c r="Q30" s="196"/>
      <c r="R30" s="162"/>
      <c r="S30" s="197"/>
      <c r="T30" s="162"/>
      <c r="U30" s="196"/>
      <c r="V30" s="199"/>
      <c r="W30" s="196"/>
      <c r="X30" s="199"/>
      <c r="Y30" s="196"/>
      <c r="Z30" s="199"/>
      <c r="AA30" s="162"/>
      <c r="AB30" s="200"/>
      <c r="AC30" s="162"/>
      <c r="AD30" s="197"/>
      <c r="AE30" s="162"/>
      <c r="AF30" s="201"/>
      <c r="AG30" s="162"/>
      <c r="AH30" s="20"/>
      <c r="AI30" s="162"/>
      <c r="AJ30" s="162"/>
    </row>
    <row r="31" spans="2:38">
      <c r="B31" s="171"/>
      <c r="V31" s="202"/>
      <c r="X31" s="202"/>
      <c r="Z31" s="202"/>
      <c r="AB31" s="203"/>
      <c r="AF31" s="204"/>
      <c r="AH31" s="20"/>
      <c r="AI31" s="162"/>
      <c r="AJ31" s="162"/>
    </row>
    <row r="32" spans="2:38">
      <c r="B32" s="86">
        <f>MAX(B$13:B31)+1</f>
        <v>10</v>
      </c>
      <c r="D32" s="183" t="s">
        <v>340</v>
      </c>
      <c r="H32" s="205">
        <f>SUM(H22:H29)</f>
        <v>23780.5</v>
      </c>
      <c r="I32" s="205">
        <f>SUM(I22:I29)</f>
        <v>25182.428024905177</v>
      </c>
      <c r="K32" s="205">
        <f>SUM(K22:K29)</f>
        <v>3297111.0499705928</v>
      </c>
      <c r="L32" s="205">
        <f ca="1">SUM(L22:L29)</f>
        <v>2424681.1953612347</v>
      </c>
      <c r="M32" s="205"/>
      <c r="N32" s="186">
        <f>SUM(N22:N29)</f>
        <v>170969.95465759834</v>
      </c>
      <c r="O32" s="186">
        <f ca="1">SUM(O22:O29)</f>
        <v>179243.75420998497</v>
      </c>
      <c r="P32" s="187"/>
      <c r="Q32" s="186">
        <f ca="1">SUM(Q22:Q29)</f>
        <v>198710.59473481134</v>
      </c>
      <c r="R32" s="206"/>
      <c r="S32" s="188"/>
      <c r="T32" s="206"/>
      <c r="U32" s="186">
        <f ca="1">SUM(U22:U29)</f>
        <v>19466.840524826399</v>
      </c>
      <c r="V32" s="189">
        <f ca="1">U32/O32</f>
        <v>0.10860540502862318</v>
      </c>
      <c r="W32" s="186">
        <f ca="1">SUM(W22:W29)</f>
        <v>3134.1858249305706</v>
      </c>
      <c r="X32" s="189">
        <f ca="1">W32/O32</f>
        <v>1.7485606897403274E-2</v>
      </c>
      <c r="Y32" s="186">
        <f ca="1">U32+W32</f>
        <v>22601.026349756969</v>
      </c>
      <c r="Z32" s="189"/>
      <c r="AA32" s="187"/>
      <c r="AB32" s="190"/>
      <c r="AC32" s="187"/>
      <c r="AD32" s="191">
        <f ca="1">Q32/L32*100</f>
        <v>8.1953287349682675</v>
      </c>
      <c r="AE32" s="187"/>
      <c r="AF32" s="192">
        <f ca="1">(U32/L32)*100</f>
        <v>0.80286185920315123</v>
      </c>
      <c r="AG32" s="187"/>
      <c r="AH32" s="192"/>
      <c r="AI32" s="194"/>
      <c r="AJ32" s="162"/>
    </row>
    <row r="33" spans="2:37">
      <c r="B33" s="171"/>
      <c r="V33" s="202"/>
      <c r="X33" s="202"/>
      <c r="Z33" s="202"/>
      <c r="AB33" s="203"/>
      <c r="AF33" s="204"/>
      <c r="AH33" s="20"/>
      <c r="AI33" s="162"/>
      <c r="AJ33" s="162"/>
    </row>
    <row r="34" spans="2:37">
      <c r="B34" s="171"/>
      <c r="D34" s="183" t="s">
        <v>194</v>
      </c>
      <c r="V34" s="202"/>
      <c r="X34" s="202"/>
      <c r="Z34" s="202"/>
      <c r="AB34" s="203"/>
      <c r="AF34" s="204"/>
      <c r="AH34" s="20"/>
      <c r="AI34" s="162"/>
      <c r="AJ34" s="162"/>
    </row>
    <row r="35" spans="2:37">
      <c r="B35" s="86">
        <f>MAX(B$13:B34)+1</f>
        <v>11</v>
      </c>
      <c r="D35" s="156" t="s">
        <v>190</v>
      </c>
      <c r="F35" s="154" t="s">
        <v>191</v>
      </c>
      <c r="G35" s="154"/>
      <c r="H35" s="185">
        <v>2828</v>
      </c>
      <c r="I35" s="185">
        <f>'Exh No.__(JRS-17) p1-10'!C24/12</f>
        <v>2531.9166666666665</v>
      </c>
      <c r="K35" s="185">
        <v>3735.0893644456642</v>
      </c>
      <c r="L35" s="185">
        <f ca="1">'Exh No.__(JRS-17) p1-10'!C27/1000</f>
        <v>3355.2350684260427</v>
      </c>
      <c r="N35" s="206">
        <v>473.92026673033644</v>
      </c>
      <c r="O35" s="186">
        <f ca="1">'Exh No.__(JRS-17) p1-10'!I27/1000</f>
        <v>468.63441510785196</v>
      </c>
      <c r="P35" s="187"/>
      <c r="Q35" s="186">
        <f t="shared" ref="Q35:Q39" ca="1" si="6">O35+U35</f>
        <v>500.18468900014199</v>
      </c>
      <c r="R35" s="186"/>
      <c r="S35" s="188"/>
      <c r="T35" s="186"/>
      <c r="U35" s="186">
        <f ca="1">'Exh No.__(JRS-16) Table A p1'!U35+'Exh No.__(JRS-16) Table B p2'!W35</f>
        <v>31.550273892290004</v>
      </c>
      <c r="V35" s="189">
        <f ca="1">U35/O35</f>
        <v>6.7323851759860609E-2</v>
      </c>
      <c r="W35" s="186">
        <f ca="1">(AB35/100)*L35</f>
        <v>7.8848024108011989</v>
      </c>
      <c r="X35" s="189">
        <f ca="1">W35/O35</f>
        <v>1.6825060551702298E-2</v>
      </c>
      <c r="Y35" s="186">
        <f ca="1">U35+W35</f>
        <v>39.435076303091201</v>
      </c>
      <c r="Z35" s="189">
        <f ca="1">Y35/O35</f>
        <v>8.4148912311562893E-2</v>
      </c>
      <c r="AA35" s="187"/>
      <c r="AB35" s="190">
        <f t="shared" ref="AB35:AB39" ca="1" si="7">ROUND((((Q35/$Q$44)*$W$51)/L35)*100,3)</f>
        <v>0.23499999999999999</v>
      </c>
      <c r="AC35" s="187"/>
      <c r="AD35" s="191">
        <f ca="1">Q35/L35*100</f>
        <v>14.90759004360255</v>
      </c>
      <c r="AE35" s="187"/>
      <c r="AF35" s="192">
        <f ca="1">(U35/L35)*100</f>
        <v>0.94032976077263031</v>
      </c>
      <c r="AG35" s="187"/>
      <c r="AH35" s="192"/>
      <c r="AI35" s="194"/>
      <c r="AJ35" s="162"/>
    </row>
    <row r="36" spans="2:37">
      <c r="B36" s="86">
        <f>MAX(B$13:B35)+1</f>
        <v>12</v>
      </c>
      <c r="D36" s="156" t="s">
        <v>341</v>
      </c>
      <c r="F36" s="154" t="s">
        <v>342</v>
      </c>
      <c r="G36" s="154"/>
      <c r="H36" s="185">
        <v>178</v>
      </c>
      <c r="I36" s="185">
        <f>'Exh No.__(JRS-17) p1-10'!C1137/12</f>
        <v>163</v>
      </c>
      <c r="K36" s="185">
        <v>2902.2385934150548</v>
      </c>
      <c r="L36" s="185">
        <f>'Exh No.__(JRS-17) p1-10'!C1141/1000</f>
        <v>3186.5956037362384</v>
      </c>
      <c r="N36" s="206">
        <v>522.31224201957195</v>
      </c>
      <c r="O36" s="186">
        <f>'Exh No.__(JRS-17) p1-10'!I1141/1000</f>
        <v>620.98089382532601</v>
      </c>
      <c r="P36" s="187"/>
      <c r="Q36" s="186">
        <f t="shared" ca="1" si="6"/>
        <v>662.97231887802923</v>
      </c>
      <c r="R36" s="186"/>
      <c r="S36" s="188"/>
      <c r="T36" s="186"/>
      <c r="U36" s="186">
        <f ca="1">'Exh No.__(JRS-16) Table A p1'!U36+'Exh No.__(JRS-16) Table B p2'!W36</f>
        <v>41.991425052703214</v>
      </c>
      <c r="V36" s="189">
        <f ca="1">U36/O36</f>
        <v>6.7621122437488176E-2</v>
      </c>
      <c r="W36" s="186">
        <f ca="1">(AB36/100)*L36</f>
        <v>10.452033580254861</v>
      </c>
      <c r="X36" s="189">
        <f ca="1">W36/O36</f>
        <v>1.6831489799740737E-2</v>
      </c>
      <c r="Y36" s="186">
        <f ca="1">U36+W36</f>
        <v>52.443458632958077</v>
      </c>
      <c r="Z36" s="189">
        <f ca="1">Y36/O36</f>
        <v>8.4452612237228913E-2</v>
      </c>
      <c r="AA36" s="187"/>
      <c r="AB36" s="190">
        <f t="shared" ca="1" si="7"/>
        <v>0.32800000000000001</v>
      </c>
      <c r="AC36" s="187"/>
      <c r="AD36" s="191">
        <f ca="1">Q36/L36*100</f>
        <v>20.805034630083075</v>
      </c>
      <c r="AE36" s="187"/>
      <c r="AF36" s="192">
        <f ca="1">(U36/L36)*100</f>
        <v>1.3177519294719688</v>
      </c>
      <c r="AG36" s="187"/>
      <c r="AH36" s="192"/>
      <c r="AI36" s="194"/>
      <c r="AJ36" s="193" t="s">
        <v>31</v>
      </c>
    </row>
    <row r="37" spans="2:37">
      <c r="B37" s="86">
        <f>MAX(B$13:B36)+1</f>
        <v>13</v>
      </c>
      <c r="D37" s="156" t="s">
        <v>341</v>
      </c>
      <c r="F37" s="154">
        <v>52</v>
      </c>
      <c r="G37" s="154"/>
      <c r="H37" s="185">
        <v>30</v>
      </c>
      <c r="I37" s="185">
        <f>'Exh No.__(JRS-17) p1-10'!C1153/12</f>
        <v>15</v>
      </c>
      <c r="K37" s="185">
        <v>466.2387672357238</v>
      </c>
      <c r="L37" s="185">
        <f>'Exh No.__(JRS-17) p1-10'!C1158/1000</f>
        <v>198.34085987577339</v>
      </c>
      <c r="N37" s="206">
        <v>60.670270195709442</v>
      </c>
      <c r="O37" s="186">
        <f>'Exh No.__(JRS-17) p1-10'!I1158/1000</f>
        <v>33.511850718803466</v>
      </c>
      <c r="P37" s="187"/>
      <c r="Q37" s="186">
        <f t="shared" ca="1" si="6"/>
        <v>35.762972846838238</v>
      </c>
      <c r="R37" s="186"/>
      <c r="S37" s="188"/>
      <c r="T37" s="186"/>
      <c r="U37" s="186">
        <f ca="1">'Exh No.__(JRS-16) Table A p1'!U37+'Exh No.__(JRS-16) Table B p2'!W37</f>
        <v>2.2511221280347735</v>
      </c>
      <c r="V37" s="189">
        <f ca="1">U37/O37</f>
        <v>6.7173912504082361E-2</v>
      </c>
      <c r="W37" s="186">
        <f ca="1">(AB37/100)*L37</f>
        <v>0.5632880420471964</v>
      </c>
      <c r="X37" s="189">
        <f ca="1">W37/O37</f>
        <v>1.6808622322106968E-2</v>
      </c>
      <c r="Y37" s="186">
        <f ca="1">U37+W37</f>
        <v>2.8144101700819699</v>
      </c>
      <c r="Z37" s="189">
        <f ca="1">Y37/O37</f>
        <v>8.3982534826189323E-2</v>
      </c>
      <c r="AA37" s="187"/>
      <c r="AB37" s="190">
        <f t="shared" ca="1" si="7"/>
        <v>0.28399999999999997</v>
      </c>
      <c r="AC37" s="187"/>
      <c r="AD37" s="191">
        <f ca="1">Q37/L37*100</f>
        <v>18.031066755099086</v>
      </c>
      <c r="AE37" s="187"/>
      <c r="AF37" s="192">
        <f ca="1">(U37/L37)*100</f>
        <v>1.1349764891836791</v>
      </c>
      <c r="AG37" s="187"/>
      <c r="AH37" s="192"/>
      <c r="AI37" s="194"/>
      <c r="AJ37" s="162"/>
    </row>
    <row r="38" spans="2:37">
      <c r="B38" s="86">
        <f>MAX(B$13:B37)+1</f>
        <v>14</v>
      </c>
      <c r="D38" s="156" t="s">
        <v>341</v>
      </c>
      <c r="F38" s="154">
        <v>53</v>
      </c>
      <c r="G38" s="154"/>
      <c r="H38" s="185">
        <v>272.33333333333337</v>
      </c>
      <c r="I38" s="185">
        <f>'Exh No.__(JRS-17) p1-10'!C1168/12</f>
        <v>217.08333333333334</v>
      </c>
      <c r="K38" s="185">
        <v>4499.9316487570059</v>
      </c>
      <c r="L38" s="185">
        <f>'Exh No.__(JRS-17) p1-10'!C1172/1000</f>
        <v>4161.9537848388163</v>
      </c>
      <c r="N38" s="185">
        <v>278.83306975907675</v>
      </c>
      <c r="O38" s="186">
        <f>'Exh No.__(JRS-17) p1-10'!I1172/1000</f>
        <v>286.22928702344217</v>
      </c>
      <c r="P38" s="187"/>
      <c r="Q38" s="186">
        <f t="shared" ca="1" si="6"/>
        <v>305.5651701088903</v>
      </c>
      <c r="R38" s="186"/>
      <c r="S38" s="188"/>
      <c r="T38" s="186"/>
      <c r="U38" s="186">
        <f ca="1">'Exh No.__(JRS-16) Table A p1'!U38+'Exh No.__(JRS-16) Table B p2'!W38</f>
        <v>19.335883085448145</v>
      </c>
      <c r="V38" s="189">
        <f ca="1">U38/O38</f>
        <v>6.7553824720475011E-2</v>
      </c>
      <c r="W38" s="186">
        <f ca="1">(AB38/100)*L38</f>
        <v>4.8278663904130266</v>
      </c>
      <c r="X38" s="189">
        <f ca="1">W38/O38</f>
        <v>1.6867129288616872E-2</v>
      </c>
      <c r="Y38" s="186">
        <f ca="1">U38+W38</f>
        <v>24.163749475861174</v>
      </c>
      <c r="Z38" s="189">
        <f ca="1">Y38/O38</f>
        <v>8.4420954009091886E-2</v>
      </c>
      <c r="AA38" s="187"/>
      <c r="AB38" s="190">
        <f t="shared" ca="1" si="7"/>
        <v>0.11600000000000001</v>
      </c>
      <c r="AC38" s="187"/>
      <c r="AD38" s="191">
        <f ca="1">Q38/L38*100</f>
        <v>7.3418684085826342</v>
      </c>
      <c r="AE38" s="187"/>
      <c r="AF38" s="192">
        <f ca="1">(U38/L38)*100</f>
        <v>0.46458668416465809</v>
      </c>
      <c r="AG38" s="187"/>
      <c r="AH38" s="192"/>
      <c r="AI38" s="194"/>
      <c r="AJ38" s="162"/>
      <c r="AK38" s="157" t="s">
        <v>31</v>
      </c>
    </row>
    <row r="39" spans="2:37">
      <c r="B39" s="86">
        <f>MAX(B$13:B38)+1</f>
        <v>15</v>
      </c>
      <c r="D39" s="156" t="s">
        <v>341</v>
      </c>
      <c r="F39" s="154">
        <v>57</v>
      </c>
      <c r="G39" s="154"/>
      <c r="H39" s="185">
        <v>50.666666666666664</v>
      </c>
      <c r="I39" s="185">
        <f>'Exh No.__(JRS-17) p1-10'!C1268/12</f>
        <v>33.916666666666664</v>
      </c>
      <c r="K39" s="185">
        <v>2174.0459905922153</v>
      </c>
      <c r="L39" s="185">
        <f>'Exh No.__(JRS-17) p1-10'!C1272/1000</f>
        <v>1743.2558167712143</v>
      </c>
      <c r="N39" s="185">
        <v>235.8029580256418</v>
      </c>
      <c r="O39" s="186">
        <f>'Exh No.__(JRS-17) p1-10'!I1272/1000</f>
        <v>212.91005677457667</v>
      </c>
      <c r="P39" s="187"/>
      <c r="Q39" s="186">
        <f t="shared" ca="1" si="6"/>
        <v>227.28619166429937</v>
      </c>
      <c r="R39" s="186"/>
      <c r="S39" s="188"/>
      <c r="T39" s="186"/>
      <c r="U39" s="186">
        <f ca="1">'Exh No.__(JRS-16) Table A p1'!U39+'Exh No.__(JRS-16) Table B p2'!W39</f>
        <v>14.376134889722687</v>
      </c>
      <c r="V39" s="189">
        <f ca="1">U39/O39</f>
        <v>6.7522103499994574E-2</v>
      </c>
      <c r="W39" s="186">
        <f ca="1">(AB39/100)*L39</f>
        <v>3.573674424380989</v>
      </c>
      <c r="X39" s="189">
        <f ca="1">W39/O39</f>
        <v>1.678490193708744E-2</v>
      </c>
      <c r="Y39" s="186">
        <f ca="1">U39+W39</f>
        <v>17.949809314103675</v>
      </c>
      <c r="Z39" s="189">
        <f ca="1">Y39/O39</f>
        <v>8.4307005437082014E-2</v>
      </c>
      <c r="AA39" s="187"/>
      <c r="AB39" s="190">
        <f t="shared" ca="1" si="7"/>
        <v>0.20499999999999999</v>
      </c>
      <c r="AC39" s="187"/>
      <c r="AD39" s="191">
        <f ca="1">Q39/L39*100</f>
        <v>13.03802858293451</v>
      </c>
      <c r="AE39" s="187"/>
      <c r="AF39" s="192">
        <f ca="1">(U39/L39)*100</f>
        <v>0.82467155717567386</v>
      </c>
      <c r="AG39" s="187"/>
      <c r="AH39" s="192"/>
      <c r="AI39" s="194"/>
      <c r="AJ39" s="162"/>
    </row>
    <row r="40" spans="2:37">
      <c r="B40" s="171"/>
      <c r="H40" s="196"/>
      <c r="I40" s="196"/>
      <c r="K40" s="196"/>
      <c r="L40" s="196"/>
      <c r="N40" s="196"/>
      <c r="O40" s="196"/>
      <c r="P40" s="162"/>
      <c r="Q40" s="197"/>
      <c r="R40" s="162"/>
      <c r="S40" s="197"/>
      <c r="T40" s="162"/>
      <c r="U40" s="196"/>
      <c r="V40" s="199"/>
      <c r="W40" s="196"/>
      <c r="X40" s="199"/>
      <c r="Y40" s="196"/>
      <c r="Z40" s="199"/>
      <c r="AA40" s="162"/>
      <c r="AB40" s="200"/>
      <c r="AC40" s="162"/>
      <c r="AD40" s="197"/>
      <c r="AE40" s="162"/>
      <c r="AF40" s="201"/>
      <c r="AG40" s="162"/>
      <c r="AH40" s="20"/>
      <c r="AI40" s="162"/>
      <c r="AJ40" s="162"/>
    </row>
    <row r="41" spans="2:37">
      <c r="B41" s="171"/>
      <c r="V41" s="202"/>
      <c r="X41" s="202"/>
      <c r="Z41" s="202"/>
      <c r="AB41" s="203"/>
      <c r="AF41" s="204"/>
      <c r="AH41" s="20"/>
      <c r="AI41" s="162"/>
      <c r="AJ41" s="162"/>
    </row>
    <row r="42" spans="2:37">
      <c r="B42" s="86">
        <f>MAX(B$13:B41)+1</f>
        <v>16</v>
      </c>
      <c r="D42" s="183" t="s">
        <v>343</v>
      </c>
      <c r="H42" s="210">
        <f>SUM(H35:H39)</f>
        <v>3359</v>
      </c>
      <c r="I42" s="210">
        <f>SUM(I35:I39)</f>
        <v>2960.9166666666665</v>
      </c>
      <c r="K42" s="210">
        <f>SUM(K35:K39)</f>
        <v>13777.544364445665</v>
      </c>
      <c r="L42" s="210">
        <f ca="1">SUM(L35:L39)</f>
        <v>12645.381133648085</v>
      </c>
      <c r="M42" s="205"/>
      <c r="N42" s="211">
        <f>SUM(N35:N39)</f>
        <v>1571.5388067303365</v>
      </c>
      <c r="O42" s="211">
        <f ca="1">SUM(O35:O39)</f>
        <v>1622.2665034500001</v>
      </c>
      <c r="P42" s="194"/>
      <c r="Q42" s="211">
        <f ca="1">SUM(Q35:Q39)</f>
        <v>1731.7713424981991</v>
      </c>
      <c r="R42" s="212"/>
      <c r="S42" s="211"/>
      <c r="T42" s="212"/>
      <c r="U42" s="211">
        <f ca="1">SUM(U35:U39)</f>
        <v>109.50483904819883</v>
      </c>
      <c r="V42" s="213">
        <f ca="1">U42/O42</f>
        <v>6.7501140420097375E-2</v>
      </c>
      <c r="W42" s="211">
        <f ca="1">SUM(W35:W39)</f>
        <v>27.301664847897271</v>
      </c>
      <c r="X42" s="213">
        <f ca="1">W42/O42</f>
        <v>1.6829334014994497E-2</v>
      </c>
      <c r="Y42" s="211">
        <f ca="1">U42+W42</f>
        <v>136.8065038960961</v>
      </c>
      <c r="Z42" s="213">
        <f ca="1">Y42/O42</f>
        <v>8.4330474435091868E-2</v>
      </c>
      <c r="AA42" s="194"/>
      <c r="AB42" s="190"/>
      <c r="AC42" s="194"/>
      <c r="AD42" s="214">
        <f ca="1">Q42/L42*100</f>
        <v>13.694892421155503</v>
      </c>
      <c r="AE42" s="194"/>
      <c r="AF42" s="215">
        <f ca="1">(U42/L42)*100</f>
        <v>0.8659670902035328</v>
      </c>
      <c r="AG42" s="194"/>
      <c r="AH42" s="216"/>
      <c r="AI42" s="194"/>
      <c r="AJ42" s="162"/>
    </row>
    <row r="43" spans="2:37">
      <c r="B43" s="171"/>
      <c r="D43" s="183"/>
      <c r="H43" s="217"/>
      <c r="I43" s="217"/>
      <c r="K43" s="217"/>
      <c r="L43" s="217"/>
      <c r="M43" s="205"/>
      <c r="N43" s="212"/>
      <c r="O43" s="212"/>
      <c r="P43" s="212"/>
      <c r="Q43" s="212"/>
      <c r="R43" s="212"/>
      <c r="S43" s="212"/>
      <c r="T43" s="212"/>
      <c r="U43" s="212"/>
      <c r="V43" s="218"/>
      <c r="W43" s="212"/>
      <c r="X43" s="218"/>
      <c r="Y43" s="212"/>
      <c r="Z43" s="219"/>
      <c r="AA43" s="212"/>
      <c r="AB43" s="220"/>
      <c r="AC43" s="212"/>
      <c r="AD43" s="212"/>
      <c r="AE43" s="212"/>
      <c r="AF43" s="221"/>
      <c r="AG43" s="212"/>
      <c r="AH43" s="20"/>
      <c r="AI43" s="212"/>
      <c r="AJ43" s="162"/>
    </row>
    <row r="44" spans="2:37" ht="16.5" thickBot="1">
      <c r="B44" s="86">
        <f>MAX(B$13:B43)+1</f>
        <v>17</v>
      </c>
      <c r="D44" s="222" t="s">
        <v>344</v>
      </c>
      <c r="H44" s="223">
        <f>H42+H32+H19</f>
        <v>128476.41666666667</v>
      </c>
      <c r="I44" s="223">
        <f>I42+I32+I19</f>
        <v>132778.43714676326</v>
      </c>
      <c r="K44" s="223">
        <f>K42+K32+K19</f>
        <v>4880827.1987742558</v>
      </c>
      <c r="L44" s="223">
        <f ca="1">L42+L32+L19</f>
        <v>4010161.4332736093</v>
      </c>
      <c r="N44" s="224">
        <f>N42+N32+N19</f>
        <v>275214.43788963149</v>
      </c>
      <c r="O44" s="224">
        <f ca="1">O42+O32+O19</f>
        <v>320954.13952952309</v>
      </c>
      <c r="P44" s="194"/>
      <c r="Q44" s="224">
        <f ca="1">Q42+Q32+Q19</f>
        <v>358746.20300150575</v>
      </c>
      <c r="R44" s="225"/>
      <c r="S44" s="224"/>
      <c r="T44" s="225"/>
      <c r="U44" s="224">
        <f ca="1">U42+U32+U19</f>
        <v>37792.063471982692</v>
      </c>
      <c r="V44" s="226">
        <f ca="1">U44/O44</f>
        <v>0.11774910748115269</v>
      </c>
      <c r="W44" s="224">
        <f ca="1">W42+W32+W19</f>
        <v>5646.5665634888555</v>
      </c>
      <c r="X44" s="226">
        <f ca="1">W44/O44</f>
        <v>1.7593063519186838E-2</v>
      </c>
      <c r="Y44" s="224">
        <f ca="1">U44+W44</f>
        <v>43438.630035471549</v>
      </c>
      <c r="Z44" s="226">
        <f ca="1">Y44/O44</f>
        <v>0.13534217100033955</v>
      </c>
      <c r="AA44" s="194"/>
      <c r="AB44" s="190">
        <f ca="1">ROUND((((Q44/$Q$44)*$W$51)/L44)*100,4)</f>
        <v>0.1409</v>
      </c>
      <c r="AC44" s="194"/>
      <c r="AD44" s="228">
        <f ca="1">Q44/L44*100</f>
        <v>8.9459292093548211</v>
      </c>
      <c r="AE44" s="194"/>
      <c r="AF44" s="228">
        <f ca="1">(U44/L44)*100</f>
        <v>0.94240753398129284</v>
      </c>
      <c r="AG44" s="194"/>
      <c r="AH44" s="193" t="s">
        <v>31</v>
      </c>
      <c r="AI44" s="194"/>
      <c r="AJ44" s="195" t="s">
        <v>31</v>
      </c>
    </row>
    <row r="45" spans="2:37" ht="16.5" thickTop="1">
      <c r="B45" s="1714" t="s">
        <v>31</v>
      </c>
      <c r="C45" s="1715"/>
      <c r="D45" s="1715"/>
      <c r="H45" s="229"/>
      <c r="I45" s="229"/>
      <c r="K45" s="229"/>
      <c r="L45" s="229"/>
      <c r="N45" s="225"/>
      <c r="O45" s="225"/>
      <c r="P45" s="194"/>
      <c r="Q45" s="225"/>
      <c r="R45" s="225"/>
      <c r="S45" s="225"/>
      <c r="T45" s="225"/>
      <c r="U45" s="225"/>
      <c r="V45" s="202"/>
      <c r="W45" s="225"/>
      <c r="X45" s="202"/>
      <c r="Y45" s="194"/>
      <c r="AA45" s="194"/>
      <c r="AB45" s="194"/>
      <c r="AC45" s="194"/>
      <c r="AD45" s="194"/>
      <c r="AE45" s="194"/>
      <c r="AF45" s="192"/>
      <c r="AG45" s="194"/>
      <c r="AH45" s="192"/>
      <c r="AI45" s="194"/>
      <c r="AJ45" s="162"/>
    </row>
    <row r="46" spans="2:37">
      <c r="B46" s="86">
        <v>18</v>
      </c>
      <c r="D46" s="230" t="s">
        <v>345</v>
      </c>
      <c r="H46" s="229"/>
      <c r="I46" s="229"/>
      <c r="K46" s="229"/>
      <c r="L46" s="229"/>
      <c r="N46" s="225">
        <v>311.00673999999998</v>
      </c>
      <c r="O46" s="188">
        <f ca="1">'Exh No.__(JRS-17) p1-10'!I1279/1000</f>
        <v>651.51829000000009</v>
      </c>
      <c r="P46" s="231"/>
      <c r="Q46" s="188">
        <f ca="1">O46</f>
        <v>651.51829000000009</v>
      </c>
      <c r="R46" s="225"/>
      <c r="S46" s="188"/>
      <c r="T46" s="225"/>
      <c r="U46" s="209"/>
      <c r="V46" s="189"/>
      <c r="W46" s="209"/>
      <c r="X46" s="189"/>
      <c r="Y46" s="194"/>
      <c r="AA46" s="194"/>
      <c r="AB46" s="194"/>
      <c r="AC46" s="194"/>
      <c r="AD46" s="191"/>
      <c r="AE46" s="187"/>
      <c r="AF46" s="192"/>
      <c r="AG46" s="194"/>
      <c r="AH46" s="192"/>
      <c r="AI46" s="194"/>
      <c r="AJ46" s="162"/>
    </row>
    <row r="47" spans="2:37">
      <c r="B47" s="86"/>
      <c r="D47" s="230"/>
      <c r="H47" s="229"/>
      <c r="I47" s="229"/>
      <c r="K47" s="229"/>
      <c r="L47" s="229"/>
      <c r="N47" s="225"/>
      <c r="O47" s="225"/>
      <c r="P47" s="231"/>
      <c r="Q47" s="188"/>
      <c r="R47" s="225"/>
      <c r="S47" s="188"/>
      <c r="T47" s="225"/>
      <c r="U47" s="209"/>
      <c r="V47" s="189"/>
      <c r="W47" s="209"/>
      <c r="X47" s="189"/>
      <c r="Y47" s="194"/>
      <c r="AA47" s="194"/>
      <c r="AB47" s="194"/>
      <c r="AC47" s="194"/>
      <c r="AD47" s="191"/>
      <c r="AE47" s="187"/>
      <c r="AF47" s="192"/>
      <c r="AG47" s="194"/>
      <c r="AH47" s="192"/>
      <c r="AI47" s="194"/>
      <c r="AJ47" s="162"/>
    </row>
    <row r="48" spans="2:37" ht="16.5" thickBot="1">
      <c r="B48" s="86">
        <v>19</v>
      </c>
      <c r="D48" s="87" t="s">
        <v>195</v>
      </c>
      <c r="H48" s="232">
        <f>SUM(H44:H46)</f>
        <v>128476.41666666667</v>
      </c>
      <c r="I48" s="232">
        <f>SUM(I44:I46)</f>
        <v>132778.43714676326</v>
      </c>
      <c r="K48" s="232">
        <f>SUM(K44:K46)</f>
        <v>4880827.1987742558</v>
      </c>
      <c r="L48" s="232">
        <f ca="1">SUM(L44:L46)</f>
        <v>4010161.4332736093</v>
      </c>
      <c r="N48" s="224">
        <f>SUM(N44:N46)</f>
        <v>275525.44462963147</v>
      </c>
      <c r="O48" s="224">
        <f ca="1">SUM(O44:O46)</f>
        <v>321605.65781952307</v>
      </c>
      <c r="Q48" s="233">
        <f ca="1">SUM(Q44:Q46)</f>
        <v>359397.72129150573</v>
      </c>
      <c r="R48" s="225"/>
      <c r="S48" s="233"/>
      <c r="T48" s="225"/>
      <c r="U48" s="224">
        <f ca="1">SUM(U44:U46)</f>
        <v>37792.063471982692</v>
      </c>
      <c r="V48" s="226">
        <f ca="1">U48/O48</f>
        <v>0.11751056784327668</v>
      </c>
      <c r="W48" s="224">
        <f ca="1">SUM(W44:W46)</f>
        <v>5646.5665634888555</v>
      </c>
      <c r="X48" s="226">
        <f ca="1">W48/O48</f>
        <v>1.7557422968776146E-2</v>
      </c>
      <c r="AD48" s="228">
        <f ca="1">Q48/L48*100</f>
        <v>8.9621758942038188</v>
      </c>
      <c r="AE48" s="187"/>
      <c r="AF48" s="228">
        <f ca="1">(U48/L48)*100</f>
        <v>0.94240753398129284</v>
      </c>
      <c r="AH48" s="162"/>
      <c r="AI48" s="162"/>
      <c r="AJ48" s="162"/>
    </row>
    <row r="49" spans="10:35" ht="18.75" customHeight="1" thickTop="1">
      <c r="J49" s="1117"/>
      <c r="U49" s="186" t="s">
        <v>31</v>
      </c>
      <c r="V49" s="1705" t="s">
        <v>31</v>
      </c>
      <c r="X49" s="234" t="s">
        <v>31</v>
      </c>
    </row>
    <row r="50" spans="10:35" ht="18.75" customHeight="1">
      <c r="U50" s="1696" t="s">
        <v>31</v>
      </c>
      <c r="V50" s="1697" t="s">
        <v>31</v>
      </c>
      <c r="X50" s="234"/>
    </row>
    <row r="51" spans="10:35">
      <c r="N51" s="235"/>
      <c r="O51" s="235"/>
      <c r="P51" s="162"/>
      <c r="S51" s="209"/>
      <c r="U51" s="209"/>
      <c r="V51" s="236"/>
      <c r="W51" s="209">
        <v>5649.1189999999997</v>
      </c>
      <c r="X51" s="236"/>
      <c r="Y51" s="162"/>
      <c r="AA51" s="162"/>
      <c r="AB51" s="162"/>
      <c r="AC51" s="162"/>
      <c r="AD51" s="162"/>
      <c r="AE51" s="162"/>
      <c r="AF51" s="162"/>
      <c r="AG51" s="162"/>
      <c r="AH51" s="162"/>
      <c r="AI51" s="162"/>
    </row>
    <row r="52" spans="10:35">
      <c r="P52" s="162"/>
      <c r="U52" s="237"/>
      <c r="Y52" s="162"/>
      <c r="Z52" s="162"/>
      <c r="AA52" s="162"/>
      <c r="AB52" s="162"/>
      <c r="AC52" s="162"/>
      <c r="AD52" s="225"/>
      <c r="AE52" s="162"/>
      <c r="AF52" s="162"/>
      <c r="AG52" s="162"/>
      <c r="AH52" s="162"/>
      <c r="AI52" s="162"/>
    </row>
    <row r="53" spans="10:35">
      <c r="Q53" s="193"/>
      <c r="U53" s="238"/>
      <c r="V53" s="239"/>
      <c r="W53" s="238"/>
    </row>
    <row r="54" spans="10:35">
      <c r="Q54" s="162"/>
      <c r="U54" s="240"/>
      <c r="V54" s="241"/>
      <c r="W54" s="240"/>
    </row>
    <row r="55" spans="10:35">
      <c r="Q55" s="182"/>
      <c r="U55" s="242"/>
      <c r="V55" s="243"/>
      <c r="W55" s="242"/>
    </row>
    <row r="56" spans="10:35">
      <c r="Q56" s="244"/>
      <c r="V56" s="202"/>
    </row>
    <row r="57" spans="10:35">
      <c r="Q57" s="157"/>
      <c r="V57" s="245"/>
    </row>
    <row r="59" spans="10:35">
      <c r="Q59" s="182"/>
      <c r="X59" s="14"/>
    </row>
  </sheetData>
  <mergeCells count="9">
    <mergeCell ref="W10:Z10"/>
    <mergeCell ref="B45:D45"/>
    <mergeCell ref="B2:V2"/>
    <mergeCell ref="B3:V3"/>
    <mergeCell ref="B4:V4"/>
    <mergeCell ref="B5:V5"/>
    <mergeCell ref="B6:V6"/>
    <mergeCell ref="B7:V7"/>
    <mergeCell ref="U11:V11"/>
  </mergeCells>
  <printOptions horizontalCentered="1"/>
  <pageMargins left="0.25" right="0.25" top="0.5" bottom="0.5" header="0.5" footer="0.25"/>
  <pageSetup scale="73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Q130"/>
  <sheetViews>
    <sheetView view="pageBreakPreview" zoomScaleNormal="100" zoomScaleSheetLayoutView="100" workbookViewId="0">
      <pane xSplit="1" ySplit="5" topLeftCell="B6" activePane="bottomRight" state="frozen"/>
      <selection activeCell="B1" sqref="B1"/>
      <selection pane="topRight" activeCell="B1" sqref="B1"/>
      <selection pane="bottomLeft" activeCell="B1" sqref="B1"/>
      <selection pane="bottomRight"/>
    </sheetView>
  </sheetViews>
  <sheetFormatPr defaultColWidth="8" defaultRowHeight="12.75"/>
  <cols>
    <col min="1" max="1" width="13.25" style="122" customWidth="1"/>
    <col min="2" max="2" width="7" style="122" customWidth="1"/>
    <col min="3" max="3" width="15.75" style="123" bestFit="1" customWidth="1"/>
    <col min="4" max="4" width="1.625" style="123" customWidth="1"/>
    <col min="5" max="5" width="13" style="123" bestFit="1" customWidth="1"/>
    <col min="6" max="6" width="1.625" style="123" customWidth="1"/>
    <col min="7" max="7" width="15.75" style="123" bestFit="1" customWidth="1"/>
    <col min="8" max="8" width="1.625" style="123" customWidth="1"/>
    <col min="9" max="9" width="14.75" style="121" bestFit="1" customWidth="1"/>
    <col min="10" max="10" width="8.625" style="122" bestFit="1" customWidth="1"/>
    <col min="11" max="12" width="15.875" style="122" bestFit="1" customWidth="1"/>
    <col min="13" max="13" width="16.375" style="122" customWidth="1"/>
    <col min="14" max="14" width="1.625" style="123" customWidth="1"/>
    <col min="15" max="15" width="13.5" style="122" customWidth="1"/>
    <col min="16" max="16" width="14.25" style="122" bestFit="1" customWidth="1"/>
    <col min="17" max="17" width="14.125" style="122" bestFit="1" customWidth="1"/>
    <col min="18" max="16384" width="8" style="122"/>
  </cols>
  <sheetData>
    <row r="1" spans="1:17" ht="15.75">
      <c r="A1" s="118" t="s">
        <v>254</v>
      </c>
      <c r="B1" s="119"/>
      <c r="C1" s="120"/>
      <c r="D1" s="120"/>
      <c r="E1" s="120"/>
      <c r="F1" s="120"/>
      <c r="G1" s="120"/>
      <c r="H1" s="120"/>
    </row>
    <row r="3" spans="1:17">
      <c r="C3" s="120" t="s">
        <v>25</v>
      </c>
      <c r="D3" s="120"/>
      <c r="L3" s="124" t="s">
        <v>255</v>
      </c>
    </row>
    <row r="4" spans="1:17">
      <c r="E4" s="126" t="s">
        <v>259</v>
      </c>
      <c r="J4" s="124" t="s">
        <v>256</v>
      </c>
      <c r="L4" s="124" t="s">
        <v>257</v>
      </c>
    </row>
    <row r="5" spans="1:17">
      <c r="A5" s="122" t="s">
        <v>258</v>
      </c>
      <c r="C5" s="125">
        <v>305</v>
      </c>
      <c r="D5" s="125"/>
      <c r="E5" s="126" t="s">
        <v>291</v>
      </c>
      <c r="F5" s="126"/>
      <c r="G5" s="126" t="s">
        <v>260</v>
      </c>
      <c r="H5" s="126"/>
      <c r="I5" s="127" t="s">
        <v>261</v>
      </c>
      <c r="J5" s="124" t="s">
        <v>262</v>
      </c>
      <c r="K5" s="124" t="s">
        <v>263</v>
      </c>
      <c r="L5" s="124" t="s">
        <v>264</v>
      </c>
      <c r="N5" s="126"/>
    </row>
    <row r="6" spans="1:17">
      <c r="A6" s="122" t="s">
        <v>265</v>
      </c>
      <c r="C6" s="128"/>
      <c r="D6" s="128"/>
      <c r="E6" s="129"/>
      <c r="F6" s="126"/>
      <c r="G6" s="126"/>
      <c r="H6" s="126"/>
      <c r="I6" s="134"/>
      <c r="J6" s="145"/>
      <c r="K6" s="124"/>
      <c r="L6" s="124"/>
      <c r="N6" s="126"/>
    </row>
    <row r="7" spans="1:17" s="750" customFormat="1">
      <c r="A7" s="750" t="s">
        <v>266</v>
      </c>
      <c r="C7" s="751">
        <f>VLOOKUP(A7,'305 Inputs'!$E$116:$H$142,4,FALSE)</f>
        <v>1553800739</v>
      </c>
      <c r="D7" s="751"/>
      <c r="E7" s="752">
        <f>-[60]Sheet1!$D$2+[61]Sheet1!$D$2</f>
        <v>-63981</v>
      </c>
      <c r="F7" s="753"/>
      <c r="G7" s="751">
        <f t="shared" ref="G7:G13" si="0">C7+E7</f>
        <v>1553736758</v>
      </c>
      <c r="H7" s="751"/>
      <c r="I7" s="754">
        <f>[44]Sheet1!$D$2</f>
        <v>1553734264</v>
      </c>
      <c r="J7" s="750">
        <f t="shared" ref="J7:J12" si="1">ROUND(I7/G7*100,3)-100</f>
        <v>0</v>
      </c>
      <c r="K7" s="755">
        <f t="shared" ref="K7:K13" si="2">I7-G7</f>
        <v>-2494</v>
      </c>
      <c r="L7" s="755">
        <f t="shared" ref="L7:L13" si="3">IF(ABS(J7)&lt;=0.5,0,IF(G7&gt;I7,(G7*0.995)-I7,(G7*1.005)-I7))</f>
        <v>0</v>
      </c>
      <c r="N7" s="753"/>
    </row>
    <row r="8" spans="1:17" s="750" customFormat="1">
      <c r="A8" s="750" t="s">
        <v>267</v>
      </c>
      <c r="C8" s="751">
        <f>VLOOKUP(A8,'305 Inputs'!$E$116:$H$142,4,FALSE)</f>
        <v>66140030</v>
      </c>
      <c r="D8" s="751"/>
      <c r="E8" s="752">
        <f>-[60]Sheet1!$D$3+[61]Sheet1!$D$3</f>
        <v>-20467</v>
      </c>
      <c r="F8" s="753"/>
      <c r="G8" s="751">
        <f t="shared" si="0"/>
        <v>66119563</v>
      </c>
      <c r="H8" s="751"/>
      <c r="I8" s="754">
        <f>[44]Sheet1!$D$3</f>
        <v>66119565</v>
      </c>
      <c r="J8" s="750">
        <f t="shared" si="1"/>
        <v>0</v>
      </c>
      <c r="K8" s="755">
        <f t="shared" si="2"/>
        <v>2</v>
      </c>
      <c r="L8" s="755">
        <f t="shared" si="3"/>
        <v>0</v>
      </c>
      <c r="N8" s="753"/>
    </row>
    <row r="9" spans="1:17" s="750" customFormat="1">
      <c r="A9" s="750" t="s">
        <v>268</v>
      </c>
      <c r="C9" s="751">
        <f>VLOOKUP(A9,'305 Inputs'!$E$116:$H$142,4,FALSE)</f>
        <v>2277450</v>
      </c>
      <c r="D9" s="985"/>
      <c r="E9" s="752">
        <f>[92]Sheet1!$D$2</f>
        <v>11840</v>
      </c>
      <c r="F9" s="753"/>
      <c r="G9" s="751">
        <f t="shared" si="0"/>
        <v>2289290</v>
      </c>
      <c r="H9" s="751"/>
      <c r="I9" s="754">
        <f>[46]Sheet1!$D$2</f>
        <v>2289290</v>
      </c>
      <c r="J9" s="750">
        <f t="shared" si="1"/>
        <v>0</v>
      </c>
      <c r="K9" s="755">
        <f t="shared" si="2"/>
        <v>0</v>
      </c>
      <c r="L9" s="755">
        <f t="shared" si="3"/>
        <v>0</v>
      </c>
      <c r="N9" s="753"/>
    </row>
    <row r="10" spans="1:17" s="750" customFormat="1">
      <c r="A10" s="750" t="s">
        <v>269</v>
      </c>
      <c r="C10" s="751">
        <f>VLOOKUP(A10,'305 Inputs'!$E$116:$H$142,4,FALSE)</f>
        <v>435337</v>
      </c>
      <c r="D10" s="751"/>
      <c r="E10" s="752">
        <f>[92]Sheet1!$D$3</f>
        <v>2379</v>
      </c>
      <c r="F10" s="753"/>
      <c r="G10" s="751">
        <f t="shared" si="0"/>
        <v>437716</v>
      </c>
      <c r="H10" s="751"/>
      <c r="I10" s="754">
        <f>[46]Sheet1!$D$3</f>
        <v>437716</v>
      </c>
      <c r="J10" s="750">
        <f t="shared" si="1"/>
        <v>0</v>
      </c>
      <c r="K10" s="755">
        <f t="shared" si="2"/>
        <v>0</v>
      </c>
      <c r="L10" s="755">
        <f t="shared" si="3"/>
        <v>0</v>
      </c>
      <c r="M10" s="756"/>
      <c r="N10" s="753"/>
      <c r="P10" s="756"/>
    </row>
    <row r="11" spans="1:17" s="750" customFormat="1">
      <c r="A11" s="750" t="s">
        <v>250</v>
      </c>
      <c r="C11" s="751">
        <f>VLOOKUP(A11,'305 Inputs'!$E$116:$H$142,4,FALSE)</f>
        <v>1371628</v>
      </c>
      <c r="D11" s="751"/>
      <c r="E11" s="752">
        <f>-[63]Sheet1!$D$2+[64]Sheet1!$D$2</f>
        <v>-2723</v>
      </c>
      <c r="F11" s="753"/>
      <c r="G11" s="751">
        <f t="shared" si="0"/>
        <v>1368905</v>
      </c>
      <c r="H11" s="751"/>
      <c r="I11" s="754">
        <f>[45]Sheet1!$D$2</f>
        <v>1368906</v>
      </c>
      <c r="J11" s="750">
        <f t="shared" si="1"/>
        <v>0</v>
      </c>
      <c r="K11" s="755">
        <f t="shared" si="2"/>
        <v>1</v>
      </c>
      <c r="L11" s="755">
        <f t="shared" si="3"/>
        <v>0</v>
      </c>
      <c r="M11" s="756"/>
      <c r="N11" s="753"/>
      <c r="P11" s="756"/>
    </row>
    <row r="12" spans="1:17" s="1169" customFormat="1">
      <c r="A12" s="1169" t="s">
        <v>270</v>
      </c>
      <c r="C12" s="1170">
        <f>VLOOKUP(A12,'305 Inputs'!$E$116:$H$142,4,FALSE)</f>
        <v>1050961</v>
      </c>
      <c r="D12" s="1170"/>
      <c r="E12" s="1171">
        <f>[65]Sheet1!$C$10-[66]Sheet1!$C$10</f>
        <v>1755</v>
      </c>
      <c r="F12" s="1172"/>
      <c r="G12" s="1170">
        <f t="shared" si="0"/>
        <v>1052716</v>
      </c>
      <c r="H12" s="1170"/>
      <c r="I12" s="1173">
        <f>[43]Sheet1!$D$28</f>
        <v>1061743</v>
      </c>
      <c r="J12" s="1169">
        <f t="shared" si="1"/>
        <v>0.85699999999999932</v>
      </c>
      <c r="K12" s="1174">
        <f t="shared" si="2"/>
        <v>9027</v>
      </c>
      <c r="L12" s="1174">
        <f t="shared" si="3"/>
        <v>-3763.4200000001583</v>
      </c>
      <c r="N12" s="1172"/>
    </row>
    <row r="13" spans="1:17" s="131" customFormat="1">
      <c r="A13" s="131" t="s">
        <v>749</v>
      </c>
      <c r="C13" s="133">
        <f>VLOOKUP(A13,'305 Inputs'!$E$116:$H$142,4,FALSE)</f>
        <v>7081030</v>
      </c>
      <c r="D13" s="133"/>
      <c r="E13" s="983">
        <f>[67]Sheet1!$G$19-[68]Sheet1!$G$17</f>
        <v>33126</v>
      </c>
      <c r="F13" s="128"/>
      <c r="G13" s="133">
        <f t="shared" si="0"/>
        <v>7114156</v>
      </c>
      <c r="H13" s="133"/>
      <c r="I13" s="134">
        <f>[47]Sheet1!$H$32</f>
        <v>7119713</v>
      </c>
      <c r="J13" s="131">
        <f>ROUND(I13/G13*100,3)-100</f>
        <v>7.8000000000002956E-2</v>
      </c>
      <c r="K13" s="135">
        <f t="shared" si="2"/>
        <v>5557</v>
      </c>
      <c r="L13" s="135">
        <f t="shared" si="3"/>
        <v>0</v>
      </c>
      <c r="M13" s="136" t="s">
        <v>31</v>
      </c>
      <c r="N13" s="128"/>
      <c r="O13" s="136"/>
      <c r="P13" s="136"/>
      <c r="Q13" s="136"/>
    </row>
    <row r="14" spans="1:17" s="131" customFormat="1">
      <c r="A14" s="131" t="s">
        <v>271</v>
      </c>
      <c r="C14" s="133">
        <f>SUM(C7:C13)</f>
        <v>1632157175</v>
      </c>
      <c r="D14" s="133"/>
      <c r="E14" s="133">
        <f>SUM(E7:E13)</f>
        <v>-38071</v>
      </c>
      <c r="F14" s="128"/>
      <c r="G14" s="133">
        <f>SUM(G7:G13)</f>
        <v>1632119104</v>
      </c>
      <c r="H14" s="133"/>
      <c r="I14" s="133">
        <f>SUM(I7:I13)</f>
        <v>1632131197</v>
      </c>
      <c r="K14" s="135">
        <f>SUM(K7:K13)</f>
        <v>12093</v>
      </c>
      <c r="L14" s="135"/>
      <c r="M14" s="136"/>
      <c r="N14" s="133"/>
      <c r="P14" s="136"/>
    </row>
    <row r="15" spans="1:17" s="131" customFormat="1">
      <c r="C15" s="133"/>
      <c r="D15" s="133"/>
      <c r="E15" s="128"/>
      <c r="F15" s="128"/>
      <c r="G15" s="128"/>
      <c r="H15" s="128"/>
      <c r="I15" s="134"/>
      <c r="K15" s="135"/>
      <c r="L15" s="135"/>
      <c r="M15" s="136"/>
      <c r="N15" s="128"/>
      <c r="O15" s="984" t="s">
        <v>31</v>
      </c>
      <c r="P15" s="136"/>
    </row>
    <row r="16" spans="1:17" s="131" customFormat="1">
      <c r="C16" s="133"/>
      <c r="D16" s="133"/>
      <c r="E16" s="128"/>
      <c r="F16" s="128"/>
      <c r="G16" s="128"/>
      <c r="H16" s="128"/>
      <c r="I16" s="134"/>
      <c r="K16" s="135"/>
      <c r="L16" s="135"/>
      <c r="M16" s="136"/>
      <c r="N16" s="128"/>
      <c r="P16" s="136"/>
    </row>
    <row r="17" spans="1:17" s="131" customFormat="1">
      <c r="A17" s="131" t="s">
        <v>272</v>
      </c>
      <c r="C17" s="133"/>
      <c r="D17" s="133"/>
      <c r="E17" s="128"/>
      <c r="F17" s="128"/>
      <c r="G17" s="128"/>
      <c r="H17" s="128"/>
      <c r="I17" s="134"/>
      <c r="K17" s="135"/>
      <c r="L17" s="135"/>
      <c r="M17" s="136"/>
      <c r="N17" s="128"/>
      <c r="P17" s="136"/>
    </row>
    <row r="18" spans="1:17" s="131" customFormat="1">
      <c r="A18" s="131" t="s">
        <v>51</v>
      </c>
      <c r="C18" s="133">
        <f>VLOOKUP(A18,'305 Inputs'!$E$7:$H$43,4,FALSE)+'305 Inputs'!H29</f>
        <v>524385535</v>
      </c>
      <c r="D18" s="133"/>
      <c r="E18" s="983">
        <f>[67]Sheet1!$G$16-[68]Sheet1!$G$14</f>
        <v>-411923</v>
      </c>
      <c r="F18" s="128"/>
      <c r="G18" s="133">
        <f t="shared" ref="G18:G27" si="4">C18+E18</f>
        <v>523973612</v>
      </c>
      <c r="H18" s="133"/>
      <c r="I18" s="134">
        <f>[47]Sheet1!$H$29</f>
        <v>524490145</v>
      </c>
      <c r="J18" s="131">
        <f>ROUND(I18/G18*100,3)-100</f>
        <v>9.9000000000003752E-2</v>
      </c>
      <c r="K18" s="135">
        <f t="shared" ref="K18:K27" si="5">I18-G18</f>
        <v>516533</v>
      </c>
      <c r="L18" s="135">
        <f t="shared" ref="L18:L28" si="6">IF(ABS(J18)&lt;=0.5,0,IF(G18&gt;I18,(G18*0.995)-I18,(G18*1.005)-I18))</f>
        <v>0</v>
      </c>
      <c r="M18" s="136" t="s">
        <v>31</v>
      </c>
      <c r="N18" s="128"/>
      <c r="O18" s="136"/>
      <c r="P18" s="136"/>
      <c r="Q18" s="136"/>
    </row>
    <row r="19" spans="1:17" s="750" customFormat="1">
      <c r="A19" s="750" t="s">
        <v>52</v>
      </c>
      <c r="C19" s="751">
        <f>VLOOKUP(A19,'305 Inputs'!$E$7:$H$43,4,FALSE)+'305 Inputs'!H37</f>
        <v>1282106</v>
      </c>
      <c r="D19" s="751"/>
      <c r="E19" s="752">
        <f>[69]Sheet1!$E$2+[69]Sheet1!$F$2-[70]Sheet1!$E$5-[70]Sheet1!$F$5</f>
        <v>-12786.987080292</v>
      </c>
      <c r="F19" s="753"/>
      <c r="G19" s="751">
        <f t="shared" si="4"/>
        <v>1269319.0129197079</v>
      </c>
      <c r="H19" s="751"/>
      <c r="I19" s="754">
        <f>[48]Sheet1!$E$6+[48]Sheet1!$F$6</f>
        <v>1269318.6605672329</v>
      </c>
      <c r="J19" s="750">
        <f>ROUND(I19/G19*100,3)-100</f>
        <v>0</v>
      </c>
      <c r="K19" s="755">
        <f t="shared" si="5"/>
        <v>-0.35235247504897416</v>
      </c>
      <c r="L19" s="755">
        <f t="shared" si="6"/>
        <v>0</v>
      </c>
      <c r="M19" s="750" t="s">
        <v>31</v>
      </c>
      <c r="N19" s="1175"/>
    </row>
    <row r="20" spans="1:17" s="750" customFormat="1">
      <c r="A20" s="993" t="s">
        <v>298</v>
      </c>
      <c r="C20" s="751">
        <f>VLOOKUP(A20,'305 Inputs'!$E$7:$H$43,4,FALSE)</f>
        <v>455587</v>
      </c>
      <c r="D20" s="751"/>
      <c r="E20" s="752">
        <f>[71]Sheet1!$G$2-[72]Sheet1!$G$2</f>
        <v>4866</v>
      </c>
      <c r="F20" s="753"/>
      <c r="G20" s="751">
        <f t="shared" si="4"/>
        <v>460453</v>
      </c>
      <c r="H20" s="751"/>
      <c r="I20" s="754">
        <f>[49]Sheet1!$H$6</f>
        <v>460453</v>
      </c>
      <c r="J20" s="750">
        <f>ROUND(I20/G20*100,3)-100</f>
        <v>0</v>
      </c>
      <c r="K20" s="755">
        <f t="shared" si="5"/>
        <v>0</v>
      </c>
      <c r="L20" s="755">
        <f t="shared" si="6"/>
        <v>0</v>
      </c>
      <c r="N20" s="753"/>
    </row>
    <row r="21" spans="1:17" s="750" customFormat="1">
      <c r="A21" s="750" t="s">
        <v>273</v>
      </c>
      <c r="C21" s="751">
        <v>0</v>
      </c>
      <c r="D21" s="751"/>
      <c r="E21" s="752">
        <v>0</v>
      </c>
      <c r="F21" s="753"/>
      <c r="G21" s="751">
        <f t="shared" si="4"/>
        <v>0</v>
      </c>
      <c r="H21" s="751"/>
      <c r="I21" s="754">
        <v>0</v>
      </c>
      <c r="J21" s="750">
        <v>0</v>
      </c>
      <c r="K21" s="755">
        <f t="shared" si="5"/>
        <v>0</v>
      </c>
      <c r="L21" s="755">
        <f t="shared" si="6"/>
        <v>0</v>
      </c>
      <c r="N21" s="753"/>
    </row>
    <row r="22" spans="1:17" s="750" customFormat="1">
      <c r="A22" s="750" t="s">
        <v>53</v>
      </c>
      <c r="C22" s="751">
        <f>VLOOKUP(A22,'305 Inputs'!$E$7:$H$43,4,FALSE)+'305 Inputs'!H33</f>
        <v>804481174</v>
      </c>
      <c r="D22" s="751"/>
      <c r="E22" s="752">
        <f>[73]Sheet1!$H$11-[74]Sheet1!$H$14</f>
        <v>-285360</v>
      </c>
      <c r="F22" s="753"/>
      <c r="G22" s="751">
        <f t="shared" si="4"/>
        <v>804195814</v>
      </c>
      <c r="H22" s="751"/>
      <c r="I22" s="754">
        <f>[79]Sheet1!$H$22</f>
        <v>804202054</v>
      </c>
      <c r="J22" s="750">
        <f t="shared" ref="J22:J27" si="7">ROUND(I22/G22*100,3)-100</f>
        <v>1.0000000000047748E-3</v>
      </c>
      <c r="K22" s="755">
        <f t="shared" si="5"/>
        <v>6240</v>
      </c>
      <c r="L22" s="755">
        <f t="shared" si="6"/>
        <v>0</v>
      </c>
      <c r="N22" s="753"/>
    </row>
    <row r="23" spans="1:17" s="750" customFormat="1">
      <c r="A23" s="750" t="s">
        <v>54</v>
      </c>
      <c r="C23" s="751">
        <f>VLOOKUP(A23,'305 Inputs'!$E$7:$H$43,4,FALSE)+'305 Inputs'!H44</f>
        <v>173025362</v>
      </c>
      <c r="D23" s="751"/>
      <c r="E23" s="752">
        <f>-[75]Sheet1!$H$2</f>
        <v>-728400</v>
      </c>
      <c r="F23" s="753"/>
      <c r="G23" s="751">
        <f t="shared" si="4"/>
        <v>172296962</v>
      </c>
      <c r="H23" s="751"/>
      <c r="I23" s="754">
        <f>[53]Sheet1!$H$2+[53]Sheet1!$H$3+[93]Sheet1!$G$4</f>
        <v>172296962</v>
      </c>
      <c r="J23" s="750">
        <f t="shared" si="7"/>
        <v>0</v>
      </c>
      <c r="K23" s="755">
        <f t="shared" si="5"/>
        <v>0</v>
      </c>
      <c r="L23" s="755">
        <f t="shared" si="6"/>
        <v>0</v>
      </c>
      <c r="N23" s="753"/>
    </row>
    <row r="24" spans="1:17" s="1169" customFormat="1">
      <c r="A24" s="1169" t="s">
        <v>55</v>
      </c>
      <c r="C24" s="1170">
        <f>VLOOKUP(A24,'305 Inputs'!$E$7:$H$43,4,FALSE)+'305 Inputs'!H35</f>
        <v>2130486</v>
      </c>
      <c r="D24" s="1170"/>
      <c r="E24" s="1171">
        <f>[65]Sheet1!$C$8-[66]Sheet1!$C$8</f>
        <v>15292</v>
      </c>
      <c r="F24" s="1172"/>
      <c r="G24" s="1170">
        <f t="shared" si="4"/>
        <v>2145778</v>
      </c>
      <c r="H24" s="1170"/>
      <c r="I24" s="1173">
        <f>[43]Sheet1!$D$26</f>
        <v>2156448</v>
      </c>
      <c r="J24" s="1169">
        <f t="shared" si="7"/>
        <v>0.49699999999999989</v>
      </c>
      <c r="K24" s="1174">
        <f t="shared" si="5"/>
        <v>10670</v>
      </c>
      <c r="L24" s="1174">
        <f t="shared" si="6"/>
        <v>0</v>
      </c>
      <c r="N24" s="1172"/>
    </row>
    <row r="25" spans="1:17" s="750" customFormat="1">
      <c r="A25" s="750" t="s">
        <v>56</v>
      </c>
      <c r="C25" s="751">
        <f>VLOOKUP(A25,'305 Inputs'!$E$7:$H$43,4,FALSE)</f>
        <v>296094</v>
      </c>
      <c r="D25" s="751"/>
      <c r="E25" s="752">
        <f>-[76]Sheet1!$D$5</f>
        <v>-708</v>
      </c>
      <c r="F25" s="753"/>
      <c r="G25" s="751">
        <f t="shared" si="4"/>
        <v>295386</v>
      </c>
      <c r="H25" s="751"/>
      <c r="I25" s="754">
        <f>[58]Sheet1!$D$5</f>
        <v>295386</v>
      </c>
      <c r="J25" s="750">
        <f t="shared" si="7"/>
        <v>0</v>
      </c>
      <c r="K25" s="755">
        <f t="shared" si="5"/>
        <v>0</v>
      </c>
      <c r="L25" s="755">
        <f t="shared" si="6"/>
        <v>0</v>
      </c>
      <c r="N25" s="753"/>
    </row>
    <row r="26" spans="1:17" s="750" customFormat="1">
      <c r="A26" s="750" t="s">
        <v>218</v>
      </c>
      <c r="C26" s="751">
        <f>VLOOKUP(A26,'305 Inputs'!$E$7:$H$43,4,FALSE)</f>
        <v>760934</v>
      </c>
      <c r="D26" s="751"/>
      <c r="E26" s="752">
        <f>[67]Sheet1!$G$17</f>
        <v>0</v>
      </c>
      <c r="F26" s="753"/>
      <c r="G26" s="751">
        <f t="shared" ref="G26" si="8">C26+E26</f>
        <v>760934</v>
      </c>
      <c r="H26" s="751"/>
      <c r="I26" s="754">
        <f>[47]Sheet1!$H$30</f>
        <v>760934</v>
      </c>
      <c r="J26" s="750">
        <f t="shared" si="7"/>
        <v>0</v>
      </c>
      <c r="K26" s="755">
        <f t="shared" ref="K26" si="9">I26-G26</f>
        <v>0</v>
      </c>
      <c r="L26" s="755">
        <f t="shared" ref="L26" si="10">IF(ABS(J26)&lt;=0.5,0,IF(G26&gt;I26,(G26*0.995)-I26,(G26*1.005)-I26))</f>
        <v>0</v>
      </c>
      <c r="N26" s="753"/>
    </row>
    <row r="27" spans="1:17" s="750" customFormat="1">
      <c r="A27" s="750" t="s">
        <v>691</v>
      </c>
      <c r="C27" s="751">
        <f>VLOOKUP(A27,'305 Inputs'!$E$7:$H$43,4,FALSE)</f>
        <v>1141600</v>
      </c>
      <c r="D27" s="751"/>
      <c r="E27" s="752">
        <v>0</v>
      </c>
      <c r="F27" s="753"/>
      <c r="G27" s="751">
        <f t="shared" si="4"/>
        <v>1141600</v>
      </c>
      <c r="H27" s="751"/>
      <c r="I27" s="754">
        <f>[79]Sheet1!$H$24</f>
        <v>1141600</v>
      </c>
      <c r="J27" s="750">
        <f t="shared" si="7"/>
        <v>0</v>
      </c>
      <c r="K27" s="755">
        <f t="shared" si="5"/>
        <v>0</v>
      </c>
      <c r="L27" s="755">
        <f t="shared" si="6"/>
        <v>0</v>
      </c>
      <c r="N27" s="753"/>
    </row>
    <row r="28" spans="1:17">
      <c r="A28" s="122" t="s">
        <v>274</v>
      </c>
      <c r="C28" s="133">
        <f>SUM(C18:C27)</f>
        <v>1507958878</v>
      </c>
      <c r="D28" s="133"/>
      <c r="E28" s="133">
        <f>SUM(E18:E27)</f>
        <v>-1419019.9870802921</v>
      </c>
      <c r="G28" s="121">
        <f>SUM(G18:G27)</f>
        <v>1506539858.0129197</v>
      </c>
      <c r="H28" s="121"/>
      <c r="I28" s="121">
        <f>SUM(I18:I27)</f>
        <v>1507073300.6605673</v>
      </c>
      <c r="K28" s="146">
        <f>SUM(K18:K27)</f>
        <v>533442.64764752495</v>
      </c>
      <c r="L28" s="135">
        <f t="shared" si="6"/>
        <v>0</v>
      </c>
    </row>
    <row r="29" spans="1:17">
      <c r="C29" s="133"/>
      <c r="D29" s="133"/>
      <c r="E29" s="133"/>
      <c r="G29" s="126"/>
      <c r="H29" s="126"/>
      <c r="I29" s="138"/>
      <c r="K29" s="146"/>
      <c r="L29" s="146"/>
    </row>
    <row r="30" spans="1:17">
      <c r="C30" s="137"/>
      <c r="D30" s="137"/>
      <c r="E30" s="133"/>
      <c r="I30" s="138"/>
      <c r="K30" s="146"/>
      <c r="L30" s="145"/>
    </row>
    <row r="31" spans="1:17">
      <c r="A31" s="122" t="s">
        <v>275</v>
      </c>
      <c r="C31" s="133"/>
      <c r="D31" s="133"/>
      <c r="E31" s="133"/>
      <c r="F31" s="126"/>
      <c r="G31" s="126"/>
      <c r="H31" s="126"/>
      <c r="I31" s="138"/>
      <c r="K31" s="145"/>
      <c r="L31" s="145"/>
      <c r="N31" s="126"/>
    </row>
    <row r="32" spans="1:17" s="131" customFormat="1">
      <c r="A32" s="131" t="s">
        <v>51</v>
      </c>
      <c r="C32" s="133">
        <f>VLOOKUP(A32,'305 Inputs'!$E$51:$H$71,4,FALSE)+'305 Inputs'!H64</f>
        <v>19296979</v>
      </c>
      <c r="D32" s="133"/>
      <c r="E32" s="983">
        <f>[67]Sheet1!$G$18-[68]Sheet1!$G$16</f>
        <v>-75954</v>
      </c>
      <c r="F32" s="128"/>
      <c r="G32" s="133">
        <f t="shared" ref="G32:G40" si="11">C32+E32</f>
        <v>19221025</v>
      </c>
      <c r="H32" s="133"/>
      <c r="I32" s="134">
        <f>[47]Sheet1!$H$31</f>
        <v>18698937</v>
      </c>
      <c r="J32" s="131">
        <f t="shared" ref="J32:J40" si="12">ROUND(I32/G32*100,3)-100</f>
        <v>-2.715999999999994</v>
      </c>
      <c r="K32" s="135">
        <f t="shared" ref="K32:K40" si="13">I32-G32</f>
        <v>-522088</v>
      </c>
      <c r="L32" s="135">
        <f t="shared" ref="L32:L40" si="14">IF(ABS(J32)&lt;=0.5,0,IF(G32&gt;I32,(G32*0.995)-I32,(G32*1.005)-I32))</f>
        <v>425982.875</v>
      </c>
      <c r="M32" s="135"/>
      <c r="N32" s="133"/>
      <c r="O32" s="135"/>
    </row>
    <row r="33" spans="1:14" s="750" customFormat="1">
      <c r="A33" s="750" t="s">
        <v>52</v>
      </c>
      <c r="C33" s="751">
        <f>VLOOKUP(A33,'305 Inputs'!$E$51:$H$71,4,FALSE)</f>
        <v>33313</v>
      </c>
      <c r="D33" s="751"/>
      <c r="E33" s="752">
        <v>0</v>
      </c>
      <c r="F33" s="753"/>
      <c r="G33" s="751">
        <f t="shared" si="11"/>
        <v>33313</v>
      </c>
      <c r="H33" s="751"/>
      <c r="I33" s="754">
        <f>[48]Sheet1!$E$7</f>
        <v>33313</v>
      </c>
      <c r="J33" s="750">
        <f t="shared" si="12"/>
        <v>0</v>
      </c>
      <c r="K33" s="755">
        <f t="shared" si="13"/>
        <v>0</v>
      </c>
      <c r="L33" s="755">
        <f t="shared" si="14"/>
        <v>0</v>
      </c>
      <c r="N33" s="751"/>
    </row>
    <row r="34" spans="1:14" s="750" customFormat="1">
      <c r="A34" s="993" t="s">
        <v>298</v>
      </c>
      <c r="C34" s="751">
        <f>VLOOKUP(A34,'305 Inputs'!$E$51:$H$71,4,FALSE)</f>
        <v>9552</v>
      </c>
      <c r="D34" s="751"/>
      <c r="E34" s="752">
        <f>0</f>
        <v>0</v>
      </c>
      <c r="F34" s="753"/>
      <c r="G34" s="751">
        <f t="shared" si="11"/>
        <v>9552</v>
      </c>
      <c r="H34" s="751"/>
      <c r="I34" s="754">
        <f>[49]Sheet1!$H$7</f>
        <v>9552</v>
      </c>
      <c r="J34" s="750">
        <f t="shared" si="12"/>
        <v>0</v>
      </c>
      <c r="K34" s="755">
        <f t="shared" si="13"/>
        <v>0</v>
      </c>
      <c r="L34" s="755">
        <f t="shared" si="14"/>
        <v>0</v>
      </c>
      <c r="N34" s="751"/>
    </row>
    <row r="35" spans="1:14" s="750" customFormat="1">
      <c r="A35" s="750" t="s">
        <v>53</v>
      </c>
      <c r="C35" s="751">
        <f>VLOOKUP(A35,'305 Inputs'!$E$51:$H$71,4,FALSE)+'305 Inputs'!H68</f>
        <v>106226160</v>
      </c>
      <c r="D35" s="751"/>
      <c r="E35" s="752">
        <f>[77]Sheet1!$H$12-[78]Sheet1!$H$15</f>
        <v>-612161</v>
      </c>
      <c r="F35" s="753"/>
      <c r="G35" s="751">
        <f t="shared" si="11"/>
        <v>105613999</v>
      </c>
      <c r="H35" s="751"/>
      <c r="I35" s="754">
        <f>[79]Sheet1!$H$23</f>
        <v>105607759</v>
      </c>
      <c r="J35" s="750">
        <f t="shared" si="12"/>
        <v>-6.0000000000002274E-3</v>
      </c>
      <c r="K35" s="755">
        <f t="shared" si="13"/>
        <v>-6240</v>
      </c>
      <c r="L35" s="755">
        <f t="shared" si="14"/>
        <v>0</v>
      </c>
      <c r="N35" s="751"/>
    </row>
    <row r="36" spans="1:14" s="750" customFormat="1">
      <c r="A36" s="750" t="s">
        <v>165</v>
      </c>
      <c r="C36" s="751">
        <f>VLOOKUP(A36,'305 Inputs'!$E$51:$H$71,4,FALSE)</f>
        <v>2049000</v>
      </c>
      <c r="D36" s="751"/>
      <c r="E36" s="752">
        <f>[80]Sheet1!$H$2-[81]Sheet1!$H$2</f>
        <v>-22000</v>
      </c>
      <c r="F36" s="753"/>
      <c r="G36" s="751">
        <f t="shared" si="11"/>
        <v>2027000</v>
      </c>
      <c r="H36" s="751"/>
      <c r="I36" s="754">
        <f>[52]Sheet1!$G$2</f>
        <v>2027000</v>
      </c>
      <c r="J36" s="750">
        <f t="shared" si="12"/>
        <v>0</v>
      </c>
      <c r="K36" s="755">
        <f t="shared" si="13"/>
        <v>0</v>
      </c>
      <c r="L36" s="755">
        <f t="shared" si="14"/>
        <v>0</v>
      </c>
      <c r="N36" s="751"/>
    </row>
    <row r="37" spans="1:14" s="750" customFormat="1">
      <c r="A37" s="750" t="s">
        <v>54</v>
      </c>
      <c r="C37" s="751">
        <f>VLOOKUP(A37,'305 Inputs'!$E$51:$H$71,4,FALSE)-C38</f>
        <v>222311754</v>
      </c>
      <c r="D37" s="751"/>
      <c r="E37" s="752">
        <f>[82]Sheet1!$H$2-[75]Sheet1!$H$3</f>
        <v>-1179400</v>
      </c>
      <c r="F37" s="753"/>
      <c r="G37" s="751">
        <f t="shared" si="11"/>
        <v>221132354</v>
      </c>
      <c r="H37" s="751"/>
      <c r="I37" s="754">
        <f>[53]Sheet1!$H$5+[53]Sheet1!$H$6</f>
        <v>221132355</v>
      </c>
      <c r="J37" s="750">
        <f t="shared" si="12"/>
        <v>0</v>
      </c>
      <c r="K37" s="755">
        <f t="shared" si="13"/>
        <v>1</v>
      </c>
      <c r="L37" s="755">
        <f t="shared" si="14"/>
        <v>0</v>
      </c>
      <c r="N37" s="751"/>
    </row>
    <row r="38" spans="1:14" s="750" customFormat="1">
      <c r="A38" s="750" t="s">
        <v>587</v>
      </c>
      <c r="C38" s="751">
        <f>[83]Sheet1!$G$2</f>
        <v>455274000</v>
      </c>
      <c r="D38" s="751"/>
      <c r="E38" s="752">
        <v>0</v>
      </c>
      <c r="F38" s="753"/>
      <c r="G38" s="751">
        <f t="shared" ref="G38" si="15">C38+E38</f>
        <v>455274000</v>
      </c>
      <c r="H38" s="751"/>
      <c r="I38" s="754">
        <f>[54]Sheet1!$F$2</f>
        <v>455274000</v>
      </c>
      <c r="J38" s="750">
        <f t="shared" ref="J38" si="16">ROUND(I38/G38*100,3)-100</f>
        <v>0</v>
      </c>
      <c r="K38" s="755">
        <f t="shared" ref="K38" si="17">I38-G38</f>
        <v>0</v>
      </c>
      <c r="L38" s="755">
        <f t="shared" ref="L38" si="18">IF(ABS(J38)&lt;=0.5,0,IF(G38&gt;I38,(G38*0.995)-I38,(G38*1.005)-I38))</f>
        <v>0</v>
      </c>
      <c r="N38" s="751"/>
    </row>
    <row r="39" spans="1:14" s="750" customFormat="1">
      <c r="A39" s="750" t="s">
        <v>60</v>
      </c>
      <c r="C39" s="751">
        <v>0</v>
      </c>
      <c r="D39" s="751"/>
      <c r="E39" s="752">
        <v>0</v>
      </c>
      <c r="F39" s="753"/>
      <c r="G39" s="751">
        <f t="shared" si="11"/>
        <v>0</v>
      </c>
      <c r="H39" s="751"/>
      <c r="I39" s="754">
        <v>0</v>
      </c>
      <c r="J39" s="750" t="e">
        <f t="shared" si="12"/>
        <v>#DIV/0!</v>
      </c>
      <c r="K39" s="755">
        <f t="shared" si="13"/>
        <v>0</v>
      </c>
      <c r="L39" s="755" t="e">
        <f t="shared" si="14"/>
        <v>#DIV/0!</v>
      </c>
      <c r="N39" s="751"/>
    </row>
    <row r="40" spans="1:14" s="1169" customFormat="1">
      <c r="A40" s="1169" t="s">
        <v>55</v>
      </c>
      <c r="C40" s="1170">
        <f>VLOOKUP(A40,'305 Inputs'!$E$51:$H$71,4,FALSE)+'305 Inputs'!H70</f>
        <v>142600</v>
      </c>
      <c r="D40" s="1170"/>
      <c r="E40" s="1171">
        <f>[65]Sheet1!$C$9-[66]Sheet1!$C$9</f>
        <v>10470</v>
      </c>
      <c r="F40" s="1172"/>
      <c r="G40" s="1170">
        <f t="shared" si="11"/>
        <v>153070</v>
      </c>
      <c r="H40" s="1170"/>
      <c r="I40" s="1173">
        <f>[43]Sheet1!$D$27</f>
        <v>149372</v>
      </c>
      <c r="J40" s="1169">
        <f t="shared" si="12"/>
        <v>-2.4159999999999968</v>
      </c>
      <c r="K40" s="1174">
        <f t="shared" si="13"/>
        <v>-3698</v>
      </c>
      <c r="L40" s="1174">
        <f t="shared" si="14"/>
        <v>2932.6499999999942</v>
      </c>
      <c r="N40" s="1170"/>
    </row>
    <row r="41" spans="1:14" s="131" customFormat="1">
      <c r="A41" s="131" t="s">
        <v>276</v>
      </c>
      <c r="C41" s="133">
        <f>SUM(C32:C40)</f>
        <v>805343358</v>
      </c>
      <c r="D41" s="133"/>
      <c r="E41" s="133">
        <f>SUM(E32:E40)</f>
        <v>-1879045</v>
      </c>
      <c r="F41" s="128"/>
      <c r="G41" s="133">
        <f>SUM(G32:G40)</f>
        <v>803464313</v>
      </c>
      <c r="H41" s="133"/>
      <c r="I41" s="133">
        <f>SUM(I32:I40)</f>
        <v>802932288</v>
      </c>
      <c r="K41" s="133">
        <f>SUM(K32:K40)</f>
        <v>-532025</v>
      </c>
      <c r="L41" s="135"/>
      <c r="N41" s="133"/>
    </row>
    <row r="42" spans="1:14" s="131" customFormat="1">
      <c r="C42" s="133"/>
      <c r="D42" s="133"/>
      <c r="E42" s="128"/>
      <c r="F42" s="128"/>
      <c r="G42" s="133"/>
      <c r="H42" s="133"/>
      <c r="I42" s="134"/>
      <c r="K42" s="133"/>
      <c r="L42" s="135"/>
      <c r="N42" s="133"/>
    </row>
    <row r="43" spans="1:14" s="131" customFormat="1">
      <c r="C43" s="133"/>
      <c r="D43" s="133"/>
      <c r="E43" s="128"/>
      <c r="F43" s="128"/>
      <c r="G43" s="133"/>
      <c r="H43" s="133"/>
      <c r="I43" s="134"/>
      <c r="K43" s="133"/>
      <c r="L43" s="135"/>
      <c r="N43" s="133"/>
    </row>
    <row r="44" spans="1:14" s="131" customFormat="1">
      <c r="A44" s="131" t="s">
        <v>277</v>
      </c>
      <c r="C44" s="133"/>
      <c r="D44" s="133"/>
      <c r="E44" s="128"/>
      <c r="F44" s="128"/>
      <c r="G44" s="133"/>
      <c r="H44" s="133"/>
      <c r="I44" s="134"/>
      <c r="K44" s="133"/>
      <c r="L44" s="135"/>
      <c r="N44" s="133"/>
    </row>
    <row r="45" spans="1:14" s="750" customFormat="1">
      <c r="A45" s="750" t="s">
        <v>58</v>
      </c>
      <c r="C45" s="751">
        <f>VLOOKUP(A45,'305 Inputs'!$E$77:$H$96,4,FALSE)+'305 Inputs'!H95</f>
        <v>155921346</v>
      </c>
      <c r="D45" s="751"/>
      <c r="E45" s="752">
        <f>[84]Sheet1!$L$8-[85]Sheet1!$L$8</f>
        <v>-36768</v>
      </c>
      <c r="F45" s="753"/>
      <c r="G45" s="751">
        <f>C45+E45</f>
        <v>155884578</v>
      </c>
      <c r="H45" s="751"/>
      <c r="I45" s="754">
        <f>[51]Sheet1!$L$15</f>
        <v>155884579</v>
      </c>
      <c r="J45" s="750">
        <f>ROUND(I45/G45*100,3)-100</f>
        <v>0</v>
      </c>
      <c r="K45" s="755">
        <f t="shared" ref="K45:K55" si="19">I45-G45</f>
        <v>1</v>
      </c>
      <c r="L45" s="755">
        <f>IF(ABS(J45)&lt;=0.5,0,IF(G45&gt;I45,(G45*0.995)-I45,(G45*1.005)-I45))</f>
        <v>0</v>
      </c>
      <c r="N45" s="751"/>
    </row>
    <row r="46" spans="1:14" s="750" customFormat="1">
      <c r="A46" s="750" t="s">
        <v>59</v>
      </c>
      <c r="C46" s="751">
        <f>VLOOKUP(A46,'305 Inputs'!$E$77:$H$96,4,FALSE)</f>
        <v>5473573</v>
      </c>
      <c r="D46" s="751"/>
      <c r="E46" s="752">
        <f>[84]Sheet1!$L$9-[85]Sheet1!$L$9</f>
        <v>17</v>
      </c>
      <c r="F46" s="753"/>
      <c r="G46" s="751">
        <f>C46+E46</f>
        <v>5473590</v>
      </c>
      <c r="H46" s="751"/>
      <c r="I46" s="754">
        <f>[51]Sheet1!$L$16</f>
        <v>5473590</v>
      </c>
      <c r="J46" s="750">
        <f>ROUND(I46/G46*100,3)-100</f>
        <v>0</v>
      </c>
      <c r="K46" s="755">
        <f t="shared" si="19"/>
        <v>0</v>
      </c>
      <c r="L46" s="755">
        <f>IF(ABS(J46)&lt;=0.5,0,IF(G46&gt;I46,(G46*0.995)-I46,(G46*1.005)-I46))</f>
        <v>0</v>
      </c>
      <c r="N46" s="751"/>
    </row>
    <row r="47" spans="1:14" s="131" customFormat="1">
      <c r="A47" s="131" t="s">
        <v>278</v>
      </c>
      <c r="C47" s="133">
        <f>SUM(C45:C46)</f>
        <v>161394919</v>
      </c>
      <c r="D47" s="133"/>
      <c r="E47" s="133">
        <f>SUM(E45:E46)</f>
        <v>-36751</v>
      </c>
      <c r="F47" s="128"/>
      <c r="G47" s="133">
        <f>SUM(G45:G46)</f>
        <v>161358168</v>
      </c>
      <c r="H47" s="133"/>
      <c r="I47" s="133">
        <f>SUM(I45:I46)</f>
        <v>161358169</v>
      </c>
      <c r="K47" s="135">
        <f t="shared" si="19"/>
        <v>1</v>
      </c>
      <c r="L47" s="135"/>
      <c r="N47" s="133"/>
    </row>
    <row r="48" spans="1:14" s="131" customFormat="1">
      <c r="C48" s="133"/>
      <c r="D48" s="133"/>
      <c r="E48" s="128"/>
      <c r="F48" s="128"/>
      <c r="G48" s="133"/>
      <c r="H48" s="133"/>
      <c r="I48" s="134"/>
      <c r="K48" s="135">
        <f t="shared" si="19"/>
        <v>0</v>
      </c>
      <c r="L48" s="135"/>
      <c r="N48" s="133"/>
    </row>
    <row r="49" spans="1:14" s="131" customFormat="1">
      <c r="C49" s="133"/>
      <c r="D49" s="133"/>
      <c r="E49" s="128"/>
      <c r="F49" s="128"/>
      <c r="G49" s="133"/>
      <c r="H49" s="133"/>
      <c r="I49" s="134"/>
      <c r="K49" s="135">
        <f t="shared" si="19"/>
        <v>0</v>
      </c>
      <c r="L49" s="135"/>
      <c r="N49" s="133"/>
    </row>
    <row r="50" spans="1:14" s="131" customFormat="1">
      <c r="A50" s="131" t="s">
        <v>279</v>
      </c>
      <c r="C50" s="133"/>
      <c r="D50" s="133"/>
      <c r="E50" s="128"/>
      <c r="F50" s="128"/>
      <c r="G50" s="133"/>
      <c r="H50" s="133"/>
      <c r="I50" s="134"/>
      <c r="K50" s="135">
        <f t="shared" si="19"/>
        <v>0</v>
      </c>
      <c r="L50" s="135"/>
      <c r="N50" s="133"/>
    </row>
    <row r="51" spans="1:14" s="750" customFormat="1">
      <c r="A51" s="750" t="s">
        <v>61</v>
      </c>
      <c r="C51" s="985">
        <f>VLOOKUP(A51,'305 Inputs'!$E$101:$H$110,4,FALSE)</f>
        <v>219864</v>
      </c>
      <c r="D51" s="751"/>
      <c r="E51" s="752">
        <v>0</v>
      </c>
      <c r="F51" s="753"/>
      <c r="G51" s="751">
        <f>C51+E51</f>
        <v>219864</v>
      </c>
      <c r="H51" s="751"/>
      <c r="I51" s="754">
        <f>[56]Sheet1!$C$2</f>
        <v>219861.25205811099</v>
      </c>
      <c r="J51" s="750">
        <f>ROUND(I51/G51*100,3)-100</f>
        <v>-1.0000000000047748E-3</v>
      </c>
      <c r="K51" s="755">
        <f t="shared" si="19"/>
        <v>-2.7479418890143279</v>
      </c>
      <c r="L51" s="755">
        <f>IF(ABS(J51)&lt;=0.5,0,IF(G51&gt;I51,(G51*0.995)-I51,(G51*1.005)-I51))</f>
        <v>0</v>
      </c>
      <c r="N51" s="751"/>
    </row>
    <row r="52" spans="1:14" s="750" customFormat="1">
      <c r="A52" s="750" t="s">
        <v>62</v>
      </c>
      <c r="C52" s="985">
        <f>VLOOKUP(A52,'305 Inputs'!$E$101:$H$110,4,FALSE)</f>
        <v>3235066</v>
      </c>
      <c r="D52" s="751"/>
      <c r="E52" s="752">
        <f>[86]Sheet1!$C$2</f>
        <v>225558.32980674299</v>
      </c>
      <c r="F52" s="753"/>
      <c r="G52" s="751">
        <f>C52+E52</f>
        <v>3460624.3298067432</v>
      </c>
      <c r="H52" s="751"/>
      <c r="I52" s="754">
        <f>[57]Sheet1!$E$27</f>
        <v>3460613.3504902627</v>
      </c>
      <c r="J52" s="750">
        <f>ROUND(I52/G52*100,3)-100</f>
        <v>0</v>
      </c>
      <c r="K52" s="755">
        <f t="shared" si="19"/>
        <v>-10.979316480457783</v>
      </c>
      <c r="L52" s="755">
        <f>IF(ABS(J52)&lt;=0.5,0,IF(G52&gt;I52,(G52*0.995)-I52,(G52*1.005)-I52))</f>
        <v>0</v>
      </c>
      <c r="N52" s="751"/>
    </row>
    <row r="53" spans="1:14" s="750" customFormat="1">
      <c r="A53" s="750" t="s">
        <v>63</v>
      </c>
      <c r="C53" s="985">
        <f>VLOOKUP(A53,'305 Inputs'!$E$101:$H$110,4,FALSE)</f>
        <v>1152902</v>
      </c>
      <c r="D53" s="751"/>
      <c r="E53" s="752">
        <f>[86]Sheet1!$C$3-[87]Sheet1!$C$2</f>
        <v>19</v>
      </c>
      <c r="F53" s="753"/>
      <c r="G53" s="751">
        <f>C53+E53</f>
        <v>1152921</v>
      </c>
      <c r="H53" s="751"/>
      <c r="I53" s="754">
        <f>[57]Sheet1!$E$28</f>
        <v>1152921</v>
      </c>
      <c r="J53" s="750">
        <f>ROUND(I53/G53*100,3)-100</f>
        <v>0</v>
      </c>
      <c r="K53" s="755">
        <f t="shared" si="19"/>
        <v>0</v>
      </c>
      <c r="L53" s="755">
        <f>IF(ABS(J53)&lt;=0.5,0,IF(G53&gt;I53,(G53*0.995)-I53,(G53*1.005)-I53))</f>
        <v>0</v>
      </c>
      <c r="N53" s="751"/>
    </row>
    <row r="54" spans="1:14" s="750" customFormat="1">
      <c r="A54" s="750" t="s">
        <v>64</v>
      </c>
      <c r="C54" s="985">
        <f>VLOOKUP(A54,'305 Inputs'!$E$101:$H$110,4,FALSE)</f>
        <v>3526557</v>
      </c>
      <c r="D54" s="751"/>
      <c r="E54" s="752">
        <f>[88]Sheet1!$C$2-[89]Sheet1!$C$2</f>
        <v>5797</v>
      </c>
      <c r="F54" s="753"/>
      <c r="G54" s="751">
        <f>C54+E54</f>
        <v>3532354</v>
      </c>
      <c r="H54" s="751"/>
      <c r="I54" s="754">
        <f>[55]Sheet1!$E$11</f>
        <v>3532347.7960070018</v>
      </c>
      <c r="J54" s="750">
        <f>ROUND(I54/G54*100,3)-100</f>
        <v>0</v>
      </c>
      <c r="K54" s="755">
        <f t="shared" si="19"/>
        <v>-6.2039929982274771</v>
      </c>
      <c r="L54" s="755">
        <f>IF(ABS(J54)&lt;=0.5,0,IF(G54&gt;I54,(G54*0.995)-I54,(G54*1.005)-I54))</f>
        <v>0</v>
      </c>
      <c r="N54" s="751"/>
    </row>
    <row r="55" spans="1:14" s="750" customFormat="1">
      <c r="A55" s="750" t="s">
        <v>65</v>
      </c>
      <c r="C55" s="985">
        <f>VLOOKUP(A55,'305 Inputs'!$E$101:$H$110,4,FALSE)</f>
        <v>1939253</v>
      </c>
      <c r="D55" s="751"/>
      <c r="E55" s="752">
        <f>[90]Sheet1!$D$2-[91]Sheet1!$D$2</f>
        <v>0</v>
      </c>
      <c r="F55" s="753"/>
      <c r="G55" s="751">
        <f>C55+E55</f>
        <v>1939253</v>
      </c>
      <c r="H55" s="751"/>
      <c r="I55" s="754">
        <f>[59]Sheet1!$E$10</f>
        <v>1932402.666666667</v>
      </c>
      <c r="J55" s="750">
        <f>ROUND(I55/G55*100,3)-100</f>
        <v>-0.35299999999999443</v>
      </c>
      <c r="K55" s="755">
        <f t="shared" si="19"/>
        <v>-6850.3333333330229</v>
      </c>
      <c r="L55" s="755">
        <f>IF(ABS(J55)&lt;=0.5,0,IF(G55&gt;I55,(G55*0.995)-I55,(G55*1.005)-I55))</f>
        <v>0</v>
      </c>
      <c r="N55" s="751"/>
    </row>
    <row r="56" spans="1:14">
      <c r="A56" s="122" t="s">
        <v>280</v>
      </c>
      <c r="C56" s="133">
        <f>SUM(C51:C55)</f>
        <v>10073642</v>
      </c>
      <c r="D56" s="133"/>
      <c r="E56" s="133">
        <f>SUM(E51:E55)</f>
        <v>231374.32980674299</v>
      </c>
      <c r="G56" s="121">
        <f>SUM(G51:G55)</f>
        <v>10305016.329806743</v>
      </c>
      <c r="H56" s="121"/>
      <c r="I56" s="121">
        <f>SUM(I51:I55)</f>
        <v>10298146.065222044</v>
      </c>
      <c r="K56" s="121">
        <f>SUM(K51:K55)</f>
        <v>-6870.2645847007225</v>
      </c>
      <c r="L56" s="146"/>
      <c r="N56" s="121"/>
    </row>
    <row r="57" spans="1:14">
      <c r="C57" s="133"/>
      <c r="D57" s="133"/>
      <c r="E57" s="128"/>
      <c r="G57" s="121"/>
      <c r="H57" s="121"/>
      <c r="K57" s="121"/>
      <c r="L57" s="146"/>
      <c r="N57" s="121"/>
    </row>
    <row r="58" spans="1:14">
      <c r="A58" s="122" t="s">
        <v>281</v>
      </c>
      <c r="C58" s="133">
        <f>C56+C47+C41+C28+C14</f>
        <v>4116927972</v>
      </c>
      <c r="D58" s="133"/>
      <c r="E58" s="133">
        <f>E56+E47+E41+E28+E14</f>
        <v>-3141512.6572735491</v>
      </c>
      <c r="G58" s="121">
        <f>G56+G47+G41+G28+G14</f>
        <v>4113786459.3427267</v>
      </c>
      <c r="H58" s="121"/>
      <c r="I58" s="121">
        <f>I56+I47+I41+I28+I14</f>
        <v>4113793100.7257891</v>
      </c>
      <c r="J58" s="122">
        <f>ROUND(I58/G58*100,3)-100</f>
        <v>0</v>
      </c>
      <c r="K58" s="146">
        <f>I58-G58</f>
        <v>6641.3830623626709</v>
      </c>
      <c r="L58" s="135">
        <f>IF(ABS(J58)&lt;=0.5,0,IF(G58&gt;I58,(G58*0.995)-I58,(G58*1.005)-I58))</f>
        <v>0</v>
      </c>
      <c r="N58" s="121">
        <f>N56+N47+N41+N28+N14</f>
        <v>0</v>
      </c>
    </row>
    <row r="59" spans="1:14">
      <c r="C59" s="128"/>
      <c r="D59" s="128"/>
      <c r="E59" s="128"/>
      <c r="J59" s="131"/>
      <c r="K59" s="135"/>
    </row>
    <row r="60" spans="1:14">
      <c r="C60" s="128"/>
      <c r="D60" s="128"/>
      <c r="E60" s="128"/>
      <c r="K60" s="146"/>
    </row>
    <row r="61" spans="1:14">
      <c r="C61" s="129"/>
      <c r="D61" s="129"/>
      <c r="E61" s="128"/>
      <c r="K61" s="146"/>
    </row>
    <row r="62" spans="1:14">
      <c r="A62" s="122" t="s">
        <v>282</v>
      </c>
      <c r="C62" s="139"/>
      <c r="D62" s="139"/>
      <c r="E62" s="140"/>
      <c r="F62" s="141"/>
      <c r="G62" s="141"/>
      <c r="H62" s="141"/>
      <c r="I62" s="141"/>
      <c r="J62" s="131"/>
      <c r="L62" s="146"/>
      <c r="N62" s="141"/>
    </row>
    <row r="63" spans="1:14">
      <c r="A63" s="122" t="s">
        <v>270</v>
      </c>
      <c r="C63" s="133">
        <f>SUMIF($A$6:$A$55,$A63,C$6:C$55)</f>
        <v>1050961</v>
      </c>
      <c r="D63" s="133"/>
      <c r="E63" s="133">
        <f>SUMIF($A$6:$A$55,$A63,E$6:E$55)</f>
        <v>1755</v>
      </c>
      <c r="F63" s="121"/>
      <c r="G63" s="121">
        <f>SUMIF($A$6:$A$55,$A63,G$6:G$55)</f>
        <v>1052716</v>
      </c>
      <c r="H63" s="121"/>
      <c r="I63" s="121">
        <f>SUMIF($A$6:$A$55,$A63,I$6:I$55)</f>
        <v>1061743</v>
      </c>
      <c r="J63" s="122">
        <f>ROUND(I63/G63*100,3)-100</f>
        <v>0.85699999999999932</v>
      </c>
      <c r="K63" s="146">
        <f>I63-G63</f>
        <v>9027</v>
      </c>
      <c r="L63" s="135">
        <f>IF(ABS(J63)&lt;=0.5,0,IF(G63&gt;I63,(G63*0.995)-I63,(G63*1.005)-I63))</f>
        <v>-3763.4200000001583</v>
      </c>
      <c r="M63" s="136"/>
      <c r="N63" s="121">
        <f>SUMIF($A$6:$A$55,"=02OALT015R",N$6:N$55)</f>
        <v>0</v>
      </c>
    </row>
    <row r="64" spans="1:14">
      <c r="A64" s="122" t="s">
        <v>55</v>
      </c>
      <c r="C64" s="133">
        <f>SUMIF($A$6:$A$55,$A64,C$6:C$55)</f>
        <v>2273086</v>
      </c>
      <c r="D64" s="133"/>
      <c r="E64" s="133">
        <f>SUMIF($A$6:$A$55,$A64,E$6:E$55)</f>
        <v>25762</v>
      </c>
      <c r="F64" s="121"/>
      <c r="G64" s="121">
        <f>SUMIF($A$6:$A$55,$A64,G$6:G$55)</f>
        <v>2298848</v>
      </c>
      <c r="H64" s="121"/>
      <c r="I64" s="121">
        <f>SUMIF($A$6:$A$55,$A64,I$6:I$55)</f>
        <v>2305820</v>
      </c>
      <c r="J64" s="122">
        <f>ROUND(I64/G64*100,3)-100</f>
        <v>0.30299999999999727</v>
      </c>
      <c r="K64" s="146">
        <f>I64-G64</f>
        <v>6972</v>
      </c>
      <c r="L64" s="135">
        <f>IF(ABS(J64)&lt;=0.5,0,IF(G64&gt;I64,(G64*0.995)-I64,(G64*1.005)-I64))</f>
        <v>0</v>
      </c>
      <c r="M64" s="136"/>
      <c r="N64" s="121">
        <f>SUMIF($A$6:$A$55,"=02OALT015N",N$6:N$55)</f>
        <v>0</v>
      </c>
    </row>
    <row r="65" spans="1:14">
      <c r="A65" s="122" t="s">
        <v>283</v>
      </c>
      <c r="C65" s="130">
        <f>SUM(C63:C64)</f>
        <v>3324047</v>
      </c>
      <c r="D65" s="130"/>
      <c r="E65" s="130">
        <f>SUM(E63:E64)</f>
        <v>27517</v>
      </c>
      <c r="F65" s="127"/>
      <c r="G65" s="127">
        <f>SUM(G63:G64)</f>
        <v>3351564</v>
      </c>
      <c r="H65" s="127"/>
      <c r="I65" s="127">
        <f>SUM(I63:I64)</f>
        <v>3367563</v>
      </c>
      <c r="J65" s="122">
        <f>ROUND(I65/G65*100,3)-100</f>
        <v>0.47700000000000387</v>
      </c>
      <c r="K65" s="146">
        <f>I65-G65</f>
        <v>15999</v>
      </c>
      <c r="L65" s="135">
        <f>IF(ABS(J65)&lt;=0.5,0,IF(G65&gt;I65,(G65*0.995)-I65,(G65*1.005)-I65))</f>
        <v>0</v>
      </c>
      <c r="M65" s="136"/>
      <c r="N65" s="127">
        <f>SUM(N63:N64)</f>
        <v>0</v>
      </c>
    </row>
    <row r="66" spans="1:14">
      <c r="C66" s="130"/>
      <c r="D66" s="130"/>
      <c r="E66" s="130"/>
      <c r="F66" s="127"/>
      <c r="G66" s="127"/>
      <c r="H66" s="127"/>
      <c r="I66" s="127"/>
      <c r="J66" s="131"/>
      <c r="K66" s="133"/>
      <c r="L66" s="135"/>
      <c r="M66" s="136"/>
      <c r="N66" s="127"/>
    </row>
    <row r="67" spans="1:14">
      <c r="A67" s="122" t="s">
        <v>266</v>
      </c>
      <c r="C67" s="133">
        <f>SUMIF($A$6:$A$55,$A67,C$6:C$55)</f>
        <v>1553800739</v>
      </c>
      <c r="D67" s="133"/>
      <c r="E67" s="133">
        <f>SUMIF($A$6:$A$55,$A67,E$6:E$55)</f>
        <v>-63981</v>
      </c>
      <c r="F67" s="121"/>
      <c r="G67" s="121">
        <f>SUMIF($A$6:$A$55,$A67,G$6:G$55)</f>
        <v>1553736758</v>
      </c>
      <c r="H67" s="121"/>
      <c r="I67" s="121">
        <f>SUMIF($A$6:$A$55,$A67,I$6:I$55)</f>
        <v>1553734264</v>
      </c>
      <c r="J67" s="122">
        <f>ROUND(I67/G67*100,3)-100</f>
        <v>0</v>
      </c>
      <c r="K67" s="146">
        <f>I67-G67</f>
        <v>-2494</v>
      </c>
      <c r="L67" s="135">
        <f>IF(ABS(J67)&lt;=0.5,0,IF(G67&gt;I67,(G67*0.995)-I67,(G67*1.005)-I67))</f>
        <v>0</v>
      </c>
      <c r="M67" s="136"/>
      <c r="N67" s="121">
        <f>SUMIF($A$6:$A$55,"=02RESD0016",N$6:N$55)</f>
        <v>0</v>
      </c>
    </row>
    <row r="68" spans="1:14">
      <c r="A68" s="122" t="s">
        <v>267</v>
      </c>
      <c r="C68" s="133">
        <f>SUMIF($A$6:$A$55,$A68,C$6:C$55)</f>
        <v>66140030</v>
      </c>
      <c r="D68" s="133"/>
      <c r="E68" s="133">
        <f>SUMIF($A$6:$A$55,$A68,E$6:E$55)</f>
        <v>-20467</v>
      </c>
      <c r="F68" s="121"/>
      <c r="G68" s="121">
        <f>SUMIF($A$6:$A$55,$A68,G$6:G$55)</f>
        <v>66119563</v>
      </c>
      <c r="H68" s="121"/>
      <c r="I68" s="121">
        <f>SUMIF($A$6:$A$55,$A68,I$6:I$55)</f>
        <v>66119565</v>
      </c>
      <c r="J68" s="122">
        <f>ROUND(I68/G68*100,3)-100</f>
        <v>0</v>
      </c>
      <c r="K68" s="146">
        <f>I68-G68</f>
        <v>2</v>
      </c>
      <c r="L68" s="135">
        <f>IF(ABS(J68)&lt;=0.5,0,IF(G68&gt;I68,(G68*0.995)-I68,(G68*1.005)-I68))</f>
        <v>0</v>
      </c>
      <c r="M68" s="136"/>
      <c r="N68" s="121">
        <f>SUMIF($A$6:$A$55,"=02RESD0017",N$6:N$55)</f>
        <v>0</v>
      </c>
    </row>
    <row r="69" spans="1:14">
      <c r="A69" s="131" t="s">
        <v>250</v>
      </c>
      <c r="C69" s="133">
        <f>SUMIF($A$6:$A$55,$A69,C$6:C$55)</f>
        <v>1371628</v>
      </c>
      <c r="D69" s="133"/>
      <c r="E69" s="133">
        <f>SUMIF($A$6:$A$55,$A69,E$6:E$55)</f>
        <v>-2723</v>
      </c>
      <c r="F69" s="121"/>
      <c r="G69" s="121">
        <f>SUMIF($A$6:$A$55,$A69,G$6:G$55)</f>
        <v>1368905</v>
      </c>
      <c r="H69" s="121"/>
      <c r="I69" s="121">
        <f>SUMIF($A$6:$A$55,$A69,I$6:I$55)</f>
        <v>1368906</v>
      </c>
      <c r="J69" s="122">
        <f>ROUND(I69/G69*100,3)-100</f>
        <v>0</v>
      </c>
      <c r="K69" s="146">
        <f>I69-G69</f>
        <v>1</v>
      </c>
      <c r="L69" s="135">
        <f>IF(ABS(J69)&lt;=0.5,0,IF(G69&gt;I69,(G69*0.995)-I69,(G69*1.005)-I69))</f>
        <v>0</v>
      </c>
      <c r="M69" s="136"/>
      <c r="N69" s="121">
        <f>SUMIF($A$6:$A$55,"=02RESD0017",N$6:N$55)</f>
        <v>0</v>
      </c>
    </row>
    <row r="70" spans="1:14">
      <c r="A70" s="122" t="s">
        <v>284</v>
      </c>
      <c r="C70" s="130">
        <f>SUM(C67:C69)</f>
        <v>1621312397</v>
      </c>
      <c r="D70" s="130"/>
      <c r="E70" s="130">
        <f>SUM(E67:E69)</f>
        <v>-87171</v>
      </c>
      <c r="F70" s="127"/>
      <c r="G70" s="127">
        <f>SUM(G67:G69)</f>
        <v>1621225226</v>
      </c>
      <c r="H70" s="127"/>
      <c r="I70" s="127">
        <f>SUM(I67:I69)</f>
        <v>1621222735</v>
      </c>
      <c r="J70" s="122">
        <f>ROUND(I70/G70*100,3)-100</f>
        <v>0</v>
      </c>
      <c r="K70" s="146">
        <f>I70-G70</f>
        <v>-2491</v>
      </c>
      <c r="L70" s="654" t="s">
        <v>31</v>
      </c>
      <c r="M70" s="136"/>
      <c r="N70" s="127">
        <f>SUM(N67:N69)</f>
        <v>0</v>
      </c>
    </row>
    <row r="71" spans="1:14">
      <c r="C71" s="130"/>
      <c r="D71" s="130"/>
      <c r="E71" s="130"/>
      <c r="F71" s="127"/>
      <c r="G71" s="127"/>
      <c r="H71" s="127"/>
      <c r="I71" s="127"/>
      <c r="J71" s="131"/>
      <c r="K71" s="133"/>
      <c r="L71" s="135"/>
      <c r="M71" s="136"/>
      <c r="N71" s="127"/>
    </row>
    <row r="72" spans="1:14">
      <c r="A72" s="122" t="s">
        <v>268</v>
      </c>
      <c r="C72" s="133">
        <f>SUMIF($A$6:$A$55,$A72,C$6:C$55)</f>
        <v>2277450</v>
      </c>
      <c r="D72" s="133"/>
      <c r="E72" s="133">
        <f>SUMIF($A$6:$A$55,$A72,E$6:E$55)</f>
        <v>11840</v>
      </c>
      <c r="F72" s="121"/>
      <c r="G72" s="121">
        <f>SUMIF($A$6:$A$55,$A72,G$6:G$55)</f>
        <v>2289290</v>
      </c>
      <c r="H72" s="121"/>
      <c r="I72" s="121">
        <f>SUMIF($A$6:$A$55,$A72,I$6:I$55)</f>
        <v>2289290</v>
      </c>
      <c r="J72" s="122">
        <f>ROUND(I72/G72*100,3)-100</f>
        <v>0</v>
      </c>
      <c r="K72" s="146">
        <f>I72-G72</f>
        <v>0</v>
      </c>
      <c r="L72" s="135">
        <f>IF(ABS(J72)&lt;=0.5,0,IF(G72&gt;I72,(G72*0.995)-I72,(G72*1.005)-I72))</f>
        <v>0</v>
      </c>
      <c r="M72" s="136"/>
      <c r="N72" s="121">
        <f>SUMIF($A$6:$A$55,"=02RESD0018",N$6:N$55)</f>
        <v>0</v>
      </c>
    </row>
    <row r="73" spans="1:14">
      <c r="A73" s="122" t="s">
        <v>269</v>
      </c>
      <c r="C73" s="133">
        <f>SUMIF($A$6:$A$55,$A73,C$6:C$55)</f>
        <v>435337</v>
      </c>
      <c r="D73" s="133"/>
      <c r="E73" s="133">
        <f>SUMIF($A$6:$A$55,$A73,E$6:E$55)</f>
        <v>2379</v>
      </c>
      <c r="F73" s="121"/>
      <c r="G73" s="121">
        <f>SUMIF($A$6:$A$55,$A73,G$6:G$55)</f>
        <v>437716</v>
      </c>
      <c r="H73" s="121"/>
      <c r="I73" s="121">
        <f>SUMIF($A$6:$A$55,$A73,I$6:I$55)</f>
        <v>437716</v>
      </c>
      <c r="J73" s="122">
        <f>ROUND(I73/G73*100,3)-100</f>
        <v>0</v>
      </c>
      <c r="K73" s="146">
        <f>I73-G73</f>
        <v>0</v>
      </c>
      <c r="L73" s="135">
        <f>IF(ABS(J73)&lt;=0.5,0,IF(G73&gt;I73,(G73*0.995)-I73,(G73*1.005)-I73))</f>
        <v>0</v>
      </c>
      <c r="M73" s="136"/>
      <c r="N73" s="121">
        <f>SUMIF($A$6:$A$55,"=02RESD018X",N$6:N$55)</f>
        <v>0</v>
      </c>
    </row>
    <row r="74" spans="1:14">
      <c r="A74" s="122" t="s">
        <v>285</v>
      </c>
      <c r="C74" s="130">
        <f>SUM(C72:C73)</f>
        <v>2712787</v>
      </c>
      <c r="D74" s="130"/>
      <c r="E74" s="130">
        <f>SUM(E72:E73)</f>
        <v>14219</v>
      </c>
      <c r="F74" s="127"/>
      <c r="G74" s="127">
        <f>SUM(G72:G73)</f>
        <v>2727006</v>
      </c>
      <c r="H74" s="127"/>
      <c r="I74" s="127">
        <f>SUM(I72:I73)</f>
        <v>2727006</v>
      </c>
      <c r="J74" s="122">
        <f>ROUND(I74/G74*100,3)-100</f>
        <v>0</v>
      </c>
      <c r="K74" s="146">
        <f>I74-G74</f>
        <v>0</v>
      </c>
      <c r="L74" s="135">
        <f>IF(ABS(J74)&lt;=0.5,0,IF(G74&gt;I74,(G74*0.995)-I74,(G74*1.005)-I74))</f>
        <v>0</v>
      </c>
      <c r="M74" s="136"/>
      <c r="N74" s="127">
        <f>SUM(N72:N73)</f>
        <v>0</v>
      </c>
    </row>
    <row r="75" spans="1:14">
      <c r="C75" s="130"/>
      <c r="D75" s="130"/>
      <c r="E75" s="133"/>
      <c r="F75" s="121"/>
      <c r="G75" s="121"/>
      <c r="H75" s="121"/>
      <c r="J75" s="131"/>
      <c r="K75" s="133"/>
      <c r="L75" s="135"/>
      <c r="M75" s="136"/>
      <c r="N75" s="121"/>
    </row>
    <row r="76" spans="1:14">
      <c r="A76" s="122" t="s">
        <v>51</v>
      </c>
      <c r="C76" s="133">
        <f>SUMIF($A$6:$A$55,$A76,C$6:C$55)</f>
        <v>543682514</v>
      </c>
      <c r="D76" s="133"/>
      <c r="E76" s="133">
        <f>SUMIF($A$6:$A$55,$A76,E$6:E$55)+E26</f>
        <v>-487877</v>
      </c>
      <c r="F76" s="121"/>
      <c r="G76" s="121">
        <f>SUMIF($A$6:$A$55,$A76,G$6:G$55)</f>
        <v>543194637</v>
      </c>
      <c r="H76" s="121"/>
      <c r="I76" s="121">
        <f>SUMIF($A$6:$A$55,$A76,I$6:I$55)</f>
        <v>543189082</v>
      </c>
      <c r="J76" s="122">
        <f t="shared" ref="J76:J81" si="20">ROUND(I76/G76*100,3)-100</f>
        <v>-1.0000000000047748E-3</v>
      </c>
      <c r="K76" s="146">
        <f t="shared" ref="K76:K81" si="21">I76-G76</f>
        <v>-5555</v>
      </c>
      <c r="L76" s="135">
        <f t="shared" ref="L76:L81" si="22">IF(ABS(J76)&lt;=0.5,0,IF(G76&gt;I76,(G76*0.995)-I76,(G76*1.005)-I76))</f>
        <v>0</v>
      </c>
      <c r="M76" s="136"/>
      <c r="N76" s="121">
        <f>SUMIF($A$6:$A$55,"=02GNSV0024",N$6:N$55)</f>
        <v>0</v>
      </c>
    </row>
    <row r="77" spans="1:14">
      <c r="A77" s="122" t="s">
        <v>52</v>
      </c>
      <c r="C77" s="133">
        <f>SUMIF($A$6:$A$55,$A77,C$6:C$55)</f>
        <v>1315419</v>
      </c>
      <c r="D77" s="133"/>
      <c r="E77" s="133">
        <f>SUMIF($A$6:$A$55,$A77,E$6:E$55)</f>
        <v>-12786.987080292</v>
      </c>
      <c r="F77" s="121"/>
      <c r="G77" s="121">
        <f>SUMIF($A$6:$A$55,$A77,G$6:G$55)</f>
        <v>1302632.0129197079</v>
      </c>
      <c r="H77" s="121"/>
      <c r="I77" s="121">
        <f>SUMIF($A$6:$A$55,$A77,I$6:I$55)</f>
        <v>1302631.6605672329</v>
      </c>
      <c r="J77" s="122">
        <f t="shared" si="20"/>
        <v>0</v>
      </c>
      <c r="K77" s="146">
        <f t="shared" si="21"/>
        <v>-0.35235247504897416</v>
      </c>
      <c r="L77" s="135">
        <f t="shared" si="22"/>
        <v>0</v>
      </c>
      <c r="M77" s="136"/>
      <c r="N77" s="121">
        <f>SUMIF($A$6:$A$55,"=02GNSV024F",N$6:N$55)</f>
        <v>0</v>
      </c>
    </row>
    <row r="78" spans="1:14">
      <c r="A78" s="142" t="s">
        <v>298</v>
      </c>
      <c r="C78" s="133">
        <f>SUMIF($A$6:$A$55,$A78,C$6:C$55)</f>
        <v>465139</v>
      </c>
      <c r="D78" s="133"/>
      <c r="E78" s="133">
        <f>SUMIF($A$6:$A$55,$A78,E$6:E$55)</f>
        <v>4866</v>
      </c>
      <c r="F78" s="121"/>
      <c r="G78" s="121">
        <f>SUMIF($A$6:$A$55,$A78,G$6:G$55)</f>
        <v>470005</v>
      </c>
      <c r="H78" s="121"/>
      <c r="I78" s="121">
        <f>SUMIF($A$6:$A$55,$A78,I$6:I$55)</f>
        <v>470005</v>
      </c>
      <c r="J78" s="122">
        <f t="shared" si="20"/>
        <v>0</v>
      </c>
      <c r="K78" s="146">
        <f t="shared" si="21"/>
        <v>0</v>
      </c>
      <c r="L78" s="135">
        <f t="shared" si="22"/>
        <v>0</v>
      </c>
      <c r="M78" s="136"/>
      <c r="N78" s="121">
        <f>SUMIF($A$6:$A$55,"=02GNSV24FP",N$6:N$55)</f>
        <v>0</v>
      </c>
    </row>
    <row r="79" spans="1:14">
      <c r="A79" s="131" t="s">
        <v>749</v>
      </c>
      <c r="C79" s="133">
        <f>SUMIF($A$6:$A$55,$A79,C$6:C$55)</f>
        <v>7081030</v>
      </c>
      <c r="D79" s="133"/>
      <c r="E79" s="133">
        <f>SUMIF($A$6:$A$55,$A79,E$6:E$55)</f>
        <v>33126</v>
      </c>
      <c r="F79" s="121"/>
      <c r="G79" s="121">
        <f>SUMIF($A$6:$A$55,$A79,G$6:G$55)</f>
        <v>7114156</v>
      </c>
      <c r="H79" s="121"/>
      <c r="I79" s="121">
        <f>SUMIF($A$6:$A$55,$A79,I$6:I$55)</f>
        <v>7119713</v>
      </c>
      <c r="J79" s="122">
        <f t="shared" si="20"/>
        <v>7.8000000000002956E-2</v>
      </c>
      <c r="K79" s="146">
        <f t="shared" si="21"/>
        <v>5557</v>
      </c>
      <c r="L79" s="135">
        <f t="shared" si="22"/>
        <v>0</v>
      </c>
      <c r="M79" s="136"/>
      <c r="N79" s="121">
        <f>SUMIF($A$6:$A$55,"=02GNSV24FP",N$6:N$55)</f>
        <v>0</v>
      </c>
    </row>
    <row r="80" spans="1:14">
      <c r="A80" s="131" t="s">
        <v>218</v>
      </c>
      <c r="C80" s="133">
        <f>SUMIF($A$6:$A$55,$A80,C$6:C$55)</f>
        <v>760934</v>
      </c>
      <c r="D80" s="133"/>
      <c r="E80" s="133">
        <f>SUMIF($A$6:$A$55,$A80,E$6:E$55)</f>
        <v>0</v>
      </c>
      <c r="F80" s="121"/>
      <c r="G80" s="121">
        <f>SUMIF($A$6:$A$55,$A80,G$6:G$55)</f>
        <v>760934</v>
      </c>
      <c r="H80" s="121"/>
      <c r="I80" s="121">
        <f>SUMIF($A$6:$A$55,$A80,I$6:I$55)</f>
        <v>760934</v>
      </c>
      <c r="J80" s="122">
        <f t="shared" si="20"/>
        <v>0</v>
      </c>
      <c r="K80" s="146">
        <f t="shared" si="21"/>
        <v>0</v>
      </c>
      <c r="L80" s="135">
        <f t="shared" si="22"/>
        <v>0</v>
      </c>
      <c r="M80" s="136"/>
      <c r="N80" s="121">
        <f>SUMIF($A$6:$A$55,"=02LGSV0036",N$6:N$55)</f>
        <v>0</v>
      </c>
    </row>
    <row r="81" spans="1:14">
      <c r="A81" s="122" t="s">
        <v>286</v>
      </c>
      <c r="C81" s="133">
        <f>SUM(C76:C80)</f>
        <v>553305036</v>
      </c>
      <c r="D81" s="133"/>
      <c r="E81" s="133">
        <f>SUM(E76:E80)</f>
        <v>-462671.98708029202</v>
      </c>
      <c r="F81" s="121"/>
      <c r="G81" s="121">
        <f>SUM(G76:G80)</f>
        <v>552842364.01291966</v>
      </c>
      <c r="H81" s="121"/>
      <c r="I81" s="121">
        <f>SUM(I76:I80)</f>
        <v>552842365.66056728</v>
      </c>
      <c r="J81" s="122">
        <f t="shared" si="20"/>
        <v>0</v>
      </c>
      <c r="K81" s="146">
        <f t="shared" si="21"/>
        <v>1.6476476192474365</v>
      </c>
      <c r="L81" s="135">
        <f t="shared" si="22"/>
        <v>0</v>
      </c>
      <c r="M81" s="136"/>
      <c r="N81" s="121">
        <f>SUM(N76:N78)</f>
        <v>0</v>
      </c>
    </row>
    <row r="82" spans="1:14">
      <c r="C82" s="133"/>
      <c r="D82" s="133"/>
      <c r="E82" s="133"/>
      <c r="F82" s="121"/>
      <c r="G82" s="121"/>
      <c r="H82" s="121"/>
      <c r="J82" s="131"/>
      <c r="K82" s="133"/>
      <c r="L82" s="135"/>
      <c r="M82" s="136"/>
      <c r="N82" s="121"/>
    </row>
    <row r="83" spans="1:14">
      <c r="A83" s="122" t="s">
        <v>53</v>
      </c>
      <c r="C83" s="133">
        <f>SUMIF($A$6:$A$55,$A83,C$6:C$55)</f>
        <v>910707334</v>
      </c>
      <c r="D83" s="133"/>
      <c r="E83" s="133">
        <f>SUMIF($A$6:$A$55,$A83,E$6:E$55)</f>
        <v>-897521</v>
      </c>
      <c r="F83" s="121"/>
      <c r="G83" s="121">
        <f>SUMIF($A$6:$A$55,$A83,G$6:G$55)</f>
        <v>909809813</v>
      </c>
      <c r="H83" s="121"/>
      <c r="I83" s="121">
        <f>SUMIF($A$6:$A$55,$A83,I$6:I$55)</f>
        <v>909809813</v>
      </c>
      <c r="J83" s="122">
        <f>ROUND(I83/G83*100,3)-100</f>
        <v>0</v>
      </c>
      <c r="K83" s="146">
        <f>I83-G83</f>
        <v>0</v>
      </c>
      <c r="L83" s="135">
        <f>IF(ABS(J83)&lt;=0.5,0,IF(G83&gt;I83,(G83*0.995)-I83,(G83*1.005)-I83))</f>
        <v>0</v>
      </c>
      <c r="M83" s="136"/>
      <c r="N83" s="121">
        <f>SUMIF($A$6:$A$55,"=02LGSV0036",N$6:N$55)</f>
        <v>0</v>
      </c>
    </row>
    <row r="84" spans="1:14">
      <c r="A84" s="131" t="s">
        <v>691</v>
      </c>
      <c r="C84" s="133">
        <f>SUMIF($A$6:$A$55,$A84,C$6:C$55)</f>
        <v>1141600</v>
      </c>
      <c r="D84" s="133"/>
      <c r="E84" s="133">
        <f>SUMIF($A$6:$A$55,$A84,E$6:E$55)</f>
        <v>0</v>
      </c>
      <c r="F84" s="121"/>
      <c r="G84" s="121">
        <f>SUMIF($A$6:$A$55,$A84,G$6:G$55)</f>
        <v>1141600</v>
      </c>
      <c r="H84" s="121"/>
      <c r="I84" s="121">
        <f>SUMIF($A$6:$A$55,$A84,I$6:I$55)</f>
        <v>1141600</v>
      </c>
      <c r="J84" s="122">
        <f>ROUND(I84/G84*100,3)-100</f>
        <v>0</v>
      </c>
      <c r="K84" s="146">
        <f>I84-G84</f>
        <v>0</v>
      </c>
      <c r="L84" s="135">
        <f>IF(ABS(J84)&lt;=0.5,0,IF(G84&gt;I84,(G84*0.995)-I84,(G84*1.005)-I84))</f>
        <v>0</v>
      </c>
      <c r="M84" s="136"/>
      <c r="N84" s="121">
        <f>SUMIF($A$6:$A$55,"=02LGSV0036",N$6:N$55)</f>
        <v>0</v>
      </c>
    </row>
    <row r="85" spans="1:14">
      <c r="A85" s="122" t="s">
        <v>287</v>
      </c>
      <c r="C85" s="133">
        <f>SUM(C83:C84)</f>
        <v>911848934</v>
      </c>
      <c r="D85" s="133"/>
      <c r="E85" s="133">
        <f>SUM(E83:E84)</f>
        <v>-897521</v>
      </c>
      <c r="F85" s="121"/>
      <c r="G85" s="121">
        <f>SUM(G83:G84)</f>
        <v>910951413</v>
      </c>
      <c r="H85" s="121"/>
      <c r="I85" s="121">
        <f>SUM(I83:I84)</f>
        <v>910951413</v>
      </c>
      <c r="J85" s="122">
        <f>ROUND(I85/G85*100,3)-100</f>
        <v>0</v>
      </c>
      <c r="K85" s="146">
        <f>I85-G85</f>
        <v>0</v>
      </c>
      <c r="L85" s="135">
        <f>IF(ABS(J85)&lt;=0.5,0,IF(G85&gt;I85,(G85*0.995)-I85,(G85*1.005)-I85))</f>
        <v>0</v>
      </c>
      <c r="M85" s="136"/>
      <c r="N85" s="121">
        <f>SUM(N83:N83)</f>
        <v>0</v>
      </c>
    </row>
    <row r="86" spans="1:14">
      <c r="C86" s="133"/>
      <c r="D86" s="133"/>
      <c r="E86" s="133"/>
      <c r="F86" s="121"/>
      <c r="G86" s="121"/>
      <c r="H86" s="121"/>
      <c r="K86" s="146"/>
      <c r="L86" s="135"/>
      <c r="M86" s="136"/>
      <c r="N86" s="121"/>
    </row>
    <row r="87" spans="1:14">
      <c r="C87" s="133"/>
      <c r="D87" s="133"/>
      <c r="E87" s="133"/>
      <c r="F87" s="121"/>
      <c r="G87" s="121"/>
      <c r="H87" s="121"/>
      <c r="J87" s="131"/>
      <c r="K87" s="133"/>
      <c r="L87" s="135"/>
      <c r="M87" s="136"/>
      <c r="N87" s="121"/>
    </row>
    <row r="88" spans="1:14">
      <c r="A88" s="122" t="s">
        <v>58</v>
      </c>
      <c r="C88" s="133">
        <f>SUMIF($A$6:$A$55,$A88,C$6:C$55)</f>
        <v>155921346</v>
      </c>
      <c r="D88" s="133"/>
      <c r="E88" s="133">
        <f>SUMIF($A$6:$A$55,$A88,E$6:E$55)</f>
        <v>-36768</v>
      </c>
      <c r="F88" s="121"/>
      <c r="G88" s="121">
        <f>SUMIF($A$6:$A$55,$A88,G$6:G$55)</f>
        <v>155884578</v>
      </c>
      <c r="H88" s="121"/>
      <c r="I88" s="121">
        <f>SUMIF($A$6:$A$55,$A88,I$6:I$55)</f>
        <v>155884579</v>
      </c>
      <c r="J88" s="122">
        <f>ROUND(I88/G88*100,3)-100</f>
        <v>0</v>
      </c>
      <c r="K88" s="146">
        <f>I88-G88</f>
        <v>1</v>
      </c>
      <c r="L88" s="135">
        <f>IF(ABS(J88)&lt;=0.5,0,IF(G88&gt;I88,(G88*0.995)-I88,(G88*1.005)-I88))</f>
        <v>0</v>
      </c>
      <c r="M88" s="136"/>
      <c r="N88" s="121">
        <f>SUMIF($A$6:$A$55,"=02APSV0040",N$6:N$55)</f>
        <v>0</v>
      </c>
    </row>
    <row r="89" spans="1:14">
      <c r="A89" s="122" t="s">
        <v>59</v>
      </c>
      <c r="C89" s="133">
        <f>SUMIF($A$6:$A$55,$A89,C$6:C$55)</f>
        <v>5473573</v>
      </c>
      <c r="D89" s="133"/>
      <c r="E89" s="133">
        <f>SUMIF($A$6:$A$55,$A89,E$6:E$55)</f>
        <v>17</v>
      </c>
      <c r="F89" s="121"/>
      <c r="G89" s="121">
        <f>SUMIF($A$6:$A$55,$A89,G$6:G$55)</f>
        <v>5473590</v>
      </c>
      <c r="H89" s="121"/>
      <c r="I89" s="121">
        <f>SUMIF($A$6:$A$55,$A89,I$6:I$55)</f>
        <v>5473590</v>
      </c>
      <c r="J89" s="122">
        <f>ROUND(I89/G89*100,3)-100</f>
        <v>0</v>
      </c>
      <c r="K89" s="146">
        <f>I89-G89</f>
        <v>0</v>
      </c>
      <c r="L89" s="135">
        <f>IF(ABS(J89)&lt;=0.5,0,IF(G89&gt;I89,(G89*0.995)-I89,(G89*1.005)-I89))</f>
        <v>0</v>
      </c>
      <c r="M89" s="136"/>
      <c r="N89" s="121">
        <f>SUMIF($A$6:$A$55,"=02APSV040X",N$6:N$55)</f>
        <v>0</v>
      </c>
    </row>
    <row r="90" spans="1:14">
      <c r="A90" s="122" t="s">
        <v>288</v>
      </c>
      <c r="C90" s="133">
        <f>SUM(C88:C89)</f>
        <v>161394919</v>
      </c>
      <c r="D90" s="133"/>
      <c r="E90" s="133">
        <f>SUM(E88:E89)</f>
        <v>-36751</v>
      </c>
      <c r="F90" s="121"/>
      <c r="G90" s="121">
        <f>SUM(G88:G89)</f>
        <v>161358168</v>
      </c>
      <c r="H90" s="121"/>
      <c r="I90" s="121">
        <f>SUM(I88:I89)</f>
        <v>161358169</v>
      </c>
      <c r="J90" s="122">
        <f>ROUND(I90/G90*100,3)-100</f>
        <v>0</v>
      </c>
      <c r="K90" s="146">
        <f>I90-G90</f>
        <v>1</v>
      </c>
      <c r="L90" s="135">
        <f>IF(ABS(J90)&lt;=0.5,0,IF(G90&gt;I90,(G90*0.995)-I90,(G90*1.005)-I90))</f>
        <v>0</v>
      </c>
      <c r="M90" s="136"/>
      <c r="N90" s="121">
        <f>SUM(N88:N89)</f>
        <v>0</v>
      </c>
    </row>
    <row r="91" spans="1:14">
      <c r="C91" s="133"/>
      <c r="D91" s="133"/>
      <c r="E91" s="133"/>
      <c r="F91" s="121"/>
      <c r="G91" s="121"/>
      <c r="H91" s="121"/>
      <c r="J91" s="131"/>
      <c r="K91" s="133"/>
      <c r="L91" s="135"/>
      <c r="M91" s="136"/>
      <c r="N91" s="121"/>
    </row>
    <row r="92" spans="1:14">
      <c r="A92" s="122" t="s">
        <v>165</v>
      </c>
      <c r="C92" s="133">
        <f>SUMIF($A$6:$A$55,$A92,C$6:C$55)</f>
        <v>2049000</v>
      </c>
      <c r="D92" s="133"/>
      <c r="E92" s="133">
        <f>SUMIF($A$6:$A$55,$A92,E$6:E$55)</f>
        <v>-22000</v>
      </c>
      <c r="F92" s="121"/>
      <c r="G92" s="121">
        <f>SUMIF($A$6:$A$55,$A92,G$6:G$55)</f>
        <v>2027000</v>
      </c>
      <c r="H92" s="121"/>
      <c r="I92" s="121">
        <f>SUMIF($A$6:$A$55,$A92,I$6:I$55)</f>
        <v>2027000</v>
      </c>
      <c r="J92" s="122">
        <f>ROUND(I92/G92*100,3)-100</f>
        <v>0</v>
      </c>
      <c r="K92" s="146">
        <f>I92-G92</f>
        <v>0</v>
      </c>
      <c r="L92" s="135">
        <f>IF(ABS(J92)&lt;=0.5,0,IF(G92&gt;I92,(G92*0.995)-I92,(G92*1.005)-I92))</f>
        <v>0</v>
      </c>
      <c r="M92" s="136"/>
      <c r="N92" s="121">
        <f>SUMIF($A$6:$A$55,"=02PRSV47TM",N$6:N$55)</f>
        <v>0</v>
      </c>
    </row>
    <row r="93" spans="1:14">
      <c r="C93" s="133"/>
      <c r="D93" s="133"/>
      <c r="E93" s="133"/>
      <c r="F93" s="121"/>
      <c r="G93" s="121"/>
      <c r="H93" s="121"/>
      <c r="J93" s="131"/>
      <c r="K93" s="133"/>
      <c r="L93" s="135"/>
      <c r="M93" s="136"/>
      <c r="N93" s="121"/>
    </row>
    <row r="94" spans="1:14">
      <c r="A94" s="122" t="s">
        <v>54</v>
      </c>
      <c r="C94" s="133">
        <f>SUMIF($A$6:$A$55,$A94,C$6:C$55)+C38</f>
        <v>850611116</v>
      </c>
      <c r="D94" s="133"/>
      <c r="E94" s="133">
        <f>SUMIF($A$6:$A$55,$A94,E$6:E$55)+E38</f>
        <v>-1907800</v>
      </c>
      <c r="F94" s="121"/>
      <c r="G94" s="121">
        <f>C94+E94</f>
        <v>848703316</v>
      </c>
      <c r="H94" s="121"/>
      <c r="I94" s="121">
        <f>SUMIF($A$6:$A$55,$A94,I$6:I$55)+I38</f>
        <v>848703317</v>
      </c>
      <c r="J94" s="122">
        <f>ROUND(I94/G94*100,3)-100</f>
        <v>0</v>
      </c>
      <c r="K94" s="146">
        <f>I94-G94</f>
        <v>1</v>
      </c>
      <c r="L94" s="135">
        <f>IF(ABS(J94)&lt;=0.5,0,IF(G94&gt;I94,(G94*0.995)-I94,(G94*1.005)-I94))</f>
        <v>0</v>
      </c>
      <c r="M94" s="136"/>
      <c r="N94" s="121">
        <f>SUMIF($A$6:$A$55,"=02LGSV048T",N$6:N$55)</f>
        <v>0</v>
      </c>
    </row>
    <row r="95" spans="1:14">
      <c r="A95" s="122" t="s">
        <v>60</v>
      </c>
      <c r="C95" s="133">
        <f>SUMIF($A$6:$A$55,$A95,C$6:C$55)</f>
        <v>0</v>
      </c>
      <c r="D95" s="133"/>
      <c r="E95" s="133">
        <f>SUMIF($A$6:$A$55,$A95,E$6:E$55)</f>
        <v>0</v>
      </c>
      <c r="F95" s="121"/>
      <c r="G95" s="121">
        <f>SUMIF($A$6:$A$55,$A95,G$6:G$55)</f>
        <v>0</v>
      </c>
      <c r="H95" s="121"/>
      <c r="I95" s="121">
        <f>SUMIF($A$6:$A$55,$A95,I$6:I$55)</f>
        <v>0</v>
      </c>
      <c r="J95" s="122" t="e">
        <f>ROUND(I95/G95*100,3)-100</f>
        <v>#DIV/0!</v>
      </c>
      <c r="K95" s="146">
        <f>I95-G95</f>
        <v>0</v>
      </c>
      <c r="L95" s="135" t="e">
        <f>IF(ABS(J95)&lt;=0.5,0,IF(G95&gt;I95,(G95*0.995)-I95,(G95*1.005)-I95))</f>
        <v>#DIV/0!</v>
      </c>
      <c r="M95" s="136"/>
      <c r="N95" s="121">
        <f>SUMIF($A$6:$A$55,"=02LGSV048M",N$6:N$55)</f>
        <v>0</v>
      </c>
    </row>
    <row r="96" spans="1:14">
      <c r="A96" s="122" t="s">
        <v>289</v>
      </c>
      <c r="C96" s="133">
        <f>SUM(C94:C95)</f>
        <v>850611116</v>
      </c>
      <c r="D96" s="133"/>
      <c r="E96" s="133">
        <f>SUM(E94:E95)</f>
        <v>-1907800</v>
      </c>
      <c r="F96" s="121"/>
      <c r="G96" s="121">
        <f>SUM(G94:G95)</f>
        <v>848703316</v>
      </c>
      <c r="H96" s="121"/>
      <c r="I96" s="121">
        <f>SUM(I94:I95)</f>
        <v>848703317</v>
      </c>
      <c r="J96" s="122">
        <f>ROUND(I96/G96*100,3)-100</f>
        <v>0</v>
      </c>
      <c r="K96" s="146">
        <f>I96-G96</f>
        <v>1</v>
      </c>
      <c r="L96" s="135">
        <f>IF(ABS(J96)&lt;=0.5,0,IF(G96&gt;I96,(G96*0.995)-I96,(G96*1.005)-I96))</f>
        <v>0</v>
      </c>
      <c r="M96" s="136"/>
      <c r="N96" s="121">
        <f>SUM(N94:N95)</f>
        <v>0</v>
      </c>
    </row>
    <row r="97" spans="1:14">
      <c r="C97" s="133"/>
      <c r="D97" s="133"/>
      <c r="E97" s="133"/>
      <c r="F97" s="121"/>
      <c r="G97" s="121"/>
      <c r="H97" s="121"/>
      <c r="J97" s="131"/>
      <c r="K97" s="133"/>
      <c r="L97" s="135"/>
      <c r="M97" s="136"/>
      <c r="N97" s="121"/>
    </row>
    <row r="98" spans="1:14">
      <c r="A98" s="122" t="s">
        <v>64</v>
      </c>
      <c r="C98" s="133">
        <f>SUMIF($A$6:$A$55,$A98,C$6:C$55)</f>
        <v>3526557</v>
      </c>
      <c r="D98" s="133"/>
      <c r="E98" s="133">
        <f>SUMIF($A$6:$A$55,$A98,E$6:E$55)</f>
        <v>5797</v>
      </c>
      <c r="F98" s="121"/>
      <c r="G98" s="121">
        <f>SUMIF($A$6:$A$55,$A98,G$6:G$55)</f>
        <v>3532354</v>
      </c>
      <c r="H98" s="121"/>
      <c r="I98" s="121">
        <f>SUMIF($A$6:$A$55,$A98,I$6:I$55)</f>
        <v>3532347.7960070018</v>
      </c>
      <c r="J98" s="122">
        <f>ROUND(I98/G98*100,3)-100</f>
        <v>0</v>
      </c>
      <c r="K98" s="146">
        <f>I98-G98</f>
        <v>-6.2039929982274771</v>
      </c>
      <c r="L98" s="135">
        <f>IF(ABS(J98)&lt;=0.5,0,IF(G98&gt;I98,(G98*0.995)-I98,(G98*1.005)-I98))</f>
        <v>0</v>
      </c>
      <c r="M98" s="136"/>
      <c r="N98" s="121">
        <f>SUMIF($A$6:$A$55,"=02HPSV0051",N$6:N$55)</f>
        <v>0</v>
      </c>
    </row>
    <row r="99" spans="1:14">
      <c r="C99" s="133"/>
      <c r="D99" s="133"/>
      <c r="E99" s="133"/>
      <c r="F99" s="121"/>
      <c r="G99" s="121"/>
      <c r="H99" s="121"/>
      <c r="J99" s="131"/>
      <c r="K99" s="133"/>
      <c r="L99" s="135"/>
      <c r="M99" s="136"/>
      <c r="N99" s="121"/>
    </row>
    <row r="100" spans="1:14">
      <c r="A100" s="122" t="s">
        <v>61</v>
      </c>
      <c r="C100" s="133">
        <f>SUMIF($A$6:$A$55,$A100,C$6:C$55)</f>
        <v>219864</v>
      </c>
      <c r="D100" s="133"/>
      <c r="E100" s="133">
        <f>SUMIF($A$6:$A$55,$A100,E$6:E$55)</f>
        <v>0</v>
      </c>
      <c r="F100" s="121"/>
      <c r="G100" s="121">
        <f>SUMIF($A$6:$A$55,$A100,G$6:G$55)</f>
        <v>219864</v>
      </c>
      <c r="H100" s="121"/>
      <c r="I100" s="121">
        <f>SUMIF($A$6:$A$55,$A100,I$6:I$55)</f>
        <v>219861.25205811099</v>
      </c>
      <c r="J100" s="122">
        <f>ROUND(I100/G100*100,3)-100</f>
        <v>-1.0000000000047748E-3</v>
      </c>
      <c r="K100" s="146">
        <f>I100-G100</f>
        <v>-2.7479418890143279</v>
      </c>
      <c r="L100" s="135">
        <f>IF(ABS(J100)&lt;=0.5,0,IF(G100&gt;I100,(G100*0.995)-I100,(G100*1.005)-I100))</f>
        <v>0</v>
      </c>
      <c r="M100" s="136"/>
      <c r="N100" s="121">
        <f>SUMIF($A$6:$A$55,"=02COSL0052",N$6:N$55)</f>
        <v>0</v>
      </c>
    </row>
    <row r="101" spans="1:14">
      <c r="C101" s="133"/>
      <c r="D101" s="133"/>
      <c r="E101" s="133"/>
      <c r="F101" s="121"/>
      <c r="G101" s="121"/>
      <c r="H101" s="121"/>
      <c r="J101" s="131"/>
      <c r="K101" s="133"/>
      <c r="L101" s="135"/>
      <c r="M101" s="136"/>
      <c r="N101" s="121"/>
    </row>
    <row r="102" spans="1:14">
      <c r="A102" s="122" t="s">
        <v>62</v>
      </c>
      <c r="C102" s="133">
        <f>SUMIF($A$6:$A$55,$A102,C$6:C$55)</f>
        <v>3235066</v>
      </c>
      <c r="D102" s="133"/>
      <c r="E102" s="133">
        <f>SUMIF($A$6:$A$55,$A102,E$6:E$55)</f>
        <v>225558.32980674299</v>
      </c>
      <c r="F102" s="121"/>
      <c r="G102" s="121">
        <f>SUMIF($A$6:$A$55,$A102,G$6:G$55)</f>
        <v>3460624.3298067432</v>
      </c>
      <c r="H102" s="121"/>
      <c r="I102" s="121">
        <f>SUMIF($A$6:$A$55,$A102,I$6:I$55)</f>
        <v>3460613.3504902627</v>
      </c>
      <c r="J102" s="122">
        <f>ROUND(I102/G102*100,3)-100</f>
        <v>0</v>
      </c>
      <c r="K102" s="146">
        <f>I102-G102</f>
        <v>-10.979316480457783</v>
      </c>
      <c r="L102" s="135">
        <f>IF(ABS(J102)&lt;=0.5,0,IF(G102&gt;I102,(G102*0.995)-I102,(G102*1.005)-I102))</f>
        <v>0</v>
      </c>
      <c r="M102" s="136"/>
      <c r="N102" s="121">
        <f>SUMIF($A$6:$A$55,"=02CUSL053F",N$6:N$55)</f>
        <v>0</v>
      </c>
    </row>
    <row r="103" spans="1:14">
      <c r="A103" s="122" t="s">
        <v>63</v>
      </c>
      <c r="C103" s="133">
        <f>SUMIF($A$6:$A$55,$A103,C$6:C$55)</f>
        <v>1152902</v>
      </c>
      <c r="D103" s="133"/>
      <c r="E103" s="133">
        <f>SUMIF($A$6:$A$55,$A103,E$6:E$55)</f>
        <v>19</v>
      </c>
      <c r="F103" s="121"/>
      <c r="G103" s="121">
        <f>SUMIF($A$6:$A$55,$A103,G$6:G$55)</f>
        <v>1152921</v>
      </c>
      <c r="H103" s="121"/>
      <c r="I103" s="121">
        <f>SUMIF($A$6:$A$55,$A103,I$6:I$55)</f>
        <v>1152921</v>
      </c>
      <c r="J103" s="122">
        <f>ROUND(I103/G103*100,3)-100</f>
        <v>0</v>
      </c>
      <c r="K103" s="146">
        <f>I103-G103</f>
        <v>0</v>
      </c>
      <c r="L103" s="135">
        <f>IF(ABS(J103)&lt;=0.5,0,IF(G103&gt;I103,(G103*0.995)-I103,(G103*1.005)-I103))</f>
        <v>0</v>
      </c>
      <c r="M103" s="136"/>
      <c r="N103" s="121">
        <f>SUMIF($A$6:$A$55,"=02CUSL053M",N$6:N$55)</f>
        <v>0</v>
      </c>
    </row>
    <row r="104" spans="1:14">
      <c r="A104" s="122" t="s">
        <v>290</v>
      </c>
      <c r="C104" s="133">
        <f>SUM(C102:C103)</f>
        <v>4387968</v>
      </c>
      <c r="D104" s="133"/>
      <c r="E104" s="133">
        <f>SUM(E102:E103)</f>
        <v>225577.32980674299</v>
      </c>
      <c r="F104" s="121"/>
      <c r="G104" s="121">
        <f>SUM(G102:G103)</f>
        <v>4613545.3298067432</v>
      </c>
      <c r="H104" s="121"/>
      <c r="I104" s="121">
        <f>SUM(I102:I103)</f>
        <v>4613534.3504902627</v>
      </c>
      <c r="J104" s="122">
        <f>ROUND(I104/G104*100,3)-100</f>
        <v>0</v>
      </c>
      <c r="K104" s="146">
        <f>I104-G104</f>
        <v>-10.979316480457783</v>
      </c>
      <c r="L104" s="135">
        <f>IF(ABS(J104)&lt;=0.5,0,IF(G104&gt;I104,(G104*0.995)-I104,(G104*1.005)-I104))</f>
        <v>0</v>
      </c>
      <c r="M104" s="136"/>
      <c r="N104" s="121">
        <f>SUM(N102:N103)</f>
        <v>0</v>
      </c>
    </row>
    <row r="105" spans="1:14">
      <c r="C105" s="133"/>
      <c r="D105" s="133"/>
      <c r="E105" s="133"/>
      <c r="F105" s="121"/>
      <c r="G105" s="121"/>
      <c r="H105" s="121"/>
      <c r="J105" s="131"/>
      <c r="K105" s="133"/>
      <c r="L105" s="135"/>
      <c r="M105" s="136"/>
      <c r="N105" s="121"/>
    </row>
    <row r="106" spans="1:14">
      <c r="A106" s="122" t="s">
        <v>56</v>
      </c>
      <c r="C106" s="133">
        <f>SUMIF($A$6:$A$55,$A106,C$6:C$55)</f>
        <v>296094</v>
      </c>
      <c r="D106" s="133"/>
      <c r="E106" s="133">
        <f>SUMIF($A$6:$A$55,$A106,E$6:E$55)</f>
        <v>-708</v>
      </c>
      <c r="F106" s="121"/>
      <c r="G106" s="121">
        <f>SUMIF($A$6:$A$55,$A106,G$6:G$55)</f>
        <v>295386</v>
      </c>
      <c r="H106" s="121"/>
      <c r="I106" s="121">
        <f>SUMIF($A$6:$A$55,$A106,I$6:I$55)</f>
        <v>295386</v>
      </c>
      <c r="J106" s="122">
        <f>ROUND(I106/G106*100,3)-100</f>
        <v>0</v>
      </c>
      <c r="K106" s="146">
        <f>I106-G106</f>
        <v>0</v>
      </c>
      <c r="L106" s="135">
        <f>IF(ABS(J106)&lt;=0.5,0,IF(G106&gt;I106,(G106*0.995)-I106,(G106*1.005)-I106))</f>
        <v>0</v>
      </c>
      <c r="M106" s="136"/>
      <c r="N106" s="121">
        <f>SUMIF($A$6:$A$55,"=02RCFL0054",N$6:N$55)</f>
        <v>0</v>
      </c>
    </row>
    <row r="107" spans="1:14">
      <c r="C107" s="133"/>
      <c r="D107" s="133"/>
      <c r="E107" s="133"/>
      <c r="F107" s="121"/>
      <c r="G107" s="121"/>
      <c r="H107" s="121"/>
      <c r="J107" s="131"/>
      <c r="K107" s="133"/>
      <c r="L107" s="135"/>
      <c r="M107" s="136"/>
      <c r="N107" s="121"/>
    </row>
    <row r="108" spans="1:14">
      <c r="A108" s="122" t="s">
        <v>65</v>
      </c>
      <c r="C108" s="133">
        <f>SUMIF($A$6:$A$55,$A108,C$6:C$55)</f>
        <v>1939253</v>
      </c>
      <c r="D108" s="133"/>
      <c r="E108" s="133">
        <f>SUMIF($A$6:$A$55,$A108,E$6:E$55)</f>
        <v>0</v>
      </c>
      <c r="F108" s="121"/>
      <c r="G108" s="121">
        <f>SUMIF($A$6:$A$55,$A108,G$6:G$55)</f>
        <v>1939253</v>
      </c>
      <c r="H108" s="121"/>
      <c r="I108" s="121">
        <f>SUMIF($A$6:$A$55,$A108,I$6:I$55)</f>
        <v>1932402.666666667</v>
      </c>
      <c r="J108" s="122">
        <f>ROUND(I108/G108*100,3)-100</f>
        <v>-0.35299999999999443</v>
      </c>
      <c r="K108" s="146">
        <f>I108-G108</f>
        <v>-6850.3333333330229</v>
      </c>
      <c r="L108" s="135">
        <f>IF(ABS(J108)&lt;=0.5,0,IF(G108&gt;I108,(G108*0.995)-I108,(G108*1.005)-I108))</f>
        <v>0</v>
      </c>
      <c r="M108" s="136"/>
      <c r="N108" s="121">
        <f>SUMIF($A$6:$A$55,"=02MVSL0057",N$6:N$55)</f>
        <v>0</v>
      </c>
    </row>
    <row r="109" spans="1:14">
      <c r="C109" s="133"/>
      <c r="D109" s="133"/>
      <c r="E109" s="133"/>
      <c r="F109" s="121"/>
      <c r="G109" s="121"/>
      <c r="H109" s="121"/>
      <c r="J109" s="131"/>
      <c r="K109" s="133"/>
      <c r="L109" s="135"/>
      <c r="M109" s="136"/>
      <c r="N109" s="121"/>
    </row>
    <row r="110" spans="1:14">
      <c r="A110" s="122" t="s">
        <v>281</v>
      </c>
      <c r="C110" s="133">
        <f>C108+C106+C104+C100+C98+C96+C92+C90+C85+C81+C74+C70+C65</f>
        <v>4116927972</v>
      </c>
      <c r="D110" s="133"/>
      <c r="E110" s="133">
        <f>E108+E106+E104+E100+E98+E96+E92+E90+E85+E81+E74+E70+E65</f>
        <v>-3141512.6572735487</v>
      </c>
      <c r="F110" s="121"/>
      <c r="G110" s="121">
        <f>G108+G106+G104+G100+G98+G96+G92+G90+G85+G81+G74+G70+G65</f>
        <v>4113786459.3427267</v>
      </c>
      <c r="H110" s="121"/>
      <c r="I110" s="121">
        <f>I108+I106+I104+I100+I98+I96+I92+I90+I85+I81+I74+I70+I65</f>
        <v>4113793100.7257891</v>
      </c>
      <c r="J110" s="122">
        <f>ROUND(I110/G110*100,3)-100</f>
        <v>0</v>
      </c>
      <c r="K110" s="146">
        <f>I110-G110</f>
        <v>6641.3830623626709</v>
      </c>
      <c r="L110" s="135">
        <f>IF(ABS(J110)&lt;=0.5,0,IF(G110&gt;I110,(G110*0.995)-I110,(G110*1.005)-I110))</f>
        <v>0</v>
      </c>
      <c r="M110" s="136"/>
      <c r="N110" s="121">
        <f>N108+N106+N104+N100+N98+N96+N92+N90+N85+N81+N74+N70+N65</f>
        <v>0</v>
      </c>
    </row>
    <row r="111" spans="1:14">
      <c r="C111" s="128"/>
      <c r="D111" s="128"/>
      <c r="E111" s="128"/>
      <c r="G111" s="128"/>
      <c r="I111" s="128"/>
    </row>
    <row r="112" spans="1:14">
      <c r="C112" s="133">
        <f>C110-C58</f>
        <v>0</v>
      </c>
      <c r="D112" s="133"/>
      <c r="E112" s="133">
        <f>E110-E58</f>
        <v>0</v>
      </c>
      <c r="F112" s="121"/>
      <c r="G112" s="133">
        <f>G110-G58</f>
        <v>0</v>
      </c>
      <c r="H112" s="121"/>
      <c r="I112" s="133">
        <f>I110-I58</f>
        <v>0</v>
      </c>
      <c r="K112" s="128">
        <f>K110-K58</f>
        <v>0</v>
      </c>
    </row>
    <row r="113" spans="3:5">
      <c r="C113" s="128"/>
      <c r="D113" s="128"/>
      <c r="E113" s="128"/>
    </row>
    <row r="114" spans="3:5">
      <c r="C114" s="128"/>
      <c r="D114" s="128"/>
      <c r="E114" s="128"/>
    </row>
    <row r="115" spans="3:5">
      <c r="C115" s="128"/>
      <c r="D115" s="128"/>
      <c r="E115" s="128"/>
    </row>
    <row r="116" spans="3:5">
      <c r="C116" s="128"/>
      <c r="D116" s="128"/>
      <c r="E116" s="128"/>
    </row>
    <row r="117" spans="3:5">
      <c r="C117" s="128"/>
      <c r="D117" s="128"/>
      <c r="E117" s="128"/>
    </row>
    <row r="118" spans="3:5">
      <c r="C118" s="128"/>
      <c r="D118" s="128"/>
      <c r="E118" s="128"/>
    </row>
    <row r="119" spans="3:5">
      <c r="C119" s="128"/>
      <c r="D119" s="128"/>
      <c r="E119" s="128"/>
    </row>
    <row r="120" spans="3:5">
      <c r="C120" s="128"/>
      <c r="D120" s="128"/>
      <c r="E120" s="128"/>
    </row>
    <row r="121" spans="3:5">
      <c r="C121" s="128"/>
      <c r="D121" s="128"/>
      <c r="E121" s="128"/>
    </row>
    <row r="122" spans="3:5">
      <c r="C122" s="128"/>
      <c r="D122" s="128"/>
      <c r="E122" s="128"/>
    </row>
    <row r="123" spans="3:5">
      <c r="C123" s="128"/>
      <c r="D123" s="128"/>
      <c r="E123" s="128"/>
    </row>
    <row r="124" spans="3:5">
      <c r="C124" s="128"/>
      <c r="D124" s="128"/>
      <c r="E124" s="128"/>
    </row>
    <row r="125" spans="3:5">
      <c r="C125" s="128"/>
      <c r="D125" s="128"/>
      <c r="E125" s="128"/>
    </row>
    <row r="126" spans="3:5">
      <c r="C126" s="128"/>
      <c r="D126" s="128"/>
      <c r="E126" s="128"/>
    </row>
    <row r="127" spans="3:5">
      <c r="C127" s="128"/>
      <c r="D127" s="128"/>
      <c r="E127" s="128"/>
    </row>
    <row r="128" spans="3:5">
      <c r="C128" s="128"/>
      <c r="D128" s="128"/>
      <c r="E128" s="128"/>
    </row>
    <row r="129" spans="3:11">
      <c r="C129" s="128"/>
      <c r="D129" s="128"/>
      <c r="E129" s="128"/>
    </row>
    <row r="130" spans="3:11">
      <c r="C130" s="128"/>
      <c r="D130" s="128"/>
      <c r="E130" s="128"/>
      <c r="K130" s="142" t="s">
        <v>31</v>
      </c>
    </row>
  </sheetData>
  <phoneticPr fontId="35" type="noConversion"/>
  <pageMargins left="0.75" right="0.75" top="1" bottom="1" header="0.5" footer="0.5"/>
  <pageSetup scale="64" orientation="landscape" r:id="rId1"/>
  <headerFooter alignWithMargins="0"/>
  <rowBreaks count="1" manualBreakCount="1">
    <brk id="59" max="10" man="1"/>
  </rowBreaks>
  <colBreaks count="1" manualBreakCount="1">
    <brk id="11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2:AJ93"/>
  <sheetViews>
    <sheetView view="pageBreakPreview" zoomScale="55" zoomScaleNormal="85" workbookViewId="0">
      <pane xSplit="3" ySplit="4" topLeftCell="D5" activePane="bottomRight" state="frozen"/>
      <selection pane="topRight" activeCell="B1" sqref="B1"/>
      <selection pane="bottomLeft" activeCell="A5" sqref="A5"/>
      <selection pane="bottomRight"/>
    </sheetView>
  </sheetViews>
  <sheetFormatPr defaultRowHeight="15.75"/>
  <cols>
    <col min="1" max="1" width="4.875" style="615" bestFit="1" customWidth="1"/>
    <col min="2" max="2" width="2.875" customWidth="1"/>
    <col min="3" max="3" width="16.125" customWidth="1"/>
    <col min="4" max="4" width="15" bestFit="1" customWidth="1"/>
    <col min="5" max="7" width="15.375" bestFit="1" customWidth="1"/>
    <col min="8" max="8" width="14.625" bestFit="1" customWidth="1"/>
    <col min="9" max="9" width="15.375" bestFit="1" customWidth="1"/>
    <col min="10" max="10" width="14.25" bestFit="1" customWidth="1"/>
    <col min="11" max="11" width="15.375" bestFit="1" customWidth="1"/>
    <col min="12" max="12" width="14.625" bestFit="1" customWidth="1"/>
    <col min="13" max="13" width="14.25" customWidth="1"/>
    <col min="14" max="15" width="15.375" bestFit="1" customWidth="1"/>
    <col min="16" max="16" width="17" bestFit="1" customWidth="1"/>
    <col min="17" max="17" width="17.625" style="20" bestFit="1" customWidth="1"/>
    <col min="18" max="19" width="13.25" customWidth="1"/>
    <col min="20" max="20" width="13.25" style="616" customWidth="1"/>
    <col min="21" max="28" width="13.25" customWidth="1"/>
    <col min="29" max="29" width="15.125" style="3" bestFit="1" customWidth="1"/>
    <col min="30" max="30" width="13.875" bestFit="1" customWidth="1"/>
    <col min="31" max="31" width="16.5" customWidth="1"/>
    <col min="32" max="32" width="18.125" bestFit="1" customWidth="1"/>
    <col min="33" max="33" width="17.625" bestFit="1" customWidth="1"/>
    <col min="35" max="35" width="13.25" bestFit="1" customWidth="1"/>
    <col min="36" max="36" width="11" bestFit="1" customWidth="1"/>
  </cols>
  <sheetData>
    <row r="2" spans="1:36">
      <c r="C2" s="3" t="s">
        <v>574</v>
      </c>
      <c r="AE2" t="s">
        <v>575</v>
      </c>
    </row>
    <row r="3" spans="1:36">
      <c r="C3" s="617" t="s">
        <v>576</v>
      </c>
      <c r="D3" s="617"/>
      <c r="E3" s="617"/>
      <c r="F3" s="617"/>
      <c r="G3" s="617"/>
      <c r="H3" s="617"/>
      <c r="I3" s="617"/>
      <c r="J3" s="617"/>
      <c r="K3" s="617"/>
      <c r="L3" s="617"/>
      <c r="M3" s="617"/>
      <c r="N3" s="617"/>
      <c r="O3" s="617"/>
      <c r="P3" s="617"/>
      <c r="Q3" s="618" t="s">
        <v>31</v>
      </c>
      <c r="AC3" s="3" t="s">
        <v>9</v>
      </c>
      <c r="AE3" s="772" t="s">
        <v>702</v>
      </c>
    </row>
    <row r="4" spans="1:36">
      <c r="C4" s="617"/>
      <c r="D4" s="617">
        <v>201301</v>
      </c>
      <c r="E4" s="617">
        <v>201302</v>
      </c>
      <c r="F4" s="617">
        <v>201303</v>
      </c>
      <c r="G4" s="617">
        <v>201304</v>
      </c>
      <c r="H4" s="617">
        <v>201305</v>
      </c>
      <c r="I4" s="617">
        <v>201306</v>
      </c>
      <c r="J4" s="617">
        <v>201307</v>
      </c>
      <c r="K4" s="617">
        <v>201308</v>
      </c>
      <c r="L4" s="617">
        <v>201309</v>
      </c>
      <c r="M4" s="617">
        <v>201310</v>
      </c>
      <c r="N4" s="617">
        <v>201311</v>
      </c>
      <c r="O4" s="617">
        <v>201312</v>
      </c>
      <c r="P4" s="617" t="s">
        <v>35</v>
      </c>
      <c r="Q4" s="617">
        <v>201301</v>
      </c>
      <c r="R4" s="617">
        <v>201302</v>
      </c>
      <c r="S4" s="617">
        <v>201303</v>
      </c>
      <c r="T4" s="617">
        <v>201304</v>
      </c>
      <c r="U4" s="617">
        <v>201305</v>
      </c>
      <c r="V4" s="617">
        <v>201306</v>
      </c>
      <c r="W4" s="617">
        <v>201307</v>
      </c>
      <c r="X4" s="617">
        <v>201308</v>
      </c>
      <c r="Y4" s="617">
        <v>201309</v>
      </c>
      <c r="Z4" s="617">
        <v>201310</v>
      </c>
      <c r="AA4" s="617">
        <v>201311</v>
      </c>
      <c r="AB4" s="617">
        <v>201312</v>
      </c>
      <c r="AC4" s="20" t="s">
        <v>199</v>
      </c>
      <c r="AD4" t="s">
        <v>12</v>
      </c>
      <c r="AE4" t="s">
        <v>9</v>
      </c>
      <c r="AF4" s="619" t="s">
        <v>168</v>
      </c>
      <c r="AI4" s="772" t="s">
        <v>187</v>
      </c>
      <c r="AJ4" s="772" t="s">
        <v>581</v>
      </c>
    </row>
    <row r="5" spans="1:36" s="3" customFormat="1" ht="17.25" customHeight="1">
      <c r="A5" s="53"/>
      <c r="B5" s="20" t="s">
        <v>265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F5" s="660"/>
    </row>
    <row r="6" spans="1:36" s="3" customFormat="1">
      <c r="A6" s="53">
        <v>16</v>
      </c>
      <c r="C6" s="4" t="s">
        <v>48</v>
      </c>
      <c r="D6" s="797">
        <v>17500992.32457</v>
      </c>
      <c r="E6" s="797">
        <v>14412359.9465701</v>
      </c>
      <c r="F6" s="797">
        <v>11419067.0665299</v>
      </c>
      <c r="G6" s="797">
        <v>8772630.5841501709</v>
      </c>
      <c r="H6" s="797">
        <v>7623339.14972011</v>
      </c>
      <c r="I6" s="797">
        <v>7432157.8689099802</v>
      </c>
      <c r="J6" s="797">
        <v>9304914.6513202414</v>
      </c>
      <c r="K6" s="797">
        <v>10521053.877570201</v>
      </c>
      <c r="L6" s="797">
        <v>9246797.0610900111</v>
      </c>
      <c r="M6" s="797">
        <v>7599975.5979599906</v>
      </c>
      <c r="N6" s="797">
        <v>9525337.8115600701</v>
      </c>
      <c r="O6" s="797">
        <v>17302865.321330786</v>
      </c>
      <c r="P6" s="774">
        <f t="shared" ref="P6:P12" si="0">SUM(D6:O6)</f>
        <v>130661491.26128155</v>
      </c>
      <c r="Q6" s="647">
        <f t="shared" ref="Q6:AB10" si="1">D6/$P$12*$AC$13</f>
        <v>-35794.293823687978</v>
      </c>
      <c r="R6" s="647">
        <f t="shared" si="1"/>
        <v>-29477.19975261216</v>
      </c>
      <c r="S6" s="647">
        <f t="shared" si="1"/>
        <v>-23355.100910360103</v>
      </c>
      <c r="T6" s="647">
        <f t="shared" si="1"/>
        <v>-17942.417830496244</v>
      </c>
      <c r="U6" s="647">
        <f t="shared" si="1"/>
        <v>-15591.803960716827</v>
      </c>
      <c r="V6" s="647">
        <f t="shared" si="1"/>
        <v>-15200.786193724294</v>
      </c>
      <c r="W6" s="647">
        <f t="shared" si="1"/>
        <v>-19031.083658387881</v>
      </c>
      <c r="X6" s="647">
        <f t="shared" si="1"/>
        <v>-21518.419461272028</v>
      </c>
      <c r="Y6" s="647">
        <f t="shared" si="1"/>
        <v>-18912.217364268945</v>
      </c>
      <c r="Z6" s="647">
        <f t="shared" si="1"/>
        <v>-15544.019136807578</v>
      </c>
      <c r="AA6" s="647">
        <f t="shared" si="1"/>
        <v>-19481.9090297066</v>
      </c>
      <c r="AB6" s="647">
        <f t="shared" si="1"/>
        <v>-35389.070163404729</v>
      </c>
      <c r="AC6" s="473">
        <f t="shared" ref="AC6:AC11" si="2">SUM(Q6:AB6)</f>
        <v>-267238.32128544542</v>
      </c>
      <c r="AD6" s="264">
        <f>Temperature!G22*1000</f>
        <v>-3508336.3</v>
      </c>
      <c r="AE6" s="105">
        <f t="shared" ref="AE6:AE11" si="3">P6+AC6+AD6</f>
        <v>126885916.63999611</v>
      </c>
      <c r="AF6" s="623">
        <f ca="1">'Table 3'!J13+'Table 3'!J17</f>
        <v>126885916.63998903</v>
      </c>
      <c r="AG6" s="69">
        <f t="shared" ref="AG6:AG12" ca="1" si="4">AF6-AE6</f>
        <v>-7.0780515670776367E-6</v>
      </c>
      <c r="AI6" s="661">
        <f>114079554.67+502.53+13070.57</f>
        <v>114093127.77</v>
      </c>
      <c r="AJ6" s="775">
        <f t="shared" ref="AJ6:AJ11" si="5">AI6-P6</f>
        <v>-16568363.491281554</v>
      </c>
    </row>
    <row r="7" spans="1:36" s="3" customFormat="1">
      <c r="A7" s="53">
        <v>17</v>
      </c>
      <c r="C7" s="4" t="s">
        <v>93</v>
      </c>
      <c r="D7" s="797">
        <v>735135.71273000003</v>
      </c>
      <c r="E7" s="797">
        <v>654553.26898000005</v>
      </c>
      <c r="F7" s="797">
        <v>556292.36202999798</v>
      </c>
      <c r="G7" s="797">
        <v>439303.92719000101</v>
      </c>
      <c r="H7" s="797">
        <v>357800.44592000003</v>
      </c>
      <c r="I7" s="797">
        <v>293998.30579000001</v>
      </c>
      <c r="J7" s="797">
        <v>311125.67878000002</v>
      </c>
      <c r="K7" s="797">
        <v>338381.06011000002</v>
      </c>
      <c r="L7" s="797">
        <v>294246.96354000102</v>
      </c>
      <c r="M7" s="797">
        <v>295389.84155000001</v>
      </c>
      <c r="N7" s="797">
        <v>431450.25096000102</v>
      </c>
      <c r="O7" s="797">
        <v>824715.19003999897</v>
      </c>
      <c r="P7" s="661">
        <f t="shared" si="0"/>
        <v>5532393.0076199993</v>
      </c>
      <c r="Q7" s="647">
        <f t="shared" si="1"/>
        <v>-1503.5526679708105</v>
      </c>
      <c r="R7" s="647">
        <f t="shared" si="1"/>
        <v>-1338.7396325083098</v>
      </c>
      <c r="S7" s="647">
        <f t="shared" si="1"/>
        <v>-1137.7693269666863</v>
      </c>
      <c r="T7" s="647">
        <f t="shared" si="1"/>
        <v>-898.49612845454908</v>
      </c>
      <c r="U7" s="647">
        <f t="shared" si="1"/>
        <v>-731.79932051777143</v>
      </c>
      <c r="V7" s="647">
        <f t="shared" si="1"/>
        <v>-601.30657427576978</v>
      </c>
      <c r="W7" s="647">
        <f t="shared" si="1"/>
        <v>-636.33671484507147</v>
      </c>
      <c r="X7" s="647">
        <f t="shared" si="1"/>
        <v>-692.08138974747874</v>
      </c>
      <c r="Y7" s="647">
        <f t="shared" si="1"/>
        <v>-601.81514706981511</v>
      </c>
      <c r="Z7" s="647">
        <f t="shared" si="1"/>
        <v>-604.15264374062417</v>
      </c>
      <c r="AA7" s="647">
        <f t="shared" si="1"/>
        <v>-882.43322245703791</v>
      </c>
      <c r="AB7" s="647">
        <f t="shared" si="1"/>
        <v>-1686.7670864415227</v>
      </c>
      <c r="AC7" s="473">
        <f t="shared" si="2"/>
        <v>-11315.249854995447</v>
      </c>
      <c r="AD7" s="264">
        <f>Temperature!G40*1000</f>
        <v>-118809.09</v>
      </c>
      <c r="AE7" s="105">
        <f t="shared" si="3"/>
        <v>5402268.6677650036</v>
      </c>
      <c r="AF7" s="623">
        <f>'Table 3'!J14</f>
        <v>5402268.6677650046</v>
      </c>
      <c r="AG7" s="69">
        <f t="shared" si="4"/>
        <v>0</v>
      </c>
      <c r="AI7" s="661">
        <f>4976778.15</f>
        <v>4976778.1500000004</v>
      </c>
      <c r="AJ7" s="775">
        <f t="shared" si="5"/>
        <v>-555614.85761999898</v>
      </c>
    </row>
    <row r="8" spans="1:36" s="3" customFormat="1">
      <c r="A8" s="53">
        <v>18</v>
      </c>
      <c r="C8" s="4" t="s">
        <v>49</v>
      </c>
      <c r="D8" s="995">
        <v>23788.309720000001</v>
      </c>
      <c r="E8" s="995">
        <v>19347.088029999999</v>
      </c>
      <c r="F8" s="995">
        <v>16691.237359999999</v>
      </c>
      <c r="G8" s="995">
        <v>14155.060149999999</v>
      </c>
      <c r="H8" s="995">
        <v>14280.67596</v>
      </c>
      <c r="I8" s="995">
        <v>14865.99951</v>
      </c>
      <c r="J8" s="995">
        <v>17575.82645</v>
      </c>
      <c r="K8" s="995">
        <v>19425.432219999999</v>
      </c>
      <c r="L8" s="995">
        <v>17485.137760000001</v>
      </c>
      <c r="M8" s="995">
        <v>13746.279619999999</v>
      </c>
      <c r="N8" s="995">
        <v>15555.43327</v>
      </c>
      <c r="O8" s="995">
        <v>24510.517918387101</v>
      </c>
      <c r="P8" s="661">
        <f t="shared" si="0"/>
        <v>211426.99796838709</v>
      </c>
      <c r="Q8" s="647">
        <f t="shared" si="1"/>
        <v>-48.653569574518045</v>
      </c>
      <c r="R8" s="647">
        <f t="shared" si="1"/>
        <v>-39.570062127639474</v>
      </c>
      <c r="S8" s="647">
        <f t="shared" si="1"/>
        <v>-34.138124471146945</v>
      </c>
      <c r="T8" s="647">
        <f t="shared" si="1"/>
        <v>-28.950951620597646</v>
      </c>
      <c r="U8" s="647">
        <f t="shared" si="1"/>
        <v>-29.20787015005315</v>
      </c>
      <c r="V8" s="647">
        <f t="shared" si="1"/>
        <v>-30.4050161599517</v>
      </c>
      <c r="W8" s="647">
        <f t="shared" si="1"/>
        <v>-35.947349983247548</v>
      </c>
      <c r="X8" s="647">
        <f t="shared" si="1"/>
        <v>-39.730297324834659</v>
      </c>
      <c r="Y8" s="647">
        <f t="shared" si="1"/>
        <v>-35.761866922850558</v>
      </c>
      <c r="Z8" s="647">
        <f t="shared" si="1"/>
        <v>-28.11488414917314</v>
      </c>
      <c r="AA8" s="647">
        <f t="shared" si="1"/>
        <v>-31.81509589256002</v>
      </c>
      <c r="AB8" s="647">
        <f t="shared" si="1"/>
        <v>-50.130681956234334</v>
      </c>
      <c r="AC8" s="473">
        <f t="shared" si="2"/>
        <v>-432.42577033280719</v>
      </c>
      <c r="AD8" s="264">
        <f>Temperature!G58*1000</f>
        <v>-7648.0699999999988</v>
      </c>
      <c r="AE8" s="105">
        <f t="shared" si="3"/>
        <v>203346.50219805428</v>
      </c>
      <c r="AF8" s="623">
        <f ca="1">'Table 3'!J15</f>
        <v>203346.50219805419</v>
      </c>
      <c r="AG8" s="69">
        <f t="shared" ca="1" si="4"/>
        <v>0</v>
      </c>
      <c r="AI8" s="661">
        <f>206329.02</f>
        <v>206329.02</v>
      </c>
      <c r="AJ8" s="775">
        <f t="shared" si="5"/>
        <v>-5097.977968387102</v>
      </c>
    </row>
    <row r="9" spans="1:36" s="3" customFormat="1">
      <c r="A9" s="53" t="s">
        <v>161</v>
      </c>
      <c r="C9" s="7" t="s">
        <v>162</v>
      </c>
      <c r="D9" s="995">
        <v>3964.6570400000001</v>
      </c>
      <c r="E9" s="995">
        <v>3344.7216199999998</v>
      </c>
      <c r="F9" s="995">
        <v>2835.0920799999999</v>
      </c>
      <c r="G9" s="995">
        <v>2614.8223600000001</v>
      </c>
      <c r="H9" s="995">
        <v>2544.0096800000001</v>
      </c>
      <c r="I9" s="995">
        <v>2919.3592800000001</v>
      </c>
      <c r="J9" s="995">
        <v>4194.8726399999996</v>
      </c>
      <c r="K9" s="995">
        <v>4307.9925599999997</v>
      </c>
      <c r="L9" s="995">
        <v>3290.3054000000002</v>
      </c>
      <c r="M9" s="995">
        <v>2516.31214</v>
      </c>
      <c r="N9" s="995">
        <v>2849.8744200000001</v>
      </c>
      <c r="O9" s="995">
        <v>4312.9413680645202</v>
      </c>
      <c r="P9" s="661">
        <f t="shared" si="0"/>
        <v>39694.960588064525</v>
      </c>
      <c r="Q9" s="647">
        <f t="shared" si="1"/>
        <v>-8.108802996312372</v>
      </c>
      <c r="R9" s="647">
        <f t="shared" si="1"/>
        <v>-6.8408662894298597</v>
      </c>
      <c r="S9" s="647">
        <f t="shared" si="1"/>
        <v>-5.7985351371339497</v>
      </c>
      <c r="T9" s="647">
        <f t="shared" si="1"/>
        <v>-5.3480235928786897</v>
      </c>
      <c r="U9" s="647">
        <f t="shared" si="1"/>
        <v>-5.2031923840332182</v>
      </c>
      <c r="V9" s="647">
        <f t="shared" si="1"/>
        <v>-5.9708845022762258</v>
      </c>
      <c r="W9" s="647">
        <f t="shared" si="1"/>
        <v>-8.5796565728622998</v>
      </c>
      <c r="X9" s="647">
        <f t="shared" si="1"/>
        <v>-8.8110176053511573</v>
      </c>
      <c r="Y9" s="647">
        <f t="shared" si="1"/>
        <v>-6.7295703051033096</v>
      </c>
      <c r="Z9" s="647">
        <f t="shared" si="1"/>
        <v>-5.146543374276126</v>
      </c>
      <c r="AA9" s="647">
        <f t="shared" si="1"/>
        <v>-5.8287690468202484</v>
      </c>
      <c r="AB9" s="647">
        <f t="shared" si="1"/>
        <v>-8.8211392651206886</v>
      </c>
      <c r="AC9" s="473">
        <f t="shared" si="2"/>
        <v>-81.187001071598146</v>
      </c>
      <c r="AE9" s="105">
        <f t="shared" si="3"/>
        <v>39613.773586992924</v>
      </c>
      <c r="AF9" s="623">
        <f ca="1">'Table 3'!J16</f>
        <v>39613.773586992909</v>
      </c>
      <c r="AG9" s="69">
        <f t="shared" ca="1" si="4"/>
        <v>0</v>
      </c>
      <c r="AI9" s="661">
        <f>44197.22</f>
        <v>44197.22</v>
      </c>
      <c r="AJ9" s="775">
        <f t="shared" si="5"/>
        <v>4502.2594119354762</v>
      </c>
    </row>
    <row r="10" spans="1:36" s="3" customFormat="1">
      <c r="A10" s="53" t="s">
        <v>160</v>
      </c>
      <c r="C10" s="4" t="s">
        <v>50</v>
      </c>
      <c r="D10" s="996">
        <v>12856.6514727624</v>
      </c>
      <c r="E10" s="996">
        <v>12838.257047830801</v>
      </c>
      <c r="F10" s="996">
        <v>12863.078599078201</v>
      </c>
      <c r="G10" s="996">
        <v>12840.789889400799</v>
      </c>
      <c r="H10" s="996">
        <v>12844.4919612266</v>
      </c>
      <c r="I10" s="996">
        <v>12849.647148259801</v>
      </c>
      <c r="J10" s="996">
        <v>12869.9284328576</v>
      </c>
      <c r="K10" s="996">
        <v>12829.0133918668</v>
      </c>
      <c r="L10" s="996">
        <v>12820.5364972272</v>
      </c>
      <c r="M10" s="996">
        <v>12744.395693160701</v>
      </c>
      <c r="N10" s="996">
        <v>12764.175868570101</v>
      </c>
      <c r="O10" s="996">
        <v>12765.6701549299</v>
      </c>
      <c r="P10" s="661">
        <f t="shared" si="0"/>
        <v>153886.6361571709</v>
      </c>
      <c r="Q10" s="647">
        <f t="shared" si="1"/>
        <v>-26.295352393174372</v>
      </c>
      <c r="R10" s="647">
        <f t="shared" si="1"/>
        <v>-26.257730786438678</v>
      </c>
      <c r="S10" s="647">
        <f t="shared" si="1"/>
        <v>-26.308497616229342</v>
      </c>
      <c r="T10" s="647">
        <f t="shared" si="1"/>
        <v>-26.262911136997317</v>
      </c>
      <c r="U10" s="647">
        <f t="shared" si="1"/>
        <v>-26.27048288174365</v>
      </c>
      <c r="V10" s="647">
        <f t="shared" si="1"/>
        <v>-26.281026642689326</v>
      </c>
      <c r="W10" s="647">
        <f t="shared" si="1"/>
        <v>-26.322507391126447</v>
      </c>
      <c r="X10" s="647">
        <f t="shared" si="1"/>
        <v>-26.238824993473095</v>
      </c>
      <c r="Y10" s="647">
        <f t="shared" si="1"/>
        <v>-26.221487436161201</v>
      </c>
      <c r="Z10" s="647">
        <f t="shared" si="1"/>
        <v>-26.065758763056081</v>
      </c>
      <c r="AA10" s="647">
        <f t="shared" si="1"/>
        <v>-26.106214606779535</v>
      </c>
      <c r="AB10" s="647">
        <f t="shared" si="1"/>
        <v>-26.109270829194095</v>
      </c>
      <c r="AC10" s="473">
        <f t="shared" si="2"/>
        <v>-314.74006547706313</v>
      </c>
      <c r="AE10" s="105">
        <f t="shared" si="3"/>
        <v>153571.89609169384</v>
      </c>
      <c r="AF10" s="623">
        <f ca="1">'Table 3'!J21</f>
        <v>153571.89609171345</v>
      </c>
      <c r="AG10" s="69">
        <f t="shared" ca="1" si="4"/>
        <v>1.9615981727838516E-8</v>
      </c>
      <c r="AI10" s="661">
        <f>146675.4</f>
        <v>146675.4</v>
      </c>
      <c r="AJ10" s="775">
        <f t="shared" si="5"/>
        <v>-7211.2361571709043</v>
      </c>
    </row>
    <row r="11" spans="1:36" s="3" customFormat="1">
      <c r="A11" s="53">
        <v>24</v>
      </c>
      <c r="C11" s="60" t="s">
        <v>51</v>
      </c>
      <c r="D11" s="797">
        <v>50097.561393333301</v>
      </c>
      <c r="E11" s="797">
        <v>60921.637860000003</v>
      </c>
      <c r="F11" s="797">
        <v>54724.750253333303</v>
      </c>
      <c r="G11" s="797">
        <v>49224.497179999998</v>
      </c>
      <c r="H11" s="797">
        <v>50779.765119999996</v>
      </c>
      <c r="I11" s="797">
        <v>53231.412226666696</v>
      </c>
      <c r="J11" s="797">
        <v>60366.716133333401</v>
      </c>
      <c r="K11" s="797">
        <v>67408.854506666496</v>
      </c>
      <c r="L11" s="797">
        <v>71087.451239999995</v>
      </c>
      <c r="M11" s="797">
        <v>66744.012686666698</v>
      </c>
      <c r="N11" s="797">
        <v>83764.944173333293</v>
      </c>
      <c r="O11" s="797">
        <f>122774.296113334+4</f>
        <v>122778.296113334</v>
      </c>
      <c r="P11" s="661">
        <f t="shared" ref="P11" si="6">SUM(D11:O11)</f>
        <v>791129.89888666722</v>
      </c>
      <c r="Q11" s="647">
        <f t="shared" ref="Q11" si="7">D11/$P$12*$AC$13</f>
        <v>-102.46315175201235</v>
      </c>
      <c r="R11" s="647">
        <f t="shared" ref="R11" si="8">E11/$P$12*$AC$13</f>
        <v>-124.60133490371851</v>
      </c>
      <c r="S11" s="647">
        <f t="shared" ref="S11" si="9">F11/$P$12*$AC$13</f>
        <v>-111.92701268977237</v>
      </c>
      <c r="T11" s="647">
        <f t="shared" ref="T11" si="10">G11/$P$12*$AC$13</f>
        <v>-100.67749775026037</v>
      </c>
      <c r="U11" s="647">
        <f t="shared" ref="U11" si="11">H11/$P$12*$AC$13</f>
        <v>-103.85844409812923</v>
      </c>
      <c r="V11" s="647">
        <f t="shared" ref="V11" si="12">I11/$P$12*$AC$13</f>
        <v>-108.8727298746461</v>
      </c>
      <c r="W11" s="647">
        <f t="shared" ref="W11" si="13">J11/$P$12*$AC$13</f>
        <v>-123.46636889921565</v>
      </c>
      <c r="X11" s="647">
        <f t="shared" ref="X11" si="14">K11/$P$12*$AC$13</f>
        <v>-137.8694590444681</v>
      </c>
      <c r="Y11" s="647">
        <f t="shared" ref="Y11" si="15">L11/$P$12*$AC$13</f>
        <v>-145.39319083577573</v>
      </c>
      <c r="Z11" s="647">
        <f t="shared" ref="Z11" si="16">M11/$P$12*$AC$13</f>
        <v>-136.50967652413988</v>
      </c>
      <c r="AA11" s="647">
        <f t="shared" ref="AA11" si="17">N11/$P$12*$AC$13</f>
        <v>-171.32211524118708</v>
      </c>
      <c r="AB11" s="647">
        <f t="shared" ref="AB11" si="18">O11/$P$12*$AC$13</f>
        <v>-251.11504106441714</v>
      </c>
      <c r="AC11" s="473">
        <f t="shared" si="2"/>
        <v>-1618.0760226777425</v>
      </c>
      <c r="AD11" s="264">
        <f>Temperature!V75*1000</f>
        <v>-9224.51</v>
      </c>
      <c r="AE11" s="105">
        <f t="shared" si="3"/>
        <v>780287.3128639895</v>
      </c>
      <c r="AF11" s="623">
        <f>'Table 3'!J18</f>
        <v>780287.66786398063</v>
      </c>
      <c r="AG11" s="69">
        <f t="shared" ref="AG11" si="19">AF11-AE11</f>
        <v>0.35499999113380909</v>
      </c>
      <c r="AI11" s="661">
        <f>146675.4</f>
        <v>146675.4</v>
      </c>
      <c r="AJ11" s="775">
        <f t="shared" si="5"/>
        <v>-644454.49888666719</v>
      </c>
    </row>
    <row r="12" spans="1:36" s="3" customFormat="1">
      <c r="A12" s="53"/>
      <c r="B12" s="20" t="s">
        <v>265</v>
      </c>
      <c r="C12" s="5"/>
      <c r="D12" s="661">
        <f>SUM(D6:D11)</f>
        <v>18326835.216926094</v>
      </c>
      <c r="E12" s="661">
        <f t="shared" ref="E12:O12" si="20">SUM(E6:E11)</f>
        <v>15163364.920107931</v>
      </c>
      <c r="F12" s="661">
        <f t="shared" si="20"/>
        <v>12062473.58685231</v>
      </c>
      <c r="G12" s="661">
        <f t="shared" si="20"/>
        <v>9290769.6809195708</v>
      </c>
      <c r="H12" s="661">
        <f t="shared" si="20"/>
        <v>8061588.5383613361</v>
      </c>
      <c r="I12" s="661">
        <f t="shared" si="20"/>
        <v>7810022.5928649073</v>
      </c>
      <c r="J12" s="661">
        <f t="shared" si="20"/>
        <v>9711047.6737564337</v>
      </c>
      <c r="K12" s="661">
        <f t="shared" si="20"/>
        <v>10963406.230358735</v>
      </c>
      <c r="L12" s="661">
        <f t="shared" si="20"/>
        <v>9645727.4555272404</v>
      </c>
      <c r="M12" s="661">
        <f t="shared" si="20"/>
        <v>7991116.4396498185</v>
      </c>
      <c r="N12" s="661">
        <f t="shared" si="20"/>
        <v>10071722.490251977</v>
      </c>
      <c r="O12" s="661">
        <f t="shared" si="20"/>
        <v>18291947.936925501</v>
      </c>
      <c r="P12" s="661">
        <f t="shared" si="0"/>
        <v>137390022.76250184</v>
      </c>
      <c r="Q12" s="473">
        <f>SUM(Q6:Q11)</f>
        <v>-37483.367368374806</v>
      </c>
      <c r="R12" s="473">
        <f t="shared" ref="R12:AB12" si="21">SUM(R6:R11)</f>
        <v>-31013.209379227697</v>
      </c>
      <c r="S12" s="473">
        <f t="shared" si="21"/>
        <v>-24671.042407241071</v>
      </c>
      <c r="T12" s="473">
        <f t="shared" si="21"/>
        <v>-19002.15334305153</v>
      </c>
      <c r="U12" s="473">
        <f t="shared" si="21"/>
        <v>-16488.143270748555</v>
      </c>
      <c r="V12" s="473">
        <f t="shared" si="21"/>
        <v>-15973.622425179627</v>
      </c>
      <c r="W12" s="473">
        <f t="shared" si="21"/>
        <v>-19861.736256079406</v>
      </c>
      <c r="X12" s="473">
        <f t="shared" si="21"/>
        <v>-22423.150449987636</v>
      </c>
      <c r="Y12" s="473">
        <f t="shared" si="21"/>
        <v>-19728.138626838649</v>
      </c>
      <c r="Z12" s="473">
        <f t="shared" si="21"/>
        <v>-16344.008643358848</v>
      </c>
      <c r="AA12" s="473">
        <f t="shared" si="21"/>
        <v>-20599.414446950985</v>
      </c>
      <c r="AB12" s="473">
        <f t="shared" si="21"/>
        <v>-37412.013382961217</v>
      </c>
      <c r="AC12" s="625">
        <f>SUM(AC6:AC11)</f>
        <v>-281000.00000000012</v>
      </c>
      <c r="AD12" s="107">
        <f>SUM(AD6:AD11)</f>
        <v>-3644017.9699999993</v>
      </c>
      <c r="AE12" s="107">
        <f>SUM(AE6:AE11)</f>
        <v>133465004.79250185</v>
      </c>
      <c r="AF12" s="626">
        <f ca="1">SUM(AF6:AF11)</f>
        <v>133465005.14749478</v>
      </c>
      <c r="AG12" s="69">
        <f t="shared" ca="1" si="4"/>
        <v>0.35499292612075806</v>
      </c>
    </row>
    <row r="13" spans="1:36" s="3" customFormat="1">
      <c r="A13" s="53"/>
      <c r="B13" s="3" t="s">
        <v>272</v>
      </c>
      <c r="C13" s="5"/>
      <c r="D13" s="661"/>
      <c r="E13" s="661"/>
      <c r="F13" s="661"/>
      <c r="G13" s="661"/>
      <c r="H13" s="661"/>
      <c r="I13" s="661"/>
      <c r="J13" s="661"/>
      <c r="K13" s="661"/>
      <c r="L13" s="661"/>
      <c r="M13" s="661"/>
      <c r="N13" s="661"/>
      <c r="O13" s="661"/>
      <c r="P13" s="661"/>
      <c r="Q13" s="473"/>
      <c r="R13" s="473"/>
      <c r="S13" s="473"/>
      <c r="T13" s="473"/>
      <c r="U13" s="473"/>
      <c r="V13" s="473"/>
      <c r="W13" s="473"/>
      <c r="X13" s="473"/>
      <c r="Y13" s="473"/>
      <c r="Z13" s="473"/>
      <c r="AA13" s="473"/>
      <c r="AB13" s="473"/>
      <c r="AC13" s="452">
        <f>'Table 3'!D36</f>
        <v>-281000</v>
      </c>
      <c r="AD13" s="107"/>
      <c r="AE13" s="107"/>
      <c r="AF13" s="626"/>
      <c r="AG13" s="69"/>
    </row>
    <row r="14" spans="1:36" s="3" customFormat="1">
      <c r="A14" s="53">
        <v>24</v>
      </c>
      <c r="C14" s="60" t="s">
        <v>51</v>
      </c>
      <c r="D14" s="656">
        <v>4104981.0115790535</v>
      </c>
      <c r="E14" s="656">
        <v>3774209.0621257839</v>
      </c>
      <c r="F14" s="656">
        <v>3448155.1756727952</v>
      </c>
      <c r="G14" s="656">
        <v>3242257.4789034706</v>
      </c>
      <c r="H14" s="656">
        <v>3261483.5161987282</v>
      </c>
      <c r="I14" s="656">
        <v>3375436.532270594</v>
      </c>
      <c r="J14" s="656">
        <v>3688354.7090850449</v>
      </c>
      <c r="K14" s="656">
        <v>4058278.4758085241</v>
      </c>
      <c r="L14" s="656">
        <v>3898307.9272352047</v>
      </c>
      <c r="M14" s="656">
        <v>3475178.5195093472</v>
      </c>
      <c r="N14" s="656">
        <v>3369776.7208235143</v>
      </c>
      <c r="O14" s="656">
        <v>4266786.2755935928</v>
      </c>
      <c r="P14" s="774">
        <f t="shared" ref="P14:P22" si="22">SUM(D14:O14)</f>
        <v>43963205.404805653</v>
      </c>
      <c r="Q14" s="647">
        <f t="shared" ref="Q14:AB21" si="23">D14/$P$22*$AC$23</f>
        <v>-10158.150638140009</v>
      </c>
      <c r="R14" s="647">
        <f t="shared" si="23"/>
        <v>-9339.6252223244919</v>
      </c>
      <c r="S14" s="647">
        <f t="shared" si="23"/>
        <v>-8532.7750845533556</v>
      </c>
      <c r="T14" s="647">
        <f t="shared" si="23"/>
        <v>-8023.2624183731232</v>
      </c>
      <c r="U14" s="647">
        <f t="shared" si="23"/>
        <v>-8070.8390045908991</v>
      </c>
      <c r="V14" s="647">
        <f t="shared" si="23"/>
        <v>-8352.8261562155367</v>
      </c>
      <c r="W14" s="647">
        <f t="shared" si="23"/>
        <v>-9127.1707801071334</v>
      </c>
      <c r="X14" s="647">
        <f t="shared" si="23"/>
        <v>-10042.580945563606</v>
      </c>
      <c r="Y14" s="647">
        <f t="shared" si="23"/>
        <v>-9646.7192045494648</v>
      </c>
      <c r="Z14" s="647">
        <f t="shared" si="23"/>
        <v>-8599.6468183478937</v>
      </c>
      <c r="AA14" s="647">
        <f t="shared" si="23"/>
        <v>-8338.820435579868</v>
      </c>
      <c r="AB14" s="647">
        <f t="shared" si="23"/>
        <v>-10558.552550175029</v>
      </c>
      <c r="AC14" s="473">
        <f t="shared" ref="AC14:AC21" si="24">SUM(Q14:AB14)</f>
        <v>-108790.9692585204</v>
      </c>
      <c r="AD14" s="264">
        <f>Temperature!I75*1000</f>
        <v>-562501.81999999995</v>
      </c>
      <c r="AE14" s="105">
        <f t="shared" ref="AE14:AE21" si="25">P14+AC14+AD14</f>
        <v>43291912.615547135</v>
      </c>
      <c r="AF14" s="623">
        <f>'Table 3'!J41</f>
        <v>43291912.61554987</v>
      </c>
      <c r="AG14" s="69">
        <f t="shared" ref="AG14:AG22" si="26">AF14-AE14</f>
        <v>2.7343630790710449E-6</v>
      </c>
      <c r="AI14" s="661">
        <f>1568630.53+597.9+1606368.57+638.63+13108.81+13418497.36+17561.36+13838.66+12045.73+19426972.61+5133.75+217.97+205.88+2958.65+9977.89</f>
        <v>36096754.299999997</v>
      </c>
      <c r="AJ14" s="775">
        <f t="shared" ref="AJ14:AJ21" si="27">AI14-P14</f>
        <v>-7866451.1048056558</v>
      </c>
    </row>
    <row r="15" spans="1:36" s="3" customFormat="1">
      <c r="A15" s="53" t="s">
        <v>149</v>
      </c>
      <c r="C15" s="60" t="s">
        <v>52</v>
      </c>
      <c r="D15" s="656">
        <v>13101.60439281592</v>
      </c>
      <c r="E15" s="656">
        <v>13101.31068351362</v>
      </c>
      <c r="F15" s="656">
        <v>13101.60439281592</v>
      </c>
      <c r="G15" s="656">
        <v>13101.60439281592</v>
      </c>
      <c r="H15" s="656">
        <v>13101.60439281592</v>
      </c>
      <c r="I15" s="656">
        <v>13101.60439281592</v>
      </c>
      <c r="J15" s="656">
        <v>13102.29138706676</v>
      </c>
      <c r="K15" s="656">
        <v>13101.601364402399</v>
      </c>
      <c r="L15" s="656">
        <v>13101.601364402399</v>
      </c>
      <c r="M15" s="656">
        <v>13101.601364402399</v>
      </c>
      <c r="N15" s="656">
        <v>13101.601364402399</v>
      </c>
      <c r="O15" s="656">
        <v>13101.59223930963</v>
      </c>
      <c r="P15" s="774">
        <f t="shared" si="22"/>
        <v>157219.62173157919</v>
      </c>
      <c r="Q15" s="647">
        <f t="shared" si="23"/>
        <v>-32.421117332366492</v>
      </c>
      <c r="R15" s="647">
        <f t="shared" si="23"/>
        <v>-32.420390521857946</v>
      </c>
      <c r="S15" s="647">
        <f t="shared" si="23"/>
        <v>-32.421117332366492</v>
      </c>
      <c r="T15" s="647">
        <f t="shared" si="23"/>
        <v>-32.421117332366492</v>
      </c>
      <c r="U15" s="647">
        <f t="shared" si="23"/>
        <v>-32.421117332366492</v>
      </c>
      <c r="V15" s="647">
        <f t="shared" si="23"/>
        <v>-32.421117332366492</v>
      </c>
      <c r="W15" s="647">
        <f t="shared" si="23"/>
        <v>-32.422817362419707</v>
      </c>
      <c r="X15" s="647">
        <f t="shared" si="23"/>
        <v>-32.421109838280486</v>
      </c>
      <c r="Y15" s="647">
        <f t="shared" si="23"/>
        <v>-32.421109838280486</v>
      </c>
      <c r="Z15" s="647">
        <f t="shared" si="23"/>
        <v>-32.421109838280486</v>
      </c>
      <c r="AA15" s="647">
        <f t="shared" si="23"/>
        <v>-32.421109838280486</v>
      </c>
      <c r="AB15" s="647">
        <f t="shared" si="23"/>
        <v>-32.421087257404551</v>
      </c>
      <c r="AC15" s="473">
        <f t="shared" si="24"/>
        <v>-389.05432115663655</v>
      </c>
      <c r="AE15" s="105">
        <f t="shared" si="25"/>
        <v>156830.56741042255</v>
      </c>
      <c r="AF15" s="623">
        <f>'Table 3'!J42</f>
        <v>156830.56741042147</v>
      </c>
      <c r="AG15" s="69">
        <f t="shared" si="26"/>
        <v>-1.076841726899147E-9</v>
      </c>
      <c r="AI15" s="661">
        <f>14927.3+116460.19</f>
        <v>131387.49</v>
      </c>
      <c r="AJ15" s="775">
        <f t="shared" si="27"/>
        <v>-25832.131731579197</v>
      </c>
    </row>
    <row r="16" spans="1:36" s="3" customFormat="1">
      <c r="A16" s="53" t="s">
        <v>156</v>
      </c>
      <c r="C16" s="61" t="s">
        <v>57</v>
      </c>
      <c r="D16" s="656">
        <v>12110.22328</v>
      </c>
      <c r="E16" s="656">
        <v>527.28815589041096</v>
      </c>
      <c r="F16" s="656">
        <v>5311.7077399999998</v>
      </c>
      <c r="G16" s="656">
        <v>16755.826580000001</v>
      </c>
      <c r="H16" s="656">
        <v>18226.079379999999</v>
      </c>
      <c r="I16" s="656">
        <v>2786.65002</v>
      </c>
      <c r="J16" s="656">
        <v>3945.6298512328799</v>
      </c>
      <c r="K16" s="656">
        <v>779.80330328767104</v>
      </c>
      <c r="L16" s="656">
        <v>657.35969999999998</v>
      </c>
      <c r="M16" s="656">
        <v>2237.5212799999999</v>
      </c>
      <c r="N16" s="656">
        <v>49814.322581917797</v>
      </c>
      <c r="O16" s="656">
        <v>604.07795333333297</v>
      </c>
      <c r="P16" s="661">
        <f t="shared" si="22"/>
        <v>113756.48982566208</v>
      </c>
      <c r="Q16" s="647">
        <f t="shared" si="23"/>
        <v>-29.96785417344212</v>
      </c>
      <c r="R16" s="647">
        <f t="shared" si="23"/>
        <v>-1.3048227268611559</v>
      </c>
      <c r="S16" s="647">
        <f t="shared" si="23"/>
        <v>-13.144306201781591</v>
      </c>
      <c r="T16" s="647">
        <f t="shared" si="23"/>
        <v>-41.463824067901527</v>
      </c>
      <c r="U16" s="647">
        <f t="shared" si="23"/>
        <v>-45.102098977436881</v>
      </c>
      <c r="V16" s="647">
        <f t="shared" si="23"/>
        <v>-6.8958201265946908</v>
      </c>
      <c r="W16" s="647">
        <f t="shared" si="23"/>
        <v>-9.7638216298954212</v>
      </c>
      <c r="X16" s="647">
        <f t="shared" si="23"/>
        <v>-1.9296945346571168</v>
      </c>
      <c r="Y16" s="647">
        <f t="shared" si="23"/>
        <v>-1.6266966490726551</v>
      </c>
      <c r="Z16" s="647">
        <f t="shared" si="23"/>
        <v>-5.5369508784988763</v>
      </c>
      <c r="AA16" s="647">
        <f t="shared" si="23"/>
        <v>-123.27009340522392</v>
      </c>
      <c r="AB16" s="647">
        <f t="shared" si="23"/>
        <v>-1.4948460979065199</v>
      </c>
      <c r="AC16" s="473">
        <f t="shared" si="24"/>
        <v>-281.50082946927245</v>
      </c>
      <c r="AE16" s="105">
        <f t="shared" si="25"/>
        <v>113474.98899619281</v>
      </c>
      <c r="AF16" s="623">
        <f>'Table 3'!J43</f>
        <v>113474.98899619273</v>
      </c>
      <c r="AG16" s="69">
        <f t="shared" si="26"/>
        <v>0</v>
      </c>
      <c r="AI16" s="661">
        <f>444.08+95500.06+69.12</f>
        <v>96013.26</v>
      </c>
      <c r="AJ16" s="775">
        <f t="shared" si="27"/>
        <v>-17743.229825662085</v>
      </c>
    </row>
    <row r="17" spans="1:36" s="3" customFormat="1">
      <c r="A17" s="53">
        <v>33</v>
      </c>
      <c r="C17" s="60" t="s">
        <v>273</v>
      </c>
      <c r="D17" s="629">
        <v>0</v>
      </c>
      <c r="E17" s="629">
        <v>0</v>
      </c>
      <c r="F17" s="629">
        <v>0</v>
      </c>
      <c r="G17" s="629">
        <v>0</v>
      </c>
      <c r="H17" s="629">
        <v>0</v>
      </c>
      <c r="I17" s="629">
        <v>0</v>
      </c>
      <c r="J17" s="629">
        <v>0</v>
      </c>
      <c r="K17" s="629">
        <v>0</v>
      </c>
      <c r="L17" s="629">
        <v>0</v>
      </c>
      <c r="M17" s="629">
        <v>0</v>
      </c>
      <c r="N17" s="629">
        <v>0</v>
      </c>
      <c r="O17" s="629">
        <v>0</v>
      </c>
      <c r="P17" s="661">
        <f t="shared" si="22"/>
        <v>0</v>
      </c>
      <c r="Q17" s="647">
        <f t="shared" si="23"/>
        <v>0</v>
      </c>
      <c r="R17" s="647">
        <f t="shared" si="23"/>
        <v>0</v>
      </c>
      <c r="S17" s="647">
        <f t="shared" si="23"/>
        <v>0</v>
      </c>
      <c r="T17" s="647">
        <f t="shared" si="23"/>
        <v>0</v>
      </c>
      <c r="U17" s="647">
        <f t="shared" si="23"/>
        <v>0</v>
      </c>
      <c r="V17" s="647">
        <f t="shared" si="23"/>
        <v>0</v>
      </c>
      <c r="W17" s="647">
        <f t="shared" si="23"/>
        <v>0</v>
      </c>
      <c r="X17" s="647">
        <f t="shared" si="23"/>
        <v>0</v>
      </c>
      <c r="Y17" s="647">
        <f t="shared" si="23"/>
        <v>0</v>
      </c>
      <c r="Z17" s="647">
        <f t="shared" si="23"/>
        <v>0</v>
      </c>
      <c r="AA17" s="647">
        <f t="shared" si="23"/>
        <v>0</v>
      </c>
      <c r="AB17" s="647">
        <f t="shared" si="23"/>
        <v>0</v>
      </c>
      <c r="AC17" s="473">
        <f t="shared" si="24"/>
        <v>0</v>
      </c>
      <c r="AE17" s="105">
        <f t="shared" si="25"/>
        <v>0</v>
      </c>
      <c r="AF17" s="623">
        <v>0</v>
      </c>
      <c r="AG17" s="69">
        <f t="shared" si="26"/>
        <v>0</v>
      </c>
      <c r="AI17" s="661">
        <v>0</v>
      </c>
      <c r="AJ17" s="775">
        <f t="shared" si="27"/>
        <v>0</v>
      </c>
    </row>
    <row r="18" spans="1:36" s="3" customFormat="1">
      <c r="A18" s="53">
        <v>36</v>
      </c>
      <c r="C18" s="60" t="s">
        <v>53</v>
      </c>
      <c r="D18" s="1067">
        <v>4850731.3032200029</v>
      </c>
      <c r="E18" s="1067">
        <v>4518716.3087799996</v>
      </c>
      <c r="F18" s="1067">
        <v>4295614.2103399998</v>
      </c>
      <c r="G18" s="1067">
        <v>4184695.4610333298</v>
      </c>
      <c r="H18" s="1067">
        <v>4277758.9738666732</v>
      </c>
      <c r="I18" s="1067">
        <v>4421684.3080799999</v>
      </c>
      <c r="J18" s="1067">
        <v>4647275.0704533299</v>
      </c>
      <c r="K18" s="1067">
        <v>4867369.5807200028</v>
      </c>
      <c r="L18" s="1067">
        <v>5261228.7479333365</v>
      </c>
      <c r="M18" s="1067">
        <v>5145229.5338066705</v>
      </c>
      <c r="N18" s="1067">
        <v>4887092.1390066696</v>
      </c>
      <c r="O18" s="1067">
        <v>5005876.4440100007</v>
      </c>
      <c r="P18" s="774">
        <f t="shared" si="22"/>
        <v>56363272.081250012</v>
      </c>
      <c r="Q18" s="647">
        <f t="shared" si="23"/>
        <v>-12003.577883615033</v>
      </c>
      <c r="R18" s="647">
        <f t="shared" si="23"/>
        <v>-11181.976439386812</v>
      </c>
      <c r="S18" s="647">
        <f t="shared" si="23"/>
        <v>-10629.889909084717</v>
      </c>
      <c r="T18" s="647">
        <f t="shared" si="23"/>
        <v>-10355.411327850592</v>
      </c>
      <c r="U18" s="647">
        <f t="shared" si="23"/>
        <v>-10585.705494768537</v>
      </c>
      <c r="V18" s="647">
        <f t="shared" si="23"/>
        <v>-10941.861886590976</v>
      </c>
      <c r="W18" s="647">
        <f t="shared" si="23"/>
        <v>-11500.106843217374</v>
      </c>
      <c r="X18" s="647">
        <f t="shared" si="23"/>
        <v>-12044.7508217425</v>
      </c>
      <c r="Y18" s="647">
        <f t="shared" si="23"/>
        <v>-13019.391322996951</v>
      </c>
      <c r="Z18" s="647">
        <f t="shared" si="23"/>
        <v>-12732.34066729824</v>
      </c>
      <c r="AA18" s="647">
        <f t="shared" si="23"/>
        <v>-12093.556094527037</v>
      </c>
      <c r="AB18" s="647">
        <f t="shared" si="23"/>
        <v>-12387.498712109682</v>
      </c>
      <c r="AC18" s="473">
        <f t="shared" si="24"/>
        <v>-139476.06740318847</v>
      </c>
      <c r="AD18" s="264">
        <f>Temperature!G110*1000</f>
        <v>-567982.93000000005</v>
      </c>
      <c r="AE18" s="105">
        <f t="shared" si="25"/>
        <v>55655813.083846822</v>
      </c>
      <c r="AF18" s="623">
        <f>'Table 3'!J46</f>
        <v>55655813.083846748</v>
      </c>
      <c r="AG18" s="69">
        <f t="shared" si="26"/>
        <v>-7.4505805969238281E-8</v>
      </c>
      <c r="AI18" s="661">
        <f>6674.79+2721466.72+1912273.45+4539.76+111459.27+950387.04+179033.14+18568724.12+21817600.01+3228.2</f>
        <v>46275386.5</v>
      </c>
      <c r="AJ18" s="775">
        <f t="shared" si="27"/>
        <v>-10087885.581250012</v>
      </c>
    </row>
    <row r="19" spans="1:36" s="3" customFormat="1">
      <c r="A19" s="53" t="s">
        <v>155</v>
      </c>
      <c r="C19" s="60" t="s">
        <v>54</v>
      </c>
      <c r="D19" s="996">
        <v>827640.19089696999</v>
      </c>
      <c r="E19" s="996">
        <v>794490.68487272703</v>
      </c>
      <c r="F19" s="996">
        <v>827409.60627878795</v>
      </c>
      <c r="G19" s="996">
        <v>805343.05079999997</v>
      </c>
      <c r="H19" s="996">
        <v>808620.65119999996</v>
      </c>
      <c r="I19" s="996">
        <v>839936.00760000001</v>
      </c>
      <c r="J19" s="996">
        <v>952758.34671393898</v>
      </c>
      <c r="K19" s="996">
        <v>958192.08019393997</v>
      </c>
      <c r="L19" s="996">
        <v>1089899.5853090901</v>
      </c>
      <c r="M19" s="996">
        <v>1090217.8561454499</v>
      </c>
      <c r="N19" s="996">
        <v>1008010.2692242421</v>
      </c>
      <c r="O19" s="996">
        <v>1015079.217030303</v>
      </c>
      <c r="P19" s="774">
        <f t="shared" si="22"/>
        <v>11017597.546265448</v>
      </c>
      <c r="Q19" s="647">
        <f t="shared" si="23"/>
        <v>-2048.0712845188923</v>
      </c>
      <c r="R19" s="647">
        <f t="shared" si="23"/>
        <v>-1966.0398025645684</v>
      </c>
      <c r="S19" s="647">
        <f t="shared" si="23"/>
        <v>-2047.5006818097143</v>
      </c>
      <c r="T19" s="647">
        <f t="shared" si="23"/>
        <v>-1992.8949737720595</v>
      </c>
      <c r="U19" s="647">
        <f t="shared" si="23"/>
        <v>-2001.0056954784243</v>
      </c>
      <c r="V19" s="647">
        <f t="shared" si="23"/>
        <v>-2078.4984065776839</v>
      </c>
      <c r="W19" s="647">
        <f t="shared" si="23"/>
        <v>-2357.6875947454146</v>
      </c>
      <c r="X19" s="647">
        <f t="shared" si="23"/>
        <v>-2371.1338647918924</v>
      </c>
      <c r="Y19" s="647">
        <f t="shared" si="23"/>
        <v>-2697.056122010481</v>
      </c>
      <c r="Z19" s="647">
        <f t="shared" si="23"/>
        <v>-2697.843712279559</v>
      </c>
      <c r="AA19" s="647">
        <f t="shared" si="23"/>
        <v>-2494.4135260769704</v>
      </c>
      <c r="AB19" s="647">
        <f t="shared" si="23"/>
        <v>-2511.9062834038782</v>
      </c>
      <c r="AC19" s="473">
        <f t="shared" si="24"/>
        <v>-27264.051948029541</v>
      </c>
      <c r="AD19" s="264">
        <f>(Temperature!D127+Temperature!H127)*1000</f>
        <v>-106120.18999999999</v>
      </c>
      <c r="AE19" s="105">
        <f t="shared" si="25"/>
        <v>10884213.304317418</v>
      </c>
      <c r="AF19" s="623">
        <f>'Table 3'!J49</f>
        <v>10884213.30431743</v>
      </c>
      <c r="AG19" s="69">
        <f t="shared" si="26"/>
        <v>0</v>
      </c>
      <c r="AI19" s="661">
        <f>2207236.57+1056563.18+3986274.67</f>
        <v>7250074.4199999999</v>
      </c>
      <c r="AJ19" s="775">
        <f t="shared" si="27"/>
        <v>-3767523.1262654476</v>
      </c>
    </row>
    <row r="20" spans="1:36" s="3" customFormat="1">
      <c r="A20" s="53" t="s">
        <v>151</v>
      </c>
      <c r="C20" s="60" t="s">
        <v>55</v>
      </c>
      <c r="D20" s="996">
        <v>24862.3187607699</v>
      </c>
      <c r="E20" s="996">
        <v>24739.9116903055</v>
      </c>
      <c r="F20" s="996">
        <v>24719.698869465301</v>
      </c>
      <c r="G20" s="996">
        <v>24699.455598124499</v>
      </c>
      <c r="H20" s="996">
        <v>24682.190774821502</v>
      </c>
      <c r="I20" s="996">
        <v>24774.503005082599</v>
      </c>
      <c r="J20" s="996">
        <v>24793.414574470899</v>
      </c>
      <c r="K20" s="996">
        <v>24822.387086820501</v>
      </c>
      <c r="L20" s="996">
        <v>24811.528616787498</v>
      </c>
      <c r="M20" s="996">
        <v>24730.5296341627</v>
      </c>
      <c r="N20" s="996">
        <v>24623.026295055701</v>
      </c>
      <c r="O20" s="996">
        <v>24509.518363434301</v>
      </c>
      <c r="P20" s="661">
        <f t="shared" si="22"/>
        <v>296768.48326930089</v>
      </c>
      <c r="Q20" s="647">
        <f t="shared" si="23"/>
        <v>-61.524079763819721</v>
      </c>
      <c r="R20" s="647">
        <f t="shared" si="23"/>
        <v>-61.221172282044918</v>
      </c>
      <c r="S20" s="647">
        <f t="shared" si="23"/>
        <v>-61.171153809770068</v>
      </c>
      <c r="T20" s="647">
        <f t="shared" si="23"/>
        <v>-61.121059984948815</v>
      </c>
      <c r="U20" s="647">
        <f t="shared" si="23"/>
        <v>-61.078336601976268</v>
      </c>
      <c r="V20" s="647">
        <f t="shared" si="23"/>
        <v>-61.306771651514822</v>
      </c>
      <c r="W20" s="647">
        <f t="shared" si="23"/>
        <v>-61.353570058159846</v>
      </c>
      <c r="X20" s="647">
        <f t="shared" si="23"/>
        <v>-61.425265187560562</v>
      </c>
      <c r="Y20" s="647">
        <f t="shared" si="23"/>
        <v>-61.398394911185633</v>
      </c>
      <c r="Z20" s="647">
        <f t="shared" si="23"/>
        <v>-61.197955526760254</v>
      </c>
      <c r="AA20" s="647">
        <f t="shared" si="23"/>
        <v>-60.931928690175226</v>
      </c>
      <c r="AB20" s="647">
        <f t="shared" si="23"/>
        <v>-60.651042940696371</v>
      </c>
      <c r="AC20" s="473">
        <f t="shared" si="24"/>
        <v>-734.38073140861252</v>
      </c>
      <c r="AE20" s="105">
        <f t="shared" si="25"/>
        <v>296034.10253789229</v>
      </c>
      <c r="AF20" s="623">
        <f>'Table 3'!J52</f>
        <v>296034.10253791709</v>
      </c>
      <c r="AG20" s="69">
        <f t="shared" si="26"/>
        <v>2.4796463549137115E-8</v>
      </c>
      <c r="AI20" s="661">
        <f>203909.08+80626.15</f>
        <v>284535.23</v>
      </c>
      <c r="AJ20" s="775">
        <f t="shared" si="27"/>
        <v>-12233.253269300913</v>
      </c>
    </row>
    <row r="21" spans="1:36" s="3" customFormat="1">
      <c r="A21" s="53">
        <v>54</v>
      </c>
      <c r="C21" s="60" t="s">
        <v>56</v>
      </c>
      <c r="D21" s="996">
        <v>1924.4624100000001</v>
      </c>
      <c r="E21" s="996">
        <v>1981.2394099999999</v>
      </c>
      <c r="F21" s="996">
        <v>3799.3389999999999</v>
      </c>
      <c r="G21" s="996">
        <v>1943.3799799999999</v>
      </c>
      <c r="H21" s="996">
        <v>1796.6519900000001</v>
      </c>
      <c r="I21" s="996">
        <v>1239.2640699999999</v>
      </c>
      <c r="J21" s="996">
        <v>2755.4533000000001</v>
      </c>
      <c r="K21" s="996">
        <v>1920.7502899999999</v>
      </c>
      <c r="L21" s="996">
        <v>1760.47693</v>
      </c>
      <c r="M21" s="996">
        <v>2420.2256699999998</v>
      </c>
      <c r="N21" s="996">
        <v>2634.9261299999998</v>
      </c>
      <c r="O21" s="996">
        <v>1676.78928</v>
      </c>
      <c r="P21" s="661">
        <f t="shared" si="22"/>
        <v>25852.958460000002</v>
      </c>
      <c r="Q21" s="647">
        <f t="shared" si="23"/>
        <v>-4.7622580964626922</v>
      </c>
      <c r="R21" s="647">
        <f t="shared" si="23"/>
        <v>-4.9027579714084757</v>
      </c>
      <c r="S21" s="647">
        <f t="shared" si="23"/>
        <v>-9.401811550040339</v>
      </c>
      <c r="T21" s="647">
        <f t="shared" si="23"/>
        <v>-4.809071352169723</v>
      </c>
      <c r="U21" s="647">
        <f t="shared" si="23"/>
        <v>-4.4459795324884039</v>
      </c>
      <c r="V21" s="647">
        <f t="shared" si="23"/>
        <v>-3.0666721887349353</v>
      </c>
      <c r="W21" s="647">
        <f t="shared" si="23"/>
        <v>-6.818620992108567</v>
      </c>
      <c r="X21" s="647">
        <f t="shared" si="23"/>
        <v>-4.7530721162984753</v>
      </c>
      <c r="Y21" s="647">
        <f t="shared" si="23"/>
        <v>-4.3564610407372335</v>
      </c>
      <c r="Z21" s="647">
        <f t="shared" si="23"/>
        <v>-5.9890695876072435</v>
      </c>
      <c r="AA21" s="647">
        <f t="shared" si="23"/>
        <v>-6.5203654958236399</v>
      </c>
      <c r="AB21" s="647">
        <f t="shared" si="23"/>
        <v>-4.1493683031937465</v>
      </c>
      <c r="AC21" s="473">
        <f t="shared" si="24"/>
        <v>-63.975508227073483</v>
      </c>
      <c r="AE21" s="105">
        <f t="shared" si="25"/>
        <v>25788.982951772927</v>
      </c>
      <c r="AF21" s="623">
        <f>'Table 3'!J53</f>
        <v>25788.982951772941</v>
      </c>
      <c r="AG21" s="69">
        <f t="shared" si="26"/>
        <v>0</v>
      </c>
      <c r="AI21" s="661">
        <f>7161.55+13379.45</f>
        <v>20541</v>
      </c>
      <c r="AJ21" s="775">
        <f t="shared" si="27"/>
        <v>-5311.9584600000017</v>
      </c>
    </row>
    <row r="22" spans="1:36" s="3" customFormat="1">
      <c r="A22" s="53"/>
      <c r="B22" s="3" t="s">
        <v>272</v>
      </c>
      <c r="C22" s="5"/>
      <c r="D22" s="661">
        <f t="shared" ref="D22:O22" si="28">SUM(D14:D21)</f>
        <v>9835351.1145396102</v>
      </c>
      <c r="E22" s="661">
        <f t="shared" si="28"/>
        <v>9127765.8057182208</v>
      </c>
      <c r="F22" s="661">
        <f t="shared" si="28"/>
        <v>8618111.3422938641</v>
      </c>
      <c r="G22" s="661">
        <f t="shared" si="28"/>
        <v>8288796.2572877407</v>
      </c>
      <c r="H22" s="661">
        <f t="shared" si="28"/>
        <v>8405669.6678030379</v>
      </c>
      <c r="I22" s="661">
        <f t="shared" si="28"/>
        <v>8678958.8694384918</v>
      </c>
      <c r="J22" s="661">
        <f t="shared" si="28"/>
        <v>9332984.9153650831</v>
      </c>
      <c r="K22" s="661">
        <f t="shared" si="28"/>
        <v>9924464.6787669789</v>
      </c>
      <c r="L22" s="661">
        <f t="shared" si="28"/>
        <v>10289767.227088822</v>
      </c>
      <c r="M22" s="661">
        <f t="shared" si="28"/>
        <v>9753115.7874100339</v>
      </c>
      <c r="N22" s="661">
        <f t="shared" si="28"/>
        <v>9355053.0054258034</v>
      </c>
      <c r="O22" s="661">
        <f t="shared" si="28"/>
        <v>10327633.914469974</v>
      </c>
      <c r="P22" s="661">
        <f t="shared" si="22"/>
        <v>111937672.58560766</v>
      </c>
      <c r="Q22" s="473">
        <f t="shared" ref="Q22:AF22" si="29">SUM(Q14:Q21)</f>
        <v>-24338.475115640023</v>
      </c>
      <c r="R22" s="473">
        <f t="shared" si="29"/>
        <v>-22587.490607778051</v>
      </c>
      <c r="S22" s="473">
        <f t="shared" si="29"/>
        <v>-21326.304064341744</v>
      </c>
      <c r="T22" s="473">
        <f t="shared" si="29"/>
        <v>-20511.383792733162</v>
      </c>
      <c r="U22" s="473">
        <f t="shared" si="29"/>
        <v>-20800.597727282126</v>
      </c>
      <c r="V22" s="473">
        <f t="shared" si="29"/>
        <v>-21476.876830683406</v>
      </c>
      <c r="W22" s="473">
        <f t="shared" si="29"/>
        <v>-23095.324048112503</v>
      </c>
      <c r="X22" s="473">
        <f t="shared" si="29"/>
        <v>-24558.994773774797</v>
      </c>
      <c r="Y22" s="473">
        <f t="shared" si="29"/>
        <v>-25462.96931199617</v>
      </c>
      <c r="Z22" s="473">
        <f t="shared" si="29"/>
        <v>-24134.976283756838</v>
      </c>
      <c r="AA22" s="473">
        <f t="shared" si="29"/>
        <v>-23149.933553613377</v>
      </c>
      <c r="AB22" s="473">
        <f t="shared" si="29"/>
        <v>-25556.673890287788</v>
      </c>
      <c r="AC22" s="625">
        <f t="shared" si="29"/>
        <v>-277000</v>
      </c>
      <c r="AD22" s="107">
        <f t="shared" si="29"/>
        <v>-1236604.94</v>
      </c>
      <c r="AE22" s="107">
        <f t="shared" si="29"/>
        <v>110424067.64560765</v>
      </c>
      <c r="AF22" s="626">
        <f t="shared" si="29"/>
        <v>110424067.64561035</v>
      </c>
      <c r="AG22" s="69">
        <f t="shared" si="26"/>
        <v>2.6971101760864258E-6</v>
      </c>
    </row>
    <row r="23" spans="1:36" s="3" customFormat="1">
      <c r="A23" s="53"/>
      <c r="B23" s="3" t="s">
        <v>275</v>
      </c>
      <c r="C23" s="5"/>
      <c r="D23" s="661"/>
      <c r="E23" s="661"/>
      <c r="F23" s="661"/>
      <c r="G23" s="661"/>
      <c r="H23" s="661"/>
      <c r="I23" s="661"/>
      <c r="J23" s="661"/>
      <c r="K23" s="661"/>
      <c r="L23" s="661"/>
      <c r="M23" s="661"/>
      <c r="N23" s="661"/>
      <c r="O23" s="661"/>
      <c r="P23" s="661"/>
      <c r="Q23" s="473"/>
      <c r="R23" s="473"/>
      <c r="S23" s="473"/>
      <c r="T23" s="473"/>
      <c r="U23" s="473"/>
      <c r="V23" s="473"/>
      <c r="W23" s="473"/>
      <c r="X23" s="473"/>
      <c r="Y23" s="473"/>
      <c r="Z23" s="473"/>
      <c r="AA23" s="473"/>
      <c r="AB23" s="473"/>
      <c r="AC23" s="452">
        <f>'Table 3'!D66</f>
        <v>-277000</v>
      </c>
      <c r="AD23" s="107"/>
      <c r="AE23" s="107"/>
      <c r="AF23" s="626"/>
      <c r="AG23" s="69"/>
    </row>
    <row r="24" spans="1:36" s="3" customFormat="1">
      <c r="A24" s="53">
        <v>24</v>
      </c>
      <c r="C24" s="60" t="s">
        <v>51</v>
      </c>
      <c r="D24" s="656">
        <v>146194.3119599997</v>
      </c>
      <c r="E24" s="656">
        <v>137167.53311999998</v>
      </c>
      <c r="F24" s="656">
        <v>128369.50508</v>
      </c>
      <c r="G24" s="656">
        <v>114910.55667999967</v>
      </c>
      <c r="H24" s="656">
        <v>113616.05372000033</v>
      </c>
      <c r="I24" s="656">
        <v>118147.7522</v>
      </c>
      <c r="J24" s="656">
        <v>128099.091533333</v>
      </c>
      <c r="K24" s="656">
        <v>132106.05652000001</v>
      </c>
      <c r="L24" s="656">
        <v>131863.56268</v>
      </c>
      <c r="M24" s="656">
        <v>134229.60042666699</v>
      </c>
      <c r="N24" s="656">
        <v>123838.854753333</v>
      </c>
      <c r="O24" s="656">
        <v>156323.98721999998</v>
      </c>
      <c r="P24" s="774">
        <f t="shared" ref="P24:P32" si="30">SUM(D24:O24)</f>
        <v>1564866.8658933325</v>
      </c>
      <c r="Q24" s="647">
        <f t="shared" ref="Q24:AB31" ca="1" si="31">D24/$P$32*$AC$33</f>
        <v>-3188.7411999701221</v>
      </c>
      <c r="R24" s="647">
        <f t="shared" ca="1" si="31"/>
        <v>-2991.8521336020594</v>
      </c>
      <c r="S24" s="647">
        <f t="shared" ca="1" si="31"/>
        <v>-2799.9525028057787</v>
      </c>
      <c r="T24" s="647">
        <f t="shared" ca="1" si="31"/>
        <v>-2506.3904435438858</v>
      </c>
      <c r="U24" s="647">
        <f t="shared" ca="1" si="31"/>
        <v>-2478.1551800326588</v>
      </c>
      <c r="V24" s="647">
        <f t="shared" ca="1" si="31"/>
        <v>-2576.9990642801572</v>
      </c>
      <c r="W24" s="647">
        <f t="shared" ca="1" si="31"/>
        <v>-2794.0543334055692</v>
      </c>
      <c r="X24" s="647">
        <f t="shared" ca="1" si="31"/>
        <v>-2881.4529070471949</v>
      </c>
      <c r="Y24" s="647">
        <f t="shared" ca="1" si="31"/>
        <v>-2876.163712905643</v>
      </c>
      <c r="Z24" s="647">
        <f t="shared" ca="1" si="31"/>
        <v>-2927.770933065794</v>
      </c>
      <c r="AA24" s="647">
        <f t="shared" ca="1" si="31"/>
        <v>-2701.131480526512</v>
      </c>
      <c r="AB24" s="647">
        <f t="shared" ca="1" si="31"/>
        <v>-3409.6862723934514</v>
      </c>
      <c r="AC24" s="473">
        <f t="shared" ref="AC24:AC31" ca="1" si="32">SUM(Q24:AB24)</f>
        <v>-34132.350163578827</v>
      </c>
      <c r="AE24" s="105">
        <f t="shared" ref="AE24:AE31" ca="1" si="33">P24+AC24+AD24</f>
        <v>1530734.5157297538</v>
      </c>
      <c r="AF24" s="623">
        <f ca="1">'Table 3'!J71</f>
        <v>1530734.5157297552</v>
      </c>
      <c r="AG24" s="69">
        <f t="shared" ref="AG24:AG32" ca="1" si="34">AF24-AE24</f>
        <v>0</v>
      </c>
      <c r="AI24" s="661">
        <f>38016.59+162004.49+194812.69+969736.78</f>
        <v>1364570.55</v>
      </c>
      <c r="AJ24" s="775">
        <f t="shared" ref="AJ24:AJ31" si="35">AI24-P24</f>
        <v>-200296.31589333247</v>
      </c>
    </row>
    <row r="25" spans="1:36" s="3" customFormat="1">
      <c r="A25" s="53" t="s">
        <v>149</v>
      </c>
      <c r="C25" s="60" t="s">
        <v>52</v>
      </c>
      <c r="D25" s="656">
        <v>650.42466000000002</v>
      </c>
      <c r="E25" s="656">
        <v>650.42466000000002</v>
      </c>
      <c r="F25" s="656">
        <v>650.42466000000002</v>
      </c>
      <c r="G25" s="656">
        <v>650.42466000000002</v>
      </c>
      <c r="H25" s="656">
        <v>650.42466000000002</v>
      </c>
      <c r="I25" s="656">
        <v>650.42466000000002</v>
      </c>
      <c r="J25" s="656">
        <v>650.42466000000002</v>
      </c>
      <c r="K25" s="656">
        <v>650.42466000000002</v>
      </c>
      <c r="L25" s="656">
        <v>650.42466000000002</v>
      </c>
      <c r="M25" s="656">
        <v>650.42466000000002</v>
      </c>
      <c r="N25" s="656">
        <v>650.42466000000002</v>
      </c>
      <c r="O25" s="656">
        <v>650.52232000000004</v>
      </c>
      <c r="P25" s="661">
        <f t="shared" si="30"/>
        <v>7805.1935799999992</v>
      </c>
      <c r="Q25" s="647">
        <f t="shared" ca="1" si="31"/>
        <v>-14.186844091349032</v>
      </c>
      <c r="R25" s="647">
        <f t="shared" ca="1" si="31"/>
        <v>-14.186844091349032</v>
      </c>
      <c r="S25" s="647">
        <f t="shared" ca="1" si="31"/>
        <v>-14.186844091349032</v>
      </c>
      <c r="T25" s="647">
        <f t="shared" ca="1" si="31"/>
        <v>-14.186844091349032</v>
      </c>
      <c r="U25" s="647">
        <f t="shared" ca="1" si="31"/>
        <v>-14.186844091349032</v>
      </c>
      <c r="V25" s="647">
        <f t="shared" ca="1" si="31"/>
        <v>-14.186844091349032</v>
      </c>
      <c r="W25" s="647">
        <f t="shared" ca="1" si="31"/>
        <v>-14.186844091349032</v>
      </c>
      <c r="X25" s="647">
        <f t="shared" ca="1" si="31"/>
        <v>-14.186844091349032</v>
      </c>
      <c r="Y25" s="647">
        <f t="shared" ca="1" si="31"/>
        <v>-14.186844091349032</v>
      </c>
      <c r="Z25" s="647">
        <f t="shared" ca="1" si="31"/>
        <v>-14.186844091349032</v>
      </c>
      <c r="AA25" s="647">
        <f t="shared" ca="1" si="31"/>
        <v>-14.186844091349032</v>
      </c>
      <c r="AB25" s="647">
        <f t="shared" ca="1" si="31"/>
        <v>-14.188974218447781</v>
      </c>
      <c r="AC25" s="473">
        <f t="shared" ca="1" si="32"/>
        <v>-170.24425922328714</v>
      </c>
      <c r="AE25" s="105">
        <f t="shared" ca="1" si="33"/>
        <v>7634.9493207767118</v>
      </c>
      <c r="AF25" s="623">
        <f ca="1">'Table 3'!J72</f>
        <v>7634.9493207767136</v>
      </c>
      <c r="AG25" s="69">
        <f t="shared" ca="1" si="34"/>
        <v>0</v>
      </c>
      <c r="AI25" s="661">
        <f>6582.52</f>
        <v>6582.52</v>
      </c>
      <c r="AJ25" s="775">
        <f t="shared" si="35"/>
        <v>-1222.6735799999988</v>
      </c>
    </row>
    <row r="26" spans="1:36" s="3" customFormat="1">
      <c r="A26" s="53" t="s">
        <v>156</v>
      </c>
      <c r="C26" s="60" t="s">
        <v>57</v>
      </c>
      <c r="D26" s="656">
        <v>1.85554</v>
      </c>
      <c r="E26" s="656">
        <v>1.5625599999999999</v>
      </c>
      <c r="F26" s="656">
        <v>306.75995999999998</v>
      </c>
      <c r="G26" s="656">
        <v>418.43326000000002</v>
      </c>
      <c r="H26" s="656">
        <v>366.57013999999998</v>
      </c>
      <c r="I26" s="656">
        <v>208.30797999999999</v>
      </c>
      <c r="J26" s="656">
        <v>322.04950000000002</v>
      </c>
      <c r="K26" s="656">
        <v>111.08454</v>
      </c>
      <c r="L26" s="656">
        <v>55.861519999999999</v>
      </c>
      <c r="M26" s="656">
        <v>32.91142</v>
      </c>
      <c r="N26" s="656">
        <v>985.32255999999995</v>
      </c>
      <c r="O26" s="656">
        <v>1.85554</v>
      </c>
      <c r="P26" s="661">
        <f t="shared" si="30"/>
        <v>2812.5745200000001</v>
      </c>
      <c r="Q26" s="647">
        <f t="shared" ca="1" si="31"/>
        <v>-4.0472414876246823E-2</v>
      </c>
      <c r="R26" s="647">
        <f t="shared" ca="1" si="31"/>
        <v>-3.4082033579997326E-2</v>
      </c>
      <c r="S26" s="647">
        <f t="shared" ca="1" si="31"/>
        <v>-6.6909451526460648</v>
      </c>
      <c r="T26" s="647">
        <f t="shared" ca="1" si="31"/>
        <v>-9.1267256414523281</v>
      </c>
      <c r="U26" s="647">
        <f t="shared" ca="1" si="31"/>
        <v>-7.9955046979983617</v>
      </c>
      <c r="V26" s="647">
        <f t="shared" ca="1" si="31"/>
        <v>-4.5435436523022545</v>
      </c>
      <c r="W26" s="647">
        <f t="shared" ca="1" si="31"/>
        <v>-7.0244354606679735</v>
      </c>
      <c r="X26" s="647">
        <f t="shared" ca="1" si="31"/>
        <v>-2.4229386535547794</v>
      </c>
      <c r="Y26" s="647">
        <f t="shared" ca="1" si="31"/>
        <v>-1.2184327004849043</v>
      </c>
      <c r="Z26" s="647">
        <f t="shared" ca="1" si="31"/>
        <v>-0.71785283227869368</v>
      </c>
      <c r="AA26" s="647">
        <f t="shared" ca="1" si="31"/>
        <v>-21.491524534769177</v>
      </c>
      <c r="AB26" s="647">
        <f t="shared" ca="1" si="31"/>
        <v>-4.0472414876246823E-2</v>
      </c>
      <c r="AC26" s="473">
        <f t="shared" ca="1" si="32"/>
        <v>-61.346930189487033</v>
      </c>
      <c r="AE26" s="105">
        <f t="shared" ca="1" si="33"/>
        <v>2751.2275898105131</v>
      </c>
      <c r="AF26" s="623">
        <f ca="1">'Table 3'!J73</f>
        <v>2751.2275898105131</v>
      </c>
      <c r="AG26" s="69">
        <f t="shared" ca="1" si="34"/>
        <v>0</v>
      </c>
      <c r="AI26" s="661">
        <f>1890.72</f>
        <v>1890.72</v>
      </c>
      <c r="AJ26" s="775">
        <f t="shared" si="35"/>
        <v>-921.85452000000009</v>
      </c>
    </row>
    <row r="27" spans="1:36" s="3" customFormat="1">
      <c r="A27" s="53">
        <v>36</v>
      </c>
      <c r="C27" s="60" t="s">
        <v>53</v>
      </c>
      <c r="D27" s="996">
        <v>691722.18773333402</v>
      </c>
      <c r="E27" s="996">
        <v>641527.672533334</v>
      </c>
      <c r="F27" s="996">
        <v>624035.7448000001</v>
      </c>
      <c r="G27" s="996">
        <v>586179.86640000006</v>
      </c>
      <c r="H27" s="996">
        <v>571844.89199999999</v>
      </c>
      <c r="I27" s="996">
        <v>595168.45746666705</v>
      </c>
      <c r="J27" s="996">
        <v>621307.10095999995</v>
      </c>
      <c r="K27" s="996">
        <v>651225.07606666698</v>
      </c>
      <c r="L27" s="996">
        <v>732793.88319999992</v>
      </c>
      <c r="M27" s="996">
        <v>794439.13280000002</v>
      </c>
      <c r="N27" s="996">
        <v>716948.62226666708</v>
      </c>
      <c r="O27" s="996">
        <v>666374.27230000007</v>
      </c>
      <c r="P27" s="774">
        <f t="shared" si="30"/>
        <v>7893566.9085266702</v>
      </c>
      <c r="Q27" s="647">
        <f t="shared" ca="1" si="31"/>
        <v>-15087.611887131823</v>
      </c>
      <c r="R27" s="647">
        <f t="shared" ca="1" si="31"/>
        <v>-13992.785990796268</v>
      </c>
      <c r="S27" s="647">
        <f t="shared" ca="1" si="31"/>
        <v>-13611.257941706075</v>
      </c>
      <c r="T27" s="647">
        <f t="shared" ca="1" si="31"/>
        <v>-12785.558244523825</v>
      </c>
      <c r="U27" s="647">
        <f t="shared" ca="1" si="31"/>
        <v>-12472.888600561861</v>
      </c>
      <c r="V27" s="647">
        <f t="shared" ca="1" si="31"/>
        <v>-12981.614372013973</v>
      </c>
      <c r="W27" s="647">
        <f t="shared" ca="1" si="31"/>
        <v>-13551.7416793016</v>
      </c>
      <c r="X27" s="647">
        <f t="shared" ca="1" si="31"/>
        <v>-14204.302497593982</v>
      </c>
      <c r="Y27" s="647">
        <f t="shared" ca="1" si="31"/>
        <v>-15983.453905411014</v>
      </c>
      <c r="Z27" s="647">
        <f t="shared" ca="1" si="31"/>
        <v>-17328.039372154384</v>
      </c>
      <c r="AA27" s="647">
        <f t="shared" ca="1" si="31"/>
        <v>-15637.842399156107</v>
      </c>
      <c r="AB27" s="647">
        <f t="shared" ca="1" si="31"/>
        <v>-14534.731674543622</v>
      </c>
      <c r="AC27" s="473">
        <f t="shared" ca="1" si="32"/>
        <v>-172171.8285648945</v>
      </c>
      <c r="AE27" s="105">
        <f t="shared" ca="1" si="33"/>
        <v>7721395.0799617758</v>
      </c>
      <c r="AF27" s="623">
        <f ca="1">'Table 3'!J76</f>
        <v>7721395.0799617795</v>
      </c>
      <c r="AG27" s="69">
        <f t="shared" ca="1" si="34"/>
        <v>0</v>
      </c>
      <c r="AI27" s="661">
        <f>1454.02+392730.8+29052.02+46533.95+345559.36+27570.65+1957598.66+5268311.45</f>
        <v>8068810.9100000001</v>
      </c>
      <c r="AJ27" s="775">
        <f t="shared" si="35"/>
        <v>175244.00147332996</v>
      </c>
    </row>
    <row r="28" spans="1:36" s="3" customFormat="1">
      <c r="A28" s="53">
        <v>47</v>
      </c>
      <c r="C28" s="60" t="s">
        <v>165</v>
      </c>
      <c r="D28" s="996">
        <v>40612.5</v>
      </c>
      <c r="E28" s="996">
        <v>18363.580000000002</v>
      </c>
      <c r="F28" s="996">
        <v>20770.34</v>
      </c>
      <c r="G28" s="996">
        <v>17926.04</v>
      </c>
      <c r="H28" s="996">
        <v>22343.34</v>
      </c>
      <c r="I28" s="996">
        <v>21137.8</v>
      </c>
      <c r="J28" s="996">
        <v>21823.02</v>
      </c>
      <c r="K28" s="996">
        <v>20607.939999999999</v>
      </c>
      <c r="L28" s="996">
        <v>19482.36</v>
      </c>
      <c r="M28" s="996">
        <v>29200.94</v>
      </c>
      <c r="N28" s="996">
        <v>28398.6</v>
      </c>
      <c r="O28" s="996">
        <v>23034.371764705898</v>
      </c>
      <c r="P28" s="661">
        <f t="shared" si="30"/>
        <v>283700.83176470589</v>
      </c>
      <c r="Q28" s="647">
        <f t="shared" ca="1" si="31"/>
        <v>-885.82620108516869</v>
      </c>
      <c r="R28" s="647">
        <f t="shared" ca="1" si="31"/>
        <v>-400.54023538870018</v>
      </c>
      <c r="S28" s="647">
        <f t="shared" ca="1" si="31"/>
        <v>-453.03567565275034</v>
      </c>
      <c r="T28" s="647">
        <f t="shared" ca="1" si="31"/>
        <v>-390.99675995569788</v>
      </c>
      <c r="U28" s="647">
        <f t="shared" ca="1" si="31"/>
        <v>-487.34542300410698</v>
      </c>
      <c r="V28" s="647">
        <f t="shared" ca="1" si="31"/>
        <v>-461.0505896780075</v>
      </c>
      <c r="W28" s="647">
        <f t="shared" ca="1" si="31"/>
        <v>-475.99637803153365</v>
      </c>
      <c r="X28" s="647">
        <f t="shared" ca="1" si="31"/>
        <v>-449.49346143160585</v>
      </c>
      <c r="Y28" s="647">
        <f t="shared" ca="1" si="31"/>
        <v>-424.94268875281375</v>
      </c>
      <c r="Z28" s="647">
        <f t="shared" ca="1" si="31"/>
        <v>-636.92108952455385</v>
      </c>
      <c r="AA28" s="647">
        <f t="shared" ca="1" si="31"/>
        <v>-619.4207190923305</v>
      </c>
      <c r="AB28" s="647">
        <f t="shared" ca="1" si="31"/>
        <v>-502.4179756161995</v>
      </c>
      <c r="AC28" s="473">
        <f t="shared" ca="1" si="32"/>
        <v>-6187.9871972134688</v>
      </c>
      <c r="AD28" s="3">
        <v>0</v>
      </c>
      <c r="AE28" s="105">
        <f t="shared" ca="1" si="33"/>
        <v>277512.84456749243</v>
      </c>
      <c r="AF28" s="623">
        <f ca="1">'Table 3'!J79</f>
        <v>277512.84456749255</v>
      </c>
      <c r="AG28" s="69">
        <f t="shared" ca="1" si="34"/>
        <v>0</v>
      </c>
      <c r="AI28" s="661">
        <f>179344.2</f>
        <v>179344.2</v>
      </c>
      <c r="AJ28" s="775">
        <f t="shared" si="35"/>
        <v>-104356.63176470587</v>
      </c>
    </row>
    <row r="29" spans="1:36" s="3" customFormat="1">
      <c r="A29" s="53" t="s">
        <v>586</v>
      </c>
      <c r="C29" s="60" t="s">
        <v>587</v>
      </c>
      <c r="D29" s="996">
        <v>2065218.49</v>
      </c>
      <c r="E29" s="996">
        <v>2099415.14</v>
      </c>
      <c r="F29" s="996">
        <v>1932454.74</v>
      </c>
      <c r="G29" s="996">
        <v>2035963.59</v>
      </c>
      <c r="H29" s="996">
        <v>1862132.12</v>
      </c>
      <c r="I29" s="996">
        <v>2038841.63</v>
      </c>
      <c r="J29" s="996">
        <v>1986636.09</v>
      </c>
      <c r="K29" s="996">
        <v>2005742.69</v>
      </c>
      <c r="L29" s="996">
        <v>2022011.41</v>
      </c>
      <c r="M29" s="996">
        <v>1956675.09</v>
      </c>
      <c r="N29" s="996">
        <v>2026736.38</v>
      </c>
      <c r="O29" s="996">
        <v>2055221.05</v>
      </c>
      <c r="P29" s="661">
        <f t="shared" si="30"/>
        <v>24087048.419999998</v>
      </c>
      <c r="Q29" s="647">
        <f t="shared" ca="1" si="31"/>
        <v>-45045.851632072605</v>
      </c>
      <c r="R29" s="647">
        <f t="shared" ca="1" si="31"/>
        <v>-45791.737469175452</v>
      </c>
      <c r="S29" s="647">
        <f t="shared" ca="1" si="31"/>
        <v>-42150.053335875105</v>
      </c>
      <c r="T29" s="647">
        <f t="shared" ca="1" si="31"/>
        <v>-44407.753585162754</v>
      </c>
      <c r="U29" s="647">
        <f t="shared" ca="1" si="31"/>
        <v>-40616.199982228914</v>
      </c>
      <c r="V29" s="647">
        <f t="shared" ca="1" si="31"/>
        <v>-44470.528426400568</v>
      </c>
      <c r="W29" s="647">
        <f t="shared" ca="1" si="31"/>
        <v>-43331.838732985991</v>
      </c>
      <c r="X29" s="647">
        <f t="shared" ca="1" si="31"/>
        <v>-43748.585470902981</v>
      </c>
      <c r="Y29" s="647">
        <f t="shared" ca="1" si="31"/>
        <v>-44103.433324005309</v>
      </c>
      <c r="Z29" s="647">
        <f t="shared" ca="1" si="31"/>
        <v>-42678.33947017989</v>
      </c>
      <c r="AA29" s="647">
        <f t="shared" ca="1" si="31"/>
        <v>-44206.492781692999</v>
      </c>
      <c r="AB29" s="647">
        <f t="shared" ca="1" si="31"/>
        <v>-44827.79083069921</v>
      </c>
      <c r="AC29" s="473">
        <f t="shared" ca="1" si="32"/>
        <v>-525378.60504138179</v>
      </c>
      <c r="AE29" s="105">
        <f t="shared" ca="1" si="33"/>
        <v>23561669.814958617</v>
      </c>
      <c r="AF29" s="623">
        <f ca="1">'Table 3'!J81</f>
        <v>23561669.814958617</v>
      </c>
      <c r="AG29" s="69">
        <f t="shared" ca="1" si="34"/>
        <v>0</v>
      </c>
      <c r="AI29" s="661">
        <f>19175464.78</f>
        <v>19175464.780000001</v>
      </c>
      <c r="AJ29" s="775">
        <f t="shared" si="35"/>
        <v>-4911583.6399999969</v>
      </c>
    </row>
    <row r="30" spans="1:36" s="3" customFormat="1">
      <c r="A30" s="53" t="s">
        <v>155</v>
      </c>
      <c r="C30" s="60" t="s">
        <v>54</v>
      </c>
      <c r="D30" s="996">
        <v>1080862.4750000001</v>
      </c>
      <c r="E30" s="996">
        <v>1108190.17612121</v>
      </c>
      <c r="F30" s="996">
        <v>1145838.49</v>
      </c>
      <c r="G30" s="996">
        <v>1135697.3646666701</v>
      </c>
      <c r="H30" s="996">
        <v>1182333.108</v>
      </c>
      <c r="I30" s="996">
        <v>1223143.5120000001</v>
      </c>
      <c r="J30" s="996">
        <v>1276159.9598399999</v>
      </c>
      <c r="K30" s="996">
        <v>1217787.8905454499</v>
      </c>
      <c r="L30" s="996">
        <v>1209760.091</v>
      </c>
      <c r="M30" s="996">
        <v>1186913.923</v>
      </c>
      <c r="N30" s="996">
        <v>1175792.81506061</v>
      </c>
      <c r="O30" s="996">
        <v>1154277.4916181799</v>
      </c>
      <c r="P30" s="661">
        <f t="shared" si="30"/>
        <v>14096757.296852121</v>
      </c>
      <c r="Q30" s="647">
        <f t="shared" ca="1" si="31"/>
        <v>-23575.409052010174</v>
      </c>
      <c r="R30" s="647">
        <f t="shared" ca="1" si="31"/>
        <v>-24171.471684662494</v>
      </c>
      <c r="S30" s="647">
        <f t="shared" ca="1" si="31"/>
        <v>-24992.644054265711</v>
      </c>
      <c r="T30" s="647">
        <f t="shared" ca="1" si="31"/>
        <v>-24771.44923669102</v>
      </c>
      <c r="U30" s="647">
        <f t="shared" ca="1" si="31"/>
        <v>-25788.652397091057</v>
      </c>
      <c r="V30" s="647">
        <f t="shared" ca="1" si="31"/>
        <v>-26678.795213713307</v>
      </c>
      <c r="W30" s="647">
        <f t="shared" ca="1" si="31"/>
        <v>-27835.172156406741</v>
      </c>
      <c r="X30" s="647">
        <f t="shared" ca="1" si="31"/>
        <v>-26561.980198446225</v>
      </c>
      <c r="Y30" s="647">
        <f t="shared" ca="1" si="31"/>
        <v>-26386.880532717219</v>
      </c>
      <c r="Z30" s="647">
        <f t="shared" ca="1" si="31"/>
        <v>-25888.567594365886</v>
      </c>
      <c r="AA30" s="647">
        <f t="shared" ca="1" si="31"/>
        <v>-25645.997725537127</v>
      </c>
      <c r="AB30" s="647">
        <f t="shared" ca="1" si="31"/>
        <v>-25176.712721409665</v>
      </c>
      <c r="AC30" s="473">
        <f t="shared" ca="1" si="32"/>
        <v>-307473.73256731662</v>
      </c>
      <c r="AE30" s="105">
        <f t="shared" ca="1" si="33"/>
        <v>13789283.564284805</v>
      </c>
      <c r="AF30" s="623">
        <f ca="1">'Table 3'!J80</f>
        <v>13789283.564284783</v>
      </c>
      <c r="AG30" s="69">
        <f t="shared" ca="1" si="34"/>
        <v>-2.2351741790771484E-8</v>
      </c>
      <c r="AI30" s="661">
        <f>1203335.83+361223.46+415249.34+8608970.13+2610199.27-1203335.83</f>
        <v>11995642.200000001</v>
      </c>
      <c r="AJ30" s="775">
        <f t="shared" si="35"/>
        <v>-2101115.09685212</v>
      </c>
    </row>
    <row r="31" spans="1:36" s="3" customFormat="1">
      <c r="A31" s="53" t="s">
        <v>151</v>
      </c>
      <c r="C31" s="60" t="s">
        <v>55</v>
      </c>
      <c r="D31" s="996">
        <v>1615.82962389463</v>
      </c>
      <c r="E31" s="996">
        <v>1619.84</v>
      </c>
      <c r="F31" s="996">
        <v>1619.84</v>
      </c>
      <c r="G31" s="996">
        <v>1619.84</v>
      </c>
      <c r="H31" s="996">
        <v>1620.5454009216601</v>
      </c>
      <c r="I31" s="996">
        <v>1619.84</v>
      </c>
      <c r="J31" s="996">
        <v>1619.86269133222</v>
      </c>
      <c r="K31" s="996">
        <v>1619.84</v>
      </c>
      <c r="L31" s="996">
        <v>1619.84</v>
      </c>
      <c r="M31" s="996">
        <v>1619.84</v>
      </c>
      <c r="N31" s="996">
        <v>1619.84</v>
      </c>
      <c r="O31" s="996">
        <v>1619.84</v>
      </c>
      <c r="P31" s="661">
        <f t="shared" si="30"/>
        <v>19434.797716148511</v>
      </c>
      <c r="Q31" s="647">
        <f t="shared" ca="1" si="31"/>
        <v>-35.243932713707778</v>
      </c>
      <c r="R31" s="647">
        <f t="shared" ca="1" si="31"/>
        <v>-35.331405689524154</v>
      </c>
      <c r="S31" s="647">
        <f t="shared" ca="1" si="31"/>
        <v>-35.331405689524154</v>
      </c>
      <c r="T31" s="647">
        <f t="shared" ca="1" si="31"/>
        <v>-35.331405689524154</v>
      </c>
      <c r="U31" s="647">
        <f t="shared" ca="1" si="31"/>
        <v>-35.346791657358594</v>
      </c>
      <c r="V31" s="647">
        <f t="shared" ca="1" si="31"/>
        <v>-35.331405689524154</v>
      </c>
      <c r="W31" s="647">
        <f t="shared" ca="1" si="31"/>
        <v>-35.331900625236507</v>
      </c>
      <c r="X31" s="647">
        <f t="shared" ca="1" si="31"/>
        <v>-35.331405689524154</v>
      </c>
      <c r="Y31" s="647">
        <f t="shared" ca="1" si="31"/>
        <v>-35.331405689524154</v>
      </c>
      <c r="Z31" s="647">
        <f t="shared" ca="1" si="31"/>
        <v>-35.331405689524154</v>
      </c>
      <c r="AA31" s="647">
        <f t="shared" ca="1" si="31"/>
        <v>-35.331405689524154</v>
      </c>
      <c r="AB31" s="647">
        <f t="shared" ca="1" si="31"/>
        <v>-35.331405689524154</v>
      </c>
      <c r="AC31" s="473">
        <f t="shared" ca="1" si="32"/>
        <v>-423.90527620202027</v>
      </c>
      <c r="AE31" s="105">
        <f t="shared" ca="1" si="33"/>
        <v>19010.892439946489</v>
      </c>
      <c r="AF31" s="623">
        <f ca="1">'Table 3'!J84</f>
        <v>19010.892439946518</v>
      </c>
      <c r="AG31" s="69">
        <f t="shared" ca="1" si="34"/>
        <v>2.9103830456733704E-11</v>
      </c>
      <c r="AI31" s="661">
        <f>13992.48+4027.86</f>
        <v>18020.34</v>
      </c>
      <c r="AJ31" s="775">
        <f t="shared" si="35"/>
        <v>-1414.4577161485104</v>
      </c>
    </row>
    <row r="32" spans="1:36" s="3" customFormat="1">
      <c r="A32" s="53"/>
      <c r="B32" s="3" t="s">
        <v>275</v>
      </c>
      <c r="C32" s="60"/>
      <c r="D32" s="661">
        <f t="shared" ref="D32:O32" si="36">SUM(D24:D31)</f>
        <v>4026878.0745172286</v>
      </c>
      <c r="E32" s="661">
        <f t="shared" si="36"/>
        <v>4006935.9289945439</v>
      </c>
      <c r="F32" s="661">
        <f t="shared" si="36"/>
        <v>3854045.8444999997</v>
      </c>
      <c r="G32" s="661">
        <f t="shared" si="36"/>
        <v>3893366.1156666698</v>
      </c>
      <c r="H32" s="661">
        <f t="shared" si="36"/>
        <v>3754907.0539209223</v>
      </c>
      <c r="I32" s="661">
        <f t="shared" si="36"/>
        <v>3998917.7243066672</v>
      </c>
      <c r="J32" s="661">
        <f t="shared" si="36"/>
        <v>4036617.5991846654</v>
      </c>
      <c r="K32" s="661">
        <f t="shared" si="36"/>
        <v>4029851.0023321165</v>
      </c>
      <c r="L32" s="661">
        <f t="shared" si="36"/>
        <v>4118237.4330599997</v>
      </c>
      <c r="M32" s="661">
        <f t="shared" si="36"/>
        <v>4103761.862306667</v>
      </c>
      <c r="N32" s="661">
        <f t="shared" si="36"/>
        <v>4074970.8593006097</v>
      </c>
      <c r="O32" s="661">
        <f t="shared" si="36"/>
        <v>4057503.390762886</v>
      </c>
      <c r="P32" s="661">
        <f t="shared" si="30"/>
        <v>47955992.888852976</v>
      </c>
      <c r="Q32" s="473">
        <f t="shared" ref="Q32:AF32" ca="1" si="37">SUM(Q24:Q31)</f>
        <v>-87832.911221489834</v>
      </c>
      <c r="R32" s="473">
        <f t="shared" ca="1" si="37"/>
        <v>-87397.939845439425</v>
      </c>
      <c r="S32" s="473">
        <f t="shared" ca="1" si="37"/>
        <v>-84063.152705238928</v>
      </c>
      <c r="T32" s="473">
        <f t="shared" ca="1" si="37"/>
        <v>-84920.793245299501</v>
      </c>
      <c r="U32" s="473">
        <f t="shared" ca="1" si="37"/>
        <v>-81900.770723365305</v>
      </c>
      <c r="V32" s="473">
        <f t="shared" ca="1" si="37"/>
        <v>-87223.049459519185</v>
      </c>
      <c r="W32" s="473">
        <f t="shared" ca="1" si="37"/>
        <v>-88045.34646030869</v>
      </c>
      <c r="X32" s="473">
        <f t="shared" ca="1" si="37"/>
        <v>-87897.755723856404</v>
      </c>
      <c r="Y32" s="473">
        <f t="shared" ca="1" si="37"/>
        <v>-89825.610846273354</v>
      </c>
      <c r="Z32" s="473">
        <f t="shared" ca="1" si="37"/>
        <v>-89509.874561903649</v>
      </c>
      <c r="AA32" s="473">
        <f t="shared" ca="1" si="37"/>
        <v>-88881.894880320717</v>
      </c>
      <c r="AB32" s="473">
        <f t="shared" ca="1" si="37"/>
        <v>-88500.900326984993</v>
      </c>
      <c r="AC32" s="630">
        <f t="shared" ca="1" si="37"/>
        <v>-1046000</v>
      </c>
      <c r="AD32" s="107">
        <f t="shared" si="37"/>
        <v>0</v>
      </c>
      <c r="AE32" s="107">
        <f t="shared" ca="1" si="37"/>
        <v>46909992.888852984</v>
      </c>
      <c r="AF32" s="626">
        <f t="shared" ca="1" si="37"/>
        <v>46909992.888852961</v>
      </c>
      <c r="AG32" s="69">
        <f t="shared" ca="1" si="34"/>
        <v>0</v>
      </c>
    </row>
    <row r="33" spans="1:36" s="3" customFormat="1">
      <c r="A33" s="53"/>
      <c r="B33" s="60" t="s">
        <v>277</v>
      </c>
      <c r="D33" s="629"/>
      <c r="E33" s="629"/>
      <c r="F33" s="629"/>
      <c r="G33" s="629"/>
      <c r="H33" s="629"/>
      <c r="I33" s="629"/>
      <c r="J33" s="629"/>
      <c r="K33" s="629"/>
      <c r="L33" s="629"/>
      <c r="M33" s="629"/>
      <c r="N33" s="629"/>
      <c r="O33" s="629"/>
      <c r="P33" s="661"/>
      <c r="Q33" s="20"/>
      <c r="R33" s="647"/>
      <c r="S33" s="647"/>
      <c r="T33" s="647"/>
      <c r="U33" s="647"/>
      <c r="V33" s="647"/>
      <c r="W33" s="647"/>
      <c r="X33" s="647"/>
      <c r="Y33" s="647"/>
      <c r="Z33" s="647"/>
      <c r="AA33" s="647"/>
      <c r="AB33" s="647"/>
      <c r="AC33" s="473">
        <f ca="1">'Table 3'!D95</f>
        <v>-1046000</v>
      </c>
      <c r="AE33" s="105"/>
      <c r="AF33" s="623"/>
      <c r="AG33" s="69"/>
    </row>
    <row r="34" spans="1:36" s="3" customFormat="1">
      <c r="A34" s="53">
        <v>40</v>
      </c>
      <c r="C34" s="60" t="s">
        <v>58</v>
      </c>
      <c r="D34" s="996">
        <v>27969.820355714099</v>
      </c>
      <c r="E34" s="996">
        <v>30741.547705128</v>
      </c>
      <c r="F34" s="996">
        <v>70451.806838960605</v>
      </c>
      <c r="G34" s="996">
        <v>506754.681342964</v>
      </c>
      <c r="H34" s="996">
        <v>1343799.21915854</v>
      </c>
      <c r="I34" s="996">
        <v>1231068.05711402</v>
      </c>
      <c r="J34" s="996">
        <f>1778859.41853023+1</f>
        <v>1778860.4185302299</v>
      </c>
      <c r="K34" s="996">
        <v>2217697.1171588302</v>
      </c>
      <c r="L34" s="996">
        <v>1671141.3267285002</v>
      </c>
      <c r="M34" s="996">
        <v>899403.56112970191</v>
      </c>
      <c r="N34" s="996">
        <v>2562495.8402100904</v>
      </c>
      <c r="O34" s="996">
        <v>42711.0592064675</v>
      </c>
      <c r="P34" s="774">
        <f>SUM(D34:O34)</f>
        <v>12383094.455479145</v>
      </c>
      <c r="Q34" s="647">
        <f t="shared" ref="Q34:AB35" ca="1" si="38">D34/$P$36*$AC$37</f>
        <v>-71.992997888337271</v>
      </c>
      <c r="R34" s="647">
        <f t="shared" ca="1" si="38"/>
        <v>-79.127293306599952</v>
      </c>
      <c r="S34" s="647">
        <f t="shared" ca="1" si="38"/>
        <v>-181.33962665765364</v>
      </c>
      <c r="T34" s="647">
        <f t="shared" ca="1" si="38"/>
        <v>-1304.3626394395408</v>
      </c>
      <c r="U34" s="647">
        <f t="shared" ca="1" si="38"/>
        <v>-3458.8757852878266</v>
      </c>
      <c r="V34" s="647">
        <f t="shared" ca="1" si="38"/>
        <v>-3168.711093208819</v>
      </c>
      <c r="W34" s="647">
        <f t="shared" ca="1" si="38"/>
        <v>-4578.7027848654179</v>
      </c>
      <c r="X34" s="647">
        <f t="shared" ca="1" si="38"/>
        <v>-5708.2477413899369</v>
      </c>
      <c r="Y34" s="647">
        <f t="shared" ca="1" si="38"/>
        <v>-4301.4389251055454</v>
      </c>
      <c r="Z34" s="647">
        <f t="shared" ca="1" si="38"/>
        <v>-2315.022329556914</v>
      </c>
      <c r="AA34" s="647">
        <f t="shared" ca="1" si="38"/>
        <v>-6595.7433857965179</v>
      </c>
      <c r="AB34" s="647">
        <f t="shared" ca="1" si="38"/>
        <v>-109.93625115048964</v>
      </c>
      <c r="AC34" s="473">
        <f ca="1">SUM(Q34:AB34)</f>
        <v>-31873.500853653604</v>
      </c>
      <c r="AD34" s="264">
        <f>Temperature!D92*1000</f>
        <v>-812138.36</v>
      </c>
      <c r="AE34" s="105">
        <f ca="1">P34+AC34+AD34</f>
        <v>11539082.594625492</v>
      </c>
      <c r="AF34" s="623">
        <f ca="1">'Table 3'!J101</f>
        <v>11539081.78878542</v>
      </c>
      <c r="AG34" s="69">
        <f ca="1">AF34-AE34</f>
        <v>-0.80584007129073143</v>
      </c>
      <c r="AI34" s="661">
        <f>351635.93+4980462.07+3664589.16+465114.05</f>
        <v>9461801.2100000009</v>
      </c>
      <c r="AJ34" s="775">
        <f>AI34-P34</f>
        <v>-2921293.2454791442</v>
      </c>
    </row>
    <row r="35" spans="1:36" s="3" customFormat="1">
      <c r="A35" s="53" t="s">
        <v>157</v>
      </c>
      <c r="C35" s="60" t="s">
        <v>59</v>
      </c>
      <c r="D35" s="996">
        <v>3459.41795</v>
      </c>
      <c r="E35" s="996">
        <v>2251.3254099999999</v>
      </c>
      <c r="F35" s="996">
        <v>1825.39797</v>
      </c>
      <c r="G35" s="996">
        <v>19545.709630000001</v>
      </c>
      <c r="H35" s="996">
        <v>36365.70059</v>
      </c>
      <c r="I35" s="996">
        <v>43299.976750000002</v>
      </c>
      <c r="J35" s="996">
        <v>52309.105600000003</v>
      </c>
      <c r="K35" s="996">
        <v>66661.082420000006</v>
      </c>
      <c r="L35" s="996">
        <v>67817.617249999996</v>
      </c>
      <c r="M35" s="996">
        <v>41383.074090000002</v>
      </c>
      <c r="N35" s="996">
        <v>98185.233900000094</v>
      </c>
      <c r="O35" s="996">
        <v>4549.7369399999998</v>
      </c>
      <c r="P35" s="774">
        <f>SUM(D35:O35)</f>
        <v>437653.37850000011</v>
      </c>
      <c r="Q35" s="647">
        <f t="shared" ca="1" si="38"/>
        <v>-8.9043785766877672</v>
      </c>
      <c r="R35" s="647">
        <f t="shared" ca="1" si="38"/>
        <v>-5.7948053804706667</v>
      </c>
      <c r="S35" s="647">
        <f t="shared" ca="1" si="38"/>
        <v>-4.6984882465552733</v>
      </c>
      <c r="T35" s="647">
        <f t="shared" ca="1" si="38"/>
        <v>-50.309734357345221</v>
      </c>
      <c r="U35" s="647">
        <f t="shared" ca="1" si="38"/>
        <v>-93.603597466399719</v>
      </c>
      <c r="V35" s="647">
        <f t="shared" ca="1" si="38"/>
        <v>-111.45209712049346</v>
      </c>
      <c r="W35" s="647">
        <f t="shared" ca="1" si="38"/>
        <v>-134.64116970033589</v>
      </c>
      <c r="X35" s="647">
        <f t="shared" ca="1" si="38"/>
        <v>-171.58248086198014</v>
      </c>
      <c r="Y35" s="647">
        <f t="shared" ca="1" si="38"/>
        <v>-174.559346945318</v>
      </c>
      <c r="Z35" s="647">
        <f t="shared" ca="1" si="38"/>
        <v>-106.51808011936765</v>
      </c>
      <c r="AA35" s="647">
        <f t="shared" ca="1" si="38"/>
        <v>-252.72415935930442</v>
      </c>
      <c r="AB35" s="647">
        <f t="shared" ca="1" si="38"/>
        <v>-11.710808212144748</v>
      </c>
      <c r="AC35" s="473">
        <f ca="1">SUM(Q35:AB35)</f>
        <v>-1126.4991463464028</v>
      </c>
      <c r="AE35" s="105">
        <f ca="1">P35+AC35+AD35</f>
        <v>436526.8793536537</v>
      </c>
      <c r="AF35" s="623">
        <f ca="1">'Table 3'!J102</f>
        <v>436526.87935365358</v>
      </c>
      <c r="AG35" s="69">
        <f ca="1">AF35-AE35</f>
        <v>0</v>
      </c>
      <c r="AI35" s="661">
        <f>193.2+827.18+1526.37+91559.98+788442.9+537870.94+187754.9</f>
        <v>1608175.4699999997</v>
      </c>
      <c r="AJ35" s="775">
        <f>AI35-P35</f>
        <v>1170522.0914999996</v>
      </c>
    </row>
    <row r="36" spans="1:36" s="3" customFormat="1">
      <c r="A36" s="53"/>
      <c r="B36" s="60" t="s">
        <v>277</v>
      </c>
      <c r="C36" s="60"/>
      <c r="D36" s="661">
        <f t="shared" ref="D36:O36" si="39">SUM(D34:D35)</f>
        <v>31429.238305714098</v>
      </c>
      <c r="E36" s="661">
        <f t="shared" si="39"/>
        <v>32992.873115128001</v>
      </c>
      <c r="F36" s="661">
        <f t="shared" si="39"/>
        <v>72277.204808960611</v>
      </c>
      <c r="G36" s="661">
        <f t="shared" si="39"/>
        <v>526300.390972964</v>
      </c>
      <c r="H36" s="661">
        <f t="shared" si="39"/>
        <v>1380164.91974854</v>
      </c>
      <c r="I36" s="661">
        <f t="shared" si="39"/>
        <v>1274368.0338640199</v>
      </c>
      <c r="J36" s="661">
        <f t="shared" si="39"/>
        <v>1831169.5241302298</v>
      </c>
      <c r="K36" s="661">
        <f t="shared" si="39"/>
        <v>2284358.19957883</v>
      </c>
      <c r="L36" s="661">
        <f t="shared" si="39"/>
        <v>1738958.9439785001</v>
      </c>
      <c r="M36" s="661">
        <f t="shared" si="39"/>
        <v>940786.63521970192</v>
      </c>
      <c r="N36" s="661">
        <f t="shared" si="39"/>
        <v>2660681.0741100903</v>
      </c>
      <c r="O36" s="661">
        <f t="shared" si="39"/>
        <v>47260.796146467503</v>
      </c>
      <c r="P36" s="661">
        <f>SUM(D36:O36)</f>
        <v>12820747.833979147</v>
      </c>
      <c r="Q36" s="473">
        <f t="shared" ref="Q36:AC36" ca="1" si="40">SUM(Q34:Q35)</f>
        <v>-80.897376465025033</v>
      </c>
      <c r="R36" s="473">
        <f t="shared" ca="1" si="40"/>
        <v>-84.922098687070616</v>
      </c>
      <c r="S36" s="473">
        <f t="shared" ca="1" si="40"/>
        <v>-186.03811490420892</v>
      </c>
      <c r="T36" s="473">
        <f t="shared" ca="1" si="40"/>
        <v>-1354.6723737968859</v>
      </c>
      <c r="U36" s="473">
        <f t="shared" ca="1" si="40"/>
        <v>-3552.4793827542262</v>
      </c>
      <c r="V36" s="473">
        <f t="shared" ca="1" si="40"/>
        <v>-3280.1631903293123</v>
      </c>
      <c r="W36" s="473">
        <f t="shared" ca="1" si="40"/>
        <v>-4713.3439545657538</v>
      </c>
      <c r="X36" s="473">
        <f t="shared" ca="1" si="40"/>
        <v>-5879.8302222519169</v>
      </c>
      <c r="Y36" s="473">
        <f t="shared" ca="1" si="40"/>
        <v>-4475.9982720508633</v>
      </c>
      <c r="Z36" s="473">
        <f t="shared" ca="1" si="40"/>
        <v>-2421.5404096762818</v>
      </c>
      <c r="AA36" s="473">
        <f t="shared" ca="1" si="40"/>
        <v>-6848.4675451558223</v>
      </c>
      <c r="AB36" s="473">
        <f t="shared" ca="1" si="40"/>
        <v>-121.64705936263439</v>
      </c>
      <c r="AC36" s="625">
        <f t="shared" ca="1" si="40"/>
        <v>-33000.000000000007</v>
      </c>
      <c r="AD36" s="1071">
        <f>SUM(AD34:AD35)</f>
        <v>-812138.36</v>
      </c>
      <c r="AE36" s="631">
        <f ca="1">SUM(AE34:AE35)</f>
        <v>11975609.473979145</v>
      </c>
      <c r="AF36" s="623">
        <f ca="1">SUM(AF34:AF35)</f>
        <v>11975608.668139074</v>
      </c>
      <c r="AG36" s="69"/>
    </row>
    <row r="37" spans="1:36" s="3" customFormat="1">
      <c r="A37" s="53"/>
      <c r="B37" s="3" t="s">
        <v>578</v>
      </c>
      <c r="C37" s="60"/>
      <c r="D37" s="629"/>
      <c r="E37" s="629"/>
      <c r="F37" s="629"/>
      <c r="G37" s="629"/>
      <c r="H37" s="629"/>
      <c r="I37" s="629"/>
      <c r="J37" s="629"/>
      <c r="K37" s="629"/>
      <c r="L37" s="629"/>
      <c r="M37" s="629"/>
      <c r="N37" s="629"/>
      <c r="O37" s="629"/>
      <c r="P37" s="661"/>
      <c r="Q37" s="647"/>
      <c r="R37" s="647"/>
      <c r="S37" s="647"/>
      <c r="T37" s="647"/>
      <c r="U37" s="647"/>
      <c r="V37" s="647"/>
      <c r="W37" s="647"/>
      <c r="X37" s="647"/>
      <c r="Y37" s="647"/>
      <c r="Z37" s="647"/>
      <c r="AA37" s="647"/>
      <c r="AB37" s="647"/>
      <c r="AC37" s="473">
        <f ca="1">'Table 3'!D115</f>
        <v>-33000</v>
      </c>
      <c r="AE37" s="105"/>
      <c r="AF37" s="623"/>
      <c r="AG37" s="69"/>
    </row>
    <row r="38" spans="1:36" s="3" customFormat="1">
      <c r="A38" s="53">
        <v>52</v>
      </c>
      <c r="C38" s="60" t="s">
        <v>61</v>
      </c>
      <c r="D38" s="996">
        <v>3098.0244626164299</v>
      </c>
      <c r="E38" s="996">
        <v>3098.0244626164299</v>
      </c>
      <c r="F38" s="996">
        <v>3098.0244626164299</v>
      </c>
      <c r="G38" s="996">
        <v>3098.0244626164299</v>
      </c>
      <c r="H38" s="996">
        <v>3098.0244626164299</v>
      </c>
      <c r="I38" s="996">
        <v>3098.0244626164299</v>
      </c>
      <c r="J38" s="996">
        <v>3098.0081887871802</v>
      </c>
      <c r="K38" s="996">
        <v>3098.0451498810799</v>
      </c>
      <c r="L38" s="996">
        <v>3098.0451498810799</v>
      </c>
      <c r="M38" s="996">
        <v>3098.0451498810799</v>
      </c>
      <c r="N38" s="996">
        <v>3098.0451498810799</v>
      </c>
      <c r="O38" s="996">
        <v>3093.61573629247</v>
      </c>
      <c r="P38" s="661">
        <f t="shared" ref="P38:P43" si="41">SUM(D38:O38)</f>
        <v>37171.951300302549</v>
      </c>
      <c r="Q38" s="647">
        <f t="shared" ref="Q38:AB42" si="42">D38/$P$43*$AC$44</f>
        <v>-305.04749217933812</v>
      </c>
      <c r="R38" s="647">
        <f t="shared" si="42"/>
        <v>-305.04749217933812</v>
      </c>
      <c r="S38" s="647">
        <f t="shared" si="42"/>
        <v>-305.04749217933812</v>
      </c>
      <c r="T38" s="647">
        <f t="shared" si="42"/>
        <v>-305.04749217933812</v>
      </c>
      <c r="U38" s="647">
        <f t="shared" si="42"/>
        <v>-305.04749217933812</v>
      </c>
      <c r="V38" s="647">
        <f t="shared" si="42"/>
        <v>-305.04749217933812</v>
      </c>
      <c r="W38" s="647">
        <f t="shared" si="42"/>
        <v>-305.04588977404381</v>
      </c>
      <c r="X38" s="647">
        <f t="shared" si="42"/>
        <v>-305.04952915428061</v>
      </c>
      <c r="Y38" s="647">
        <f t="shared" si="42"/>
        <v>-305.04952915428061</v>
      </c>
      <c r="Z38" s="647">
        <f t="shared" si="42"/>
        <v>-305.04952915428061</v>
      </c>
      <c r="AA38" s="647">
        <f t="shared" si="42"/>
        <v>-305.04952915428061</v>
      </c>
      <c r="AB38" s="647">
        <f t="shared" si="42"/>
        <v>-304.61338621114533</v>
      </c>
      <c r="AC38" s="473">
        <f>SUM(Q38:AB38)</f>
        <v>-3660.1423456783405</v>
      </c>
      <c r="AE38" s="105">
        <f>P38+AC38+AD38</f>
        <v>33511.808954624212</v>
      </c>
      <c r="AF38" s="623">
        <f ca="1">'Table 3'!J121</f>
        <v>33511.808954624161</v>
      </c>
      <c r="AG38" s="69">
        <f t="shared" ref="AG38:AG43" ca="1" si="43">AF38-AE38</f>
        <v>0</v>
      </c>
      <c r="AI38" s="775">
        <f>58000.22</f>
        <v>58000.22</v>
      </c>
      <c r="AJ38" s="775">
        <f>AI38-P38</f>
        <v>20828.268699697452</v>
      </c>
    </row>
    <row r="39" spans="1:36" s="3" customFormat="1">
      <c r="A39" s="53" t="s">
        <v>158</v>
      </c>
      <c r="C39" s="60" t="s">
        <v>62</v>
      </c>
      <c r="D39" s="996">
        <v>19882.643059209258</v>
      </c>
      <c r="E39" s="996">
        <v>19903.612307804757</v>
      </c>
      <c r="F39" s="996">
        <v>19916.452973535059</v>
      </c>
      <c r="G39" s="996">
        <v>19916.452973535059</v>
      </c>
      <c r="H39" s="996">
        <v>19916.452973535059</v>
      </c>
      <c r="I39" s="996">
        <v>19916.452973535059</v>
      </c>
      <c r="J39" s="996">
        <v>19916.635278573169</v>
      </c>
      <c r="K39" s="996">
        <v>19919.607992454079</v>
      </c>
      <c r="L39" s="996">
        <v>19920.53332465898</v>
      </c>
      <c r="M39" s="996">
        <v>19920.53332465898</v>
      </c>
      <c r="N39" s="996">
        <v>19798.46658463918</v>
      </c>
      <c r="O39" s="996">
        <v>19794.26403420898</v>
      </c>
      <c r="P39" s="661">
        <f t="shared" si="41"/>
        <v>238722.10780034764</v>
      </c>
      <c r="Q39" s="647">
        <f t="shared" si="42"/>
        <v>-1957.7477441822386</v>
      </c>
      <c r="R39" s="647">
        <f t="shared" si="42"/>
        <v>-1959.8124847206459</v>
      </c>
      <c r="S39" s="647">
        <f t="shared" si="42"/>
        <v>-1961.0768429999971</v>
      </c>
      <c r="T39" s="647">
        <f t="shared" si="42"/>
        <v>-1961.0768429999971</v>
      </c>
      <c r="U39" s="647">
        <f t="shared" si="42"/>
        <v>-1961.0768429999971</v>
      </c>
      <c r="V39" s="647">
        <f t="shared" si="42"/>
        <v>-1961.0768429999971</v>
      </c>
      <c r="W39" s="647">
        <f t="shared" si="42"/>
        <v>-1961.09479369579</v>
      </c>
      <c r="X39" s="647">
        <f t="shared" si="42"/>
        <v>-1961.3875024607726</v>
      </c>
      <c r="Y39" s="647">
        <f t="shared" si="42"/>
        <v>-1961.4786154496931</v>
      </c>
      <c r="Z39" s="647">
        <f t="shared" si="42"/>
        <v>-1961.4786154496931</v>
      </c>
      <c r="AA39" s="647">
        <f t="shared" si="42"/>
        <v>-1949.4592936622532</v>
      </c>
      <c r="AB39" s="647">
        <f t="shared" si="42"/>
        <v>-1949.0454888376114</v>
      </c>
      <c r="AC39" s="473">
        <f>SUM(Q39:AB39)</f>
        <v>-23505.811910458691</v>
      </c>
      <c r="AE39" s="105">
        <f>P39+AC39+AD39</f>
        <v>215216.29588988895</v>
      </c>
      <c r="AF39" s="623">
        <f ca="1">'Table 3'!J122</f>
        <v>215216.2958898886</v>
      </c>
      <c r="AG39" s="69">
        <f t="shared" ca="1" si="43"/>
        <v>-3.4924596548080444E-10</v>
      </c>
      <c r="AI39" s="775">
        <f>228211</f>
        <v>228211</v>
      </c>
      <c r="AJ39" s="775">
        <f>AI39-P39</f>
        <v>-10511.107800347643</v>
      </c>
    </row>
    <row r="40" spans="1:36" s="3" customFormat="1">
      <c r="A40" s="53" t="s">
        <v>159</v>
      </c>
      <c r="C40" s="60" t="s">
        <v>63</v>
      </c>
      <c r="D40" s="996">
        <v>9236.7127400000008</v>
      </c>
      <c r="E40" s="996">
        <v>7942.8841899999998</v>
      </c>
      <c r="F40" s="996">
        <v>7144.0381600000001</v>
      </c>
      <c r="G40" s="996">
        <v>6159.3345300000001</v>
      </c>
      <c r="H40" s="996">
        <v>5262.3666199999998</v>
      </c>
      <c r="I40" s="996">
        <v>4841.5221499999998</v>
      </c>
      <c r="J40" s="996">
        <v>4613.70993</v>
      </c>
      <c r="K40" s="996">
        <v>4984.0585300000002</v>
      </c>
      <c r="L40" s="996">
        <v>5750.9944500000001</v>
      </c>
      <c r="M40" s="996">
        <v>6464.0863300000001</v>
      </c>
      <c r="N40" s="996">
        <v>7374.7885699999997</v>
      </c>
      <c r="O40" s="996">
        <v>9004.5957299999991</v>
      </c>
      <c r="P40" s="661">
        <f t="shared" si="41"/>
        <v>78779.091929999995</v>
      </c>
      <c r="Q40" s="647">
        <f t="shared" si="42"/>
        <v>-909.49445084055742</v>
      </c>
      <c r="R40" s="647">
        <f t="shared" si="42"/>
        <v>-782.09740822514686</v>
      </c>
      <c r="S40" s="647">
        <f t="shared" si="42"/>
        <v>-703.43890148013691</v>
      </c>
      <c r="T40" s="647">
        <f t="shared" si="42"/>
        <v>-606.47989534701412</v>
      </c>
      <c r="U40" s="647">
        <f t="shared" si="42"/>
        <v>-518.15980142504463</v>
      </c>
      <c r="V40" s="647">
        <f t="shared" si="42"/>
        <v>-476.72128093556415</v>
      </c>
      <c r="W40" s="647">
        <f t="shared" si="42"/>
        <v>-454.28971293557589</v>
      </c>
      <c r="X40" s="647">
        <f t="shared" si="42"/>
        <v>-490.75614921630074</v>
      </c>
      <c r="Y40" s="647">
        <f t="shared" si="42"/>
        <v>-566.27262169136623</v>
      </c>
      <c r="Z40" s="647">
        <f t="shared" si="42"/>
        <v>-636.48733184369917</v>
      </c>
      <c r="AA40" s="647">
        <f t="shared" si="42"/>
        <v>-726.15977884545202</v>
      </c>
      <c r="AB40" s="647">
        <f t="shared" si="42"/>
        <v>-886.63901097974144</v>
      </c>
      <c r="AC40" s="473">
        <f>SUM(Q40:AB40)</f>
        <v>-7756.9963437655988</v>
      </c>
      <c r="AE40" s="105">
        <f>P40+AC40+AD40</f>
        <v>71022.095586234398</v>
      </c>
      <c r="AF40" s="623">
        <f ca="1">'Table 3'!J123</f>
        <v>71022.095586234296</v>
      </c>
      <c r="AG40" s="69">
        <f t="shared" ca="1" si="43"/>
        <v>0</v>
      </c>
      <c r="AI40" s="775">
        <f>71127.04</f>
        <v>71127.039999999994</v>
      </c>
      <c r="AJ40" s="775">
        <f>AI40-P40</f>
        <v>-7652.0519300000014</v>
      </c>
    </row>
    <row r="41" spans="1:36" s="3" customFormat="1">
      <c r="A41" s="53">
        <v>51</v>
      </c>
      <c r="C41" s="60" t="s">
        <v>64</v>
      </c>
      <c r="D41" s="996">
        <v>57238.544795613903</v>
      </c>
      <c r="E41" s="996">
        <v>57379.845277845103</v>
      </c>
      <c r="F41" s="996">
        <v>57428.316627777698</v>
      </c>
      <c r="G41" s="996">
        <v>57441.293527175403</v>
      </c>
      <c r="H41" s="996">
        <v>57430.44</v>
      </c>
      <c r="I41" s="996">
        <v>57138.142935402902</v>
      </c>
      <c r="J41" s="996">
        <v>57471.338435420599</v>
      </c>
      <c r="K41" s="996">
        <v>57479.783380934299</v>
      </c>
      <c r="L41" s="996">
        <v>57489.1</v>
      </c>
      <c r="M41" s="996">
        <v>57501.410010482199</v>
      </c>
      <c r="N41" s="996">
        <v>57399.451848481302</v>
      </c>
      <c r="O41" s="996">
        <v>57405.380052472901</v>
      </c>
      <c r="P41" s="661">
        <f t="shared" si="41"/>
        <v>688803.04689160641</v>
      </c>
      <c r="Q41" s="647">
        <f t="shared" si="42"/>
        <v>-5636.0028000393904</v>
      </c>
      <c r="R41" s="647">
        <f t="shared" si="42"/>
        <v>-5649.9159754414841</v>
      </c>
      <c r="S41" s="647">
        <f t="shared" si="42"/>
        <v>-5654.6887149462582</v>
      </c>
      <c r="T41" s="647">
        <f t="shared" si="42"/>
        <v>-5655.96648749625</v>
      </c>
      <c r="U41" s="647">
        <f t="shared" si="42"/>
        <v>-5654.8977931440559</v>
      </c>
      <c r="V41" s="647">
        <f t="shared" si="42"/>
        <v>-5626.1167142330696</v>
      </c>
      <c r="W41" s="647">
        <f t="shared" si="42"/>
        <v>-5658.9248643662677</v>
      </c>
      <c r="X41" s="647">
        <f t="shared" si="42"/>
        <v>-5659.756397325943</v>
      </c>
      <c r="Y41" s="647">
        <f t="shared" si="42"/>
        <v>-5660.6737597663869</v>
      </c>
      <c r="Z41" s="647">
        <f t="shared" si="42"/>
        <v>-5661.8858669887823</v>
      </c>
      <c r="AA41" s="647">
        <f t="shared" si="42"/>
        <v>-5651.846539668778</v>
      </c>
      <c r="AB41" s="647">
        <f t="shared" si="42"/>
        <v>-5652.4302612573538</v>
      </c>
      <c r="AC41" s="473">
        <f>SUM(Q41:AB41)</f>
        <v>-67823.106174674016</v>
      </c>
      <c r="AE41" s="105">
        <f>P41+AC41+AD41</f>
        <v>620979.94071693241</v>
      </c>
      <c r="AF41" s="623">
        <f ca="1">'Table 3'!J124</f>
        <v>620979.94071693148</v>
      </c>
      <c r="AG41" s="69">
        <f t="shared" ca="1" si="43"/>
        <v>-9.3132257461547852E-10</v>
      </c>
      <c r="AI41" s="661">
        <f>112479.97+146791.68+244311.64+39747.29+1698.33+4710.86</f>
        <v>549739.77</v>
      </c>
      <c r="AJ41" s="775">
        <f>AI41-P41</f>
        <v>-139063.27689160639</v>
      </c>
    </row>
    <row r="42" spans="1:36" s="3" customFormat="1">
      <c r="A42" s="53">
        <v>57</v>
      </c>
      <c r="C42" s="60" t="s">
        <v>65</v>
      </c>
      <c r="D42" s="996">
        <v>19646.2246515884</v>
      </c>
      <c r="E42" s="996">
        <v>19725.060000000001</v>
      </c>
      <c r="F42" s="996">
        <v>19720.346359077201</v>
      </c>
      <c r="G42" s="996">
        <v>19715.310000000001</v>
      </c>
      <c r="H42" s="996">
        <v>19715.310000000001</v>
      </c>
      <c r="I42" s="996">
        <v>19687.506556335698</v>
      </c>
      <c r="J42" s="996">
        <v>19705.525116757599</v>
      </c>
      <c r="K42" s="996">
        <v>19698.849346895098</v>
      </c>
      <c r="L42" s="996">
        <v>19696.41</v>
      </c>
      <c r="M42" s="996">
        <v>19684.718358862199</v>
      </c>
      <c r="N42" s="996">
        <v>19616.048370221299</v>
      </c>
      <c r="O42" s="996">
        <v>19552.8519418424</v>
      </c>
      <c r="P42" s="661">
        <f t="shared" si="41"/>
        <v>236164.16070157991</v>
      </c>
      <c r="Q42" s="647">
        <f t="shared" si="42"/>
        <v>-1934.4687664917694</v>
      </c>
      <c r="R42" s="647">
        <f t="shared" si="42"/>
        <v>-1942.23130213932</v>
      </c>
      <c r="S42" s="647">
        <f t="shared" si="42"/>
        <v>-1941.7671727046156</v>
      </c>
      <c r="T42" s="647">
        <f t="shared" si="42"/>
        <v>-1941.271266773351</v>
      </c>
      <c r="U42" s="647">
        <f t="shared" si="42"/>
        <v>-1941.271266773351</v>
      </c>
      <c r="V42" s="647">
        <f t="shared" si="42"/>
        <v>-1938.5335960847915</v>
      </c>
      <c r="W42" s="647">
        <f t="shared" si="42"/>
        <v>-1940.3077966231374</v>
      </c>
      <c r="X42" s="647">
        <f t="shared" si="42"/>
        <v>-1939.6504658371816</v>
      </c>
      <c r="Y42" s="647">
        <f t="shared" si="42"/>
        <v>-1939.4102751408573</v>
      </c>
      <c r="Z42" s="647">
        <f t="shared" si="42"/>
        <v>-1938.2590557584465</v>
      </c>
      <c r="AA42" s="647">
        <f t="shared" si="42"/>
        <v>-1931.4974539455288</v>
      </c>
      <c r="AB42" s="647">
        <f t="shared" si="42"/>
        <v>-1925.2748071509995</v>
      </c>
      <c r="AC42" s="473">
        <f>SUM(Q42:AB42)</f>
        <v>-23253.943225423351</v>
      </c>
      <c r="AD42" s="20"/>
      <c r="AE42" s="105">
        <f>P42+AC42+AD42</f>
        <v>212910.21747615657</v>
      </c>
      <c r="AF42" s="623">
        <f ca="1">'Table 3'!J125</f>
        <v>212910.21747615625</v>
      </c>
      <c r="AG42" s="69">
        <f t="shared" ca="1" si="43"/>
        <v>-3.2014213502407074E-10</v>
      </c>
      <c r="AI42" s="661">
        <f>221443.69</f>
        <v>221443.69</v>
      </c>
      <c r="AJ42" s="775">
        <f>AI42-P42</f>
        <v>-14720.470701579907</v>
      </c>
    </row>
    <row r="43" spans="1:36" s="3" customFormat="1">
      <c r="A43" s="53"/>
      <c r="B43" s="3" t="s">
        <v>578</v>
      </c>
      <c r="C43" s="60"/>
      <c r="D43" s="637">
        <f t="shared" ref="D43:O43" si="44">SUM(D38:D42)</f>
        <v>109102.149709028</v>
      </c>
      <c r="E43" s="637">
        <f t="shared" si="44"/>
        <v>108049.42623826629</v>
      </c>
      <c r="F43" s="637">
        <f t="shared" si="44"/>
        <v>107307.17858300639</v>
      </c>
      <c r="G43" s="637">
        <f t="shared" si="44"/>
        <v>106330.41549332689</v>
      </c>
      <c r="H43" s="637">
        <f t="shared" si="44"/>
        <v>105422.59405615149</v>
      </c>
      <c r="I43" s="637">
        <f t="shared" si="44"/>
        <v>104681.64907789009</v>
      </c>
      <c r="J43" s="637">
        <f t="shared" si="44"/>
        <v>104805.21694953856</v>
      </c>
      <c r="K43" s="637">
        <f t="shared" si="44"/>
        <v>105180.34440016455</v>
      </c>
      <c r="L43" s="637">
        <f t="shared" si="44"/>
        <v>105955.08292454007</v>
      </c>
      <c r="M43" s="637">
        <f t="shared" si="44"/>
        <v>106668.79317388446</v>
      </c>
      <c r="N43" s="637">
        <f t="shared" si="44"/>
        <v>107286.80052322286</v>
      </c>
      <c r="O43" s="637">
        <f t="shared" si="44"/>
        <v>108850.70749481676</v>
      </c>
      <c r="P43" s="637">
        <f t="shared" si="41"/>
        <v>1279640.3586238364</v>
      </c>
      <c r="Q43" s="648">
        <f t="shared" ref="Q43:AB43" si="45">SUM(Q38:Q42)</f>
        <v>-10742.761253733293</v>
      </c>
      <c r="R43" s="648">
        <f t="shared" si="45"/>
        <v>-10639.104662705935</v>
      </c>
      <c r="S43" s="648">
        <f t="shared" si="45"/>
        <v>-10566.019124310345</v>
      </c>
      <c r="T43" s="648">
        <f t="shared" si="45"/>
        <v>-10469.841984795949</v>
      </c>
      <c r="U43" s="648">
        <f t="shared" si="45"/>
        <v>-10380.453196521787</v>
      </c>
      <c r="V43" s="648">
        <f t="shared" si="45"/>
        <v>-10307.495926432761</v>
      </c>
      <c r="W43" s="648">
        <f t="shared" si="45"/>
        <v>-10319.663057394815</v>
      </c>
      <c r="X43" s="648">
        <f t="shared" si="45"/>
        <v>-10356.600043994478</v>
      </c>
      <c r="Y43" s="648">
        <f t="shared" si="45"/>
        <v>-10432.884801202585</v>
      </c>
      <c r="Z43" s="648">
        <f t="shared" si="45"/>
        <v>-10503.160399194901</v>
      </c>
      <c r="AA43" s="648">
        <f t="shared" si="45"/>
        <v>-10564.012595276292</v>
      </c>
      <c r="AB43" s="648">
        <f t="shared" si="45"/>
        <v>-10718.002954436852</v>
      </c>
      <c r="AC43" s="634">
        <v>6000</v>
      </c>
      <c r="AD43" s="635">
        <f>SUM(AD38:AD42)</f>
        <v>0</v>
      </c>
      <c r="AE43" s="635">
        <f>SUM(AE38:AE42)</f>
        <v>1153640.3586238367</v>
      </c>
      <c r="AF43" s="636">
        <f ca="1">SUM(AF38:AF42)</f>
        <v>1153640.3586238348</v>
      </c>
      <c r="AG43" s="69">
        <f t="shared" ca="1" si="43"/>
        <v>-1.862645149230957E-9</v>
      </c>
      <c r="AI43" s="661"/>
    </row>
    <row r="44" spans="1:36">
      <c r="C44" s="627"/>
      <c r="D44" s="632"/>
      <c r="E44" s="632"/>
      <c r="F44" s="632"/>
      <c r="G44" s="632"/>
      <c r="H44" s="632"/>
      <c r="I44" s="632"/>
      <c r="J44" s="632"/>
      <c r="K44" s="632"/>
      <c r="L44" s="632"/>
      <c r="M44" s="632"/>
      <c r="N44" s="632"/>
      <c r="O44" s="632"/>
      <c r="P44" s="632"/>
      <c r="Q44" s="617"/>
      <c r="R44" s="617"/>
      <c r="S44" s="617"/>
      <c r="T44" s="617"/>
      <c r="U44" s="617"/>
      <c r="V44" s="617"/>
      <c r="W44" s="617"/>
      <c r="X44" s="617"/>
      <c r="Y44" s="617"/>
      <c r="Z44" s="617"/>
      <c r="AA44" s="617"/>
      <c r="AB44" s="617"/>
      <c r="AC44" s="473">
        <f>'Table 3'!D135</f>
        <v>-126000</v>
      </c>
      <c r="AD44" s="107">
        <f>SUM(AD43,AD36,AD32,AD22,AD12)</f>
        <v>-5692761.2699999996</v>
      </c>
      <c r="AE44" s="107">
        <f ca="1">SUM(AE43,AE36,AE32,AE22,AE12)</f>
        <v>303928315.15956545</v>
      </c>
      <c r="AF44" s="623">
        <f ca="1">SUM(AF43,AF36,AF32,AF22,AF12)</f>
        <v>303928314.70872098</v>
      </c>
      <c r="AG44" s="107">
        <f ca="1">SUM(AG43,AG36,AG32,AG22,AG12)</f>
        <v>0.35499562136828899</v>
      </c>
      <c r="AI44" t="s">
        <v>31</v>
      </c>
    </row>
    <row r="45" spans="1:36">
      <c r="C45" s="627" t="s">
        <v>9</v>
      </c>
      <c r="D45" s="632">
        <f t="shared" ref="D45:O45" si="46">D12+D22+D32+D36+D43</f>
        <v>32329595.793997675</v>
      </c>
      <c r="E45" s="632">
        <f t="shared" si="46"/>
        <v>28439108.95417409</v>
      </c>
      <c r="F45" s="632">
        <f t="shared" si="46"/>
        <v>24714215.157038145</v>
      </c>
      <c r="G45" s="632">
        <f t="shared" si="46"/>
        <v>22105562.860340275</v>
      </c>
      <c r="H45" s="632">
        <f t="shared" si="46"/>
        <v>21707752.773889989</v>
      </c>
      <c r="I45" s="632">
        <f t="shared" si="46"/>
        <v>21866948.869551975</v>
      </c>
      <c r="J45" s="632">
        <f t="shared" si="46"/>
        <v>25016624.929385949</v>
      </c>
      <c r="K45" s="632">
        <f t="shared" si="46"/>
        <v>27307260.455436826</v>
      </c>
      <c r="L45" s="632">
        <f t="shared" si="46"/>
        <v>25898646.142579101</v>
      </c>
      <c r="M45" s="632">
        <f t="shared" si="46"/>
        <v>22895449.517760102</v>
      </c>
      <c r="N45" s="632">
        <f t="shared" si="46"/>
        <v>26269714.229611702</v>
      </c>
      <c r="O45" s="632">
        <f t="shared" si="46"/>
        <v>32833196.745799646</v>
      </c>
      <c r="P45" s="632">
        <f>SUM(D45:O45)</f>
        <v>311384076.42956549</v>
      </c>
      <c r="Q45" s="620">
        <f t="shared" ref="Q45:AB45" ca="1" si="47">Q12+Q22+Q32+Q36+Q43</f>
        <v>-160478.412335703</v>
      </c>
      <c r="R45" s="620">
        <f t="shared" ca="1" si="47"/>
        <v>-151722.66659383819</v>
      </c>
      <c r="S45" s="620">
        <f t="shared" ca="1" si="47"/>
        <v>-140812.5564160363</v>
      </c>
      <c r="T45" s="620">
        <f t="shared" ca="1" si="47"/>
        <v>-136258.84473967704</v>
      </c>
      <c r="U45" s="620">
        <f t="shared" ca="1" si="47"/>
        <v>-133122.44430067201</v>
      </c>
      <c r="V45" s="620">
        <f t="shared" ca="1" si="47"/>
        <v>-138261.20783214428</v>
      </c>
      <c r="W45" s="620">
        <f t="shared" ca="1" si="47"/>
        <v>-146035.41377646118</v>
      </c>
      <c r="X45" s="620">
        <f t="shared" ca="1" si="47"/>
        <v>-151116.33121386523</v>
      </c>
      <c r="Y45" s="620">
        <f t="shared" ca="1" si="47"/>
        <v>-149925.60185836162</v>
      </c>
      <c r="Z45" s="620">
        <f t="shared" ca="1" si="47"/>
        <v>-142913.56029789051</v>
      </c>
      <c r="AA45" s="620">
        <f t="shared" ca="1" si="47"/>
        <v>-150043.72302131719</v>
      </c>
      <c r="AB45" s="620">
        <f t="shared" ca="1" si="47"/>
        <v>-162309.23761403348</v>
      </c>
      <c r="AC45" s="637">
        <f ca="1">SUM(Q45:AB45)</f>
        <v>-1763000.0000000002</v>
      </c>
      <c r="AD45" s="623" t="s">
        <v>31</v>
      </c>
      <c r="AE45" s="623" t="s">
        <v>31</v>
      </c>
      <c r="AF45" s="623" t="s">
        <v>31</v>
      </c>
    </row>
    <row r="46" spans="1:36">
      <c r="B46" s="638"/>
      <c r="C46" s="639"/>
      <c r="D46" s="640"/>
      <c r="E46" s="640"/>
      <c r="F46" s="640"/>
      <c r="G46" s="640"/>
      <c r="H46" s="640"/>
      <c r="I46" s="640"/>
      <c r="J46" s="640"/>
      <c r="K46" s="640"/>
      <c r="L46" s="640"/>
      <c r="M46" s="640"/>
      <c r="N46" s="640"/>
      <c r="O46" s="640"/>
      <c r="P46" s="640"/>
      <c r="Q46" s="74"/>
      <c r="S46" s="641"/>
      <c r="AE46" s="641" t="s">
        <v>579</v>
      </c>
    </row>
    <row r="47" spans="1:36">
      <c r="C47" s="627"/>
      <c r="D47" s="632"/>
      <c r="E47" s="632"/>
      <c r="F47" s="632"/>
      <c r="G47" s="632"/>
      <c r="H47" s="632"/>
      <c r="I47" s="632"/>
      <c r="J47" s="632"/>
      <c r="K47" s="632"/>
      <c r="L47" s="632"/>
      <c r="M47" s="632"/>
      <c r="N47" s="632"/>
      <c r="O47" s="632"/>
      <c r="P47" s="632"/>
      <c r="Q47" s="74"/>
      <c r="S47" s="642"/>
    </row>
    <row r="48" spans="1:36">
      <c r="C48" s="4" t="s">
        <v>574</v>
      </c>
      <c r="D48" s="632"/>
      <c r="E48" s="632"/>
      <c r="F48" s="632"/>
      <c r="G48" s="632"/>
      <c r="H48" s="632"/>
      <c r="I48" s="632"/>
      <c r="J48" s="632"/>
      <c r="K48" s="632"/>
      <c r="L48" s="632"/>
      <c r="M48" s="632"/>
      <c r="N48" s="632"/>
      <c r="O48" s="632"/>
      <c r="P48" s="632"/>
      <c r="Q48" s="74"/>
      <c r="S48" s="642"/>
    </row>
    <row r="49" spans="1:33">
      <c r="C49" s="617" t="s">
        <v>580</v>
      </c>
      <c r="D49" s="632"/>
      <c r="E49" s="632"/>
      <c r="F49" s="632"/>
      <c r="G49" s="632"/>
      <c r="H49" s="632"/>
      <c r="I49" s="632"/>
      <c r="J49" s="632"/>
      <c r="K49" s="632"/>
      <c r="L49" s="632"/>
      <c r="M49" s="632"/>
      <c r="N49" s="632"/>
      <c r="O49" s="632"/>
      <c r="P49" s="632"/>
      <c r="Q49" s="74"/>
      <c r="S49" s="642"/>
    </row>
    <row r="50" spans="1:33">
      <c r="C50" s="617"/>
      <c r="D50" s="617">
        <v>201301</v>
      </c>
      <c r="E50" s="617">
        <v>201302</v>
      </c>
      <c r="F50" s="617">
        <v>201303</v>
      </c>
      <c r="G50" s="617">
        <v>201304</v>
      </c>
      <c r="H50" s="617">
        <v>201305</v>
      </c>
      <c r="I50" s="617">
        <v>201306</v>
      </c>
      <c r="J50" s="617">
        <v>201307</v>
      </c>
      <c r="K50" s="617">
        <v>201308</v>
      </c>
      <c r="L50" s="617">
        <v>201309</v>
      </c>
      <c r="M50" s="617">
        <v>201310</v>
      </c>
      <c r="N50" s="617">
        <v>201311</v>
      </c>
      <c r="O50" s="617">
        <v>201312</v>
      </c>
      <c r="P50" s="632" t="s">
        <v>35</v>
      </c>
      <c r="Q50" s="623" t="s">
        <v>168</v>
      </c>
      <c r="S50" s="642"/>
    </row>
    <row r="51" spans="1:33">
      <c r="B51" s="617" t="s">
        <v>265</v>
      </c>
      <c r="D51" s="632"/>
      <c r="E51" s="632"/>
      <c r="F51" s="632"/>
      <c r="G51" s="632"/>
      <c r="H51" s="632"/>
      <c r="I51" s="632"/>
      <c r="J51" s="632"/>
      <c r="K51" s="632"/>
      <c r="L51" s="632"/>
      <c r="M51" s="632"/>
      <c r="N51" s="632"/>
      <c r="O51" s="632"/>
      <c r="P51" s="632"/>
      <c r="Q51" s="623"/>
      <c r="S51" s="642"/>
    </row>
    <row r="52" spans="1:33">
      <c r="C52" s="4" t="s">
        <v>48</v>
      </c>
      <c r="D52" s="632">
        <f>D6+Q6+Temperature!G10*1000</f>
        <v>17036757.84074631</v>
      </c>
      <c r="E52" s="632">
        <f>E6+R6+Temperature!G11*1000</f>
        <v>15110553.466817489</v>
      </c>
      <c r="F52" s="632">
        <f>F6+S6+Temperature!G12*1000</f>
        <v>11994128.595619541</v>
      </c>
      <c r="G52" s="632">
        <f>G6+T6+Temperature!G13*1000</f>
        <v>9228700.5463196747</v>
      </c>
      <c r="H52" s="632">
        <f>H6+U6+Temperature!G14*1000</f>
        <v>7512763.8357593929</v>
      </c>
      <c r="I52" s="632">
        <f>I6+V6+Temperature!G15*1000</f>
        <v>7219460.1627162555</v>
      </c>
      <c r="J52" s="632">
        <f>J6+W6+Temperature!G16*1000</f>
        <v>7226144.8976618536</v>
      </c>
      <c r="K52" s="632">
        <f>K6+X6+Temperature!G17*1000</f>
        <v>9647192.1881089285</v>
      </c>
      <c r="L52" s="632">
        <f>L6+Y6+Temperature!G18*1000</f>
        <v>8777557.0737257432</v>
      </c>
      <c r="M52" s="632">
        <f>M6+Z6+Temperature!G19*1000</f>
        <v>7869584.398823183</v>
      </c>
      <c r="N52" s="632">
        <f>N6+AA6+Temperature!G20*1000</f>
        <v>9461921.0725303628</v>
      </c>
      <c r="O52" s="632">
        <f>O6+AB6+Temperature!G21*1000</f>
        <v>15801152.56116738</v>
      </c>
      <c r="P52" s="632">
        <f t="shared" ref="P52:P57" si="48">SUM(D52:O52)</f>
        <v>126885916.63999613</v>
      </c>
      <c r="Q52" s="623">
        <f t="shared" ref="Q52:Q57" si="49">AE6</f>
        <v>126885916.63999611</v>
      </c>
      <c r="R52" s="643">
        <f t="shared" ref="R52:R58" si="50">Q52-P52</f>
        <v>0</v>
      </c>
      <c r="S52" s="642"/>
    </row>
    <row r="53" spans="1:33">
      <c r="C53" s="4" t="s">
        <v>93</v>
      </c>
      <c r="D53" s="632">
        <f>D7+Q7+Temperature!G28*1000</f>
        <v>715751.74006202922</v>
      </c>
      <c r="E53" s="632">
        <f>E7+R7+Temperature!G29*1000</f>
        <v>685895.44934749184</v>
      </c>
      <c r="F53" s="632">
        <f>F7+S7+Temperature!G30*1000</f>
        <v>584066.65270303132</v>
      </c>
      <c r="G53" s="632">
        <f>G7+T7+Temperature!G31*1000</f>
        <v>461942.28106154641</v>
      </c>
      <c r="H53" s="632">
        <f>H7+U7+Temperature!G32*1000</f>
        <v>352590.7265994823</v>
      </c>
      <c r="I53" s="632">
        <f>I7+V7+Temperature!G33*1000</f>
        <v>285415.79921572423</v>
      </c>
      <c r="J53" s="632">
        <f>J7+W7+Temperature!G34*1000</f>
        <v>239826.66206515493</v>
      </c>
      <c r="K53" s="632">
        <f>K7+X7+Temperature!G35*1000</f>
        <v>309880.8387202525</v>
      </c>
      <c r="L53" s="632">
        <f>L7+Y7+Temperature!G36*1000</f>
        <v>278832.97839293123</v>
      </c>
      <c r="M53" s="632">
        <f>M7+Z7+Temperature!G37*1000</f>
        <v>305928.99890625937</v>
      </c>
      <c r="N53" s="632">
        <f>N7+AA7+Temperature!G38*1000</f>
        <v>428567.16773754399</v>
      </c>
      <c r="O53" s="632">
        <f>O7+AB7+Temperature!G39*1000</f>
        <v>753569.37295355741</v>
      </c>
      <c r="P53" s="632">
        <f t="shared" si="48"/>
        <v>5402268.6677650036</v>
      </c>
      <c r="Q53" s="623">
        <f t="shared" si="49"/>
        <v>5402268.6677650036</v>
      </c>
      <c r="R53" s="643">
        <f t="shared" si="50"/>
        <v>0</v>
      </c>
      <c r="S53" s="642"/>
    </row>
    <row r="54" spans="1:33">
      <c r="C54" s="4" t="s">
        <v>49</v>
      </c>
      <c r="D54" s="1068">
        <f>D8+Q8+Temperature!G46*1000</f>
        <v>23050.986150425484</v>
      </c>
      <c r="E54" s="1068">
        <f>E8+R8+Temperature!G47*1000</f>
        <v>20453.807967872359</v>
      </c>
      <c r="F54" s="1068">
        <f>F8+S8+Temperature!G48*1000</f>
        <v>17655.509235528851</v>
      </c>
      <c r="G54" s="1068">
        <f>G8+T8+Temperature!G49*1000</f>
        <v>15003.929198379401</v>
      </c>
      <c r="H54" s="1068">
        <f>H8+U8+Temperature!G50*1000</f>
        <v>14049.888089849948</v>
      </c>
      <c r="I54" s="1068">
        <f>I8+V8+Temperature!G51*1000</f>
        <v>14386.984493840047</v>
      </c>
      <c r="J54" s="1068">
        <f>J8+W8+Temperature!G52*1000</f>
        <v>12891.509100016752</v>
      </c>
      <c r="K54" s="1068">
        <f>K8+X8+Temperature!G53*1000</f>
        <v>17524.501922675165</v>
      </c>
      <c r="L54" s="1068">
        <f>L8+Y8+Temperature!G54*1000</f>
        <v>16479.025893077152</v>
      </c>
      <c r="M54" s="1068">
        <f>M8+Z8+Temperature!G55*1000</f>
        <v>14308.014735850826</v>
      </c>
      <c r="N54" s="1068">
        <f>N8+AA8+Temperature!G56*1000</f>
        <v>15440.28817410744</v>
      </c>
      <c r="O54" s="1068">
        <f>O8+AB8+Temperature!G57*1000</f>
        <v>22102.057236430868</v>
      </c>
      <c r="P54" s="632">
        <f t="shared" si="48"/>
        <v>203346.50219805431</v>
      </c>
      <c r="Q54" s="623">
        <f t="shared" si="49"/>
        <v>203346.50219805428</v>
      </c>
      <c r="R54" s="643">
        <f t="shared" si="50"/>
        <v>0</v>
      </c>
      <c r="S54" s="642"/>
    </row>
    <row r="55" spans="1:33">
      <c r="C55" s="7" t="s">
        <v>162</v>
      </c>
      <c r="D55" s="632">
        <f t="shared" ref="D55:O55" si="51">D9+Q9</f>
        <v>3956.5482370036875</v>
      </c>
      <c r="E55" s="632">
        <f t="shared" si="51"/>
        <v>3337.8807537105699</v>
      </c>
      <c r="F55" s="632">
        <f t="shared" si="51"/>
        <v>2829.2935448628659</v>
      </c>
      <c r="G55" s="632">
        <f t="shared" si="51"/>
        <v>2609.4743364071214</v>
      </c>
      <c r="H55" s="632">
        <f t="shared" si="51"/>
        <v>2538.8064876159669</v>
      </c>
      <c r="I55" s="632">
        <f t="shared" si="51"/>
        <v>2913.3883954977241</v>
      </c>
      <c r="J55" s="632">
        <f t="shared" si="51"/>
        <v>4186.2929834271372</v>
      </c>
      <c r="K55" s="632">
        <f t="shared" si="51"/>
        <v>4299.1815423946482</v>
      </c>
      <c r="L55" s="632">
        <f t="shared" si="51"/>
        <v>3283.575829694897</v>
      </c>
      <c r="M55" s="632">
        <f t="shared" si="51"/>
        <v>2511.165596625724</v>
      </c>
      <c r="N55" s="632">
        <f t="shared" si="51"/>
        <v>2844.04565095318</v>
      </c>
      <c r="O55" s="632">
        <f t="shared" si="51"/>
        <v>4304.1202287993992</v>
      </c>
      <c r="P55" s="632">
        <f t="shared" si="48"/>
        <v>39613.773586992924</v>
      </c>
      <c r="Q55" s="623">
        <f t="shared" si="49"/>
        <v>39613.773586992924</v>
      </c>
      <c r="R55" s="643">
        <f t="shared" si="50"/>
        <v>0</v>
      </c>
      <c r="S55" s="642"/>
    </row>
    <row r="56" spans="1:33">
      <c r="C56" s="4" t="s">
        <v>50</v>
      </c>
      <c r="D56" s="632">
        <f t="shared" ref="D56:O56" si="52">D10+Q10</f>
        <v>12830.356120369226</v>
      </c>
      <c r="E56" s="632">
        <f t="shared" si="52"/>
        <v>12811.999317044361</v>
      </c>
      <c r="F56" s="632">
        <f t="shared" si="52"/>
        <v>12836.770101461971</v>
      </c>
      <c r="G56" s="632">
        <f t="shared" si="52"/>
        <v>12814.526978263802</v>
      </c>
      <c r="H56" s="632">
        <f t="shared" si="52"/>
        <v>12818.221478344856</v>
      </c>
      <c r="I56" s="632">
        <f t="shared" si="52"/>
        <v>12823.366121617111</v>
      </c>
      <c r="J56" s="632">
        <f t="shared" si="52"/>
        <v>12843.605925466472</v>
      </c>
      <c r="K56" s="632">
        <f t="shared" si="52"/>
        <v>12802.774566873326</v>
      </c>
      <c r="L56" s="632">
        <f t="shared" si="52"/>
        <v>12794.315009791038</v>
      </c>
      <c r="M56" s="632">
        <f t="shared" si="52"/>
        <v>12718.329934397645</v>
      </c>
      <c r="N56" s="632">
        <f t="shared" si="52"/>
        <v>12738.069653963321</v>
      </c>
      <c r="O56" s="632">
        <f t="shared" si="52"/>
        <v>12739.560884100705</v>
      </c>
      <c r="P56" s="632">
        <f t="shared" si="48"/>
        <v>153571.89609169384</v>
      </c>
      <c r="Q56" s="623">
        <f t="shared" si="49"/>
        <v>153571.89609169384</v>
      </c>
      <c r="R56" s="643">
        <f t="shared" si="50"/>
        <v>0</v>
      </c>
      <c r="S56" s="642"/>
    </row>
    <row r="57" spans="1:33">
      <c r="C57" s="627" t="s">
        <v>51</v>
      </c>
      <c r="D57" s="632">
        <f>D11+Q11+Temperature!V63*1000</f>
        <v>49418.828241581294</v>
      </c>
      <c r="E57" s="632">
        <f>E11+R11+Temperature!V64*1000</f>
        <v>61735.376525096282</v>
      </c>
      <c r="F57" s="632">
        <f>F11+S11+Temperature!V65*1000</f>
        <v>55432.153240643529</v>
      </c>
      <c r="G57" s="632">
        <f>G11+T11+Temperature!V66*1000</f>
        <v>49654.609682249742</v>
      </c>
      <c r="H57" s="632">
        <f>H11+U11+Temperature!V67*1000</f>
        <v>49827.326675901866</v>
      </c>
      <c r="I57" s="632">
        <f>I11+V11+Temperature!V68*1000</f>
        <v>52113.229496792053</v>
      </c>
      <c r="J57" s="632">
        <f>J11+W11+Temperature!V69*1000</f>
        <v>55478.839764434189</v>
      </c>
      <c r="K57" s="632">
        <f>K11+X11+Temperature!V70*1000</f>
        <v>64647.565047622033</v>
      </c>
      <c r="L57" s="632">
        <f>L11+Y11+Temperature!V71*1000</f>
        <v>69393.838049164216</v>
      </c>
      <c r="M57" s="632">
        <f>M11+Z11+Temperature!V72*1000</f>
        <v>67643.743010142556</v>
      </c>
      <c r="N57" s="632">
        <f>N11+AA11+Temperature!V73*1000</f>
        <v>83660.282058092111</v>
      </c>
      <c r="O57" s="632">
        <f>O11+AB11+Temperature!V74*1000</f>
        <v>121281.52107226958</v>
      </c>
      <c r="P57" s="632">
        <f t="shared" si="48"/>
        <v>780287.31286398938</v>
      </c>
      <c r="Q57" s="623">
        <f t="shared" si="49"/>
        <v>780287.3128639895</v>
      </c>
      <c r="R57" s="643">
        <f t="shared" ref="R57" si="53">Q57-P57</f>
        <v>0</v>
      </c>
      <c r="S57" s="642"/>
    </row>
    <row r="58" spans="1:33">
      <c r="B58" s="617" t="s">
        <v>265</v>
      </c>
      <c r="C58" s="5"/>
      <c r="D58" s="644">
        <f>SUM(D52:D57)</f>
        <v>17841766.299557719</v>
      </c>
      <c r="E58" s="644">
        <f t="shared" ref="E58:P58" si="54">SUM(E52:E57)</f>
        <v>15894787.980728706</v>
      </c>
      <c r="F58" s="644">
        <f t="shared" si="54"/>
        <v>12666948.974445069</v>
      </c>
      <c r="G58" s="644">
        <f t="shared" si="54"/>
        <v>9770725.367576519</v>
      </c>
      <c r="H58" s="644">
        <f t="shared" si="54"/>
        <v>7944588.8050905876</v>
      </c>
      <c r="I58" s="644">
        <f t="shared" si="54"/>
        <v>7587112.9304397264</v>
      </c>
      <c r="J58" s="644">
        <f t="shared" si="54"/>
        <v>7551371.8075003531</v>
      </c>
      <c r="K58" s="644">
        <f t="shared" si="54"/>
        <v>10056347.049908746</v>
      </c>
      <c r="L58" s="644">
        <f t="shared" si="54"/>
        <v>9158340.8069004007</v>
      </c>
      <c r="M58" s="644">
        <f t="shared" si="54"/>
        <v>8272694.6510064593</v>
      </c>
      <c r="N58" s="644">
        <f t="shared" si="54"/>
        <v>10005170.925805023</v>
      </c>
      <c r="O58" s="644">
        <f t="shared" si="54"/>
        <v>16715149.19354254</v>
      </c>
      <c r="P58" s="644">
        <f t="shared" si="54"/>
        <v>133465004.79250187</v>
      </c>
      <c r="Q58" s="623">
        <f>SUM(Q52:Q57)</f>
        <v>133465004.79250185</v>
      </c>
      <c r="R58" s="643">
        <f t="shared" si="50"/>
        <v>0</v>
      </c>
      <c r="S58" s="642"/>
    </row>
    <row r="59" spans="1:33">
      <c r="B59" t="s">
        <v>272</v>
      </c>
      <c r="C59" s="5"/>
      <c r="D59" s="644"/>
      <c r="E59" s="644"/>
      <c r="F59" s="644"/>
      <c r="G59" s="644"/>
      <c r="H59" s="644"/>
      <c r="I59" s="644"/>
      <c r="J59" s="644"/>
      <c r="K59" s="644"/>
      <c r="L59" s="644"/>
      <c r="M59" s="644"/>
      <c r="N59" s="644"/>
      <c r="O59" s="644"/>
      <c r="P59" s="644"/>
      <c r="Q59" s="623"/>
      <c r="R59" s="643"/>
      <c r="S59" s="642"/>
    </row>
    <row r="60" spans="1:33">
      <c r="C60" s="627" t="s">
        <v>51</v>
      </c>
      <c r="D60" s="1068">
        <f>D14+Q14+Temperature!I63*1000</f>
        <v>4059682.7309409138</v>
      </c>
      <c r="E60" s="1068">
        <f>E14+R14+Temperature!I64*1000</f>
        <v>3822088.1069034594</v>
      </c>
      <c r="F60" s="1068">
        <f>F14+S14+Temperature!I65*1000</f>
        <v>3489584.0905882418</v>
      </c>
      <c r="G60" s="1068">
        <f>G14+T14+Temperature!I66*1000</f>
        <v>3266601.3064850974</v>
      </c>
      <c r="H60" s="1068">
        <f>H14+U14+Temperature!I67*1000</f>
        <v>3201667.247194137</v>
      </c>
      <c r="I60" s="1068">
        <f>I14+V14+Temperature!I68*1000</f>
        <v>3305537.1761143785</v>
      </c>
      <c r="J60" s="1068">
        <f>J14+W14+Temperature!I69*1000</f>
        <v>3388699.5683049383</v>
      </c>
      <c r="K60" s="1068">
        <f>K14+X14+Temperature!I70*1000</f>
        <v>3888263.0648629605</v>
      </c>
      <c r="L60" s="1068">
        <f>L14+Y14+Temperature!I71*1000</f>
        <v>3794252.7280306551</v>
      </c>
      <c r="M60" s="1068">
        <f>M14+Z14+Temperature!I72*1000</f>
        <v>3529767.4626909993</v>
      </c>
      <c r="N60" s="1068">
        <f>N14+AA14+Temperature!I73*1000</f>
        <v>3365502.7203879342</v>
      </c>
      <c r="O60" s="1068">
        <f>O14+AB14+Temperature!I74*1000</f>
        <v>4180266.4130434175</v>
      </c>
      <c r="P60" s="632">
        <f t="shared" ref="P60:P67" si="55">SUM(D60:O60)</f>
        <v>43291912.615547135</v>
      </c>
      <c r="Q60" s="623">
        <f t="shared" ref="Q60:Q68" si="56">AE14</f>
        <v>43291912.615547135</v>
      </c>
      <c r="R60" s="643">
        <f>Q60-P60</f>
        <v>0</v>
      </c>
      <c r="S60" s="642"/>
    </row>
    <row r="61" spans="1:33">
      <c r="C61" s="627" t="s">
        <v>52</v>
      </c>
      <c r="D61" s="632">
        <f t="shared" ref="D61:O61" si="57">D15+Q15</f>
        <v>13069.183275483554</v>
      </c>
      <c r="E61" s="632">
        <f t="shared" si="57"/>
        <v>13068.890292991762</v>
      </c>
      <c r="F61" s="632">
        <f t="shared" si="57"/>
        <v>13069.183275483554</v>
      </c>
      <c r="G61" s="632">
        <f t="shared" si="57"/>
        <v>13069.183275483554</v>
      </c>
      <c r="H61" s="632">
        <f t="shared" si="57"/>
        <v>13069.183275483554</v>
      </c>
      <c r="I61" s="632">
        <f t="shared" si="57"/>
        <v>13069.183275483554</v>
      </c>
      <c r="J61" s="632">
        <f t="shared" si="57"/>
        <v>13069.86856970434</v>
      </c>
      <c r="K61" s="632">
        <f t="shared" si="57"/>
        <v>13069.180254564119</v>
      </c>
      <c r="L61" s="632">
        <f t="shared" si="57"/>
        <v>13069.180254564119</v>
      </c>
      <c r="M61" s="632">
        <f t="shared" si="57"/>
        <v>13069.180254564119</v>
      </c>
      <c r="N61" s="632">
        <f t="shared" si="57"/>
        <v>13069.180254564119</v>
      </c>
      <c r="O61" s="632">
        <f t="shared" si="57"/>
        <v>13069.171152052226</v>
      </c>
      <c r="P61" s="632">
        <f t="shared" si="55"/>
        <v>156830.56741042261</v>
      </c>
      <c r="Q61" s="623">
        <f t="shared" si="56"/>
        <v>156830.56741042255</v>
      </c>
      <c r="R61" s="643">
        <f>Q61-P61</f>
        <v>0</v>
      </c>
      <c r="S61" s="642"/>
    </row>
    <row r="62" spans="1:33">
      <c r="C62" s="628" t="s">
        <v>57</v>
      </c>
      <c r="D62" s="632">
        <f t="shared" ref="D62:O62" si="58">D16+Q16</f>
        <v>12080.255425826557</v>
      </c>
      <c r="E62" s="632">
        <f t="shared" si="58"/>
        <v>525.98333316354979</v>
      </c>
      <c r="F62" s="632">
        <f t="shared" si="58"/>
        <v>5298.5634337982183</v>
      </c>
      <c r="G62" s="632">
        <f t="shared" si="58"/>
        <v>16714.362755932099</v>
      </c>
      <c r="H62" s="632">
        <f t="shared" si="58"/>
        <v>18180.977281022562</v>
      </c>
      <c r="I62" s="632">
        <f t="shared" si="58"/>
        <v>2779.7541998734055</v>
      </c>
      <c r="J62" s="632">
        <f t="shared" si="58"/>
        <v>3935.8660296029843</v>
      </c>
      <c r="K62" s="632">
        <f t="shared" si="58"/>
        <v>777.87360875301397</v>
      </c>
      <c r="L62" s="632">
        <f t="shared" si="58"/>
        <v>655.73300335092733</v>
      </c>
      <c r="M62" s="632">
        <f t="shared" si="58"/>
        <v>2231.9843291215011</v>
      </c>
      <c r="N62" s="632">
        <f t="shared" si="58"/>
        <v>49691.052488512571</v>
      </c>
      <c r="O62" s="632">
        <f t="shared" si="58"/>
        <v>602.5831072354265</v>
      </c>
      <c r="P62" s="632">
        <f t="shared" si="55"/>
        <v>113474.98899619281</v>
      </c>
      <c r="Q62" s="623">
        <f t="shared" si="56"/>
        <v>113474.98899619281</v>
      </c>
      <c r="R62" s="643">
        <f>Q62-P62</f>
        <v>0</v>
      </c>
      <c r="S62" s="642"/>
    </row>
    <row r="63" spans="1:33">
      <c r="A63" s="615" t="s">
        <v>31</v>
      </c>
      <c r="C63" s="627" t="s">
        <v>273</v>
      </c>
      <c r="D63" s="632">
        <f>D17+Q17</f>
        <v>0</v>
      </c>
      <c r="E63" s="632">
        <v>0</v>
      </c>
      <c r="F63" s="632">
        <v>0</v>
      </c>
      <c r="G63" s="632">
        <v>0</v>
      </c>
      <c r="H63" s="632">
        <v>0</v>
      </c>
      <c r="I63" s="632">
        <v>0</v>
      </c>
      <c r="J63" s="632">
        <v>0</v>
      </c>
      <c r="K63" s="632">
        <v>0</v>
      </c>
      <c r="L63" s="632">
        <v>0</v>
      </c>
      <c r="M63" s="632">
        <v>0</v>
      </c>
      <c r="N63" s="632">
        <v>0</v>
      </c>
      <c r="O63" s="632">
        <v>0</v>
      </c>
      <c r="P63" s="621">
        <f t="shared" si="55"/>
        <v>0</v>
      </c>
      <c r="Q63" s="623">
        <f t="shared" si="56"/>
        <v>0</v>
      </c>
      <c r="R63" s="622">
        <f t="shared" ref="R63:AB63" si="59">E63/$P$22*$AC$23</f>
        <v>0</v>
      </c>
      <c r="S63" s="622">
        <f t="shared" si="59"/>
        <v>0</v>
      </c>
      <c r="T63" s="622">
        <f t="shared" si="59"/>
        <v>0</v>
      </c>
      <c r="U63" s="622">
        <f t="shared" si="59"/>
        <v>0</v>
      </c>
      <c r="V63" s="622">
        <f t="shared" si="59"/>
        <v>0</v>
      </c>
      <c r="W63" s="622">
        <f t="shared" si="59"/>
        <v>0</v>
      </c>
      <c r="X63" s="622">
        <f t="shared" si="59"/>
        <v>0</v>
      </c>
      <c r="Y63" s="622">
        <f t="shared" si="59"/>
        <v>0</v>
      </c>
      <c r="Z63" s="622">
        <f t="shared" si="59"/>
        <v>0</v>
      </c>
      <c r="AA63" s="622">
        <f t="shared" si="59"/>
        <v>0</v>
      </c>
      <c r="AB63" s="622">
        <f t="shared" si="59"/>
        <v>0</v>
      </c>
      <c r="AC63" s="473">
        <f>SUM(Q63:AB63)</f>
        <v>0</v>
      </c>
      <c r="AE63" s="105">
        <f>P63+AC63+AD63</f>
        <v>0</v>
      </c>
      <c r="AF63" s="623">
        <v>0</v>
      </c>
      <c r="AG63" s="624">
        <f>AF63-AE63</f>
        <v>0</v>
      </c>
    </row>
    <row r="64" spans="1:33">
      <c r="C64" s="627" t="s">
        <v>53</v>
      </c>
      <c r="D64" s="632">
        <f>D18+Q18+Temperature!G98*1000</f>
        <v>4804027.465336388</v>
      </c>
      <c r="E64" s="632">
        <f>E18+R18+Temperature!G99*1000</f>
        <v>4564754.8023406127</v>
      </c>
      <c r="F64" s="632">
        <f>F18+S18+Temperature!G100*1000</f>
        <v>4337090.1804309152</v>
      </c>
      <c r="G64" s="632">
        <f>G18+T18+Temperature!G101*1000</f>
        <v>4209152.5997054791</v>
      </c>
      <c r="H64" s="632">
        <f>H18+U18+Temperature!G102*1000</f>
        <v>4209709.5483719045</v>
      </c>
      <c r="I64" s="632">
        <f>I18+V18+Temperature!G103*1000</f>
        <v>4344141.2061934089</v>
      </c>
      <c r="J64" s="632">
        <f>J18+W18+Temperature!G104*1000</f>
        <v>4339980.7336101122</v>
      </c>
      <c r="K64" s="632">
        <f>K18+X18+Temperature!G105*1000</f>
        <v>4695670.6198982606</v>
      </c>
      <c r="L64" s="632">
        <f>L18+Y18+Temperature!G106*1000</f>
        <v>5143084.5766103389</v>
      </c>
      <c r="M64" s="632">
        <f>M18+Z18+Temperature!G107*1000</f>
        <v>5213241.8131393725</v>
      </c>
      <c r="N64" s="632">
        <f>N18+AA18+Temperature!G108*1000</f>
        <v>4880078.1629121425</v>
      </c>
      <c r="O64" s="632">
        <f>O18+AB18+Temperature!G109*1000</f>
        <v>4914881.375297891</v>
      </c>
      <c r="P64" s="632">
        <f t="shared" si="55"/>
        <v>55655813.08384683</v>
      </c>
      <c r="Q64" s="623">
        <f t="shared" si="56"/>
        <v>55655813.083846822</v>
      </c>
      <c r="R64" s="643">
        <f>Q64-P64</f>
        <v>0</v>
      </c>
      <c r="S64" s="642"/>
    </row>
    <row r="65" spans="2:19">
      <c r="C65" s="627" t="s">
        <v>54</v>
      </c>
      <c r="D65" s="632">
        <f>D19+Q19+(Temperature!D115+Temperature!H115)*1000</f>
        <v>819875.67961245112</v>
      </c>
      <c r="E65" s="632">
        <f>E19+R19+(Temperature!D116+Temperature!H116)*1000</f>
        <v>801589.62507016247</v>
      </c>
      <c r="F65" s="632">
        <f>F19+S19+(Temperature!D117+Temperature!H117)*1000</f>
        <v>834927.64559697825</v>
      </c>
      <c r="G65" s="632">
        <f>G19+T19+(Temperature!D118+Temperature!H118)*1000</f>
        <v>809511.42582622787</v>
      </c>
      <c r="H65" s="632">
        <f>H19+U19+(Temperature!D119+Temperature!H119)*1000</f>
        <v>796543.52550452156</v>
      </c>
      <c r="I65" s="632">
        <f>I19+V19+(Temperature!D120+Temperature!H120)*1000</f>
        <v>826142.69919342222</v>
      </c>
      <c r="J65" s="632">
        <f>J19+W19+(Temperature!D121+Temperature!H121)*1000</f>
        <v>894604.72911919351</v>
      </c>
      <c r="K65" s="632">
        <f>K19+X19+(Temperature!D122+Temperature!H122)*1000</f>
        <v>926359.68632914801</v>
      </c>
      <c r="L65" s="632">
        <f>L19+Y19+(Temperature!D123+Temperature!H123)*1000</f>
        <v>1066996.6691870794</v>
      </c>
      <c r="M65" s="632">
        <f>M19+Z19+(Temperature!D124+Temperature!H124)*1000</f>
        <v>1102629.1624331702</v>
      </c>
      <c r="N65" s="632">
        <f>N19+AA19+(Temperature!D125+Temperature!H125)*1000</f>
        <v>1006492.0156981652</v>
      </c>
      <c r="O65" s="632">
        <f>O19+AB19+(Temperature!D126+Temperature!H126)*1000</f>
        <v>998540.44074689911</v>
      </c>
      <c r="P65" s="632">
        <f t="shared" si="55"/>
        <v>10884213.304317418</v>
      </c>
      <c r="Q65" s="623">
        <f t="shared" si="56"/>
        <v>10884213.304317418</v>
      </c>
      <c r="R65" s="643">
        <f>Q65-P65</f>
        <v>0</v>
      </c>
      <c r="S65" s="642"/>
    </row>
    <row r="66" spans="2:19">
      <c r="C66" s="627" t="s">
        <v>55</v>
      </c>
      <c r="D66" s="632">
        <f t="shared" ref="D66:O67" si="60">D20+Q20</f>
        <v>24800.794681006082</v>
      </c>
      <c r="E66" s="632">
        <f t="shared" si="60"/>
        <v>24678.690518023453</v>
      </c>
      <c r="F66" s="632">
        <f t="shared" si="60"/>
        <v>24658.527715655531</v>
      </c>
      <c r="G66" s="632">
        <f t="shared" si="60"/>
        <v>24638.334538139552</v>
      </c>
      <c r="H66" s="632">
        <f t="shared" si="60"/>
        <v>24621.112438219527</v>
      </c>
      <c r="I66" s="632">
        <f t="shared" si="60"/>
        <v>24713.196233431085</v>
      </c>
      <c r="J66" s="632">
        <f t="shared" si="60"/>
        <v>24732.061004412739</v>
      </c>
      <c r="K66" s="632">
        <f t="shared" si="60"/>
        <v>24760.96182163294</v>
      </c>
      <c r="L66" s="632">
        <f t="shared" si="60"/>
        <v>24750.130221876312</v>
      </c>
      <c r="M66" s="632">
        <f t="shared" si="60"/>
        <v>24669.331678635939</v>
      </c>
      <c r="N66" s="632">
        <f t="shared" si="60"/>
        <v>24562.094366365527</v>
      </c>
      <c r="O66" s="632">
        <f t="shared" si="60"/>
        <v>24448.867320493606</v>
      </c>
      <c r="P66" s="632">
        <f t="shared" si="55"/>
        <v>296034.10253789235</v>
      </c>
      <c r="Q66" s="623">
        <f t="shared" si="56"/>
        <v>296034.10253789229</v>
      </c>
      <c r="R66" s="643">
        <f>Q66-P66</f>
        <v>0</v>
      </c>
      <c r="S66" s="642"/>
    </row>
    <row r="67" spans="2:19">
      <c r="C67" s="627" t="s">
        <v>56</v>
      </c>
      <c r="D67" s="632">
        <f t="shared" si="60"/>
        <v>1919.7001519035373</v>
      </c>
      <c r="E67" s="632">
        <f t="shared" si="60"/>
        <v>1976.3366520285915</v>
      </c>
      <c r="F67" s="632">
        <f t="shared" si="60"/>
        <v>3789.9371884499596</v>
      </c>
      <c r="G67" s="632">
        <f t="shared" si="60"/>
        <v>1938.5709086478303</v>
      </c>
      <c r="H67" s="632">
        <f t="shared" si="60"/>
        <v>1792.2060104675118</v>
      </c>
      <c r="I67" s="632">
        <f t="shared" si="60"/>
        <v>1236.1973978112651</v>
      </c>
      <c r="J67" s="632">
        <f t="shared" si="60"/>
        <v>2748.6346790078915</v>
      </c>
      <c r="K67" s="632">
        <f t="shared" si="60"/>
        <v>1915.9972178837015</v>
      </c>
      <c r="L67" s="632">
        <f t="shared" si="60"/>
        <v>1756.1204689592628</v>
      </c>
      <c r="M67" s="632">
        <f t="shared" si="60"/>
        <v>2414.2366004123924</v>
      </c>
      <c r="N67" s="632">
        <f t="shared" si="60"/>
        <v>2628.4057645041762</v>
      </c>
      <c r="O67" s="632">
        <f t="shared" si="60"/>
        <v>1672.6399116968062</v>
      </c>
      <c r="P67" s="632">
        <f t="shared" si="55"/>
        <v>25788.982951772927</v>
      </c>
      <c r="Q67" s="623">
        <f t="shared" si="56"/>
        <v>25788.982951772927</v>
      </c>
      <c r="R67" s="643">
        <f>Q67-P67</f>
        <v>0</v>
      </c>
      <c r="S67" s="642"/>
    </row>
    <row r="68" spans="2:19">
      <c r="B68" t="s">
        <v>272</v>
      </c>
      <c r="C68" s="5"/>
      <c r="D68" s="644">
        <f t="shared" ref="D68:P68" si="61">SUM(D60:D67)</f>
        <v>9735455.8094239701</v>
      </c>
      <c r="E68" s="644">
        <f t="shared" si="61"/>
        <v>9228682.4351104423</v>
      </c>
      <c r="F68" s="644">
        <f t="shared" si="61"/>
        <v>8708418.1282295231</v>
      </c>
      <c r="G68" s="644">
        <f t="shared" si="61"/>
        <v>8341625.7834950071</v>
      </c>
      <c r="H68" s="644">
        <f t="shared" si="61"/>
        <v>8265583.8000757564</v>
      </c>
      <c r="I68" s="644">
        <f t="shared" si="61"/>
        <v>8517619.4126078077</v>
      </c>
      <c r="J68" s="644">
        <f t="shared" si="61"/>
        <v>8667771.461316973</v>
      </c>
      <c r="K68" s="644">
        <f t="shared" si="61"/>
        <v>9550817.3839932047</v>
      </c>
      <c r="L68" s="644">
        <f t="shared" si="61"/>
        <v>10044565.137776824</v>
      </c>
      <c r="M68" s="644">
        <f t="shared" si="61"/>
        <v>9888023.1711262763</v>
      </c>
      <c r="N68" s="644">
        <f t="shared" si="61"/>
        <v>9342023.6318721883</v>
      </c>
      <c r="O68" s="644">
        <f t="shared" si="61"/>
        <v>10133481.490579685</v>
      </c>
      <c r="P68" s="644">
        <f t="shared" si="61"/>
        <v>110424067.64560765</v>
      </c>
      <c r="Q68" s="623">
        <f t="shared" si="56"/>
        <v>110424067.64560765</v>
      </c>
      <c r="R68" s="643">
        <f>Q68-P68</f>
        <v>0</v>
      </c>
      <c r="S68" s="642"/>
    </row>
    <row r="69" spans="2:19">
      <c r="B69" t="s">
        <v>275</v>
      </c>
      <c r="C69" s="5"/>
      <c r="D69" s="644"/>
      <c r="E69" s="644"/>
      <c r="F69" s="644"/>
      <c r="G69" s="644"/>
      <c r="H69" s="644"/>
      <c r="I69" s="644"/>
      <c r="J69" s="644"/>
      <c r="K69" s="644"/>
      <c r="L69" s="644"/>
      <c r="M69" s="644"/>
      <c r="N69" s="644"/>
      <c r="O69" s="644"/>
      <c r="P69" s="644"/>
      <c r="Q69" s="623"/>
      <c r="R69" s="643"/>
      <c r="S69" s="642"/>
    </row>
    <row r="70" spans="2:19">
      <c r="C70" s="627" t="s">
        <v>51</v>
      </c>
      <c r="D70" s="632">
        <f t="shared" ref="D70:O77" ca="1" si="62">D24+Q24</f>
        <v>143005.57076002957</v>
      </c>
      <c r="E70" s="632">
        <f t="shared" ca="1" si="62"/>
        <v>134175.68098639793</v>
      </c>
      <c r="F70" s="632">
        <f t="shared" ca="1" si="62"/>
        <v>125569.55257719422</v>
      </c>
      <c r="G70" s="632">
        <f t="shared" ca="1" si="62"/>
        <v>112404.16623645579</v>
      </c>
      <c r="H70" s="632">
        <f t="shared" ca="1" si="62"/>
        <v>111137.89853996767</v>
      </c>
      <c r="I70" s="632">
        <f t="shared" ca="1" si="62"/>
        <v>115570.75313571985</v>
      </c>
      <c r="J70" s="632">
        <f t="shared" ca="1" si="62"/>
        <v>125305.03719992744</v>
      </c>
      <c r="K70" s="632">
        <f t="shared" ca="1" si="62"/>
        <v>129224.60361295282</v>
      </c>
      <c r="L70" s="632">
        <f t="shared" ca="1" si="62"/>
        <v>128987.39896709436</v>
      </c>
      <c r="M70" s="632">
        <f t="shared" ca="1" si="62"/>
        <v>131301.8294936012</v>
      </c>
      <c r="N70" s="632">
        <f t="shared" ca="1" si="62"/>
        <v>121137.72327280648</v>
      </c>
      <c r="O70" s="632">
        <f t="shared" ca="1" si="62"/>
        <v>152914.30094760653</v>
      </c>
      <c r="P70" s="632">
        <f t="shared" ref="P70:P77" ca="1" si="63">SUM(D70:O70)</f>
        <v>1530734.5157297538</v>
      </c>
      <c r="Q70" s="623">
        <f ca="1">AE24</f>
        <v>1530734.5157297538</v>
      </c>
      <c r="R70" s="643">
        <f t="shared" ref="R70:R78" ca="1" si="64">Q70-P70</f>
        <v>0</v>
      </c>
      <c r="S70" s="642"/>
    </row>
    <row r="71" spans="2:19">
      <c r="C71" s="627" t="s">
        <v>52</v>
      </c>
      <c r="D71" s="632">
        <f t="shared" ca="1" si="62"/>
        <v>636.23781590865099</v>
      </c>
      <c r="E71" s="632">
        <f t="shared" ca="1" si="62"/>
        <v>636.23781590865099</v>
      </c>
      <c r="F71" s="632">
        <f t="shared" ca="1" si="62"/>
        <v>636.23781590865099</v>
      </c>
      <c r="G71" s="632">
        <f t="shared" ca="1" si="62"/>
        <v>636.23781590865099</v>
      </c>
      <c r="H71" s="632">
        <f t="shared" ca="1" si="62"/>
        <v>636.23781590865099</v>
      </c>
      <c r="I71" s="632">
        <f t="shared" ca="1" si="62"/>
        <v>636.23781590865099</v>
      </c>
      <c r="J71" s="632">
        <f t="shared" ca="1" si="62"/>
        <v>636.23781590865099</v>
      </c>
      <c r="K71" s="632">
        <f t="shared" ca="1" si="62"/>
        <v>636.23781590865099</v>
      </c>
      <c r="L71" s="632">
        <f t="shared" ca="1" si="62"/>
        <v>636.23781590865099</v>
      </c>
      <c r="M71" s="632">
        <f t="shared" ca="1" si="62"/>
        <v>636.23781590865099</v>
      </c>
      <c r="N71" s="632">
        <f t="shared" ca="1" si="62"/>
        <v>636.23781590865099</v>
      </c>
      <c r="O71" s="632">
        <f t="shared" ca="1" si="62"/>
        <v>636.33334578155223</v>
      </c>
      <c r="P71" s="632">
        <f t="shared" ca="1" si="63"/>
        <v>7634.9493207767136</v>
      </c>
      <c r="Q71" s="623">
        <f ca="1">AE25</f>
        <v>7634.9493207767118</v>
      </c>
      <c r="R71" s="643">
        <f t="shared" ca="1" si="64"/>
        <v>0</v>
      </c>
      <c r="S71" s="642"/>
    </row>
    <row r="72" spans="2:19">
      <c r="C72" s="627" t="s">
        <v>57</v>
      </c>
      <c r="D72" s="632">
        <f t="shared" ca="1" si="62"/>
        <v>1.8150675851237532</v>
      </c>
      <c r="E72" s="632">
        <f t="shared" ca="1" si="62"/>
        <v>1.5284779664200026</v>
      </c>
      <c r="F72" s="632">
        <f t="shared" ca="1" si="62"/>
        <v>300.06901484735391</v>
      </c>
      <c r="G72" s="632">
        <f t="shared" ca="1" si="62"/>
        <v>409.30653435854771</v>
      </c>
      <c r="H72" s="632">
        <f t="shared" ca="1" si="62"/>
        <v>358.57463530200164</v>
      </c>
      <c r="I72" s="632">
        <f t="shared" ca="1" si="62"/>
        <v>203.76443634769774</v>
      </c>
      <c r="J72" s="632">
        <f t="shared" ca="1" si="62"/>
        <v>315.02506453933205</v>
      </c>
      <c r="K72" s="632">
        <f t="shared" ca="1" si="62"/>
        <v>108.66160134644522</v>
      </c>
      <c r="L72" s="632">
        <f t="shared" ca="1" si="62"/>
        <v>54.643087299515095</v>
      </c>
      <c r="M72" s="632">
        <f t="shared" ca="1" si="62"/>
        <v>32.193567167721305</v>
      </c>
      <c r="N72" s="632">
        <f t="shared" ca="1" si="62"/>
        <v>963.8310354652308</v>
      </c>
      <c r="O72" s="632">
        <f t="shared" ca="1" si="62"/>
        <v>1.8150675851237532</v>
      </c>
      <c r="P72" s="632">
        <f t="shared" ca="1" si="63"/>
        <v>2751.2275898105136</v>
      </c>
      <c r="Q72" s="623">
        <f ca="1">AE26</f>
        <v>2751.2275898105131</v>
      </c>
      <c r="R72" s="643">
        <f t="shared" ca="1" si="64"/>
        <v>0</v>
      </c>
      <c r="S72" s="642"/>
    </row>
    <row r="73" spans="2:19">
      <c r="C73" s="627" t="s">
        <v>53</v>
      </c>
      <c r="D73" s="632">
        <f t="shared" ca="1" si="62"/>
        <v>676634.57584620221</v>
      </c>
      <c r="E73" s="632">
        <f t="shared" ca="1" si="62"/>
        <v>627534.88654253772</v>
      </c>
      <c r="F73" s="632">
        <f t="shared" ca="1" si="62"/>
        <v>610424.486858294</v>
      </c>
      <c r="G73" s="632">
        <f t="shared" ca="1" si="62"/>
        <v>573394.30815547623</v>
      </c>
      <c r="H73" s="632">
        <f t="shared" ca="1" si="62"/>
        <v>559372.00339943811</v>
      </c>
      <c r="I73" s="632">
        <f t="shared" ca="1" si="62"/>
        <v>582186.8430946531</v>
      </c>
      <c r="J73" s="632">
        <f t="shared" ca="1" si="62"/>
        <v>607755.35928069835</v>
      </c>
      <c r="K73" s="632">
        <f t="shared" ca="1" si="62"/>
        <v>637020.77356907295</v>
      </c>
      <c r="L73" s="632">
        <f t="shared" ca="1" si="62"/>
        <v>716810.42929458886</v>
      </c>
      <c r="M73" s="632">
        <f t="shared" ca="1" si="62"/>
        <v>777111.09342784563</v>
      </c>
      <c r="N73" s="632">
        <f t="shared" ca="1" si="62"/>
        <v>701310.77986751101</v>
      </c>
      <c r="O73" s="632">
        <f t="shared" ca="1" si="62"/>
        <v>651839.54062545649</v>
      </c>
      <c r="P73" s="632">
        <f t="shared" ca="1" si="63"/>
        <v>7721395.0799617739</v>
      </c>
      <c r="Q73" s="623">
        <f t="shared" ref="Q73:Q78" ca="1" si="65">AE27</f>
        <v>7721395.0799617758</v>
      </c>
      <c r="R73" s="643">
        <f t="shared" ca="1" si="64"/>
        <v>0</v>
      </c>
      <c r="S73" s="642"/>
    </row>
    <row r="74" spans="2:19">
      <c r="C74" s="627" t="s">
        <v>165</v>
      </c>
      <c r="D74" s="632">
        <f t="shared" ca="1" si="62"/>
        <v>39726.673798914831</v>
      </c>
      <c r="E74" s="632">
        <f t="shared" ca="1" si="62"/>
        <v>17963.039764611302</v>
      </c>
      <c r="F74" s="632">
        <f t="shared" ca="1" si="62"/>
        <v>20317.304324347249</v>
      </c>
      <c r="G74" s="632">
        <f t="shared" ca="1" si="62"/>
        <v>17535.043240044302</v>
      </c>
      <c r="H74" s="632">
        <f t="shared" ca="1" si="62"/>
        <v>21855.994576995894</v>
      </c>
      <c r="I74" s="632">
        <f t="shared" ca="1" si="62"/>
        <v>20676.749410321991</v>
      </c>
      <c r="J74" s="632">
        <f t="shared" ca="1" si="62"/>
        <v>21347.023621968467</v>
      </c>
      <c r="K74" s="632">
        <f t="shared" ca="1" si="62"/>
        <v>20158.446538568394</v>
      </c>
      <c r="L74" s="632">
        <f t="shared" ca="1" si="62"/>
        <v>19057.417311247187</v>
      </c>
      <c r="M74" s="632">
        <f t="shared" ca="1" si="62"/>
        <v>28564.018910475446</v>
      </c>
      <c r="N74" s="632">
        <f t="shared" ca="1" si="62"/>
        <v>27779.179280907669</v>
      </c>
      <c r="O74" s="632">
        <f t="shared" ca="1" si="62"/>
        <v>22531.953789089697</v>
      </c>
      <c r="P74" s="632">
        <f t="shared" ca="1" si="63"/>
        <v>277512.84456749243</v>
      </c>
      <c r="Q74" s="623">
        <f t="shared" ca="1" si="65"/>
        <v>277512.84456749243</v>
      </c>
      <c r="R74" s="643">
        <f t="shared" ca="1" si="64"/>
        <v>0</v>
      </c>
      <c r="S74" s="642"/>
    </row>
    <row r="75" spans="2:19">
      <c r="C75" s="627" t="s">
        <v>585</v>
      </c>
      <c r="D75" s="632">
        <f t="shared" ca="1" si="62"/>
        <v>2020172.6383679274</v>
      </c>
      <c r="E75" s="632">
        <f t="shared" ca="1" si="62"/>
        <v>2053623.4025308248</v>
      </c>
      <c r="F75" s="632">
        <f t="shared" ca="1" si="62"/>
        <v>1890304.686664125</v>
      </c>
      <c r="G75" s="632">
        <f t="shared" ca="1" si="62"/>
        <v>1991555.8364148373</v>
      </c>
      <c r="H75" s="632">
        <f t="shared" ca="1" si="62"/>
        <v>1821515.9200177712</v>
      </c>
      <c r="I75" s="632">
        <f t="shared" ca="1" si="62"/>
        <v>1994371.1015735993</v>
      </c>
      <c r="J75" s="632">
        <f t="shared" ca="1" si="62"/>
        <v>1943304.2512670141</v>
      </c>
      <c r="K75" s="632">
        <f t="shared" ca="1" si="62"/>
        <v>1961994.104529097</v>
      </c>
      <c r="L75" s="632">
        <f t="shared" ca="1" si="62"/>
        <v>1977907.9766759947</v>
      </c>
      <c r="M75" s="632">
        <f t="shared" ca="1" si="62"/>
        <v>1913996.7505298201</v>
      </c>
      <c r="N75" s="632">
        <f t="shared" ca="1" si="62"/>
        <v>1982529.8872183068</v>
      </c>
      <c r="O75" s="632">
        <f t="shared" ca="1" si="62"/>
        <v>2010393.2591693008</v>
      </c>
      <c r="P75" s="632">
        <f t="shared" ca="1" si="63"/>
        <v>23561669.814958617</v>
      </c>
      <c r="Q75" s="623">
        <f t="shared" ca="1" si="65"/>
        <v>23561669.814958617</v>
      </c>
      <c r="R75" s="643">
        <f t="shared" ca="1" si="64"/>
        <v>0</v>
      </c>
      <c r="S75" s="642"/>
    </row>
    <row r="76" spans="2:19">
      <c r="C76" s="627" t="s">
        <v>54</v>
      </c>
      <c r="D76" s="632">
        <f t="shared" ca="1" si="62"/>
        <v>1057287.0659479899</v>
      </c>
      <c r="E76" s="632">
        <f t="shared" ca="1" si="62"/>
        <v>1084018.7044365476</v>
      </c>
      <c r="F76" s="632">
        <f t="shared" ca="1" si="62"/>
        <v>1120845.8459457343</v>
      </c>
      <c r="G76" s="632">
        <f t="shared" ca="1" si="62"/>
        <v>1110925.9154299791</v>
      </c>
      <c r="H76" s="632">
        <f t="shared" ca="1" si="62"/>
        <v>1156544.455602909</v>
      </c>
      <c r="I76" s="632">
        <f t="shared" ca="1" si="62"/>
        <v>1196464.7167862868</v>
      </c>
      <c r="J76" s="632">
        <f t="shared" ca="1" si="62"/>
        <v>1248324.7876835931</v>
      </c>
      <c r="K76" s="632">
        <f t="shared" ca="1" si="62"/>
        <v>1191225.9103470037</v>
      </c>
      <c r="L76" s="632">
        <f t="shared" ca="1" si="62"/>
        <v>1183373.2104672827</v>
      </c>
      <c r="M76" s="632">
        <f t="shared" ca="1" si="62"/>
        <v>1161025.355405634</v>
      </c>
      <c r="N76" s="632">
        <f t="shared" ca="1" si="62"/>
        <v>1150146.8173350729</v>
      </c>
      <c r="O76" s="632">
        <f t="shared" ca="1" si="62"/>
        <v>1129100.7788967702</v>
      </c>
      <c r="P76" s="632">
        <f t="shared" ca="1" si="63"/>
        <v>13789283.564284803</v>
      </c>
      <c r="Q76" s="623">
        <f t="shared" ca="1" si="65"/>
        <v>13789283.564284805</v>
      </c>
      <c r="R76" s="643">
        <f t="shared" ca="1" si="64"/>
        <v>0</v>
      </c>
      <c r="S76" s="642"/>
    </row>
    <row r="77" spans="2:19">
      <c r="C77" s="627" t="s">
        <v>55</v>
      </c>
      <c r="D77" s="632">
        <f t="shared" ca="1" si="62"/>
        <v>1580.5856911809221</v>
      </c>
      <c r="E77" s="632">
        <f t="shared" ca="1" si="62"/>
        <v>1584.5085943104757</v>
      </c>
      <c r="F77" s="632">
        <f t="shared" ca="1" si="62"/>
        <v>1584.5085943104757</v>
      </c>
      <c r="G77" s="632">
        <f t="shared" ca="1" si="62"/>
        <v>1584.5085943104757</v>
      </c>
      <c r="H77" s="632">
        <f t="shared" ca="1" si="62"/>
        <v>1585.1986092643015</v>
      </c>
      <c r="I77" s="632">
        <f t="shared" ca="1" si="62"/>
        <v>1584.5085943104757</v>
      </c>
      <c r="J77" s="632">
        <f t="shared" ca="1" si="62"/>
        <v>1584.5307907069835</v>
      </c>
      <c r="K77" s="632">
        <f t="shared" ca="1" si="62"/>
        <v>1584.5085943104757</v>
      </c>
      <c r="L77" s="632">
        <f t="shared" ca="1" si="62"/>
        <v>1584.5085943104757</v>
      </c>
      <c r="M77" s="632">
        <f t="shared" ca="1" si="62"/>
        <v>1584.5085943104757</v>
      </c>
      <c r="N77" s="632">
        <f t="shared" ca="1" si="62"/>
        <v>1584.5085943104757</v>
      </c>
      <c r="O77" s="632">
        <f t="shared" ca="1" si="62"/>
        <v>1584.5085943104757</v>
      </c>
      <c r="P77" s="632">
        <f t="shared" ca="1" si="63"/>
        <v>19010.892439946485</v>
      </c>
      <c r="Q77" s="623">
        <f t="shared" ca="1" si="65"/>
        <v>19010.892439946489</v>
      </c>
      <c r="R77" s="643">
        <f t="shared" ca="1" si="64"/>
        <v>0</v>
      </c>
      <c r="S77" s="642"/>
    </row>
    <row r="78" spans="2:19">
      <c r="B78" t="s">
        <v>275</v>
      </c>
      <c r="C78" s="627"/>
      <c r="D78" s="644">
        <f t="shared" ref="D78:P78" ca="1" si="66">SUM(D70:D77)</f>
        <v>3939045.1632957389</v>
      </c>
      <c r="E78" s="644">
        <f t="shared" ca="1" si="66"/>
        <v>3919537.9891491048</v>
      </c>
      <c r="F78" s="644">
        <f t="shared" ca="1" si="66"/>
        <v>3769982.691794761</v>
      </c>
      <c r="G78" s="644">
        <f t="shared" ca="1" si="66"/>
        <v>3808445.3224213701</v>
      </c>
      <c r="H78" s="644">
        <f t="shared" ca="1" si="66"/>
        <v>3673006.2831975566</v>
      </c>
      <c r="I78" s="644">
        <f t="shared" ca="1" si="66"/>
        <v>3911694.6748471479</v>
      </c>
      <c r="J78" s="644">
        <f t="shared" ca="1" si="66"/>
        <v>3948572.2527243565</v>
      </c>
      <c r="K78" s="644">
        <f t="shared" ca="1" si="66"/>
        <v>3941953.2466082606</v>
      </c>
      <c r="L78" s="644">
        <f t="shared" ca="1" si="66"/>
        <v>4028411.8222137266</v>
      </c>
      <c r="M78" s="644">
        <f t="shared" ca="1" si="66"/>
        <v>4014251.987744763</v>
      </c>
      <c r="N78" s="644">
        <f t="shared" ca="1" si="66"/>
        <v>3986088.9644202893</v>
      </c>
      <c r="O78" s="644">
        <f t="shared" ca="1" si="66"/>
        <v>3969002.4904359006</v>
      </c>
      <c r="P78" s="644">
        <f t="shared" ca="1" si="66"/>
        <v>46909992.888852976</v>
      </c>
      <c r="Q78" s="623">
        <f t="shared" ca="1" si="65"/>
        <v>46909992.888852984</v>
      </c>
      <c r="R78" s="643">
        <f t="shared" ca="1" si="64"/>
        <v>0</v>
      </c>
      <c r="S78" s="642"/>
    </row>
    <row r="79" spans="2:19">
      <c r="B79" t="s">
        <v>277</v>
      </c>
      <c r="C79" s="627"/>
      <c r="D79" s="644"/>
      <c r="E79" s="644"/>
      <c r="F79" s="644"/>
      <c r="G79" s="644"/>
      <c r="H79" s="644"/>
      <c r="I79" s="644"/>
      <c r="J79" s="644"/>
      <c r="K79" s="644"/>
      <c r="L79" s="644"/>
      <c r="M79" s="644"/>
      <c r="N79" s="644"/>
      <c r="O79" s="644"/>
      <c r="P79" s="644"/>
      <c r="Q79" s="623"/>
      <c r="R79" s="643"/>
      <c r="S79" s="642"/>
    </row>
    <row r="80" spans="2:19">
      <c r="C80" s="627" t="s">
        <v>58</v>
      </c>
      <c r="D80" s="632">
        <f ca="1">D34+Q34+Temperature!D80*1000</f>
        <v>27897.827357825761</v>
      </c>
      <c r="E80" s="632">
        <f ca="1">E34+R34+Temperature!D81*1000</f>
        <v>30662.4204118214</v>
      </c>
      <c r="F80" s="632">
        <f ca="1">F34+S34+Temperature!D82*1000</f>
        <v>70270.467212302945</v>
      </c>
      <c r="G80" s="632">
        <f ca="1">G34+T34+Temperature!D83*1000</f>
        <v>499309.43870352447</v>
      </c>
      <c r="H80" s="632">
        <f ca="1">H34+U34+Temperature!D84*1000</f>
        <v>1229545.5733732521</v>
      </c>
      <c r="I80" s="632">
        <f ca="1">I34+V34+Temperature!D85*1000</f>
        <v>1124825.7960208112</v>
      </c>
      <c r="J80" s="632">
        <f ca="1">J34+W34+Temperature!D86*1000</f>
        <v>1439876.1157453647</v>
      </c>
      <c r="K80" s="632">
        <f ca="1">K34+X34+Temperature!D87*1000</f>
        <v>2020771.1694174402</v>
      </c>
      <c r="L80" s="632">
        <f ca="1">L34+Y34+Temperature!D88*1000</f>
        <v>1526675.0878033945</v>
      </c>
      <c r="M80" s="632">
        <f ca="1">M34+Z34+Temperature!D89*1000</f>
        <v>970747.47880014498</v>
      </c>
      <c r="N80" s="632">
        <f ca="1">N34+AA34+Temperature!D90*1000</f>
        <v>2555900.096824294</v>
      </c>
      <c r="O80" s="632">
        <f ca="1">O34+AB34+Temperature!D91*1000</f>
        <v>42601.122955317012</v>
      </c>
      <c r="P80" s="632">
        <f ca="1">SUM(D80:O80)</f>
        <v>11539082.594625492</v>
      </c>
      <c r="Q80" s="623">
        <f ca="1">AE34</f>
        <v>11539082.594625492</v>
      </c>
      <c r="R80" s="643">
        <f ca="1">Q80-P80</f>
        <v>0</v>
      </c>
      <c r="S80" s="642"/>
    </row>
    <row r="81" spans="2:19">
      <c r="C81" s="627" t="s">
        <v>59</v>
      </c>
      <c r="D81" s="632">
        <f t="shared" ref="D81:O81" ca="1" si="67">D35+Q35</f>
        <v>3450.5135714233124</v>
      </c>
      <c r="E81" s="632">
        <f t="shared" ca="1" si="67"/>
        <v>2245.5306046195292</v>
      </c>
      <c r="F81" s="632">
        <f t="shared" ca="1" si="67"/>
        <v>1820.6994817534446</v>
      </c>
      <c r="G81" s="632">
        <f t="shared" ca="1" si="67"/>
        <v>19495.399895642655</v>
      </c>
      <c r="H81" s="632">
        <f t="shared" ca="1" si="67"/>
        <v>36272.096992533603</v>
      </c>
      <c r="I81" s="632">
        <f t="shared" ca="1" si="67"/>
        <v>43188.524652879511</v>
      </c>
      <c r="J81" s="632">
        <f t="shared" ca="1" si="67"/>
        <v>52174.464430299668</v>
      </c>
      <c r="K81" s="632">
        <f t="shared" ca="1" si="67"/>
        <v>66489.499939138026</v>
      </c>
      <c r="L81" s="632">
        <f t="shared" ca="1" si="67"/>
        <v>67643.05790305468</v>
      </c>
      <c r="M81" s="632">
        <f t="shared" ca="1" si="67"/>
        <v>41276.556009880631</v>
      </c>
      <c r="N81" s="632">
        <f t="shared" ca="1" si="67"/>
        <v>97932.509740640788</v>
      </c>
      <c r="O81" s="632">
        <f t="shared" ca="1" si="67"/>
        <v>4538.0261317878549</v>
      </c>
      <c r="P81" s="632">
        <f ca="1">SUM(D81:O81)</f>
        <v>436526.8793536537</v>
      </c>
      <c r="Q81" s="623">
        <f ca="1">AE35</f>
        <v>436526.8793536537</v>
      </c>
      <c r="R81" s="643">
        <f ca="1">Q81-P81</f>
        <v>0</v>
      </c>
      <c r="S81" s="642"/>
    </row>
    <row r="82" spans="2:19">
      <c r="B82" t="s">
        <v>277</v>
      </c>
      <c r="C82" s="627"/>
      <c r="D82" s="644">
        <f t="shared" ref="D82:P82" ca="1" si="68">SUM(D80:D81)</f>
        <v>31348.340929249072</v>
      </c>
      <c r="E82" s="644">
        <f t="shared" ca="1" si="68"/>
        <v>32907.951016440929</v>
      </c>
      <c r="F82" s="644">
        <f t="shared" ca="1" si="68"/>
        <v>72091.166694056388</v>
      </c>
      <c r="G82" s="644">
        <f t="shared" ca="1" si="68"/>
        <v>518804.83859916712</v>
      </c>
      <c r="H82" s="644">
        <f t="shared" ca="1" si="68"/>
        <v>1265817.6703657857</v>
      </c>
      <c r="I82" s="644">
        <f t="shared" ca="1" si="68"/>
        <v>1168014.3206736906</v>
      </c>
      <c r="J82" s="644">
        <f t="shared" ca="1" si="68"/>
        <v>1492050.5801756643</v>
      </c>
      <c r="K82" s="644">
        <f t="shared" ca="1" si="68"/>
        <v>2087260.6693565783</v>
      </c>
      <c r="L82" s="644">
        <f t="shared" ca="1" si="68"/>
        <v>1594318.1457064492</v>
      </c>
      <c r="M82" s="644">
        <f t="shared" ca="1" si="68"/>
        <v>1012024.0348100256</v>
      </c>
      <c r="N82" s="644">
        <f t="shared" ca="1" si="68"/>
        <v>2653832.6065649348</v>
      </c>
      <c r="O82" s="644">
        <f t="shared" ca="1" si="68"/>
        <v>47139.149087104866</v>
      </c>
      <c r="P82" s="644">
        <f t="shared" ca="1" si="68"/>
        <v>11975609.473979145</v>
      </c>
      <c r="Q82" s="623">
        <f ca="1">AE36</f>
        <v>11975609.473979145</v>
      </c>
      <c r="R82" s="643">
        <f ca="1">Q82-P82</f>
        <v>0</v>
      </c>
      <c r="S82" s="642"/>
    </row>
    <row r="83" spans="2:19">
      <c r="B83" t="s">
        <v>578</v>
      </c>
      <c r="C83" s="627"/>
      <c r="D83" s="644"/>
      <c r="E83" s="644"/>
      <c r="F83" s="644"/>
      <c r="G83" s="644"/>
      <c r="H83" s="644"/>
      <c r="I83" s="644"/>
      <c r="J83" s="644"/>
      <c r="K83" s="644"/>
      <c r="L83" s="644"/>
      <c r="M83" s="644"/>
      <c r="N83" s="644"/>
      <c r="O83" s="644"/>
      <c r="P83" s="644"/>
      <c r="Q83" s="623"/>
      <c r="R83" s="643"/>
      <c r="S83" s="642"/>
    </row>
    <row r="84" spans="2:19">
      <c r="C84" s="627" t="s">
        <v>61</v>
      </c>
      <c r="D84" s="632">
        <f t="shared" ref="D84:O88" si="69">D38+Q38</f>
        <v>2792.9769704370919</v>
      </c>
      <c r="E84" s="632">
        <f t="shared" si="69"/>
        <v>2792.9769704370919</v>
      </c>
      <c r="F84" s="632">
        <f t="shared" si="69"/>
        <v>2792.9769704370919</v>
      </c>
      <c r="G84" s="632">
        <f t="shared" si="69"/>
        <v>2792.9769704370919</v>
      </c>
      <c r="H84" s="632">
        <f t="shared" si="69"/>
        <v>2792.9769704370919</v>
      </c>
      <c r="I84" s="632">
        <f t="shared" si="69"/>
        <v>2792.9769704370919</v>
      </c>
      <c r="J84" s="632">
        <f t="shared" si="69"/>
        <v>2792.9622990131365</v>
      </c>
      <c r="K84" s="632">
        <f t="shared" si="69"/>
        <v>2792.9956207267992</v>
      </c>
      <c r="L84" s="632">
        <f t="shared" si="69"/>
        <v>2792.9956207267992</v>
      </c>
      <c r="M84" s="632">
        <f t="shared" si="69"/>
        <v>2792.9956207267992</v>
      </c>
      <c r="N84" s="632">
        <f t="shared" si="69"/>
        <v>2792.9956207267992</v>
      </c>
      <c r="O84" s="632">
        <f t="shared" si="69"/>
        <v>2789.0023500813249</v>
      </c>
      <c r="P84" s="632">
        <f>SUM(D84:O84)</f>
        <v>33511.808954624212</v>
      </c>
      <c r="Q84" s="623">
        <f t="shared" ref="Q84:Q89" si="70">AE38</f>
        <v>33511.808954624212</v>
      </c>
      <c r="R84" s="643">
        <f t="shared" ref="R84:R89" si="71">Q84-P84</f>
        <v>0</v>
      </c>
      <c r="S84" s="642"/>
    </row>
    <row r="85" spans="2:19">
      <c r="C85" s="627" t="s">
        <v>62</v>
      </c>
      <c r="D85" s="632">
        <f t="shared" si="69"/>
        <v>17924.895315027021</v>
      </c>
      <c r="E85" s="632">
        <f t="shared" si="69"/>
        <v>17943.799823084111</v>
      </c>
      <c r="F85" s="632">
        <f t="shared" si="69"/>
        <v>17955.376130535064</v>
      </c>
      <c r="G85" s="632">
        <f t="shared" si="69"/>
        <v>17955.376130535064</v>
      </c>
      <c r="H85" s="632">
        <f t="shared" si="69"/>
        <v>17955.376130535064</v>
      </c>
      <c r="I85" s="632">
        <f t="shared" si="69"/>
        <v>17955.376130535064</v>
      </c>
      <c r="J85" s="632">
        <f t="shared" si="69"/>
        <v>17955.54048487738</v>
      </c>
      <c r="K85" s="632">
        <f t="shared" si="69"/>
        <v>17958.220489993306</v>
      </c>
      <c r="L85" s="632">
        <f t="shared" si="69"/>
        <v>17959.054709209286</v>
      </c>
      <c r="M85" s="632">
        <f t="shared" si="69"/>
        <v>17959.054709209286</v>
      </c>
      <c r="N85" s="632">
        <f t="shared" si="69"/>
        <v>17849.007290976926</v>
      </c>
      <c r="O85" s="632">
        <f t="shared" si="69"/>
        <v>17845.218545371368</v>
      </c>
      <c r="P85" s="632">
        <f>SUM(D85:O85)</f>
        <v>215216.29588988892</v>
      </c>
      <c r="Q85" s="623">
        <f t="shared" si="70"/>
        <v>215216.29588988895</v>
      </c>
      <c r="R85" s="643">
        <f t="shared" si="71"/>
        <v>0</v>
      </c>
      <c r="S85" s="642"/>
    </row>
    <row r="86" spans="2:19">
      <c r="C86" s="627" t="s">
        <v>63</v>
      </c>
      <c r="D86" s="632">
        <f t="shared" si="69"/>
        <v>8327.2182891594439</v>
      </c>
      <c r="E86" s="632">
        <f t="shared" si="69"/>
        <v>7160.7867817748529</v>
      </c>
      <c r="F86" s="632">
        <f t="shared" si="69"/>
        <v>6440.5992585198628</v>
      </c>
      <c r="G86" s="632">
        <f t="shared" si="69"/>
        <v>5552.8546346529856</v>
      </c>
      <c r="H86" s="632">
        <f t="shared" si="69"/>
        <v>4744.2068185749549</v>
      </c>
      <c r="I86" s="632">
        <f t="shared" si="69"/>
        <v>4364.8008690644356</v>
      </c>
      <c r="J86" s="632">
        <f t="shared" si="69"/>
        <v>4159.4202170644239</v>
      </c>
      <c r="K86" s="632">
        <f t="shared" si="69"/>
        <v>4493.3023807836998</v>
      </c>
      <c r="L86" s="632">
        <f t="shared" si="69"/>
        <v>5184.721828308634</v>
      </c>
      <c r="M86" s="632">
        <f t="shared" si="69"/>
        <v>5827.5989981563007</v>
      </c>
      <c r="N86" s="632">
        <f t="shared" si="69"/>
        <v>6648.6287911545478</v>
      </c>
      <c r="O86" s="632">
        <f t="shared" si="69"/>
        <v>8117.9567190202579</v>
      </c>
      <c r="P86" s="632">
        <f>SUM(D86:O86)</f>
        <v>71022.095586234413</v>
      </c>
      <c r="Q86" s="623">
        <f t="shared" si="70"/>
        <v>71022.095586234398</v>
      </c>
      <c r="R86" s="643">
        <f t="shared" si="71"/>
        <v>0</v>
      </c>
      <c r="S86" s="642"/>
    </row>
    <row r="87" spans="2:19">
      <c r="C87" s="627" t="s">
        <v>64</v>
      </c>
      <c r="D87" s="632">
        <f t="shared" si="69"/>
        <v>51602.541995574516</v>
      </c>
      <c r="E87" s="632">
        <f t="shared" si="69"/>
        <v>51729.929302403616</v>
      </c>
      <c r="F87" s="632">
        <f t="shared" si="69"/>
        <v>51773.627912831442</v>
      </c>
      <c r="G87" s="632">
        <f t="shared" si="69"/>
        <v>51785.327039679156</v>
      </c>
      <c r="H87" s="632">
        <f t="shared" si="69"/>
        <v>51775.542206855949</v>
      </c>
      <c r="I87" s="632">
        <f t="shared" si="69"/>
        <v>51512.026221169835</v>
      </c>
      <c r="J87" s="632">
        <f t="shared" si="69"/>
        <v>51812.413571054334</v>
      </c>
      <c r="K87" s="632">
        <f t="shared" si="69"/>
        <v>51820.026983608353</v>
      </c>
      <c r="L87" s="632">
        <f t="shared" si="69"/>
        <v>51828.42624023361</v>
      </c>
      <c r="M87" s="632">
        <f t="shared" si="69"/>
        <v>51839.524143493414</v>
      </c>
      <c r="N87" s="632">
        <f t="shared" si="69"/>
        <v>51747.605308812526</v>
      </c>
      <c r="O87" s="632">
        <f t="shared" si="69"/>
        <v>51752.949791215549</v>
      </c>
      <c r="P87" s="632">
        <f>SUM(D87:O87)</f>
        <v>620979.94071693241</v>
      </c>
      <c r="Q87" s="623">
        <f t="shared" si="70"/>
        <v>620979.94071693241</v>
      </c>
      <c r="R87" s="643">
        <f t="shared" si="71"/>
        <v>0</v>
      </c>
      <c r="S87" s="642"/>
    </row>
    <row r="88" spans="2:19">
      <c r="C88" s="627" t="s">
        <v>65</v>
      </c>
      <c r="D88" s="632">
        <f t="shared" si="69"/>
        <v>17711.755885096631</v>
      </c>
      <c r="E88" s="632">
        <f t="shared" si="69"/>
        <v>17782.828697860681</v>
      </c>
      <c r="F88" s="632">
        <f t="shared" si="69"/>
        <v>17778.579186372586</v>
      </c>
      <c r="G88" s="632">
        <f t="shared" si="69"/>
        <v>17774.038733226651</v>
      </c>
      <c r="H88" s="632">
        <f t="shared" si="69"/>
        <v>17774.038733226651</v>
      </c>
      <c r="I88" s="632">
        <f t="shared" si="69"/>
        <v>17748.972960250907</v>
      </c>
      <c r="J88" s="632">
        <f t="shared" si="69"/>
        <v>17765.217320134463</v>
      </c>
      <c r="K88" s="632">
        <f t="shared" si="69"/>
        <v>17759.198881057917</v>
      </c>
      <c r="L88" s="632">
        <f t="shared" si="69"/>
        <v>17756.999724859143</v>
      </c>
      <c r="M88" s="632">
        <f t="shared" si="69"/>
        <v>17746.459303103751</v>
      </c>
      <c r="N88" s="632">
        <f t="shared" si="69"/>
        <v>17684.55091627577</v>
      </c>
      <c r="O88" s="632">
        <f t="shared" si="69"/>
        <v>17627.577134691401</v>
      </c>
      <c r="P88" s="632">
        <f>SUM(D88:O88)</f>
        <v>212910.21747615654</v>
      </c>
      <c r="Q88" s="623">
        <f t="shared" si="70"/>
        <v>212910.21747615657</v>
      </c>
      <c r="R88" s="643">
        <f t="shared" si="71"/>
        <v>0</v>
      </c>
      <c r="S88" s="642"/>
    </row>
    <row r="89" spans="2:19">
      <c r="B89" t="s">
        <v>578</v>
      </c>
      <c r="D89" s="644">
        <f t="shared" ref="D89:P89" si="72">SUM(D84:D88)</f>
        <v>98359.388455294698</v>
      </c>
      <c r="E89" s="644">
        <f t="shared" si="72"/>
        <v>97410.321575560345</v>
      </c>
      <c r="F89" s="644">
        <f t="shared" si="72"/>
        <v>96741.159458696042</v>
      </c>
      <c r="G89" s="644">
        <f t="shared" si="72"/>
        <v>95860.573508530942</v>
      </c>
      <c r="H89" s="644">
        <f t="shared" si="72"/>
        <v>95042.140859629711</v>
      </c>
      <c r="I89" s="644">
        <f t="shared" si="72"/>
        <v>94374.153151457329</v>
      </c>
      <c r="J89" s="644">
        <f t="shared" si="72"/>
        <v>94485.55389214374</v>
      </c>
      <c r="K89" s="644">
        <f t="shared" si="72"/>
        <v>94823.744356170078</v>
      </c>
      <c r="L89" s="644">
        <f t="shared" si="72"/>
        <v>95522.198123337468</v>
      </c>
      <c r="M89" s="644">
        <f t="shared" si="72"/>
        <v>96165.632774689555</v>
      </c>
      <c r="N89" s="644">
        <f t="shared" si="72"/>
        <v>96722.787927946571</v>
      </c>
      <c r="O89" s="644">
        <f t="shared" si="72"/>
        <v>98132.704540379898</v>
      </c>
      <c r="P89" s="644">
        <f t="shared" si="72"/>
        <v>1153640.3586238364</v>
      </c>
      <c r="Q89" s="623">
        <f t="shared" si="70"/>
        <v>1153640.3586238367</v>
      </c>
      <c r="R89" s="643">
        <f t="shared" si="71"/>
        <v>0</v>
      </c>
      <c r="S89" s="642"/>
    </row>
    <row r="90" spans="2:19">
      <c r="D90" s="632"/>
      <c r="E90" s="632"/>
      <c r="F90" s="632"/>
      <c r="G90" s="632"/>
      <c r="H90" s="632"/>
      <c r="I90" s="632"/>
      <c r="J90" s="632"/>
      <c r="K90" s="632"/>
      <c r="L90" s="632"/>
      <c r="M90" s="632"/>
      <c r="N90" s="632"/>
      <c r="O90" s="632"/>
      <c r="P90" s="645" t="s">
        <v>31</v>
      </c>
      <c r="S90" s="642"/>
    </row>
    <row r="91" spans="2:19">
      <c r="C91" s="627" t="s">
        <v>9</v>
      </c>
      <c r="D91" s="632">
        <f t="shared" ref="D91:O91" ca="1" si="73">D58+D68+D78+D82+D89</f>
        <v>31645975.001661971</v>
      </c>
      <c r="E91" s="632">
        <f t="shared" ca="1" si="73"/>
        <v>29173326.677580256</v>
      </c>
      <c r="F91" s="632">
        <f t="shared" ca="1" si="73"/>
        <v>25314182.120622106</v>
      </c>
      <c r="G91" s="632">
        <f t="shared" ca="1" si="73"/>
        <v>22535461.885600597</v>
      </c>
      <c r="H91" s="632">
        <f t="shared" ca="1" si="73"/>
        <v>21244038.699589316</v>
      </c>
      <c r="I91" s="632">
        <f t="shared" ca="1" si="73"/>
        <v>21278815.491719827</v>
      </c>
      <c r="J91" s="632">
        <f t="shared" ca="1" si="73"/>
        <v>21754251.655609488</v>
      </c>
      <c r="K91" s="632">
        <f t="shared" ca="1" si="73"/>
        <v>25731202.094222959</v>
      </c>
      <c r="L91" s="632">
        <f t="shared" ca="1" si="73"/>
        <v>24921158.110720739</v>
      </c>
      <c r="M91" s="632">
        <f t="shared" ca="1" si="73"/>
        <v>23283159.477462213</v>
      </c>
      <c r="N91" s="632">
        <f t="shared" ca="1" si="73"/>
        <v>26083838.916590381</v>
      </c>
      <c r="O91" s="632">
        <f t="shared" ca="1" si="73"/>
        <v>30962905.028185613</v>
      </c>
      <c r="P91" s="632">
        <f ca="1">SUM(D91:O91)</f>
        <v>303928315.15956545</v>
      </c>
      <c r="Q91" s="626">
        <f ca="1">AE44</f>
        <v>303928315.15956545</v>
      </c>
      <c r="R91" s="643">
        <f ca="1">Q91-P91</f>
        <v>0</v>
      </c>
      <c r="S91" s="642"/>
    </row>
    <row r="92" spans="2:19">
      <c r="D92" s="632"/>
      <c r="E92" s="632"/>
      <c r="F92" s="632"/>
      <c r="G92" s="632"/>
      <c r="H92" s="632"/>
      <c r="I92" s="632"/>
      <c r="J92" s="632"/>
      <c r="K92" s="632"/>
      <c r="L92" s="632"/>
      <c r="M92" s="632"/>
      <c r="N92" s="632"/>
      <c r="O92" s="632"/>
      <c r="P92" s="632"/>
      <c r="Q92" s="641"/>
      <c r="S92" s="642"/>
    </row>
    <row r="93" spans="2:19">
      <c r="D93" s="646"/>
      <c r="E93" s="646"/>
      <c r="F93" s="646"/>
      <c r="G93" s="646"/>
      <c r="H93" s="646"/>
      <c r="I93" s="646"/>
      <c r="J93" s="646"/>
      <c r="K93" s="646"/>
      <c r="L93" s="646"/>
      <c r="M93" s="646"/>
      <c r="N93" s="646"/>
      <c r="O93" s="646"/>
      <c r="P93" s="646"/>
    </row>
  </sheetData>
  <phoneticPr fontId="25" type="noConversion"/>
  <pageMargins left="0.75" right="0.75" top="1" bottom="1" header="0.5" footer="0.5"/>
  <pageSetup scale="47" fitToWidth="2" fitToHeight="2" orientation="landscape" r:id="rId1"/>
  <headerFooter alignWithMargins="0"/>
  <rowBreaks count="1" manualBreakCount="1">
    <brk id="46" max="16383" man="1"/>
  </rowBreaks>
  <colBreaks count="1" manualBreakCount="1">
    <brk id="16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2:AG92"/>
  <sheetViews>
    <sheetView view="pageBreakPreview" zoomScale="70" zoomScaleNormal="85" zoomScaleSheetLayoutView="70" workbookViewId="0">
      <pane xSplit="3" ySplit="4" topLeftCell="D5" activePane="bottomRight" state="frozen"/>
      <selection pane="topRight" activeCell="B1" sqref="B1"/>
      <selection pane="bottomLeft" activeCell="A5" sqref="A5"/>
      <selection pane="bottomRight"/>
    </sheetView>
  </sheetViews>
  <sheetFormatPr defaultRowHeight="15.75"/>
  <cols>
    <col min="1" max="1" width="5.25" style="615" customWidth="1"/>
    <col min="2" max="2" width="2.875" customWidth="1"/>
    <col min="3" max="3" width="33.125" bestFit="1" customWidth="1"/>
    <col min="4" max="7" width="15.125" bestFit="1" customWidth="1"/>
    <col min="8" max="8" width="15.375" bestFit="1" customWidth="1"/>
    <col min="9" max="9" width="14.625" bestFit="1" customWidth="1"/>
    <col min="10" max="10" width="15.375" bestFit="1" customWidth="1"/>
    <col min="11" max="11" width="14.625" bestFit="1" customWidth="1"/>
    <col min="12" max="15" width="14.875" bestFit="1" customWidth="1"/>
    <col min="16" max="16" width="17.125" bestFit="1" customWidth="1"/>
    <col min="17" max="17" width="17.625" style="20" bestFit="1" customWidth="1"/>
    <col min="18" max="19" width="13.25" customWidth="1"/>
    <col min="20" max="20" width="13.25" style="616" customWidth="1"/>
    <col min="21" max="28" width="13.25" customWidth="1"/>
    <col min="29" max="29" width="18.375" style="3" bestFit="1" customWidth="1"/>
    <col min="30" max="30" width="16.375" bestFit="1" customWidth="1"/>
    <col min="31" max="31" width="22.125" customWidth="1"/>
    <col min="32" max="32" width="21.375" customWidth="1"/>
    <col min="33" max="33" width="12.625" bestFit="1" customWidth="1"/>
  </cols>
  <sheetData>
    <row r="2" spans="1:33">
      <c r="C2" s="3" t="s">
        <v>174</v>
      </c>
      <c r="J2" t="s">
        <v>31</v>
      </c>
      <c r="AE2" t="s">
        <v>575</v>
      </c>
    </row>
    <row r="3" spans="1:33">
      <c r="C3" s="617" t="s">
        <v>576</v>
      </c>
      <c r="D3" s="617"/>
      <c r="E3" s="617"/>
      <c r="F3" s="617"/>
      <c r="G3" s="617"/>
      <c r="H3" s="617"/>
      <c r="I3" s="617"/>
      <c r="J3" s="617"/>
      <c r="K3" s="617"/>
      <c r="L3" s="617"/>
      <c r="M3" s="617" t="s">
        <v>31</v>
      </c>
      <c r="N3" s="617"/>
      <c r="O3" s="617"/>
      <c r="P3" s="617"/>
      <c r="Q3" s="618" t="s">
        <v>31</v>
      </c>
      <c r="AC3" s="3" t="s">
        <v>9</v>
      </c>
      <c r="AE3" t="s">
        <v>577</v>
      </c>
    </row>
    <row r="4" spans="1:33">
      <c r="C4" s="617"/>
      <c r="D4" s="617">
        <v>201301</v>
      </c>
      <c r="E4" s="617">
        <v>201302</v>
      </c>
      <c r="F4" s="617">
        <v>201303</v>
      </c>
      <c r="G4" s="617">
        <v>201304</v>
      </c>
      <c r="H4" s="617">
        <v>201305</v>
      </c>
      <c r="I4" s="617">
        <v>201306</v>
      </c>
      <c r="J4" s="617">
        <v>201307</v>
      </c>
      <c r="K4" s="617">
        <v>201308</v>
      </c>
      <c r="L4" s="617">
        <v>201309</v>
      </c>
      <c r="M4" s="617">
        <v>201310</v>
      </c>
      <c r="N4" s="617">
        <v>201311</v>
      </c>
      <c r="O4" s="617">
        <v>201312</v>
      </c>
      <c r="P4" s="617" t="s">
        <v>35</v>
      </c>
      <c r="Q4" s="617">
        <v>201301</v>
      </c>
      <c r="R4" s="617">
        <v>201302</v>
      </c>
      <c r="S4" s="617">
        <v>201303</v>
      </c>
      <c r="T4" s="617">
        <v>201304</v>
      </c>
      <c r="U4" s="617">
        <v>201305</v>
      </c>
      <c r="V4" s="617">
        <v>201306</v>
      </c>
      <c r="W4" s="617">
        <v>201307</v>
      </c>
      <c r="X4" s="617">
        <v>201308</v>
      </c>
      <c r="Y4" s="617">
        <v>201309</v>
      </c>
      <c r="Z4" s="617">
        <v>201310</v>
      </c>
      <c r="AA4" s="617">
        <v>201311</v>
      </c>
      <c r="AB4" s="617">
        <v>201312</v>
      </c>
      <c r="AC4" s="20" t="s">
        <v>199</v>
      </c>
      <c r="AD4" t="s">
        <v>12</v>
      </c>
      <c r="AE4" t="s">
        <v>9</v>
      </c>
      <c r="AF4" s="619" t="s">
        <v>168</v>
      </c>
    </row>
    <row r="5" spans="1:33">
      <c r="B5" s="617" t="s">
        <v>265</v>
      </c>
      <c r="D5" s="617"/>
      <c r="E5" s="617"/>
      <c r="F5" s="617"/>
      <c r="G5" s="617"/>
      <c r="H5" s="617"/>
      <c r="I5" s="617"/>
      <c r="J5" s="617"/>
      <c r="K5" s="617"/>
      <c r="L5" s="617"/>
      <c r="M5" s="617"/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20"/>
      <c r="AF5" s="619"/>
    </row>
    <row r="6" spans="1:33" s="3" customFormat="1">
      <c r="A6" s="53">
        <v>16</v>
      </c>
      <c r="C6" s="4" t="s">
        <v>48</v>
      </c>
      <c r="D6" s="796">
        <v>200780415</v>
      </c>
      <c r="E6" s="796">
        <v>167648931</v>
      </c>
      <c r="F6" s="796">
        <v>135515106</v>
      </c>
      <c r="G6" s="796">
        <v>106831952</v>
      </c>
      <c r="H6" s="796">
        <v>94249901</v>
      </c>
      <c r="I6" s="796">
        <v>92049609</v>
      </c>
      <c r="J6" s="796">
        <v>112523316</v>
      </c>
      <c r="K6" s="796">
        <v>125809423</v>
      </c>
      <c r="L6" s="796">
        <v>112005106</v>
      </c>
      <c r="M6" s="796">
        <v>94074140</v>
      </c>
      <c r="N6" s="796">
        <v>115004038</v>
      </c>
      <c r="O6" s="796">
        <v>198611233</v>
      </c>
      <c r="P6" s="473">
        <f t="shared" ref="P6:P12" si="0">SUM(D6:O6)</f>
        <v>1555103170</v>
      </c>
      <c r="Q6" s="647">
        <f t="shared" ref="Q6:AB10" si="1">D6/$P$12*$AC$13</f>
        <v>-725310.15215929365</v>
      </c>
      <c r="R6" s="647">
        <f t="shared" si="1"/>
        <v>-605624.16734198353</v>
      </c>
      <c r="S6" s="647">
        <f>F6/$P$12*$AC$13</f>
        <v>-489542.18045989599</v>
      </c>
      <c r="T6" s="647">
        <f t="shared" si="1"/>
        <v>-385925.58622111799</v>
      </c>
      <c r="U6" s="647">
        <f t="shared" si="1"/>
        <v>-340473.49705551885</v>
      </c>
      <c r="V6" s="647">
        <f t="shared" si="1"/>
        <v>-332525.04189710674</v>
      </c>
      <c r="W6" s="647">
        <f t="shared" si="1"/>
        <v>-406485.38080483739</v>
      </c>
      <c r="X6" s="647">
        <f t="shared" si="1"/>
        <v>-454480.84037082474</v>
      </c>
      <c r="Y6" s="647">
        <f t="shared" si="1"/>
        <v>-404613.37065907451</v>
      </c>
      <c r="Z6" s="647">
        <f t="shared" si="1"/>
        <v>-339838.56840645877</v>
      </c>
      <c r="AA6" s="647">
        <f t="shared" si="1"/>
        <v>-415446.87663243042</v>
      </c>
      <c r="AB6" s="647">
        <f t="shared" si="1"/>
        <v>-717474.0804663389</v>
      </c>
      <c r="AC6" s="473">
        <f t="shared" ref="AC6:AC11" si="2">SUM(Q6:AB6)</f>
        <v>-5617739.7424748819</v>
      </c>
      <c r="AD6" s="264">
        <f>Temperature!B22*1000</f>
        <v>-43682155.460323513</v>
      </c>
      <c r="AE6" s="105">
        <f>P6+AC6+AD6</f>
        <v>1505803274.7972016</v>
      </c>
      <c r="AF6" s="623">
        <f>'Rate Design Work'!C117</f>
        <v>1505803274.7972016</v>
      </c>
      <c r="AG6" s="69">
        <f t="shared" ref="AG6:AG10" si="3">AF6-AE6</f>
        <v>0</v>
      </c>
    </row>
    <row r="7" spans="1:33" s="3" customFormat="1">
      <c r="A7" s="53">
        <v>17</v>
      </c>
      <c r="C7" s="4" t="s">
        <v>93</v>
      </c>
      <c r="D7" s="796">
        <v>8401576</v>
      </c>
      <c r="E7" s="796">
        <v>7568333</v>
      </c>
      <c r="F7" s="796">
        <v>6560521</v>
      </c>
      <c r="G7" s="796">
        <v>5342971</v>
      </c>
      <c r="H7" s="796">
        <v>4467808</v>
      </c>
      <c r="I7" s="796">
        <v>3728755</v>
      </c>
      <c r="J7" s="796">
        <v>3870595</v>
      </c>
      <c r="K7" s="796">
        <v>4158949</v>
      </c>
      <c r="L7" s="796">
        <v>3666439</v>
      </c>
      <c r="M7" s="796">
        <v>3713779</v>
      </c>
      <c r="N7" s="796">
        <v>5209762</v>
      </c>
      <c r="O7" s="796">
        <v>9430077</v>
      </c>
      <c r="P7" s="473">
        <f t="shared" si="0"/>
        <v>66119565</v>
      </c>
      <c r="Q7" s="647">
        <f t="shared" si="1"/>
        <v>-30350.312638500473</v>
      </c>
      <c r="R7" s="647">
        <f t="shared" si="1"/>
        <v>-27340.260053861341</v>
      </c>
      <c r="S7" s="647">
        <f t="shared" si="1"/>
        <v>-23699.584866154608</v>
      </c>
      <c r="T7" s="647">
        <f t="shared" si="1"/>
        <v>-19301.240656329417</v>
      </c>
      <c r="U7" s="647">
        <f t="shared" si="1"/>
        <v>-16139.753971016093</v>
      </c>
      <c r="V7" s="647">
        <f t="shared" si="1"/>
        <v>-13469.958493784001</v>
      </c>
      <c r="W7" s="647">
        <f t="shared" si="1"/>
        <v>-13982.349067248422</v>
      </c>
      <c r="X7" s="647">
        <f t="shared" si="1"/>
        <v>-15024.014827406059</v>
      </c>
      <c r="Y7" s="647">
        <f t="shared" si="1"/>
        <v>-13244.844767218796</v>
      </c>
      <c r="Z7" s="647">
        <f t="shared" si="1"/>
        <v>-13415.858372321769</v>
      </c>
      <c r="AA7" s="647">
        <f t="shared" si="1"/>
        <v>-18820.029179308676</v>
      </c>
      <c r="AB7" s="647">
        <f t="shared" si="1"/>
        <v>-34065.725901322869</v>
      </c>
      <c r="AC7" s="473">
        <f t="shared" si="2"/>
        <v>-238853.93279447255</v>
      </c>
      <c r="AD7" s="264">
        <f>Temperature!B40*1000</f>
        <v>-1477602.4824209907</v>
      </c>
      <c r="AE7" s="105">
        <f t="shared" ref="AE7:AE11" si="4">P7+AC7+AD7</f>
        <v>64403108.584784538</v>
      </c>
      <c r="AF7" s="623">
        <f>'Rate Design Work'!C132</f>
        <v>64403108.58478453</v>
      </c>
      <c r="AG7" s="69">
        <f t="shared" si="3"/>
        <v>0</v>
      </c>
    </row>
    <row r="8" spans="1:33" s="3" customFormat="1">
      <c r="A8" s="53">
        <v>18</v>
      </c>
      <c r="C8" s="4" t="s">
        <v>49</v>
      </c>
      <c r="D8" s="796">
        <v>256502</v>
      </c>
      <c r="E8" s="796">
        <v>208976</v>
      </c>
      <c r="F8" s="796">
        <v>180746</v>
      </c>
      <c r="G8" s="796">
        <v>154016</v>
      </c>
      <c r="H8" s="796">
        <v>155247</v>
      </c>
      <c r="I8" s="796">
        <v>161585</v>
      </c>
      <c r="J8" s="796">
        <v>189988</v>
      </c>
      <c r="K8" s="796">
        <v>209768</v>
      </c>
      <c r="L8" s="796">
        <v>189435</v>
      </c>
      <c r="M8" s="796">
        <v>150333</v>
      </c>
      <c r="N8" s="796">
        <v>169138</v>
      </c>
      <c r="O8" s="796">
        <v>263556</v>
      </c>
      <c r="P8" s="473">
        <f t="shared" si="0"/>
        <v>2289290</v>
      </c>
      <c r="Q8" s="647">
        <f t="shared" si="1"/>
        <v>-926.60185331902585</v>
      </c>
      <c r="R8" s="647">
        <f t="shared" si="1"/>
        <v>-754.91633164340533</v>
      </c>
      <c r="S8" s="647">
        <f t="shared" si="1"/>
        <v>-652.93673569796977</v>
      </c>
      <c r="T8" s="647">
        <f t="shared" si="1"/>
        <v>-556.37582179001754</v>
      </c>
      <c r="U8" s="647">
        <f t="shared" si="1"/>
        <v>-560.82275351544547</v>
      </c>
      <c r="V8" s="647">
        <f t="shared" si="1"/>
        <v>-583.71849135115826</v>
      </c>
      <c r="W8" s="647">
        <f t="shared" si="1"/>
        <v>-686.32304195825009</v>
      </c>
      <c r="X8" s="647">
        <f t="shared" si="1"/>
        <v>-757.77739575919645</v>
      </c>
      <c r="Y8" s="647">
        <f t="shared" si="1"/>
        <v>-684.32535451376464</v>
      </c>
      <c r="Z8" s="647">
        <f t="shared" si="1"/>
        <v>-543.07115116065017</v>
      </c>
      <c r="AA8" s="647">
        <f t="shared" si="1"/>
        <v>-611.00336163723239</v>
      </c>
      <c r="AB8" s="647">
        <f t="shared" si="1"/>
        <v>-952.08410871396393</v>
      </c>
      <c r="AC8" s="473">
        <f t="shared" si="2"/>
        <v>-8269.9564010600807</v>
      </c>
      <c r="AD8" s="264">
        <f>Temperature!B58*1000</f>
        <v>-88681.417640957749</v>
      </c>
      <c r="AE8" s="105">
        <f t="shared" si="4"/>
        <v>2192338.6259579826</v>
      </c>
      <c r="AF8" s="623">
        <f>'Rate Design Work'!C147</f>
        <v>2192338.6259579821</v>
      </c>
      <c r="AG8" s="69">
        <f t="shared" si="3"/>
        <v>0</v>
      </c>
    </row>
    <row r="9" spans="1:33" s="3" customFormat="1">
      <c r="A9" s="53" t="s">
        <v>161</v>
      </c>
      <c r="C9" s="7" t="s">
        <v>162</v>
      </c>
      <c r="D9" s="796">
        <v>43033</v>
      </c>
      <c r="E9" s="796">
        <v>36699</v>
      </c>
      <c r="F9" s="796">
        <v>31488</v>
      </c>
      <c r="G9" s="796">
        <v>29313</v>
      </c>
      <c r="H9" s="796">
        <v>28648</v>
      </c>
      <c r="I9" s="796">
        <v>32458</v>
      </c>
      <c r="J9" s="796">
        <v>45829</v>
      </c>
      <c r="K9" s="796">
        <v>46716</v>
      </c>
      <c r="L9" s="796">
        <v>36466</v>
      </c>
      <c r="M9" s="796">
        <v>28464</v>
      </c>
      <c r="N9" s="796">
        <v>31589</v>
      </c>
      <c r="O9" s="796">
        <v>47013</v>
      </c>
      <c r="P9" s="473">
        <f t="shared" si="0"/>
        <v>437716</v>
      </c>
      <c r="Q9" s="647">
        <f t="shared" si="1"/>
        <v>-155.45476274601228</v>
      </c>
      <c r="R9" s="647">
        <f t="shared" si="1"/>
        <v>-132.57347472906616</v>
      </c>
      <c r="S9" s="647">
        <f t="shared" si="1"/>
        <v>-113.74897333084921</v>
      </c>
      <c r="T9" s="647">
        <f t="shared" si="1"/>
        <v>-105.89188437649844</v>
      </c>
      <c r="U9" s="647">
        <f t="shared" si="1"/>
        <v>-103.48960200654753</v>
      </c>
      <c r="V9" s="647">
        <f t="shared" si="1"/>
        <v>-117.25305438175506</v>
      </c>
      <c r="W9" s="647">
        <f t="shared" si="1"/>
        <v>-165.55518606388111</v>
      </c>
      <c r="X9" s="647">
        <f t="shared" si="1"/>
        <v>-168.75943337537956</v>
      </c>
      <c r="Y9" s="647">
        <f t="shared" si="1"/>
        <v>-131.73177278591044</v>
      </c>
      <c r="Z9" s="647">
        <f t="shared" si="1"/>
        <v>-102.82491034328289</v>
      </c>
      <c r="AA9" s="647">
        <f t="shared" si="1"/>
        <v>-114.11383125470641</v>
      </c>
      <c r="AB9" s="647">
        <f t="shared" si="1"/>
        <v>-169.83233241880126</v>
      </c>
      <c r="AC9" s="473">
        <f t="shared" si="2"/>
        <v>-1581.2292178126904</v>
      </c>
      <c r="AE9" s="105">
        <f t="shared" si="4"/>
        <v>436134.77078218729</v>
      </c>
      <c r="AF9" s="623">
        <f>'Rate Design Work'!C162</f>
        <v>436134.77078218729</v>
      </c>
      <c r="AG9" s="69">
        <f t="shared" si="3"/>
        <v>0</v>
      </c>
    </row>
    <row r="10" spans="1:33" s="3" customFormat="1">
      <c r="A10" s="53" t="s">
        <v>160</v>
      </c>
      <c r="C10" s="4" t="s">
        <v>50</v>
      </c>
      <c r="D10" s="798">
        <v>88225</v>
      </c>
      <c r="E10" s="798">
        <v>88484</v>
      </c>
      <c r="F10" s="798">
        <v>88681</v>
      </c>
      <c r="G10" s="798">
        <v>88529</v>
      </c>
      <c r="H10" s="798">
        <v>88681</v>
      </c>
      <c r="I10" s="798">
        <v>88833</v>
      </c>
      <c r="J10" s="798">
        <v>88518</v>
      </c>
      <c r="K10" s="798">
        <v>88422</v>
      </c>
      <c r="L10" s="798">
        <v>88822</v>
      </c>
      <c r="M10" s="798">
        <v>88214</v>
      </c>
      <c r="N10" s="798">
        <v>88198</v>
      </c>
      <c r="O10" s="798">
        <v>88136</v>
      </c>
      <c r="P10" s="473">
        <f t="shared" si="0"/>
        <v>1061743</v>
      </c>
      <c r="Q10" s="647">
        <f t="shared" si="1"/>
        <v>-318.7088151713088</v>
      </c>
      <c r="R10" s="647">
        <f t="shared" si="1"/>
        <v>-319.64444093644755</v>
      </c>
      <c r="S10" s="647">
        <f t="shared" si="1"/>
        <v>-320.35609451070371</v>
      </c>
      <c r="T10" s="647">
        <f t="shared" si="1"/>
        <v>-319.80700139757209</v>
      </c>
      <c r="U10" s="647">
        <f t="shared" si="1"/>
        <v>-320.35609451070371</v>
      </c>
      <c r="V10" s="647">
        <f t="shared" si="1"/>
        <v>-320.90518762383539</v>
      </c>
      <c r="W10" s="647">
        <f t="shared" si="1"/>
        <v>-319.76726439596388</v>
      </c>
      <c r="X10" s="647">
        <f t="shared" si="1"/>
        <v>-319.4204687455649</v>
      </c>
      <c r="Y10" s="647">
        <f t="shared" si="1"/>
        <v>-320.86545062222717</v>
      </c>
      <c r="Z10" s="647">
        <f t="shared" si="1"/>
        <v>-318.66907816970058</v>
      </c>
      <c r="AA10" s="647">
        <f t="shared" si="1"/>
        <v>-318.6112788946341</v>
      </c>
      <c r="AB10" s="647">
        <f t="shared" si="1"/>
        <v>-318.38730670375145</v>
      </c>
      <c r="AC10" s="473">
        <f t="shared" si="2"/>
        <v>-3835.498481682414</v>
      </c>
      <c r="AE10" s="105">
        <f t="shared" si="4"/>
        <v>1057907.5015183175</v>
      </c>
      <c r="AF10" s="623">
        <f>'Rate Design Work'!C47</f>
        <v>1057907.5015183175</v>
      </c>
      <c r="AG10" s="69">
        <f t="shared" si="3"/>
        <v>0</v>
      </c>
    </row>
    <row r="11" spans="1:33" s="3" customFormat="1">
      <c r="A11" s="53">
        <v>24</v>
      </c>
      <c r="C11" s="60" t="s">
        <v>51</v>
      </c>
      <c r="D11" s="798">
        <v>475881</v>
      </c>
      <c r="E11" s="798">
        <v>555401</v>
      </c>
      <c r="F11" s="798">
        <v>468722</v>
      </c>
      <c r="G11" s="798">
        <v>401623</v>
      </c>
      <c r="H11" s="798">
        <v>413522</v>
      </c>
      <c r="I11" s="798">
        <v>443466</v>
      </c>
      <c r="J11" s="798">
        <v>525760</v>
      </c>
      <c r="K11" s="798">
        <v>609725</v>
      </c>
      <c r="L11" s="798">
        <v>642864</v>
      </c>
      <c r="M11" s="798">
        <v>576987</v>
      </c>
      <c r="N11" s="798">
        <v>765323</v>
      </c>
      <c r="O11" s="798">
        <v>1240439</v>
      </c>
      <c r="P11" s="473">
        <f t="shared" ref="P11" si="5">SUM(D11:O11)</f>
        <v>7119713</v>
      </c>
      <c r="Q11" s="647">
        <f t="shared" ref="Q11" si="6">D11/$P$12*$AC$13</f>
        <v>-1719.0985511197234</v>
      </c>
      <c r="R11" s="647">
        <f t="shared" ref="R11" si="7">E11/$P$12*$AC$13</f>
        <v>-2006.3609482001712</v>
      </c>
      <c r="S11" s="647">
        <f t="shared" ref="S11" si="8">F11/$P$12*$AC$13</f>
        <v>-1693.2369879821615</v>
      </c>
      <c r="T11" s="647">
        <f t="shared" ref="T11" si="9">G11/$P$12*$AC$13</f>
        <v>-1450.8448906267677</v>
      </c>
      <c r="U11" s="647">
        <f t="shared" ref="U11" si="10">H11/$P$12*$AC$13</f>
        <v>-1493.8294890027764</v>
      </c>
      <c r="V11" s="647">
        <f t="shared" ref="V11" si="11">I11/$P$12*$AC$13</f>
        <v>-1602.0008322897097</v>
      </c>
      <c r="W11" s="647">
        <f t="shared" ref="W11" si="12">J11/$P$12*$AC$13</f>
        <v>-1899.2841786848094</v>
      </c>
      <c r="X11" s="647">
        <f t="shared" ref="X11" si="13">K11/$P$12*$AC$13</f>
        <v>-2202.6039368696656</v>
      </c>
      <c r="Y11" s="647">
        <f t="shared" ref="Y11" si="14">L11/$P$12*$AC$13</f>
        <v>-2322.3170728964383</v>
      </c>
      <c r="Z11" s="647">
        <f t="shared" ref="Z11" si="15">M11/$P$12*$AC$13</f>
        <v>-2084.3393951742473</v>
      </c>
      <c r="AA11" s="647">
        <f t="shared" ref="AA11" si="16">N11/$P$12*$AC$13</f>
        <v>-2764.6946619818823</v>
      </c>
      <c r="AB11" s="647">
        <f t="shared" ref="AB11" si="17">O11/$P$12*$AC$13</f>
        <v>-4481.0296852624888</v>
      </c>
      <c r="AC11" s="473">
        <f t="shared" si="2"/>
        <v>-25719.640630090842</v>
      </c>
      <c r="AD11" s="264">
        <f>Temperature!O75*1000</f>
        <v>-104638.24976581024</v>
      </c>
      <c r="AE11" s="105">
        <f t="shared" si="4"/>
        <v>6989355.1096040988</v>
      </c>
      <c r="AF11" s="623">
        <f>'Rate Design Work'!C275</f>
        <v>6989355.1096040988</v>
      </c>
      <c r="AG11" s="69">
        <f t="shared" ref="AG11" si="18">AF11-AE11</f>
        <v>0</v>
      </c>
    </row>
    <row r="12" spans="1:33" s="3" customFormat="1">
      <c r="A12" s="53"/>
      <c r="B12" s="20" t="s">
        <v>265</v>
      </c>
      <c r="C12" s="5"/>
      <c r="D12" s="473">
        <f>SUM(D6:D11)</f>
        <v>210045632</v>
      </c>
      <c r="E12" s="473">
        <f t="shared" ref="E12:O12" si="19">SUM(E6:E11)</f>
        <v>176106824</v>
      </c>
      <c r="F12" s="473">
        <f t="shared" si="19"/>
        <v>142845264</v>
      </c>
      <c r="G12" s="473">
        <f t="shared" si="19"/>
        <v>112848404</v>
      </c>
      <c r="H12" s="473">
        <f t="shared" si="19"/>
        <v>99403807</v>
      </c>
      <c r="I12" s="473">
        <f t="shared" si="19"/>
        <v>96504706</v>
      </c>
      <c r="J12" s="473">
        <f t="shared" si="19"/>
        <v>117244006</v>
      </c>
      <c r="K12" s="473">
        <f t="shared" si="19"/>
        <v>130923003</v>
      </c>
      <c r="L12" s="473">
        <f t="shared" si="19"/>
        <v>116629132</v>
      </c>
      <c r="M12" s="473">
        <f t="shared" si="19"/>
        <v>98631917</v>
      </c>
      <c r="N12" s="473">
        <f t="shared" si="19"/>
        <v>121268048</v>
      </c>
      <c r="O12" s="473">
        <f t="shared" si="19"/>
        <v>209680454</v>
      </c>
      <c r="P12" s="473">
        <f t="shared" si="0"/>
        <v>1632131197</v>
      </c>
      <c r="Q12" s="473">
        <f>SUM(Q6:Q11)</f>
        <v>-758780.32878015004</v>
      </c>
      <c r="R12" s="473">
        <f t="shared" ref="R12:AB12" si="20">SUM(R6:R11)</f>
        <v>-636177.92259135388</v>
      </c>
      <c r="S12" s="473">
        <f t="shared" si="20"/>
        <v>-516022.04411757225</v>
      </c>
      <c r="T12" s="473">
        <f t="shared" si="20"/>
        <v>-407659.7464756383</v>
      </c>
      <c r="U12" s="473">
        <f t="shared" si="20"/>
        <v>-359091.74896557041</v>
      </c>
      <c r="V12" s="473">
        <f t="shared" si="20"/>
        <v>-348618.87795653718</v>
      </c>
      <c r="W12" s="473">
        <f t="shared" si="20"/>
        <v>-423538.6595431887</v>
      </c>
      <c r="X12" s="473">
        <f t="shared" si="20"/>
        <v>-472953.41643298056</v>
      </c>
      <c r="Y12" s="473">
        <f t="shared" si="20"/>
        <v>-421317.45507711166</v>
      </c>
      <c r="Z12" s="473">
        <f t="shared" si="20"/>
        <v>-356303.33131362835</v>
      </c>
      <c r="AA12" s="473">
        <f t="shared" si="20"/>
        <v>-438075.32894550759</v>
      </c>
      <c r="AB12" s="473">
        <f t="shared" si="20"/>
        <v>-757461.13980076078</v>
      </c>
      <c r="AC12" s="625">
        <f>SUM(AC6:AC11)</f>
        <v>-5896000</v>
      </c>
      <c r="AD12" s="107">
        <f>SUM(AD6:AD11)</f>
        <v>-45353077.610151269</v>
      </c>
      <c r="AE12" s="107">
        <f>SUM(AE6:AE11)</f>
        <v>1580882119.3898487</v>
      </c>
      <c r="AF12" s="626">
        <f>SUM(AF6:AF11)</f>
        <v>1580882119.3898487</v>
      </c>
      <c r="AG12" s="69" t="s">
        <v>31</v>
      </c>
    </row>
    <row r="13" spans="1:33" s="3" customFormat="1">
      <c r="A13" s="53"/>
      <c r="B13" s="3" t="s">
        <v>272</v>
      </c>
      <c r="C13" s="5"/>
      <c r="D13" s="473"/>
      <c r="E13" s="473"/>
      <c r="F13" s="473"/>
      <c r="G13" s="473"/>
      <c r="H13" s="473"/>
      <c r="I13" s="473"/>
      <c r="J13" s="473"/>
      <c r="K13" s="473"/>
      <c r="L13" s="473"/>
      <c r="M13" s="473"/>
      <c r="N13" s="473"/>
      <c r="O13" s="473"/>
      <c r="P13" s="473"/>
      <c r="Q13" s="473"/>
      <c r="R13" s="473"/>
      <c r="S13" s="473"/>
      <c r="T13" s="473"/>
      <c r="U13" s="473"/>
      <c r="V13" s="473"/>
      <c r="W13" s="473"/>
      <c r="X13" s="473"/>
      <c r="Y13" s="473"/>
      <c r="Z13" s="473"/>
      <c r="AA13" s="473"/>
      <c r="AB13" s="473"/>
      <c r="AC13" s="452">
        <f>'Table 2'!G36</f>
        <v>-5896000</v>
      </c>
      <c r="AD13" s="107"/>
      <c r="AE13" s="107"/>
      <c r="AF13" s="626"/>
      <c r="AG13" s="69"/>
    </row>
    <row r="14" spans="1:33" s="3" customFormat="1">
      <c r="A14" s="53">
        <v>24</v>
      </c>
      <c r="C14" s="60" t="s">
        <v>51</v>
      </c>
      <c r="D14" s="798">
        <v>50289958</v>
      </c>
      <c r="E14" s="798">
        <v>45343534</v>
      </c>
      <c r="F14" s="798">
        <v>40738491</v>
      </c>
      <c r="G14" s="798">
        <v>37671572</v>
      </c>
      <c r="H14" s="798">
        <v>37945933</v>
      </c>
      <c r="I14" s="798">
        <v>39804516</v>
      </c>
      <c r="J14" s="798">
        <v>44395103</v>
      </c>
      <c r="K14" s="798">
        <v>50019140</v>
      </c>
      <c r="L14" s="798">
        <v>47464822</v>
      </c>
      <c r="M14" s="798">
        <v>41064437</v>
      </c>
      <c r="N14" s="798">
        <v>39722183</v>
      </c>
      <c r="O14" s="798">
        <v>50791390</v>
      </c>
      <c r="P14" s="473">
        <f t="shared" ref="P14:P22" si="21">SUM(D14:O14)</f>
        <v>525251079</v>
      </c>
      <c r="Q14" s="647">
        <f t="shared" ref="Q14:AB21" si="22">D14/$P$22*$AC$23</f>
        <v>-142253.26058130825</v>
      </c>
      <c r="R14" s="647">
        <f t="shared" si="22"/>
        <v>-128261.50218259102</v>
      </c>
      <c r="S14" s="647">
        <f t="shared" si="22"/>
        <v>-115235.39502483341</v>
      </c>
      <c r="T14" s="647">
        <f t="shared" si="22"/>
        <v>-106560.11978024551</v>
      </c>
      <c r="U14" s="647">
        <f t="shared" si="22"/>
        <v>-107336.19413740342</v>
      </c>
      <c r="V14" s="647">
        <f t="shared" si="22"/>
        <v>-112593.49603872912</v>
      </c>
      <c r="W14" s="647">
        <f t="shared" si="22"/>
        <v>-125578.71206798423</v>
      </c>
      <c r="X14" s="647">
        <f t="shared" si="22"/>
        <v>-141487.20817132</v>
      </c>
      <c r="Y14" s="647">
        <f t="shared" si="22"/>
        <v>-134261.90756435733</v>
      </c>
      <c r="Z14" s="647">
        <f t="shared" si="22"/>
        <v>-116157.38587782707</v>
      </c>
      <c r="AA14" s="647">
        <f t="shared" si="22"/>
        <v>-112360.60386364635</v>
      </c>
      <c r="AB14" s="647">
        <f t="shared" si="22"/>
        <v>-143671.64190029455</v>
      </c>
      <c r="AC14" s="473">
        <f t="shared" ref="AC14:AC21" si="23">SUM(Q14:AB14)</f>
        <v>-1485757.4271905404</v>
      </c>
      <c r="AD14" s="264">
        <f>Temperature!B75*1000</f>
        <v>-7719602.4045018842</v>
      </c>
      <c r="AE14" s="105">
        <f t="shared" ref="AE14:AE21" si="24">P14+AC14+AD14</f>
        <v>516045719.1683076</v>
      </c>
      <c r="AF14" s="623">
        <f>'Rate Design Work'!C310</f>
        <v>516045719.16830754</v>
      </c>
      <c r="AG14" s="69">
        <f t="shared" ref="AG14:AG22" si="25">AF14-AE14</f>
        <v>0</v>
      </c>
    </row>
    <row r="15" spans="1:33" s="3" customFormat="1">
      <c r="A15" s="53" t="s">
        <v>149</v>
      </c>
      <c r="C15" s="60" t="s">
        <v>52</v>
      </c>
      <c r="D15" s="798">
        <v>105775.987080292</v>
      </c>
      <c r="E15" s="798">
        <v>105775.987080292</v>
      </c>
      <c r="F15" s="798">
        <v>105775.987080292</v>
      </c>
      <c r="G15" s="798">
        <v>105775.987080292</v>
      </c>
      <c r="H15" s="798">
        <v>105775.987080292</v>
      </c>
      <c r="I15" s="798">
        <v>105775.987080292</v>
      </c>
      <c r="J15" s="798">
        <v>105783.0157021635</v>
      </c>
      <c r="K15" s="798">
        <v>105775.9602325247</v>
      </c>
      <c r="L15" s="798">
        <v>105775.9602325247</v>
      </c>
      <c r="M15" s="798">
        <v>105775.9602325247</v>
      </c>
      <c r="N15" s="798">
        <v>105775.9602325247</v>
      </c>
      <c r="O15" s="798">
        <v>105775.88145321851</v>
      </c>
      <c r="P15" s="473">
        <f t="shared" si="21"/>
        <v>1269318.6605672326</v>
      </c>
      <c r="Q15" s="647">
        <f t="shared" si="22"/>
        <v>-299.20444660896067</v>
      </c>
      <c r="R15" s="647">
        <f t="shared" si="22"/>
        <v>-299.20444660896067</v>
      </c>
      <c r="S15" s="647">
        <f t="shared" si="22"/>
        <v>-299.20444660896067</v>
      </c>
      <c r="T15" s="647">
        <f t="shared" si="22"/>
        <v>-299.20444660896067</v>
      </c>
      <c r="U15" s="647">
        <f t="shared" si="22"/>
        <v>-299.20444660896067</v>
      </c>
      <c r="V15" s="647">
        <f t="shared" si="22"/>
        <v>-299.20444660896067</v>
      </c>
      <c r="W15" s="647">
        <f t="shared" si="22"/>
        <v>-299.2243282000054</v>
      </c>
      <c r="X15" s="647">
        <f t="shared" si="22"/>
        <v>-299.2043706657189</v>
      </c>
      <c r="Y15" s="647">
        <f t="shared" si="22"/>
        <v>-299.2043706657189</v>
      </c>
      <c r="Z15" s="647">
        <f t="shared" si="22"/>
        <v>-299.2043706657189</v>
      </c>
      <c r="AA15" s="647">
        <f t="shared" si="22"/>
        <v>-299.2043706657189</v>
      </c>
      <c r="AB15" s="647">
        <f t="shared" si="22"/>
        <v>-299.20414782574011</v>
      </c>
      <c r="AC15" s="473">
        <f t="shared" si="23"/>
        <v>-3590.4726383423845</v>
      </c>
      <c r="AE15" s="105">
        <f t="shared" si="24"/>
        <v>1265728.1879288903</v>
      </c>
      <c r="AF15" s="623">
        <f>'Rate Design Work'!C414</f>
        <v>1265728.1879288906</v>
      </c>
      <c r="AG15" s="69">
        <f t="shared" si="25"/>
        <v>0</v>
      </c>
    </row>
    <row r="16" spans="1:33" s="3" customFormat="1">
      <c r="A16" s="53" t="s">
        <v>156</v>
      </c>
      <c r="C16" s="61" t="s">
        <v>57</v>
      </c>
      <c r="D16" s="798">
        <v>183308</v>
      </c>
      <c r="E16" s="798">
        <v>2891</v>
      </c>
      <c r="F16" s="798">
        <v>20549</v>
      </c>
      <c r="G16" s="798">
        <v>94363</v>
      </c>
      <c r="H16" s="798">
        <v>97423</v>
      </c>
      <c r="I16" s="798">
        <v>6427</v>
      </c>
      <c r="J16" s="798">
        <v>9283</v>
      </c>
      <c r="K16" s="798">
        <v>6263</v>
      </c>
      <c r="L16" s="798">
        <v>6685</v>
      </c>
      <c r="M16" s="798">
        <v>17188</v>
      </c>
      <c r="N16" s="798">
        <v>9246</v>
      </c>
      <c r="O16" s="798">
        <v>6827</v>
      </c>
      <c r="P16" s="473">
        <f t="shared" si="21"/>
        <v>460453</v>
      </c>
      <c r="Q16" s="647">
        <f t="shared" si="22"/>
        <v>-518.51625508691916</v>
      </c>
      <c r="R16" s="647">
        <f t="shared" si="22"/>
        <v>-8.1776599682298823</v>
      </c>
      <c r="S16" s="647">
        <f t="shared" si="22"/>
        <v>-58.126162119389789</v>
      </c>
      <c r="T16" s="647">
        <f t="shared" si="22"/>
        <v>-266.92097114565081</v>
      </c>
      <c r="U16" s="647">
        <f t="shared" si="22"/>
        <v>-275.57667488234523</v>
      </c>
      <c r="V16" s="647">
        <f t="shared" si="22"/>
        <v>-18.179806508410049</v>
      </c>
      <c r="W16" s="647">
        <f t="shared" si="22"/>
        <v>-26.258463329324805</v>
      </c>
      <c r="X16" s="647">
        <f t="shared" si="22"/>
        <v>-17.715906046704863</v>
      </c>
      <c r="Y16" s="647">
        <f t="shared" si="22"/>
        <v>-18.909601137190165</v>
      </c>
      <c r="Z16" s="647">
        <f t="shared" si="22"/>
        <v>-48.619031315785271</v>
      </c>
      <c r="AA16" s="647">
        <f t="shared" si="22"/>
        <v>-26.153802859305948</v>
      </c>
      <c r="AB16" s="647">
        <f t="shared" si="22"/>
        <v>-19.311271049154414</v>
      </c>
      <c r="AC16" s="473">
        <f t="shared" si="23"/>
        <v>-1302.4656054484105</v>
      </c>
      <c r="AE16" s="105">
        <f t="shared" si="24"/>
        <v>459150.53439455159</v>
      </c>
      <c r="AF16" s="623">
        <f>'Rate Design Work'!C520</f>
        <v>459150.53439455159</v>
      </c>
      <c r="AG16" s="69">
        <f t="shared" si="25"/>
        <v>0</v>
      </c>
    </row>
    <row r="17" spans="1:33" s="3" customFormat="1">
      <c r="A17" s="53">
        <v>33</v>
      </c>
      <c r="C17" s="60" t="s">
        <v>273</v>
      </c>
      <c r="D17" s="647">
        <v>0</v>
      </c>
      <c r="E17" s="647">
        <v>0</v>
      </c>
      <c r="F17" s="647">
        <v>0</v>
      </c>
      <c r="G17" s="647">
        <v>0</v>
      </c>
      <c r="H17" s="647">
        <v>0</v>
      </c>
      <c r="I17" s="647">
        <v>0</v>
      </c>
      <c r="J17" s="647">
        <v>0</v>
      </c>
      <c r="K17" s="647">
        <v>0</v>
      </c>
      <c r="L17" s="647">
        <v>0</v>
      </c>
      <c r="M17" s="647">
        <v>0</v>
      </c>
      <c r="N17" s="647">
        <v>0</v>
      </c>
      <c r="O17" s="647">
        <v>0</v>
      </c>
      <c r="P17" s="473">
        <f t="shared" si="21"/>
        <v>0</v>
      </c>
      <c r="Q17" s="647">
        <f t="shared" si="22"/>
        <v>0</v>
      </c>
      <c r="R17" s="647">
        <f t="shared" si="22"/>
        <v>0</v>
      </c>
      <c r="S17" s="647">
        <f t="shared" si="22"/>
        <v>0</v>
      </c>
      <c r="T17" s="647">
        <f t="shared" si="22"/>
        <v>0</v>
      </c>
      <c r="U17" s="647">
        <f t="shared" si="22"/>
        <v>0</v>
      </c>
      <c r="V17" s="647">
        <f t="shared" si="22"/>
        <v>0</v>
      </c>
      <c r="W17" s="647">
        <f t="shared" si="22"/>
        <v>0</v>
      </c>
      <c r="X17" s="647">
        <f t="shared" si="22"/>
        <v>0</v>
      </c>
      <c r="Y17" s="647">
        <f t="shared" si="22"/>
        <v>0</v>
      </c>
      <c r="Z17" s="647">
        <f t="shared" si="22"/>
        <v>0</v>
      </c>
      <c r="AA17" s="647">
        <f t="shared" si="22"/>
        <v>0</v>
      </c>
      <c r="AB17" s="647">
        <f t="shared" si="22"/>
        <v>0</v>
      </c>
      <c r="AC17" s="473">
        <f t="shared" si="23"/>
        <v>0</v>
      </c>
      <c r="AE17" s="105">
        <f t="shared" si="24"/>
        <v>0</v>
      </c>
      <c r="AF17" s="623">
        <v>0</v>
      </c>
      <c r="AG17" s="69">
        <f t="shared" si="25"/>
        <v>0</v>
      </c>
    </row>
    <row r="18" spans="1:33" s="3" customFormat="1">
      <c r="A18" s="53">
        <v>36</v>
      </c>
      <c r="C18" s="60" t="s">
        <v>53</v>
      </c>
      <c r="D18" s="796">
        <v>71223789</v>
      </c>
      <c r="E18" s="796">
        <v>64689441</v>
      </c>
      <c r="F18" s="796">
        <v>60416721</v>
      </c>
      <c r="G18" s="796">
        <v>58171460</v>
      </c>
      <c r="H18" s="796">
        <v>59356220</v>
      </c>
      <c r="I18" s="796">
        <v>61635787</v>
      </c>
      <c r="J18" s="796">
        <v>65710270</v>
      </c>
      <c r="K18" s="796">
        <v>69814472</v>
      </c>
      <c r="L18" s="796">
        <v>75803017</v>
      </c>
      <c r="M18" s="796">
        <v>73750019</v>
      </c>
      <c r="N18" s="796">
        <v>70536710</v>
      </c>
      <c r="O18" s="796">
        <v>74235748</v>
      </c>
      <c r="P18" s="473">
        <f t="shared" si="21"/>
        <v>805343654</v>
      </c>
      <c r="Q18" s="647">
        <f t="shared" si="22"/>
        <v>-201467.97927739605</v>
      </c>
      <c r="R18" s="647">
        <f t="shared" si="22"/>
        <v>-182984.52163018641</v>
      </c>
      <c r="S18" s="647">
        <f t="shared" si="22"/>
        <v>-170898.44369886327</v>
      </c>
      <c r="T18" s="647">
        <f t="shared" si="22"/>
        <v>-164547.36068332268</v>
      </c>
      <c r="U18" s="647">
        <f t="shared" si="22"/>
        <v>-167898.64550655341</v>
      </c>
      <c r="V18" s="647">
        <f t="shared" si="22"/>
        <v>-174346.76857843093</v>
      </c>
      <c r="W18" s="647">
        <f t="shared" si="22"/>
        <v>-185872.1011693452</v>
      </c>
      <c r="X18" s="647">
        <f t="shared" si="22"/>
        <v>-197481.49874697544</v>
      </c>
      <c r="Y18" s="647">
        <f t="shared" si="22"/>
        <v>-214421.06454235537</v>
      </c>
      <c r="Z18" s="647">
        <f t="shared" si="22"/>
        <v>-208613.82844430761</v>
      </c>
      <c r="AA18" s="647">
        <f t="shared" si="22"/>
        <v>-199524.46546442079</v>
      </c>
      <c r="AB18" s="647">
        <f t="shared" si="22"/>
        <v>-209987.79129408565</v>
      </c>
      <c r="AC18" s="473">
        <f t="shared" si="23"/>
        <v>-2278044.4690362429</v>
      </c>
      <c r="AD18" s="264">
        <f>Temperature!B110*1000</f>
        <v>-11208640.824237088</v>
      </c>
      <c r="AE18" s="105">
        <f t="shared" si="24"/>
        <v>791856968.70672667</v>
      </c>
      <c r="AF18" s="623">
        <f>'Rate Design Work'!C676</f>
        <v>791856968.70672667</v>
      </c>
      <c r="AG18" s="69">
        <f t="shared" si="25"/>
        <v>0</v>
      </c>
    </row>
    <row r="19" spans="1:33" s="3" customFormat="1">
      <c r="A19" s="53" t="s">
        <v>155</v>
      </c>
      <c r="C19" s="60" t="s">
        <v>54</v>
      </c>
      <c r="D19" s="798">
        <v>13266720</v>
      </c>
      <c r="E19" s="798">
        <v>12525360</v>
      </c>
      <c r="F19" s="798">
        <v>12964540</v>
      </c>
      <c r="G19" s="798">
        <v>12462880</v>
      </c>
      <c r="H19" s="798">
        <v>12247220</v>
      </c>
      <c r="I19" s="798">
        <v>12935760</v>
      </c>
      <c r="J19" s="798">
        <v>14853442</v>
      </c>
      <c r="K19" s="798">
        <v>14878280</v>
      </c>
      <c r="L19" s="798">
        <v>17352240</v>
      </c>
      <c r="M19" s="798">
        <v>17234160</v>
      </c>
      <c r="N19" s="798">
        <v>15703780</v>
      </c>
      <c r="O19" s="798">
        <v>15872580</v>
      </c>
      <c r="P19" s="473">
        <f t="shared" si="21"/>
        <v>172296962</v>
      </c>
      <c r="Q19" s="647">
        <f t="shared" si="22"/>
        <v>-37527.05812996014</v>
      </c>
      <c r="R19" s="647">
        <f t="shared" si="22"/>
        <v>-35430.001750144533</v>
      </c>
      <c r="S19" s="647">
        <f t="shared" si="22"/>
        <v>-36672.293242654814</v>
      </c>
      <c r="T19" s="647">
        <f t="shared" si="22"/>
        <v>-35253.26698888027</v>
      </c>
      <c r="U19" s="647">
        <f t="shared" si="22"/>
        <v>-34643.237881737943</v>
      </c>
      <c r="V19" s="647">
        <f t="shared" si="22"/>
        <v>-36590.884368948253</v>
      </c>
      <c r="W19" s="647">
        <f t="shared" si="22"/>
        <v>-42015.357327507576</v>
      </c>
      <c r="X19" s="647">
        <f t="shared" si="22"/>
        <v>-42085.615618165102</v>
      </c>
      <c r="Y19" s="647">
        <f t="shared" si="22"/>
        <v>-49083.610656214914</v>
      </c>
      <c r="Z19" s="647">
        <f t="shared" si="22"/>
        <v>-48749.60232378717</v>
      </c>
      <c r="AA19" s="647">
        <f t="shared" si="22"/>
        <v>-44420.675564126279</v>
      </c>
      <c r="AB19" s="647">
        <f t="shared" si="22"/>
        <v>-44898.153600320402</v>
      </c>
      <c r="AC19" s="473">
        <f t="shared" si="23"/>
        <v>-487369.75745244743</v>
      </c>
      <c r="AD19" s="264">
        <f>(Temperature!B127+Temperature!F127)*1000</f>
        <v>-2497544.1717604715</v>
      </c>
      <c r="AE19" s="105">
        <f t="shared" si="24"/>
        <v>169312048.07078707</v>
      </c>
      <c r="AF19" s="623">
        <f>'Rate Design Work'!C1066</f>
        <v>169312048.07078707</v>
      </c>
      <c r="AG19" s="69">
        <f t="shared" si="25"/>
        <v>0</v>
      </c>
    </row>
    <row r="20" spans="1:33" s="3" customFormat="1">
      <c r="A20" s="53" t="s">
        <v>151</v>
      </c>
      <c r="C20" s="60" t="s">
        <v>55</v>
      </c>
      <c r="D20" s="798">
        <v>180206</v>
      </c>
      <c r="E20" s="798">
        <v>180302</v>
      </c>
      <c r="F20" s="798">
        <v>179470</v>
      </c>
      <c r="G20" s="798">
        <v>178670</v>
      </c>
      <c r="H20" s="798">
        <v>180914</v>
      </c>
      <c r="I20" s="798">
        <v>181970</v>
      </c>
      <c r="J20" s="798">
        <v>179062</v>
      </c>
      <c r="K20" s="798">
        <v>179111</v>
      </c>
      <c r="L20" s="798">
        <v>179561</v>
      </c>
      <c r="M20" s="798">
        <v>178618</v>
      </c>
      <c r="N20" s="798">
        <v>180562</v>
      </c>
      <c r="O20" s="798">
        <v>178002</v>
      </c>
      <c r="P20" s="473">
        <f t="shared" si="21"/>
        <v>2156448</v>
      </c>
      <c r="Q20" s="647">
        <f t="shared" si="22"/>
        <v>-509.74174757344667</v>
      </c>
      <c r="R20" s="647">
        <f t="shared" si="22"/>
        <v>-510.01329906322536</v>
      </c>
      <c r="S20" s="647">
        <f t="shared" si="22"/>
        <v>-507.65985281847708</v>
      </c>
      <c r="T20" s="647">
        <f t="shared" si="22"/>
        <v>-505.3969237369883</v>
      </c>
      <c r="U20" s="647">
        <f t="shared" si="22"/>
        <v>-511.74443981056419</v>
      </c>
      <c r="V20" s="647">
        <f t="shared" si="22"/>
        <v>-514.7315061981293</v>
      </c>
      <c r="W20" s="647">
        <f t="shared" si="22"/>
        <v>-506.50575898691778</v>
      </c>
      <c r="X20" s="647">
        <f t="shared" si="22"/>
        <v>-506.64436339315898</v>
      </c>
      <c r="Y20" s="647">
        <f t="shared" si="22"/>
        <v>-507.9172610014964</v>
      </c>
      <c r="Z20" s="647">
        <f t="shared" si="22"/>
        <v>-505.2498333466915</v>
      </c>
      <c r="AA20" s="647">
        <f t="shared" si="22"/>
        <v>-510.74875101470917</v>
      </c>
      <c r="AB20" s="647">
        <f t="shared" si="22"/>
        <v>-503.50737795394525</v>
      </c>
      <c r="AC20" s="473">
        <f t="shared" si="23"/>
        <v>-6099.8611148977507</v>
      </c>
      <c r="AD20" s="3">
        <v>0</v>
      </c>
      <c r="AE20" s="105">
        <f t="shared" si="24"/>
        <v>2150348.1388851022</v>
      </c>
      <c r="AF20" s="623">
        <f>'Rate Design Work'!C65</f>
        <v>2150348.1388851022</v>
      </c>
      <c r="AG20" s="69">
        <f t="shared" si="25"/>
        <v>0</v>
      </c>
    </row>
    <row r="21" spans="1:33" s="3" customFormat="1">
      <c r="A21" s="53">
        <v>54</v>
      </c>
      <c r="C21" s="60" t="s">
        <v>56</v>
      </c>
      <c r="D21" s="798">
        <v>21831</v>
      </c>
      <c r="E21" s="798">
        <v>22531</v>
      </c>
      <c r="F21" s="798">
        <v>44900</v>
      </c>
      <c r="G21" s="798">
        <v>22018</v>
      </c>
      <c r="H21" s="798">
        <v>20209</v>
      </c>
      <c r="I21" s="798">
        <v>13337</v>
      </c>
      <c r="J21" s="798">
        <v>32030</v>
      </c>
      <c r="K21" s="798">
        <v>21739</v>
      </c>
      <c r="L21" s="798">
        <v>19763</v>
      </c>
      <c r="M21" s="798">
        <v>27897</v>
      </c>
      <c r="N21" s="798">
        <v>30483</v>
      </c>
      <c r="O21" s="798">
        <v>18648</v>
      </c>
      <c r="P21" s="473">
        <f t="shared" si="21"/>
        <v>295386</v>
      </c>
      <c r="Q21" s="647">
        <f t="shared" si="22"/>
        <v>-61.752505972475475</v>
      </c>
      <c r="R21" s="647">
        <f t="shared" si="22"/>
        <v>-63.732568918778099</v>
      </c>
      <c r="S21" s="647">
        <f t="shared" si="22"/>
        <v>-127.00689469855475</v>
      </c>
      <c r="T21" s="647">
        <f t="shared" si="22"/>
        <v>-62.281465645273457</v>
      </c>
      <c r="U21" s="647">
        <f t="shared" si="22"/>
        <v>-57.16441725975708</v>
      </c>
      <c r="V21" s="647">
        <f t="shared" si="22"/>
        <v>-37.725856449768919</v>
      </c>
      <c r="W21" s="647">
        <f t="shared" si="22"/>
        <v>-90.602023100104873</v>
      </c>
      <c r="X21" s="647">
        <f t="shared" si="22"/>
        <v>-61.492269128104262</v>
      </c>
      <c r="Y21" s="647">
        <f t="shared" si="22"/>
        <v>-55.902834296827109</v>
      </c>
      <c r="Z21" s="647">
        <f t="shared" si="22"/>
        <v>-78.911165732863722</v>
      </c>
      <c r="AA21" s="647">
        <f t="shared" si="22"/>
        <v>-86.22608398877604</v>
      </c>
      <c r="AB21" s="647">
        <f t="shared" si="22"/>
        <v>-52.748876889502199</v>
      </c>
      <c r="AC21" s="473">
        <f t="shared" si="23"/>
        <v>-835.54696208078599</v>
      </c>
      <c r="AE21" s="105">
        <f t="shared" si="24"/>
        <v>294550.45303791919</v>
      </c>
      <c r="AF21" s="623">
        <f>'Rate Design Work'!C1226</f>
        <v>294550.45303791919</v>
      </c>
      <c r="AG21" s="69">
        <f t="shared" si="25"/>
        <v>0</v>
      </c>
    </row>
    <row r="22" spans="1:33" s="3" customFormat="1">
      <c r="A22" s="53"/>
      <c r="B22" s="3" t="s">
        <v>272</v>
      </c>
      <c r="C22" s="5"/>
      <c r="D22" s="473">
        <f t="shared" ref="D22:O22" si="26">SUM(D14:D21)</f>
        <v>135271587.98708028</v>
      </c>
      <c r="E22" s="473">
        <f t="shared" si="26"/>
        <v>122869834.98708029</v>
      </c>
      <c r="F22" s="473">
        <f t="shared" si="26"/>
        <v>114470446.98708029</v>
      </c>
      <c r="G22" s="473">
        <f t="shared" si="26"/>
        <v>108706738.98708029</v>
      </c>
      <c r="H22" s="473">
        <f t="shared" si="26"/>
        <v>109953694.98708029</v>
      </c>
      <c r="I22" s="473">
        <f t="shared" si="26"/>
        <v>114683572.98708029</v>
      </c>
      <c r="J22" s="473">
        <f t="shared" si="26"/>
        <v>125284973.01570216</v>
      </c>
      <c r="K22" s="473">
        <f t="shared" si="26"/>
        <v>135024780.96023253</v>
      </c>
      <c r="L22" s="473">
        <f t="shared" si="26"/>
        <v>140931863.96023253</v>
      </c>
      <c r="M22" s="473">
        <f t="shared" si="26"/>
        <v>132378094.96023253</v>
      </c>
      <c r="N22" s="473">
        <f t="shared" si="26"/>
        <v>126288739.96023253</v>
      </c>
      <c r="O22" s="473">
        <f t="shared" si="26"/>
        <v>141208970.88145322</v>
      </c>
      <c r="P22" s="473">
        <f t="shared" si="21"/>
        <v>1507073300.6605673</v>
      </c>
      <c r="Q22" s="473">
        <f t="shared" ref="Q22:AF22" si="27">SUM(Q14:Q21)</f>
        <v>-382637.51294390619</v>
      </c>
      <c r="R22" s="473">
        <f t="shared" si="27"/>
        <v>-347557.15353748115</v>
      </c>
      <c r="S22" s="473">
        <f t="shared" si="27"/>
        <v>-323798.12932259683</v>
      </c>
      <c r="T22" s="473">
        <f t="shared" si="27"/>
        <v>-307494.55125958537</v>
      </c>
      <c r="U22" s="473">
        <f t="shared" si="27"/>
        <v>-311021.76750425639</v>
      </c>
      <c r="V22" s="473">
        <f t="shared" si="27"/>
        <v>-324400.99060187355</v>
      </c>
      <c r="W22" s="473">
        <f t="shared" si="27"/>
        <v>-354388.76113845338</v>
      </c>
      <c r="X22" s="473">
        <f t="shared" si="27"/>
        <v>-381939.37944569421</v>
      </c>
      <c r="Y22" s="473">
        <f t="shared" si="27"/>
        <v>-398648.51683002885</v>
      </c>
      <c r="Z22" s="473">
        <f t="shared" si="27"/>
        <v>-374452.80104698293</v>
      </c>
      <c r="AA22" s="473">
        <f t="shared" si="27"/>
        <v>-357228.07790072192</v>
      </c>
      <c r="AB22" s="473">
        <f t="shared" si="27"/>
        <v>-399432.35846841894</v>
      </c>
      <c r="AC22" s="625">
        <f t="shared" si="27"/>
        <v>-4262999.9999999991</v>
      </c>
      <c r="AD22" s="107">
        <f t="shared" si="27"/>
        <v>-21425787.400499441</v>
      </c>
      <c r="AE22" s="107">
        <f t="shared" si="27"/>
        <v>1481384513.2600677</v>
      </c>
      <c r="AF22" s="626">
        <f t="shared" si="27"/>
        <v>1481384513.2600677</v>
      </c>
      <c r="AG22" s="69">
        <f t="shared" si="25"/>
        <v>0</v>
      </c>
    </row>
    <row r="23" spans="1:33" s="3" customFormat="1">
      <c r="A23" s="53"/>
      <c r="B23" s="3" t="s">
        <v>275</v>
      </c>
      <c r="C23" s="5"/>
      <c r="D23" s="473"/>
      <c r="E23" s="473"/>
      <c r="F23" s="473"/>
      <c r="G23" s="473"/>
      <c r="H23" s="473"/>
      <c r="I23" s="473"/>
      <c r="J23" s="473"/>
      <c r="K23" s="473"/>
      <c r="L23" s="473"/>
      <c r="M23" s="473"/>
      <c r="N23" s="473"/>
      <c r="O23" s="473"/>
      <c r="P23" s="473"/>
      <c r="Q23" s="473"/>
      <c r="R23" s="473"/>
      <c r="S23" s="473"/>
      <c r="T23" s="473"/>
      <c r="U23" s="473"/>
      <c r="V23" s="473"/>
      <c r="W23" s="473"/>
      <c r="X23" s="473"/>
      <c r="Y23" s="473"/>
      <c r="Z23" s="473"/>
      <c r="AA23" s="473"/>
      <c r="AB23" s="473"/>
      <c r="AC23" s="452">
        <f>'Table 2'!G66</f>
        <v>-4263000</v>
      </c>
      <c r="AD23" s="107"/>
      <c r="AE23" s="107"/>
      <c r="AF23" s="626"/>
      <c r="AG23" s="69"/>
    </row>
    <row r="24" spans="1:33" s="3" customFormat="1">
      <c r="A24" s="53">
        <v>24</v>
      </c>
      <c r="C24" s="60" t="s">
        <v>51</v>
      </c>
      <c r="D24" s="798">
        <v>1799343</v>
      </c>
      <c r="E24" s="798">
        <v>1657213</v>
      </c>
      <c r="F24" s="798">
        <v>1518620</v>
      </c>
      <c r="G24" s="798">
        <v>1340318</v>
      </c>
      <c r="H24" s="798">
        <v>1325597</v>
      </c>
      <c r="I24" s="798">
        <v>1391033</v>
      </c>
      <c r="J24" s="798">
        <v>1532125</v>
      </c>
      <c r="K24" s="798">
        <v>1602629</v>
      </c>
      <c r="L24" s="798">
        <v>1593059</v>
      </c>
      <c r="M24" s="798">
        <v>1614657</v>
      </c>
      <c r="N24" s="798">
        <v>1470452</v>
      </c>
      <c r="O24" s="798">
        <v>1853891</v>
      </c>
      <c r="P24" s="473">
        <f t="shared" ref="P24:P32" si="28">SUM(D24:O24)</f>
        <v>18698937</v>
      </c>
      <c r="Q24" s="647">
        <f t="shared" ref="Q24:AB31" ca="1" si="29">D24/$P$32*$AC$33</f>
        <v>-28821.04838583848</v>
      </c>
      <c r="R24" s="647">
        <f t="shared" ca="1" si="29"/>
        <v>-26544.475432777715</v>
      </c>
      <c r="S24" s="647">
        <f t="shared" ca="1" si="29"/>
        <v>-24324.556518519279</v>
      </c>
      <c r="T24" s="647">
        <f t="shared" ca="1" si="29"/>
        <v>-21468.59711039544</v>
      </c>
      <c r="U24" s="647">
        <f t="shared" ca="1" si="29"/>
        <v>-21232.80290479488</v>
      </c>
      <c r="V24" s="647">
        <f t="shared" ca="1" si="29"/>
        <v>-22280.926648948011</v>
      </c>
      <c r="W24" s="647">
        <f t="shared" ca="1" si="29"/>
        <v>-24540.873395540919</v>
      </c>
      <c r="X24" s="647">
        <f t="shared" ca="1" si="29"/>
        <v>-25670.174032159484</v>
      </c>
      <c r="Y24" s="647">
        <f t="shared" ca="1" si="29"/>
        <v>-25516.886174840187</v>
      </c>
      <c r="Z24" s="647">
        <f t="shared" ca="1" si="29"/>
        <v>-25862.833002675314</v>
      </c>
      <c r="AA24" s="647">
        <f t="shared" ca="1" si="29"/>
        <v>-23553.023654218774</v>
      </c>
      <c r="AB24" s="647">
        <f t="shared" ca="1" si="29"/>
        <v>-29694.77315501852</v>
      </c>
      <c r="AC24" s="473">
        <f t="shared" ref="AC24:AC31" ca="1" si="30">SUM(Q24:AB24)</f>
        <v>-299510.970415727</v>
      </c>
      <c r="AE24" s="105">
        <f t="shared" ref="AE24:AE31" ca="1" si="31">P24+AC24+AD24</f>
        <v>18399426.029584274</v>
      </c>
      <c r="AF24" s="623">
        <f ca="1">'Rate Design Work'!C344</f>
        <v>18399426.029584274</v>
      </c>
      <c r="AG24" s="69">
        <f t="shared" ref="AG24:AG32" ca="1" si="32">AF24-AE24</f>
        <v>0</v>
      </c>
    </row>
    <row r="25" spans="1:33" s="3" customFormat="1">
      <c r="A25" s="53" t="s">
        <v>149</v>
      </c>
      <c r="C25" s="60" t="s">
        <v>52</v>
      </c>
      <c r="D25" s="798">
        <v>2776</v>
      </c>
      <c r="E25" s="798">
        <v>2776</v>
      </c>
      <c r="F25" s="798">
        <v>2776</v>
      </c>
      <c r="G25" s="798">
        <v>2776</v>
      </c>
      <c r="H25" s="798">
        <v>2776</v>
      </c>
      <c r="I25" s="798">
        <v>2776</v>
      </c>
      <c r="J25" s="798">
        <v>2776</v>
      </c>
      <c r="K25" s="798">
        <v>2776</v>
      </c>
      <c r="L25" s="798">
        <v>2776</v>
      </c>
      <c r="M25" s="798">
        <v>2776</v>
      </c>
      <c r="N25" s="798">
        <v>2776</v>
      </c>
      <c r="O25" s="798">
        <v>2777</v>
      </c>
      <c r="P25" s="473">
        <f t="shared" si="28"/>
        <v>33313</v>
      </c>
      <c r="Q25" s="647">
        <f t="shared" ca="1" si="29"/>
        <v>-44.464690900560718</v>
      </c>
      <c r="R25" s="647">
        <f t="shared" ca="1" si="29"/>
        <v>-44.464690900560718</v>
      </c>
      <c r="S25" s="647">
        <f t="shared" ca="1" si="29"/>
        <v>-44.464690900560718</v>
      </c>
      <c r="T25" s="647">
        <f t="shared" ca="1" si="29"/>
        <v>-44.464690900560718</v>
      </c>
      <c r="U25" s="647">
        <f t="shared" ca="1" si="29"/>
        <v>-44.464690900560718</v>
      </c>
      <c r="V25" s="647">
        <f t="shared" ca="1" si="29"/>
        <v>-44.464690900560718</v>
      </c>
      <c r="W25" s="647">
        <f t="shared" ca="1" si="29"/>
        <v>-44.464690900560718</v>
      </c>
      <c r="X25" s="647">
        <f t="shared" ca="1" si="29"/>
        <v>-44.464690900560718</v>
      </c>
      <c r="Y25" s="647">
        <f t="shared" ca="1" si="29"/>
        <v>-44.464690900560718</v>
      </c>
      <c r="Z25" s="647">
        <f t="shared" ca="1" si="29"/>
        <v>-44.464690900560718</v>
      </c>
      <c r="AA25" s="647">
        <f t="shared" ca="1" si="29"/>
        <v>-44.464690900560718</v>
      </c>
      <c r="AB25" s="647">
        <f t="shared" ca="1" si="29"/>
        <v>-44.48070844051049</v>
      </c>
      <c r="AC25" s="473">
        <f t="shared" ca="1" si="30"/>
        <v>-533.59230834667824</v>
      </c>
      <c r="AE25" s="105">
        <f t="shared" ca="1" si="31"/>
        <v>32779.407691653323</v>
      </c>
      <c r="AF25" s="623">
        <f ca="1">'Rate Design Work'!C449</f>
        <v>32779.407691653323</v>
      </c>
      <c r="AG25" s="69">
        <f t="shared" ca="1" si="32"/>
        <v>0</v>
      </c>
    </row>
    <row r="26" spans="1:33" s="3" customFormat="1">
      <c r="A26" s="53" t="s">
        <v>156</v>
      </c>
      <c r="C26" s="60" t="s">
        <v>57</v>
      </c>
      <c r="D26" s="798">
        <v>19</v>
      </c>
      <c r="E26" s="798">
        <v>16</v>
      </c>
      <c r="F26" s="798">
        <v>1126</v>
      </c>
      <c r="G26" s="798">
        <v>2731</v>
      </c>
      <c r="H26" s="798">
        <v>1559</v>
      </c>
      <c r="I26" s="798">
        <v>253</v>
      </c>
      <c r="J26" s="798">
        <v>1705</v>
      </c>
      <c r="K26" s="798">
        <v>1199</v>
      </c>
      <c r="L26" s="798">
        <v>572</v>
      </c>
      <c r="M26" s="798">
        <v>337</v>
      </c>
      <c r="N26" s="798">
        <v>16</v>
      </c>
      <c r="O26" s="798">
        <v>19</v>
      </c>
      <c r="P26" s="473">
        <f t="shared" si="28"/>
        <v>9552</v>
      </c>
      <c r="Q26" s="647">
        <f t="shared" ca="1" si="29"/>
        <v>-0.30433325904562453</v>
      </c>
      <c r="R26" s="647">
        <f t="shared" ca="1" si="29"/>
        <v>-0.25628063919631539</v>
      </c>
      <c r="S26" s="647">
        <f t="shared" ca="1" si="29"/>
        <v>-18.035749983440695</v>
      </c>
      <c r="T26" s="647">
        <f t="shared" ca="1" si="29"/>
        <v>-43.743901602821083</v>
      </c>
      <c r="U26" s="647">
        <f t="shared" ca="1" si="29"/>
        <v>-24.971344781690981</v>
      </c>
      <c r="V26" s="647">
        <f t="shared" ca="1" si="29"/>
        <v>-4.0524376072917372</v>
      </c>
      <c r="W26" s="647">
        <f t="shared" ca="1" si="29"/>
        <v>-27.309905614357362</v>
      </c>
      <c r="X26" s="647">
        <f t="shared" ca="1" si="29"/>
        <v>-19.205030399773886</v>
      </c>
      <c r="Y26" s="647">
        <f t="shared" ca="1" si="29"/>
        <v>-9.1620328512682754</v>
      </c>
      <c r="Z26" s="647">
        <f t="shared" ca="1" si="29"/>
        <v>-5.3979109630723929</v>
      </c>
      <c r="AA26" s="647">
        <f t="shared" ca="1" si="29"/>
        <v>-0.25628063919631539</v>
      </c>
      <c r="AB26" s="647">
        <f t="shared" ca="1" si="29"/>
        <v>-0.30433325904562453</v>
      </c>
      <c r="AC26" s="473">
        <f t="shared" ca="1" si="30"/>
        <v>-152.99954160020027</v>
      </c>
      <c r="AE26" s="105">
        <f t="shared" ca="1" si="31"/>
        <v>9399.0004583997998</v>
      </c>
      <c r="AF26" s="623">
        <f ca="1">'Rate Design Work'!C555</f>
        <v>9399.0004583997998</v>
      </c>
      <c r="AG26" s="69">
        <f t="shared" ca="1" si="32"/>
        <v>0</v>
      </c>
    </row>
    <row r="27" spans="1:33" s="3" customFormat="1">
      <c r="A27" s="53">
        <v>36</v>
      </c>
      <c r="C27" s="60" t="s">
        <v>53</v>
      </c>
      <c r="D27" s="798">
        <v>9306060</v>
      </c>
      <c r="E27" s="798">
        <v>8396600</v>
      </c>
      <c r="F27" s="798">
        <v>8235040</v>
      </c>
      <c r="G27" s="798">
        <v>7524980</v>
      </c>
      <c r="H27" s="798">
        <v>7317380</v>
      </c>
      <c r="I27" s="798">
        <v>7718940</v>
      </c>
      <c r="J27" s="798">
        <v>8262261</v>
      </c>
      <c r="K27" s="798">
        <v>8758418</v>
      </c>
      <c r="L27" s="798">
        <v>10011500</v>
      </c>
      <c r="M27" s="798">
        <v>11000280</v>
      </c>
      <c r="N27" s="798">
        <v>9897360</v>
      </c>
      <c r="O27" s="798">
        <v>9178940</v>
      </c>
      <c r="P27" s="473">
        <f t="shared" si="28"/>
        <v>105607759</v>
      </c>
      <c r="Q27" s="647">
        <f t="shared" ca="1" si="29"/>
        <v>-149060.18782495393</v>
      </c>
      <c r="R27" s="647">
        <f t="shared" ca="1" si="29"/>
        <v>-134492.87594223637</v>
      </c>
      <c r="S27" s="647">
        <f t="shared" ca="1" si="29"/>
        <v>-131905.08218795157</v>
      </c>
      <c r="T27" s="647">
        <f t="shared" ca="1" si="29"/>
        <v>-120531.6677712181</v>
      </c>
      <c r="U27" s="647">
        <f t="shared" ca="1" si="29"/>
        <v>-117206.4264776459</v>
      </c>
      <c r="V27" s="647">
        <f t="shared" ca="1" si="29"/>
        <v>-123638.42981987541</v>
      </c>
      <c r="W27" s="647">
        <f t="shared" ca="1" si="29"/>
        <v>-132341.09564292425</v>
      </c>
      <c r="X27" s="647">
        <f t="shared" ca="1" si="29"/>
        <v>-140288.31021178214</v>
      </c>
      <c r="Y27" s="647">
        <f t="shared" ca="1" si="29"/>
        <v>-160359.60120711947</v>
      </c>
      <c r="Z27" s="647">
        <f t="shared" ca="1" si="29"/>
        <v>-176197.42435865276</v>
      </c>
      <c r="AA27" s="647">
        <f t="shared" ca="1" si="29"/>
        <v>-158531.35919725275</v>
      </c>
      <c r="AB27" s="647">
        <f t="shared" ca="1" si="29"/>
        <v>-147024.03814653921</v>
      </c>
      <c r="AC27" s="473">
        <f t="shared" ca="1" si="30"/>
        <v>-1691576.4987881514</v>
      </c>
      <c r="AE27" s="105">
        <f t="shared" ca="1" si="31"/>
        <v>103916182.50121185</v>
      </c>
      <c r="AF27" s="623">
        <f ca="1">'Rate Design Work'!C714</f>
        <v>103916182.50121185</v>
      </c>
      <c r="AG27" s="69">
        <f t="shared" ca="1" si="32"/>
        <v>0</v>
      </c>
    </row>
    <row r="28" spans="1:33" s="3" customFormat="1">
      <c r="A28" s="53">
        <v>47</v>
      </c>
      <c r="C28" s="60" t="s">
        <v>165</v>
      </c>
      <c r="D28" s="798">
        <v>434000</v>
      </c>
      <c r="E28" s="798">
        <v>84000</v>
      </c>
      <c r="F28" s="798">
        <v>138000</v>
      </c>
      <c r="G28" s="798">
        <v>69000</v>
      </c>
      <c r="H28" s="798">
        <v>140000</v>
      </c>
      <c r="I28" s="798">
        <v>135000</v>
      </c>
      <c r="J28" s="798">
        <v>113000</v>
      </c>
      <c r="K28" s="798">
        <v>97000</v>
      </c>
      <c r="L28" s="798">
        <v>72000</v>
      </c>
      <c r="M28" s="798">
        <v>333000</v>
      </c>
      <c r="N28" s="798">
        <v>277000</v>
      </c>
      <c r="O28" s="798">
        <v>135000</v>
      </c>
      <c r="P28" s="473">
        <f t="shared" si="28"/>
        <v>2027000</v>
      </c>
      <c r="Q28" s="647">
        <f t="shared" ca="1" si="29"/>
        <v>-6951.6123382000551</v>
      </c>
      <c r="R28" s="647">
        <f t="shared" ca="1" si="29"/>
        <v>-1345.4733557806558</v>
      </c>
      <c r="S28" s="647">
        <f t="shared" ca="1" si="29"/>
        <v>-2210.4205130682203</v>
      </c>
      <c r="T28" s="647">
        <f t="shared" ca="1" si="29"/>
        <v>-1105.2102565341102</v>
      </c>
      <c r="U28" s="647">
        <f t="shared" ca="1" si="29"/>
        <v>-2242.4555929677595</v>
      </c>
      <c r="V28" s="647">
        <f t="shared" ca="1" si="29"/>
        <v>-2162.3678932189109</v>
      </c>
      <c r="W28" s="647">
        <f t="shared" ca="1" si="29"/>
        <v>-1809.9820143239774</v>
      </c>
      <c r="X28" s="647">
        <f t="shared" ca="1" si="29"/>
        <v>-1553.701375127662</v>
      </c>
      <c r="Y28" s="647">
        <f t="shared" ca="1" si="29"/>
        <v>-1153.2628763834193</v>
      </c>
      <c r="Z28" s="647">
        <f t="shared" ca="1" si="29"/>
        <v>-5333.8408032733141</v>
      </c>
      <c r="AA28" s="647">
        <f t="shared" ca="1" si="29"/>
        <v>-4436.85856608621</v>
      </c>
      <c r="AB28" s="647">
        <f t="shared" ca="1" si="29"/>
        <v>-2162.3678932189109</v>
      </c>
      <c r="AC28" s="473">
        <f t="shared" ca="1" si="30"/>
        <v>-32467.553478183199</v>
      </c>
      <c r="AE28" s="105">
        <f t="shared" ca="1" si="31"/>
        <v>1994532.4465218168</v>
      </c>
      <c r="AF28" s="623">
        <f ca="1">'Rate Design Work'!C898</f>
        <v>1994532.4465218168</v>
      </c>
      <c r="AG28" s="69">
        <f t="shared" ca="1" si="32"/>
        <v>0</v>
      </c>
    </row>
    <row r="29" spans="1:33" s="3" customFormat="1">
      <c r="A29" s="53" t="s">
        <v>586</v>
      </c>
      <c r="C29" s="60" t="s">
        <v>587</v>
      </c>
      <c r="D29" s="798">
        <v>39276000</v>
      </c>
      <c r="E29" s="798">
        <v>40014000</v>
      </c>
      <c r="F29" s="798">
        <v>36072000</v>
      </c>
      <c r="G29" s="798">
        <v>38592000</v>
      </c>
      <c r="H29" s="798">
        <v>34506000</v>
      </c>
      <c r="I29" s="798">
        <v>38682000</v>
      </c>
      <c r="J29" s="798">
        <v>37512000</v>
      </c>
      <c r="K29" s="798">
        <v>38106000</v>
      </c>
      <c r="L29" s="798">
        <v>38520000</v>
      </c>
      <c r="M29" s="798">
        <v>36810000</v>
      </c>
      <c r="N29" s="798">
        <v>38394000</v>
      </c>
      <c r="O29" s="798">
        <v>38790000</v>
      </c>
      <c r="P29" s="473">
        <f t="shared" si="28"/>
        <v>455274000</v>
      </c>
      <c r="Q29" s="647">
        <f t="shared" ca="1" si="29"/>
        <v>-629104.8990671552</v>
      </c>
      <c r="R29" s="647">
        <f t="shared" ca="1" si="29"/>
        <v>-640925.84355008521</v>
      </c>
      <c r="S29" s="647">
        <f t="shared" ca="1" si="29"/>
        <v>-577784.70106809307</v>
      </c>
      <c r="T29" s="647">
        <f t="shared" ca="1" si="29"/>
        <v>-618148.9017415127</v>
      </c>
      <c r="U29" s="647">
        <f t="shared" ca="1" si="29"/>
        <v>-552701.23350675369</v>
      </c>
      <c r="V29" s="647">
        <f t="shared" ca="1" si="29"/>
        <v>-619590.48033699207</v>
      </c>
      <c r="W29" s="647">
        <f t="shared" ca="1" si="29"/>
        <v>-600849.95859576145</v>
      </c>
      <c r="X29" s="647">
        <f t="shared" ca="1" si="29"/>
        <v>-610364.37732592458</v>
      </c>
      <c r="Y29" s="647">
        <f t="shared" ca="1" si="29"/>
        <v>-616995.63886512932</v>
      </c>
      <c r="Z29" s="647">
        <f t="shared" ca="1" si="29"/>
        <v>-589605.64555102307</v>
      </c>
      <c r="AA29" s="647">
        <f t="shared" ca="1" si="29"/>
        <v>-614977.42883145832</v>
      </c>
      <c r="AB29" s="647">
        <f t="shared" ca="1" si="29"/>
        <v>-621320.37465156708</v>
      </c>
      <c r="AC29" s="473">
        <f t="shared" ca="1" si="30"/>
        <v>-7292369.4830914559</v>
      </c>
      <c r="AE29" s="105">
        <f t="shared" ca="1" si="31"/>
        <v>447981630.51690853</v>
      </c>
      <c r="AF29" s="623">
        <f ca="1">'Rate Design Work'!C1104</f>
        <v>447981630.51690853</v>
      </c>
      <c r="AG29" s="69">
        <f t="shared" ca="1" si="32"/>
        <v>0</v>
      </c>
    </row>
    <row r="30" spans="1:33" s="3" customFormat="1">
      <c r="A30" s="53" t="s">
        <v>155</v>
      </c>
      <c r="C30" s="60" t="s">
        <v>54</v>
      </c>
      <c r="D30" s="798">
        <v>16791250</v>
      </c>
      <c r="E30" s="798">
        <v>17249200</v>
      </c>
      <c r="F30" s="798">
        <v>17993800</v>
      </c>
      <c r="G30" s="798">
        <v>17603200</v>
      </c>
      <c r="H30" s="798">
        <v>18548000</v>
      </c>
      <c r="I30" s="798">
        <v>19387800</v>
      </c>
      <c r="J30" s="798">
        <v>20395504</v>
      </c>
      <c r="K30" s="798">
        <v>19259200</v>
      </c>
      <c r="L30" s="798">
        <v>19190150</v>
      </c>
      <c r="M30" s="798">
        <v>18538550</v>
      </c>
      <c r="N30" s="798">
        <v>18399350</v>
      </c>
      <c r="O30" s="798">
        <v>17776351</v>
      </c>
      <c r="P30" s="473">
        <f t="shared" si="28"/>
        <v>221132355</v>
      </c>
      <c r="Q30" s="647">
        <f t="shared" ca="1" si="29"/>
        <v>-268954.51768157067</v>
      </c>
      <c r="R30" s="647">
        <f t="shared" ca="1" si="29"/>
        <v>-276289.75010156771</v>
      </c>
      <c r="S30" s="647">
        <f t="shared" ca="1" si="29"/>
        <v>-288216.41034816625</v>
      </c>
      <c r="T30" s="647">
        <f t="shared" ca="1" si="29"/>
        <v>-281959.95924378617</v>
      </c>
      <c r="U30" s="647">
        <f t="shared" ca="1" si="29"/>
        <v>-297093.33098832861</v>
      </c>
      <c r="V30" s="647">
        <f t="shared" ca="1" si="29"/>
        <v>-310544.86103814526</v>
      </c>
      <c r="W30" s="647">
        <f t="shared" ca="1" si="29"/>
        <v>-326685.80011568801</v>
      </c>
      <c r="X30" s="647">
        <f t="shared" ca="1" si="29"/>
        <v>-308485.00540060486</v>
      </c>
      <c r="Y30" s="647">
        <f t="shared" ca="1" si="29"/>
        <v>-307378.99426707323</v>
      </c>
      <c r="Z30" s="647">
        <f t="shared" ca="1" si="29"/>
        <v>-296941.96523580328</v>
      </c>
      <c r="AA30" s="647">
        <f t="shared" ca="1" si="29"/>
        <v>-294712.32367479539</v>
      </c>
      <c r="AB30" s="647">
        <f t="shared" ca="1" si="29"/>
        <v>-284733.41230362881</v>
      </c>
      <c r="AC30" s="473">
        <f t="shared" ca="1" si="30"/>
        <v>-3541996.3303991579</v>
      </c>
      <c r="AE30" s="105">
        <f t="shared" ca="1" si="31"/>
        <v>217590358.66960084</v>
      </c>
      <c r="AF30" s="623">
        <f ca="1">'Rate Design Work'!C1085</f>
        <v>217590358.66960084</v>
      </c>
      <c r="AG30" s="69">
        <f t="shared" ca="1" si="32"/>
        <v>0</v>
      </c>
    </row>
    <row r="31" spans="1:33" s="3" customFormat="1">
      <c r="A31" s="53" t="s">
        <v>151</v>
      </c>
      <c r="C31" s="60" t="s">
        <v>55</v>
      </c>
      <c r="D31" s="798">
        <v>12435</v>
      </c>
      <c r="E31" s="798">
        <v>12435</v>
      </c>
      <c r="F31" s="798">
        <v>12435</v>
      </c>
      <c r="G31" s="798">
        <v>12435</v>
      </c>
      <c r="H31" s="798">
        <v>12587</v>
      </c>
      <c r="I31" s="798">
        <v>12435</v>
      </c>
      <c r="J31" s="798">
        <v>12435</v>
      </c>
      <c r="K31" s="798">
        <v>12435</v>
      </c>
      <c r="L31" s="798">
        <v>12435</v>
      </c>
      <c r="M31" s="798">
        <v>12435</v>
      </c>
      <c r="N31" s="798">
        <v>12435</v>
      </c>
      <c r="O31" s="798">
        <v>12435</v>
      </c>
      <c r="P31" s="473">
        <f t="shared" si="28"/>
        <v>149372</v>
      </c>
      <c r="Q31" s="647">
        <f t="shared" ca="1" si="29"/>
        <v>-199.17810927538636</v>
      </c>
      <c r="R31" s="647">
        <f t="shared" ca="1" si="29"/>
        <v>-199.17810927538636</v>
      </c>
      <c r="S31" s="647">
        <f t="shared" ca="1" si="29"/>
        <v>-199.17810927538636</v>
      </c>
      <c r="T31" s="647">
        <f t="shared" ca="1" si="29"/>
        <v>-199.17810927538636</v>
      </c>
      <c r="U31" s="647">
        <f t="shared" ca="1" si="29"/>
        <v>-201.61277534775138</v>
      </c>
      <c r="V31" s="647">
        <f t="shared" ca="1" si="29"/>
        <v>-199.17810927538636</v>
      </c>
      <c r="W31" s="647">
        <f t="shared" ca="1" si="29"/>
        <v>-199.17810927538636</v>
      </c>
      <c r="X31" s="647">
        <f t="shared" ca="1" si="29"/>
        <v>-199.17810927538636</v>
      </c>
      <c r="Y31" s="647">
        <f t="shared" ca="1" si="29"/>
        <v>-199.17810927538636</v>
      </c>
      <c r="Z31" s="647">
        <f t="shared" ca="1" si="29"/>
        <v>-199.17810927538636</v>
      </c>
      <c r="AA31" s="647">
        <f t="shared" ca="1" si="29"/>
        <v>-199.17810927538636</v>
      </c>
      <c r="AB31" s="647">
        <f t="shared" ca="1" si="29"/>
        <v>-199.17810927538636</v>
      </c>
      <c r="AC31" s="473">
        <f t="shared" ca="1" si="30"/>
        <v>-2392.5719773770011</v>
      </c>
      <c r="AE31" s="105">
        <f t="shared" ca="1" si="31"/>
        <v>146979.428022623</v>
      </c>
      <c r="AF31" s="623">
        <f ca="1">'Rate Design Work'!C83</f>
        <v>146979.428022623</v>
      </c>
      <c r="AG31" s="69">
        <f t="shared" ca="1" si="32"/>
        <v>0</v>
      </c>
    </row>
    <row r="32" spans="1:33" s="3" customFormat="1">
      <c r="A32" s="53"/>
      <c r="B32" s="3" t="s">
        <v>275</v>
      </c>
      <c r="C32" s="60"/>
      <c r="D32" s="473">
        <f t="shared" ref="D32:O32" si="33">SUM(D24:D31)</f>
        <v>67621883</v>
      </c>
      <c r="E32" s="473">
        <f t="shared" si="33"/>
        <v>67416240</v>
      </c>
      <c r="F32" s="473">
        <f t="shared" si="33"/>
        <v>63973797</v>
      </c>
      <c r="G32" s="473">
        <f t="shared" si="33"/>
        <v>65147440</v>
      </c>
      <c r="H32" s="473">
        <f t="shared" si="33"/>
        <v>61853899</v>
      </c>
      <c r="I32" s="473">
        <f t="shared" si="33"/>
        <v>67330237</v>
      </c>
      <c r="J32" s="473">
        <f t="shared" si="33"/>
        <v>67831806</v>
      </c>
      <c r="K32" s="473">
        <f t="shared" si="33"/>
        <v>67839657</v>
      </c>
      <c r="L32" s="473">
        <f t="shared" si="33"/>
        <v>69402492</v>
      </c>
      <c r="M32" s="473">
        <f t="shared" si="33"/>
        <v>68312035</v>
      </c>
      <c r="N32" s="473">
        <f t="shared" si="33"/>
        <v>68453389</v>
      </c>
      <c r="O32" s="473">
        <f t="shared" si="33"/>
        <v>67749413</v>
      </c>
      <c r="P32" s="473">
        <f t="shared" si="28"/>
        <v>802932288</v>
      </c>
      <c r="Q32" s="473">
        <f t="shared" ref="Q32:AF32" ca="1" si="34">SUM(Q24:Q31)</f>
        <v>-1083136.2124311533</v>
      </c>
      <c r="R32" s="473">
        <f t="shared" ca="1" si="34"/>
        <v>-1079842.3174632627</v>
      </c>
      <c r="S32" s="473">
        <f t="shared" ca="1" si="34"/>
        <v>-1024702.8491859578</v>
      </c>
      <c r="T32" s="473">
        <f t="shared" ca="1" si="34"/>
        <v>-1043501.7228252253</v>
      </c>
      <c r="U32" s="473">
        <f t="shared" ca="1" si="34"/>
        <v>-990747.29828152095</v>
      </c>
      <c r="V32" s="473">
        <f t="shared" ca="1" si="34"/>
        <v>-1078464.760974963</v>
      </c>
      <c r="W32" s="473">
        <f t="shared" ca="1" si="34"/>
        <v>-1086498.662470029</v>
      </c>
      <c r="X32" s="473">
        <f t="shared" ca="1" si="34"/>
        <v>-1086624.4161761745</v>
      </c>
      <c r="Y32" s="473">
        <f t="shared" ca="1" si="34"/>
        <v>-1111657.1882235729</v>
      </c>
      <c r="Z32" s="473">
        <f t="shared" ca="1" si="34"/>
        <v>-1094190.7496625667</v>
      </c>
      <c r="AA32" s="473">
        <f t="shared" ca="1" si="34"/>
        <v>-1096454.8930046267</v>
      </c>
      <c r="AB32" s="473">
        <f t="shared" ca="1" si="34"/>
        <v>-1085178.9293009476</v>
      </c>
      <c r="AC32" s="630">
        <f t="shared" ca="1" si="34"/>
        <v>-12860999.999999998</v>
      </c>
      <c r="AD32" s="107">
        <f t="shared" si="34"/>
        <v>0</v>
      </c>
      <c r="AE32" s="107">
        <f t="shared" ca="1" si="34"/>
        <v>790071288</v>
      </c>
      <c r="AF32" s="626">
        <f t="shared" ca="1" si="34"/>
        <v>790071288</v>
      </c>
      <c r="AG32" s="69">
        <f t="shared" ca="1" si="32"/>
        <v>0</v>
      </c>
    </row>
    <row r="33" spans="1:33" s="3" customFormat="1">
      <c r="A33" s="53"/>
      <c r="B33" s="60" t="s">
        <v>277</v>
      </c>
      <c r="D33" s="647"/>
      <c r="E33" s="647"/>
      <c r="F33" s="647"/>
      <c r="G33" s="647"/>
      <c r="H33" s="647"/>
      <c r="I33" s="647"/>
      <c r="J33" s="647"/>
      <c r="K33" s="647"/>
      <c r="L33" s="647"/>
      <c r="M33" s="647"/>
      <c r="N33" s="647"/>
      <c r="O33" s="647"/>
      <c r="P33" s="473"/>
      <c r="Q33" s="20"/>
      <c r="R33" s="647"/>
      <c r="S33" s="647"/>
      <c r="T33" s="647"/>
      <c r="U33" s="647"/>
      <c r="V33" s="647"/>
      <c r="W33" s="647"/>
      <c r="X33" s="647"/>
      <c r="Y33" s="647"/>
      <c r="Z33" s="647"/>
      <c r="AA33" s="647"/>
      <c r="AB33" s="647"/>
      <c r="AC33" s="473">
        <f ca="1">'Table 2'!G95</f>
        <v>-12861000</v>
      </c>
      <c r="AE33" s="105"/>
      <c r="AF33" s="623"/>
      <c r="AG33" s="69"/>
    </row>
    <row r="34" spans="1:33" s="3" customFormat="1">
      <c r="A34" s="53">
        <v>40</v>
      </c>
      <c r="C34" s="60" t="s">
        <v>58</v>
      </c>
      <c r="D34" s="798">
        <v>412913</v>
      </c>
      <c r="E34" s="798">
        <v>454290</v>
      </c>
      <c r="F34" s="798">
        <v>1065370</v>
      </c>
      <c r="G34" s="798">
        <v>7766705</v>
      </c>
      <c r="H34" s="798">
        <v>20729708</v>
      </c>
      <c r="I34" s="798">
        <v>19020337</v>
      </c>
      <c r="J34" s="798">
        <v>27335104</v>
      </c>
      <c r="K34" s="798">
        <v>34284090</v>
      </c>
      <c r="L34" s="798">
        <v>25826069</v>
      </c>
      <c r="M34" s="798">
        <v>13786131</v>
      </c>
      <c r="N34" s="798">
        <v>4545104</v>
      </c>
      <c r="O34" s="798">
        <v>658758</v>
      </c>
      <c r="P34" s="473">
        <f>SUM(D34:O34)</f>
        <v>155884579</v>
      </c>
      <c r="Q34" s="647">
        <f t="shared" ref="Q34:AB35" si="35">D34/$P$36*$AC$37</f>
        <v>-542.50464381508937</v>
      </c>
      <c r="R34" s="647">
        <f t="shared" si="35"/>
        <v>-596.8677049130373</v>
      </c>
      <c r="S34" s="647">
        <f t="shared" si="35"/>
        <v>-1399.7335331686863</v>
      </c>
      <c r="T34" s="647">
        <f t="shared" si="35"/>
        <v>-10204.264650524139</v>
      </c>
      <c r="U34" s="647">
        <f t="shared" si="35"/>
        <v>-27235.671569872615</v>
      </c>
      <c r="V34" s="647">
        <f t="shared" si="35"/>
        <v>-24989.819040398259</v>
      </c>
      <c r="W34" s="647">
        <f t="shared" si="35"/>
        <v>-35914.153487946431</v>
      </c>
      <c r="X34" s="647">
        <f t="shared" si="35"/>
        <v>-45044.060211169104</v>
      </c>
      <c r="Y34" s="647">
        <f t="shared" si="35"/>
        <v>-33931.511877777935</v>
      </c>
      <c r="Z34" s="647">
        <f t="shared" si="35"/>
        <v>-18112.871446874189</v>
      </c>
      <c r="AA34" s="647">
        <f t="shared" si="35"/>
        <v>-5971.5727686523269</v>
      </c>
      <c r="AB34" s="647">
        <f t="shared" si="35"/>
        <v>-865.50744139889184</v>
      </c>
      <c r="AC34" s="473">
        <f>SUM(Q34:AB34)</f>
        <v>-204808.5383765107</v>
      </c>
      <c r="AD34" s="264">
        <f>Temperature!B92*1000</f>
        <v>-12612802.441529689</v>
      </c>
      <c r="AE34" s="105">
        <f>P34+AC34+AD34</f>
        <v>143066968.0200938</v>
      </c>
      <c r="AF34" s="623">
        <f>'Rate Design Work'!C821</f>
        <v>143066968.0200938</v>
      </c>
      <c r="AG34" s="69">
        <f>AF34-AE34</f>
        <v>0</v>
      </c>
    </row>
    <row r="35" spans="1:33" s="3" customFormat="1">
      <c r="A35" s="53" t="s">
        <v>157</v>
      </c>
      <c r="C35" s="60" t="s">
        <v>59</v>
      </c>
      <c r="D35" s="798">
        <v>53605</v>
      </c>
      <c r="E35" s="798">
        <v>34819</v>
      </c>
      <c r="F35" s="798">
        <v>28323</v>
      </c>
      <c r="G35" s="798">
        <v>302517</v>
      </c>
      <c r="H35" s="798">
        <v>563581</v>
      </c>
      <c r="I35" s="798">
        <v>671325</v>
      </c>
      <c r="J35" s="798">
        <v>811040</v>
      </c>
      <c r="K35" s="798">
        <v>1032078</v>
      </c>
      <c r="L35" s="798">
        <v>1044275</v>
      </c>
      <c r="M35" s="798">
        <v>636231</v>
      </c>
      <c r="N35" s="798">
        <v>225250</v>
      </c>
      <c r="O35" s="798">
        <v>70546</v>
      </c>
      <c r="P35" s="473">
        <f>SUM(D35:O35)</f>
        <v>5473590</v>
      </c>
      <c r="Q35" s="647">
        <f t="shared" si="35"/>
        <v>-70.428786285992132</v>
      </c>
      <c r="R35" s="647">
        <f t="shared" si="35"/>
        <v>-45.746850288069396</v>
      </c>
      <c r="S35" s="647">
        <f t="shared" si="35"/>
        <v>-37.212098012837515</v>
      </c>
      <c r="T35" s="647">
        <f t="shared" si="35"/>
        <v>-397.46115364013582</v>
      </c>
      <c r="U35" s="647">
        <f t="shared" si="35"/>
        <v>-740.45939378501498</v>
      </c>
      <c r="V35" s="647">
        <f t="shared" si="35"/>
        <v>-882.01856083282655</v>
      </c>
      <c r="W35" s="647">
        <f t="shared" si="35"/>
        <v>-1065.5827409642955</v>
      </c>
      <c r="X35" s="647">
        <f t="shared" si="35"/>
        <v>-1355.992927758123</v>
      </c>
      <c r="Y35" s="647">
        <f t="shared" si="35"/>
        <v>-1372.017923678844</v>
      </c>
      <c r="Z35" s="647">
        <f t="shared" si="35"/>
        <v>-835.91040252817936</v>
      </c>
      <c r="AA35" s="647">
        <f t="shared" si="35"/>
        <v>-295.94411176046498</v>
      </c>
      <c r="AB35" s="647">
        <f t="shared" si="35"/>
        <v>-92.686673954511718</v>
      </c>
      <c r="AC35" s="473">
        <f>SUM(Q35:AB35)</f>
        <v>-7191.4616234892947</v>
      </c>
      <c r="AE35" s="105">
        <f>P35+AC35+AD35</f>
        <v>5466398.5383765111</v>
      </c>
      <c r="AF35" s="623">
        <f>'Rate Design Work'!C874</f>
        <v>5466398.5383765111</v>
      </c>
      <c r="AG35" s="69">
        <f>AF35-AE35</f>
        <v>0</v>
      </c>
    </row>
    <row r="36" spans="1:33" s="3" customFormat="1">
      <c r="A36" s="53"/>
      <c r="B36" s="60" t="s">
        <v>277</v>
      </c>
      <c r="C36" s="60"/>
      <c r="D36" s="473">
        <f t="shared" ref="D36:AC36" si="36">SUM(D34:D35)</f>
        <v>466518</v>
      </c>
      <c r="E36" s="473">
        <f t="shared" si="36"/>
        <v>489109</v>
      </c>
      <c r="F36" s="473">
        <f t="shared" si="36"/>
        <v>1093693</v>
      </c>
      <c r="G36" s="473">
        <f t="shared" si="36"/>
        <v>8069222</v>
      </c>
      <c r="H36" s="473">
        <f t="shared" si="36"/>
        <v>21293289</v>
      </c>
      <c r="I36" s="473">
        <f t="shared" si="36"/>
        <v>19691662</v>
      </c>
      <c r="J36" s="473">
        <f t="shared" si="36"/>
        <v>28146144</v>
      </c>
      <c r="K36" s="473">
        <f t="shared" si="36"/>
        <v>35316168</v>
      </c>
      <c r="L36" s="473">
        <f t="shared" si="36"/>
        <v>26870344</v>
      </c>
      <c r="M36" s="473">
        <f t="shared" si="36"/>
        <v>14422362</v>
      </c>
      <c r="N36" s="473">
        <f t="shared" si="36"/>
        <v>4770354</v>
      </c>
      <c r="O36" s="473">
        <f t="shared" si="36"/>
        <v>729304</v>
      </c>
      <c r="P36" s="473">
        <f t="shared" si="36"/>
        <v>161358169</v>
      </c>
      <c r="Q36" s="473">
        <f t="shared" si="36"/>
        <v>-612.93343010108151</v>
      </c>
      <c r="R36" s="473">
        <f t="shared" si="36"/>
        <v>-642.61455520110667</v>
      </c>
      <c r="S36" s="473">
        <f t="shared" si="36"/>
        <v>-1436.9456311815238</v>
      </c>
      <c r="T36" s="473">
        <f t="shared" si="36"/>
        <v>-10601.725804164274</v>
      </c>
      <c r="U36" s="473">
        <f t="shared" si="36"/>
        <v>-27976.13096365763</v>
      </c>
      <c r="V36" s="473">
        <f t="shared" si="36"/>
        <v>-25871.837601231084</v>
      </c>
      <c r="W36" s="473">
        <f t="shared" si="36"/>
        <v>-36979.736228910726</v>
      </c>
      <c r="X36" s="473">
        <f t="shared" si="36"/>
        <v>-46400.053138927229</v>
      </c>
      <c r="Y36" s="473">
        <f t="shared" si="36"/>
        <v>-35303.529801456782</v>
      </c>
      <c r="Z36" s="473">
        <f t="shared" si="36"/>
        <v>-18948.781849402367</v>
      </c>
      <c r="AA36" s="473">
        <f t="shared" si="36"/>
        <v>-6267.5168804127916</v>
      </c>
      <c r="AB36" s="473">
        <f t="shared" si="36"/>
        <v>-958.1941153534035</v>
      </c>
      <c r="AC36" s="630">
        <f t="shared" si="36"/>
        <v>-212000</v>
      </c>
      <c r="AD36" s="264">
        <f>SUM(AD34:AD35)</f>
        <v>-12612802.441529689</v>
      </c>
      <c r="AE36" s="631">
        <f>SUM(AE34:AE35)</f>
        <v>148533366.55847031</v>
      </c>
      <c r="AF36" s="623">
        <f>SUM(AF34:AF35)</f>
        <v>148533366.55847031</v>
      </c>
      <c r="AG36" s="69"/>
    </row>
    <row r="37" spans="1:33" s="3" customFormat="1">
      <c r="A37" s="53"/>
      <c r="B37" s="3" t="s">
        <v>578</v>
      </c>
      <c r="C37" s="60"/>
      <c r="D37" s="647"/>
      <c r="E37" s="647"/>
      <c r="F37" s="647"/>
      <c r="G37" s="647"/>
      <c r="H37" s="647"/>
      <c r="I37" s="647"/>
      <c r="J37" s="647"/>
      <c r="K37" s="647"/>
      <c r="L37" s="647"/>
      <c r="M37" s="647"/>
      <c r="N37" s="647"/>
      <c r="O37" s="647"/>
      <c r="P37" s="473"/>
      <c r="Q37" s="647"/>
      <c r="R37" s="647"/>
      <c r="S37" s="647"/>
      <c r="T37" s="647"/>
      <c r="U37" s="647"/>
      <c r="V37" s="647"/>
      <c r="W37" s="647"/>
      <c r="X37" s="647"/>
      <c r="Y37" s="647"/>
      <c r="Z37" s="647"/>
      <c r="AA37" s="647"/>
      <c r="AB37" s="647"/>
      <c r="AC37" s="473">
        <f>'Table 2'!G115</f>
        <v>-212000</v>
      </c>
      <c r="AE37" s="105"/>
      <c r="AF37" s="623"/>
      <c r="AG37" s="69"/>
    </row>
    <row r="38" spans="1:33" s="3" customFormat="1">
      <c r="A38" s="53">
        <v>52</v>
      </c>
      <c r="C38" s="60" t="s">
        <v>61</v>
      </c>
      <c r="D38" s="798">
        <v>18325.971213788798</v>
      </c>
      <c r="E38" s="798">
        <v>18325.971213788798</v>
      </c>
      <c r="F38" s="798">
        <v>18325.971213788798</v>
      </c>
      <c r="G38" s="798">
        <v>18325.971213788798</v>
      </c>
      <c r="H38" s="798">
        <v>18325.971213788798</v>
      </c>
      <c r="I38" s="798">
        <v>18325.971213788798</v>
      </c>
      <c r="J38" s="798">
        <v>18325.868453813298</v>
      </c>
      <c r="K38" s="798">
        <v>18326.113327702398</v>
      </c>
      <c r="L38" s="798">
        <v>18326.113327702398</v>
      </c>
      <c r="M38" s="798">
        <v>18326.113327702398</v>
      </c>
      <c r="N38" s="798">
        <v>18326.113327702398</v>
      </c>
      <c r="O38" s="798">
        <v>18275.103010754599</v>
      </c>
      <c r="P38" s="473">
        <f t="shared" ref="P38:P43" si="37">SUM(D38:O38)</f>
        <v>219861.25205811026</v>
      </c>
      <c r="Q38" s="647">
        <f t="shared" ref="Q38:AB42" si="38">D38/$P$43*$AC$44</f>
        <v>-1793.7771387689866</v>
      </c>
      <c r="R38" s="647">
        <f t="shared" si="38"/>
        <v>-1793.7771387689866</v>
      </c>
      <c r="S38" s="647">
        <f t="shared" si="38"/>
        <v>-1793.7771387689866</v>
      </c>
      <c r="T38" s="647">
        <f t="shared" si="38"/>
        <v>-1793.7771387689866</v>
      </c>
      <c r="U38" s="647">
        <f t="shared" si="38"/>
        <v>-1793.7771387689866</v>
      </c>
      <c r="V38" s="647">
        <f t="shared" si="38"/>
        <v>-1793.7771387689866</v>
      </c>
      <c r="W38" s="647">
        <f t="shared" si="38"/>
        <v>-1793.7670804483289</v>
      </c>
      <c r="X38" s="647">
        <f t="shared" si="38"/>
        <v>-1793.7910491198402</v>
      </c>
      <c r="Y38" s="647">
        <f t="shared" si="38"/>
        <v>-1793.7910491198402</v>
      </c>
      <c r="Z38" s="647">
        <f t="shared" si="38"/>
        <v>-1793.7910491198402</v>
      </c>
      <c r="AA38" s="647">
        <f t="shared" si="38"/>
        <v>-1793.7910491198402</v>
      </c>
      <c r="AB38" s="647">
        <f t="shared" si="38"/>
        <v>-1788.798072795973</v>
      </c>
      <c r="AC38" s="473">
        <f>SUM(Q38:AB38)</f>
        <v>-21520.392182337586</v>
      </c>
      <c r="AE38" s="105">
        <f>P38+AC38+AD38</f>
        <v>198340.85987577267</v>
      </c>
      <c r="AF38" s="623">
        <f>'Rate Design Work'!C1155</f>
        <v>198340.8598757734</v>
      </c>
      <c r="AG38" s="69">
        <f t="shared" ref="AG38:AG43" si="39">AF38-AE38</f>
        <v>7.2759576141834259E-10</v>
      </c>
    </row>
    <row r="39" spans="1:33" s="3" customFormat="1">
      <c r="A39" s="53" t="s">
        <v>158</v>
      </c>
      <c r="C39" s="60" t="s">
        <v>62</v>
      </c>
      <c r="D39" s="798">
        <v>288225.41490966902</v>
      </c>
      <c r="E39" s="798">
        <v>288532.29693214101</v>
      </c>
      <c r="F39" s="798">
        <v>288720.21828045603</v>
      </c>
      <c r="G39" s="798">
        <v>288720.21828045603</v>
      </c>
      <c r="H39" s="798">
        <v>288720.21828045603</v>
      </c>
      <c r="I39" s="798">
        <v>288720.21828045603</v>
      </c>
      <c r="J39" s="798">
        <v>288722.914206332</v>
      </c>
      <c r="K39" s="798">
        <v>288766.40919761901</v>
      </c>
      <c r="L39" s="798">
        <v>288779.95130511001</v>
      </c>
      <c r="M39" s="798">
        <v>288779.95130511001</v>
      </c>
      <c r="N39" s="798">
        <v>286993.52162532398</v>
      </c>
      <c r="O39" s="798">
        <v>286932.017887138</v>
      </c>
      <c r="P39" s="473">
        <f t="shared" si="37"/>
        <v>3460613.3504902674</v>
      </c>
      <c r="Q39" s="647">
        <f t="shared" si="38"/>
        <v>-28211.992371141598</v>
      </c>
      <c r="R39" s="647">
        <f t="shared" si="38"/>
        <v>-28242.030503897982</v>
      </c>
      <c r="S39" s="647">
        <f t="shared" si="38"/>
        <v>-28260.424564139685</v>
      </c>
      <c r="T39" s="647">
        <f t="shared" si="38"/>
        <v>-28260.424564139685</v>
      </c>
      <c r="U39" s="647">
        <f t="shared" si="38"/>
        <v>-28260.424564139685</v>
      </c>
      <c r="V39" s="647">
        <f t="shared" si="38"/>
        <v>-28260.424564139685</v>
      </c>
      <c r="W39" s="647">
        <f t="shared" si="38"/>
        <v>-28260.688445936055</v>
      </c>
      <c r="X39" s="647">
        <f t="shared" si="38"/>
        <v>-28264.945809440091</v>
      </c>
      <c r="Y39" s="647">
        <f t="shared" si="38"/>
        <v>-28266.271333885408</v>
      </c>
      <c r="Z39" s="647">
        <f t="shared" si="38"/>
        <v>-28266.271333885408</v>
      </c>
      <c r="AA39" s="647">
        <f t="shared" si="38"/>
        <v>-28091.412567480307</v>
      </c>
      <c r="AB39" s="647">
        <f t="shared" si="38"/>
        <v>-28085.392477291371</v>
      </c>
      <c r="AC39" s="473">
        <f>SUM(Q39:AB39)</f>
        <v>-338730.70309951692</v>
      </c>
      <c r="AE39" s="105">
        <f>P39+AC39+AD39</f>
        <v>3121882.6473907502</v>
      </c>
      <c r="AF39" s="623">
        <f>'Rate Design Work'!C1199</f>
        <v>3121882.6473907456</v>
      </c>
      <c r="AG39" s="69">
        <f t="shared" si="39"/>
        <v>-4.6566128730773926E-9</v>
      </c>
    </row>
    <row r="40" spans="1:33" s="3" customFormat="1">
      <c r="A40" s="53" t="s">
        <v>159</v>
      </c>
      <c r="C40" s="60" t="s">
        <v>63</v>
      </c>
      <c r="D40" s="798">
        <v>135178</v>
      </c>
      <c r="E40" s="798">
        <v>116243</v>
      </c>
      <c r="F40" s="798">
        <v>104552</v>
      </c>
      <c r="G40" s="798">
        <v>90141</v>
      </c>
      <c r="H40" s="798">
        <v>77014</v>
      </c>
      <c r="I40" s="798">
        <v>70855</v>
      </c>
      <c r="J40" s="798">
        <v>67521</v>
      </c>
      <c r="K40" s="798">
        <v>72941</v>
      </c>
      <c r="L40" s="798">
        <v>84165</v>
      </c>
      <c r="M40" s="798">
        <v>94601</v>
      </c>
      <c r="N40" s="798">
        <v>107929</v>
      </c>
      <c r="O40" s="798">
        <v>131781</v>
      </c>
      <c r="P40" s="473">
        <f t="shared" si="37"/>
        <v>1152921</v>
      </c>
      <c r="Q40" s="647">
        <f t="shared" si="38"/>
        <v>-13231.451868813821</v>
      </c>
      <c r="R40" s="647">
        <f t="shared" si="38"/>
        <v>-11378.061959686673</v>
      </c>
      <c r="S40" s="647">
        <f t="shared" si="38"/>
        <v>-10233.727054611125</v>
      </c>
      <c r="T40" s="647">
        <f t="shared" si="38"/>
        <v>-8823.1539370810842</v>
      </c>
      <c r="U40" s="647">
        <f t="shared" si="38"/>
        <v>-7538.2609169008838</v>
      </c>
      <c r="V40" s="647">
        <f t="shared" si="38"/>
        <v>-6935.4075527438144</v>
      </c>
      <c r="W40" s="647">
        <f t="shared" si="38"/>
        <v>-6609.0699790955487</v>
      </c>
      <c r="X40" s="647">
        <f t="shared" si="38"/>
        <v>-7139.5887700894291</v>
      </c>
      <c r="Y40" s="647">
        <f t="shared" si="38"/>
        <v>-8238.2129232472398</v>
      </c>
      <c r="Z40" s="647">
        <f t="shared" si="38"/>
        <v>-9259.70630014985</v>
      </c>
      <c r="AA40" s="647">
        <f t="shared" si="38"/>
        <v>-10564.27354117687</v>
      </c>
      <c r="AB40" s="647">
        <f t="shared" si="38"/>
        <v>-12898.947748332968</v>
      </c>
      <c r="AC40" s="473">
        <f>SUM(Q40:AB40)</f>
        <v>-112849.8625519293</v>
      </c>
      <c r="AE40" s="105">
        <f>P40+AC40+AD40</f>
        <v>1040071.1374480707</v>
      </c>
      <c r="AF40" s="623">
        <f>'Rate Design Work'!C1211</f>
        <v>1040071.1374480707</v>
      </c>
      <c r="AG40" s="69">
        <f t="shared" si="39"/>
        <v>0</v>
      </c>
    </row>
    <row r="41" spans="1:33" s="3" customFormat="1">
      <c r="A41" s="53">
        <v>51</v>
      </c>
      <c r="C41" s="60" t="s">
        <v>64</v>
      </c>
      <c r="D41" s="798">
        <v>293378.43330465403</v>
      </c>
      <c r="E41" s="798">
        <v>294222.42829052598</v>
      </c>
      <c r="F41" s="798">
        <v>294494.04476647201</v>
      </c>
      <c r="G41" s="798">
        <v>294572.10989095498</v>
      </c>
      <c r="H41" s="798">
        <v>294515</v>
      </c>
      <c r="I41" s="798">
        <v>293283.86622099002</v>
      </c>
      <c r="J41" s="798">
        <v>294713.75083853502</v>
      </c>
      <c r="K41" s="798">
        <v>294778.02386123402</v>
      </c>
      <c r="L41" s="798">
        <v>294820</v>
      </c>
      <c r="M41" s="798">
        <v>294895.34067086002</v>
      </c>
      <c r="N41" s="798">
        <v>294306.56839705398</v>
      </c>
      <c r="O41" s="798">
        <v>294368.22976572497</v>
      </c>
      <c r="P41" s="473">
        <f t="shared" si="37"/>
        <v>3532347.796007005</v>
      </c>
      <c r="Q41" s="647">
        <f t="shared" si="38"/>
        <v>-28716.378549901136</v>
      </c>
      <c r="R41" s="647">
        <f t="shared" si="38"/>
        <v>-28798.990210327273</v>
      </c>
      <c r="S41" s="647">
        <f t="shared" si="38"/>
        <v>-28825.576491587959</v>
      </c>
      <c r="T41" s="647">
        <f t="shared" si="38"/>
        <v>-28833.2176383517</v>
      </c>
      <c r="U41" s="647">
        <f t="shared" si="38"/>
        <v>-28827.627625380628</v>
      </c>
      <c r="V41" s="647">
        <f t="shared" si="38"/>
        <v>-28707.122163389464</v>
      </c>
      <c r="W41" s="647">
        <f t="shared" si="38"/>
        <v>-28847.081694489229</v>
      </c>
      <c r="X41" s="647">
        <f t="shared" si="38"/>
        <v>-28853.372846942329</v>
      </c>
      <c r="Y41" s="647">
        <f t="shared" si="38"/>
        <v>-28857.481542586003</v>
      </c>
      <c r="Z41" s="647">
        <f t="shared" si="38"/>
        <v>-28864.856015209127</v>
      </c>
      <c r="AA41" s="647">
        <f t="shared" si="38"/>
        <v>-28807.225986635272</v>
      </c>
      <c r="AB41" s="647">
        <f t="shared" si="38"/>
        <v>-28813.261505963379</v>
      </c>
      <c r="AC41" s="473">
        <f>SUM(Q41:AB41)</f>
        <v>-345752.19227076345</v>
      </c>
      <c r="AE41" s="105">
        <f>P41+AC41+AD41</f>
        <v>3186595.6037362413</v>
      </c>
      <c r="AF41" s="623">
        <f>'Rate Design Work'!C1139</f>
        <v>3186595.6037362386</v>
      </c>
      <c r="AG41" s="69">
        <f t="shared" si="39"/>
        <v>0</v>
      </c>
    </row>
    <row r="42" spans="1:33" s="3" customFormat="1">
      <c r="A42" s="53">
        <v>57</v>
      </c>
      <c r="C42" s="60" t="s">
        <v>65</v>
      </c>
      <c r="D42" s="798">
        <v>157246</v>
      </c>
      <c r="E42" s="798">
        <v>161968</v>
      </c>
      <c r="F42" s="798">
        <v>161930</v>
      </c>
      <c r="G42" s="798">
        <v>161892</v>
      </c>
      <c r="H42" s="798">
        <v>161892</v>
      </c>
      <c r="I42" s="798">
        <v>161378</v>
      </c>
      <c r="J42" s="798">
        <v>159064</v>
      </c>
      <c r="K42" s="798">
        <v>161778</v>
      </c>
      <c r="L42" s="798">
        <v>161740</v>
      </c>
      <c r="M42" s="798">
        <v>161654</v>
      </c>
      <c r="N42" s="798">
        <v>161302</v>
      </c>
      <c r="O42" s="798">
        <v>160558.66666666701</v>
      </c>
      <c r="P42" s="473">
        <f t="shared" si="37"/>
        <v>1932402.666666667</v>
      </c>
      <c r="Q42" s="647">
        <f t="shared" si="38"/>
        <v>-15391.505130742413</v>
      </c>
      <c r="R42" s="647">
        <f t="shared" si="38"/>
        <v>-15853.702498099074</v>
      </c>
      <c r="S42" s="647">
        <f t="shared" si="38"/>
        <v>-15849.982993660373</v>
      </c>
      <c r="T42" s="647">
        <f t="shared" si="38"/>
        <v>-15846.263489221672</v>
      </c>
      <c r="U42" s="647">
        <f t="shared" si="38"/>
        <v>-15846.263489221672</v>
      </c>
      <c r="V42" s="647">
        <f t="shared" si="38"/>
        <v>-15795.952297603431</v>
      </c>
      <c r="W42" s="647">
        <f t="shared" si="38"/>
        <v>-15569.454053625603</v>
      </c>
      <c r="X42" s="647">
        <f t="shared" si="38"/>
        <v>-15835.104975905564</v>
      </c>
      <c r="Y42" s="647">
        <f t="shared" si="38"/>
        <v>-15831.385471466863</v>
      </c>
      <c r="Z42" s="647">
        <f t="shared" si="38"/>
        <v>-15822.967645631903</v>
      </c>
      <c r="AA42" s="647">
        <f t="shared" si="38"/>
        <v>-15788.513288726026</v>
      </c>
      <c r="AB42" s="647">
        <f t="shared" si="38"/>
        <v>-15715.754561547934</v>
      </c>
      <c r="AC42" s="473">
        <f>SUM(Q42:AB42)</f>
        <v>-189146.84989545256</v>
      </c>
      <c r="AD42" s="20"/>
      <c r="AE42" s="105">
        <f>P42+AC42+AD42</f>
        <v>1743255.8167712144</v>
      </c>
      <c r="AF42" s="623">
        <f>'Rate Design Work'!C1266</f>
        <v>1743255.8167712144</v>
      </c>
      <c r="AG42" s="69">
        <f t="shared" si="39"/>
        <v>0</v>
      </c>
    </row>
    <row r="43" spans="1:33">
      <c r="B43" t="s">
        <v>578</v>
      </c>
      <c r="C43" s="627"/>
      <c r="D43" s="633">
        <f t="shared" ref="D43:O43" si="40">SUM(D38:D42)</f>
        <v>892353.81942811189</v>
      </c>
      <c r="E43" s="633">
        <f t="shared" si="40"/>
        <v>879291.69643645571</v>
      </c>
      <c r="F43" s="633">
        <f t="shared" si="40"/>
        <v>868022.23426071682</v>
      </c>
      <c r="G43" s="633">
        <f t="shared" si="40"/>
        <v>853651.29938519979</v>
      </c>
      <c r="H43" s="633">
        <f t="shared" si="40"/>
        <v>840467.18949424475</v>
      </c>
      <c r="I43" s="633">
        <f t="shared" si="40"/>
        <v>832563.05571523483</v>
      </c>
      <c r="J43" s="633">
        <f t="shared" si="40"/>
        <v>828347.53349868034</v>
      </c>
      <c r="K43" s="633">
        <f t="shared" si="40"/>
        <v>836589.54638655542</v>
      </c>
      <c r="L43" s="633">
        <f t="shared" si="40"/>
        <v>847831.0646328124</v>
      </c>
      <c r="M43" s="633">
        <f t="shared" si="40"/>
        <v>858256.40530367242</v>
      </c>
      <c r="N43" s="633">
        <f t="shared" si="40"/>
        <v>868857.20335008041</v>
      </c>
      <c r="O43" s="633">
        <f t="shared" si="40"/>
        <v>891915.01733028458</v>
      </c>
      <c r="P43" s="633">
        <f t="shared" si="37"/>
        <v>10298146.065222051</v>
      </c>
      <c r="Q43" s="633">
        <f t="shared" ref="Q43:AF43" si="41">SUM(Q38:Q42)</f>
        <v>-87345.105059367954</v>
      </c>
      <c r="R43" s="633">
        <f t="shared" si="41"/>
        <v>-86066.562310779977</v>
      </c>
      <c r="S43" s="633">
        <f t="shared" si="41"/>
        <v>-84963.48824276813</v>
      </c>
      <c r="T43" s="633">
        <f t="shared" si="41"/>
        <v>-83556.836767563131</v>
      </c>
      <c r="U43" s="633">
        <f t="shared" si="41"/>
        <v>-82266.353734411867</v>
      </c>
      <c r="V43" s="633">
        <f t="shared" si="41"/>
        <v>-81492.683716645377</v>
      </c>
      <c r="W43" s="633">
        <f t="shared" si="41"/>
        <v>-81080.061253594758</v>
      </c>
      <c r="X43" s="633">
        <f t="shared" si="41"/>
        <v>-81886.803451497253</v>
      </c>
      <c r="Y43" s="633">
        <f t="shared" si="41"/>
        <v>-82987.142320305342</v>
      </c>
      <c r="Z43" s="633">
        <f t="shared" si="41"/>
        <v>-84007.592343996119</v>
      </c>
      <c r="AA43" s="633">
        <f t="shared" si="41"/>
        <v>-85045.21643313831</v>
      </c>
      <c r="AB43" s="633">
        <f t="shared" si="41"/>
        <v>-87302.154365931623</v>
      </c>
      <c r="AC43" s="634">
        <f t="shared" si="41"/>
        <v>-1007999.9999999998</v>
      </c>
      <c r="AD43" s="635">
        <f t="shared" si="41"/>
        <v>0</v>
      </c>
      <c r="AE43" s="635">
        <f t="shared" si="41"/>
        <v>9290146.0652220491</v>
      </c>
      <c r="AF43" s="636">
        <f t="shared" si="41"/>
        <v>9290146.0652220435</v>
      </c>
      <c r="AG43" s="624">
        <f t="shared" si="39"/>
        <v>0</v>
      </c>
    </row>
    <row r="44" spans="1:33">
      <c r="C44" s="627"/>
      <c r="D44" s="617"/>
      <c r="E44" s="617"/>
      <c r="F44" s="617"/>
      <c r="G44" s="617"/>
      <c r="H44" s="617"/>
      <c r="I44" s="617"/>
      <c r="J44" s="617"/>
      <c r="K44" s="617"/>
      <c r="L44" s="617"/>
      <c r="M44" s="617"/>
      <c r="N44" s="617"/>
      <c r="O44" s="617"/>
      <c r="P44" s="617"/>
      <c r="Q44" s="617"/>
      <c r="R44" s="617"/>
      <c r="S44" s="617"/>
      <c r="T44" s="617"/>
      <c r="U44" s="617"/>
      <c r="V44" s="617"/>
      <c r="W44" s="617"/>
      <c r="X44" s="617"/>
      <c r="Y44" s="617"/>
      <c r="Z44" s="617"/>
      <c r="AA44" s="617"/>
      <c r="AB44" s="617"/>
      <c r="AC44" s="473">
        <f>'Table 2'!G135</f>
        <v>-1008000</v>
      </c>
      <c r="AD44" s="107">
        <f>SUM(AD43,AD36,AD32,AD22,AD12)</f>
        <v>-79391667.4521804</v>
      </c>
      <c r="AE44" s="107">
        <f ca="1">SUM(AE43,AE36,AE32,AE22,AE12)</f>
        <v>4010161433.2736087</v>
      </c>
      <c r="AF44" s="626">
        <f ca="1">SUM(AF43,AF36,AF32,AF22,AF12)</f>
        <v>4010161433.2736087</v>
      </c>
    </row>
    <row r="45" spans="1:33">
      <c r="C45" s="627" t="s">
        <v>9</v>
      </c>
      <c r="D45" s="633">
        <f t="shared" ref="D45:O45" si="42">D12+D22+D32+D36+D43</f>
        <v>414297974.80650836</v>
      </c>
      <c r="E45" s="633">
        <f t="shared" si="42"/>
        <v>367761299.68351674</v>
      </c>
      <c r="F45" s="633">
        <f t="shared" si="42"/>
        <v>323251223.22134101</v>
      </c>
      <c r="G45" s="633">
        <f t="shared" si="42"/>
        <v>295625456.28646547</v>
      </c>
      <c r="H45" s="633">
        <f t="shared" si="42"/>
        <v>293345157.17657453</v>
      </c>
      <c r="I45" s="633">
        <f t="shared" si="42"/>
        <v>299042741.04279554</v>
      </c>
      <c r="J45" s="633">
        <f t="shared" si="42"/>
        <v>339335276.54920083</v>
      </c>
      <c r="K45" s="633">
        <f t="shared" si="42"/>
        <v>369940198.50661904</v>
      </c>
      <c r="L45" s="633">
        <f t="shared" si="42"/>
        <v>354681663.02486533</v>
      </c>
      <c r="M45" s="633">
        <f t="shared" si="42"/>
        <v>314602665.36553615</v>
      </c>
      <c r="N45" s="633">
        <f t="shared" si="42"/>
        <v>321649388.16358256</v>
      </c>
      <c r="O45" s="633">
        <f t="shared" si="42"/>
        <v>420260056.8987835</v>
      </c>
      <c r="P45" s="633">
        <f>SUM(D45:O45)</f>
        <v>4113793100.7257891</v>
      </c>
      <c r="Q45" s="633">
        <f ca="1">Q12+Q22+Q32+Q36+Q43</f>
        <v>-2312512.0926446789</v>
      </c>
      <c r="R45" s="617"/>
      <c r="S45" s="617"/>
      <c r="T45" s="617"/>
      <c r="U45" s="617"/>
      <c r="V45" s="617"/>
      <c r="W45" s="617"/>
      <c r="X45" s="617"/>
      <c r="Y45" s="617"/>
      <c r="Z45" s="617"/>
      <c r="AA45" s="617"/>
      <c r="AB45" s="617"/>
      <c r="AC45" s="648">
        <f ca="1">AC12+AC22+AC32+AC36+AC43</f>
        <v>-24240000</v>
      </c>
      <c r="AD45" s="623" t="s">
        <v>31</v>
      </c>
      <c r="AE45" s="623" t="s">
        <v>31</v>
      </c>
      <c r="AF45" s="623" t="s">
        <v>31</v>
      </c>
    </row>
    <row r="46" spans="1:33">
      <c r="B46" s="638"/>
      <c r="C46" s="639"/>
      <c r="D46" s="638"/>
      <c r="E46" s="638"/>
      <c r="F46" s="638"/>
      <c r="G46" s="638"/>
      <c r="H46" s="638"/>
      <c r="I46" s="638"/>
      <c r="J46" s="638"/>
      <c r="K46" s="638"/>
      <c r="L46" s="638"/>
      <c r="M46" s="638"/>
      <c r="N46" s="638"/>
      <c r="O46" s="638"/>
      <c r="P46" s="638"/>
      <c r="Q46" s="74"/>
      <c r="S46" s="641"/>
      <c r="AE46" s="641" t="s">
        <v>579</v>
      </c>
    </row>
    <row r="47" spans="1:33">
      <c r="C47" s="627"/>
      <c r="D47" s="617"/>
      <c r="E47" s="617"/>
      <c r="F47" s="617"/>
      <c r="G47" s="617"/>
      <c r="H47" s="617"/>
      <c r="I47" s="617"/>
      <c r="J47" s="617"/>
      <c r="K47" s="617"/>
      <c r="L47" s="617"/>
      <c r="M47" s="617"/>
      <c r="N47" s="617"/>
      <c r="O47" s="617"/>
      <c r="P47" s="617"/>
      <c r="Q47" s="74"/>
      <c r="S47" s="642"/>
    </row>
    <row r="48" spans="1:33">
      <c r="C48" s="3" t="s">
        <v>174</v>
      </c>
      <c r="D48" s="617"/>
      <c r="E48" s="617"/>
      <c r="F48" s="617"/>
      <c r="G48" s="617"/>
      <c r="H48" s="617"/>
      <c r="I48" s="617"/>
      <c r="J48" s="617"/>
      <c r="K48" s="617"/>
      <c r="L48" s="617"/>
      <c r="M48" s="617"/>
      <c r="N48" s="617"/>
      <c r="O48" s="617"/>
      <c r="P48" s="617"/>
      <c r="Q48" s="74"/>
      <c r="S48" s="642"/>
    </row>
    <row r="49" spans="2:19">
      <c r="C49" s="617" t="s">
        <v>580</v>
      </c>
      <c r="D49" s="617"/>
      <c r="E49" s="617"/>
      <c r="F49" s="617"/>
      <c r="G49" s="617"/>
      <c r="H49" s="617"/>
      <c r="I49" s="617"/>
      <c r="J49" s="617"/>
      <c r="K49" s="617"/>
      <c r="L49" s="617"/>
      <c r="M49" s="617"/>
      <c r="N49" s="617"/>
      <c r="O49" s="617"/>
      <c r="P49" s="617"/>
      <c r="Q49" s="74"/>
      <c r="S49" s="642"/>
    </row>
    <row r="50" spans="2:19">
      <c r="C50" s="617"/>
      <c r="D50" s="617">
        <v>201301</v>
      </c>
      <c r="E50" s="617">
        <v>201302</v>
      </c>
      <c r="F50" s="617">
        <v>201303</v>
      </c>
      <c r="G50" s="617">
        <v>201304</v>
      </c>
      <c r="H50" s="617">
        <v>201305</v>
      </c>
      <c r="I50" s="617">
        <v>201306</v>
      </c>
      <c r="J50" s="617">
        <v>201307</v>
      </c>
      <c r="K50" s="617">
        <v>201308</v>
      </c>
      <c r="L50" s="617">
        <v>201309</v>
      </c>
      <c r="M50" s="617">
        <v>201310</v>
      </c>
      <c r="N50" s="617">
        <v>201311</v>
      </c>
      <c r="O50" s="617">
        <v>201312</v>
      </c>
      <c r="P50" s="617" t="s">
        <v>35</v>
      </c>
      <c r="Q50" s="623" t="s">
        <v>168</v>
      </c>
      <c r="S50" s="642"/>
    </row>
    <row r="51" spans="2:19">
      <c r="B51" s="617" t="s">
        <v>265</v>
      </c>
      <c r="D51" s="617"/>
      <c r="E51" s="617"/>
      <c r="F51" s="617"/>
      <c r="G51" s="617"/>
      <c r="H51" s="617"/>
      <c r="I51" s="617"/>
      <c r="J51" s="617"/>
      <c r="K51" s="617"/>
      <c r="L51" s="617"/>
      <c r="M51" s="617"/>
      <c r="N51" s="617"/>
      <c r="O51" s="617"/>
      <c r="P51" s="617"/>
      <c r="Q51" s="623"/>
      <c r="S51" s="642"/>
    </row>
    <row r="52" spans="2:19">
      <c r="C52" s="4" t="s">
        <v>48</v>
      </c>
      <c r="D52" s="649">
        <f>D6+Q6+Temperature!B10*1000</f>
        <v>194657616.69360647</v>
      </c>
      <c r="E52" s="649">
        <f>E6+R6+Temperature!B11*1000</f>
        <v>176210500.36940929</v>
      </c>
      <c r="F52" s="649">
        <f>F6+S6+Temperature!B12*1000</f>
        <v>142564414.6301398</v>
      </c>
      <c r="G52" s="649">
        <f>G6+T6+Temperature!B13*1000</f>
        <v>112417632.87243222</v>
      </c>
      <c r="H52" s="649">
        <f>H6+U6+Temperature!B14*1000</f>
        <v>92712825.520584211</v>
      </c>
      <c r="I52" s="649">
        <f>I6+V6+Temperature!B15*1000</f>
        <v>89229018.346587628</v>
      </c>
      <c r="J52" s="649">
        <f>J6+W6+Temperature!B16*1000</f>
        <v>86168249.175340146</v>
      </c>
      <c r="K52" s="649">
        <f>K6+X6+Temperature!B17*1000</f>
        <v>114617124.22123715</v>
      </c>
      <c r="L52" s="649">
        <f>L6+Y6+Temperature!B18*1000</f>
        <v>105927264.77642146</v>
      </c>
      <c r="M52" s="649">
        <f>M6+Z6+Temperature!B19*1000</f>
        <v>97326655.715568721</v>
      </c>
      <c r="N52" s="649">
        <f>N6+AA6+Temperature!B20*1000</f>
        <v>114035100.23562238</v>
      </c>
      <c r="O52" s="649">
        <f>O6+AB6+Temperature!B21*1000</f>
        <v>179936872.24025214</v>
      </c>
      <c r="P52" s="650">
        <f t="shared" ref="P52:P57" si="43">SUM(D52:O52)</f>
        <v>1505803274.7972016</v>
      </c>
      <c r="Q52" s="623">
        <f t="shared" ref="Q52:Q57" si="44">AE6</f>
        <v>1505803274.7972016</v>
      </c>
      <c r="R52" s="643">
        <f t="shared" ref="R52:R58" si="45">Q52-P52</f>
        <v>0</v>
      </c>
      <c r="S52" s="642"/>
    </row>
    <row r="53" spans="2:19">
      <c r="C53" s="4" t="s">
        <v>93</v>
      </c>
      <c r="D53" s="649">
        <f>D7+Q7+Temperature!B28*1000</f>
        <v>8145160.5117013752</v>
      </c>
      <c r="E53" s="649">
        <f>E7+R7+Temperature!B29*1000</f>
        <v>7954183.166717506</v>
      </c>
      <c r="F53" s="649">
        <f>F7+S7+Temperature!B30*1000</f>
        <v>6902361.5852761762</v>
      </c>
      <c r="G53" s="649">
        <f>G7+T7+Temperature!B31*1000</f>
        <v>5621250.2048337553</v>
      </c>
      <c r="H53" s="649">
        <f>H7+U7+Temperature!B32*1000</f>
        <v>4395053.1263321899</v>
      </c>
      <c r="I53" s="649">
        <f>I7+V7+Temperature!B33*1000</f>
        <v>3614377.3605627003</v>
      </c>
      <c r="J53" s="649">
        <f>J7+W7+Temperature!B34*1000</f>
        <v>2963212.2785674683</v>
      </c>
      <c r="K53" s="649">
        <f>K7+X7+Temperature!B35*1000</f>
        <v>3792341.9108777549</v>
      </c>
      <c r="L53" s="649">
        <f>L7+Y7+Temperature!B36*1000</f>
        <v>3465921.411153357</v>
      </c>
      <c r="M53" s="649">
        <f>M7+Z7+Temperature!B37*1000</f>
        <v>3841249.8774355231</v>
      </c>
      <c r="N53" s="649">
        <f>N7+AA7+Temperature!B38*1000</f>
        <v>5165647.4433813076</v>
      </c>
      <c r="O53" s="649">
        <f>O7+AB7+Temperature!B39*1000</f>
        <v>8542349.7079454232</v>
      </c>
      <c r="P53" s="650">
        <f t="shared" si="43"/>
        <v>64403108.584784538</v>
      </c>
      <c r="Q53" s="623">
        <f t="shared" si="44"/>
        <v>64403108.584784538</v>
      </c>
      <c r="R53" s="643">
        <f t="shared" si="45"/>
        <v>0</v>
      </c>
      <c r="S53" s="642"/>
    </row>
    <row r="54" spans="2:19">
      <c r="C54" s="4" t="s">
        <v>49</v>
      </c>
      <c r="D54" s="649">
        <f>D8+Q8+Temperature!B46*1000</f>
        <v>247520.61728026698</v>
      </c>
      <c r="E54" s="649">
        <f>E8+R8+Temperature!B47*1000</f>
        <v>221628.35651065709</v>
      </c>
      <c r="F54" s="649">
        <f>F8+S8+Temperature!B48*1000</f>
        <v>191770.67389177065</v>
      </c>
      <c r="G54" s="649">
        <f>G8+T8+Temperature!B49*1000</f>
        <v>163726.81082433017</v>
      </c>
      <c r="H54" s="649">
        <f>H8+U8+Temperature!B50*1000</f>
        <v>152328.45981525609</v>
      </c>
      <c r="I54" s="649">
        <f>I8+V8+Temperature!B51*1000</f>
        <v>155754.22530706914</v>
      </c>
      <c r="J54" s="649">
        <f>J8+W8+Temperature!B52*1000</f>
        <v>134933.49317833976</v>
      </c>
      <c r="K54" s="649">
        <f>K8+X8+Temperature!B53*1000</f>
        <v>187241.23529110153</v>
      </c>
      <c r="L54" s="649">
        <f>L8+Y8+Temperature!B54*1000</f>
        <v>177401.27164437817</v>
      </c>
      <c r="M54" s="649">
        <f>M8+Z8+Temperature!B55*1000</f>
        <v>156688.90906581609</v>
      </c>
      <c r="N54" s="649">
        <f>N8+AA8+Temperature!B56*1000</f>
        <v>167552.41182293929</v>
      </c>
      <c r="O54" s="649">
        <f>O8+AB8+Temperature!B57*1000</f>
        <v>235792.16132605719</v>
      </c>
      <c r="P54" s="650">
        <f t="shared" si="43"/>
        <v>2192338.6259579821</v>
      </c>
      <c r="Q54" s="623">
        <f t="shared" si="44"/>
        <v>2192338.6259579826</v>
      </c>
      <c r="R54" s="643">
        <f t="shared" si="45"/>
        <v>0</v>
      </c>
      <c r="S54" s="642"/>
    </row>
    <row r="55" spans="2:19">
      <c r="C55" s="7" t="s">
        <v>162</v>
      </c>
      <c r="D55" s="649">
        <f t="shared" ref="D55:O55" si="46">D9+Q9</f>
        <v>42877.545237253988</v>
      </c>
      <c r="E55" s="649">
        <f t="shared" si="46"/>
        <v>36566.426525270937</v>
      </c>
      <c r="F55" s="649">
        <f t="shared" si="46"/>
        <v>31374.25102666915</v>
      </c>
      <c r="G55" s="649">
        <f t="shared" si="46"/>
        <v>29207.108115623501</v>
      </c>
      <c r="H55" s="649">
        <f t="shared" si="46"/>
        <v>28544.510397993454</v>
      </c>
      <c r="I55" s="649">
        <f t="shared" si="46"/>
        <v>32340.746945618244</v>
      </c>
      <c r="J55" s="649">
        <f t="shared" si="46"/>
        <v>45663.444813936119</v>
      </c>
      <c r="K55" s="649">
        <f t="shared" si="46"/>
        <v>46547.24056662462</v>
      </c>
      <c r="L55" s="649">
        <f t="shared" si="46"/>
        <v>36334.268227214088</v>
      </c>
      <c r="M55" s="649">
        <f t="shared" si="46"/>
        <v>28361.175089656717</v>
      </c>
      <c r="N55" s="649">
        <f t="shared" si="46"/>
        <v>31474.886168745292</v>
      </c>
      <c r="O55" s="649">
        <f t="shared" si="46"/>
        <v>46843.167667581198</v>
      </c>
      <c r="P55" s="650">
        <f t="shared" si="43"/>
        <v>436134.77078218729</v>
      </c>
      <c r="Q55" s="623">
        <f t="shared" si="44"/>
        <v>436134.77078218729</v>
      </c>
      <c r="R55" s="643">
        <f t="shared" si="45"/>
        <v>0</v>
      </c>
      <c r="S55" s="642"/>
    </row>
    <row r="56" spans="2:19">
      <c r="C56" s="4" t="s">
        <v>50</v>
      </c>
      <c r="D56" s="649">
        <f t="shared" ref="D56:O56" si="47">D10+Q10</f>
        <v>87906.291184828689</v>
      </c>
      <c r="E56" s="649">
        <f t="shared" si="47"/>
        <v>88164.355559063551</v>
      </c>
      <c r="F56" s="649">
        <f t="shared" si="47"/>
        <v>88360.643905489298</v>
      </c>
      <c r="G56" s="649">
        <f t="shared" si="47"/>
        <v>88209.192998602433</v>
      </c>
      <c r="H56" s="649">
        <f t="shared" si="47"/>
        <v>88360.643905489298</v>
      </c>
      <c r="I56" s="649">
        <f t="shared" si="47"/>
        <v>88512.094812376163</v>
      </c>
      <c r="J56" s="649">
        <f t="shared" si="47"/>
        <v>88198.232735604033</v>
      </c>
      <c r="K56" s="649">
        <f t="shared" si="47"/>
        <v>88102.579531254436</v>
      </c>
      <c r="L56" s="649">
        <f t="shared" si="47"/>
        <v>88501.134549377777</v>
      </c>
      <c r="M56" s="649">
        <f t="shared" si="47"/>
        <v>87895.330921830304</v>
      </c>
      <c r="N56" s="649">
        <f t="shared" si="47"/>
        <v>87879.388721105366</v>
      </c>
      <c r="O56" s="649">
        <f t="shared" si="47"/>
        <v>87817.612693296251</v>
      </c>
      <c r="P56" s="650">
        <f t="shared" si="43"/>
        <v>1057907.5015183175</v>
      </c>
      <c r="Q56" s="623">
        <f t="shared" si="44"/>
        <v>1057907.5015183175</v>
      </c>
      <c r="R56" s="643">
        <f t="shared" si="45"/>
        <v>0</v>
      </c>
      <c r="S56" s="642"/>
    </row>
    <row r="57" spans="2:19">
      <c r="C57" s="627" t="s">
        <v>51</v>
      </c>
      <c r="D57" s="649">
        <f>D11+Q11+Temperature!O63*1000</f>
        <v>467589.931932315</v>
      </c>
      <c r="E57" s="649">
        <f>E11+R11+Temperature!O64*1000</f>
        <v>564095.77516127646</v>
      </c>
      <c r="F57" s="649">
        <f>F11+S11+Temperature!O65*1000</f>
        <v>476372.68625518522</v>
      </c>
      <c r="G57" s="649">
        <f>G11+T11+Temperature!O66*1000</f>
        <v>406225.50544733729</v>
      </c>
      <c r="H57" s="649">
        <f>H11+U11+Temperature!O67*1000</f>
        <v>402350.64889815182</v>
      </c>
      <c r="I57" s="649">
        <f>I11+V11+Temperature!O68*1000</f>
        <v>430353.45942935487</v>
      </c>
      <c r="J57" s="649">
        <f>J11+W11+Temperature!O69*1000</f>
        <v>469525.66743091971</v>
      </c>
      <c r="K57" s="649">
        <f>K11+X11+Temperature!O70*1000</f>
        <v>577603.99682518723</v>
      </c>
      <c r="L57" s="649">
        <f>L11+Y11+Temperature!O71*1000</f>
        <v>622885.2434679711</v>
      </c>
      <c r="M57" s="649">
        <f>M11+Z11+Temperature!O72*1000</f>
        <v>586720.30183748342</v>
      </c>
      <c r="N57" s="649">
        <f>N11+AA11+Temperature!O73*1000</f>
        <v>763318.51554574596</v>
      </c>
      <c r="O57" s="649">
        <f>O11+AB11+Temperature!O74*1000</f>
        <v>1222313.3773731708</v>
      </c>
      <c r="P57" s="650">
        <f t="shared" si="43"/>
        <v>6989355.1096040988</v>
      </c>
      <c r="Q57" s="623">
        <f t="shared" si="44"/>
        <v>6989355.1096040988</v>
      </c>
      <c r="R57" s="643">
        <f t="shared" ref="R57" si="48">Q57-P57</f>
        <v>0</v>
      </c>
      <c r="S57" s="642"/>
    </row>
    <row r="58" spans="2:19">
      <c r="B58" s="617" t="s">
        <v>265</v>
      </c>
      <c r="C58" s="5"/>
      <c r="D58" s="651">
        <f>SUM(D52:D57)</f>
        <v>203648671.5909425</v>
      </c>
      <c r="E58" s="651">
        <f t="shared" ref="E58:O58" si="49">SUM(E52:E57)</f>
        <v>185075138.44988304</v>
      </c>
      <c r="F58" s="651">
        <f t="shared" si="49"/>
        <v>150254654.4704951</v>
      </c>
      <c r="G58" s="651">
        <f t="shared" si="49"/>
        <v>118726251.69465189</v>
      </c>
      <c r="H58" s="651">
        <f t="shared" si="49"/>
        <v>97779462.909933299</v>
      </c>
      <c r="I58" s="651">
        <f t="shared" si="49"/>
        <v>93550356.233644739</v>
      </c>
      <c r="J58" s="651">
        <f t="shared" si="49"/>
        <v>89869782.29206641</v>
      </c>
      <c r="K58" s="651">
        <f t="shared" si="49"/>
        <v>119308961.18432908</v>
      </c>
      <c r="L58" s="651">
        <f t="shared" si="49"/>
        <v>110318308.10546377</v>
      </c>
      <c r="M58" s="651">
        <f t="shared" si="49"/>
        <v>102027571.30991903</v>
      </c>
      <c r="N58" s="651">
        <f t="shared" si="49"/>
        <v>120250972.88126223</v>
      </c>
      <c r="O58" s="651">
        <f t="shared" si="49"/>
        <v>190071988.26725766</v>
      </c>
      <c r="P58" s="652">
        <f>SUM(P52:P57)</f>
        <v>1580882119.3898487</v>
      </c>
      <c r="Q58" s="623">
        <f>SUM(Q52:Q57)</f>
        <v>1580882119.3898487</v>
      </c>
      <c r="R58" s="643">
        <f t="shared" si="45"/>
        <v>0</v>
      </c>
      <c r="S58" s="642"/>
    </row>
    <row r="59" spans="2:19">
      <c r="B59" t="s">
        <v>272</v>
      </c>
      <c r="C59" s="5"/>
      <c r="D59" s="651"/>
      <c r="E59" s="651"/>
      <c r="F59" s="651"/>
      <c r="G59" s="651"/>
      <c r="H59" s="651"/>
      <c r="I59" s="651"/>
      <c r="J59" s="651"/>
      <c r="K59" s="651"/>
      <c r="L59" s="651"/>
      <c r="M59" s="651"/>
      <c r="N59" s="651"/>
      <c r="O59" s="651"/>
      <c r="P59" s="652"/>
      <c r="Q59" s="623"/>
      <c r="R59" s="643"/>
      <c r="S59" s="642"/>
    </row>
    <row r="60" spans="2:19">
      <c r="C60" s="627" t="s">
        <v>51</v>
      </c>
      <c r="D60" s="633">
        <f>D14+Q14+Temperature!B63*1000</f>
        <v>49662862.993728802</v>
      </c>
      <c r="E60" s="633">
        <f>E14+R14+Temperature!B64*1000</f>
        <v>46004740.175521336</v>
      </c>
      <c r="F60" s="633">
        <f>F14+S14+Temperature!B65*1000</f>
        <v>41312595.9991128</v>
      </c>
      <c r="G60" s="633">
        <f>G14+T14+Temperature!B66*1000</f>
        <v>38011592.914677277</v>
      </c>
      <c r="H60" s="633">
        <f>H14+U14+Temperature!B67*1000</f>
        <v>37124645.461307995</v>
      </c>
      <c r="I60" s="633">
        <f>I14+V14+Temperature!B68*1000</f>
        <v>38842741.726949111</v>
      </c>
      <c r="J60" s="633">
        <f>J14+W14+Temperature!B69*1000</f>
        <v>40260999.956323087</v>
      </c>
      <c r="K60" s="633">
        <f>K14+X14+Temperature!B70*1000</f>
        <v>47670447.040461674</v>
      </c>
      <c r="L60" s="633">
        <f>L14+Y14+Temperature!B71*1000</f>
        <v>46027970.524961852</v>
      </c>
      <c r="M60" s="633">
        <f>M14+Z14+Temperature!B72*1000</f>
        <v>41820116.555960745</v>
      </c>
      <c r="N60" s="633">
        <f>N14+AA14+Temperature!B73*1000</f>
        <v>39665906.290511847</v>
      </c>
      <c r="O60" s="633">
        <f>O14+AB14+Temperature!B74*1000</f>
        <v>49641099.528791048</v>
      </c>
      <c r="P60" s="650">
        <f t="shared" ref="P60:P67" si="50">SUM(D60:O60)</f>
        <v>516045719.16830754</v>
      </c>
      <c r="Q60" s="623">
        <f t="shared" ref="Q60:Q68" si="51">AE14</f>
        <v>516045719.1683076</v>
      </c>
      <c r="R60" s="643">
        <f t="shared" ref="R60:R68" si="52">Q60-P60</f>
        <v>0</v>
      </c>
      <c r="S60" s="642"/>
    </row>
    <row r="61" spans="2:19">
      <c r="C61" s="627" t="s">
        <v>52</v>
      </c>
      <c r="D61" s="649">
        <f t="shared" ref="D61:O63" si="53">D15+Q15</f>
        <v>105476.78263368305</v>
      </c>
      <c r="E61" s="649">
        <f t="shared" si="53"/>
        <v>105476.78263368305</v>
      </c>
      <c r="F61" s="649">
        <f t="shared" si="53"/>
        <v>105476.78263368305</v>
      </c>
      <c r="G61" s="649">
        <f t="shared" si="53"/>
        <v>105476.78263368305</v>
      </c>
      <c r="H61" s="649">
        <f t="shared" si="53"/>
        <v>105476.78263368305</v>
      </c>
      <c r="I61" s="649">
        <f t="shared" si="53"/>
        <v>105476.78263368305</v>
      </c>
      <c r="J61" s="649">
        <f t="shared" si="53"/>
        <v>105483.7913739635</v>
      </c>
      <c r="K61" s="649">
        <f t="shared" si="53"/>
        <v>105476.75586185898</v>
      </c>
      <c r="L61" s="649">
        <f t="shared" si="53"/>
        <v>105476.75586185898</v>
      </c>
      <c r="M61" s="649">
        <f t="shared" si="53"/>
        <v>105476.75586185898</v>
      </c>
      <c r="N61" s="649">
        <f t="shared" si="53"/>
        <v>105476.75586185898</v>
      </c>
      <c r="O61" s="649">
        <f t="shared" si="53"/>
        <v>105476.67730539276</v>
      </c>
      <c r="P61" s="650">
        <f t="shared" si="50"/>
        <v>1265728.1879288903</v>
      </c>
      <c r="Q61" s="623">
        <f t="shared" si="51"/>
        <v>1265728.1879288903</v>
      </c>
      <c r="R61" s="643">
        <f t="shared" si="52"/>
        <v>0</v>
      </c>
      <c r="S61" s="642"/>
    </row>
    <row r="62" spans="2:19">
      <c r="C62" s="628" t="s">
        <v>57</v>
      </c>
      <c r="D62" s="649">
        <f t="shared" si="53"/>
        <v>182789.48374491307</v>
      </c>
      <c r="E62" s="649">
        <f t="shared" si="53"/>
        <v>2882.8223400317702</v>
      </c>
      <c r="F62" s="649">
        <f t="shared" si="53"/>
        <v>20490.873837880612</v>
      </c>
      <c r="G62" s="649">
        <f t="shared" si="53"/>
        <v>94096.07902885435</v>
      </c>
      <c r="H62" s="649">
        <f t="shared" si="53"/>
        <v>97147.423325117648</v>
      </c>
      <c r="I62" s="649">
        <f t="shared" si="53"/>
        <v>6408.8201934915896</v>
      </c>
      <c r="J62" s="649">
        <f t="shared" si="53"/>
        <v>9256.7415366706755</v>
      </c>
      <c r="K62" s="649">
        <f t="shared" si="53"/>
        <v>6245.2840939532953</v>
      </c>
      <c r="L62" s="649">
        <f t="shared" si="53"/>
        <v>6666.0903988628097</v>
      </c>
      <c r="M62" s="649">
        <f t="shared" si="53"/>
        <v>17139.380968684214</v>
      </c>
      <c r="N62" s="649">
        <f t="shared" si="53"/>
        <v>9219.8461971406941</v>
      </c>
      <c r="O62" s="649">
        <f t="shared" si="53"/>
        <v>6807.6887289508459</v>
      </c>
      <c r="P62" s="650">
        <f t="shared" si="50"/>
        <v>459150.53439455159</v>
      </c>
      <c r="Q62" s="623">
        <f t="shared" si="51"/>
        <v>459150.53439455159</v>
      </c>
      <c r="R62" s="643">
        <f t="shared" si="52"/>
        <v>0</v>
      </c>
      <c r="S62" s="642"/>
    </row>
    <row r="63" spans="2:19">
      <c r="C63" s="627" t="s">
        <v>273</v>
      </c>
      <c r="D63" s="649">
        <f t="shared" si="53"/>
        <v>0</v>
      </c>
      <c r="E63" s="649">
        <f t="shared" si="53"/>
        <v>0</v>
      </c>
      <c r="F63" s="649">
        <f t="shared" si="53"/>
        <v>0</v>
      </c>
      <c r="G63" s="649">
        <f t="shared" si="53"/>
        <v>0</v>
      </c>
      <c r="H63" s="649">
        <f t="shared" si="53"/>
        <v>0</v>
      </c>
      <c r="I63" s="649">
        <f t="shared" si="53"/>
        <v>0</v>
      </c>
      <c r="J63" s="649">
        <f t="shared" si="53"/>
        <v>0</v>
      </c>
      <c r="K63" s="649">
        <f t="shared" si="53"/>
        <v>0</v>
      </c>
      <c r="L63" s="649">
        <f t="shared" si="53"/>
        <v>0</v>
      </c>
      <c r="M63" s="649">
        <f t="shared" si="53"/>
        <v>0</v>
      </c>
      <c r="N63" s="649">
        <f t="shared" si="53"/>
        <v>0</v>
      </c>
      <c r="O63" s="649">
        <f t="shared" si="53"/>
        <v>0</v>
      </c>
      <c r="P63" s="650">
        <f t="shared" si="50"/>
        <v>0</v>
      </c>
      <c r="Q63" s="623">
        <f t="shared" si="51"/>
        <v>0</v>
      </c>
      <c r="R63" s="643">
        <f t="shared" si="52"/>
        <v>0</v>
      </c>
      <c r="S63" s="642"/>
    </row>
    <row r="64" spans="2:19">
      <c r="C64" s="627" t="s">
        <v>53</v>
      </c>
      <c r="D64" s="649">
        <f>D18+Q18+Temperature!B98*1000</f>
        <v>70333612.848026991</v>
      </c>
      <c r="E64" s="649">
        <f>E18+R18+Temperature!B99*1000</f>
        <v>65642131.068336651</v>
      </c>
      <c r="F64" s="649">
        <f>F18+S18+Temperature!B100*1000</f>
        <v>61279985.75427217</v>
      </c>
      <c r="G64" s="649">
        <f>G18+T18+Temperature!B101*1000</f>
        <v>58697849.396114722</v>
      </c>
      <c r="H64" s="649">
        <f>H18+U18+Temperature!B102*1000</f>
        <v>58047818.81991113</v>
      </c>
      <c r="I64" s="649">
        <f>I18+V18+Temperature!B103*1000</f>
        <v>60139582.228520073</v>
      </c>
      <c r="J64" s="649">
        <f>J18+W18+Temperature!B104*1000</f>
        <v>59653666.465232693</v>
      </c>
      <c r="K64" s="649">
        <f>K18+X18+Temperature!B105*1000</f>
        <v>66448277.725917488</v>
      </c>
      <c r="L64" s="649">
        <f>L18+Y18+Temperature!B106*1000</f>
        <v>73502147.77605021</v>
      </c>
      <c r="M64" s="649">
        <f>M18+Z18+Temperature!B107*1000</f>
        <v>75143971.797782123</v>
      </c>
      <c r="N64" s="649">
        <f>N18+AA18+Temperature!B108*1000</f>
        <v>70438001.687853634</v>
      </c>
      <c r="O64" s="649">
        <f>O18+AB18+Temperature!B109*1000</f>
        <v>72529923.138708785</v>
      </c>
      <c r="P64" s="650">
        <f t="shared" si="50"/>
        <v>791856968.70672655</v>
      </c>
      <c r="Q64" s="623">
        <f t="shared" si="51"/>
        <v>791856968.70672667</v>
      </c>
      <c r="R64" s="643">
        <f t="shared" si="52"/>
        <v>0</v>
      </c>
      <c r="S64" s="642"/>
    </row>
    <row r="65" spans="2:19">
      <c r="C65" s="627" t="s">
        <v>54</v>
      </c>
      <c r="D65" s="649">
        <f>D19+Q19+(Temperature!B115+Temperature!F115)*1000</f>
        <v>13093920.710463563</v>
      </c>
      <c r="E65" s="649">
        <f>E19+R19+(Temperature!B116+Temperature!F116)*1000</f>
        <v>12704441.020617004</v>
      </c>
      <c r="F65" s="649">
        <f>F19+S19+(Temperature!B117+Temperature!F117)*1000</f>
        <v>13154224.055078814</v>
      </c>
      <c r="G65" s="649">
        <f>G19+T19+(Temperature!B118+Temperature!F118)*1000</f>
        <v>12573425.172819123</v>
      </c>
      <c r="H65" s="649">
        <f>H19+U19+(Temperature!B119+Temperature!F119)*1000</f>
        <v>11974138.188670745</v>
      </c>
      <c r="I65" s="649">
        <f>I19+V19+(Temperature!B120+Temperature!F120)*1000</f>
        <v>12621953.107262822</v>
      </c>
      <c r="J65" s="649">
        <f>J19+W19+(Temperature!B121+Temperature!F121)*1000</f>
        <v>13491087.456269782</v>
      </c>
      <c r="K65" s="649">
        <f>K19+X19+(Temperature!B122+Temperature!F122)*1000</f>
        <v>14139031.310322316</v>
      </c>
      <c r="L65" s="649">
        <f>L19+Y19+(Temperature!B123+Temperature!F123)*1000</f>
        <v>16825010.555684142</v>
      </c>
      <c r="M65" s="649">
        <f>M19+Z19+(Temperature!B124+Temperature!F124)*1000</f>
        <v>17542949.188378561</v>
      </c>
      <c r="N65" s="649">
        <f>N19+AA19+(Temperature!B125+Temperature!F125)*1000</f>
        <v>15682459.066534581</v>
      </c>
      <c r="O65" s="649">
        <f>O19+AB19+(Temperature!B126+Temperature!F126)*1000</f>
        <v>15509408.238685625</v>
      </c>
      <c r="P65" s="650">
        <f t="shared" si="50"/>
        <v>169312048.0707871</v>
      </c>
      <c r="Q65" s="623">
        <f t="shared" si="51"/>
        <v>169312048.07078707</v>
      </c>
      <c r="R65" s="643">
        <f t="shared" si="52"/>
        <v>0</v>
      </c>
      <c r="S65" s="642"/>
    </row>
    <row r="66" spans="2:19">
      <c r="C66" s="627" t="s">
        <v>55</v>
      </c>
      <c r="D66" s="649">
        <f t="shared" ref="D66:O67" si="54">D20+Q20</f>
        <v>179696.25825242655</v>
      </c>
      <c r="E66" s="649">
        <f t="shared" si="54"/>
        <v>179791.98670093677</v>
      </c>
      <c r="F66" s="649">
        <f t="shared" si="54"/>
        <v>178962.34014718153</v>
      </c>
      <c r="G66" s="649">
        <f t="shared" si="54"/>
        <v>178164.60307626301</v>
      </c>
      <c r="H66" s="649">
        <f t="shared" si="54"/>
        <v>180402.25556018943</v>
      </c>
      <c r="I66" s="649">
        <f t="shared" si="54"/>
        <v>181455.26849380188</v>
      </c>
      <c r="J66" s="649">
        <f t="shared" si="54"/>
        <v>178555.49424101308</v>
      </c>
      <c r="K66" s="649">
        <f t="shared" si="54"/>
        <v>178604.35563660684</v>
      </c>
      <c r="L66" s="649">
        <f t="shared" si="54"/>
        <v>179053.08273899849</v>
      </c>
      <c r="M66" s="649">
        <f t="shared" si="54"/>
        <v>178112.75016665331</v>
      </c>
      <c r="N66" s="649">
        <f t="shared" si="54"/>
        <v>180051.2512489853</v>
      </c>
      <c r="O66" s="649">
        <f t="shared" si="54"/>
        <v>177498.49262204606</v>
      </c>
      <c r="P66" s="650">
        <f t="shared" si="50"/>
        <v>2150348.1388851022</v>
      </c>
      <c r="Q66" s="623">
        <f t="shared" si="51"/>
        <v>2150348.1388851022</v>
      </c>
      <c r="R66" s="643">
        <f t="shared" si="52"/>
        <v>0</v>
      </c>
      <c r="S66" s="642"/>
    </row>
    <row r="67" spans="2:19">
      <c r="C67" s="627" t="s">
        <v>56</v>
      </c>
      <c r="D67" s="649">
        <f t="shared" si="54"/>
        <v>21769.247494027524</v>
      </c>
      <c r="E67" s="649">
        <f t="shared" si="54"/>
        <v>22467.267431081222</v>
      </c>
      <c r="F67" s="649">
        <f t="shared" si="54"/>
        <v>44772.993105301444</v>
      </c>
      <c r="G67" s="649">
        <f t="shared" si="54"/>
        <v>21955.718534354728</v>
      </c>
      <c r="H67" s="649">
        <f t="shared" si="54"/>
        <v>20151.835582740245</v>
      </c>
      <c r="I67" s="649">
        <f t="shared" si="54"/>
        <v>13299.27414355023</v>
      </c>
      <c r="J67" s="649">
        <f t="shared" si="54"/>
        <v>31939.397976899894</v>
      </c>
      <c r="K67" s="649">
        <f t="shared" si="54"/>
        <v>21677.507730871897</v>
      </c>
      <c r="L67" s="649">
        <f t="shared" si="54"/>
        <v>19707.097165703173</v>
      </c>
      <c r="M67" s="649">
        <f t="shared" si="54"/>
        <v>27818.088834267135</v>
      </c>
      <c r="N67" s="649">
        <f t="shared" si="54"/>
        <v>30396.773916011225</v>
      </c>
      <c r="O67" s="649">
        <f t="shared" si="54"/>
        <v>18595.251123110498</v>
      </c>
      <c r="P67" s="650">
        <f t="shared" si="50"/>
        <v>294550.45303791919</v>
      </c>
      <c r="Q67" s="623">
        <f t="shared" si="51"/>
        <v>294550.45303791919</v>
      </c>
      <c r="R67" s="643">
        <f t="shared" si="52"/>
        <v>0</v>
      </c>
      <c r="S67" s="642"/>
    </row>
    <row r="68" spans="2:19">
      <c r="B68" t="s">
        <v>272</v>
      </c>
      <c r="C68" s="5"/>
      <c r="D68" s="651">
        <f t="shared" ref="D68:P68" si="55">SUM(D60:D67)</f>
        <v>133580128.32434441</v>
      </c>
      <c r="E68" s="651">
        <f t="shared" si="55"/>
        <v>124661931.12358074</v>
      </c>
      <c r="F68" s="651">
        <f t="shared" si="55"/>
        <v>116096508.79818784</v>
      </c>
      <c r="G68" s="651">
        <f t="shared" si="55"/>
        <v>109682560.66688427</v>
      </c>
      <c r="H68" s="651">
        <f t="shared" si="55"/>
        <v>107549780.76699159</v>
      </c>
      <c r="I68" s="651">
        <f t="shared" si="55"/>
        <v>111910917.20819652</v>
      </c>
      <c r="J68" s="651">
        <f t="shared" si="55"/>
        <v>113730989.30295411</v>
      </c>
      <c r="K68" s="651">
        <f t="shared" si="55"/>
        <v>128569759.98002477</v>
      </c>
      <c r="L68" s="651">
        <f t="shared" si="55"/>
        <v>136666031.88286161</v>
      </c>
      <c r="M68" s="651">
        <f t="shared" si="55"/>
        <v>134835584.51795289</v>
      </c>
      <c r="N68" s="651">
        <f t="shared" si="55"/>
        <v>126111511.67212406</v>
      </c>
      <c r="O68" s="651">
        <f t="shared" si="55"/>
        <v>137988809.01596496</v>
      </c>
      <c r="P68" s="652">
        <f t="shared" si="55"/>
        <v>1481384513.2600677</v>
      </c>
      <c r="Q68" s="623">
        <f t="shared" si="51"/>
        <v>1481384513.2600677</v>
      </c>
      <c r="R68" s="643">
        <f t="shared" si="52"/>
        <v>0</v>
      </c>
      <c r="S68" s="642"/>
    </row>
    <row r="69" spans="2:19">
      <c r="B69" t="s">
        <v>275</v>
      </c>
      <c r="C69" s="5"/>
      <c r="D69" s="651"/>
      <c r="E69" s="651"/>
      <c r="F69" s="651"/>
      <c r="G69" s="651"/>
      <c r="H69" s="651"/>
      <c r="I69" s="651"/>
      <c r="J69" s="651"/>
      <c r="K69" s="651"/>
      <c r="L69" s="651"/>
      <c r="M69" s="651"/>
      <c r="N69" s="651"/>
      <c r="O69" s="651"/>
      <c r="P69" s="652"/>
      <c r="Q69" s="623"/>
      <c r="R69" s="643"/>
      <c r="S69" s="642"/>
    </row>
    <row r="70" spans="2:19">
      <c r="C70" s="627" t="s">
        <v>51</v>
      </c>
      <c r="D70" s="649">
        <f t="shared" ref="D70:O77" ca="1" si="56">D24+Q24</f>
        <v>1770521.9516141615</v>
      </c>
      <c r="E70" s="649">
        <f t="shared" ca="1" si="56"/>
        <v>1630668.5245672222</v>
      </c>
      <c r="F70" s="649">
        <f t="shared" ca="1" si="56"/>
        <v>1494295.4434814807</v>
      </c>
      <c r="G70" s="649">
        <f t="shared" ca="1" si="56"/>
        <v>1318849.4028896044</v>
      </c>
      <c r="H70" s="649">
        <f t="shared" ca="1" si="56"/>
        <v>1304364.1970952051</v>
      </c>
      <c r="I70" s="649">
        <f t="shared" ca="1" si="56"/>
        <v>1368752.0733510519</v>
      </c>
      <c r="J70" s="649">
        <f t="shared" ca="1" si="56"/>
        <v>1507584.126604459</v>
      </c>
      <c r="K70" s="649">
        <f t="shared" ca="1" si="56"/>
        <v>1576958.8259678406</v>
      </c>
      <c r="L70" s="649">
        <f t="shared" ca="1" si="56"/>
        <v>1567542.1138251598</v>
      </c>
      <c r="M70" s="649">
        <f t="shared" ca="1" si="56"/>
        <v>1588794.1669973247</v>
      </c>
      <c r="N70" s="649">
        <f t="shared" ca="1" si="56"/>
        <v>1446898.9763457812</v>
      </c>
      <c r="O70" s="649">
        <f t="shared" ca="1" si="56"/>
        <v>1824196.2268449815</v>
      </c>
      <c r="P70" s="650">
        <f t="shared" ref="P70:P77" ca="1" si="57">SUM(D70:O70)</f>
        <v>18399426.029584274</v>
      </c>
      <c r="Q70" s="623">
        <f t="shared" ref="Q70:Q77" ca="1" si="58">AE24</f>
        <v>18399426.029584274</v>
      </c>
      <c r="R70" s="643">
        <f t="shared" ref="R70:R77" ca="1" si="59">Q70-P70</f>
        <v>0</v>
      </c>
      <c r="S70" s="642"/>
    </row>
    <row r="71" spans="2:19">
      <c r="C71" s="627" t="s">
        <v>52</v>
      </c>
      <c r="D71" s="649">
        <f t="shared" ca="1" si="56"/>
        <v>2731.5353090994395</v>
      </c>
      <c r="E71" s="649">
        <f t="shared" ca="1" si="56"/>
        <v>2731.5353090994395</v>
      </c>
      <c r="F71" s="649">
        <f t="shared" ca="1" si="56"/>
        <v>2731.5353090994395</v>
      </c>
      <c r="G71" s="649">
        <f t="shared" ca="1" si="56"/>
        <v>2731.5353090994395</v>
      </c>
      <c r="H71" s="649">
        <f t="shared" ca="1" si="56"/>
        <v>2731.5353090994395</v>
      </c>
      <c r="I71" s="649">
        <f t="shared" ca="1" si="56"/>
        <v>2731.5353090994395</v>
      </c>
      <c r="J71" s="649">
        <f t="shared" ca="1" si="56"/>
        <v>2731.5353090994395</v>
      </c>
      <c r="K71" s="649">
        <f t="shared" ca="1" si="56"/>
        <v>2731.5353090994395</v>
      </c>
      <c r="L71" s="649">
        <f t="shared" ca="1" si="56"/>
        <v>2731.5353090994395</v>
      </c>
      <c r="M71" s="649">
        <f t="shared" ca="1" si="56"/>
        <v>2731.5353090994395</v>
      </c>
      <c r="N71" s="649">
        <f t="shared" ca="1" si="56"/>
        <v>2731.5353090994395</v>
      </c>
      <c r="O71" s="649">
        <f t="shared" ca="1" si="56"/>
        <v>2732.5192915594894</v>
      </c>
      <c r="P71" s="650">
        <f t="shared" ca="1" si="57"/>
        <v>32779.407691653323</v>
      </c>
      <c r="Q71" s="623">
        <f t="shared" ca="1" si="58"/>
        <v>32779.407691653323</v>
      </c>
      <c r="R71" s="643">
        <f t="shared" ca="1" si="59"/>
        <v>0</v>
      </c>
      <c r="S71" s="642"/>
    </row>
    <row r="72" spans="2:19">
      <c r="C72" s="627" t="s">
        <v>57</v>
      </c>
      <c r="D72" s="649">
        <f t="shared" ca="1" si="56"/>
        <v>18.695666740954376</v>
      </c>
      <c r="E72" s="649">
        <f t="shared" ca="1" si="56"/>
        <v>15.743719360803684</v>
      </c>
      <c r="F72" s="649">
        <f t="shared" ca="1" si="56"/>
        <v>1107.9642500165594</v>
      </c>
      <c r="G72" s="649">
        <f t="shared" ca="1" si="56"/>
        <v>2687.2560983971789</v>
      </c>
      <c r="H72" s="649">
        <f t="shared" ca="1" si="56"/>
        <v>1534.028655218309</v>
      </c>
      <c r="I72" s="649">
        <f t="shared" ca="1" si="56"/>
        <v>248.94756239270825</v>
      </c>
      <c r="J72" s="649">
        <f t="shared" ca="1" si="56"/>
        <v>1677.6900943856426</v>
      </c>
      <c r="K72" s="649">
        <f t="shared" ca="1" si="56"/>
        <v>1179.7949696002261</v>
      </c>
      <c r="L72" s="649">
        <f t="shared" ca="1" si="56"/>
        <v>562.83796714873176</v>
      </c>
      <c r="M72" s="649">
        <f t="shared" ca="1" si="56"/>
        <v>331.60208903692762</v>
      </c>
      <c r="N72" s="649">
        <f t="shared" ca="1" si="56"/>
        <v>15.743719360803684</v>
      </c>
      <c r="O72" s="649">
        <f t="shared" ca="1" si="56"/>
        <v>18.695666740954376</v>
      </c>
      <c r="P72" s="650">
        <f t="shared" ca="1" si="57"/>
        <v>9399.0004583997979</v>
      </c>
      <c r="Q72" s="623">
        <f t="shared" ca="1" si="58"/>
        <v>9399.0004583997998</v>
      </c>
      <c r="R72" s="643">
        <f t="shared" ca="1" si="59"/>
        <v>0</v>
      </c>
      <c r="S72" s="642"/>
    </row>
    <row r="73" spans="2:19">
      <c r="C73" s="627" t="s">
        <v>53</v>
      </c>
      <c r="D73" s="649">
        <f t="shared" ca="1" si="56"/>
        <v>9156999.8121750467</v>
      </c>
      <c r="E73" s="649">
        <f t="shared" ca="1" si="56"/>
        <v>8262107.1240577633</v>
      </c>
      <c r="F73" s="649">
        <f t="shared" ca="1" si="56"/>
        <v>8103134.9178120485</v>
      </c>
      <c r="G73" s="649">
        <f t="shared" ca="1" si="56"/>
        <v>7404448.3322287817</v>
      </c>
      <c r="H73" s="649">
        <f t="shared" ca="1" si="56"/>
        <v>7200173.5735223545</v>
      </c>
      <c r="I73" s="649">
        <f t="shared" ca="1" si="56"/>
        <v>7595301.5701801246</v>
      </c>
      <c r="J73" s="649">
        <f t="shared" ca="1" si="56"/>
        <v>8129919.9043570757</v>
      </c>
      <c r="K73" s="649">
        <f t="shared" ca="1" si="56"/>
        <v>8618129.6897882186</v>
      </c>
      <c r="L73" s="649">
        <f t="shared" ca="1" si="56"/>
        <v>9851140.3987928797</v>
      </c>
      <c r="M73" s="649">
        <f t="shared" ca="1" si="56"/>
        <v>10824082.575641347</v>
      </c>
      <c r="N73" s="649">
        <f t="shared" ca="1" si="56"/>
        <v>9738828.6408027466</v>
      </c>
      <c r="O73" s="649">
        <f t="shared" ca="1" si="56"/>
        <v>9031915.9618534613</v>
      </c>
      <c r="P73" s="650">
        <f t="shared" ca="1" si="57"/>
        <v>103916182.50121184</v>
      </c>
      <c r="Q73" s="623">
        <f t="shared" ca="1" si="58"/>
        <v>103916182.50121185</v>
      </c>
      <c r="R73" s="643">
        <f t="shared" ca="1" si="59"/>
        <v>0</v>
      </c>
      <c r="S73" s="642"/>
    </row>
    <row r="74" spans="2:19">
      <c r="C74" s="627" t="s">
        <v>165</v>
      </c>
      <c r="D74" s="649">
        <f t="shared" ca="1" si="56"/>
        <v>427048.38766179996</v>
      </c>
      <c r="E74" s="649">
        <f t="shared" ca="1" si="56"/>
        <v>82654.526644219339</v>
      </c>
      <c r="F74" s="649">
        <f t="shared" ca="1" si="56"/>
        <v>135789.57948693179</v>
      </c>
      <c r="G74" s="649">
        <f t="shared" ca="1" si="56"/>
        <v>67894.789743465895</v>
      </c>
      <c r="H74" s="649">
        <f t="shared" ca="1" si="56"/>
        <v>137757.54440703223</v>
      </c>
      <c r="I74" s="649">
        <f t="shared" ca="1" si="56"/>
        <v>132837.63210678109</v>
      </c>
      <c r="J74" s="649">
        <f t="shared" ca="1" si="56"/>
        <v>111190.01798567602</v>
      </c>
      <c r="K74" s="649">
        <f t="shared" ca="1" si="56"/>
        <v>95446.298624872332</v>
      </c>
      <c r="L74" s="649">
        <f t="shared" ca="1" si="56"/>
        <v>70846.737123616578</v>
      </c>
      <c r="M74" s="649">
        <f t="shared" ca="1" si="56"/>
        <v>327666.15919672669</v>
      </c>
      <c r="N74" s="649">
        <f t="shared" ca="1" si="56"/>
        <v>272563.14143391378</v>
      </c>
      <c r="O74" s="649">
        <f t="shared" ca="1" si="56"/>
        <v>132837.63210678109</v>
      </c>
      <c r="P74" s="650">
        <f t="shared" ca="1" si="57"/>
        <v>1994532.4465218165</v>
      </c>
      <c r="Q74" s="623">
        <f t="shared" ca="1" si="58"/>
        <v>1994532.4465218168</v>
      </c>
      <c r="R74" s="643">
        <f t="shared" ca="1" si="59"/>
        <v>0</v>
      </c>
      <c r="S74" s="642"/>
    </row>
    <row r="75" spans="2:19">
      <c r="C75" s="627" t="s">
        <v>585</v>
      </c>
      <c r="D75" s="649">
        <f t="shared" ca="1" si="56"/>
        <v>38646895.100932844</v>
      </c>
      <c r="E75" s="649">
        <f t="shared" ca="1" si="56"/>
        <v>39373074.156449914</v>
      </c>
      <c r="F75" s="649">
        <f t="shared" ca="1" si="56"/>
        <v>35494215.298931904</v>
      </c>
      <c r="G75" s="649">
        <f t="shared" ca="1" si="56"/>
        <v>37973851.098258488</v>
      </c>
      <c r="H75" s="649">
        <f t="shared" ca="1" si="56"/>
        <v>33953298.766493246</v>
      </c>
      <c r="I75" s="649">
        <f t="shared" ca="1" si="56"/>
        <v>38062409.519663006</v>
      </c>
      <c r="J75" s="649">
        <f t="shared" ca="1" si="56"/>
        <v>36911150.04140424</v>
      </c>
      <c r="K75" s="649">
        <f t="shared" ca="1" si="56"/>
        <v>37495635.622674078</v>
      </c>
      <c r="L75" s="649">
        <f t="shared" ca="1" si="56"/>
        <v>37903004.361134872</v>
      </c>
      <c r="M75" s="649">
        <f t="shared" ca="1" si="56"/>
        <v>36220394.354448974</v>
      </c>
      <c r="N75" s="649">
        <f t="shared" ca="1" si="56"/>
        <v>37779022.571168542</v>
      </c>
      <c r="O75" s="649">
        <f t="shared" ca="1" si="56"/>
        <v>38168679.625348434</v>
      </c>
      <c r="P75" s="650">
        <f t="shared" ca="1" si="57"/>
        <v>447981630.51690859</v>
      </c>
      <c r="Q75" s="623">
        <f t="shared" ca="1" si="58"/>
        <v>447981630.51690853</v>
      </c>
      <c r="R75" s="643">
        <f t="shared" ca="1" si="59"/>
        <v>0</v>
      </c>
      <c r="S75" s="642"/>
    </row>
    <row r="76" spans="2:19">
      <c r="C76" s="627" t="s">
        <v>54</v>
      </c>
      <c r="D76" s="649">
        <f t="shared" ca="1" si="56"/>
        <v>16522295.482318429</v>
      </c>
      <c r="E76" s="649">
        <f t="shared" ca="1" si="56"/>
        <v>16972910.249898434</v>
      </c>
      <c r="F76" s="649">
        <f t="shared" ca="1" si="56"/>
        <v>17705583.589651834</v>
      </c>
      <c r="G76" s="649">
        <f t="shared" ca="1" si="56"/>
        <v>17321240.040756214</v>
      </c>
      <c r="H76" s="649">
        <f t="shared" ca="1" si="56"/>
        <v>18250906.669011671</v>
      </c>
      <c r="I76" s="649">
        <f t="shared" ca="1" si="56"/>
        <v>19077255.138961855</v>
      </c>
      <c r="J76" s="649">
        <f t="shared" ca="1" si="56"/>
        <v>20068818.19988431</v>
      </c>
      <c r="K76" s="649">
        <f t="shared" ca="1" si="56"/>
        <v>18950714.994599395</v>
      </c>
      <c r="L76" s="649">
        <f t="shared" ca="1" si="56"/>
        <v>18882771.005732927</v>
      </c>
      <c r="M76" s="649">
        <f t="shared" ca="1" si="56"/>
        <v>18241608.034764197</v>
      </c>
      <c r="N76" s="649">
        <f t="shared" ca="1" si="56"/>
        <v>18104637.676325206</v>
      </c>
      <c r="O76" s="649">
        <f t="shared" ca="1" si="56"/>
        <v>17491617.58769637</v>
      </c>
      <c r="P76" s="650">
        <f t="shared" ca="1" si="57"/>
        <v>217590358.66960084</v>
      </c>
      <c r="Q76" s="623">
        <f t="shared" ca="1" si="58"/>
        <v>217590358.66960084</v>
      </c>
      <c r="R76" s="643">
        <f t="shared" ca="1" si="59"/>
        <v>0</v>
      </c>
      <c r="S76" s="642"/>
    </row>
    <row r="77" spans="2:19">
      <c r="C77" s="627" t="s">
        <v>55</v>
      </c>
      <c r="D77" s="649">
        <f t="shared" ca="1" si="56"/>
        <v>12235.821890724614</v>
      </c>
      <c r="E77" s="649">
        <f t="shared" ca="1" si="56"/>
        <v>12235.821890724614</v>
      </c>
      <c r="F77" s="649">
        <f t="shared" ca="1" si="56"/>
        <v>12235.821890724614</v>
      </c>
      <c r="G77" s="649">
        <f t="shared" ca="1" si="56"/>
        <v>12235.821890724614</v>
      </c>
      <c r="H77" s="649">
        <f t="shared" ca="1" si="56"/>
        <v>12385.387224652248</v>
      </c>
      <c r="I77" s="649">
        <f t="shared" ca="1" si="56"/>
        <v>12235.821890724614</v>
      </c>
      <c r="J77" s="649">
        <f t="shared" ca="1" si="56"/>
        <v>12235.821890724614</v>
      </c>
      <c r="K77" s="649">
        <f t="shared" ca="1" si="56"/>
        <v>12235.821890724614</v>
      </c>
      <c r="L77" s="649">
        <f t="shared" ca="1" si="56"/>
        <v>12235.821890724614</v>
      </c>
      <c r="M77" s="649">
        <f t="shared" ca="1" si="56"/>
        <v>12235.821890724614</v>
      </c>
      <c r="N77" s="649">
        <f t="shared" ca="1" si="56"/>
        <v>12235.821890724614</v>
      </c>
      <c r="O77" s="649">
        <f t="shared" ca="1" si="56"/>
        <v>12235.821890724614</v>
      </c>
      <c r="P77" s="650">
        <f t="shared" ca="1" si="57"/>
        <v>146979.42802262303</v>
      </c>
      <c r="Q77" s="623">
        <f t="shared" ca="1" si="58"/>
        <v>146979.428022623</v>
      </c>
      <c r="R77" s="643">
        <f t="shared" ca="1" si="59"/>
        <v>0</v>
      </c>
      <c r="S77" s="642"/>
    </row>
    <row r="78" spans="2:19">
      <c r="B78" t="s">
        <v>275</v>
      </c>
      <c r="C78" s="627"/>
      <c r="D78" s="651">
        <f t="shared" ref="D78:P78" ca="1" si="60">SUM(D70:D77)</f>
        <v>66538746.787568852</v>
      </c>
      <c r="E78" s="651">
        <f t="shared" ca="1" si="60"/>
        <v>66336397.682536736</v>
      </c>
      <c r="F78" s="651">
        <f t="shared" ca="1" si="60"/>
        <v>62949094.150814041</v>
      </c>
      <c r="G78" s="651">
        <f t="shared" ca="1" si="60"/>
        <v>64103938.277174771</v>
      </c>
      <c r="H78" s="651">
        <f t="shared" ca="1" si="60"/>
        <v>60863151.701718472</v>
      </c>
      <c r="I78" s="651">
        <f t="shared" ca="1" si="60"/>
        <v>66251772.239025041</v>
      </c>
      <c r="J78" s="651">
        <f t="shared" ca="1" si="60"/>
        <v>66745307.337529972</v>
      </c>
      <c r="K78" s="651">
        <f t="shared" ca="1" si="60"/>
        <v>66753032.58382383</v>
      </c>
      <c r="L78" s="651">
        <f t="shared" ca="1" si="60"/>
        <v>68290834.811776429</v>
      </c>
      <c r="M78" s="651">
        <f t="shared" ca="1" si="60"/>
        <v>67217844.250337437</v>
      </c>
      <c r="N78" s="651">
        <f t="shared" ca="1" si="60"/>
        <v>67356934.106995374</v>
      </c>
      <c r="O78" s="651">
        <f t="shared" ca="1" si="60"/>
        <v>66664234.070699051</v>
      </c>
      <c r="P78" s="651">
        <f t="shared" ca="1" si="60"/>
        <v>790071288</v>
      </c>
      <c r="Q78" s="623"/>
      <c r="R78" s="643"/>
      <c r="S78" s="642"/>
    </row>
    <row r="79" spans="2:19">
      <c r="B79" t="s">
        <v>277</v>
      </c>
      <c r="C79" s="627"/>
      <c r="D79" s="649"/>
      <c r="E79" s="649"/>
      <c r="F79" s="649"/>
      <c r="G79" s="649"/>
      <c r="H79" s="649"/>
      <c r="I79" s="649"/>
      <c r="J79" s="649"/>
      <c r="K79" s="649"/>
      <c r="L79" s="649"/>
      <c r="M79" s="649"/>
      <c r="N79" s="649"/>
      <c r="O79" s="649"/>
      <c r="P79" s="650"/>
      <c r="Q79" s="623"/>
      <c r="R79" s="643"/>
      <c r="S79" s="642"/>
    </row>
    <row r="80" spans="2:19">
      <c r="C80" s="627" t="s">
        <v>58</v>
      </c>
      <c r="D80" s="649">
        <f>D34+Q34+Temperature!B80*1000</f>
        <v>412370.4953561849</v>
      </c>
      <c r="E80" s="649">
        <f>E34+R34+Temperature!B81*1000</f>
        <v>453693.13229508698</v>
      </c>
      <c r="F80" s="649">
        <f>F34+S34+Temperature!B82*1000</f>
        <v>1063970.2664668313</v>
      </c>
      <c r="G80" s="649">
        <f>G34+T34+Temperature!B83*1000</f>
        <v>7661130.6170016844</v>
      </c>
      <c r="H80" s="649">
        <f>H34+U34+Temperature!B84*1000</f>
        <v>18981789.491861656</v>
      </c>
      <c r="I80" s="649">
        <f>I34+V34+Temperature!B85*1000</f>
        <v>17394577.694346171</v>
      </c>
      <c r="J80" s="649">
        <f>J34+W34+Temperature!B86*1000</f>
        <v>22105749.846512053</v>
      </c>
      <c r="K80" s="649">
        <f>K34+X34+Temperature!B87*1000</f>
        <v>31269365.939788833</v>
      </c>
      <c r="L80" s="649">
        <f>L34+Y34+Temperature!B88*1000</f>
        <v>23615327.488122221</v>
      </c>
      <c r="M80" s="649">
        <f>M34+Z34+Temperature!B89*1000</f>
        <v>14911968.128553126</v>
      </c>
      <c r="N80" s="649">
        <f>N34+AA34+Temperature!B90*1000</f>
        <v>4539132.4272313481</v>
      </c>
      <c r="O80" s="649">
        <f>O34+AB34+Temperature!B91*1000</f>
        <v>657892.49255860108</v>
      </c>
      <c r="P80" s="650">
        <f>SUM(D80:O80)</f>
        <v>143066968.0200938</v>
      </c>
      <c r="Q80" s="623">
        <f>AE34</f>
        <v>143066968.0200938</v>
      </c>
      <c r="R80" s="643">
        <f>Q80-P80</f>
        <v>0</v>
      </c>
      <c r="S80" s="642"/>
    </row>
    <row r="81" spans="2:19">
      <c r="C81" s="627" t="s">
        <v>59</v>
      </c>
      <c r="D81" s="649">
        <f t="shared" ref="D81:O81" si="61">D35+Q35</f>
        <v>53534.571213714007</v>
      </c>
      <c r="E81" s="649">
        <f t="shared" si="61"/>
        <v>34773.253149711927</v>
      </c>
      <c r="F81" s="649">
        <f t="shared" si="61"/>
        <v>28285.787901987162</v>
      </c>
      <c r="G81" s="649">
        <f t="shared" si="61"/>
        <v>302119.53884635988</v>
      </c>
      <c r="H81" s="649">
        <f t="shared" si="61"/>
        <v>562840.54060621501</v>
      </c>
      <c r="I81" s="649">
        <f t="shared" si="61"/>
        <v>670442.98143916717</v>
      </c>
      <c r="J81" s="649">
        <f t="shared" si="61"/>
        <v>809974.41725903575</v>
      </c>
      <c r="K81" s="649">
        <f t="shared" si="61"/>
        <v>1030722.0070722419</v>
      </c>
      <c r="L81" s="649">
        <f t="shared" si="61"/>
        <v>1042902.9820763211</v>
      </c>
      <c r="M81" s="649">
        <f t="shared" si="61"/>
        <v>635395.08959747187</v>
      </c>
      <c r="N81" s="649">
        <f t="shared" si="61"/>
        <v>224954.05588823953</v>
      </c>
      <c r="O81" s="649">
        <f t="shared" si="61"/>
        <v>70453.313326045492</v>
      </c>
      <c r="P81" s="650">
        <f>SUM(D81:O81)</f>
        <v>5466398.5383765111</v>
      </c>
      <c r="Q81" s="623">
        <f>AE35</f>
        <v>5466398.5383765111</v>
      </c>
      <c r="R81" s="643">
        <f>Q81-P81</f>
        <v>0</v>
      </c>
      <c r="S81" s="642"/>
    </row>
    <row r="82" spans="2:19">
      <c r="B82" t="s">
        <v>277</v>
      </c>
      <c r="C82" s="627"/>
      <c r="D82" s="651">
        <f t="shared" ref="D82:P82" si="62">SUM(D80:D81)</f>
        <v>465905.06656989892</v>
      </c>
      <c r="E82" s="651">
        <f t="shared" si="62"/>
        <v>488466.38544479891</v>
      </c>
      <c r="F82" s="651">
        <f t="shared" si="62"/>
        <v>1092256.0543688184</v>
      </c>
      <c r="G82" s="651">
        <f t="shared" si="62"/>
        <v>7963250.155848044</v>
      </c>
      <c r="H82" s="651">
        <f t="shared" si="62"/>
        <v>19544630.032467872</v>
      </c>
      <c r="I82" s="651">
        <f t="shared" si="62"/>
        <v>18065020.675785337</v>
      </c>
      <c r="J82" s="651">
        <f t="shared" si="62"/>
        <v>22915724.263771091</v>
      </c>
      <c r="K82" s="651">
        <f t="shared" si="62"/>
        <v>32300087.946861073</v>
      </c>
      <c r="L82" s="651">
        <f t="shared" si="62"/>
        <v>24658230.470198542</v>
      </c>
      <c r="M82" s="651">
        <f t="shared" si="62"/>
        <v>15547363.218150597</v>
      </c>
      <c r="N82" s="651">
        <f t="shared" si="62"/>
        <v>4764086.4831195874</v>
      </c>
      <c r="O82" s="651">
        <f t="shared" si="62"/>
        <v>728345.8058846466</v>
      </c>
      <c r="P82" s="651">
        <f t="shared" si="62"/>
        <v>148533366.55847031</v>
      </c>
      <c r="Q82" s="623">
        <f>AE36</f>
        <v>148533366.55847031</v>
      </c>
      <c r="R82" s="643">
        <f>Q82-P82</f>
        <v>0</v>
      </c>
      <c r="S82" s="642"/>
    </row>
    <row r="83" spans="2:19">
      <c r="B83" t="s">
        <v>578</v>
      </c>
      <c r="C83" s="627"/>
      <c r="D83" s="651" t="s">
        <v>31</v>
      </c>
      <c r="E83" s="651" t="s">
        <v>31</v>
      </c>
      <c r="F83" s="651" t="s">
        <v>31</v>
      </c>
      <c r="G83" s="651" t="s">
        <v>31</v>
      </c>
      <c r="H83" s="651" t="s">
        <v>31</v>
      </c>
      <c r="I83" s="651" t="s">
        <v>31</v>
      </c>
      <c r="J83" s="651" t="s">
        <v>31</v>
      </c>
      <c r="K83" s="651" t="s">
        <v>31</v>
      </c>
      <c r="L83" s="651" t="s">
        <v>31</v>
      </c>
      <c r="M83" s="651" t="s">
        <v>31</v>
      </c>
      <c r="N83" s="651" t="s">
        <v>31</v>
      </c>
      <c r="O83" s="651" t="s">
        <v>31</v>
      </c>
      <c r="P83" s="652" t="s">
        <v>31</v>
      </c>
      <c r="S83" s="642"/>
    </row>
    <row r="84" spans="2:19">
      <c r="C84" s="627" t="s">
        <v>61</v>
      </c>
      <c r="D84" s="649">
        <f t="shared" ref="D84:O88" si="63">D38+Q38</f>
        <v>16532.194075019812</v>
      </c>
      <c r="E84" s="649">
        <f t="shared" si="63"/>
        <v>16532.194075019812</v>
      </c>
      <c r="F84" s="649">
        <f t="shared" si="63"/>
        <v>16532.194075019812</v>
      </c>
      <c r="G84" s="649">
        <f t="shared" si="63"/>
        <v>16532.194075019812</v>
      </c>
      <c r="H84" s="649">
        <f t="shared" si="63"/>
        <v>16532.194075019812</v>
      </c>
      <c r="I84" s="649">
        <f t="shared" si="63"/>
        <v>16532.194075019812</v>
      </c>
      <c r="J84" s="649">
        <f t="shared" si="63"/>
        <v>16532.101373364971</v>
      </c>
      <c r="K84" s="649">
        <f t="shared" si="63"/>
        <v>16532.322278582556</v>
      </c>
      <c r="L84" s="649">
        <f t="shared" si="63"/>
        <v>16532.322278582556</v>
      </c>
      <c r="M84" s="649">
        <f t="shared" si="63"/>
        <v>16532.322278582556</v>
      </c>
      <c r="N84" s="649">
        <f t="shared" si="63"/>
        <v>16532.322278582556</v>
      </c>
      <c r="O84" s="649">
        <f t="shared" si="63"/>
        <v>16486.304937958626</v>
      </c>
      <c r="P84" s="650">
        <f>SUM(D84:O84)</f>
        <v>198340.85987577267</v>
      </c>
      <c r="Q84" s="623">
        <f t="shared" ref="Q84:Q89" si="64">AE38</f>
        <v>198340.85987577267</v>
      </c>
      <c r="R84" s="643">
        <f t="shared" ref="R84:R89" si="65">Q84-P84</f>
        <v>0</v>
      </c>
      <c r="S84" s="642"/>
    </row>
    <row r="85" spans="2:19">
      <c r="C85" s="627" t="s">
        <v>62</v>
      </c>
      <c r="D85" s="649">
        <f t="shared" si="63"/>
        <v>260013.42253852743</v>
      </c>
      <c r="E85" s="649">
        <f t="shared" si="63"/>
        <v>260290.26642824302</v>
      </c>
      <c r="F85" s="649">
        <f t="shared" si="63"/>
        <v>260459.79371631634</v>
      </c>
      <c r="G85" s="649">
        <f t="shared" si="63"/>
        <v>260459.79371631634</v>
      </c>
      <c r="H85" s="649">
        <f t="shared" si="63"/>
        <v>260459.79371631634</v>
      </c>
      <c r="I85" s="649">
        <f t="shared" si="63"/>
        <v>260459.79371631634</v>
      </c>
      <c r="J85" s="649">
        <f t="shared" si="63"/>
        <v>260462.22576039596</v>
      </c>
      <c r="K85" s="649">
        <f t="shared" si="63"/>
        <v>260501.46338817891</v>
      </c>
      <c r="L85" s="649">
        <f t="shared" si="63"/>
        <v>260513.6799712246</v>
      </c>
      <c r="M85" s="649">
        <f t="shared" si="63"/>
        <v>260513.6799712246</v>
      </c>
      <c r="N85" s="649">
        <f t="shared" si="63"/>
        <v>258902.10905784369</v>
      </c>
      <c r="O85" s="649">
        <f t="shared" si="63"/>
        <v>258846.62540984663</v>
      </c>
      <c r="P85" s="650">
        <f>SUM(D85:O85)</f>
        <v>3121882.6473907502</v>
      </c>
      <c r="Q85" s="623">
        <f t="shared" si="64"/>
        <v>3121882.6473907502</v>
      </c>
      <c r="R85" s="643">
        <f t="shared" si="65"/>
        <v>0</v>
      </c>
      <c r="S85" s="642"/>
    </row>
    <row r="86" spans="2:19">
      <c r="C86" s="627" t="s">
        <v>63</v>
      </c>
      <c r="D86" s="649">
        <f t="shared" si="63"/>
        <v>121946.54813118618</v>
      </c>
      <c r="E86" s="649">
        <f t="shared" si="63"/>
        <v>104864.93804031333</v>
      </c>
      <c r="F86" s="649">
        <f t="shared" si="63"/>
        <v>94318.272945388875</v>
      </c>
      <c r="G86" s="649">
        <f t="shared" si="63"/>
        <v>81317.846062918921</v>
      </c>
      <c r="H86" s="649">
        <f t="shared" si="63"/>
        <v>69475.739083099121</v>
      </c>
      <c r="I86" s="649">
        <f t="shared" si="63"/>
        <v>63919.592447256189</v>
      </c>
      <c r="J86" s="649">
        <f t="shared" si="63"/>
        <v>60911.930020904452</v>
      </c>
      <c r="K86" s="649">
        <f t="shared" si="63"/>
        <v>65801.411229910576</v>
      </c>
      <c r="L86" s="649">
        <f t="shared" si="63"/>
        <v>75926.787076752764</v>
      </c>
      <c r="M86" s="649">
        <f t="shared" si="63"/>
        <v>85341.293699850154</v>
      </c>
      <c r="N86" s="649">
        <f t="shared" si="63"/>
        <v>97364.726458823134</v>
      </c>
      <c r="O86" s="649">
        <f t="shared" si="63"/>
        <v>118882.05225166703</v>
      </c>
      <c r="P86" s="650">
        <f>SUM(D86:O86)</f>
        <v>1040071.1374480706</v>
      </c>
      <c r="Q86" s="623">
        <f t="shared" si="64"/>
        <v>1040071.1374480707</v>
      </c>
      <c r="R86" s="643">
        <f t="shared" si="65"/>
        <v>0</v>
      </c>
      <c r="S86" s="642"/>
    </row>
    <row r="87" spans="2:19">
      <c r="C87" s="627" t="s">
        <v>64</v>
      </c>
      <c r="D87" s="649">
        <f t="shared" si="63"/>
        <v>264662.0547547529</v>
      </c>
      <c r="E87" s="649">
        <f t="shared" si="63"/>
        <v>265423.43808019871</v>
      </c>
      <c r="F87" s="649">
        <f t="shared" si="63"/>
        <v>265668.46827488404</v>
      </c>
      <c r="G87" s="649">
        <f t="shared" si="63"/>
        <v>265738.89225260325</v>
      </c>
      <c r="H87" s="649">
        <f t="shared" si="63"/>
        <v>265687.37237461936</v>
      </c>
      <c r="I87" s="649">
        <f t="shared" si="63"/>
        <v>264576.74405760056</v>
      </c>
      <c r="J87" s="649">
        <f t="shared" si="63"/>
        <v>265866.66914404579</v>
      </c>
      <c r="K87" s="649">
        <f t="shared" si="63"/>
        <v>265924.65101429168</v>
      </c>
      <c r="L87" s="649">
        <f t="shared" si="63"/>
        <v>265962.518457414</v>
      </c>
      <c r="M87" s="649">
        <f t="shared" si="63"/>
        <v>266030.48465565091</v>
      </c>
      <c r="N87" s="649">
        <f t="shared" si="63"/>
        <v>265499.34241041873</v>
      </c>
      <c r="O87" s="649">
        <f t="shared" si="63"/>
        <v>265554.96825976158</v>
      </c>
      <c r="P87" s="650">
        <f>SUM(D87:O87)</f>
        <v>3186595.6037362413</v>
      </c>
      <c r="Q87" s="623">
        <f t="shared" si="64"/>
        <v>3186595.6037362413</v>
      </c>
      <c r="R87" s="643">
        <f t="shared" si="65"/>
        <v>0</v>
      </c>
      <c r="S87" s="642"/>
    </row>
    <row r="88" spans="2:19">
      <c r="C88" s="627" t="s">
        <v>65</v>
      </c>
      <c r="D88" s="649">
        <f t="shared" si="63"/>
        <v>141854.49486925759</v>
      </c>
      <c r="E88" s="649">
        <f t="shared" si="63"/>
        <v>146114.29750190093</v>
      </c>
      <c r="F88" s="649">
        <f t="shared" si="63"/>
        <v>146080.01700633962</v>
      </c>
      <c r="G88" s="649">
        <f t="shared" si="63"/>
        <v>146045.73651077834</v>
      </c>
      <c r="H88" s="649">
        <f t="shared" si="63"/>
        <v>146045.73651077834</v>
      </c>
      <c r="I88" s="649">
        <f t="shared" si="63"/>
        <v>145582.04770239658</v>
      </c>
      <c r="J88" s="649">
        <f t="shared" si="63"/>
        <v>143494.54594637439</v>
      </c>
      <c r="K88" s="649">
        <f t="shared" si="63"/>
        <v>145942.89502409444</v>
      </c>
      <c r="L88" s="649">
        <f t="shared" si="63"/>
        <v>145908.61452853313</v>
      </c>
      <c r="M88" s="649">
        <f t="shared" si="63"/>
        <v>145831.0323543681</v>
      </c>
      <c r="N88" s="649">
        <f t="shared" si="63"/>
        <v>145513.48671127396</v>
      </c>
      <c r="O88" s="649">
        <f t="shared" si="63"/>
        <v>144842.91210511906</v>
      </c>
      <c r="P88" s="650">
        <f>SUM(D88:O88)</f>
        <v>1743255.8167712144</v>
      </c>
      <c r="Q88" s="623">
        <f t="shared" si="64"/>
        <v>1743255.8167712144</v>
      </c>
      <c r="R88" s="643">
        <f t="shared" si="65"/>
        <v>0</v>
      </c>
      <c r="S88" s="642"/>
    </row>
    <row r="89" spans="2:19">
      <c r="B89" t="s">
        <v>578</v>
      </c>
      <c r="D89" s="651">
        <f t="shared" ref="D89:P89" si="66">SUM(D84:D88)</f>
        <v>805008.71436874382</v>
      </c>
      <c r="E89" s="651">
        <f t="shared" si="66"/>
        <v>793225.13412567577</v>
      </c>
      <c r="F89" s="651">
        <f t="shared" si="66"/>
        <v>783058.74601794861</v>
      </c>
      <c r="G89" s="651">
        <f t="shared" si="66"/>
        <v>770094.46261763666</v>
      </c>
      <c r="H89" s="651">
        <f t="shared" si="66"/>
        <v>758200.83575983299</v>
      </c>
      <c r="I89" s="651">
        <f t="shared" si="66"/>
        <v>751070.37199858949</v>
      </c>
      <c r="J89" s="651">
        <f t="shared" si="66"/>
        <v>747267.47224508564</v>
      </c>
      <c r="K89" s="651">
        <f t="shared" si="66"/>
        <v>754702.7429350582</v>
      </c>
      <c r="L89" s="651">
        <f t="shared" si="66"/>
        <v>764843.92231250694</v>
      </c>
      <c r="M89" s="651">
        <f t="shared" si="66"/>
        <v>774248.81295967638</v>
      </c>
      <c r="N89" s="651">
        <f t="shared" si="66"/>
        <v>783811.98691694206</v>
      </c>
      <c r="O89" s="651">
        <f t="shared" si="66"/>
        <v>804612.86296435294</v>
      </c>
      <c r="P89" s="652">
        <f t="shared" si="66"/>
        <v>9290146.0652220491</v>
      </c>
      <c r="Q89" s="623">
        <f t="shared" si="64"/>
        <v>9290146.0652220491</v>
      </c>
      <c r="R89" s="643">
        <f t="shared" si="65"/>
        <v>0</v>
      </c>
      <c r="S89" s="642"/>
    </row>
    <row r="90" spans="2:19">
      <c r="D90" s="617"/>
      <c r="E90" s="617"/>
      <c r="F90" s="617"/>
      <c r="G90" s="617"/>
      <c r="H90" s="617"/>
      <c r="I90" s="617"/>
      <c r="J90" s="617"/>
      <c r="K90" s="617"/>
      <c r="L90" s="617"/>
      <c r="M90" s="617"/>
      <c r="N90" s="617"/>
      <c r="O90" s="617"/>
      <c r="P90" s="653" t="s">
        <v>31</v>
      </c>
      <c r="S90" s="642"/>
    </row>
    <row r="91" spans="2:19">
      <c r="C91" s="627" t="s">
        <v>9</v>
      </c>
      <c r="D91" s="649">
        <f t="shared" ref="D91:O91" ca="1" si="67">D58+D68+D78+D82+D89</f>
        <v>405038460.48379445</v>
      </c>
      <c r="E91" s="649">
        <f t="shared" ca="1" si="67"/>
        <v>377355158.77557099</v>
      </c>
      <c r="F91" s="649">
        <f t="shared" ca="1" si="67"/>
        <v>331175572.21988374</v>
      </c>
      <c r="G91" s="649">
        <f t="shared" ca="1" si="67"/>
        <v>301246095.25717658</v>
      </c>
      <c r="H91" s="649">
        <f t="shared" ca="1" si="67"/>
        <v>286495226.24687105</v>
      </c>
      <c r="I91" s="649">
        <f t="shared" ca="1" si="67"/>
        <v>290529136.72865027</v>
      </c>
      <c r="J91" s="649">
        <f t="shared" ca="1" si="67"/>
        <v>294009070.6685667</v>
      </c>
      <c r="K91" s="649">
        <f t="shared" ca="1" si="67"/>
        <v>347686544.4379738</v>
      </c>
      <c r="L91" s="649">
        <f t="shared" ca="1" si="67"/>
        <v>340698249.19261289</v>
      </c>
      <c r="M91" s="649">
        <f t="shared" ca="1" si="67"/>
        <v>320402612.10931963</v>
      </c>
      <c r="N91" s="649">
        <f t="shared" ca="1" si="67"/>
        <v>319267317.13041824</v>
      </c>
      <c r="O91" s="649">
        <f t="shared" ca="1" si="67"/>
        <v>396257990.02277064</v>
      </c>
      <c r="P91" s="649">
        <f ca="1">SUM(D91:O91)</f>
        <v>4010161433.2736092</v>
      </c>
      <c r="Q91" s="626">
        <f ca="1">AE44</f>
        <v>4010161433.2736087</v>
      </c>
      <c r="R91" s="643">
        <f ca="1">Q91-P91</f>
        <v>0</v>
      </c>
      <c r="S91" s="642"/>
    </row>
    <row r="92" spans="2:19">
      <c r="D92" s="617"/>
      <c r="E92" s="617"/>
      <c r="F92" s="617"/>
      <c r="G92" s="617"/>
      <c r="H92" s="617"/>
      <c r="I92" s="617"/>
      <c r="J92" s="617"/>
      <c r="K92" s="617"/>
      <c r="L92" s="617"/>
      <c r="M92" s="617"/>
      <c r="N92" s="617"/>
      <c r="O92" s="617"/>
      <c r="P92" s="617"/>
      <c r="Q92" s="641"/>
      <c r="S92" s="642"/>
    </row>
  </sheetData>
  <phoneticPr fontId="25" type="noConversion"/>
  <pageMargins left="0.75" right="0.75" top="1" bottom="1" header="0.5" footer="0.5"/>
  <pageSetup scale="45" fitToWidth="2" fitToHeight="2" orientation="landscape" r:id="rId1"/>
  <headerFooter alignWithMargins="0"/>
  <rowBreaks count="1" manualBreakCount="1">
    <brk id="46" max="16383" man="1"/>
  </rowBreaks>
  <colBreaks count="1" manualBreakCount="1">
    <brk id="16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L169"/>
  <sheetViews>
    <sheetView zoomScale="70" zoomScaleNormal="70" workbookViewId="0">
      <pane xSplit="2" ySplit="6" topLeftCell="C7" activePane="bottomRight" state="frozen"/>
      <selection activeCell="F26" sqref="F26"/>
      <selection pane="topRight" activeCell="F26" sqref="F26"/>
      <selection pane="bottomLeft" activeCell="F26" sqref="F26"/>
      <selection pane="bottomRight"/>
    </sheetView>
  </sheetViews>
  <sheetFormatPr defaultRowHeight="15.75"/>
  <cols>
    <col min="1" max="1" width="8.875" style="4" bestFit="1" customWidth="1"/>
    <col min="2" max="2" width="18.625" style="749" customWidth="1"/>
    <col min="3" max="3" width="21.625" style="4" customWidth="1"/>
    <col min="4" max="4" width="55.125" style="4" customWidth="1"/>
    <col min="5" max="5" width="19" style="4" customWidth="1"/>
    <col min="6" max="6" width="15.875" style="4" customWidth="1"/>
    <col min="7" max="7" width="15.875" style="4" hidden="1" customWidth="1"/>
    <col min="8" max="8" width="17.625" style="4" customWidth="1"/>
    <col min="9" max="9" width="20.125" style="4" customWidth="1"/>
    <col min="10" max="10" width="16" style="4" customWidth="1"/>
    <col min="11" max="11" width="9" style="4"/>
    <col min="12" max="12" width="15.125" style="4" bestFit="1" customWidth="1"/>
    <col min="13" max="16384" width="9" style="4"/>
  </cols>
  <sheetData>
    <row r="2" spans="1:10">
      <c r="B2" s="4" t="s">
        <v>846</v>
      </c>
    </row>
    <row r="3" spans="1:10">
      <c r="B3" s="4" t="s">
        <v>762</v>
      </c>
    </row>
    <row r="4" spans="1:10">
      <c r="B4" s="4" t="s">
        <v>847</v>
      </c>
    </row>
    <row r="5" spans="1:10">
      <c r="A5" s="4" t="s">
        <v>233</v>
      </c>
      <c r="B5" s="749" t="s">
        <v>234</v>
      </c>
      <c r="C5" s="953" t="s">
        <v>848</v>
      </c>
      <c r="D5" s="103"/>
      <c r="E5" s="103"/>
      <c r="F5" s="103"/>
      <c r="G5" s="103"/>
      <c r="H5" s="103"/>
      <c r="I5" s="103"/>
      <c r="J5" s="104"/>
    </row>
    <row r="6" spans="1:10">
      <c r="A6" s="4" t="s">
        <v>178</v>
      </c>
      <c r="B6" s="749" t="s">
        <v>32</v>
      </c>
      <c r="C6" s="939" t="s">
        <v>99</v>
      </c>
      <c r="D6" s="7" t="s">
        <v>100</v>
      </c>
      <c r="E6" s="7"/>
      <c r="F6" s="7" t="s">
        <v>101</v>
      </c>
      <c r="G6" s="7"/>
      <c r="H6" s="7" t="s">
        <v>25</v>
      </c>
      <c r="I6" s="7" t="s">
        <v>1</v>
      </c>
      <c r="J6" s="7" t="s">
        <v>103</v>
      </c>
    </row>
    <row r="7" spans="1:10">
      <c r="A7" s="954" t="s">
        <v>153</v>
      </c>
      <c r="B7" s="954" t="s">
        <v>153</v>
      </c>
      <c r="C7" s="939" t="s">
        <v>105</v>
      </c>
      <c r="D7" s="955" t="s">
        <v>123</v>
      </c>
      <c r="E7" s="152" t="s">
        <v>31</v>
      </c>
      <c r="F7" s="7" t="s">
        <v>715</v>
      </c>
      <c r="G7" s="7"/>
      <c r="H7" s="956">
        <v>-4263000</v>
      </c>
      <c r="I7" s="1161">
        <v>-277000</v>
      </c>
      <c r="J7" s="956">
        <v>0</v>
      </c>
    </row>
    <row r="8" spans="1:10">
      <c r="A8" s="954" t="s">
        <v>152</v>
      </c>
      <c r="B8" s="954" t="s">
        <v>152</v>
      </c>
      <c r="C8" s="939"/>
      <c r="D8" s="955" t="s">
        <v>120</v>
      </c>
      <c r="E8" s="152" t="s">
        <v>31</v>
      </c>
      <c r="F8" s="7" t="s">
        <v>4</v>
      </c>
      <c r="G8" s="7"/>
      <c r="H8" s="956">
        <v>0</v>
      </c>
      <c r="I8" s="1161">
        <v>63027.97</v>
      </c>
      <c r="J8" s="956">
        <v>0</v>
      </c>
    </row>
    <row r="9" spans="1:10">
      <c r="A9" s="954" t="s">
        <v>688</v>
      </c>
      <c r="B9" s="954" t="s">
        <v>688</v>
      </c>
      <c r="C9" s="939"/>
      <c r="D9" s="955" t="s">
        <v>685</v>
      </c>
      <c r="E9" s="152" t="str">
        <f t="shared" ref="E9:E14" si="0">LEFT(D9,10)</f>
        <v>SMUD REVEN</v>
      </c>
      <c r="F9" s="7" t="s">
        <v>716</v>
      </c>
      <c r="G9" s="7"/>
      <c r="H9" s="956">
        <v>0</v>
      </c>
      <c r="I9" s="1161">
        <v>115878.41</v>
      </c>
      <c r="J9" s="956">
        <v>0</v>
      </c>
    </row>
    <row r="10" spans="1:10">
      <c r="A10" s="958" t="s">
        <v>234</v>
      </c>
      <c r="B10" s="958" t="s">
        <v>234</v>
      </c>
      <c r="C10" s="939"/>
      <c r="D10" s="955" t="s">
        <v>763</v>
      </c>
      <c r="E10" s="152" t="str">
        <f t="shared" si="0"/>
        <v>REVENUE AD</v>
      </c>
      <c r="F10" s="7" t="s">
        <v>716</v>
      </c>
      <c r="G10" s="7"/>
      <c r="H10" s="956">
        <v>0</v>
      </c>
      <c r="I10" s="1161">
        <v>-321503.46999999997</v>
      </c>
      <c r="J10" s="956">
        <v>0</v>
      </c>
    </row>
    <row r="11" spans="1:10">
      <c r="A11" s="958" t="s">
        <v>764</v>
      </c>
      <c r="B11" s="958" t="s">
        <v>764</v>
      </c>
      <c r="C11" s="939"/>
      <c r="D11" s="955" t="s">
        <v>686</v>
      </c>
      <c r="E11" s="152" t="str">
        <f t="shared" si="0"/>
        <v>WASHINGTON</v>
      </c>
      <c r="F11" s="7" t="s">
        <v>716</v>
      </c>
      <c r="G11" s="7"/>
      <c r="H11" s="956">
        <v>0</v>
      </c>
      <c r="I11" s="1161">
        <v>-1020000</v>
      </c>
      <c r="J11" s="956">
        <v>0</v>
      </c>
    </row>
    <row r="12" spans="1:10">
      <c r="A12" s="958" t="s">
        <v>234</v>
      </c>
      <c r="B12" s="958" t="s">
        <v>234</v>
      </c>
      <c r="C12" s="939"/>
      <c r="D12" s="955" t="s">
        <v>713</v>
      </c>
      <c r="E12" s="152" t="str">
        <f t="shared" si="0"/>
        <v>REVENUE_AC</v>
      </c>
      <c r="F12" s="7" t="s">
        <v>716</v>
      </c>
      <c r="G12" s="7"/>
      <c r="H12" s="956">
        <v>0</v>
      </c>
      <c r="I12" s="1161">
        <v>-3994653.12</v>
      </c>
      <c r="J12" s="956">
        <v>0</v>
      </c>
    </row>
    <row r="13" spans="1:10">
      <c r="A13" s="954" t="s">
        <v>765</v>
      </c>
      <c r="B13" s="954" t="s">
        <v>765</v>
      </c>
      <c r="C13" s="939"/>
      <c r="D13" s="955" t="s">
        <v>766</v>
      </c>
      <c r="E13" s="152" t="str">
        <f t="shared" si="0"/>
        <v>301270-DSM</v>
      </c>
      <c r="F13" s="7" t="s">
        <v>716</v>
      </c>
      <c r="G13" s="7"/>
      <c r="H13" s="956">
        <v>0</v>
      </c>
      <c r="I13" s="1161">
        <v>3876602.16</v>
      </c>
      <c r="J13" s="956">
        <v>0</v>
      </c>
    </row>
    <row r="14" spans="1:10">
      <c r="A14" s="954" t="s">
        <v>767</v>
      </c>
      <c r="B14" s="954" t="s">
        <v>767</v>
      </c>
      <c r="C14" s="939"/>
      <c r="D14" s="955" t="s">
        <v>768</v>
      </c>
      <c r="E14" s="152" t="str">
        <f t="shared" si="0"/>
        <v>301280-BLU</v>
      </c>
      <c r="F14" s="7" t="s">
        <v>716</v>
      </c>
      <c r="G14" s="7"/>
      <c r="H14" s="956">
        <v>0</v>
      </c>
      <c r="I14" s="1161">
        <v>11667.31</v>
      </c>
      <c r="J14" s="956">
        <v>4.6666666666666696</v>
      </c>
    </row>
    <row r="15" spans="1:10">
      <c r="A15" s="954">
        <v>24</v>
      </c>
      <c r="B15" s="954">
        <v>24</v>
      </c>
      <c r="C15" s="939"/>
      <c r="D15" s="955" t="s">
        <v>106</v>
      </c>
      <c r="E15" s="152" t="str">
        <f>LEFT(D15,10)</f>
        <v>02GNSV0024</v>
      </c>
      <c r="F15" s="7" t="s">
        <v>716</v>
      </c>
      <c r="G15" s="7"/>
      <c r="H15" s="956">
        <v>483688086</v>
      </c>
      <c r="I15" s="1161">
        <v>41590703.93</v>
      </c>
      <c r="J15" s="956">
        <v>13901.5</v>
      </c>
    </row>
    <row r="16" spans="1:10">
      <c r="A16" s="954" t="s">
        <v>149</v>
      </c>
      <c r="B16" s="954" t="s">
        <v>149</v>
      </c>
      <c r="C16" s="939"/>
      <c r="D16" s="955" t="s">
        <v>107</v>
      </c>
      <c r="E16" s="152" t="str">
        <f t="shared" ref="E16:E29" si="1">LEFT(D16,10)</f>
        <v>02GNSV024F</v>
      </c>
      <c r="F16" s="7" t="s">
        <v>716</v>
      </c>
      <c r="G16" s="7"/>
      <c r="H16" s="956">
        <v>1115037</v>
      </c>
      <c r="I16" s="1161">
        <v>142334.81</v>
      </c>
      <c r="J16" s="956">
        <v>111</v>
      </c>
    </row>
    <row r="17" spans="1:10">
      <c r="A17" s="954">
        <v>36</v>
      </c>
      <c r="B17" s="954">
        <v>36</v>
      </c>
      <c r="C17" s="939"/>
      <c r="D17" s="955" t="s">
        <v>108</v>
      </c>
      <c r="E17" s="152" t="str">
        <f t="shared" si="1"/>
        <v>02LGSV0036</v>
      </c>
      <c r="F17" s="7" t="s">
        <v>716</v>
      </c>
      <c r="G17" s="7"/>
      <c r="H17" s="956">
        <v>714508754</v>
      </c>
      <c r="I17" s="1161">
        <v>51909016.170000002</v>
      </c>
      <c r="J17" s="956">
        <v>808.66666666666697</v>
      </c>
    </row>
    <row r="18" spans="1:10">
      <c r="A18" s="954" t="s">
        <v>155</v>
      </c>
      <c r="B18" s="954" t="s">
        <v>155</v>
      </c>
      <c r="C18" s="939"/>
      <c r="D18" s="955" t="s">
        <v>109</v>
      </c>
      <c r="E18" s="152" t="str">
        <f t="shared" si="1"/>
        <v>02LGSV048T</v>
      </c>
      <c r="F18" s="7" t="s">
        <v>716</v>
      </c>
      <c r="G18" s="7"/>
      <c r="H18" s="956">
        <v>172307762</v>
      </c>
      <c r="I18" s="1161">
        <v>11358740.6</v>
      </c>
      <c r="J18" s="956">
        <v>31.0833333333333</v>
      </c>
    </row>
    <row r="19" spans="1:10">
      <c r="A19" s="954" t="s">
        <v>150</v>
      </c>
      <c r="B19" s="954" t="s">
        <v>150</v>
      </c>
      <c r="C19" s="939"/>
      <c r="D19" s="955" t="s">
        <v>110</v>
      </c>
      <c r="E19" s="152" t="str">
        <f t="shared" si="1"/>
        <v>02LNX00102</v>
      </c>
      <c r="F19" s="7" t="s">
        <v>716</v>
      </c>
      <c r="G19" s="7"/>
      <c r="H19" s="956">
        <v>0</v>
      </c>
      <c r="I19" s="1161">
        <v>34589.050000000003</v>
      </c>
      <c r="J19" s="956"/>
    </row>
    <row r="20" spans="1:10">
      <c r="A20" s="954" t="s">
        <v>150</v>
      </c>
      <c r="B20" s="954" t="s">
        <v>150</v>
      </c>
      <c r="C20" s="939"/>
      <c r="D20" s="955" t="s">
        <v>111</v>
      </c>
      <c r="E20" s="152" t="str">
        <f t="shared" si="1"/>
        <v>02LNX00103</v>
      </c>
      <c r="F20" s="7" t="s">
        <v>716</v>
      </c>
      <c r="G20" s="7"/>
      <c r="H20" s="956">
        <v>0</v>
      </c>
      <c r="I20" s="1161">
        <v>9449.93</v>
      </c>
      <c r="J20" s="956"/>
    </row>
    <row r="21" spans="1:10">
      <c r="A21" s="954" t="s">
        <v>150</v>
      </c>
      <c r="B21" s="954" t="s">
        <v>150</v>
      </c>
      <c r="C21" s="939"/>
      <c r="D21" s="955" t="s">
        <v>112</v>
      </c>
      <c r="E21" s="152" t="str">
        <f t="shared" si="1"/>
        <v>02LNX00105</v>
      </c>
      <c r="F21" s="7" t="s">
        <v>716</v>
      </c>
      <c r="G21" s="7"/>
      <c r="H21" s="956">
        <v>0</v>
      </c>
      <c r="I21" s="1161">
        <v>1783.3</v>
      </c>
      <c r="J21" s="956"/>
    </row>
    <row r="22" spans="1:10">
      <c r="A22" s="954" t="s">
        <v>150</v>
      </c>
      <c r="B22" s="954" t="s">
        <v>150</v>
      </c>
      <c r="C22" s="939"/>
      <c r="D22" s="955" t="s">
        <v>113</v>
      </c>
      <c r="E22" s="152" t="str">
        <f t="shared" si="1"/>
        <v>02LNX00109</v>
      </c>
      <c r="F22" s="7" t="s">
        <v>716</v>
      </c>
      <c r="G22" s="7"/>
      <c r="H22" s="956">
        <v>0</v>
      </c>
      <c r="I22" s="1161">
        <v>291326.93</v>
      </c>
      <c r="J22" s="956"/>
    </row>
    <row r="23" spans="1:10">
      <c r="A23" s="954" t="s">
        <v>150</v>
      </c>
      <c r="B23" s="954" t="s">
        <v>150</v>
      </c>
      <c r="C23" s="939"/>
      <c r="D23" s="955" t="s">
        <v>114</v>
      </c>
      <c r="E23" s="152" t="str">
        <f t="shared" si="1"/>
        <v>02LNX00110</v>
      </c>
      <c r="F23" s="7" t="s">
        <v>716</v>
      </c>
      <c r="G23" s="7"/>
      <c r="H23" s="956">
        <v>0</v>
      </c>
      <c r="I23" s="1161">
        <v>4141.6000000000004</v>
      </c>
      <c r="J23" s="956"/>
    </row>
    <row r="24" spans="1:10">
      <c r="A24" s="954" t="s">
        <v>150</v>
      </c>
      <c r="B24" s="954" t="s">
        <v>150</v>
      </c>
      <c r="C24" s="939"/>
      <c r="D24" s="955" t="s">
        <v>115</v>
      </c>
      <c r="E24" s="152" t="str">
        <f t="shared" si="1"/>
        <v>02LNX00112</v>
      </c>
      <c r="F24" s="7" t="s">
        <v>716</v>
      </c>
      <c r="G24" s="7"/>
      <c r="H24" s="956">
        <v>0</v>
      </c>
      <c r="I24" s="1161">
        <v>668.76</v>
      </c>
      <c r="J24" s="956"/>
    </row>
    <row r="25" spans="1:10">
      <c r="A25" s="954" t="s">
        <v>151</v>
      </c>
      <c r="B25" s="954" t="s">
        <v>151</v>
      </c>
      <c r="C25" s="939"/>
      <c r="D25" s="955" t="s">
        <v>116</v>
      </c>
      <c r="E25" s="152" t="str">
        <f t="shared" si="1"/>
        <v>02OALT015N</v>
      </c>
      <c r="F25" s="7" t="s">
        <v>716</v>
      </c>
      <c r="G25" s="7"/>
      <c r="H25" s="956">
        <v>1570450</v>
      </c>
      <c r="I25" s="1161">
        <v>217533.81</v>
      </c>
      <c r="J25" s="956">
        <v>825.66666666666697</v>
      </c>
    </row>
    <row r="26" spans="1:10">
      <c r="A26" s="954">
        <v>54</v>
      </c>
      <c r="B26" s="954">
        <v>54</v>
      </c>
      <c r="C26" s="939"/>
      <c r="D26" s="955" t="s">
        <v>117</v>
      </c>
      <c r="E26" s="152" t="str">
        <f t="shared" si="1"/>
        <v>02RCFL0054</v>
      </c>
      <c r="F26" s="7" t="s">
        <v>716</v>
      </c>
      <c r="G26" s="7"/>
      <c r="H26" s="956">
        <v>296094</v>
      </c>
      <c r="I26" s="1161">
        <v>26869.71</v>
      </c>
      <c r="J26" s="956">
        <v>30.1666666666667</v>
      </c>
    </row>
    <row r="27" spans="1:10">
      <c r="A27" s="954" t="s">
        <v>150</v>
      </c>
      <c r="B27" s="954" t="s">
        <v>150</v>
      </c>
      <c r="C27" s="939"/>
      <c r="D27" s="955" t="s">
        <v>203</v>
      </c>
      <c r="E27" s="152" t="str">
        <f t="shared" si="1"/>
        <v>02LNX00300</v>
      </c>
      <c r="F27" s="7" t="s">
        <v>716</v>
      </c>
      <c r="G27" s="7"/>
      <c r="H27" s="956">
        <v>0</v>
      </c>
      <c r="I27" s="1161">
        <v>10693.56</v>
      </c>
      <c r="J27" s="956"/>
    </row>
    <row r="28" spans="1:10">
      <c r="A28" s="954">
        <v>24</v>
      </c>
      <c r="B28" s="954">
        <v>24</v>
      </c>
      <c r="C28" s="939"/>
      <c r="D28" s="955" t="s">
        <v>215</v>
      </c>
      <c r="E28" s="152" t="str">
        <f t="shared" si="1"/>
        <v>02NMT24135</v>
      </c>
      <c r="F28" s="7" t="s">
        <v>716</v>
      </c>
      <c r="G28" s="7"/>
      <c r="H28" s="956">
        <v>760934</v>
      </c>
      <c r="I28" s="1161">
        <v>62011.81</v>
      </c>
      <c r="J28" s="956">
        <v>13.4166666666667</v>
      </c>
    </row>
    <row r="29" spans="1:10">
      <c r="A29" s="958">
        <v>24</v>
      </c>
      <c r="B29" s="958">
        <v>24</v>
      </c>
      <c r="C29" s="939"/>
      <c r="D29" s="955" t="s">
        <v>220</v>
      </c>
      <c r="E29" s="152" t="str">
        <f t="shared" si="1"/>
        <v>02GNSB0024</v>
      </c>
      <c r="F29" s="7" t="s">
        <v>716</v>
      </c>
      <c r="G29" s="7"/>
      <c r="H29" s="956">
        <v>40697449</v>
      </c>
      <c r="I29" s="1161">
        <v>3772957.34</v>
      </c>
      <c r="J29" s="956">
        <v>2792.25</v>
      </c>
    </row>
    <row r="30" spans="1:10">
      <c r="A30" s="954" t="s">
        <v>240</v>
      </c>
      <c r="B30" s="954">
        <v>24</v>
      </c>
      <c r="C30" s="939"/>
      <c r="D30" s="955" t="s">
        <v>226</v>
      </c>
      <c r="E30" s="955"/>
      <c r="F30" s="7" t="s">
        <v>4</v>
      </c>
      <c r="G30" s="7"/>
      <c r="H30" s="956">
        <v>40696982</v>
      </c>
      <c r="I30" s="1161">
        <v>-167901.85</v>
      </c>
      <c r="J30" s="956">
        <v>2792.25</v>
      </c>
    </row>
    <row r="31" spans="1:10">
      <c r="A31" s="954" t="s">
        <v>156</v>
      </c>
      <c r="B31" s="954" t="s">
        <v>156</v>
      </c>
      <c r="C31" s="939"/>
      <c r="D31" s="955" t="s">
        <v>221</v>
      </c>
      <c r="E31" s="152" t="str">
        <f>LEFT(D31,10)</f>
        <v>02GNSB24FP</v>
      </c>
      <c r="F31" s="7" t="s">
        <v>716</v>
      </c>
      <c r="G31" s="7"/>
      <c r="H31" s="956">
        <v>455587</v>
      </c>
      <c r="I31" s="1161">
        <v>114723.55</v>
      </c>
      <c r="J31" s="956">
        <v>85.4166666666667</v>
      </c>
    </row>
    <row r="32" spans="1:10">
      <c r="A32" s="954" t="s">
        <v>179</v>
      </c>
      <c r="B32" s="954" t="s">
        <v>156</v>
      </c>
      <c r="C32" s="939"/>
      <c r="D32" s="955" t="s">
        <v>227</v>
      </c>
      <c r="E32" s="955"/>
      <c r="F32" s="7" t="s">
        <v>4</v>
      </c>
      <c r="G32" s="7"/>
      <c r="H32" s="956">
        <v>455555</v>
      </c>
      <c r="I32" s="1161">
        <v>-1870.31</v>
      </c>
      <c r="J32" s="956">
        <v>85.4166666666667</v>
      </c>
    </row>
    <row r="33" spans="1:12">
      <c r="A33" s="954">
        <v>36</v>
      </c>
      <c r="B33" s="954">
        <v>36</v>
      </c>
      <c r="C33" s="939"/>
      <c r="D33" s="955" t="s">
        <v>230</v>
      </c>
      <c r="E33" s="152" t="str">
        <f>LEFT(D33,10)</f>
        <v>02LGSB0036</v>
      </c>
      <c r="F33" s="7" t="s">
        <v>716</v>
      </c>
      <c r="G33" s="7"/>
      <c r="H33" s="956">
        <v>89972420</v>
      </c>
      <c r="I33" s="1161">
        <v>6477033.1200000001</v>
      </c>
      <c r="J33" s="956">
        <v>113.25</v>
      </c>
    </row>
    <row r="34" spans="1:12">
      <c r="A34" s="954" t="s">
        <v>236</v>
      </c>
      <c r="B34" s="954">
        <v>36</v>
      </c>
      <c r="C34" s="939"/>
      <c r="D34" s="955" t="s">
        <v>223</v>
      </c>
      <c r="E34" s="955"/>
      <c r="F34" s="7" t="s">
        <v>4</v>
      </c>
      <c r="G34" s="7"/>
      <c r="H34" s="956">
        <v>89971070</v>
      </c>
      <c r="I34" s="1161">
        <v>-371516.11</v>
      </c>
      <c r="J34" s="956">
        <v>113.25</v>
      </c>
    </row>
    <row r="35" spans="1:12">
      <c r="A35" s="954" t="s">
        <v>151</v>
      </c>
      <c r="B35" s="954" t="s">
        <v>151</v>
      </c>
      <c r="C35" s="939"/>
      <c r="D35" s="955" t="s">
        <v>228</v>
      </c>
      <c r="E35" s="152" t="str">
        <f>LEFT(D35,10)</f>
        <v>02OALTB15N</v>
      </c>
      <c r="F35" s="7" t="s">
        <v>716</v>
      </c>
      <c r="G35" s="7"/>
      <c r="H35" s="956">
        <v>560036</v>
      </c>
      <c r="I35" s="1161">
        <v>83768.600000000006</v>
      </c>
      <c r="J35" s="956">
        <v>502.16666666666703</v>
      </c>
    </row>
    <row r="36" spans="1:12">
      <c r="A36" s="954" t="s">
        <v>237</v>
      </c>
      <c r="B36" s="954" t="s">
        <v>151</v>
      </c>
      <c r="C36" s="939"/>
      <c r="D36" s="955" t="s">
        <v>224</v>
      </c>
      <c r="E36" s="955"/>
      <c r="F36" s="7" t="s">
        <v>4</v>
      </c>
      <c r="G36" s="7"/>
      <c r="H36" s="956">
        <v>561314</v>
      </c>
      <c r="I36" s="1161">
        <v>-2304.14</v>
      </c>
      <c r="J36" s="956"/>
    </row>
    <row r="37" spans="1:12">
      <c r="A37" s="954" t="s">
        <v>149</v>
      </c>
      <c r="B37" s="954" t="s">
        <v>149</v>
      </c>
      <c r="C37" s="939"/>
      <c r="D37" s="955" t="s">
        <v>229</v>
      </c>
      <c r="E37" s="152" t="str">
        <f>LEFT(D37,10)</f>
        <v>02GNSB024F</v>
      </c>
      <c r="F37" s="7" t="s">
        <v>716</v>
      </c>
      <c r="G37" s="7"/>
      <c r="H37" s="956">
        <v>167069</v>
      </c>
      <c r="I37" s="1161">
        <v>19924.349999999999</v>
      </c>
      <c r="J37" s="956">
        <v>6</v>
      </c>
    </row>
    <row r="38" spans="1:12">
      <c r="A38" s="954" t="s">
        <v>235</v>
      </c>
      <c r="B38" s="954" t="s">
        <v>149</v>
      </c>
      <c r="C38" s="939"/>
      <c r="D38" s="955" t="s">
        <v>219</v>
      </c>
      <c r="E38" s="955"/>
      <c r="F38" s="7" t="s">
        <v>4</v>
      </c>
      <c r="G38" s="7"/>
      <c r="H38" s="956">
        <v>864</v>
      </c>
      <c r="I38" s="1161">
        <v>-3.6</v>
      </c>
      <c r="J38" s="956">
        <v>1</v>
      </c>
    </row>
    <row r="39" spans="1:12">
      <c r="A39" s="954" t="s">
        <v>150</v>
      </c>
      <c r="B39" s="954" t="s">
        <v>150</v>
      </c>
      <c r="C39" s="939"/>
      <c r="D39" s="955" t="s">
        <v>243</v>
      </c>
      <c r="E39" s="152" t="str">
        <f t="shared" ref="E39:E42" si="2">LEFT(D39,10)</f>
        <v>02LNX00311</v>
      </c>
      <c r="F39" s="7" t="s">
        <v>716</v>
      </c>
      <c r="G39" s="7"/>
      <c r="H39" s="956">
        <v>0</v>
      </c>
      <c r="I39" s="1161">
        <v>57277.56</v>
      </c>
      <c r="J39" s="956"/>
    </row>
    <row r="40" spans="1:12">
      <c r="A40" s="954" t="s">
        <v>150</v>
      </c>
      <c r="B40" s="954" t="s">
        <v>150</v>
      </c>
      <c r="C40" s="939"/>
      <c r="D40" s="955" t="s">
        <v>244</v>
      </c>
      <c r="E40" s="152" t="str">
        <f t="shared" si="2"/>
        <v>02LNX00310</v>
      </c>
      <c r="F40" s="7" t="s">
        <v>716</v>
      </c>
      <c r="G40" s="7"/>
      <c r="H40" s="956">
        <v>0</v>
      </c>
      <c r="I40" s="1161">
        <v>1112.06</v>
      </c>
      <c r="J40" s="956"/>
    </row>
    <row r="41" spans="1:12">
      <c r="A41" s="954" t="s">
        <v>150</v>
      </c>
      <c r="B41" s="954" t="s">
        <v>150</v>
      </c>
      <c r="C41" s="939"/>
      <c r="D41" s="955" t="s">
        <v>245</v>
      </c>
      <c r="E41" s="152" t="str">
        <f t="shared" si="2"/>
        <v>02LNX00312</v>
      </c>
      <c r="F41" s="7" t="s">
        <v>716</v>
      </c>
      <c r="G41" s="7"/>
      <c r="H41" s="956">
        <v>0</v>
      </c>
      <c r="I41" s="1161">
        <v>4398.5</v>
      </c>
      <c r="J41" s="956"/>
    </row>
    <row r="42" spans="1:12">
      <c r="A42" s="954">
        <v>36</v>
      </c>
      <c r="B42" s="954">
        <v>36</v>
      </c>
      <c r="C42" s="939"/>
      <c r="D42" s="955" t="s">
        <v>684</v>
      </c>
      <c r="E42" s="152" t="str">
        <f t="shared" si="2"/>
        <v>02NMT36135</v>
      </c>
      <c r="F42" s="7" t="s">
        <v>716</v>
      </c>
      <c r="G42" s="7"/>
      <c r="H42" s="956">
        <v>1141600</v>
      </c>
      <c r="I42" s="1161">
        <v>83300.59</v>
      </c>
      <c r="J42" s="956">
        <v>1.9166666666666701</v>
      </c>
    </row>
    <row r="43" spans="1:12">
      <c r="A43" s="954" t="s">
        <v>240</v>
      </c>
      <c r="B43" s="954">
        <v>24</v>
      </c>
      <c r="C43" s="939"/>
      <c r="D43" s="955" t="s">
        <v>769</v>
      </c>
      <c r="E43" s="955"/>
      <c r="F43" s="7" t="s">
        <v>4</v>
      </c>
      <c r="G43" s="7"/>
      <c r="H43" s="956">
        <v>3725</v>
      </c>
      <c r="I43" s="1161">
        <v>-15.51</v>
      </c>
      <c r="J43" s="956">
        <v>3.25</v>
      </c>
    </row>
    <row r="44" spans="1:12">
      <c r="A44" s="954" t="s">
        <v>155</v>
      </c>
      <c r="B44" s="954" t="s">
        <v>155</v>
      </c>
      <c r="C44" s="939"/>
      <c r="D44" s="955" t="s">
        <v>842</v>
      </c>
      <c r="E44" s="152" t="str">
        <f>LEFT(D44,10)</f>
        <v>02NMT48135</v>
      </c>
      <c r="F44" s="7" t="s">
        <v>716</v>
      </c>
      <c r="G44" s="7"/>
      <c r="H44" s="956">
        <v>717600</v>
      </c>
      <c r="I44" s="1161">
        <v>45862.07</v>
      </c>
      <c r="J44" s="956">
        <v>0.25</v>
      </c>
    </row>
    <row r="45" spans="1:12">
      <c r="A45" s="954"/>
      <c r="B45" s="954"/>
      <c r="C45" s="939"/>
      <c r="D45" s="955" t="s">
        <v>122</v>
      </c>
      <c r="E45" s="955"/>
      <c r="F45" s="7" t="s">
        <v>716</v>
      </c>
      <c r="G45" s="7"/>
      <c r="H45" s="956"/>
      <c r="I45" s="1161"/>
      <c r="J45" s="956">
        <v>0</v>
      </c>
    </row>
    <row r="46" spans="1:12">
      <c r="A46" s="749"/>
      <c r="C46" s="939"/>
      <c r="D46" s="955" t="s">
        <v>121</v>
      </c>
      <c r="E46" s="955"/>
      <c r="F46" s="7" t="s">
        <v>4</v>
      </c>
      <c r="G46" s="5"/>
      <c r="H46" s="956"/>
      <c r="I46" s="1161"/>
      <c r="J46" s="956">
        <v>0</v>
      </c>
    </row>
    <row r="47" spans="1:12">
      <c r="A47" s="749"/>
      <c r="C47" s="939" t="s">
        <v>105</v>
      </c>
      <c r="D47" s="954"/>
      <c r="E47" s="954"/>
      <c r="F47" s="7"/>
      <c r="G47" s="7"/>
      <c r="H47" s="959">
        <f>SUM(H7:H44)-H8-H30-H32-H34-H36-H38-H43</f>
        <v>1503695878</v>
      </c>
      <c r="I47" s="960">
        <f>SUM(I7:I45)</f>
        <v>114230629.45</v>
      </c>
      <c r="J47" s="959">
        <f>SUM(J7:J44)-J8-J30-J32-J34-J36-J38-J43-J14</f>
        <v>19222.75</v>
      </c>
      <c r="L47" s="4">
        <f>J47/12</f>
        <v>1601.8958333333333</v>
      </c>
    </row>
    <row r="48" spans="1:12">
      <c r="A48" s="749"/>
      <c r="C48" s="939"/>
      <c r="D48" s="954"/>
      <c r="E48" s="954"/>
      <c r="F48" s="7"/>
      <c r="G48" s="7"/>
      <c r="H48" s="959"/>
      <c r="I48" s="960"/>
      <c r="J48" s="959"/>
    </row>
    <row r="49" spans="1:10">
      <c r="A49" s="749"/>
      <c r="C49" s="939"/>
      <c r="D49" s="7"/>
      <c r="E49" s="7"/>
      <c r="F49" s="7"/>
      <c r="G49" s="7"/>
      <c r="H49" s="815"/>
      <c r="I49" s="815"/>
      <c r="J49" s="109"/>
    </row>
    <row r="50" spans="1:10">
      <c r="A50" s="749"/>
      <c r="C50" s="939" t="s">
        <v>99</v>
      </c>
      <c r="D50" s="7" t="s">
        <v>100</v>
      </c>
      <c r="E50" s="7"/>
      <c r="F50" s="7" t="s">
        <v>101</v>
      </c>
      <c r="G50" s="7"/>
      <c r="H50" s="32" t="s">
        <v>102</v>
      </c>
      <c r="I50" s="110" t="s">
        <v>1</v>
      </c>
      <c r="J50" s="32" t="s">
        <v>103</v>
      </c>
    </row>
    <row r="51" spans="1:10">
      <c r="A51" s="749" t="s">
        <v>153</v>
      </c>
      <c r="B51" s="961" t="s">
        <v>153</v>
      </c>
      <c r="C51" s="939" t="s">
        <v>125</v>
      </c>
      <c r="D51" s="955" t="s">
        <v>123</v>
      </c>
      <c r="E51" s="955"/>
      <c r="F51" s="7" t="s">
        <v>715</v>
      </c>
      <c r="G51" s="7"/>
      <c r="H51" s="956">
        <v>-12861000</v>
      </c>
      <c r="I51" s="1161">
        <v>-1046000</v>
      </c>
      <c r="J51" s="956">
        <v>0</v>
      </c>
    </row>
    <row r="52" spans="1:10">
      <c r="A52" s="749" t="s">
        <v>152</v>
      </c>
      <c r="B52" s="961" t="s">
        <v>152</v>
      </c>
      <c r="C52" s="939"/>
      <c r="D52" s="955" t="s">
        <v>120</v>
      </c>
      <c r="E52" s="955"/>
      <c r="F52" s="7" t="s">
        <v>4</v>
      </c>
      <c r="G52" s="7"/>
      <c r="H52" s="956">
        <v>0</v>
      </c>
      <c r="I52" s="1161">
        <v>2749.52</v>
      </c>
      <c r="J52" s="956">
        <v>0</v>
      </c>
    </row>
    <row r="53" spans="1:10">
      <c r="A53" s="749" t="s">
        <v>688</v>
      </c>
      <c r="B53" s="961" t="s">
        <v>688</v>
      </c>
      <c r="C53" s="939"/>
      <c r="D53" s="955" t="s">
        <v>685</v>
      </c>
      <c r="E53" s="152" t="str">
        <f t="shared" ref="E53:E64" si="3">LEFT(D53,10)</f>
        <v>SMUD REVEN</v>
      </c>
      <c r="F53" s="7" t="s">
        <v>716</v>
      </c>
      <c r="G53" s="7"/>
      <c r="H53" s="956">
        <v>0</v>
      </c>
      <c r="I53" s="1161">
        <v>66245.84</v>
      </c>
      <c r="J53" s="956">
        <v>0</v>
      </c>
    </row>
    <row r="54" spans="1:10">
      <c r="A54" s="749" t="s">
        <v>234</v>
      </c>
      <c r="B54" s="961" t="s">
        <v>234</v>
      </c>
      <c r="C54" s="939"/>
      <c r="D54" s="955" t="s">
        <v>763</v>
      </c>
      <c r="E54" s="152" t="str">
        <f t="shared" si="3"/>
        <v>REVENUE AD</v>
      </c>
      <c r="F54" s="7" t="s">
        <v>716</v>
      </c>
      <c r="G54" s="7"/>
      <c r="H54" s="956">
        <v>0</v>
      </c>
      <c r="I54" s="1161">
        <v>-160706.79999999999</v>
      </c>
      <c r="J54" s="956">
        <v>0</v>
      </c>
    </row>
    <row r="55" spans="1:10">
      <c r="A55" s="749" t="s">
        <v>764</v>
      </c>
      <c r="B55" s="961" t="s">
        <v>764</v>
      </c>
      <c r="C55" s="939"/>
      <c r="D55" s="955" t="s">
        <v>686</v>
      </c>
      <c r="E55" s="152" t="str">
        <f t="shared" si="3"/>
        <v>WASHINGTON</v>
      </c>
      <c r="F55" s="7" t="s">
        <v>716</v>
      </c>
      <c r="G55" s="7"/>
      <c r="H55" s="956">
        <v>0</v>
      </c>
      <c r="I55" s="1161">
        <v>-510000</v>
      </c>
      <c r="J55" s="956">
        <v>0</v>
      </c>
    </row>
    <row r="56" spans="1:10">
      <c r="A56" s="749" t="s">
        <v>234</v>
      </c>
      <c r="B56" s="961" t="s">
        <v>234</v>
      </c>
      <c r="C56" s="939"/>
      <c r="D56" s="955" t="s">
        <v>713</v>
      </c>
      <c r="E56" s="152" t="str">
        <f t="shared" si="3"/>
        <v>REVENUE_AC</v>
      </c>
      <c r="F56" s="7" t="s">
        <v>716</v>
      </c>
      <c r="G56" s="7"/>
      <c r="H56" s="956">
        <v>0</v>
      </c>
      <c r="I56" s="1161">
        <v>-1734474.04</v>
      </c>
      <c r="J56" s="956">
        <v>0</v>
      </c>
    </row>
    <row r="57" spans="1:10">
      <c r="A57" s="749" t="s">
        <v>765</v>
      </c>
      <c r="B57" s="961" t="s">
        <v>765</v>
      </c>
      <c r="C57" s="939"/>
      <c r="D57" s="955" t="s">
        <v>770</v>
      </c>
      <c r="E57" s="152" t="str">
        <f t="shared" si="3"/>
        <v>301370-DSM</v>
      </c>
      <c r="F57" s="7" t="s">
        <v>716</v>
      </c>
      <c r="G57" s="7"/>
      <c r="H57" s="956">
        <v>0</v>
      </c>
      <c r="I57" s="1161">
        <v>1683434.48</v>
      </c>
      <c r="J57" s="956">
        <v>0</v>
      </c>
    </row>
    <row r="58" spans="1:10">
      <c r="A58" s="749">
        <v>24</v>
      </c>
      <c r="B58" s="961">
        <v>24</v>
      </c>
      <c r="C58" s="939"/>
      <c r="D58" s="955" t="s">
        <v>106</v>
      </c>
      <c r="E58" s="152" t="str">
        <f t="shared" si="3"/>
        <v>02GNSV0024</v>
      </c>
      <c r="F58" s="7" t="s">
        <v>716</v>
      </c>
      <c r="G58" s="7"/>
      <c r="H58" s="956">
        <v>17252552</v>
      </c>
      <c r="I58" s="1161">
        <v>1482309.98</v>
      </c>
      <c r="J58" s="956">
        <v>349.91666666666703</v>
      </c>
    </row>
    <row r="59" spans="1:10">
      <c r="A59" s="749" t="s">
        <v>149</v>
      </c>
      <c r="B59" s="961" t="s">
        <v>149</v>
      </c>
      <c r="C59" s="939"/>
      <c r="D59" s="955" t="s">
        <v>107</v>
      </c>
      <c r="E59" s="152" t="str">
        <f t="shared" si="3"/>
        <v>02GNSV024F</v>
      </c>
      <c r="F59" s="7" t="s">
        <v>716</v>
      </c>
      <c r="G59" s="7"/>
      <c r="H59" s="956">
        <v>33313</v>
      </c>
      <c r="I59" s="1161">
        <v>7853.95</v>
      </c>
      <c r="J59" s="956">
        <v>4</v>
      </c>
    </row>
    <row r="60" spans="1:10">
      <c r="A60" s="749">
        <v>36</v>
      </c>
      <c r="B60" s="961">
        <v>36</v>
      </c>
      <c r="C60" s="939"/>
      <c r="D60" s="955" t="s">
        <v>108</v>
      </c>
      <c r="E60" s="152" t="str">
        <f t="shared" si="3"/>
        <v>02LGSV0036</v>
      </c>
      <c r="F60" s="7" t="s">
        <v>716</v>
      </c>
      <c r="G60" s="7"/>
      <c r="H60" s="956">
        <v>102694320</v>
      </c>
      <c r="I60" s="1161">
        <v>7783071.4400000004</v>
      </c>
      <c r="J60" s="956">
        <v>106.25</v>
      </c>
    </row>
    <row r="61" spans="1:10">
      <c r="A61" s="749" t="s">
        <v>155</v>
      </c>
      <c r="B61" s="961" t="s">
        <v>155</v>
      </c>
      <c r="C61" s="939"/>
      <c r="D61" s="955" t="s">
        <v>109</v>
      </c>
      <c r="E61" s="152" t="str">
        <f t="shared" si="3"/>
        <v>02LGSV048T</v>
      </c>
      <c r="F61" s="7" t="s">
        <v>716</v>
      </c>
      <c r="G61" s="7"/>
      <c r="H61" s="956">
        <v>677585754</v>
      </c>
      <c r="I61" s="1161">
        <v>39610319.329999998</v>
      </c>
      <c r="J61" s="956">
        <v>32.0833333333333</v>
      </c>
    </row>
    <row r="62" spans="1:10">
      <c r="A62" s="749" t="s">
        <v>151</v>
      </c>
      <c r="B62" s="961" t="s">
        <v>151</v>
      </c>
      <c r="C62" s="939"/>
      <c r="D62" s="955" t="s">
        <v>116</v>
      </c>
      <c r="E62" s="152" t="str">
        <f t="shared" si="3"/>
        <v>02OALT015N</v>
      </c>
      <c r="F62" s="7" t="s">
        <v>716</v>
      </c>
      <c r="G62" s="7"/>
      <c r="H62" s="956">
        <v>114035</v>
      </c>
      <c r="I62" s="1161">
        <v>14760.99</v>
      </c>
      <c r="J62" s="956">
        <v>41.1666666666667</v>
      </c>
    </row>
    <row r="63" spans="1:10">
      <c r="A63" s="749">
        <v>47</v>
      </c>
      <c r="B63" s="961">
        <v>47</v>
      </c>
      <c r="C63" s="939"/>
      <c r="D63" s="955" t="s">
        <v>127</v>
      </c>
      <c r="E63" s="152" t="str">
        <f t="shared" si="3"/>
        <v>02PRSV47TM</v>
      </c>
      <c r="F63" s="7" t="s">
        <v>716</v>
      </c>
      <c r="G63" s="7"/>
      <c r="H63" s="956">
        <v>2049000</v>
      </c>
      <c r="I63" s="1161">
        <v>292762.90999999997</v>
      </c>
      <c r="J63" s="956">
        <v>1</v>
      </c>
    </row>
    <row r="64" spans="1:10">
      <c r="A64" s="749">
        <v>24</v>
      </c>
      <c r="B64" s="961">
        <v>24</v>
      </c>
      <c r="C64" s="939"/>
      <c r="D64" s="955" t="s">
        <v>220</v>
      </c>
      <c r="E64" s="152" t="str">
        <f t="shared" si="3"/>
        <v>02GNSB0024</v>
      </c>
      <c r="F64" s="7" t="s">
        <v>716</v>
      </c>
      <c r="G64" s="7"/>
      <c r="H64" s="956">
        <v>2044427</v>
      </c>
      <c r="I64" s="1161">
        <v>192405.58</v>
      </c>
      <c r="J64" s="956">
        <v>89.9166666666667</v>
      </c>
    </row>
    <row r="65" spans="1:10">
      <c r="A65" s="749" t="s">
        <v>240</v>
      </c>
      <c r="B65" s="961">
        <v>24</v>
      </c>
      <c r="C65" s="939"/>
      <c r="D65" s="955" t="s">
        <v>226</v>
      </c>
      <c r="E65" s="955"/>
      <c r="F65" s="7" t="s">
        <v>4</v>
      </c>
      <c r="G65" s="7"/>
      <c r="H65" s="956">
        <v>2044414</v>
      </c>
      <c r="I65" s="1161">
        <v>-8427.4699999999993</v>
      </c>
      <c r="J65" s="956">
        <v>89.9166666666667</v>
      </c>
    </row>
    <row r="66" spans="1:10">
      <c r="A66" s="749" t="s">
        <v>156</v>
      </c>
      <c r="B66" s="961" t="s">
        <v>156</v>
      </c>
      <c r="C66" s="939"/>
      <c r="D66" s="955" t="s">
        <v>221</v>
      </c>
      <c r="E66" s="152" t="str">
        <f>LEFT(D66,10)</f>
        <v>02GNSB24FP</v>
      </c>
      <c r="F66" s="7" t="s">
        <v>716</v>
      </c>
      <c r="G66" s="7"/>
      <c r="H66" s="956">
        <v>9552</v>
      </c>
      <c r="I66" s="1161">
        <v>2841.78</v>
      </c>
      <c r="J66" s="956">
        <v>1</v>
      </c>
    </row>
    <row r="67" spans="1:10">
      <c r="A67" s="749" t="s">
        <v>179</v>
      </c>
      <c r="B67" s="961" t="s">
        <v>156</v>
      </c>
      <c r="C67" s="939"/>
      <c r="D67" s="955" t="s">
        <v>227</v>
      </c>
      <c r="E67" s="955"/>
      <c r="F67" s="7" t="s">
        <v>4</v>
      </c>
      <c r="G67" s="7"/>
      <c r="H67" s="956">
        <v>9552</v>
      </c>
      <c r="I67" s="1161">
        <v>-39.22</v>
      </c>
      <c r="J67" s="956">
        <v>1</v>
      </c>
    </row>
    <row r="68" spans="1:10">
      <c r="A68" s="749">
        <v>36</v>
      </c>
      <c r="B68" s="961">
        <v>36</v>
      </c>
      <c r="C68" s="939"/>
      <c r="D68" s="955" t="s">
        <v>230</v>
      </c>
      <c r="E68" s="152" t="str">
        <f>LEFT(D68,10)</f>
        <v>02LGSB0036</v>
      </c>
      <c r="F68" s="7" t="s">
        <v>716</v>
      </c>
      <c r="G68" s="7"/>
      <c r="H68" s="956">
        <v>3531840</v>
      </c>
      <c r="I68" s="1161">
        <v>419914.45</v>
      </c>
      <c r="J68" s="956">
        <v>25.5</v>
      </c>
    </row>
    <row r="69" spans="1:10">
      <c r="A69" s="749" t="s">
        <v>236</v>
      </c>
      <c r="B69" s="961">
        <v>36</v>
      </c>
      <c r="C69" s="939"/>
      <c r="D69" s="955" t="s">
        <v>223</v>
      </c>
      <c r="E69" s="955"/>
      <c r="F69" s="7" t="s">
        <v>4</v>
      </c>
      <c r="G69" s="7"/>
      <c r="H69" s="956">
        <v>3531840</v>
      </c>
      <c r="I69" s="1161">
        <v>-14545.82</v>
      </c>
      <c r="J69" s="956">
        <v>25.5</v>
      </c>
    </row>
    <row r="70" spans="1:10">
      <c r="A70" s="749" t="s">
        <v>151</v>
      </c>
      <c r="B70" s="961" t="s">
        <v>151</v>
      </c>
      <c r="C70" s="939"/>
      <c r="D70" s="955" t="s">
        <v>228</v>
      </c>
      <c r="E70" s="152" t="str">
        <f>LEFT(D70,10)</f>
        <v>02OALTB15N</v>
      </c>
      <c r="F70" s="7" t="s">
        <v>716</v>
      </c>
      <c r="G70" s="7"/>
      <c r="H70" s="956">
        <v>28565</v>
      </c>
      <c r="I70" s="1161">
        <v>4230.87</v>
      </c>
      <c r="J70" s="956">
        <v>15</v>
      </c>
    </row>
    <row r="71" spans="1:10">
      <c r="A71" s="749" t="s">
        <v>237</v>
      </c>
      <c r="B71" s="961" t="s">
        <v>151</v>
      </c>
      <c r="C71" s="939"/>
      <c r="D71" s="955" t="s">
        <v>224</v>
      </c>
      <c r="E71" s="955"/>
      <c r="F71" s="7" t="s">
        <v>4</v>
      </c>
      <c r="G71" s="7"/>
      <c r="H71" s="956">
        <v>28565</v>
      </c>
      <c r="I71" s="1161">
        <v>-117.67</v>
      </c>
      <c r="J71" s="956"/>
    </row>
    <row r="72" spans="1:10">
      <c r="A72" s="749"/>
      <c r="B72" s="961"/>
      <c r="C72" s="939"/>
      <c r="D72" s="955" t="s">
        <v>122</v>
      </c>
      <c r="E72" s="152" t="str">
        <f>LEFT(D72,10)</f>
        <v>CUSTOMER C</v>
      </c>
      <c r="F72" s="7" t="s">
        <v>716</v>
      </c>
      <c r="G72" s="7"/>
      <c r="H72" s="956"/>
      <c r="I72" s="1161"/>
      <c r="J72" s="956">
        <v>0</v>
      </c>
    </row>
    <row r="73" spans="1:10">
      <c r="A73" s="749"/>
      <c r="B73" s="961"/>
      <c r="C73" s="939"/>
      <c r="D73" s="955" t="s">
        <v>121</v>
      </c>
      <c r="E73" s="962"/>
      <c r="F73" s="7" t="s">
        <v>4</v>
      </c>
      <c r="G73" s="7"/>
      <c r="H73" s="956"/>
      <c r="I73" s="1161"/>
      <c r="J73" s="956">
        <v>0</v>
      </c>
    </row>
    <row r="74" spans="1:10">
      <c r="A74" s="749"/>
      <c r="C74" s="939" t="s">
        <v>125</v>
      </c>
      <c r="F74" s="111" t="s">
        <v>124</v>
      </c>
      <c r="G74" s="111"/>
      <c r="H74" s="107">
        <f>SUM(H51:H71)-H52-H65-H67-H69-H71</f>
        <v>792482358</v>
      </c>
      <c r="I74" s="963">
        <f>SUM(I51:I71)</f>
        <v>48088590.099999994</v>
      </c>
      <c r="J74" s="107">
        <f>SUM(J51:J71)-J52-J65-J67-J69-J71</f>
        <v>665.83333333333383</v>
      </c>
    </row>
    <row r="75" spans="1:10">
      <c r="A75" s="749"/>
      <c r="C75" s="939"/>
      <c r="D75" s="7"/>
      <c r="E75" s="7"/>
      <c r="F75" s="111"/>
      <c r="G75" s="111"/>
      <c r="H75" s="107"/>
      <c r="I75" s="963"/>
      <c r="J75" s="107"/>
    </row>
    <row r="76" spans="1:10">
      <c r="A76" s="749"/>
      <c r="C76" s="939" t="s">
        <v>99</v>
      </c>
      <c r="D76" s="7" t="s">
        <v>100</v>
      </c>
      <c r="E76" s="7"/>
      <c r="F76" s="7" t="s">
        <v>101</v>
      </c>
      <c r="G76" s="7"/>
      <c r="H76" s="32" t="s">
        <v>102</v>
      </c>
      <c r="I76" s="110" t="s">
        <v>1</v>
      </c>
      <c r="J76" s="7" t="s">
        <v>103</v>
      </c>
    </row>
    <row r="77" spans="1:10">
      <c r="A77" s="749" t="s">
        <v>153</v>
      </c>
      <c r="B77" s="749" t="s">
        <v>153</v>
      </c>
      <c r="C77" s="939" t="s">
        <v>128</v>
      </c>
      <c r="D77" s="955" t="s">
        <v>135</v>
      </c>
      <c r="E77" s="955"/>
      <c r="F77" s="7" t="s">
        <v>715</v>
      </c>
      <c r="G77" s="7"/>
      <c r="H77" s="956">
        <v>-212000</v>
      </c>
      <c r="I77" s="1161">
        <v>-33000</v>
      </c>
      <c r="J77" s="956">
        <v>0</v>
      </c>
    </row>
    <row r="78" spans="1:10">
      <c r="A78" s="749" t="s">
        <v>152</v>
      </c>
      <c r="B78" s="749" t="s">
        <v>152</v>
      </c>
      <c r="C78" s="939"/>
      <c r="D78" s="955" t="s">
        <v>134</v>
      </c>
      <c r="E78" s="955"/>
      <c r="F78" s="7" t="s">
        <v>4</v>
      </c>
      <c r="G78" s="7"/>
      <c r="H78" s="956">
        <v>0</v>
      </c>
      <c r="I78" s="1161">
        <v>81144.960000000006</v>
      </c>
      <c r="J78" s="956">
        <v>0</v>
      </c>
    </row>
    <row r="79" spans="1:10">
      <c r="A79" s="749" t="s">
        <v>764</v>
      </c>
      <c r="B79" s="749" t="s">
        <v>764</v>
      </c>
      <c r="C79" s="939"/>
      <c r="D79" s="955" t="s">
        <v>686</v>
      </c>
      <c r="E79" s="152" t="str">
        <f t="shared" ref="E79:E84" si="4">LEFT(D79,10)</f>
        <v>WASHINGTON</v>
      </c>
      <c r="F79" s="7" t="s">
        <v>716</v>
      </c>
      <c r="G79" s="7"/>
      <c r="H79" s="956">
        <v>0</v>
      </c>
      <c r="I79" s="1161">
        <v>-120000</v>
      </c>
      <c r="J79" s="956">
        <v>0</v>
      </c>
    </row>
    <row r="80" spans="1:10">
      <c r="A80" s="749" t="s">
        <v>771</v>
      </c>
      <c r="B80" s="749" t="s">
        <v>771</v>
      </c>
      <c r="C80" s="939"/>
      <c r="D80" s="955" t="s">
        <v>714</v>
      </c>
      <c r="E80" s="152" t="str">
        <f t="shared" si="4"/>
        <v>301461-IRR</v>
      </c>
      <c r="F80" s="7" t="s">
        <v>716</v>
      </c>
      <c r="G80" s="7"/>
      <c r="H80" s="956">
        <v>0</v>
      </c>
      <c r="I80" s="1161">
        <v>0</v>
      </c>
      <c r="J80" s="956">
        <v>0</v>
      </c>
    </row>
    <row r="81" spans="1:10">
      <c r="A81" s="749" t="s">
        <v>234</v>
      </c>
      <c r="B81" s="749" t="s">
        <v>234</v>
      </c>
      <c r="C81" s="939"/>
      <c r="D81" s="955" t="s">
        <v>713</v>
      </c>
      <c r="E81" s="152" t="str">
        <f t="shared" si="4"/>
        <v>REVENUE_AC</v>
      </c>
      <c r="F81" s="7" t="s">
        <v>716</v>
      </c>
      <c r="G81" s="7"/>
      <c r="H81" s="956">
        <v>0</v>
      </c>
      <c r="I81" s="1161">
        <v>-457544.29</v>
      </c>
      <c r="J81" s="956">
        <v>0</v>
      </c>
    </row>
    <row r="82" spans="1:10">
      <c r="A82" s="749" t="s">
        <v>765</v>
      </c>
      <c r="B82" s="749" t="s">
        <v>765</v>
      </c>
      <c r="C82" s="939"/>
      <c r="D82" s="955" t="s">
        <v>772</v>
      </c>
      <c r="E82" s="152" t="str">
        <f t="shared" si="4"/>
        <v>301470-DSM</v>
      </c>
      <c r="F82" s="7" t="s">
        <v>716</v>
      </c>
      <c r="G82" s="7"/>
      <c r="H82" s="956">
        <v>0</v>
      </c>
      <c r="I82" s="1161">
        <v>450938.03</v>
      </c>
      <c r="J82" s="956">
        <v>0</v>
      </c>
    </row>
    <row r="83" spans="1:10">
      <c r="A83" s="749" t="s">
        <v>767</v>
      </c>
      <c r="B83" s="749" t="s">
        <v>767</v>
      </c>
      <c r="C83" s="939"/>
      <c r="D83" s="955" t="s">
        <v>773</v>
      </c>
      <c r="E83" s="152" t="str">
        <f t="shared" si="4"/>
        <v>301480-BLU</v>
      </c>
      <c r="F83" s="7" t="s">
        <v>716</v>
      </c>
      <c r="G83" s="7"/>
      <c r="H83" s="956">
        <v>0</v>
      </c>
      <c r="I83" s="1161">
        <v>85.09</v>
      </c>
      <c r="J83" s="956">
        <v>3.5833333333333299</v>
      </c>
    </row>
    <row r="84" spans="1:10">
      <c r="A84" s="749">
        <v>40</v>
      </c>
      <c r="B84" s="749">
        <v>40</v>
      </c>
      <c r="C84" s="939"/>
      <c r="D84" s="955" t="s">
        <v>129</v>
      </c>
      <c r="E84" s="152" t="str">
        <f t="shared" si="4"/>
        <v>02APSV0040</v>
      </c>
      <c r="F84" s="7" t="s">
        <v>716</v>
      </c>
      <c r="G84" s="7"/>
      <c r="H84" s="956">
        <v>155908290</v>
      </c>
      <c r="I84" s="1161">
        <v>12822362.73</v>
      </c>
      <c r="J84" s="956">
        <v>5071.1666666666697</v>
      </c>
    </row>
    <row r="85" spans="1:10">
      <c r="A85" s="749" t="s">
        <v>180</v>
      </c>
      <c r="B85" s="749">
        <v>40</v>
      </c>
      <c r="C85" s="939"/>
      <c r="D85" s="955" t="s">
        <v>129</v>
      </c>
      <c r="E85" s="955"/>
      <c r="F85" s="7" t="s">
        <v>4</v>
      </c>
      <c r="G85" s="7"/>
      <c r="H85" s="956">
        <v>155907282</v>
      </c>
      <c r="I85" s="1161">
        <v>-640538.27</v>
      </c>
      <c r="J85" s="956">
        <v>5071.1666666666697</v>
      </c>
    </row>
    <row r="86" spans="1:10">
      <c r="A86" s="749" t="s">
        <v>157</v>
      </c>
      <c r="B86" s="749" t="s">
        <v>157</v>
      </c>
      <c r="C86" s="939"/>
      <c r="D86" s="955" t="s">
        <v>130</v>
      </c>
      <c r="E86" s="152" t="str">
        <f t="shared" ref="E86:E90" si="5">LEFT(D86,10)</f>
        <v>02APSV040X</v>
      </c>
      <c r="F86" s="7" t="s">
        <v>716</v>
      </c>
      <c r="G86" s="7"/>
      <c r="H86" s="956">
        <v>5473573</v>
      </c>
      <c r="I86" s="1161">
        <v>453169.46</v>
      </c>
      <c r="J86" s="956">
        <v>186.833333333333</v>
      </c>
    </row>
    <row r="87" spans="1:10">
      <c r="A87" s="749" t="s">
        <v>150</v>
      </c>
      <c r="B87" s="749" t="s">
        <v>150</v>
      </c>
      <c r="C87" s="939"/>
      <c r="D87" s="955" t="s">
        <v>111</v>
      </c>
      <c r="E87" s="152" t="str">
        <f t="shared" si="5"/>
        <v>02LNX00103</v>
      </c>
      <c r="F87" s="7" t="s">
        <v>716</v>
      </c>
      <c r="G87" s="7"/>
      <c r="H87" s="956">
        <v>0</v>
      </c>
      <c r="I87" s="1161">
        <v>6771.42</v>
      </c>
      <c r="J87" s="956"/>
    </row>
    <row r="88" spans="1:10">
      <c r="A88" s="749" t="s">
        <v>150</v>
      </c>
      <c r="B88" s="749" t="s">
        <v>150</v>
      </c>
      <c r="C88" s="939"/>
      <c r="D88" s="955" t="s">
        <v>112</v>
      </c>
      <c r="E88" s="152" t="str">
        <f t="shared" si="5"/>
        <v>02LNX00105</v>
      </c>
      <c r="F88" s="7" t="s">
        <v>716</v>
      </c>
      <c r="G88" s="7"/>
      <c r="H88" s="956">
        <v>0</v>
      </c>
      <c r="I88" s="1161">
        <v>80.66</v>
      </c>
      <c r="J88" s="956"/>
    </row>
    <row r="89" spans="1:10">
      <c r="A89" s="749" t="s">
        <v>150</v>
      </c>
      <c r="B89" s="749" t="s">
        <v>150</v>
      </c>
      <c r="C89" s="939"/>
      <c r="D89" s="955" t="s">
        <v>113</v>
      </c>
      <c r="E89" s="152" t="str">
        <f t="shared" si="5"/>
        <v>02LNX00109</v>
      </c>
      <c r="F89" s="7" t="s">
        <v>716</v>
      </c>
      <c r="G89" s="7"/>
      <c r="H89" s="956">
        <v>0</v>
      </c>
      <c r="I89" s="1161">
        <v>5226.3999999999996</v>
      </c>
      <c r="J89" s="956"/>
    </row>
    <row r="90" spans="1:10">
      <c r="A90" s="749" t="s">
        <v>150</v>
      </c>
      <c r="B90" s="749" t="s">
        <v>150</v>
      </c>
      <c r="C90" s="939"/>
      <c r="D90" s="955" t="s">
        <v>114</v>
      </c>
      <c r="E90" s="152" t="str">
        <f t="shared" si="5"/>
        <v>02LNX00110</v>
      </c>
      <c r="F90" s="7" t="s">
        <v>716</v>
      </c>
      <c r="G90" s="7"/>
      <c r="H90" s="956">
        <v>0</v>
      </c>
      <c r="I90" s="1161">
        <v>177556.92</v>
      </c>
      <c r="J90" s="956"/>
    </row>
    <row r="91" spans="1:10">
      <c r="A91" s="749" t="s">
        <v>774</v>
      </c>
      <c r="B91" s="749" t="s">
        <v>717</v>
      </c>
      <c r="C91" s="939"/>
      <c r="D91" s="955" t="s">
        <v>131</v>
      </c>
      <c r="E91" s="955"/>
      <c r="F91" s="7" t="s">
        <v>4</v>
      </c>
      <c r="G91" s="7"/>
      <c r="H91" s="956">
        <v>-7572279</v>
      </c>
      <c r="I91" s="1161">
        <v>31076.54</v>
      </c>
      <c r="J91" s="956"/>
    </row>
    <row r="92" spans="1:10">
      <c r="A92" s="749" t="s">
        <v>150</v>
      </c>
      <c r="B92" s="749" t="s">
        <v>150</v>
      </c>
      <c r="C92" s="939"/>
      <c r="D92" s="955" t="s">
        <v>243</v>
      </c>
      <c r="E92" s="152" t="str">
        <f t="shared" ref="E92:E95" si="6">LEFT(D92,10)</f>
        <v>02LNX00311</v>
      </c>
      <c r="F92" s="7" t="s">
        <v>716</v>
      </c>
      <c r="G92" s="7"/>
      <c r="H92" s="956">
        <v>0</v>
      </c>
      <c r="I92" s="1161">
        <v>204.65</v>
      </c>
      <c r="J92" s="956"/>
    </row>
    <row r="93" spans="1:10">
      <c r="A93" s="749" t="s">
        <v>150</v>
      </c>
      <c r="B93" s="749" t="s">
        <v>150</v>
      </c>
      <c r="C93" s="939"/>
      <c r="D93" s="955" t="s">
        <v>244</v>
      </c>
      <c r="E93" s="152" t="str">
        <f t="shared" si="6"/>
        <v>02LNX00310</v>
      </c>
      <c r="F93" s="7" t="s">
        <v>716</v>
      </c>
      <c r="G93" s="7"/>
      <c r="H93" s="956">
        <v>0</v>
      </c>
      <c r="I93" s="1161">
        <v>7271.4</v>
      </c>
      <c r="J93" s="956"/>
    </row>
    <row r="94" spans="1:10">
      <c r="A94" s="749" t="s">
        <v>150</v>
      </c>
      <c r="B94" s="749" t="s">
        <v>150</v>
      </c>
      <c r="C94" s="939"/>
      <c r="D94" s="955" t="s">
        <v>245</v>
      </c>
      <c r="E94" s="152" t="str">
        <f t="shared" si="6"/>
        <v>02LNX00312</v>
      </c>
      <c r="F94" s="7" t="s">
        <v>716</v>
      </c>
      <c r="G94" s="7"/>
      <c r="H94" s="956">
        <v>0</v>
      </c>
      <c r="I94" s="1161">
        <v>38091.72</v>
      </c>
      <c r="J94" s="956"/>
    </row>
    <row r="95" spans="1:10">
      <c r="A95" s="749">
        <v>40</v>
      </c>
      <c r="B95" s="749">
        <v>40</v>
      </c>
      <c r="D95" s="955" t="s">
        <v>843</v>
      </c>
      <c r="E95" s="152" t="str">
        <f t="shared" si="6"/>
        <v>02NMT40135</v>
      </c>
      <c r="F95" s="7" t="s">
        <v>716</v>
      </c>
      <c r="G95" s="7"/>
      <c r="H95" s="1162">
        <v>13056</v>
      </c>
      <c r="I95" s="1163">
        <v>1043.21</v>
      </c>
      <c r="J95" s="1162">
        <v>1.5833333333333299</v>
      </c>
    </row>
    <row r="96" spans="1:10">
      <c r="A96" s="749" t="s">
        <v>180</v>
      </c>
      <c r="B96" s="749">
        <v>40</v>
      </c>
      <c r="D96" s="7" t="s">
        <v>844</v>
      </c>
      <c r="E96" s="962"/>
      <c r="F96" s="7" t="s">
        <v>4</v>
      </c>
      <c r="G96" s="7"/>
      <c r="H96" s="1165">
        <v>2904</v>
      </c>
      <c r="I96" s="1166">
        <v>-11.96</v>
      </c>
      <c r="J96" s="1165">
        <v>1</v>
      </c>
    </row>
    <row r="97" spans="1:10">
      <c r="A97" s="749"/>
      <c r="D97" s="7" t="s">
        <v>31</v>
      </c>
      <c r="E97" s="962"/>
      <c r="F97" s="7" t="s">
        <v>31</v>
      </c>
      <c r="G97" s="7"/>
      <c r="H97" s="107"/>
      <c r="I97" s="963"/>
      <c r="J97" s="107"/>
    </row>
    <row r="98" spans="1:10">
      <c r="A98" s="749"/>
      <c r="C98" s="939" t="s">
        <v>128</v>
      </c>
      <c r="D98" s="7" t="s">
        <v>31</v>
      </c>
      <c r="E98" s="962"/>
      <c r="F98" s="111" t="s">
        <v>31</v>
      </c>
      <c r="G98" s="111"/>
      <c r="H98" s="107">
        <f>SUM(H77:H96)-H78-H85-H91-H96</f>
        <v>161182919</v>
      </c>
      <c r="I98" s="963">
        <f>SUM(I77:I96)</f>
        <v>12823928.670000004</v>
      </c>
      <c r="J98" s="107">
        <f>SUM(J77:J96)-J78-J85-J91-J96-J83</f>
        <v>5259.5833333333348</v>
      </c>
    </row>
    <row r="99" spans="1:10">
      <c r="A99" s="749"/>
      <c r="D99" s="962"/>
      <c r="E99" s="962"/>
      <c r="F99" s="111"/>
      <c r="G99" s="111"/>
      <c r="H99" s="107"/>
      <c r="I99" s="963"/>
      <c r="J99" s="107"/>
    </row>
    <row r="100" spans="1:10">
      <c r="A100" s="749"/>
      <c r="C100" s="939" t="s">
        <v>99</v>
      </c>
      <c r="D100" s="7" t="s">
        <v>100</v>
      </c>
      <c r="E100" s="7"/>
      <c r="F100" s="7" t="s">
        <v>101</v>
      </c>
      <c r="G100" s="7"/>
      <c r="H100" s="32" t="s">
        <v>102</v>
      </c>
      <c r="I100" s="964" t="s">
        <v>1</v>
      </c>
      <c r="J100" s="965" t="s">
        <v>103</v>
      </c>
    </row>
    <row r="101" spans="1:10">
      <c r="A101" s="749" t="s">
        <v>153</v>
      </c>
      <c r="B101" s="749" t="s">
        <v>153</v>
      </c>
      <c r="C101" s="939" t="s">
        <v>136</v>
      </c>
      <c r="D101" s="955" t="s">
        <v>123</v>
      </c>
      <c r="E101" s="955"/>
      <c r="F101" s="7" t="s">
        <v>715</v>
      </c>
      <c r="G101" s="7"/>
      <c r="H101" s="956">
        <v>-1008000</v>
      </c>
      <c r="I101" s="1161">
        <v>-126000</v>
      </c>
      <c r="J101" s="966">
        <v>0</v>
      </c>
    </row>
    <row r="102" spans="1:10">
      <c r="A102" s="749" t="s">
        <v>764</v>
      </c>
      <c r="B102" s="749" t="s">
        <v>764</v>
      </c>
      <c r="C102" s="939"/>
      <c r="D102" s="955" t="s">
        <v>686</v>
      </c>
      <c r="E102" s="152" t="str">
        <f t="shared" ref="E102:E111" si="7">LEFT(D102,10)</f>
        <v>WASHINGTON</v>
      </c>
      <c r="F102" s="7" t="s">
        <v>716</v>
      </c>
      <c r="G102" s="7"/>
      <c r="H102" s="956">
        <v>0</v>
      </c>
      <c r="I102" s="1161">
        <v>-30000</v>
      </c>
      <c r="J102" s="966">
        <v>0</v>
      </c>
    </row>
    <row r="103" spans="1:10">
      <c r="A103" s="749" t="s">
        <v>234</v>
      </c>
      <c r="B103" s="749" t="s">
        <v>234</v>
      </c>
      <c r="C103" s="939"/>
      <c r="D103" s="955" t="s">
        <v>713</v>
      </c>
      <c r="E103" s="152" t="str">
        <f t="shared" si="7"/>
        <v>REVENUE_AC</v>
      </c>
      <c r="F103" s="7" t="s">
        <v>716</v>
      </c>
      <c r="G103" s="7"/>
      <c r="H103" s="956">
        <v>0</v>
      </c>
      <c r="I103" s="1161">
        <v>-27450.3</v>
      </c>
      <c r="J103" s="966">
        <v>0</v>
      </c>
    </row>
    <row r="104" spans="1:10">
      <c r="A104" s="749" t="s">
        <v>765</v>
      </c>
      <c r="B104" s="749" t="s">
        <v>765</v>
      </c>
      <c r="C104" s="939"/>
      <c r="D104" s="955" t="s">
        <v>775</v>
      </c>
      <c r="E104" s="152" t="str">
        <f t="shared" si="7"/>
        <v>301670-DSM</v>
      </c>
      <c r="F104" s="7" t="s">
        <v>716</v>
      </c>
      <c r="G104" s="7"/>
      <c r="H104" s="956">
        <v>0</v>
      </c>
      <c r="I104" s="1161">
        <v>26850.98</v>
      </c>
      <c r="J104" s="966">
        <v>0</v>
      </c>
    </row>
    <row r="105" spans="1:10">
      <c r="A105" s="749" t="s">
        <v>150</v>
      </c>
      <c r="B105" s="749" t="s">
        <v>150</v>
      </c>
      <c r="C105" s="939"/>
      <c r="D105" s="955" t="s">
        <v>137</v>
      </c>
      <c r="E105" s="152" t="str">
        <f t="shared" si="7"/>
        <v>02CFR00012</v>
      </c>
      <c r="F105" s="7" t="s">
        <v>716</v>
      </c>
      <c r="G105" s="7"/>
      <c r="H105" s="956">
        <v>0</v>
      </c>
      <c r="I105" s="1161">
        <v>90.84</v>
      </c>
      <c r="J105" s="966"/>
    </row>
    <row r="106" spans="1:10">
      <c r="A106" s="749">
        <v>52</v>
      </c>
      <c r="B106" s="749">
        <v>52</v>
      </c>
      <c r="C106" s="939"/>
      <c r="D106" s="955" t="s">
        <v>138</v>
      </c>
      <c r="E106" s="982" t="str">
        <f t="shared" si="7"/>
        <v>02COSL0052</v>
      </c>
      <c r="F106" s="7" t="s">
        <v>716</v>
      </c>
      <c r="G106" s="7"/>
      <c r="H106" s="956">
        <v>219864</v>
      </c>
      <c r="I106" s="1161">
        <v>37772.9</v>
      </c>
      <c r="J106" s="966">
        <v>15</v>
      </c>
    </row>
    <row r="107" spans="1:10">
      <c r="A107" s="749" t="s">
        <v>158</v>
      </c>
      <c r="B107" s="749" t="s">
        <v>158</v>
      </c>
      <c r="C107" s="939"/>
      <c r="D107" s="955" t="s">
        <v>139</v>
      </c>
      <c r="E107" s="152" t="str">
        <f t="shared" si="7"/>
        <v>02CUSL053F</v>
      </c>
      <c r="F107" s="7" t="s">
        <v>716</v>
      </c>
      <c r="G107" s="7"/>
      <c r="H107" s="956">
        <v>3235066</v>
      </c>
      <c r="I107" s="1161">
        <v>232145.18</v>
      </c>
      <c r="J107" s="966">
        <v>112.25</v>
      </c>
    </row>
    <row r="108" spans="1:10">
      <c r="A108" s="749" t="s">
        <v>159</v>
      </c>
      <c r="B108" s="749" t="s">
        <v>159</v>
      </c>
      <c r="C108" s="939"/>
      <c r="D108" s="955" t="s">
        <v>140</v>
      </c>
      <c r="E108" s="152" t="str">
        <f t="shared" si="7"/>
        <v>02CUSL053M</v>
      </c>
      <c r="F108" s="7" t="s">
        <v>716</v>
      </c>
      <c r="G108" s="7"/>
      <c r="H108" s="956">
        <v>1152902</v>
      </c>
      <c r="I108" s="1161">
        <v>81926.52</v>
      </c>
      <c r="J108" s="966">
        <v>105</v>
      </c>
    </row>
    <row r="109" spans="1:10">
      <c r="A109" s="749">
        <v>51</v>
      </c>
      <c r="B109" s="749">
        <v>51</v>
      </c>
      <c r="C109" s="939"/>
      <c r="D109" s="955" t="s">
        <v>141</v>
      </c>
      <c r="E109" s="152" t="str">
        <f t="shared" si="7"/>
        <v>02HPSV0051</v>
      </c>
      <c r="F109" s="7" t="s">
        <v>716</v>
      </c>
      <c r="G109" s="7"/>
      <c r="H109" s="956">
        <v>3526557</v>
      </c>
      <c r="I109" s="1161">
        <v>697459.73</v>
      </c>
      <c r="J109" s="966">
        <v>160.333333333333</v>
      </c>
    </row>
    <row r="110" spans="1:10">
      <c r="A110" s="749">
        <v>57</v>
      </c>
      <c r="B110" s="749">
        <v>57</v>
      </c>
      <c r="C110" s="939"/>
      <c r="D110" s="955" t="s">
        <v>142</v>
      </c>
      <c r="E110" s="982" t="str">
        <f t="shared" si="7"/>
        <v>02MVSL0057</v>
      </c>
      <c r="F110" s="7" t="s">
        <v>716</v>
      </c>
      <c r="G110" s="7"/>
      <c r="H110" s="956">
        <v>1939253</v>
      </c>
      <c r="I110" s="1161">
        <v>241433.75</v>
      </c>
      <c r="J110" s="966">
        <v>41.8333333333333</v>
      </c>
    </row>
    <row r="111" spans="1:10">
      <c r="A111" s="749"/>
      <c r="D111" s="7" t="s">
        <v>122</v>
      </c>
      <c r="E111" s="152" t="str">
        <f t="shared" si="7"/>
        <v>CUSTOMER C</v>
      </c>
      <c r="F111" s="7" t="s">
        <v>716</v>
      </c>
      <c r="G111" s="7"/>
      <c r="H111" s="956"/>
      <c r="I111" s="1161"/>
      <c r="J111" s="966">
        <v>0</v>
      </c>
    </row>
    <row r="112" spans="1:10">
      <c r="C112" s="939"/>
      <c r="D112" s="7"/>
      <c r="E112" s="7"/>
      <c r="F112" s="7"/>
      <c r="G112" s="7"/>
      <c r="H112" s="956"/>
      <c r="I112" s="957"/>
      <c r="J112" s="966"/>
    </row>
    <row r="113" spans="1:10">
      <c r="C113" s="939" t="s">
        <v>136</v>
      </c>
      <c r="D113" s="7"/>
      <c r="E113" s="7"/>
      <c r="F113" s="111" t="s">
        <v>124</v>
      </c>
      <c r="G113" s="111"/>
      <c r="H113" s="107">
        <f>SUM(H101:H110)</f>
        <v>9065642</v>
      </c>
      <c r="I113" s="963">
        <f>SUM(I101:I110)</f>
        <v>1134229.6000000001</v>
      </c>
      <c r="J113" s="107">
        <f>SUM(J101:J110)</f>
        <v>434.41666666666634</v>
      </c>
    </row>
    <row r="114" spans="1:10">
      <c r="C114" s="939"/>
      <c r="D114" s="7"/>
      <c r="E114" s="7"/>
      <c r="F114" s="7"/>
      <c r="G114" s="7"/>
      <c r="H114" s="32"/>
      <c r="I114" s="110"/>
      <c r="J114" s="32"/>
    </row>
    <row r="115" spans="1:10">
      <c r="C115" s="939" t="s">
        <v>99</v>
      </c>
      <c r="D115" s="7" t="s">
        <v>100</v>
      </c>
      <c r="E115" s="7"/>
      <c r="F115" s="7" t="s">
        <v>101</v>
      </c>
      <c r="G115" s="7"/>
      <c r="H115" s="32" t="s">
        <v>102</v>
      </c>
      <c r="I115" s="110" t="s">
        <v>1</v>
      </c>
      <c r="J115" s="965" t="s">
        <v>103</v>
      </c>
    </row>
    <row r="116" spans="1:10">
      <c r="A116" s="749" t="s">
        <v>153</v>
      </c>
      <c r="B116" s="749" t="s">
        <v>153</v>
      </c>
      <c r="C116" s="939" t="s">
        <v>143</v>
      </c>
      <c r="D116" s="955" t="s">
        <v>123</v>
      </c>
      <c r="E116" s="955"/>
      <c r="F116" s="7" t="s">
        <v>715</v>
      </c>
      <c r="G116" s="7"/>
      <c r="H116" s="956">
        <v>-5896000</v>
      </c>
      <c r="I116" s="1161">
        <v>-286000</v>
      </c>
      <c r="J116" s="956">
        <v>0</v>
      </c>
    </row>
    <row r="117" spans="1:10">
      <c r="A117" s="749" t="s">
        <v>152</v>
      </c>
      <c r="B117" s="749" t="s">
        <v>152</v>
      </c>
      <c r="C117" s="939"/>
      <c r="D117" s="955" t="s">
        <v>120</v>
      </c>
      <c r="E117" s="955"/>
      <c r="F117" s="7" t="s">
        <v>4</v>
      </c>
      <c r="G117" s="7"/>
      <c r="H117" s="956">
        <v>0</v>
      </c>
      <c r="I117" s="1161">
        <v>769276.97</v>
      </c>
      <c r="J117" s="956">
        <v>0</v>
      </c>
    </row>
    <row r="118" spans="1:10">
      <c r="A118" s="749" t="s">
        <v>688</v>
      </c>
      <c r="B118" s="749" t="s">
        <v>688</v>
      </c>
      <c r="C118" s="939"/>
      <c r="D118" s="955" t="s">
        <v>685</v>
      </c>
      <c r="E118" s="152" t="str">
        <f t="shared" ref="E118:E125" si="8">LEFT(D118,10)</f>
        <v>SMUD REVEN</v>
      </c>
      <c r="F118" s="7" t="s">
        <v>716</v>
      </c>
      <c r="G118" s="7"/>
      <c r="H118" s="956">
        <v>0</v>
      </c>
      <c r="I118" s="1161">
        <v>128745.18</v>
      </c>
      <c r="J118" s="956">
        <v>0</v>
      </c>
    </row>
    <row r="119" spans="1:10">
      <c r="A119" s="749" t="s">
        <v>234</v>
      </c>
      <c r="B119" s="749" t="s">
        <v>234</v>
      </c>
      <c r="C119" s="939"/>
      <c r="D119" s="955" t="s">
        <v>763</v>
      </c>
      <c r="E119" s="152" t="str">
        <f t="shared" si="8"/>
        <v>REVENUE AD</v>
      </c>
      <c r="F119" s="7" t="s">
        <v>716</v>
      </c>
      <c r="G119" s="7"/>
      <c r="H119" s="956">
        <v>0</v>
      </c>
      <c r="I119" s="1161">
        <v>-416095.02</v>
      </c>
      <c r="J119" s="956">
        <v>0</v>
      </c>
    </row>
    <row r="120" spans="1:10">
      <c r="A120" s="749" t="s">
        <v>764</v>
      </c>
      <c r="B120" s="749" t="s">
        <v>764</v>
      </c>
      <c r="C120" s="939"/>
      <c r="D120" s="955" t="s">
        <v>686</v>
      </c>
      <c r="E120" s="152" t="str">
        <f t="shared" si="8"/>
        <v>WASHINGTON</v>
      </c>
      <c r="F120" s="7" t="s">
        <v>716</v>
      </c>
      <c r="G120" s="7"/>
      <c r="H120" s="956">
        <v>0</v>
      </c>
      <c r="I120" s="1161">
        <v>-1320000</v>
      </c>
      <c r="J120" s="956">
        <v>0</v>
      </c>
    </row>
    <row r="121" spans="1:10">
      <c r="A121" s="749" t="s">
        <v>234</v>
      </c>
      <c r="B121" s="749" t="s">
        <v>234</v>
      </c>
      <c r="C121" s="939"/>
      <c r="D121" s="955" t="s">
        <v>713</v>
      </c>
      <c r="E121" s="152" t="str">
        <f t="shared" si="8"/>
        <v>REVENUE_AC</v>
      </c>
      <c r="F121" s="7" t="s">
        <v>716</v>
      </c>
      <c r="G121" s="7"/>
      <c r="H121" s="956">
        <v>0</v>
      </c>
      <c r="I121" s="1161">
        <v>-4765913.25</v>
      </c>
      <c r="J121" s="956">
        <v>0</v>
      </c>
    </row>
    <row r="122" spans="1:10">
      <c r="A122" s="749" t="s">
        <v>765</v>
      </c>
      <c r="B122" s="749" t="s">
        <v>765</v>
      </c>
      <c r="C122" s="939"/>
      <c r="D122" s="955" t="s">
        <v>776</v>
      </c>
      <c r="E122" s="152" t="str">
        <f t="shared" si="8"/>
        <v>301170-DSM</v>
      </c>
      <c r="F122" s="7" t="s">
        <v>716</v>
      </c>
      <c r="G122" s="7"/>
      <c r="H122" s="956">
        <v>0</v>
      </c>
      <c r="I122" s="1161">
        <v>4639762.9400000004</v>
      </c>
      <c r="J122" s="956">
        <v>0</v>
      </c>
    </row>
    <row r="123" spans="1:10">
      <c r="A123" s="749" t="s">
        <v>767</v>
      </c>
      <c r="B123" s="749" t="s">
        <v>767</v>
      </c>
      <c r="C123" s="939"/>
      <c r="D123" s="955" t="s">
        <v>777</v>
      </c>
      <c r="E123" s="152" t="str">
        <f t="shared" si="8"/>
        <v>301180-BLU</v>
      </c>
      <c r="F123" s="7" t="s">
        <v>716</v>
      </c>
      <c r="G123" s="7"/>
      <c r="H123" s="956">
        <v>0</v>
      </c>
      <c r="I123" s="1161">
        <v>42672.12</v>
      </c>
      <c r="J123" s="956">
        <v>0</v>
      </c>
    </row>
    <row r="124" spans="1:10">
      <c r="A124" s="749" t="s">
        <v>150</v>
      </c>
      <c r="B124" s="749" t="s">
        <v>150</v>
      </c>
      <c r="C124" s="939"/>
      <c r="D124" s="955" t="s">
        <v>113</v>
      </c>
      <c r="E124" s="152" t="str">
        <f t="shared" si="8"/>
        <v>02LNX00109</v>
      </c>
      <c r="F124" s="7" t="s">
        <v>716</v>
      </c>
      <c r="G124" s="7"/>
      <c r="H124" s="956">
        <v>0</v>
      </c>
      <c r="I124" s="1161">
        <v>783.03</v>
      </c>
      <c r="J124" s="956"/>
    </row>
    <row r="125" spans="1:10">
      <c r="A125" s="749">
        <v>16</v>
      </c>
      <c r="B125" s="749">
        <v>16</v>
      </c>
      <c r="C125" s="939"/>
      <c r="D125" s="955" t="s">
        <v>144</v>
      </c>
      <c r="E125" s="152" t="str">
        <f t="shared" si="8"/>
        <v>02RESD0016</v>
      </c>
      <c r="F125" s="7" t="s">
        <v>716</v>
      </c>
      <c r="G125" s="7"/>
      <c r="H125" s="956">
        <v>1553800739</v>
      </c>
      <c r="I125" s="1161">
        <v>135331409.69999999</v>
      </c>
      <c r="J125" s="956">
        <v>100211.08333333299</v>
      </c>
    </row>
    <row r="126" spans="1:10">
      <c r="A126" s="749" t="s">
        <v>181</v>
      </c>
      <c r="B126" s="749">
        <v>16</v>
      </c>
      <c r="C126" s="939"/>
      <c r="D126" s="955" t="s">
        <v>144</v>
      </c>
      <c r="E126" s="955"/>
      <c r="F126" s="7" t="s">
        <v>4</v>
      </c>
      <c r="G126" s="7"/>
      <c r="H126" s="956">
        <v>1553797618</v>
      </c>
      <c r="I126" s="1161">
        <v>-6412876.3799999999</v>
      </c>
      <c r="J126" s="956">
        <v>100211.08333333299</v>
      </c>
    </row>
    <row r="127" spans="1:10">
      <c r="A127" s="749">
        <v>18</v>
      </c>
      <c r="B127" s="749">
        <v>18</v>
      </c>
      <c r="C127" s="939"/>
      <c r="D127" s="955" t="s">
        <v>147</v>
      </c>
      <c r="E127" s="152" t="str">
        <f>LEFT(D127,10)</f>
        <v>02RESD0018</v>
      </c>
      <c r="F127" s="7" t="s">
        <v>716</v>
      </c>
      <c r="G127" s="7"/>
      <c r="H127" s="956">
        <v>2277450</v>
      </c>
      <c r="I127" s="1161">
        <v>217409.79</v>
      </c>
      <c r="J127" s="956">
        <v>84.25</v>
      </c>
    </row>
    <row r="128" spans="1:10">
      <c r="A128" s="749" t="s">
        <v>183</v>
      </c>
      <c r="B128" s="749">
        <v>18</v>
      </c>
      <c r="C128" s="939"/>
      <c r="D128" s="955" t="s">
        <v>147</v>
      </c>
      <c r="E128" s="955"/>
      <c r="F128" s="7" t="s">
        <v>4</v>
      </c>
      <c r="G128" s="7"/>
      <c r="H128" s="956">
        <v>2277444</v>
      </c>
      <c r="I128" s="1161">
        <v>-9396.16</v>
      </c>
      <c r="J128" s="956">
        <v>84.25</v>
      </c>
    </row>
    <row r="129" spans="1:12">
      <c r="A129" s="749" t="s">
        <v>161</v>
      </c>
      <c r="B129" s="749" t="s">
        <v>161</v>
      </c>
      <c r="C129" s="939"/>
      <c r="D129" s="955" t="s">
        <v>148</v>
      </c>
      <c r="E129" s="152" t="str">
        <f>LEFT(D129,10)</f>
        <v>02RESD018X</v>
      </c>
      <c r="F129" s="7" t="s">
        <v>716</v>
      </c>
      <c r="G129" s="7"/>
      <c r="H129" s="956">
        <v>435337</v>
      </c>
      <c r="I129" s="1161">
        <v>40817.89</v>
      </c>
      <c r="J129" s="956">
        <v>18</v>
      </c>
    </row>
    <row r="130" spans="1:12">
      <c r="A130" s="749" t="s">
        <v>184</v>
      </c>
      <c r="B130" s="749" t="s">
        <v>161</v>
      </c>
      <c r="C130" s="939"/>
      <c r="D130" s="955" t="s">
        <v>148</v>
      </c>
      <c r="E130" s="955"/>
      <c r="F130" s="7" t="s">
        <v>4</v>
      </c>
      <c r="G130" s="7"/>
      <c r="H130" s="956">
        <v>435337</v>
      </c>
      <c r="I130" s="1161">
        <v>-1795.31</v>
      </c>
      <c r="J130" s="956">
        <v>18</v>
      </c>
    </row>
    <row r="131" spans="1:12">
      <c r="A131" s="749" t="s">
        <v>150</v>
      </c>
      <c r="B131" s="749" t="s">
        <v>150</v>
      </c>
      <c r="C131" s="939"/>
      <c r="D131" s="955" t="s">
        <v>845</v>
      </c>
      <c r="E131" s="152" t="str">
        <f t="shared" ref="E131:E133" si="9">LEFT(D131,10)</f>
        <v>02UPPL000R</v>
      </c>
      <c r="F131" s="7" t="s">
        <v>716</v>
      </c>
      <c r="G131" s="7"/>
      <c r="H131" s="956"/>
      <c r="I131" s="1161"/>
      <c r="J131" s="956">
        <v>1.5</v>
      </c>
    </row>
    <row r="132" spans="1:12">
      <c r="A132" s="749" t="s">
        <v>767</v>
      </c>
      <c r="B132" s="749" t="s">
        <v>767</v>
      </c>
      <c r="C132" s="939"/>
      <c r="D132" s="955" t="s">
        <v>246</v>
      </c>
      <c r="E132" s="152" t="str">
        <f t="shared" si="9"/>
        <v>02BLSKY01R</v>
      </c>
      <c r="F132" s="7" t="s">
        <v>716</v>
      </c>
      <c r="G132" s="7"/>
      <c r="H132" s="956">
        <v>0</v>
      </c>
      <c r="I132" s="1161">
        <v>-1.84</v>
      </c>
      <c r="J132" s="956"/>
    </row>
    <row r="133" spans="1:12">
      <c r="A133" s="749">
        <v>17</v>
      </c>
      <c r="B133" s="749">
        <v>17</v>
      </c>
      <c r="C133" s="939"/>
      <c r="D133" s="955" t="s">
        <v>145</v>
      </c>
      <c r="E133" s="152" t="str">
        <f t="shared" si="9"/>
        <v>02RESD0017</v>
      </c>
      <c r="F133" s="7" t="s">
        <v>716</v>
      </c>
      <c r="G133" s="7"/>
      <c r="H133" s="956">
        <v>66140030</v>
      </c>
      <c r="I133" s="1161">
        <v>5742704.1699999999</v>
      </c>
      <c r="J133" s="956">
        <v>4195.5</v>
      </c>
    </row>
    <row r="134" spans="1:12">
      <c r="A134" s="749" t="s">
        <v>182</v>
      </c>
      <c r="B134" s="749">
        <v>17</v>
      </c>
      <c r="C134" s="939"/>
      <c r="D134" s="955" t="s">
        <v>146</v>
      </c>
      <c r="E134" s="955"/>
      <c r="F134" s="7" t="s">
        <v>4</v>
      </c>
      <c r="G134" s="7"/>
      <c r="H134" s="956">
        <v>66139877</v>
      </c>
      <c r="I134" s="1161">
        <v>-273122.89</v>
      </c>
      <c r="J134" s="956">
        <v>4195.5</v>
      </c>
    </row>
    <row r="135" spans="1:12">
      <c r="A135" s="749" t="s">
        <v>153</v>
      </c>
      <c r="B135" s="749" t="s">
        <v>153</v>
      </c>
      <c r="C135" s="939"/>
      <c r="D135" s="955" t="s">
        <v>217</v>
      </c>
      <c r="E135" s="152" t="str">
        <f>LEFT(D135,10)</f>
        <v>301119 - U</v>
      </c>
      <c r="F135" s="7" t="s">
        <v>715</v>
      </c>
      <c r="G135" s="7"/>
      <c r="H135" s="956">
        <v>0</v>
      </c>
      <c r="I135" s="1161">
        <v>5000</v>
      </c>
      <c r="J135" s="956">
        <v>0</v>
      </c>
    </row>
    <row r="136" spans="1:12">
      <c r="A136" s="749" t="s">
        <v>160</v>
      </c>
      <c r="B136" s="749" t="s">
        <v>160</v>
      </c>
      <c r="C136" s="939"/>
      <c r="D136" s="955" t="s">
        <v>231</v>
      </c>
      <c r="E136" s="152" t="str">
        <f>LEFT(D137,10)</f>
        <v>02OALTB15R</v>
      </c>
      <c r="F136" s="7" t="s">
        <v>716</v>
      </c>
      <c r="G136" s="7"/>
      <c r="H136" s="956">
        <v>1050961</v>
      </c>
      <c r="I136" s="1161">
        <v>156486.64000000001</v>
      </c>
      <c r="J136" s="956">
        <v>1133.25</v>
      </c>
    </row>
    <row r="137" spans="1:12">
      <c r="A137" s="749" t="s">
        <v>241</v>
      </c>
      <c r="B137" s="749" t="s">
        <v>160</v>
      </c>
      <c r="C137" s="939"/>
      <c r="D137" s="955" t="s">
        <v>232</v>
      </c>
      <c r="F137" s="7" t="s">
        <v>4</v>
      </c>
      <c r="G137" s="7"/>
      <c r="H137" s="956">
        <v>1052240</v>
      </c>
      <c r="I137" s="1161">
        <v>-4323.41</v>
      </c>
      <c r="J137" s="956"/>
    </row>
    <row r="138" spans="1:12">
      <c r="A138" s="749">
        <v>135</v>
      </c>
      <c r="B138" s="749">
        <v>135</v>
      </c>
      <c r="C138" s="939"/>
      <c r="D138" s="955" t="s">
        <v>249</v>
      </c>
      <c r="E138" s="152" t="str">
        <f>LEFT(D139,10)</f>
        <v>02NETMT135</v>
      </c>
      <c r="F138" s="7" t="s">
        <v>716</v>
      </c>
      <c r="G138" s="7"/>
      <c r="H138" s="956">
        <v>1371628</v>
      </c>
      <c r="I138" s="1161">
        <v>121143.02</v>
      </c>
      <c r="J138" s="956">
        <v>95.6666666666667</v>
      </c>
    </row>
    <row r="139" spans="1:12">
      <c r="A139" s="749" t="s">
        <v>689</v>
      </c>
      <c r="B139" s="749">
        <v>135</v>
      </c>
      <c r="C139" s="939"/>
      <c r="D139" s="955" t="s">
        <v>687</v>
      </c>
      <c r="F139" s="7" t="s">
        <v>4</v>
      </c>
      <c r="G139" s="7"/>
      <c r="H139" s="956">
        <v>1371625</v>
      </c>
      <c r="I139" s="1161">
        <v>-5672.03</v>
      </c>
      <c r="J139" s="956">
        <v>95.6666666666667</v>
      </c>
    </row>
    <row r="140" spans="1:12">
      <c r="A140" s="749">
        <v>24</v>
      </c>
      <c r="B140" s="749">
        <v>24</v>
      </c>
      <c r="C140" s="939"/>
      <c r="D140" s="955" t="s">
        <v>778</v>
      </c>
      <c r="E140" s="152" t="str">
        <f>LEFT(D141,10)</f>
        <v>02RGNSB024</v>
      </c>
      <c r="F140" s="7" t="s">
        <v>716</v>
      </c>
      <c r="G140" s="7"/>
      <c r="H140" s="956">
        <v>7081030</v>
      </c>
      <c r="I140" s="1161">
        <v>809006.25</v>
      </c>
      <c r="J140" s="956">
        <v>1452.75</v>
      </c>
    </row>
    <row r="141" spans="1:12">
      <c r="A141" s="749" t="s">
        <v>240</v>
      </c>
      <c r="B141" s="749">
        <v>24</v>
      </c>
      <c r="C141" s="939"/>
      <c r="D141" s="955" t="s">
        <v>779</v>
      </c>
      <c r="F141" s="7" t="s">
        <v>4</v>
      </c>
      <c r="G141" s="7"/>
      <c r="H141" s="956">
        <v>7080802</v>
      </c>
      <c r="I141" s="1161">
        <v>-29291.51</v>
      </c>
      <c r="J141" s="956">
        <v>1452.75</v>
      </c>
    </row>
    <row r="142" spans="1:12">
      <c r="C142" s="939"/>
      <c r="D142" s="955" t="s">
        <v>122</v>
      </c>
      <c r="E142" s="955"/>
      <c r="F142" s="7" t="s">
        <v>716</v>
      </c>
      <c r="G142" s="7"/>
      <c r="H142" s="956">
        <v>0</v>
      </c>
      <c r="I142" s="957">
        <v>0</v>
      </c>
      <c r="J142" s="956">
        <v>0</v>
      </c>
      <c r="L142" s="815"/>
    </row>
    <row r="143" spans="1:12">
      <c r="A143" s="749"/>
      <c r="D143" s="7" t="s">
        <v>121</v>
      </c>
      <c r="E143" s="7"/>
      <c r="F143" s="7" t="s">
        <v>4</v>
      </c>
      <c r="G143" s="7"/>
      <c r="H143" s="956"/>
      <c r="I143" s="957"/>
      <c r="J143" s="956">
        <v>0</v>
      </c>
      <c r="L143" s="967"/>
    </row>
    <row r="144" spans="1:12">
      <c r="C144" s="939"/>
      <c r="D144" s="7" t="s">
        <v>31</v>
      </c>
      <c r="E144" s="7"/>
      <c r="F144" s="7"/>
      <c r="G144" s="7"/>
      <c r="H144" s="956"/>
      <c r="I144" s="957"/>
      <c r="J144" s="956">
        <v>0</v>
      </c>
    </row>
    <row r="145" spans="3:12">
      <c r="C145" s="939"/>
      <c r="D145" s="7"/>
      <c r="E145" s="7"/>
      <c r="F145" s="7"/>
      <c r="G145" s="7"/>
      <c r="H145" s="956"/>
      <c r="I145" s="957"/>
      <c r="J145" s="956"/>
    </row>
    <row r="146" spans="3:12">
      <c r="C146" s="939" t="s">
        <v>143</v>
      </c>
      <c r="D146" s="7"/>
      <c r="E146" s="7"/>
      <c r="F146" s="7"/>
      <c r="G146" s="7"/>
      <c r="H146" s="968">
        <f>SUM(H116:H142)-H117-H126-H128-H130-H134-H137-H139-H141</f>
        <v>1626261175</v>
      </c>
      <c r="I146" s="108">
        <f>SUM(I116:I142)</f>
        <v>134480729.90000001</v>
      </c>
      <c r="J146" s="968">
        <f>SUM(J116:J142)-J117-J126-J128-J130-J131-J134-J137-J139-J141</f>
        <v>107190.49999999964</v>
      </c>
    </row>
    <row r="147" spans="3:12">
      <c r="C147" s="939"/>
      <c r="D147" s="7"/>
      <c r="E147" s="7"/>
      <c r="F147" s="7"/>
      <c r="G147" s="7"/>
      <c r="H147" s="968"/>
      <c r="I147" s="108"/>
      <c r="J147" s="968"/>
    </row>
    <row r="148" spans="3:12">
      <c r="C148" s="939"/>
      <c r="D148" s="7"/>
      <c r="E148" s="7"/>
      <c r="F148" s="7"/>
      <c r="G148" s="7"/>
      <c r="H148" s="968"/>
      <c r="I148" s="108"/>
      <c r="J148" s="968"/>
    </row>
    <row r="149" spans="3:12">
      <c r="C149" s="939"/>
      <c r="D149" s="7"/>
      <c r="E149" s="7"/>
      <c r="F149" s="7"/>
      <c r="G149" s="7"/>
      <c r="H149" s="452"/>
      <c r="I149" s="110"/>
      <c r="J149" s="7"/>
    </row>
    <row r="150" spans="3:12">
      <c r="C150" s="939"/>
      <c r="D150" s="7"/>
      <c r="E150" s="7"/>
      <c r="F150" s="7"/>
      <c r="G150" s="7"/>
      <c r="H150" s="7"/>
      <c r="I150" s="110"/>
      <c r="J150" s="7"/>
    </row>
    <row r="151" spans="3:12">
      <c r="C151" s="939"/>
      <c r="D151" s="7"/>
      <c r="E151" s="7"/>
      <c r="F151" s="7"/>
      <c r="G151" s="7"/>
      <c r="H151" s="7"/>
      <c r="I151" s="110"/>
      <c r="J151" s="7"/>
    </row>
    <row r="152" spans="3:12">
      <c r="C152" s="969"/>
      <c r="D152" s="114"/>
      <c r="E152" s="114"/>
      <c r="F152" s="114" t="s">
        <v>124</v>
      </c>
      <c r="G152" s="114"/>
      <c r="H152" s="115">
        <f>H146+H113+H98+H74+H47</f>
        <v>4092687972</v>
      </c>
      <c r="I152" s="970">
        <f>I146+I113+I98+I74+I47</f>
        <v>310758107.72000003</v>
      </c>
      <c r="J152" s="115">
        <f>J146+J113+J98+J74+J47</f>
        <v>132773.08333333296</v>
      </c>
      <c r="L152" s="4">
        <f>J152/12</f>
        <v>11064.42361111108</v>
      </c>
    </row>
    <row r="154" spans="3:12">
      <c r="F154" s="4" t="s">
        <v>168</v>
      </c>
    </row>
    <row r="155" spans="3:12">
      <c r="F155" s="4" t="s">
        <v>167</v>
      </c>
      <c r="H155" s="107">
        <f ca="1">SUMIF(F6:F148,"&lt;&gt;bpa",H6:H146)-H152</f>
        <v>6010484703</v>
      </c>
      <c r="I155" s="107">
        <f>SUMIF($F$7:$F$150,"&lt;&gt;bpa",I7:I150)-I152</f>
        <v>310758107.71999991</v>
      </c>
      <c r="J155" s="107">
        <f>SUMIF($F$7:$F$148,"&lt;&gt;bpa",J7:J149)-J152</f>
        <v>247023.83333333273</v>
      </c>
    </row>
    <row r="156" spans="3:12">
      <c r="F156" s="4" t="s">
        <v>97</v>
      </c>
      <c r="H156" s="115">
        <f ca="1">SUMIF(F6:F148,"=bpa",H6:H146)</f>
        <v>0</v>
      </c>
      <c r="I156" s="971">
        <f ca="1">SUMIF($F$7:$F$148,"=bpa",I$7:I$146)</f>
        <v>0</v>
      </c>
      <c r="J156" s="115">
        <v>0</v>
      </c>
    </row>
    <row r="157" spans="3:12">
      <c r="H157" s="88">
        <f ca="1">SUM(H155:H156)</f>
        <v>6010484703</v>
      </c>
      <c r="I157" s="972">
        <f ca="1">SUM(I155:I156)</f>
        <v>310758107.71999991</v>
      </c>
      <c r="J157" s="88">
        <f>SUM(J155:J156)</f>
        <v>247023.83333333273</v>
      </c>
    </row>
    <row r="159" spans="3:12">
      <c r="I159" s="663"/>
    </row>
    <row r="161" spans="6:11">
      <c r="F161" s="4" t="s">
        <v>175</v>
      </c>
      <c r="H161" s="32">
        <f ca="1">SUMIF($F$7:$F$143,"=regular",H$7:H$141)</f>
        <v>0</v>
      </c>
      <c r="I161" s="107">
        <f ca="1">SUMIF($F$7:$F$141,"=regular",I7:I140)</f>
        <v>0</v>
      </c>
      <c r="J161" s="32">
        <f ca="1">SUMIF($F$7:$F$148,"=regular",J$7:J$146)</f>
        <v>0</v>
      </c>
    </row>
    <row r="162" spans="6:11">
      <c r="F162" s="4" t="s">
        <v>199</v>
      </c>
      <c r="H162" s="32">
        <f ca="1">SUMIF($F$7:$F$148,"UNBILLED",H$7:H$146)</f>
        <v>0</v>
      </c>
      <c r="I162" s="973">
        <f ca="1">SUMIF(F7:F141,"=unbilled",I7:I140)</f>
        <v>0</v>
      </c>
      <c r="J162" s="5"/>
      <c r="K162" s="7"/>
    </row>
    <row r="163" spans="6:11">
      <c r="H163" s="107">
        <f ca="1">SUM(H161:H162)</f>
        <v>0</v>
      </c>
      <c r="I163" s="107">
        <f ca="1">SUM(I161:I162)</f>
        <v>0</v>
      </c>
      <c r="J163" s="59">
        <f ca="1">J161</f>
        <v>0</v>
      </c>
      <c r="K163" s="7"/>
    </row>
    <row r="164" spans="6:11">
      <c r="F164" s="7"/>
      <c r="G164" s="7"/>
      <c r="H164" s="7"/>
      <c r="I164" s="7"/>
      <c r="J164" s="7"/>
      <c r="K164" s="7"/>
    </row>
    <row r="165" spans="6:11">
      <c r="F165" s="7" t="s">
        <v>780</v>
      </c>
      <c r="G165" s="7"/>
      <c r="H165" s="956">
        <v>5884581542</v>
      </c>
      <c r="I165" s="974">
        <v>291893109.88999993</v>
      </c>
      <c r="J165" s="956">
        <v>131933.83333333334</v>
      </c>
      <c r="K165" s="7"/>
    </row>
    <row r="166" spans="6:11">
      <c r="F166" s="7"/>
      <c r="G166" s="7"/>
      <c r="H166" s="7"/>
      <c r="I166" s="7"/>
      <c r="J166" s="7"/>
      <c r="K166" s="7"/>
    </row>
    <row r="167" spans="6:11">
      <c r="F167" s="7"/>
      <c r="G167" s="7"/>
      <c r="H167" s="452"/>
      <c r="I167" s="452"/>
      <c r="J167" s="7"/>
    </row>
    <row r="168" spans="6:11">
      <c r="F168" s="7"/>
      <c r="G168" s="7"/>
      <c r="H168" s="7"/>
      <c r="I168" s="975"/>
      <c r="J168" s="7"/>
    </row>
    <row r="169" spans="6:11">
      <c r="H169" s="88"/>
      <c r="I169" s="976"/>
    </row>
  </sheetData>
  <autoFilter ref="A6:J144"/>
  <pageMargins left="0.75" right="0.75" top="1" bottom="1" header="0.5" footer="0.5"/>
  <pageSetup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6:H132"/>
  <sheetViews>
    <sheetView showGridLines="0" workbookViewId="0"/>
  </sheetViews>
  <sheetFormatPr defaultRowHeight="12.75"/>
  <cols>
    <col min="1" max="1" width="25" style="1152" customWidth="1"/>
    <col min="2" max="2" width="18.875" style="1152" customWidth="1"/>
    <col min="3" max="3" width="35.125" style="1152" customWidth="1"/>
    <col min="4" max="4" width="13.25" style="1152" customWidth="1"/>
    <col min="5" max="5" width="11.375" style="1152" customWidth="1"/>
    <col min="6" max="6" width="11.125" style="1152" customWidth="1"/>
    <col min="7" max="7" width="12.5" style="1152" customWidth="1"/>
    <col min="8" max="8" width="12.875" style="1152" customWidth="1"/>
    <col min="9" max="16384" width="9" style="1152"/>
  </cols>
  <sheetData>
    <row r="6" spans="1:8" ht="13.5" customHeight="1">
      <c r="A6" s="1151" t="s">
        <v>783</v>
      </c>
      <c r="B6" s="1151" t="s">
        <v>680</v>
      </c>
      <c r="C6" s="1151" t="s">
        <v>681</v>
      </c>
      <c r="D6" s="1151" t="s">
        <v>683</v>
      </c>
      <c r="E6" s="1151" t="s">
        <v>682</v>
      </c>
      <c r="F6" s="1151" t="s">
        <v>784</v>
      </c>
      <c r="G6" s="1151" t="s">
        <v>785</v>
      </c>
      <c r="H6" s="1151" t="s">
        <v>841</v>
      </c>
    </row>
    <row r="7" spans="1:8" ht="14.25" customHeight="1">
      <c r="A7" s="1153" t="s">
        <v>786</v>
      </c>
      <c r="B7" s="1153" t="s">
        <v>105</v>
      </c>
      <c r="C7" s="1153" t="s">
        <v>123</v>
      </c>
      <c r="D7" s="1154">
        <v>-277000</v>
      </c>
      <c r="E7" s="1155">
        <v>-4263000</v>
      </c>
      <c r="F7" s="1155">
        <v>0</v>
      </c>
      <c r="G7" s="1155">
        <v>0</v>
      </c>
      <c r="H7" s="1153" t="s">
        <v>715</v>
      </c>
    </row>
    <row r="8" spans="1:8" ht="14.25" customHeight="1">
      <c r="A8" s="1156"/>
      <c r="B8" s="1156"/>
      <c r="C8" s="1153" t="s">
        <v>120</v>
      </c>
      <c r="D8" s="1154">
        <v>63027.97</v>
      </c>
      <c r="E8" s="1155">
        <v>0</v>
      </c>
      <c r="F8" s="1155">
        <v>0</v>
      </c>
      <c r="G8" s="1155">
        <v>0</v>
      </c>
      <c r="H8" s="1153" t="s">
        <v>4</v>
      </c>
    </row>
    <row r="9" spans="1:8" ht="14.25" customHeight="1">
      <c r="A9" s="1156"/>
      <c r="B9" s="1156"/>
      <c r="C9" s="1153" t="s">
        <v>685</v>
      </c>
      <c r="D9" s="1154">
        <v>115878.41</v>
      </c>
      <c r="E9" s="1155">
        <v>0</v>
      </c>
      <c r="F9" s="1155">
        <v>0</v>
      </c>
      <c r="G9" s="1155">
        <v>0</v>
      </c>
      <c r="H9" s="1153" t="s">
        <v>716</v>
      </c>
    </row>
    <row r="10" spans="1:8" ht="14.25" customHeight="1">
      <c r="A10" s="1156"/>
      <c r="B10" s="1156"/>
      <c r="C10" s="1153" t="s">
        <v>763</v>
      </c>
      <c r="D10" s="1154">
        <v>-321503.46999999997</v>
      </c>
      <c r="E10" s="1155">
        <v>0</v>
      </c>
      <c r="F10" s="1155">
        <v>0</v>
      </c>
      <c r="G10" s="1155">
        <v>0</v>
      </c>
      <c r="H10" s="1153" t="s">
        <v>716</v>
      </c>
    </row>
    <row r="11" spans="1:8" ht="14.25" customHeight="1">
      <c r="A11" s="1156"/>
      <c r="B11" s="1156"/>
      <c r="C11" s="1153" t="s">
        <v>686</v>
      </c>
      <c r="D11" s="1154">
        <v>-1020000</v>
      </c>
      <c r="E11" s="1155">
        <v>0</v>
      </c>
      <c r="F11" s="1155">
        <v>0</v>
      </c>
      <c r="G11" s="1155">
        <v>0</v>
      </c>
      <c r="H11" s="1153" t="s">
        <v>716</v>
      </c>
    </row>
    <row r="12" spans="1:8" ht="14.25" customHeight="1">
      <c r="A12" s="1156"/>
      <c r="B12" s="1156"/>
      <c r="C12" s="1153" t="s">
        <v>713</v>
      </c>
      <c r="D12" s="1154">
        <v>-3994653.12</v>
      </c>
      <c r="E12" s="1155">
        <v>0</v>
      </c>
      <c r="F12" s="1155">
        <v>0</v>
      </c>
      <c r="G12" s="1155">
        <v>0</v>
      </c>
      <c r="H12" s="1153" t="s">
        <v>716</v>
      </c>
    </row>
    <row r="13" spans="1:8" ht="14.25" customHeight="1">
      <c r="A13" s="1156"/>
      <c r="B13" s="1156"/>
      <c r="C13" s="1153" t="s">
        <v>766</v>
      </c>
      <c r="D13" s="1154">
        <v>3876602.16</v>
      </c>
      <c r="E13" s="1155">
        <v>0</v>
      </c>
      <c r="F13" s="1155">
        <v>0</v>
      </c>
      <c r="G13" s="1155">
        <v>0</v>
      </c>
      <c r="H13" s="1153" t="s">
        <v>716</v>
      </c>
    </row>
    <row r="14" spans="1:8" ht="14.25" customHeight="1">
      <c r="A14" s="1156"/>
      <c r="B14" s="1156"/>
      <c r="C14" s="1153" t="s">
        <v>768</v>
      </c>
      <c r="D14" s="1154">
        <v>11667.31</v>
      </c>
      <c r="E14" s="1155">
        <v>0</v>
      </c>
      <c r="F14" s="1155">
        <v>0</v>
      </c>
      <c r="G14" s="1155">
        <v>4.6666666666666696</v>
      </c>
      <c r="H14" s="1153" t="s">
        <v>716</v>
      </c>
    </row>
    <row r="15" spans="1:8" ht="14.25" customHeight="1">
      <c r="A15" s="1156"/>
      <c r="B15" s="1156"/>
      <c r="C15" s="1153" t="s">
        <v>106</v>
      </c>
      <c r="D15" s="1154">
        <v>41590703.93</v>
      </c>
      <c r="E15" s="1155">
        <v>483688086</v>
      </c>
      <c r="F15" s="1155">
        <v>0</v>
      </c>
      <c r="G15" s="1155">
        <v>13901.5</v>
      </c>
      <c r="H15" s="1153" t="s">
        <v>716</v>
      </c>
    </row>
    <row r="16" spans="1:8" ht="14.25" customHeight="1">
      <c r="A16" s="1156"/>
      <c r="B16" s="1156"/>
      <c r="C16" s="1153" t="s">
        <v>107</v>
      </c>
      <c r="D16" s="1154">
        <v>142334.81</v>
      </c>
      <c r="E16" s="1155">
        <v>1115037</v>
      </c>
      <c r="F16" s="1155">
        <v>0</v>
      </c>
      <c r="G16" s="1155">
        <v>111</v>
      </c>
      <c r="H16" s="1153" t="s">
        <v>716</v>
      </c>
    </row>
    <row r="17" spans="1:8" ht="14.25" customHeight="1">
      <c r="A17" s="1156"/>
      <c r="B17" s="1156"/>
      <c r="C17" s="1153" t="s">
        <v>108</v>
      </c>
      <c r="D17" s="1154">
        <v>51909016.170000002</v>
      </c>
      <c r="E17" s="1155">
        <v>714508754</v>
      </c>
      <c r="F17" s="1155">
        <v>0</v>
      </c>
      <c r="G17" s="1155">
        <v>808.66666666666697</v>
      </c>
      <c r="H17" s="1153" t="s">
        <v>716</v>
      </c>
    </row>
    <row r="18" spans="1:8" ht="14.25" customHeight="1">
      <c r="A18" s="1156"/>
      <c r="B18" s="1156"/>
      <c r="C18" s="1153" t="s">
        <v>109</v>
      </c>
      <c r="D18" s="1154">
        <v>11358740.6</v>
      </c>
      <c r="E18" s="1155">
        <v>172307762</v>
      </c>
      <c r="F18" s="1155">
        <v>0</v>
      </c>
      <c r="G18" s="1155">
        <v>31.0833333333333</v>
      </c>
      <c r="H18" s="1153" t="s">
        <v>716</v>
      </c>
    </row>
    <row r="19" spans="1:8" ht="14.25" customHeight="1">
      <c r="A19" s="1156"/>
      <c r="B19" s="1156"/>
      <c r="C19" s="1153" t="s">
        <v>110</v>
      </c>
      <c r="D19" s="1154">
        <v>34589.050000000003</v>
      </c>
      <c r="E19" s="1155">
        <v>0</v>
      </c>
      <c r="F19" s="1155"/>
      <c r="G19" s="1155"/>
      <c r="H19" s="1153" t="s">
        <v>716</v>
      </c>
    </row>
    <row r="20" spans="1:8" ht="14.25" customHeight="1">
      <c r="A20" s="1156"/>
      <c r="B20" s="1156"/>
      <c r="C20" s="1153" t="s">
        <v>111</v>
      </c>
      <c r="D20" s="1154">
        <v>9449.93</v>
      </c>
      <c r="E20" s="1155">
        <v>0</v>
      </c>
      <c r="F20" s="1155"/>
      <c r="G20" s="1155"/>
      <c r="H20" s="1153" t="s">
        <v>716</v>
      </c>
    </row>
    <row r="21" spans="1:8" ht="14.25" customHeight="1">
      <c r="A21" s="1156"/>
      <c r="B21" s="1156"/>
      <c r="C21" s="1153" t="s">
        <v>112</v>
      </c>
      <c r="D21" s="1154">
        <v>1783.3</v>
      </c>
      <c r="E21" s="1155">
        <v>0</v>
      </c>
      <c r="F21" s="1155"/>
      <c r="G21" s="1155"/>
      <c r="H21" s="1153" t="s">
        <v>716</v>
      </c>
    </row>
    <row r="22" spans="1:8" ht="14.25" customHeight="1">
      <c r="A22" s="1156"/>
      <c r="B22" s="1156"/>
      <c r="C22" s="1153" t="s">
        <v>113</v>
      </c>
      <c r="D22" s="1154">
        <v>291326.93</v>
      </c>
      <c r="E22" s="1155">
        <v>0</v>
      </c>
      <c r="F22" s="1155"/>
      <c r="G22" s="1155"/>
      <c r="H22" s="1153" t="s">
        <v>716</v>
      </c>
    </row>
    <row r="23" spans="1:8" ht="14.25" customHeight="1">
      <c r="A23" s="1156"/>
      <c r="B23" s="1156"/>
      <c r="C23" s="1153" t="s">
        <v>114</v>
      </c>
      <c r="D23" s="1154">
        <v>4141.6000000000004</v>
      </c>
      <c r="E23" s="1155">
        <v>0</v>
      </c>
      <c r="F23" s="1155"/>
      <c r="G23" s="1155"/>
      <c r="H23" s="1153" t="s">
        <v>716</v>
      </c>
    </row>
    <row r="24" spans="1:8" ht="14.25" customHeight="1">
      <c r="A24" s="1156"/>
      <c r="B24" s="1156"/>
      <c r="C24" s="1153" t="s">
        <v>115</v>
      </c>
      <c r="D24" s="1154">
        <v>668.76</v>
      </c>
      <c r="E24" s="1155">
        <v>0</v>
      </c>
      <c r="F24" s="1155"/>
      <c r="G24" s="1155"/>
      <c r="H24" s="1153" t="s">
        <v>716</v>
      </c>
    </row>
    <row r="25" spans="1:8" ht="14.25" customHeight="1">
      <c r="A25" s="1156"/>
      <c r="B25" s="1156"/>
      <c r="C25" s="1153" t="s">
        <v>116</v>
      </c>
      <c r="D25" s="1154">
        <v>217533.81</v>
      </c>
      <c r="E25" s="1155">
        <v>1570450</v>
      </c>
      <c r="F25" s="1155">
        <v>0</v>
      </c>
      <c r="G25" s="1155">
        <v>825.66666666666697</v>
      </c>
      <c r="H25" s="1153" t="s">
        <v>716</v>
      </c>
    </row>
    <row r="26" spans="1:8" ht="14.25" customHeight="1">
      <c r="A26" s="1156"/>
      <c r="B26" s="1156"/>
      <c r="C26" s="1153" t="s">
        <v>117</v>
      </c>
      <c r="D26" s="1154">
        <v>26869.71</v>
      </c>
      <c r="E26" s="1155">
        <v>296094</v>
      </c>
      <c r="F26" s="1155">
        <v>0</v>
      </c>
      <c r="G26" s="1155">
        <v>30.1666666666667</v>
      </c>
      <c r="H26" s="1153" t="s">
        <v>716</v>
      </c>
    </row>
    <row r="27" spans="1:8" ht="14.25" customHeight="1">
      <c r="A27" s="1156"/>
      <c r="B27" s="1156"/>
      <c r="C27" s="1153" t="s">
        <v>203</v>
      </c>
      <c r="D27" s="1154">
        <v>10693.56</v>
      </c>
      <c r="E27" s="1155">
        <v>0</v>
      </c>
      <c r="F27" s="1155"/>
      <c r="G27" s="1155"/>
      <c r="H27" s="1153" t="s">
        <v>716</v>
      </c>
    </row>
    <row r="28" spans="1:8" ht="14.25" customHeight="1">
      <c r="A28" s="1156"/>
      <c r="B28" s="1156"/>
      <c r="C28" s="1153" t="s">
        <v>215</v>
      </c>
      <c r="D28" s="1154">
        <v>62011.81</v>
      </c>
      <c r="E28" s="1155">
        <v>760934</v>
      </c>
      <c r="F28" s="1155">
        <v>0</v>
      </c>
      <c r="G28" s="1155">
        <v>13.4166666666667</v>
      </c>
      <c r="H28" s="1153" t="s">
        <v>716</v>
      </c>
    </row>
    <row r="29" spans="1:8" ht="14.25" customHeight="1">
      <c r="A29" s="1156"/>
      <c r="B29" s="1156"/>
      <c r="C29" s="1153" t="s">
        <v>220</v>
      </c>
      <c r="D29" s="1154">
        <v>3772957.34</v>
      </c>
      <c r="E29" s="1155">
        <v>40697449</v>
      </c>
      <c r="F29" s="1155">
        <v>0</v>
      </c>
      <c r="G29" s="1155">
        <v>2792.25</v>
      </c>
      <c r="H29" s="1153" t="s">
        <v>716</v>
      </c>
    </row>
    <row r="30" spans="1:8" ht="14.25" customHeight="1">
      <c r="A30" s="1156"/>
      <c r="B30" s="1156"/>
      <c r="C30" s="1153" t="s">
        <v>226</v>
      </c>
      <c r="D30" s="1154">
        <v>-167901.85</v>
      </c>
      <c r="E30" s="1155">
        <v>40696982</v>
      </c>
      <c r="F30" s="1155">
        <v>0</v>
      </c>
      <c r="G30" s="1155">
        <v>2792.25</v>
      </c>
      <c r="H30" s="1153" t="s">
        <v>4</v>
      </c>
    </row>
    <row r="31" spans="1:8" ht="14.25" customHeight="1">
      <c r="A31" s="1156"/>
      <c r="B31" s="1156"/>
      <c r="C31" s="1153" t="s">
        <v>221</v>
      </c>
      <c r="D31" s="1154">
        <v>114723.55</v>
      </c>
      <c r="E31" s="1155">
        <v>455587</v>
      </c>
      <c r="F31" s="1155">
        <v>0</v>
      </c>
      <c r="G31" s="1155">
        <v>85.4166666666667</v>
      </c>
      <c r="H31" s="1153" t="s">
        <v>716</v>
      </c>
    </row>
    <row r="32" spans="1:8" ht="14.25" customHeight="1">
      <c r="A32" s="1156"/>
      <c r="B32" s="1156"/>
      <c r="C32" s="1153" t="s">
        <v>227</v>
      </c>
      <c r="D32" s="1154">
        <v>-1870.31</v>
      </c>
      <c r="E32" s="1155">
        <v>455555</v>
      </c>
      <c r="F32" s="1155">
        <v>0</v>
      </c>
      <c r="G32" s="1155">
        <v>85.4166666666667</v>
      </c>
      <c r="H32" s="1153" t="s">
        <v>4</v>
      </c>
    </row>
    <row r="33" spans="1:8" ht="14.25" customHeight="1">
      <c r="A33" s="1156"/>
      <c r="B33" s="1156"/>
      <c r="C33" s="1153" t="s">
        <v>230</v>
      </c>
      <c r="D33" s="1154">
        <v>6477033.1200000001</v>
      </c>
      <c r="E33" s="1155">
        <v>89972420</v>
      </c>
      <c r="F33" s="1155">
        <v>0</v>
      </c>
      <c r="G33" s="1155">
        <v>113.25</v>
      </c>
      <c r="H33" s="1153" t="s">
        <v>716</v>
      </c>
    </row>
    <row r="34" spans="1:8" ht="14.25" customHeight="1">
      <c r="A34" s="1156"/>
      <c r="B34" s="1156"/>
      <c r="C34" s="1153" t="s">
        <v>223</v>
      </c>
      <c r="D34" s="1154">
        <v>-371516.11</v>
      </c>
      <c r="E34" s="1155">
        <v>89971070</v>
      </c>
      <c r="F34" s="1155">
        <v>0</v>
      </c>
      <c r="G34" s="1155">
        <v>113.25</v>
      </c>
      <c r="H34" s="1153" t="s">
        <v>4</v>
      </c>
    </row>
    <row r="35" spans="1:8" ht="14.25" customHeight="1">
      <c r="A35" s="1156"/>
      <c r="B35" s="1156"/>
      <c r="C35" s="1153" t="s">
        <v>228</v>
      </c>
      <c r="D35" s="1154">
        <v>83768.600000000006</v>
      </c>
      <c r="E35" s="1155">
        <v>560036</v>
      </c>
      <c r="F35" s="1155">
        <v>0</v>
      </c>
      <c r="G35" s="1155">
        <v>502.16666666666703</v>
      </c>
      <c r="H35" s="1153" t="s">
        <v>716</v>
      </c>
    </row>
    <row r="36" spans="1:8" ht="14.25" customHeight="1">
      <c r="A36" s="1156"/>
      <c r="B36" s="1156"/>
      <c r="C36" s="1153" t="s">
        <v>224</v>
      </c>
      <c r="D36" s="1154">
        <v>-2304.14</v>
      </c>
      <c r="E36" s="1155">
        <v>561314</v>
      </c>
      <c r="F36" s="1155"/>
      <c r="G36" s="1155"/>
      <c r="H36" s="1153" t="s">
        <v>4</v>
      </c>
    </row>
    <row r="37" spans="1:8" ht="14.25" customHeight="1">
      <c r="A37" s="1156"/>
      <c r="B37" s="1156"/>
      <c r="C37" s="1153" t="s">
        <v>229</v>
      </c>
      <c r="D37" s="1154">
        <v>19924.349999999999</v>
      </c>
      <c r="E37" s="1155">
        <v>167069</v>
      </c>
      <c r="F37" s="1155">
        <v>0</v>
      </c>
      <c r="G37" s="1155">
        <v>6</v>
      </c>
      <c r="H37" s="1153" t="s">
        <v>716</v>
      </c>
    </row>
    <row r="38" spans="1:8" ht="14.25" customHeight="1">
      <c r="A38" s="1156"/>
      <c r="B38" s="1156"/>
      <c r="C38" s="1153" t="s">
        <v>219</v>
      </c>
      <c r="D38" s="1154">
        <v>-3.6</v>
      </c>
      <c r="E38" s="1155">
        <v>864</v>
      </c>
      <c r="F38" s="1155">
        <v>0</v>
      </c>
      <c r="G38" s="1155">
        <v>1</v>
      </c>
      <c r="H38" s="1153" t="s">
        <v>4</v>
      </c>
    </row>
    <row r="39" spans="1:8" ht="14.25" customHeight="1">
      <c r="A39" s="1156"/>
      <c r="B39" s="1156"/>
      <c r="C39" s="1153" t="s">
        <v>243</v>
      </c>
      <c r="D39" s="1154">
        <v>57277.56</v>
      </c>
      <c r="E39" s="1155">
        <v>0</v>
      </c>
      <c r="F39" s="1155"/>
      <c r="G39" s="1155"/>
      <c r="H39" s="1153" t="s">
        <v>716</v>
      </c>
    </row>
    <row r="40" spans="1:8" ht="14.25" customHeight="1">
      <c r="A40" s="1156"/>
      <c r="B40" s="1156"/>
      <c r="C40" s="1153" t="s">
        <v>244</v>
      </c>
      <c r="D40" s="1154">
        <v>1112.06</v>
      </c>
      <c r="E40" s="1155">
        <v>0</v>
      </c>
      <c r="F40" s="1155"/>
      <c r="G40" s="1155"/>
      <c r="H40" s="1153" t="s">
        <v>716</v>
      </c>
    </row>
    <row r="41" spans="1:8" ht="14.25" customHeight="1">
      <c r="A41" s="1156"/>
      <c r="B41" s="1156"/>
      <c r="C41" s="1153" t="s">
        <v>245</v>
      </c>
      <c r="D41" s="1154">
        <v>4398.5</v>
      </c>
      <c r="E41" s="1155">
        <v>0</v>
      </c>
      <c r="F41" s="1155"/>
      <c r="G41" s="1155"/>
      <c r="H41" s="1153" t="s">
        <v>716</v>
      </c>
    </row>
    <row r="42" spans="1:8" ht="14.25" customHeight="1">
      <c r="A42" s="1156"/>
      <c r="B42" s="1156"/>
      <c r="C42" s="1153" t="s">
        <v>684</v>
      </c>
      <c r="D42" s="1154">
        <v>83300.59</v>
      </c>
      <c r="E42" s="1155">
        <v>1141600</v>
      </c>
      <c r="F42" s="1155">
        <v>0</v>
      </c>
      <c r="G42" s="1155">
        <v>1.9166666666666701</v>
      </c>
      <c r="H42" s="1153" t="s">
        <v>716</v>
      </c>
    </row>
    <row r="43" spans="1:8" ht="14.25" customHeight="1">
      <c r="A43" s="1156"/>
      <c r="B43" s="1156"/>
      <c r="C43" s="1153" t="s">
        <v>769</v>
      </c>
      <c r="D43" s="1154">
        <v>-15.51</v>
      </c>
      <c r="E43" s="1155">
        <v>3725</v>
      </c>
      <c r="F43" s="1155">
        <v>0</v>
      </c>
      <c r="G43" s="1155">
        <v>3.25</v>
      </c>
      <c r="H43" s="1153" t="s">
        <v>4</v>
      </c>
    </row>
    <row r="44" spans="1:8" ht="14.25" customHeight="1">
      <c r="A44" s="1156"/>
      <c r="B44" s="1156"/>
      <c r="C44" s="1153" t="s">
        <v>842</v>
      </c>
      <c r="D44" s="1154">
        <v>45862.07</v>
      </c>
      <c r="E44" s="1155">
        <v>717600</v>
      </c>
      <c r="F44" s="1155">
        <v>0</v>
      </c>
      <c r="G44" s="1155">
        <v>0.25</v>
      </c>
      <c r="H44" s="1153" t="s">
        <v>716</v>
      </c>
    </row>
    <row r="45" spans="1:8" ht="14.25" customHeight="1">
      <c r="A45" s="1156"/>
      <c r="B45" s="1156"/>
      <c r="C45" s="1153" t="s">
        <v>122</v>
      </c>
      <c r="D45" s="1154"/>
      <c r="E45" s="1155"/>
      <c r="F45" s="1155">
        <v>203433</v>
      </c>
      <c r="G45" s="1155">
        <v>0</v>
      </c>
      <c r="H45" s="1153" t="s">
        <v>716</v>
      </c>
    </row>
    <row r="46" spans="1:8" ht="14.25" customHeight="1">
      <c r="A46" s="1156"/>
      <c r="B46" s="1156"/>
      <c r="C46" s="1153" t="s">
        <v>121</v>
      </c>
      <c r="D46" s="1154"/>
      <c r="E46" s="1155"/>
      <c r="F46" s="1155">
        <v>33829</v>
      </c>
      <c r="G46" s="1155">
        <v>0</v>
      </c>
      <c r="H46" s="1153" t="s">
        <v>4</v>
      </c>
    </row>
    <row r="47" spans="1:8" ht="14.25" customHeight="1">
      <c r="A47" s="1156"/>
      <c r="B47" s="1153" t="s">
        <v>125</v>
      </c>
      <c r="C47" s="1153" t="s">
        <v>123</v>
      </c>
      <c r="D47" s="1154">
        <v>-1046000</v>
      </c>
      <c r="E47" s="1155">
        <v>-12861000</v>
      </c>
      <c r="F47" s="1155">
        <v>0</v>
      </c>
      <c r="G47" s="1155">
        <v>0</v>
      </c>
      <c r="H47" s="1153" t="s">
        <v>715</v>
      </c>
    </row>
    <row r="48" spans="1:8" ht="14.25" customHeight="1">
      <c r="A48" s="1156"/>
      <c r="B48" s="1156"/>
      <c r="C48" s="1153" t="s">
        <v>120</v>
      </c>
      <c r="D48" s="1154">
        <v>2749.52</v>
      </c>
      <c r="E48" s="1155">
        <v>0</v>
      </c>
      <c r="F48" s="1155">
        <v>0</v>
      </c>
      <c r="G48" s="1155">
        <v>0</v>
      </c>
      <c r="H48" s="1153" t="s">
        <v>4</v>
      </c>
    </row>
    <row r="49" spans="1:8" ht="14.25" customHeight="1">
      <c r="A49" s="1156"/>
      <c r="B49" s="1156"/>
      <c r="C49" s="1153" t="s">
        <v>685</v>
      </c>
      <c r="D49" s="1154">
        <v>66245.84</v>
      </c>
      <c r="E49" s="1155">
        <v>0</v>
      </c>
      <c r="F49" s="1155">
        <v>0</v>
      </c>
      <c r="G49" s="1155">
        <v>0</v>
      </c>
      <c r="H49" s="1153" t="s">
        <v>716</v>
      </c>
    </row>
    <row r="50" spans="1:8" ht="14.25" customHeight="1">
      <c r="A50" s="1156"/>
      <c r="B50" s="1156"/>
      <c r="C50" s="1153" t="s">
        <v>763</v>
      </c>
      <c r="D50" s="1154">
        <v>-160706.79999999999</v>
      </c>
      <c r="E50" s="1155">
        <v>0</v>
      </c>
      <c r="F50" s="1155">
        <v>0</v>
      </c>
      <c r="G50" s="1155">
        <v>0</v>
      </c>
      <c r="H50" s="1153" t="s">
        <v>716</v>
      </c>
    </row>
    <row r="51" spans="1:8" ht="14.25" customHeight="1">
      <c r="A51" s="1156"/>
      <c r="B51" s="1156"/>
      <c r="C51" s="1153" t="s">
        <v>686</v>
      </c>
      <c r="D51" s="1154">
        <v>-510000</v>
      </c>
      <c r="E51" s="1155">
        <v>0</v>
      </c>
      <c r="F51" s="1155">
        <v>0</v>
      </c>
      <c r="G51" s="1155">
        <v>0</v>
      </c>
      <c r="H51" s="1153" t="s">
        <v>716</v>
      </c>
    </row>
    <row r="52" spans="1:8" ht="14.25" customHeight="1">
      <c r="A52" s="1156"/>
      <c r="B52" s="1156"/>
      <c r="C52" s="1153" t="s">
        <v>713</v>
      </c>
      <c r="D52" s="1154">
        <v>-1734474.04</v>
      </c>
      <c r="E52" s="1155">
        <v>0</v>
      </c>
      <c r="F52" s="1155">
        <v>0</v>
      </c>
      <c r="G52" s="1155">
        <v>0</v>
      </c>
      <c r="H52" s="1153" t="s">
        <v>716</v>
      </c>
    </row>
    <row r="53" spans="1:8" ht="14.25" customHeight="1">
      <c r="A53" s="1156"/>
      <c r="B53" s="1156"/>
      <c r="C53" s="1153" t="s">
        <v>770</v>
      </c>
      <c r="D53" s="1154">
        <v>1683434.48</v>
      </c>
      <c r="E53" s="1155">
        <v>0</v>
      </c>
      <c r="F53" s="1155">
        <v>0</v>
      </c>
      <c r="G53" s="1155">
        <v>0</v>
      </c>
      <c r="H53" s="1153" t="s">
        <v>716</v>
      </c>
    </row>
    <row r="54" spans="1:8" ht="14.25" customHeight="1">
      <c r="A54" s="1156"/>
      <c r="B54" s="1156"/>
      <c r="C54" s="1153" t="s">
        <v>106</v>
      </c>
      <c r="D54" s="1154">
        <v>1482309.98</v>
      </c>
      <c r="E54" s="1155">
        <v>17252552</v>
      </c>
      <c r="F54" s="1155">
        <v>0</v>
      </c>
      <c r="G54" s="1155">
        <v>349.91666666666703</v>
      </c>
      <c r="H54" s="1153" t="s">
        <v>716</v>
      </c>
    </row>
    <row r="55" spans="1:8" ht="14.25" customHeight="1">
      <c r="A55" s="1156"/>
      <c r="B55" s="1156"/>
      <c r="C55" s="1153" t="s">
        <v>107</v>
      </c>
      <c r="D55" s="1154">
        <v>7853.95</v>
      </c>
      <c r="E55" s="1155">
        <v>33313</v>
      </c>
      <c r="F55" s="1155">
        <v>0</v>
      </c>
      <c r="G55" s="1155">
        <v>4</v>
      </c>
      <c r="H55" s="1153" t="s">
        <v>716</v>
      </c>
    </row>
    <row r="56" spans="1:8" ht="14.25" customHeight="1">
      <c r="A56" s="1156"/>
      <c r="B56" s="1156"/>
      <c r="C56" s="1153" t="s">
        <v>108</v>
      </c>
      <c r="D56" s="1154">
        <v>7783071.4400000004</v>
      </c>
      <c r="E56" s="1155">
        <v>102694320</v>
      </c>
      <c r="F56" s="1155">
        <v>0</v>
      </c>
      <c r="G56" s="1155">
        <v>106.25</v>
      </c>
      <c r="H56" s="1153" t="s">
        <v>716</v>
      </c>
    </row>
    <row r="57" spans="1:8" ht="14.25" customHeight="1">
      <c r="A57" s="1156"/>
      <c r="B57" s="1156"/>
      <c r="C57" s="1153" t="s">
        <v>109</v>
      </c>
      <c r="D57" s="1154">
        <v>39610319.329999998</v>
      </c>
      <c r="E57" s="1155">
        <v>677585754</v>
      </c>
      <c r="F57" s="1155">
        <v>0</v>
      </c>
      <c r="G57" s="1155">
        <v>32.0833333333333</v>
      </c>
      <c r="H57" s="1153" t="s">
        <v>716</v>
      </c>
    </row>
    <row r="58" spans="1:8" ht="14.25" customHeight="1">
      <c r="A58" s="1156"/>
      <c r="B58" s="1156"/>
      <c r="C58" s="1153" t="s">
        <v>116</v>
      </c>
      <c r="D58" s="1154">
        <v>14760.99</v>
      </c>
      <c r="E58" s="1155">
        <v>114035</v>
      </c>
      <c r="F58" s="1155">
        <v>0</v>
      </c>
      <c r="G58" s="1155">
        <v>41.1666666666667</v>
      </c>
      <c r="H58" s="1153" t="s">
        <v>716</v>
      </c>
    </row>
    <row r="59" spans="1:8" ht="14.25" customHeight="1">
      <c r="A59" s="1156"/>
      <c r="B59" s="1156"/>
      <c r="C59" s="1153" t="s">
        <v>127</v>
      </c>
      <c r="D59" s="1154">
        <v>292762.90999999997</v>
      </c>
      <c r="E59" s="1155">
        <v>2049000</v>
      </c>
      <c r="F59" s="1155">
        <v>0</v>
      </c>
      <c r="G59" s="1155">
        <v>1</v>
      </c>
      <c r="H59" s="1153" t="s">
        <v>716</v>
      </c>
    </row>
    <row r="60" spans="1:8" ht="14.25" customHeight="1">
      <c r="A60" s="1156"/>
      <c r="B60" s="1156"/>
      <c r="C60" s="1153" t="s">
        <v>220</v>
      </c>
      <c r="D60" s="1154">
        <v>192405.58</v>
      </c>
      <c r="E60" s="1155">
        <v>2044427</v>
      </c>
      <c r="F60" s="1155">
        <v>0</v>
      </c>
      <c r="G60" s="1155">
        <v>89.9166666666667</v>
      </c>
      <c r="H60" s="1153" t="s">
        <v>716</v>
      </c>
    </row>
    <row r="61" spans="1:8" ht="14.25" customHeight="1">
      <c r="A61" s="1156"/>
      <c r="B61" s="1156"/>
      <c r="C61" s="1153" t="s">
        <v>226</v>
      </c>
      <c r="D61" s="1154">
        <v>-8427.4699999999993</v>
      </c>
      <c r="E61" s="1155">
        <v>2044414</v>
      </c>
      <c r="F61" s="1155">
        <v>0</v>
      </c>
      <c r="G61" s="1155">
        <v>89.9166666666667</v>
      </c>
      <c r="H61" s="1153" t="s">
        <v>4</v>
      </c>
    </row>
    <row r="62" spans="1:8" ht="14.25" customHeight="1">
      <c r="A62" s="1156"/>
      <c r="B62" s="1156"/>
      <c r="C62" s="1153" t="s">
        <v>221</v>
      </c>
      <c r="D62" s="1154">
        <v>2841.78</v>
      </c>
      <c r="E62" s="1155">
        <v>9552</v>
      </c>
      <c r="F62" s="1155">
        <v>0</v>
      </c>
      <c r="G62" s="1155">
        <v>1</v>
      </c>
      <c r="H62" s="1153" t="s">
        <v>716</v>
      </c>
    </row>
    <row r="63" spans="1:8" ht="14.25" customHeight="1">
      <c r="A63" s="1156"/>
      <c r="B63" s="1156"/>
      <c r="C63" s="1153" t="s">
        <v>227</v>
      </c>
      <c r="D63" s="1154">
        <v>-39.22</v>
      </c>
      <c r="E63" s="1155">
        <v>9552</v>
      </c>
      <c r="F63" s="1155">
        <v>0</v>
      </c>
      <c r="G63" s="1155">
        <v>1</v>
      </c>
      <c r="H63" s="1153" t="s">
        <v>4</v>
      </c>
    </row>
    <row r="64" spans="1:8" ht="14.25" customHeight="1">
      <c r="A64" s="1156"/>
      <c r="B64" s="1156"/>
      <c r="C64" s="1153" t="s">
        <v>230</v>
      </c>
      <c r="D64" s="1154">
        <v>419914.45</v>
      </c>
      <c r="E64" s="1155">
        <v>3531840</v>
      </c>
      <c r="F64" s="1155">
        <v>0</v>
      </c>
      <c r="G64" s="1155">
        <v>25.5</v>
      </c>
      <c r="H64" s="1153" t="s">
        <v>716</v>
      </c>
    </row>
    <row r="65" spans="1:8" ht="14.25" customHeight="1">
      <c r="A65" s="1156"/>
      <c r="B65" s="1156"/>
      <c r="C65" s="1153" t="s">
        <v>223</v>
      </c>
      <c r="D65" s="1154">
        <v>-14545.82</v>
      </c>
      <c r="E65" s="1155">
        <v>3531840</v>
      </c>
      <c r="F65" s="1155">
        <v>0</v>
      </c>
      <c r="G65" s="1155">
        <v>25.5</v>
      </c>
      <c r="H65" s="1153" t="s">
        <v>4</v>
      </c>
    </row>
    <row r="66" spans="1:8" ht="14.25" customHeight="1">
      <c r="A66" s="1156"/>
      <c r="B66" s="1156"/>
      <c r="C66" s="1153" t="s">
        <v>228</v>
      </c>
      <c r="D66" s="1154">
        <v>4230.87</v>
      </c>
      <c r="E66" s="1155">
        <v>28565</v>
      </c>
      <c r="F66" s="1155">
        <v>0</v>
      </c>
      <c r="G66" s="1155">
        <v>15</v>
      </c>
      <c r="H66" s="1153" t="s">
        <v>716</v>
      </c>
    </row>
    <row r="67" spans="1:8" ht="14.25" customHeight="1">
      <c r="A67" s="1156"/>
      <c r="B67" s="1156"/>
      <c r="C67" s="1153" t="s">
        <v>224</v>
      </c>
      <c r="D67" s="1154">
        <v>-117.67</v>
      </c>
      <c r="E67" s="1155">
        <v>28565</v>
      </c>
      <c r="F67" s="1155"/>
      <c r="G67" s="1155"/>
      <c r="H67" s="1153" t="s">
        <v>4</v>
      </c>
    </row>
    <row r="68" spans="1:8" ht="14.25" customHeight="1">
      <c r="A68" s="1156"/>
      <c r="B68" s="1156"/>
      <c r="C68" s="1153" t="s">
        <v>122</v>
      </c>
      <c r="D68" s="1154"/>
      <c r="E68" s="1155"/>
      <c r="F68" s="1155">
        <v>6850</v>
      </c>
      <c r="G68" s="1155">
        <v>0</v>
      </c>
      <c r="H68" s="1153" t="s">
        <v>716</v>
      </c>
    </row>
    <row r="69" spans="1:8" ht="14.25" customHeight="1">
      <c r="A69" s="1156"/>
      <c r="B69" s="1156"/>
      <c r="C69" s="1153" t="s">
        <v>121</v>
      </c>
      <c r="D69" s="1154"/>
      <c r="E69" s="1155"/>
      <c r="F69" s="1155">
        <v>1357</v>
      </c>
      <c r="G69" s="1155">
        <v>0</v>
      </c>
      <c r="H69" s="1153" t="s">
        <v>4</v>
      </c>
    </row>
    <row r="70" spans="1:8" ht="14.25" customHeight="1">
      <c r="A70" s="1156"/>
      <c r="B70" s="1153" t="s">
        <v>128</v>
      </c>
      <c r="C70" s="1153" t="s">
        <v>135</v>
      </c>
      <c r="D70" s="1154">
        <v>-33000</v>
      </c>
      <c r="E70" s="1155">
        <v>-212000</v>
      </c>
      <c r="F70" s="1155">
        <v>0</v>
      </c>
      <c r="G70" s="1155">
        <v>0</v>
      </c>
      <c r="H70" s="1153" t="s">
        <v>715</v>
      </c>
    </row>
    <row r="71" spans="1:8" ht="14.25" customHeight="1">
      <c r="A71" s="1156"/>
      <c r="B71" s="1156"/>
      <c r="C71" s="1153" t="s">
        <v>134</v>
      </c>
      <c r="D71" s="1154">
        <v>81144.960000000006</v>
      </c>
      <c r="E71" s="1155">
        <v>0</v>
      </c>
      <c r="F71" s="1155">
        <v>0</v>
      </c>
      <c r="G71" s="1155">
        <v>0</v>
      </c>
      <c r="H71" s="1153" t="s">
        <v>4</v>
      </c>
    </row>
    <row r="72" spans="1:8" ht="14.25" customHeight="1">
      <c r="A72" s="1156"/>
      <c r="B72" s="1156"/>
      <c r="C72" s="1153" t="s">
        <v>686</v>
      </c>
      <c r="D72" s="1154">
        <v>-120000</v>
      </c>
      <c r="E72" s="1155">
        <v>0</v>
      </c>
      <c r="F72" s="1155">
        <v>0</v>
      </c>
      <c r="G72" s="1155">
        <v>0</v>
      </c>
      <c r="H72" s="1153" t="s">
        <v>716</v>
      </c>
    </row>
    <row r="73" spans="1:8" ht="14.25" customHeight="1">
      <c r="A73" s="1156"/>
      <c r="B73" s="1156"/>
      <c r="C73" s="1153" t="s">
        <v>714</v>
      </c>
      <c r="D73" s="1154">
        <v>0</v>
      </c>
      <c r="E73" s="1155">
        <v>0</v>
      </c>
      <c r="F73" s="1155">
        <v>0</v>
      </c>
      <c r="G73" s="1155">
        <v>0</v>
      </c>
      <c r="H73" s="1153" t="s">
        <v>716</v>
      </c>
    </row>
    <row r="74" spans="1:8" ht="14.25" customHeight="1">
      <c r="A74" s="1156"/>
      <c r="B74" s="1156"/>
      <c r="C74" s="1153" t="s">
        <v>713</v>
      </c>
      <c r="D74" s="1154">
        <v>-457544.29</v>
      </c>
      <c r="E74" s="1155">
        <v>0</v>
      </c>
      <c r="F74" s="1155">
        <v>0</v>
      </c>
      <c r="G74" s="1155">
        <v>0</v>
      </c>
      <c r="H74" s="1153" t="s">
        <v>716</v>
      </c>
    </row>
    <row r="75" spans="1:8" ht="14.25" customHeight="1">
      <c r="A75" s="1156"/>
      <c r="B75" s="1156"/>
      <c r="C75" s="1153" t="s">
        <v>772</v>
      </c>
      <c r="D75" s="1154">
        <v>450938.03</v>
      </c>
      <c r="E75" s="1155">
        <v>0</v>
      </c>
      <c r="F75" s="1155">
        <v>0</v>
      </c>
      <c r="G75" s="1155">
        <v>0</v>
      </c>
      <c r="H75" s="1153" t="s">
        <v>716</v>
      </c>
    </row>
    <row r="76" spans="1:8" ht="14.25" customHeight="1">
      <c r="A76" s="1156"/>
      <c r="B76" s="1156"/>
      <c r="C76" s="1153" t="s">
        <v>773</v>
      </c>
      <c r="D76" s="1154">
        <v>85.09</v>
      </c>
      <c r="E76" s="1155">
        <v>0</v>
      </c>
      <c r="F76" s="1155">
        <v>0</v>
      </c>
      <c r="G76" s="1155">
        <v>3.5833333333333299</v>
      </c>
      <c r="H76" s="1153" t="s">
        <v>716</v>
      </c>
    </row>
    <row r="77" spans="1:8" ht="14.25" customHeight="1">
      <c r="A77" s="1156"/>
      <c r="B77" s="1156"/>
      <c r="C77" s="1153" t="s">
        <v>129</v>
      </c>
      <c r="D77" s="1154">
        <v>12822362.73</v>
      </c>
      <c r="E77" s="1155">
        <v>155908290</v>
      </c>
      <c r="F77" s="1155">
        <v>0</v>
      </c>
      <c r="G77" s="1155">
        <v>5071.1666666666697</v>
      </c>
      <c r="H77" s="1153" t="s">
        <v>716</v>
      </c>
    </row>
    <row r="78" spans="1:8" ht="14.25" customHeight="1">
      <c r="A78" s="1156"/>
      <c r="B78" s="1156"/>
      <c r="C78" s="1153" t="s">
        <v>129</v>
      </c>
      <c r="D78" s="1154">
        <v>-640538.27</v>
      </c>
      <c r="E78" s="1155">
        <v>155907282</v>
      </c>
      <c r="F78" s="1155">
        <v>0</v>
      </c>
      <c r="G78" s="1155">
        <v>5071.1666666666697</v>
      </c>
      <c r="H78" s="1153" t="s">
        <v>4</v>
      </c>
    </row>
    <row r="79" spans="1:8" ht="14.25" customHeight="1">
      <c r="A79" s="1156"/>
      <c r="B79" s="1156"/>
      <c r="C79" s="1153" t="s">
        <v>130</v>
      </c>
      <c r="D79" s="1154">
        <v>453169.46</v>
      </c>
      <c r="E79" s="1155">
        <v>5473573</v>
      </c>
      <c r="F79" s="1155">
        <v>0</v>
      </c>
      <c r="G79" s="1155">
        <v>186.833333333333</v>
      </c>
      <c r="H79" s="1153" t="s">
        <v>716</v>
      </c>
    </row>
    <row r="80" spans="1:8" ht="14.25" customHeight="1">
      <c r="A80" s="1156"/>
      <c r="B80" s="1156"/>
      <c r="C80" s="1153" t="s">
        <v>111</v>
      </c>
      <c r="D80" s="1154">
        <v>6771.42</v>
      </c>
      <c r="E80" s="1155">
        <v>0</v>
      </c>
      <c r="F80" s="1155"/>
      <c r="G80" s="1155"/>
      <c r="H80" s="1153" t="s">
        <v>716</v>
      </c>
    </row>
    <row r="81" spans="1:8" ht="14.25" customHeight="1">
      <c r="A81" s="1156"/>
      <c r="B81" s="1156"/>
      <c r="C81" s="1153" t="s">
        <v>112</v>
      </c>
      <c r="D81" s="1154">
        <v>80.66</v>
      </c>
      <c r="E81" s="1155">
        <v>0</v>
      </c>
      <c r="F81" s="1155"/>
      <c r="G81" s="1155"/>
      <c r="H81" s="1153" t="s">
        <v>716</v>
      </c>
    </row>
    <row r="82" spans="1:8" ht="14.25" customHeight="1">
      <c r="A82" s="1156"/>
      <c r="B82" s="1156"/>
      <c r="C82" s="1153" t="s">
        <v>113</v>
      </c>
      <c r="D82" s="1154">
        <v>5226.3999999999996</v>
      </c>
      <c r="E82" s="1155">
        <v>0</v>
      </c>
      <c r="F82" s="1155"/>
      <c r="G82" s="1155"/>
      <c r="H82" s="1153" t="s">
        <v>716</v>
      </c>
    </row>
    <row r="83" spans="1:8" ht="14.25" customHeight="1">
      <c r="A83" s="1156"/>
      <c r="B83" s="1156"/>
      <c r="C83" s="1153" t="s">
        <v>114</v>
      </c>
      <c r="D83" s="1154">
        <v>177556.92</v>
      </c>
      <c r="E83" s="1155">
        <v>0</v>
      </c>
      <c r="F83" s="1155"/>
      <c r="G83" s="1155"/>
      <c r="H83" s="1153" t="s">
        <v>716</v>
      </c>
    </row>
    <row r="84" spans="1:8" ht="14.25" customHeight="1">
      <c r="A84" s="1156"/>
      <c r="B84" s="1156"/>
      <c r="C84" s="1153" t="s">
        <v>131</v>
      </c>
      <c r="D84" s="1154">
        <v>31076.54</v>
      </c>
      <c r="E84" s="1155">
        <v>-7572279</v>
      </c>
      <c r="F84" s="1155"/>
      <c r="G84" s="1155"/>
      <c r="H84" s="1153" t="s">
        <v>4</v>
      </c>
    </row>
    <row r="85" spans="1:8" ht="14.25" customHeight="1">
      <c r="A85" s="1156"/>
      <c r="B85" s="1156"/>
      <c r="C85" s="1153" t="s">
        <v>243</v>
      </c>
      <c r="D85" s="1154">
        <v>204.65</v>
      </c>
      <c r="E85" s="1155">
        <v>0</v>
      </c>
      <c r="F85" s="1155"/>
      <c r="G85" s="1155"/>
      <c r="H85" s="1153" t="s">
        <v>716</v>
      </c>
    </row>
    <row r="86" spans="1:8" ht="14.25" customHeight="1">
      <c r="A86" s="1156"/>
      <c r="B86" s="1156"/>
      <c r="C86" s="1153" t="s">
        <v>244</v>
      </c>
      <c r="D86" s="1154">
        <v>7271.4</v>
      </c>
      <c r="E86" s="1155">
        <v>0</v>
      </c>
      <c r="F86" s="1155"/>
      <c r="G86" s="1155"/>
      <c r="H86" s="1153" t="s">
        <v>716</v>
      </c>
    </row>
    <row r="87" spans="1:8" ht="14.25" customHeight="1">
      <c r="A87" s="1156"/>
      <c r="B87" s="1156"/>
      <c r="C87" s="1153" t="s">
        <v>245</v>
      </c>
      <c r="D87" s="1154">
        <v>38091.72</v>
      </c>
      <c r="E87" s="1155">
        <v>0</v>
      </c>
      <c r="F87" s="1155"/>
      <c r="G87" s="1155"/>
      <c r="H87" s="1153" t="s">
        <v>716</v>
      </c>
    </row>
    <row r="88" spans="1:8" ht="14.25" customHeight="1">
      <c r="A88" s="1156"/>
      <c r="B88" s="1156"/>
      <c r="C88" s="1153" t="s">
        <v>843</v>
      </c>
      <c r="D88" s="1154">
        <v>1043.21</v>
      </c>
      <c r="E88" s="1155">
        <v>13056</v>
      </c>
      <c r="F88" s="1155">
        <v>0</v>
      </c>
      <c r="G88" s="1155">
        <v>1.5833333333333299</v>
      </c>
      <c r="H88" s="1153" t="s">
        <v>716</v>
      </c>
    </row>
    <row r="89" spans="1:8" ht="14.25" customHeight="1">
      <c r="A89" s="1156"/>
      <c r="B89" s="1156"/>
      <c r="C89" s="1153" t="s">
        <v>844</v>
      </c>
      <c r="D89" s="1154">
        <v>-11.96</v>
      </c>
      <c r="E89" s="1155">
        <v>2904</v>
      </c>
      <c r="F89" s="1155">
        <v>0</v>
      </c>
      <c r="G89" s="1155">
        <v>1</v>
      </c>
      <c r="H89" s="1153" t="s">
        <v>4</v>
      </c>
    </row>
    <row r="90" spans="1:8" ht="14.25" customHeight="1">
      <c r="A90" s="1156"/>
      <c r="B90" s="1156"/>
      <c r="C90" s="1153" t="s">
        <v>132</v>
      </c>
      <c r="D90" s="1154"/>
      <c r="E90" s="1155"/>
      <c r="F90" s="1155">
        <v>61938</v>
      </c>
      <c r="G90" s="1155">
        <v>0</v>
      </c>
      <c r="H90" s="1153" t="s">
        <v>716</v>
      </c>
    </row>
    <row r="91" spans="1:8" ht="14.25" customHeight="1">
      <c r="A91" s="1156"/>
      <c r="B91" s="1156"/>
      <c r="C91" s="1153" t="s">
        <v>133</v>
      </c>
      <c r="D91" s="1154"/>
      <c r="E91" s="1155"/>
      <c r="F91" s="1155">
        <v>59720</v>
      </c>
      <c r="G91" s="1155">
        <v>0</v>
      </c>
      <c r="H91" s="1153" t="s">
        <v>4</v>
      </c>
    </row>
    <row r="92" spans="1:8" ht="14.25" customHeight="1">
      <c r="A92" s="1156"/>
      <c r="B92" s="1153" t="s">
        <v>136</v>
      </c>
      <c r="C92" s="1153" t="s">
        <v>123</v>
      </c>
      <c r="D92" s="1154">
        <v>-126000</v>
      </c>
      <c r="E92" s="1155">
        <v>-1008000</v>
      </c>
      <c r="F92" s="1155">
        <v>0</v>
      </c>
      <c r="G92" s="1155">
        <v>0</v>
      </c>
      <c r="H92" s="1153" t="s">
        <v>715</v>
      </c>
    </row>
    <row r="93" spans="1:8" ht="14.25" customHeight="1">
      <c r="A93" s="1156"/>
      <c r="B93" s="1156"/>
      <c r="C93" s="1153" t="s">
        <v>686</v>
      </c>
      <c r="D93" s="1154">
        <v>-30000</v>
      </c>
      <c r="E93" s="1155">
        <v>0</v>
      </c>
      <c r="F93" s="1155">
        <v>0</v>
      </c>
      <c r="G93" s="1155">
        <v>0</v>
      </c>
      <c r="H93" s="1153" t="s">
        <v>716</v>
      </c>
    </row>
    <row r="94" spans="1:8" ht="14.25" customHeight="1">
      <c r="A94" s="1156"/>
      <c r="B94" s="1156"/>
      <c r="C94" s="1153" t="s">
        <v>713</v>
      </c>
      <c r="D94" s="1154">
        <v>-27450.3</v>
      </c>
      <c r="E94" s="1155">
        <v>0</v>
      </c>
      <c r="F94" s="1155">
        <v>0</v>
      </c>
      <c r="G94" s="1155">
        <v>0</v>
      </c>
      <c r="H94" s="1153" t="s">
        <v>716</v>
      </c>
    </row>
    <row r="95" spans="1:8" ht="14.25" customHeight="1">
      <c r="A95" s="1156"/>
      <c r="B95" s="1156"/>
      <c r="C95" s="1153" t="s">
        <v>775</v>
      </c>
      <c r="D95" s="1154">
        <v>26850.98</v>
      </c>
      <c r="E95" s="1155">
        <v>0</v>
      </c>
      <c r="F95" s="1155">
        <v>0</v>
      </c>
      <c r="G95" s="1155">
        <v>0</v>
      </c>
      <c r="H95" s="1153" t="s">
        <v>716</v>
      </c>
    </row>
    <row r="96" spans="1:8" ht="14.25" customHeight="1">
      <c r="A96" s="1156"/>
      <c r="B96" s="1156"/>
      <c r="C96" s="1153" t="s">
        <v>137</v>
      </c>
      <c r="D96" s="1154">
        <v>90.84</v>
      </c>
      <c r="E96" s="1155">
        <v>0</v>
      </c>
      <c r="F96" s="1155"/>
      <c r="G96" s="1155"/>
      <c r="H96" s="1153" t="s">
        <v>716</v>
      </c>
    </row>
    <row r="97" spans="1:8" ht="14.25" customHeight="1">
      <c r="A97" s="1156"/>
      <c r="B97" s="1156"/>
      <c r="C97" s="1153" t="s">
        <v>138</v>
      </c>
      <c r="D97" s="1154">
        <v>37772.9</v>
      </c>
      <c r="E97" s="1155">
        <v>219864</v>
      </c>
      <c r="F97" s="1155">
        <v>0</v>
      </c>
      <c r="G97" s="1155">
        <v>15</v>
      </c>
      <c r="H97" s="1153" t="s">
        <v>716</v>
      </c>
    </row>
    <row r="98" spans="1:8" ht="14.25" customHeight="1">
      <c r="A98" s="1156"/>
      <c r="B98" s="1156"/>
      <c r="C98" s="1153" t="s">
        <v>139</v>
      </c>
      <c r="D98" s="1154">
        <v>232145.18</v>
      </c>
      <c r="E98" s="1155">
        <v>3235066</v>
      </c>
      <c r="F98" s="1155">
        <v>0</v>
      </c>
      <c r="G98" s="1155">
        <v>112.25</v>
      </c>
      <c r="H98" s="1153" t="s">
        <v>716</v>
      </c>
    </row>
    <row r="99" spans="1:8" ht="14.25" customHeight="1">
      <c r="A99" s="1156"/>
      <c r="B99" s="1156"/>
      <c r="C99" s="1153" t="s">
        <v>140</v>
      </c>
      <c r="D99" s="1154">
        <v>81926.52</v>
      </c>
      <c r="E99" s="1155">
        <v>1152902</v>
      </c>
      <c r="F99" s="1155">
        <v>0</v>
      </c>
      <c r="G99" s="1155">
        <v>105</v>
      </c>
      <c r="H99" s="1153" t="s">
        <v>716</v>
      </c>
    </row>
    <row r="100" spans="1:8" ht="14.25" customHeight="1">
      <c r="A100" s="1156"/>
      <c r="B100" s="1156"/>
      <c r="C100" s="1153" t="s">
        <v>141</v>
      </c>
      <c r="D100" s="1154">
        <v>697459.73</v>
      </c>
      <c r="E100" s="1155">
        <v>3526557</v>
      </c>
      <c r="F100" s="1155">
        <v>0</v>
      </c>
      <c r="G100" s="1155">
        <v>160.333333333333</v>
      </c>
      <c r="H100" s="1153" t="s">
        <v>716</v>
      </c>
    </row>
    <row r="101" spans="1:8" ht="14.25" customHeight="1">
      <c r="A101" s="1156"/>
      <c r="B101" s="1156"/>
      <c r="C101" s="1153" t="s">
        <v>142</v>
      </c>
      <c r="D101" s="1154">
        <v>241433.75</v>
      </c>
      <c r="E101" s="1155">
        <v>1939253</v>
      </c>
      <c r="F101" s="1155">
        <v>0</v>
      </c>
      <c r="G101" s="1155">
        <v>41.8333333333333</v>
      </c>
      <c r="H101" s="1153" t="s">
        <v>716</v>
      </c>
    </row>
    <row r="102" spans="1:8" ht="14.25" customHeight="1">
      <c r="A102" s="1156"/>
      <c r="B102" s="1156"/>
      <c r="C102" s="1153" t="s">
        <v>122</v>
      </c>
      <c r="D102" s="1154"/>
      <c r="E102" s="1155"/>
      <c r="F102" s="1155">
        <v>3015</v>
      </c>
      <c r="G102" s="1155">
        <v>0</v>
      </c>
      <c r="H102" s="1153" t="s">
        <v>716</v>
      </c>
    </row>
    <row r="103" spans="1:8" ht="14.25" customHeight="1">
      <c r="A103" s="1156"/>
      <c r="B103" s="1153" t="s">
        <v>143</v>
      </c>
      <c r="C103" s="1153" t="s">
        <v>123</v>
      </c>
      <c r="D103" s="1154">
        <v>-286000</v>
      </c>
      <c r="E103" s="1155">
        <v>-5896000</v>
      </c>
      <c r="F103" s="1155">
        <v>0</v>
      </c>
      <c r="G103" s="1155">
        <v>0</v>
      </c>
      <c r="H103" s="1153" t="s">
        <v>715</v>
      </c>
    </row>
    <row r="104" spans="1:8" ht="14.25" customHeight="1">
      <c r="A104" s="1156"/>
      <c r="B104" s="1156"/>
      <c r="C104" s="1153" t="s">
        <v>120</v>
      </c>
      <c r="D104" s="1154">
        <v>769276.97</v>
      </c>
      <c r="E104" s="1155">
        <v>0</v>
      </c>
      <c r="F104" s="1155">
        <v>0</v>
      </c>
      <c r="G104" s="1155">
        <v>0</v>
      </c>
      <c r="H104" s="1153" t="s">
        <v>4</v>
      </c>
    </row>
    <row r="105" spans="1:8" ht="14.25" customHeight="1">
      <c r="A105" s="1156"/>
      <c r="B105" s="1156"/>
      <c r="C105" s="1153" t="s">
        <v>685</v>
      </c>
      <c r="D105" s="1154">
        <v>128745.18</v>
      </c>
      <c r="E105" s="1155">
        <v>0</v>
      </c>
      <c r="F105" s="1155">
        <v>0</v>
      </c>
      <c r="G105" s="1155">
        <v>0</v>
      </c>
      <c r="H105" s="1153" t="s">
        <v>716</v>
      </c>
    </row>
    <row r="106" spans="1:8" ht="14.25" customHeight="1">
      <c r="A106" s="1156"/>
      <c r="B106" s="1156"/>
      <c r="C106" s="1153" t="s">
        <v>763</v>
      </c>
      <c r="D106" s="1154">
        <v>-416095.02</v>
      </c>
      <c r="E106" s="1155">
        <v>0</v>
      </c>
      <c r="F106" s="1155">
        <v>0</v>
      </c>
      <c r="G106" s="1155">
        <v>0</v>
      </c>
      <c r="H106" s="1153" t="s">
        <v>716</v>
      </c>
    </row>
    <row r="107" spans="1:8" ht="14.25" customHeight="1">
      <c r="A107" s="1156"/>
      <c r="B107" s="1156"/>
      <c r="C107" s="1153" t="s">
        <v>686</v>
      </c>
      <c r="D107" s="1154">
        <v>-1320000</v>
      </c>
      <c r="E107" s="1155">
        <v>0</v>
      </c>
      <c r="F107" s="1155">
        <v>0</v>
      </c>
      <c r="G107" s="1155">
        <v>0</v>
      </c>
      <c r="H107" s="1153" t="s">
        <v>716</v>
      </c>
    </row>
    <row r="108" spans="1:8" ht="14.25" customHeight="1">
      <c r="A108" s="1156"/>
      <c r="B108" s="1156"/>
      <c r="C108" s="1153" t="s">
        <v>713</v>
      </c>
      <c r="D108" s="1154">
        <v>-4765913.25</v>
      </c>
      <c r="E108" s="1155">
        <v>0</v>
      </c>
      <c r="F108" s="1155">
        <v>0</v>
      </c>
      <c r="G108" s="1155">
        <v>0</v>
      </c>
      <c r="H108" s="1153" t="s">
        <v>716</v>
      </c>
    </row>
    <row r="109" spans="1:8" ht="14.25" customHeight="1">
      <c r="A109" s="1156"/>
      <c r="B109" s="1156"/>
      <c r="C109" s="1153" t="s">
        <v>776</v>
      </c>
      <c r="D109" s="1154">
        <v>4639762.9400000004</v>
      </c>
      <c r="E109" s="1155">
        <v>0</v>
      </c>
      <c r="F109" s="1155">
        <v>0</v>
      </c>
      <c r="G109" s="1155">
        <v>0</v>
      </c>
      <c r="H109" s="1153" t="s">
        <v>716</v>
      </c>
    </row>
    <row r="110" spans="1:8" ht="14.25" customHeight="1">
      <c r="A110" s="1156"/>
      <c r="B110" s="1156"/>
      <c r="C110" s="1153" t="s">
        <v>777</v>
      </c>
      <c r="D110" s="1154">
        <v>42672.12</v>
      </c>
      <c r="E110" s="1155">
        <v>0</v>
      </c>
      <c r="F110" s="1155">
        <v>0</v>
      </c>
      <c r="G110" s="1155">
        <v>0</v>
      </c>
      <c r="H110" s="1153" t="s">
        <v>716</v>
      </c>
    </row>
    <row r="111" spans="1:8" ht="14.25" customHeight="1">
      <c r="A111" s="1156"/>
      <c r="B111" s="1156"/>
      <c r="C111" s="1153" t="s">
        <v>113</v>
      </c>
      <c r="D111" s="1154">
        <v>783.03</v>
      </c>
      <c r="E111" s="1155">
        <v>0</v>
      </c>
      <c r="F111" s="1155"/>
      <c r="G111" s="1155"/>
      <c r="H111" s="1153" t="s">
        <v>716</v>
      </c>
    </row>
    <row r="112" spans="1:8" ht="14.25" customHeight="1">
      <c r="A112" s="1156"/>
      <c r="B112" s="1156"/>
      <c r="C112" s="1153" t="s">
        <v>144</v>
      </c>
      <c r="D112" s="1154">
        <v>135331409.69999999</v>
      </c>
      <c r="E112" s="1155">
        <v>1553800739</v>
      </c>
      <c r="F112" s="1155">
        <v>0</v>
      </c>
      <c r="G112" s="1155">
        <v>100211.08333333299</v>
      </c>
      <c r="H112" s="1153" t="s">
        <v>716</v>
      </c>
    </row>
    <row r="113" spans="1:8" ht="14.25" customHeight="1">
      <c r="A113" s="1156"/>
      <c r="B113" s="1156"/>
      <c r="C113" s="1153" t="s">
        <v>144</v>
      </c>
      <c r="D113" s="1154">
        <v>-6412876.3799999999</v>
      </c>
      <c r="E113" s="1155">
        <v>1553797618</v>
      </c>
      <c r="F113" s="1155">
        <v>0</v>
      </c>
      <c r="G113" s="1155">
        <v>100211.08333333299</v>
      </c>
      <c r="H113" s="1153" t="s">
        <v>4</v>
      </c>
    </row>
    <row r="114" spans="1:8" ht="14.25" customHeight="1">
      <c r="A114" s="1156"/>
      <c r="B114" s="1156"/>
      <c r="C114" s="1153" t="s">
        <v>147</v>
      </c>
      <c r="D114" s="1154">
        <v>217409.79</v>
      </c>
      <c r="E114" s="1155">
        <v>2277450</v>
      </c>
      <c r="F114" s="1155">
        <v>0</v>
      </c>
      <c r="G114" s="1155">
        <v>84.25</v>
      </c>
      <c r="H114" s="1153" t="s">
        <v>716</v>
      </c>
    </row>
    <row r="115" spans="1:8" ht="14.25" customHeight="1">
      <c r="A115" s="1156"/>
      <c r="B115" s="1156"/>
      <c r="C115" s="1153" t="s">
        <v>147</v>
      </c>
      <c r="D115" s="1154">
        <v>-9396.16</v>
      </c>
      <c r="E115" s="1155">
        <v>2277444</v>
      </c>
      <c r="F115" s="1155">
        <v>0</v>
      </c>
      <c r="G115" s="1155">
        <v>84.25</v>
      </c>
      <c r="H115" s="1153" t="s">
        <v>4</v>
      </c>
    </row>
    <row r="116" spans="1:8" ht="14.25" customHeight="1">
      <c r="A116" s="1156"/>
      <c r="B116" s="1156"/>
      <c r="C116" s="1153" t="s">
        <v>148</v>
      </c>
      <c r="D116" s="1154">
        <v>40817.89</v>
      </c>
      <c r="E116" s="1155">
        <v>435337</v>
      </c>
      <c r="F116" s="1155">
        <v>0</v>
      </c>
      <c r="G116" s="1155">
        <v>18</v>
      </c>
      <c r="H116" s="1153" t="s">
        <v>716</v>
      </c>
    </row>
    <row r="117" spans="1:8" ht="14.25" customHeight="1">
      <c r="A117" s="1156"/>
      <c r="B117" s="1156"/>
      <c r="C117" s="1153" t="s">
        <v>148</v>
      </c>
      <c r="D117" s="1154">
        <v>-1795.31</v>
      </c>
      <c r="E117" s="1155">
        <v>435337</v>
      </c>
      <c r="F117" s="1155">
        <v>0</v>
      </c>
      <c r="G117" s="1155">
        <v>18</v>
      </c>
      <c r="H117" s="1153" t="s">
        <v>4</v>
      </c>
    </row>
    <row r="118" spans="1:8" ht="14.25" customHeight="1">
      <c r="A118" s="1156"/>
      <c r="B118" s="1156"/>
      <c r="C118" s="1153" t="s">
        <v>845</v>
      </c>
      <c r="D118" s="1154"/>
      <c r="E118" s="1155"/>
      <c r="F118" s="1155">
        <v>0</v>
      </c>
      <c r="G118" s="1155">
        <v>1.5</v>
      </c>
      <c r="H118" s="1153" t="s">
        <v>716</v>
      </c>
    </row>
    <row r="119" spans="1:8" ht="14.25" customHeight="1">
      <c r="A119" s="1156"/>
      <c r="B119" s="1156"/>
      <c r="C119" s="1153" t="s">
        <v>246</v>
      </c>
      <c r="D119" s="1154">
        <v>-1.84</v>
      </c>
      <c r="E119" s="1155">
        <v>0</v>
      </c>
      <c r="F119" s="1155"/>
      <c r="G119" s="1155"/>
      <c r="H119" s="1153" t="s">
        <v>716</v>
      </c>
    </row>
    <row r="120" spans="1:8" ht="14.25" customHeight="1">
      <c r="A120" s="1156"/>
      <c r="B120" s="1156"/>
      <c r="C120" s="1153" t="s">
        <v>145</v>
      </c>
      <c r="D120" s="1154">
        <v>5742704.1699999999</v>
      </c>
      <c r="E120" s="1155">
        <v>66140030</v>
      </c>
      <c r="F120" s="1155">
        <v>0</v>
      </c>
      <c r="G120" s="1155">
        <v>4195.5</v>
      </c>
      <c r="H120" s="1153" t="s">
        <v>716</v>
      </c>
    </row>
    <row r="121" spans="1:8" ht="14.25" customHeight="1">
      <c r="A121" s="1156"/>
      <c r="B121" s="1156"/>
      <c r="C121" s="1153" t="s">
        <v>146</v>
      </c>
      <c r="D121" s="1154">
        <v>-273122.89</v>
      </c>
      <c r="E121" s="1155">
        <v>66139877</v>
      </c>
      <c r="F121" s="1155">
        <v>0</v>
      </c>
      <c r="G121" s="1155">
        <v>4195.5</v>
      </c>
      <c r="H121" s="1153" t="s">
        <v>4</v>
      </c>
    </row>
    <row r="122" spans="1:8" ht="14.25" customHeight="1">
      <c r="A122" s="1156"/>
      <c r="B122" s="1156"/>
      <c r="C122" s="1153" t="s">
        <v>217</v>
      </c>
      <c r="D122" s="1154">
        <v>5000</v>
      </c>
      <c r="E122" s="1155">
        <v>0</v>
      </c>
      <c r="F122" s="1155">
        <v>0</v>
      </c>
      <c r="G122" s="1155">
        <v>0</v>
      </c>
      <c r="H122" s="1153" t="s">
        <v>715</v>
      </c>
    </row>
    <row r="123" spans="1:8" ht="14.25" customHeight="1">
      <c r="A123" s="1156"/>
      <c r="B123" s="1156"/>
      <c r="C123" s="1153" t="s">
        <v>231</v>
      </c>
      <c r="D123" s="1154">
        <v>156486.64000000001</v>
      </c>
      <c r="E123" s="1155">
        <v>1050961</v>
      </c>
      <c r="F123" s="1155">
        <v>0</v>
      </c>
      <c r="G123" s="1155">
        <v>1133.25</v>
      </c>
      <c r="H123" s="1153" t="s">
        <v>716</v>
      </c>
    </row>
    <row r="124" spans="1:8" ht="14.25" customHeight="1">
      <c r="A124" s="1156"/>
      <c r="B124" s="1156"/>
      <c r="C124" s="1153" t="s">
        <v>232</v>
      </c>
      <c r="D124" s="1154">
        <v>-4323.41</v>
      </c>
      <c r="E124" s="1155">
        <v>1052240</v>
      </c>
      <c r="F124" s="1155"/>
      <c r="G124" s="1155"/>
      <c r="H124" s="1153" t="s">
        <v>4</v>
      </c>
    </row>
    <row r="125" spans="1:8" ht="14.25" customHeight="1">
      <c r="A125" s="1156"/>
      <c r="B125" s="1156"/>
      <c r="C125" s="1153" t="s">
        <v>249</v>
      </c>
      <c r="D125" s="1154">
        <v>121143.02</v>
      </c>
      <c r="E125" s="1155">
        <v>1371628</v>
      </c>
      <c r="F125" s="1155">
        <v>0</v>
      </c>
      <c r="G125" s="1155">
        <v>95.6666666666667</v>
      </c>
      <c r="H125" s="1153" t="s">
        <v>716</v>
      </c>
    </row>
    <row r="126" spans="1:8" ht="14.25" customHeight="1">
      <c r="A126" s="1156"/>
      <c r="B126" s="1156"/>
      <c r="C126" s="1153" t="s">
        <v>687</v>
      </c>
      <c r="D126" s="1154">
        <v>-5672.03</v>
      </c>
      <c r="E126" s="1155">
        <v>1371625</v>
      </c>
      <c r="F126" s="1155">
        <v>0</v>
      </c>
      <c r="G126" s="1155">
        <v>95.6666666666667</v>
      </c>
      <c r="H126" s="1153" t="s">
        <v>4</v>
      </c>
    </row>
    <row r="127" spans="1:8" ht="14.25" customHeight="1">
      <c r="A127" s="1156"/>
      <c r="B127" s="1156"/>
      <c r="C127" s="1153" t="s">
        <v>778</v>
      </c>
      <c r="D127" s="1154">
        <v>809006.25</v>
      </c>
      <c r="E127" s="1155">
        <v>7081030</v>
      </c>
      <c r="F127" s="1155">
        <v>0</v>
      </c>
      <c r="G127" s="1155">
        <v>1452.75</v>
      </c>
      <c r="H127" s="1153" t="s">
        <v>716</v>
      </c>
    </row>
    <row r="128" spans="1:8" ht="14.25" customHeight="1">
      <c r="A128" s="1156"/>
      <c r="B128" s="1156"/>
      <c r="C128" s="1153" t="s">
        <v>779</v>
      </c>
      <c r="D128" s="1154">
        <v>-29291.51</v>
      </c>
      <c r="E128" s="1155">
        <v>7080802</v>
      </c>
      <c r="F128" s="1155">
        <v>0</v>
      </c>
      <c r="G128" s="1155">
        <v>1452.75</v>
      </c>
      <c r="H128" s="1153" t="s">
        <v>4</v>
      </c>
    </row>
    <row r="129" spans="1:8" ht="14.25" customHeight="1">
      <c r="A129" s="1156"/>
      <c r="B129" s="1156"/>
      <c r="C129" s="1153" t="s">
        <v>122</v>
      </c>
      <c r="D129" s="1154"/>
      <c r="E129" s="1155"/>
      <c r="F129" s="1155">
        <v>1259135</v>
      </c>
      <c r="G129" s="1155">
        <v>0</v>
      </c>
      <c r="H129" s="1153" t="s">
        <v>716</v>
      </c>
    </row>
    <row r="130" spans="1:8" ht="14.25" customHeight="1">
      <c r="A130" s="1157"/>
      <c r="B130" s="1157"/>
      <c r="C130" s="1158" t="s">
        <v>121</v>
      </c>
      <c r="D130" s="1159"/>
      <c r="E130" s="1160"/>
      <c r="F130" s="1160">
        <v>1258821</v>
      </c>
      <c r="G130" s="1160">
        <v>0</v>
      </c>
      <c r="H130" s="1158" t="s">
        <v>4</v>
      </c>
    </row>
    <row r="132" spans="1:8">
      <c r="D132" s="1164">
        <f>SUM(D7:D130)</f>
        <v>310758107.72000003</v>
      </c>
      <c r="E132" s="1167" t="s">
        <v>31</v>
      </c>
    </row>
  </sheetData>
  <autoFilter ref="A6:H132"/>
  <pageMargins left="1" right="1" top="1.8220000000000001" bottom="1.544" header="1" footer="1"/>
  <pageSetup orientation="portrait" r:id="rId1"/>
  <headerFooter>
    <oddHeader>&amp;L&amp;C&amp;B&amp;"Times New Roman"&amp;14&amp;R&amp;"Arial"&amp;8Date: 01/22/2014</oddHeader>
    <oddFooter>&amp;L&amp;C&amp;"Arial"&amp;10Page &amp;P&amp;R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37">
    <pageSetUpPr fitToPage="1"/>
  </sheetPr>
  <dimension ref="A2:AO56"/>
  <sheetViews>
    <sheetView topLeftCell="E1" zoomScale="70" zoomScaleNormal="70" workbookViewId="0">
      <selection activeCell="E1" sqref="E1"/>
    </sheetView>
  </sheetViews>
  <sheetFormatPr defaultColWidth="11" defaultRowHeight="15"/>
  <cols>
    <col min="1" max="1" width="5.375" style="1439" customWidth="1"/>
    <col min="2" max="3" width="20" style="1439" customWidth="1"/>
    <col min="4" max="4" width="18.125" style="1439" customWidth="1"/>
    <col min="5" max="5" width="12.125" style="1439" customWidth="1"/>
    <col min="6" max="21" width="17.75" style="1439" hidden="1" customWidth="1"/>
    <col min="22" max="22" width="20" style="1439" hidden="1" customWidth="1"/>
    <col min="23" max="24" width="13.25" style="1439" hidden="1" customWidth="1"/>
    <col min="25" max="30" width="14.375" style="1439" hidden="1" customWidth="1"/>
    <col min="31" max="36" width="16.75" style="1439" hidden="1" customWidth="1"/>
    <col min="37" max="39" width="14.375" style="1439" hidden="1" customWidth="1"/>
    <col min="40" max="40" width="14.375" style="1439" customWidth="1"/>
    <col min="41" max="41" width="14.375" style="1439" hidden="1" customWidth="1"/>
    <col min="42" max="16384" width="11" style="1439"/>
  </cols>
  <sheetData>
    <row r="2" spans="1:41" ht="18">
      <c r="A2" s="1435"/>
      <c r="B2" s="1436" t="s">
        <v>881</v>
      </c>
      <c r="C2" s="1437"/>
      <c r="D2" s="1437"/>
      <c r="E2" s="1438"/>
      <c r="F2" s="1437"/>
      <c r="G2" s="1437"/>
      <c r="H2" s="1437"/>
      <c r="I2" s="1437"/>
      <c r="J2" s="1437"/>
      <c r="K2" s="1437"/>
      <c r="L2" s="1438"/>
      <c r="M2" s="1438"/>
      <c r="N2" s="1437"/>
      <c r="O2" s="1437"/>
      <c r="P2" s="1437"/>
      <c r="Q2" s="1437"/>
      <c r="R2" s="1437"/>
      <c r="S2" s="1437"/>
      <c r="T2" s="1437"/>
      <c r="U2" s="1437"/>
      <c r="V2" s="1437"/>
      <c r="W2" s="1437"/>
      <c r="X2" s="1437"/>
      <c r="Y2" s="1437"/>
      <c r="Z2" s="1437"/>
      <c r="AA2" s="1437"/>
      <c r="AB2" s="1437"/>
      <c r="AC2" s="1437"/>
      <c r="AD2" s="1437"/>
      <c r="AE2" s="1437"/>
      <c r="AF2" s="1437"/>
      <c r="AG2" s="1437"/>
      <c r="AH2" s="1437"/>
      <c r="AI2" s="1437"/>
      <c r="AJ2" s="1437"/>
      <c r="AK2" s="1437"/>
      <c r="AL2" s="1437"/>
      <c r="AM2" s="1437"/>
      <c r="AN2" s="1437"/>
      <c r="AO2" s="1438"/>
    </row>
    <row r="3" spans="1:41" ht="18">
      <c r="A3" s="1435"/>
      <c r="B3" s="1440" t="s">
        <v>882</v>
      </c>
      <c r="C3" s="1441"/>
      <c r="D3" s="1441"/>
      <c r="E3" s="1438"/>
      <c r="F3" s="1441"/>
      <c r="G3" s="1441"/>
      <c r="H3" s="1441"/>
      <c r="I3" s="1441"/>
      <c r="J3" s="1441"/>
      <c r="K3" s="1441"/>
      <c r="L3" s="1438"/>
      <c r="M3" s="1438"/>
      <c r="N3" s="1441"/>
      <c r="O3" s="1441"/>
      <c r="P3" s="1441"/>
      <c r="Q3" s="1441"/>
      <c r="R3" s="1441"/>
      <c r="S3" s="1441"/>
      <c r="T3" s="1441"/>
      <c r="U3" s="1441"/>
      <c r="V3" s="1441"/>
      <c r="W3" s="1441"/>
      <c r="X3" s="1441"/>
      <c r="Y3" s="1441"/>
      <c r="Z3" s="1441"/>
      <c r="AA3" s="1441"/>
      <c r="AB3" s="1441"/>
      <c r="AC3" s="1441"/>
      <c r="AD3" s="1441"/>
      <c r="AE3" s="1441"/>
      <c r="AF3" s="1441"/>
      <c r="AG3" s="1441"/>
      <c r="AH3" s="1441"/>
      <c r="AI3" s="1441"/>
      <c r="AJ3" s="1441"/>
      <c r="AK3" s="1441"/>
      <c r="AL3" s="1441"/>
      <c r="AM3" s="1441"/>
      <c r="AN3" s="1441"/>
      <c r="AO3" s="1438"/>
    </row>
    <row r="4" spans="1:41" ht="18">
      <c r="A4" s="1435"/>
      <c r="B4" s="1440" t="s">
        <v>883</v>
      </c>
      <c r="C4" s="1441"/>
      <c r="D4" s="1441"/>
      <c r="E4" s="1438"/>
      <c r="F4" s="1441"/>
      <c r="G4" s="1441"/>
      <c r="H4" s="1441"/>
      <c r="I4" s="1441"/>
      <c r="J4" s="1441"/>
      <c r="K4" s="1441"/>
      <c r="L4" s="1438"/>
      <c r="M4" s="1438"/>
      <c r="N4" s="1441"/>
      <c r="O4" s="1441"/>
      <c r="P4" s="1441"/>
      <c r="Q4" s="1441"/>
      <c r="R4" s="1441"/>
      <c r="S4" s="1441"/>
      <c r="T4" s="1441"/>
      <c r="U4" s="1441"/>
      <c r="V4" s="1441"/>
      <c r="W4" s="1441"/>
      <c r="X4" s="1441"/>
      <c r="Y4" s="1441"/>
      <c r="Z4" s="1441"/>
      <c r="AA4" s="1441"/>
      <c r="AB4" s="1441"/>
      <c r="AC4" s="1441"/>
      <c r="AD4" s="1441"/>
      <c r="AE4" s="1441"/>
      <c r="AF4" s="1441"/>
      <c r="AG4" s="1441"/>
      <c r="AH4" s="1441"/>
      <c r="AI4" s="1441"/>
      <c r="AJ4" s="1441"/>
      <c r="AK4" s="1441"/>
      <c r="AL4" s="1441"/>
      <c r="AM4" s="1441"/>
      <c r="AN4" s="1441"/>
      <c r="AO4" s="1438"/>
    </row>
    <row r="5" spans="1:41" ht="18">
      <c r="A5" s="1435"/>
      <c r="B5" s="1436"/>
      <c r="C5" s="1437"/>
      <c r="D5" s="1437"/>
      <c r="E5" s="1438"/>
      <c r="F5" s="1437"/>
      <c r="G5" s="1437"/>
      <c r="H5" s="1437"/>
      <c r="I5" s="1437"/>
      <c r="J5" s="1437"/>
      <c r="K5" s="1437"/>
      <c r="L5" s="1438"/>
      <c r="M5" s="1438"/>
      <c r="N5" s="1437"/>
      <c r="O5" s="1437"/>
      <c r="P5" s="1437"/>
      <c r="Q5" s="1437"/>
      <c r="R5" s="1437"/>
      <c r="S5" s="1437"/>
      <c r="T5" s="1437"/>
      <c r="U5" s="1437"/>
      <c r="V5" s="1437"/>
      <c r="W5" s="1437"/>
      <c r="X5" s="1437"/>
      <c r="Y5" s="1437"/>
      <c r="Z5" s="1437"/>
      <c r="AA5" s="1437"/>
      <c r="AB5" s="1437"/>
      <c r="AC5" s="1437"/>
      <c r="AD5" s="1437"/>
      <c r="AE5" s="1437"/>
      <c r="AF5" s="1437"/>
      <c r="AG5" s="1437"/>
      <c r="AH5" s="1437"/>
      <c r="AI5" s="1437"/>
      <c r="AJ5" s="1437"/>
      <c r="AK5" s="1437"/>
      <c r="AL5" s="1437"/>
      <c r="AM5" s="1437"/>
      <c r="AN5" s="1437"/>
      <c r="AO5" s="1438"/>
    </row>
    <row r="6" spans="1:41" ht="18">
      <c r="A6" s="1435"/>
      <c r="B6" s="1436"/>
      <c r="C6" s="1437"/>
      <c r="D6" s="1437"/>
      <c r="E6" s="1438"/>
      <c r="F6" s="1437"/>
      <c r="G6" s="1437"/>
      <c r="H6" s="1437"/>
      <c r="I6" s="1437"/>
      <c r="J6" s="1437"/>
      <c r="K6" s="1437"/>
      <c r="L6" s="1438"/>
      <c r="M6" s="1438"/>
      <c r="N6" s="1437"/>
      <c r="O6" s="1437"/>
      <c r="P6" s="1437"/>
      <c r="Q6" s="1437"/>
      <c r="R6" s="1437"/>
      <c r="S6" s="1437"/>
      <c r="T6" s="1437"/>
      <c r="U6" s="1437"/>
      <c r="V6" s="1437"/>
      <c r="W6" s="1437"/>
      <c r="X6" s="1437"/>
      <c r="Y6" s="1437"/>
      <c r="Z6" s="1437"/>
      <c r="AA6" s="1437"/>
      <c r="AB6" s="1437"/>
      <c r="AC6" s="1437"/>
      <c r="AD6" s="1437"/>
      <c r="AE6" s="1437"/>
      <c r="AF6" s="1437"/>
      <c r="AG6" s="1437"/>
      <c r="AH6" s="1437"/>
      <c r="AI6" s="1437"/>
      <c r="AJ6" s="1437"/>
      <c r="AK6" s="1437"/>
      <c r="AL6" s="1437"/>
      <c r="AM6" s="1437"/>
      <c r="AN6" s="1437"/>
      <c r="AO6" s="1438"/>
    </row>
    <row r="7" spans="1:41" ht="18">
      <c r="A7" s="1435"/>
      <c r="B7" s="1436"/>
      <c r="C7" s="1437"/>
      <c r="D7" s="1437"/>
      <c r="E7" s="1438"/>
      <c r="F7" s="1437"/>
      <c r="G7" s="1437"/>
      <c r="H7" s="1437"/>
      <c r="I7" s="1437"/>
      <c r="J7" s="1437"/>
      <c r="K7" s="1437"/>
      <c r="L7" s="1438"/>
      <c r="M7" s="1438"/>
      <c r="N7" s="1437"/>
      <c r="O7" s="1437"/>
      <c r="P7" s="1437"/>
      <c r="Q7" s="1437"/>
      <c r="R7" s="1437"/>
      <c r="S7" s="1437"/>
      <c r="T7" s="1437"/>
      <c r="U7" s="1437"/>
      <c r="V7" s="1437"/>
      <c r="W7" s="1437"/>
      <c r="X7" s="1437"/>
      <c r="Y7" s="1437"/>
      <c r="Z7" s="1437"/>
      <c r="AA7" s="1437"/>
      <c r="AB7" s="1437"/>
      <c r="AC7" s="1437"/>
      <c r="AD7" s="1437"/>
      <c r="AE7" s="1437"/>
      <c r="AF7" s="1437"/>
      <c r="AG7" s="1437"/>
      <c r="AH7" s="1437"/>
      <c r="AI7" s="1437"/>
      <c r="AJ7" s="1437"/>
      <c r="AK7" s="1437"/>
      <c r="AL7" s="1437"/>
      <c r="AM7" s="1437"/>
      <c r="AN7" s="1437"/>
      <c r="AO7" s="1438"/>
    </row>
    <row r="8" spans="1:41" ht="18">
      <c r="B8" s="1442"/>
      <c r="C8" s="1443" t="str">
        <f>B9</f>
        <v>Pre-2013</v>
      </c>
      <c r="D8" s="1442"/>
      <c r="E8" s="1444"/>
      <c r="F8" s="1444"/>
      <c r="G8" s="1444"/>
      <c r="H8" s="1444"/>
      <c r="I8" s="1444"/>
      <c r="J8" s="1444"/>
      <c r="K8" s="1444"/>
      <c r="L8" s="1444"/>
      <c r="M8" s="1444"/>
      <c r="N8" s="1444"/>
      <c r="O8" s="1444"/>
      <c r="P8" s="1444"/>
      <c r="Q8" s="1444"/>
      <c r="R8" s="1444"/>
      <c r="S8" s="1444"/>
      <c r="T8" s="1444"/>
      <c r="U8" s="1444"/>
      <c r="V8" s="1444"/>
      <c r="W8" s="1444" t="s">
        <v>73</v>
      </c>
      <c r="X8" s="1444" t="s">
        <v>73</v>
      </c>
      <c r="Y8" s="1444"/>
      <c r="Z8" s="1444"/>
      <c r="AA8" s="1444"/>
      <c r="AB8" s="1444"/>
      <c r="AC8" s="1444"/>
      <c r="AD8" s="1444"/>
      <c r="AE8" s="1445">
        <f>L9</f>
        <v>183</v>
      </c>
      <c r="AF8" s="1445">
        <f>AE8</f>
        <v>183</v>
      </c>
      <c r="AG8" s="1445">
        <f>N9</f>
        <v>214</v>
      </c>
      <c r="AH8" s="1445">
        <f>AG8</f>
        <v>214</v>
      </c>
      <c r="AI8" s="1445">
        <f>P9</f>
        <v>245</v>
      </c>
      <c r="AJ8" s="1445">
        <f>AI8</f>
        <v>245</v>
      </c>
      <c r="AK8" s="1444"/>
      <c r="AL8" s="1444"/>
      <c r="AM8" s="1444"/>
    </row>
    <row r="9" spans="1:41" ht="18">
      <c r="B9" s="1443" t="s">
        <v>884</v>
      </c>
      <c r="C9" s="1445" t="s">
        <v>9</v>
      </c>
      <c r="D9" s="1444"/>
      <c r="E9" s="1444"/>
      <c r="F9" s="1446"/>
      <c r="G9" s="1444"/>
      <c r="H9" s="1444"/>
      <c r="I9" s="1444"/>
      <c r="J9" s="1444"/>
      <c r="K9" s="1444"/>
      <c r="L9" s="1446">
        <f>DATE(IF(MONTH(K10)=12,YEAR(K10)+1,YEAR(K10)),IF(MONTH(K10)=12,1,MONTH(K10)+1),1)</f>
        <v>183</v>
      </c>
      <c r="M9" s="1446">
        <f>L9</f>
        <v>183</v>
      </c>
      <c r="N9" s="1446">
        <f>DATE(IF(MONTH(L9)=12,YEAR(L9)+1,YEAR(L9)),IF(MONTH(L9)=12,1,MONTH(L9)+1),1)</f>
        <v>214</v>
      </c>
      <c r="O9" s="1446">
        <f>N9</f>
        <v>214</v>
      </c>
      <c r="P9" s="1446">
        <f>DATE(IF(MONTH(N9)=12,YEAR(N9)+1,YEAR(N9)),IF(MONTH(N9)=12,1,MONTH(N9)+1),1)</f>
        <v>245</v>
      </c>
      <c r="Q9" s="1446">
        <f>P9</f>
        <v>245</v>
      </c>
      <c r="R9" s="1444"/>
      <c r="S9" s="1444"/>
      <c r="T9" s="1444"/>
      <c r="U9" s="1444">
        <f>YEAR($F$10)</f>
        <v>1900</v>
      </c>
      <c r="V9" s="1444"/>
      <c r="W9" s="1444" t="s">
        <v>248</v>
      </c>
      <c r="X9" s="1444" t="s">
        <v>248</v>
      </c>
      <c r="Y9" s="1445">
        <f t="shared" ref="Y9:AD9" si="0">F10</f>
        <v>0</v>
      </c>
      <c r="Z9" s="1445">
        <f t="shared" si="0"/>
        <v>32</v>
      </c>
      <c r="AA9" s="1445">
        <f t="shared" si="0"/>
        <v>61</v>
      </c>
      <c r="AB9" s="1445">
        <f t="shared" si="0"/>
        <v>92</v>
      </c>
      <c r="AC9" s="1445">
        <f t="shared" si="0"/>
        <v>122</v>
      </c>
      <c r="AD9" s="1445">
        <f t="shared" si="0"/>
        <v>153</v>
      </c>
      <c r="AE9" s="1447" t="s">
        <v>885</v>
      </c>
      <c r="AF9" s="1447" t="s">
        <v>886</v>
      </c>
      <c r="AG9" s="1447" t="s">
        <v>886</v>
      </c>
      <c r="AH9" s="1447" t="s">
        <v>886</v>
      </c>
      <c r="AI9" s="1447" t="s">
        <v>885</v>
      </c>
      <c r="AJ9" s="1447" t="s">
        <v>886</v>
      </c>
      <c r="AK9" s="1445">
        <f>R10</f>
        <v>275</v>
      </c>
      <c r="AL9" s="1445">
        <f>S10</f>
        <v>306</v>
      </c>
      <c r="AM9" s="1445">
        <f>T10</f>
        <v>336</v>
      </c>
      <c r="AN9" s="1444">
        <f>YEAR($F$10)</f>
        <v>1900</v>
      </c>
      <c r="AO9" s="1445" t="s">
        <v>9</v>
      </c>
    </row>
    <row r="10" spans="1:41" ht="18">
      <c r="B10" s="1445" t="s">
        <v>9</v>
      </c>
      <c r="C10" s="1443" t="s">
        <v>73</v>
      </c>
      <c r="D10" s="1444"/>
      <c r="E10" s="1446"/>
      <c r="F10" s="1446">
        <f>MIN('[9]KWH RVN Inputs'!$O$2:$O$59640)</f>
        <v>0</v>
      </c>
      <c r="G10" s="1446">
        <f>DATE(IF(MONTH(F10)=12,YEAR(F10)+1,YEAR(F10)),IF(MONTH(F10)=12,1,MONTH(F10)+1),1)</f>
        <v>32</v>
      </c>
      <c r="H10" s="1446">
        <f t="shared" ref="H10:T10" si="1">DATE(IF(MONTH(G10)=12,YEAR(G10)+1,YEAR(G10)),IF(MONTH(G10)=12,1,MONTH(G10)+1),1)</f>
        <v>61</v>
      </c>
      <c r="I10" s="1446">
        <f t="shared" si="1"/>
        <v>92</v>
      </c>
      <c r="J10" s="1446">
        <f t="shared" si="1"/>
        <v>122</v>
      </c>
      <c r="K10" s="1446">
        <f t="shared" si="1"/>
        <v>153</v>
      </c>
      <c r="L10" s="1447" t="s">
        <v>885</v>
      </c>
      <c r="M10" s="1447" t="s">
        <v>886</v>
      </c>
      <c r="N10" s="1447" t="s">
        <v>885</v>
      </c>
      <c r="O10" s="1447" t="s">
        <v>886</v>
      </c>
      <c r="P10" s="1447" t="s">
        <v>885</v>
      </c>
      <c r="Q10" s="1447" t="s">
        <v>886</v>
      </c>
      <c r="R10" s="1446">
        <f>DATE(IF(MONTH(P9)=12,YEAR(P9)+1,YEAR(P9)),IF(MONTH(P9)=12,1,MONTH(P9)+1),1)</f>
        <v>275</v>
      </c>
      <c r="S10" s="1446">
        <f t="shared" si="1"/>
        <v>306</v>
      </c>
      <c r="T10" s="1446">
        <f t="shared" si="1"/>
        <v>336</v>
      </c>
      <c r="U10" s="1446" t="s">
        <v>9</v>
      </c>
      <c r="V10" s="1446" t="s">
        <v>9</v>
      </c>
      <c r="W10" s="1448">
        <v>41103</v>
      </c>
      <c r="X10" s="1448">
        <v>41456</v>
      </c>
      <c r="Y10" s="1443" t="s">
        <v>73</v>
      </c>
      <c r="Z10" s="1443" t="s">
        <v>73</v>
      </c>
      <c r="AA10" s="1443" t="s">
        <v>73</v>
      </c>
      <c r="AB10" s="1443" t="s">
        <v>73</v>
      </c>
      <c r="AC10" s="1443" t="s">
        <v>73</v>
      </c>
      <c r="AD10" s="1443" t="s">
        <v>73</v>
      </c>
      <c r="AE10" s="1443" t="s">
        <v>73</v>
      </c>
      <c r="AF10" s="1443" t="s">
        <v>73</v>
      </c>
      <c r="AG10" s="1443" t="s">
        <v>73</v>
      </c>
      <c r="AH10" s="1443" t="s">
        <v>73</v>
      </c>
      <c r="AI10" s="1443" t="s">
        <v>73</v>
      </c>
      <c r="AJ10" s="1443" t="s">
        <v>73</v>
      </c>
      <c r="AK10" s="1443" t="s">
        <v>73</v>
      </c>
      <c r="AL10" s="1443" t="s">
        <v>73</v>
      </c>
      <c r="AM10" s="1443" t="s">
        <v>73</v>
      </c>
      <c r="AN10" s="1444" t="s">
        <v>73</v>
      </c>
      <c r="AO10" s="1443" t="s">
        <v>73</v>
      </c>
    </row>
    <row r="11" spans="1:41" ht="18">
      <c r="B11" s="1449" t="s">
        <v>887</v>
      </c>
      <c r="C11" s="1449" t="s">
        <v>306</v>
      </c>
      <c r="D11" s="1450" t="s">
        <v>888</v>
      </c>
      <c r="E11" s="1450" t="s">
        <v>258</v>
      </c>
      <c r="F11" s="1450" t="s">
        <v>887</v>
      </c>
      <c r="G11" s="1450" t="s">
        <v>887</v>
      </c>
      <c r="H11" s="1450" t="s">
        <v>887</v>
      </c>
      <c r="I11" s="1450" t="s">
        <v>887</v>
      </c>
      <c r="J11" s="1450" t="s">
        <v>887</v>
      </c>
      <c r="K11" s="1450" t="s">
        <v>887</v>
      </c>
      <c r="L11" s="1450" t="s">
        <v>887</v>
      </c>
      <c r="M11" s="1450" t="s">
        <v>887</v>
      </c>
      <c r="N11" s="1450" t="s">
        <v>887</v>
      </c>
      <c r="O11" s="1450" t="s">
        <v>887</v>
      </c>
      <c r="P11" s="1450" t="s">
        <v>887</v>
      </c>
      <c r="Q11" s="1450" t="s">
        <v>887</v>
      </c>
      <c r="R11" s="1450" t="s">
        <v>887</v>
      </c>
      <c r="S11" s="1450" t="s">
        <v>887</v>
      </c>
      <c r="T11" s="1450" t="s">
        <v>887</v>
      </c>
      <c r="U11" s="1451" t="s">
        <v>887</v>
      </c>
      <c r="V11" s="1451" t="s">
        <v>887</v>
      </c>
      <c r="W11" s="1450" t="s">
        <v>889</v>
      </c>
      <c r="X11" s="1450" t="s">
        <v>889</v>
      </c>
      <c r="Y11" s="1449" t="s">
        <v>306</v>
      </c>
      <c r="Z11" s="1449" t="s">
        <v>306</v>
      </c>
      <c r="AA11" s="1449" t="s">
        <v>306</v>
      </c>
      <c r="AB11" s="1449" t="s">
        <v>306</v>
      </c>
      <c r="AC11" s="1449" t="s">
        <v>306</v>
      </c>
      <c r="AD11" s="1449" t="s">
        <v>306</v>
      </c>
      <c r="AE11" s="1449" t="s">
        <v>306</v>
      </c>
      <c r="AF11" s="1449" t="s">
        <v>306</v>
      </c>
      <c r="AG11" s="1449" t="s">
        <v>306</v>
      </c>
      <c r="AH11" s="1449" t="s">
        <v>306</v>
      </c>
      <c r="AI11" s="1449" t="s">
        <v>306</v>
      </c>
      <c r="AJ11" s="1449" t="s">
        <v>306</v>
      </c>
      <c r="AK11" s="1449" t="s">
        <v>306</v>
      </c>
      <c r="AL11" s="1449" t="s">
        <v>306</v>
      </c>
      <c r="AM11" s="1449" t="s">
        <v>306</v>
      </c>
      <c r="AN11" s="1450" t="s">
        <v>306</v>
      </c>
      <c r="AO11" s="1449" t="s">
        <v>306</v>
      </c>
    </row>
    <row r="12" spans="1:41" ht="18">
      <c r="B12" s="1452">
        <v>48710167553.485954</v>
      </c>
      <c r="C12" s="1453">
        <v>72710854.333098993</v>
      </c>
      <c r="D12" s="1454"/>
      <c r="E12" s="1454"/>
      <c r="F12" s="1454"/>
      <c r="G12" s="1454"/>
      <c r="H12" s="1454"/>
      <c r="I12" s="1454"/>
      <c r="J12" s="1454"/>
      <c r="K12" s="1454"/>
      <c r="L12" s="1454"/>
      <c r="M12" s="1454"/>
      <c r="N12" s="1454"/>
      <c r="O12" s="1454"/>
      <c r="P12" s="1454"/>
      <c r="Q12" s="1454"/>
      <c r="R12" s="1454"/>
      <c r="S12" s="1454"/>
      <c r="T12" s="1454"/>
      <c r="U12" s="1454"/>
      <c r="V12" s="1455" t="e">
        <f>SUM(F49:T49)+B12</f>
        <v>#VALUE!</v>
      </c>
      <c r="W12" s="1442"/>
      <c r="X12" s="1442"/>
      <c r="Y12" s="1442"/>
      <c r="Z12" s="1442"/>
      <c r="AA12" s="1442"/>
      <c r="AB12" s="1442"/>
      <c r="AC12" s="1442"/>
      <c r="AD12" s="1442"/>
      <c r="AE12" s="1442"/>
      <c r="AF12" s="1442"/>
      <c r="AG12" s="1442"/>
      <c r="AH12" s="1442"/>
      <c r="AI12" s="1442"/>
      <c r="AJ12" s="1442"/>
      <c r="AK12" s="1442"/>
      <c r="AL12" s="1442"/>
      <c r="AM12" s="1442"/>
      <c r="AN12" s="1442"/>
      <c r="AO12" s="1456" t="e">
        <f>SUM(Y49:AM49)+C12</f>
        <v>#VALUE!</v>
      </c>
    </row>
    <row r="13" spans="1:41" ht="18">
      <c r="B13" s="1457"/>
      <c r="C13" s="1458"/>
      <c r="D13" s="1442"/>
      <c r="E13" s="1442"/>
      <c r="F13" s="1442"/>
      <c r="G13" s="1442"/>
      <c r="H13" s="1442"/>
      <c r="I13" s="1442"/>
      <c r="J13" s="1442"/>
      <c r="K13" s="1442"/>
      <c r="L13" s="1442"/>
      <c r="M13" s="1442"/>
      <c r="N13" s="1442"/>
      <c r="O13" s="1442"/>
      <c r="P13" s="1442"/>
      <c r="Q13" s="1442"/>
      <c r="R13" s="1442"/>
      <c r="S13" s="1442"/>
      <c r="T13" s="1442"/>
      <c r="U13" s="1442"/>
      <c r="V13" s="1442"/>
      <c r="W13" s="1442"/>
      <c r="X13" s="1442"/>
      <c r="Y13" s="1442"/>
      <c r="Z13" s="1442"/>
      <c r="AA13" s="1442"/>
      <c r="AB13" s="1442"/>
      <c r="AC13" s="1442"/>
      <c r="AD13" s="1442"/>
      <c r="AE13" s="1442"/>
      <c r="AF13" s="1442"/>
      <c r="AG13" s="1442"/>
      <c r="AH13" s="1442"/>
      <c r="AI13" s="1442"/>
      <c r="AJ13" s="1442"/>
      <c r="AK13" s="1442"/>
      <c r="AL13" s="1442"/>
      <c r="AM13" s="1442"/>
      <c r="AN13" s="1442"/>
    </row>
    <row r="14" spans="1:41" ht="18">
      <c r="A14" s="1459"/>
      <c r="B14" s="1459"/>
      <c r="C14" s="1460"/>
      <c r="D14" s="1460" t="s">
        <v>17</v>
      </c>
    </row>
    <row r="15" spans="1:41" ht="18">
      <c r="A15" s="1459"/>
      <c r="B15" s="1459"/>
      <c r="C15" s="1460"/>
      <c r="D15" s="1460"/>
      <c r="E15" s="1444" t="s">
        <v>191</v>
      </c>
      <c r="F15" s="1459" t="e">
        <f>SUMIF('[9]KWH RVN Inputs'!$R$2:$R$63569,CONCATENATE("=",TEXT(F$10,"00000"),"WA","RES",TEXT($E15,"0")),'[9]KWH RVN Inputs'!$H$2:$H$63569)</f>
        <v>#VALUE!</v>
      </c>
      <c r="G15" s="1459" t="e">
        <f>SUMIF('[9]KWH RVN Inputs'!$R$2:$R$63569,CONCATENATE("=",TEXT(G$10,"00000"),"WA","RES",TEXT($E15,"0")),'[9]KWH RVN Inputs'!$H$2:$H$63569)</f>
        <v>#VALUE!</v>
      </c>
      <c r="H15" s="1459" t="e">
        <f>SUMIF('[9]KWH RVN Inputs'!$R$2:$R$63569,CONCATENATE("=",TEXT(H$10,"00000"),"WA","RES",TEXT($E15,"0")),'[9]KWH RVN Inputs'!$H$2:$H$63569)</f>
        <v>#VALUE!</v>
      </c>
      <c r="I15" s="1459" t="e">
        <f>SUMIF('[9]KWH RVN Inputs'!$R$2:$R$63569,CONCATENATE("=",TEXT(I$10,"00000"),"WA","RES",TEXT($E15,"0")),'[9]KWH RVN Inputs'!$H$2:$H$63569)</f>
        <v>#VALUE!</v>
      </c>
      <c r="J15" s="1459" t="e">
        <f>SUMIF('[9]KWH RVN Inputs'!$R$2:$R$63569,CONCATENATE("=",TEXT(J$10,"00000"),"WA","RES",TEXT($E15,"0")),'[9]KWH RVN Inputs'!$H$2:$H$63569)</f>
        <v>#VALUE!</v>
      </c>
      <c r="K15" s="1459" t="e">
        <f>SUMIF('[9]KWH RVN Inputs'!$R$2:$R$63569,CONCATENATE("=",TEXT(K$10,"00000"),"WA","RES",TEXT($E15,"0")),'[9]KWH RVN Inputs'!$H$2:$H$63569)</f>
        <v>#VALUE!</v>
      </c>
      <c r="L15" s="1459" t="e">
        <f>GETPIVOTDATA("Total kWh",'[9]Prorate 07-13 WA'!$A$6,"Revenue Class Cd","RES","Effect","Pre 7/1/2013","Rate",15)</f>
        <v>#REF!</v>
      </c>
      <c r="M15" s="1459" t="e">
        <f>GETPIVOTDATA("Total kWh",'[9]Prorate 07-13 WA'!$A$6,"Revenue Class Cd","RES","Effect","Post 7/1/2013","Rate",15)</f>
        <v>#REF!</v>
      </c>
      <c r="N15" s="1459" t="e">
        <f>GETPIVOTDATA("Total kWh",'[9]Prorate 08-13 WA'!$A$6,"Revenue Class Cd","RES","Effect","Pre 7/1/2013","Rate",15)</f>
        <v>#REF!</v>
      </c>
      <c r="O15" s="1459" t="e">
        <f>GETPIVOTDATA("Total kWh",'[9]Prorate 08-13 WA'!$A$6,"Revenue Class Cd","RES","Effect","Post 7/1/2013","Rate",15)</f>
        <v>#REF!</v>
      </c>
      <c r="P15" s="1459">
        <f>'[9]WA Prorate 09-13'!C23</f>
        <v>0</v>
      </c>
      <c r="Q15" s="1459">
        <f>'[9]WA Prorate 09-13'!D23</f>
        <v>88813.744916820695</v>
      </c>
      <c r="R15" s="1459" t="e">
        <f>SUMIF('[9]KWH RVN Inputs'!$R$2:$R$63569,CONCATENATE("=",TEXT(R$10,"00000"),"WA","RES",TEXT($E15,"0")),'[9]KWH RVN Inputs'!$H$2:$H$63569)</f>
        <v>#VALUE!</v>
      </c>
      <c r="S15" s="1459" t="e">
        <f>SUMIF('[9]KWH RVN Inputs'!$R$2:$R$63569,CONCATENATE("=",TEXT(S$10,"00000"),"WA","RES",TEXT($E15,"0")),'[9]KWH RVN Inputs'!$H$2:$H$63569)</f>
        <v>#VALUE!</v>
      </c>
      <c r="T15" s="1459" t="e">
        <f>SUMIF('[9]KWH RVN Inputs'!$R$2:$R$63569,CONCATENATE("=",TEXT(T$10,"00000"),"WA","RES",TEXT($E15,"0")),'[9]KWH RVN Inputs'!$H$2:$H$63569)</f>
        <v>#VALUE!</v>
      </c>
      <c r="U15" s="1459" t="e">
        <f>SUM(F15:T15)</f>
        <v>#VALUE!</v>
      </c>
      <c r="V15" s="1459"/>
      <c r="W15" s="1461">
        <v>2.8700000000000002E-3</v>
      </c>
      <c r="X15" s="1461">
        <v>2.5600000000000002E-3</v>
      </c>
      <c r="Y15" s="1462" t="e">
        <f>F15*W15</f>
        <v>#VALUE!</v>
      </c>
      <c r="Z15" s="1462" t="e">
        <f t="shared" ref="Z15:AE18" si="2">G15*$W15</f>
        <v>#VALUE!</v>
      </c>
      <c r="AA15" s="1462" t="e">
        <f t="shared" si="2"/>
        <v>#VALUE!</v>
      </c>
      <c r="AB15" s="1462" t="e">
        <f t="shared" si="2"/>
        <v>#VALUE!</v>
      </c>
      <c r="AC15" s="1462" t="e">
        <f t="shared" si="2"/>
        <v>#VALUE!</v>
      </c>
      <c r="AD15" s="1462" t="e">
        <f t="shared" si="2"/>
        <v>#VALUE!</v>
      </c>
      <c r="AE15" s="1462" t="e">
        <f t="shared" si="2"/>
        <v>#REF!</v>
      </c>
      <c r="AF15" s="1462" t="e">
        <f>M15*$X15</f>
        <v>#REF!</v>
      </c>
      <c r="AG15" s="1462" t="e">
        <f>N15*$W15</f>
        <v>#REF!</v>
      </c>
      <c r="AH15" s="1462" t="e">
        <f>O15*$X15</f>
        <v>#REF!</v>
      </c>
      <c r="AI15" s="1462">
        <f t="shared" ref="AI15:AJ18" si="3">P15*W15</f>
        <v>0</v>
      </c>
      <c r="AJ15" s="1462">
        <f t="shared" si="3"/>
        <v>227.363186987061</v>
      </c>
      <c r="AK15" s="1462" t="e">
        <f>R15*$X15</f>
        <v>#VALUE!</v>
      </c>
      <c r="AL15" s="1462" t="e">
        <f>S15*$X15</f>
        <v>#VALUE!</v>
      </c>
      <c r="AM15" s="1462" t="e">
        <f>T15*$X15</f>
        <v>#VALUE!</v>
      </c>
      <c r="AN15" s="1460">
        <v>2868.215528968366</v>
      </c>
    </row>
    <row r="16" spans="1:41" ht="18">
      <c r="A16" s="1459"/>
      <c r="B16" s="1459"/>
      <c r="C16" s="1460"/>
      <c r="D16" s="1460"/>
      <c r="E16" s="1444">
        <v>16</v>
      </c>
      <c r="F16" s="1459" t="e">
        <f>SUMIF('[9]KWH RVN Inputs'!$R$2:$R$63569,CONCATENATE("=",TEXT(F$10,"00000"),"WA","RES",TEXT($E16,"0")),'[9]KWH RVN Inputs'!$H$2:$H$63569)</f>
        <v>#VALUE!</v>
      </c>
      <c r="G16" s="1459" t="e">
        <f>SUMIF('[9]KWH RVN Inputs'!$R$2:$R$63569,CONCATENATE("=",TEXT(G$10,"00000"),"WA","RES",TEXT($E16,"0")),'[9]KWH RVN Inputs'!$H$2:$H$63569)</f>
        <v>#VALUE!</v>
      </c>
      <c r="H16" s="1459" t="e">
        <f>SUMIF('[9]KWH RVN Inputs'!$R$2:$R$63569,CONCATENATE("=",TEXT(H$10,"00000"),"WA","RES",TEXT($E16,"0")),'[9]KWH RVN Inputs'!$H$2:$H$63569)</f>
        <v>#VALUE!</v>
      </c>
      <c r="I16" s="1459" t="e">
        <f>SUMIF('[9]KWH RVN Inputs'!$R$2:$R$63569,CONCATENATE("=",TEXT(I$10,"00000"),"WA","RES",TEXT($E16,"0")),'[9]KWH RVN Inputs'!$H$2:$H$63569)</f>
        <v>#VALUE!</v>
      </c>
      <c r="J16" s="1459" t="e">
        <f>SUMIF('[9]KWH RVN Inputs'!$R$2:$R$63569,CONCATENATE("=",TEXT(J$10,"00000"),"WA","RES",TEXT($E16,"0")),'[9]KWH RVN Inputs'!$H$2:$H$63569)</f>
        <v>#VALUE!</v>
      </c>
      <c r="K16" s="1459" t="e">
        <f>SUMIF('[9]KWH RVN Inputs'!$R$2:$R$63569,CONCATENATE("=",TEXT(K$10,"00000"),"WA","RES",TEXT($E16,"0")),'[9]KWH RVN Inputs'!$H$2:$H$63569)</f>
        <v>#VALUE!</v>
      </c>
      <c r="L16" s="1459" t="e">
        <f>GETPIVOTDATA("Total kWh",'[9]Prorate 07-13 WA'!$A$6,"Revenue Class Cd","RES","Effect","Pre 7/1/2013","Rate",16)</f>
        <v>#REF!</v>
      </c>
      <c r="M16" s="1459" t="e">
        <f>GETPIVOTDATA("Total kWh",'[9]Prorate 07-13 WA'!$A$6,"Revenue Class Cd","RES","Effect","Post 7/1/2013","Rate",16)</f>
        <v>#REF!</v>
      </c>
      <c r="N16" s="1459" t="e">
        <f>GETPIVOTDATA("Total kWh",'[9]Prorate 08-13 WA'!$A$6,"Revenue Class Cd","RES","Effect","Pre 7/1/2013","Rate",16)</f>
        <v>#REF!</v>
      </c>
      <c r="O16" s="1459" t="e">
        <f>GETPIVOTDATA("Total kWh",'[9]Prorate 08-13 WA'!$A$6,"Revenue Class Cd","RES","Effect","Post 7/1/2013","Rate",16)</f>
        <v>#REF!</v>
      </c>
      <c r="P16" s="1459">
        <f>'[9]WA Prorate 09-13'!C24</f>
        <v>13186.099697020351</v>
      </c>
      <c r="Q16" s="1459">
        <f>'[9]WA Prorate 09-13'!D24</f>
        <v>112409662.18664312</v>
      </c>
      <c r="R16" s="1459" t="e">
        <f>SUMIF('[9]KWH RVN Inputs'!$R$2:$R$63569,CONCATENATE("=",TEXT(R$10,"00000"),"WA","RES",TEXT($E16,"0")),'[9]KWH RVN Inputs'!$H$2:$H$63569)</f>
        <v>#VALUE!</v>
      </c>
      <c r="S16" s="1459" t="e">
        <f>SUMIF('[9]KWH RVN Inputs'!$R$2:$R$63569,CONCATENATE("=",TEXT(S$10,"00000"),"WA","RES",TEXT($E16,"0")),'[9]KWH RVN Inputs'!$H$2:$H$63569)</f>
        <v>#VALUE!</v>
      </c>
      <c r="T16" s="1459" t="e">
        <f>SUMIF('[9]KWH RVN Inputs'!$R$2:$R$63569,CONCATENATE("=",TEXT(T$10,"00000"),"WA","RES",TEXT($E16,"0")),'[9]KWH RVN Inputs'!$H$2:$H$63569)</f>
        <v>#VALUE!</v>
      </c>
      <c r="U16" s="1459" t="e">
        <f>SUM(F16:T16)</f>
        <v>#VALUE!</v>
      </c>
      <c r="V16" s="1459"/>
      <c r="W16" s="1461">
        <v>3.1700000000000001E-3</v>
      </c>
      <c r="X16" s="1461">
        <v>2.8300000000000001E-3</v>
      </c>
      <c r="Y16" s="1462" t="e">
        <f>F16*W16</f>
        <v>#VALUE!</v>
      </c>
      <c r="Z16" s="1462" t="e">
        <f t="shared" si="2"/>
        <v>#VALUE!</v>
      </c>
      <c r="AA16" s="1462" t="e">
        <f t="shared" si="2"/>
        <v>#VALUE!</v>
      </c>
      <c r="AB16" s="1462" t="e">
        <f t="shared" si="2"/>
        <v>#VALUE!</v>
      </c>
      <c r="AC16" s="1462" t="e">
        <f t="shared" si="2"/>
        <v>#VALUE!</v>
      </c>
      <c r="AD16" s="1462" t="e">
        <f t="shared" si="2"/>
        <v>#VALUE!</v>
      </c>
      <c r="AE16" s="1462" t="e">
        <f t="shared" si="2"/>
        <v>#REF!</v>
      </c>
      <c r="AF16" s="1462" t="e">
        <f>M16*$X16</f>
        <v>#REF!</v>
      </c>
      <c r="AG16" s="1462" t="e">
        <f>N16*$W16</f>
        <v>#REF!</v>
      </c>
      <c r="AH16" s="1462" t="e">
        <f>O16*$X16</f>
        <v>#REF!</v>
      </c>
      <c r="AI16" s="1462">
        <f t="shared" si="3"/>
        <v>41.79993603955451</v>
      </c>
      <c r="AJ16" s="1462">
        <f t="shared" si="3"/>
        <v>318119.34398820007</v>
      </c>
      <c r="AK16" s="1462" t="e">
        <f t="shared" ref="AK16:AM18" si="4">R16*$X16</f>
        <v>#VALUE!</v>
      </c>
      <c r="AL16" s="1462" t="e">
        <f t="shared" si="4"/>
        <v>#VALUE!</v>
      </c>
      <c r="AM16" s="1462" t="e">
        <f t="shared" si="4"/>
        <v>#VALUE!</v>
      </c>
      <c r="AN16" s="1460">
        <v>4693007.3120801821</v>
      </c>
    </row>
    <row r="17" spans="1:40" ht="18">
      <c r="E17" s="1444">
        <v>17</v>
      </c>
      <c r="F17" s="1459" t="e">
        <f>SUMIF('[9]KWH RVN Inputs'!$R$2:$R$63569,CONCATENATE("=",TEXT(F$10,"00000"),"WA","RES",TEXT($E17,"0")),'[9]KWH RVN Inputs'!$H$2:$H$63569)</f>
        <v>#VALUE!</v>
      </c>
      <c r="G17" s="1459" t="e">
        <f>SUMIF('[9]KWH RVN Inputs'!$R$2:$R$63569,CONCATENATE("=",TEXT(G$10,"00000"),"WA","RES",TEXT($E17,"0")),'[9]KWH RVN Inputs'!$H$2:$H$63569)</f>
        <v>#VALUE!</v>
      </c>
      <c r="H17" s="1459" t="e">
        <f>SUMIF('[9]KWH RVN Inputs'!$R$2:$R$63569,CONCATENATE("=",TEXT(H$10,"00000"),"WA","RES",TEXT($E17,"0")),'[9]KWH RVN Inputs'!$H$2:$H$63569)</f>
        <v>#VALUE!</v>
      </c>
      <c r="I17" s="1459" t="e">
        <f>SUMIF('[9]KWH RVN Inputs'!$R$2:$R$63569,CONCATENATE("=",TEXT(I$10,"00000"),"WA","RES",TEXT($E17,"0")),'[9]KWH RVN Inputs'!$H$2:$H$63569)</f>
        <v>#VALUE!</v>
      </c>
      <c r="J17" s="1459" t="e">
        <f>SUMIF('[9]KWH RVN Inputs'!$R$2:$R$63569,CONCATENATE("=",TEXT(J$10,"00000"),"WA","RES",TEXT($E17,"0")),'[9]KWH RVN Inputs'!$H$2:$H$63569)</f>
        <v>#VALUE!</v>
      </c>
      <c r="K17" s="1459" t="e">
        <f>SUMIF('[9]KWH RVN Inputs'!$R$2:$R$63569,CONCATENATE("=",TEXT(K$10,"00000"),"WA","RES",TEXT($E17,"0")),'[9]KWH RVN Inputs'!$H$2:$H$63569)</f>
        <v>#VALUE!</v>
      </c>
      <c r="L17" s="1459" t="e">
        <f>GETPIVOTDATA("Total kWh",'[9]Prorate 07-13 WA'!$A$6,"Revenue Class Cd","RES","Effect","Pre 7/1/2013","Rate",17)</f>
        <v>#REF!</v>
      </c>
      <c r="M17" s="1459" t="e">
        <f>GETPIVOTDATA("Total kWh",'[9]Prorate 07-13 WA'!$A$6,"Revenue Class Cd","RES","Effect","Post 7/1/2013","Rate",17)</f>
        <v>#REF!</v>
      </c>
      <c r="N17" s="1459" t="e">
        <f>GETPIVOTDATA("Total kWh",'[9]Prorate 08-13 WA'!$A$6,"Revenue Class Cd","RES","Effect","Pre 7/1/2013","Rate",17)</f>
        <v>#REF!</v>
      </c>
      <c r="O17" s="1459" t="e">
        <f>GETPIVOTDATA("Total kWh",'[9]Prorate 08-13 WA'!$A$6,"Revenue Class Cd","RES","Effect","Post 7/1/2013","Rate",17)</f>
        <v>#REF!</v>
      </c>
      <c r="P17" s="1459">
        <f>'[9]WA Prorate 09-13'!C25</f>
        <v>0</v>
      </c>
      <c r="Q17" s="1459">
        <f>'[9]WA Prorate 09-13'!D25</f>
        <v>3711054.6872942401</v>
      </c>
      <c r="R17" s="1459" t="e">
        <f>SUMIF('[9]KWH RVN Inputs'!$R$2:$R$63569,CONCATENATE("=",TEXT(R$10,"00000"),"WA","RES",TEXT($E17,"0")),'[9]KWH RVN Inputs'!$H$2:$H$63569)</f>
        <v>#VALUE!</v>
      </c>
      <c r="S17" s="1459" t="e">
        <f>SUMIF('[9]KWH RVN Inputs'!$R$2:$R$63569,CONCATENATE("=",TEXT(S$10,"00000"),"WA","RES",TEXT($E17,"0")),'[9]KWH RVN Inputs'!$H$2:$H$63569)</f>
        <v>#VALUE!</v>
      </c>
      <c r="T17" s="1459" t="e">
        <f>SUMIF('[9]KWH RVN Inputs'!$R$2:$R$63569,CONCATENATE("=",TEXT(T$10,"00000"),"WA","RES",TEXT($E17,"0")),'[9]KWH RVN Inputs'!$H$2:$H$63569)</f>
        <v>#VALUE!</v>
      </c>
      <c r="U17" s="1459" t="e">
        <f>SUM(F17:T17)</f>
        <v>#VALUE!</v>
      </c>
      <c r="V17" s="1459"/>
      <c r="W17" s="1461">
        <f>W16</f>
        <v>3.1700000000000001E-3</v>
      </c>
      <c r="X17" s="1461">
        <v>2.8300000000000001E-3</v>
      </c>
      <c r="Y17" s="1462" t="e">
        <f>F17*W17</f>
        <v>#VALUE!</v>
      </c>
      <c r="Z17" s="1462" t="e">
        <f t="shared" si="2"/>
        <v>#VALUE!</v>
      </c>
      <c r="AA17" s="1462" t="e">
        <f t="shared" si="2"/>
        <v>#VALUE!</v>
      </c>
      <c r="AB17" s="1462" t="e">
        <f t="shared" si="2"/>
        <v>#VALUE!</v>
      </c>
      <c r="AC17" s="1462" t="e">
        <f t="shared" si="2"/>
        <v>#VALUE!</v>
      </c>
      <c r="AD17" s="1462" t="e">
        <f t="shared" si="2"/>
        <v>#VALUE!</v>
      </c>
      <c r="AE17" s="1462" t="e">
        <f t="shared" si="2"/>
        <v>#REF!</v>
      </c>
      <c r="AF17" s="1462" t="e">
        <f>M17*$X17</f>
        <v>#REF!</v>
      </c>
      <c r="AG17" s="1462" t="e">
        <f>N17*$W17</f>
        <v>#REF!</v>
      </c>
      <c r="AH17" s="1462" t="e">
        <f>O17*$X17</f>
        <v>#REF!</v>
      </c>
      <c r="AI17" s="1462">
        <f t="shared" si="3"/>
        <v>0</v>
      </c>
      <c r="AJ17" s="1462">
        <f t="shared" si="3"/>
        <v>10502.284765042699</v>
      </c>
      <c r="AK17" s="1462" t="e">
        <f t="shared" si="4"/>
        <v>#VALUE!</v>
      </c>
      <c r="AL17" s="1462" t="e">
        <f t="shared" si="4"/>
        <v>#VALUE!</v>
      </c>
      <c r="AM17" s="1462" t="e">
        <f t="shared" si="4"/>
        <v>#VALUE!</v>
      </c>
      <c r="AN17" s="1460">
        <v>200195.69402638945</v>
      </c>
    </row>
    <row r="18" spans="1:40" ht="18">
      <c r="B18" s="1459"/>
      <c r="C18" s="1460"/>
      <c r="D18" s="1460"/>
      <c r="E18" s="1444">
        <v>18</v>
      </c>
      <c r="F18" s="1463" t="e">
        <f>SUMIF('[9]KWH RVN Inputs'!$R$2:$R$63569,CONCATENATE("=",TEXT(F$10,"00000"),"WA","RES",TEXT($E18,"0")),'[9]KWH RVN Inputs'!$H$2:$H$63569)</f>
        <v>#VALUE!</v>
      </c>
      <c r="G18" s="1463" t="e">
        <f>SUMIF('[9]KWH RVN Inputs'!$R$2:$R$63569,CONCATENATE("=",TEXT(G$10,"00000"),"WA","RES",TEXT($E18,"0")),'[9]KWH RVN Inputs'!$H$2:$H$63569)</f>
        <v>#VALUE!</v>
      </c>
      <c r="H18" s="1463" t="e">
        <f>SUMIF('[9]KWH RVN Inputs'!$R$2:$R$63569,CONCATENATE("=",TEXT(H$10,"00000"),"WA","RES",TEXT($E18,"0")),'[9]KWH RVN Inputs'!$H$2:$H$63569)</f>
        <v>#VALUE!</v>
      </c>
      <c r="I18" s="1463" t="e">
        <f>SUMIF('[9]KWH RVN Inputs'!$R$2:$R$63569,CONCATENATE("=",TEXT(I$10,"00000"),"WA","RES",TEXT($E18,"0")),'[9]KWH RVN Inputs'!$H$2:$H$63569)</f>
        <v>#VALUE!</v>
      </c>
      <c r="J18" s="1463" t="e">
        <f>SUMIF('[9]KWH RVN Inputs'!$R$2:$R$63569,CONCATENATE("=",TEXT(J$10,"00000"),"WA","RES",TEXT($E18,"0")),'[9]KWH RVN Inputs'!$H$2:$H$63569)</f>
        <v>#VALUE!</v>
      </c>
      <c r="K18" s="1463" t="e">
        <f>SUMIF('[9]KWH RVN Inputs'!$R$2:$R$63569,CONCATENATE("=",TEXT(K$10,"00000"),"WA","RES",TEXT($E18,"0")),'[9]KWH RVN Inputs'!$H$2:$H$63569)</f>
        <v>#VALUE!</v>
      </c>
      <c r="L18" s="1463" t="e">
        <f>GETPIVOTDATA("Total kWh",'[9]Prorate 07-13 WA'!$A$6,"Revenue Class Cd","RES","Effect","Pre 7/1/2013","Rate",18)</f>
        <v>#REF!</v>
      </c>
      <c r="M18" s="1463" t="e">
        <f>GETPIVOTDATA("Total kWh",'[9]Prorate 07-13 WA'!$A$6,"Revenue Class Cd","RES","Effect","Post 7/1/2013","Rate",18)</f>
        <v>#REF!</v>
      </c>
      <c r="N18" s="1463" t="e">
        <f>GETPIVOTDATA("Total kWh",'[9]Prorate 08-13 WA'!$A$6,"Revenue Class Cd","RES","Effect","Pre 7/1/2013","Rate",18)</f>
        <v>#REF!</v>
      </c>
      <c r="O18" s="1463" t="e">
        <f>GETPIVOTDATA("Total kWh",'[9]Prorate 08-13 WA'!$A$6,"Revenue Class Cd","RES","Effect","Post 7/1/2013","Rate",18)</f>
        <v>#REF!</v>
      </c>
      <c r="P18" s="1463">
        <f>'[9]WA Prorate 09-13'!C26</f>
        <v>0</v>
      </c>
      <c r="Q18" s="1463">
        <f>'[9]WA Prorate 09-13'!D26</f>
        <v>224905.93666538651</v>
      </c>
      <c r="R18" s="1463" t="e">
        <f>SUMIF('[9]KWH RVN Inputs'!$R$2:$R$63569,CONCATENATE("=",TEXT(R$10,"00000"),"WA","RES",TEXT($E18,"0")),'[9]KWH RVN Inputs'!$H$2:$H$63569)</f>
        <v>#VALUE!</v>
      </c>
      <c r="S18" s="1463" t="e">
        <f>SUMIF('[9]KWH RVN Inputs'!$R$2:$R$63569,CONCATENATE("=",TEXT(S$10,"00000"),"WA","RES",TEXT($E18,"0")),'[9]KWH RVN Inputs'!$H$2:$H$63569)</f>
        <v>#VALUE!</v>
      </c>
      <c r="T18" s="1463" t="e">
        <f>SUMIF('[9]KWH RVN Inputs'!$R$2:$R$63569,CONCATENATE("=",TEXT(T$10,"00000"),"WA","RES",TEXT($E18,"0")),'[9]KWH RVN Inputs'!$H$2:$H$63569)</f>
        <v>#VALUE!</v>
      </c>
      <c r="U18" s="1463" t="e">
        <f>SUM(F18:T18)</f>
        <v>#VALUE!</v>
      </c>
      <c r="V18" s="1459"/>
      <c r="W18" s="1461">
        <f>W16</f>
        <v>3.1700000000000001E-3</v>
      </c>
      <c r="X18" s="1461">
        <v>2.8300000000000001E-3</v>
      </c>
      <c r="Y18" s="1464" t="e">
        <f>F18*W18</f>
        <v>#VALUE!</v>
      </c>
      <c r="Z18" s="1464" t="e">
        <f t="shared" si="2"/>
        <v>#VALUE!</v>
      </c>
      <c r="AA18" s="1464" t="e">
        <f t="shared" si="2"/>
        <v>#VALUE!</v>
      </c>
      <c r="AB18" s="1464" t="e">
        <f t="shared" si="2"/>
        <v>#VALUE!</v>
      </c>
      <c r="AC18" s="1464" t="e">
        <f t="shared" si="2"/>
        <v>#VALUE!</v>
      </c>
      <c r="AD18" s="1464" t="e">
        <f t="shared" si="2"/>
        <v>#VALUE!</v>
      </c>
      <c r="AE18" s="1464" t="e">
        <f t="shared" si="2"/>
        <v>#REF!</v>
      </c>
      <c r="AF18" s="1464" t="e">
        <f>M18*$X18</f>
        <v>#REF!</v>
      </c>
      <c r="AG18" s="1464" t="e">
        <f>N18*$W18</f>
        <v>#REF!</v>
      </c>
      <c r="AH18" s="1464" t="e">
        <f>O18*$X18</f>
        <v>#REF!</v>
      </c>
      <c r="AI18" s="1464">
        <f t="shared" si="3"/>
        <v>0</v>
      </c>
      <c r="AJ18" s="1464">
        <f t="shared" si="3"/>
        <v>636.48380076304386</v>
      </c>
      <c r="AK18" s="1464" t="e">
        <f t="shared" si="4"/>
        <v>#VALUE!</v>
      </c>
      <c r="AL18" s="1464" t="e">
        <f t="shared" si="4"/>
        <v>#VALUE!</v>
      </c>
      <c r="AM18" s="1464" t="e">
        <f t="shared" si="4"/>
        <v>#VALUE!</v>
      </c>
      <c r="AN18" s="1465">
        <v>8169.6142648089653</v>
      </c>
    </row>
    <row r="19" spans="1:40" ht="18">
      <c r="B19" s="1459"/>
      <c r="C19" s="1460"/>
      <c r="D19" s="1460" t="s">
        <v>890</v>
      </c>
      <c r="E19" s="1444"/>
      <c r="F19" s="1459" t="e">
        <f t="shared" ref="F19:T19" si="5">SUM(F15:F18)</f>
        <v>#VALUE!</v>
      </c>
      <c r="G19" s="1459" t="e">
        <f t="shared" si="5"/>
        <v>#VALUE!</v>
      </c>
      <c r="H19" s="1459" t="e">
        <f t="shared" si="5"/>
        <v>#VALUE!</v>
      </c>
      <c r="I19" s="1459" t="e">
        <f t="shared" si="5"/>
        <v>#VALUE!</v>
      </c>
      <c r="J19" s="1459" t="e">
        <f t="shared" si="5"/>
        <v>#VALUE!</v>
      </c>
      <c r="K19" s="1459" t="e">
        <f t="shared" si="5"/>
        <v>#VALUE!</v>
      </c>
      <c r="L19" s="1459" t="e">
        <f t="shared" si="5"/>
        <v>#REF!</v>
      </c>
      <c r="M19" s="1459" t="e">
        <f t="shared" si="5"/>
        <v>#REF!</v>
      </c>
      <c r="N19" s="1459" t="e">
        <f t="shared" si="5"/>
        <v>#REF!</v>
      </c>
      <c r="O19" s="1459" t="e">
        <f t="shared" si="5"/>
        <v>#REF!</v>
      </c>
      <c r="P19" s="1459">
        <f t="shared" si="5"/>
        <v>13186.099697020351</v>
      </c>
      <c r="Q19" s="1459">
        <f t="shared" si="5"/>
        <v>116434436.55551958</v>
      </c>
      <c r="R19" s="1459" t="e">
        <f t="shared" si="5"/>
        <v>#VALUE!</v>
      </c>
      <c r="S19" s="1459" t="e">
        <f t="shared" si="5"/>
        <v>#VALUE!</v>
      </c>
      <c r="T19" s="1459" t="e">
        <f t="shared" si="5"/>
        <v>#VALUE!</v>
      </c>
      <c r="U19" s="1459" t="e">
        <f>SUM(U15:U18)</f>
        <v>#VALUE!</v>
      </c>
      <c r="V19" s="1459"/>
      <c r="W19" s="1461"/>
      <c r="X19" s="1461"/>
      <c r="Y19" s="1462" t="e">
        <f t="shared" ref="Y19:AM19" si="6">SUM(Y15:Y18)</f>
        <v>#VALUE!</v>
      </c>
      <c r="Z19" s="1462" t="e">
        <f t="shared" si="6"/>
        <v>#VALUE!</v>
      </c>
      <c r="AA19" s="1462" t="e">
        <f t="shared" si="6"/>
        <v>#VALUE!</v>
      </c>
      <c r="AB19" s="1462" t="e">
        <f t="shared" si="6"/>
        <v>#VALUE!</v>
      </c>
      <c r="AC19" s="1462" t="e">
        <f t="shared" si="6"/>
        <v>#VALUE!</v>
      </c>
      <c r="AD19" s="1462" t="e">
        <f t="shared" si="6"/>
        <v>#VALUE!</v>
      </c>
      <c r="AE19" s="1462" t="e">
        <f t="shared" si="6"/>
        <v>#REF!</v>
      </c>
      <c r="AF19" s="1462" t="e">
        <f t="shared" si="6"/>
        <v>#REF!</v>
      </c>
      <c r="AG19" s="1462" t="e">
        <f t="shared" si="6"/>
        <v>#REF!</v>
      </c>
      <c r="AH19" s="1462" t="e">
        <f t="shared" si="6"/>
        <v>#REF!</v>
      </c>
      <c r="AI19" s="1462">
        <f t="shared" si="6"/>
        <v>41.79993603955451</v>
      </c>
      <c r="AJ19" s="1462">
        <f t="shared" si="6"/>
        <v>329485.47574099287</v>
      </c>
      <c r="AK19" s="1462" t="e">
        <f t="shared" si="6"/>
        <v>#VALUE!</v>
      </c>
      <c r="AL19" s="1462" t="e">
        <f t="shared" si="6"/>
        <v>#VALUE!</v>
      </c>
      <c r="AM19" s="1462" t="e">
        <f t="shared" si="6"/>
        <v>#VALUE!</v>
      </c>
      <c r="AN19" s="1462">
        <v>4904240.8359003486</v>
      </c>
    </row>
    <row r="20" spans="1:40" ht="18">
      <c r="A20" s="1459"/>
      <c r="B20" s="1459"/>
      <c r="C20" s="1460"/>
      <c r="D20" s="1460"/>
      <c r="E20" s="1444"/>
      <c r="Y20" s="1462"/>
      <c r="Z20" s="1462"/>
      <c r="AA20" s="1462"/>
      <c r="AB20" s="1462"/>
      <c r="AC20" s="1462"/>
      <c r="AD20" s="1462"/>
    </row>
    <row r="21" spans="1:40" ht="18">
      <c r="A21" s="1459"/>
      <c r="B21" s="1459"/>
      <c r="C21" s="1460"/>
      <c r="D21" s="1460" t="s">
        <v>18</v>
      </c>
      <c r="E21" s="1444"/>
      <c r="Y21" s="1462"/>
      <c r="Z21" s="1462"/>
      <c r="AA21" s="1462"/>
      <c r="AB21" s="1462"/>
      <c r="AC21" s="1462"/>
      <c r="AD21" s="1462"/>
    </row>
    <row r="22" spans="1:40" ht="18">
      <c r="A22" s="1459"/>
      <c r="B22" s="1459"/>
      <c r="C22" s="1460"/>
      <c r="D22" s="1460"/>
      <c r="E22" s="1444">
        <v>15</v>
      </c>
      <c r="F22" s="1459" t="e">
        <f>SUMIF('[9]KWH RVN Inputs'!$R$2:$R$63569,CONCATENATE("=",TEXT(F$10,"00000"),"WA","COM",TEXT($E22,"0")),'[9]KWH RVN Inputs'!$H$2:$H$63569)</f>
        <v>#VALUE!</v>
      </c>
      <c r="G22" s="1459" t="e">
        <f>SUMIF('[9]KWH RVN Inputs'!$R$2:$R$63569,CONCATENATE("=",TEXT(G$10,"00000"),"WA","COM",TEXT($E22,"0")),'[9]KWH RVN Inputs'!$H$2:$H$63569)</f>
        <v>#VALUE!</v>
      </c>
      <c r="H22" s="1459" t="e">
        <f>SUMIF('[9]KWH RVN Inputs'!$R$2:$R$63569,CONCATENATE("=",TEXT(H$10,"00000"),"WA","COM",TEXT($E22,"0")),'[9]KWH RVN Inputs'!$H$2:$H$63569)</f>
        <v>#VALUE!</v>
      </c>
      <c r="I22" s="1459" t="e">
        <f>SUMIF('[9]KWH RVN Inputs'!$R$2:$R$63569,CONCATENATE("=",TEXT(I$10,"00000"),"WA","COM",TEXT($E22,"0")),'[9]KWH RVN Inputs'!$H$2:$H$63569)</f>
        <v>#VALUE!</v>
      </c>
      <c r="J22" s="1459" t="e">
        <f>SUMIF('[9]KWH RVN Inputs'!$R$2:$R$63569,CONCATENATE("=",TEXT(J$10,"00000"),"WA","COM",TEXT($E22,"0")),'[9]KWH RVN Inputs'!$H$2:$H$63569)</f>
        <v>#VALUE!</v>
      </c>
      <c r="K22" s="1459" t="e">
        <f>SUMIF('[9]KWH RVN Inputs'!$R$2:$R$63569,CONCATENATE("=",TEXT(K$10,"00000"),"WA","COM",TEXT($E22,"0")),'[9]KWH RVN Inputs'!$H$2:$H$63569)</f>
        <v>#VALUE!</v>
      </c>
      <c r="L22" s="1459" t="e">
        <f>GETPIVOTDATA("Total kWh",'[9]Prorate 07-13 WA'!$A$6,"Revenue Class Cd","COM","Effect","Pre 7/1/2013","Rate",15)</f>
        <v>#REF!</v>
      </c>
      <c r="M22" s="1459" t="e">
        <f>GETPIVOTDATA("Total kWh",'[9]Prorate 07-13 WA'!$A$6,"Revenue Class Cd","COM","Effect","Post 7/1/2013","Rate",15)</f>
        <v>#REF!</v>
      </c>
      <c r="N22" s="1459" t="e">
        <f>GETPIVOTDATA("Total kWh",'[9]Prorate 08-13 WA'!$A$6,"Revenue Class Cd","COM","Effect","Pre 7/1/2013","Rate",15)</f>
        <v>#REF!</v>
      </c>
      <c r="O22" s="1459" t="e">
        <f>GETPIVOTDATA("Total kWh",'[9]Prorate 08-13 WA'!$A$6,"Revenue Class Cd","COM","Effect","Post 7/1/2013","Rate",15)</f>
        <v>#REF!</v>
      </c>
      <c r="P22" s="1459">
        <f>'[9]WA Prorate 09-13'!C8</f>
        <v>0</v>
      </c>
      <c r="Q22" s="1459">
        <f>'[9]WA Prorate 09-13'!D8</f>
        <v>180715.07425076482</v>
      </c>
      <c r="R22" s="1459" t="e">
        <f>SUMIF('[9]KWH RVN Inputs'!$R$2:$R$63569,CONCATENATE("=",TEXT(R$10,"00000"),"WA","COM",TEXT($E22,"0")),'[9]KWH RVN Inputs'!$H$2:$H$63569)</f>
        <v>#VALUE!</v>
      </c>
      <c r="S22" s="1459" t="e">
        <f>SUMIF('[9]KWH RVN Inputs'!$R$2:$R$63569,CONCATENATE("=",TEXT(S$10,"00000"),"WA","COM",TEXT($E22,"0")),'[9]KWH RVN Inputs'!$H$2:$H$63569)</f>
        <v>#VALUE!</v>
      </c>
      <c r="T22" s="1459" t="e">
        <f>SUMIF('[9]KWH RVN Inputs'!$R$2:$R$63569,CONCATENATE("=",TEXT(T$10,"00000"),"WA","COM",TEXT($E22,"0")),'[9]KWH RVN Inputs'!$H$2:$H$63569)</f>
        <v>#VALUE!</v>
      </c>
      <c r="U22" s="1459" t="e">
        <f>SUM(F22:T22)</f>
        <v>#VALUE!</v>
      </c>
      <c r="V22" s="1459"/>
      <c r="W22" s="1461">
        <v>2.8700000000000002E-3</v>
      </c>
      <c r="X22" s="1461">
        <v>2.5600000000000002E-3</v>
      </c>
      <c r="Y22" s="1462" t="e">
        <f>F22*W22</f>
        <v>#VALUE!</v>
      </c>
      <c r="Z22" s="1462" t="e">
        <f t="shared" ref="Z22:AE26" si="7">G22*$W22</f>
        <v>#VALUE!</v>
      </c>
      <c r="AA22" s="1462" t="e">
        <f t="shared" si="7"/>
        <v>#VALUE!</v>
      </c>
      <c r="AB22" s="1462" t="e">
        <f t="shared" si="7"/>
        <v>#VALUE!</v>
      </c>
      <c r="AC22" s="1462" t="e">
        <f t="shared" si="7"/>
        <v>#VALUE!</v>
      </c>
      <c r="AD22" s="1462" t="e">
        <f t="shared" si="7"/>
        <v>#VALUE!</v>
      </c>
      <c r="AE22" s="1462" t="e">
        <f t="shared" si="7"/>
        <v>#REF!</v>
      </c>
      <c r="AF22" s="1462" t="e">
        <f>M22*$X22</f>
        <v>#REF!</v>
      </c>
      <c r="AG22" s="1462" t="e">
        <f>N22*$W22</f>
        <v>#REF!</v>
      </c>
      <c r="AH22" s="1462" t="e">
        <f>O22*$X22</f>
        <v>#REF!</v>
      </c>
      <c r="AI22" s="1462">
        <f t="shared" ref="AI22:AJ26" si="8">P22*W22</f>
        <v>0</v>
      </c>
      <c r="AJ22" s="1462">
        <f t="shared" si="8"/>
        <v>462.63059008195796</v>
      </c>
      <c r="AK22" s="1462" t="e">
        <f>R22*$X22</f>
        <v>#VALUE!</v>
      </c>
      <c r="AL22" s="1462" t="e">
        <f>S22*$X22</f>
        <v>#VALUE!</v>
      </c>
      <c r="AM22" s="1462" t="e">
        <f>T22*$X22</f>
        <v>#VALUE!</v>
      </c>
      <c r="AN22" s="1460">
        <v>5818.4841912810543</v>
      </c>
    </row>
    <row r="23" spans="1:40" ht="18">
      <c r="A23" s="1459"/>
      <c r="B23" s="1459"/>
      <c r="C23" s="1460"/>
      <c r="D23" s="1460"/>
      <c r="E23" s="1444">
        <v>24</v>
      </c>
      <c r="F23" s="1459" t="e">
        <f>SUMIF('[9]KWH RVN Inputs'!$R$2:$R$63569,CONCATENATE("=",TEXT(F$10,"00000"),"WA","COM",TEXT($E23,"0")),'[9]KWH RVN Inputs'!$H$2:$H$63569)+SUMIF('[9]KWH RVN Inputs'!$R$2:$R$63569,CONCATENATE("=",TEXT(F$10,"00000"),"WA","RES",TEXT($E23,"0")),'[9]KWH RVN Inputs'!$H$2:$H$63569)</f>
        <v>#VALUE!</v>
      </c>
      <c r="G23" s="1459" t="e">
        <f>SUMIF('[9]KWH RVN Inputs'!$R$2:$R$63569,CONCATENATE("=",TEXT(G$10,"00000"),"WA","COM",TEXT($E23,"0")),'[9]KWH RVN Inputs'!$H$2:$H$63569)+SUMIF('[9]KWH RVN Inputs'!$R$2:$R$63569,CONCATENATE("=",TEXT(G$10,"00000"),"WA","RES",TEXT($E23,"0")),'[9]KWH RVN Inputs'!$H$2:$H$63569)</f>
        <v>#VALUE!</v>
      </c>
      <c r="H23" s="1459" t="e">
        <f>SUMIF('[9]KWH RVN Inputs'!$R$2:$R$63569,CONCATENATE("=",TEXT(H$10,"00000"),"WA","COM",TEXT($E23,"0")),'[9]KWH RVN Inputs'!$H$2:$H$63569)+SUMIF('[9]KWH RVN Inputs'!$R$2:$R$63569,CONCATENATE("=",TEXT(H$10,"00000"),"WA","RES",TEXT($E23,"0")),'[9]KWH RVN Inputs'!$H$2:$H$63569)</f>
        <v>#VALUE!</v>
      </c>
      <c r="I23" s="1459" t="e">
        <f>SUMIF('[9]KWH RVN Inputs'!$R$2:$R$63569,CONCATENATE("=",TEXT(I$10,"00000"),"WA","COM",TEXT($E23,"0")),'[9]KWH RVN Inputs'!$H$2:$H$63569)+SUMIF('[9]KWH RVN Inputs'!$R$2:$R$63569,CONCATENATE("=",TEXT(I$10,"00000"),"WA","RES",TEXT($E23,"0")),'[9]KWH RVN Inputs'!$H$2:$H$63569)</f>
        <v>#VALUE!</v>
      </c>
      <c r="J23" s="1459" t="e">
        <f>SUMIF('[9]KWH RVN Inputs'!$R$2:$R$63569,CONCATENATE("=",TEXT(J$10,"00000"),"WA","COM",TEXT($E23,"0")),'[9]KWH RVN Inputs'!$H$2:$H$63569)+SUMIF('[9]KWH RVN Inputs'!$R$2:$R$63569,CONCATENATE("=",TEXT(J$10,"00000"),"WA","RES",TEXT($E23,"0")),'[9]KWH RVN Inputs'!$H$2:$H$63569)</f>
        <v>#VALUE!</v>
      </c>
      <c r="K23" s="1459" t="e">
        <f>SUMIF('[9]KWH RVN Inputs'!$R$2:$R$63569,CONCATENATE("=",TEXT(K$10,"00000"),"WA","COM",TEXT($E23,"0")),'[9]KWH RVN Inputs'!$H$2:$H$63569)+SUMIF('[9]KWH RVN Inputs'!$R$2:$R$63569,CONCATENATE("=",TEXT(K$10,"00000"),"WA","RES",TEXT($E23,"0")),'[9]KWH RVN Inputs'!$H$2:$H$63569)</f>
        <v>#VALUE!</v>
      </c>
      <c r="L23" s="1459" t="e">
        <f>GETPIVOTDATA("Total kWh",'[9]Prorate 07-13 WA'!$A$6,"Revenue Class Cd","COM","Effect","Pre 7/1/2013","Rate",24)+GETPIVOTDATA("Total kWh",'[9]Prorate 07-13 WA'!$A$6,"Revenue Class Cd","RES","Effect","Pre 7/1/2013","Rate",24)</f>
        <v>#REF!</v>
      </c>
      <c r="M23" s="1459" t="e">
        <f>GETPIVOTDATA("Total kWh",'[9]Prorate 07-13 WA'!$A$6,"Revenue Class Cd","COM","Effect","Post 7/1/2013","Rate",24)+GETPIVOTDATA("Total kWh",'[9]Prorate 07-13 WA'!$A$6,"Revenue Class Cd","RES","Effect","Post 7/1/2013","Rate",24)</f>
        <v>#REF!</v>
      </c>
      <c r="N23" s="1459" t="e">
        <f>GETPIVOTDATA("Total kWh",'[9]Prorate 08-13 WA'!$A$6,"Revenue Class Cd","COM","Effect","Pre 7/1/2013","Rate",24)+GETPIVOTDATA("Total kWh",'[9]Prorate 08-13 WA'!$A$6,"Revenue Class Cd","RES","Effect","Pre 7/1/2013","Rate",24)</f>
        <v>#REF!</v>
      </c>
      <c r="O23" s="1459" t="e">
        <f>GETPIVOTDATA("Total kWh",'[9]Prorate 08-13 WA'!$A$6,"Revenue Class Cd","COM","Effect","Post 7/1/2013","Rate",24)+GETPIVOTDATA("Total kWh",'[9]Prorate 08-13 WA'!$A$6,"Revenue Class Cd","RES","Effect","Post 7/1/2013","Rate",24)</f>
        <v>#REF!</v>
      </c>
      <c r="P23" s="1459">
        <f>'[9]WA Prorate 09-13'!C9</f>
        <v>8898.8257791058786</v>
      </c>
      <c r="Q23" s="1459">
        <f>'[9]WA Prorate 09-13'!D9+'[9]WA Prorate 09-13'!D27</f>
        <v>48060629.060808122</v>
      </c>
      <c r="R23" s="1459" t="e">
        <f>SUMIF('[9]KWH RVN Inputs'!$R$2:$R$63569,CONCATENATE("=",TEXT(R$10,"00000"),"WA","COM",TEXT($E23,"0")),'[9]KWH RVN Inputs'!$H$2:$H$63569)+SUMIF('[9]KWH RVN Inputs'!$R$2:$R$63569,CONCATENATE("=",TEXT(R$10,"00000"),"WA","RES",TEXT($E23,"0")),'[9]KWH RVN Inputs'!$H$2:$H$63569)</f>
        <v>#VALUE!</v>
      </c>
      <c r="S23" s="1459" t="e">
        <f>SUMIF('[9]KWH RVN Inputs'!$R$2:$R$63569,CONCATENATE("=",TEXT(S$10,"00000"),"WA","COM",TEXT($E23,"0")),'[9]KWH RVN Inputs'!$H$2:$H$63569)+SUMIF('[9]KWH RVN Inputs'!$R$2:$R$63569,CONCATENATE("=",TEXT(S$10,"00000"),"WA","RES",TEXT($E23,"0")),'[9]KWH RVN Inputs'!$H$2:$H$63569)</f>
        <v>#VALUE!</v>
      </c>
      <c r="T23" s="1459" t="e">
        <f>SUMIF('[9]KWH RVN Inputs'!$R$2:$R$63569,CONCATENATE("=",TEXT(T$10,"00000"),"WA","COM",TEXT($E23,"0")),'[9]KWH RVN Inputs'!$H$2:$H$63569)+SUMIF('[9]KWH RVN Inputs'!$R$2:$R$63569,CONCATENATE("=",TEXT(T$10,"00000"),"WA","RES",TEXT($E23,"0")),'[9]KWH RVN Inputs'!$H$2:$H$63569)</f>
        <v>#VALUE!</v>
      </c>
      <c r="U23" s="1459" t="e">
        <f>SUM(F23:T23)</f>
        <v>#VALUE!</v>
      </c>
      <c r="V23" s="1459"/>
      <c r="W23" s="1461">
        <v>3.1700000000000001E-3</v>
      </c>
      <c r="X23" s="1461">
        <v>2.8300000000000001E-3</v>
      </c>
      <c r="Y23" s="1462" t="e">
        <f>F23*W23</f>
        <v>#VALUE!</v>
      </c>
      <c r="Z23" s="1462" t="e">
        <f t="shared" si="7"/>
        <v>#VALUE!</v>
      </c>
      <c r="AA23" s="1462" t="e">
        <f t="shared" si="7"/>
        <v>#VALUE!</v>
      </c>
      <c r="AB23" s="1462" t="e">
        <f t="shared" si="7"/>
        <v>#VALUE!</v>
      </c>
      <c r="AC23" s="1462" t="e">
        <f t="shared" si="7"/>
        <v>#VALUE!</v>
      </c>
      <c r="AD23" s="1462" t="e">
        <f t="shared" si="7"/>
        <v>#VALUE!</v>
      </c>
      <c r="AE23" s="1462" t="e">
        <f t="shared" si="7"/>
        <v>#REF!</v>
      </c>
      <c r="AF23" s="1462" t="e">
        <f>M23*$X23</f>
        <v>#REF!</v>
      </c>
      <c r="AG23" s="1462" t="e">
        <f>N23*$W23</f>
        <v>#REF!</v>
      </c>
      <c r="AH23" s="1462" t="e">
        <f>O23*$X23</f>
        <v>#REF!</v>
      </c>
      <c r="AI23" s="1462">
        <f t="shared" si="8"/>
        <v>28.209277719765637</v>
      </c>
      <c r="AJ23" s="1462">
        <f t="shared" si="8"/>
        <v>136011.58024208699</v>
      </c>
      <c r="AK23" s="1462" t="e">
        <f t="shared" ref="AK23:AM26" si="9">R23*$X23</f>
        <v>#VALUE!</v>
      </c>
      <c r="AL23" s="1462" t="e">
        <f t="shared" si="9"/>
        <v>#VALUE!</v>
      </c>
      <c r="AM23" s="1462" t="e">
        <f t="shared" si="9"/>
        <v>#VALUE!</v>
      </c>
      <c r="AN23" s="1460">
        <v>1607846.9240615133</v>
      </c>
    </row>
    <row r="24" spans="1:40" ht="18">
      <c r="A24" s="1459"/>
      <c r="B24" s="1459"/>
      <c r="C24" s="1460"/>
      <c r="D24" s="1460"/>
      <c r="E24" s="1444" t="s">
        <v>891</v>
      </c>
      <c r="F24" s="1459" t="e">
        <f>SUMIF('[9]KWH RVN Inputs'!$R$2:$R$63569,CONCATENATE("=",TEXT(F$10,"00000"),"WA","COM",TEXT($E24,"0")),'[9]KWH RVN Inputs'!$H$2:$H$63569)</f>
        <v>#VALUE!</v>
      </c>
      <c r="G24" s="1459" t="e">
        <f>SUMIF('[9]KWH RVN Inputs'!$R$2:$R$63569,CONCATENATE("=",TEXT(G$10,"00000"),"WA","COM",TEXT($E24,"0")),'[9]KWH RVN Inputs'!$H$2:$H$63569)</f>
        <v>#VALUE!</v>
      </c>
      <c r="H24" s="1459" t="e">
        <f>SUMIF('[9]KWH RVN Inputs'!$R$2:$R$63569,CONCATENATE("=",TEXT(H$10,"00000"),"WA","COM",TEXT($E24,"0")),'[9]KWH RVN Inputs'!$H$2:$H$63569)</f>
        <v>#VALUE!</v>
      </c>
      <c r="I24" s="1459" t="e">
        <f>SUMIF('[9]KWH RVN Inputs'!$R$2:$R$63569,CONCATENATE("=",TEXT(I$10,"00000"),"WA","COM",TEXT($E24,"0")),'[9]KWH RVN Inputs'!$H$2:$H$63569)</f>
        <v>#VALUE!</v>
      </c>
      <c r="J24" s="1459" t="e">
        <f>SUMIF('[9]KWH RVN Inputs'!$R$2:$R$63569,CONCATENATE("=",TEXT(J$10,"00000"),"WA","COM",TEXT($E24,"0")),'[9]KWH RVN Inputs'!$H$2:$H$63569)</f>
        <v>#VALUE!</v>
      </c>
      <c r="K24" s="1459" t="e">
        <f>SUMIF('[9]KWH RVN Inputs'!$R$2:$R$63569,CONCATENATE("=",TEXT(K$10,"00000"),"WA","COM",TEXT($E24,"0")),'[9]KWH RVN Inputs'!$H$2:$H$63569)</f>
        <v>#VALUE!</v>
      </c>
      <c r="L24" s="1459" t="e">
        <f>GETPIVOTDATA("Total kWh",'[9]Prorate 07-13 WA'!$A$6,"Revenue Class Cd","COM","Effect","Pre 7/1/2013","Rate",36)</f>
        <v>#REF!</v>
      </c>
      <c r="M24" s="1459" t="e">
        <f>GETPIVOTDATA("Total kWh",'[9]Prorate 07-13 WA'!$A$6,"Revenue Class Cd","COM","Effect","Post 7/1/2013","Rate",36)</f>
        <v>#REF!</v>
      </c>
      <c r="N24" s="1459" t="e">
        <f>GETPIVOTDATA("Total kWh",'[9]Prorate 08-13 WA'!$A$6,"Revenue Class Cd","COM","Effect","Pre 7/1/2013","Rate",36)</f>
        <v>#REF!</v>
      </c>
      <c r="O24" s="1459" t="e">
        <f>GETPIVOTDATA("Total kWh",'[9]Prorate 08-13 WA'!$A$6,"Revenue Class Cd","COM","Effect","Post 7/1/2013","Rate",36)</f>
        <v>#REF!</v>
      </c>
      <c r="P24" s="1459">
        <f>'[9]WA Prorate 09-13'!C10</f>
        <v>218762.92047253129</v>
      </c>
      <c r="Q24" s="1459">
        <f>'[9]WA Prorate 09-13'!D10</f>
        <v>74731873.609021679</v>
      </c>
      <c r="R24" s="1459" t="e">
        <f>SUMIF('[9]KWH RVN Inputs'!$R$2:$R$63569,CONCATENATE("=",TEXT(R$10,"00000"),"WA","COM",TEXT($E24,"0")),'[9]KWH RVN Inputs'!$H$2:$H$63569)</f>
        <v>#VALUE!</v>
      </c>
      <c r="S24" s="1459" t="e">
        <f>SUMIF('[9]KWH RVN Inputs'!$R$2:$R$63569,CONCATENATE("=",TEXT(S$10,"00000"),"WA","COM",TEXT($E24,"0")),'[9]KWH RVN Inputs'!$H$2:$H$63569)</f>
        <v>#VALUE!</v>
      </c>
      <c r="T24" s="1459" t="e">
        <f>SUMIF('[9]KWH RVN Inputs'!$R$2:$R$63569,CONCATENATE("=",TEXT(T$10,"00000"),"WA","COM",TEXT($E24,"0")),'[9]KWH RVN Inputs'!$H$2:$H$63569)</f>
        <v>#VALUE!</v>
      </c>
      <c r="U24" s="1459" t="e">
        <f>SUM(F24:T24)</f>
        <v>#VALUE!</v>
      </c>
      <c r="V24" s="1459"/>
      <c r="W24" s="1461">
        <v>2.6800000000000001E-3</v>
      </c>
      <c r="X24" s="1461">
        <v>2.3999999999999998E-3</v>
      </c>
      <c r="Y24" s="1462" t="e">
        <f>F24*W24</f>
        <v>#VALUE!</v>
      </c>
      <c r="Z24" s="1462" t="e">
        <f t="shared" si="7"/>
        <v>#VALUE!</v>
      </c>
      <c r="AA24" s="1462" t="e">
        <f t="shared" si="7"/>
        <v>#VALUE!</v>
      </c>
      <c r="AB24" s="1462" t="e">
        <f t="shared" si="7"/>
        <v>#VALUE!</v>
      </c>
      <c r="AC24" s="1462" t="e">
        <f t="shared" si="7"/>
        <v>#VALUE!</v>
      </c>
      <c r="AD24" s="1462" t="e">
        <f t="shared" si="7"/>
        <v>#VALUE!</v>
      </c>
      <c r="AE24" s="1462" t="e">
        <f t="shared" si="7"/>
        <v>#REF!</v>
      </c>
      <c r="AF24" s="1462" t="e">
        <f>M24*$X24</f>
        <v>#REF!</v>
      </c>
      <c r="AG24" s="1462" t="e">
        <f>N24*$W24</f>
        <v>#REF!</v>
      </c>
      <c r="AH24" s="1462" t="e">
        <f>O24*$X24</f>
        <v>#REF!</v>
      </c>
      <c r="AI24" s="1462">
        <f t="shared" si="8"/>
        <v>586.28462686638386</v>
      </c>
      <c r="AJ24" s="1462">
        <f t="shared" si="8"/>
        <v>179356.49666165203</v>
      </c>
      <c r="AK24" s="1462" t="e">
        <f t="shared" si="9"/>
        <v>#VALUE!</v>
      </c>
      <c r="AL24" s="1462" t="e">
        <f t="shared" si="9"/>
        <v>#VALUE!</v>
      </c>
      <c r="AM24" s="1462" t="e">
        <f t="shared" si="9"/>
        <v>#VALUE!</v>
      </c>
      <c r="AN24" s="1460">
        <v>2050096.6766950111</v>
      </c>
    </row>
    <row r="25" spans="1:40" ht="18">
      <c r="A25" s="1459"/>
      <c r="B25" s="1459"/>
      <c r="C25" s="1460"/>
      <c r="D25" s="1460"/>
      <c r="E25" s="1444" t="s">
        <v>71</v>
      </c>
      <c r="F25" s="1459" t="e">
        <f>SUMIF('[9]KWH RVN Inputs'!$R$2:$R$63569,CONCATENATE("=",TEXT(F$10,"00000"),"WA","COM",TEXT($E25,"0")),'[9]KWH RVN Inputs'!$H$2:$H$63569)</f>
        <v>#VALUE!</v>
      </c>
      <c r="G25" s="1459" t="e">
        <f>SUMIF('[9]KWH RVN Inputs'!$R$2:$R$63569,CONCATENATE("=",TEXT(G$10,"00000"),"WA","COM",TEXT($E25,"0")),'[9]KWH RVN Inputs'!$H$2:$H$63569)</f>
        <v>#VALUE!</v>
      </c>
      <c r="H25" s="1459" t="e">
        <f>SUMIF('[9]KWH RVN Inputs'!$R$2:$R$63569,CONCATENATE("=",TEXT(H$10,"00000"),"WA","COM",TEXT($E25,"0")),'[9]KWH RVN Inputs'!$H$2:$H$63569)</f>
        <v>#VALUE!</v>
      </c>
      <c r="I25" s="1459" t="e">
        <f>SUMIF('[9]KWH RVN Inputs'!$R$2:$R$63569,CONCATENATE("=",TEXT(I$10,"00000"),"WA","COM",TEXT($E25,"0")),'[9]KWH RVN Inputs'!$H$2:$H$63569)</f>
        <v>#VALUE!</v>
      </c>
      <c r="J25" s="1459" t="e">
        <f>SUMIF('[9]KWH RVN Inputs'!$R$2:$R$63569,CONCATENATE("=",TEXT(J$10,"00000"),"WA","COM",TEXT($E25,"0")),'[9]KWH RVN Inputs'!$H$2:$H$63569)</f>
        <v>#VALUE!</v>
      </c>
      <c r="K25" s="1459" t="e">
        <f>SUMIF('[9]KWH RVN Inputs'!$R$2:$R$63569,CONCATENATE("=",TEXT(K$10,"00000"),"WA","COM",TEXT($E25,"0")),'[9]KWH RVN Inputs'!$H$2:$H$63569)</f>
        <v>#VALUE!</v>
      </c>
      <c r="L25" s="1459" t="e">
        <f>GETPIVOTDATA("Total kWh",'[9]Prorate 07-13 WA'!$A$6,"Revenue Class Cd","COM","Effect","Pre 7/1/2013","Rate",48)</f>
        <v>#REF!</v>
      </c>
      <c r="M25" s="1459" t="e">
        <f>GETPIVOTDATA("Total kWh",'[9]Prorate 07-13 WA'!$A$6,"Revenue Class Cd","COM","Effect","Post 7/1/2013","Rate",48)</f>
        <v>#REF!</v>
      </c>
      <c r="N25" s="1459" t="e">
        <f>GETPIVOTDATA("Total kWh",'[9]Prorate 08-13 WA'!$A$6,"Revenue Class Cd","COM","Effect","Pre 7/1/2013","Rate",48)</f>
        <v>#REF!</v>
      </c>
      <c r="O25" s="1459" t="e">
        <f>GETPIVOTDATA("Total kWh",'[9]Prorate 08-13 WA'!$A$6,"Revenue Class Cd","COM","Effect","Post 7/1/2013","Rate",48)</f>
        <v>#REF!</v>
      </c>
      <c r="P25" s="1459">
        <f>'[9]WA Prorate 09-13'!C11</f>
        <v>0</v>
      </c>
      <c r="Q25" s="1459">
        <f>'[9]WA Prorate 09-13'!D11</f>
        <v>17176239.998890828</v>
      </c>
      <c r="R25" s="1459" t="e">
        <f>SUMIF('[9]KWH RVN Inputs'!$R$2:$R$63569,CONCATENATE("=",TEXT(R$10,"00000"),"WA","COM",TEXT($E25,"0")),'[9]KWH RVN Inputs'!$H$2:$H$63569)</f>
        <v>#VALUE!</v>
      </c>
      <c r="S25" s="1459" t="e">
        <f>SUMIF('[9]KWH RVN Inputs'!$R$2:$R$63569,CONCATENATE("=",TEXT(S$10,"00000"),"WA","COM",TEXT($E25,"0")),'[9]KWH RVN Inputs'!$H$2:$H$63569)</f>
        <v>#VALUE!</v>
      </c>
      <c r="T25" s="1459" t="e">
        <f>SUMIF('[9]KWH RVN Inputs'!$R$2:$R$63569,CONCATENATE("=",TEXT(T$10,"00000"),"WA","COM",TEXT($E25,"0")),'[9]KWH RVN Inputs'!$H$2:$H$63569)</f>
        <v>#VALUE!</v>
      </c>
      <c r="U25" s="1459" t="e">
        <f>SUM(F25:T25)</f>
        <v>#VALUE!</v>
      </c>
      <c r="V25" s="1459"/>
      <c r="W25" s="1461">
        <v>2.1700000000000001E-3</v>
      </c>
      <c r="X25" s="1461">
        <v>1.9400000000000001E-3</v>
      </c>
      <c r="Y25" s="1462" t="e">
        <f>F25*W25</f>
        <v>#VALUE!</v>
      </c>
      <c r="Z25" s="1462" t="e">
        <f t="shared" si="7"/>
        <v>#VALUE!</v>
      </c>
      <c r="AA25" s="1462" t="e">
        <f t="shared" si="7"/>
        <v>#VALUE!</v>
      </c>
      <c r="AB25" s="1462" t="e">
        <f t="shared" si="7"/>
        <v>#VALUE!</v>
      </c>
      <c r="AC25" s="1462" t="e">
        <f t="shared" si="7"/>
        <v>#VALUE!</v>
      </c>
      <c r="AD25" s="1462" t="e">
        <f t="shared" si="7"/>
        <v>#VALUE!</v>
      </c>
      <c r="AE25" s="1462" t="e">
        <f t="shared" si="7"/>
        <v>#REF!</v>
      </c>
      <c r="AF25" s="1462" t="e">
        <f>M25*$X25</f>
        <v>#REF!</v>
      </c>
      <c r="AG25" s="1462" t="e">
        <f>N25*$W25</f>
        <v>#REF!</v>
      </c>
      <c r="AH25" s="1462" t="e">
        <f>O25*$X25</f>
        <v>#REF!</v>
      </c>
      <c r="AI25" s="1462">
        <f t="shared" si="8"/>
        <v>0</v>
      </c>
      <c r="AJ25" s="1462">
        <f t="shared" si="8"/>
        <v>33321.905597848207</v>
      </c>
      <c r="AK25" s="1462" t="e">
        <f t="shared" si="9"/>
        <v>#VALUE!</v>
      </c>
      <c r="AL25" s="1462" t="e">
        <f t="shared" si="9"/>
        <v>#VALUE!</v>
      </c>
      <c r="AM25" s="1462" t="e">
        <f t="shared" si="9"/>
        <v>#VALUE!</v>
      </c>
      <c r="AN25" s="1460">
        <v>355217.31811082416</v>
      </c>
    </row>
    <row r="26" spans="1:40" ht="18">
      <c r="A26" s="1459"/>
      <c r="B26" s="1459"/>
      <c r="C26" s="1460"/>
      <c r="D26" s="1460"/>
      <c r="E26" s="1444">
        <v>54</v>
      </c>
      <c r="F26" s="1463" t="e">
        <f>SUMIF('[9]KWH RVN Inputs'!$R$2:$R$63569,CONCATENATE("=",TEXT(F$10,"00000"),"WA","COM",TEXT($E26,"0")),'[9]KWH RVN Inputs'!$H$2:$H$63569)</f>
        <v>#VALUE!</v>
      </c>
      <c r="G26" s="1463" t="e">
        <f>SUMIF('[9]KWH RVN Inputs'!$R$2:$R$63569,CONCATENATE("=",TEXT(G$10,"00000"),"WA","COM",TEXT($E26,"0")),'[9]KWH RVN Inputs'!$H$2:$H$63569)</f>
        <v>#VALUE!</v>
      </c>
      <c r="H26" s="1463" t="e">
        <f>SUMIF('[9]KWH RVN Inputs'!$R$2:$R$63569,CONCATENATE("=",TEXT(H$10,"00000"),"WA","COM",TEXT($E26,"0")),'[9]KWH RVN Inputs'!$H$2:$H$63569)</f>
        <v>#VALUE!</v>
      </c>
      <c r="I26" s="1463" t="e">
        <f>SUMIF('[9]KWH RVN Inputs'!$R$2:$R$63569,CONCATENATE("=",TEXT(I$10,"00000"),"WA","COM",TEXT($E26,"0")),'[9]KWH RVN Inputs'!$H$2:$H$63569)</f>
        <v>#VALUE!</v>
      </c>
      <c r="J26" s="1463" t="e">
        <f>SUMIF('[9]KWH RVN Inputs'!$R$2:$R$63569,CONCATENATE("=",TEXT(J$10,"00000"),"WA","COM",TEXT($E26,"0")),'[9]KWH RVN Inputs'!$H$2:$H$63569)</f>
        <v>#VALUE!</v>
      </c>
      <c r="K26" s="1463" t="e">
        <f>SUMIF('[9]KWH RVN Inputs'!$R$2:$R$63569,CONCATENATE("=",TEXT(K$10,"00000"),"WA","COM",TEXT($E26,"0")),'[9]KWH RVN Inputs'!$H$2:$H$63569)</f>
        <v>#VALUE!</v>
      </c>
      <c r="L26" s="1463" t="e">
        <f>GETPIVOTDATA("Total kWh",'[9]Prorate 07-13 WA'!$A$6,"Revenue Class Cd","COM","Effect","Pre 7/1/2013","Rate",54)</f>
        <v>#REF!</v>
      </c>
      <c r="M26" s="1463" t="e">
        <f>GETPIVOTDATA("Total kWh",'[9]Prorate 07-13 WA'!$A$6,"Revenue Class Cd","COM","Effect","Post 7/1/2013","Rate",54)</f>
        <v>#REF!</v>
      </c>
      <c r="N26" s="1463" t="e">
        <f>GETPIVOTDATA("Total kWh",'[9]Prorate 08-13 WA'!$A$6,"Revenue Class Cd","COM","Effect","Pre 7/1/2013","Rate",54)</f>
        <v>#REF!</v>
      </c>
      <c r="O26" s="1463" t="e">
        <f>GETPIVOTDATA("Total kWh",'[9]Prorate 08-13 WA'!$A$6,"Revenue Class Cd","COM","Effect","Post 7/1/2013","Rate",54)</f>
        <v>#REF!</v>
      </c>
      <c r="P26" s="1463">
        <f>'[9]WA Prorate 09-13'!C12</f>
        <v>0</v>
      </c>
      <c r="Q26" s="1463">
        <f>'[9]WA Prorate 09-13'!D12</f>
        <v>22167.876264128499</v>
      </c>
      <c r="R26" s="1463" t="e">
        <f>SUMIF('[9]KWH RVN Inputs'!$R$2:$R$63569,CONCATENATE("=",TEXT(R$10,"00000"),"WA","COM",TEXT($E26,"0")),'[9]KWH RVN Inputs'!$H$2:$H$63569)</f>
        <v>#VALUE!</v>
      </c>
      <c r="S26" s="1463" t="e">
        <f>SUMIF('[9]KWH RVN Inputs'!$R$2:$R$63569,CONCATENATE("=",TEXT(S$10,"00000"),"WA","COM",TEXT($E26,"0")),'[9]KWH RVN Inputs'!$H$2:$H$63569)</f>
        <v>#VALUE!</v>
      </c>
      <c r="T26" s="1463" t="e">
        <f>SUMIF('[9]KWH RVN Inputs'!$R$2:$R$63569,CONCATENATE("=",TEXT(T$10,"00000"),"WA","COM",TEXT($E26,"0")),'[9]KWH RVN Inputs'!$H$2:$H$63569)</f>
        <v>#VALUE!</v>
      </c>
      <c r="U26" s="1463" t="e">
        <f>SUM(F26:T26)</f>
        <v>#VALUE!</v>
      </c>
      <c r="V26" s="1459"/>
      <c r="W26" s="1461">
        <v>3.3500000000000001E-3</v>
      </c>
      <c r="X26" s="1461">
        <v>2.9399999999999999E-3</v>
      </c>
      <c r="Y26" s="1464" t="e">
        <f>F26*W26</f>
        <v>#VALUE!</v>
      </c>
      <c r="Z26" s="1464" t="e">
        <f t="shared" si="7"/>
        <v>#VALUE!</v>
      </c>
      <c r="AA26" s="1464" t="e">
        <f t="shared" si="7"/>
        <v>#VALUE!</v>
      </c>
      <c r="AB26" s="1464" t="e">
        <f t="shared" si="7"/>
        <v>#VALUE!</v>
      </c>
      <c r="AC26" s="1464" t="e">
        <f t="shared" si="7"/>
        <v>#VALUE!</v>
      </c>
      <c r="AD26" s="1464" t="e">
        <f t="shared" si="7"/>
        <v>#VALUE!</v>
      </c>
      <c r="AE26" s="1464" t="e">
        <f t="shared" si="7"/>
        <v>#REF!</v>
      </c>
      <c r="AF26" s="1464" t="e">
        <f>M26*$X26</f>
        <v>#REF!</v>
      </c>
      <c r="AG26" s="1464" t="e">
        <f>N26*$W26</f>
        <v>#REF!</v>
      </c>
      <c r="AH26" s="1464" t="e">
        <f>O26*$X26</f>
        <v>#REF!</v>
      </c>
      <c r="AI26" s="1464">
        <f t="shared" si="8"/>
        <v>0</v>
      </c>
      <c r="AJ26" s="1464">
        <f t="shared" si="8"/>
        <v>65.17355621653779</v>
      </c>
      <c r="AK26" s="1464" t="e">
        <f t="shared" si="9"/>
        <v>#VALUE!</v>
      </c>
      <c r="AL26" s="1464" t="e">
        <f t="shared" si="9"/>
        <v>#VALUE!</v>
      </c>
      <c r="AM26" s="1464" t="e">
        <f t="shared" si="9"/>
        <v>#VALUE!</v>
      </c>
      <c r="AN26" s="1465">
        <v>938.42237694888047</v>
      </c>
    </row>
    <row r="27" spans="1:40" ht="18">
      <c r="A27" s="1459"/>
      <c r="B27" s="1459"/>
      <c r="C27" s="1460"/>
      <c r="D27" s="1460" t="s">
        <v>892</v>
      </c>
      <c r="E27" s="1444"/>
      <c r="F27" s="1459" t="e">
        <f t="shared" ref="F27:T27" si="10">SUM(F22:F26)</f>
        <v>#VALUE!</v>
      </c>
      <c r="G27" s="1459" t="e">
        <f t="shared" si="10"/>
        <v>#VALUE!</v>
      </c>
      <c r="H27" s="1459" t="e">
        <f t="shared" si="10"/>
        <v>#VALUE!</v>
      </c>
      <c r="I27" s="1459" t="e">
        <f t="shared" si="10"/>
        <v>#VALUE!</v>
      </c>
      <c r="J27" s="1459" t="e">
        <f t="shared" si="10"/>
        <v>#VALUE!</v>
      </c>
      <c r="K27" s="1459" t="e">
        <f t="shared" si="10"/>
        <v>#VALUE!</v>
      </c>
      <c r="L27" s="1459" t="e">
        <f t="shared" si="10"/>
        <v>#REF!</v>
      </c>
      <c r="M27" s="1459" t="e">
        <f t="shared" si="10"/>
        <v>#REF!</v>
      </c>
      <c r="N27" s="1459" t="e">
        <f t="shared" si="10"/>
        <v>#REF!</v>
      </c>
      <c r="O27" s="1459" t="e">
        <f t="shared" si="10"/>
        <v>#REF!</v>
      </c>
      <c r="P27" s="1459">
        <f t="shared" si="10"/>
        <v>227661.74625163717</v>
      </c>
      <c r="Q27" s="1459">
        <f t="shared" si="10"/>
        <v>140171625.61923552</v>
      </c>
      <c r="R27" s="1459" t="e">
        <f t="shared" si="10"/>
        <v>#VALUE!</v>
      </c>
      <c r="S27" s="1459" t="e">
        <f t="shared" si="10"/>
        <v>#VALUE!</v>
      </c>
      <c r="T27" s="1459" t="e">
        <f t="shared" si="10"/>
        <v>#VALUE!</v>
      </c>
      <c r="U27" s="1459" t="e">
        <f>SUM(U22:U26)</f>
        <v>#VALUE!</v>
      </c>
      <c r="V27" s="1459"/>
      <c r="W27" s="1461"/>
      <c r="X27" s="1461"/>
      <c r="Y27" s="1462" t="e">
        <f t="shared" ref="Y27:AM27" si="11">SUM(Y22:Y26)</f>
        <v>#VALUE!</v>
      </c>
      <c r="Z27" s="1462" t="e">
        <f t="shared" si="11"/>
        <v>#VALUE!</v>
      </c>
      <c r="AA27" s="1462" t="e">
        <f t="shared" si="11"/>
        <v>#VALUE!</v>
      </c>
      <c r="AB27" s="1462" t="e">
        <f t="shared" si="11"/>
        <v>#VALUE!</v>
      </c>
      <c r="AC27" s="1462" t="e">
        <f t="shared" si="11"/>
        <v>#VALUE!</v>
      </c>
      <c r="AD27" s="1462" t="e">
        <f t="shared" si="11"/>
        <v>#VALUE!</v>
      </c>
      <c r="AE27" s="1462" t="e">
        <f t="shared" si="11"/>
        <v>#REF!</v>
      </c>
      <c r="AF27" s="1462" t="e">
        <f t="shared" si="11"/>
        <v>#REF!</v>
      </c>
      <c r="AG27" s="1462" t="e">
        <f t="shared" si="11"/>
        <v>#REF!</v>
      </c>
      <c r="AH27" s="1462" t="e">
        <f t="shared" si="11"/>
        <v>#REF!</v>
      </c>
      <c r="AI27" s="1462">
        <f t="shared" si="11"/>
        <v>614.49390458614948</v>
      </c>
      <c r="AJ27" s="1462">
        <f t="shared" si="11"/>
        <v>349217.78664788569</v>
      </c>
      <c r="AK27" s="1462" t="e">
        <f t="shared" si="11"/>
        <v>#VALUE!</v>
      </c>
      <c r="AL27" s="1462" t="e">
        <f t="shared" si="11"/>
        <v>#VALUE!</v>
      </c>
      <c r="AM27" s="1462" t="e">
        <f t="shared" si="11"/>
        <v>#VALUE!</v>
      </c>
      <c r="AN27" s="1462">
        <v>4019917.8254355784</v>
      </c>
    </row>
    <row r="28" spans="1:40" ht="18">
      <c r="A28" s="1459"/>
      <c r="B28" s="1459"/>
      <c r="C28" s="1460"/>
      <c r="D28" s="1460"/>
      <c r="Y28" s="1462"/>
      <c r="Z28" s="1462"/>
      <c r="AA28" s="1462"/>
      <c r="AB28" s="1462"/>
      <c r="AC28" s="1462"/>
      <c r="AD28" s="1462"/>
    </row>
    <row r="29" spans="1:40" ht="18">
      <c r="A29" s="1459"/>
      <c r="B29" s="1459"/>
      <c r="C29" s="1460"/>
      <c r="D29" s="1460" t="s">
        <v>30</v>
      </c>
      <c r="E29" s="1444"/>
      <c r="F29" s="1459"/>
      <c r="G29" s="1459"/>
      <c r="H29" s="1459"/>
      <c r="I29" s="1459"/>
      <c r="J29" s="1459"/>
      <c r="K29" s="1459"/>
      <c r="L29" s="1459"/>
      <c r="M29" s="1459"/>
      <c r="N29" s="1459"/>
      <c r="O29" s="1459"/>
      <c r="P29" s="1459"/>
      <c r="Q29" s="1459"/>
      <c r="R29" s="1459"/>
      <c r="S29" s="1459"/>
      <c r="T29" s="1459"/>
      <c r="U29" s="1459"/>
      <c r="V29" s="1459"/>
      <c r="W29" s="1461"/>
      <c r="X29" s="1461"/>
      <c r="Y29" s="1462"/>
      <c r="Z29" s="1462"/>
      <c r="AA29" s="1462"/>
      <c r="AB29" s="1462"/>
      <c r="AC29" s="1462"/>
      <c r="AD29" s="1462"/>
      <c r="AE29" s="1461"/>
      <c r="AF29" s="1461"/>
      <c r="AG29" s="1461"/>
      <c r="AH29" s="1461"/>
      <c r="AI29" s="1461"/>
      <c r="AJ29" s="1461"/>
      <c r="AK29" s="1461"/>
      <c r="AL29" s="1461"/>
      <c r="AM29" s="1461"/>
      <c r="AN29" s="1460"/>
    </row>
    <row r="30" spans="1:40" ht="18">
      <c r="A30" s="1459"/>
      <c r="B30" s="1459"/>
      <c r="C30" s="1460"/>
      <c r="D30" s="1460"/>
      <c r="E30" s="1444">
        <v>15</v>
      </c>
      <c r="F30" s="1459" t="e">
        <f>SUMIF('[9]KWH RVN Inputs'!$R$2:$R$63569,CONCATENATE("=",TEXT(F$10,"00000"),"WA","IND",TEXT($E30,"0")),'[9]KWH RVN Inputs'!$H$2:$H$63569)</f>
        <v>#VALUE!</v>
      </c>
      <c r="G30" s="1459" t="e">
        <f>SUMIF('[9]KWH RVN Inputs'!$R$2:$R$63569,CONCATENATE("=",TEXT(G$10,"00000"),"WA","IND",TEXT($E30,"0")),'[9]KWH RVN Inputs'!$H$2:$H$63569)</f>
        <v>#VALUE!</v>
      </c>
      <c r="H30" s="1459" t="e">
        <f>SUMIF('[9]KWH RVN Inputs'!$R$2:$R$63569,CONCATENATE("=",TEXT(H$10,"00000"),"WA","IND",TEXT($E30,"0")),'[9]KWH RVN Inputs'!$H$2:$H$63569)</f>
        <v>#VALUE!</v>
      </c>
      <c r="I30" s="1459" t="e">
        <f>SUMIF('[9]KWH RVN Inputs'!$R$2:$R$63569,CONCATENATE("=",TEXT(I$10,"00000"),"WA","IND",TEXT($E30,"0")),'[9]KWH RVN Inputs'!$H$2:$H$63569)</f>
        <v>#VALUE!</v>
      </c>
      <c r="J30" s="1459" t="e">
        <f>SUMIF('[9]KWH RVN Inputs'!$R$2:$R$63569,CONCATENATE("=",TEXT(J$10,"00000"),"WA","IND",TEXT($E30,"0")),'[9]KWH RVN Inputs'!$H$2:$H$63569)</f>
        <v>#VALUE!</v>
      </c>
      <c r="K30" s="1459" t="e">
        <f>SUMIF('[9]KWH RVN Inputs'!$R$2:$R$63569,CONCATENATE("=",TEXT(K$10,"00000"),"WA","IND",TEXT($E30,"0")),'[9]KWH RVN Inputs'!$H$2:$H$63569)</f>
        <v>#VALUE!</v>
      </c>
      <c r="L30" s="1459" t="e">
        <f>GETPIVOTDATA("Total kWh",'[9]Prorate 07-13 WA'!$A$6,"Revenue Class Cd","IND","Effect","Pre 7/1/2013","Rate",15)</f>
        <v>#REF!</v>
      </c>
      <c r="M30" s="1459" t="e">
        <f>GETPIVOTDATA("Total kWh",'[9]Prorate 07-13 WA'!$A$6,"Revenue Class Cd","IND","Effect","Post 7/1/2013","Rate",15)</f>
        <v>#REF!</v>
      </c>
      <c r="N30" s="1459" t="e">
        <f>GETPIVOTDATA("Total kWh",'[9]Prorate 08-13 WA'!$A$6,"Revenue Class Cd","IND","Effect","Pre 7/1/2013","Rate",15)</f>
        <v>#REF!</v>
      </c>
      <c r="O30" s="1459" t="e">
        <f>GETPIVOTDATA("Total kWh",'[9]Prorate 08-13 WA'!$A$6,"Revenue Class Cd","IND","Effect","Post 7/1/2013","Rate",15)</f>
        <v>#REF!</v>
      </c>
      <c r="P30" s="1459">
        <f>'[9]WA Prorate 09-13'!C13</f>
        <v>0</v>
      </c>
      <c r="Q30" s="1459">
        <f>'[9]WA Prorate 09-13'!D13</f>
        <v>12357</v>
      </c>
      <c r="R30" s="1459" t="e">
        <f>SUMIF('[9]KWH RVN Inputs'!$R$2:$R$63569,CONCATENATE("=",TEXT(R$10,"00000"),"WA","IND",TEXT($E30,"0")),'[9]KWH RVN Inputs'!$H$2:$H$63569)</f>
        <v>#VALUE!</v>
      </c>
      <c r="S30" s="1459" t="e">
        <f>SUMIF('[9]KWH RVN Inputs'!$R$2:$R$63569,CONCATENATE("=",TEXT(S$10,"00000"),"WA","IND",TEXT($E30,"0")),'[9]KWH RVN Inputs'!$H$2:$H$63569)</f>
        <v>#VALUE!</v>
      </c>
      <c r="T30" s="1459" t="e">
        <f>SUMIF('[9]KWH RVN Inputs'!$R$2:$R$63569,CONCATENATE("=",TEXT(T$10,"00000"),"WA","IND",TEXT($E30,"0")),'[9]KWH RVN Inputs'!$H$2:$H$63569)</f>
        <v>#VALUE!</v>
      </c>
      <c r="U30" s="1459" t="e">
        <f t="shared" ref="U30:U35" si="12">SUM(F30:T30)</f>
        <v>#VALUE!</v>
      </c>
      <c r="V30" s="1459"/>
      <c r="W30" s="1461">
        <v>2.8700000000000002E-3</v>
      </c>
      <c r="X30" s="1461">
        <v>2.5600000000000002E-3</v>
      </c>
      <c r="Y30" s="1462" t="e">
        <f t="shared" ref="Y30:Y35" si="13">F30*W30</f>
        <v>#VALUE!</v>
      </c>
      <c r="Z30" s="1462" t="e">
        <f t="shared" ref="Z30:AE35" si="14">G30*$W30</f>
        <v>#VALUE!</v>
      </c>
      <c r="AA30" s="1462" t="e">
        <f t="shared" si="14"/>
        <v>#VALUE!</v>
      </c>
      <c r="AB30" s="1462" t="e">
        <f t="shared" si="14"/>
        <v>#VALUE!</v>
      </c>
      <c r="AC30" s="1462" t="e">
        <f t="shared" si="14"/>
        <v>#VALUE!</v>
      </c>
      <c r="AD30" s="1462" t="e">
        <f t="shared" si="14"/>
        <v>#VALUE!</v>
      </c>
      <c r="AE30" s="1462" t="e">
        <f t="shared" si="14"/>
        <v>#REF!</v>
      </c>
      <c r="AF30" s="1462" t="e">
        <f t="shared" ref="AF30:AF35" si="15">M30*$X30</f>
        <v>#REF!</v>
      </c>
      <c r="AG30" s="1462" t="e">
        <f t="shared" ref="AG30:AG35" si="16">N30*$W30</f>
        <v>#REF!</v>
      </c>
      <c r="AH30" s="1462" t="e">
        <f t="shared" ref="AH30:AH35" si="17">O30*$X30</f>
        <v>#REF!</v>
      </c>
      <c r="AI30" s="1462">
        <f t="shared" ref="AI30:AJ35" si="18">P30*W30</f>
        <v>0</v>
      </c>
      <c r="AJ30" s="1462">
        <f t="shared" si="18"/>
        <v>31.633920000000003</v>
      </c>
      <c r="AK30" s="1462" t="e">
        <f>R30*$X30</f>
        <v>#VALUE!</v>
      </c>
      <c r="AL30" s="1462" t="e">
        <f>S30*$X30</f>
        <v>#VALUE!</v>
      </c>
      <c r="AM30" s="1462" t="e">
        <f>T30*$X30</f>
        <v>#VALUE!</v>
      </c>
      <c r="AN30" s="1460">
        <v>388.71950926728005</v>
      </c>
    </row>
    <row r="31" spans="1:40" ht="18">
      <c r="A31" s="1459"/>
      <c r="B31" s="1459"/>
      <c r="C31" s="1460"/>
      <c r="D31" s="1460"/>
      <c r="E31" s="1444">
        <v>24</v>
      </c>
      <c r="F31" s="1459" t="e">
        <f>SUMIF('[9]KWH RVN Inputs'!$R$2:$R$63569,CONCATENATE("=",TEXT(F$10,"00000"),"WA","IND",TEXT($E31,"0")),'[9]KWH RVN Inputs'!$H$2:$H$63569)</f>
        <v>#VALUE!</v>
      </c>
      <c r="G31" s="1459" t="e">
        <f>SUMIF('[9]KWH RVN Inputs'!$R$2:$R$63569,CONCATENATE("=",TEXT(G$10,"00000"),"WA","IND",TEXT($E31,"0")),'[9]KWH RVN Inputs'!$H$2:$H$63569)</f>
        <v>#VALUE!</v>
      </c>
      <c r="H31" s="1459" t="e">
        <f>SUMIF('[9]KWH RVN Inputs'!$R$2:$R$63569,CONCATENATE("=",TEXT(H$10,"00000"),"WA","IND",TEXT($E31,"0")),'[9]KWH RVN Inputs'!$H$2:$H$63569)</f>
        <v>#VALUE!</v>
      </c>
      <c r="I31" s="1459" t="e">
        <f>SUMIF('[9]KWH RVN Inputs'!$R$2:$R$63569,CONCATENATE("=",TEXT(I$10,"00000"),"WA","IND",TEXT($E31,"0")),'[9]KWH RVN Inputs'!$H$2:$H$63569)</f>
        <v>#VALUE!</v>
      </c>
      <c r="J31" s="1459" t="e">
        <f>SUMIF('[9]KWH RVN Inputs'!$R$2:$R$63569,CONCATENATE("=",TEXT(J$10,"00000"),"WA","IND",TEXT($E31,"0")),'[9]KWH RVN Inputs'!$H$2:$H$63569)</f>
        <v>#VALUE!</v>
      </c>
      <c r="K31" s="1459" t="e">
        <f>SUMIF('[9]KWH RVN Inputs'!$R$2:$R$63569,CONCATENATE("=",TEXT(K$10,"00000"),"WA","IND",TEXT($E31,"0")),'[9]KWH RVN Inputs'!$H$2:$H$63569)</f>
        <v>#VALUE!</v>
      </c>
      <c r="L31" s="1459" t="e">
        <f>GETPIVOTDATA("Total kWh",'[9]Prorate 07-13 WA'!$A$6,"Revenue Class Cd","IND","Effect","Pre 7/1/2013","Rate",24)</f>
        <v>#REF!</v>
      </c>
      <c r="M31" s="1459" t="e">
        <f>GETPIVOTDATA("Total kWh",'[9]Prorate 07-13 WA'!$A$6,"Revenue Class Cd","IND","Effect","Post 7/1/2013","Rate",24)</f>
        <v>#REF!</v>
      </c>
      <c r="N31" s="1459" t="e">
        <f>GETPIVOTDATA("Total kWh",'[9]Prorate 08-13 WA'!$A$6,"Revenue Class Cd","IND","Effect","Pre 7/1/2013","Rate",24)</f>
        <v>#REF!</v>
      </c>
      <c r="O31" s="1459" t="e">
        <f>GETPIVOTDATA("Total kWh",'[9]Prorate 08-13 WA'!$A$6,"Revenue Class Cd","IND","Effect","Post 7/1/2013","Rate",24)</f>
        <v>#REF!</v>
      </c>
      <c r="P31" s="1459">
        <f>'[9]WA Prorate 09-13'!C14</f>
        <v>0</v>
      </c>
      <c r="Q31" s="1459">
        <f>'[9]WA Prorate 09-13'!D14</f>
        <v>1617668.9159092249</v>
      </c>
      <c r="R31" s="1459" t="e">
        <f>SUMIF('[9]KWH RVN Inputs'!$R$2:$R$63569,CONCATENATE("=",TEXT(R$10,"00000"),"WA","IND",TEXT($E31,"0")),'[9]KWH RVN Inputs'!$H$2:$H$63569)</f>
        <v>#VALUE!</v>
      </c>
      <c r="S31" s="1459" t="e">
        <f>SUMIF('[9]KWH RVN Inputs'!$R$2:$R$63569,CONCATENATE("=",TEXT(S$10,"00000"),"WA","IND",TEXT($E31,"0")),'[9]KWH RVN Inputs'!$H$2:$H$63569)</f>
        <v>#VALUE!</v>
      </c>
      <c r="T31" s="1459" t="e">
        <f>SUMIF('[9]KWH RVN Inputs'!$R$2:$R$63569,CONCATENATE("=",TEXT(T$10,"00000"),"WA","IND",TEXT($E31,"0")),'[9]KWH RVN Inputs'!$H$2:$H$63569)</f>
        <v>#VALUE!</v>
      </c>
      <c r="U31" s="1459" t="e">
        <f t="shared" si="12"/>
        <v>#VALUE!</v>
      </c>
      <c r="V31" s="1459"/>
      <c r="W31" s="1461">
        <v>3.1700000000000001E-3</v>
      </c>
      <c r="X31" s="1461">
        <v>2.8300000000000001E-3</v>
      </c>
      <c r="Y31" s="1462" t="e">
        <f t="shared" si="13"/>
        <v>#VALUE!</v>
      </c>
      <c r="Z31" s="1462" t="e">
        <f t="shared" si="14"/>
        <v>#VALUE!</v>
      </c>
      <c r="AA31" s="1462" t="e">
        <f t="shared" si="14"/>
        <v>#VALUE!</v>
      </c>
      <c r="AB31" s="1462" t="e">
        <f t="shared" si="14"/>
        <v>#VALUE!</v>
      </c>
      <c r="AC31" s="1462" t="e">
        <f t="shared" si="14"/>
        <v>#VALUE!</v>
      </c>
      <c r="AD31" s="1462" t="e">
        <f t="shared" si="14"/>
        <v>#VALUE!</v>
      </c>
      <c r="AE31" s="1462" t="e">
        <f t="shared" si="14"/>
        <v>#REF!</v>
      </c>
      <c r="AF31" s="1462" t="e">
        <f t="shared" si="15"/>
        <v>#REF!</v>
      </c>
      <c r="AG31" s="1462" t="e">
        <f t="shared" si="16"/>
        <v>#REF!</v>
      </c>
      <c r="AH31" s="1462" t="e">
        <f t="shared" si="17"/>
        <v>#REF!</v>
      </c>
      <c r="AI31" s="1462">
        <f t="shared" si="18"/>
        <v>0</v>
      </c>
      <c r="AJ31" s="1462">
        <f t="shared" si="18"/>
        <v>4578.0030320231062</v>
      </c>
      <c r="AK31" s="1462" t="e">
        <f t="shared" ref="AK31:AM35" si="19">R31*$X31</f>
        <v>#VALUE!</v>
      </c>
      <c r="AL31" s="1462" t="e">
        <f t="shared" si="19"/>
        <v>#VALUE!</v>
      </c>
      <c r="AM31" s="1462" t="e">
        <f t="shared" si="19"/>
        <v>#VALUE!</v>
      </c>
      <c r="AN31" s="1460">
        <v>58222.68811032379</v>
      </c>
    </row>
    <row r="32" spans="1:40" ht="18">
      <c r="A32" s="1459"/>
      <c r="B32" s="1459"/>
      <c r="C32" s="1460"/>
      <c r="D32" s="1460"/>
      <c r="E32" s="1444" t="s">
        <v>891</v>
      </c>
      <c r="F32" s="1459" t="e">
        <f>SUMIF('[9]KWH RVN Inputs'!$R$2:$R$63569,CONCATENATE("=",TEXT(F$10,"00000"),"WA","IND",TEXT($E32,"0")),'[9]KWH RVN Inputs'!$H$2:$H$63569)</f>
        <v>#VALUE!</v>
      </c>
      <c r="G32" s="1459" t="e">
        <f>SUMIF('[9]KWH RVN Inputs'!$R$2:$R$63569,CONCATENATE("=",TEXT(G$10,"00000"),"WA","IND",TEXT($E32,"0")),'[9]KWH RVN Inputs'!$H$2:$H$63569)</f>
        <v>#VALUE!</v>
      </c>
      <c r="H32" s="1459" t="e">
        <f>SUMIF('[9]KWH RVN Inputs'!$R$2:$R$63569,CONCATENATE("=",TEXT(H$10,"00000"),"WA","IND",TEXT($E32,"0")),'[9]KWH RVN Inputs'!$H$2:$H$63569)</f>
        <v>#VALUE!</v>
      </c>
      <c r="I32" s="1459" t="e">
        <f>SUMIF('[9]KWH RVN Inputs'!$R$2:$R$63569,CONCATENATE("=",TEXT(I$10,"00000"),"WA","IND",TEXT($E32,"0")),'[9]KWH RVN Inputs'!$H$2:$H$63569)</f>
        <v>#VALUE!</v>
      </c>
      <c r="J32" s="1459" t="e">
        <f>SUMIF('[9]KWH RVN Inputs'!$R$2:$R$63569,CONCATENATE("=",TEXT(J$10,"00000"),"WA","IND",TEXT($E32,"0")),'[9]KWH RVN Inputs'!$H$2:$H$63569)</f>
        <v>#VALUE!</v>
      </c>
      <c r="K32" s="1459" t="e">
        <f>SUMIF('[9]KWH RVN Inputs'!$R$2:$R$63569,CONCATENATE("=",TEXT(K$10,"00000"),"WA","IND",TEXT($E32,"0")),'[9]KWH RVN Inputs'!$H$2:$H$63569)</f>
        <v>#VALUE!</v>
      </c>
      <c r="L32" s="1459" t="e">
        <f>GETPIVOTDATA("Total kWh",'[9]Prorate 07-13 WA'!$A$6,"Revenue Class Cd","IND","Effect","Pre 7/1/2013","Rate",36)</f>
        <v>#REF!</v>
      </c>
      <c r="M32" s="1459" t="e">
        <f>GETPIVOTDATA("Total kWh",'[9]Prorate 07-13 WA'!$A$6,"Revenue Class Cd","IND","Effect","Post 7/1/2013","Rate",36)</f>
        <v>#REF!</v>
      </c>
      <c r="N32" s="1459" t="e">
        <f>GETPIVOTDATA("Total kWh",'[9]Prorate 08-13 WA'!$A$6,"Revenue Class Cd","IND","Effect","Pre 7/1/2013","Rate",36)</f>
        <v>#REF!</v>
      </c>
      <c r="O32" s="1459" t="e">
        <f>GETPIVOTDATA("Total kWh",'[9]Prorate 08-13 WA'!$A$6,"Revenue Class Cd","IND","Effect","Post 7/1/2013","Rate",36)</f>
        <v>#REF!</v>
      </c>
      <c r="P32" s="1459">
        <f>'[9]WA Prorate 09-13'!C15</f>
        <v>0</v>
      </c>
      <c r="Q32" s="1459">
        <f>'[9]WA Prorate 09-13'!D15</f>
        <v>9914039.3807346243</v>
      </c>
      <c r="R32" s="1459" t="e">
        <f>SUMIF('[9]KWH RVN Inputs'!$R$2:$R$63569,CONCATENATE("=",TEXT(R$10,"00000"),"WA","IND",TEXT($E32,"0")),'[9]KWH RVN Inputs'!$H$2:$H$63569)</f>
        <v>#VALUE!</v>
      </c>
      <c r="S32" s="1459" t="e">
        <f>SUMIF('[9]KWH RVN Inputs'!$R$2:$R$63569,CONCATENATE("=",TEXT(S$10,"00000"),"WA","IND",TEXT($E32,"0")),'[9]KWH RVN Inputs'!$H$2:$H$63569)</f>
        <v>#VALUE!</v>
      </c>
      <c r="T32" s="1459" t="e">
        <f>SUMIF('[9]KWH RVN Inputs'!$R$2:$R$63569,CONCATENATE("=",TEXT(T$10,"00000"),"WA","IND",TEXT($E32,"0")),'[9]KWH RVN Inputs'!$H$2:$H$63569)</f>
        <v>#VALUE!</v>
      </c>
      <c r="U32" s="1459" t="e">
        <f t="shared" si="12"/>
        <v>#VALUE!</v>
      </c>
      <c r="V32" s="1459"/>
      <c r="W32" s="1461">
        <v>2.6800000000000001E-3</v>
      </c>
      <c r="X32" s="1461">
        <v>2.3999999999999998E-3</v>
      </c>
      <c r="Y32" s="1462" t="e">
        <f t="shared" si="13"/>
        <v>#VALUE!</v>
      </c>
      <c r="Z32" s="1462" t="e">
        <f t="shared" si="14"/>
        <v>#VALUE!</v>
      </c>
      <c r="AA32" s="1462" t="e">
        <f t="shared" si="14"/>
        <v>#VALUE!</v>
      </c>
      <c r="AB32" s="1462" t="e">
        <f t="shared" si="14"/>
        <v>#VALUE!</v>
      </c>
      <c r="AC32" s="1462" t="e">
        <f t="shared" si="14"/>
        <v>#VALUE!</v>
      </c>
      <c r="AD32" s="1462" t="e">
        <f t="shared" si="14"/>
        <v>#VALUE!</v>
      </c>
      <c r="AE32" s="1462" t="e">
        <f t="shared" si="14"/>
        <v>#REF!</v>
      </c>
      <c r="AF32" s="1462" t="e">
        <f t="shared" si="15"/>
        <v>#REF!</v>
      </c>
      <c r="AG32" s="1462" t="e">
        <f t="shared" si="16"/>
        <v>#REF!</v>
      </c>
      <c r="AH32" s="1462" t="e">
        <f t="shared" si="17"/>
        <v>#REF!</v>
      </c>
      <c r="AI32" s="1462">
        <f t="shared" si="18"/>
        <v>0</v>
      </c>
      <c r="AJ32" s="1462">
        <f t="shared" si="18"/>
        <v>23793.694513763097</v>
      </c>
      <c r="AK32" s="1462" t="e">
        <f t="shared" si="19"/>
        <v>#VALUE!</v>
      </c>
      <c r="AL32" s="1462" t="e">
        <f t="shared" si="19"/>
        <v>#VALUE!</v>
      </c>
      <c r="AM32" s="1462" t="e">
        <f t="shared" si="19"/>
        <v>#VALUE!</v>
      </c>
      <c r="AN32" s="1460">
        <v>269780.02724671608</v>
      </c>
    </row>
    <row r="33" spans="1:41" ht="18">
      <c r="A33" s="1459"/>
      <c r="B33" s="1459"/>
      <c r="C33" s="1460"/>
      <c r="D33" s="1460"/>
      <c r="E33" s="1444">
        <v>47</v>
      </c>
      <c r="F33" s="1459" t="e">
        <f>SUMIF('[9]KWH RVN Inputs'!$R$2:$R$63569,CONCATENATE("=",TEXT(F$10,"00000"),"WA","IND",TEXT($E33,"0")),'[9]KWH RVN Inputs'!$H$2:$H$63569)</f>
        <v>#VALUE!</v>
      </c>
      <c r="G33" s="1459" t="e">
        <f>SUMIF('[9]KWH RVN Inputs'!$R$2:$R$63569,CONCATENATE("=",TEXT(G$10,"00000"),"WA","IND",TEXT($E33,"0")),'[9]KWH RVN Inputs'!$H$2:$H$63569)</f>
        <v>#VALUE!</v>
      </c>
      <c r="H33" s="1459" t="e">
        <f>SUMIF('[9]KWH RVN Inputs'!$R$2:$R$63569,CONCATENATE("=",TEXT(H$10,"00000"),"WA","IND",TEXT($E33,"0")),'[9]KWH RVN Inputs'!$H$2:$H$63569)</f>
        <v>#VALUE!</v>
      </c>
      <c r="I33" s="1459" t="e">
        <f>SUMIF('[9]KWH RVN Inputs'!$R$2:$R$63569,CONCATENATE("=",TEXT(I$10,"00000"),"WA","IND",TEXT($E33,"0")),'[9]KWH RVN Inputs'!$H$2:$H$63569)</f>
        <v>#VALUE!</v>
      </c>
      <c r="J33" s="1459" t="e">
        <f>SUMIF('[9]KWH RVN Inputs'!$R$2:$R$63569,CONCATENATE("=",TEXT(J$10,"00000"),"WA","IND",TEXT($E33,"0")),'[9]KWH RVN Inputs'!$H$2:$H$63569)</f>
        <v>#VALUE!</v>
      </c>
      <c r="K33" s="1459" t="e">
        <f>SUMIF('[9]KWH RVN Inputs'!$R$2:$R$63569,CONCATENATE("=",TEXT(K$10,"00000"),"WA","IND",TEXT($E33,"0")),'[9]KWH RVN Inputs'!$H$2:$H$63569)</f>
        <v>#VALUE!</v>
      </c>
      <c r="L33" s="1459" t="e">
        <f>GETPIVOTDATA("Total kWh",'[9]Prorate 07-13 WA'!$A$6,"Revenue Class Cd","IND","Effect","Pre 7/1/2013","Rate",47)</f>
        <v>#REF!</v>
      </c>
      <c r="M33" s="1459" t="e">
        <f>GETPIVOTDATA("Total kWh",'[9]Prorate 07-13 WA'!$A$6,"Revenue Class Cd","IND","Effect","Post 7/1/2013","Rate",47)</f>
        <v>#REF!</v>
      </c>
      <c r="N33" s="1459" t="e">
        <f>GETPIVOTDATA("Total kWh",'[9]Prorate 08-13 WA'!$A$6,"Revenue Class Cd","IND","Effect","Pre 7/1/2013","Rate",47)</f>
        <v>#REF!</v>
      </c>
      <c r="O33" s="1459" t="e">
        <f>GETPIVOTDATA("Total kWh",'[9]Prorate 08-13 WA'!$A$6,"Revenue Class Cd","IND","Effect","Post 7/1/2013","Rate",47)</f>
        <v>#REF!</v>
      </c>
      <c r="P33" s="1459">
        <f>'[9]WA Prorate 09-13'!C16</f>
        <v>0</v>
      </c>
      <c r="Q33" s="1459">
        <f>'[9]WA Prorate 09-13'!D16</f>
        <v>97000</v>
      </c>
      <c r="R33" s="1459" t="e">
        <f>SUMIF('[9]KWH RVN Inputs'!$R$2:$R$63569,CONCATENATE("=",TEXT(R$10,"00000"),"WA","IND",TEXT($E33,"0")),'[9]KWH RVN Inputs'!$H$2:$H$63569)</f>
        <v>#VALUE!</v>
      </c>
      <c r="S33" s="1459" t="e">
        <f>SUMIF('[9]KWH RVN Inputs'!$R$2:$R$63569,CONCATENATE("=",TEXT(S$10,"00000"),"WA","IND",TEXT($E33,"0")),'[9]KWH RVN Inputs'!$H$2:$H$63569)</f>
        <v>#VALUE!</v>
      </c>
      <c r="T33" s="1459" t="e">
        <f>SUMIF('[9]KWH RVN Inputs'!$R$2:$R$63569,CONCATENATE("=",TEXT(T$10,"00000"),"WA","IND",TEXT($E33,"0")),'[9]KWH RVN Inputs'!$H$2:$H$63569)</f>
        <v>#VALUE!</v>
      </c>
      <c r="U33" s="1459" t="e">
        <f t="shared" si="12"/>
        <v>#VALUE!</v>
      </c>
      <c r="V33" s="1459"/>
      <c r="W33" s="1461">
        <v>2.1700000000000001E-3</v>
      </c>
      <c r="X33" s="1461">
        <v>1.9400000000000001E-3</v>
      </c>
      <c r="Y33" s="1462" t="e">
        <f t="shared" si="13"/>
        <v>#VALUE!</v>
      </c>
      <c r="Z33" s="1462" t="e">
        <f t="shared" si="14"/>
        <v>#VALUE!</v>
      </c>
      <c r="AA33" s="1462" t="e">
        <f t="shared" si="14"/>
        <v>#VALUE!</v>
      </c>
      <c r="AB33" s="1462" t="e">
        <f t="shared" si="14"/>
        <v>#VALUE!</v>
      </c>
      <c r="AC33" s="1462" t="e">
        <f t="shared" si="14"/>
        <v>#VALUE!</v>
      </c>
      <c r="AD33" s="1462" t="e">
        <f t="shared" si="14"/>
        <v>#VALUE!</v>
      </c>
      <c r="AE33" s="1462" t="e">
        <f t="shared" si="14"/>
        <v>#REF!</v>
      </c>
      <c r="AF33" s="1462" t="e">
        <f t="shared" si="15"/>
        <v>#REF!</v>
      </c>
      <c r="AG33" s="1462" t="e">
        <f t="shared" si="16"/>
        <v>#REF!</v>
      </c>
      <c r="AH33" s="1462" t="e">
        <f t="shared" si="17"/>
        <v>#REF!</v>
      </c>
      <c r="AI33" s="1462">
        <f t="shared" si="18"/>
        <v>0</v>
      </c>
      <c r="AJ33" s="1462">
        <f t="shared" si="18"/>
        <v>188.18</v>
      </c>
      <c r="AK33" s="1462" t="e">
        <f t="shared" si="19"/>
        <v>#VALUE!</v>
      </c>
      <c r="AL33" s="1462" t="e">
        <f t="shared" si="19"/>
        <v>#VALUE!</v>
      </c>
      <c r="AM33" s="1462" t="e">
        <f t="shared" si="19"/>
        <v>#VALUE!</v>
      </c>
      <c r="AN33" s="1460">
        <v>4241.1699999999992</v>
      </c>
    </row>
    <row r="34" spans="1:41" ht="18">
      <c r="A34" s="1459"/>
      <c r="B34" s="1459"/>
      <c r="C34" s="1460"/>
      <c r="D34" s="1460"/>
      <c r="E34" s="1444" t="s">
        <v>71</v>
      </c>
      <c r="F34" s="1459" t="e">
        <f>SUMIF('[9]KWH RVN Inputs'!$R$2:$R$63569,CONCATENATE("=",TEXT(F$10,"00000"),"WA","IND",TEXT($E34,"0")),'[9]KWH RVN Inputs'!$H$2:$H$63569)-F35</f>
        <v>#VALUE!</v>
      </c>
      <c r="G34" s="1459" t="e">
        <f>SUMIF('[9]KWH RVN Inputs'!$R$2:$R$63569,CONCATENATE("=",TEXT(G$10,"00000"),"WA","IND",TEXT($E34,"0")),'[9]KWH RVN Inputs'!$H$2:$H$63569)-G35</f>
        <v>#VALUE!</v>
      </c>
      <c r="H34" s="1459" t="e">
        <f>SUMIF('[9]KWH RVN Inputs'!$R$2:$R$63569,CONCATENATE("=",TEXT(H$10,"00000"),"WA","IND",TEXT($E34,"0")),'[9]KWH RVN Inputs'!$H$2:$H$63569)-H35</f>
        <v>#VALUE!</v>
      </c>
      <c r="I34" s="1459" t="e">
        <f>SUMIF('[9]KWH RVN Inputs'!$R$2:$R$63569,CONCATENATE("=",TEXT(I$10,"00000"),"WA","IND",TEXT($E34,"0")),'[9]KWH RVN Inputs'!$H$2:$H$63569)-I35</f>
        <v>#VALUE!</v>
      </c>
      <c r="J34" s="1459" t="e">
        <f>SUMIF('[9]KWH RVN Inputs'!$R$2:$R$63569,CONCATENATE("=",TEXT(J$10,"00000"),"WA","IND",TEXT($E34,"0")),'[9]KWH RVN Inputs'!$H$2:$H$63569)-J35</f>
        <v>#VALUE!</v>
      </c>
      <c r="K34" s="1459" t="e">
        <f>SUMIF('[9]KWH RVN Inputs'!$R$2:$R$63569,CONCATENATE("=",TEXT(K$10,"00000"),"WA","IND",TEXT($E34,"0")),'[9]KWH RVN Inputs'!$H$2:$H$63569)-K35</f>
        <v>#VALUE!</v>
      </c>
      <c r="L34" s="1459" t="e">
        <f>GETPIVOTDATA("Total kWh",'[9]Prorate 07-13 WA'!$A$6,"Revenue Class Cd","IND","Effect","Pre 7/1/2013","Rate",48)-L35</f>
        <v>#REF!</v>
      </c>
      <c r="M34" s="1459" t="e">
        <f>GETPIVOTDATA("Total kWh",'[9]Prorate 07-13 WA'!$A$6,"Revenue Class Cd","IND","Effect","Post 7/1/2013","Rate",48)-M35</f>
        <v>#REF!</v>
      </c>
      <c r="N34" s="1459" t="e">
        <f>GETPIVOTDATA("Total kWh",'[9]Prorate 08-13 WA'!$A$6,"Revenue Class Cd","IND","Effect","Pre 7/1/2013","Rate",48)</f>
        <v>#REF!</v>
      </c>
      <c r="O34" s="1459" t="e">
        <f>GETPIVOTDATA("Total kWh",'[9]Prorate 08-13 WA'!$A$6,"Revenue Class Cd","IND","Effect","Post 7/1/2013","Rate",48)-O35</f>
        <v>#REF!</v>
      </c>
      <c r="P34" s="1459">
        <f>'[9]WA Prorate 09-13'!C17</f>
        <v>0</v>
      </c>
      <c r="Q34" s="1459">
        <f>'[9]WA Prorate 09-13'!D17-Q35</f>
        <v>19950749.954400368</v>
      </c>
      <c r="R34" s="1459" t="e">
        <f>SUMIF('[9]KWH RVN Inputs'!$R$2:$R$63569,CONCATENATE("=",TEXT(R$10,"00000"),"WA","IND",TEXT($E34,"0")),'[9]KWH RVN Inputs'!$H$2:$H$63569)-R35</f>
        <v>#VALUE!</v>
      </c>
      <c r="S34" s="1459" t="e">
        <f>SUMIF('[9]KWH RVN Inputs'!$R$2:$R$63569,CONCATENATE("=",TEXT(S$10,"00000"),"WA","IND",TEXT($E34,"0")),'[9]KWH RVN Inputs'!$H$2:$H$63569)-S35</f>
        <v>#VALUE!</v>
      </c>
      <c r="T34" s="1459" t="e">
        <f>SUMIF('[9]KWH RVN Inputs'!$R$2:$R$63569,CONCATENATE("=",TEXT(T$10,"00000"),"WA","IND",TEXT($E34,"0")),'[9]KWH RVN Inputs'!$H$2:$H$63569)-T35</f>
        <v>#VALUE!</v>
      </c>
      <c r="U34" s="1459" t="e">
        <f t="shared" si="12"/>
        <v>#VALUE!</v>
      </c>
      <c r="V34" s="1459"/>
      <c r="W34" s="1461">
        <v>2.1700000000000001E-3</v>
      </c>
      <c r="X34" s="1461">
        <v>1.9400000000000001E-3</v>
      </c>
      <c r="Y34" s="1462" t="e">
        <f t="shared" si="13"/>
        <v>#VALUE!</v>
      </c>
      <c r="Z34" s="1462" t="e">
        <f t="shared" si="14"/>
        <v>#VALUE!</v>
      </c>
      <c r="AA34" s="1462" t="e">
        <f t="shared" si="14"/>
        <v>#VALUE!</v>
      </c>
      <c r="AB34" s="1462" t="e">
        <f t="shared" si="14"/>
        <v>#VALUE!</v>
      </c>
      <c r="AC34" s="1462" t="e">
        <f t="shared" si="14"/>
        <v>#VALUE!</v>
      </c>
      <c r="AD34" s="1462" t="e">
        <f t="shared" si="14"/>
        <v>#VALUE!</v>
      </c>
      <c r="AE34" s="1462" t="e">
        <f t="shared" si="14"/>
        <v>#REF!</v>
      </c>
      <c r="AF34" s="1462" t="e">
        <f t="shared" si="15"/>
        <v>#REF!</v>
      </c>
      <c r="AG34" s="1462" t="e">
        <f t="shared" si="16"/>
        <v>#REF!</v>
      </c>
      <c r="AH34" s="1462" t="e">
        <f t="shared" si="17"/>
        <v>#REF!</v>
      </c>
      <c r="AI34" s="1462">
        <f t="shared" si="18"/>
        <v>0</v>
      </c>
      <c r="AJ34" s="1462">
        <f t="shared" si="18"/>
        <v>38704.454911536719</v>
      </c>
      <c r="AK34" s="1462" t="e">
        <f t="shared" si="19"/>
        <v>#VALUE!</v>
      </c>
      <c r="AL34" s="1462" t="e">
        <f t="shared" si="19"/>
        <v>#VALUE!</v>
      </c>
      <c r="AM34" s="1462" t="e">
        <f t="shared" si="19"/>
        <v>#VALUE!</v>
      </c>
      <c r="AN34" s="1460">
        <v>457891.36765309336</v>
      </c>
    </row>
    <row r="35" spans="1:41" ht="18">
      <c r="A35" s="1459"/>
      <c r="B35" s="1459"/>
      <c r="C35" s="1460"/>
      <c r="D35" s="1460"/>
      <c r="E35" s="1466" t="s">
        <v>893</v>
      </c>
      <c r="F35" s="1467">
        <v>39276000</v>
      </c>
      <c r="G35" s="1467">
        <v>40014000</v>
      </c>
      <c r="H35" s="1467">
        <v>36072000</v>
      </c>
      <c r="I35" s="1467">
        <v>38592000</v>
      </c>
      <c r="J35" s="1467">
        <v>34506000</v>
      </c>
      <c r="K35" s="1467">
        <v>38682000</v>
      </c>
      <c r="L35" s="1467">
        <v>37512000</v>
      </c>
      <c r="M35" s="1467">
        <v>0</v>
      </c>
      <c r="N35" s="1467">
        <v>0</v>
      </c>
      <c r="O35" s="1467">
        <v>38106000</v>
      </c>
      <c r="P35" s="1467">
        <v>0</v>
      </c>
      <c r="Q35" s="1467">
        <v>38520000</v>
      </c>
      <c r="R35" s="1467">
        <v>36810000</v>
      </c>
      <c r="S35" s="1467">
        <v>38394000</v>
      </c>
      <c r="T35" s="1467">
        <v>38790000</v>
      </c>
      <c r="U35" s="1463">
        <f t="shared" si="12"/>
        <v>455274000</v>
      </c>
      <c r="V35" s="1459"/>
      <c r="W35" s="1461">
        <v>2.1700000000000001E-3</v>
      </c>
      <c r="X35" s="1461">
        <v>1.9400000000000001E-3</v>
      </c>
      <c r="Y35" s="1464">
        <f t="shared" si="13"/>
        <v>85228.92</v>
      </c>
      <c r="Z35" s="1464">
        <f t="shared" si="14"/>
        <v>86830.38</v>
      </c>
      <c r="AA35" s="1464">
        <f t="shared" si="14"/>
        <v>78276.240000000005</v>
      </c>
      <c r="AB35" s="1464">
        <f t="shared" si="14"/>
        <v>83744.639999999999</v>
      </c>
      <c r="AC35" s="1464">
        <f t="shared" si="14"/>
        <v>74878.02</v>
      </c>
      <c r="AD35" s="1464">
        <f t="shared" si="14"/>
        <v>83939.94</v>
      </c>
      <c r="AE35" s="1464">
        <f t="shared" si="14"/>
        <v>81401.040000000008</v>
      </c>
      <c r="AF35" s="1464">
        <f t="shared" si="15"/>
        <v>0</v>
      </c>
      <c r="AG35" s="1464">
        <f t="shared" si="16"/>
        <v>0</v>
      </c>
      <c r="AH35" s="1464">
        <f t="shared" si="17"/>
        <v>73925.64</v>
      </c>
      <c r="AI35" s="1464">
        <f t="shared" si="18"/>
        <v>0</v>
      </c>
      <c r="AJ35" s="1464">
        <f t="shared" si="18"/>
        <v>74728.800000000003</v>
      </c>
      <c r="AK35" s="1464">
        <f t="shared" si="19"/>
        <v>71411.400000000009</v>
      </c>
      <c r="AL35" s="1464">
        <f t="shared" si="19"/>
        <v>74484.36</v>
      </c>
      <c r="AM35" s="1464">
        <f t="shared" si="19"/>
        <v>75252.600000000006</v>
      </c>
      <c r="AN35" s="1465">
        <v>944101.9800000001</v>
      </c>
    </row>
    <row r="36" spans="1:41" ht="18">
      <c r="A36" s="1459"/>
      <c r="B36" s="1459"/>
      <c r="C36" s="1460"/>
      <c r="D36" s="1460" t="s">
        <v>894</v>
      </c>
      <c r="F36" s="1459" t="e">
        <f t="shared" ref="F36:N36" si="20">SUM(F30:F35)</f>
        <v>#VALUE!</v>
      </c>
      <c r="G36" s="1459" t="e">
        <f t="shared" si="20"/>
        <v>#VALUE!</v>
      </c>
      <c r="H36" s="1459" t="e">
        <f t="shared" si="20"/>
        <v>#VALUE!</v>
      </c>
      <c r="I36" s="1459" t="e">
        <f t="shared" si="20"/>
        <v>#VALUE!</v>
      </c>
      <c r="J36" s="1459" t="e">
        <f t="shared" si="20"/>
        <v>#VALUE!</v>
      </c>
      <c r="K36" s="1459" t="e">
        <f t="shared" si="20"/>
        <v>#VALUE!</v>
      </c>
      <c r="L36" s="1459" t="e">
        <f t="shared" si="20"/>
        <v>#REF!</v>
      </c>
      <c r="M36" s="1459" t="e">
        <f t="shared" si="20"/>
        <v>#REF!</v>
      </c>
      <c r="N36" s="1459" t="e">
        <f t="shared" si="20"/>
        <v>#REF!</v>
      </c>
      <c r="O36" s="1459" t="e">
        <f>SUM(O30:O35)</f>
        <v>#REF!</v>
      </c>
      <c r="P36" s="1459">
        <f t="shared" ref="P36:T36" si="21">SUM(P30:P35)</f>
        <v>0</v>
      </c>
      <c r="Q36" s="1459">
        <f t="shared" si="21"/>
        <v>70111815.251044214</v>
      </c>
      <c r="R36" s="1459" t="e">
        <f t="shared" si="21"/>
        <v>#VALUE!</v>
      </c>
      <c r="S36" s="1459" t="e">
        <f t="shared" si="21"/>
        <v>#VALUE!</v>
      </c>
      <c r="T36" s="1459" t="e">
        <f t="shared" si="21"/>
        <v>#VALUE!</v>
      </c>
      <c r="U36" s="1459" t="e">
        <f>SUM(U30:U35)</f>
        <v>#VALUE!</v>
      </c>
      <c r="Y36" s="1462" t="e">
        <f t="shared" ref="Y36:AF36" si="22">SUM(Y30:Y35)</f>
        <v>#VALUE!</v>
      </c>
      <c r="Z36" s="1462" t="e">
        <f t="shared" si="22"/>
        <v>#VALUE!</v>
      </c>
      <c r="AA36" s="1462" t="e">
        <f t="shared" si="22"/>
        <v>#VALUE!</v>
      </c>
      <c r="AB36" s="1462" t="e">
        <f t="shared" si="22"/>
        <v>#VALUE!</v>
      </c>
      <c r="AC36" s="1462" t="e">
        <f t="shared" si="22"/>
        <v>#VALUE!</v>
      </c>
      <c r="AD36" s="1462" t="e">
        <f t="shared" si="22"/>
        <v>#VALUE!</v>
      </c>
      <c r="AE36" s="1462" t="e">
        <f t="shared" si="22"/>
        <v>#REF!</v>
      </c>
      <c r="AF36" s="1462" t="e">
        <f t="shared" si="22"/>
        <v>#REF!</v>
      </c>
      <c r="AG36" s="1462" t="e">
        <f>SUM(AG30:AG35)</f>
        <v>#REF!</v>
      </c>
      <c r="AH36" s="1462" t="e">
        <f>SUM(AH30:AH35)</f>
        <v>#REF!</v>
      </c>
      <c r="AI36" s="1462">
        <f t="shared" ref="AI36:AJ36" si="23">SUM(AI30:AI35)</f>
        <v>0</v>
      </c>
      <c r="AJ36" s="1462">
        <f t="shared" si="23"/>
        <v>142024.76637732293</v>
      </c>
      <c r="AK36" s="1462" t="e">
        <f>SUM(AK30:AK35)</f>
        <v>#VALUE!</v>
      </c>
      <c r="AL36" s="1462" t="e">
        <f>SUM(AL30:AL35)</f>
        <v>#VALUE!</v>
      </c>
      <c r="AM36" s="1462" t="e">
        <f>SUM(AM30:AM35)</f>
        <v>#VALUE!</v>
      </c>
      <c r="AN36" s="1462">
        <v>1734625.9525194005</v>
      </c>
    </row>
    <row r="37" spans="1:41" ht="18">
      <c r="A37" s="1459"/>
      <c r="B37" s="1459"/>
      <c r="C37" s="1460"/>
      <c r="D37" s="1460"/>
      <c r="F37" s="1459"/>
      <c r="G37" s="1459"/>
      <c r="H37" s="1459"/>
      <c r="I37" s="1459"/>
      <c r="J37" s="1459"/>
      <c r="K37" s="1459"/>
      <c r="L37" s="1459"/>
      <c r="M37" s="1459"/>
      <c r="N37" s="1459"/>
      <c r="O37" s="1459"/>
      <c r="P37" s="1459"/>
      <c r="Q37" s="1459"/>
      <c r="R37" s="1459"/>
      <c r="S37" s="1459"/>
      <c r="T37" s="1459"/>
      <c r="U37" s="1459"/>
      <c r="Y37" s="1462"/>
      <c r="Z37" s="1462"/>
      <c r="AA37" s="1462"/>
      <c r="AB37" s="1462"/>
      <c r="AC37" s="1462"/>
      <c r="AD37" s="1462"/>
      <c r="AE37" s="1462"/>
      <c r="AF37" s="1462"/>
      <c r="AG37" s="1462"/>
      <c r="AH37" s="1462"/>
      <c r="AI37" s="1462"/>
      <c r="AJ37" s="1462"/>
      <c r="AK37" s="1462"/>
      <c r="AL37" s="1462"/>
      <c r="AM37" s="1462"/>
    </row>
    <row r="38" spans="1:41" ht="18">
      <c r="A38" s="1459"/>
      <c r="B38" s="1459"/>
      <c r="C38" s="1460"/>
      <c r="D38" s="1460" t="s">
        <v>204</v>
      </c>
      <c r="Y38" s="1462"/>
      <c r="Z38" s="1462"/>
      <c r="AA38" s="1462"/>
      <c r="AB38" s="1462"/>
      <c r="AC38" s="1462"/>
      <c r="AD38" s="1462"/>
    </row>
    <row r="39" spans="1:41" ht="18">
      <c r="A39" s="1459"/>
      <c r="B39" s="1459"/>
      <c r="C39" s="1460"/>
      <c r="D39" s="1460"/>
      <c r="E39" s="1444">
        <v>40</v>
      </c>
      <c r="F39" s="1463" t="e">
        <f>SUMIF('[9]KWH RVN Inputs'!$R$2:$R$63569,CONCATENATE("=",TEXT(F$10,"00000"),"WA","IND",TEXT($E39,"0")),'[9]KWH RVN Inputs'!$H$2:$H$63569)</f>
        <v>#VALUE!</v>
      </c>
      <c r="G39" s="1463" t="e">
        <f>SUMIF('[9]KWH RVN Inputs'!$R$2:$R$63569,CONCATENATE("=",TEXT(G$10,"00000"),"WA","IND",TEXT($E39,"0")),'[9]KWH RVN Inputs'!$H$2:$H$63569)</f>
        <v>#VALUE!</v>
      </c>
      <c r="H39" s="1463" t="e">
        <f>SUMIF('[9]KWH RVN Inputs'!$R$2:$R$63569,CONCATENATE("=",TEXT(H$10,"00000"),"WA","IND",TEXT($E39,"0")),'[9]KWH RVN Inputs'!$H$2:$H$63569)</f>
        <v>#VALUE!</v>
      </c>
      <c r="I39" s="1463" t="e">
        <f>SUMIF('[9]KWH RVN Inputs'!$R$2:$R$63569,CONCATENATE("=",TEXT(I$10,"00000"),"WA","IND",TEXT($E39,"0")),'[9]KWH RVN Inputs'!$H$2:$H$63569)</f>
        <v>#VALUE!</v>
      </c>
      <c r="J39" s="1463" t="e">
        <f>SUMIF('[9]KWH RVN Inputs'!$R$2:$R$63569,CONCATENATE("=",TEXT(J$10,"00000"),"WA","IND",TEXT($E39,"0")),'[9]KWH RVN Inputs'!$H$2:$H$63569)</f>
        <v>#VALUE!</v>
      </c>
      <c r="K39" s="1463" t="e">
        <f>SUMIF('[9]KWH RVN Inputs'!$R$2:$R$63569,CONCATENATE("=",TEXT(K$10,"00000"),"WA","IND",TEXT($E39,"0")),'[9]KWH RVN Inputs'!$H$2:$H$63569)</f>
        <v>#VALUE!</v>
      </c>
      <c r="L39" s="1463" t="e">
        <f>GETPIVOTDATA("Total kWh",'[9]Prorate 07-13 WA'!$A$6,"Revenue Class Cd","IRG","Effect","Pre 7/1/2013","Rate",40)</f>
        <v>#REF!</v>
      </c>
      <c r="M39" s="1463" t="e">
        <f>GETPIVOTDATA("Total kWh",'[9]Prorate 07-13 WA'!$A$6,"Revenue Class Cd","IRG","Effect","Post 7/1/2013","Rate",40)</f>
        <v>#REF!</v>
      </c>
      <c r="N39" s="1463" t="e">
        <f>GETPIVOTDATA("Total kWh",'[9]Prorate 08-13 WA'!$A$6,"Revenue Class Cd","IRG","Effect","Pre 7/1/2013","Rate",40)</f>
        <v>#REF!</v>
      </c>
      <c r="O39" s="1463" t="e">
        <f>GETPIVOTDATA("Total kWh",'[9]Prorate 08-13 WA'!$A$6,"Revenue Class Cd","IRG","Effect","Post 7/1/2013","Rate",40)</f>
        <v>#REF!</v>
      </c>
      <c r="P39" s="1463">
        <f>'[9]WA Prorate 09-13'!C18</f>
        <v>15928.0201840309</v>
      </c>
      <c r="Q39" s="1463">
        <f>'[9]WA Prorate 09-13'!D18</f>
        <v>25071313.953488365</v>
      </c>
      <c r="R39" s="1463" t="e">
        <f>SUMIF('[9]KWH RVN Inputs'!$R$2:$R$63569,CONCATENATE("=",TEXT(R$10,"00000"),"WA","IND",TEXT($E39,"0")),'[9]KWH RVN Inputs'!$H$2:$H$63569)</f>
        <v>#VALUE!</v>
      </c>
      <c r="S39" s="1463" t="e">
        <f>SUMIF('[9]KWH RVN Inputs'!$R$2:$R$63569,CONCATENATE("=",TEXT(S$10,"00000"),"WA","IND",TEXT($E39,"0")),'[9]KWH RVN Inputs'!$H$2:$H$63569)</f>
        <v>#VALUE!</v>
      </c>
      <c r="T39" s="1463" t="e">
        <f>SUMIF('[9]KWH RVN Inputs'!$R$2:$R$63569,CONCATENATE("=",TEXT(T$10,"00000"),"WA","IND",TEXT($E39,"0")),'[9]KWH RVN Inputs'!$H$2:$H$63569)</f>
        <v>#VALUE!</v>
      </c>
      <c r="U39" s="1463" t="e">
        <f>SUM(F39:T39)</f>
        <v>#VALUE!</v>
      </c>
      <c r="V39" s="1459"/>
      <c r="W39" s="1461">
        <v>2.99E-3</v>
      </c>
      <c r="X39" s="1461">
        <v>2.6900000000000001E-3</v>
      </c>
      <c r="Y39" s="1464" t="e">
        <f>F39*W39</f>
        <v>#VALUE!</v>
      </c>
      <c r="Z39" s="1464" t="e">
        <f t="shared" ref="Z39:AE39" si="24">G39*$W39</f>
        <v>#VALUE!</v>
      </c>
      <c r="AA39" s="1464" t="e">
        <f t="shared" si="24"/>
        <v>#VALUE!</v>
      </c>
      <c r="AB39" s="1464" t="e">
        <f t="shared" si="24"/>
        <v>#VALUE!</v>
      </c>
      <c r="AC39" s="1464" t="e">
        <f t="shared" si="24"/>
        <v>#VALUE!</v>
      </c>
      <c r="AD39" s="1464" t="e">
        <f t="shared" si="24"/>
        <v>#VALUE!</v>
      </c>
      <c r="AE39" s="1464" t="e">
        <f t="shared" si="24"/>
        <v>#REF!</v>
      </c>
      <c r="AF39" s="1464" t="e">
        <f>M39*$X39</f>
        <v>#REF!</v>
      </c>
      <c r="AG39" s="1464" t="e">
        <f>N39*$W39</f>
        <v>#REF!</v>
      </c>
      <c r="AH39" s="1464" t="e">
        <f>O39*$X39</f>
        <v>#REF!</v>
      </c>
      <c r="AI39" s="1464">
        <f>P39*W39</f>
        <v>47.624780350252394</v>
      </c>
      <c r="AJ39" s="1464">
        <f>Q39*X39</f>
        <v>67441.834534883703</v>
      </c>
      <c r="AK39" s="1464" t="e">
        <f>R39*$X39</f>
        <v>#VALUE!</v>
      </c>
      <c r="AL39" s="1464" t="e">
        <f>S39*$X39</f>
        <v>#VALUE!</v>
      </c>
      <c r="AM39" s="1464" t="e">
        <f>T39*$X39</f>
        <v>#VALUE!</v>
      </c>
      <c r="AN39" s="1465">
        <v>453949.43277147267</v>
      </c>
    </row>
    <row r="40" spans="1:41" ht="18">
      <c r="A40" s="1459"/>
      <c r="B40" s="1459"/>
      <c r="C40" s="1460"/>
      <c r="D40" s="1460" t="s">
        <v>895</v>
      </c>
      <c r="E40" s="1444"/>
      <c r="F40" s="1459" t="e">
        <f t="shared" ref="F40:T40" si="25">F39</f>
        <v>#VALUE!</v>
      </c>
      <c r="G40" s="1459" t="e">
        <f t="shared" si="25"/>
        <v>#VALUE!</v>
      </c>
      <c r="H40" s="1459" t="e">
        <f t="shared" si="25"/>
        <v>#VALUE!</v>
      </c>
      <c r="I40" s="1459" t="e">
        <f t="shared" si="25"/>
        <v>#VALUE!</v>
      </c>
      <c r="J40" s="1459" t="e">
        <f t="shared" si="25"/>
        <v>#VALUE!</v>
      </c>
      <c r="K40" s="1459" t="e">
        <f t="shared" si="25"/>
        <v>#VALUE!</v>
      </c>
      <c r="L40" s="1459" t="e">
        <f t="shared" si="25"/>
        <v>#REF!</v>
      </c>
      <c r="M40" s="1459" t="e">
        <f t="shared" si="25"/>
        <v>#REF!</v>
      </c>
      <c r="N40" s="1459" t="e">
        <f t="shared" si="25"/>
        <v>#REF!</v>
      </c>
      <c r="O40" s="1459" t="e">
        <f t="shared" si="25"/>
        <v>#REF!</v>
      </c>
      <c r="P40" s="1459">
        <f t="shared" si="25"/>
        <v>15928.0201840309</v>
      </c>
      <c r="Q40" s="1459">
        <f t="shared" si="25"/>
        <v>25071313.953488365</v>
      </c>
      <c r="R40" s="1459" t="e">
        <f t="shared" si="25"/>
        <v>#VALUE!</v>
      </c>
      <c r="S40" s="1459" t="e">
        <f t="shared" si="25"/>
        <v>#VALUE!</v>
      </c>
      <c r="T40" s="1459" t="e">
        <f t="shared" si="25"/>
        <v>#VALUE!</v>
      </c>
      <c r="U40" s="1459" t="e">
        <f>U39</f>
        <v>#VALUE!</v>
      </c>
      <c r="V40" s="1459"/>
      <c r="W40" s="1461"/>
      <c r="X40" s="1461"/>
      <c r="Y40" s="1462" t="e">
        <f t="shared" ref="Y40:AF40" si="26">SUM(Y39)</f>
        <v>#VALUE!</v>
      </c>
      <c r="Z40" s="1462" t="e">
        <f t="shared" si="26"/>
        <v>#VALUE!</v>
      </c>
      <c r="AA40" s="1462" t="e">
        <f t="shared" si="26"/>
        <v>#VALUE!</v>
      </c>
      <c r="AB40" s="1462" t="e">
        <f t="shared" si="26"/>
        <v>#VALUE!</v>
      </c>
      <c r="AC40" s="1462" t="e">
        <f t="shared" si="26"/>
        <v>#VALUE!</v>
      </c>
      <c r="AD40" s="1462" t="e">
        <f t="shared" si="26"/>
        <v>#VALUE!</v>
      </c>
      <c r="AE40" s="1462" t="e">
        <f t="shared" si="26"/>
        <v>#REF!</v>
      </c>
      <c r="AF40" s="1462" t="e">
        <f t="shared" si="26"/>
        <v>#REF!</v>
      </c>
      <c r="AG40" s="1462" t="e">
        <f t="shared" ref="AG40:AJ40" si="27">SUM(AG39)</f>
        <v>#REF!</v>
      </c>
      <c r="AH40" s="1462" t="e">
        <f t="shared" si="27"/>
        <v>#REF!</v>
      </c>
      <c r="AI40" s="1462">
        <f t="shared" si="27"/>
        <v>47.624780350252394</v>
      </c>
      <c r="AJ40" s="1462">
        <f t="shared" si="27"/>
        <v>67441.834534883703</v>
      </c>
      <c r="AK40" s="1462" t="e">
        <f>SUM(AK39)</f>
        <v>#VALUE!</v>
      </c>
      <c r="AL40" s="1462" t="e">
        <f>SUM(AL39)</f>
        <v>#VALUE!</v>
      </c>
      <c r="AM40" s="1462" t="e">
        <f>SUM(AM39)</f>
        <v>#VALUE!</v>
      </c>
      <c r="AN40" s="1462">
        <v>453949.43277147267</v>
      </c>
    </row>
    <row r="41" spans="1:41" ht="18">
      <c r="A41" s="1459"/>
      <c r="B41" s="1459"/>
      <c r="C41" s="1460"/>
      <c r="D41" s="1460"/>
      <c r="Y41" s="1462"/>
      <c r="Z41" s="1462"/>
      <c r="AA41" s="1462"/>
      <c r="AB41" s="1462"/>
      <c r="AC41" s="1462"/>
      <c r="AD41" s="1462"/>
      <c r="AO41" s="1468"/>
    </row>
    <row r="42" spans="1:41" ht="18">
      <c r="A42" s="1459"/>
      <c r="B42" s="1459"/>
      <c r="C42" s="1460"/>
      <c r="D42" s="1460" t="s">
        <v>36</v>
      </c>
      <c r="Y42" s="1462"/>
      <c r="Z42" s="1462"/>
      <c r="AA42" s="1462"/>
      <c r="AB42" s="1462"/>
      <c r="AC42" s="1462"/>
      <c r="AD42" s="1462"/>
    </row>
    <row r="43" spans="1:41" ht="18">
      <c r="A43" s="1459"/>
      <c r="B43" s="1459"/>
      <c r="E43" s="1444" t="s">
        <v>342</v>
      </c>
      <c r="F43" s="1459" t="e">
        <f>SUMIF('[9]KWH RVN Inputs'!$R$2:$R$63569,CONCATENATE("=",TEXT(F$10,"00000"),"WA","PSH",TEXT($E43,"0")),'[9]KWH RVN Inputs'!$H$2:$H$63569)</f>
        <v>#VALUE!</v>
      </c>
      <c r="G43" s="1459" t="e">
        <f>SUMIF('[9]KWH RVN Inputs'!$R$2:$R$63569,CONCATENATE("=",TEXT(G$10,"00000"),"WA","PSH",TEXT($E43,"0")),'[9]KWH RVN Inputs'!$H$2:$H$63569)</f>
        <v>#VALUE!</v>
      </c>
      <c r="H43" s="1459" t="e">
        <f>SUMIF('[9]KWH RVN Inputs'!$R$2:$R$63569,CONCATENATE("=",TEXT(H$10,"00000"),"WA","PSH",TEXT($E43,"0")),'[9]KWH RVN Inputs'!$H$2:$H$63569)</f>
        <v>#VALUE!</v>
      </c>
      <c r="I43" s="1459" t="e">
        <f>SUMIF('[9]KWH RVN Inputs'!$R$2:$R$63569,CONCATENATE("=",TEXT(I$10,"00000"),"WA","PSH",TEXT($E43,"0")),'[9]KWH RVN Inputs'!$H$2:$H$63569)</f>
        <v>#VALUE!</v>
      </c>
      <c r="J43" s="1459" t="e">
        <f>SUMIF('[9]KWH RVN Inputs'!$R$2:$R$63569,CONCATENATE("=",TEXT(J$10,"00000"),"WA","PSH",TEXT($E43,"0")),'[9]KWH RVN Inputs'!$H$2:$H$63569)</f>
        <v>#VALUE!</v>
      </c>
      <c r="K43" s="1459" t="e">
        <f>SUMIF('[9]KWH RVN Inputs'!$R$2:$R$63569,CONCATENATE("=",TEXT(K$10,"00000"),"WA","PSH",TEXT($E43,"0")),'[9]KWH RVN Inputs'!$H$2:$H$63569)</f>
        <v>#VALUE!</v>
      </c>
      <c r="L43" s="1459" t="e">
        <f>GETPIVOTDATA("Total kWh",'[9]Prorate 07-13 WA'!$A$6,"Revenue Class Cd","PSH","Effect","Pre 7/1/2013","Rate",51)</f>
        <v>#REF!</v>
      </c>
      <c r="M43" s="1459" t="e">
        <f>GETPIVOTDATA("Total kWh",'[9]Prorate 07-13 WA'!$A$6,"Revenue Class Cd","PSH","Effect","Post 7/1/2013","Rate",51)</f>
        <v>#REF!</v>
      </c>
      <c r="N43" s="1459" t="e">
        <f>GETPIVOTDATA("Total kWh",'[9]Prorate 08-13 WA'!$A$6,"Revenue Class Cd","PSH","Effect","Pre 7/1/2013","Rate",51)</f>
        <v>#REF!</v>
      </c>
      <c r="O43" s="1459" t="e">
        <f>GETPIVOTDATA("Total kWh",'[9]Prorate 08-13 WA'!$A$6,"Revenue Class Cd","PSH","Effect","Post 7/1/2013","Rate",51)</f>
        <v>#REF!</v>
      </c>
      <c r="P43" s="1459">
        <f>'[9]WA Prorate 09-13'!C19</f>
        <v>0</v>
      </c>
      <c r="Q43" s="1459">
        <f>'[9]WA Prorate 09-13'!D19</f>
        <v>294820</v>
      </c>
      <c r="R43" s="1459" t="e">
        <f>SUMIF('[9]KWH RVN Inputs'!$R$2:$R$63569,CONCATENATE("=",TEXT(R$10,"00000"),"WA","PSH",TEXT($E43,"0")),'[9]KWH RVN Inputs'!$H$2:$H$63569)</f>
        <v>#VALUE!</v>
      </c>
      <c r="S43" s="1459" t="e">
        <f>SUMIF('[9]KWH RVN Inputs'!$R$2:$R$63569,CONCATENATE("=",TEXT(S$10,"00000"),"WA","PSH",TEXT($E43,"0")),'[9]KWH RVN Inputs'!$H$2:$H$63569)</f>
        <v>#VALUE!</v>
      </c>
      <c r="T43" s="1459" t="e">
        <f>SUMIF('[9]KWH RVN Inputs'!$R$2:$R$63569,CONCATENATE("=",TEXT(T$10,"00000"),"WA","PSH",TEXT($E43,"0")),'[9]KWH RVN Inputs'!$H$2:$H$63569)</f>
        <v>#VALUE!</v>
      </c>
      <c r="U43" s="1459" t="e">
        <f>SUM(F43:T43)</f>
        <v>#VALUE!</v>
      </c>
      <c r="V43" s="1459"/>
      <c r="W43" s="1461">
        <v>2.8700000000000002E-3</v>
      </c>
      <c r="X43" s="1461">
        <v>2.5600000000000002E-3</v>
      </c>
      <c r="Y43" s="1462" t="e">
        <f>F43*W43</f>
        <v>#VALUE!</v>
      </c>
      <c r="Z43" s="1462" t="e">
        <f t="shared" ref="Z43:AE46" si="28">G43*$W43</f>
        <v>#VALUE!</v>
      </c>
      <c r="AA43" s="1462" t="e">
        <f t="shared" si="28"/>
        <v>#VALUE!</v>
      </c>
      <c r="AB43" s="1462" t="e">
        <f t="shared" si="28"/>
        <v>#VALUE!</v>
      </c>
      <c r="AC43" s="1462" t="e">
        <f t="shared" si="28"/>
        <v>#VALUE!</v>
      </c>
      <c r="AD43" s="1462" t="e">
        <f t="shared" si="28"/>
        <v>#VALUE!</v>
      </c>
      <c r="AE43" s="1462" t="e">
        <f t="shared" si="28"/>
        <v>#REF!</v>
      </c>
      <c r="AF43" s="1462" t="e">
        <f>M43*$X43</f>
        <v>#REF!</v>
      </c>
      <c r="AG43" s="1462" t="e">
        <f>N43*$W43</f>
        <v>#REF!</v>
      </c>
      <c r="AH43" s="1462" t="e">
        <f>O43*$X43</f>
        <v>#REF!</v>
      </c>
      <c r="AI43" s="1462">
        <f t="shared" ref="AI43:AJ46" si="29">P43*W43</f>
        <v>0</v>
      </c>
      <c r="AJ43" s="1462">
        <f t="shared" si="29"/>
        <v>754.7392000000001</v>
      </c>
      <c r="AK43" s="1462" t="e">
        <f>R43*$X43</f>
        <v>#VALUE!</v>
      </c>
      <c r="AL43" s="1462" t="e">
        <f>S43*$X43</f>
        <v>#VALUE!</v>
      </c>
      <c r="AM43" s="1462" t="e">
        <f>T43*$X43</f>
        <v>#VALUE!</v>
      </c>
      <c r="AN43" s="1460">
        <v>9633.9574285143553</v>
      </c>
    </row>
    <row r="44" spans="1:41" ht="18">
      <c r="A44" s="1459"/>
      <c r="B44" s="1459"/>
      <c r="E44" s="1444" t="s">
        <v>896</v>
      </c>
      <c r="F44" s="1459" t="e">
        <f>SUMIF('[9]KWH RVN Inputs'!$R$2:$R$63569,CONCATENATE("=",TEXT(F$10,"00000"),"WA","PSH",TEXT($E44,"0")),'[9]KWH RVN Inputs'!$H$2:$H$63569)</f>
        <v>#VALUE!</v>
      </c>
      <c r="G44" s="1459" t="e">
        <f>SUMIF('[9]KWH RVN Inputs'!$R$2:$R$63569,CONCATENATE("=",TEXT(G$10,"00000"),"WA","PSH",TEXT($E44,"0")),'[9]KWH RVN Inputs'!$H$2:$H$63569)</f>
        <v>#VALUE!</v>
      </c>
      <c r="H44" s="1459" t="e">
        <f>SUMIF('[9]KWH RVN Inputs'!$R$2:$R$63569,CONCATENATE("=",TEXT(H$10,"00000"),"WA","PSH",TEXT($E44,"0")),'[9]KWH RVN Inputs'!$H$2:$H$63569)</f>
        <v>#VALUE!</v>
      </c>
      <c r="I44" s="1459" t="e">
        <f>SUMIF('[9]KWH RVN Inputs'!$R$2:$R$63569,CONCATENATE("=",TEXT(I$10,"00000"),"WA","PSH",TEXT($E44,"0")),'[9]KWH RVN Inputs'!$H$2:$H$63569)</f>
        <v>#VALUE!</v>
      </c>
      <c r="J44" s="1459" t="e">
        <f>SUMIF('[9]KWH RVN Inputs'!$R$2:$R$63569,CONCATENATE("=",TEXT(J$10,"00000"),"WA","PSH",TEXT($E44,"0")),'[9]KWH RVN Inputs'!$H$2:$H$63569)</f>
        <v>#VALUE!</v>
      </c>
      <c r="K44" s="1459" t="e">
        <f>SUMIF('[9]KWH RVN Inputs'!$R$2:$R$63569,CONCATENATE("=",TEXT(K$10,"00000"),"WA","PSH",TEXT($E44,"0")),'[9]KWH RVN Inputs'!$H$2:$H$63569)</f>
        <v>#VALUE!</v>
      </c>
      <c r="L44" s="1459" t="e">
        <f>GETPIVOTDATA("Total kWh",'[9]Prorate 07-13 WA'!$A$6,"Revenue Class Cd","PSH","Effect","Pre 7/1/2013","Rate",52)</f>
        <v>#REF!</v>
      </c>
      <c r="M44" s="1459" t="e">
        <f>GETPIVOTDATA("Total kWh",'[9]Prorate 07-13 WA'!$A$6,"Revenue Class Cd","PSH","Effect","Post 7/1/2013","Rate",52)</f>
        <v>#REF!</v>
      </c>
      <c r="N44" s="1459" t="e">
        <f>GETPIVOTDATA("Total kWh",'[9]Prorate 08-13 WA'!$A$6,"Revenue Class Cd","PSH","Effect","Pre 7/1/2013","Rate",52)</f>
        <v>#REF!</v>
      </c>
      <c r="O44" s="1459" t="e">
        <f>GETPIVOTDATA("Total kWh",'[9]Prorate 08-13 WA'!$A$6,"Revenue Class Cd","PSH","Effect","Post 7/1/2013","Rate",52)</f>
        <v>#REF!</v>
      </c>
      <c r="P44" s="1459">
        <f>'[9]WA Prorate 09-13'!C20</f>
        <v>0</v>
      </c>
      <c r="Q44" s="1459">
        <f>'[9]WA Prorate 09-13'!D20</f>
        <v>18326.113327702402</v>
      </c>
      <c r="R44" s="1459" t="e">
        <f>SUMIF('[9]KWH RVN Inputs'!$R$2:$R$63569,CONCATENATE("=",TEXT(R$10,"00000"),"WA","PSH",TEXT($E44,"0")),'[9]KWH RVN Inputs'!$H$2:$H$63569)</f>
        <v>#VALUE!</v>
      </c>
      <c r="S44" s="1459" t="e">
        <f>SUMIF('[9]KWH RVN Inputs'!$R$2:$R$63569,CONCATENATE("=",TEXT(S$10,"00000"),"WA","PSH",TEXT($E44,"0")),'[9]KWH RVN Inputs'!$H$2:$H$63569)</f>
        <v>#VALUE!</v>
      </c>
      <c r="T44" s="1459" t="e">
        <f>SUMIF('[9]KWH RVN Inputs'!$R$2:$R$63569,CONCATENATE("=",TEXT(T$10,"00000"),"WA","PSH",TEXT($E44,"0")),'[9]KWH RVN Inputs'!$H$2:$H$63569)</f>
        <v>#VALUE!</v>
      </c>
      <c r="U44" s="1459" t="e">
        <f>SUM(F44:T44)</f>
        <v>#VALUE!</v>
      </c>
      <c r="V44" s="1459"/>
      <c r="W44" s="1461">
        <v>2.8700000000000002E-3</v>
      </c>
      <c r="X44" s="1461">
        <v>2.5600000000000002E-3</v>
      </c>
      <c r="Y44" s="1462" t="e">
        <f>F44*W44</f>
        <v>#VALUE!</v>
      </c>
      <c r="Z44" s="1462" t="e">
        <f t="shared" si="28"/>
        <v>#VALUE!</v>
      </c>
      <c r="AA44" s="1462" t="e">
        <f t="shared" si="28"/>
        <v>#VALUE!</v>
      </c>
      <c r="AB44" s="1462" t="e">
        <f t="shared" si="28"/>
        <v>#VALUE!</v>
      </c>
      <c r="AC44" s="1462" t="e">
        <f t="shared" si="28"/>
        <v>#VALUE!</v>
      </c>
      <c r="AD44" s="1462" t="e">
        <f t="shared" si="28"/>
        <v>#VALUE!</v>
      </c>
      <c r="AE44" s="1462" t="e">
        <f t="shared" si="28"/>
        <v>#REF!</v>
      </c>
      <c r="AF44" s="1462" t="e">
        <f>M44*$X44</f>
        <v>#REF!</v>
      </c>
      <c r="AG44" s="1462" t="e">
        <f>N44*$W44</f>
        <v>#REF!</v>
      </c>
      <c r="AH44" s="1462" t="e">
        <f>O44*$X44</f>
        <v>#REF!</v>
      </c>
      <c r="AI44" s="1462">
        <f t="shared" si="29"/>
        <v>0</v>
      </c>
      <c r="AJ44" s="1462">
        <f t="shared" si="29"/>
        <v>46.914850118918153</v>
      </c>
      <c r="AK44" s="1462" t="e">
        <f t="shared" ref="AK44:AM46" si="30">R44*$X44</f>
        <v>#VALUE!</v>
      </c>
      <c r="AL44" s="1462" t="e">
        <f t="shared" si="30"/>
        <v>#VALUE!</v>
      </c>
      <c r="AM44" s="1462" t="e">
        <f t="shared" si="30"/>
        <v>#VALUE!</v>
      </c>
      <c r="AN44" s="1460">
        <v>600.95091586234071</v>
      </c>
    </row>
    <row r="45" spans="1:41" ht="18">
      <c r="A45" s="1463"/>
      <c r="B45" s="1463"/>
      <c r="C45" s="1465"/>
      <c r="D45" s="1465"/>
      <c r="E45" s="1444" t="s">
        <v>897</v>
      </c>
      <c r="F45" s="1459" t="e">
        <f>SUMIF('[9]KWH RVN Inputs'!$R$2:$R$63569,CONCATENATE("=",TEXT(F$10,"00000"),"WA","PSH",TEXT($E45,"0")),'[9]KWH RVN Inputs'!$H$2:$H$63569)</f>
        <v>#VALUE!</v>
      </c>
      <c r="G45" s="1459" t="e">
        <f>SUMIF('[9]KWH RVN Inputs'!$R$2:$R$63569,CONCATENATE("=",TEXT(G$10,"00000"),"WA","PSH",TEXT($E45,"0")),'[9]KWH RVN Inputs'!$H$2:$H$63569)</f>
        <v>#VALUE!</v>
      </c>
      <c r="H45" s="1459" t="e">
        <f>SUMIF('[9]KWH RVN Inputs'!$R$2:$R$63569,CONCATENATE("=",TEXT(H$10,"00000"),"WA","PSH",TEXT($E45,"0")),'[9]KWH RVN Inputs'!$H$2:$H$63569)</f>
        <v>#VALUE!</v>
      </c>
      <c r="I45" s="1459" t="e">
        <f>SUMIF('[9]KWH RVN Inputs'!$R$2:$R$63569,CONCATENATE("=",TEXT(I$10,"00000"),"WA","PSH",TEXT($E45,"0")),'[9]KWH RVN Inputs'!$H$2:$H$63569)</f>
        <v>#VALUE!</v>
      </c>
      <c r="J45" s="1459" t="e">
        <f>SUMIF('[9]KWH RVN Inputs'!$R$2:$R$63569,CONCATENATE("=",TEXT(J$10,"00000"),"WA","PSH",TEXT($E45,"0")),'[9]KWH RVN Inputs'!$H$2:$H$63569)</f>
        <v>#VALUE!</v>
      </c>
      <c r="K45" s="1459" t="e">
        <f>SUMIF('[9]KWH RVN Inputs'!$R$2:$R$63569,CONCATENATE("=",TEXT(K$10,"00000"),"WA","PSH",TEXT($E45,"0")),'[9]KWH RVN Inputs'!$H$2:$H$63569)</f>
        <v>#VALUE!</v>
      </c>
      <c r="L45" s="1459" t="e">
        <f>GETPIVOTDATA("Total kWh",'[9]Prorate 07-13 WA'!$A$6,"Revenue Class Cd","PSH","Effect","Pre 7/1/2013","Rate",53)</f>
        <v>#REF!</v>
      </c>
      <c r="M45" s="1459" t="e">
        <f>GETPIVOTDATA("Total kWh",'[9]Prorate 07-13 WA'!$A$6,"Revenue Class Cd","PSH","Effect","Post 7/1/2013","Rate",53)</f>
        <v>#REF!</v>
      </c>
      <c r="N45" s="1459" t="e">
        <f>GETPIVOTDATA("Total kWh",'[9]Prorate 08-13 WA'!$A$6,"Revenue Class Cd","PSH","Effect","Pre 7/1/2013","Rate",53)</f>
        <v>#REF!</v>
      </c>
      <c r="O45" s="1459" t="e">
        <f>GETPIVOTDATA("Total kWh",'[9]Prorate 08-13 WA'!$A$6,"Revenue Class Cd","PSH","Effect","Post 7/1/2013","Rate",53)</f>
        <v>#REF!</v>
      </c>
      <c r="P45" s="1459">
        <f>'[9]WA Prorate 09-13'!C21</f>
        <v>0</v>
      </c>
      <c r="Q45" s="1459">
        <f>'[9]WA Prorate 09-13'!D21</f>
        <v>373965.73209224461</v>
      </c>
      <c r="R45" s="1459" t="e">
        <f>SUMIF('[9]KWH RVN Inputs'!$R$2:$R$63569,CONCATENATE("=",TEXT(R$10,"00000"),"WA","PSH",TEXT($E45,"0")),'[9]KWH RVN Inputs'!$H$2:$H$63569)</f>
        <v>#VALUE!</v>
      </c>
      <c r="S45" s="1459" t="e">
        <f>SUMIF('[9]KWH RVN Inputs'!$R$2:$R$63569,CONCATENATE("=",TEXT(S$10,"00000"),"WA","PSH",TEXT($E45,"0")),'[9]KWH RVN Inputs'!$H$2:$H$63569)</f>
        <v>#VALUE!</v>
      </c>
      <c r="T45" s="1459" t="e">
        <f>SUMIF('[9]KWH RVN Inputs'!$R$2:$R$63569,CONCATENATE("=",TEXT(T$10,"00000"),"WA","PSH",TEXT($E45,"0")),'[9]KWH RVN Inputs'!$H$2:$H$63569)</f>
        <v>#VALUE!</v>
      </c>
      <c r="U45" s="1459" t="e">
        <f>SUM(F45:T45)</f>
        <v>#VALUE!</v>
      </c>
      <c r="V45" s="1459"/>
      <c r="W45" s="1461">
        <v>2.8700000000000002E-3</v>
      </c>
      <c r="X45" s="1461">
        <v>2.5600000000000002E-3</v>
      </c>
      <c r="Y45" s="1462" t="e">
        <f>F45*W45</f>
        <v>#VALUE!</v>
      </c>
      <c r="Z45" s="1462" t="e">
        <f t="shared" si="28"/>
        <v>#VALUE!</v>
      </c>
      <c r="AA45" s="1462" t="e">
        <f t="shared" si="28"/>
        <v>#VALUE!</v>
      </c>
      <c r="AB45" s="1462" t="e">
        <f t="shared" si="28"/>
        <v>#VALUE!</v>
      </c>
      <c r="AC45" s="1462" t="e">
        <f t="shared" si="28"/>
        <v>#VALUE!</v>
      </c>
      <c r="AD45" s="1462" t="e">
        <f t="shared" si="28"/>
        <v>#VALUE!</v>
      </c>
      <c r="AE45" s="1462" t="e">
        <f t="shared" si="28"/>
        <v>#REF!</v>
      </c>
      <c r="AF45" s="1462" t="e">
        <f>M45*$X45</f>
        <v>#REF!</v>
      </c>
      <c r="AG45" s="1462" t="e">
        <f>N45*$W45</f>
        <v>#REF!</v>
      </c>
      <c r="AH45" s="1462" t="e">
        <f>O45*$X45</f>
        <v>#REF!</v>
      </c>
      <c r="AI45" s="1462">
        <f t="shared" si="29"/>
        <v>0</v>
      </c>
      <c r="AJ45" s="1462">
        <f t="shared" si="29"/>
        <v>957.35227415614622</v>
      </c>
      <c r="AK45" s="1462" t="e">
        <f t="shared" si="30"/>
        <v>#VALUE!</v>
      </c>
      <c r="AL45" s="1462" t="e">
        <f t="shared" si="30"/>
        <v>#VALUE!</v>
      </c>
      <c r="AM45" s="1462" t="e">
        <f t="shared" si="30"/>
        <v>#VALUE!</v>
      </c>
      <c r="AN45" s="1460">
        <v>11984.932546080763</v>
      </c>
    </row>
    <row r="46" spans="1:41" ht="18">
      <c r="A46" s="1469"/>
      <c r="B46" s="1459"/>
      <c r="E46" s="1444">
        <v>57</v>
      </c>
      <c r="F46" s="1463" t="e">
        <f>SUMIF('[9]KWH RVN Inputs'!$R$2:$R$63569,CONCATENATE("=",TEXT(F$10,"00000"),"WA","PSH",TEXT($E46,"0")),'[9]KWH RVN Inputs'!$H$2:$H$63569)</f>
        <v>#VALUE!</v>
      </c>
      <c r="G46" s="1463" t="e">
        <f>SUMIF('[9]KWH RVN Inputs'!$R$2:$R$63569,CONCATENATE("=",TEXT(G$10,"00000"),"WA","PSH",TEXT($E46,"0")),'[9]KWH RVN Inputs'!$H$2:$H$63569)</f>
        <v>#VALUE!</v>
      </c>
      <c r="H46" s="1463" t="e">
        <f>SUMIF('[9]KWH RVN Inputs'!$R$2:$R$63569,CONCATENATE("=",TEXT(H$10,"00000"),"WA","PSH",TEXT($E46,"0")),'[9]KWH RVN Inputs'!$H$2:$H$63569)</f>
        <v>#VALUE!</v>
      </c>
      <c r="I46" s="1463" t="e">
        <f>SUMIF('[9]KWH RVN Inputs'!$R$2:$R$63569,CONCATENATE("=",TEXT(I$10,"00000"),"WA","PSH",TEXT($E46,"0")),'[9]KWH RVN Inputs'!$H$2:$H$63569)</f>
        <v>#VALUE!</v>
      </c>
      <c r="J46" s="1463" t="e">
        <f>SUMIF('[9]KWH RVN Inputs'!$R$2:$R$63569,CONCATENATE("=",TEXT(J$10,"00000"),"WA","PSH",TEXT($E46,"0")),'[9]KWH RVN Inputs'!$H$2:$H$63569)</f>
        <v>#VALUE!</v>
      </c>
      <c r="K46" s="1463" t="e">
        <f>SUMIF('[9]KWH RVN Inputs'!$R$2:$R$63569,CONCATENATE("=",TEXT(K$10,"00000"),"WA","PSH",TEXT($E46,"0")),'[9]KWH RVN Inputs'!$H$2:$H$63569)</f>
        <v>#VALUE!</v>
      </c>
      <c r="L46" s="1459" t="e">
        <f>GETPIVOTDATA("Total kWh",'[9]Prorate 07-13 WA'!$A$6,"Revenue Class Cd","PSH","Effect","Pre 7/1/2013","Rate",57)</f>
        <v>#REF!</v>
      </c>
      <c r="M46" s="1459" t="e">
        <f>GETPIVOTDATA("Total kWh",'[9]Prorate 07-13 WA'!$A$6,"Revenue Class Cd","PSH","Effect","Post 7/1/2013","Rate",57)</f>
        <v>#REF!</v>
      </c>
      <c r="N46" s="1463" t="e">
        <f>GETPIVOTDATA("Total kWh",'[9]Prorate 08-13 WA'!$A$6,"Revenue Class Cd","PSH","Effect","Pre 7/1/2013","Rate",57)</f>
        <v>#REF!</v>
      </c>
      <c r="O46" s="1463" t="e">
        <f>GETPIVOTDATA("Total kWh",'[9]Prorate 08-13 WA'!$A$6,"Revenue Class Cd","PSH","Effect","Post 7/1/2013","Rate",57)</f>
        <v>#REF!</v>
      </c>
      <c r="P46" s="1463">
        <f>'[9]WA Prorate 09-13'!C22</f>
        <v>0</v>
      </c>
      <c r="Q46" s="1463">
        <f>'[9]WA Prorate 09-13'!D22</f>
        <v>161740</v>
      </c>
      <c r="R46" s="1463" t="e">
        <f>SUMIF('[9]KWH RVN Inputs'!$R$2:$R$63569,CONCATENATE("=",TEXT(R$10,"00000"),"WA","PSH",TEXT($E46,"0")),'[9]KWH RVN Inputs'!$H$2:$H$63569)</f>
        <v>#VALUE!</v>
      </c>
      <c r="S46" s="1463" t="e">
        <f>SUMIF('[9]KWH RVN Inputs'!$R$2:$R$63569,CONCATENATE("=",TEXT(S$10,"00000"),"WA","PSH",TEXT($E46,"0")),'[9]KWH RVN Inputs'!$H$2:$H$63569)</f>
        <v>#VALUE!</v>
      </c>
      <c r="T46" s="1463" t="e">
        <f>SUMIF('[9]KWH RVN Inputs'!$R$2:$R$63569,CONCATENATE("=",TEXT(T$10,"00000"),"WA","PSH",TEXT($E46,"0")),'[9]KWH RVN Inputs'!$H$2:$H$63569)</f>
        <v>#VALUE!</v>
      </c>
      <c r="U46" s="1463" t="e">
        <f>SUM(F46:T46)</f>
        <v>#VALUE!</v>
      </c>
      <c r="V46" s="1459"/>
      <c r="W46" s="1461">
        <v>2.8700000000000002E-3</v>
      </c>
      <c r="X46" s="1461">
        <v>2.5600000000000002E-3</v>
      </c>
      <c r="Y46" s="1464" t="e">
        <f>F46*W46</f>
        <v>#VALUE!</v>
      </c>
      <c r="Z46" s="1464" t="e">
        <f t="shared" si="28"/>
        <v>#VALUE!</v>
      </c>
      <c r="AA46" s="1464" t="e">
        <f t="shared" si="28"/>
        <v>#VALUE!</v>
      </c>
      <c r="AB46" s="1464" t="e">
        <f t="shared" si="28"/>
        <v>#VALUE!</v>
      </c>
      <c r="AC46" s="1464" t="e">
        <f t="shared" si="28"/>
        <v>#VALUE!</v>
      </c>
      <c r="AD46" s="1464" t="e">
        <f t="shared" si="28"/>
        <v>#VALUE!</v>
      </c>
      <c r="AE46" s="1464" t="e">
        <f t="shared" si="28"/>
        <v>#REF!</v>
      </c>
      <c r="AF46" s="1464" t="e">
        <f>M46*$X46</f>
        <v>#REF!</v>
      </c>
      <c r="AG46" s="1464" t="e">
        <f>N46*$W46</f>
        <v>#REF!</v>
      </c>
      <c r="AH46" s="1464" t="e">
        <f>O46*$X46</f>
        <v>#REF!</v>
      </c>
      <c r="AI46" s="1464">
        <f t="shared" si="29"/>
        <v>0</v>
      </c>
      <c r="AJ46" s="1464">
        <f t="shared" si="29"/>
        <v>414.05440000000004</v>
      </c>
      <c r="AK46" s="1464" t="e">
        <f t="shared" si="30"/>
        <v>#VALUE!</v>
      </c>
      <c r="AL46" s="1464" t="e">
        <f t="shared" si="30"/>
        <v>#VALUE!</v>
      </c>
      <c r="AM46" s="1464" t="e">
        <f t="shared" si="30"/>
        <v>#VALUE!</v>
      </c>
      <c r="AN46" s="1465">
        <v>5294.6332067790472</v>
      </c>
    </row>
    <row r="47" spans="1:41" ht="18">
      <c r="A47" s="1469"/>
      <c r="B47" s="1459"/>
      <c r="D47" s="1460" t="s">
        <v>898</v>
      </c>
      <c r="E47" s="1444"/>
      <c r="F47" s="1459" t="e">
        <f t="shared" ref="F47:T47" si="31">SUM(F43:F46)</f>
        <v>#VALUE!</v>
      </c>
      <c r="G47" s="1459" t="e">
        <f t="shared" si="31"/>
        <v>#VALUE!</v>
      </c>
      <c r="H47" s="1459" t="e">
        <f t="shared" si="31"/>
        <v>#VALUE!</v>
      </c>
      <c r="I47" s="1459" t="e">
        <f t="shared" si="31"/>
        <v>#VALUE!</v>
      </c>
      <c r="J47" s="1459" t="e">
        <f t="shared" si="31"/>
        <v>#VALUE!</v>
      </c>
      <c r="K47" s="1459" t="e">
        <f t="shared" si="31"/>
        <v>#VALUE!</v>
      </c>
      <c r="L47" s="1459" t="e">
        <f t="shared" si="31"/>
        <v>#REF!</v>
      </c>
      <c r="M47" s="1459" t="e">
        <f t="shared" si="31"/>
        <v>#REF!</v>
      </c>
      <c r="N47" s="1459" t="e">
        <f t="shared" si="31"/>
        <v>#REF!</v>
      </c>
      <c r="O47" s="1459" t="e">
        <f t="shared" si="31"/>
        <v>#REF!</v>
      </c>
      <c r="P47" s="1459">
        <f t="shared" si="31"/>
        <v>0</v>
      </c>
      <c r="Q47" s="1459">
        <f t="shared" si="31"/>
        <v>848851.84541994706</v>
      </c>
      <c r="R47" s="1459" t="e">
        <f t="shared" si="31"/>
        <v>#VALUE!</v>
      </c>
      <c r="S47" s="1459" t="e">
        <f t="shared" si="31"/>
        <v>#VALUE!</v>
      </c>
      <c r="T47" s="1459" t="e">
        <f t="shared" si="31"/>
        <v>#VALUE!</v>
      </c>
      <c r="U47" s="1459" t="e">
        <f>SUM(U43:U46)</f>
        <v>#VALUE!</v>
      </c>
      <c r="V47" s="1459"/>
      <c r="W47" s="1461"/>
      <c r="X47" s="1461"/>
      <c r="Y47" s="1462" t="e">
        <f t="shared" ref="Y47:AM47" si="32">SUM(Y43:Y46)</f>
        <v>#VALUE!</v>
      </c>
      <c r="Z47" s="1462" t="e">
        <f t="shared" si="32"/>
        <v>#VALUE!</v>
      </c>
      <c r="AA47" s="1462" t="e">
        <f t="shared" si="32"/>
        <v>#VALUE!</v>
      </c>
      <c r="AB47" s="1462" t="e">
        <f t="shared" si="32"/>
        <v>#VALUE!</v>
      </c>
      <c r="AC47" s="1462" t="e">
        <f t="shared" si="32"/>
        <v>#VALUE!</v>
      </c>
      <c r="AD47" s="1462" t="e">
        <f t="shared" si="32"/>
        <v>#VALUE!</v>
      </c>
      <c r="AE47" s="1462" t="e">
        <f t="shared" si="32"/>
        <v>#REF!</v>
      </c>
      <c r="AF47" s="1462" t="e">
        <f t="shared" si="32"/>
        <v>#REF!</v>
      </c>
      <c r="AG47" s="1462" t="e">
        <f t="shared" si="32"/>
        <v>#REF!</v>
      </c>
      <c r="AH47" s="1462" t="e">
        <f t="shared" si="32"/>
        <v>#REF!</v>
      </c>
      <c r="AI47" s="1462">
        <f t="shared" si="32"/>
        <v>0</v>
      </c>
      <c r="AJ47" s="1462">
        <f t="shared" si="32"/>
        <v>2173.0607242750643</v>
      </c>
      <c r="AK47" s="1462" t="e">
        <f t="shared" si="32"/>
        <v>#VALUE!</v>
      </c>
      <c r="AL47" s="1462" t="e">
        <f t="shared" si="32"/>
        <v>#VALUE!</v>
      </c>
      <c r="AM47" s="1462" t="e">
        <f t="shared" si="32"/>
        <v>#VALUE!</v>
      </c>
      <c r="AN47" s="1464">
        <v>27514.474097236507</v>
      </c>
    </row>
    <row r="48" spans="1:41" ht="18">
      <c r="A48" s="1469"/>
      <c r="B48" s="1459"/>
      <c r="C48" s="1456"/>
      <c r="D48" s="1456"/>
      <c r="Y48" s="1462"/>
      <c r="Z48" s="1462"/>
      <c r="AA48" s="1462"/>
      <c r="AB48" s="1462"/>
      <c r="AC48" s="1462"/>
      <c r="AD48" s="1462"/>
    </row>
    <row r="49" spans="2:41" ht="18">
      <c r="E49" s="1443" t="s">
        <v>899</v>
      </c>
      <c r="F49" s="1463" t="e">
        <f t="shared" ref="F49:T49" si="33">F19+F27+F36+F40+F47</f>
        <v>#VALUE!</v>
      </c>
      <c r="G49" s="1463" t="e">
        <f t="shared" si="33"/>
        <v>#VALUE!</v>
      </c>
      <c r="H49" s="1463" t="e">
        <f t="shared" si="33"/>
        <v>#VALUE!</v>
      </c>
      <c r="I49" s="1463" t="e">
        <f t="shared" si="33"/>
        <v>#VALUE!</v>
      </c>
      <c r="J49" s="1463" t="e">
        <f t="shared" si="33"/>
        <v>#VALUE!</v>
      </c>
      <c r="K49" s="1463" t="e">
        <f t="shared" si="33"/>
        <v>#VALUE!</v>
      </c>
      <c r="L49" s="1463" t="e">
        <f t="shared" si="33"/>
        <v>#REF!</v>
      </c>
      <c r="M49" s="1463" t="e">
        <f t="shared" si="33"/>
        <v>#REF!</v>
      </c>
      <c r="N49" s="1463" t="e">
        <f t="shared" si="33"/>
        <v>#REF!</v>
      </c>
      <c r="O49" s="1463" t="e">
        <f t="shared" si="33"/>
        <v>#REF!</v>
      </c>
      <c r="P49" s="1463">
        <f t="shared" si="33"/>
        <v>256775.86613268842</v>
      </c>
      <c r="Q49" s="1463">
        <f t="shared" si="33"/>
        <v>352638043.2247076</v>
      </c>
      <c r="R49" s="1463" t="e">
        <f t="shared" si="33"/>
        <v>#VALUE!</v>
      </c>
      <c r="S49" s="1463" t="e">
        <f t="shared" si="33"/>
        <v>#VALUE!</v>
      </c>
      <c r="T49" s="1463" t="e">
        <f t="shared" si="33"/>
        <v>#VALUE!</v>
      </c>
      <c r="U49" s="1463" t="e">
        <f>U19+U27+U36+U40+U47</f>
        <v>#VALUE!</v>
      </c>
      <c r="V49" s="1459"/>
      <c r="Y49" s="1462" t="e">
        <f>Y19+Y27+Y36+Y40+Y47</f>
        <v>#VALUE!</v>
      </c>
      <c r="Z49" s="1462" t="e">
        <f t="shared" ref="Z49:AM49" si="34">Z47+Z40+Z36+Z27+Z19</f>
        <v>#VALUE!</v>
      </c>
      <c r="AA49" s="1462" t="e">
        <f t="shared" si="34"/>
        <v>#VALUE!</v>
      </c>
      <c r="AB49" s="1462" t="e">
        <f t="shared" si="34"/>
        <v>#VALUE!</v>
      </c>
      <c r="AC49" s="1462" t="e">
        <f t="shared" si="34"/>
        <v>#VALUE!</v>
      </c>
      <c r="AD49" s="1462" t="e">
        <f t="shared" si="34"/>
        <v>#VALUE!</v>
      </c>
      <c r="AE49" s="1462" t="e">
        <f t="shared" si="34"/>
        <v>#REF!</v>
      </c>
      <c r="AF49" s="1462" t="e">
        <f t="shared" si="34"/>
        <v>#REF!</v>
      </c>
      <c r="AG49" s="1462" t="e">
        <f t="shared" si="34"/>
        <v>#REF!</v>
      </c>
      <c r="AH49" s="1462" t="e">
        <f t="shared" si="34"/>
        <v>#REF!</v>
      </c>
      <c r="AI49" s="1462">
        <f t="shared" si="34"/>
        <v>703.9186209759564</v>
      </c>
      <c r="AJ49" s="1462">
        <f t="shared" si="34"/>
        <v>890342.92402536026</v>
      </c>
      <c r="AK49" s="1462" t="e">
        <f t="shared" si="34"/>
        <v>#VALUE!</v>
      </c>
      <c r="AL49" s="1462" t="e">
        <f t="shared" si="34"/>
        <v>#VALUE!</v>
      </c>
      <c r="AM49" s="1462" t="e">
        <f t="shared" si="34"/>
        <v>#VALUE!</v>
      </c>
      <c r="AN49" s="1470">
        <v>11140248.520724036</v>
      </c>
    </row>
    <row r="50" spans="2:41" ht="18">
      <c r="B50" s="1460"/>
      <c r="C50" s="1468"/>
      <c r="D50" s="1468"/>
    </row>
    <row r="51" spans="2:41" ht="18">
      <c r="E51" s="1471" t="s">
        <v>900</v>
      </c>
      <c r="F51" s="1472" t="e">
        <f>SUMIF('[9]KWH RVN Inputs'!$T$2:$T$59640,CONCATENATE("60 - 00012R",TEXT(F10,"00000")),'[9]KWH RVN Inputs'!$H$2:$H$59640)-F49</f>
        <v>#VALUE!</v>
      </c>
      <c r="G51" s="1472" t="e">
        <f>SUMIF('[9]KWH RVN Inputs'!$T$2:$T$59640,CONCATENATE("60 - 00012R",TEXT(G10,"00000")),'[9]KWH RVN Inputs'!$H$2:$H$59640)-G49</f>
        <v>#VALUE!</v>
      </c>
      <c r="H51" s="1472" t="e">
        <f>SUMIF('[9]KWH RVN Inputs'!$T$2:$T$59640,CONCATENATE("60 - 00012R",TEXT(H10,"00000")),'[9]KWH RVN Inputs'!$H$2:$H$59640)-H49</f>
        <v>#VALUE!</v>
      </c>
      <c r="I51" s="1472" t="e">
        <f>SUMIF('[9]KWH RVN Inputs'!$T$2:$T$59640,CONCATENATE("60 - 00012R",TEXT(I10,"00000")),'[9]KWH RVN Inputs'!$H$2:$H$59640)-I49</f>
        <v>#VALUE!</v>
      </c>
      <c r="J51" s="1472" t="e">
        <f>SUMIF('[9]KWH RVN Inputs'!$T$2:$T$59640,CONCATENATE("60 - 00012R",TEXT(J10,"00000")),'[9]KWH RVN Inputs'!$H$2:$H$59640)-J49</f>
        <v>#VALUE!</v>
      </c>
      <c r="K51" s="1472" t="e">
        <f>SUMIF('[9]KWH RVN Inputs'!$T$2:$T$59640,CONCATENATE("60 - 00012R",TEXT(K10,"00000")),'[9]KWH RVN Inputs'!$H$2:$H$59640)-K49</f>
        <v>#VALUE!</v>
      </c>
      <c r="L51" s="1472" t="e">
        <f>L49-GETPIVOTDATA("Total kWh",'[9]Prorate 07-13 WA'!$A$6,"Effect","Pre 7/1/2013")</f>
        <v>#REF!</v>
      </c>
      <c r="M51" s="1472" t="e">
        <f>M49-GETPIVOTDATA("Total kWh",'[9]Prorate 07-13 WA'!$A$6,"Effect","Post 7/1/2013")</f>
        <v>#REF!</v>
      </c>
      <c r="N51" s="1472" t="e">
        <f>N49-GETPIVOTDATA("Total kWh",'[9]Prorate 08-13 WA'!$A$6,"Effect","Pre 7/1/2013")</f>
        <v>#REF!</v>
      </c>
      <c r="O51" s="1472" t="e">
        <f>O49-GETPIVOTDATA("Total kWh",'[9]Prorate 08-13 WA'!$A$6,"Effect","Post 7/1/2013")</f>
        <v>#REF!</v>
      </c>
      <c r="P51" s="1472">
        <f>P49-'[9]WA Prorate 09-13'!C28</f>
        <v>0</v>
      </c>
      <c r="Q51" s="1472">
        <f>Q49-'[9]WA Prorate 09-13'!D28</f>
        <v>0</v>
      </c>
      <c r="R51" s="1472" t="e">
        <f>SUMIF('[9]KWH RVN Inputs'!$T$2:$T$59640,CONCATENATE("60 - 00012R",TEXT(R10,"00000")),'[9]KWH RVN Inputs'!$H$2:$H$59640)-R49</f>
        <v>#VALUE!</v>
      </c>
      <c r="S51" s="1472" t="e">
        <f>SUMIF('[9]KWH RVN Inputs'!$T$2:$T$59640,CONCATENATE("60 - 00012R",TEXT(S10,"00000")),'[9]KWH RVN Inputs'!$H$2:$H$59640)-S49</f>
        <v>#VALUE!</v>
      </c>
      <c r="T51" s="1472" t="e">
        <f>SUMIF('[9]KWH RVN Inputs'!$T$2:$T$59640,CONCATENATE("60 - 00012R",TEXT(T10,"00000")),'[9]KWH RVN Inputs'!$H$2:$H$59640)-T49</f>
        <v>#VALUE!</v>
      </c>
      <c r="AG51" s="1473"/>
      <c r="AH51" s="1473"/>
      <c r="AI51" s="1473"/>
      <c r="AJ51" s="1473"/>
      <c r="AN51" s="1468"/>
      <c r="AO51" s="1468"/>
    </row>
    <row r="52" spans="2:41">
      <c r="AI52" s="1468"/>
      <c r="AJ52" s="1468"/>
      <c r="AN52" s="1468"/>
    </row>
    <row r="53" spans="2:41" ht="18">
      <c r="E53" s="1444"/>
      <c r="F53" s="1459"/>
      <c r="G53" s="1459"/>
      <c r="H53" s="1459"/>
      <c r="I53" s="1459"/>
      <c r="J53" s="1459"/>
      <c r="K53" s="1459"/>
      <c r="L53" s="1459"/>
      <c r="M53" s="1459"/>
      <c r="N53" s="1474"/>
      <c r="O53" s="1474"/>
      <c r="P53" s="1459"/>
      <c r="Q53" s="1459"/>
      <c r="R53" s="1459"/>
      <c r="S53" s="1459"/>
      <c r="T53" s="1459"/>
      <c r="U53" s="1459"/>
      <c r="V53" s="1459"/>
    </row>
    <row r="54" spans="2:41" ht="18">
      <c r="E54" s="1444"/>
      <c r="F54" s="1459"/>
      <c r="G54" s="1459"/>
      <c r="H54" s="1459"/>
      <c r="I54" s="1459"/>
      <c r="J54" s="1459"/>
      <c r="K54" s="1459"/>
      <c r="L54" s="1459"/>
      <c r="M54" s="1459"/>
      <c r="N54" s="1459"/>
      <c r="O54" s="1459"/>
      <c r="P54" s="1459"/>
      <c r="Q54" s="1459"/>
      <c r="R54" s="1459"/>
      <c r="S54" s="1459"/>
      <c r="T54" s="1459"/>
      <c r="U54" s="1459"/>
      <c r="V54" s="1459"/>
    </row>
    <row r="55" spans="2:41" ht="18">
      <c r="E55" s="1444"/>
      <c r="F55" s="1463"/>
      <c r="G55" s="1463"/>
      <c r="H55" s="1463"/>
      <c r="I55" s="1463"/>
      <c r="J55" s="1463"/>
      <c r="K55" s="1463"/>
      <c r="L55" s="1463"/>
      <c r="M55" s="1463"/>
      <c r="N55" s="1463"/>
      <c r="O55" s="1463"/>
      <c r="P55" s="1463"/>
      <c r="Q55" s="1463"/>
      <c r="R55" s="1463"/>
      <c r="S55" s="1463"/>
      <c r="T55" s="1463"/>
      <c r="U55" s="1459"/>
      <c r="V55" s="1459"/>
      <c r="W55" s="1475"/>
      <c r="X55" s="1475"/>
      <c r="Y55" s="1475"/>
      <c r="Z55" s="1475"/>
      <c r="AA55" s="1475"/>
      <c r="AB55" s="1475"/>
      <c r="AC55" s="1475"/>
      <c r="AD55" s="1475"/>
      <c r="AE55" s="1475"/>
      <c r="AF55" s="1475"/>
      <c r="AG55" s="1475"/>
      <c r="AH55" s="1475"/>
      <c r="AI55" s="1475"/>
      <c r="AJ55" s="1475"/>
      <c r="AK55" s="1475"/>
      <c r="AL55" s="1475"/>
      <c r="AM55" s="1475"/>
      <c r="AN55" s="1465"/>
    </row>
    <row r="56" spans="2:41" ht="18">
      <c r="E56" s="1442"/>
      <c r="F56" s="1459"/>
      <c r="G56" s="1459"/>
      <c r="H56" s="1459"/>
      <c r="I56" s="1459"/>
      <c r="J56" s="1459"/>
      <c r="K56" s="1459"/>
      <c r="L56" s="1459"/>
      <c r="M56" s="1459"/>
      <c r="N56" s="1459"/>
      <c r="O56" s="1459"/>
      <c r="P56" s="1459"/>
      <c r="Q56" s="1459"/>
      <c r="R56" s="1459"/>
      <c r="S56" s="1459"/>
      <c r="T56" s="1459"/>
      <c r="U56" s="1459"/>
      <c r="V56" s="1459"/>
    </row>
  </sheetData>
  <printOptions horizontalCentered="1" gridLines="1" gridLinesSet="0"/>
  <pageMargins left="0.5" right="0.5" top="0.5" bottom="0.62" header="0.5" footer="0.46"/>
  <pageSetup scale="62" orientation="landscape" r:id="rId1"/>
  <headerFooter alignWithMargins="0">
    <oddFooter>&amp;L&amp;8&amp;D&amp;C&amp;8Prepared by Pricing&amp;R&amp;8&amp;F: &amp;A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38"/>
  <dimension ref="A1:AR1259"/>
  <sheetViews>
    <sheetView view="pageBreakPreview" zoomScale="60" zoomScaleNormal="75" zoomScaleSheetLayoutView="75" workbookViewId="0">
      <pane ySplit="11" topLeftCell="A12" activePane="bottomLeft" state="frozen"/>
      <selection sqref="A1:F1"/>
      <selection pane="bottomLeft" activeCell="R1246" sqref="R1246"/>
    </sheetView>
  </sheetViews>
  <sheetFormatPr defaultColWidth="10.25" defaultRowHeight="15.75"/>
  <cols>
    <col min="1" max="1" width="21.625" style="1184" customWidth="1"/>
    <col min="2" max="2" width="15.625" style="1184" customWidth="1"/>
    <col min="3" max="3" width="16.625" style="1184" customWidth="1"/>
    <col min="4" max="4" width="14.875" style="1184" hidden="1" customWidth="1"/>
    <col min="5" max="5" width="2.125" style="1184" hidden="1" customWidth="1"/>
    <col min="6" max="6" width="16.875" style="1184" hidden="1" customWidth="1"/>
    <col min="7" max="7" width="14.875" style="1184" customWidth="1"/>
    <col min="8" max="8" width="2.625" style="1184" customWidth="1"/>
    <col min="9" max="9" width="16.875" style="1184" customWidth="1"/>
    <col min="10" max="10" width="12.625" style="1184" customWidth="1"/>
    <col min="11" max="11" width="2.125" style="1184" bestFit="1" customWidth="1"/>
    <col min="12" max="12" width="17.875" style="1184" customWidth="1"/>
    <col min="13" max="13" width="1.25" style="1184" customWidth="1"/>
    <col min="14" max="14" width="16.375" style="1184" hidden="1" customWidth="1"/>
    <col min="15" max="15" width="14.5" style="1184" bestFit="1" customWidth="1"/>
    <col min="16" max="16" width="15.125" style="1190" bestFit="1" customWidth="1"/>
    <col min="17" max="17" width="10.5" style="1190" bestFit="1" customWidth="1"/>
    <col min="18" max="18" width="8.125" style="1190" bestFit="1" customWidth="1"/>
    <col min="19" max="19" width="13" style="1184" customWidth="1"/>
    <col min="20" max="20" width="17" style="1184" customWidth="1"/>
    <col min="21" max="21" width="13" style="1184" customWidth="1"/>
    <col min="22" max="22" width="14.125" style="1184" bestFit="1" customWidth="1"/>
    <col min="23" max="23" width="14.75" style="1184" customWidth="1"/>
    <col min="24" max="24" width="13.25" style="1184" bestFit="1" customWidth="1"/>
    <col min="25" max="25" width="13" style="1184" bestFit="1" customWidth="1"/>
    <col min="26" max="26" width="12.25" style="1184" bestFit="1" customWidth="1"/>
    <col min="27" max="27" width="5.5" style="1184" bestFit="1" customWidth="1"/>
    <col min="28" max="28" width="18" style="1184" customWidth="1"/>
    <col min="29" max="29" width="10.25" style="1184" customWidth="1"/>
    <col min="30" max="30" width="12.125" style="1184" customWidth="1"/>
    <col min="31" max="16384" width="10.25" style="1184"/>
  </cols>
  <sheetData>
    <row r="1" spans="1:37" ht="18">
      <c r="A1" s="1506" t="s">
        <v>31</v>
      </c>
      <c r="B1" s="1507"/>
      <c r="C1" s="1507"/>
      <c r="D1" s="1508"/>
      <c r="E1" s="1508"/>
      <c r="F1" s="1507"/>
      <c r="G1" s="1508"/>
      <c r="H1" s="1508"/>
      <c r="I1" s="1507"/>
      <c r="J1" s="1508"/>
      <c r="K1" s="1507"/>
      <c r="L1" s="1507"/>
      <c r="N1" s="1185"/>
      <c r="O1" s="1185"/>
      <c r="P1" s="1186"/>
      <c r="Q1" s="1186"/>
      <c r="R1" s="1186"/>
      <c r="S1" s="1185"/>
      <c r="T1" s="1185"/>
      <c r="U1" s="1185"/>
      <c r="V1" s="1185"/>
      <c r="W1" s="1185"/>
      <c r="X1" s="1185"/>
      <c r="Y1" s="1185"/>
      <c r="Z1" s="1185"/>
      <c r="AA1" s="1185"/>
      <c r="AB1" s="1185"/>
      <c r="AC1" s="1185"/>
      <c r="AD1" s="1185"/>
      <c r="AE1" s="1185"/>
      <c r="AF1" s="1185"/>
      <c r="AG1" s="1185"/>
      <c r="AH1" s="1185"/>
      <c r="AI1" s="1185"/>
    </row>
    <row r="2" spans="1:37" ht="18">
      <c r="A2" s="1735" t="s">
        <v>583</v>
      </c>
      <c r="B2" s="1735"/>
      <c r="C2" s="1735"/>
      <c r="D2" s="1735"/>
      <c r="E2" s="1735"/>
      <c r="F2" s="1735"/>
      <c r="G2" s="1735"/>
      <c r="H2" s="1735"/>
      <c r="I2" s="1735"/>
      <c r="J2" s="1735"/>
      <c r="K2" s="1735"/>
      <c r="L2" s="1735"/>
      <c r="N2" s="1185"/>
      <c r="O2" s="1185"/>
      <c r="P2" s="1186"/>
      <c r="Q2" s="1186"/>
      <c r="R2" s="1186"/>
      <c r="S2" s="1185"/>
      <c r="T2" s="1185"/>
      <c r="U2" s="1185"/>
      <c r="V2" s="1185"/>
      <c r="W2" s="1185"/>
      <c r="X2" s="1185"/>
      <c r="Y2" s="1185"/>
      <c r="Z2" s="1185"/>
      <c r="AA2" s="1185"/>
      <c r="AB2" s="1185"/>
      <c r="AC2" s="1185"/>
      <c r="AD2" s="1185"/>
      <c r="AE2" s="1185"/>
      <c r="AF2" s="1185"/>
      <c r="AG2" s="1185"/>
      <c r="AH2" s="1185"/>
      <c r="AI2" s="1185"/>
    </row>
    <row r="3" spans="1:37" ht="18">
      <c r="A3" s="1735" t="s">
        <v>346</v>
      </c>
      <c r="B3" s="1735"/>
      <c r="C3" s="1735"/>
      <c r="D3" s="1735"/>
      <c r="E3" s="1735"/>
      <c r="F3" s="1735"/>
      <c r="G3" s="1735"/>
      <c r="H3" s="1735"/>
      <c r="I3" s="1735"/>
      <c r="J3" s="1735"/>
      <c r="K3" s="1735"/>
      <c r="L3" s="1735"/>
      <c r="N3" s="1185"/>
      <c r="O3" s="1185"/>
      <c r="P3" s="1186"/>
      <c r="Q3" s="1186"/>
      <c r="R3" s="1186"/>
      <c r="S3" s="1185"/>
      <c r="T3" s="1185"/>
      <c r="U3" s="1185"/>
      <c r="V3" s="1185"/>
      <c r="W3" s="1185"/>
      <c r="X3" s="1185"/>
      <c r="Y3" s="1185"/>
      <c r="Z3" s="1185"/>
      <c r="AA3" s="1185"/>
      <c r="AB3" s="1185"/>
      <c r="AC3" s="1185"/>
      <c r="AD3" s="1185"/>
      <c r="AE3" s="1185"/>
      <c r="AF3" s="1185"/>
      <c r="AG3" s="1185"/>
      <c r="AH3" s="1185"/>
      <c r="AI3" s="1185"/>
    </row>
    <row r="4" spans="1:37">
      <c r="A4" s="1736" t="s">
        <v>787</v>
      </c>
      <c r="B4" s="1736"/>
      <c r="C4" s="1736"/>
      <c r="D4" s="1736"/>
      <c r="E4" s="1736"/>
      <c r="F4" s="1736"/>
      <c r="G4" s="1736"/>
      <c r="H4" s="1736"/>
      <c r="I4" s="1736"/>
      <c r="J4" s="1736"/>
      <c r="K4" s="1736"/>
      <c r="L4" s="1736"/>
      <c r="N4" s="1185"/>
      <c r="O4" s="1185"/>
      <c r="P4" s="1186"/>
      <c r="Q4" s="1186"/>
      <c r="R4" s="1186"/>
      <c r="S4" s="1185"/>
      <c r="T4" s="1185"/>
      <c r="U4" s="1185"/>
      <c r="V4" s="1185"/>
      <c r="W4" s="1185"/>
      <c r="X4" s="1185"/>
      <c r="Y4" s="1185"/>
      <c r="Z4" s="1185"/>
      <c r="AA4" s="1185"/>
      <c r="AB4" s="1185"/>
      <c r="AC4" s="1185"/>
      <c r="AD4" s="1185"/>
      <c r="AE4" s="1185"/>
      <c r="AF4" s="1185"/>
      <c r="AG4" s="1185"/>
      <c r="AH4" s="1185"/>
      <c r="AI4" s="1185"/>
    </row>
    <row r="5" spans="1:37">
      <c r="A5" s="1737" t="s">
        <v>347</v>
      </c>
      <c r="B5" s="1737"/>
      <c r="C5" s="1737"/>
      <c r="D5" s="1737"/>
      <c r="E5" s="1737"/>
      <c r="F5" s="1737"/>
      <c r="G5" s="1737"/>
      <c r="H5" s="1737"/>
      <c r="I5" s="1737"/>
      <c r="J5" s="1737"/>
      <c r="K5" s="1737"/>
      <c r="L5" s="1737"/>
      <c r="N5" s="1185"/>
      <c r="O5" s="1185"/>
      <c r="P5" s="1186"/>
      <c r="Q5" s="1186"/>
      <c r="R5" s="1186"/>
      <c r="S5" s="1185"/>
      <c r="T5" s="1185"/>
      <c r="U5" s="1185"/>
      <c r="V5" s="1185"/>
      <c r="W5" s="1185"/>
      <c r="X5" s="1185"/>
      <c r="Y5" s="1185"/>
      <c r="Z5" s="1185"/>
      <c r="AA5" s="1185"/>
      <c r="AB5" s="1185"/>
      <c r="AC5" s="1185"/>
      <c r="AD5" s="1185"/>
      <c r="AE5" s="1185"/>
      <c r="AF5" s="1185"/>
      <c r="AG5" s="1185"/>
      <c r="AH5" s="1185"/>
      <c r="AI5" s="1185"/>
    </row>
    <row r="6" spans="1:37">
      <c r="A6" s="1187"/>
      <c r="B6" s="1188"/>
      <c r="C6" s="1188"/>
      <c r="D6" s="1189"/>
      <c r="E6" s="1189"/>
      <c r="F6" s="1188"/>
      <c r="G6" s="1189"/>
      <c r="H6" s="1189"/>
      <c r="I6" s="1188"/>
      <c r="J6" s="1189"/>
      <c r="K6" s="1188"/>
      <c r="L6" s="1188"/>
      <c r="N6" s="1185"/>
      <c r="O6" s="1185"/>
      <c r="P6" s="1186"/>
      <c r="Q6" s="1186"/>
      <c r="R6" s="1186"/>
      <c r="S6" s="1185"/>
      <c r="T6" s="1185"/>
      <c r="U6" s="1185"/>
      <c r="V6" s="1185"/>
      <c r="W6" s="1185"/>
      <c r="X6" s="1185"/>
      <c r="Y6" s="1185"/>
      <c r="Z6" s="1185"/>
      <c r="AA6" s="1185"/>
      <c r="AB6" s="1185"/>
      <c r="AC6" s="1185"/>
      <c r="AD6" s="1185"/>
      <c r="AE6" s="1185"/>
      <c r="AF6" s="1185"/>
      <c r="AG6" s="1185"/>
      <c r="AH6" s="1185"/>
      <c r="AI6" s="1185"/>
    </row>
    <row r="7" spans="1:37" hidden="1">
      <c r="A7" s="1187"/>
      <c r="B7" s="1188"/>
      <c r="C7" s="1188"/>
      <c r="D7" s="1189"/>
      <c r="E7" s="1189"/>
      <c r="F7" s="1188"/>
      <c r="G7" s="1189"/>
      <c r="H7" s="1189"/>
      <c r="I7" s="1188"/>
      <c r="J7" s="1189"/>
      <c r="K7" s="1188"/>
      <c r="L7" s="1188"/>
      <c r="N7" s="1185"/>
      <c r="O7" s="1185"/>
      <c r="P7" s="1186"/>
      <c r="Q7" s="1186"/>
      <c r="R7" s="1186"/>
      <c r="S7" s="1186"/>
      <c r="T7" s="1185"/>
      <c r="U7" s="1185"/>
      <c r="V7" s="1185"/>
      <c r="W7" s="1185"/>
      <c r="X7" s="1185"/>
      <c r="Y7" s="1185"/>
      <c r="Z7" s="1185"/>
      <c r="AA7" s="1185"/>
      <c r="AB7" s="1185"/>
      <c r="AC7" s="1185"/>
      <c r="AD7" s="1185"/>
      <c r="AE7" s="1185"/>
      <c r="AF7" s="1185"/>
      <c r="AG7" s="1185"/>
      <c r="AH7" s="1185"/>
      <c r="AI7" s="1185"/>
    </row>
    <row r="8" spans="1:37" hidden="1">
      <c r="A8" s="1188"/>
      <c r="B8" s="1188"/>
      <c r="C8" s="1188"/>
      <c r="D8" s="1189"/>
      <c r="E8" s="1189"/>
      <c r="F8" s="1188"/>
      <c r="G8" s="1189"/>
      <c r="H8" s="1189"/>
      <c r="I8" s="1188"/>
      <c r="J8" s="1189"/>
      <c r="K8" s="1188"/>
      <c r="L8" s="1188"/>
      <c r="N8" s="1185"/>
      <c r="O8" s="1185"/>
      <c r="P8" s="1186"/>
      <c r="Q8" s="1186"/>
      <c r="S8" s="1185"/>
      <c r="T8" s="1185"/>
      <c r="U8" s="1185"/>
      <c r="V8" s="1185"/>
      <c r="W8" s="1185"/>
      <c r="X8" s="1185"/>
      <c r="Y8" s="1185"/>
      <c r="Z8" s="1185"/>
      <c r="AA8" s="1185"/>
      <c r="AB8" s="1185"/>
      <c r="AC8" s="1185"/>
      <c r="AD8" s="1185"/>
      <c r="AE8" s="1185"/>
      <c r="AF8" s="1185"/>
      <c r="AG8" s="1185"/>
      <c r="AH8" s="1185"/>
      <c r="AI8" s="1185"/>
    </row>
    <row r="9" spans="1:37">
      <c r="A9" s="1191"/>
      <c r="B9" s="1191"/>
      <c r="C9" s="1192"/>
      <c r="D9" s="1193"/>
      <c r="E9" s="1193"/>
      <c r="F9" s="1194" t="s">
        <v>588</v>
      </c>
      <c r="G9" s="1193"/>
      <c r="H9" s="1193"/>
      <c r="I9" s="1195" t="s">
        <v>197</v>
      </c>
      <c r="J9" s="1193"/>
      <c r="K9" s="1194"/>
      <c r="L9" s="1194"/>
      <c r="N9" s="1185"/>
      <c r="O9" s="1185"/>
      <c r="P9" s="1186"/>
      <c r="Q9" s="1186"/>
      <c r="R9" s="1186"/>
      <c r="S9" s="1185"/>
      <c r="T9" s="1185"/>
      <c r="U9" s="1185"/>
      <c r="V9" s="1185"/>
      <c r="W9" s="1185"/>
      <c r="X9" s="1185"/>
      <c r="Y9" s="1185"/>
      <c r="Z9" s="1185"/>
      <c r="AA9" s="1185"/>
      <c r="AB9" s="1185"/>
      <c r="AC9" s="1185"/>
      <c r="AD9" s="1185"/>
      <c r="AE9" s="1185"/>
      <c r="AF9" s="1185"/>
      <c r="AG9" s="1185"/>
      <c r="AH9" s="1185"/>
      <c r="AI9" s="1185"/>
    </row>
    <row r="10" spans="1:37">
      <c r="A10" s="1191"/>
      <c r="B10" s="1191"/>
      <c r="C10" s="1192" t="s">
        <v>348</v>
      </c>
      <c r="D10" s="1194" t="s">
        <v>637</v>
      </c>
      <c r="E10" s="1193"/>
      <c r="F10" s="1196" t="s">
        <v>349</v>
      </c>
      <c r="G10" s="1194" t="s">
        <v>197</v>
      </c>
      <c r="H10" s="1194"/>
      <c r="I10" s="1195" t="s">
        <v>349</v>
      </c>
      <c r="J10" s="1194" t="s">
        <v>305</v>
      </c>
      <c r="K10" s="1192"/>
      <c r="L10" s="1194" t="s">
        <v>305</v>
      </c>
      <c r="N10" s="1185"/>
      <c r="O10" s="1185"/>
      <c r="P10" s="1186"/>
      <c r="Q10" s="1186"/>
      <c r="R10" s="1186"/>
      <c r="S10" s="1185"/>
      <c r="T10" s="1185"/>
      <c r="U10" s="1185"/>
      <c r="V10" s="1185"/>
      <c r="W10" s="1185"/>
      <c r="X10" s="1185"/>
      <c r="Y10" s="1185"/>
      <c r="Z10" s="1185"/>
      <c r="AA10" s="1185"/>
      <c r="AB10" s="1185"/>
      <c r="AC10" s="1185"/>
      <c r="AD10" s="1185"/>
      <c r="AE10" s="1185"/>
      <c r="AF10" s="1185"/>
      <c r="AG10" s="1185"/>
      <c r="AH10" s="1185"/>
      <c r="AI10" s="1185"/>
    </row>
    <row r="11" spans="1:37">
      <c r="A11" s="1191"/>
      <c r="B11" s="1191"/>
      <c r="C11" s="1197" t="s">
        <v>304</v>
      </c>
      <c r="D11" s="1198" t="s">
        <v>13</v>
      </c>
      <c r="E11" s="1199"/>
      <c r="F11" s="1198" t="s">
        <v>304</v>
      </c>
      <c r="G11" s="1198" t="s">
        <v>13</v>
      </c>
      <c r="H11" s="1196"/>
      <c r="I11" s="1194" t="s">
        <v>304</v>
      </c>
      <c r="J11" s="1198" t="s">
        <v>13</v>
      </c>
      <c r="K11" s="1198"/>
      <c r="L11" s="1198" t="s">
        <v>349</v>
      </c>
      <c r="N11" s="1196"/>
      <c r="O11" s="1185"/>
      <c r="P11" s="1186"/>
      <c r="Q11" s="1186"/>
      <c r="R11" s="1186"/>
      <c r="S11" s="1185"/>
      <c r="T11" s="1185"/>
      <c r="U11" s="1185"/>
      <c r="V11" s="1185"/>
      <c r="W11" s="1185"/>
      <c r="X11" s="1185"/>
      <c r="Y11" s="1185"/>
      <c r="Z11" s="1185"/>
      <c r="AA11" s="1185"/>
      <c r="AB11" s="1185"/>
      <c r="AC11" s="1185"/>
      <c r="AD11" s="1185"/>
      <c r="AE11" s="1185"/>
      <c r="AF11" s="1185"/>
      <c r="AG11" s="1185"/>
      <c r="AH11" s="1185"/>
      <c r="AI11" s="1185"/>
    </row>
    <row r="12" spans="1:37">
      <c r="A12" s="1200" t="s">
        <v>351</v>
      </c>
      <c r="F12" s="1201"/>
      <c r="I12" s="1201"/>
      <c r="N12" s="1185"/>
      <c r="O12" s="1185"/>
      <c r="P12" s="1186"/>
      <c r="Q12" s="1186"/>
      <c r="R12" s="1186"/>
      <c r="S12" s="1185"/>
      <c r="T12" s="1185"/>
      <c r="U12" s="1185"/>
      <c r="V12" s="1185"/>
      <c r="W12" s="1185"/>
      <c r="X12" s="1185"/>
      <c r="Y12" s="1185"/>
      <c r="Z12" s="1185"/>
      <c r="AA12" s="1185"/>
      <c r="AB12" s="1185"/>
      <c r="AC12" s="1185"/>
      <c r="AD12" s="1185"/>
      <c r="AE12" s="1185"/>
      <c r="AF12" s="1185"/>
      <c r="AG12" s="1185"/>
      <c r="AH12" s="1185"/>
      <c r="AI12" s="1185"/>
    </row>
    <row r="13" spans="1:37">
      <c r="A13" s="1184" t="s">
        <v>352</v>
      </c>
      <c r="F13" s="1201"/>
      <c r="I13" s="1201"/>
      <c r="N13" s="1185"/>
      <c r="O13" s="1185"/>
      <c r="P13" s="1186"/>
      <c r="Q13" s="1186"/>
      <c r="R13" s="1186"/>
      <c r="S13" s="1185"/>
      <c r="T13" s="1185"/>
      <c r="U13" s="1185"/>
      <c r="V13" s="1185"/>
      <c r="W13" s="1185"/>
      <c r="X13" s="1185"/>
      <c r="Y13" s="1185"/>
      <c r="Z13" s="1185"/>
      <c r="AA13" s="1185"/>
      <c r="AB13" s="1185"/>
      <c r="AC13" s="1185"/>
      <c r="AD13" s="1185"/>
      <c r="AE13" s="1185"/>
      <c r="AF13" s="1185"/>
      <c r="AG13" s="1185"/>
      <c r="AH13" s="1185"/>
      <c r="AI13" s="1185"/>
    </row>
    <row r="14" spans="1:37">
      <c r="F14" s="1201"/>
      <c r="I14" s="1201"/>
      <c r="N14" s="1185"/>
      <c r="O14" s="1185"/>
      <c r="P14" s="1186"/>
      <c r="Q14" s="1186"/>
      <c r="R14" s="1186"/>
      <c r="S14" s="1185"/>
      <c r="T14" s="1185"/>
      <c r="U14" s="1185"/>
      <c r="V14" s="1185"/>
      <c r="W14" s="1185"/>
      <c r="X14" s="1185"/>
      <c r="Y14" s="1185"/>
      <c r="Z14" s="1185"/>
      <c r="AA14" s="1185"/>
      <c r="AB14" s="1185"/>
      <c r="AC14" s="1185"/>
      <c r="AD14" s="1185"/>
      <c r="AE14" s="1185"/>
      <c r="AF14" s="1185"/>
      <c r="AG14" s="1185"/>
      <c r="AH14" s="1185"/>
      <c r="AI14" s="1185"/>
    </row>
    <row r="15" spans="1:37">
      <c r="A15" s="1184" t="s">
        <v>353</v>
      </c>
      <c r="F15" s="1201"/>
      <c r="I15" s="1201"/>
      <c r="N15" s="1185"/>
      <c r="O15" s="1185"/>
      <c r="P15" s="1186"/>
      <c r="Q15" s="1186"/>
      <c r="R15" s="1186"/>
      <c r="S15" s="1185"/>
      <c r="T15" s="1185"/>
      <c r="U15" s="1185"/>
      <c r="V15" s="1185"/>
      <c r="W15" s="1185"/>
      <c r="X15" s="1185"/>
      <c r="Y15" s="1185"/>
      <c r="Z15" s="1185"/>
      <c r="AA15" s="1185"/>
      <c r="AB15" s="1185"/>
      <c r="AC15" s="1185"/>
      <c r="AD15" s="1185"/>
      <c r="AE15" s="1185"/>
      <c r="AF15" s="1185"/>
      <c r="AG15" s="1185"/>
      <c r="AH15" s="1185"/>
      <c r="AI15" s="1185"/>
    </row>
    <row r="16" spans="1:37">
      <c r="A16" s="1184" t="s">
        <v>354</v>
      </c>
      <c r="C16" s="1202">
        <f>C34+C52+C70</f>
        <v>28072</v>
      </c>
      <c r="D16" s="265">
        <v>10.119999999999999</v>
      </c>
      <c r="F16" s="1203">
        <f>F34+F52+F70</f>
        <v>284088</v>
      </c>
      <c r="G16" s="265">
        <v>10.63</v>
      </c>
      <c r="I16" s="1203">
        <f>I34+I52+I70</f>
        <v>298405.36000000004</v>
      </c>
      <c r="J16" s="265">
        <f>ROUND((G16+G16*$Q$28)*(1+$Q$29),2)</f>
        <v>9.32</v>
      </c>
      <c r="L16" s="1203">
        <f>L34+L52+L70</f>
        <v>261631</v>
      </c>
      <c r="N16" s="1204" t="e">
        <f>J16*#REF!</f>
        <v>#REF!</v>
      </c>
      <c r="P16" s="815" t="s">
        <v>31</v>
      </c>
      <c r="Q16" s="1205"/>
      <c r="R16" s="1205"/>
      <c r="S16" s="1205"/>
      <c r="T16" s="1205"/>
      <c r="U16" s="1206"/>
      <c r="V16" s="1206"/>
      <c r="W16" s="1206"/>
      <c r="X16" s="1206"/>
      <c r="Y16" s="1185"/>
      <c r="Z16" s="1185"/>
      <c r="AA16" s="1185"/>
      <c r="AB16" s="1185"/>
      <c r="AC16" s="1185"/>
      <c r="AD16" s="1185"/>
      <c r="AE16" s="1185"/>
      <c r="AF16" s="1185"/>
      <c r="AG16" s="1185"/>
      <c r="AH16" s="1185"/>
      <c r="AI16" s="1185"/>
      <c r="AK16" s="1204"/>
    </row>
    <row r="17" spans="1:37">
      <c r="A17" s="1184" t="s">
        <v>355</v>
      </c>
      <c r="C17" s="1202">
        <f>C35+C53+C71</f>
        <v>4572</v>
      </c>
      <c r="D17" s="265">
        <v>19.25</v>
      </c>
      <c r="F17" s="1203">
        <f>F35+F53+F71</f>
        <v>88012</v>
      </c>
      <c r="G17" s="265">
        <v>20.23</v>
      </c>
      <c r="I17" s="1203">
        <f>I35+I53+I71</f>
        <v>92491.56</v>
      </c>
      <c r="J17" s="265">
        <f t="shared" ref="J17:J22" si="0">ROUND((G17+G17*$Q$28)*(1+$Q$29),2)</f>
        <v>17.73</v>
      </c>
      <c r="L17" s="1203">
        <f>L35+L53+L71</f>
        <v>81061</v>
      </c>
      <c r="N17" s="1204" t="e">
        <f>J17*#REF!</f>
        <v>#REF!</v>
      </c>
      <c r="P17" s="815"/>
      <c r="Q17" s="1205"/>
      <c r="R17" s="1205"/>
      <c r="S17" s="1205"/>
      <c r="T17" s="1205"/>
      <c r="U17" s="1206"/>
      <c r="V17" s="1206"/>
      <c r="W17" s="1206"/>
      <c r="X17" s="1206"/>
      <c r="Y17" s="1185"/>
      <c r="Z17" s="1185"/>
      <c r="AA17" s="1185"/>
      <c r="AB17" s="1185"/>
      <c r="AC17" s="1185"/>
      <c r="AD17" s="1185"/>
      <c r="AE17" s="1185"/>
      <c r="AF17" s="1185"/>
      <c r="AG17" s="1185"/>
      <c r="AH17" s="1185"/>
      <c r="AI17" s="1185"/>
      <c r="AK17" s="1204"/>
    </row>
    <row r="18" spans="1:37">
      <c r="A18" s="1184" t="s">
        <v>356</v>
      </c>
      <c r="C18" s="1202">
        <f>C36+C54+C72</f>
        <v>600</v>
      </c>
      <c r="D18" s="265">
        <v>39.840000000000003</v>
      </c>
      <c r="F18" s="1203">
        <f>F36+F54+F72</f>
        <v>23904</v>
      </c>
      <c r="G18" s="265">
        <v>41.86</v>
      </c>
      <c r="I18" s="1203">
        <f>I36+I54+I72</f>
        <v>25116</v>
      </c>
      <c r="J18" s="265">
        <f t="shared" si="0"/>
        <v>36.69</v>
      </c>
      <c r="L18" s="1203">
        <f>L36+L54+L72</f>
        <v>22014</v>
      </c>
      <c r="N18" s="1204" t="e">
        <f>J18*#REF!</f>
        <v>#REF!</v>
      </c>
      <c r="P18" s="815"/>
      <c r="Q18" s="1205"/>
      <c r="R18" s="1205"/>
      <c r="S18" s="1205"/>
      <c r="T18" s="1205"/>
      <c r="U18" s="1206"/>
      <c r="V18" s="1206"/>
      <c r="W18" s="1206"/>
      <c r="X18" s="1206"/>
      <c r="Y18" s="1185"/>
      <c r="Z18" s="1185"/>
      <c r="AA18" s="1185"/>
      <c r="AB18" s="1185"/>
      <c r="AC18" s="1185"/>
      <c r="AD18" s="1185"/>
      <c r="AE18" s="1185"/>
      <c r="AF18" s="1185"/>
      <c r="AG18" s="1185"/>
      <c r="AH18" s="1185"/>
      <c r="AI18" s="1185"/>
      <c r="AK18" s="1204"/>
    </row>
    <row r="19" spans="1:37">
      <c r="A19" s="1184" t="s">
        <v>357</v>
      </c>
      <c r="C19" s="1202"/>
      <c r="D19" s="265"/>
      <c r="F19" s="1203"/>
      <c r="G19" s="727"/>
      <c r="I19" s="1203"/>
      <c r="J19" s="727"/>
      <c r="L19" s="1203"/>
      <c r="N19" s="1204"/>
      <c r="P19" s="1184"/>
      <c r="Q19" s="1205"/>
      <c r="R19" s="1205"/>
      <c r="S19" s="1205"/>
      <c r="T19" s="1205"/>
      <c r="U19" s="1207"/>
      <c r="V19" s="1207"/>
      <c r="W19" s="1207"/>
      <c r="X19" s="1207"/>
      <c r="Y19" s="1185"/>
      <c r="Z19" s="1185"/>
      <c r="AA19" s="1185"/>
      <c r="AB19" s="1185"/>
      <c r="AC19" s="1185"/>
      <c r="AD19" s="1185"/>
      <c r="AE19" s="1185"/>
      <c r="AF19" s="1185"/>
      <c r="AG19" s="1185"/>
      <c r="AH19" s="1185"/>
      <c r="AI19" s="1185"/>
      <c r="AK19" s="1204"/>
    </row>
    <row r="20" spans="1:37">
      <c r="A20" s="1184" t="s">
        <v>358</v>
      </c>
      <c r="C20" s="1202">
        <f t="shared" ref="C20:C27" si="1">C38+C56+C74</f>
        <v>1930</v>
      </c>
      <c r="D20" s="265">
        <v>11.51</v>
      </c>
      <c r="F20" s="1203">
        <f>F38+F56+F74</f>
        <v>22214</v>
      </c>
      <c r="G20" s="265">
        <v>12.09</v>
      </c>
      <c r="I20" s="1203">
        <f>I38+I56+I74</f>
        <v>23333.700000000004</v>
      </c>
      <c r="J20" s="265">
        <f t="shared" si="0"/>
        <v>10.6</v>
      </c>
      <c r="L20" s="1203">
        <f>L38+L56+L74</f>
        <v>20457</v>
      </c>
      <c r="N20" s="1204" t="e">
        <f>J20*#REF!</f>
        <v>#REF!</v>
      </c>
      <c r="P20" s="815"/>
      <c r="Q20" s="1205"/>
      <c r="R20" s="1205"/>
      <c r="S20" s="1205"/>
      <c r="T20" s="1205"/>
      <c r="U20" s="1206"/>
      <c r="V20" s="1206"/>
      <c r="W20" s="1206"/>
      <c r="X20" s="1206"/>
      <c r="Y20" s="1185"/>
      <c r="Z20" s="1185"/>
      <c r="AA20" s="1185"/>
      <c r="AB20" s="1185"/>
      <c r="AC20" s="1185"/>
      <c r="AD20" s="1185"/>
      <c r="AE20" s="1185"/>
      <c r="AF20" s="1185"/>
      <c r="AG20" s="1185"/>
      <c r="AH20" s="1185"/>
      <c r="AI20" s="1185"/>
      <c r="AK20" s="1204"/>
    </row>
    <row r="21" spans="1:37">
      <c r="A21" s="1184" t="s">
        <v>359</v>
      </c>
      <c r="C21" s="1202">
        <f t="shared" si="1"/>
        <v>1764</v>
      </c>
      <c r="D21" s="265">
        <v>16.900000000000002</v>
      </c>
      <c r="F21" s="1203">
        <f>F39+F57+F75</f>
        <v>29811</v>
      </c>
      <c r="G21" s="265">
        <v>17.760000000000002</v>
      </c>
      <c r="I21" s="1203">
        <f>I39+I57+I75</f>
        <v>31328.640000000003</v>
      </c>
      <c r="J21" s="265">
        <f t="shared" si="0"/>
        <v>15.57</v>
      </c>
      <c r="L21" s="1203">
        <f>L39+L57+L75</f>
        <v>27466</v>
      </c>
      <c r="N21" s="1204" t="e">
        <f>J21*#REF!</f>
        <v>#REF!</v>
      </c>
      <c r="P21" s="815"/>
      <c r="Q21" s="1205"/>
      <c r="R21" s="1205"/>
      <c r="S21" s="1205"/>
      <c r="T21" s="1205"/>
      <c r="U21" s="1206"/>
      <c r="V21" s="1206"/>
      <c r="W21" s="1206"/>
      <c r="X21" s="1206"/>
      <c r="Y21" s="1185"/>
      <c r="Z21" s="1185"/>
      <c r="AA21" s="1185"/>
      <c r="AB21" s="1185"/>
      <c r="AC21" s="1185"/>
      <c r="AD21" s="1185"/>
      <c r="AE21" s="1185"/>
      <c r="AF21" s="1185"/>
      <c r="AG21" s="1185"/>
      <c r="AH21" s="1185"/>
      <c r="AI21" s="1185"/>
      <c r="AK21" s="1204"/>
    </row>
    <row r="22" spans="1:37">
      <c r="A22" s="1184" t="s">
        <v>360</v>
      </c>
      <c r="C22" s="1202">
        <f t="shared" si="1"/>
        <v>456</v>
      </c>
      <c r="D22" s="265">
        <v>27.26</v>
      </c>
      <c r="F22" s="1203">
        <f>F40+F58+F76</f>
        <v>12430</v>
      </c>
      <c r="G22" s="265">
        <v>28.64</v>
      </c>
      <c r="I22" s="1203">
        <f>I40+I58+I76</f>
        <v>13059.840000000002</v>
      </c>
      <c r="J22" s="265">
        <f t="shared" si="0"/>
        <v>25.1</v>
      </c>
      <c r="L22" s="1203">
        <f>L40+L58+L76</f>
        <v>11445</v>
      </c>
      <c r="N22" s="1204" t="e">
        <f>J22*#REF!</f>
        <v>#REF!</v>
      </c>
      <c r="P22" s="815"/>
      <c r="Q22" s="1205"/>
      <c r="R22" s="1205"/>
      <c r="S22" s="1205"/>
      <c r="T22" s="1205"/>
      <c r="U22" s="1206"/>
      <c r="V22" s="1206"/>
      <c r="W22" s="1206"/>
      <c r="X22" s="1206"/>
      <c r="Y22" s="1185"/>
      <c r="Z22" s="1185"/>
      <c r="AA22" s="1185"/>
      <c r="AB22" s="1185"/>
      <c r="AC22" s="1185"/>
      <c r="AD22" s="1185"/>
      <c r="AE22" s="1185"/>
      <c r="AF22" s="1185"/>
      <c r="AG22" s="1185"/>
      <c r="AH22" s="1185"/>
      <c r="AI22" s="1185"/>
      <c r="AK22" s="1204"/>
    </row>
    <row r="23" spans="1:37">
      <c r="A23" s="1184" t="s">
        <v>361</v>
      </c>
      <c r="C23" s="1202">
        <f t="shared" si="1"/>
        <v>625</v>
      </c>
      <c r="D23" s="269">
        <v>1</v>
      </c>
      <c r="E23" s="1185"/>
      <c r="F23" s="1203">
        <f>F41+F59+F77</f>
        <v>625</v>
      </c>
      <c r="G23" s="269">
        <v>1</v>
      </c>
      <c r="H23" s="1185"/>
      <c r="I23" s="1203">
        <f>I41+I59+I77</f>
        <v>625</v>
      </c>
      <c r="J23" s="265">
        <f>G23</f>
        <v>1</v>
      </c>
      <c r="K23" s="1185"/>
      <c r="L23" s="1203">
        <f>L41+L59+L77</f>
        <v>625</v>
      </c>
      <c r="N23" s="1204" t="e">
        <f>J23*#REF!</f>
        <v>#REF!</v>
      </c>
      <c r="P23" s="815"/>
      <c r="Q23" s="1005" t="s">
        <v>31</v>
      </c>
      <c r="R23" s="1184"/>
      <c r="S23" s="1205"/>
      <c r="T23" s="1205"/>
      <c r="Y23" s="1185"/>
      <c r="Z23" s="1185"/>
      <c r="AA23" s="1185"/>
      <c r="AB23" s="1185"/>
      <c r="AC23" s="1185"/>
      <c r="AD23" s="1185"/>
      <c r="AE23" s="1185"/>
      <c r="AF23" s="1185"/>
      <c r="AG23" s="1185"/>
      <c r="AH23" s="1185"/>
      <c r="AI23" s="1185"/>
      <c r="AK23" s="1204"/>
    </row>
    <row r="24" spans="1:37">
      <c r="A24" s="1005" t="s">
        <v>912</v>
      </c>
      <c r="C24" s="1202">
        <f t="shared" si="1"/>
        <v>3455498</v>
      </c>
      <c r="D24" s="269"/>
      <c r="E24" s="1185"/>
      <c r="F24" s="1203"/>
      <c r="G24" s="269"/>
      <c r="H24" s="1185"/>
      <c r="I24" s="1203"/>
      <c r="J24" s="1230">
        <f>ROUND(O24/C24*100,3)</f>
        <v>2.2869999999999999</v>
      </c>
      <c r="K24" s="1219" t="s">
        <v>374</v>
      </c>
      <c r="L24" s="1203">
        <f>L42+L60+L78</f>
        <v>79027.239260000002</v>
      </c>
      <c r="N24" s="1204"/>
      <c r="O24" s="1204">
        <f>'[94]NPC Spread'!J37</f>
        <v>79017.888474984095</v>
      </c>
      <c r="P24" s="815" t="s">
        <v>913</v>
      </c>
      <c r="Q24" s="1184"/>
      <c r="R24" s="1184"/>
      <c r="S24" s="1205"/>
      <c r="T24" s="1205"/>
      <c r="Y24" s="1185"/>
      <c r="Z24" s="1185"/>
      <c r="AA24" s="1185"/>
      <c r="AB24" s="1185"/>
      <c r="AC24" s="1185"/>
      <c r="AD24" s="1185"/>
      <c r="AE24" s="1185"/>
      <c r="AF24" s="1185"/>
      <c r="AG24" s="1185"/>
      <c r="AH24" s="1185"/>
      <c r="AI24" s="1185"/>
      <c r="AK24" s="1204"/>
    </row>
    <row r="25" spans="1:37">
      <c r="A25" s="1184" t="s">
        <v>362</v>
      </c>
      <c r="C25" s="1202">
        <f t="shared" si="1"/>
        <v>31190</v>
      </c>
      <c r="D25" s="265"/>
      <c r="F25" s="1203"/>
      <c r="G25" s="265"/>
      <c r="I25" s="1203"/>
      <c r="J25" s="265"/>
      <c r="L25" s="1203"/>
      <c r="N25" s="1204"/>
      <c r="P25" s="1204"/>
      <c r="Q25" s="1184"/>
      <c r="R25" s="1184"/>
      <c r="Y25" s="1185"/>
      <c r="Z25" s="1185"/>
      <c r="AA25" s="1185"/>
      <c r="AB25" s="1185"/>
      <c r="AC25" s="1185"/>
      <c r="AD25" s="1185"/>
      <c r="AE25" s="1185"/>
      <c r="AF25" s="1185"/>
      <c r="AG25" s="1185"/>
      <c r="AH25" s="1185"/>
      <c r="AI25" s="1185"/>
      <c r="AK25" s="1204"/>
    </row>
    <row r="26" spans="1:37">
      <c r="A26" s="1184" t="s">
        <v>35</v>
      </c>
      <c r="C26" s="1202">
        <f t="shared" si="1"/>
        <v>3455498</v>
      </c>
      <c r="D26" s="269"/>
      <c r="E26" s="1185"/>
      <c r="F26" s="1203">
        <f>F44+F62+F80</f>
        <v>461084</v>
      </c>
      <c r="G26" s="269"/>
      <c r="H26" s="1185"/>
      <c r="I26" s="1203">
        <f>I44+I62+I80</f>
        <v>484360.10000000003</v>
      </c>
      <c r="J26" s="269"/>
      <c r="K26" s="1185"/>
      <c r="L26" s="1208">
        <f>L44+L62+L80</f>
        <v>503726.23925999994</v>
      </c>
      <c r="N26" s="1204" t="e">
        <f>SUM(N16:N25)</f>
        <v>#REF!</v>
      </c>
      <c r="P26" s="1209"/>
      <c r="Q26" s="1184"/>
      <c r="R26" s="1184"/>
      <c r="Y26" s="1185"/>
      <c r="Z26" s="1185"/>
      <c r="AA26" s="1185"/>
      <c r="AB26" s="1185"/>
      <c r="AC26" s="1185"/>
      <c r="AD26" s="1185"/>
      <c r="AE26" s="1185"/>
      <c r="AF26" s="1185"/>
      <c r="AG26" s="1185"/>
      <c r="AH26" s="1185"/>
      <c r="AI26" s="1185"/>
      <c r="AK26" s="1204"/>
    </row>
    <row r="27" spans="1:37">
      <c r="A27" s="1184" t="s">
        <v>363</v>
      </c>
      <c r="C27" s="1202">
        <f t="shared" si="1"/>
        <v>-3768.1420658745119</v>
      </c>
      <c r="D27" s="269"/>
      <c r="E27" s="1185"/>
      <c r="F27" s="1210" t="e">
        <f>F45+F63+F81</f>
        <v>#REF!</v>
      </c>
      <c r="G27" s="269"/>
      <c r="H27" s="1185"/>
      <c r="I27" s="1210">
        <f>I45+I63+I81</f>
        <v>-572.02550248989303</v>
      </c>
      <c r="J27" s="269"/>
      <c r="K27" s="1185"/>
      <c r="L27" s="1210">
        <f>I27</f>
        <v>-572.02550248989303</v>
      </c>
      <c r="Q27" s="1211" t="s">
        <v>31</v>
      </c>
      <c r="R27" s="1211"/>
      <c r="Y27" s="1185"/>
      <c r="Z27" s="1185"/>
      <c r="AA27" s="1185"/>
      <c r="AB27" s="1185"/>
      <c r="AC27" s="1185"/>
      <c r="AD27" s="1185"/>
      <c r="AE27" s="1185"/>
      <c r="AF27" s="1185"/>
      <c r="AG27" s="1185"/>
      <c r="AH27" s="1185"/>
      <c r="AI27" s="1185"/>
      <c r="AK27" s="1204"/>
    </row>
    <row r="28" spans="1:37" ht="16.5" thickBot="1">
      <c r="A28" s="1184" t="s">
        <v>9</v>
      </c>
      <c r="C28" s="1212">
        <f>C26+C27</f>
        <v>3451729.8579341257</v>
      </c>
      <c r="D28" s="1213"/>
      <c r="E28" s="1213"/>
      <c r="F28" s="1213" t="e">
        <f>F26+F27</f>
        <v>#REF!</v>
      </c>
      <c r="G28" s="1214"/>
      <c r="H28" s="1213"/>
      <c r="I28" s="1213">
        <f>I26+I27</f>
        <v>483788.07449751016</v>
      </c>
      <c r="J28" s="1214"/>
      <c r="K28" s="1213"/>
      <c r="L28" s="1213">
        <f>L26+L27</f>
        <v>503154.21375751006</v>
      </c>
      <c r="O28" s="1215" t="s">
        <v>364</v>
      </c>
      <c r="P28" s="1216">
        <f>'[94]Rate Spread'!Q35*1000</f>
        <v>503139.59747741051</v>
      </c>
      <c r="Q28" s="818">
        <f>'[94]Rate Spread'!V35</f>
        <v>0.04</v>
      </c>
      <c r="R28" s="777"/>
      <c r="S28" s="55"/>
      <c r="T28" s="55"/>
      <c r="Y28" s="1185"/>
      <c r="Z28" s="1185"/>
      <c r="AA28" s="1185"/>
      <c r="AB28" s="1185"/>
      <c r="AC28" s="1185"/>
      <c r="AD28" s="1185"/>
      <c r="AE28" s="1185"/>
      <c r="AF28" s="1185"/>
      <c r="AG28" s="1185"/>
      <c r="AH28" s="1185"/>
      <c r="AI28" s="1185"/>
      <c r="AK28" s="1204"/>
    </row>
    <row r="29" spans="1:37" ht="16.5" thickTop="1">
      <c r="C29" s="1217"/>
      <c r="D29" s="1217"/>
      <c r="E29" s="1217"/>
      <c r="F29" s="1201"/>
      <c r="G29" s="1218" t="s">
        <v>31</v>
      </c>
      <c r="H29" s="1217"/>
      <c r="I29" s="1201"/>
      <c r="J29" s="1219" t="s">
        <v>31</v>
      </c>
      <c r="K29" s="1217"/>
      <c r="L29" s="1203" t="s">
        <v>31</v>
      </c>
      <c r="O29" s="1220" t="s">
        <v>263</v>
      </c>
      <c r="P29" s="1221">
        <f>P28-L28</f>
        <v>-14.616280099551659</v>
      </c>
      <c r="Q29" s="1222">
        <v>-0.15720000000000001</v>
      </c>
      <c r="R29" s="826"/>
      <c r="S29" s="55"/>
      <c r="T29" s="55"/>
      <c r="Y29" s="1185"/>
      <c r="Z29" s="1185"/>
      <c r="AA29" s="1185"/>
      <c r="AB29" s="1185"/>
      <c r="AC29" s="1185"/>
      <c r="AD29" s="1185"/>
      <c r="AE29" s="1185"/>
      <c r="AF29" s="1185"/>
      <c r="AG29" s="1185"/>
      <c r="AH29" s="1185"/>
      <c r="AI29" s="1185"/>
      <c r="AK29" s="1204"/>
    </row>
    <row r="30" spans="1:37">
      <c r="A30" s="1200" t="s">
        <v>351</v>
      </c>
      <c r="F30" s="1201"/>
      <c r="I30" s="1201"/>
      <c r="P30" s="1223" t="s">
        <v>31</v>
      </c>
      <c r="Q30" s="1184"/>
      <c r="R30" s="1184"/>
      <c r="Y30" s="1185"/>
      <c r="Z30" s="1185"/>
      <c r="AA30" s="1185"/>
      <c r="AB30" s="1185"/>
      <c r="AC30" s="1185"/>
      <c r="AD30" s="1185"/>
      <c r="AE30" s="1185"/>
      <c r="AF30" s="1185"/>
      <c r="AG30" s="1185"/>
      <c r="AH30" s="1185"/>
      <c r="AI30" s="1185"/>
      <c r="AK30" s="1204"/>
    </row>
    <row r="31" spans="1:37">
      <c r="A31" s="1184" t="s">
        <v>365</v>
      </c>
      <c r="F31" s="1201"/>
      <c r="I31" s="1201"/>
      <c r="N31" s="278"/>
      <c r="O31" s="278"/>
      <c r="P31" s="278"/>
      <c r="Q31" s="278"/>
      <c r="R31" s="278"/>
      <c r="S31" s="278"/>
      <c r="T31" s="278"/>
      <c r="U31" s="278"/>
      <c r="V31" s="278"/>
      <c r="W31" s="278"/>
      <c r="X31" s="278"/>
      <c r="Y31" s="278"/>
      <c r="Z31" s="278"/>
      <c r="AA31" s="278"/>
      <c r="AB31" s="278"/>
      <c r="AC31" s="278"/>
      <c r="AD31" s="278"/>
      <c r="AE31" s="1185"/>
      <c r="AF31" s="1185"/>
      <c r="AG31" s="1185"/>
      <c r="AH31" s="1185"/>
      <c r="AI31" s="1185"/>
      <c r="AK31" s="1204"/>
    </row>
    <row r="32" spans="1:37">
      <c r="D32" s="1202"/>
      <c r="F32" s="1201"/>
      <c r="I32" s="1201"/>
      <c r="N32" s="278"/>
      <c r="O32" s="278"/>
      <c r="P32" s="278"/>
      <c r="Q32" s="278"/>
      <c r="R32" s="278"/>
      <c r="S32" s="278"/>
      <c r="T32" s="278"/>
      <c r="U32" s="278"/>
      <c r="V32" s="278"/>
      <c r="W32" s="278"/>
      <c r="X32" s="278"/>
      <c r="Y32" s="278"/>
      <c r="Z32" s="278"/>
      <c r="AA32" s="278"/>
      <c r="AB32" s="278"/>
      <c r="AC32" s="278"/>
      <c r="AD32" s="278"/>
      <c r="AE32" s="1185"/>
      <c r="AF32" s="1185"/>
      <c r="AG32" s="1185"/>
      <c r="AH32" s="1185"/>
      <c r="AI32" s="1185"/>
      <c r="AK32" s="1204"/>
    </row>
    <row r="33" spans="1:37">
      <c r="A33" s="1184" t="s">
        <v>353</v>
      </c>
      <c r="F33" s="1201"/>
      <c r="I33" s="1201"/>
      <c r="N33" s="278"/>
      <c r="O33" s="278"/>
      <c r="P33" s="278"/>
      <c r="Q33" s="1186"/>
      <c r="R33" s="1186"/>
      <c r="S33" s="279"/>
      <c r="T33" s="279"/>
      <c r="U33" s="280"/>
      <c r="V33" s="280"/>
      <c r="W33" s="280"/>
      <c r="X33" s="280"/>
      <c r="Y33" s="281"/>
      <c r="Z33" s="282"/>
      <c r="AA33" s="278"/>
      <c r="AB33" s="278"/>
      <c r="AC33" s="278"/>
      <c r="AD33" s="278"/>
      <c r="AE33" s="1185"/>
      <c r="AF33" s="1185"/>
      <c r="AG33" s="1185"/>
      <c r="AH33" s="1185"/>
      <c r="AI33" s="1185"/>
      <c r="AK33" s="1204"/>
    </row>
    <row r="34" spans="1:37">
      <c r="A34" s="1184" t="s">
        <v>354</v>
      </c>
      <c r="C34" s="1202">
        <f>12787+107</f>
        <v>12894</v>
      </c>
      <c r="D34" s="265">
        <v>10.119999999999999</v>
      </c>
      <c r="F34" s="1203">
        <f>ROUND(D34*$C34,0)</f>
        <v>130487</v>
      </c>
      <c r="G34" s="265">
        <v>10.63</v>
      </c>
      <c r="I34" s="1203">
        <f>G34*C34</f>
        <v>137063.22</v>
      </c>
      <c r="J34" s="265">
        <f>$J$16</f>
        <v>9.32</v>
      </c>
      <c r="L34" s="1203">
        <f>ROUND(J34*$C34,0)</f>
        <v>120172</v>
      </c>
      <c r="N34" s="1185"/>
      <c r="O34" s="1185"/>
      <c r="P34" s="281"/>
      <c r="Q34" s="1186"/>
      <c r="R34" s="1186"/>
      <c r="S34" s="278"/>
      <c r="T34" s="278"/>
      <c r="U34" s="283"/>
      <c r="V34" s="283"/>
      <c r="W34" s="283"/>
      <c r="X34" s="283"/>
      <c r="Y34" s="284"/>
      <c r="Z34" s="278"/>
      <c r="AA34" s="281"/>
      <c r="AB34" s="281"/>
      <c r="AC34" s="285"/>
      <c r="AD34" s="281"/>
      <c r="AE34" s="1185"/>
      <c r="AF34" s="1185"/>
      <c r="AG34" s="1185"/>
      <c r="AH34" s="1185"/>
      <c r="AI34" s="1185"/>
      <c r="AK34" s="1204"/>
    </row>
    <row r="35" spans="1:37">
      <c r="A35" s="1184" t="s">
        <v>355</v>
      </c>
      <c r="C35" s="1202">
        <f>264+12</f>
        <v>276</v>
      </c>
      <c r="D35" s="265">
        <v>19.25</v>
      </c>
      <c r="F35" s="1203">
        <f>ROUND(D35*$C35,0)</f>
        <v>5313</v>
      </c>
      <c r="G35" s="265">
        <v>20.23</v>
      </c>
      <c r="I35" s="1203">
        <f t="shared" ref="I35:I36" si="2">G35*C35</f>
        <v>5583.4800000000005</v>
      </c>
      <c r="J35" s="265">
        <f>$J$17</f>
        <v>17.73</v>
      </c>
      <c r="L35" s="1203">
        <f>ROUND(J35*$C35,0)</f>
        <v>4893</v>
      </c>
      <c r="N35" s="1185"/>
      <c r="O35" s="1185"/>
      <c r="P35" s="281"/>
      <c r="Q35" s="1186"/>
      <c r="R35" s="1186"/>
      <c r="S35" s="1185"/>
      <c r="T35" s="1185"/>
      <c r="U35" s="287"/>
      <c r="V35" s="287"/>
      <c r="W35" s="287"/>
      <c r="X35" s="287"/>
      <c r="Y35" s="278"/>
      <c r="Z35" s="278"/>
      <c r="AA35" s="281"/>
      <c r="AB35" s="281"/>
      <c r="AC35" s="285"/>
      <c r="AD35" s="281"/>
      <c r="AE35" s="1185"/>
      <c r="AF35" s="1185"/>
      <c r="AG35" s="1185"/>
      <c r="AH35" s="1185"/>
      <c r="AI35" s="1185"/>
      <c r="AK35" s="1204"/>
    </row>
    <row r="36" spans="1:37">
      <c r="A36" s="1184" t="s">
        <v>356</v>
      </c>
      <c r="C36" s="1202">
        <v>2</v>
      </c>
      <c r="D36" s="265">
        <v>39.840000000000003</v>
      </c>
      <c r="F36" s="1203">
        <f>ROUND(D36*$C36,0)</f>
        <v>80</v>
      </c>
      <c r="G36" s="265">
        <v>41.86</v>
      </c>
      <c r="I36" s="1203">
        <f t="shared" si="2"/>
        <v>83.72</v>
      </c>
      <c r="J36" s="265">
        <f>$J$18</f>
        <v>36.69</v>
      </c>
      <c r="L36" s="1203">
        <f>ROUND(J36*$C36,0)</f>
        <v>73</v>
      </c>
      <c r="N36" s="1185"/>
      <c r="O36" s="1185"/>
      <c r="P36" s="281"/>
      <c r="Q36" s="1186"/>
      <c r="R36" s="1186"/>
      <c r="S36" s="1185"/>
      <c r="T36" s="1185"/>
      <c r="U36" s="287"/>
      <c r="V36" s="287"/>
      <c r="W36" s="287"/>
      <c r="X36" s="287"/>
      <c r="Y36" s="278"/>
      <c r="Z36" s="278"/>
      <c r="AA36" s="281"/>
      <c r="AB36" s="281"/>
      <c r="AC36" s="285"/>
      <c r="AD36" s="281"/>
      <c r="AE36" s="1185"/>
      <c r="AF36" s="1185"/>
      <c r="AG36" s="1185"/>
      <c r="AH36" s="1185"/>
      <c r="AI36" s="1185"/>
      <c r="AK36" s="1204"/>
    </row>
    <row r="37" spans="1:37">
      <c r="A37" s="1184" t="s">
        <v>357</v>
      </c>
      <c r="C37" s="1202"/>
      <c r="D37" s="265"/>
      <c r="F37" s="1203"/>
      <c r="G37" s="265"/>
      <c r="I37" s="1203"/>
      <c r="J37" s="265"/>
      <c r="L37" s="1203"/>
      <c r="N37" s="1185"/>
      <c r="O37" s="1185"/>
      <c r="P37" s="281"/>
      <c r="Q37" s="1186"/>
      <c r="R37" s="1186"/>
      <c r="S37" s="1185"/>
      <c r="T37" s="1185"/>
      <c r="U37" s="287"/>
      <c r="V37" s="287"/>
      <c r="W37" s="287"/>
      <c r="X37" s="287"/>
      <c r="Y37" s="278"/>
      <c r="Z37" s="278"/>
      <c r="AA37" s="281"/>
      <c r="AB37" s="281"/>
      <c r="AC37" s="285"/>
      <c r="AD37" s="281"/>
      <c r="AE37" s="1185"/>
      <c r="AF37" s="1185"/>
      <c r="AG37" s="1185"/>
      <c r="AH37" s="1185"/>
      <c r="AI37" s="1185"/>
      <c r="AK37" s="1204"/>
    </row>
    <row r="38" spans="1:37">
      <c r="A38" s="1184" t="s">
        <v>358</v>
      </c>
      <c r="C38" s="1202">
        <f>814</f>
        <v>814</v>
      </c>
      <c r="D38" s="265">
        <v>11.51</v>
      </c>
      <c r="F38" s="1203">
        <f>ROUND(D38*$C38,0)</f>
        <v>9369</v>
      </c>
      <c r="G38" s="265">
        <v>12.09</v>
      </c>
      <c r="I38" s="1203">
        <f t="shared" ref="I38:I41" si="3">G38*C38</f>
        <v>9841.26</v>
      </c>
      <c r="J38" s="265">
        <f>$J$20</f>
        <v>10.6</v>
      </c>
      <c r="L38" s="1203">
        <f>ROUND(J38*$C38,0)</f>
        <v>8628</v>
      </c>
      <c r="N38" s="1185"/>
      <c r="O38" s="1185"/>
      <c r="P38" s="281"/>
      <c r="Q38" s="1186"/>
      <c r="R38" s="1186"/>
      <c r="S38" s="1185"/>
      <c r="T38" s="1185"/>
      <c r="U38" s="287"/>
      <c r="V38" s="287"/>
      <c r="W38" s="287"/>
      <c r="X38" s="287"/>
      <c r="Y38" s="278"/>
      <c r="Z38" s="278"/>
      <c r="AA38" s="281"/>
      <c r="AB38" s="281"/>
      <c r="AC38" s="285"/>
      <c r="AD38" s="281"/>
      <c r="AE38" s="1185"/>
      <c r="AF38" s="1185"/>
      <c r="AG38" s="1185"/>
      <c r="AH38" s="1185"/>
      <c r="AI38" s="1185"/>
      <c r="AK38" s="1204"/>
    </row>
    <row r="39" spans="1:37">
      <c r="A39" s="1184" t="s">
        <v>359</v>
      </c>
      <c r="C39" s="1202">
        <f>216</f>
        <v>216</v>
      </c>
      <c r="D39" s="265">
        <v>16.900000000000002</v>
      </c>
      <c r="F39" s="1203">
        <f>ROUND(D39*$C39,0)</f>
        <v>3650</v>
      </c>
      <c r="G39" s="265">
        <v>17.760000000000002</v>
      </c>
      <c r="I39" s="1203">
        <f t="shared" si="3"/>
        <v>3836.1600000000003</v>
      </c>
      <c r="J39" s="265">
        <f>$J$21</f>
        <v>15.57</v>
      </c>
      <c r="L39" s="1203">
        <f>ROUND(J39*$C39,0)</f>
        <v>3363</v>
      </c>
      <c r="N39" s="1185"/>
      <c r="O39" s="1185"/>
      <c r="P39" s="281"/>
      <c r="Q39" s="1186"/>
      <c r="R39" s="1186"/>
      <c r="S39" s="1185"/>
      <c r="T39" s="1185"/>
      <c r="U39" s="287"/>
      <c r="V39" s="287"/>
      <c r="W39" s="287"/>
      <c r="X39" s="287"/>
      <c r="Y39" s="278"/>
      <c r="Z39" s="278"/>
      <c r="AA39" s="281"/>
      <c r="AB39" s="281"/>
      <c r="AC39" s="285"/>
      <c r="AD39" s="281"/>
      <c r="AE39" s="1185"/>
      <c r="AF39" s="1185"/>
      <c r="AG39" s="1185"/>
      <c r="AH39" s="1185"/>
      <c r="AI39" s="1185"/>
      <c r="AK39" s="1204"/>
    </row>
    <row r="40" spans="1:37">
      <c r="A40" s="1184" t="s">
        <v>360</v>
      </c>
      <c r="C40" s="1202">
        <f>12</f>
        <v>12</v>
      </c>
      <c r="D40" s="265">
        <v>27.26</v>
      </c>
      <c r="F40" s="1203">
        <f>ROUND(D40*$C40,0)</f>
        <v>327</v>
      </c>
      <c r="G40" s="265">
        <v>28.64</v>
      </c>
      <c r="I40" s="1203">
        <f t="shared" si="3"/>
        <v>343.68</v>
      </c>
      <c r="J40" s="265">
        <f>$J$22</f>
        <v>25.1</v>
      </c>
      <c r="L40" s="1203">
        <f>ROUND(J40*$C40,0)</f>
        <v>301</v>
      </c>
      <c r="N40" s="1185"/>
      <c r="O40" s="1185"/>
      <c r="P40" s="281"/>
      <c r="Q40" s="1186"/>
      <c r="R40" s="1186"/>
      <c r="S40" s="1185"/>
      <c r="T40" s="1185"/>
      <c r="U40" s="287"/>
      <c r="V40" s="287"/>
      <c r="W40" s="287"/>
      <c r="X40" s="287"/>
      <c r="Y40" s="278"/>
      <c r="Z40" s="278"/>
      <c r="AA40" s="281"/>
      <c r="AB40" s="281"/>
      <c r="AC40" s="285"/>
      <c r="AD40" s="281"/>
      <c r="AE40" s="1185"/>
      <c r="AF40" s="1185"/>
      <c r="AG40" s="1185"/>
      <c r="AH40" s="1185"/>
      <c r="AI40" s="1185"/>
      <c r="AK40" s="1204"/>
    </row>
    <row r="41" spans="1:37">
      <c r="A41" s="1184" t="s">
        <v>361</v>
      </c>
      <c r="C41" s="1202">
        <f>107+12+2</f>
        <v>121</v>
      </c>
      <c r="D41" s="265">
        <v>1</v>
      </c>
      <c r="E41" s="1185"/>
      <c r="F41" s="1210">
        <f>ROUND(D41*$C41,0)</f>
        <v>121</v>
      </c>
      <c r="G41" s="265">
        <v>1</v>
      </c>
      <c r="H41" s="1185"/>
      <c r="I41" s="1203">
        <f t="shared" si="3"/>
        <v>121</v>
      </c>
      <c r="J41" s="269">
        <f>$J$23</f>
        <v>1</v>
      </c>
      <c r="K41" s="1185"/>
      <c r="L41" s="1210">
        <f>ROUND(J41*$C41,0)</f>
        <v>121</v>
      </c>
      <c r="N41" s="278"/>
      <c r="O41" s="278"/>
      <c r="P41" s="281"/>
      <c r="Q41" s="1186"/>
      <c r="R41" s="1186"/>
      <c r="S41" s="1185"/>
      <c r="T41" s="1185"/>
      <c r="U41" s="278"/>
      <c r="V41" s="278"/>
      <c r="W41" s="278"/>
      <c r="X41" s="278"/>
      <c r="Y41" s="278"/>
      <c r="Z41" s="278"/>
      <c r="AA41" s="281"/>
      <c r="AB41" s="281"/>
      <c r="AC41" s="281"/>
      <c r="AD41" s="281"/>
      <c r="AE41" s="1185"/>
      <c r="AF41" s="1185"/>
      <c r="AG41" s="1185"/>
      <c r="AH41" s="1185"/>
      <c r="AI41" s="1185"/>
      <c r="AK41" s="1204"/>
    </row>
    <row r="42" spans="1:37">
      <c r="A42" s="1005" t="s">
        <v>912</v>
      </c>
      <c r="C42" s="1202">
        <f>C44</f>
        <v>1072028</v>
      </c>
      <c r="D42" s="269"/>
      <c r="E42" s="1185"/>
      <c r="F42" s="1203"/>
      <c r="G42" s="269"/>
      <c r="H42" s="1185"/>
      <c r="I42" s="1203"/>
      <c r="J42" s="1230">
        <f>J24</f>
        <v>2.2869999999999999</v>
      </c>
      <c r="K42" s="1219" t="s">
        <v>374</v>
      </c>
      <c r="L42" s="1203">
        <f>J42*C42/100</f>
        <v>24517.280359999997</v>
      </c>
      <c r="N42" s="1204"/>
      <c r="P42" s="815"/>
      <c r="Q42" s="1184"/>
      <c r="R42" s="1184"/>
      <c r="S42" s="1205"/>
      <c r="T42" s="1205"/>
      <c r="Y42" s="1185"/>
      <c r="Z42" s="1185"/>
      <c r="AA42" s="1185"/>
      <c r="AB42" s="1185"/>
      <c r="AC42" s="1185"/>
      <c r="AD42" s="1185"/>
      <c r="AE42" s="1185"/>
      <c r="AF42" s="1185"/>
      <c r="AG42" s="1185"/>
      <c r="AH42" s="1185"/>
      <c r="AI42" s="1185"/>
      <c r="AK42" s="1204"/>
    </row>
    <row r="43" spans="1:37">
      <c r="A43" s="1184" t="s">
        <v>362</v>
      </c>
      <c r="C43" s="1202">
        <f>13970</f>
        <v>13970</v>
      </c>
      <c r="D43" s="265"/>
      <c r="F43" s="1203"/>
      <c r="G43" s="265"/>
      <c r="I43" s="1203"/>
      <c r="J43" s="265"/>
      <c r="L43" s="1203"/>
      <c r="N43" s="278"/>
      <c r="O43" s="278"/>
      <c r="P43" s="278"/>
      <c r="Q43" s="278"/>
      <c r="R43" s="278"/>
      <c r="S43" s="278"/>
      <c r="T43" s="278"/>
      <c r="U43" s="278"/>
      <c r="V43" s="278"/>
      <c r="W43" s="278"/>
      <c r="X43" s="278"/>
      <c r="Y43" s="278"/>
      <c r="Z43" s="278"/>
      <c r="AA43" s="288"/>
      <c r="AB43" s="278"/>
      <c r="AC43" s="278"/>
      <c r="AD43" s="278"/>
      <c r="AE43" s="1185"/>
      <c r="AF43" s="1185"/>
      <c r="AG43" s="1185"/>
      <c r="AH43" s="1185"/>
      <c r="AI43" s="1185"/>
      <c r="AK43" s="1204"/>
    </row>
    <row r="44" spans="1:37">
      <c r="A44" s="1184" t="s">
        <v>35</v>
      </c>
      <c r="C44" s="1202">
        <f>1072028</f>
        <v>1072028</v>
      </c>
      <c r="D44" s="269"/>
      <c r="E44" s="1185"/>
      <c r="F44" s="1210">
        <f>SUM(F34:F41)</f>
        <v>149347</v>
      </c>
      <c r="G44" s="269"/>
      <c r="H44" s="1185"/>
      <c r="I44" s="1210">
        <f>SUM(I34:I41)</f>
        <v>156872.52000000002</v>
      </c>
      <c r="J44" s="269"/>
      <c r="K44" s="1185"/>
      <c r="L44" s="1210">
        <f>SUM(L34:L42)</f>
        <v>162068.28036</v>
      </c>
      <c r="N44" s="278"/>
      <c r="O44" s="278"/>
      <c r="P44" s="287"/>
      <c r="Q44" s="278"/>
      <c r="R44" s="278"/>
      <c r="S44" s="1185"/>
      <c r="T44" s="1185"/>
      <c r="U44" s="1185"/>
      <c r="V44" s="1185"/>
      <c r="W44" s="1185"/>
      <c r="X44" s="1185"/>
      <c r="Y44" s="1185"/>
      <c r="Z44" s="278"/>
      <c r="AA44" s="278"/>
      <c r="AB44" s="278"/>
      <c r="AC44" s="278"/>
      <c r="AD44" s="278"/>
      <c r="AE44" s="1185"/>
      <c r="AF44" s="1185"/>
      <c r="AG44" s="1185"/>
      <c r="AH44" s="1185"/>
      <c r="AI44" s="1185"/>
      <c r="AK44" s="1204"/>
    </row>
    <row r="45" spans="1:37">
      <c r="A45" s="1184" t="s">
        <v>363</v>
      </c>
      <c r="C45" s="1202">
        <f>'[94]Table 2'!H21</f>
        <v>-68.662768611323841</v>
      </c>
      <c r="D45" s="269"/>
      <c r="E45" s="1185"/>
      <c r="F45" s="1210" t="e">
        <f>#REF!</f>
        <v>#REF!</v>
      </c>
      <c r="G45" s="269"/>
      <c r="H45" s="1185"/>
      <c r="I45" s="1210">
        <f>'[94]Table 3'!E21</f>
        <v>15.339848949801738</v>
      </c>
      <c r="J45" s="269"/>
      <c r="K45" s="1185"/>
      <c r="L45" s="1210">
        <f>I45</f>
        <v>15.339848949801738</v>
      </c>
      <c r="N45" s="444"/>
      <c r="O45" s="444"/>
      <c r="P45" s="287"/>
      <c r="Q45" s="278"/>
      <c r="R45" s="278"/>
      <c r="S45" s="278"/>
      <c r="T45" s="278"/>
      <c r="U45" s="283"/>
      <c r="V45" s="283"/>
      <c r="W45" s="283"/>
      <c r="X45" s="283"/>
      <c r="Y45" s="281"/>
      <c r="Z45" s="278"/>
      <c r="AA45" s="278"/>
      <c r="AB45" s="278"/>
      <c r="AC45" s="278"/>
      <c r="AD45" s="278"/>
      <c r="AE45" s="1185"/>
      <c r="AF45" s="1185"/>
      <c r="AG45" s="1185"/>
      <c r="AH45" s="1185"/>
      <c r="AI45" s="1185"/>
      <c r="AK45" s="1204"/>
    </row>
    <row r="46" spans="1:37" ht="16.5" thickBot="1">
      <c r="A46" s="1184" t="s">
        <v>9</v>
      </c>
      <c r="C46" s="1212">
        <f>C44+C45</f>
        <v>1071959.3372313888</v>
      </c>
      <c r="D46" s="1213"/>
      <c r="E46" s="1213"/>
      <c r="F46" s="1213" t="e">
        <f>F44+F45</f>
        <v>#REF!</v>
      </c>
      <c r="G46" s="1214"/>
      <c r="H46" s="1213"/>
      <c r="I46" s="1213">
        <f>I44+I45</f>
        <v>156887.85984894983</v>
      </c>
      <c r="J46" s="1214"/>
      <c r="K46" s="1213"/>
      <c r="L46" s="1213">
        <f>L44+L45</f>
        <v>162083.62020894981</v>
      </c>
      <c r="N46" s="411"/>
      <c r="O46" s="411"/>
      <c r="P46" s="470"/>
      <c r="Q46" s="278"/>
      <c r="R46" s="278"/>
      <c r="S46" s="278"/>
      <c r="T46" s="278"/>
      <c r="U46" s="278"/>
      <c r="V46" s="278"/>
      <c r="W46" s="278"/>
      <c r="X46" s="278"/>
      <c r="Y46" s="278"/>
      <c r="Z46" s="278"/>
      <c r="AA46" s="278"/>
      <c r="AB46" s="278"/>
      <c r="AC46" s="278"/>
      <c r="AD46" s="278"/>
      <c r="AE46" s="1185"/>
      <c r="AF46" s="1185"/>
      <c r="AG46" s="1185"/>
      <c r="AH46" s="1185"/>
      <c r="AI46" s="1185"/>
      <c r="AK46" s="1204"/>
    </row>
    <row r="47" spans="1:37" ht="16.5" thickTop="1">
      <c r="C47" s="1217"/>
      <c r="D47" s="1217"/>
      <c r="E47" s="1217"/>
      <c r="F47" s="1201"/>
      <c r="G47" s="1218" t="s">
        <v>31</v>
      </c>
      <c r="H47" s="1217"/>
      <c r="I47" s="1201"/>
      <c r="J47" s="1219" t="s">
        <v>31</v>
      </c>
      <c r="K47" s="1217"/>
      <c r="L47" s="1203" t="s">
        <v>31</v>
      </c>
      <c r="N47" s="1185"/>
      <c r="O47" s="1185"/>
      <c r="P47" s="1186"/>
      <c r="Q47" s="1186"/>
      <c r="R47" s="1186"/>
      <c r="S47" s="1185"/>
      <c r="T47" s="1185"/>
      <c r="U47" s="1185"/>
      <c r="V47" s="1185"/>
      <c r="W47" s="1185"/>
      <c r="X47" s="1185"/>
      <c r="Y47" s="1185"/>
      <c r="Z47" s="278"/>
      <c r="AA47" s="278"/>
      <c r="AB47" s="278"/>
      <c r="AC47" s="278"/>
      <c r="AD47" s="278"/>
      <c r="AE47" s="1185"/>
      <c r="AF47" s="1185"/>
      <c r="AG47" s="1185"/>
      <c r="AH47" s="1185"/>
      <c r="AI47" s="1185"/>
      <c r="AK47" s="1204"/>
    </row>
    <row r="48" spans="1:37">
      <c r="A48" s="1200" t="s">
        <v>351</v>
      </c>
      <c r="F48" s="1201"/>
      <c r="I48" s="1201"/>
      <c r="N48" s="1185"/>
      <c r="O48" s="1185"/>
      <c r="P48" s="1186"/>
      <c r="Q48" s="1186"/>
      <c r="R48" s="1186"/>
      <c r="S48" s="1185"/>
      <c r="T48" s="1185"/>
      <c r="U48" s="1185"/>
      <c r="V48" s="1185"/>
      <c r="W48" s="1185"/>
      <c r="X48" s="1185"/>
      <c r="Y48" s="1185"/>
      <c r="Z48" s="278"/>
      <c r="AA48" s="278"/>
      <c r="AB48" s="278"/>
      <c r="AC48" s="278"/>
      <c r="AD48" s="278"/>
      <c r="AE48" s="1185"/>
      <c r="AF48" s="1185"/>
      <c r="AG48" s="1185"/>
      <c r="AH48" s="1185"/>
      <c r="AI48" s="1185"/>
      <c r="AK48" s="1204"/>
    </row>
    <row r="49" spans="1:37">
      <c r="A49" s="1184" t="s">
        <v>366</v>
      </c>
      <c r="F49" s="1201"/>
      <c r="I49" s="1201"/>
      <c r="N49" s="278"/>
      <c r="O49" s="278"/>
      <c r="P49" s="278"/>
      <c r="Q49" s="278"/>
      <c r="R49" s="278"/>
      <c r="S49" s="278"/>
      <c r="T49" s="278"/>
      <c r="U49" s="278"/>
      <c r="V49" s="278"/>
      <c r="W49" s="278"/>
      <c r="X49" s="278"/>
      <c r="Y49" s="278"/>
      <c r="Z49" s="278"/>
      <c r="AA49" s="278"/>
      <c r="AB49" s="278"/>
      <c r="AC49" s="278"/>
      <c r="AD49" s="278"/>
      <c r="AE49" s="1185"/>
      <c r="AF49" s="1185"/>
      <c r="AG49" s="1185"/>
      <c r="AH49" s="1185"/>
      <c r="AI49" s="1185"/>
      <c r="AK49" s="1204"/>
    </row>
    <row r="50" spans="1:37">
      <c r="F50" s="1201"/>
      <c r="I50" s="1201"/>
      <c r="N50" s="278"/>
      <c r="O50" s="278"/>
      <c r="P50" s="278"/>
      <c r="Q50" s="278"/>
      <c r="R50" s="278"/>
      <c r="S50" s="278"/>
      <c r="T50" s="278"/>
      <c r="U50" s="278"/>
      <c r="V50" s="278"/>
      <c r="W50" s="278"/>
      <c r="X50" s="278"/>
      <c r="Y50" s="278"/>
      <c r="Z50" s="278"/>
      <c r="AA50" s="278"/>
      <c r="AB50" s="278"/>
      <c r="AC50" s="278"/>
      <c r="AD50" s="278"/>
      <c r="AE50" s="1185"/>
      <c r="AF50" s="1185"/>
      <c r="AG50" s="1185"/>
      <c r="AH50" s="1185"/>
      <c r="AI50" s="1185"/>
      <c r="AK50" s="1204"/>
    </row>
    <row r="51" spans="1:37">
      <c r="A51" s="1184" t="s">
        <v>353</v>
      </c>
      <c r="F51" s="1201"/>
      <c r="I51" s="1201"/>
      <c r="N51" s="278"/>
      <c r="O51" s="278"/>
      <c r="P51" s="278"/>
      <c r="Q51" s="1186"/>
      <c r="R51" s="1186"/>
      <c r="S51" s="279"/>
      <c r="T51" s="279"/>
      <c r="U51" s="280"/>
      <c r="V51" s="280"/>
      <c r="W51" s="280"/>
      <c r="X51" s="280"/>
      <c r="Y51" s="281"/>
      <c r="Z51" s="282"/>
      <c r="AA51" s="278"/>
      <c r="AB51" s="278"/>
      <c r="AC51" s="278"/>
      <c r="AD51" s="278"/>
      <c r="AE51" s="1185"/>
      <c r="AF51" s="1185"/>
      <c r="AG51" s="1185"/>
      <c r="AH51" s="1185"/>
      <c r="AI51" s="1185"/>
      <c r="AK51" s="1204"/>
    </row>
    <row r="52" spans="1:37">
      <c r="A52" s="1184" t="s">
        <v>354</v>
      </c>
      <c r="C52" s="1202">
        <f>14482+60</f>
        <v>14542</v>
      </c>
      <c r="D52" s="265">
        <v>10.119999999999999</v>
      </c>
      <c r="F52" s="1203">
        <f>ROUND(D52*$C52,0)</f>
        <v>147165</v>
      </c>
      <c r="G52" s="265">
        <v>10.63</v>
      </c>
      <c r="I52" s="1203">
        <f t="shared" ref="I52:I54" si="4">G52*C52</f>
        <v>154581.46000000002</v>
      </c>
      <c r="J52" s="265">
        <f>$J$16</f>
        <v>9.32</v>
      </c>
      <c r="L52" s="1203">
        <f>ROUND(J52*$C52,0)</f>
        <v>135531</v>
      </c>
      <c r="N52" s="1185"/>
      <c r="O52" s="1185"/>
      <c r="P52" s="281"/>
      <c r="Q52" s="1186"/>
      <c r="R52" s="1186"/>
      <c r="S52" s="278"/>
      <c r="T52" s="278"/>
      <c r="U52" s="283"/>
      <c r="V52" s="283"/>
      <c r="W52" s="283"/>
      <c r="X52" s="283"/>
      <c r="Y52" s="284"/>
      <c r="Z52" s="278"/>
      <c r="AA52" s="281"/>
      <c r="AB52" s="281"/>
      <c r="AC52" s="285"/>
      <c r="AD52" s="281"/>
      <c r="AE52" s="1185"/>
      <c r="AF52" s="1185"/>
      <c r="AG52" s="1185"/>
      <c r="AH52" s="1185"/>
      <c r="AI52" s="1185"/>
      <c r="AK52" s="1204"/>
    </row>
    <row r="53" spans="1:37">
      <c r="A53" s="1184" t="s">
        <v>355</v>
      </c>
      <c r="C53" s="1202">
        <f>3634+252</f>
        <v>3886</v>
      </c>
      <c r="D53" s="265">
        <v>19.25</v>
      </c>
      <c r="F53" s="1203">
        <f>ROUND(D53*$C53,0)</f>
        <v>74806</v>
      </c>
      <c r="G53" s="265">
        <v>20.23</v>
      </c>
      <c r="I53" s="1203">
        <f t="shared" si="4"/>
        <v>78613.78</v>
      </c>
      <c r="J53" s="265">
        <f>$J$17</f>
        <v>17.73</v>
      </c>
      <c r="L53" s="1203">
        <f>ROUND(J53*$C53,0)</f>
        <v>68899</v>
      </c>
      <c r="N53" s="1185"/>
      <c r="O53" s="1185"/>
      <c r="P53" s="281"/>
      <c r="Q53" s="1186"/>
      <c r="R53" s="1186"/>
      <c r="S53" s="1185"/>
      <c r="T53" s="1185"/>
      <c r="U53" s="287"/>
      <c r="V53" s="287"/>
      <c r="W53" s="287"/>
      <c r="X53" s="287"/>
      <c r="Y53" s="278"/>
      <c r="Z53" s="278"/>
      <c r="AA53" s="281"/>
      <c r="AB53" s="281"/>
      <c r="AC53" s="285"/>
      <c r="AD53" s="281"/>
      <c r="AE53" s="1185"/>
      <c r="AF53" s="1185"/>
      <c r="AG53" s="1185"/>
      <c r="AH53" s="1185"/>
      <c r="AI53" s="1185"/>
      <c r="AK53" s="1204"/>
    </row>
    <row r="54" spans="1:37">
      <c r="A54" s="1184" t="s">
        <v>356</v>
      </c>
      <c r="C54" s="1202">
        <f>502+48</f>
        <v>550</v>
      </c>
      <c r="D54" s="265">
        <v>39.840000000000003</v>
      </c>
      <c r="F54" s="1203">
        <f>ROUND(D54*$C54,0)</f>
        <v>21912</v>
      </c>
      <c r="G54" s="265">
        <v>41.86</v>
      </c>
      <c r="I54" s="1203">
        <f t="shared" si="4"/>
        <v>23023</v>
      </c>
      <c r="J54" s="265">
        <f>$J$18</f>
        <v>36.69</v>
      </c>
      <c r="L54" s="1203">
        <f>ROUND(J54*$C54,0)</f>
        <v>20180</v>
      </c>
      <c r="N54" s="1185"/>
      <c r="O54" s="1185"/>
      <c r="P54" s="281"/>
      <c r="Q54" s="1186"/>
      <c r="R54" s="1186"/>
      <c r="S54" s="1185"/>
      <c r="T54" s="1185"/>
      <c r="U54" s="287"/>
      <c r="V54" s="287"/>
      <c r="W54" s="287"/>
      <c r="X54" s="287"/>
      <c r="Y54" s="278"/>
      <c r="Z54" s="278"/>
      <c r="AA54" s="281"/>
      <c r="AB54" s="281"/>
      <c r="AC54" s="285"/>
      <c r="AD54" s="281"/>
      <c r="AE54" s="1185"/>
      <c r="AF54" s="1185"/>
      <c r="AG54" s="1185"/>
      <c r="AH54" s="1185"/>
      <c r="AI54" s="1185"/>
      <c r="AK54" s="1204"/>
    </row>
    <row r="55" spans="1:37">
      <c r="A55" s="1184" t="s">
        <v>357</v>
      </c>
      <c r="C55" s="1202"/>
      <c r="D55" s="265"/>
      <c r="F55" s="1203"/>
      <c r="G55" s="265"/>
      <c r="I55" s="1203"/>
      <c r="J55" s="265"/>
      <c r="L55" s="1203"/>
      <c r="N55" s="1185"/>
      <c r="O55" s="1185"/>
      <c r="P55" s="281"/>
      <c r="Q55" s="1186"/>
      <c r="R55" s="1186"/>
      <c r="S55" s="1185"/>
      <c r="T55" s="1185"/>
      <c r="U55" s="287"/>
      <c r="V55" s="287"/>
      <c r="W55" s="287"/>
      <c r="X55" s="287"/>
      <c r="Y55" s="278"/>
      <c r="Z55" s="278"/>
      <c r="AA55" s="281"/>
      <c r="AB55" s="281"/>
      <c r="AC55" s="285"/>
      <c r="AD55" s="281"/>
      <c r="AE55" s="1185"/>
      <c r="AF55" s="1185"/>
      <c r="AG55" s="1185"/>
      <c r="AH55" s="1185"/>
      <c r="AI55" s="1185"/>
      <c r="AK55" s="1204"/>
    </row>
    <row r="56" spans="1:37">
      <c r="A56" s="1184" t="s">
        <v>358</v>
      </c>
      <c r="C56" s="1202">
        <f>1092+12</f>
        <v>1104</v>
      </c>
      <c r="D56" s="265">
        <v>11.51</v>
      </c>
      <c r="F56" s="1203">
        <f>ROUND(D56*$C56,0)</f>
        <v>12707</v>
      </c>
      <c r="G56" s="265">
        <v>12.09</v>
      </c>
      <c r="I56" s="1203">
        <f t="shared" ref="I56:I59" si="5">G56*C56</f>
        <v>13347.36</v>
      </c>
      <c r="J56" s="265">
        <f>$J$20</f>
        <v>10.6</v>
      </c>
      <c r="L56" s="1203">
        <f>ROUND(J56*$C56,0)</f>
        <v>11702</v>
      </c>
      <c r="N56" s="1185"/>
      <c r="O56" s="1185"/>
      <c r="P56" s="281"/>
      <c r="Q56" s="1186"/>
      <c r="R56" s="1186"/>
      <c r="S56" s="1185"/>
      <c r="T56" s="1185"/>
      <c r="U56" s="287"/>
      <c r="V56" s="287"/>
      <c r="W56" s="287"/>
      <c r="X56" s="287"/>
      <c r="Y56" s="278"/>
      <c r="Z56" s="278"/>
      <c r="AA56" s="281"/>
      <c r="AB56" s="281"/>
      <c r="AC56" s="285"/>
      <c r="AD56" s="281"/>
      <c r="AE56" s="1185"/>
      <c r="AF56" s="1185"/>
      <c r="AG56" s="1185"/>
      <c r="AH56" s="1185"/>
      <c r="AI56" s="1185"/>
      <c r="AK56" s="1204"/>
    </row>
    <row r="57" spans="1:37">
      <c r="A57" s="1184" t="s">
        <v>359</v>
      </c>
      <c r="C57" s="1202">
        <f>1452</f>
        <v>1452</v>
      </c>
      <c r="D57" s="265">
        <v>16.900000000000002</v>
      </c>
      <c r="F57" s="1203">
        <f>ROUND(D57*$C57,0)</f>
        <v>24539</v>
      </c>
      <c r="G57" s="265">
        <v>17.760000000000002</v>
      </c>
      <c r="I57" s="1203">
        <f t="shared" si="5"/>
        <v>25787.520000000004</v>
      </c>
      <c r="J57" s="265">
        <f>$J$21</f>
        <v>15.57</v>
      </c>
      <c r="L57" s="1203">
        <f>ROUND(J57*$C57,0)</f>
        <v>22608</v>
      </c>
      <c r="N57" s="1185"/>
      <c r="O57" s="1185"/>
      <c r="P57" s="281"/>
      <c r="Q57" s="1186"/>
      <c r="R57" s="1186"/>
      <c r="S57" s="1185"/>
      <c r="T57" s="1185"/>
      <c r="U57" s="287"/>
      <c r="V57" s="287"/>
      <c r="W57" s="287"/>
      <c r="X57" s="287"/>
      <c r="Y57" s="278"/>
      <c r="Z57" s="278"/>
      <c r="AA57" s="281"/>
      <c r="AB57" s="281"/>
      <c r="AC57" s="285"/>
      <c r="AD57" s="281"/>
      <c r="AE57" s="1185"/>
      <c r="AF57" s="1185"/>
      <c r="AG57" s="1185"/>
      <c r="AH57" s="1185"/>
      <c r="AI57" s="1185"/>
      <c r="AK57" s="1204"/>
    </row>
    <row r="58" spans="1:37">
      <c r="A58" s="1184" t="s">
        <v>360</v>
      </c>
      <c r="C58" s="1202">
        <f>420</f>
        <v>420</v>
      </c>
      <c r="D58" s="265">
        <v>27.26</v>
      </c>
      <c r="F58" s="1203">
        <f>ROUND(D58*$C58,0)</f>
        <v>11449</v>
      </c>
      <c r="G58" s="265">
        <v>28.64</v>
      </c>
      <c r="I58" s="1203">
        <f t="shared" si="5"/>
        <v>12028.800000000001</v>
      </c>
      <c r="J58" s="265">
        <f>$J$22</f>
        <v>25.1</v>
      </c>
      <c r="L58" s="1203">
        <f>ROUND(J58*$C58,0)</f>
        <v>10542</v>
      </c>
      <c r="N58" s="1185"/>
      <c r="O58" s="1185"/>
      <c r="P58" s="281"/>
      <c r="Q58" s="1186"/>
      <c r="R58" s="1186"/>
      <c r="S58" s="1185"/>
      <c r="T58" s="1185"/>
      <c r="U58" s="287"/>
      <c r="V58" s="287"/>
      <c r="W58" s="287"/>
      <c r="X58" s="287"/>
      <c r="Y58" s="278"/>
      <c r="Z58" s="278"/>
      <c r="AA58" s="281"/>
      <c r="AB58" s="281"/>
      <c r="AC58" s="285"/>
      <c r="AD58" s="281"/>
      <c r="AE58" s="1185"/>
      <c r="AF58" s="1185"/>
      <c r="AG58" s="1185"/>
      <c r="AH58" s="1185"/>
      <c r="AI58" s="1185"/>
      <c r="AK58" s="1204"/>
    </row>
    <row r="59" spans="1:37">
      <c r="A59" s="1184" t="s">
        <v>361</v>
      </c>
      <c r="C59" s="1202">
        <f>60+252+60</f>
        <v>372</v>
      </c>
      <c r="D59" s="265">
        <v>1</v>
      </c>
      <c r="E59" s="1185"/>
      <c r="F59" s="1210">
        <f>ROUND(D59*$C59,0)</f>
        <v>372</v>
      </c>
      <c r="G59" s="265">
        <v>1</v>
      </c>
      <c r="H59" s="1185"/>
      <c r="I59" s="1203">
        <f t="shared" si="5"/>
        <v>372</v>
      </c>
      <c r="J59" s="269">
        <f>$J$23</f>
        <v>1</v>
      </c>
      <c r="K59" s="1185"/>
      <c r="L59" s="1210">
        <f>ROUND(J59*$C59,0)</f>
        <v>372</v>
      </c>
      <c r="N59" s="278"/>
      <c r="O59" s="278"/>
      <c r="P59" s="281"/>
      <c r="Q59" s="1186"/>
      <c r="R59" s="1186"/>
      <c r="S59" s="1185"/>
      <c r="T59" s="1185"/>
      <c r="U59" s="278"/>
      <c r="V59" s="278"/>
      <c r="W59" s="278"/>
      <c r="X59" s="278"/>
      <c r="Y59" s="278"/>
      <c r="Z59" s="278"/>
      <c r="AA59" s="281"/>
      <c r="AB59" s="281"/>
      <c r="AC59" s="281"/>
      <c r="AD59" s="281"/>
      <c r="AE59" s="1185"/>
      <c r="AF59" s="1185"/>
      <c r="AG59" s="1185"/>
      <c r="AH59" s="1185"/>
      <c r="AI59" s="1185"/>
      <c r="AK59" s="1204"/>
    </row>
    <row r="60" spans="1:37">
      <c r="A60" s="1005" t="s">
        <v>912</v>
      </c>
      <c r="C60" s="1202">
        <f>C62</f>
        <v>2233418</v>
      </c>
      <c r="D60" s="269"/>
      <c r="E60" s="1185"/>
      <c r="F60" s="1203"/>
      <c r="G60" s="269"/>
      <c r="H60" s="1185"/>
      <c r="I60" s="1203"/>
      <c r="J60" s="1230">
        <f>J24</f>
        <v>2.2869999999999999</v>
      </c>
      <c r="K60" s="1219" t="s">
        <v>374</v>
      </c>
      <c r="L60" s="1203">
        <f>J60*C60/100</f>
        <v>51078.269659999998</v>
      </c>
      <c r="N60" s="1204"/>
      <c r="P60" s="815"/>
      <c r="Q60" s="1184"/>
      <c r="R60" s="1184"/>
      <c r="S60" s="1205"/>
      <c r="T60" s="1205"/>
      <c r="Y60" s="1185"/>
      <c r="Z60" s="1185"/>
      <c r="AA60" s="1185"/>
      <c r="AB60" s="1185"/>
      <c r="AC60" s="1185"/>
      <c r="AD60" s="1185"/>
      <c r="AE60" s="1185"/>
      <c r="AF60" s="1185"/>
      <c r="AG60" s="1185"/>
      <c r="AH60" s="1185"/>
      <c r="AI60" s="1185"/>
      <c r="AK60" s="1204"/>
    </row>
    <row r="61" spans="1:37">
      <c r="A61" s="1184" t="s">
        <v>362</v>
      </c>
      <c r="C61" s="1202">
        <f>10262+6261</f>
        <v>16523</v>
      </c>
      <c r="D61" s="265"/>
      <c r="F61" s="1203"/>
      <c r="G61" s="265"/>
      <c r="I61" s="1203"/>
      <c r="J61" s="265"/>
      <c r="L61" s="1203"/>
      <c r="N61" s="278"/>
      <c r="O61" s="278"/>
      <c r="P61" s="278"/>
      <c r="Q61" s="278"/>
      <c r="R61" s="278"/>
      <c r="S61" s="278"/>
      <c r="T61" s="278"/>
      <c r="U61" s="278"/>
      <c r="V61" s="278"/>
      <c r="W61" s="278"/>
      <c r="X61" s="278"/>
      <c r="Y61" s="278"/>
      <c r="Z61" s="278"/>
      <c r="AA61" s="288"/>
      <c r="AB61" s="278"/>
      <c r="AC61" s="278"/>
      <c r="AD61" s="278"/>
      <c r="AE61" s="1185"/>
      <c r="AF61" s="1185"/>
      <c r="AG61" s="1185"/>
      <c r="AH61" s="1185"/>
      <c r="AI61" s="1185"/>
      <c r="AK61" s="1204"/>
    </row>
    <row r="62" spans="1:37">
      <c r="A62" s="1184" t="s">
        <v>35</v>
      </c>
      <c r="C62" s="1202">
        <f>1643386+590032</f>
        <v>2233418</v>
      </c>
      <c r="D62" s="269"/>
      <c r="E62" s="1185"/>
      <c r="F62" s="1210">
        <f>SUM(F52:F59)</f>
        <v>292950</v>
      </c>
      <c r="G62" s="269"/>
      <c r="H62" s="1185"/>
      <c r="I62" s="1210">
        <f>SUM(I52:I59)</f>
        <v>307753.92000000004</v>
      </c>
      <c r="J62" s="269"/>
      <c r="K62" s="1185"/>
      <c r="L62" s="1210">
        <f>SUM(L52:L60)</f>
        <v>320912.26965999999</v>
      </c>
      <c r="N62" s="278"/>
      <c r="O62" s="278"/>
      <c r="P62" s="287"/>
      <c r="Q62" s="278"/>
      <c r="R62" s="278"/>
      <c r="S62" s="1185"/>
      <c r="T62" s="1185"/>
      <c r="U62" s="1185"/>
      <c r="V62" s="1185"/>
      <c r="W62" s="1185"/>
      <c r="X62" s="1185"/>
      <c r="Y62" s="1185"/>
      <c r="Z62" s="278"/>
      <c r="AA62" s="278"/>
      <c r="AB62" s="278"/>
      <c r="AC62" s="278"/>
      <c r="AD62" s="278"/>
      <c r="AE62" s="1185"/>
      <c r="AF62" s="1185"/>
      <c r="AG62" s="1185"/>
      <c r="AH62" s="1185"/>
      <c r="AI62" s="1185"/>
      <c r="AK62" s="1204"/>
    </row>
    <row r="63" spans="1:37">
      <c r="A63" s="1184" t="s">
        <v>363</v>
      </c>
      <c r="C63" s="1202">
        <f>'[94]Table 2'!H52</f>
        <v>-5758.1427362705708</v>
      </c>
      <c r="D63" s="269"/>
      <c r="E63" s="1185"/>
      <c r="F63" s="1210" t="e">
        <f>#REF!</f>
        <v>#REF!</v>
      </c>
      <c r="G63" s="269"/>
      <c r="H63" s="1185"/>
      <c r="I63" s="1210">
        <f>'[94]Table 3'!E52</f>
        <v>-910.80858255895487</v>
      </c>
      <c r="J63" s="269"/>
      <c r="K63" s="1185"/>
      <c r="L63" s="1210">
        <f>I63</f>
        <v>-910.80858255895487</v>
      </c>
      <c r="N63" s="444"/>
      <c r="O63" s="444"/>
      <c r="P63" s="287"/>
      <c r="Q63" s="278"/>
      <c r="R63" s="278"/>
      <c r="S63" s="278"/>
      <c r="T63" s="278"/>
      <c r="U63" s="283"/>
      <c r="V63" s="283"/>
      <c r="W63" s="283"/>
      <c r="X63" s="283"/>
      <c r="Y63" s="281"/>
      <c r="Z63" s="278"/>
      <c r="AA63" s="278"/>
      <c r="AB63" s="278"/>
      <c r="AC63" s="278"/>
      <c r="AD63" s="278"/>
      <c r="AE63" s="1185"/>
      <c r="AF63" s="1185"/>
      <c r="AG63" s="1185"/>
      <c r="AH63" s="1185"/>
      <c r="AI63" s="1185"/>
      <c r="AK63" s="1204"/>
    </row>
    <row r="64" spans="1:37" ht="16.5" thickBot="1">
      <c r="A64" s="1184" t="s">
        <v>9</v>
      </c>
      <c r="C64" s="1212">
        <f>C62+C63</f>
        <v>2227659.8572637294</v>
      </c>
      <c r="D64" s="1213"/>
      <c r="E64" s="1213"/>
      <c r="F64" s="1213" t="e">
        <f>F62+F63</f>
        <v>#REF!</v>
      </c>
      <c r="G64" s="1214"/>
      <c r="H64" s="1213"/>
      <c r="I64" s="1213">
        <f>I62+I63</f>
        <v>306843.11141744111</v>
      </c>
      <c r="J64" s="1214"/>
      <c r="K64" s="1213"/>
      <c r="L64" s="1213">
        <f>L62+L63</f>
        <v>320001.46107744105</v>
      </c>
      <c r="N64" s="411"/>
      <c r="O64" s="411"/>
      <c r="P64" s="470"/>
      <c r="Q64" s="278"/>
      <c r="R64" s="278"/>
      <c r="S64" s="278"/>
      <c r="T64" s="278"/>
      <c r="U64" s="278"/>
      <c r="V64" s="278"/>
      <c r="W64" s="278"/>
      <c r="X64" s="278"/>
      <c r="Y64" s="278"/>
      <c r="Z64" s="278"/>
      <c r="AA64" s="278"/>
      <c r="AB64" s="278"/>
      <c r="AC64" s="278"/>
      <c r="AD64" s="278"/>
      <c r="AE64" s="1185"/>
      <c r="AF64" s="1185"/>
      <c r="AG64" s="1185"/>
      <c r="AH64" s="1185"/>
      <c r="AI64" s="1185"/>
      <c r="AK64" s="1204"/>
    </row>
    <row r="65" spans="1:37" ht="16.5" thickTop="1">
      <c r="C65" s="1217"/>
      <c r="D65" s="1217"/>
      <c r="E65" s="1217"/>
      <c r="F65" s="1201"/>
      <c r="G65" s="1218" t="s">
        <v>31</v>
      </c>
      <c r="H65" s="1217"/>
      <c r="I65" s="1201"/>
      <c r="J65" s="1219" t="s">
        <v>31</v>
      </c>
      <c r="K65" s="1217"/>
      <c r="L65" s="1203" t="s">
        <v>31</v>
      </c>
      <c r="N65" s="1185"/>
      <c r="O65" s="1185"/>
      <c r="P65" s="1186"/>
      <c r="Q65" s="1186"/>
      <c r="R65" s="1186"/>
      <c r="S65" s="1185"/>
      <c r="T65" s="1185"/>
      <c r="U65" s="1185"/>
      <c r="V65" s="1185"/>
      <c r="W65" s="1185"/>
      <c r="X65" s="1185"/>
      <c r="Y65" s="1185"/>
      <c r="Z65" s="1185"/>
      <c r="AA65" s="1185"/>
      <c r="AB65" s="1185"/>
      <c r="AC65" s="1185"/>
      <c r="AD65" s="1185"/>
      <c r="AE65" s="1185"/>
      <c r="AF65" s="1185"/>
      <c r="AG65" s="1185"/>
      <c r="AH65" s="1185"/>
      <c r="AI65" s="1185"/>
      <c r="AK65" s="1204"/>
    </row>
    <row r="66" spans="1:37">
      <c r="A66" s="1200" t="s">
        <v>351</v>
      </c>
      <c r="F66" s="1201"/>
      <c r="I66" s="1201"/>
      <c r="N66" s="1185"/>
      <c r="O66" s="1185"/>
      <c r="P66" s="1186"/>
      <c r="Q66" s="1186"/>
      <c r="R66" s="1186"/>
      <c r="S66" s="1185"/>
      <c r="T66" s="1185"/>
      <c r="U66" s="1185"/>
      <c r="V66" s="1185"/>
      <c r="W66" s="1185"/>
      <c r="X66" s="1185"/>
      <c r="Y66" s="1185"/>
      <c r="Z66" s="1185"/>
      <c r="AA66" s="1185"/>
      <c r="AB66" s="1185"/>
      <c r="AC66" s="1185"/>
      <c r="AD66" s="1185"/>
      <c r="AE66" s="1185"/>
      <c r="AF66" s="1185"/>
      <c r="AG66" s="1185"/>
      <c r="AH66" s="1185"/>
      <c r="AI66" s="1185"/>
      <c r="AK66" s="1204"/>
    </row>
    <row r="67" spans="1:37">
      <c r="A67" s="1184" t="s">
        <v>367</v>
      </c>
      <c r="F67" s="1201"/>
      <c r="I67" s="1201"/>
      <c r="N67" s="278"/>
      <c r="O67" s="278"/>
      <c r="P67" s="278"/>
      <c r="Q67" s="278"/>
      <c r="R67" s="278"/>
      <c r="S67" s="278"/>
      <c r="T67" s="278"/>
      <c r="U67" s="278"/>
      <c r="V67" s="278"/>
      <c r="W67" s="278"/>
      <c r="X67" s="278"/>
      <c r="Y67" s="278"/>
      <c r="Z67" s="278"/>
      <c r="AA67" s="278"/>
      <c r="AB67" s="278"/>
      <c r="AC67" s="278"/>
      <c r="AD67" s="278"/>
      <c r="AE67" s="1185"/>
      <c r="AF67" s="1185"/>
      <c r="AG67" s="1185"/>
      <c r="AH67" s="1185"/>
      <c r="AI67" s="1185"/>
      <c r="AK67" s="1204"/>
    </row>
    <row r="68" spans="1:37">
      <c r="F68" s="1201"/>
      <c r="I68" s="1201"/>
      <c r="N68" s="278"/>
      <c r="O68" s="278"/>
      <c r="P68" s="278"/>
      <c r="Q68" s="278"/>
      <c r="R68" s="278"/>
      <c r="S68" s="278"/>
      <c r="T68" s="278"/>
      <c r="U68" s="278"/>
      <c r="V68" s="278"/>
      <c r="W68" s="278"/>
      <c r="X68" s="278"/>
      <c r="Y68" s="278"/>
      <c r="Z68" s="278"/>
      <c r="AA68" s="278"/>
      <c r="AB68" s="278"/>
      <c r="AC68" s="278"/>
      <c r="AD68" s="278"/>
      <c r="AE68" s="1185"/>
      <c r="AF68" s="1185"/>
      <c r="AG68" s="1185"/>
      <c r="AH68" s="1185"/>
      <c r="AI68" s="1185"/>
      <c r="AK68" s="1204"/>
    </row>
    <row r="69" spans="1:37">
      <c r="A69" s="1184" t="s">
        <v>353</v>
      </c>
      <c r="F69" s="1201"/>
      <c r="I69" s="1201"/>
      <c r="N69" s="278"/>
      <c r="O69" s="278"/>
      <c r="P69" s="278"/>
      <c r="Q69" s="1186"/>
      <c r="R69" s="1186"/>
      <c r="S69" s="279"/>
      <c r="T69" s="279"/>
      <c r="U69" s="280"/>
      <c r="V69" s="280"/>
      <c r="W69" s="280"/>
      <c r="X69" s="280"/>
      <c r="Y69" s="281"/>
      <c r="Z69" s="282"/>
      <c r="AA69" s="278"/>
      <c r="AB69" s="278"/>
      <c r="AC69" s="278"/>
      <c r="AD69" s="278"/>
      <c r="AE69" s="1185"/>
      <c r="AF69" s="1185"/>
      <c r="AG69" s="1185"/>
      <c r="AH69" s="1185"/>
      <c r="AI69" s="1185"/>
      <c r="AK69" s="1204"/>
    </row>
    <row r="70" spans="1:37">
      <c r="A70" s="1184" t="s">
        <v>354</v>
      </c>
      <c r="C70" s="1202">
        <f>504+132</f>
        <v>636</v>
      </c>
      <c r="D70" s="265">
        <v>10.119999999999999</v>
      </c>
      <c r="F70" s="1203">
        <f>ROUND(D70*$C70,0)</f>
        <v>6436</v>
      </c>
      <c r="G70" s="265">
        <v>10.63</v>
      </c>
      <c r="I70" s="1203">
        <f t="shared" ref="I70:I72" si="6">G70*C70</f>
        <v>6760.68</v>
      </c>
      <c r="J70" s="265">
        <f>$J$16</f>
        <v>9.32</v>
      </c>
      <c r="L70" s="1203">
        <f>ROUND(J70*$C70,0)</f>
        <v>5928</v>
      </c>
      <c r="N70" s="1185"/>
      <c r="O70" s="1185"/>
      <c r="P70" s="281"/>
      <c r="Q70" s="1186"/>
      <c r="R70" s="1186"/>
      <c r="S70" s="278"/>
      <c r="T70" s="278"/>
      <c r="U70" s="283"/>
      <c r="V70" s="283"/>
      <c r="W70" s="283"/>
      <c r="X70" s="283"/>
      <c r="Y70" s="284"/>
      <c r="Z70" s="278"/>
      <c r="AA70" s="281"/>
      <c r="AB70" s="281"/>
      <c r="AC70" s="285"/>
      <c r="AD70" s="281"/>
      <c r="AE70" s="1185"/>
      <c r="AF70" s="1185"/>
      <c r="AG70" s="1185"/>
      <c r="AH70" s="1185"/>
      <c r="AI70" s="1185"/>
      <c r="AK70" s="1204"/>
    </row>
    <row r="71" spans="1:37">
      <c r="A71" s="1184" t="s">
        <v>355</v>
      </c>
      <c r="C71" s="1202">
        <f>410</f>
        <v>410</v>
      </c>
      <c r="D71" s="265">
        <v>19.25</v>
      </c>
      <c r="F71" s="1203">
        <f>ROUND(D71*$C71,0)</f>
        <v>7893</v>
      </c>
      <c r="G71" s="265">
        <v>20.23</v>
      </c>
      <c r="I71" s="1203">
        <f t="shared" si="6"/>
        <v>8294.2999999999993</v>
      </c>
      <c r="J71" s="265">
        <f>$J$17</f>
        <v>17.73</v>
      </c>
      <c r="L71" s="1203">
        <f>ROUND(J71*$C71,0)</f>
        <v>7269</v>
      </c>
      <c r="N71" s="1185"/>
      <c r="O71" s="1185"/>
      <c r="P71" s="281"/>
      <c r="Q71" s="1186"/>
      <c r="R71" s="1186"/>
      <c r="S71" s="1185"/>
      <c r="T71" s="1185"/>
      <c r="U71" s="287"/>
      <c r="V71" s="287"/>
      <c r="W71" s="287"/>
      <c r="X71" s="287"/>
      <c r="Y71" s="278"/>
      <c r="Z71" s="278"/>
      <c r="AA71" s="281"/>
      <c r="AB71" s="281"/>
      <c r="AC71" s="285"/>
      <c r="AD71" s="281"/>
      <c r="AE71" s="1185"/>
      <c r="AF71" s="1185"/>
      <c r="AG71" s="1185"/>
      <c r="AH71" s="1185"/>
      <c r="AI71" s="1185"/>
      <c r="AK71" s="1204"/>
    </row>
    <row r="72" spans="1:37">
      <c r="A72" s="1184" t="s">
        <v>356</v>
      </c>
      <c r="C72" s="1202">
        <f>48</f>
        <v>48</v>
      </c>
      <c r="D72" s="265">
        <v>39.840000000000003</v>
      </c>
      <c r="F72" s="1203">
        <f>ROUND(D72*$C72,0)</f>
        <v>1912</v>
      </c>
      <c r="G72" s="265">
        <v>41.86</v>
      </c>
      <c r="I72" s="1203">
        <f t="shared" si="6"/>
        <v>2009.28</v>
      </c>
      <c r="J72" s="265">
        <f>$J$18</f>
        <v>36.69</v>
      </c>
      <c r="L72" s="1203">
        <f>ROUND(J72*$C72,0)</f>
        <v>1761</v>
      </c>
      <c r="N72" s="1185"/>
      <c r="O72" s="1185"/>
      <c r="P72" s="281"/>
      <c r="Q72" s="1186"/>
      <c r="R72" s="1186"/>
      <c r="S72" s="1185"/>
      <c r="T72" s="1185"/>
      <c r="U72" s="287"/>
      <c r="V72" s="287"/>
      <c r="W72" s="287"/>
      <c r="X72" s="287"/>
      <c r="Y72" s="278"/>
      <c r="Z72" s="278"/>
      <c r="AA72" s="281"/>
      <c r="AB72" s="281"/>
      <c r="AC72" s="285"/>
      <c r="AD72" s="281"/>
      <c r="AE72" s="1185"/>
      <c r="AF72" s="1185"/>
      <c r="AG72" s="1185"/>
      <c r="AH72" s="1185"/>
      <c r="AI72" s="1185"/>
      <c r="AK72" s="1204"/>
    </row>
    <row r="73" spans="1:37">
      <c r="A73" s="1184" t="s">
        <v>357</v>
      </c>
      <c r="C73" s="1202"/>
      <c r="D73" s="265"/>
      <c r="F73" s="1203"/>
      <c r="G73" s="265"/>
      <c r="I73" s="1203"/>
      <c r="J73" s="265"/>
      <c r="L73" s="1203"/>
      <c r="N73" s="1185"/>
      <c r="O73" s="1185"/>
      <c r="P73" s="281"/>
      <c r="Q73" s="1186"/>
      <c r="R73" s="1186"/>
      <c r="S73" s="1185"/>
      <c r="T73" s="1185"/>
      <c r="U73" s="287"/>
      <c r="V73" s="287"/>
      <c r="W73" s="287"/>
      <c r="X73" s="287"/>
      <c r="Y73" s="278"/>
      <c r="Z73" s="278"/>
      <c r="AA73" s="281"/>
      <c r="AB73" s="281"/>
      <c r="AC73" s="285"/>
      <c r="AD73" s="281"/>
      <c r="AE73" s="1185"/>
      <c r="AF73" s="1185"/>
      <c r="AG73" s="1185"/>
      <c r="AH73" s="1185"/>
      <c r="AI73" s="1185"/>
      <c r="AK73" s="1204"/>
    </row>
    <row r="74" spans="1:37">
      <c r="A74" s="1184" t="s">
        <v>358</v>
      </c>
      <c r="C74" s="1202">
        <f>12</f>
        <v>12</v>
      </c>
      <c r="D74" s="265">
        <v>11.51</v>
      </c>
      <c r="F74" s="1203">
        <f>ROUND(D74*$C74,0)</f>
        <v>138</v>
      </c>
      <c r="G74" s="265">
        <v>12.09</v>
      </c>
      <c r="I74" s="1203">
        <f t="shared" ref="I74:I77" si="7">G74*C74</f>
        <v>145.07999999999998</v>
      </c>
      <c r="J74" s="265">
        <f>$J$20</f>
        <v>10.6</v>
      </c>
      <c r="L74" s="1203">
        <f>ROUND(J74*$C74,0)</f>
        <v>127</v>
      </c>
      <c r="N74" s="1185"/>
      <c r="O74" s="1185"/>
      <c r="P74" s="281"/>
      <c r="Q74" s="1186"/>
      <c r="R74" s="1186"/>
      <c r="S74" s="1185"/>
      <c r="T74" s="1185"/>
      <c r="U74" s="287"/>
      <c r="V74" s="287"/>
      <c r="W74" s="287"/>
      <c r="X74" s="287"/>
      <c r="Y74" s="278"/>
      <c r="Z74" s="278"/>
      <c r="AA74" s="281"/>
      <c r="AB74" s="281"/>
      <c r="AC74" s="285"/>
      <c r="AD74" s="281"/>
      <c r="AE74" s="1185"/>
      <c r="AF74" s="1185"/>
      <c r="AG74" s="1185"/>
      <c r="AH74" s="1185"/>
      <c r="AI74" s="1185"/>
      <c r="AK74" s="1204"/>
    </row>
    <row r="75" spans="1:37">
      <c r="A75" s="1184" t="s">
        <v>359</v>
      </c>
      <c r="C75" s="1202">
        <f>96</f>
        <v>96</v>
      </c>
      <c r="D75" s="265">
        <v>16.900000000000002</v>
      </c>
      <c r="F75" s="1203">
        <f>ROUND(D75*$C75,0)</f>
        <v>1622</v>
      </c>
      <c r="G75" s="265">
        <v>17.760000000000002</v>
      </c>
      <c r="I75" s="1203">
        <f t="shared" si="7"/>
        <v>1704.96</v>
      </c>
      <c r="J75" s="265">
        <f>$J$21</f>
        <v>15.57</v>
      </c>
      <c r="L75" s="1203">
        <f>ROUND(J75*$C75,0)</f>
        <v>1495</v>
      </c>
      <c r="N75" s="1185"/>
      <c r="O75" s="1185"/>
      <c r="P75" s="281"/>
      <c r="Q75" s="1186"/>
      <c r="R75" s="1186"/>
      <c r="S75" s="1185"/>
      <c r="T75" s="1185"/>
      <c r="U75" s="287"/>
      <c r="V75" s="287"/>
      <c r="W75" s="287"/>
      <c r="X75" s="287"/>
      <c r="Y75" s="278"/>
      <c r="Z75" s="278"/>
      <c r="AA75" s="281"/>
      <c r="AB75" s="281"/>
      <c r="AC75" s="285"/>
      <c r="AD75" s="281"/>
      <c r="AE75" s="1185"/>
      <c r="AF75" s="1185"/>
      <c r="AG75" s="1185"/>
      <c r="AH75" s="1185"/>
      <c r="AI75" s="1185"/>
      <c r="AK75" s="1204"/>
    </row>
    <row r="76" spans="1:37">
      <c r="A76" s="1184" t="s">
        <v>360</v>
      </c>
      <c r="C76" s="1202">
        <f>24</f>
        <v>24</v>
      </c>
      <c r="D76" s="265">
        <v>27.26</v>
      </c>
      <c r="F76" s="1203">
        <f>ROUND(D76*$C76,0)</f>
        <v>654</v>
      </c>
      <c r="G76" s="265">
        <v>28.64</v>
      </c>
      <c r="I76" s="1203">
        <f t="shared" si="7"/>
        <v>687.36</v>
      </c>
      <c r="J76" s="265">
        <f>$J$22</f>
        <v>25.1</v>
      </c>
      <c r="L76" s="1203">
        <f>ROUND(J76*$C76,0)</f>
        <v>602</v>
      </c>
      <c r="N76" s="1185"/>
      <c r="O76" s="1185"/>
      <c r="P76" s="281"/>
      <c r="Q76" s="1186"/>
      <c r="R76" s="1186"/>
      <c r="S76" s="1185"/>
      <c r="T76" s="1185"/>
      <c r="U76" s="287"/>
      <c r="V76" s="287"/>
      <c r="W76" s="287"/>
      <c r="X76" s="287"/>
      <c r="Y76" s="278"/>
      <c r="Z76" s="278"/>
      <c r="AA76" s="281"/>
      <c r="AB76" s="281"/>
      <c r="AC76" s="285"/>
      <c r="AD76" s="281"/>
      <c r="AE76" s="1185"/>
      <c r="AF76" s="1185"/>
      <c r="AG76" s="1185"/>
      <c r="AH76" s="1185"/>
      <c r="AI76" s="1185"/>
      <c r="AK76" s="1204"/>
    </row>
    <row r="77" spans="1:37">
      <c r="A77" s="1184" t="s">
        <v>361</v>
      </c>
      <c r="C77" s="1202">
        <f>132</f>
        <v>132</v>
      </c>
      <c r="D77" s="265">
        <v>1</v>
      </c>
      <c r="E77" s="1185"/>
      <c r="F77" s="1210">
        <f>ROUND(D77*$C77,0)</f>
        <v>132</v>
      </c>
      <c r="G77" s="265">
        <v>1</v>
      </c>
      <c r="H77" s="1185"/>
      <c r="I77" s="1203">
        <f t="shared" si="7"/>
        <v>132</v>
      </c>
      <c r="J77" s="269">
        <f>$J$23</f>
        <v>1</v>
      </c>
      <c r="K77" s="1185"/>
      <c r="L77" s="1210">
        <f>ROUND(J77*$C77,0)</f>
        <v>132</v>
      </c>
      <c r="N77" s="278"/>
      <c r="O77" s="278"/>
      <c r="P77" s="281"/>
      <c r="Q77" s="1186"/>
      <c r="R77" s="1186"/>
      <c r="S77" s="1185"/>
      <c r="T77" s="1185"/>
      <c r="U77" s="278"/>
      <c r="V77" s="278"/>
      <c r="W77" s="278"/>
      <c r="X77" s="278"/>
      <c r="Y77" s="278"/>
      <c r="Z77" s="278"/>
      <c r="AA77" s="281"/>
      <c r="AB77" s="281"/>
      <c r="AC77" s="281"/>
      <c r="AD77" s="281"/>
      <c r="AE77" s="1185"/>
      <c r="AF77" s="1185"/>
      <c r="AG77" s="1185"/>
      <c r="AH77" s="1185"/>
      <c r="AI77" s="1185"/>
      <c r="AK77" s="1204"/>
    </row>
    <row r="78" spans="1:37">
      <c r="A78" s="1005" t="s">
        <v>912</v>
      </c>
      <c r="C78" s="1202">
        <f>C80</f>
        <v>150052</v>
      </c>
      <c r="D78" s="269"/>
      <c r="E78" s="1185"/>
      <c r="F78" s="1203"/>
      <c r="G78" s="269"/>
      <c r="H78" s="1185"/>
      <c r="I78" s="1203"/>
      <c r="J78" s="1230">
        <f>J24</f>
        <v>2.2869999999999999</v>
      </c>
      <c r="K78" s="1219" t="s">
        <v>374</v>
      </c>
      <c r="L78" s="1203">
        <f>J78*C78/100</f>
        <v>3431.6892400000002</v>
      </c>
      <c r="N78" s="1204"/>
      <c r="P78" s="815"/>
      <c r="Q78" s="1184"/>
      <c r="R78" s="1184"/>
      <c r="S78" s="1205"/>
      <c r="T78" s="1205"/>
      <c r="Y78" s="1185"/>
      <c r="Z78" s="1185"/>
      <c r="AA78" s="1185"/>
      <c r="AB78" s="1185"/>
      <c r="AC78" s="1185"/>
      <c r="AD78" s="1185"/>
      <c r="AE78" s="1185"/>
      <c r="AF78" s="1185"/>
      <c r="AG78" s="1185"/>
      <c r="AH78" s="1185"/>
      <c r="AI78" s="1185"/>
      <c r="AK78" s="1204"/>
    </row>
    <row r="79" spans="1:37">
      <c r="A79" s="1184" t="s">
        <v>362</v>
      </c>
      <c r="C79" s="1202">
        <f>505+192</f>
        <v>697</v>
      </c>
      <c r="D79" s="265"/>
      <c r="F79" s="1203"/>
      <c r="G79" s="265"/>
      <c r="I79" s="1203"/>
      <c r="J79" s="265"/>
      <c r="L79" s="1203"/>
      <c r="N79" s="278"/>
      <c r="O79" s="278"/>
      <c r="P79" s="278"/>
      <c r="Q79" s="278"/>
      <c r="R79" s="278"/>
      <c r="S79" s="278"/>
      <c r="T79" s="278"/>
      <c r="U79" s="278"/>
      <c r="V79" s="278"/>
      <c r="W79" s="278"/>
      <c r="X79" s="278"/>
      <c r="Y79" s="278"/>
      <c r="Z79" s="278"/>
      <c r="AA79" s="288"/>
      <c r="AB79" s="278"/>
      <c r="AC79" s="278"/>
      <c r="AD79" s="278"/>
      <c r="AE79" s="1185"/>
      <c r="AF79" s="1185"/>
      <c r="AG79" s="1185"/>
      <c r="AH79" s="1185"/>
      <c r="AI79" s="1185"/>
      <c r="AK79" s="1204"/>
    </row>
    <row r="80" spans="1:37">
      <c r="A80" s="1184" t="s">
        <v>35</v>
      </c>
      <c r="C80" s="1202">
        <f>120664+29388</f>
        <v>150052</v>
      </c>
      <c r="D80" s="269"/>
      <c r="E80" s="1185"/>
      <c r="F80" s="1210">
        <f>SUM(F70:F77)</f>
        <v>18787</v>
      </c>
      <c r="G80" s="269"/>
      <c r="H80" s="1185"/>
      <c r="I80" s="1210">
        <f>SUM(I70:I77)</f>
        <v>19733.66</v>
      </c>
      <c r="J80" s="269"/>
      <c r="K80" s="1185"/>
      <c r="L80" s="1210">
        <f>SUM(L70:L78)</f>
        <v>20745.68924</v>
      </c>
      <c r="N80" s="278"/>
      <c r="O80" s="278"/>
      <c r="P80" s="287"/>
      <c r="Q80" s="278"/>
      <c r="R80" s="278"/>
      <c r="S80" s="1185"/>
      <c r="T80" s="1185"/>
      <c r="U80" s="1185"/>
      <c r="V80" s="1185"/>
      <c r="W80" s="1185"/>
      <c r="X80" s="1185"/>
      <c r="Y80" s="1185"/>
      <c r="Z80" s="278"/>
      <c r="AA80" s="278"/>
      <c r="AB80" s="278"/>
      <c r="AC80" s="278"/>
      <c r="AD80" s="278"/>
      <c r="AE80" s="1185"/>
      <c r="AF80" s="1185"/>
      <c r="AG80" s="1185"/>
      <c r="AH80" s="1185"/>
      <c r="AI80" s="1185"/>
      <c r="AK80" s="1204"/>
    </row>
    <row r="81" spans="1:37">
      <c r="A81" s="1184" t="s">
        <v>363</v>
      </c>
      <c r="C81" s="1202">
        <f>'[94]Table 2'!H84</f>
        <v>2058.6634390073832</v>
      </c>
      <c r="D81" s="269"/>
      <c r="E81" s="1185"/>
      <c r="F81" s="1210" t="e">
        <f>#REF!</f>
        <v>#REF!</v>
      </c>
      <c r="G81" s="269"/>
      <c r="H81" s="1185"/>
      <c r="I81" s="1210">
        <f>'[94]Table 3'!E84</f>
        <v>323.44323111926008</v>
      </c>
      <c r="J81" s="269"/>
      <c r="K81" s="1185"/>
      <c r="L81" s="1210">
        <f>I81</f>
        <v>323.44323111926008</v>
      </c>
      <c r="N81" s="444"/>
      <c r="O81" s="444"/>
      <c r="P81" s="287"/>
      <c r="Q81" s="278"/>
      <c r="R81" s="278"/>
      <c r="S81" s="278"/>
      <c r="T81" s="278"/>
      <c r="U81" s="283"/>
      <c r="V81" s="283"/>
      <c r="W81" s="283"/>
      <c r="X81" s="283"/>
      <c r="Y81" s="281"/>
      <c r="Z81" s="278"/>
      <c r="AA81" s="278"/>
      <c r="AB81" s="278"/>
      <c r="AC81" s="278"/>
      <c r="AD81" s="278"/>
      <c r="AE81" s="1185"/>
      <c r="AF81" s="1185"/>
      <c r="AG81" s="1185"/>
      <c r="AH81" s="1185"/>
      <c r="AI81" s="1185"/>
      <c r="AK81" s="1204"/>
    </row>
    <row r="82" spans="1:37" ht="16.5" thickBot="1">
      <c r="A82" s="1184" t="s">
        <v>9</v>
      </c>
      <c r="C82" s="1212">
        <f>C80+C81</f>
        <v>152110.66343900739</v>
      </c>
      <c r="D82" s="1213"/>
      <c r="E82" s="1213"/>
      <c r="F82" s="1213" t="e">
        <f>F80+F81</f>
        <v>#REF!</v>
      </c>
      <c r="G82" s="1214"/>
      <c r="H82" s="1213"/>
      <c r="I82" s="1213">
        <f>I80+I81</f>
        <v>20057.103231119261</v>
      </c>
      <c r="J82" s="1214"/>
      <c r="K82" s="1213"/>
      <c r="L82" s="1213">
        <f>L80+L81</f>
        <v>21069.132471119261</v>
      </c>
      <c r="N82" s="411"/>
      <c r="O82" s="411"/>
      <c r="P82" s="470"/>
      <c r="Q82" s="278"/>
      <c r="R82" s="278"/>
      <c r="S82" s="278"/>
      <c r="T82" s="278"/>
      <c r="U82" s="278"/>
      <c r="V82" s="278"/>
      <c r="W82" s="278"/>
      <c r="X82" s="278"/>
      <c r="Y82" s="278"/>
      <c r="Z82" s="278"/>
      <c r="AA82" s="278"/>
      <c r="AB82" s="278"/>
      <c r="AC82" s="278"/>
      <c r="AD82" s="278"/>
      <c r="AE82" s="1185"/>
      <c r="AF82" s="1185"/>
      <c r="AG82" s="1185"/>
      <c r="AH82" s="1185"/>
      <c r="AI82" s="1185"/>
      <c r="AK82" s="1204"/>
    </row>
    <row r="83" spans="1:37" ht="16.5" thickTop="1">
      <c r="C83" s="1217"/>
      <c r="D83" s="1217"/>
      <c r="E83" s="1217"/>
      <c r="F83" s="1201"/>
      <c r="G83" s="1218" t="s">
        <v>31</v>
      </c>
      <c r="H83" s="1217"/>
      <c r="I83" s="1201"/>
      <c r="J83" s="1219" t="s">
        <v>31</v>
      </c>
      <c r="K83" s="1217"/>
      <c r="L83" s="1203" t="s">
        <v>31</v>
      </c>
      <c r="N83" s="1185"/>
      <c r="O83" s="1185"/>
      <c r="P83" s="1186"/>
      <c r="Q83" s="1186"/>
      <c r="R83" s="1186"/>
      <c r="S83" s="1185"/>
      <c r="T83" s="1185"/>
      <c r="U83" s="1185"/>
      <c r="V83" s="1185"/>
      <c r="W83" s="1185"/>
      <c r="X83" s="1185"/>
      <c r="Y83" s="1185"/>
      <c r="Z83" s="1185"/>
      <c r="AA83" s="1185"/>
      <c r="AB83" s="1185"/>
      <c r="AC83" s="1185"/>
      <c r="AD83" s="1185"/>
      <c r="AE83" s="1185"/>
      <c r="AF83" s="1185"/>
      <c r="AG83" s="1185"/>
      <c r="AH83" s="1185"/>
      <c r="AI83" s="1185"/>
      <c r="AK83" s="1204"/>
    </row>
    <row r="84" spans="1:37">
      <c r="A84" s="1224" t="s">
        <v>368</v>
      </c>
      <c r="B84" s="1219"/>
      <c r="C84" s="1219"/>
      <c r="D84" s="1225"/>
      <c r="E84" s="1225"/>
      <c r="F84" s="1219"/>
      <c r="G84" s="1225"/>
      <c r="H84" s="1219"/>
      <c r="I84" s="1219"/>
      <c r="J84" s="1225"/>
      <c r="K84" s="1219"/>
      <c r="L84" s="1219"/>
      <c r="N84" s="1185"/>
      <c r="O84" s="1185"/>
      <c r="P84" s="1186"/>
      <c r="Q84" s="1186"/>
      <c r="R84" s="1186"/>
      <c r="S84" s="1185"/>
      <c r="T84" s="1185"/>
      <c r="U84" s="1185"/>
      <c r="V84" s="1185"/>
      <c r="W84" s="1185"/>
      <c r="X84" s="1185"/>
      <c r="Y84" s="1185"/>
      <c r="Z84" s="1185"/>
      <c r="AA84" s="1185"/>
      <c r="AB84" s="1185"/>
      <c r="AC84" s="1185"/>
      <c r="AD84" s="1185"/>
      <c r="AE84" s="1185"/>
      <c r="AF84" s="1185"/>
      <c r="AG84" s="1185"/>
      <c r="AH84" s="1185"/>
      <c r="AI84" s="1185"/>
      <c r="AK84" s="1204"/>
    </row>
    <row r="85" spans="1:37">
      <c r="A85" s="1219" t="s">
        <v>369</v>
      </c>
      <c r="B85" s="1219"/>
      <c r="C85" s="1219"/>
      <c r="D85" s="1225"/>
      <c r="E85" s="1225"/>
      <c r="F85" s="1219"/>
      <c r="G85" s="1225"/>
      <c r="H85" s="1219"/>
      <c r="I85" s="1219"/>
      <c r="J85" s="1225"/>
      <c r="K85" s="1219"/>
      <c r="L85" s="1219"/>
      <c r="N85" s="1226"/>
      <c r="O85" s="1226"/>
      <c r="P85" s="1186"/>
      <c r="Q85" s="1186"/>
      <c r="R85" s="1186"/>
      <c r="S85" s="1185"/>
      <c r="T85" s="1185"/>
      <c r="U85" s="1185"/>
      <c r="V85" s="1185"/>
      <c r="W85" s="1185"/>
      <c r="X85" s="1185"/>
      <c r="Y85" s="1185"/>
      <c r="Z85" s="1185"/>
      <c r="AA85" s="1185"/>
      <c r="AB85" s="1185"/>
      <c r="AC85" s="1185"/>
      <c r="AD85" s="1185"/>
      <c r="AE85" s="1185"/>
      <c r="AF85" s="1185"/>
      <c r="AG85" s="1185"/>
      <c r="AH85" s="1185"/>
      <c r="AI85" s="1185"/>
      <c r="AK85" s="1204"/>
    </row>
    <row r="86" spans="1:37">
      <c r="A86" s="1227"/>
      <c r="B86" s="1219"/>
      <c r="C86" s="1219"/>
      <c r="D86" s="1225"/>
      <c r="E86" s="1225"/>
      <c r="F86" s="1219"/>
      <c r="G86" s="1225"/>
      <c r="H86" s="1219"/>
      <c r="I86" s="1219"/>
      <c r="J86" s="1225"/>
      <c r="K86" s="1219"/>
      <c r="L86" s="1219"/>
      <c r="N86" s="1185"/>
      <c r="O86" s="1185"/>
      <c r="P86" s="1186"/>
      <c r="Q86" s="1228" t="s">
        <v>643</v>
      </c>
      <c r="R86" s="1228"/>
      <c r="S86" s="1185"/>
      <c r="T86" s="1185"/>
      <c r="U86" s="1185"/>
      <c r="V86" s="1185"/>
      <c r="W86" s="1185"/>
      <c r="X86" s="1185"/>
      <c r="Y86" s="1185"/>
      <c r="Z86" s="1185"/>
      <c r="AA86" s="1185"/>
      <c r="AB86" s="1185"/>
      <c r="AC86" s="1185"/>
      <c r="AD86" s="1185"/>
      <c r="AE86" s="1185"/>
      <c r="AF86" s="1185"/>
      <c r="AG86" s="1185"/>
      <c r="AH86" s="1185"/>
      <c r="AI86" s="1185"/>
      <c r="AK86" s="1204"/>
    </row>
    <row r="87" spans="1:37">
      <c r="A87" s="1219" t="s">
        <v>370</v>
      </c>
      <c r="B87" s="1219"/>
      <c r="C87" s="1225">
        <f t="shared" ref="C87:C92" si="8">C104+C119+C134+C149</f>
        <v>1251563.7333333334</v>
      </c>
      <c r="D87" s="1229">
        <v>6</v>
      </c>
      <c r="E87" s="1219"/>
      <c r="F87" s="1203">
        <f t="shared" ref="F87:F92" si="9">F104+F119+F134+F149</f>
        <v>7509382</v>
      </c>
      <c r="G87" s="1229">
        <v>6</v>
      </c>
      <c r="H87" s="1219"/>
      <c r="I87" s="1203">
        <f t="shared" ref="I87:I92" si="10">I104+I119+I134+I149</f>
        <v>7509382</v>
      </c>
      <c r="J87" s="1229">
        <v>10</v>
      </c>
      <c r="K87" s="1219"/>
      <c r="L87" s="1203">
        <f t="shared" ref="L87:L94" si="11">L104+L119+L134+L149</f>
        <v>12515637</v>
      </c>
      <c r="N87" s="1204" t="e">
        <f>J87*#REF!</f>
        <v>#REF!</v>
      </c>
      <c r="Q87" s="55">
        <f t="shared" ref="Q87:Q92" si="12">(J87-G87)/G87</f>
        <v>0.66666666666666663</v>
      </c>
      <c r="R87" s="801"/>
      <c r="S87" s="736" t="s">
        <v>31</v>
      </c>
      <c r="AD87" s="1185"/>
      <c r="AE87" s="1185"/>
      <c r="AF87" s="1185"/>
      <c r="AG87" s="1185"/>
      <c r="AH87" s="1185"/>
      <c r="AI87" s="1185"/>
      <c r="AK87" s="1204"/>
    </row>
    <row r="88" spans="1:37">
      <c r="A88" s="1219" t="s">
        <v>373</v>
      </c>
      <c r="B88" s="1219"/>
      <c r="C88" s="1225">
        <f t="shared" si="8"/>
        <v>686427244.71970081</v>
      </c>
      <c r="D88" s="1230">
        <v>5.1929999999999996</v>
      </c>
      <c r="E88" s="1219" t="s">
        <v>374</v>
      </c>
      <c r="F88" s="1203">
        <f t="shared" si="9"/>
        <v>35646167</v>
      </c>
      <c r="G88" s="1230">
        <v>5.9489999999999998</v>
      </c>
      <c r="H88" s="1219" t="s">
        <v>374</v>
      </c>
      <c r="I88" s="1203">
        <f t="shared" si="10"/>
        <v>40835558</v>
      </c>
      <c r="J88" s="1230">
        <f>ROUND(G88*(1+$Q$100),2)-0.278</f>
        <v>3.7719999999999998</v>
      </c>
      <c r="K88" s="1219" t="s">
        <v>374</v>
      </c>
      <c r="L88" s="1203">
        <f t="shared" si="11"/>
        <v>25892035</v>
      </c>
      <c r="N88" s="1204" t="e">
        <f>(J88/100)*#REF!</f>
        <v>#REF!</v>
      </c>
      <c r="P88" s="1231" t="s">
        <v>31</v>
      </c>
      <c r="Q88" s="55">
        <f>(J88+J93-G88)/G88</f>
        <v>5.5303412338208062E-2</v>
      </c>
      <c r="R88" s="801"/>
      <c r="S88" s="801">
        <f>(G89-G88)/G88</f>
        <v>0.58278702302908036</v>
      </c>
      <c r="U88" s="801"/>
      <c r="W88" s="1204"/>
      <c r="X88" s="1204"/>
      <c r="Y88" s="801"/>
      <c r="AD88" s="1185"/>
      <c r="AE88" s="1185"/>
      <c r="AF88" s="1185"/>
      <c r="AG88" s="1185"/>
      <c r="AH88" s="1185"/>
      <c r="AI88" s="1185"/>
      <c r="AK88" s="1204"/>
    </row>
    <row r="89" spans="1:37">
      <c r="A89" s="1219" t="s">
        <v>375</v>
      </c>
      <c r="B89" s="1219"/>
      <c r="C89" s="1225">
        <f t="shared" si="8"/>
        <v>915483323.92636359</v>
      </c>
      <c r="D89" s="1230">
        <v>8.1929999999999996</v>
      </c>
      <c r="E89" s="1219" t="s">
        <v>374</v>
      </c>
      <c r="F89" s="1203">
        <f t="shared" si="9"/>
        <v>75005549</v>
      </c>
      <c r="G89" s="1230">
        <v>9.4159999999999986</v>
      </c>
      <c r="H89" s="1219" t="s">
        <v>374</v>
      </c>
      <c r="I89" s="1203">
        <f t="shared" si="10"/>
        <v>86201910</v>
      </c>
      <c r="J89" s="1230">
        <f>ROUND(G89*(1+$Q$100),2)+0.105</f>
        <v>6.5050000000000008</v>
      </c>
      <c r="K89" s="1219" t="s">
        <v>374</v>
      </c>
      <c r="L89" s="1203">
        <f t="shared" si="11"/>
        <v>59552191</v>
      </c>
      <c r="N89" s="1204" t="e">
        <f>(J89/100)*#REF!</f>
        <v>#REF!</v>
      </c>
      <c r="O89" s="1232"/>
      <c r="Q89" s="55">
        <f>(J89+J94-G89)/G89</f>
        <v>0.14974511469838594</v>
      </c>
      <c r="R89" s="801"/>
      <c r="S89" s="801">
        <f>(J89-J88)/J88</f>
        <v>0.72454931071049866</v>
      </c>
      <c r="U89" s="801"/>
      <c r="W89" s="977"/>
      <c r="X89" s="977"/>
      <c r="Y89" s="801"/>
      <c r="AD89" s="1185"/>
      <c r="AE89" s="1185"/>
      <c r="AF89" s="1185"/>
      <c r="AG89" s="1185"/>
      <c r="AH89" s="1185"/>
      <c r="AI89" s="1185"/>
      <c r="AK89" s="1204"/>
    </row>
    <row r="90" spans="1:37">
      <c r="A90" s="1219" t="s">
        <v>377</v>
      </c>
      <c r="B90" s="1219"/>
      <c r="C90" s="1225">
        <f t="shared" si="8"/>
        <v>5557</v>
      </c>
      <c r="D90" s="1229">
        <v>1.6</v>
      </c>
      <c r="E90" s="1219"/>
      <c r="F90" s="1203">
        <f t="shared" si="9"/>
        <v>8891</v>
      </c>
      <c r="G90" s="1229">
        <v>1.65</v>
      </c>
      <c r="H90" s="1219"/>
      <c r="I90" s="1203">
        <f t="shared" si="10"/>
        <v>9169</v>
      </c>
      <c r="J90" s="1229">
        <v>1.65</v>
      </c>
      <c r="K90" s="1219"/>
      <c r="L90" s="1203">
        <f t="shared" si="11"/>
        <v>9169</v>
      </c>
      <c r="N90" s="1204" t="e">
        <f>J90*#REF!</f>
        <v>#REF!</v>
      </c>
      <c r="Q90" s="55">
        <f t="shared" si="12"/>
        <v>0</v>
      </c>
      <c r="R90" s="801"/>
      <c r="S90" s="1190"/>
      <c r="W90" s="1204"/>
      <c r="X90" s="1204"/>
      <c r="Y90" s="801"/>
      <c r="AD90" s="1185"/>
      <c r="AE90" s="1185"/>
      <c r="AF90" s="1185"/>
      <c r="AG90" s="1185"/>
      <c r="AH90" s="1185"/>
      <c r="AI90" s="1185"/>
      <c r="AK90" s="1204"/>
    </row>
    <row r="91" spans="1:37">
      <c r="A91" s="1233" t="s">
        <v>379</v>
      </c>
      <c r="B91" s="1233"/>
      <c r="C91" s="1225">
        <f t="shared" si="8"/>
        <v>752</v>
      </c>
      <c r="D91" s="1229">
        <v>3.1</v>
      </c>
      <c r="E91" s="1233"/>
      <c r="F91" s="1203">
        <f t="shared" si="9"/>
        <v>2331</v>
      </c>
      <c r="G91" s="1229">
        <v>3.2</v>
      </c>
      <c r="H91" s="1233"/>
      <c r="I91" s="1203">
        <f t="shared" si="10"/>
        <v>2407</v>
      </c>
      <c r="J91" s="1229">
        <f>ROUND(J90/G90*G91,2)</f>
        <v>3.2</v>
      </c>
      <c r="K91" s="1233"/>
      <c r="L91" s="1203">
        <f t="shared" si="11"/>
        <v>2407</v>
      </c>
      <c r="N91" s="1204" t="e">
        <f>J91*#REF!</f>
        <v>#REF!</v>
      </c>
      <c r="Q91" s="55">
        <f t="shared" si="12"/>
        <v>0</v>
      </c>
      <c r="R91" s="801"/>
      <c r="S91" s="1190"/>
      <c r="AD91" s="1185"/>
      <c r="AE91" s="1185"/>
      <c r="AF91" s="1185"/>
      <c r="AG91" s="1185"/>
      <c r="AH91" s="1185"/>
      <c r="AI91" s="1185"/>
      <c r="AK91" s="1204"/>
    </row>
    <row r="92" spans="1:37">
      <c r="A92" s="1233" t="s">
        <v>380</v>
      </c>
      <c r="B92" s="1233"/>
      <c r="C92" s="1225">
        <f t="shared" si="8"/>
        <v>68</v>
      </c>
      <c r="D92" s="1234">
        <v>-1.6</v>
      </c>
      <c r="E92" s="1233"/>
      <c r="F92" s="1203">
        <f t="shared" si="9"/>
        <v>-109</v>
      </c>
      <c r="G92" s="1234">
        <v>-1.65</v>
      </c>
      <c r="H92" s="1233"/>
      <c r="I92" s="1203">
        <f t="shared" si="10"/>
        <v>-112</v>
      </c>
      <c r="J92" s="1234">
        <f>-J90</f>
        <v>-1.65</v>
      </c>
      <c r="K92" s="1233"/>
      <c r="L92" s="1203">
        <f t="shared" si="11"/>
        <v>-112</v>
      </c>
      <c r="N92" s="1204" t="e">
        <f>J92*#REF!</f>
        <v>#REF!</v>
      </c>
      <c r="Q92" s="55">
        <f t="shared" si="12"/>
        <v>0</v>
      </c>
      <c r="R92" s="801"/>
      <c r="S92" s="1190"/>
      <c r="AD92" s="1185"/>
      <c r="AE92" s="1185"/>
      <c r="AF92" s="1185"/>
      <c r="AG92" s="1185"/>
      <c r="AH92" s="1185"/>
      <c r="AI92" s="1185"/>
      <c r="AK92" s="1204"/>
    </row>
    <row r="93" spans="1:37">
      <c r="A93" s="1005" t="s">
        <v>914</v>
      </c>
      <c r="C93" s="1225">
        <f>C88</f>
        <v>686427244.71970081</v>
      </c>
      <c r="D93" s="269"/>
      <c r="E93" s="1185"/>
      <c r="F93" s="1203"/>
      <c r="G93" s="269"/>
      <c r="H93" s="1185"/>
      <c r="I93" s="1203"/>
      <c r="J93" s="1230">
        <f>ROUND((I88/($I$88+$I$89)*$O$93)/C93*100,3)-0.152</f>
        <v>2.5059999999999998</v>
      </c>
      <c r="K93" s="1219" t="s">
        <v>374</v>
      </c>
      <c r="L93" s="1203">
        <f t="shared" si="11"/>
        <v>17201866.752675697</v>
      </c>
      <c r="N93" s="1204"/>
      <c r="O93" s="1204">
        <f>'[94]NPC Spread'!D33</f>
        <v>56760761.517471984</v>
      </c>
      <c r="P93" s="815" t="s">
        <v>913</v>
      </c>
      <c r="Q93" s="1184"/>
      <c r="R93" s="1184"/>
      <c r="S93" s="1205"/>
      <c r="T93" s="1205"/>
      <c r="Y93" s="1185"/>
      <c r="Z93" s="1185"/>
      <c r="AA93" s="1185"/>
      <c r="AB93" s="1185"/>
      <c r="AC93" s="1185"/>
      <c r="AD93" s="1185"/>
      <c r="AE93" s="1185"/>
      <c r="AF93" s="1185"/>
      <c r="AG93" s="1185"/>
      <c r="AH93" s="1185"/>
      <c r="AI93" s="1185"/>
      <c r="AK93" s="1204"/>
    </row>
    <row r="94" spans="1:37">
      <c r="A94" s="1005" t="s">
        <v>915</v>
      </c>
      <c r="C94" s="1225">
        <f>C89</f>
        <v>915483323.92636359</v>
      </c>
      <c r="D94" s="269"/>
      <c r="E94" s="1185"/>
      <c r="F94" s="1203"/>
      <c r="G94" s="269"/>
      <c r="H94" s="1185"/>
      <c r="I94" s="1203"/>
      <c r="J94" s="1230">
        <f>ROUND((I89/($I$88+$I$89)*$O$93)/C94*100,3)+0.114</f>
        <v>4.3209999999999997</v>
      </c>
      <c r="K94" s="1219" t="s">
        <v>374</v>
      </c>
      <c r="L94" s="1203">
        <f t="shared" si="11"/>
        <v>39558034.426858172</v>
      </c>
      <c r="N94" s="1204"/>
      <c r="O94" s="1204"/>
      <c r="P94" s="815"/>
      <c r="Q94" s="1184"/>
      <c r="R94" s="1184"/>
      <c r="S94" s="801">
        <f>(J94-J93)/J93</f>
        <v>0.72426177174780526</v>
      </c>
      <c r="T94" s="1205"/>
      <c r="Y94" s="1185"/>
      <c r="Z94" s="1185"/>
      <c r="AA94" s="1185"/>
      <c r="AB94" s="1185"/>
      <c r="AC94" s="1185"/>
      <c r="AD94" s="1185"/>
      <c r="AE94" s="1185"/>
      <c r="AF94" s="1185"/>
      <c r="AG94" s="1185"/>
      <c r="AH94" s="1185"/>
      <c r="AI94" s="1185"/>
      <c r="AK94" s="1204"/>
    </row>
    <row r="95" spans="1:37">
      <c r="A95" s="1509" t="s">
        <v>916</v>
      </c>
      <c r="B95" s="1510"/>
      <c r="C95" s="1511"/>
      <c r="D95" s="1512"/>
      <c r="E95" s="1513"/>
      <c r="F95" s="1514"/>
      <c r="G95" s="1515">
        <f>G88</f>
        <v>5.9489999999999998</v>
      </c>
      <c r="H95" s="1516" t="s">
        <v>374</v>
      </c>
      <c r="I95" s="1514"/>
      <c r="J95" s="1515">
        <f>J88+J93</f>
        <v>6.2779999999999996</v>
      </c>
      <c r="K95" s="1516" t="s">
        <v>374</v>
      </c>
      <c r="L95" s="1514"/>
      <c r="N95" s="1204"/>
      <c r="O95" s="1204"/>
      <c r="P95" s="815"/>
      <c r="Q95" s="1184"/>
      <c r="R95" s="1184"/>
      <c r="S95" s="1205"/>
      <c r="T95" s="1205"/>
      <c r="Y95" s="1185"/>
      <c r="Z95" s="1185"/>
      <c r="AA95" s="1185"/>
      <c r="AB95" s="1185"/>
      <c r="AC95" s="1185"/>
      <c r="AD95" s="1185"/>
      <c r="AE95" s="1185"/>
      <c r="AF95" s="1185"/>
      <c r="AG95" s="1185"/>
      <c r="AH95" s="1185"/>
      <c r="AI95" s="1185"/>
      <c r="AK95" s="1204"/>
    </row>
    <row r="96" spans="1:37">
      <c r="A96" s="1509" t="s">
        <v>917</v>
      </c>
      <c r="B96" s="1510"/>
      <c r="C96" s="1511"/>
      <c r="D96" s="1512"/>
      <c r="E96" s="1513"/>
      <c r="F96" s="1514"/>
      <c r="G96" s="1515">
        <f>G89</f>
        <v>9.4159999999999986</v>
      </c>
      <c r="H96" s="1516" t="s">
        <v>374</v>
      </c>
      <c r="I96" s="1514"/>
      <c r="J96" s="1515">
        <f>J89+J94</f>
        <v>10.826000000000001</v>
      </c>
      <c r="K96" s="1516" t="s">
        <v>374</v>
      </c>
      <c r="L96" s="1514"/>
      <c r="N96" s="1204"/>
      <c r="O96" s="1204"/>
      <c r="P96" s="815"/>
      <c r="Q96" s="1184"/>
      <c r="R96" s="1184"/>
      <c r="S96" s="801">
        <f>(J96-J95)/J95</f>
        <v>0.72443453329085716</v>
      </c>
      <c r="T96" s="1205"/>
      <c r="Y96" s="1185"/>
      <c r="Z96" s="1185"/>
      <c r="AA96" s="1185"/>
      <c r="AB96" s="1185"/>
      <c r="AC96" s="1185"/>
      <c r="AD96" s="1185"/>
      <c r="AE96" s="1185"/>
      <c r="AF96" s="1185"/>
      <c r="AG96" s="1185"/>
      <c r="AH96" s="1185"/>
      <c r="AI96" s="1185"/>
      <c r="AK96" s="1204"/>
    </row>
    <row r="97" spans="1:37">
      <c r="A97" s="1219" t="s">
        <v>381</v>
      </c>
      <c r="B97" s="1235"/>
      <c r="C97" s="1225">
        <f>C112+C127+C142+C157</f>
        <v>1601910568.6460643</v>
      </c>
      <c r="D97" s="1236"/>
      <c r="E97" s="1203"/>
      <c r="F97" s="1203">
        <f>F112+F127+F142+F157</f>
        <v>118172211</v>
      </c>
      <c r="G97" s="1237"/>
      <c r="H97" s="1203"/>
      <c r="I97" s="1203">
        <f>I112+I127+I142+I157</f>
        <v>134558314</v>
      </c>
      <c r="J97" s="1203"/>
      <c r="K97" s="1203"/>
      <c r="L97" s="1203">
        <f t="shared" ref="L97" si="13">L112+L127+L142+L157</f>
        <v>154731228.17953384</v>
      </c>
      <c r="N97" s="1204" t="e">
        <f>SUM(N87:N92)</f>
        <v>#REF!</v>
      </c>
      <c r="P97" s="55"/>
      <c r="AD97" s="1185"/>
      <c r="AE97" s="1185"/>
      <c r="AF97" s="1185"/>
      <c r="AG97" s="1185"/>
      <c r="AH97" s="1185"/>
      <c r="AI97" s="1185"/>
      <c r="AK97" s="1204"/>
    </row>
    <row r="98" spans="1:37">
      <c r="A98" s="1219" t="s">
        <v>363</v>
      </c>
      <c r="B98" s="307"/>
      <c r="C98" s="1238">
        <f>C113+C128+C143+C158</f>
        <v>-102779.74541931186</v>
      </c>
      <c r="D98" s="1218"/>
      <c r="E98" s="1218"/>
      <c r="F98" s="1239" t="e">
        <f>F113+F128+F143+F158</f>
        <v>#REF!</v>
      </c>
      <c r="G98" s="1218"/>
      <c r="H98" s="1218"/>
      <c r="I98" s="1238">
        <f>I113+I128+I143+I158</f>
        <v>12973.103934514973</v>
      </c>
      <c r="J98" s="1218"/>
      <c r="K98" s="1218"/>
      <c r="L98" s="1239">
        <f>I98</f>
        <v>12973.103934514973</v>
      </c>
      <c r="AD98" s="1185"/>
      <c r="AE98" s="1185"/>
      <c r="AF98" s="1185"/>
      <c r="AG98" s="1185"/>
      <c r="AH98" s="1185"/>
      <c r="AI98" s="1185"/>
      <c r="AK98" s="1204"/>
    </row>
    <row r="99" spans="1:37" ht="16.5" thickBot="1">
      <c r="A99" s="1219" t="s">
        <v>382</v>
      </c>
      <c r="B99" s="1219"/>
      <c r="C99" s="1240">
        <f>C97+C98</f>
        <v>1601807788.900645</v>
      </c>
      <c r="D99" s="1214"/>
      <c r="E99" s="1214"/>
      <c r="F99" s="1214" t="e">
        <f>F97+F98</f>
        <v>#REF!</v>
      </c>
      <c r="G99" s="1214"/>
      <c r="H99" s="1214"/>
      <c r="I99" s="1214">
        <f>I97+I98</f>
        <v>134571287.10393453</v>
      </c>
      <c r="J99" s="1214"/>
      <c r="K99" s="1214"/>
      <c r="L99" s="1214">
        <f>L97+L98</f>
        <v>154744201.28346837</v>
      </c>
      <c r="O99" s="1215" t="s">
        <v>364</v>
      </c>
      <c r="P99" s="1241">
        <f>'[94]Rate Spread'!Q16*1000</f>
        <v>154743489.87979659</v>
      </c>
      <c r="Q99" s="818">
        <f>'[94]Rate Spread'!V16</f>
        <v>0.14989975358028876</v>
      </c>
      <c r="R99" s="777"/>
      <c r="S99" s="1005" t="s">
        <v>31</v>
      </c>
      <c r="T99" s="1005" t="s">
        <v>31</v>
      </c>
      <c r="AD99" s="1185"/>
      <c r="AE99" s="1185"/>
      <c r="AF99" s="1185"/>
      <c r="AG99" s="1185"/>
      <c r="AH99" s="1185"/>
      <c r="AI99" s="1185"/>
      <c r="AK99" s="1204"/>
    </row>
    <row r="100" spans="1:37" ht="16.5" thickTop="1">
      <c r="A100" s="1219"/>
      <c r="B100" s="1242"/>
      <c r="C100" s="1225"/>
      <c r="D100" s="1225"/>
      <c r="E100" s="1225"/>
      <c r="G100" s="1219" t="s">
        <v>31</v>
      </c>
      <c r="H100" s="1219"/>
      <c r="J100" s="1219" t="s">
        <v>31</v>
      </c>
      <c r="K100" s="1219"/>
      <c r="L100" s="1203" t="s">
        <v>31</v>
      </c>
      <c r="O100" s="1220" t="s">
        <v>263</v>
      </c>
      <c r="P100" s="812">
        <f>P99-L99</f>
        <v>-711.40367177128792</v>
      </c>
      <c r="Q100" s="1222">
        <v>-0.32</v>
      </c>
      <c r="R100" s="941"/>
      <c r="AD100" s="1185"/>
      <c r="AE100" s="1185"/>
      <c r="AF100" s="1185"/>
      <c r="AG100" s="1185"/>
      <c r="AH100" s="1185"/>
      <c r="AI100" s="1185"/>
      <c r="AK100" s="1204"/>
    </row>
    <row r="101" spans="1:37">
      <c r="A101" s="1224" t="s">
        <v>383</v>
      </c>
      <c r="B101" s="1219"/>
      <c r="C101" s="1219" t="s">
        <v>31</v>
      </c>
      <c r="D101" s="1225" t="s">
        <v>31</v>
      </c>
      <c r="E101" s="1225"/>
      <c r="F101" s="1219"/>
      <c r="G101" s="1225"/>
      <c r="H101" s="1219"/>
      <c r="I101" s="1219"/>
      <c r="J101" s="1225"/>
      <c r="K101" s="1219"/>
      <c r="L101" s="1219"/>
      <c r="N101" s="1185"/>
      <c r="O101" s="1185"/>
      <c r="P101" s="826"/>
      <c r="Q101" s="1186"/>
      <c r="R101" s="1186"/>
      <c r="S101" s="1185"/>
      <c r="T101" s="1185"/>
      <c r="U101" s="1185"/>
      <c r="V101" s="1185"/>
      <c r="W101" s="1185"/>
      <c r="X101" s="1185"/>
      <c r="Y101" s="1185"/>
      <c r="Z101" s="1185"/>
      <c r="AA101" s="1185"/>
      <c r="AB101" s="1185"/>
      <c r="AC101" s="1185"/>
      <c r="AD101" s="1185"/>
      <c r="AE101" s="1185"/>
      <c r="AF101" s="1185"/>
      <c r="AG101" s="1185"/>
      <c r="AH101" s="1185"/>
      <c r="AI101" s="1185"/>
      <c r="AK101" s="1204"/>
    </row>
    <row r="102" spans="1:37">
      <c r="A102" s="1219" t="s">
        <v>330</v>
      </c>
      <c r="B102" s="1219"/>
      <c r="C102" s="1219" t="s">
        <v>31</v>
      </c>
      <c r="D102" s="1225"/>
      <c r="E102" s="1225"/>
      <c r="F102" s="1219"/>
      <c r="G102" s="1225"/>
      <c r="H102" s="1219"/>
      <c r="I102" s="1219"/>
      <c r="J102" s="1225"/>
      <c r="K102" s="1219"/>
      <c r="L102" s="1219"/>
      <c r="N102" s="1185"/>
      <c r="O102" s="1185"/>
      <c r="P102" s="1186"/>
      <c r="Q102" s="1186"/>
      <c r="R102" s="1186"/>
      <c r="S102" s="1185"/>
      <c r="T102" s="1185"/>
      <c r="U102" s="1185"/>
      <c r="V102" s="1185"/>
      <c r="W102" s="1185"/>
      <c r="X102" s="1185"/>
      <c r="Y102" s="1185"/>
      <c r="Z102" s="1185"/>
      <c r="AA102" s="1185"/>
      <c r="AB102" s="1185"/>
      <c r="AC102" s="1185"/>
      <c r="AD102" s="1185"/>
      <c r="AE102" s="1185"/>
      <c r="AF102" s="1185"/>
      <c r="AG102" s="1185"/>
      <c r="AH102" s="1185"/>
      <c r="AI102" s="1185"/>
      <c r="AK102" s="1204"/>
    </row>
    <row r="103" spans="1:37">
      <c r="A103" s="1243" t="s">
        <v>693</v>
      </c>
      <c r="B103" s="1219"/>
      <c r="C103" s="1219"/>
      <c r="D103" s="1225"/>
      <c r="E103" s="1225"/>
      <c r="F103" s="1219"/>
      <c r="G103" s="1225"/>
      <c r="H103" s="1219"/>
      <c r="I103" s="1219"/>
      <c r="J103" s="1225"/>
      <c r="K103" s="1219"/>
      <c r="L103" s="1219"/>
      <c r="N103" s="1185"/>
      <c r="O103" s="1185"/>
      <c r="P103" s="1186"/>
      <c r="Q103" s="1186"/>
      <c r="R103" s="1186"/>
      <c r="S103" s="1065" t="s">
        <v>31</v>
      </c>
      <c r="T103" s="1185"/>
      <c r="U103" s="1185"/>
      <c r="V103" s="1185"/>
      <c r="W103" s="1185"/>
      <c r="X103" s="1185"/>
      <c r="Y103" s="1185"/>
      <c r="Z103" s="1185"/>
      <c r="AA103" s="1185"/>
      <c r="AB103" s="1185"/>
      <c r="AC103" s="1185"/>
      <c r="AD103" s="1185"/>
      <c r="AE103" s="1185"/>
      <c r="AF103" s="1185"/>
      <c r="AG103" s="1185"/>
      <c r="AH103" s="1185"/>
      <c r="AI103" s="1185"/>
      <c r="AK103" s="1204"/>
    </row>
    <row r="104" spans="1:37">
      <c r="A104" s="1219" t="s">
        <v>370</v>
      </c>
      <c r="B104" s="1219"/>
      <c r="C104" s="1225">
        <f>1200879+2+446</f>
        <v>1201327</v>
      </c>
      <c r="D104" s="1229">
        <v>6</v>
      </c>
      <c r="E104" s="1219"/>
      <c r="F104" s="1203">
        <f>ROUND(D104*$C104,0)</f>
        <v>7207962</v>
      </c>
      <c r="G104" s="1229">
        <v>6</v>
      </c>
      <c r="H104" s="1219"/>
      <c r="I104" s="1203">
        <f>ROUND(G104*C104,0)</f>
        <v>7207962</v>
      </c>
      <c r="J104" s="1229">
        <f>$J$87</f>
        <v>10</v>
      </c>
      <c r="K104" s="1219"/>
      <c r="L104" s="1203">
        <f>ROUND(J104*$C104,0)</f>
        <v>12013270</v>
      </c>
      <c r="N104" s="1185"/>
      <c r="O104" s="1185"/>
      <c r="P104" s="1186"/>
      <c r="Q104" s="1186"/>
      <c r="R104" s="1186"/>
      <c r="S104" s="1185"/>
      <c r="T104" s="1185"/>
      <c r="U104" s="1185"/>
      <c r="V104" s="1185"/>
      <c r="W104" s="1185"/>
      <c r="X104" s="1185"/>
      <c r="Y104" s="1185"/>
      <c r="Z104" s="1185"/>
      <c r="AA104" s="1185"/>
      <c r="AB104" s="1185"/>
      <c r="AC104" s="1185"/>
      <c r="AD104" s="1185"/>
      <c r="AE104" s="1185"/>
      <c r="AF104" s="1185"/>
      <c r="AG104" s="1185"/>
      <c r="AH104" s="1185"/>
      <c r="AI104" s="1185"/>
      <c r="AK104" s="1204"/>
    </row>
    <row r="105" spans="1:37">
      <c r="A105" s="1219" t="s">
        <v>373</v>
      </c>
      <c r="B105" s="1219"/>
      <c r="C105" s="1225">
        <f>658941587+302+170643+[94]Temperature!C22*1000</f>
        <v>657951885.40579605</v>
      </c>
      <c r="D105" s="1230">
        <v>5.1929999999999996</v>
      </c>
      <c r="E105" s="1219" t="s">
        <v>374</v>
      </c>
      <c r="F105" s="1203">
        <f>ROUND(D105*$C105/100,0)</f>
        <v>34167441</v>
      </c>
      <c r="G105" s="1230">
        <v>5.9489999999999998</v>
      </c>
      <c r="H105" s="1219" t="s">
        <v>374</v>
      </c>
      <c r="I105" s="1203">
        <f>ROUND(C105*G105/100,0)</f>
        <v>39141558</v>
      </c>
      <c r="J105" s="1230">
        <f>$J$88</f>
        <v>3.7719999999999998</v>
      </c>
      <c r="K105" s="1219" t="s">
        <v>374</v>
      </c>
      <c r="L105" s="1203">
        <f>ROUND(J105*$C105/100,0)</f>
        <v>24817945</v>
      </c>
      <c r="N105" s="1185"/>
      <c r="O105" s="1185"/>
      <c r="P105" s="1186"/>
      <c r="Q105" s="1186"/>
      <c r="R105" s="1186"/>
      <c r="S105" s="1185"/>
      <c r="T105" s="1185"/>
      <c r="U105" s="1185"/>
      <c r="V105" s="1185"/>
      <c r="W105" s="1185"/>
      <c r="X105" s="1185"/>
      <c r="Y105" s="1185"/>
      <c r="Z105" s="1185"/>
      <c r="AA105" s="1185"/>
      <c r="AB105" s="1185"/>
      <c r="AC105" s="1185"/>
      <c r="AD105" s="1185"/>
      <c r="AE105" s="1185"/>
      <c r="AF105" s="1185"/>
      <c r="AG105" s="1185"/>
      <c r="AH105" s="1185"/>
      <c r="AI105" s="1185"/>
      <c r="AK105" s="1204"/>
    </row>
    <row r="106" spans="1:37">
      <c r="A106" s="1219" t="s">
        <v>375</v>
      </c>
      <c r="B106" s="1225"/>
      <c r="C106" s="1225">
        <f>1538177431+302+633914-C105+[94]Temperature!B22*1000</f>
        <v>878150032.35905731</v>
      </c>
      <c r="D106" s="1230">
        <v>8.1929999999999996</v>
      </c>
      <c r="E106" s="1219" t="s">
        <v>374</v>
      </c>
      <c r="F106" s="1203">
        <f>ROUND(D106*$C106/100,0)</f>
        <v>71946832</v>
      </c>
      <c r="G106" s="1230">
        <v>9.4159999999999986</v>
      </c>
      <c r="H106" s="1219" t="s">
        <v>374</v>
      </c>
      <c r="I106" s="1203">
        <f>ROUND(C106*G106/100,0)</f>
        <v>82686607</v>
      </c>
      <c r="J106" s="1230">
        <f>$J$89</f>
        <v>6.5050000000000008</v>
      </c>
      <c r="K106" s="1219" t="s">
        <v>374</v>
      </c>
      <c r="L106" s="1203">
        <f>ROUND(J106*$C106/100,0)</f>
        <v>57123660</v>
      </c>
      <c r="N106" s="1185"/>
      <c r="O106" s="1185"/>
      <c r="P106" s="1186"/>
      <c r="Q106" s="1186"/>
      <c r="R106" s="1186"/>
      <c r="S106" s="1185"/>
      <c r="T106" s="1185"/>
      <c r="U106" s="1185"/>
      <c r="V106" s="1185"/>
      <c r="W106" s="1185"/>
      <c r="X106" s="1185"/>
      <c r="Y106" s="1185"/>
      <c r="Z106" s="1185"/>
      <c r="AA106" s="1185"/>
      <c r="AB106" s="1185"/>
      <c r="AC106" s="1185"/>
      <c r="AD106" s="1185"/>
      <c r="AE106" s="1185"/>
      <c r="AF106" s="1185"/>
      <c r="AG106" s="1185"/>
      <c r="AH106" s="1185"/>
      <c r="AI106" s="1185"/>
      <c r="AK106" s="1204"/>
    </row>
    <row r="107" spans="1:37">
      <c r="A107" s="1219" t="s">
        <v>377</v>
      </c>
      <c r="B107" s="1219"/>
      <c r="C107" s="1225">
        <v>0</v>
      </c>
      <c r="D107" s="1229">
        <v>1.6</v>
      </c>
      <c r="E107" s="1219"/>
      <c r="F107" s="1203">
        <f>ROUND(D107*$C107,0)</f>
        <v>0</v>
      </c>
      <c r="G107" s="1229">
        <v>1.65</v>
      </c>
      <c r="H107" s="1219"/>
      <c r="I107" s="1203">
        <v>0</v>
      </c>
      <c r="J107" s="1229">
        <f>$J$90</f>
        <v>1.65</v>
      </c>
      <c r="K107" s="1219"/>
      <c r="L107" s="1203">
        <f>ROUND(J107*$C107,0)</f>
        <v>0</v>
      </c>
      <c r="N107" s="1185"/>
      <c r="O107" s="1185"/>
      <c r="P107" s="1186"/>
      <c r="Q107" s="1186"/>
      <c r="R107" s="1186"/>
      <c r="S107" s="1185"/>
      <c r="T107" s="1185"/>
      <c r="U107" s="1185"/>
      <c r="V107" s="1185"/>
      <c r="W107" s="1185"/>
      <c r="X107" s="1185"/>
      <c r="Y107" s="1185"/>
      <c r="Z107" s="1185"/>
      <c r="AA107" s="1185"/>
      <c r="AB107" s="1185"/>
      <c r="AC107" s="1185"/>
      <c r="AD107" s="1185"/>
      <c r="AE107" s="1185"/>
      <c r="AF107" s="1185"/>
      <c r="AG107" s="1185"/>
      <c r="AH107" s="1185"/>
      <c r="AI107" s="1185"/>
      <c r="AK107" s="1204"/>
    </row>
    <row r="108" spans="1:37">
      <c r="A108" s="1233" t="s">
        <v>379</v>
      </c>
      <c r="B108" s="1233"/>
      <c r="C108" s="1225">
        <v>0</v>
      </c>
      <c r="D108" s="1229">
        <v>3.1</v>
      </c>
      <c r="E108" s="1233"/>
      <c r="F108" s="1203">
        <f>ROUND(D108*$C108,0)</f>
        <v>0</v>
      </c>
      <c r="G108" s="1229">
        <v>3.2</v>
      </c>
      <c r="H108" s="1233"/>
      <c r="I108" s="1203">
        <v>0</v>
      </c>
      <c r="J108" s="1229">
        <f>$J$91</f>
        <v>3.2</v>
      </c>
      <c r="K108" s="1233"/>
      <c r="L108" s="1203">
        <f>ROUND(J108*$C108,0)</f>
        <v>0</v>
      </c>
      <c r="N108" s="1185"/>
      <c r="O108" s="1185"/>
      <c r="P108" s="1186"/>
      <c r="Q108" s="1186"/>
      <c r="R108" s="1186"/>
      <c r="S108" s="1185"/>
      <c r="T108" s="1185"/>
      <c r="U108" s="1185"/>
      <c r="V108" s="1185"/>
      <c r="W108" s="1185"/>
      <c r="X108" s="1185"/>
      <c r="Y108" s="1185"/>
      <c r="Z108" s="1185"/>
      <c r="AA108" s="1185"/>
      <c r="AB108" s="1185"/>
      <c r="AC108" s="1185"/>
      <c r="AD108" s="1185"/>
      <c r="AE108" s="1185"/>
      <c r="AF108" s="1185"/>
      <c r="AG108" s="1185"/>
      <c r="AH108" s="1185"/>
      <c r="AI108" s="1185"/>
      <c r="AK108" s="1204"/>
    </row>
    <row r="109" spans="1:37">
      <c r="A109" s="1233" t="s">
        <v>380</v>
      </c>
      <c r="B109" s="1233"/>
      <c r="C109" s="1225">
        <v>0</v>
      </c>
      <c r="D109" s="1234">
        <v>-1.6</v>
      </c>
      <c r="E109" s="1233"/>
      <c r="F109" s="1203">
        <f>ROUND(D109*$C109,0)</f>
        <v>0</v>
      </c>
      <c r="G109" s="1234">
        <v>-1.65</v>
      </c>
      <c r="H109" s="1233"/>
      <c r="I109" s="1203">
        <v>0</v>
      </c>
      <c r="J109" s="1234">
        <f>-J107</f>
        <v>-1.65</v>
      </c>
      <c r="K109" s="1233"/>
      <c r="L109" s="1203">
        <f>ROUND(J109*$C109,0)</f>
        <v>0</v>
      </c>
      <c r="N109" s="1185"/>
      <c r="O109" s="1185"/>
      <c r="P109" s="1186"/>
      <c r="Q109" s="1186"/>
      <c r="R109" s="1186"/>
      <c r="S109" s="1185"/>
      <c r="T109" s="1185"/>
      <c r="U109" s="1185"/>
      <c r="V109" s="1185"/>
      <c r="W109" s="1185"/>
      <c r="X109" s="1185"/>
      <c r="Y109" s="1185"/>
      <c r="Z109" s="1185"/>
      <c r="AA109" s="1185"/>
      <c r="AB109" s="1185"/>
      <c r="AC109" s="1185"/>
      <c r="AD109" s="1185"/>
      <c r="AE109" s="1185"/>
      <c r="AF109" s="1185"/>
      <c r="AG109" s="1185"/>
      <c r="AH109" s="1185"/>
      <c r="AI109" s="1185"/>
      <c r="AK109" s="1204"/>
    </row>
    <row r="110" spans="1:37">
      <c r="A110" s="1005" t="s">
        <v>914</v>
      </c>
      <c r="C110" s="1202">
        <f>C105</f>
        <v>657951885.40579605</v>
      </c>
      <c r="D110" s="269"/>
      <c r="E110" s="1185"/>
      <c r="F110" s="1203"/>
      <c r="G110" s="269"/>
      <c r="H110" s="1185"/>
      <c r="I110" s="1203"/>
      <c r="J110" s="1230">
        <f>J93</f>
        <v>2.5059999999999998</v>
      </c>
      <c r="K110" s="1219" t="s">
        <v>374</v>
      </c>
      <c r="L110" s="1203">
        <f t="shared" ref="L110:L111" si="14">J110*C110/100</f>
        <v>16488274.248269249</v>
      </c>
      <c r="N110" s="1204"/>
      <c r="P110" s="815"/>
      <c r="Q110" s="1184"/>
      <c r="R110" s="1184"/>
      <c r="S110" s="1205"/>
      <c r="T110" s="1205"/>
      <c r="Y110" s="1185"/>
      <c r="Z110" s="1185"/>
      <c r="AA110" s="1185"/>
      <c r="AB110" s="1185"/>
      <c r="AC110" s="1185"/>
      <c r="AD110" s="1185"/>
      <c r="AE110" s="1185"/>
      <c r="AF110" s="1185"/>
      <c r="AG110" s="1185"/>
      <c r="AH110" s="1185"/>
      <c r="AI110" s="1185"/>
      <c r="AK110" s="1204"/>
    </row>
    <row r="111" spans="1:37">
      <c r="A111" s="1005" t="s">
        <v>915</v>
      </c>
      <c r="C111" s="1202">
        <f>C106</f>
        <v>878150032.35905731</v>
      </c>
      <c r="D111" s="269"/>
      <c r="E111" s="1185"/>
      <c r="F111" s="1203"/>
      <c r="G111" s="269"/>
      <c r="H111" s="1185"/>
      <c r="I111" s="1203"/>
      <c r="J111" s="1230">
        <f>J94</f>
        <v>4.3209999999999997</v>
      </c>
      <c r="K111" s="1219" t="s">
        <v>374</v>
      </c>
      <c r="L111" s="1203">
        <f t="shared" si="14"/>
        <v>37944862.898234867</v>
      </c>
      <c r="N111" s="1204"/>
      <c r="P111" s="815"/>
      <c r="Q111" s="1184"/>
      <c r="R111" s="1184"/>
      <c r="S111" s="1205"/>
      <c r="T111" s="1205"/>
      <c r="Y111" s="1185"/>
      <c r="Z111" s="1185"/>
      <c r="AA111" s="1185"/>
      <c r="AB111" s="1185"/>
      <c r="AC111" s="1185"/>
      <c r="AD111" s="1185"/>
      <c r="AE111" s="1185"/>
      <c r="AF111" s="1185"/>
      <c r="AG111" s="1185"/>
      <c r="AH111" s="1185"/>
      <c r="AI111" s="1185"/>
      <c r="AK111" s="1204"/>
    </row>
    <row r="112" spans="1:37">
      <c r="A112" s="1219" t="s">
        <v>381</v>
      </c>
      <c r="B112" s="1235"/>
      <c r="C112" s="1225">
        <f>SUM(C105:C106)</f>
        <v>1536101917.7648535</v>
      </c>
      <c r="D112" s="1236"/>
      <c r="E112" s="1203"/>
      <c r="F112" s="1203">
        <f>SUM(F104:F109)</f>
        <v>113322235</v>
      </c>
      <c r="G112" s="1237"/>
      <c r="H112" s="1203"/>
      <c r="I112" s="1203">
        <f>SUM(I104:I109)</f>
        <v>129036127</v>
      </c>
      <c r="J112" s="1203"/>
      <c r="K112" s="1203"/>
      <c r="L112" s="1203">
        <f>SUM(L104:L111)</f>
        <v>148388012.1465041</v>
      </c>
      <c r="N112" s="1185"/>
      <c r="O112" s="1185"/>
      <c r="P112" s="1244"/>
      <c r="Q112" s="1186"/>
      <c r="R112" s="1186"/>
      <c r="S112" s="1185"/>
      <c r="T112" s="1185"/>
      <c r="U112" s="1185"/>
      <c r="V112" s="1185"/>
      <c r="W112" s="1185"/>
      <c r="X112" s="1185"/>
      <c r="Y112" s="1185"/>
      <c r="Z112" s="1185"/>
      <c r="AA112" s="1185"/>
      <c r="AB112" s="1185"/>
      <c r="AC112" s="1185"/>
      <c r="AD112" s="1185"/>
      <c r="AE112" s="1185"/>
      <c r="AF112" s="1185"/>
      <c r="AG112" s="1185"/>
      <c r="AH112" s="1185"/>
      <c r="AI112" s="1185"/>
      <c r="AK112" s="1204"/>
    </row>
    <row r="113" spans="1:37">
      <c r="A113" s="1219" t="s">
        <v>363</v>
      </c>
      <c r="B113" s="307"/>
      <c r="C113" s="1245">
        <f>'[94]Table 2'!H13+'[94]Table 2'!H17</f>
        <v>-98559.970767906168</v>
      </c>
      <c r="D113" s="1218"/>
      <c r="E113" s="1218"/>
      <c r="F113" s="1239" t="e">
        <f>#REF!</f>
        <v>#REF!</v>
      </c>
      <c r="G113" s="1218"/>
      <c r="H113" s="1218"/>
      <c r="I113" s="1238">
        <f>'[94]Table 3'!E13+'[94]Table 3'!E17</f>
        <v>12440.360107517636</v>
      </c>
      <c r="J113" s="1218"/>
      <c r="K113" s="1218"/>
      <c r="L113" s="1239">
        <f>I113</f>
        <v>12440.360107517636</v>
      </c>
      <c r="N113" s="444"/>
      <c r="O113" s="444"/>
      <c r="P113" s="287"/>
      <c r="Q113" s="1186"/>
      <c r="R113" s="1186"/>
      <c r="S113" s="1185"/>
      <c r="T113" s="1185"/>
      <c r="U113" s="1185"/>
      <c r="V113" s="1185"/>
      <c r="W113" s="1185"/>
      <c r="X113" s="1185"/>
      <c r="Y113" s="1185"/>
      <c r="Z113" s="1185"/>
      <c r="AA113" s="1185"/>
      <c r="AB113" s="1185"/>
      <c r="AC113" s="1185"/>
      <c r="AD113" s="1185"/>
      <c r="AE113" s="1185"/>
      <c r="AF113" s="1185"/>
      <c r="AG113" s="1185"/>
      <c r="AH113" s="1185"/>
      <c r="AI113" s="1185"/>
      <c r="AK113" s="1204"/>
    </row>
    <row r="114" spans="1:37" ht="16.5" thickBot="1">
      <c r="A114" s="1219" t="s">
        <v>382</v>
      </c>
      <c r="B114" s="1219"/>
      <c r="C114" s="1240">
        <f>C112+C113</f>
        <v>1536003357.7940855</v>
      </c>
      <c r="D114" s="1214"/>
      <c r="E114" s="1214"/>
      <c r="F114" s="1214" t="e">
        <f>F112+F113</f>
        <v>#REF!</v>
      </c>
      <c r="G114" s="1214"/>
      <c r="H114" s="1214"/>
      <c r="I114" s="1214">
        <f>SUM(I112:I113)</f>
        <v>129048567.36010751</v>
      </c>
      <c r="J114" s="1214"/>
      <c r="K114" s="1214"/>
      <c r="L114" s="1214">
        <f>L112+L113</f>
        <v>148400452.50661162</v>
      </c>
      <c r="N114" s="411"/>
      <c r="O114" s="411"/>
      <c r="P114" s="470"/>
      <c r="Q114" s="1186"/>
      <c r="R114" s="1186"/>
      <c r="S114" s="1185"/>
      <c r="T114" s="1185"/>
      <c r="U114" s="1185"/>
      <c r="V114" s="1185"/>
      <c r="W114" s="1185"/>
      <c r="X114" s="1185"/>
      <c r="Y114" s="1185"/>
      <c r="Z114" s="1185"/>
      <c r="AA114" s="1185"/>
      <c r="AB114" s="1185"/>
      <c r="AC114" s="1185"/>
      <c r="AD114" s="1185"/>
      <c r="AE114" s="1185"/>
      <c r="AF114" s="1185"/>
      <c r="AG114" s="1185"/>
      <c r="AH114" s="1185"/>
      <c r="AI114" s="1185"/>
      <c r="AK114" s="1204"/>
    </row>
    <row r="115" spans="1:37" ht="16.5" thickTop="1">
      <c r="A115" s="1219"/>
      <c r="B115" s="1242"/>
      <c r="C115" s="1225"/>
      <c r="D115" s="1225"/>
      <c r="E115" s="1225"/>
      <c r="G115" s="1219" t="s">
        <v>31</v>
      </c>
      <c r="H115" s="1219"/>
      <c r="I115" s="1204" t="s">
        <v>31</v>
      </c>
      <c r="J115" s="1219" t="s">
        <v>31</v>
      </c>
      <c r="K115" s="1219"/>
      <c r="L115" s="1203" t="s">
        <v>31</v>
      </c>
      <c r="N115" s="1185"/>
      <c r="O115" s="1185"/>
      <c r="P115" s="1186"/>
      <c r="Q115" s="1186"/>
      <c r="R115" s="1186"/>
      <c r="S115" s="1185"/>
      <c r="T115" s="1185"/>
      <c r="U115" s="1185"/>
      <c r="V115" s="1185"/>
      <c r="W115" s="1185"/>
      <c r="X115" s="1185"/>
      <c r="Y115" s="1185"/>
      <c r="Z115" s="1185"/>
      <c r="AA115" s="1185"/>
      <c r="AB115" s="1185"/>
      <c r="AC115" s="1185"/>
      <c r="AD115" s="1185"/>
      <c r="AE115" s="1185"/>
      <c r="AF115" s="1185"/>
      <c r="AG115" s="1185"/>
      <c r="AH115" s="1185"/>
      <c r="AI115" s="1185"/>
      <c r="AK115" s="1204"/>
    </row>
    <row r="116" spans="1:37">
      <c r="A116" s="1224" t="s">
        <v>384</v>
      </c>
      <c r="B116" s="1219"/>
      <c r="C116" s="1219" t="s">
        <v>31</v>
      </c>
      <c r="D116" s="1225"/>
      <c r="E116" s="1225"/>
      <c r="F116" s="1219"/>
      <c r="G116" s="1225"/>
      <c r="H116" s="1219"/>
      <c r="I116" s="1219"/>
      <c r="J116" s="1225"/>
      <c r="K116" s="1219"/>
      <c r="L116" s="1219"/>
      <c r="N116" s="1185"/>
      <c r="O116" s="1185"/>
      <c r="P116" s="1186"/>
      <c r="Q116" s="1186"/>
      <c r="R116" s="1186"/>
      <c r="S116" s="1185"/>
      <c r="T116" s="1185"/>
      <c r="U116" s="1185"/>
      <c r="V116" s="1185"/>
      <c r="W116" s="1185"/>
      <c r="X116" s="1185"/>
      <c r="Y116" s="1185"/>
      <c r="Z116" s="1185"/>
      <c r="AA116" s="1185"/>
      <c r="AB116" s="1185"/>
      <c r="AC116" s="1185"/>
      <c r="AD116" s="1185"/>
      <c r="AE116" s="1185"/>
      <c r="AF116" s="1185"/>
      <c r="AG116" s="1185"/>
      <c r="AH116" s="1185"/>
      <c r="AI116" s="1185"/>
      <c r="AK116" s="1204"/>
    </row>
    <row r="117" spans="1:37">
      <c r="A117" s="1219" t="s">
        <v>330</v>
      </c>
      <c r="B117" s="1219"/>
      <c r="C117" s="1219"/>
      <c r="D117" s="1225"/>
      <c r="E117" s="1225"/>
      <c r="F117" s="1219"/>
      <c r="G117" s="1225"/>
      <c r="H117" s="1219"/>
      <c r="I117" s="1219"/>
      <c r="J117" s="1225"/>
      <c r="K117" s="1219"/>
      <c r="L117" s="1219"/>
      <c r="N117" s="1185"/>
      <c r="O117" s="1185"/>
      <c r="P117" s="1186"/>
      <c r="Q117" s="1186"/>
      <c r="R117" s="1186"/>
      <c r="S117" s="1185"/>
      <c r="T117" s="1185"/>
      <c r="U117" s="1185"/>
      <c r="V117" s="1185"/>
      <c r="W117" s="1185"/>
      <c r="X117" s="1185"/>
      <c r="Y117" s="1185"/>
      <c r="Z117" s="1185"/>
      <c r="AA117" s="1185"/>
      <c r="AB117" s="1185"/>
      <c r="AC117" s="1185"/>
      <c r="AD117" s="1185"/>
      <c r="AE117" s="1185"/>
      <c r="AF117" s="1185"/>
      <c r="AG117" s="1185"/>
      <c r="AH117" s="1185"/>
      <c r="AI117" s="1185"/>
      <c r="AK117" s="1204"/>
    </row>
    <row r="118" spans="1:37">
      <c r="A118" s="1227"/>
      <c r="B118" s="1219"/>
      <c r="C118" s="1219"/>
      <c r="D118" s="1225"/>
      <c r="E118" s="1225"/>
      <c r="F118" s="1219"/>
      <c r="G118" s="1225"/>
      <c r="H118" s="1219"/>
      <c r="I118" s="1219"/>
      <c r="J118" s="1225"/>
      <c r="K118" s="1219"/>
      <c r="L118" s="1219"/>
      <c r="N118" s="1185"/>
      <c r="O118" s="1185"/>
      <c r="P118" s="1186"/>
      <c r="Q118" s="1186"/>
      <c r="R118" s="1186"/>
      <c r="S118" s="1185"/>
      <c r="T118" s="1185"/>
      <c r="U118" s="1185"/>
      <c r="V118" s="1185"/>
      <c r="W118" s="1185"/>
      <c r="X118" s="1185"/>
      <c r="Y118" s="1185"/>
      <c r="Z118" s="1185"/>
      <c r="AA118" s="1185"/>
      <c r="AB118" s="1185"/>
      <c r="AC118" s="1185"/>
      <c r="AD118" s="1185"/>
      <c r="AE118" s="1185"/>
      <c r="AF118" s="1185"/>
      <c r="AG118" s="1185"/>
      <c r="AH118" s="1185"/>
      <c r="AI118" s="1185"/>
      <c r="AK118" s="1204"/>
    </row>
    <row r="119" spans="1:37">
      <c r="A119" s="1219" t="s">
        <v>370</v>
      </c>
      <c r="B119" s="1219"/>
      <c r="C119" s="1225">
        <v>48990.733333333301</v>
      </c>
      <c r="D119" s="1229">
        <v>6</v>
      </c>
      <c r="E119" s="1219"/>
      <c r="F119" s="1203">
        <f>ROUND(D119*$C119,0)</f>
        <v>293944</v>
      </c>
      <c r="G119" s="1229">
        <v>6</v>
      </c>
      <c r="H119" s="1219"/>
      <c r="I119" s="1203">
        <f>ROUND(G119*C119,0)</f>
        <v>293944</v>
      </c>
      <c r="J119" s="1229">
        <f>$J$87</f>
        <v>10</v>
      </c>
      <c r="K119" s="1219"/>
      <c r="L119" s="1203">
        <f>ROUND(J119*$C119,0)</f>
        <v>489907</v>
      </c>
      <c r="N119" s="1185"/>
      <c r="O119" s="1185"/>
      <c r="P119" s="1186"/>
      <c r="Q119" s="1186"/>
      <c r="R119" s="1186"/>
      <c r="S119" s="1185"/>
      <c r="T119" s="1185"/>
      <c r="U119" s="1185"/>
      <c r="V119" s="1185"/>
      <c r="W119" s="1185"/>
      <c r="X119" s="1185"/>
      <c r="Y119" s="1185"/>
      <c r="Z119" s="1185"/>
      <c r="AA119" s="1185"/>
      <c r="AB119" s="1185"/>
      <c r="AC119" s="1185"/>
      <c r="AD119" s="1185"/>
      <c r="AE119" s="1185"/>
      <c r="AF119" s="1185"/>
      <c r="AG119" s="1185"/>
      <c r="AH119" s="1185"/>
      <c r="AI119" s="1185"/>
      <c r="AK119" s="1204"/>
    </row>
    <row r="120" spans="1:37">
      <c r="A120" s="1219" t="s">
        <v>373</v>
      </c>
      <c r="B120" s="1219"/>
      <c r="C120" s="1225">
        <f>27802912+[94]Temperature!C40*1000</f>
        <v>27771554.146252096</v>
      </c>
      <c r="D120" s="1230">
        <v>5.1929999999999996</v>
      </c>
      <c r="E120" s="1219" t="s">
        <v>374</v>
      </c>
      <c r="F120" s="1203">
        <f>ROUND(D120*$C120/100,0)</f>
        <v>1442177</v>
      </c>
      <c r="G120" s="1230">
        <v>5.9489999999999998</v>
      </c>
      <c r="H120" s="1219" t="s">
        <v>374</v>
      </c>
      <c r="I120" s="1203">
        <f>ROUND(C120*G120/100,0)</f>
        <v>1652130</v>
      </c>
      <c r="J120" s="1230">
        <f>$J$88</f>
        <v>3.7719999999999998</v>
      </c>
      <c r="K120" s="1219" t="s">
        <v>374</v>
      </c>
      <c r="L120" s="1203">
        <f>ROUND(J120*$C120/100,0)</f>
        <v>1047543</v>
      </c>
      <c r="N120" s="1185"/>
      <c r="O120" s="1185"/>
      <c r="P120" s="1186"/>
      <c r="Q120" s="1186"/>
      <c r="R120" s="1186"/>
      <c r="S120" s="1185"/>
      <c r="T120" s="1185"/>
      <c r="U120" s="1185"/>
      <c r="V120" s="1185"/>
      <c r="W120" s="1185"/>
      <c r="X120" s="1185"/>
      <c r="Y120" s="1185"/>
      <c r="Z120" s="1185"/>
      <c r="AA120" s="1185"/>
      <c r="AB120" s="1185"/>
      <c r="AC120" s="1185"/>
      <c r="AD120" s="1185"/>
      <c r="AE120" s="1185"/>
      <c r="AF120" s="1185"/>
      <c r="AG120" s="1185"/>
      <c r="AH120" s="1185"/>
      <c r="AI120" s="1185"/>
      <c r="AK120" s="1204"/>
    </row>
    <row r="121" spans="1:37">
      <c r="A121" s="1219" t="s">
        <v>375</v>
      </c>
      <c r="B121" s="1219"/>
      <c r="C121" s="1225">
        <f>63233481-C120+[94]Temperature!C40*1000+[94]Temperature!D40*1000</f>
        <v>35390608.200177774</v>
      </c>
      <c r="D121" s="1230">
        <v>8.1929999999999996</v>
      </c>
      <c r="E121" s="1219" t="s">
        <v>374</v>
      </c>
      <c r="F121" s="1203">
        <f>ROUND(D121*$C121/100,0)</f>
        <v>2899553</v>
      </c>
      <c r="G121" s="1230">
        <v>9.4159999999999986</v>
      </c>
      <c r="H121" s="1219" t="s">
        <v>374</v>
      </c>
      <c r="I121" s="1203">
        <f>ROUND(C121*G121/100,0)</f>
        <v>3332380</v>
      </c>
      <c r="J121" s="1230">
        <f>$J$89</f>
        <v>6.5050000000000008</v>
      </c>
      <c r="K121" s="1219" t="s">
        <v>374</v>
      </c>
      <c r="L121" s="1203">
        <f>ROUND(J121*$C121/100,0)</f>
        <v>2302159</v>
      </c>
      <c r="N121" s="1185"/>
      <c r="O121" s="1185"/>
      <c r="P121" s="1186"/>
      <c r="Q121" s="1186"/>
      <c r="R121" s="1186"/>
      <c r="S121" s="1185"/>
      <c r="T121" s="1185"/>
      <c r="U121" s="1185"/>
      <c r="V121" s="1185"/>
      <c r="W121" s="1185"/>
      <c r="X121" s="1185"/>
      <c r="Y121" s="1185"/>
      <c r="Z121" s="1185"/>
      <c r="AA121" s="1185"/>
      <c r="AB121" s="1185"/>
      <c r="AC121" s="1185"/>
      <c r="AD121" s="1185"/>
      <c r="AE121" s="1185"/>
      <c r="AF121" s="1185"/>
      <c r="AG121" s="1185"/>
      <c r="AH121" s="1185"/>
      <c r="AI121" s="1185"/>
      <c r="AK121" s="1204"/>
    </row>
    <row r="122" spans="1:37">
      <c r="A122" s="1219" t="s">
        <v>377</v>
      </c>
      <c r="B122" s="1219"/>
      <c r="C122" s="1225">
        <v>0</v>
      </c>
      <c r="D122" s="1229">
        <v>1.6</v>
      </c>
      <c r="E122" s="1219"/>
      <c r="F122" s="1203">
        <f>ROUND(D122*$C122,0)</f>
        <v>0</v>
      </c>
      <c r="G122" s="1229">
        <v>1.65</v>
      </c>
      <c r="H122" s="1219"/>
      <c r="I122" s="1203">
        <v>0</v>
      </c>
      <c r="J122" s="1229">
        <f>$J$90</f>
        <v>1.65</v>
      </c>
      <c r="K122" s="1219"/>
      <c r="L122" s="1203">
        <f>ROUND(J122*$C122,0)</f>
        <v>0</v>
      </c>
      <c r="N122" s="1185"/>
      <c r="O122" s="1185"/>
      <c r="P122" s="1186"/>
      <c r="Q122" s="1186"/>
      <c r="R122" s="1186"/>
      <c r="S122" s="1185"/>
      <c r="T122" s="1185"/>
      <c r="U122" s="1185"/>
      <c r="V122" s="1185"/>
      <c r="W122" s="1185"/>
      <c r="X122" s="1185"/>
      <c r="Y122" s="1185"/>
      <c r="Z122" s="1185"/>
      <c r="AA122" s="1185"/>
      <c r="AB122" s="1185"/>
      <c r="AC122" s="1185"/>
      <c r="AD122" s="1185"/>
      <c r="AE122" s="1185"/>
      <c r="AF122" s="1185"/>
      <c r="AG122" s="1185"/>
      <c r="AH122" s="1185"/>
      <c r="AI122" s="1185"/>
      <c r="AK122" s="1204"/>
    </row>
    <row r="123" spans="1:37">
      <c r="A123" s="1233" t="s">
        <v>379</v>
      </c>
      <c r="B123" s="1233"/>
      <c r="C123" s="1225">
        <v>0</v>
      </c>
      <c r="D123" s="1229">
        <v>3.1</v>
      </c>
      <c r="E123" s="1233"/>
      <c r="F123" s="1203">
        <f>ROUND(D123*$C123,0)</f>
        <v>0</v>
      </c>
      <c r="G123" s="1229">
        <v>3.2</v>
      </c>
      <c r="H123" s="1233"/>
      <c r="I123" s="1203">
        <v>0</v>
      </c>
      <c r="J123" s="1229">
        <f>$J$91</f>
        <v>3.2</v>
      </c>
      <c r="K123" s="1233"/>
      <c r="L123" s="1203">
        <f>ROUND(J123*$C123,0)</f>
        <v>0</v>
      </c>
      <c r="N123" s="1185"/>
      <c r="O123" s="1185"/>
      <c r="P123" s="1186"/>
      <c r="Q123" s="1186"/>
      <c r="R123" s="1186"/>
      <c r="S123" s="1185"/>
      <c r="T123" s="1185"/>
      <c r="U123" s="1185"/>
      <c r="V123" s="1185"/>
      <c r="W123" s="1185"/>
      <c r="X123" s="1185"/>
      <c r="Y123" s="1185"/>
      <c r="Z123" s="1185"/>
      <c r="AA123" s="1185"/>
      <c r="AB123" s="1185"/>
      <c r="AC123" s="1185"/>
      <c r="AD123" s="1185"/>
      <c r="AE123" s="1185"/>
      <c r="AF123" s="1185"/>
      <c r="AG123" s="1185"/>
      <c r="AH123" s="1185"/>
      <c r="AI123" s="1185"/>
      <c r="AK123" s="1204"/>
    </row>
    <row r="124" spans="1:37">
      <c r="A124" s="1233" t="s">
        <v>380</v>
      </c>
      <c r="B124" s="1233"/>
      <c r="C124" s="1225">
        <v>0</v>
      </c>
      <c r="D124" s="1234">
        <v>-1.6</v>
      </c>
      <c r="E124" s="1233"/>
      <c r="F124" s="1203">
        <f>ROUND(D124*$C124,0)</f>
        <v>0</v>
      </c>
      <c r="G124" s="1234">
        <v>-1.65</v>
      </c>
      <c r="H124" s="1233"/>
      <c r="I124" s="1203">
        <v>0</v>
      </c>
      <c r="J124" s="1234">
        <f>-J122</f>
        <v>-1.65</v>
      </c>
      <c r="K124" s="1233"/>
      <c r="L124" s="1203">
        <f>ROUND(J124*$C124,0)</f>
        <v>0</v>
      </c>
      <c r="N124" s="1185"/>
      <c r="O124" s="1185"/>
      <c r="P124" s="1186"/>
      <c r="Q124" s="1186"/>
      <c r="R124" s="1186"/>
      <c r="S124" s="1185"/>
      <c r="T124" s="1185"/>
      <c r="U124" s="1185"/>
      <c r="V124" s="1185"/>
      <c r="W124" s="1185"/>
      <c r="X124" s="1185"/>
      <c r="Y124" s="1185"/>
      <c r="Z124" s="1185"/>
      <c r="AA124" s="1185"/>
      <c r="AB124" s="1185"/>
      <c r="AC124" s="1185"/>
      <c r="AD124" s="1185"/>
      <c r="AE124" s="1185"/>
      <c r="AF124" s="1185"/>
      <c r="AG124" s="1185"/>
      <c r="AH124" s="1185"/>
      <c r="AI124" s="1185"/>
      <c r="AK124" s="1204"/>
    </row>
    <row r="125" spans="1:37">
      <c r="A125" s="1005" t="s">
        <v>914</v>
      </c>
      <c r="C125" s="1202">
        <f>C120</f>
        <v>27771554.146252096</v>
      </c>
      <c r="D125" s="269"/>
      <c r="E125" s="1185"/>
      <c r="F125" s="1203"/>
      <c r="G125" s="269"/>
      <c r="H125" s="1185"/>
      <c r="I125" s="1203"/>
      <c r="J125" s="1230">
        <f>J110</f>
        <v>2.5059999999999998</v>
      </c>
      <c r="K125" s="1219" t="s">
        <v>374</v>
      </c>
      <c r="L125" s="1203">
        <f t="shared" ref="L125:L126" si="15">J125*C125/100</f>
        <v>695955.14690507739</v>
      </c>
      <c r="N125" s="1204"/>
      <c r="P125" s="815"/>
      <c r="Q125" s="1184"/>
      <c r="R125" s="1184"/>
      <c r="S125" s="1205"/>
      <c r="T125" s="1205"/>
      <c r="Y125" s="1185"/>
      <c r="Z125" s="1185"/>
      <c r="AA125" s="1185"/>
      <c r="AB125" s="1185"/>
      <c r="AC125" s="1185"/>
      <c r="AD125" s="1185"/>
      <c r="AE125" s="1185"/>
      <c r="AF125" s="1185"/>
      <c r="AG125" s="1185"/>
      <c r="AH125" s="1185"/>
      <c r="AI125" s="1185"/>
      <c r="AK125" s="1204"/>
    </row>
    <row r="126" spans="1:37">
      <c r="A126" s="1005" t="s">
        <v>915</v>
      </c>
      <c r="C126" s="1202">
        <f>C121</f>
        <v>35390608.200177774</v>
      </c>
      <c r="D126" s="269"/>
      <c r="E126" s="1185"/>
      <c r="F126" s="1203"/>
      <c r="G126" s="269"/>
      <c r="H126" s="1185"/>
      <c r="I126" s="1203"/>
      <c r="J126" s="1230">
        <f>J111</f>
        <v>4.3209999999999997</v>
      </c>
      <c r="K126" s="1219" t="s">
        <v>374</v>
      </c>
      <c r="L126" s="1203">
        <f t="shared" si="15"/>
        <v>1529228.1803296816</v>
      </c>
      <c r="N126" s="1204"/>
      <c r="P126" s="815"/>
      <c r="Q126" s="1184"/>
      <c r="R126" s="1184"/>
      <c r="S126" s="1205"/>
      <c r="T126" s="1205"/>
      <c r="Y126" s="1185"/>
      <c r="Z126" s="1185"/>
      <c r="AA126" s="1185"/>
      <c r="AB126" s="1185"/>
      <c r="AC126" s="1185"/>
      <c r="AD126" s="1185"/>
      <c r="AE126" s="1185"/>
      <c r="AF126" s="1185"/>
      <c r="AG126" s="1185"/>
      <c r="AH126" s="1185"/>
      <c r="AI126" s="1185"/>
      <c r="AK126" s="1204"/>
    </row>
    <row r="127" spans="1:37">
      <c r="A127" s="1219" t="s">
        <v>381</v>
      </c>
      <c r="B127" s="1219"/>
      <c r="C127" s="1225">
        <f>SUM(C120:C121)</f>
        <v>63162162.34642987</v>
      </c>
      <c r="D127" s="1236"/>
      <c r="E127" s="1203"/>
      <c r="F127" s="1203">
        <f>SUM(F119:F124)</f>
        <v>4635674</v>
      </c>
      <c r="G127" s="1237"/>
      <c r="H127" s="1203"/>
      <c r="I127" s="1203">
        <f>SUM(I119:I124)</f>
        <v>5278454</v>
      </c>
      <c r="J127" s="1203"/>
      <c r="K127" s="1203"/>
      <c r="L127" s="1203">
        <f>SUM(L119:L126)</f>
        <v>6064792.327234759</v>
      </c>
      <c r="N127" s="1185"/>
      <c r="O127" s="1185"/>
      <c r="P127" s="1186"/>
      <c r="Q127" s="1186"/>
      <c r="R127" s="1186"/>
      <c r="S127" s="1185"/>
      <c r="T127" s="1185"/>
      <c r="U127" s="1185"/>
      <c r="V127" s="1185"/>
      <c r="W127" s="1185"/>
      <c r="X127" s="1185"/>
      <c r="Y127" s="1185"/>
      <c r="Z127" s="1185"/>
      <c r="AA127" s="1185"/>
      <c r="AB127" s="1185"/>
      <c r="AC127" s="1185"/>
      <c r="AD127" s="1185"/>
      <c r="AE127" s="1185"/>
      <c r="AF127" s="1185"/>
      <c r="AG127" s="1185"/>
      <c r="AH127" s="1185"/>
      <c r="AI127" s="1185"/>
      <c r="AK127" s="1204"/>
    </row>
    <row r="128" spans="1:37">
      <c r="A128" s="1219" t="s">
        <v>363</v>
      </c>
      <c r="B128" s="1219"/>
      <c r="C128" s="1245">
        <f>'[94]Table 2'!H14</f>
        <v>-4050.066849352972</v>
      </c>
      <c r="D128" s="1218"/>
      <c r="E128" s="1218"/>
      <c r="F128" s="1239" t="e">
        <f>#REF!</f>
        <v>#REF!</v>
      </c>
      <c r="G128" s="1218"/>
      <c r="H128" s="1218"/>
      <c r="I128" s="1238">
        <f>'[94]Table 3'!E14</f>
        <v>509.23332391723989</v>
      </c>
      <c r="J128" s="1218"/>
      <c r="K128" s="1218"/>
      <c r="L128" s="1239">
        <f>I128</f>
        <v>509.23332391723989</v>
      </c>
      <c r="N128" s="444"/>
      <c r="O128" s="444"/>
      <c r="P128" s="287"/>
      <c r="Q128" s="1186"/>
      <c r="R128" s="1186"/>
      <c r="S128" s="1185"/>
      <c r="T128" s="1185"/>
      <c r="U128" s="1185"/>
      <c r="V128" s="1185"/>
      <c r="W128" s="1185"/>
      <c r="X128" s="1185"/>
      <c r="Y128" s="1185"/>
      <c r="Z128" s="1185"/>
      <c r="AA128" s="1185"/>
      <c r="AB128" s="1185"/>
      <c r="AC128" s="1185"/>
      <c r="AD128" s="1185"/>
      <c r="AE128" s="1185"/>
      <c r="AF128" s="1185"/>
      <c r="AG128" s="1185"/>
      <c r="AH128" s="1185"/>
      <c r="AI128" s="1185"/>
      <c r="AK128" s="1204"/>
    </row>
    <row r="129" spans="1:37" ht="16.5" thickBot="1">
      <c r="A129" s="1219" t="s">
        <v>382</v>
      </c>
      <c r="B129" s="1219"/>
      <c r="C129" s="1240">
        <f>C127+C128</f>
        <v>63158112.279580519</v>
      </c>
      <c r="D129" s="1214"/>
      <c r="E129" s="1214"/>
      <c r="F129" s="1214" t="e">
        <f>F127+F128</f>
        <v>#REF!</v>
      </c>
      <c r="G129" s="1214"/>
      <c r="H129" s="1214"/>
      <c r="I129" s="1214">
        <f>SUM(I127:I128)</f>
        <v>5278963.2333239168</v>
      </c>
      <c r="J129" s="1214"/>
      <c r="K129" s="1214"/>
      <c r="L129" s="1214">
        <f>L127+L128</f>
        <v>6065301.5605586758</v>
      </c>
      <c r="N129" s="411"/>
      <c r="O129" s="411"/>
      <c r="P129" s="470"/>
      <c r="Q129" s="1186"/>
      <c r="R129" s="1186"/>
      <c r="S129" s="1185"/>
      <c r="T129" s="1185"/>
      <c r="U129" s="1185"/>
      <c r="V129" s="1185"/>
      <c r="W129" s="1185"/>
      <c r="X129" s="1185"/>
      <c r="Y129" s="1185"/>
      <c r="Z129" s="1185"/>
      <c r="AA129" s="1185"/>
      <c r="AB129" s="1185"/>
      <c r="AC129" s="1185"/>
      <c r="AD129" s="1185"/>
      <c r="AE129" s="1185"/>
      <c r="AF129" s="1185"/>
      <c r="AG129" s="1185"/>
      <c r="AH129" s="1185"/>
      <c r="AI129" s="1185"/>
      <c r="AK129" s="1204"/>
    </row>
    <row r="130" spans="1:37" ht="16.5" thickTop="1">
      <c r="A130" s="1219"/>
      <c r="B130" s="1242"/>
      <c r="C130" s="1225"/>
      <c r="D130" s="1225"/>
      <c r="E130" s="1225"/>
      <c r="G130" s="1219" t="s">
        <v>31</v>
      </c>
      <c r="H130" s="1219"/>
      <c r="J130" s="1219" t="s">
        <v>31</v>
      </c>
      <c r="K130" s="1219"/>
      <c r="L130" s="1203" t="s">
        <v>31</v>
      </c>
      <c r="N130" s="1185"/>
      <c r="O130" s="1185"/>
      <c r="P130" s="1186"/>
      <c r="Q130" s="1186"/>
      <c r="R130" s="1186"/>
      <c r="S130" s="1185"/>
      <c r="T130" s="1185"/>
      <c r="U130" s="1185"/>
      <c r="V130" s="1185"/>
      <c r="W130" s="1185"/>
      <c r="X130" s="1185"/>
      <c r="Y130" s="1185"/>
      <c r="Z130" s="1185"/>
      <c r="AA130" s="1185"/>
      <c r="AB130" s="1185"/>
      <c r="AC130" s="1185"/>
      <c r="AD130" s="1185"/>
      <c r="AE130" s="1185"/>
      <c r="AF130" s="1185"/>
      <c r="AG130" s="1185"/>
      <c r="AH130" s="1185"/>
      <c r="AI130" s="1185"/>
      <c r="AK130" s="1204"/>
    </row>
    <row r="131" spans="1:37">
      <c r="A131" s="1224" t="s">
        <v>385</v>
      </c>
      <c r="B131" s="1219"/>
      <c r="C131" s="1219"/>
      <c r="D131" s="1225"/>
      <c r="E131" s="1225"/>
      <c r="F131" s="1219"/>
      <c r="G131" s="1225"/>
      <c r="H131" s="1219"/>
      <c r="I131" s="1219"/>
      <c r="J131" s="1225"/>
      <c r="K131" s="1219"/>
      <c r="L131" s="1219"/>
      <c r="N131" s="1185"/>
      <c r="O131" s="1185"/>
      <c r="P131" s="1186"/>
      <c r="Q131" s="1186"/>
      <c r="R131" s="1186"/>
      <c r="S131" s="1185"/>
      <c r="T131" s="1185"/>
      <c r="U131" s="1185"/>
      <c r="V131" s="1185"/>
      <c r="W131" s="1185"/>
      <c r="X131" s="1185"/>
      <c r="Y131" s="1185"/>
      <c r="Z131" s="1185"/>
      <c r="AA131" s="1185"/>
      <c r="AB131" s="1185"/>
      <c r="AC131" s="1185"/>
      <c r="AD131" s="1185"/>
      <c r="AE131" s="1185"/>
      <c r="AF131" s="1185"/>
      <c r="AG131" s="1185"/>
      <c r="AH131" s="1185"/>
      <c r="AI131" s="1185"/>
      <c r="AK131" s="1204"/>
    </row>
    <row r="132" spans="1:37">
      <c r="A132" s="1219" t="s">
        <v>330</v>
      </c>
      <c r="B132" s="1219"/>
      <c r="C132" s="1219"/>
      <c r="D132" s="1225"/>
      <c r="E132" s="1225"/>
      <c r="F132" s="1219"/>
      <c r="G132" s="1225"/>
      <c r="H132" s="1219"/>
      <c r="I132" s="1219"/>
      <c r="J132" s="1225"/>
      <c r="K132" s="1219"/>
      <c r="L132" s="1219"/>
      <c r="N132" s="1185"/>
      <c r="O132" s="1185"/>
      <c r="P132" s="1186"/>
      <c r="Q132" s="1186"/>
      <c r="R132" s="1186"/>
      <c r="S132" s="1185"/>
      <c r="T132" s="1185"/>
      <c r="U132" s="1185"/>
      <c r="V132" s="1185"/>
      <c r="W132" s="1185"/>
      <c r="X132" s="1185"/>
      <c r="Y132" s="1185"/>
      <c r="Z132" s="1185"/>
      <c r="AA132" s="1185"/>
      <c r="AB132" s="1185"/>
      <c r="AC132" s="1185"/>
      <c r="AD132" s="1185"/>
      <c r="AE132" s="1185"/>
      <c r="AF132" s="1185"/>
      <c r="AG132" s="1185"/>
      <c r="AH132" s="1185"/>
      <c r="AI132" s="1185"/>
      <c r="AK132" s="1204"/>
    </row>
    <row r="133" spans="1:37">
      <c r="A133" s="1227"/>
      <c r="B133" s="1219"/>
      <c r="C133" s="1219"/>
      <c r="D133" s="1225"/>
      <c r="E133" s="1225"/>
      <c r="F133" s="1219"/>
      <c r="G133" s="1225"/>
      <c r="H133" s="1219"/>
      <c r="I133" s="1219"/>
      <c r="J133" s="1225"/>
      <c r="K133" s="1219"/>
      <c r="L133" s="1219"/>
      <c r="N133" s="1185"/>
      <c r="O133" s="1185"/>
      <c r="P133" s="1186"/>
      <c r="Q133" s="1186"/>
      <c r="R133" s="1186"/>
      <c r="S133" s="1185"/>
      <c r="T133" s="1185"/>
      <c r="U133" s="1185"/>
      <c r="V133" s="1185"/>
      <c r="W133" s="1185"/>
      <c r="X133" s="1185"/>
      <c r="Y133" s="1185"/>
      <c r="Z133" s="1185"/>
      <c r="AA133" s="1185"/>
      <c r="AB133" s="1185"/>
      <c r="AC133" s="1185"/>
      <c r="AD133" s="1185"/>
      <c r="AE133" s="1185"/>
      <c r="AF133" s="1185"/>
      <c r="AG133" s="1185"/>
      <c r="AH133" s="1185"/>
      <c r="AI133" s="1185"/>
      <c r="AK133" s="1204"/>
    </row>
    <row r="134" spans="1:37">
      <c r="A134" s="1219" t="s">
        <v>370</v>
      </c>
      <c r="B134" s="1219"/>
      <c r="C134" s="1225">
        <f>1028</f>
        <v>1028</v>
      </c>
      <c r="D134" s="1229">
        <v>6</v>
      </c>
      <c r="E134" s="1219"/>
      <c r="F134" s="1203">
        <f>ROUND(D134*$C134,0)</f>
        <v>6168</v>
      </c>
      <c r="G134" s="1229">
        <v>6</v>
      </c>
      <c r="H134" s="1219"/>
      <c r="I134" s="1203">
        <f>ROUND(G134*C134,0)</f>
        <v>6168</v>
      </c>
      <c r="J134" s="1229">
        <f>$J$87</f>
        <v>10</v>
      </c>
      <c r="K134" s="1219"/>
      <c r="L134" s="1203">
        <f>ROUND(J134*$C134,0)</f>
        <v>10280</v>
      </c>
      <c r="N134" s="1185"/>
      <c r="O134" s="1185"/>
      <c r="P134" s="1186"/>
      <c r="Q134" s="1186"/>
      <c r="R134" s="1186"/>
      <c r="S134" s="1185"/>
      <c r="T134" s="1185"/>
      <c r="U134" s="1185"/>
      <c r="V134" s="1185"/>
      <c r="W134" s="1185"/>
      <c r="X134" s="1185"/>
      <c r="Y134" s="1185"/>
      <c r="Z134" s="1185"/>
      <c r="AA134" s="1185"/>
      <c r="AB134" s="1185"/>
      <c r="AC134" s="1185"/>
      <c r="AD134" s="1185"/>
      <c r="AE134" s="1185"/>
      <c r="AF134" s="1185"/>
      <c r="AG134" s="1185"/>
      <c r="AH134" s="1185"/>
      <c r="AI134" s="1185"/>
      <c r="AK134" s="1204"/>
    </row>
    <row r="135" spans="1:37">
      <c r="A135" s="1219" t="s">
        <v>373</v>
      </c>
      <c r="B135" s="1219"/>
      <c r="C135" s="1225">
        <f>574494+[94]Temperature!C58*1000</f>
        <v>573656.16765255562</v>
      </c>
      <c r="D135" s="1230">
        <v>5.1929999999999996</v>
      </c>
      <c r="E135" s="1219" t="s">
        <v>374</v>
      </c>
      <c r="F135" s="1203">
        <f>ROUND(D135*$C135/100,0)</f>
        <v>29790</v>
      </c>
      <c r="G135" s="1230">
        <v>5.9489999999999998</v>
      </c>
      <c r="H135" s="1219" t="s">
        <v>374</v>
      </c>
      <c r="I135" s="1203">
        <f>ROUND(C135*G135/100,0)</f>
        <v>34127</v>
      </c>
      <c r="J135" s="1230">
        <f>$J$88</f>
        <v>3.7719999999999998</v>
      </c>
      <c r="K135" s="1219" t="s">
        <v>374</v>
      </c>
      <c r="L135" s="1203">
        <f>ROUND(J135*$C135/100,0)</f>
        <v>21638</v>
      </c>
      <c r="N135" s="1185"/>
      <c r="O135" s="1185"/>
      <c r="P135" s="1186"/>
      <c r="Q135" s="1186"/>
      <c r="R135" s="1186"/>
      <c r="S135" s="1185"/>
      <c r="T135" s="1185"/>
      <c r="U135" s="1185"/>
      <c r="V135" s="1185"/>
      <c r="W135" s="1185"/>
      <c r="X135" s="1185"/>
      <c r="Y135" s="1185"/>
      <c r="Z135" s="1185"/>
      <c r="AA135" s="1185"/>
      <c r="AB135" s="1185"/>
      <c r="AC135" s="1185"/>
      <c r="AD135" s="1185"/>
      <c r="AE135" s="1185"/>
      <c r="AF135" s="1185"/>
      <c r="AG135" s="1185"/>
      <c r="AH135" s="1185"/>
      <c r="AI135" s="1185"/>
      <c r="AK135" s="1204"/>
    </row>
    <row r="136" spans="1:37">
      <c r="A136" s="1219" t="s">
        <v>375</v>
      </c>
      <c r="B136" s="1219"/>
      <c r="C136" s="1225">
        <f>2216254-C135+[94]Temperature!C58*1000+[94]Temperature!D58*1000</f>
        <v>1639447.3671285319</v>
      </c>
      <c r="D136" s="1230">
        <v>8.1929999999999996</v>
      </c>
      <c r="E136" s="1219" t="s">
        <v>374</v>
      </c>
      <c r="F136" s="1203">
        <f>ROUND(D136*$C136/100,0)</f>
        <v>134320</v>
      </c>
      <c r="G136" s="1230">
        <v>9.4159999999999986</v>
      </c>
      <c r="H136" s="1219" t="s">
        <v>374</v>
      </c>
      <c r="I136" s="1203">
        <f>ROUND(C136*G136/100,0)</f>
        <v>154370</v>
      </c>
      <c r="J136" s="1230">
        <f>$J$89</f>
        <v>6.5050000000000008</v>
      </c>
      <c r="K136" s="1219" t="s">
        <v>374</v>
      </c>
      <c r="L136" s="1203">
        <f>ROUND(J136*$C136/100,0)</f>
        <v>106646</v>
      </c>
      <c r="N136" s="1185"/>
      <c r="O136" s="1185"/>
      <c r="P136" s="1186"/>
      <c r="Q136" s="1186"/>
      <c r="R136" s="1186"/>
      <c r="S136" s="1185"/>
      <c r="T136" s="1185"/>
      <c r="U136" s="1185"/>
      <c r="V136" s="1185"/>
      <c r="W136" s="1185"/>
      <c r="X136" s="1185"/>
      <c r="Y136" s="1185"/>
      <c r="Z136" s="1185"/>
      <c r="AA136" s="1185"/>
      <c r="AB136" s="1185"/>
      <c r="AC136" s="1185"/>
      <c r="AD136" s="1185"/>
      <c r="AE136" s="1185"/>
      <c r="AF136" s="1185"/>
      <c r="AG136" s="1185"/>
      <c r="AH136" s="1185"/>
      <c r="AI136" s="1185"/>
      <c r="AK136" s="1204"/>
    </row>
    <row r="137" spans="1:37">
      <c r="A137" s="1219" t="s">
        <v>377</v>
      </c>
      <c r="B137" s="1219"/>
      <c r="C137" s="1225">
        <f>4742</f>
        <v>4742</v>
      </c>
      <c r="D137" s="1229">
        <v>1.6</v>
      </c>
      <c r="E137" s="1219"/>
      <c r="F137" s="1203">
        <f>ROUND(D137*$C137,0)</f>
        <v>7587</v>
      </c>
      <c r="G137" s="1229">
        <v>1.65</v>
      </c>
      <c r="H137" s="1219"/>
      <c r="I137" s="1203">
        <f t="shared" ref="I137:I138" si="16">ROUND(G137*C137,0)</f>
        <v>7824</v>
      </c>
      <c r="J137" s="1229">
        <f>$J$90</f>
        <v>1.65</v>
      </c>
      <c r="K137" s="1219"/>
      <c r="L137" s="1203">
        <f>ROUND(J137*$C137,0)</f>
        <v>7824</v>
      </c>
      <c r="N137" s="1185"/>
      <c r="O137" s="1185"/>
      <c r="P137" s="1186"/>
      <c r="Q137" s="1186"/>
      <c r="R137" s="1186"/>
      <c r="S137" s="1185"/>
      <c r="T137" s="1185"/>
      <c r="U137" s="1185"/>
      <c r="V137" s="1185"/>
      <c r="W137" s="1185"/>
      <c r="X137" s="1185"/>
      <c r="Y137" s="1185"/>
      <c r="Z137" s="1185"/>
      <c r="AA137" s="1185"/>
      <c r="AB137" s="1185"/>
      <c r="AC137" s="1185"/>
      <c r="AD137" s="1185"/>
      <c r="AE137" s="1185"/>
      <c r="AF137" s="1185"/>
      <c r="AG137" s="1185"/>
      <c r="AH137" s="1185"/>
      <c r="AI137" s="1185"/>
      <c r="AK137" s="1204"/>
    </row>
    <row r="138" spans="1:37">
      <c r="A138" s="1233" t="s">
        <v>379</v>
      </c>
      <c r="B138" s="1233"/>
      <c r="C138" s="1225">
        <f>638</f>
        <v>638</v>
      </c>
      <c r="D138" s="1229">
        <v>3.1</v>
      </c>
      <c r="E138" s="1233"/>
      <c r="F138" s="1203">
        <f>ROUND(D138*$C138,0)</f>
        <v>1978</v>
      </c>
      <c r="G138" s="1229">
        <v>3.2</v>
      </c>
      <c r="H138" s="1233"/>
      <c r="I138" s="1203">
        <f t="shared" si="16"/>
        <v>2042</v>
      </c>
      <c r="J138" s="1229">
        <f>$J$91</f>
        <v>3.2</v>
      </c>
      <c r="K138" s="1233"/>
      <c r="L138" s="1203">
        <f>ROUND(J138*$C138,0)</f>
        <v>2042</v>
      </c>
      <c r="N138" s="1185"/>
      <c r="O138" s="1185"/>
      <c r="P138" s="1186"/>
      <c r="Q138" s="1186"/>
      <c r="R138" s="1186"/>
      <c r="S138" s="1185"/>
      <c r="T138" s="1185"/>
      <c r="U138" s="1185"/>
      <c r="V138" s="1185"/>
      <c r="W138" s="1185"/>
      <c r="X138" s="1185"/>
      <c r="Y138" s="1185"/>
      <c r="Z138" s="1185"/>
      <c r="AA138" s="1185"/>
      <c r="AB138" s="1185"/>
      <c r="AC138" s="1185"/>
      <c r="AD138" s="1185"/>
      <c r="AE138" s="1185"/>
      <c r="AF138" s="1185"/>
      <c r="AG138" s="1185"/>
      <c r="AH138" s="1185"/>
      <c r="AI138" s="1185"/>
      <c r="AK138" s="1204"/>
    </row>
    <row r="139" spans="1:37">
      <c r="A139" s="1233" t="s">
        <v>380</v>
      </c>
      <c r="B139" s="1233"/>
      <c r="C139" s="1225">
        <v>52</v>
      </c>
      <c r="D139" s="1234">
        <v>-1.6</v>
      </c>
      <c r="E139" s="1233"/>
      <c r="F139" s="1203">
        <f>ROUND(D139*$C139,0)</f>
        <v>-83</v>
      </c>
      <c r="G139" s="1234">
        <v>-1.65</v>
      </c>
      <c r="H139" s="1233"/>
      <c r="I139" s="1203">
        <f>ROUND(G139*C139,0)</f>
        <v>-86</v>
      </c>
      <c r="J139" s="1234">
        <f>-J137</f>
        <v>-1.65</v>
      </c>
      <c r="K139" s="1233"/>
      <c r="L139" s="1203">
        <f>ROUND(J139*$C139,0)</f>
        <v>-86</v>
      </c>
      <c r="N139" s="1185"/>
      <c r="O139" s="1185"/>
      <c r="P139" s="1186"/>
      <c r="Q139" s="1186"/>
      <c r="R139" s="1186"/>
      <c r="S139" s="1185"/>
      <c r="T139" s="1185"/>
      <c r="U139" s="1185"/>
      <c r="V139" s="1185"/>
      <c r="W139" s="1185"/>
      <c r="X139" s="1185"/>
      <c r="Y139" s="1185"/>
      <c r="Z139" s="1185"/>
      <c r="AA139" s="1185"/>
      <c r="AB139" s="1185"/>
      <c r="AC139" s="1185"/>
      <c r="AD139" s="1185"/>
      <c r="AE139" s="1185"/>
      <c r="AF139" s="1185"/>
      <c r="AG139" s="1185"/>
      <c r="AH139" s="1185"/>
      <c r="AI139" s="1185"/>
      <c r="AK139" s="1204"/>
    </row>
    <row r="140" spans="1:37">
      <c r="A140" s="1005" t="s">
        <v>914</v>
      </c>
      <c r="C140" s="1202">
        <f>C135</f>
        <v>573656.16765255562</v>
      </c>
      <c r="D140" s="269"/>
      <c r="E140" s="1185"/>
      <c r="F140" s="1203"/>
      <c r="G140" s="269"/>
      <c r="H140" s="1185"/>
      <c r="I140" s="1203"/>
      <c r="J140" s="1230">
        <f>J125</f>
        <v>2.5059999999999998</v>
      </c>
      <c r="K140" s="1219" t="s">
        <v>374</v>
      </c>
      <c r="L140" s="1203">
        <f t="shared" ref="L140:L141" si="17">J140*C140/100</f>
        <v>14375.823561373043</v>
      </c>
      <c r="N140" s="1204"/>
      <c r="P140" s="815"/>
      <c r="Q140" s="1184"/>
      <c r="R140" s="1184"/>
      <c r="S140" s="1205"/>
      <c r="T140" s="1205"/>
      <c r="Y140" s="1185"/>
      <c r="Z140" s="1185"/>
      <c r="AA140" s="1185"/>
      <c r="AB140" s="1185"/>
      <c r="AC140" s="1185"/>
      <c r="AD140" s="1185"/>
      <c r="AE140" s="1185"/>
      <c r="AF140" s="1185"/>
      <c r="AG140" s="1185"/>
      <c r="AH140" s="1185"/>
      <c r="AI140" s="1185"/>
      <c r="AK140" s="1204"/>
    </row>
    <row r="141" spans="1:37">
      <c r="A141" s="1005" t="s">
        <v>915</v>
      </c>
      <c r="C141" s="1202">
        <f>C136</f>
        <v>1639447.3671285319</v>
      </c>
      <c r="D141" s="269"/>
      <c r="E141" s="1185"/>
      <c r="F141" s="1203"/>
      <c r="G141" s="269"/>
      <c r="H141" s="1185"/>
      <c r="I141" s="1203"/>
      <c r="J141" s="1230">
        <f>J126</f>
        <v>4.3209999999999997</v>
      </c>
      <c r="K141" s="1219" t="s">
        <v>374</v>
      </c>
      <c r="L141" s="1203">
        <f t="shared" si="17"/>
        <v>70840.520733623853</v>
      </c>
      <c r="N141" s="1204"/>
      <c r="P141" s="815"/>
      <c r="Q141" s="1184"/>
      <c r="R141" s="1184"/>
      <c r="S141" s="1205"/>
      <c r="T141" s="1205"/>
      <c r="Y141" s="1185"/>
      <c r="Z141" s="1185"/>
      <c r="AA141" s="1185"/>
      <c r="AB141" s="1185"/>
      <c r="AC141" s="1185"/>
      <c r="AD141" s="1185"/>
      <c r="AE141" s="1185"/>
      <c r="AF141" s="1185"/>
      <c r="AG141" s="1185"/>
      <c r="AH141" s="1185"/>
      <c r="AI141" s="1185"/>
      <c r="AK141" s="1204"/>
    </row>
    <row r="142" spans="1:37">
      <c r="A142" s="1219" t="s">
        <v>381</v>
      </c>
      <c r="B142" s="1235"/>
      <c r="C142" s="1225">
        <f>SUM(C135:C136)</f>
        <v>2213103.5347810877</v>
      </c>
      <c r="D142" s="1236"/>
      <c r="E142" s="1203"/>
      <c r="F142" s="1203">
        <f>SUM(F134:F139)</f>
        <v>179760</v>
      </c>
      <c r="G142" s="1237"/>
      <c r="H142" s="1203"/>
      <c r="I142" s="1203">
        <f>SUM(I134:I139)</f>
        <v>204445</v>
      </c>
      <c r="J142" s="1203"/>
      <c r="K142" s="1203"/>
      <c r="L142" s="1203">
        <f>SUM(L134:L141)</f>
        <v>233560.3442949969</v>
      </c>
      <c r="N142" s="1185"/>
      <c r="O142" s="1185"/>
      <c r="P142" s="1186"/>
      <c r="Q142" s="1186"/>
      <c r="R142" s="1186"/>
      <c r="S142" s="1185"/>
      <c r="T142" s="1185"/>
      <c r="U142" s="1185"/>
      <c r="V142" s="1185"/>
      <c r="W142" s="1185"/>
      <c r="X142" s="1185"/>
      <c r="Y142" s="1185"/>
      <c r="Z142" s="1185"/>
      <c r="AA142" s="1185"/>
      <c r="AB142" s="1185"/>
      <c r="AC142" s="1185"/>
      <c r="AD142" s="1185"/>
      <c r="AE142" s="1185"/>
      <c r="AF142" s="1185"/>
      <c r="AG142" s="1185"/>
      <c r="AH142" s="1185"/>
      <c r="AI142" s="1185"/>
      <c r="AK142" s="1204"/>
    </row>
    <row r="143" spans="1:37">
      <c r="A143" s="1219" t="s">
        <v>363</v>
      </c>
      <c r="B143" s="25"/>
      <c r="C143" s="1245">
        <f>'[94]Table 2'!H15</f>
        <v>-141.94975056245792</v>
      </c>
      <c r="D143" s="1218"/>
      <c r="E143" s="1218"/>
      <c r="F143" s="1239" t="e">
        <f>#REF!</f>
        <v>#REF!</v>
      </c>
      <c r="G143" s="1218"/>
      <c r="H143" s="1218"/>
      <c r="I143" s="1239">
        <f>'[94]Table 3'!E15</f>
        <v>19.723602875558147</v>
      </c>
      <c r="J143" s="1218"/>
      <c r="K143" s="1218"/>
      <c r="L143" s="1239">
        <f>I143</f>
        <v>19.723602875558147</v>
      </c>
      <c r="N143" s="444"/>
      <c r="O143" s="444"/>
      <c r="P143" s="287"/>
      <c r="Q143" s="1186"/>
      <c r="R143" s="1186"/>
      <c r="S143" s="1185"/>
      <c r="T143" s="1185"/>
      <c r="U143" s="1185"/>
      <c r="V143" s="1185"/>
      <c r="W143" s="1185"/>
      <c r="X143" s="1185"/>
      <c r="Y143" s="1185"/>
      <c r="Z143" s="1185"/>
      <c r="AA143" s="1185"/>
      <c r="AB143" s="1185"/>
      <c r="AC143" s="1185"/>
      <c r="AD143" s="1185"/>
      <c r="AE143" s="1185"/>
      <c r="AF143" s="1185"/>
      <c r="AG143" s="1185"/>
      <c r="AH143" s="1185"/>
      <c r="AI143" s="1185"/>
      <c r="AK143" s="1204"/>
    </row>
    <row r="144" spans="1:37" ht="16.5" thickBot="1">
      <c r="A144" s="1219" t="s">
        <v>382</v>
      </c>
      <c r="B144" s="1219"/>
      <c r="C144" s="1240">
        <f>C142+C143</f>
        <v>2212961.585030525</v>
      </c>
      <c r="D144" s="1214"/>
      <c r="E144" s="1214"/>
      <c r="F144" s="1214" t="e">
        <f>F142+F143</f>
        <v>#REF!</v>
      </c>
      <c r="G144" s="1214"/>
      <c r="H144" s="1214"/>
      <c r="I144" s="1214">
        <f>I142+I143</f>
        <v>204464.72360287557</v>
      </c>
      <c r="J144" s="1214"/>
      <c r="K144" s="1214"/>
      <c r="L144" s="1214">
        <f>L142+L143</f>
        <v>233580.06789787248</v>
      </c>
      <c r="N144" s="411"/>
      <c r="O144" s="411"/>
      <c r="P144" s="470"/>
      <c r="Q144" s="1186"/>
      <c r="R144" s="1186"/>
      <c r="S144" s="1185"/>
      <c r="T144" s="1185"/>
      <c r="U144" s="1185"/>
      <c r="V144" s="1185"/>
      <c r="W144" s="1185"/>
      <c r="X144" s="1185"/>
      <c r="Y144" s="1185"/>
      <c r="Z144" s="1185"/>
      <c r="AA144" s="1185"/>
      <c r="AB144" s="1185"/>
      <c r="AC144" s="1185"/>
      <c r="AD144" s="1185"/>
      <c r="AE144" s="1185"/>
      <c r="AF144" s="1185"/>
      <c r="AG144" s="1185"/>
      <c r="AH144" s="1185"/>
      <c r="AI144" s="1185"/>
      <c r="AK144" s="1204"/>
    </row>
    <row r="145" spans="1:37" ht="16.5" thickTop="1">
      <c r="A145" s="1219"/>
      <c r="B145" s="1242"/>
      <c r="C145" s="1225"/>
      <c r="D145" s="1225"/>
      <c r="E145" s="1225"/>
      <c r="G145" s="1219" t="s">
        <v>31</v>
      </c>
      <c r="H145" s="1219"/>
      <c r="J145" s="1219" t="s">
        <v>31</v>
      </c>
      <c r="K145" s="1219"/>
      <c r="L145" s="1203" t="s">
        <v>31</v>
      </c>
      <c r="N145" s="1185"/>
      <c r="O145" s="1185"/>
      <c r="P145" s="1186"/>
      <c r="Q145" s="1186"/>
      <c r="R145" s="1186"/>
      <c r="S145" s="1185"/>
      <c r="T145" s="1185"/>
      <c r="U145" s="1185"/>
      <c r="V145" s="1185"/>
      <c r="W145" s="1185"/>
      <c r="X145" s="1185"/>
      <c r="Y145" s="1185"/>
      <c r="Z145" s="1185"/>
      <c r="AA145" s="1185"/>
      <c r="AB145" s="1185"/>
      <c r="AC145" s="1185"/>
      <c r="AD145" s="1185"/>
      <c r="AE145" s="1185"/>
      <c r="AF145" s="1185"/>
      <c r="AG145" s="1185"/>
      <c r="AH145" s="1185"/>
      <c r="AI145" s="1185"/>
      <c r="AK145" s="1204"/>
    </row>
    <row r="146" spans="1:37">
      <c r="A146" s="1224" t="s">
        <v>386</v>
      </c>
      <c r="B146" s="1219"/>
      <c r="C146" s="1219"/>
      <c r="D146" s="1225"/>
      <c r="E146" s="1225"/>
      <c r="F146" s="1219"/>
      <c r="G146" s="1225"/>
      <c r="H146" s="1219"/>
      <c r="I146" s="1219"/>
      <c r="J146" s="1225"/>
      <c r="K146" s="1219"/>
      <c r="L146" s="1219"/>
      <c r="N146" s="1185"/>
      <c r="O146" s="1185"/>
      <c r="P146" s="1186"/>
      <c r="Q146" s="1186"/>
      <c r="R146" s="1186"/>
      <c r="S146" s="1185"/>
      <c r="T146" s="1185"/>
      <c r="U146" s="1185"/>
      <c r="V146" s="1185"/>
      <c r="W146" s="1185"/>
      <c r="X146" s="1185"/>
      <c r="Y146" s="1185"/>
      <c r="Z146" s="1185"/>
      <c r="AA146" s="1185"/>
      <c r="AB146" s="1185"/>
      <c r="AC146" s="1185"/>
      <c r="AD146" s="1185"/>
      <c r="AE146" s="1185"/>
      <c r="AF146" s="1185"/>
      <c r="AG146" s="1185"/>
      <c r="AH146" s="1185"/>
      <c r="AI146" s="1185"/>
      <c r="AK146" s="1204"/>
    </row>
    <row r="147" spans="1:37">
      <c r="A147" s="1219" t="s">
        <v>330</v>
      </c>
      <c r="B147" s="1219"/>
      <c r="C147" s="1219"/>
      <c r="D147" s="1225"/>
      <c r="E147" s="1225"/>
      <c r="F147" s="1219"/>
      <c r="G147" s="1225"/>
      <c r="H147" s="1219"/>
      <c r="I147" s="1219"/>
      <c r="J147" s="1225"/>
      <c r="K147" s="1219"/>
      <c r="L147" s="1219"/>
      <c r="N147" s="1185"/>
      <c r="O147" s="1185"/>
      <c r="P147" s="1186"/>
      <c r="Q147" s="1186"/>
      <c r="R147" s="1186"/>
      <c r="S147" s="1185"/>
      <c r="T147" s="1185"/>
      <c r="U147" s="1185"/>
      <c r="V147" s="1185"/>
      <c r="W147" s="1185"/>
      <c r="X147" s="1185"/>
      <c r="Y147" s="1185"/>
      <c r="Z147" s="1185"/>
      <c r="AA147" s="1185"/>
      <c r="AB147" s="1185"/>
      <c r="AC147" s="1185"/>
      <c r="AD147" s="1185"/>
      <c r="AE147" s="1185"/>
      <c r="AF147" s="1185"/>
      <c r="AG147" s="1185"/>
      <c r="AH147" s="1185"/>
      <c r="AI147" s="1185"/>
      <c r="AK147" s="1204"/>
    </row>
    <row r="148" spans="1:37">
      <c r="A148" s="1227"/>
      <c r="B148" s="1219"/>
      <c r="C148" s="1219"/>
      <c r="D148" s="1225"/>
      <c r="E148" s="1225"/>
      <c r="F148" s="1219"/>
      <c r="G148" s="1225"/>
      <c r="H148" s="1219"/>
      <c r="I148" s="1219"/>
      <c r="J148" s="1225"/>
      <c r="K148" s="1219"/>
      <c r="L148" s="1219"/>
      <c r="N148" s="1185"/>
      <c r="O148" s="1185"/>
      <c r="P148" s="1186"/>
      <c r="Q148" s="1186"/>
      <c r="R148" s="1186"/>
      <c r="S148" s="1185"/>
      <c r="T148" s="1185"/>
      <c r="U148" s="1185"/>
      <c r="V148" s="1185"/>
      <c r="W148" s="1185"/>
      <c r="X148" s="1185"/>
      <c r="Y148" s="1185"/>
      <c r="Z148" s="1185"/>
      <c r="AA148" s="1185"/>
      <c r="AB148" s="1185"/>
      <c r="AC148" s="1185"/>
      <c r="AD148" s="1185"/>
      <c r="AE148" s="1185"/>
      <c r="AF148" s="1185"/>
      <c r="AG148" s="1185"/>
      <c r="AH148" s="1185"/>
      <c r="AI148" s="1185"/>
      <c r="AK148" s="1204"/>
    </row>
    <row r="149" spans="1:37">
      <c r="A149" s="1219" t="s">
        <v>370</v>
      </c>
      <c r="B149" s="1219"/>
      <c r="C149" s="1225">
        <v>218</v>
      </c>
      <c r="D149" s="1229">
        <v>6</v>
      </c>
      <c r="E149" s="1219"/>
      <c r="F149" s="1203">
        <f>ROUND(D149*$C149,0)</f>
        <v>1308</v>
      </c>
      <c r="G149" s="1229">
        <v>6</v>
      </c>
      <c r="H149" s="1219"/>
      <c r="I149" s="1203">
        <f>ROUND(G149*C149,0)</f>
        <v>1308</v>
      </c>
      <c r="J149" s="1229">
        <f>$J$87</f>
        <v>10</v>
      </c>
      <c r="K149" s="1219"/>
      <c r="L149" s="1203">
        <f>ROUND(J149*$C149,0)</f>
        <v>2180</v>
      </c>
      <c r="N149" s="1185"/>
      <c r="O149" s="1185"/>
      <c r="P149" s="1186"/>
      <c r="Q149" s="1186"/>
      <c r="R149" s="1186"/>
      <c r="S149" s="1185"/>
      <c r="T149" s="1185"/>
      <c r="U149" s="1185"/>
      <c r="V149" s="1185"/>
      <c r="W149" s="1185"/>
      <c r="X149" s="1185"/>
      <c r="Y149" s="1185"/>
      <c r="Z149" s="1185"/>
      <c r="AA149" s="1185"/>
      <c r="AB149" s="1185"/>
      <c r="AC149" s="1185"/>
      <c r="AD149" s="1185"/>
      <c r="AE149" s="1185"/>
      <c r="AF149" s="1185"/>
      <c r="AG149" s="1185"/>
      <c r="AH149" s="1185"/>
      <c r="AI149" s="1185"/>
      <c r="AK149" s="1204"/>
    </row>
    <row r="150" spans="1:37">
      <c r="A150" s="1219" t="s">
        <v>373</v>
      </c>
      <c r="B150" s="1219"/>
      <c r="C150" s="1225">
        <v>130149</v>
      </c>
      <c r="D150" s="1230">
        <v>5.1929999999999996</v>
      </c>
      <c r="E150" s="1219" t="s">
        <v>374</v>
      </c>
      <c r="F150" s="1203">
        <f>ROUND(D150*$C150/100,0)</f>
        <v>6759</v>
      </c>
      <c r="G150" s="1230">
        <v>5.9489999999999998</v>
      </c>
      <c r="H150" s="1219" t="s">
        <v>374</v>
      </c>
      <c r="I150" s="1203">
        <f>ROUND(C150*G150/100,0)</f>
        <v>7743</v>
      </c>
      <c r="J150" s="1230">
        <f>$J$88</f>
        <v>3.7719999999999998</v>
      </c>
      <c r="K150" s="1219" t="s">
        <v>374</v>
      </c>
      <c r="L150" s="1203">
        <f>ROUND(J150*$C150/100,0)</f>
        <v>4909</v>
      </c>
      <c r="N150" s="1185"/>
      <c r="O150" s="1185"/>
      <c r="P150" s="1186"/>
      <c r="Q150" s="1186"/>
      <c r="R150" s="1186"/>
      <c r="S150" s="1185"/>
      <c r="T150" s="1185"/>
      <c r="U150" s="1185"/>
      <c r="V150" s="1185"/>
      <c r="W150" s="1185"/>
      <c r="X150" s="1185"/>
      <c r="Y150" s="1185"/>
      <c r="Z150" s="1185"/>
      <c r="AA150" s="1185"/>
      <c r="AB150" s="1185"/>
      <c r="AC150" s="1185"/>
      <c r="AD150" s="1185"/>
      <c r="AE150" s="1185"/>
      <c r="AF150" s="1185"/>
      <c r="AG150" s="1185"/>
      <c r="AH150" s="1185"/>
      <c r="AI150" s="1185"/>
      <c r="AK150" s="1204"/>
    </row>
    <row r="151" spans="1:37">
      <c r="A151" s="1219" t="s">
        <v>375</v>
      </c>
      <c r="B151" s="1219"/>
      <c r="C151" s="1225">
        <f>433385-C150</f>
        <v>303236</v>
      </c>
      <c r="D151" s="1230">
        <v>8.1929999999999996</v>
      </c>
      <c r="E151" s="1219" t="s">
        <v>374</v>
      </c>
      <c r="F151" s="1203">
        <f>ROUND(D151*$C151/100,0)</f>
        <v>24844</v>
      </c>
      <c r="G151" s="1230">
        <v>9.4159999999999986</v>
      </c>
      <c r="H151" s="1219" t="s">
        <v>374</v>
      </c>
      <c r="I151" s="1203">
        <f>ROUND(C151*G151/100,0)</f>
        <v>28553</v>
      </c>
      <c r="J151" s="1230">
        <f>$J$89</f>
        <v>6.5050000000000008</v>
      </c>
      <c r="K151" s="1219" t="s">
        <v>374</v>
      </c>
      <c r="L151" s="1203">
        <f>ROUND(J151*$C151/100,0)</f>
        <v>19726</v>
      </c>
      <c r="N151" s="1185"/>
      <c r="O151" s="1185"/>
      <c r="P151" s="1186"/>
      <c r="Q151" s="1186"/>
      <c r="R151" s="1186"/>
      <c r="S151" s="1185"/>
      <c r="T151" s="1185"/>
      <c r="U151" s="1185"/>
      <c r="V151" s="1185"/>
      <c r="W151" s="1185"/>
      <c r="X151" s="1185"/>
      <c r="Y151" s="1185"/>
      <c r="Z151" s="1185"/>
      <c r="AA151" s="1185"/>
      <c r="AB151" s="1185"/>
      <c r="AC151" s="1185"/>
      <c r="AD151" s="1185"/>
      <c r="AE151" s="1185"/>
      <c r="AF151" s="1185"/>
      <c r="AG151" s="1185"/>
      <c r="AH151" s="1185"/>
      <c r="AI151" s="1185"/>
      <c r="AK151" s="1204"/>
    </row>
    <row r="152" spans="1:37">
      <c r="A152" s="1219" t="s">
        <v>377</v>
      </c>
      <c r="B152" s="1219"/>
      <c r="C152" s="1225">
        <v>815</v>
      </c>
      <c r="D152" s="1229">
        <v>1.6</v>
      </c>
      <c r="E152" s="1219"/>
      <c r="F152" s="1203">
        <f>ROUND(D152*$C152,0)</f>
        <v>1304</v>
      </c>
      <c r="G152" s="1229">
        <v>1.65</v>
      </c>
      <c r="H152" s="1219"/>
      <c r="I152" s="1203">
        <f t="shared" ref="I152:I153" si="18">ROUND(G152*C152,0)</f>
        <v>1345</v>
      </c>
      <c r="J152" s="1229">
        <f>$J$90</f>
        <v>1.65</v>
      </c>
      <c r="K152" s="1219"/>
      <c r="L152" s="1203">
        <f>ROUND(J152*$C152,0)</f>
        <v>1345</v>
      </c>
      <c r="N152" s="1185"/>
      <c r="O152" s="1185"/>
      <c r="P152" s="1186"/>
      <c r="Q152" s="1186"/>
      <c r="R152" s="1186"/>
      <c r="S152" s="1185"/>
      <c r="T152" s="1185"/>
      <c r="U152" s="1185"/>
      <c r="V152" s="1185"/>
      <c r="W152" s="1185"/>
      <c r="X152" s="1185"/>
      <c r="Y152" s="1185"/>
      <c r="Z152" s="1185"/>
      <c r="AA152" s="1185"/>
      <c r="AB152" s="1185"/>
      <c r="AC152" s="1185"/>
      <c r="AD152" s="1185"/>
      <c r="AE152" s="1185"/>
      <c r="AF152" s="1185"/>
      <c r="AG152" s="1185"/>
      <c r="AH152" s="1185"/>
      <c r="AI152" s="1185"/>
      <c r="AK152" s="1204"/>
    </row>
    <row r="153" spans="1:37">
      <c r="A153" s="1233" t="s">
        <v>379</v>
      </c>
      <c r="B153" s="1233"/>
      <c r="C153" s="1225">
        <v>114</v>
      </c>
      <c r="D153" s="1229">
        <v>3.1</v>
      </c>
      <c r="E153" s="1233"/>
      <c r="F153" s="1203">
        <f>ROUND(D153*$C153,0)</f>
        <v>353</v>
      </c>
      <c r="G153" s="1229">
        <v>3.2</v>
      </c>
      <c r="H153" s="1233"/>
      <c r="I153" s="1203">
        <f t="shared" si="18"/>
        <v>365</v>
      </c>
      <c r="J153" s="1229">
        <f>$J$91</f>
        <v>3.2</v>
      </c>
      <c r="K153" s="1233"/>
      <c r="L153" s="1203">
        <f>ROUND(J153*$C153,0)</f>
        <v>365</v>
      </c>
      <c r="N153" s="1185"/>
      <c r="O153" s="1185"/>
      <c r="P153" s="1186"/>
      <c r="Q153" s="1186"/>
      <c r="R153" s="1186"/>
      <c r="S153" s="1185"/>
      <c r="T153" s="1185"/>
      <c r="U153" s="1185"/>
      <c r="V153" s="1185"/>
      <c r="W153" s="1185"/>
      <c r="X153" s="1185"/>
      <c r="Y153" s="1185"/>
      <c r="Z153" s="1185"/>
      <c r="AA153" s="1185"/>
      <c r="AB153" s="1185"/>
      <c r="AC153" s="1185"/>
      <c r="AD153" s="1185"/>
      <c r="AE153" s="1185"/>
      <c r="AF153" s="1185"/>
      <c r="AG153" s="1185"/>
      <c r="AH153" s="1185"/>
      <c r="AI153" s="1185"/>
      <c r="AK153" s="1204"/>
    </row>
    <row r="154" spans="1:37">
      <c r="A154" s="1233" t="s">
        <v>380</v>
      </c>
      <c r="B154" s="1233"/>
      <c r="C154" s="1225">
        <v>16</v>
      </c>
      <c r="D154" s="1234">
        <v>-1.6</v>
      </c>
      <c r="E154" s="1233"/>
      <c r="F154" s="1203">
        <f>ROUND(D154*$C154,0)</f>
        <v>-26</v>
      </c>
      <c r="G154" s="1234">
        <v>-1.65</v>
      </c>
      <c r="H154" s="1233"/>
      <c r="I154" s="1203">
        <f>ROUND(G154*C154,0)</f>
        <v>-26</v>
      </c>
      <c r="J154" s="1234">
        <f>-J152</f>
        <v>-1.65</v>
      </c>
      <c r="K154" s="1233"/>
      <c r="L154" s="1203">
        <f>ROUND(J154*$C154,0)</f>
        <v>-26</v>
      </c>
      <c r="N154" s="1185"/>
      <c r="O154" s="1185"/>
      <c r="P154" s="1186"/>
      <c r="Q154" s="1186"/>
      <c r="R154" s="1186"/>
      <c r="S154" s="1185"/>
      <c r="T154" s="1185"/>
      <c r="U154" s="1185"/>
      <c r="V154" s="1185"/>
      <c r="W154" s="1185"/>
      <c r="X154" s="1185"/>
      <c r="Y154" s="1185"/>
      <c r="Z154" s="1185"/>
      <c r="AA154" s="1185"/>
      <c r="AB154" s="1185"/>
      <c r="AC154" s="1185"/>
      <c r="AD154" s="1185"/>
      <c r="AE154" s="1185"/>
      <c r="AF154" s="1185"/>
      <c r="AG154" s="1185"/>
      <c r="AH154" s="1185"/>
      <c r="AI154" s="1185"/>
      <c r="AK154" s="1204"/>
    </row>
    <row r="155" spans="1:37">
      <c r="A155" s="1005" t="s">
        <v>914</v>
      </c>
      <c r="C155" s="1202">
        <f>C150</f>
        <v>130149</v>
      </c>
      <c r="D155" s="269"/>
      <c r="E155" s="1185"/>
      <c r="F155" s="1203"/>
      <c r="G155" s="269"/>
      <c r="H155" s="1185"/>
      <c r="I155" s="1203"/>
      <c r="J155" s="1230">
        <f>J140</f>
        <v>2.5059999999999998</v>
      </c>
      <c r="K155" s="1219" t="s">
        <v>374</v>
      </c>
      <c r="L155" s="1203">
        <f t="shared" ref="L155:L156" si="19">J155*C155/100</f>
        <v>3261.5339399999998</v>
      </c>
      <c r="N155" s="1204"/>
      <c r="P155" s="815"/>
      <c r="Q155" s="1184"/>
      <c r="R155" s="1184"/>
      <c r="S155" s="1205"/>
      <c r="T155" s="1205"/>
      <c r="Y155" s="1185"/>
      <c r="Z155" s="1185"/>
      <c r="AA155" s="1185"/>
      <c r="AB155" s="1185"/>
      <c r="AC155" s="1185"/>
      <c r="AD155" s="1185"/>
      <c r="AE155" s="1185"/>
      <c r="AF155" s="1185"/>
      <c r="AG155" s="1185"/>
      <c r="AH155" s="1185"/>
      <c r="AI155" s="1185"/>
      <c r="AK155" s="1204"/>
    </row>
    <row r="156" spans="1:37">
      <c r="A156" s="1005" t="s">
        <v>915</v>
      </c>
      <c r="C156" s="1202">
        <f>C151</f>
        <v>303236</v>
      </c>
      <c r="D156" s="269"/>
      <c r="E156" s="1185"/>
      <c r="F156" s="1203"/>
      <c r="G156" s="269"/>
      <c r="H156" s="1185"/>
      <c r="I156" s="1203"/>
      <c r="J156" s="1230">
        <f>J141</f>
        <v>4.3209999999999997</v>
      </c>
      <c r="K156" s="1219" t="s">
        <v>374</v>
      </c>
      <c r="L156" s="1203">
        <f t="shared" si="19"/>
        <v>13102.827559999998</v>
      </c>
      <c r="N156" s="1204"/>
      <c r="P156" s="815"/>
      <c r="Q156" s="1184"/>
      <c r="R156" s="1184"/>
      <c r="S156" s="1205"/>
      <c r="T156" s="1205"/>
      <c r="Y156" s="1185"/>
      <c r="Z156" s="1185"/>
      <c r="AA156" s="1185"/>
      <c r="AB156" s="1185"/>
      <c r="AC156" s="1185"/>
      <c r="AD156" s="1185"/>
      <c r="AE156" s="1185"/>
      <c r="AF156" s="1185"/>
      <c r="AG156" s="1185"/>
      <c r="AH156" s="1185"/>
      <c r="AI156" s="1185"/>
      <c r="AK156" s="1204"/>
    </row>
    <row r="157" spans="1:37">
      <c r="A157" s="1219" t="s">
        <v>381</v>
      </c>
      <c r="B157" s="1219"/>
      <c r="C157" s="1225">
        <f>SUM(C150:C151)</f>
        <v>433385</v>
      </c>
      <c r="D157" s="1236"/>
      <c r="E157" s="1203"/>
      <c r="F157" s="1203">
        <f>SUM(F149:F154)</f>
        <v>34542</v>
      </c>
      <c r="G157" s="1237"/>
      <c r="H157" s="1203"/>
      <c r="I157" s="1203">
        <f>SUM(I149:I154)</f>
        <v>39288</v>
      </c>
      <c r="J157" s="1203"/>
      <c r="K157" s="1203"/>
      <c r="L157" s="1203">
        <f>SUM(L149:L156)</f>
        <v>44863.361499999999</v>
      </c>
      <c r="N157" s="1185"/>
      <c r="O157" s="1185"/>
      <c r="P157" s="1186"/>
      <c r="Q157" s="1186"/>
      <c r="R157" s="1186"/>
      <c r="S157" s="1185"/>
      <c r="T157" s="1185"/>
      <c r="U157" s="1185"/>
      <c r="V157" s="1185"/>
      <c r="W157" s="1185"/>
      <c r="X157" s="1185"/>
      <c r="Y157" s="1185"/>
      <c r="Z157" s="1185"/>
      <c r="AA157" s="1185"/>
      <c r="AB157" s="1185"/>
      <c r="AC157" s="1185"/>
      <c r="AD157" s="1185"/>
      <c r="AE157" s="1185"/>
      <c r="AF157" s="1185"/>
      <c r="AG157" s="1185"/>
      <c r="AH157" s="1185"/>
      <c r="AI157" s="1185"/>
      <c r="AK157" s="1204"/>
    </row>
    <row r="158" spans="1:37">
      <c r="A158" s="1219" t="s">
        <v>363</v>
      </c>
      <c r="B158" s="1219"/>
      <c r="C158" s="1245">
        <f>'[94]Table 2'!H16</f>
        <v>-27.758051490267285</v>
      </c>
      <c r="D158" s="1218"/>
      <c r="E158" s="1218"/>
      <c r="F158" s="1239" t="e">
        <f>#REF!</f>
        <v>#REF!</v>
      </c>
      <c r="G158" s="1218"/>
      <c r="H158" s="1218"/>
      <c r="I158" s="1239">
        <f>'[94]Table 3'!E16</f>
        <v>3.7869002045382243</v>
      </c>
      <c r="J158" s="1218"/>
      <c r="K158" s="1218"/>
      <c r="L158" s="1239">
        <f>I158</f>
        <v>3.7869002045382243</v>
      </c>
      <c r="N158" s="444"/>
      <c r="O158" s="444"/>
      <c r="P158" s="287"/>
      <c r="Q158" s="1186"/>
      <c r="R158" s="1186"/>
      <c r="S158" s="1185"/>
      <c r="T158" s="1185"/>
      <c r="U158" s="1185"/>
      <c r="V158" s="1185"/>
      <c r="W158" s="1185"/>
      <c r="X158" s="1185"/>
      <c r="Y158" s="1185"/>
      <c r="Z158" s="1185"/>
      <c r="AA158" s="1185"/>
      <c r="AB158" s="1185"/>
      <c r="AC158" s="1185"/>
      <c r="AD158" s="1185"/>
      <c r="AE158" s="1185"/>
      <c r="AF158" s="1185"/>
      <c r="AG158" s="1185"/>
      <c r="AH158" s="1185"/>
      <c r="AI158" s="1185"/>
      <c r="AK158" s="1204"/>
    </row>
    <row r="159" spans="1:37" ht="16.5" thickBot="1">
      <c r="A159" s="1219" t="s">
        <v>382</v>
      </c>
      <c r="B159" s="1219"/>
      <c r="C159" s="1240">
        <f>C157+C158</f>
        <v>433357.24194850971</v>
      </c>
      <c r="D159" s="1214"/>
      <c r="E159" s="1214"/>
      <c r="F159" s="1214" t="e">
        <f>F157+F158</f>
        <v>#REF!</v>
      </c>
      <c r="G159" s="1214"/>
      <c r="H159" s="1214"/>
      <c r="I159" s="1214">
        <f>I157+I158</f>
        <v>39291.786900204541</v>
      </c>
      <c r="J159" s="1214"/>
      <c r="K159" s="1214"/>
      <c r="L159" s="1214">
        <f>L157+L158</f>
        <v>44867.14840020454</v>
      </c>
      <c r="N159" s="411"/>
      <c r="O159" s="411"/>
      <c r="P159" s="470"/>
      <c r="Q159" s="1186"/>
      <c r="R159" s="1186"/>
      <c r="S159" s="1185"/>
      <c r="T159" s="1185"/>
      <c r="U159" s="1185"/>
      <c r="V159" s="1185"/>
      <c r="W159" s="1185"/>
      <c r="X159" s="1185"/>
      <c r="Y159" s="1185"/>
      <c r="Z159" s="1185"/>
      <c r="AA159" s="1185"/>
      <c r="AB159" s="1185"/>
      <c r="AC159" s="1185"/>
      <c r="AD159" s="1185"/>
      <c r="AE159" s="1185"/>
      <c r="AF159" s="1185"/>
      <c r="AG159" s="1185"/>
      <c r="AH159" s="1185"/>
      <c r="AI159" s="1185"/>
      <c r="AK159" s="1204"/>
    </row>
    <row r="160" spans="1:37" ht="16.5" thickTop="1">
      <c r="A160" s="1219"/>
      <c r="B160" s="1242"/>
      <c r="C160" s="1225"/>
      <c r="D160" s="1225"/>
      <c r="E160" s="1225"/>
      <c r="G160" s="1219" t="s">
        <v>31</v>
      </c>
      <c r="H160" s="1219"/>
      <c r="J160" s="1219" t="s">
        <v>31</v>
      </c>
      <c r="K160" s="1219"/>
      <c r="L160" s="1203" t="s">
        <v>31</v>
      </c>
      <c r="N160" s="1185"/>
      <c r="O160" s="1185"/>
      <c r="P160" s="1186"/>
      <c r="Q160" s="1186"/>
      <c r="R160" s="1186"/>
      <c r="S160" s="1185"/>
      <c r="T160" s="1185"/>
      <c r="U160" s="1185"/>
      <c r="V160" s="1185"/>
      <c r="W160" s="1185"/>
      <c r="X160" s="1185"/>
      <c r="Y160" s="1185"/>
      <c r="Z160" s="1185"/>
      <c r="AA160" s="1185"/>
      <c r="AB160" s="1185"/>
      <c r="AC160" s="1185"/>
      <c r="AD160" s="1185"/>
      <c r="AE160" s="1185"/>
      <c r="AF160" s="1185"/>
      <c r="AG160" s="1185"/>
      <c r="AH160" s="1185"/>
      <c r="AI160" s="1185"/>
      <c r="AK160" s="1204"/>
    </row>
    <row r="161" spans="1:44">
      <c r="A161" s="1224" t="s">
        <v>387</v>
      </c>
      <c r="B161" s="1219"/>
      <c r="C161" s="1219" t="s">
        <v>31</v>
      </c>
      <c r="D161" s="1203" t="s">
        <v>31</v>
      </c>
      <c r="E161" s="1203"/>
      <c r="F161" s="1219" t="s">
        <v>31</v>
      </c>
      <c r="G161" s="1203"/>
      <c r="H161" s="1219"/>
      <c r="I161" s="1219"/>
      <c r="J161" s="1203"/>
      <c r="K161" s="1219"/>
      <c r="L161" s="1219"/>
      <c r="N161" s="1185"/>
      <c r="O161" s="1185"/>
      <c r="P161" s="1186"/>
      <c r="Q161" s="1186"/>
      <c r="R161" s="1186"/>
      <c r="S161" s="1185"/>
      <c r="T161" s="1185"/>
      <c r="U161" s="1185"/>
      <c r="V161" s="1185"/>
      <c r="W161" s="1185"/>
      <c r="X161" s="1185"/>
      <c r="Y161" s="1185"/>
      <c r="Z161" s="1185"/>
      <c r="AA161" s="1185"/>
      <c r="AB161" s="1185"/>
      <c r="AC161" s="1185"/>
      <c r="AD161" s="1185"/>
      <c r="AE161" s="1185"/>
      <c r="AF161" s="1185"/>
      <c r="AG161" s="1185"/>
      <c r="AH161" s="1185"/>
      <c r="AI161" s="1185"/>
      <c r="AK161" s="1204"/>
    </row>
    <row r="162" spans="1:44">
      <c r="A162" s="1219" t="s">
        <v>388</v>
      </c>
      <c r="B162" s="1219"/>
      <c r="C162" s="1219"/>
      <c r="D162" s="1203"/>
      <c r="E162" s="1203"/>
      <c r="F162" s="1219"/>
      <c r="G162" s="1203"/>
      <c r="H162" s="1219"/>
      <c r="I162" s="1219"/>
      <c r="J162" s="1203"/>
      <c r="K162" s="1219"/>
      <c r="L162" s="1219"/>
      <c r="N162" s="1185"/>
      <c r="O162" s="1185"/>
      <c r="P162" s="1186"/>
      <c r="Q162" s="1186"/>
      <c r="R162" s="1186"/>
      <c r="S162" s="1185"/>
      <c r="T162" s="1185"/>
      <c r="U162" s="1185"/>
      <c r="V162" s="1185"/>
      <c r="W162" s="1185"/>
      <c r="X162" s="1185"/>
      <c r="Y162" s="1185"/>
      <c r="Z162" s="1185"/>
      <c r="AA162" s="1185"/>
      <c r="AB162" s="1185"/>
      <c r="AC162" s="1185"/>
      <c r="AD162" s="1185"/>
      <c r="AE162" s="1185"/>
      <c r="AF162" s="1185"/>
      <c r="AG162" s="1185"/>
      <c r="AH162" s="1185"/>
      <c r="AI162" s="1185"/>
      <c r="AK162" s="1204"/>
    </row>
    <row r="163" spans="1:44">
      <c r="A163" s="1219"/>
      <c r="B163" s="1219"/>
      <c r="C163" s="1219"/>
      <c r="D163" s="1203"/>
      <c r="E163" s="1203"/>
      <c r="F163" s="1219"/>
      <c r="G163" s="1203"/>
      <c r="H163" s="1219"/>
      <c r="I163" s="1219"/>
      <c r="J163" s="1203"/>
      <c r="K163" s="1219"/>
      <c r="L163" s="1219"/>
      <c r="N163" s="1185"/>
      <c r="O163" s="1185"/>
      <c r="Q163" s="1186"/>
      <c r="R163" s="1186"/>
      <c r="S163" s="1185"/>
      <c r="T163" s="1185"/>
      <c r="U163" s="1185"/>
      <c r="V163" s="1185"/>
      <c r="W163" s="1185"/>
      <c r="X163" s="1185"/>
      <c r="Y163" s="1185"/>
      <c r="Z163" s="1185"/>
      <c r="AA163" s="1185"/>
      <c r="AB163" s="1185"/>
      <c r="AC163" s="1185"/>
      <c r="AD163" s="1185"/>
      <c r="AE163" s="1185"/>
      <c r="AF163" s="1185"/>
      <c r="AG163" s="1185"/>
      <c r="AH163" s="1185"/>
      <c r="AI163" s="1185"/>
      <c r="AK163" s="1204"/>
    </row>
    <row r="164" spans="1:44">
      <c r="A164" s="1219" t="s">
        <v>389</v>
      </c>
      <c r="B164" s="1219"/>
      <c r="C164" s="1219"/>
      <c r="D164" s="1203"/>
      <c r="E164" s="1203"/>
      <c r="F164" s="1219"/>
      <c r="G164" s="1203"/>
      <c r="H164" s="1219"/>
      <c r="I164" s="1219"/>
      <c r="J164" s="1203"/>
      <c r="K164" s="1219"/>
      <c r="L164" s="1219"/>
      <c r="N164" s="1185"/>
      <c r="O164" s="1185"/>
      <c r="P164" s="1186"/>
      <c r="Q164" s="1228" t="s">
        <v>643</v>
      </c>
      <c r="R164" s="1228"/>
      <c r="S164" s="1185"/>
      <c r="T164" s="1185"/>
      <c r="U164" s="1185"/>
      <c r="V164" s="1185"/>
      <c r="W164" s="1185"/>
      <c r="X164" s="1185"/>
      <c r="Y164" s="1185"/>
      <c r="Z164" s="1185"/>
      <c r="AA164" s="1185"/>
      <c r="AB164" s="1185"/>
      <c r="AC164" s="1185"/>
      <c r="AD164" s="1185"/>
      <c r="AE164" s="1185"/>
      <c r="AF164" s="1185"/>
      <c r="AG164" s="1185"/>
      <c r="AH164" s="1185"/>
      <c r="AI164" s="1185"/>
      <c r="AK164" s="1204"/>
    </row>
    <row r="165" spans="1:44">
      <c r="A165" s="1219" t="s">
        <v>390</v>
      </c>
      <c r="B165" s="1219"/>
      <c r="C165" s="1225">
        <f>C486</f>
        <v>1</v>
      </c>
      <c r="D165" s="1229">
        <v>91.679999999999993</v>
      </c>
      <c r="E165" s="1203"/>
      <c r="F165" s="1203">
        <f t="shared" ref="F165:I167" si="20">F451</f>
        <v>92</v>
      </c>
      <c r="G165" s="1229">
        <v>104.52000000000001</v>
      </c>
      <c r="H165" s="1219"/>
      <c r="I165" s="1203">
        <f t="shared" si="20"/>
        <v>105</v>
      </c>
      <c r="J165" s="1229">
        <f>J169*12</f>
        <v>116.88</v>
      </c>
      <c r="K165" s="1219"/>
      <c r="L165" s="1203">
        <f>L451</f>
        <v>117</v>
      </c>
      <c r="N165" s="1204" t="e">
        <f>J165*#REF!</f>
        <v>#REF!</v>
      </c>
      <c r="Q165" s="55">
        <f>(J165-G165)/G165</f>
        <v>0.11825487944890915</v>
      </c>
      <c r="R165" s="55"/>
      <c r="U165" s="1246"/>
      <c r="W165" s="1246"/>
      <c r="Y165" s="1246"/>
      <c r="Z165" s="1246"/>
      <c r="AK165" s="1185"/>
      <c r="AL165" s="1185"/>
      <c r="AM165" s="1185"/>
      <c r="AN165" s="1185"/>
      <c r="AO165" s="1185"/>
      <c r="AP165" s="1185"/>
      <c r="AR165" s="1204"/>
    </row>
    <row r="166" spans="1:44">
      <c r="A166" s="1219" t="s">
        <v>391</v>
      </c>
      <c r="B166" s="1219"/>
      <c r="C166" s="1225">
        <f>C452</f>
        <v>88.747945205479496</v>
      </c>
      <c r="D166" s="1229">
        <v>136.32</v>
      </c>
      <c r="E166" s="1203"/>
      <c r="F166" s="1203">
        <f t="shared" si="20"/>
        <v>12098</v>
      </c>
      <c r="G166" s="1229">
        <v>155.76</v>
      </c>
      <c r="H166" s="1219"/>
      <c r="I166" s="1203">
        <f t="shared" si="20"/>
        <v>13824</v>
      </c>
      <c r="J166" s="1229">
        <f>J170*12</f>
        <v>174.12</v>
      </c>
      <c r="K166" s="1219"/>
      <c r="L166" s="1203">
        <f>L452</f>
        <v>15453</v>
      </c>
      <c r="N166" s="1204" t="e">
        <f>J166*#REF!</f>
        <v>#REF!</v>
      </c>
      <c r="O166" s="1204"/>
      <c r="Q166" s="55">
        <f>(J166-G166)/G166</f>
        <v>0.11787365177195695</v>
      </c>
      <c r="R166" s="55"/>
      <c r="T166" s="1204"/>
      <c r="U166" s="1247"/>
      <c r="V166" s="1204"/>
      <c r="W166" s="1247"/>
      <c r="X166" s="1204"/>
      <c r="Y166" s="1204"/>
      <c r="Z166" s="1247"/>
      <c r="AA166" s="801"/>
      <c r="AB166" s="1204"/>
      <c r="AC166" s="1204"/>
      <c r="AK166" s="1185"/>
      <c r="AL166" s="1185"/>
      <c r="AM166" s="1185"/>
      <c r="AN166" s="1185"/>
      <c r="AO166" s="1185"/>
      <c r="AP166" s="1185"/>
      <c r="AR166" s="1204"/>
    </row>
    <row r="167" spans="1:44">
      <c r="A167" s="1219" t="s">
        <v>392</v>
      </c>
      <c r="B167" s="1219"/>
      <c r="C167" s="1225">
        <f>C453</f>
        <v>3368.9150684931501</v>
      </c>
      <c r="D167" s="1229">
        <v>9.66</v>
      </c>
      <c r="E167" s="1203"/>
      <c r="F167" s="1203">
        <f t="shared" si="20"/>
        <v>32544</v>
      </c>
      <c r="G167" s="1229">
        <v>11.040000000000001</v>
      </c>
      <c r="H167" s="1219"/>
      <c r="I167" s="1203">
        <f t="shared" si="20"/>
        <v>37193</v>
      </c>
      <c r="J167" s="1229">
        <f>J171*12</f>
        <v>12.36</v>
      </c>
      <c r="K167" s="1219"/>
      <c r="L167" s="1203">
        <f>L453</f>
        <v>41640</v>
      </c>
      <c r="N167" s="1204" t="e">
        <f>J167*#REF!</f>
        <v>#REF!</v>
      </c>
      <c r="Q167" s="55">
        <f>(J167-G167)/G167</f>
        <v>0.1195652173913042</v>
      </c>
      <c r="R167" s="55"/>
      <c r="T167" s="1204"/>
      <c r="U167" s="1247"/>
      <c r="V167" s="1204"/>
      <c r="W167" s="1247"/>
      <c r="X167" s="1204"/>
      <c r="Y167" s="1204"/>
      <c r="Z167" s="1247"/>
      <c r="AA167" s="801"/>
      <c r="AB167" s="1204"/>
      <c r="AC167" s="1204"/>
      <c r="AK167" s="1185"/>
      <c r="AL167" s="1185"/>
      <c r="AM167" s="1185"/>
      <c r="AN167" s="1185"/>
      <c r="AO167" s="1185"/>
      <c r="AP167" s="1185"/>
      <c r="AR167" s="1204"/>
    </row>
    <row r="168" spans="1:44">
      <c r="A168" s="1219" t="s">
        <v>393</v>
      </c>
      <c r="B168" s="1219"/>
      <c r="C168" s="1026"/>
      <c r="D168" s="1203"/>
      <c r="E168" s="1203"/>
      <c r="F168" s="1219"/>
      <c r="G168" s="1203"/>
      <c r="H168" s="1219"/>
      <c r="I168" s="1219"/>
      <c r="J168" s="1203"/>
      <c r="K168" s="1219"/>
      <c r="L168" s="1219"/>
      <c r="Q168" s="1248"/>
      <c r="R168" s="1248"/>
      <c r="T168" s="1204"/>
      <c r="U168" s="1247"/>
      <c r="V168" s="1204"/>
      <c r="W168" s="1247"/>
      <c r="X168" s="1204"/>
      <c r="Y168" s="1204"/>
      <c r="Z168" s="1247"/>
      <c r="AA168" s="801"/>
      <c r="AB168" s="1204"/>
      <c r="AC168" s="1204"/>
      <c r="AK168" s="1185"/>
      <c r="AL168" s="1185"/>
      <c r="AM168" s="1185"/>
      <c r="AN168" s="1185"/>
      <c r="AO168" s="1185"/>
      <c r="AP168" s="1185"/>
      <c r="AR168" s="1204"/>
    </row>
    <row r="169" spans="1:44">
      <c r="A169" s="1219" t="s">
        <v>390</v>
      </c>
      <c r="B169" s="1219"/>
      <c r="C169" s="1026">
        <f>C208+C345</f>
        <v>163154.29999999361</v>
      </c>
      <c r="D169" s="1229">
        <v>7.64</v>
      </c>
      <c r="E169" s="1041"/>
      <c r="F169" s="1040">
        <f>F208+F345</f>
        <v>1202713</v>
      </c>
      <c r="G169" s="1229">
        <v>8.7100000000000009</v>
      </c>
      <c r="H169" s="1009"/>
      <c r="I169" s="1040">
        <f>I208+I345</f>
        <v>1421074</v>
      </c>
      <c r="J169" s="1229">
        <f>ROUND(G169*(1+$Q$201),2)</f>
        <v>9.74</v>
      </c>
      <c r="K169" s="1009"/>
      <c r="L169" s="1040">
        <f>L208+L345</f>
        <v>1589123</v>
      </c>
      <c r="N169" s="1204" t="e">
        <f>J169*#REF!</f>
        <v>#REF!</v>
      </c>
      <c r="Q169" s="55">
        <f>(J169-G169)/G169</f>
        <v>0.11825487944890921</v>
      </c>
      <c r="R169" s="55"/>
      <c r="T169" s="1204"/>
      <c r="U169" s="1247"/>
      <c r="V169" s="1204"/>
      <c r="W169" s="1247"/>
      <c r="X169" s="1204"/>
      <c r="Y169" s="1204"/>
      <c r="Z169" s="1247"/>
      <c r="AA169" s="801"/>
      <c r="AB169" s="1204"/>
      <c r="AC169" s="1204"/>
      <c r="AK169" s="1185"/>
      <c r="AL169" s="1185"/>
      <c r="AM169" s="1185"/>
      <c r="AN169" s="1185"/>
      <c r="AO169" s="1185"/>
      <c r="AP169" s="1185"/>
      <c r="AR169" s="1204"/>
    </row>
    <row r="170" spans="1:44">
      <c r="A170" s="1219" t="s">
        <v>391</v>
      </c>
      <c r="B170" s="1219"/>
      <c r="C170" s="1026">
        <f>C209+C346</f>
        <v>62611.199999999109</v>
      </c>
      <c r="D170" s="1229">
        <v>11.36</v>
      </c>
      <c r="E170" s="1249"/>
      <c r="F170" s="1040">
        <f>F209+F346</f>
        <v>707158</v>
      </c>
      <c r="G170" s="1229">
        <v>12.98</v>
      </c>
      <c r="H170" s="1250"/>
      <c r="I170" s="1040">
        <f>I209+I346</f>
        <v>812693</v>
      </c>
      <c r="J170" s="1229">
        <f>ROUND(G170*(1+$Q$201),2)-0.01</f>
        <v>14.51</v>
      </c>
      <c r="K170" s="1250"/>
      <c r="L170" s="1040">
        <f>L209+L346</f>
        <v>908489</v>
      </c>
      <c r="N170" s="1204" t="e">
        <f>J170*#REF!</f>
        <v>#REF!</v>
      </c>
      <c r="Q170" s="55">
        <f>(J170-G170)/G170</f>
        <v>0.1178736517719568</v>
      </c>
      <c r="R170" s="55"/>
      <c r="S170" s="1190"/>
      <c r="T170" s="1204"/>
      <c r="U170" s="1247"/>
      <c r="V170" s="1204"/>
      <c r="W170" s="1251"/>
      <c r="X170" s="1204"/>
      <c r="Y170" s="1204"/>
      <c r="Z170" s="1251"/>
      <c r="AB170" s="1185"/>
      <c r="AC170" s="1185"/>
      <c r="AD170" s="1185"/>
      <c r="AE170" s="1185"/>
      <c r="AF170" s="1185"/>
      <c r="AG170" s="1185"/>
      <c r="AH170" s="1185"/>
      <c r="AI170" s="1185"/>
      <c r="AK170" s="1204"/>
    </row>
    <row r="171" spans="1:44">
      <c r="A171" s="1219" t="s">
        <v>392</v>
      </c>
      <c r="B171" s="1219"/>
      <c r="C171" s="1026">
        <f>C210+C347</f>
        <v>1220817.5</v>
      </c>
      <c r="D171" s="1229">
        <v>0.81</v>
      </c>
      <c r="E171" s="1249"/>
      <c r="F171" s="1040">
        <f>F210+F347</f>
        <v>988060</v>
      </c>
      <c r="G171" s="1229">
        <v>0.92</v>
      </c>
      <c r="H171" s="1250"/>
      <c r="I171" s="1040">
        <f>I210+I347</f>
        <v>1123153</v>
      </c>
      <c r="J171" s="1229">
        <f>ROUND(G171*(1+$Q$201),2)</f>
        <v>1.03</v>
      </c>
      <c r="K171" s="1250"/>
      <c r="L171" s="1040">
        <f>L210+L347</f>
        <v>1257442</v>
      </c>
      <c r="N171" s="1204" t="e">
        <f>J171*#REF!</f>
        <v>#REF!</v>
      </c>
      <c r="Q171" s="55">
        <f>(J171-G171)/G171</f>
        <v>0.11956521739130432</v>
      </c>
      <c r="R171" s="55"/>
      <c r="S171" s="1190"/>
      <c r="V171" s="1252"/>
      <c r="W171" s="1252"/>
      <c r="X171" s="1252"/>
      <c r="Y171" s="1252"/>
      <c r="Z171" s="1252"/>
      <c r="AB171" s="1185"/>
      <c r="AC171" s="1185"/>
      <c r="AD171" s="1185"/>
      <c r="AE171" s="1185"/>
      <c r="AF171" s="1185"/>
      <c r="AG171" s="1185"/>
      <c r="AH171" s="1185"/>
      <c r="AI171" s="1185"/>
      <c r="AK171" s="1204"/>
    </row>
    <row r="172" spans="1:44">
      <c r="A172" s="1219" t="s">
        <v>394</v>
      </c>
      <c r="B172" s="1219"/>
      <c r="C172" s="1026">
        <f>SUM(C169:C170)</f>
        <v>225765.49999999272</v>
      </c>
      <c r="D172" s="1229"/>
      <c r="E172" s="1041"/>
      <c r="F172" s="1040"/>
      <c r="G172" s="1229"/>
      <c r="H172" s="1009"/>
      <c r="I172" s="1040"/>
      <c r="J172" s="1229"/>
      <c r="K172" s="1009"/>
      <c r="L172" s="1040"/>
      <c r="Q172" s="1248"/>
      <c r="R172" s="1248"/>
      <c r="S172" s="1190"/>
      <c r="AB172" s="1185"/>
      <c r="AC172" s="1185"/>
      <c r="AD172" s="1185"/>
      <c r="AE172" s="1185"/>
      <c r="AF172" s="1185"/>
      <c r="AG172" s="1185"/>
      <c r="AH172" s="1185"/>
      <c r="AI172" s="1185"/>
      <c r="AK172" s="1204"/>
    </row>
    <row r="173" spans="1:44">
      <c r="A173" s="1219" t="s">
        <v>362</v>
      </c>
      <c r="B173" s="1219"/>
      <c r="C173" s="1026">
        <f t="shared" ref="C173:C181" si="21">C211+C349+C455</f>
        <v>223761.49999999272</v>
      </c>
      <c r="D173" s="1229"/>
      <c r="E173" s="1041"/>
      <c r="F173" s="1040"/>
      <c r="G173" s="1229"/>
      <c r="H173" s="1009"/>
      <c r="I173" s="1040"/>
      <c r="J173" s="1229"/>
      <c r="K173" s="1009"/>
      <c r="L173" s="1040"/>
      <c r="Q173" s="1248"/>
      <c r="R173" s="1248"/>
      <c r="S173" s="1190"/>
      <c r="AB173" s="1185"/>
      <c r="AC173" s="1185"/>
      <c r="AD173" s="1185"/>
      <c r="AE173" s="1185"/>
      <c r="AF173" s="1185"/>
      <c r="AG173" s="1185"/>
      <c r="AH173" s="1185"/>
      <c r="AI173" s="1185"/>
      <c r="AK173" s="1204"/>
    </row>
    <row r="174" spans="1:44">
      <c r="A174" s="1219" t="s">
        <v>395</v>
      </c>
      <c r="B174" s="1219"/>
      <c r="C174" s="1026">
        <f t="shared" si="21"/>
        <v>794203.5</v>
      </c>
      <c r="D174" s="1229">
        <v>2.98</v>
      </c>
      <c r="E174" s="1009"/>
      <c r="F174" s="1040">
        <f>F212+F350+F456</f>
        <v>2365218</v>
      </c>
      <c r="G174" s="1229">
        <v>3.4</v>
      </c>
      <c r="H174" s="1009"/>
      <c r="I174" s="1040">
        <f>I212+I350+I456</f>
        <v>2700291</v>
      </c>
      <c r="J174" s="1229">
        <f>ROUND(G174*(1+$Q$201),2)</f>
        <v>3.8</v>
      </c>
      <c r="K174" s="1009"/>
      <c r="L174" s="1040">
        <f>L212+L350+L456</f>
        <v>3017973</v>
      </c>
      <c r="N174" s="1204" t="e">
        <f>J174*#REF!</f>
        <v>#REF!</v>
      </c>
      <c r="Q174" s="55">
        <f>(J174-G174)/G174</f>
        <v>0.11764705882352938</v>
      </c>
      <c r="R174" s="55"/>
      <c r="S174" s="1190"/>
      <c r="AB174" s="1185"/>
      <c r="AC174" s="1185"/>
      <c r="AD174" s="1185"/>
      <c r="AE174" s="1185"/>
      <c r="AF174" s="1185"/>
      <c r="AG174" s="1185"/>
      <c r="AH174" s="1185"/>
      <c r="AI174" s="1185"/>
      <c r="AK174" s="1204"/>
    </row>
    <row r="175" spans="1:44">
      <c r="A175" s="1219" t="s">
        <v>397</v>
      </c>
      <c r="B175" s="1219"/>
      <c r="C175" s="1026">
        <f t="shared" si="21"/>
        <v>131920471.98392698</v>
      </c>
      <c r="D175" s="1230">
        <v>8.5489999999999995</v>
      </c>
      <c r="E175" s="1009" t="s">
        <v>374</v>
      </c>
      <c r="F175" s="1040">
        <f>F213+F351+F457</f>
        <v>11121071</v>
      </c>
      <c r="G175" s="1230">
        <v>9.766</v>
      </c>
      <c r="H175" s="1009" t="s">
        <v>374</v>
      </c>
      <c r="I175" s="1040">
        <f>I213+I351+I457</f>
        <v>12883355</v>
      </c>
      <c r="J175" s="1230">
        <f>ROUND((G175)*(1+$Q$201)-J179,3)</f>
        <v>6.4269999999999996</v>
      </c>
      <c r="K175" s="1009" t="s">
        <v>374</v>
      </c>
      <c r="L175" s="1040">
        <f>L213+L351+L457</f>
        <v>8478528</v>
      </c>
      <c r="N175" s="1204" t="e">
        <f>(J175/100)*#REF!</f>
        <v>#REF!</v>
      </c>
      <c r="Q175" s="55">
        <f>(J175+J179-G175)/G175</f>
        <v>0.11877943886954724</v>
      </c>
      <c r="R175" s="55"/>
      <c r="S175" s="1190"/>
      <c r="T175" s="1253"/>
      <c r="U175" s="1253"/>
      <c r="V175" s="1253"/>
      <c r="W175" s="1253"/>
      <c r="X175" s="1253"/>
      <c r="Y175" s="1253"/>
      <c r="AB175" s="1185"/>
      <c r="AC175" s="1185"/>
      <c r="AD175" s="1185"/>
      <c r="AE175" s="1185"/>
      <c r="AF175" s="1185"/>
      <c r="AG175" s="1185"/>
      <c r="AH175" s="1185"/>
      <c r="AI175" s="1185"/>
      <c r="AK175" s="1204"/>
    </row>
    <row r="176" spans="1:44">
      <c r="A176" s="1219" t="s">
        <v>398</v>
      </c>
      <c r="B176" s="1219"/>
      <c r="C176" s="1026">
        <f t="shared" si="21"/>
        <v>286256333.21862602</v>
      </c>
      <c r="D176" s="1230">
        <v>5.9020000000000001</v>
      </c>
      <c r="E176" s="1009" t="s">
        <v>374</v>
      </c>
      <c r="F176" s="1040">
        <f>F214+F352+F458</f>
        <v>16863945</v>
      </c>
      <c r="G176" s="1230">
        <v>6.7460000000000004</v>
      </c>
      <c r="H176" s="1009" t="s">
        <v>374</v>
      </c>
      <c r="I176" s="1040">
        <f>I214+I352+I458</f>
        <v>19310851</v>
      </c>
      <c r="J176" s="1230">
        <f>ROUND((G176)*(1+$Q$201)-J180,3)</f>
        <v>4.4400000000000004</v>
      </c>
      <c r="K176" s="1009" t="s">
        <v>374</v>
      </c>
      <c r="L176" s="1040">
        <f>L214+L352+L458</f>
        <v>12709781</v>
      </c>
      <c r="N176" s="1204" t="e">
        <f>(J176/100)*#REF!</f>
        <v>#REF!</v>
      </c>
      <c r="O176" s="1254"/>
      <c r="Q176" s="55">
        <f>(J176+J180-G176)/G176</f>
        <v>0.11888526534242508</v>
      </c>
      <c r="R176" s="55"/>
      <c r="S176" s="1190"/>
      <c r="AB176" s="1185"/>
      <c r="AC176" s="1185"/>
      <c r="AD176" s="1185"/>
      <c r="AE176" s="1185"/>
      <c r="AF176" s="1185"/>
      <c r="AG176" s="1185"/>
      <c r="AH176" s="1185"/>
      <c r="AI176" s="1185"/>
      <c r="AK176" s="1204"/>
    </row>
    <row r="177" spans="1:37">
      <c r="A177" s="1219" t="s">
        <v>399</v>
      </c>
      <c r="B177" s="1219"/>
      <c r="C177" s="1026">
        <f t="shared" si="21"/>
        <v>120328651.26156484</v>
      </c>
      <c r="D177" s="1230">
        <v>5.0839999999999996</v>
      </c>
      <c r="E177" s="1009" t="s">
        <v>374</v>
      </c>
      <c r="F177" s="1040">
        <f>F215+F353+F459</f>
        <v>6117509</v>
      </c>
      <c r="G177" s="1230">
        <v>5.8120000000000003</v>
      </c>
      <c r="H177" s="1009" t="s">
        <v>374</v>
      </c>
      <c r="I177" s="1040">
        <f>I215+I353+I459</f>
        <v>6993501</v>
      </c>
      <c r="J177" s="1230">
        <f>ROUND((G177)*(1+$Q$201)-J181,3)</f>
        <v>3.8250000000000002</v>
      </c>
      <c r="K177" s="1009" t="s">
        <v>374</v>
      </c>
      <c r="L177" s="1040">
        <f>L215+L353+L459</f>
        <v>4602571</v>
      </c>
      <c r="N177" s="1204" t="e">
        <f>(J177/100)*#REF!</f>
        <v>#REF!</v>
      </c>
      <c r="O177" s="1232"/>
      <c r="Q177" s="55">
        <f>(J177+J181-G177)/G177</f>
        <v>0.11889194769442529</v>
      </c>
      <c r="R177" s="55"/>
      <c r="S177" s="1190"/>
      <c r="T177" s="1204"/>
      <c r="U177" s="1204"/>
      <c r="AB177" s="1185"/>
      <c r="AC177" s="1185"/>
      <c r="AD177" s="1185"/>
      <c r="AE177" s="1185"/>
      <c r="AF177" s="1185"/>
      <c r="AG177" s="1185"/>
      <c r="AH177" s="1185"/>
      <c r="AI177" s="1185"/>
      <c r="AK177" s="1204"/>
    </row>
    <row r="178" spans="1:37">
      <c r="A178" s="1219" t="s">
        <v>400</v>
      </c>
      <c r="B178" s="1219"/>
      <c r="C178" s="1026">
        <f t="shared" si="21"/>
        <v>111858.08888888868</v>
      </c>
      <c r="D178" s="1255">
        <v>50</v>
      </c>
      <c r="E178" s="1041" t="s">
        <v>374</v>
      </c>
      <c r="F178" s="1040">
        <f>F216+F354+F460</f>
        <v>55928</v>
      </c>
      <c r="G178" s="1255">
        <v>56</v>
      </c>
      <c r="H178" s="1009" t="s">
        <v>374</v>
      </c>
      <c r="I178" s="1040">
        <f>I216+I354+I460</f>
        <v>62641</v>
      </c>
      <c r="J178" s="1255">
        <f>ROUND(G178*(1+$Q$201),0)</f>
        <v>63</v>
      </c>
      <c r="K178" s="1009" t="s">
        <v>374</v>
      </c>
      <c r="L178" s="1040">
        <f>L216+L354+L460</f>
        <v>70471</v>
      </c>
      <c r="N178" s="1204" t="e">
        <f>(J178/100)*#REF!</f>
        <v>#REF!</v>
      </c>
      <c r="Q178" s="55">
        <f>(J178-G178)/G178</f>
        <v>0.125</v>
      </c>
      <c r="R178" s="55"/>
      <c r="S178" s="1190"/>
      <c r="AB178" s="1185"/>
      <c r="AC178" s="1185"/>
      <c r="AD178" s="1185"/>
      <c r="AE178" s="1185"/>
      <c r="AF178" s="1185"/>
      <c r="AG178" s="1185"/>
      <c r="AH178" s="1185"/>
      <c r="AI178" s="1185"/>
      <c r="AK178" s="1204"/>
    </row>
    <row r="179" spans="1:37">
      <c r="A179" s="1005" t="s">
        <v>918</v>
      </c>
      <c r="C179" s="1026">
        <f t="shared" si="21"/>
        <v>131920471.98392698</v>
      </c>
      <c r="D179" s="269"/>
      <c r="E179" s="1185"/>
      <c r="F179" s="1203"/>
      <c r="G179" s="269"/>
      <c r="H179" s="1185"/>
      <c r="I179" s="1203"/>
      <c r="J179" s="1230">
        <f>ROUND((I175/($I$175+$I$176+$I$177)*$O$179)/C179*100,3)</f>
        <v>4.4989999999999997</v>
      </c>
      <c r="K179" s="1009" t="s">
        <v>374</v>
      </c>
      <c r="L179" s="1040">
        <f t="shared" ref="L179:L181" si="22">L217+L355+L461</f>
        <v>5935101</v>
      </c>
      <c r="N179" s="1204"/>
      <c r="O179" s="1204">
        <f>'[94]NPC Spread'!E33</f>
        <v>18054120.492522724</v>
      </c>
      <c r="P179" s="815" t="s">
        <v>913</v>
      </c>
      <c r="Q179" s="1184"/>
      <c r="R179" s="1184"/>
      <c r="S179" s="1205"/>
      <c r="T179" s="1205"/>
      <c r="Y179" s="1185"/>
      <c r="Z179" s="1185"/>
      <c r="AA179" s="1185"/>
      <c r="AB179" s="1185"/>
      <c r="AC179" s="1185"/>
      <c r="AD179" s="1185"/>
      <c r="AE179" s="1185"/>
      <c r="AF179" s="1185"/>
      <c r="AG179" s="1185"/>
      <c r="AH179" s="1185"/>
      <c r="AI179" s="1185"/>
      <c r="AK179" s="1204"/>
    </row>
    <row r="180" spans="1:37">
      <c r="A180" s="1005" t="s">
        <v>919</v>
      </c>
      <c r="C180" s="1026">
        <f t="shared" si="21"/>
        <v>286256333.21862602</v>
      </c>
      <c r="D180" s="269"/>
      <c r="E180" s="1185"/>
      <c r="F180" s="1203"/>
      <c r="G180" s="269"/>
      <c r="H180" s="1185"/>
      <c r="I180" s="1203"/>
      <c r="J180" s="1230">
        <f t="shared" ref="J180:J181" si="23">ROUND((I176/($I$175+$I$176+$I$177)*$O$179)/C180*100,3)</f>
        <v>3.1080000000000001</v>
      </c>
      <c r="K180" s="1009" t="s">
        <v>374</v>
      </c>
      <c r="L180" s="1040">
        <f t="shared" si="22"/>
        <v>8896848</v>
      </c>
      <c r="N180" s="1204"/>
      <c r="P180" s="815"/>
      <c r="Q180" s="1184"/>
      <c r="R180" s="1184"/>
      <c r="S180" s="1205"/>
      <c r="T180" s="1205"/>
      <c r="Y180" s="1185"/>
      <c r="Z180" s="1185"/>
      <c r="AA180" s="1185"/>
      <c r="AB180" s="1185"/>
      <c r="AC180" s="1185"/>
      <c r="AD180" s="1185"/>
      <c r="AE180" s="1185"/>
      <c r="AF180" s="1185"/>
      <c r="AG180" s="1185"/>
      <c r="AH180" s="1185"/>
      <c r="AI180" s="1185"/>
      <c r="AK180" s="1204"/>
    </row>
    <row r="181" spans="1:37">
      <c r="A181" s="1005" t="s">
        <v>920</v>
      </c>
      <c r="C181" s="1026">
        <f t="shared" si="21"/>
        <v>120328651.26156484</v>
      </c>
      <c r="D181" s="269"/>
      <c r="E181" s="1185"/>
      <c r="F181" s="1203"/>
      <c r="G181" s="269"/>
      <c r="H181" s="1185"/>
      <c r="I181" s="1203"/>
      <c r="J181" s="1230">
        <f t="shared" si="23"/>
        <v>2.6779999999999999</v>
      </c>
      <c r="K181" s="1009" t="s">
        <v>374</v>
      </c>
      <c r="L181" s="1040">
        <f t="shared" si="22"/>
        <v>3222401</v>
      </c>
      <c r="N181" s="1204"/>
      <c r="P181" s="815"/>
      <c r="Q181" s="1184"/>
      <c r="R181" s="1184"/>
      <c r="S181" s="1205"/>
      <c r="T181" s="1205"/>
      <c r="Y181" s="1185"/>
      <c r="Z181" s="1185"/>
      <c r="AA181" s="1185"/>
      <c r="AB181" s="1185"/>
      <c r="AC181" s="1185"/>
      <c r="AD181" s="1185"/>
      <c r="AE181" s="1185"/>
      <c r="AF181" s="1185"/>
      <c r="AG181" s="1185"/>
      <c r="AH181" s="1185"/>
      <c r="AI181" s="1185"/>
      <c r="AK181" s="1204"/>
    </row>
    <row r="182" spans="1:37">
      <c r="A182" s="1509" t="s">
        <v>921</v>
      </c>
      <c r="B182" s="1510"/>
      <c r="C182" s="1517"/>
      <c r="D182" s="1512"/>
      <c r="E182" s="1513"/>
      <c r="F182" s="1514"/>
      <c r="G182" s="1515">
        <f>G175</f>
        <v>9.766</v>
      </c>
      <c r="H182" s="1518" t="s">
        <v>374</v>
      </c>
      <c r="I182" s="1514"/>
      <c r="J182" s="1515">
        <f>J175+J179</f>
        <v>10.925999999999998</v>
      </c>
      <c r="K182" s="1518" t="s">
        <v>374</v>
      </c>
      <c r="L182" s="1519"/>
      <c r="N182" s="1204"/>
      <c r="P182" s="815"/>
      <c r="Q182" s="1184"/>
      <c r="R182" s="1184"/>
      <c r="S182" s="1205"/>
      <c r="T182" s="1205"/>
      <c r="Y182" s="1185"/>
      <c r="Z182" s="1185"/>
      <c r="AA182" s="1185"/>
      <c r="AB182" s="1185"/>
      <c r="AC182" s="1185"/>
      <c r="AD182" s="1185"/>
      <c r="AE182" s="1185"/>
      <c r="AF182" s="1185"/>
      <c r="AG182" s="1185"/>
      <c r="AH182" s="1185"/>
      <c r="AI182" s="1185"/>
      <c r="AK182" s="1204"/>
    </row>
    <row r="183" spans="1:37">
      <c r="A183" s="1509" t="s">
        <v>922</v>
      </c>
      <c r="B183" s="1510"/>
      <c r="C183" s="1517"/>
      <c r="D183" s="1512"/>
      <c r="E183" s="1513"/>
      <c r="F183" s="1514"/>
      <c r="G183" s="1515">
        <f t="shared" ref="G183:G184" si="24">G176</f>
        <v>6.7460000000000004</v>
      </c>
      <c r="H183" s="1518" t="s">
        <v>374</v>
      </c>
      <c r="I183" s="1514"/>
      <c r="J183" s="1515">
        <f t="shared" ref="J183:J184" si="25">J176+J180</f>
        <v>7.548</v>
      </c>
      <c r="K183" s="1518" t="s">
        <v>374</v>
      </c>
      <c r="L183" s="1519"/>
      <c r="N183" s="1204"/>
      <c r="P183" s="815"/>
      <c r="Q183" s="1184"/>
      <c r="R183" s="1184"/>
      <c r="S183" s="1205"/>
      <c r="T183" s="1205"/>
      <c r="Y183" s="1185"/>
      <c r="Z183" s="1185"/>
      <c r="AA183" s="1185"/>
      <c r="AB183" s="1185"/>
      <c r="AC183" s="1185"/>
      <c r="AD183" s="1185"/>
      <c r="AE183" s="1185"/>
      <c r="AF183" s="1185"/>
      <c r="AG183" s="1185"/>
      <c r="AH183" s="1185"/>
      <c r="AI183" s="1185"/>
      <c r="AK183" s="1204"/>
    </row>
    <row r="184" spans="1:37">
      <c r="A184" s="1509" t="s">
        <v>923</v>
      </c>
      <c r="B184" s="1510"/>
      <c r="C184" s="1517"/>
      <c r="D184" s="1512"/>
      <c r="E184" s="1513"/>
      <c r="F184" s="1514"/>
      <c r="G184" s="1515">
        <f t="shared" si="24"/>
        <v>5.8120000000000003</v>
      </c>
      <c r="H184" s="1518" t="s">
        <v>374</v>
      </c>
      <c r="I184" s="1514"/>
      <c r="J184" s="1515">
        <f t="shared" si="25"/>
        <v>6.5030000000000001</v>
      </c>
      <c r="K184" s="1518" t="s">
        <v>374</v>
      </c>
      <c r="L184" s="1519"/>
      <c r="N184" s="1204"/>
      <c r="P184" s="815"/>
      <c r="Q184" s="1184"/>
      <c r="R184" s="1184"/>
      <c r="S184" s="1205"/>
      <c r="T184" s="1205"/>
      <c r="Y184" s="1185"/>
      <c r="Z184" s="1185"/>
      <c r="AA184" s="1185"/>
      <c r="AB184" s="1185"/>
      <c r="AC184" s="1185"/>
      <c r="AD184" s="1185"/>
      <c r="AE184" s="1185"/>
      <c r="AF184" s="1185"/>
      <c r="AG184" s="1185"/>
      <c r="AH184" s="1185"/>
      <c r="AI184" s="1185"/>
      <c r="AK184" s="1204"/>
    </row>
    <row r="185" spans="1:37">
      <c r="A185" s="1256" t="s">
        <v>401</v>
      </c>
      <c r="B185" s="1219"/>
      <c r="C185" s="1026"/>
      <c r="D185" s="1257">
        <v>-0.01</v>
      </c>
      <c r="E185" s="1041"/>
      <c r="F185" s="1040"/>
      <c r="G185" s="1257">
        <v>-0.01</v>
      </c>
      <c r="H185" s="1009"/>
      <c r="I185" s="1040"/>
      <c r="J185" s="1257">
        <v>-0.01</v>
      </c>
      <c r="K185" s="1009"/>
      <c r="L185" s="1040"/>
      <c r="P185" s="1258"/>
      <c r="AB185" s="1185"/>
      <c r="AC185" s="1185"/>
      <c r="AD185" s="1185"/>
      <c r="AE185" s="1185"/>
      <c r="AF185" s="1185"/>
      <c r="AG185" s="1185"/>
      <c r="AH185" s="1185"/>
      <c r="AI185" s="1185"/>
      <c r="AK185" s="1204"/>
    </row>
    <row r="186" spans="1:37">
      <c r="A186" s="1219" t="s">
        <v>390</v>
      </c>
      <c r="B186" s="1219"/>
      <c r="C186" s="1026">
        <f t="shared" ref="C186:C200" si="26">C221+C359+C465</f>
        <v>72.066666666666706</v>
      </c>
      <c r="D186" s="1259">
        <v>7.64</v>
      </c>
      <c r="E186" s="1041"/>
      <c r="F186" s="1040">
        <f t="shared" ref="F186:F195" si="27">F221+F359+F465</f>
        <v>-6</v>
      </c>
      <c r="G186" s="1259">
        <v>8.7100000000000009</v>
      </c>
      <c r="H186" s="1041"/>
      <c r="I186" s="1040">
        <f t="shared" ref="I186:I195" si="28">I221+I359+I465</f>
        <v>-6</v>
      </c>
      <c r="J186" s="1259">
        <f>J169</f>
        <v>9.74</v>
      </c>
      <c r="K186" s="1041"/>
      <c r="L186" s="1040">
        <f t="shared" ref="L186:L199" si="29">L221+L359+L465</f>
        <v>-7</v>
      </c>
      <c r="N186" s="1204" t="e">
        <f>-(J186/100)*#REF!</f>
        <v>#REF!</v>
      </c>
      <c r="AB186" s="1185"/>
      <c r="AC186" s="1185"/>
      <c r="AD186" s="1185"/>
      <c r="AE186" s="1185"/>
      <c r="AF186" s="1185"/>
      <c r="AG186" s="1185"/>
      <c r="AH186" s="1185"/>
      <c r="AI186" s="1185"/>
      <c r="AK186" s="1204"/>
    </row>
    <row r="187" spans="1:37">
      <c r="A187" s="1219" t="s">
        <v>391</v>
      </c>
      <c r="B187" s="1219"/>
      <c r="C187" s="1026">
        <f t="shared" si="26"/>
        <v>138.7000000000001</v>
      </c>
      <c r="D187" s="1259">
        <v>11.36</v>
      </c>
      <c r="E187" s="1041"/>
      <c r="F187" s="1040">
        <f t="shared" si="27"/>
        <v>-14</v>
      </c>
      <c r="G187" s="1259">
        <v>12.98</v>
      </c>
      <c r="H187" s="1041"/>
      <c r="I187" s="1040">
        <f t="shared" si="28"/>
        <v>-17</v>
      </c>
      <c r="J187" s="1259">
        <f>J170</f>
        <v>14.51</v>
      </c>
      <c r="K187" s="1041"/>
      <c r="L187" s="1040">
        <f t="shared" si="29"/>
        <v>-19</v>
      </c>
      <c r="N187" s="1204" t="e">
        <f>-(J187/100)*#REF!</f>
        <v>#REF!</v>
      </c>
      <c r="P187" s="1231" t="s">
        <v>31</v>
      </c>
      <c r="AD187" s="1185"/>
      <c r="AE187" s="1185"/>
      <c r="AF187" s="1185"/>
      <c r="AG187" s="1185"/>
      <c r="AH187" s="1185"/>
      <c r="AI187" s="1185"/>
      <c r="AK187" s="1204"/>
    </row>
    <row r="188" spans="1:37">
      <c r="A188" s="1219" t="s">
        <v>402</v>
      </c>
      <c r="B188" s="1219"/>
      <c r="C188" s="1026">
        <f t="shared" si="26"/>
        <v>2126</v>
      </c>
      <c r="D188" s="1259">
        <v>0.81</v>
      </c>
      <c r="E188" s="1041"/>
      <c r="F188" s="1040">
        <f t="shared" si="27"/>
        <v>-17</v>
      </c>
      <c r="G188" s="1259">
        <v>0.92</v>
      </c>
      <c r="H188" s="1041"/>
      <c r="I188" s="1040">
        <f t="shared" si="28"/>
        <v>-19</v>
      </c>
      <c r="J188" s="1259">
        <f>J171</f>
        <v>1.03</v>
      </c>
      <c r="K188" s="1041"/>
      <c r="L188" s="1040">
        <f t="shared" si="29"/>
        <v>-22</v>
      </c>
      <c r="N188" s="1204" t="e">
        <f>-(J188/100)*#REF!</f>
        <v>#REF!</v>
      </c>
      <c r="Q188" s="1231" t="s">
        <v>31</v>
      </c>
      <c r="S188" s="1005" t="s">
        <v>31</v>
      </c>
      <c r="AD188" s="1185"/>
      <c r="AE188" s="1185"/>
      <c r="AF188" s="1185"/>
      <c r="AG188" s="1185"/>
      <c r="AH188" s="1185"/>
      <c r="AI188" s="1185"/>
      <c r="AK188" s="1204"/>
    </row>
    <row r="189" spans="1:37">
      <c r="A189" s="1219" t="s">
        <v>403</v>
      </c>
      <c r="B189" s="1219"/>
      <c r="C189" s="1026">
        <f t="shared" si="26"/>
        <v>844.5</v>
      </c>
      <c r="D189" s="1259">
        <v>2.98</v>
      </c>
      <c r="E189" s="1009"/>
      <c r="F189" s="1040">
        <f t="shared" si="27"/>
        <v>-25</v>
      </c>
      <c r="G189" s="1259">
        <v>3.4</v>
      </c>
      <c r="H189" s="1009"/>
      <c r="I189" s="1040">
        <f t="shared" si="28"/>
        <v>-28</v>
      </c>
      <c r="J189" s="1259">
        <f>J174</f>
        <v>3.8</v>
      </c>
      <c r="K189" s="1009"/>
      <c r="L189" s="1040">
        <f t="shared" si="29"/>
        <v>-32</v>
      </c>
      <c r="N189" s="1204" t="e">
        <f>-(J189/100)*#REF!</f>
        <v>#REF!</v>
      </c>
      <c r="R189" s="1231" t="s">
        <v>31</v>
      </c>
      <c r="AD189" s="1185"/>
      <c r="AE189" s="1185"/>
      <c r="AF189" s="1185"/>
      <c r="AG189" s="1185"/>
      <c r="AH189" s="1185"/>
      <c r="AI189" s="1185"/>
      <c r="AK189" s="1204"/>
    </row>
    <row r="190" spans="1:37">
      <c r="A190" s="1219" t="s">
        <v>405</v>
      </c>
      <c r="B190" s="1219"/>
      <c r="C190" s="1026">
        <f t="shared" si="26"/>
        <v>153019.66666666669</v>
      </c>
      <c r="D190" s="1070">
        <v>8.5489999999999995</v>
      </c>
      <c r="E190" s="1009" t="s">
        <v>374</v>
      </c>
      <c r="F190" s="1040">
        <f t="shared" si="27"/>
        <v>-130</v>
      </c>
      <c r="G190" s="1070">
        <v>9.766</v>
      </c>
      <c r="H190" s="1009" t="s">
        <v>374</v>
      </c>
      <c r="I190" s="1040">
        <f t="shared" si="28"/>
        <v>-150</v>
      </c>
      <c r="J190" s="1070">
        <f>J175</f>
        <v>6.4269999999999996</v>
      </c>
      <c r="K190" s="1009" t="s">
        <v>374</v>
      </c>
      <c r="L190" s="1040">
        <f t="shared" si="29"/>
        <v>-98</v>
      </c>
      <c r="N190" s="1204" t="e">
        <f>-((J190/100)*#REF!)/100</f>
        <v>#REF!</v>
      </c>
      <c r="AD190" s="1185"/>
      <c r="AE190" s="1185"/>
      <c r="AF190" s="1185"/>
      <c r="AG190" s="1185"/>
      <c r="AH190" s="1185"/>
      <c r="AI190" s="1185"/>
      <c r="AK190" s="1204"/>
    </row>
    <row r="191" spans="1:37">
      <c r="A191" s="1219" t="s">
        <v>398</v>
      </c>
      <c r="B191" s="1219"/>
      <c r="C191" s="1026">
        <f t="shared" si="26"/>
        <v>574098.33333333279</v>
      </c>
      <c r="D191" s="1070">
        <v>5.9020000000000001</v>
      </c>
      <c r="E191" s="1009" t="s">
        <v>374</v>
      </c>
      <c r="F191" s="1040">
        <f t="shared" si="27"/>
        <v>-339</v>
      </c>
      <c r="G191" s="1070">
        <v>6.7460000000000004</v>
      </c>
      <c r="H191" s="1009" t="s">
        <v>374</v>
      </c>
      <c r="I191" s="1040">
        <f t="shared" si="28"/>
        <v>-387</v>
      </c>
      <c r="J191" s="1070">
        <f>J176</f>
        <v>4.4400000000000004</v>
      </c>
      <c r="K191" s="1009" t="s">
        <v>374</v>
      </c>
      <c r="L191" s="1040">
        <f t="shared" si="29"/>
        <v>-255</v>
      </c>
      <c r="N191" s="1204" t="e">
        <f>-((J191/100)*#REF!)/100</f>
        <v>#REF!</v>
      </c>
      <c r="AD191" s="1185"/>
      <c r="AE191" s="1185"/>
      <c r="AF191" s="1185"/>
      <c r="AG191" s="1185"/>
      <c r="AH191" s="1185"/>
      <c r="AI191" s="1185"/>
      <c r="AK191" s="1204"/>
    </row>
    <row r="192" spans="1:37">
      <c r="A192" s="1219" t="s">
        <v>399</v>
      </c>
      <c r="B192" s="1219"/>
      <c r="C192" s="1026">
        <f t="shared" si="26"/>
        <v>124578.00000000047</v>
      </c>
      <c r="D192" s="1070">
        <v>5.0839999999999996</v>
      </c>
      <c r="E192" s="1009" t="s">
        <v>374</v>
      </c>
      <c r="F192" s="1040">
        <f t="shared" si="27"/>
        <v>-63</v>
      </c>
      <c r="G192" s="1070">
        <v>5.8120000000000003</v>
      </c>
      <c r="H192" s="1009" t="s">
        <v>374</v>
      </c>
      <c r="I192" s="1040">
        <f t="shared" si="28"/>
        <v>-72</v>
      </c>
      <c r="J192" s="1070">
        <f>J177</f>
        <v>3.8250000000000002</v>
      </c>
      <c r="K192" s="1009" t="s">
        <v>374</v>
      </c>
      <c r="L192" s="1040">
        <f t="shared" si="29"/>
        <v>-47</v>
      </c>
      <c r="N192" s="1204" t="e">
        <f>-((J192/100)*#REF!)/100</f>
        <v>#REF!</v>
      </c>
      <c r="AB192" s="1185"/>
      <c r="AC192" s="1185"/>
      <c r="AD192" s="1185"/>
      <c r="AE192" s="1185"/>
      <c r="AF192" s="1185"/>
      <c r="AG192" s="1185"/>
      <c r="AH192" s="1185"/>
      <c r="AI192" s="1185"/>
      <c r="AK192" s="1204"/>
    </row>
    <row r="193" spans="1:37">
      <c r="A193" s="1219" t="s">
        <v>400</v>
      </c>
      <c r="B193" s="1219"/>
      <c r="C193" s="1026">
        <f t="shared" si="26"/>
        <v>2643.7</v>
      </c>
      <c r="D193" s="1260">
        <v>50</v>
      </c>
      <c r="E193" s="1009" t="s">
        <v>374</v>
      </c>
      <c r="F193" s="1040">
        <f t="shared" si="27"/>
        <v>-13</v>
      </c>
      <c r="G193" s="1260">
        <v>56</v>
      </c>
      <c r="H193" s="1009" t="s">
        <v>374</v>
      </c>
      <c r="I193" s="1040">
        <f t="shared" si="28"/>
        <v>-15</v>
      </c>
      <c r="J193" s="1260">
        <f>J178</f>
        <v>63</v>
      </c>
      <c r="K193" s="1009" t="s">
        <v>374</v>
      </c>
      <c r="L193" s="1040">
        <f t="shared" si="29"/>
        <v>-17</v>
      </c>
      <c r="N193" s="1204" t="e">
        <f>-((J193/100)*#REF!)/100</f>
        <v>#REF!</v>
      </c>
      <c r="AB193" s="1185"/>
      <c r="AC193" s="1185"/>
      <c r="AD193" s="1185"/>
      <c r="AE193" s="1185"/>
      <c r="AF193" s="1185"/>
      <c r="AG193" s="1185"/>
      <c r="AH193" s="1185"/>
      <c r="AI193" s="1185"/>
      <c r="AK193" s="1204"/>
    </row>
    <row r="194" spans="1:37">
      <c r="A194" s="1219" t="s">
        <v>407</v>
      </c>
      <c r="B194" s="1219"/>
      <c r="C194" s="1026">
        <f t="shared" si="26"/>
        <v>135.13333333333341</v>
      </c>
      <c r="D194" s="1261">
        <v>60</v>
      </c>
      <c r="E194" s="1041"/>
      <c r="F194" s="1040">
        <f t="shared" si="27"/>
        <v>8108</v>
      </c>
      <c r="G194" s="1261">
        <v>60</v>
      </c>
      <c r="H194" s="1009"/>
      <c r="I194" s="1040">
        <f t="shared" si="28"/>
        <v>8108</v>
      </c>
      <c r="J194" s="1261">
        <f>'[94]Blocking - detail'!$I$172</f>
        <v>60</v>
      </c>
      <c r="K194" s="1009"/>
      <c r="L194" s="1040">
        <f t="shared" si="29"/>
        <v>8108</v>
      </c>
      <c r="N194" s="1204" t="e">
        <f>J194*#REF!</f>
        <v>#REF!</v>
      </c>
      <c r="Q194" s="1231" t="s">
        <v>31</v>
      </c>
      <c r="AB194" s="1185"/>
      <c r="AC194" s="1185"/>
      <c r="AD194" s="1185"/>
      <c r="AE194" s="1185"/>
      <c r="AF194" s="1185"/>
      <c r="AG194" s="1185"/>
      <c r="AH194" s="1185"/>
      <c r="AI194" s="1185"/>
      <c r="AK194" s="1204"/>
    </row>
    <row r="195" spans="1:37">
      <c r="A195" s="1219" t="s">
        <v>408</v>
      </c>
      <c r="B195" s="1219"/>
      <c r="C195" s="1026">
        <f t="shared" si="26"/>
        <v>2126</v>
      </c>
      <c r="D195" s="1262">
        <v>-30</v>
      </c>
      <c r="E195" s="1041" t="s">
        <v>374</v>
      </c>
      <c r="F195" s="1040">
        <f t="shared" si="27"/>
        <v>-638</v>
      </c>
      <c r="G195" s="1262">
        <v>-30</v>
      </c>
      <c r="H195" s="1009" t="s">
        <v>374</v>
      </c>
      <c r="I195" s="1040">
        <f t="shared" si="28"/>
        <v>-638</v>
      </c>
      <c r="J195" s="1262">
        <f>'[94]Blocking - detail'!$I$173</f>
        <v>-30</v>
      </c>
      <c r="K195" s="1009" t="s">
        <v>374</v>
      </c>
      <c r="L195" s="1040">
        <f t="shared" si="29"/>
        <v>-638</v>
      </c>
      <c r="N195" s="1204" t="e">
        <f>(J195/100)*#REF!</f>
        <v>#REF!</v>
      </c>
      <c r="S195" s="1263"/>
      <c r="T195" s="1263"/>
      <c r="AB195" s="1185"/>
      <c r="AC195" s="1185"/>
      <c r="AD195" s="1185"/>
      <c r="AE195" s="1185"/>
      <c r="AF195" s="1185"/>
      <c r="AG195" s="1185"/>
      <c r="AH195" s="1185"/>
      <c r="AI195" s="1185"/>
      <c r="AK195" s="1204"/>
    </row>
    <row r="196" spans="1:37">
      <c r="A196" s="1005" t="s">
        <v>918</v>
      </c>
      <c r="C196" s="1026">
        <f t="shared" si="26"/>
        <v>153019.66666666669</v>
      </c>
      <c r="D196" s="269"/>
      <c r="E196" s="1185"/>
      <c r="F196" s="1203"/>
      <c r="G196" s="269"/>
      <c r="H196" s="1185"/>
      <c r="I196" s="1203"/>
      <c r="J196" s="1230">
        <f>J179</f>
        <v>4.4989999999999997</v>
      </c>
      <c r="K196" s="1009" t="s">
        <v>374</v>
      </c>
      <c r="L196" s="1040">
        <f t="shared" si="29"/>
        <v>6884</v>
      </c>
      <c r="N196" s="1204"/>
      <c r="P196" s="815"/>
      <c r="Q196" s="1184"/>
      <c r="R196" s="1184"/>
      <c r="S196" s="1205"/>
      <c r="T196" s="1205"/>
      <c r="Y196" s="1185"/>
      <c r="Z196" s="1185"/>
      <c r="AA196" s="1185"/>
      <c r="AB196" s="1185"/>
      <c r="AC196" s="1185"/>
      <c r="AD196" s="1185"/>
      <c r="AE196" s="1185"/>
      <c r="AF196" s="1185"/>
      <c r="AG196" s="1185"/>
      <c r="AH196" s="1185"/>
      <c r="AI196" s="1185"/>
      <c r="AK196" s="1204"/>
    </row>
    <row r="197" spans="1:37">
      <c r="A197" s="1005" t="s">
        <v>919</v>
      </c>
      <c r="C197" s="1026">
        <f t="shared" si="26"/>
        <v>536845318.46411794</v>
      </c>
      <c r="D197" s="269"/>
      <c r="E197" s="1185"/>
      <c r="F197" s="1203"/>
      <c r="G197" s="269"/>
      <c r="H197" s="1185"/>
      <c r="I197" s="1203"/>
      <c r="J197" s="1230">
        <f>J180</f>
        <v>3.1080000000000001</v>
      </c>
      <c r="K197" s="1009" t="s">
        <v>374</v>
      </c>
      <c r="L197" s="1040">
        <f t="shared" si="29"/>
        <v>17843</v>
      </c>
      <c r="N197" s="1204"/>
      <c r="P197" s="815"/>
      <c r="Q197" s="1184"/>
      <c r="R197" s="1184"/>
      <c r="S197" s="1205"/>
      <c r="T197" s="1205"/>
      <c r="Y197" s="1185"/>
      <c r="Z197" s="1185"/>
      <c r="AA197" s="1185"/>
      <c r="AB197" s="1185"/>
      <c r="AC197" s="1185"/>
      <c r="AD197" s="1185"/>
      <c r="AE197" s="1185"/>
      <c r="AF197" s="1185"/>
      <c r="AG197" s="1185"/>
      <c r="AH197" s="1185"/>
      <c r="AI197" s="1185"/>
      <c r="AK197" s="1204"/>
    </row>
    <row r="198" spans="1:37">
      <c r="A198" s="1005" t="s">
        <v>920</v>
      </c>
      <c r="C198" s="1026">
        <f t="shared" si="26"/>
        <v>-1106026.6645171219</v>
      </c>
      <c r="D198" s="269"/>
      <c r="E198" s="1185"/>
      <c r="F198" s="1203"/>
      <c r="G198" s="269"/>
      <c r="H198" s="1185"/>
      <c r="I198" s="1203"/>
      <c r="J198" s="1230">
        <f>J181</f>
        <v>2.6779999999999999</v>
      </c>
      <c r="K198" s="1009" t="s">
        <v>374</v>
      </c>
      <c r="L198" s="1040">
        <f t="shared" si="29"/>
        <v>3337</v>
      </c>
      <c r="N198" s="1204"/>
      <c r="P198" s="815"/>
      <c r="Q198" s="1184"/>
      <c r="R198" s="1184"/>
      <c r="S198" s="1205"/>
      <c r="T198" s="1205"/>
      <c r="Y198" s="1185"/>
      <c r="Z198" s="1185"/>
      <c r="AA198" s="1185"/>
      <c r="AB198" s="1185"/>
      <c r="AC198" s="1185"/>
      <c r="AD198" s="1185"/>
      <c r="AE198" s="1185"/>
      <c r="AF198" s="1185"/>
      <c r="AG198" s="1185"/>
      <c r="AH198" s="1185"/>
      <c r="AI198" s="1185"/>
      <c r="AK198" s="1204"/>
    </row>
    <row r="199" spans="1:37">
      <c r="A199" s="1219" t="s">
        <v>381</v>
      </c>
      <c r="B199" s="1202"/>
      <c r="C199" s="1026">
        <f t="shared" si="26"/>
        <v>538505456.464118</v>
      </c>
      <c r="D199" s="1255"/>
      <c r="E199" s="1203"/>
      <c r="F199" s="1040">
        <f>F234+F372+F478</f>
        <v>39473199</v>
      </c>
      <c r="G199" s="1255"/>
      <c r="H199" s="1009"/>
      <c r="I199" s="1040">
        <f>I234+I372+I478</f>
        <v>45365456</v>
      </c>
      <c r="J199" s="1255"/>
      <c r="K199" s="1009"/>
      <c r="L199" s="1040">
        <f t="shared" si="29"/>
        <v>50780975</v>
      </c>
      <c r="N199" s="1204" t="e">
        <f>SUM(N165:N195)</f>
        <v>#REF!</v>
      </c>
      <c r="AB199" s="1185"/>
      <c r="AC199" s="1185"/>
      <c r="AD199" s="1185"/>
      <c r="AE199" s="1185"/>
      <c r="AF199" s="1185"/>
      <c r="AG199" s="1185"/>
      <c r="AH199" s="1185"/>
      <c r="AI199" s="1185"/>
      <c r="AK199" s="1204"/>
    </row>
    <row r="200" spans="1:37">
      <c r="A200" s="1219" t="s">
        <v>363</v>
      </c>
      <c r="B200" s="25"/>
      <c r="C200" s="1028">
        <f t="shared" si="26"/>
        <v>-1109664.9810797435</v>
      </c>
      <c r="D200" s="1218"/>
      <c r="E200" s="1218"/>
      <c r="F200" s="1264" t="e">
        <f>F235+F373+F479</f>
        <v>#REF!</v>
      </c>
      <c r="G200" s="1218"/>
      <c r="H200" s="1218"/>
      <c r="I200" s="1264">
        <f>I235+I373+I479</f>
        <v>-104118.6695298296</v>
      </c>
      <c r="J200" s="1218"/>
      <c r="K200" s="1218"/>
      <c r="L200" s="1264">
        <f>I200</f>
        <v>-104118.6695298296</v>
      </c>
      <c r="N200" s="289"/>
      <c r="Q200" s="801"/>
      <c r="R200" s="801"/>
      <c r="AB200" s="1185"/>
      <c r="AC200" s="1185"/>
      <c r="AD200" s="1185"/>
      <c r="AE200" s="1185"/>
      <c r="AF200" s="1185"/>
      <c r="AG200" s="1185"/>
      <c r="AH200" s="1185"/>
      <c r="AI200" s="1185"/>
      <c r="AK200" s="1204"/>
    </row>
    <row r="201" spans="1:37" ht="16.5" thickBot="1">
      <c r="A201" s="1219" t="s">
        <v>382</v>
      </c>
      <c r="B201" s="1219"/>
      <c r="C201" s="1240">
        <f>SUM(C199:C200)</f>
        <v>537395791.48303831</v>
      </c>
      <c r="D201" s="1265"/>
      <c r="E201" s="1266"/>
      <c r="F201" s="1267" t="e">
        <f>F199+F200</f>
        <v>#REF!</v>
      </c>
      <c r="G201" s="1268"/>
      <c r="H201" s="1269"/>
      <c r="I201" s="1267">
        <f>I199+I200</f>
        <v>45261337.330470167</v>
      </c>
      <c r="J201" s="1270"/>
      <c r="K201" s="1269"/>
      <c r="L201" s="1267">
        <f>L199+L200</f>
        <v>50676856.330470167</v>
      </c>
      <c r="N201" s="291"/>
      <c r="O201" s="1215" t="s">
        <v>409</v>
      </c>
      <c r="P201" s="1216">
        <f>'[94]Rate Spread'!Q22*1000</f>
        <v>50676807.538141966</v>
      </c>
      <c r="Q201" s="828">
        <f>'[94]Rate Spread'!V22-0.00083</f>
        <v>0.1188189217305137</v>
      </c>
      <c r="R201" s="824"/>
      <c r="S201" s="55" t="s">
        <v>31</v>
      </c>
      <c r="AB201" s="1185"/>
      <c r="AC201" s="1185"/>
      <c r="AD201" s="1185"/>
      <c r="AE201" s="1185"/>
      <c r="AF201" s="1185"/>
      <c r="AG201" s="1185"/>
      <c r="AH201" s="1185"/>
      <c r="AI201" s="1185"/>
      <c r="AK201" s="1204"/>
    </row>
    <row r="202" spans="1:37" ht="16.5" thickTop="1">
      <c r="A202" s="1219"/>
      <c r="B202" s="1219"/>
      <c r="C202" s="1225"/>
      <c r="D202" s="1261"/>
      <c r="E202" s="1203"/>
      <c r="F202" s="1203"/>
      <c r="G202" s="1261"/>
      <c r="H202" s="1219"/>
      <c r="I202" s="1203" t="s">
        <v>31</v>
      </c>
      <c r="J202" s="1261"/>
      <c r="K202" s="1219"/>
      <c r="L202" s="1203" t="s">
        <v>31</v>
      </c>
      <c r="O202" s="1220" t="s">
        <v>263</v>
      </c>
      <c r="P202" s="1221">
        <f>P201-L201</f>
        <v>-48.792328201234341</v>
      </c>
      <c r="Q202" s="1271" t="s">
        <v>31</v>
      </c>
      <c r="R202" s="1272"/>
      <c r="AB202" s="1185"/>
      <c r="AC202" s="1185"/>
      <c r="AD202" s="1185"/>
      <c r="AE202" s="1185"/>
      <c r="AF202" s="1185"/>
      <c r="AG202" s="1185"/>
      <c r="AH202" s="1185"/>
      <c r="AI202" s="1185"/>
      <c r="AK202" s="1204"/>
    </row>
    <row r="203" spans="1:37">
      <c r="A203" s="1219"/>
      <c r="B203" s="1219"/>
      <c r="C203" s="1225"/>
      <c r="D203" s="1261"/>
      <c r="E203" s="1203"/>
      <c r="F203" s="1203"/>
      <c r="G203" s="1261"/>
      <c r="H203" s="1219"/>
      <c r="I203" s="1203"/>
      <c r="J203" s="1261"/>
      <c r="K203" s="1219"/>
      <c r="AB203" s="1185"/>
      <c r="AC203" s="1185"/>
      <c r="AD203" s="1185"/>
      <c r="AE203" s="1185"/>
      <c r="AF203" s="1185"/>
      <c r="AG203" s="1185"/>
      <c r="AH203" s="1185"/>
      <c r="AI203" s="1185"/>
      <c r="AK203" s="1204"/>
    </row>
    <row r="204" spans="1:37">
      <c r="A204" s="1224" t="s">
        <v>387</v>
      </c>
      <c r="B204" s="1219"/>
      <c r="C204" s="1219"/>
      <c r="D204" s="1203"/>
      <c r="E204" s="1203"/>
      <c r="F204" s="1219" t="s">
        <v>31</v>
      </c>
      <c r="G204" s="1203"/>
      <c r="H204" s="1219"/>
      <c r="I204" s="1219"/>
      <c r="J204" s="1203"/>
      <c r="K204" s="1219"/>
      <c r="L204" s="1219"/>
      <c r="P204" s="1273" t="s">
        <v>31</v>
      </c>
      <c r="Q204" s="55"/>
      <c r="R204" s="55"/>
      <c r="AB204" s="1185"/>
      <c r="AC204" s="1185"/>
      <c r="AD204" s="1185"/>
      <c r="AE204" s="1185"/>
      <c r="AF204" s="1185"/>
      <c r="AG204" s="1185"/>
      <c r="AH204" s="1185"/>
      <c r="AI204" s="1185"/>
      <c r="AK204" s="1204"/>
    </row>
    <row r="205" spans="1:37">
      <c r="A205" s="1219" t="s">
        <v>410</v>
      </c>
      <c r="B205" s="1219"/>
      <c r="C205" s="1219"/>
      <c r="D205" s="1203"/>
      <c r="E205" s="1203"/>
      <c r="F205" s="1219"/>
      <c r="G205" s="1203"/>
      <c r="H205" s="1219"/>
      <c r="I205" s="1219"/>
      <c r="J205" s="1203"/>
      <c r="K205" s="1219"/>
      <c r="L205" s="1219"/>
      <c r="N205" s="1274"/>
      <c r="O205" s="1274"/>
      <c r="P205" s="1186"/>
      <c r="Q205" s="1186"/>
      <c r="R205" s="1186"/>
      <c r="S205" s="1185"/>
      <c r="T205" s="1185"/>
      <c r="U205" s="1185"/>
      <c r="V205" s="1185"/>
      <c r="W205" s="1185"/>
      <c r="X205" s="1185"/>
      <c r="Y205" s="1185"/>
      <c r="Z205" s="1185"/>
      <c r="AA205" s="1185"/>
      <c r="AB205" s="1185"/>
      <c r="AC205" s="1185"/>
      <c r="AD205" s="1185"/>
      <c r="AE205" s="1185"/>
      <c r="AF205" s="1185"/>
      <c r="AG205" s="1185"/>
      <c r="AH205" s="1185"/>
      <c r="AI205" s="1185"/>
      <c r="AK205" s="1204"/>
    </row>
    <row r="206" spans="1:37">
      <c r="A206" s="1219"/>
      <c r="B206" s="1219"/>
      <c r="C206" s="1219"/>
      <c r="D206" s="1203"/>
      <c r="E206" s="1203"/>
      <c r="F206" s="1219"/>
      <c r="G206" s="1203"/>
      <c r="H206" s="1219"/>
      <c r="I206" s="1219"/>
      <c r="J206" s="1203"/>
      <c r="K206" s="1219"/>
      <c r="L206" s="1219"/>
      <c r="N206" s="1274"/>
      <c r="O206" s="1274"/>
      <c r="P206" s="1186"/>
      <c r="Q206" s="1186"/>
      <c r="R206" s="1186"/>
      <c r="S206" s="1185"/>
      <c r="T206" s="1185"/>
      <c r="U206" s="1185"/>
      <c r="V206" s="1185"/>
      <c r="W206" s="1185"/>
      <c r="X206" s="1185"/>
      <c r="Y206" s="1185"/>
      <c r="Z206" s="1185"/>
      <c r="AA206" s="1185"/>
      <c r="AB206" s="1185"/>
      <c r="AC206" s="1185"/>
      <c r="AD206" s="1185"/>
      <c r="AE206" s="1185"/>
      <c r="AF206" s="1185"/>
      <c r="AG206" s="1185"/>
      <c r="AH206" s="1185"/>
      <c r="AI206" s="1185"/>
      <c r="AK206" s="1204"/>
    </row>
    <row r="207" spans="1:37">
      <c r="A207" s="1219" t="s">
        <v>393</v>
      </c>
      <c r="B207" s="1219"/>
      <c r="C207" s="1026"/>
      <c r="D207" s="1203"/>
      <c r="E207" s="1203"/>
      <c r="F207" s="1219"/>
      <c r="G207" s="1203"/>
      <c r="H207" s="1219"/>
      <c r="I207" s="1219"/>
      <c r="J207" s="1203"/>
      <c r="K207" s="1219"/>
      <c r="L207" s="1219"/>
      <c r="N207" s="1185"/>
      <c r="O207" s="1185"/>
      <c r="P207" s="1186"/>
      <c r="Q207" s="1186"/>
      <c r="R207" s="1186"/>
      <c r="S207" s="1185"/>
      <c r="T207" s="1185"/>
      <c r="U207" s="1185"/>
      <c r="V207" s="1185"/>
      <c r="W207" s="1185"/>
      <c r="X207" s="1185"/>
      <c r="Y207" s="1185"/>
      <c r="Z207" s="1185"/>
      <c r="AA207" s="1185"/>
      <c r="AB207" s="1185"/>
      <c r="AC207" s="1185"/>
      <c r="AD207" s="1185"/>
      <c r="AE207" s="1185"/>
      <c r="AF207" s="1185"/>
      <c r="AG207" s="1185"/>
      <c r="AH207" s="1185"/>
      <c r="AI207" s="1185"/>
      <c r="AK207" s="1204"/>
    </row>
    <row r="208" spans="1:37">
      <c r="A208" s="1219" t="s">
        <v>390</v>
      </c>
      <c r="B208" s="1219"/>
      <c r="C208" s="1026">
        <f>C277+C311+C242</f>
        <v>158636.29999999361</v>
      </c>
      <c r="D208" s="1229">
        <v>7.64</v>
      </c>
      <c r="E208" s="1041"/>
      <c r="F208" s="1203">
        <f>F277+F311</f>
        <v>1168196</v>
      </c>
      <c r="G208" s="1229">
        <v>8.7100000000000009</v>
      </c>
      <c r="H208" s="1009"/>
      <c r="I208" s="1203">
        <f>I277+I311+I242</f>
        <v>1381722</v>
      </c>
      <c r="J208" s="1229">
        <f>$J$169</f>
        <v>9.74</v>
      </c>
      <c r="K208" s="1009"/>
      <c r="L208" s="1203">
        <f>L277+L311+L242</f>
        <v>1545118</v>
      </c>
      <c r="N208" s="1185"/>
      <c r="O208" s="1185"/>
      <c r="P208" s="1186"/>
      <c r="Q208" s="1186"/>
      <c r="R208" s="1186"/>
      <c r="S208" s="1185"/>
      <c r="T208" s="1185"/>
      <c r="U208" s="1185"/>
      <c r="V208" s="1185"/>
      <c r="W208" s="1185"/>
      <c r="X208" s="1185"/>
      <c r="Y208" s="1185"/>
      <c r="Z208" s="1185"/>
      <c r="AA208" s="1185"/>
      <c r="AB208" s="1185"/>
      <c r="AC208" s="1185"/>
      <c r="AD208" s="1185"/>
      <c r="AE208" s="1185"/>
      <c r="AF208" s="1185"/>
      <c r="AG208" s="1185"/>
      <c r="AH208" s="1185"/>
      <c r="AI208" s="1185"/>
      <c r="AK208" s="1204"/>
    </row>
    <row r="209" spans="1:37">
      <c r="A209" s="1219" t="s">
        <v>391</v>
      </c>
      <c r="B209" s="1219"/>
      <c r="C209" s="1026">
        <f>C278+C312+C243</f>
        <v>62611.199999999109</v>
      </c>
      <c r="D209" s="1229">
        <v>11.36</v>
      </c>
      <c r="E209" s="1249"/>
      <c r="F209" s="1203">
        <f>F278+F312</f>
        <v>707158</v>
      </c>
      <c r="G209" s="1229">
        <v>12.98</v>
      </c>
      <c r="H209" s="1250"/>
      <c r="I209" s="1203">
        <f>I278+I312+I243</f>
        <v>812693</v>
      </c>
      <c r="J209" s="1229">
        <f>$J$170</f>
        <v>14.51</v>
      </c>
      <c r="K209" s="1250"/>
      <c r="L209" s="1203">
        <f>L278+L312+L243</f>
        <v>908489</v>
      </c>
      <c r="N209" s="1185"/>
      <c r="O209" s="1185"/>
      <c r="P209" s="1186"/>
      <c r="Q209" s="1186"/>
      <c r="R209" s="1186"/>
      <c r="S209" s="1185"/>
      <c r="T209" s="1185"/>
      <c r="U209" s="1185"/>
      <c r="V209" s="1185"/>
      <c r="W209" s="1185"/>
      <c r="X209" s="1185"/>
      <c r="Y209" s="1185"/>
      <c r="Z209" s="1185"/>
      <c r="AA209" s="1185"/>
      <c r="AB209" s="1185"/>
      <c r="AC209" s="1185"/>
      <c r="AD209" s="1185"/>
      <c r="AE209" s="1185"/>
      <c r="AF209" s="1185"/>
      <c r="AG209" s="1185"/>
      <c r="AH209" s="1185"/>
      <c r="AI209" s="1185"/>
      <c r="AK209" s="1204"/>
    </row>
    <row r="210" spans="1:37">
      <c r="A210" s="1219" t="s">
        <v>392</v>
      </c>
      <c r="B210" s="1219"/>
      <c r="C210" s="1026">
        <f>C279+C313+C244</f>
        <v>1220817.5</v>
      </c>
      <c r="D210" s="1229">
        <v>0.81</v>
      </c>
      <c r="E210" s="1249"/>
      <c r="F210" s="1203">
        <f>F279+F313</f>
        <v>988060</v>
      </c>
      <c r="G210" s="1229">
        <v>0.92</v>
      </c>
      <c r="H210" s="1250"/>
      <c r="I210" s="1203">
        <f>I279+I313+I244</f>
        <v>1123153</v>
      </c>
      <c r="J210" s="1229">
        <f>$J$171</f>
        <v>1.03</v>
      </c>
      <c r="K210" s="1250"/>
      <c r="L210" s="1203">
        <f>L279+L313+L244</f>
        <v>1257442</v>
      </c>
      <c r="N210" s="1185"/>
      <c r="O210" s="1185"/>
      <c r="P210" s="1186"/>
      <c r="Q210" s="1186"/>
      <c r="R210" s="1186"/>
      <c r="S210" s="1185"/>
      <c r="T210" s="1185"/>
      <c r="U210" s="1185"/>
      <c r="V210" s="1185"/>
      <c r="W210" s="1185"/>
      <c r="X210" s="1185"/>
      <c r="Y210" s="1185"/>
      <c r="Z210" s="1185"/>
      <c r="AA210" s="1185"/>
      <c r="AB210" s="1185"/>
      <c r="AC210" s="1185"/>
      <c r="AD210" s="1185"/>
      <c r="AE210" s="1185"/>
      <c r="AF210" s="1185"/>
      <c r="AG210" s="1185"/>
      <c r="AH210" s="1185"/>
      <c r="AI210" s="1185"/>
      <c r="AK210" s="1204"/>
    </row>
    <row r="211" spans="1:37">
      <c r="A211" s="1219" t="s">
        <v>394</v>
      </c>
      <c r="B211" s="1219"/>
      <c r="C211" s="1026">
        <f>SUM(C208:C209)</f>
        <v>221247.49999999272</v>
      </c>
      <c r="D211" s="1229"/>
      <c r="E211" s="1041"/>
      <c r="F211" s="1203"/>
      <c r="G211" s="1229"/>
      <c r="H211" s="1009"/>
      <c r="I211" s="1203"/>
      <c r="J211" s="1229"/>
      <c r="K211" s="1009"/>
      <c r="L211" s="1203"/>
      <c r="N211" s="1185"/>
      <c r="O211" s="1185"/>
      <c r="P211" s="1186"/>
      <c r="Q211" s="1186"/>
      <c r="R211" s="1186"/>
      <c r="S211" s="1185"/>
      <c r="T211" s="1185"/>
      <c r="U211" s="1185"/>
      <c r="V211" s="1185"/>
      <c r="W211" s="1185"/>
      <c r="X211" s="1185"/>
      <c r="Y211" s="1185"/>
      <c r="Z211" s="1185"/>
      <c r="AA211" s="1185"/>
      <c r="AB211" s="1185"/>
      <c r="AC211" s="1185"/>
      <c r="AD211" s="1185"/>
      <c r="AE211" s="1185"/>
      <c r="AF211" s="1185"/>
      <c r="AG211" s="1185"/>
      <c r="AH211" s="1185"/>
      <c r="AI211" s="1185"/>
      <c r="AK211" s="1204"/>
    </row>
    <row r="212" spans="1:37">
      <c r="A212" s="1219" t="s">
        <v>395</v>
      </c>
      <c r="B212" s="1219"/>
      <c r="C212" s="1026">
        <f t="shared" ref="C212:C219" si="30">C281+C315+C246</f>
        <v>781307.5</v>
      </c>
      <c r="D212" s="1261">
        <v>2.98</v>
      </c>
      <c r="E212" s="1009"/>
      <c r="F212" s="1203">
        <f>F281+F315</f>
        <v>2326788</v>
      </c>
      <c r="G212" s="1261">
        <v>3.4</v>
      </c>
      <c r="H212" s="1009"/>
      <c r="I212" s="1203">
        <f>I281+I315+I246</f>
        <v>2656445</v>
      </c>
      <c r="J212" s="1261">
        <f>$J$174</f>
        <v>3.8</v>
      </c>
      <c r="K212" s="1009"/>
      <c r="L212" s="1203">
        <f>L281+L315+L246</f>
        <v>2968969</v>
      </c>
      <c r="N212" s="1185"/>
      <c r="O212" s="1185"/>
      <c r="P212" s="1186"/>
      <c r="Q212" s="1186"/>
      <c r="R212" s="1186"/>
      <c r="S212" s="1185"/>
      <c r="T212" s="1185"/>
      <c r="U212" s="1185"/>
      <c r="V212" s="1185"/>
      <c r="W212" s="1185"/>
      <c r="X212" s="1185"/>
      <c r="Y212" s="1185"/>
      <c r="Z212" s="1185"/>
      <c r="AA212" s="1185"/>
      <c r="AB212" s="1185"/>
      <c r="AC212" s="1185"/>
      <c r="AD212" s="1185"/>
      <c r="AE212" s="1185"/>
      <c r="AF212" s="1185"/>
      <c r="AG212" s="1185"/>
      <c r="AH212" s="1185"/>
      <c r="AI212" s="1185"/>
      <c r="AK212" s="1204"/>
    </row>
    <row r="213" spans="1:37">
      <c r="A213" s="1219" t="s">
        <v>397</v>
      </c>
      <c r="B213" s="1219"/>
      <c r="C213" s="1026">
        <f t="shared" si="30"/>
        <v>130571195.98392698</v>
      </c>
      <c r="D213" s="1230">
        <v>8.5489999999999995</v>
      </c>
      <c r="E213" s="1009" t="s">
        <v>374</v>
      </c>
      <c r="F213" s="1203">
        <f>F282+F316</f>
        <v>11005721</v>
      </c>
      <c r="G213" s="1230">
        <v>9.766</v>
      </c>
      <c r="H213" s="1009" t="s">
        <v>374</v>
      </c>
      <c r="I213" s="1203">
        <f>I282+I316+I247</f>
        <v>12751584</v>
      </c>
      <c r="J213" s="1230">
        <f>$J$175</f>
        <v>6.4269999999999996</v>
      </c>
      <c r="K213" s="1009" t="s">
        <v>374</v>
      </c>
      <c r="L213" s="1203">
        <f>L282+L316+L247</f>
        <v>8391811</v>
      </c>
      <c r="N213" s="1185"/>
      <c r="O213" s="1185"/>
      <c r="P213" s="1186"/>
      <c r="Q213" s="1186"/>
      <c r="R213" s="1186"/>
      <c r="S213" s="1185"/>
      <c r="T213" s="1185"/>
      <c r="U213" s="1185"/>
      <c r="V213" s="1185"/>
      <c r="W213" s="1185"/>
      <c r="X213" s="1185"/>
      <c r="Y213" s="1185"/>
      <c r="Z213" s="1185"/>
      <c r="AA213" s="1185"/>
      <c r="AB213" s="1185"/>
      <c r="AC213" s="1185"/>
      <c r="AD213" s="1185"/>
      <c r="AE213" s="1185"/>
      <c r="AF213" s="1185"/>
      <c r="AG213" s="1185"/>
      <c r="AH213" s="1185"/>
      <c r="AI213" s="1185"/>
      <c r="AK213" s="1204"/>
    </row>
    <row r="214" spans="1:37">
      <c r="A214" s="1219" t="s">
        <v>398</v>
      </c>
      <c r="B214" s="1219"/>
      <c r="C214" s="1026">
        <f t="shared" si="30"/>
        <v>286080284.21862602</v>
      </c>
      <c r="D214" s="1230">
        <v>5.9020000000000001</v>
      </c>
      <c r="E214" s="1009" t="s">
        <v>374</v>
      </c>
      <c r="F214" s="1203">
        <f>F283+F317</f>
        <v>16853555</v>
      </c>
      <c r="G214" s="1230">
        <v>6.7460000000000004</v>
      </c>
      <c r="H214" s="1009" t="s">
        <v>374</v>
      </c>
      <c r="I214" s="1203">
        <f>I283+I317+I248</f>
        <v>19298975</v>
      </c>
      <c r="J214" s="1230">
        <f>$J$176</f>
        <v>4.4400000000000004</v>
      </c>
      <c r="K214" s="1009" t="s">
        <v>374</v>
      </c>
      <c r="L214" s="1203">
        <f>L283+L317+L248</f>
        <v>12701964</v>
      </c>
      <c r="N214" s="1185"/>
      <c r="O214" s="1185"/>
      <c r="P214" s="1186"/>
      <c r="Q214" s="1186"/>
      <c r="R214" s="1186"/>
      <c r="S214" s="1185"/>
      <c r="T214" s="1185"/>
      <c r="U214" s="1185"/>
      <c r="V214" s="1185"/>
      <c r="W214" s="1185"/>
      <c r="X214" s="1185"/>
      <c r="Y214" s="1185"/>
      <c r="Z214" s="1185"/>
      <c r="AA214" s="1185"/>
      <c r="AB214" s="1185"/>
      <c r="AC214" s="1185"/>
      <c r="AD214" s="1185"/>
      <c r="AE214" s="1185"/>
      <c r="AF214" s="1185"/>
      <c r="AG214" s="1185"/>
      <c r="AH214" s="1185"/>
      <c r="AI214" s="1185"/>
      <c r="AK214" s="1204"/>
    </row>
    <row r="215" spans="1:37">
      <c r="A215" s="1219" t="s">
        <v>399</v>
      </c>
      <c r="B215" s="1219"/>
      <c r="C215" s="1026">
        <f t="shared" si="30"/>
        <v>120193838.26156484</v>
      </c>
      <c r="D215" s="1230">
        <v>5.0839999999999996</v>
      </c>
      <c r="E215" s="1009" t="s">
        <v>374</v>
      </c>
      <c r="F215" s="1203">
        <f>F284+F318</f>
        <v>6110655</v>
      </c>
      <c r="G215" s="1230">
        <v>5.8120000000000003</v>
      </c>
      <c r="H215" s="1009" t="s">
        <v>374</v>
      </c>
      <c r="I215" s="1203">
        <f>I284+I318+I249</f>
        <v>6985666</v>
      </c>
      <c r="J215" s="1230">
        <f>$J$177</f>
        <v>3.8250000000000002</v>
      </c>
      <c r="K215" s="1009" t="s">
        <v>374</v>
      </c>
      <c r="L215" s="1203">
        <f>L284+L318+L249</f>
        <v>4597414</v>
      </c>
      <c r="N215" s="1185"/>
      <c r="O215" s="1185"/>
      <c r="P215" s="1186"/>
      <c r="Q215" s="1186"/>
      <c r="R215" s="1186"/>
      <c r="S215" s="1185"/>
      <c r="T215" s="1185"/>
      <c r="U215" s="1185"/>
      <c r="V215" s="1185"/>
      <c r="W215" s="1185"/>
      <c r="X215" s="1185"/>
      <c r="Y215" s="1185"/>
      <c r="Z215" s="1185"/>
      <c r="AA215" s="1185"/>
      <c r="AB215" s="1185"/>
      <c r="AC215" s="1185"/>
      <c r="AD215" s="1185"/>
      <c r="AE215" s="1185"/>
      <c r="AF215" s="1185"/>
      <c r="AG215" s="1185"/>
      <c r="AH215" s="1185"/>
      <c r="AI215" s="1185"/>
      <c r="AK215" s="1204"/>
    </row>
    <row r="216" spans="1:37">
      <c r="A216" s="1219" t="s">
        <v>400</v>
      </c>
      <c r="B216" s="1219"/>
      <c r="C216" s="1026">
        <f t="shared" si="30"/>
        <v>110441.09999999979</v>
      </c>
      <c r="D216" s="1255">
        <v>50</v>
      </c>
      <c r="E216" s="1041" t="s">
        <v>374</v>
      </c>
      <c r="F216" s="1203">
        <f>F285+F319</f>
        <v>55220</v>
      </c>
      <c r="G216" s="1255">
        <v>56</v>
      </c>
      <c r="H216" s="1009" t="s">
        <v>374</v>
      </c>
      <c r="I216" s="1203">
        <f>I285+I319+I250</f>
        <v>61847</v>
      </c>
      <c r="J216" s="1255">
        <f>$J$178</f>
        <v>63</v>
      </c>
      <c r="K216" s="1009" t="s">
        <v>374</v>
      </c>
      <c r="L216" s="1203">
        <f>L285+L319+L250</f>
        <v>69578</v>
      </c>
      <c r="N216" s="1185"/>
      <c r="O216" s="1185"/>
      <c r="P216" s="1186"/>
      <c r="Q216" s="1186"/>
      <c r="R216" s="1186"/>
      <c r="S216" s="1185"/>
      <c r="T216" s="1185"/>
      <c r="U216" s="1185"/>
      <c r="V216" s="1185"/>
      <c r="W216" s="1185"/>
      <c r="X216" s="1185"/>
      <c r="Y216" s="1185"/>
      <c r="Z216" s="1185"/>
      <c r="AA216" s="1185"/>
      <c r="AB216" s="1185"/>
      <c r="AC216" s="1185"/>
      <c r="AD216" s="1185"/>
      <c r="AE216" s="1185"/>
      <c r="AF216" s="1185"/>
      <c r="AG216" s="1185"/>
      <c r="AH216" s="1185"/>
      <c r="AI216" s="1185"/>
      <c r="AK216" s="1204"/>
    </row>
    <row r="217" spans="1:37">
      <c r="A217" s="1005" t="s">
        <v>918</v>
      </c>
      <c r="C217" s="1026">
        <f t="shared" si="30"/>
        <v>130571195.98392698</v>
      </c>
      <c r="D217" s="269"/>
      <c r="E217" s="1185"/>
      <c r="F217" s="1203"/>
      <c r="G217" s="269"/>
      <c r="H217" s="1185"/>
      <c r="I217" s="1203"/>
      <c r="J217" s="1230">
        <f>J179</f>
        <v>4.4989999999999997</v>
      </c>
      <c r="K217" s="1009" t="s">
        <v>374</v>
      </c>
      <c r="L217" s="1203">
        <f t="shared" ref="L217:L219" si="31">L286+L320+L251</f>
        <v>5874397</v>
      </c>
      <c r="N217" s="1204"/>
      <c r="P217" s="815"/>
      <c r="Q217" s="1184"/>
      <c r="R217" s="1184"/>
      <c r="S217" s="1205"/>
      <c r="T217" s="1205"/>
      <c r="Y217" s="1185"/>
      <c r="Z217" s="1185"/>
      <c r="AA217" s="1185"/>
      <c r="AB217" s="1185"/>
      <c r="AC217" s="1185"/>
      <c r="AD217" s="1185"/>
      <c r="AE217" s="1185"/>
      <c r="AF217" s="1185"/>
      <c r="AG217" s="1185"/>
      <c r="AH217" s="1185"/>
      <c r="AI217" s="1185"/>
      <c r="AK217" s="1204"/>
    </row>
    <row r="218" spans="1:37">
      <c r="A218" s="1005" t="s">
        <v>919</v>
      </c>
      <c r="C218" s="1026">
        <f t="shared" si="30"/>
        <v>286080284.21862602</v>
      </c>
      <c r="D218" s="269"/>
      <c r="E218" s="1185"/>
      <c r="F218" s="1203"/>
      <c r="G218" s="269"/>
      <c r="H218" s="1185"/>
      <c r="I218" s="1203"/>
      <c r="J218" s="1230">
        <f>J180</f>
        <v>3.1080000000000001</v>
      </c>
      <c r="K218" s="1009" t="s">
        <v>374</v>
      </c>
      <c r="L218" s="1203">
        <f t="shared" si="31"/>
        <v>8891376</v>
      </c>
      <c r="N218" s="1204"/>
      <c r="P218" s="815"/>
      <c r="Q218" s="1184"/>
      <c r="R218" s="1184"/>
      <c r="S218" s="1205"/>
      <c r="T218" s="1205"/>
      <c r="Y218" s="1185"/>
      <c r="Z218" s="1185"/>
      <c r="AA218" s="1185"/>
      <c r="AB218" s="1185"/>
      <c r="AC218" s="1185"/>
      <c r="AD218" s="1185"/>
      <c r="AE218" s="1185"/>
      <c r="AF218" s="1185"/>
      <c r="AG218" s="1185"/>
      <c r="AH218" s="1185"/>
      <c r="AI218" s="1185"/>
      <c r="AK218" s="1204"/>
    </row>
    <row r="219" spans="1:37">
      <c r="A219" s="1005" t="s">
        <v>920</v>
      </c>
      <c r="C219" s="1026">
        <f t="shared" si="30"/>
        <v>120193838.26156484</v>
      </c>
      <c r="D219" s="269"/>
      <c r="E219" s="1185"/>
      <c r="F219" s="1203"/>
      <c r="G219" s="269"/>
      <c r="H219" s="1185"/>
      <c r="I219" s="1203"/>
      <c r="J219" s="1230">
        <f>J181</f>
        <v>2.6779999999999999</v>
      </c>
      <c r="K219" s="1009" t="s">
        <v>374</v>
      </c>
      <c r="L219" s="1203">
        <f t="shared" si="31"/>
        <v>3218791</v>
      </c>
      <c r="N219" s="1204"/>
      <c r="P219" s="815"/>
      <c r="Q219" s="1184"/>
      <c r="R219" s="1184"/>
      <c r="S219" s="1205"/>
      <c r="T219" s="1205"/>
      <c r="Y219" s="1185"/>
      <c r="Z219" s="1185"/>
      <c r="AA219" s="1185"/>
      <c r="AB219" s="1185"/>
      <c r="AC219" s="1185"/>
      <c r="AD219" s="1185"/>
      <c r="AE219" s="1185"/>
      <c r="AF219" s="1185"/>
      <c r="AG219" s="1185"/>
      <c r="AH219" s="1185"/>
      <c r="AI219" s="1185"/>
      <c r="AK219" s="1204"/>
    </row>
    <row r="220" spans="1:37">
      <c r="A220" s="1256" t="s">
        <v>401</v>
      </c>
      <c r="B220" s="1219"/>
      <c r="C220" s="1026"/>
      <c r="D220" s="1257">
        <v>-0.01</v>
      </c>
      <c r="E220" s="1041"/>
      <c r="F220" s="1203"/>
      <c r="G220" s="1257">
        <v>-0.01</v>
      </c>
      <c r="H220" s="1009"/>
      <c r="I220" s="1203"/>
      <c r="J220" s="1257">
        <v>-0.01</v>
      </c>
      <c r="K220" s="1009"/>
      <c r="L220" s="1203"/>
      <c r="N220" s="1185"/>
      <c r="O220" s="1185"/>
      <c r="P220" s="1186"/>
      <c r="Q220" s="1186"/>
      <c r="R220" s="1186"/>
      <c r="S220" s="1185"/>
      <c r="T220" s="1185"/>
      <c r="U220" s="1185"/>
      <c r="V220" s="1185"/>
      <c r="W220" s="1185"/>
      <c r="X220" s="1185"/>
      <c r="Y220" s="1185"/>
      <c r="Z220" s="1185"/>
      <c r="AA220" s="1185"/>
      <c r="AB220" s="1185"/>
      <c r="AC220" s="1185"/>
      <c r="AD220" s="1185"/>
      <c r="AE220" s="1185"/>
      <c r="AF220" s="1185"/>
      <c r="AG220" s="1185"/>
      <c r="AH220" s="1185"/>
      <c r="AI220" s="1185"/>
      <c r="AK220" s="1204"/>
    </row>
    <row r="221" spans="1:37">
      <c r="A221" s="1219" t="s">
        <v>390</v>
      </c>
      <c r="B221" s="1219"/>
      <c r="C221" s="1026">
        <f t="shared" ref="C221:C231" si="32">C290+C324+C255</f>
        <v>72.066666666666706</v>
      </c>
      <c r="D221" s="1259">
        <v>7.64</v>
      </c>
      <c r="E221" s="1041"/>
      <c r="F221" s="1203">
        <f t="shared" ref="F221:F230" si="33">F290+F324</f>
        <v>-6</v>
      </c>
      <c r="G221" s="1259">
        <v>8.7100000000000009</v>
      </c>
      <c r="H221" s="1041"/>
      <c r="I221" s="1203">
        <f t="shared" ref="I221:I230" si="34">I290+I324+I255</f>
        <v>-6</v>
      </c>
      <c r="J221" s="1259">
        <f>J208</f>
        <v>9.74</v>
      </c>
      <c r="K221" s="1041"/>
      <c r="L221" s="1203">
        <f t="shared" ref="L221:L234" si="35">L290+L324+L255</f>
        <v>-7</v>
      </c>
      <c r="N221" s="1185"/>
      <c r="O221" s="1185"/>
      <c r="P221" s="1186"/>
      <c r="Q221" s="1186"/>
      <c r="R221" s="1186"/>
      <c r="S221" s="1185"/>
      <c r="T221" s="1185"/>
      <c r="U221" s="1185"/>
      <c r="V221" s="1185"/>
      <c r="W221" s="1185"/>
      <c r="X221" s="1185"/>
      <c r="Y221" s="1185"/>
      <c r="Z221" s="1185"/>
      <c r="AA221" s="1185"/>
      <c r="AB221" s="1185"/>
      <c r="AC221" s="1185"/>
      <c r="AD221" s="1185"/>
      <c r="AE221" s="1185"/>
      <c r="AF221" s="1185"/>
      <c r="AG221" s="1185"/>
      <c r="AH221" s="1185"/>
      <c r="AI221" s="1185"/>
      <c r="AK221" s="1204"/>
    </row>
    <row r="222" spans="1:37">
      <c r="A222" s="1219" t="s">
        <v>391</v>
      </c>
      <c r="B222" s="1219"/>
      <c r="C222" s="1026">
        <f t="shared" si="32"/>
        <v>138.7000000000001</v>
      </c>
      <c r="D222" s="1259">
        <v>11.36</v>
      </c>
      <c r="E222" s="1041"/>
      <c r="F222" s="1203">
        <f t="shared" si="33"/>
        <v>-14</v>
      </c>
      <c r="G222" s="1259">
        <v>12.98</v>
      </c>
      <c r="H222" s="1041"/>
      <c r="I222" s="1203">
        <f t="shared" si="34"/>
        <v>-17</v>
      </c>
      <c r="J222" s="1259">
        <f>J209</f>
        <v>14.51</v>
      </c>
      <c r="K222" s="1041"/>
      <c r="L222" s="1203">
        <f t="shared" si="35"/>
        <v>-19</v>
      </c>
      <c r="N222" s="1185"/>
      <c r="O222" s="1185"/>
      <c r="P222" s="1186"/>
      <c r="Q222" s="1186"/>
      <c r="R222" s="1186"/>
      <c r="S222" s="1185"/>
      <c r="T222" s="1185"/>
      <c r="U222" s="1185"/>
      <c r="V222" s="1185"/>
      <c r="W222" s="1185"/>
      <c r="X222" s="1185"/>
      <c r="Y222" s="1185"/>
      <c r="Z222" s="1185"/>
      <c r="AA222" s="1185"/>
      <c r="AB222" s="1185"/>
      <c r="AC222" s="1185"/>
      <c r="AD222" s="1185"/>
      <c r="AE222" s="1185"/>
      <c r="AF222" s="1185"/>
      <c r="AG222" s="1185"/>
      <c r="AH222" s="1185"/>
      <c r="AI222" s="1185"/>
      <c r="AK222" s="1204"/>
    </row>
    <row r="223" spans="1:37">
      <c r="A223" s="1219" t="s">
        <v>402</v>
      </c>
      <c r="B223" s="1219"/>
      <c r="C223" s="1026">
        <f t="shared" si="32"/>
        <v>2126</v>
      </c>
      <c r="D223" s="1259">
        <v>0.81</v>
      </c>
      <c r="E223" s="1041"/>
      <c r="F223" s="1203">
        <f t="shared" si="33"/>
        <v>-17</v>
      </c>
      <c r="G223" s="1259">
        <v>0.92</v>
      </c>
      <c r="H223" s="1041"/>
      <c r="I223" s="1203">
        <f t="shared" si="34"/>
        <v>-19</v>
      </c>
      <c r="J223" s="1259">
        <f>J210</f>
        <v>1.03</v>
      </c>
      <c r="K223" s="1041"/>
      <c r="L223" s="1203">
        <f t="shared" si="35"/>
        <v>-22</v>
      </c>
      <c r="N223" s="1185"/>
      <c r="O223" s="1185"/>
      <c r="P223" s="1186"/>
      <c r="Q223" s="1186"/>
      <c r="R223" s="1186"/>
      <c r="S223" s="1185"/>
      <c r="T223" s="1185"/>
      <c r="U223" s="1185"/>
      <c r="V223" s="1185"/>
      <c r="W223" s="1185"/>
      <c r="X223" s="1185"/>
      <c r="Y223" s="1185"/>
      <c r="Z223" s="1185"/>
      <c r="AA223" s="1185"/>
      <c r="AB223" s="1185"/>
      <c r="AC223" s="1185"/>
      <c r="AD223" s="1185"/>
      <c r="AE223" s="1185"/>
      <c r="AF223" s="1185"/>
      <c r="AG223" s="1185"/>
      <c r="AH223" s="1185"/>
      <c r="AI223" s="1185"/>
      <c r="AK223" s="1204"/>
    </row>
    <row r="224" spans="1:37">
      <c r="A224" s="1219" t="s">
        <v>403</v>
      </c>
      <c r="B224" s="1219"/>
      <c r="C224" s="1026">
        <f t="shared" si="32"/>
        <v>844.5</v>
      </c>
      <c r="D224" s="1259">
        <v>2.98</v>
      </c>
      <c r="E224" s="1009"/>
      <c r="F224" s="1203">
        <f t="shared" si="33"/>
        <v>-25</v>
      </c>
      <c r="G224" s="1259">
        <v>3.4</v>
      </c>
      <c r="H224" s="1009"/>
      <c r="I224" s="1203">
        <f t="shared" si="34"/>
        <v>-28</v>
      </c>
      <c r="J224" s="1259">
        <f>J212</f>
        <v>3.8</v>
      </c>
      <c r="K224" s="1009"/>
      <c r="L224" s="1203">
        <f t="shared" si="35"/>
        <v>-32</v>
      </c>
      <c r="N224" s="1185"/>
      <c r="O224" s="1185"/>
      <c r="P224" s="1186"/>
      <c r="Q224" s="1186"/>
      <c r="R224" s="1186"/>
      <c r="S224" s="1185"/>
      <c r="T224" s="1185"/>
      <c r="U224" s="1185"/>
      <c r="V224" s="1185"/>
      <c r="W224" s="1185"/>
      <c r="X224" s="1185"/>
      <c r="Y224" s="1185"/>
      <c r="Z224" s="1185"/>
      <c r="AA224" s="1185"/>
      <c r="AB224" s="1185"/>
      <c r="AC224" s="1185"/>
      <c r="AD224" s="1185"/>
      <c r="AE224" s="1185"/>
      <c r="AF224" s="1185"/>
      <c r="AG224" s="1185"/>
      <c r="AH224" s="1185"/>
      <c r="AI224" s="1185"/>
      <c r="AK224" s="1204"/>
    </row>
    <row r="225" spans="1:37">
      <c r="A225" s="1219" t="s">
        <v>405</v>
      </c>
      <c r="B225" s="1219"/>
      <c r="C225" s="1026">
        <f t="shared" si="32"/>
        <v>153019.66666666669</v>
      </c>
      <c r="D225" s="1070">
        <v>8.5489999999999995</v>
      </c>
      <c r="E225" s="1009" t="s">
        <v>374</v>
      </c>
      <c r="F225" s="1203">
        <f t="shared" si="33"/>
        <v>-130</v>
      </c>
      <c r="G225" s="1070">
        <v>9.766</v>
      </c>
      <c r="H225" s="1009" t="s">
        <v>374</v>
      </c>
      <c r="I225" s="1203">
        <f t="shared" si="34"/>
        <v>-150</v>
      </c>
      <c r="J225" s="1070">
        <f>J213</f>
        <v>6.4269999999999996</v>
      </c>
      <c r="K225" s="1009" t="s">
        <v>374</v>
      </c>
      <c r="L225" s="1203">
        <f t="shared" si="35"/>
        <v>-98</v>
      </c>
      <c r="N225" s="1185"/>
      <c r="O225" s="1185"/>
      <c r="P225" s="1186"/>
      <c r="Q225" s="1186"/>
      <c r="R225" s="1186"/>
      <c r="S225" s="1185"/>
      <c r="T225" s="1185"/>
      <c r="U225" s="1185"/>
      <c r="V225" s="1185"/>
      <c r="W225" s="1185"/>
      <c r="X225" s="1185"/>
      <c r="Y225" s="1185"/>
      <c r="Z225" s="1185"/>
      <c r="AA225" s="1185"/>
      <c r="AB225" s="1185"/>
      <c r="AC225" s="1185"/>
      <c r="AD225" s="1185"/>
      <c r="AE225" s="1185"/>
      <c r="AF225" s="1185"/>
      <c r="AG225" s="1185"/>
      <c r="AH225" s="1185"/>
      <c r="AI225" s="1185"/>
      <c r="AK225" s="1204"/>
    </row>
    <row r="226" spans="1:37">
      <c r="A226" s="1219" t="s">
        <v>398</v>
      </c>
      <c r="B226" s="1219"/>
      <c r="C226" s="1026">
        <f t="shared" si="32"/>
        <v>574098.33333333279</v>
      </c>
      <c r="D226" s="1070">
        <v>5.9020000000000001</v>
      </c>
      <c r="E226" s="1009" t="s">
        <v>374</v>
      </c>
      <c r="F226" s="1203">
        <f t="shared" si="33"/>
        <v>-339</v>
      </c>
      <c r="G226" s="1070">
        <v>6.7460000000000004</v>
      </c>
      <c r="H226" s="1009" t="s">
        <v>374</v>
      </c>
      <c r="I226" s="1203">
        <f t="shared" si="34"/>
        <v>-387</v>
      </c>
      <c r="J226" s="1070">
        <f>J214</f>
        <v>4.4400000000000004</v>
      </c>
      <c r="K226" s="1009" t="s">
        <v>374</v>
      </c>
      <c r="L226" s="1203">
        <f t="shared" si="35"/>
        <v>-255</v>
      </c>
      <c r="N226" s="1185"/>
      <c r="O226" s="1185"/>
      <c r="P226" s="1186"/>
      <c r="Q226" s="1186"/>
      <c r="R226" s="1186"/>
      <c r="S226" s="1185"/>
      <c r="T226" s="1185"/>
      <c r="U226" s="1185"/>
      <c r="V226" s="1185"/>
      <c r="W226" s="1185"/>
      <c r="X226" s="1185"/>
      <c r="Y226" s="1185"/>
      <c r="Z226" s="1185"/>
      <c r="AA226" s="1185"/>
      <c r="AB226" s="1185"/>
      <c r="AC226" s="1185"/>
      <c r="AD226" s="1185"/>
      <c r="AE226" s="1185"/>
      <c r="AF226" s="1185"/>
      <c r="AG226" s="1185"/>
      <c r="AH226" s="1185"/>
      <c r="AI226" s="1185"/>
      <c r="AK226" s="1204"/>
    </row>
    <row r="227" spans="1:37">
      <c r="A227" s="1219" t="s">
        <v>399</v>
      </c>
      <c r="B227" s="1219"/>
      <c r="C227" s="1026">
        <f t="shared" si="32"/>
        <v>124578.00000000047</v>
      </c>
      <c r="D227" s="1070">
        <v>5.0839999999999996</v>
      </c>
      <c r="E227" s="1009" t="s">
        <v>374</v>
      </c>
      <c r="F227" s="1203">
        <f t="shared" si="33"/>
        <v>-63</v>
      </c>
      <c r="G227" s="1070">
        <v>5.8120000000000003</v>
      </c>
      <c r="H227" s="1009" t="s">
        <v>374</v>
      </c>
      <c r="I227" s="1203">
        <f t="shared" si="34"/>
        <v>-72</v>
      </c>
      <c r="J227" s="1070">
        <f>J215</f>
        <v>3.8250000000000002</v>
      </c>
      <c r="K227" s="1009" t="s">
        <v>374</v>
      </c>
      <c r="L227" s="1203">
        <f t="shared" si="35"/>
        <v>-47</v>
      </c>
      <c r="N227" s="1185"/>
      <c r="O227" s="1185"/>
      <c r="P227" s="1186"/>
      <c r="Q227" s="1186"/>
      <c r="R227" s="1186"/>
      <c r="S227" s="1185"/>
      <c r="T227" s="1185"/>
      <c r="U227" s="1185"/>
      <c r="V227" s="1185"/>
      <c r="W227" s="1185"/>
      <c r="X227" s="1185"/>
      <c r="Y227" s="1185"/>
      <c r="Z227" s="1185"/>
      <c r="AA227" s="1185"/>
      <c r="AB227" s="1185"/>
      <c r="AC227" s="1185"/>
      <c r="AD227" s="1185"/>
      <c r="AE227" s="1185"/>
      <c r="AF227" s="1185"/>
      <c r="AG227" s="1185"/>
      <c r="AH227" s="1185"/>
      <c r="AI227" s="1185"/>
      <c r="AK227" s="1204"/>
    </row>
    <row r="228" spans="1:37">
      <c r="A228" s="1219" t="s">
        <v>400</v>
      </c>
      <c r="B228" s="1219"/>
      <c r="C228" s="1026">
        <f t="shared" si="32"/>
        <v>2643.7</v>
      </c>
      <c r="D228" s="1260">
        <v>50</v>
      </c>
      <c r="E228" s="1009" t="s">
        <v>374</v>
      </c>
      <c r="F228" s="1203">
        <f t="shared" si="33"/>
        <v>-13</v>
      </c>
      <c r="G228" s="1260">
        <v>56</v>
      </c>
      <c r="H228" s="1009" t="s">
        <v>374</v>
      </c>
      <c r="I228" s="1203">
        <f t="shared" si="34"/>
        <v>-15</v>
      </c>
      <c r="J228" s="1260">
        <f>J216</f>
        <v>63</v>
      </c>
      <c r="K228" s="1009" t="s">
        <v>374</v>
      </c>
      <c r="L228" s="1203">
        <f t="shared" si="35"/>
        <v>-17</v>
      </c>
      <c r="N228" s="1185"/>
      <c r="O228" s="1185"/>
      <c r="P228" s="1186"/>
      <c r="Q228" s="1186"/>
      <c r="R228" s="1186"/>
      <c r="S228" s="1185"/>
      <c r="T228" s="1185"/>
      <c r="U228" s="1185"/>
      <c r="V228" s="1185"/>
      <c r="W228" s="1185"/>
      <c r="X228" s="1185"/>
      <c r="Y228" s="1185"/>
      <c r="Z228" s="1185"/>
      <c r="AA228" s="1185"/>
      <c r="AB228" s="1185"/>
      <c r="AC228" s="1185"/>
      <c r="AD228" s="1185"/>
      <c r="AE228" s="1185"/>
      <c r="AF228" s="1185"/>
      <c r="AG228" s="1185"/>
      <c r="AH228" s="1185"/>
      <c r="AI228" s="1185"/>
      <c r="AK228" s="1204"/>
    </row>
    <row r="229" spans="1:37">
      <c r="A229" s="1219" t="s">
        <v>407</v>
      </c>
      <c r="B229" s="1219"/>
      <c r="C229" s="1026">
        <f t="shared" si="32"/>
        <v>135.13333333333341</v>
      </c>
      <c r="D229" s="1261">
        <v>60</v>
      </c>
      <c r="E229" s="1041"/>
      <c r="F229" s="1203">
        <f t="shared" si="33"/>
        <v>8108</v>
      </c>
      <c r="G229" s="1261">
        <v>60</v>
      </c>
      <c r="H229" s="1009"/>
      <c r="I229" s="1203">
        <f t="shared" si="34"/>
        <v>8108</v>
      </c>
      <c r="J229" s="1261">
        <f>$J$194</f>
        <v>60</v>
      </c>
      <c r="K229" s="1009"/>
      <c r="L229" s="1203">
        <f t="shared" si="35"/>
        <v>8108</v>
      </c>
      <c r="N229" s="1185"/>
      <c r="O229" s="1185"/>
      <c r="P229" s="1186"/>
      <c r="Q229" s="1186"/>
      <c r="R229" s="1186"/>
      <c r="S229" s="1185"/>
      <c r="T229" s="1185"/>
      <c r="U229" s="1185"/>
      <c r="V229" s="1185"/>
      <c r="W229" s="1185"/>
      <c r="X229" s="1185"/>
      <c r="Y229" s="1185"/>
      <c r="Z229" s="1185"/>
      <c r="AA229" s="1185"/>
      <c r="AB229" s="1185"/>
      <c r="AC229" s="1185"/>
      <c r="AD229" s="1185"/>
      <c r="AE229" s="1185"/>
      <c r="AF229" s="1185"/>
      <c r="AG229" s="1185"/>
      <c r="AH229" s="1185"/>
      <c r="AI229" s="1185"/>
      <c r="AK229" s="1204"/>
    </row>
    <row r="230" spans="1:37">
      <c r="A230" s="1219" t="s">
        <v>408</v>
      </c>
      <c r="B230" s="1219"/>
      <c r="C230" s="1026">
        <f t="shared" si="32"/>
        <v>2126</v>
      </c>
      <c r="D230" s="1262">
        <v>-30</v>
      </c>
      <c r="E230" s="1041" t="s">
        <v>374</v>
      </c>
      <c r="F230" s="1203">
        <f t="shared" si="33"/>
        <v>-638</v>
      </c>
      <c r="G230" s="1262">
        <v>-30</v>
      </c>
      <c r="H230" s="1009" t="s">
        <v>374</v>
      </c>
      <c r="I230" s="1203">
        <f t="shared" si="34"/>
        <v>-638</v>
      </c>
      <c r="J230" s="1262">
        <f>$J$195</f>
        <v>-30</v>
      </c>
      <c r="K230" s="1009" t="s">
        <v>374</v>
      </c>
      <c r="L230" s="1203">
        <f t="shared" si="35"/>
        <v>-638</v>
      </c>
      <c r="N230" s="1185"/>
      <c r="O230" s="1185"/>
      <c r="P230" s="1186"/>
      <c r="Q230" s="1186"/>
      <c r="R230" s="1186"/>
      <c r="S230" s="1185"/>
      <c r="T230" s="1185"/>
      <c r="U230" s="1185"/>
      <c r="V230" s="1185"/>
      <c r="W230" s="1185"/>
      <c r="X230" s="1185"/>
      <c r="Y230" s="1185"/>
      <c r="Z230" s="1185"/>
      <c r="AA230" s="1185"/>
      <c r="AB230" s="1185"/>
      <c r="AC230" s="1185"/>
      <c r="AD230" s="1185"/>
      <c r="AE230" s="1185"/>
      <c r="AF230" s="1185"/>
      <c r="AG230" s="1185"/>
      <c r="AH230" s="1185"/>
      <c r="AI230" s="1185"/>
      <c r="AK230" s="1204"/>
    </row>
    <row r="231" spans="1:37">
      <c r="A231" s="1005" t="s">
        <v>918</v>
      </c>
      <c r="C231" s="1026">
        <f t="shared" si="32"/>
        <v>153019.66666666669</v>
      </c>
      <c r="D231" s="269"/>
      <c r="E231" s="1185"/>
      <c r="F231" s="1203"/>
      <c r="G231" s="269"/>
      <c r="H231" s="1185"/>
      <c r="I231" s="1203"/>
      <c r="J231" s="1230">
        <f>J179</f>
        <v>4.4989999999999997</v>
      </c>
      <c r="K231" s="1009" t="s">
        <v>374</v>
      </c>
      <c r="L231" s="1203">
        <f t="shared" si="35"/>
        <v>6884</v>
      </c>
      <c r="N231" s="1204"/>
      <c r="P231" s="815"/>
      <c r="Q231" s="1184"/>
      <c r="R231" s="1184"/>
      <c r="S231" s="1205"/>
      <c r="T231" s="1205"/>
      <c r="Y231" s="1185"/>
      <c r="Z231" s="1185"/>
      <c r="AA231" s="1185"/>
      <c r="AB231" s="1185"/>
      <c r="AC231" s="1185"/>
      <c r="AD231" s="1185"/>
      <c r="AE231" s="1185"/>
      <c r="AF231" s="1185"/>
      <c r="AG231" s="1185"/>
      <c r="AH231" s="1185"/>
      <c r="AI231" s="1185"/>
      <c r="AK231" s="1204"/>
    </row>
    <row r="232" spans="1:37">
      <c r="A232" s="1005" t="s">
        <v>919</v>
      </c>
      <c r="C232" s="1026">
        <f>C303+C337+C268</f>
        <v>536845318.46411794</v>
      </c>
      <c r="D232" s="269"/>
      <c r="E232" s="1185"/>
      <c r="F232" s="1203"/>
      <c r="G232" s="269"/>
      <c r="H232" s="1185"/>
      <c r="I232" s="1203"/>
      <c r="J232" s="1230">
        <f>J180</f>
        <v>3.1080000000000001</v>
      </c>
      <c r="K232" s="1009" t="s">
        <v>374</v>
      </c>
      <c r="L232" s="1203">
        <f t="shared" si="35"/>
        <v>17843</v>
      </c>
      <c r="N232" s="1204"/>
      <c r="P232" s="815"/>
      <c r="Q232" s="1184"/>
      <c r="R232" s="1184"/>
      <c r="S232" s="1205"/>
      <c r="T232" s="1205"/>
      <c r="Y232" s="1185"/>
      <c r="Z232" s="1185"/>
      <c r="AA232" s="1185"/>
      <c r="AB232" s="1185"/>
      <c r="AC232" s="1185"/>
      <c r="AD232" s="1185"/>
      <c r="AE232" s="1185"/>
      <c r="AF232" s="1185"/>
      <c r="AG232" s="1185"/>
      <c r="AH232" s="1185"/>
      <c r="AI232" s="1185"/>
      <c r="AK232" s="1204"/>
    </row>
    <row r="233" spans="1:37">
      <c r="A233" s="1005" t="s">
        <v>920</v>
      </c>
      <c r="C233" s="1026">
        <f>C304+C338+C269</f>
        <v>-1106026.6645171219</v>
      </c>
      <c r="D233" s="269"/>
      <c r="E233" s="1185"/>
      <c r="F233" s="1203"/>
      <c r="G233" s="269"/>
      <c r="H233" s="1185"/>
      <c r="I233" s="1203"/>
      <c r="J233" s="1230">
        <f>J181</f>
        <v>2.6779999999999999</v>
      </c>
      <c r="K233" s="1009" t="s">
        <v>374</v>
      </c>
      <c r="L233" s="1203">
        <f t="shared" si="35"/>
        <v>3337</v>
      </c>
      <c r="N233" s="1204"/>
      <c r="P233" s="815"/>
      <c r="Q233" s="1184"/>
      <c r="R233" s="1184"/>
      <c r="S233" s="1205"/>
      <c r="T233" s="1205"/>
      <c r="Y233" s="1185"/>
      <c r="Z233" s="1185"/>
      <c r="AA233" s="1185"/>
      <c r="AB233" s="1185"/>
      <c r="AC233" s="1185"/>
      <c r="AD233" s="1185"/>
      <c r="AE233" s="1185"/>
      <c r="AF233" s="1185"/>
      <c r="AG233" s="1185"/>
      <c r="AH233" s="1185"/>
      <c r="AI233" s="1185"/>
      <c r="AK233" s="1204"/>
    </row>
    <row r="234" spans="1:37">
      <c r="A234" s="1219" t="s">
        <v>381</v>
      </c>
      <c r="B234" s="1202"/>
      <c r="C234" s="1026">
        <f t="shared" ref="C234" si="36">C303+C337+C268</f>
        <v>536845318.46411794</v>
      </c>
      <c r="D234" s="1255"/>
      <c r="E234" s="1203"/>
      <c r="F234" s="1203">
        <f>F303+F337</f>
        <v>39222216</v>
      </c>
      <c r="G234" s="1255"/>
      <c r="H234" s="1009"/>
      <c r="I234" s="1203">
        <f t="shared" ref="I234" si="37">I303+I337+I268</f>
        <v>45078861</v>
      </c>
      <c r="J234" s="1255"/>
      <c r="K234" s="1009"/>
      <c r="L234" s="1203">
        <f t="shared" si="35"/>
        <v>50460386</v>
      </c>
      <c r="N234" s="1185"/>
      <c r="O234" s="1185"/>
      <c r="P234" s="1186"/>
      <c r="Q234" s="1186"/>
      <c r="R234" s="1186"/>
      <c r="S234" s="1185"/>
      <c r="T234" s="1185"/>
      <c r="U234" s="1185"/>
      <c r="V234" s="1185"/>
      <c r="W234" s="1185"/>
      <c r="X234" s="1185"/>
      <c r="Y234" s="1185"/>
      <c r="Z234" s="1185"/>
      <c r="AA234" s="1185"/>
      <c r="AB234" s="1185"/>
      <c r="AC234" s="1185"/>
      <c r="AD234" s="1185"/>
      <c r="AE234" s="1185"/>
      <c r="AF234" s="1185"/>
      <c r="AG234" s="1185"/>
      <c r="AH234" s="1185"/>
      <c r="AI234" s="1185"/>
      <c r="AK234" s="1204"/>
    </row>
    <row r="235" spans="1:37">
      <c r="A235" s="1219" t="s">
        <v>363</v>
      </c>
      <c r="B235" s="347"/>
      <c r="C235" s="1028">
        <f>C269+C304+C338</f>
        <v>-1106026.6645171219</v>
      </c>
      <c r="D235" s="1218"/>
      <c r="E235" s="1218"/>
      <c r="F235" s="1264" t="e">
        <f>F304+F338</f>
        <v>#REF!</v>
      </c>
      <c r="G235" s="1218"/>
      <c r="H235" s="1218"/>
      <c r="I235" s="1264">
        <f>I269+I304+I338</f>
        <v>-103523.14773000471</v>
      </c>
      <c r="J235" s="1218"/>
      <c r="K235" s="1218"/>
      <c r="L235" s="1264">
        <f>I235</f>
        <v>-103523.14773000471</v>
      </c>
      <c r="N235" s="444"/>
      <c r="O235" s="444"/>
      <c r="P235" s="287"/>
      <c r="Q235" s="1186"/>
      <c r="R235" s="1186"/>
      <c r="S235" s="1185"/>
      <c r="T235" s="1185"/>
      <c r="U235" s="1185"/>
      <c r="V235" s="1185"/>
      <c r="W235" s="1185"/>
      <c r="X235" s="1185"/>
      <c r="Y235" s="1185"/>
      <c r="Z235" s="1185"/>
      <c r="AA235" s="1185"/>
      <c r="AB235" s="1185"/>
      <c r="AC235" s="1185"/>
      <c r="AD235" s="1185"/>
      <c r="AE235" s="1185"/>
      <c r="AF235" s="1185"/>
      <c r="AG235" s="1185"/>
      <c r="AH235" s="1185"/>
      <c r="AI235" s="1185"/>
      <c r="AK235" s="1204"/>
    </row>
    <row r="236" spans="1:37" ht="16.5" thickBot="1">
      <c r="A236" s="1219" t="s">
        <v>382</v>
      </c>
      <c r="B236" s="1219"/>
      <c r="C236" s="1240">
        <f>SUM(C234:C235)</f>
        <v>535739291.79960084</v>
      </c>
      <c r="D236" s="1265"/>
      <c r="E236" s="1266"/>
      <c r="F236" s="1267" t="e">
        <f>F234+F235</f>
        <v>#REF!</v>
      </c>
      <c r="G236" s="1265"/>
      <c r="H236" s="1269"/>
      <c r="I236" s="1267">
        <f>I234+I235</f>
        <v>44975337.852269992</v>
      </c>
      <c r="J236" s="1265"/>
      <c r="K236" s="1269"/>
      <c r="L236" s="1267">
        <f>L234+L235</f>
        <v>50356862.852269992</v>
      </c>
      <c r="N236" s="411"/>
      <c r="O236" s="411"/>
      <c r="P236" s="470"/>
      <c r="Q236" s="1186"/>
      <c r="R236" s="1186"/>
      <c r="S236" s="1185"/>
      <c r="T236" s="1185"/>
      <c r="U236" s="1185"/>
      <c r="V236" s="1185"/>
      <c r="W236" s="1185"/>
      <c r="X236" s="1185"/>
      <c r="Y236" s="1185"/>
      <c r="Z236" s="1185"/>
      <c r="AA236" s="1185"/>
      <c r="AB236" s="1185"/>
      <c r="AC236" s="1185"/>
      <c r="AD236" s="1185"/>
      <c r="AE236" s="1185"/>
      <c r="AF236" s="1185"/>
      <c r="AG236" s="1185"/>
      <c r="AH236" s="1185"/>
      <c r="AI236" s="1185"/>
      <c r="AK236" s="1204"/>
    </row>
    <row r="237" spans="1:37" ht="16.5" thickTop="1">
      <c r="A237" s="1219"/>
      <c r="B237" s="1219"/>
      <c r="C237" s="1225"/>
      <c r="D237" s="1261"/>
      <c r="E237" s="1203"/>
      <c r="F237" s="1203"/>
      <c r="G237" s="1261"/>
      <c r="H237" s="1219"/>
      <c r="I237" s="1203"/>
      <c r="J237" s="1261"/>
      <c r="K237" s="1219"/>
      <c r="L237" s="1203" t="s">
        <v>31</v>
      </c>
      <c r="N237" s="1185"/>
      <c r="O237" s="1185"/>
      <c r="P237" s="1186"/>
      <c r="Q237" s="1186"/>
      <c r="R237" s="1186"/>
      <c r="S237" s="1185"/>
      <c r="T237" s="1185"/>
      <c r="U237" s="1185"/>
      <c r="V237" s="1185"/>
      <c r="W237" s="1185"/>
      <c r="X237" s="1185"/>
      <c r="Y237" s="1185"/>
      <c r="Z237" s="1185"/>
      <c r="AA237" s="1185"/>
      <c r="AB237" s="1185"/>
      <c r="AC237" s="1185"/>
      <c r="AD237" s="1185"/>
      <c r="AE237" s="1185"/>
      <c r="AF237" s="1185"/>
      <c r="AG237" s="1185"/>
      <c r="AH237" s="1185"/>
      <c r="AI237" s="1185"/>
      <c r="AK237" s="1204"/>
    </row>
    <row r="238" spans="1:37">
      <c r="A238" s="1224" t="s">
        <v>387</v>
      </c>
      <c r="B238" s="1219"/>
      <c r="C238" s="1219"/>
      <c r="D238" s="1203"/>
      <c r="E238" s="1203"/>
      <c r="F238" s="1219" t="s">
        <v>31</v>
      </c>
      <c r="G238" s="1203"/>
      <c r="H238" s="1219"/>
      <c r="I238" s="1219"/>
      <c r="J238" s="1203"/>
      <c r="K238" s="1219"/>
      <c r="L238" s="1219"/>
      <c r="N238" s="1185"/>
      <c r="O238" s="1185"/>
      <c r="P238" s="1186"/>
      <c r="Q238" s="1186"/>
      <c r="R238" s="1186"/>
      <c r="S238" s="1185"/>
      <c r="T238" s="1185"/>
      <c r="U238" s="1185"/>
      <c r="V238" s="1185"/>
      <c r="W238" s="1185"/>
      <c r="X238" s="1185"/>
      <c r="Y238" s="1185"/>
      <c r="Z238" s="1185"/>
      <c r="AA238" s="1185"/>
      <c r="AB238" s="1185"/>
      <c r="AC238" s="1185"/>
      <c r="AD238" s="1185"/>
      <c r="AE238" s="1185"/>
      <c r="AF238" s="1185"/>
      <c r="AG238" s="1185"/>
      <c r="AH238" s="1185"/>
      <c r="AI238" s="1185"/>
      <c r="AK238" s="1204"/>
    </row>
    <row r="239" spans="1:37">
      <c r="A239" s="1219" t="s">
        <v>782</v>
      </c>
      <c r="B239" s="1219"/>
      <c r="C239" s="1219"/>
      <c r="D239" s="1203"/>
      <c r="E239" s="1203"/>
      <c r="F239" s="1219"/>
      <c r="G239" s="1203"/>
      <c r="H239" s="1219"/>
      <c r="I239" s="1219"/>
      <c r="J239" s="1203"/>
      <c r="K239" s="1219"/>
      <c r="L239" s="1219"/>
      <c r="N239" s="1185"/>
      <c r="O239" s="1185"/>
      <c r="P239" s="1186"/>
      <c r="Q239" s="1186"/>
      <c r="R239" s="1186"/>
      <c r="S239" s="1185"/>
      <c r="T239" s="1185"/>
      <c r="U239" s="1185"/>
      <c r="V239" s="1185"/>
      <c r="W239" s="1185"/>
      <c r="X239" s="1185"/>
      <c r="Y239" s="1185"/>
      <c r="Z239" s="1185"/>
      <c r="AA239" s="1185"/>
      <c r="AB239" s="1185"/>
      <c r="AC239" s="1185"/>
      <c r="AD239" s="1185"/>
      <c r="AE239" s="1185"/>
      <c r="AF239" s="1185"/>
      <c r="AG239" s="1185"/>
      <c r="AH239" s="1185"/>
      <c r="AI239" s="1185"/>
      <c r="AK239" s="1204"/>
    </row>
    <row r="240" spans="1:37">
      <c r="A240" s="1243" t="s">
        <v>31</v>
      </c>
      <c r="B240" s="1219"/>
      <c r="C240" s="1225"/>
      <c r="D240" s="1203"/>
      <c r="E240" s="1203"/>
      <c r="F240" s="1219"/>
      <c r="G240" s="1203"/>
      <c r="H240" s="1219"/>
      <c r="I240" s="1219"/>
      <c r="J240" s="1203"/>
      <c r="K240" s="1219"/>
      <c r="L240" s="1219"/>
      <c r="N240" s="1185"/>
      <c r="O240" s="1185"/>
      <c r="P240" s="1186"/>
      <c r="Q240" s="1186"/>
      <c r="R240" s="1186"/>
      <c r="S240" s="1185"/>
      <c r="T240" s="1185"/>
      <c r="U240" s="1185"/>
      <c r="V240" s="1185"/>
      <c r="W240" s="1185"/>
      <c r="X240" s="1185"/>
      <c r="Y240" s="1185"/>
      <c r="Z240" s="1185"/>
      <c r="AA240" s="1185"/>
      <c r="AB240" s="1185"/>
      <c r="AC240" s="1185"/>
      <c r="AD240" s="1185"/>
      <c r="AE240" s="1185"/>
      <c r="AF240" s="1185"/>
      <c r="AG240" s="1185"/>
      <c r="AH240" s="1185"/>
      <c r="AI240" s="1185"/>
      <c r="AK240" s="1204"/>
    </row>
    <row r="241" spans="1:37">
      <c r="A241" s="1219" t="s">
        <v>393</v>
      </c>
      <c r="B241" s="1219"/>
      <c r="C241" s="1026"/>
      <c r="D241" s="1203"/>
      <c r="E241" s="1203"/>
      <c r="F241" s="1219"/>
      <c r="G241" s="1203"/>
      <c r="H241" s="1219"/>
      <c r="I241" s="1219"/>
      <c r="J241" s="1203"/>
      <c r="K241" s="1219"/>
      <c r="L241" s="1219"/>
      <c r="N241" s="1185"/>
      <c r="O241" s="1185"/>
      <c r="P241" s="1186"/>
      <c r="Q241" s="1186"/>
      <c r="R241" s="1186"/>
      <c r="S241" s="1185"/>
      <c r="T241" s="1185"/>
      <c r="U241" s="1185"/>
      <c r="V241" s="1185"/>
      <c r="W241" s="1185"/>
      <c r="X241" s="1185"/>
      <c r="Y241" s="1185"/>
      <c r="Z241" s="1185"/>
      <c r="AA241" s="1185"/>
      <c r="AB241" s="1185"/>
      <c r="AC241" s="1185"/>
      <c r="AD241" s="1185"/>
      <c r="AE241" s="1185"/>
      <c r="AF241" s="1185"/>
      <c r="AG241" s="1185"/>
      <c r="AH241" s="1185"/>
      <c r="AI241" s="1185"/>
      <c r="AK241" s="1204"/>
    </row>
    <row r="242" spans="1:37">
      <c r="A242" s="1219" t="s">
        <v>390</v>
      </c>
      <c r="B242" s="1219"/>
      <c r="C242" s="1026">
        <f>[95]Sheet1!$F$20+[95]Sheet1!$F$22+[95]Sheet1!$F$25</f>
        <v>5731.1333333333296</v>
      </c>
      <c r="D242" s="1229">
        <v>7.64</v>
      </c>
      <c r="E242" s="1041"/>
      <c r="F242" s="1203">
        <f>ROUND(D242*$C242,0)</f>
        <v>43786</v>
      </c>
      <c r="G242" s="1229">
        <v>8.7100000000000009</v>
      </c>
      <c r="H242" s="1009"/>
      <c r="I242" s="1203">
        <f>ROUND(G242*$C242,0)</f>
        <v>49918</v>
      </c>
      <c r="J242" s="1229">
        <f>$J$169</f>
        <v>9.74</v>
      </c>
      <c r="K242" s="1009"/>
      <c r="L242" s="1203">
        <f>ROUND(J242*$C242,0)</f>
        <v>55821</v>
      </c>
      <c r="N242" s="1185"/>
      <c r="O242" s="1185"/>
      <c r="P242" s="1186"/>
      <c r="Q242" s="1186"/>
      <c r="R242" s="1186"/>
      <c r="S242" s="1185"/>
      <c r="T242" s="1185"/>
      <c r="U242" s="1185"/>
      <c r="V242" s="1185"/>
      <c r="W242" s="1185"/>
      <c r="X242" s="1185"/>
      <c r="Y242" s="1185"/>
      <c r="Z242" s="1185"/>
      <c r="AA242" s="1185"/>
      <c r="AB242" s="1185"/>
      <c r="AC242" s="1185"/>
      <c r="AD242" s="1185"/>
      <c r="AE242" s="1185"/>
      <c r="AF242" s="1185"/>
      <c r="AG242" s="1185"/>
      <c r="AH242" s="1185"/>
      <c r="AI242" s="1185"/>
      <c r="AK242" s="1204"/>
    </row>
    <row r="243" spans="1:37">
      <c r="A243" s="1219" t="s">
        <v>391</v>
      </c>
      <c r="B243" s="1219"/>
      <c r="C243" s="1026">
        <f>[95]Sheet1!$F$21+[95]Sheet1!$F$23+[95]Sheet1!$F$24+[95]Sheet1!$F$26</f>
        <v>361.36666666666633</v>
      </c>
      <c r="D243" s="1229">
        <v>11.36</v>
      </c>
      <c r="E243" s="1249"/>
      <c r="F243" s="1203">
        <f>ROUND(D243*$C243,0)</f>
        <v>4105</v>
      </c>
      <c r="G243" s="1229">
        <v>12.98</v>
      </c>
      <c r="H243" s="1250"/>
      <c r="I243" s="1203">
        <f t="shared" ref="I243:I244" si="38">ROUND(G243*$C243,0)</f>
        <v>4691</v>
      </c>
      <c r="J243" s="1229">
        <f>$J$170</f>
        <v>14.51</v>
      </c>
      <c r="K243" s="1250"/>
      <c r="L243" s="1203">
        <f>ROUND(J243*$C243,0)</f>
        <v>5243</v>
      </c>
      <c r="N243" s="1185"/>
      <c r="O243" s="1185"/>
      <c r="P243" s="1186"/>
      <c r="Q243" s="1186"/>
      <c r="R243" s="1186"/>
      <c r="S243" s="1185"/>
      <c r="T243" s="1185"/>
      <c r="U243" s="1185"/>
      <c r="V243" s="1185"/>
      <c r="W243" s="1185"/>
      <c r="X243" s="1185"/>
      <c r="Y243" s="1185"/>
      <c r="Z243" s="1185"/>
      <c r="AA243" s="1185"/>
      <c r="AB243" s="1185"/>
      <c r="AC243" s="1185"/>
      <c r="AD243" s="1185"/>
      <c r="AE243" s="1185"/>
      <c r="AF243" s="1185"/>
      <c r="AG243" s="1185"/>
      <c r="AH243" s="1185"/>
      <c r="AI243" s="1185"/>
      <c r="AK243" s="1204"/>
    </row>
    <row r="244" spans="1:37">
      <c r="A244" s="1219" t="s">
        <v>392</v>
      </c>
      <c r="B244" s="1219"/>
      <c r="C244" s="1026">
        <f>[95]Sheet1!$G$20+[95]Sheet1!$G$22+[95]Sheet1!$G$24+[95]Sheet1!$G$25+[95]Sheet1!$G$26</f>
        <v>991</v>
      </c>
      <c r="D244" s="1229">
        <v>0.81</v>
      </c>
      <c r="E244" s="1249"/>
      <c r="F244" s="1203">
        <f>ROUND(D244*$C244,0)</f>
        <v>803</v>
      </c>
      <c r="G244" s="1229">
        <v>0.92</v>
      </c>
      <c r="H244" s="1250"/>
      <c r="I244" s="1203">
        <f t="shared" si="38"/>
        <v>912</v>
      </c>
      <c r="J244" s="1229">
        <f>$J$171</f>
        <v>1.03</v>
      </c>
      <c r="K244" s="1250"/>
      <c r="L244" s="1203">
        <f>ROUND(J244*$C244,0)</f>
        <v>1021</v>
      </c>
      <c r="N244" s="1185"/>
      <c r="O244" s="1185"/>
      <c r="P244" s="1186"/>
      <c r="Q244" s="1186"/>
      <c r="R244" s="1186"/>
      <c r="S244" s="1185"/>
      <c r="T244" s="1185"/>
      <c r="U244" s="1185"/>
      <c r="V244" s="1185"/>
      <c r="W244" s="1185"/>
      <c r="X244" s="1185"/>
      <c r="Y244" s="1185"/>
      <c r="Z244" s="1185"/>
      <c r="AA244" s="1185"/>
      <c r="AB244" s="1185"/>
      <c r="AC244" s="1185"/>
      <c r="AD244" s="1185"/>
      <c r="AE244" s="1185"/>
      <c r="AF244" s="1185"/>
      <c r="AG244" s="1185"/>
      <c r="AH244" s="1185"/>
      <c r="AI244" s="1185"/>
      <c r="AK244" s="1204"/>
    </row>
    <row r="245" spans="1:37">
      <c r="A245" s="1219" t="s">
        <v>394</v>
      </c>
      <c r="B245" s="1219"/>
      <c r="C245" s="1026">
        <f>SUM(C242:C243)</f>
        <v>6092.4999999999964</v>
      </c>
      <c r="D245" s="1229"/>
      <c r="E245" s="1041"/>
      <c r="F245" s="1203"/>
      <c r="G245" s="1229"/>
      <c r="H245" s="1009"/>
      <c r="I245" s="1203"/>
      <c r="J245" s="1229"/>
      <c r="K245" s="1009"/>
      <c r="L245" s="1203"/>
      <c r="N245" s="1185"/>
      <c r="O245" s="1185"/>
      <c r="P245" s="1186"/>
      <c r="Q245" s="1186"/>
      <c r="R245" s="1186"/>
      <c r="S245" s="1185"/>
      <c r="T245" s="1185"/>
      <c r="U245" s="1185"/>
      <c r="V245" s="1185"/>
      <c r="W245" s="1185"/>
      <c r="X245" s="1185"/>
      <c r="Y245" s="1185"/>
      <c r="Z245" s="1185"/>
      <c r="AA245" s="1185"/>
      <c r="AB245" s="1185"/>
      <c r="AC245" s="1185"/>
      <c r="AD245" s="1185"/>
      <c r="AE245" s="1185"/>
      <c r="AF245" s="1185"/>
      <c r="AG245" s="1185"/>
      <c r="AH245" s="1185"/>
      <c r="AI245" s="1185"/>
      <c r="AK245" s="1204"/>
    </row>
    <row r="246" spans="1:37">
      <c r="A246" s="1219" t="s">
        <v>395</v>
      </c>
      <c r="B246" s="1219"/>
      <c r="C246" s="1026">
        <f>[95]Sheet1!$K$20+[95]Sheet1!$K$22+[95]Sheet1!$K$24+[95]Sheet1!$K$25</f>
        <v>506</v>
      </c>
      <c r="D246" s="1261">
        <v>2.98</v>
      </c>
      <c r="E246" s="1009"/>
      <c r="F246" s="1203">
        <f>ROUND(D246*$C246,0)</f>
        <v>1508</v>
      </c>
      <c r="G246" s="1261">
        <v>3.4</v>
      </c>
      <c r="H246" s="1009"/>
      <c r="I246" s="1203">
        <f>ROUND(G246*C246,0)</f>
        <v>1720</v>
      </c>
      <c r="J246" s="1261">
        <f>$J$174</f>
        <v>3.8</v>
      </c>
      <c r="K246" s="1009"/>
      <c r="L246" s="1203">
        <f>ROUND(J246*$C246,0)</f>
        <v>1923</v>
      </c>
      <c r="N246" s="1185"/>
      <c r="O246" s="1185"/>
      <c r="P246" s="1186"/>
      <c r="Q246" s="1186"/>
      <c r="R246" s="1186"/>
      <c r="S246" s="1185"/>
      <c r="T246" s="1185"/>
      <c r="U246" s="1185"/>
      <c r="V246" s="1185"/>
      <c r="W246" s="1185"/>
      <c r="X246" s="1185"/>
      <c r="Y246" s="1185"/>
      <c r="Z246" s="1185"/>
      <c r="AA246" s="1185"/>
      <c r="AB246" s="1185"/>
      <c r="AC246" s="1185"/>
      <c r="AD246" s="1185"/>
      <c r="AE246" s="1185"/>
      <c r="AF246" s="1185"/>
      <c r="AG246" s="1185"/>
      <c r="AH246" s="1185"/>
      <c r="AI246" s="1185"/>
      <c r="AK246" s="1204"/>
    </row>
    <row r="247" spans="1:37">
      <c r="A247" s="1219" t="s">
        <v>397</v>
      </c>
      <c r="B247" s="1026"/>
      <c r="C247" s="1026">
        <f>[95]Sheet1!$I$20+[95]Sheet1!$I$21+[95]Sheet1!$I$22+[95]Sheet1!$I$23+[95]Sheet1!$I$24+[95]Sheet1!$I$25+[95]Sheet1!$I$26+[94]Temperature!P75*1000</f>
        <v>1834258.206482322</v>
      </c>
      <c r="D247" s="1230">
        <v>8.5489999999999995</v>
      </c>
      <c r="E247" s="1009" t="s">
        <v>374</v>
      </c>
      <c r="F247" s="1203">
        <f>ROUND(D247*$C247/100,0)</f>
        <v>156811</v>
      </c>
      <c r="G247" s="1230">
        <v>9.766</v>
      </c>
      <c r="H247" s="1009" t="s">
        <v>374</v>
      </c>
      <c r="I247" s="1203">
        <f>ROUND(G247*C247/100,0)</f>
        <v>179134</v>
      </c>
      <c r="J247" s="1230">
        <f>$J$175</f>
        <v>6.4269999999999996</v>
      </c>
      <c r="K247" s="1009" t="s">
        <v>374</v>
      </c>
      <c r="L247" s="1203">
        <f>ROUND(J247*$C247/100,0)</f>
        <v>117888</v>
      </c>
      <c r="N247" s="452"/>
      <c r="O247" s="452"/>
      <c r="P247" s="1186"/>
      <c r="Q247" s="1186"/>
      <c r="R247" s="1186"/>
      <c r="S247" s="1185"/>
      <c r="T247" s="1185"/>
      <c r="U247" s="1185"/>
      <c r="V247" s="1185"/>
      <c r="W247" s="1185"/>
      <c r="X247" s="1185"/>
      <c r="Y247" s="1185"/>
      <c r="Z247" s="1185"/>
      <c r="AA247" s="1185"/>
      <c r="AB247" s="1185"/>
      <c r="AC247" s="1185"/>
      <c r="AD247" s="1185"/>
      <c r="AE247" s="1185"/>
      <c r="AF247" s="1185"/>
      <c r="AG247" s="1185"/>
      <c r="AH247" s="1185"/>
      <c r="AI247" s="1185"/>
      <c r="AK247" s="1204"/>
    </row>
    <row r="248" spans="1:37">
      <c r="A248" s="1219" t="s">
        <v>398</v>
      </c>
      <c r="B248" s="1026"/>
      <c r="C248" s="1026">
        <f>[95]Sheet1!$J$20+[95]Sheet1!$J$21+[95]Sheet1!$J$22+[95]Sheet1!$J$24+[95]Sheet1!$J$25+[95]Sheet1!$J$26+[94]Temperature!Q75*1000</f>
        <v>523605.44908201875</v>
      </c>
      <c r="D248" s="1230">
        <v>5.9020000000000001</v>
      </c>
      <c r="E248" s="1009" t="s">
        <v>374</v>
      </c>
      <c r="F248" s="1203">
        <f>ROUND(D248*$C248/100,0)</f>
        <v>30903</v>
      </c>
      <c r="G248" s="1230">
        <v>6.7460000000000004</v>
      </c>
      <c r="H248" s="1009" t="s">
        <v>374</v>
      </c>
      <c r="I248" s="1203">
        <f t="shared" ref="I248:I250" si="39">ROUND(G248*C248/100,0)</f>
        <v>35322</v>
      </c>
      <c r="J248" s="1230">
        <f>$J$176</f>
        <v>4.4400000000000004</v>
      </c>
      <c r="K248" s="1009" t="s">
        <v>374</v>
      </c>
      <c r="L248" s="1203">
        <f>ROUND(J248*$C248/100,0)</f>
        <v>23248</v>
      </c>
      <c r="N248" s="452"/>
      <c r="O248" s="452"/>
      <c r="P248" s="1186"/>
      <c r="Q248" s="1186"/>
      <c r="R248" s="1186"/>
      <c r="S248" s="1185"/>
      <c r="T248" s="1185"/>
      <c r="U248" s="1185"/>
      <c r="V248" s="1185"/>
      <c r="W248" s="1185"/>
      <c r="X248" s="1185"/>
      <c r="Y248" s="1185"/>
      <c r="Z248" s="1185"/>
      <c r="AA248" s="1185"/>
      <c r="AB248" s="1185"/>
      <c r="AC248" s="1185"/>
      <c r="AD248" s="1185"/>
      <c r="AE248" s="1185"/>
      <c r="AF248" s="1185"/>
      <c r="AG248" s="1185"/>
      <c r="AH248" s="1185"/>
      <c r="AI248" s="1185"/>
      <c r="AK248" s="1204"/>
    </row>
    <row r="249" spans="1:37">
      <c r="A249" s="1219" t="s">
        <v>399</v>
      </c>
      <c r="B249" s="1026"/>
      <c r="C249" s="1026">
        <f>0+[94]Temperature!R75*1000</f>
        <v>0</v>
      </c>
      <c r="D249" s="1230">
        <v>5.0839999999999996</v>
      </c>
      <c r="E249" s="1009" t="s">
        <v>374</v>
      </c>
      <c r="F249" s="1203">
        <f>ROUND(D249*$C249/100,0)</f>
        <v>0</v>
      </c>
      <c r="G249" s="1230">
        <v>5.8120000000000003</v>
      </c>
      <c r="H249" s="1009" t="s">
        <v>374</v>
      </c>
      <c r="I249" s="1203">
        <f t="shared" si="39"/>
        <v>0</v>
      </c>
      <c r="J249" s="1230">
        <f>$J$177</f>
        <v>3.8250000000000002</v>
      </c>
      <c r="K249" s="1009" t="s">
        <v>374</v>
      </c>
      <c r="L249" s="1203">
        <f>ROUND(J249*$C249/100,0)</f>
        <v>0</v>
      </c>
      <c r="N249" s="452"/>
      <c r="O249" s="452"/>
      <c r="P249" s="1186"/>
      <c r="Q249" s="1186"/>
      <c r="R249" s="1186"/>
      <c r="S249" s="1185"/>
      <c r="T249" s="1185"/>
      <c r="U249" s="1185"/>
      <c r="V249" s="1185"/>
      <c r="W249" s="1185"/>
      <c r="X249" s="1185"/>
      <c r="Y249" s="1185"/>
      <c r="Z249" s="1185"/>
      <c r="AA249" s="1185"/>
      <c r="AB249" s="1185"/>
      <c r="AC249" s="1185"/>
      <c r="AD249" s="1185"/>
      <c r="AE249" s="1185"/>
      <c r="AF249" s="1185"/>
      <c r="AG249" s="1185"/>
      <c r="AH249" s="1185"/>
      <c r="AI249" s="1185"/>
      <c r="AK249" s="1204"/>
    </row>
    <row r="250" spans="1:37">
      <c r="A250" s="1219" t="s">
        <v>400</v>
      </c>
      <c r="B250" s="1225"/>
      <c r="C250" s="1026">
        <f>0</f>
        <v>0</v>
      </c>
      <c r="D250" s="1255">
        <v>50</v>
      </c>
      <c r="E250" s="1041" t="s">
        <v>374</v>
      </c>
      <c r="F250" s="1203">
        <f>ROUND(D250*$C250/100,0)</f>
        <v>0</v>
      </c>
      <c r="G250" s="1255">
        <v>56</v>
      </c>
      <c r="H250" s="1009" t="s">
        <v>374</v>
      </c>
      <c r="I250" s="1203">
        <f t="shared" si="39"/>
        <v>0</v>
      </c>
      <c r="J250" s="1255">
        <f>$J$178</f>
        <v>63</v>
      </c>
      <c r="K250" s="1009" t="s">
        <v>374</v>
      </c>
      <c r="L250" s="1203">
        <f>ROUND(J250*$C250/100,0)</f>
        <v>0</v>
      </c>
      <c r="N250" s="1185"/>
      <c r="O250" s="1185"/>
      <c r="P250" s="1186"/>
      <c r="Q250" s="1186"/>
      <c r="R250" s="1186"/>
      <c r="S250" s="1185"/>
      <c r="T250" s="1185"/>
      <c r="U250" s="1185"/>
      <c r="V250" s="1185"/>
      <c r="W250" s="1185"/>
      <c r="X250" s="1185"/>
      <c r="Y250" s="1185"/>
      <c r="Z250" s="1185"/>
      <c r="AA250" s="1185"/>
      <c r="AB250" s="1185"/>
      <c r="AC250" s="1185"/>
      <c r="AD250" s="1185"/>
      <c r="AE250" s="1185"/>
      <c r="AF250" s="1185"/>
      <c r="AG250" s="1185"/>
      <c r="AH250" s="1185"/>
      <c r="AI250" s="1185"/>
      <c r="AK250" s="1204"/>
    </row>
    <row r="251" spans="1:37">
      <c r="A251" s="1005" t="s">
        <v>918</v>
      </c>
      <c r="C251" s="1202">
        <f>C247</f>
        <v>1834258.206482322</v>
      </c>
      <c r="D251" s="269"/>
      <c r="E251" s="1185"/>
      <c r="F251" s="1203"/>
      <c r="G251" s="269"/>
      <c r="H251" s="1185"/>
      <c r="I251" s="1203"/>
      <c r="J251" s="1230">
        <f>J179</f>
        <v>4.4989999999999997</v>
      </c>
      <c r="K251" s="1009" t="s">
        <v>374</v>
      </c>
      <c r="L251" s="1203">
        <f t="shared" ref="L251:L253" si="40">ROUND(J251*$C251/100,0)</f>
        <v>82523</v>
      </c>
      <c r="N251" s="1204"/>
      <c r="P251" s="815"/>
      <c r="Q251" s="1184"/>
      <c r="R251" s="1184"/>
      <c r="S251" s="1205"/>
      <c r="T251" s="1205"/>
      <c r="Y251" s="1185"/>
      <c r="Z251" s="1185"/>
      <c r="AA251" s="1185"/>
      <c r="AB251" s="1185"/>
      <c r="AC251" s="1185"/>
      <c r="AD251" s="1185"/>
      <c r="AE251" s="1185"/>
      <c r="AF251" s="1185"/>
      <c r="AG251" s="1185"/>
      <c r="AH251" s="1185"/>
      <c r="AI251" s="1185"/>
      <c r="AK251" s="1204"/>
    </row>
    <row r="252" spans="1:37">
      <c r="A252" s="1005" t="s">
        <v>919</v>
      </c>
      <c r="C252" s="1202">
        <f>C248</f>
        <v>523605.44908201875</v>
      </c>
      <c r="D252" s="269"/>
      <c r="E252" s="1185"/>
      <c r="F252" s="1203"/>
      <c r="G252" s="269"/>
      <c r="H252" s="1185"/>
      <c r="I252" s="1203"/>
      <c r="J252" s="1230">
        <f>J180</f>
        <v>3.1080000000000001</v>
      </c>
      <c r="K252" s="1009" t="s">
        <v>374</v>
      </c>
      <c r="L252" s="1203">
        <f t="shared" si="40"/>
        <v>16274</v>
      </c>
      <c r="N252" s="1204"/>
      <c r="P252" s="815"/>
      <c r="Q252" s="1184"/>
      <c r="R252" s="1184"/>
      <c r="S252" s="1205"/>
      <c r="T252" s="1205"/>
      <c r="Y252" s="1185"/>
      <c r="Z252" s="1185"/>
      <c r="AA252" s="1185"/>
      <c r="AB252" s="1185"/>
      <c r="AC252" s="1185"/>
      <c r="AD252" s="1185"/>
      <c r="AE252" s="1185"/>
      <c r="AF252" s="1185"/>
      <c r="AG252" s="1185"/>
      <c r="AH252" s="1185"/>
      <c r="AI252" s="1185"/>
      <c r="AK252" s="1204"/>
    </row>
    <row r="253" spans="1:37">
      <c r="A253" s="1005" t="s">
        <v>920</v>
      </c>
      <c r="C253" s="1202">
        <f>C249</f>
        <v>0</v>
      </c>
      <c r="D253" s="269"/>
      <c r="E253" s="1185"/>
      <c r="F253" s="1203"/>
      <c r="G253" s="269"/>
      <c r="H253" s="1185"/>
      <c r="I253" s="1203"/>
      <c r="J253" s="1230">
        <f>J181</f>
        <v>2.6779999999999999</v>
      </c>
      <c r="K253" s="1009" t="s">
        <v>374</v>
      </c>
      <c r="L253" s="1203">
        <f t="shared" si="40"/>
        <v>0</v>
      </c>
      <c r="N253" s="1204"/>
      <c r="P253" s="815"/>
      <c r="Q253" s="1184"/>
      <c r="R253" s="1184"/>
      <c r="S253" s="1205"/>
      <c r="T253" s="1205"/>
      <c r="Y253" s="1185"/>
      <c r="Z253" s="1185"/>
      <c r="AA253" s="1185"/>
      <c r="AB253" s="1185"/>
      <c r="AC253" s="1185"/>
      <c r="AD253" s="1185"/>
      <c r="AE253" s="1185"/>
      <c r="AF253" s="1185"/>
      <c r="AG253" s="1185"/>
      <c r="AH253" s="1185"/>
      <c r="AI253" s="1185"/>
      <c r="AK253" s="1204"/>
    </row>
    <row r="254" spans="1:37">
      <c r="A254" s="1256" t="s">
        <v>401</v>
      </c>
      <c r="B254" s="1225"/>
      <c r="C254" s="1026">
        <f>C259+C260+C261</f>
        <v>1940</v>
      </c>
      <c r="D254" s="1257">
        <v>-0.01</v>
      </c>
      <c r="E254" s="1041"/>
      <c r="F254" s="1203"/>
      <c r="G254" s="1257">
        <v>-0.01</v>
      </c>
      <c r="H254" s="1009"/>
      <c r="I254" s="1203"/>
      <c r="J254" s="1257">
        <v>-0.01</v>
      </c>
      <c r="K254" s="1009"/>
      <c r="L254" s="1203"/>
      <c r="N254" s="1185"/>
      <c r="O254" s="1185"/>
      <c r="P254" s="1186"/>
      <c r="Q254" s="1186"/>
      <c r="R254" s="1186"/>
      <c r="S254" s="1185"/>
      <c r="T254" s="1185"/>
      <c r="U254" s="1185"/>
      <c r="V254" s="1185"/>
      <c r="W254" s="1185"/>
      <c r="X254" s="1185"/>
      <c r="Y254" s="1185"/>
      <c r="Z254" s="1185"/>
      <c r="AA254" s="1185"/>
      <c r="AB254" s="1185"/>
      <c r="AC254" s="1185"/>
      <c r="AD254" s="1185"/>
      <c r="AE254" s="1185"/>
      <c r="AF254" s="1185"/>
      <c r="AG254" s="1185"/>
      <c r="AH254" s="1185"/>
      <c r="AI254" s="1185"/>
      <c r="AK254" s="1204"/>
    </row>
    <row r="255" spans="1:37">
      <c r="A255" s="1219" t="s">
        <v>390</v>
      </c>
      <c r="B255" s="1219"/>
      <c r="C255" s="1026">
        <v>0</v>
      </c>
      <c r="D255" s="1259">
        <v>7.64</v>
      </c>
      <c r="E255" s="1041"/>
      <c r="F255" s="1203">
        <f>-ROUND(D255*$C255/100,0)</f>
        <v>0</v>
      </c>
      <c r="G255" s="1259">
        <v>8.7100000000000009</v>
      </c>
      <c r="H255" s="1041"/>
      <c r="I255" s="1203">
        <f>-ROUND(G255*$C255/100,0)</f>
        <v>0</v>
      </c>
      <c r="J255" s="1259">
        <f>J242</f>
        <v>9.74</v>
      </c>
      <c r="K255" s="1041"/>
      <c r="L255" s="1203">
        <f>-ROUND(J255*$C255/100,0)</f>
        <v>0</v>
      </c>
      <c r="N255" s="1185"/>
      <c r="O255" s="1185"/>
      <c r="P255" s="1186"/>
      <c r="Q255" s="1186"/>
      <c r="R255" s="1186"/>
      <c r="S255" s="1185"/>
      <c r="T255" s="1185"/>
      <c r="U255" s="1185"/>
      <c r="V255" s="1185"/>
      <c r="W255" s="1185"/>
      <c r="X255" s="1185"/>
      <c r="Y255" s="1185"/>
      <c r="Z255" s="1185"/>
      <c r="AA255" s="1185"/>
      <c r="AB255" s="1185"/>
      <c r="AC255" s="1185"/>
      <c r="AD255" s="1185"/>
      <c r="AE255" s="1185"/>
      <c r="AF255" s="1185"/>
      <c r="AG255" s="1185"/>
      <c r="AH255" s="1185"/>
      <c r="AI255" s="1185"/>
      <c r="AK255" s="1204"/>
    </row>
    <row r="256" spans="1:37">
      <c r="A256" s="1219" t="s">
        <v>391</v>
      </c>
      <c r="B256" s="1219"/>
      <c r="C256" s="1026">
        <f>[95]Sheet1!$F$23</f>
        <v>9</v>
      </c>
      <c r="D256" s="1259">
        <v>11.36</v>
      </c>
      <c r="E256" s="1041"/>
      <c r="F256" s="1203">
        <f>-ROUND(D256*$C256/100,0)</f>
        <v>-1</v>
      </c>
      <c r="G256" s="1259">
        <v>12.98</v>
      </c>
      <c r="H256" s="1041"/>
      <c r="I256" s="1203">
        <f t="shared" ref="I256:I258" si="41">-ROUND(G256*$C256/100,0)</f>
        <v>-1</v>
      </c>
      <c r="J256" s="1259">
        <f>J243</f>
        <v>14.51</v>
      </c>
      <c r="K256" s="1041"/>
      <c r="L256" s="1203">
        <f>-ROUND(J256*$C256/100,0)</f>
        <v>-1</v>
      </c>
      <c r="N256" s="1185"/>
      <c r="O256" s="1185"/>
      <c r="P256" s="1186"/>
      <c r="Q256" s="1186"/>
      <c r="R256" s="1186"/>
      <c r="S256" s="1185"/>
      <c r="T256" s="1185"/>
      <c r="U256" s="1185"/>
      <c r="V256" s="1185"/>
      <c r="W256" s="1185"/>
      <c r="X256" s="1185"/>
      <c r="Y256" s="1185"/>
      <c r="Z256" s="1185"/>
      <c r="AA256" s="1185"/>
      <c r="AB256" s="1185"/>
      <c r="AC256" s="1185"/>
      <c r="AD256" s="1185"/>
      <c r="AE256" s="1185"/>
      <c r="AF256" s="1185"/>
      <c r="AG256" s="1185"/>
      <c r="AH256" s="1185"/>
      <c r="AI256" s="1185"/>
      <c r="AK256" s="1204"/>
    </row>
    <row r="257" spans="1:37">
      <c r="A257" s="1219" t="s">
        <v>402</v>
      </c>
      <c r="B257" s="1219"/>
      <c r="C257" s="1026">
        <v>0</v>
      </c>
      <c r="D257" s="1259">
        <v>0.81</v>
      </c>
      <c r="E257" s="1041"/>
      <c r="F257" s="1203">
        <f>-ROUND(D257*$C257/100,0)</f>
        <v>0</v>
      </c>
      <c r="G257" s="1259">
        <v>0.92</v>
      </c>
      <c r="H257" s="1041"/>
      <c r="I257" s="1203">
        <f t="shared" si="41"/>
        <v>0</v>
      </c>
      <c r="J257" s="1259">
        <f>J244</f>
        <v>1.03</v>
      </c>
      <c r="K257" s="1041"/>
      <c r="L257" s="1203">
        <f>-ROUND(J257*$C257/100,0)</f>
        <v>0</v>
      </c>
      <c r="N257" s="1185"/>
      <c r="O257" s="1185"/>
      <c r="P257" s="1186"/>
      <c r="Q257" s="1186"/>
      <c r="R257" s="1186"/>
      <c r="S257" s="1185"/>
      <c r="T257" s="1185"/>
      <c r="U257" s="1185"/>
      <c r="V257" s="1185"/>
      <c r="W257" s="1185"/>
      <c r="X257" s="1185"/>
      <c r="Y257" s="1185"/>
      <c r="Z257" s="1185"/>
      <c r="AA257" s="1185"/>
      <c r="AB257" s="1185"/>
      <c r="AC257" s="1185"/>
      <c r="AD257" s="1185"/>
      <c r="AE257" s="1185"/>
      <c r="AF257" s="1185"/>
      <c r="AG257" s="1185"/>
      <c r="AH257" s="1185"/>
      <c r="AI257" s="1185"/>
      <c r="AK257" s="1204"/>
    </row>
    <row r="258" spans="1:37">
      <c r="A258" s="1219" t="s">
        <v>413</v>
      </c>
      <c r="B258" s="1219"/>
      <c r="C258" s="1026">
        <f>0</f>
        <v>0</v>
      </c>
      <c r="D258" s="1259">
        <v>2.98</v>
      </c>
      <c r="E258" s="1009"/>
      <c r="F258" s="1203">
        <f>-ROUND(D258*$C258/100,0)</f>
        <v>0</v>
      </c>
      <c r="G258" s="1259">
        <v>3.4</v>
      </c>
      <c r="H258" s="1009"/>
      <c r="I258" s="1203">
        <f t="shared" si="41"/>
        <v>0</v>
      </c>
      <c r="J258" s="1259">
        <f>J246</f>
        <v>3.8</v>
      </c>
      <c r="K258" s="1009"/>
      <c r="L258" s="1203">
        <f>-ROUND(J258*$C258/100,0)</f>
        <v>0</v>
      </c>
      <c r="N258" s="1185"/>
      <c r="O258" s="1185"/>
      <c r="P258" s="1186"/>
      <c r="Q258" s="1186"/>
      <c r="R258" s="1186"/>
      <c r="S258" s="1185"/>
      <c r="T258" s="1185"/>
      <c r="U258" s="1185"/>
      <c r="V258" s="1185"/>
      <c r="W258" s="1185"/>
      <c r="X258" s="1185"/>
      <c r="Y258" s="1185"/>
      <c r="Z258" s="1185"/>
      <c r="AA258" s="1185"/>
      <c r="AB258" s="1185"/>
      <c r="AC258" s="1185"/>
      <c r="AD258" s="1185"/>
      <c r="AE258" s="1185"/>
      <c r="AF258" s="1185"/>
      <c r="AG258" s="1185"/>
      <c r="AH258" s="1185"/>
      <c r="AI258" s="1185"/>
      <c r="AK258" s="1204"/>
    </row>
    <row r="259" spans="1:37">
      <c r="A259" s="1219" t="s">
        <v>405</v>
      </c>
      <c r="B259" s="1219"/>
      <c r="C259" s="1026">
        <f>[95]Sheet1!$I$23</f>
        <v>1940</v>
      </c>
      <c r="D259" s="1070">
        <v>8.5489999999999995</v>
      </c>
      <c r="E259" s="1009" t="s">
        <v>374</v>
      </c>
      <c r="F259" s="1203">
        <f>ROUND(D259*$C259/100*D254,0)</f>
        <v>-2</v>
      </c>
      <c r="G259" s="1070">
        <v>9.766</v>
      </c>
      <c r="H259" s="1009" t="s">
        <v>374</v>
      </c>
      <c r="I259" s="1203">
        <f>ROUND(G259*$C259/100*G254,0)</f>
        <v>-2</v>
      </c>
      <c r="J259" s="1070">
        <f>J247</f>
        <v>6.4269999999999996</v>
      </c>
      <c r="K259" s="1009" t="s">
        <v>374</v>
      </c>
      <c r="L259" s="1203">
        <f>ROUND(J259*$C259/100*J254,0)</f>
        <v>-1</v>
      </c>
      <c r="N259" s="1185"/>
      <c r="O259" s="1185"/>
      <c r="P259" s="1186"/>
      <c r="Q259" s="1186"/>
      <c r="R259" s="1186"/>
      <c r="S259" s="1185"/>
      <c r="T259" s="1185"/>
      <c r="U259" s="1185"/>
      <c r="V259" s="1185"/>
      <c r="W259" s="1185"/>
      <c r="X259" s="1185"/>
      <c r="Y259" s="1185"/>
      <c r="Z259" s="1185"/>
      <c r="AA259" s="1185"/>
      <c r="AB259" s="1185"/>
      <c r="AC259" s="1185"/>
      <c r="AD259" s="1185"/>
      <c r="AE259" s="1185"/>
      <c r="AF259" s="1185"/>
      <c r="AG259" s="1185"/>
      <c r="AH259" s="1185"/>
      <c r="AI259" s="1185"/>
      <c r="AK259" s="1204"/>
    </row>
    <row r="260" spans="1:37">
      <c r="A260" s="1219" t="s">
        <v>398</v>
      </c>
      <c r="B260" s="1219"/>
      <c r="C260" s="1026">
        <v>0</v>
      </c>
      <c r="D260" s="1070">
        <v>5.9020000000000001</v>
      </c>
      <c r="E260" s="1009" t="s">
        <v>374</v>
      </c>
      <c r="F260" s="1203">
        <f>ROUND(D260*$C260/100*D254,0)</f>
        <v>0</v>
      </c>
      <c r="G260" s="1070">
        <v>6.7460000000000004</v>
      </c>
      <c r="H260" s="1009" t="s">
        <v>374</v>
      </c>
      <c r="I260" s="1203">
        <f>ROUND(G260*$C260/100*G254,0)</f>
        <v>0</v>
      </c>
      <c r="J260" s="1070">
        <f>J248</f>
        <v>4.4400000000000004</v>
      </c>
      <c r="K260" s="1009" t="s">
        <v>374</v>
      </c>
      <c r="L260" s="1203">
        <f>ROUND(J260*$C260/100*J254,0)</f>
        <v>0</v>
      </c>
      <c r="N260" s="1185"/>
      <c r="O260" s="1185"/>
      <c r="P260" s="1186"/>
      <c r="Q260" s="1186"/>
      <c r="R260" s="1186"/>
      <c r="S260" s="1185"/>
      <c r="T260" s="1185"/>
      <c r="U260" s="1185"/>
      <c r="V260" s="1185"/>
      <c r="W260" s="1185"/>
      <c r="X260" s="1185"/>
      <c r="Y260" s="1185"/>
      <c r="Z260" s="1185"/>
      <c r="AA260" s="1185"/>
      <c r="AB260" s="1185"/>
      <c r="AC260" s="1185"/>
      <c r="AD260" s="1185"/>
      <c r="AE260" s="1185"/>
      <c r="AF260" s="1185"/>
      <c r="AG260" s="1185"/>
      <c r="AH260" s="1185"/>
      <c r="AI260" s="1185"/>
      <c r="AK260" s="1204"/>
    </row>
    <row r="261" spans="1:37">
      <c r="A261" s="1219" t="s">
        <v>399</v>
      </c>
      <c r="B261" s="1219"/>
      <c r="C261" s="1026">
        <v>0</v>
      </c>
      <c r="D261" s="1070">
        <v>5.0839999999999996</v>
      </c>
      <c r="E261" s="1009" t="s">
        <v>374</v>
      </c>
      <c r="F261" s="1203">
        <f>ROUND(D261*$C261/100*D254,0)</f>
        <v>0</v>
      </c>
      <c r="G261" s="1070">
        <v>5.8120000000000003</v>
      </c>
      <c r="H261" s="1009" t="s">
        <v>374</v>
      </c>
      <c r="I261" s="1203">
        <f>ROUND(G261*$C261/100*G254,0)</f>
        <v>0</v>
      </c>
      <c r="J261" s="1070">
        <f>J249</f>
        <v>3.8250000000000002</v>
      </c>
      <c r="K261" s="1009" t="s">
        <v>374</v>
      </c>
      <c r="L261" s="1203">
        <f>ROUND(J261*$C261/100*J254,0)</f>
        <v>0</v>
      </c>
      <c r="N261" s="1185"/>
      <c r="O261" s="1185"/>
      <c r="P261" s="1186"/>
      <c r="Q261" s="1186"/>
      <c r="R261" s="1186"/>
      <c r="S261" s="1185"/>
      <c r="T261" s="1185"/>
      <c r="U261" s="1185"/>
      <c r="V261" s="1185"/>
      <c r="W261" s="1185"/>
      <c r="X261" s="1185"/>
      <c r="Y261" s="1185"/>
      <c r="Z261" s="1185"/>
      <c r="AA261" s="1185"/>
      <c r="AB261" s="1185"/>
      <c r="AC261" s="1185"/>
      <c r="AD261" s="1185"/>
      <c r="AE261" s="1185"/>
      <c r="AF261" s="1185"/>
      <c r="AG261" s="1185"/>
      <c r="AH261" s="1185"/>
      <c r="AI261" s="1185"/>
      <c r="AK261" s="1204"/>
    </row>
    <row r="262" spans="1:37">
      <c r="A262" s="1219" t="s">
        <v>400</v>
      </c>
      <c r="B262" s="1219"/>
      <c r="C262" s="1026">
        <v>0</v>
      </c>
      <c r="D262" s="1260">
        <v>50</v>
      </c>
      <c r="E262" s="1009" t="s">
        <v>374</v>
      </c>
      <c r="F262" s="1203">
        <f>ROUND(D262*$C262/100*D254,0)</f>
        <v>0</v>
      </c>
      <c r="G262" s="1260">
        <v>56</v>
      </c>
      <c r="H262" s="1009" t="s">
        <v>374</v>
      </c>
      <c r="I262" s="1203">
        <f>ROUND(G262*$C262/100*G254,0)</f>
        <v>0</v>
      </c>
      <c r="J262" s="1260">
        <f>J250</f>
        <v>63</v>
      </c>
      <c r="K262" s="1009" t="s">
        <v>374</v>
      </c>
      <c r="L262" s="1203">
        <f>ROUND(J262*$C262/100*J254,0)</f>
        <v>0</v>
      </c>
      <c r="N262" s="1185"/>
      <c r="O262" s="1185"/>
      <c r="P262" s="1186"/>
      <c r="Q262" s="1186"/>
      <c r="R262" s="1186"/>
      <c r="S262" s="1185"/>
      <c r="T262" s="1185"/>
      <c r="U262" s="1185"/>
      <c r="V262" s="1185"/>
      <c r="W262" s="1185"/>
      <c r="X262" s="1185"/>
      <c r="Y262" s="1185"/>
      <c r="Z262" s="1185"/>
      <c r="AA262" s="1185"/>
      <c r="AB262" s="1185"/>
      <c r="AC262" s="1185"/>
      <c r="AD262" s="1185"/>
      <c r="AE262" s="1185"/>
      <c r="AF262" s="1185"/>
      <c r="AG262" s="1185"/>
      <c r="AH262" s="1185"/>
      <c r="AI262" s="1185"/>
      <c r="AK262" s="1204"/>
    </row>
    <row r="263" spans="1:37">
      <c r="A263" s="1219" t="s">
        <v>407</v>
      </c>
      <c r="B263" s="1219"/>
      <c r="C263" s="1026">
        <v>0</v>
      </c>
      <c r="D263" s="1261">
        <v>60</v>
      </c>
      <c r="E263" s="1041"/>
      <c r="F263" s="1203">
        <f>ROUND(D263*$C263,0)</f>
        <v>0</v>
      </c>
      <c r="G263" s="1261">
        <v>60</v>
      </c>
      <c r="H263" s="1009"/>
      <c r="I263" s="1203">
        <f>ROUND(G263*C263,0)</f>
        <v>0</v>
      </c>
      <c r="J263" s="1261">
        <f>$J$194</f>
        <v>60</v>
      </c>
      <c r="K263" s="1009"/>
      <c r="L263" s="1203">
        <f>ROUND(J263*$C263,0)</f>
        <v>0</v>
      </c>
      <c r="N263" s="1185"/>
      <c r="O263" s="1185"/>
      <c r="P263" s="1186"/>
      <c r="Q263" s="1186"/>
      <c r="R263" s="1186"/>
      <c r="S263" s="1185"/>
      <c r="T263" s="1185"/>
      <c r="U263" s="1185"/>
      <c r="V263" s="1185"/>
      <c r="W263" s="1185"/>
      <c r="X263" s="1185"/>
      <c r="Y263" s="1185"/>
      <c r="Z263" s="1185"/>
      <c r="AA263" s="1185"/>
      <c r="AB263" s="1185"/>
      <c r="AC263" s="1185"/>
      <c r="AD263" s="1185"/>
      <c r="AE263" s="1185"/>
      <c r="AF263" s="1185"/>
      <c r="AG263" s="1185"/>
      <c r="AH263" s="1185"/>
      <c r="AI263" s="1185"/>
      <c r="AK263" s="1204"/>
    </row>
    <row r="264" spans="1:37">
      <c r="A264" s="1219" t="s">
        <v>408</v>
      </c>
      <c r="B264" s="1219"/>
      <c r="C264" s="1026">
        <v>0</v>
      </c>
      <c r="D264" s="1262">
        <v>-30</v>
      </c>
      <c r="E264" s="1041" t="s">
        <v>374</v>
      </c>
      <c r="F264" s="1203">
        <f>ROUND(D264*$C264/100,0)</f>
        <v>0</v>
      </c>
      <c r="G264" s="1262">
        <v>-30</v>
      </c>
      <c r="H264" s="1009" t="s">
        <v>374</v>
      </c>
      <c r="I264" s="1203">
        <f>ROUND(G264*C264/100,0)</f>
        <v>0</v>
      </c>
      <c r="J264" s="1262">
        <f>$J$195</f>
        <v>-30</v>
      </c>
      <c r="K264" s="1009" t="s">
        <v>374</v>
      </c>
      <c r="L264" s="1203">
        <f>ROUND(J264*$C264/100,0)</f>
        <v>0</v>
      </c>
      <c r="N264" s="1185"/>
      <c r="O264" s="1185"/>
      <c r="P264" s="1186"/>
      <c r="Q264" s="1186"/>
      <c r="R264" s="1186"/>
      <c r="S264" s="1185"/>
      <c r="T264" s="1185"/>
      <c r="U264" s="1185"/>
      <c r="V264" s="1185"/>
      <c r="W264" s="1185"/>
      <c r="X264" s="1185"/>
      <c r="Y264" s="1185"/>
      <c r="Z264" s="1185"/>
      <c r="AA264" s="1185"/>
      <c r="AB264" s="1185"/>
      <c r="AC264" s="1185"/>
      <c r="AD264" s="1185"/>
      <c r="AE264" s="1185"/>
      <c r="AF264" s="1185"/>
      <c r="AG264" s="1185"/>
      <c r="AH264" s="1185"/>
      <c r="AI264" s="1185"/>
      <c r="AK264" s="1204"/>
    </row>
    <row r="265" spans="1:37">
      <c r="A265" s="1005" t="s">
        <v>918</v>
      </c>
      <c r="C265" s="1202">
        <f>C259</f>
        <v>1940</v>
      </c>
      <c r="D265" s="269"/>
      <c r="E265" s="1185"/>
      <c r="F265" s="1203"/>
      <c r="G265" s="269"/>
      <c r="H265" s="1185"/>
      <c r="I265" s="1203"/>
      <c r="J265" s="1230">
        <f>J179</f>
        <v>4.4989999999999997</v>
      </c>
      <c r="K265" s="1009" t="s">
        <v>374</v>
      </c>
      <c r="L265" s="1203">
        <f t="shared" ref="L265:L267" si="42">ROUND(J265*$C265/100,0)</f>
        <v>87</v>
      </c>
      <c r="N265" s="1204"/>
      <c r="P265" s="815"/>
      <c r="Q265" s="1184"/>
      <c r="R265" s="1184"/>
      <c r="S265" s="1205"/>
      <c r="T265" s="1205"/>
      <c r="Y265" s="1185"/>
      <c r="Z265" s="1185"/>
      <c r="AA265" s="1185"/>
      <c r="AB265" s="1185"/>
      <c r="AC265" s="1185"/>
      <c r="AD265" s="1185"/>
      <c r="AE265" s="1185"/>
      <c r="AF265" s="1185"/>
      <c r="AG265" s="1185"/>
      <c r="AH265" s="1185"/>
      <c r="AI265" s="1185"/>
      <c r="AK265" s="1204"/>
    </row>
    <row r="266" spans="1:37">
      <c r="A266" s="1005" t="s">
        <v>919</v>
      </c>
      <c r="C266" s="1202">
        <f t="shared" ref="C266:C267" si="43">C260</f>
        <v>0</v>
      </c>
      <c r="D266" s="269"/>
      <c r="E266" s="1185"/>
      <c r="F266" s="1203"/>
      <c r="G266" s="269"/>
      <c r="H266" s="1185"/>
      <c r="I266" s="1203"/>
      <c r="J266" s="1230">
        <f>J180</f>
        <v>3.1080000000000001</v>
      </c>
      <c r="K266" s="1009" t="s">
        <v>374</v>
      </c>
      <c r="L266" s="1203">
        <f t="shared" si="42"/>
        <v>0</v>
      </c>
      <c r="N266" s="1204"/>
      <c r="P266" s="815"/>
      <c r="Q266" s="1184"/>
      <c r="R266" s="1184"/>
      <c r="S266" s="1205"/>
      <c r="T266" s="1205"/>
      <c r="Y266" s="1185"/>
      <c r="Z266" s="1185"/>
      <c r="AA266" s="1185"/>
      <c r="AB266" s="1185"/>
      <c r="AC266" s="1185"/>
      <c r="AD266" s="1185"/>
      <c r="AE266" s="1185"/>
      <c r="AF266" s="1185"/>
      <c r="AG266" s="1185"/>
      <c r="AH266" s="1185"/>
      <c r="AI266" s="1185"/>
      <c r="AK266" s="1204"/>
    </row>
    <row r="267" spans="1:37">
      <c r="A267" s="1005" t="s">
        <v>920</v>
      </c>
      <c r="C267" s="1202">
        <f t="shared" si="43"/>
        <v>0</v>
      </c>
      <c r="D267" s="269"/>
      <c r="E267" s="1185"/>
      <c r="F267" s="1203"/>
      <c r="G267" s="269"/>
      <c r="H267" s="1185"/>
      <c r="I267" s="1203"/>
      <c r="J267" s="1230">
        <f>J181</f>
        <v>2.6779999999999999</v>
      </c>
      <c r="K267" s="1009" t="s">
        <v>374</v>
      </c>
      <c r="L267" s="1203">
        <f t="shared" si="42"/>
        <v>0</v>
      </c>
      <c r="N267" s="1204"/>
      <c r="P267" s="815"/>
      <c r="Q267" s="1184"/>
      <c r="R267" s="1184"/>
      <c r="S267" s="1205"/>
      <c r="T267" s="1205"/>
      <c r="Y267" s="1185"/>
      <c r="Z267" s="1185"/>
      <c r="AA267" s="1185"/>
      <c r="AB267" s="1185"/>
      <c r="AC267" s="1185"/>
      <c r="AD267" s="1185"/>
      <c r="AE267" s="1185"/>
      <c r="AF267" s="1185"/>
      <c r="AG267" s="1185"/>
      <c r="AH267" s="1185"/>
      <c r="AI267" s="1185"/>
      <c r="AK267" s="1204"/>
    </row>
    <row r="268" spans="1:37">
      <c r="A268" s="1219" t="s">
        <v>381</v>
      </c>
      <c r="B268" s="307"/>
      <c r="C268" s="1026">
        <f>SUM(C247:C249)</f>
        <v>2357863.6555643408</v>
      </c>
      <c r="D268" s="1255"/>
      <c r="E268" s="1203"/>
      <c r="F268" s="1203">
        <f>SUM(F242:F264)</f>
        <v>237913</v>
      </c>
      <c r="G268" s="1255"/>
      <c r="H268" s="1009"/>
      <c r="I268" s="1203">
        <f>SUM(I242:I264)</f>
        <v>271694</v>
      </c>
      <c r="J268" s="1255"/>
      <c r="K268" s="1009"/>
      <c r="L268" s="1203">
        <f>SUM(L242:L267)</f>
        <v>304026</v>
      </c>
      <c r="N268" s="1274"/>
      <c r="O268" s="1274"/>
      <c r="P268" s="1186"/>
      <c r="Q268" s="1186"/>
      <c r="R268" s="1186"/>
      <c r="S268" s="1185"/>
      <c r="T268" s="1185"/>
      <c r="U268" s="1185"/>
      <c r="V268" s="1185"/>
      <c r="W268" s="1185"/>
      <c r="X268" s="1185"/>
      <c r="Y268" s="1185"/>
      <c r="Z268" s="1185"/>
      <c r="AA268" s="1185"/>
      <c r="AB268" s="1185"/>
      <c r="AC268" s="1185"/>
      <c r="AD268" s="1185"/>
      <c r="AE268" s="1185"/>
      <c r="AF268" s="1185"/>
      <c r="AG268" s="1185"/>
      <c r="AH268" s="1185"/>
      <c r="AI268" s="1185"/>
      <c r="AK268" s="1204"/>
    </row>
    <row r="269" spans="1:37">
      <c r="A269" s="1219" t="s">
        <v>363</v>
      </c>
      <c r="B269" s="1219"/>
      <c r="C269" s="1032">
        <f>'[94]Table 2'!H18</f>
        <v>-151.59181207680737</v>
      </c>
      <c r="D269" s="1218"/>
      <c r="E269" s="1218"/>
      <c r="F269" s="1264" t="e">
        <f>#REF!</f>
        <v>#REF!</v>
      </c>
      <c r="G269" s="1218"/>
      <c r="H269" s="1218"/>
      <c r="I269" s="1264">
        <f>'[94]Table 3'!E18</f>
        <v>11.556216535227565</v>
      </c>
      <c r="J269" s="1218"/>
      <c r="K269" s="1218"/>
      <c r="L269" s="1264">
        <f>I269</f>
        <v>11.556216535227565</v>
      </c>
      <c r="N269" s="444"/>
      <c r="O269" s="444"/>
      <c r="P269" s="287"/>
      <c r="Q269" s="1186"/>
      <c r="R269" s="1186"/>
      <c r="S269" s="1185"/>
      <c r="T269" s="1185"/>
      <c r="U269" s="1185"/>
      <c r="V269" s="1185"/>
      <c r="W269" s="1185"/>
      <c r="X269" s="1185"/>
      <c r="Y269" s="1185"/>
      <c r="Z269" s="1185"/>
      <c r="AA269" s="1185"/>
      <c r="AB269" s="1185"/>
      <c r="AC269" s="1185"/>
      <c r="AD269" s="1185"/>
      <c r="AE269" s="1185"/>
      <c r="AF269" s="1185"/>
      <c r="AG269" s="1185"/>
      <c r="AH269" s="1185"/>
      <c r="AI269" s="1185"/>
      <c r="AK269" s="1204"/>
    </row>
    <row r="270" spans="1:37" ht="16.5" thickBot="1">
      <c r="A270" s="1219" t="s">
        <v>382</v>
      </c>
      <c r="B270" s="1219"/>
      <c r="C270" s="1240">
        <f>SUM(C268:C269)</f>
        <v>2357712.0637522638</v>
      </c>
      <c r="D270" s="1265"/>
      <c r="E270" s="1266"/>
      <c r="F270" s="1267" t="e">
        <f>F268+F269</f>
        <v>#REF!</v>
      </c>
      <c r="G270" s="1265"/>
      <c r="H270" s="1269"/>
      <c r="I270" s="1267">
        <f>I268+I269</f>
        <v>271705.55621653522</v>
      </c>
      <c r="J270" s="1265"/>
      <c r="K270" s="1269"/>
      <c r="L270" s="1267">
        <f>L268+L269</f>
        <v>304037.55621653522</v>
      </c>
      <c r="N270" s="411"/>
      <c r="O270" s="411"/>
      <c r="P270" s="470"/>
      <c r="Q270" s="1186"/>
      <c r="R270" s="1186"/>
      <c r="S270" s="1185"/>
      <c r="T270" s="1185"/>
      <c r="U270" s="1185"/>
      <c r="V270" s="1185"/>
      <c r="W270" s="1185"/>
      <c r="X270" s="1185"/>
      <c r="Y270" s="1185"/>
      <c r="Z270" s="1185"/>
      <c r="AA270" s="1185"/>
      <c r="AB270" s="1185"/>
      <c r="AC270" s="1185"/>
      <c r="AD270" s="1185"/>
      <c r="AE270" s="1185"/>
      <c r="AF270" s="1185"/>
      <c r="AG270" s="1185"/>
      <c r="AH270" s="1185"/>
      <c r="AI270" s="1185"/>
      <c r="AK270" s="1204"/>
    </row>
    <row r="271" spans="1:37" ht="16.5" thickTop="1">
      <c r="A271" s="1219"/>
      <c r="B271" s="1219"/>
      <c r="C271" s="1225"/>
      <c r="D271" s="1261"/>
      <c r="E271" s="1203"/>
      <c r="F271" s="1203"/>
      <c r="G271" s="1261"/>
      <c r="H271" s="1219"/>
      <c r="I271" s="1203"/>
      <c r="J271" s="1261"/>
      <c r="K271" s="1219"/>
      <c r="L271" s="1203" t="s">
        <v>31</v>
      </c>
      <c r="N271" s="1185"/>
      <c r="O271" s="1185"/>
      <c r="P271" s="1186"/>
      <c r="Q271" s="1186"/>
      <c r="R271" s="1186"/>
      <c r="S271" s="1185"/>
      <c r="T271" s="1185"/>
      <c r="U271" s="1185"/>
      <c r="V271" s="1185"/>
      <c r="W271" s="1185"/>
      <c r="X271" s="1185"/>
      <c r="Y271" s="1185"/>
      <c r="Z271" s="1185"/>
      <c r="AA271" s="1185"/>
      <c r="AB271" s="1185"/>
      <c r="AC271" s="1185"/>
      <c r="AD271" s="1185"/>
      <c r="AE271" s="1185"/>
      <c r="AF271" s="1185"/>
      <c r="AG271" s="1185"/>
      <c r="AH271" s="1185"/>
      <c r="AI271" s="1185"/>
      <c r="AK271" s="1204"/>
    </row>
    <row r="272" spans="1:37">
      <c r="A272" s="1219"/>
      <c r="B272" s="1219"/>
      <c r="C272" s="1225"/>
      <c r="D272" s="1261"/>
      <c r="E272" s="1203"/>
      <c r="F272" s="1203"/>
      <c r="G272" s="1261"/>
      <c r="H272" s="1219"/>
      <c r="I272" s="1203"/>
      <c r="J272" s="1261"/>
      <c r="K272" s="1219"/>
      <c r="L272" s="1203" t="s">
        <v>31</v>
      </c>
      <c r="N272" s="1185"/>
      <c r="O272" s="1185"/>
      <c r="P272" s="1186"/>
      <c r="Q272" s="1186"/>
      <c r="R272" s="1186"/>
      <c r="S272" s="1185"/>
      <c r="T272" s="1185"/>
      <c r="U272" s="1185"/>
      <c r="V272" s="1185"/>
      <c r="W272" s="1185"/>
      <c r="X272" s="1185"/>
      <c r="Y272" s="1185"/>
      <c r="Z272" s="1185"/>
      <c r="AA272" s="1185"/>
      <c r="AB272" s="1185"/>
      <c r="AC272" s="1185"/>
      <c r="AD272" s="1185"/>
      <c r="AE272" s="1185"/>
      <c r="AF272" s="1185"/>
      <c r="AG272" s="1185"/>
      <c r="AH272" s="1185"/>
      <c r="AI272" s="1185"/>
      <c r="AK272" s="1204"/>
    </row>
    <row r="273" spans="1:37">
      <c r="A273" s="1224" t="s">
        <v>387</v>
      </c>
      <c r="B273" s="1219"/>
      <c r="C273" s="1219"/>
      <c r="D273" s="1203"/>
      <c r="E273" s="1203"/>
      <c r="F273" s="1219" t="s">
        <v>31</v>
      </c>
      <c r="G273" s="1203"/>
      <c r="H273" s="1219"/>
      <c r="I273" s="1219"/>
      <c r="J273" s="1203"/>
      <c r="K273" s="1219"/>
      <c r="L273" s="1219"/>
      <c r="N273" s="1185"/>
      <c r="O273" s="1185"/>
      <c r="P273" s="1186"/>
      <c r="Q273" s="1186"/>
      <c r="R273" s="1186"/>
      <c r="S273" s="1185"/>
      <c r="T273" s="1185"/>
      <c r="U273" s="1185"/>
      <c r="V273" s="1185"/>
      <c r="W273" s="1185"/>
      <c r="X273" s="1185"/>
      <c r="Y273" s="1185"/>
      <c r="Z273" s="1185"/>
      <c r="AA273" s="1185"/>
      <c r="AB273" s="1185"/>
      <c r="AC273" s="1185"/>
      <c r="AD273" s="1185"/>
      <c r="AE273" s="1185"/>
      <c r="AF273" s="1185"/>
      <c r="AG273" s="1185"/>
      <c r="AH273" s="1185"/>
      <c r="AI273" s="1185"/>
      <c r="AK273" s="1204"/>
    </row>
    <row r="274" spans="1:37">
      <c r="A274" s="1219" t="s">
        <v>411</v>
      </c>
      <c r="B274" s="1219"/>
      <c r="C274" s="1219"/>
      <c r="D274" s="1203"/>
      <c r="E274" s="1203"/>
      <c r="F274" s="1219"/>
      <c r="G274" s="1203"/>
      <c r="H274" s="1219"/>
      <c r="I274" s="1219"/>
      <c r="J274" s="1203"/>
      <c r="K274" s="1219"/>
      <c r="L274" s="1219"/>
      <c r="N274" s="1185"/>
      <c r="O274" s="1185"/>
      <c r="P274" s="1186"/>
      <c r="Q274" s="1186"/>
      <c r="R274" s="1186"/>
      <c r="S274" s="1185"/>
      <c r="T274" s="1185"/>
      <c r="U274" s="1185"/>
      <c r="V274" s="1185"/>
      <c r="W274" s="1185"/>
      <c r="X274" s="1185"/>
      <c r="Y274" s="1185"/>
      <c r="Z274" s="1185"/>
      <c r="AA274" s="1185"/>
      <c r="AB274" s="1185"/>
      <c r="AC274" s="1185"/>
      <c r="AD274" s="1185"/>
      <c r="AE274" s="1185"/>
      <c r="AF274" s="1185"/>
      <c r="AG274" s="1185"/>
      <c r="AH274" s="1185"/>
      <c r="AI274" s="1185"/>
      <c r="AK274" s="1204"/>
    </row>
    <row r="275" spans="1:37">
      <c r="A275" s="1243" t="s">
        <v>412</v>
      </c>
      <c r="B275" s="1219"/>
      <c r="C275" s="1225"/>
      <c r="D275" s="1203"/>
      <c r="E275" s="1203"/>
      <c r="F275" s="1219"/>
      <c r="G275" s="1203"/>
      <c r="H275" s="1219"/>
      <c r="I275" s="1219"/>
      <c r="J275" s="1203"/>
      <c r="K275" s="1219"/>
      <c r="L275" s="1219"/>
      <c r="N275" s="1185"/>
      <c r="O275" s="1185"/>
      <c r="P275" s="1186"/>
      <c r="Q275" s="1186"/>
      <c r="R275" s="1186"/>
      <c r="S275" s="1185"/>
      <c r="T275" s="1185"/>
      <c r="U275" s="1185"/>
      <c r="V275" s="1185"/>
      <c r="W275" s="1185"/>
      <c r="X275" s="1185"/>
      <c r="Y275" s="1185"/>
      <c r="Z275" s="1185"/>
      <c r="AA275" s="1185"/>
      <c r="AB275" s="1185"/>
      <c r="AC275" s="1185"/>
      <c r="AD275" s="1185"/>
      <c r="AE275" s="1185"/>
      <c r="AF275" s="1185"/>
      <c r="AG275" s="1185"/>
      <c r="AH275" s="1185"/>
      <c r="AI275" s="1185"/>
      <c r="AK275" s="1204"/>
    </row>
    <row r="276" spans="1:37">
      <c r="A276" s="1219" t="s">
        <v>393</v>
      </c>
      <c r="B276" s="1219"/>
      <c r="C276" s="1026"/>
      <c r="D276" s="1203"/>
      <c r="E276" s="1203"/>
      <c r="F276" s="1219"/>
      <c r="G276" s="1203"/>
      <c r="H276" s="1219"/>
      <c r="I276" s="1219"/>
      <c r="J276" s="1203"/>
      <c r="K276" s="1219"/>
      <c r="L276" s="1219"/>
      <c r="N276" s="1185"/>
      <c r="O276" s="1185"/>
      <c r="P276" s="1186"/>
      <c r="Q276" s="1186"/>
      <c r="R276" s="1186"/>
      <c r="S276" s="1185"/>
      <c r="T276" s="1185"/>
      <c r="U276" s="1185"/>
      <c r="V276" s="1185"/>
      <c r="W276" s="1185"/>
      <c r="X276" s="1185"/>
      <c r="Y276" s="1185"/>
      <c r="Z276" s="1185"/>
      <c r="AA276" s="1185"/>
      <c r="AB276" s="1185"/>
      <c r="AC276" s="1185"/>
      <c r="AD276" s="1185"/>
      <c r="AE276" s="1185"/>
      <c r="AF276" s="1185"/>
      <c r="AG276" s="1185"/>
      <c r="AH276" s="1185"/>
      <c r="AI276" s="1185"/>
      <c r="AK276" s="1204"/>
    </row>
    <row r="277" spans="1:37">
      <c r="A277" s="1219" t="s">
        <v>390</v>
      </c>
      <c r="B277" s="1219"/>
      <c r="C277" s="1026">
        <f>[95]Sheet1!$F$2+[95]Sheet1!$F$5+[95]Sheet1!$F$6+[95]Sheet1!$F$11+[95]Sheet1!$F$13+[95]Sheet1!$F$19</f>
        <v>150737.03333332695</v>
      </c>
      <c r="D277" s="1229">
        <v>7.64</v>
      </c>
      <c r="E277" s="1041"/>
      <c r="F277" s="1203">
        <f>ROUND(D277*$C277,0)</f>
        <v>1151631</v>
      </c>
      <c r="G277" s="1229">
        <v>8.7100000000000009</v>
      </c>
      <c r="H277" s="1009"/>
      <c r="I277" s="1203">
        <f>ROUND(G277*$C277,0)</f>
        <v>1312920</v>
      </c>
      <c r="J277" s="1229">
        <f>$J$169</f>
        <v>9.74</v>
      </c>
      <c r="K277" s="1009"/>
      <c r="L277" s="1203">
        <f>ROUND(J277*$C277,0)</f>
        <v>1468179</v>
      </c>
      <c r="N277" s="1185"/>
      <c r="O277" s="1185"/>
      <c r="P277" s="1186"/>
      <c r="Q277" s="1186"/>
      <c r="R277" s="1186"/>
      <c r="S277" s="1185"/>
      <c r="T277" s="1185"/>
      <c r="U277" s="1185"/>
      <c r="V277" s="1185"/>
      <c r="W277" s="1185"/>
      <c r="X277" s="1185"/>
      <c r="Y277" s="1185"/>
      <c r="Z277" s="1185"/>
      <c r="AA277" s="1185"/>
      <c r="AB277" s="1185"/>
      <c r="AC277" s="1185"/>
      <c r="AD277" s="1185"/>
      <c r="AE277" s="1185"/>
      <c r="AF277" s="1185"/>
      <c r="AG277" s="1185"/>
      <c r="AH277" s="1185"/>
      <c r="AI277" s="1185"/>
      <c r="AK277" s="1204"/>
    </row>
    <row r="278" spans="1:37">
      <c r="A278" s="1219" t="s">
        <v>391</v>
      </c>
      <c r="B278" s="1219"/>
      <c r="C278" s="1026">
        <f>[95]Sheet1!$F$3+[95]Sheet1!$F$4+[95]Sheet1!$F$7+[95]Sheet1!$F$8+[95]Sheet1!$F$9+[95]Sheet1!$F$10+[95]Sheet1!$F$12</f>
        <v>58978.533333332438</v>
      </c>
      <c r="D278" s="1229">
        <v>11.36</v>
      </c>
      <c r="E278" s="1249"/>
      <c r="F278" s="1203">
        <f>ROUND(D278*$C278,0)</f>
        <v>669996</v>
      </c>
      <c r="G278" s="1229">
        <v>12.98</v>
      </c>
      <c r="H278" s="1250"/>
      <c r="I278" s="1203">
        <f t="shared" ref="I278:I279" si="44">ROUND(G278*$C278,0)</f>
        <v>765541</v>
      </c>
      <c r="J278" s="1229">
        <f>$J$170</f>
        <v>14.51</v>
      </c>
      <c r="K278" s="1250"/>
      <c r="L278" s="1203">
        <f>ROUND(J278*$C278,0)</f>
        <v>855779</v>
      </c>
      <c r="N278" s="1185"/>
      <c r="O278" s="1185"/>
      <c r="P278" s="1186"/>
      <c r="Q278" s="1186"/>
      <c r="R278" s="1186"/>
      <c r="S278" s="1185"/>
      <c r="T278" s="1185"/>
      <c r="U278" s="1185"/>
      <c r="V278" s="1185"/>
      <c r="W278" s="1185"/>
      <c r="X278" s="1185"/>
      <c r="Y278" s="1185"/>
      <c r="Z278" s="1185"/>
      <c r="AA278" s="1185"/>
      <c r="AB278" s="1185"/>
      <c r="AC278" s="1185"/>
      <c r="AD278" s="1185"/>
      <c r="AE278" s="1185"/>
      <c r="AF278" s="1185"/>
      <c r="AG278" s="1185"/>
      <c r="AH278" s="1185"/>
      <c r="AI278" s="1185"/>
      <c r="AK278" s="1204"/>
    </row>
    <row r="279" spans="1:37">
      <c r="A279" s="1219" t="s">
        <v>392</v>
      </c>
      <c r="B279" s="1219"/>
      <c r="C279" s="1026">
        <f>[95]Sheet1!$G$2+[95]Sheet1!$G$4+[95]Sheet1!$G$5+[95]Sheet1!$G$6+[95]Sheet1!$G$7+[95]Sheet1!$G$8+[95]Sheet1!$G$9+[95]Sheet1!$G$10+[95]Sheet1!$G$11+[95]Sheet1!$G$12</f>
        <v>1157061.5</v>
      </c>
      <c r="D279" s="1229">
        <v>0.81</v>
      </c>
      <c r="E279" s="1249"/>
      <c r="F279" s="1203">
        <f>ROUND(D279*$C279,0)</f>
        <v>937220</v>
      </c>
      <c r="G279" s="1229">
        <v>0.92</v>
      </c>
      <c r="H279" s="1250"/>
      <c r="I279" s="1203">
        <f t="shared" si="44"/>
        <v>1064497</v>
      </c>
      <c r="J279" s="1229">
        <f>$J$171</f>
        <v>1.03</v>
      </c>
      <c r="K279" s="1250"/>
      <c r="L279" s="1203">
        <f>ROUND(J279*$C279,0)</f>
        <v>1191773</v>
      </c>
      <c r="N279" s="1185"/>
      <c r="O279" s="1185"/>
      <c r="P279" s="1186"/>
      <c r="Q279" s="1186"/>
      <c r="R279" s="1186"/>
      <c r="S279" s="1185"/>
      <c r="T279" s="1185"/>
      <c r="U279" s="1185"/>
      <c r="V279" s="1185"/>
      <c r="W279" s="1185"/>
      <c r="X279" s="1185"/>
      <c r="Y279" s="1185"/>
      <c r="Z279" s="1185"/>
      <c r="AA279" s="1185"/>
      <c r="AB279" s="1185"/>
      <c r="AC279" s="1185"/>
      <c r="AD279" s="1185"/>
      <c r="AE279" s="1185"/>
      <c r="AF279" s="1185"/>
      <c r="AG279" s="1185"/>
      <c r="AH279" s="1185"/>
      <c r="AI279" s="1185"/>
      <c r="AK279" s="1204"/>
    </row>
    <row r="280" spans="1:37">
      <c r="A280" s="1219" t="s">
        <v>394</v>
      </c>
      <c r="B280" s="1219"/>
      <c r="C280" s="1026">
        <f>SUM(C277:C278)</f>
        <v>209715.56666665938</v>
      </c>
      <c r="D280" s="1229"/>
      <c r="E280" s="1041"/>
      <c r="F280" s="1203"/>
      <c r="G280" s="1229"/>
      <c r="H280" s="1009"/>
      <c r="I280" s="1203"/>
      <c r="J280" s="1229"/>
      <c r="K280" s="1009"/>
      <c r="L280" s="1203"/>
      <c r="N280" s="1185"/>
      <c r="O280" s="1185"/>
      <c r="P280" s="1186"/>
      <c r="Q280" s="1186"/>
      <c r="R280" s="1186"/>
      <c r="S280" s="1185"/>
      <c r="T280" s="1185"/>
      <c r="U280" s="1185"/>
      <c r="V280" s="1185"/>
      <c r="W280" s="1185"/>
      <c r="X280" s="1185"/>
      <c r="Y280" s="1185"/>
      <c r="Z280" s="1185"/>
      <c r="AA280" s="1185"/>
      <c r="AB280" s="1185"/>
      <c r="AC280" s="1185"/>
      <c r="AD280" s="1185"/>
      <c r="AE280" s="1185"/>
      <c r="AF280" s="1185"/>
      <c r="AG280" s="1185"/>
      <c r="AH280" s="1185"/>
      <c r="AI280" s="1185"/>
      <c r="AK280" s="1204"/>
    </row>
    <row r="281" spans="1:37">
      <c r="A281" s="1219" t="s">
        <v>395</v>
      </c>
      <c r="B281" s="1219"/>
      <c r="C281" s="1026">
        <f>[95]Sheet1!$K$2+[95]Sheet1!$K$4+[95]Sheet1!$K$5+[95]Sheet1!$K$6+[95]Sheet1!$K$7+[95]Sheet1!$K$8+[95]Sheet1!$K$9+[95]Sheet1!$K$10+[95]Sheet1!$K$11+[95]Sheet1!$K$12</f>
        <v>743582</v>
      </c>
      <c r="D281" s="1261">
        <v>2.98</v>
      </c>
      <c r="E281" s="1009"/>
      <c r="F281" s="1203">
        <f>ROUND(D281*$C281,0)</f>
        <v>2215874</v>
      </c>
      <c r="G281" s="1261">
        <v>3.4</v>
      </c>
      <c r="H281" s="1009"/>
      <c r="I281" s="1203">
        <f>ROUND(G281*C281,0)</f>
        <v>2528179</v>
      </c>
      <c r="J281" s="1261">
        <f>$J$174</f>
        <v>3.8</v>
      </c>
      <c r="K281" s="1009"/>
      <c r="L281" s="1203">
        <f>ROUND(J281*$C281,0)</f>
        <v>2825612</v>
      </c>
      <c r="N281" s="1185"/>
      <c r="O281" s="1185"/>
      <c r="P281" s="1186"/>
      <c r="Q281" s="1186"/>
      <c r="R281" s="1186"/>
      <c r="S281" s="1185"/>
      <c r="T281" s="1185"/>
      <c r="U281" s="1185"/>
      <c r="V281" s="1185"/>
      <c r="W281" s="1185"/>
      <c r="X281" s="1185"/>
      <c r="Y281" s="1185"/>
      <c r="Z281" s="1185"/>
      <c r="AA281" s="1185"/>
      <c r="AB281" s="1185"/>
      <c r="AC281" s="1185"/>
      <c r="AD281" s="1185"/>
      <c r="AE281" s="1185"/>
      <c r="AF281" s="1185"/>
      <c r="AG281" s="1185"/>
      <c r="AH281" s="1185"/>
      <c r="AI281" s="1185"/>
      <c r="AK281" s="1204"/>
    </row>
    <row r="282" spans="1:37">
      <c r="A282" s="1219" t="s">
        <v>397</v>
      </c>
      <c r="B282" s="1026"/>
      <c r="C282" s="1026">
        <f>[95]Sheet1!$I$2+[95]Sheet1!$I$3+[95]Sheet1!$I$4+[95]Sheet1!$I$5+[95]Sheet1!$I$6+[95]Sheet1!$I$7+[95]Sheet1!$I$8+[95]Sheet1!$I$9+[95]Sheet1!$I$10+[95]Sheet1!$I$11+[95]Sheet1!$I$12+[95]Sheet1!$I$13+[95]Sheet1!$I$19+[94]Temperature!C75*1000</f>
        <v>125208946.110778</v>
      </c>
      <c r="D282" s="1230">
        <v>8.5489999999999995</v>
      </c>
      <c r="E282" s="1009" t="s">
        <v>374</v>
      </c>
      <c r="F282" s="1203">
        <f>ROUND(D282*$C282/100,0)</f>
        <v>10704113</v>
      </c>
      <c r="G282" s="1230">
        <v>9.766</v>
      </c>
      <c r="H282" s="1009" t="s">
        <v>374</v>
      </c>
      <c r="I282" s="1203">
        <f>ROUND(G282*C282/100,0)</f>
        <v>12227906</v>
      </c>
      <c r="J282" s="1230">
        <f>$J$175</f>
        <v>6.4269999999999996</v>
      </c>
      <c r="K282" s="1009" t="s">
        <v>374</v>
      </c>
      <c r="L282" s="1203">
        <f>ROUND(J282*$C282/100,0)</f>
        <v>8047179</v>
      </c>
      <c r="N282" s="452"/>
      <c r="O282" s="452"/>
      <c r="P282" s="1186"/>
      <c r="Q282" s="1186"/>
      <c r="R282" s="1186"/>
      <c r="S282" s="1185"/>
      <c r="T282" s="1185"/>
      <c r="U282" s="1185"/>
      <c r="V282" s="1185"/>
      <c r="W282" s="1185"/>
      <c r="X282" s="1185"/>
      <c r="Y282" s="1185"/>
      <c r="Z282" s="1185"/>
      <c r="AA282" s="1185"/>
      <c r="AB282" s="1185"/>
      <c r="AC282" s="1185"/>
      <c r="AD282" s="1185"/>
      <c r="AE282" s="1185"/>
      <c r="AF282" s="1185"/>
      <c r="AG282" s="1185"/>
      <c r="AH282" s="1185"/>
      <c r="AI282" s="1185"/>
      <c r="AK282" s="1204"/>
    </row>
    <row r="283" spans="1:37">
      <c r="A283" s="1219" t="s">
        <v>398</v>
      </c>
      <c r="B283" s="1026"/>
      <c r="C283" s="1026">
        <f>[95]Sheet1!$J$2+[95]Sheet1!$J$3+[95]Sheet1!$J$4+[95]Sheet1!$J$5+[95]Sheet1!$J$6+[95]Sheet1!$J$7+[95]Sheet1!$J$8+[95]Sheet1!$J$9+[95]Sheet1!$J$10+[95]Sheet1!$J$11+[95]Sheet1!$J$12+[95]Sheet1!$J$19+[94]Temperature!D75*1000</f>
        <v>275854333.43621069</v>
      </c>
      <c r="D283" s="1230">
        <v>5.9020000000000001</v>
      </c>
      <c r="E283" s="1009" t="s">
        <v>374</v>
      </c>
      <c r="F283" s="1203">
        <f>ROUND(D283*$C283/100,0)</f>
        <v>16280923</v>
      </c>
      <c r="G283" s="1230">
        <v>6.7460000000000004</v>
      </c>
      <c r="H283" s="1009" t="s">
        <v>374</v>
      </c>
      <c r="I283" s="1203">
        <f t="shared" ref="I283:I285" si="45">ROUND(G283*C283/100,0)</f>
        <v>18609133</v>
      </c>
      <c r="J283" s="1230">
        <f>$J$176</f>
        <v>4.4400000000000004</v>
      </c>
      <c r="K283" s="1009" t="s">
        <v>374</v>
      </c>
      <c r="L283" s="1203">
        <f>ROUND(J283*$C283/100,0)</f>
        <v>12247932</v>
      </c>
      <c r="N283" s="452"/>
      <c r="O283" s="452"/>
      <c r="P283" s="1186"/>
      <c r="Q283" s="1186"/>
      <c r="R283" s="1186"/>
      <c r="S283" s="1185"/>
      <c r="T283" s="1185"/>
      <c r="U283" s="1185"/>
      <c r="V283" s="1185"/>
      <c r="W283" s="1185"/>
      <c r="X283" s="1185"/>
      <c r="Y283" s="1185"/>
      <c r="Z283" s="1185"/>
      <c r="AA283" s="1185"/>
      <c r="AB283" s="1185"/>
      <c r="AC283" s="1185"/>
      <c r="AD283" s="1185"/>
      <c r="AE283" s="1185"/>
      <c r="AF283" s="1185"/>
      <c r="AG283" s="1185"/>
      <c r="AH283" s="1185"/>
      <c r="AI283" s="1185"/>
      <c r="AK283" s="1204"/>
    </row>
    <row r="284" spans="1:37">
      <c r="A284" s="1219" t="s">
        <v>399</v>
      </c>
      <c r="B284" s="1026"/>
      <c r="C284" s="1026">
        <f>[95]Sheet1!$H$2+[95]Sheet1!$H$3+[95]Sheet1!$H$4+[95]Sheet1!$H$5+[95]Sheet1!$H$6+[95]Sheet1!$H$7+[95]Sheet1!$H$8+[95]Sheet1!$H$9+[95]Sheet1!$H$10+[95]Sheet1!$H$11+[95]Sheet1!$H$12+[95]Sheet1!$H$13-[95]Sheet1!$I$2-[95]Sheet1!$I$3-[95]Sheet1!$I$4-[95]Sheet1!$I$5-[95]Sheet1!$I$6-[95]Sheet1!$I$7-[95]Sheet1!$I$8-[95]Sheet1!$I$9-[95]Sheet1!$I$10-[95]Sheet1!$I$11-[95]Sheet1!$I$12-[95]Sheet1!$I$13-[95]Sheet1!$J$2-[95]Sheet1!$J$3-[95]Sheet1!$J$4-[95]Sheet1!$J$5-[95]Sheet1!$J$6-[95]Sheet1!$J$7-[95]Sheet1!$J$8-[95]Sheet1!$J$9-[95]Sheet1!$J$10-[95]Sheet1!$J$11-[95]Sheet1!$J$12+[94]Temperature!E75*1000</f>
        <v>116004075.26156482</v>
      </c>
      <c r="D284" s="1230">
        <v>5.0839999999999996</v>
      </c>
      <c r="E284" s="1009" t="s">
        <v>374</v>
      </c>
      <c r="F284" s="1203">
        <f>ROUND(D284*$C284/100,0)</f>
        <v>5897647</v>
      </c>
      <c r="G284" s="1230">
        <v>5.8120000000000003</v>
      </c>
      <c r="H284" s="1009" t="s">
        <v>374</v>
      </c>
      <c r="I284" s="1203">
        <f t="shared" si="45"/>
        <v>6742157</v>
      </c>
      <c r="J284" s="1230">
        <f>$J$177</f>
        <v>3.8250000000000002</v>
      </c>
      <c r="K284" s="1009" t="s">
        <v>374</v>
      </c>
      <c r="L284" s="1203">
        <f>ROUND(J284*$C284/100,0)</f>
        <v>4437156</v>
      </c>
      <c r="N284" s="452"/>
      <c r="O284" s="452"/>
      <c r="P284" s="1186"/>
      <c r="Q284" s="1186"/>
      <c r="R284" s="1186"/>
      <c r="S284" s="1185"/>
      <c r="T284" s="1185"/>
      <c r="U284" s="1185"/>
      <c r="V284" s="1185"/>
      <c r="W284" s="1185"/>
      <c r="X284" s="1185"/>
      <c r="Y284" s="1185"/>
      <c r="Z284" s="1185"/>
      <c r="AA284" s="1185"/>
      <c r="AB284" s="1185"/>
      <c r="AC284" s="1185"/>
      <c r="AD284" s="1185"/>
      <c r="AE284" s="1185"/>
      <c r="AF284" s="1185"/>
      <c r="AG284" s="1185"/>
      <c r="AH284" s="1185"/>
      <c r="AI284" s="1185"/>
      <c r="AK284" s="1204"/>
    </row>
    <row r="285" spans="1:37">
      <c r="A285" s="1219" t="s">
        <v>400</v>
      </c>
      <c r="B285" s="1225"/>
      <c r="C285" s="1026">
        <f>[95]Sheet1!$L$4+[95]Sheet1!$L$6+[95]Sheet1!$L$9+[95]Sheet1!$L$10+[95]Sheet1!$L$12</f>
        <v>95706.733333333119</v>
      </c>
      <c r="D285" s="1255">
        <v>50</v>
      </c>
      <c r="E285" s="1041" t="s">
        <v>374</v>
      </c>
      <c r="F285" s="1203">
        <f>ROUND(D285*$C285/100,0)</f>
        <v>47853</v>
      </c>
      <c r="G285" s="1255">
        <v>56</v>
      </c>
      <c r="H285" s="1009" t="s">
        <v>374</v>
      </c>
      <c r="I285" s="1203">
        <f t="shared" si="45"/>
        <v>53596</v>
      </c>
      <c r="J285" s="1255">
        <f>$J$178</f>
        <v>63</v>
      </c>
      <c r="K285" s="1009" t="s">
        <v>374</v>
      </c>
      <c r="L285" s="1203">
        <f>ROUND(J285*$C285/100,0)</f>
        <v>60295</v>
      </c>
      <c r="N285" s="1185"/>
      <c r="O285" s="1185"/>
      <c r="P285" s="1186"/>
      <c r="Q285" s="1186"/>
      <c r="R285" s="1186"/>
      <c r="S285" s="1185"/>
      <c r="T285" s="1185"/>
      <c r="U285" s="1185"/>
      <c r="V285" s="1185"/>
      <c r="W285" s="1185"/>
      <c r="X285" s="1185"/>
      <c r="Y285" s="1185"/>
      <c r="Z285" s="1185"/>
      <c r="AA285" s="1185"/>
      <c r="AB285" s="1185"/>
      <c r="AC285" s="1185"/>
      <c r="AD285" s="1185"/>
      <c r="AE285" s="1185"/>
      <c r="AF285" s="1185"/>
      <c r="AG285" s="1185"/>
      <c r="AH285" s="1185"/>
      <c r="AI285" s="1185"/>
      <c r="AK285" s="1204"/>
    </row>
    <row r="286" spans="1:37">
      <c r="A286" s="1005" t="s">
        <v>918</v>
      </c>
      <c r="C286" s="1202">
        <f>C282</f>
        <v>125208946.110778</v>
      </c>
      <c r="D286" s="269"/>
      <c r="E286" s="1185"/>
      <c r="F286" s="1203"/>
      <c r="G286" s="269"/>
      <c r="H286" s="1185"/>
      <c r="I286" s="1203"/>
      <c r="J286" s="1230">
        <f>J179</f>
        <v>4.4989999999999997</v>
      </c>
      <c r="K286" s="1009" t="s">
        <v>374</v>
      </c>
      <c r="L286" s="1203">
        <f t="shared" ref="L286:L288" si="46">ROUND(J286*$C286/100,0)</f>
        <v>5633150</v>
      </c>
      <c r="N286" s="1204"/>
      <c r="P286" s="815"/>
      <c r="Q286" s="1184"/>
      <c r="R286" s="1184"/>
      <c r="S286" s="1205"/>
      <c r="T286" s="1205"/>
      <c r="Y286" s="1185"/>
      <c r="Z286" s="1185"/>
      <c r="AA286" s="1185"/>
      <c r="AB286" s="1185"/>
      <c r="AC286" s="1185"/>
      <c r="AD286" s="1185"/>
      <c r="AE286" s="1185"/>
      <c r="AF286" s="1185"/>
      <c r="AG286" s="1185"/>
      <c r="AH286" s="1185"/>
      <c r="AI286" s="1185"/>
      <c r="AK286" s="1204"/>
    </row>
    <row r="287" spans="1:37">
      <c r="A287" s="1005" t="s">
        <v>919</v>
      </c>
      <c r="C287" s="1202">
        <f>C283</f>
        <v>275854333.43621069</v>
      </c>
      <c r="D287" s="269"/>
      <c r="E287" s="1185"/>
      <c r="F287" s="1203"/>
      <c r="G287" s="269"/>
      <c r="H287" s="1185"/>
      <c r="I287" s="1203"/>
      <c r="J287" s="1230">
        <f>J180</f>
        <v>3.1080000000000001</v>
      </c>
      <c r="K287" s="1009" t="s">
        <v>374</v>
      </c>
      <c r="L287" s="1203">
        <f t="shared" si="46"/>
        <v>8573553</v>
      </c>
      <c r="N287" s="1204"/>
      <c r="P287" s="815"/>
      <c r="Q287" s="1184"/>
      <c r="R287" s="1184"/>
      <c r="S287" s="1205"/>
      <c r="T287" s="1205"/>
      <c r="Y287" s="1185"/>
      <c r="Z287" s="1185"/>
      <c r="AA287" s="1185"/>
      <c r="AB287" s="1185"/>
      <c r="AC287" s="1185"/>
      <c r="AD287" s="1185"/>
      <c r="AE287" s="1185"/>
      <c r="AF287" s="1185"/>
      <c r="AG287" s="1185"/>
      <c r="AH287" s="1185"/>
      <c r="AI287" s="1185"/>
      <c r="AK287" s="1204"/>
    </row>
    <row r="288" spans="1:37">
      <c r="A288" s="1005" t="s">
        <v>920</v>
      </c>
      <c r="C288" s="1202">
        <f>C284</f>
        <v>116004075.26156482</v>
      </c>
      <c r="D288" s="269"/>
      <c r="E288" s="1185"/>
      <c r="F288" s="1203"/>
      <c r="G288" s="269"/>
      <c r="H288" s="1185"/>
      <c r="I288" s="1203"/>
      <c r="J288" s="1230">
        <f>J181</f>
        <v>2.6779999999999999</v>
      </c>
      <c r="K288" s="1009" t="s">
        <v>374</v>
      </c>
      <c r="L288" s="1203">
        <f t="shared" si="46"/>
        <v>3106589</v>
      </c>
      <c r="N288" s="1204"/>
      <c r="P288" s="815"/>
      <c r="Q288" s="1184"/>
      <c r="R288" s="1184"/>
      <c r="S288" s="1205"/>
      <c r="T288" s="1205"/>
      <c r="Y288" s="1185"/>
      <c r="Z288" s="1185"/>
      <c r="AA288" s="1185"/>
      <c r="AB288" s="1185"/>
      <c r="AC288" s="1185"/>
      <c r="AD288" s="1185"/>
      <c r="AE288" s="1185"/>
      <c r="AF288" s="1185"/>
      <c r="AG288" s="1185"/>
      <c r="AH288" s="1185"/>
      <c r="AI288" s="1185"/>
      <c r="AK288" s="1204"/>
    </row>
    <row r="289" spans="1:37">
      <c r="A289" s="1256" t="s">
        <v>401</v>
      </c>
      <c r="B289" s="1225"/>
      <c r="C289" s="1026"/>
      <c r="D289" s="1257">
        <v>-0.01</v>
      </c>
      <c r="E289" s="1041"/>
      <c r="F289" s="1203"/>
      <c r="G289" s="1257">
        <v>-0.01</v>
      </c>
      <c r="H289" s="1009"/>
      <c r="I289" s="1203"/>
      <c r="J289" s="1257">
        <v>-0.01</v>
      </c>
      <c r="K289" s="1009"/>
      <c r="L289" s="1203"/>
      <c r="N289" s="1185"/>
      <c r="O289" s="1185"/>
      <c r="P289" s="1186"/>
      <c r="Q289" s="1186"/>
      <c r="R289" s="1186"/>
      <c r="S289" s="1185"/>
      <c r="T289" s="1185"/>
      <c r="U289" s="1185"/>
      <c r="V289" s="1185"/>
      <c r="W289" s="1185"/>
      <c r="X289" s="1185"/>
      <c r="Y289" s="1185"/>
      <c r="Z289" s="1185"/>
      <c r="AA289" s="1185"/>
      <c r="AB289" s="1185"/>
      <c r="AC289" s="1185"/>
      <c r="AD289" s="1185"/>
      <c r="AE289" s="1185"/>
      <c r="AF289" s="1185"/>
      <c r="AG289" s="1185"/>
      <c r="AH289" s="1185"/>
      <c r="AI289" s="1185"/>
      <c r="AK289" s="1204"/>
    </row>
    <row r="290" spans="1:37">
      <c r="A290" s="1219" t="s">
        <v>390</v>
      </c>
      <c r="B290" s="1219"/>
      <c r="C290" s="1026">
        <f>[95]Sheet1!$F$5</f>
        <v>72.066666666666706</v>
      </c>
      <c r="D290" s="1259">
        <v>7.64</v>
      </c>
      <c r="E290" s="1041"/>
      <c r="F290" s="1203">
        <f>-ROUND(D290*$C290/100,0)</f>
        <v>-6</v>
      </c>
      <c r="G290" s="1259">
        <v>8.7100000000000009</v>
      </c>
      <c r="H290" s="1041"/>
      <c r="I290" s="1203">
        <f>-ROUND(G290*$C290/100,0)</f>
        <v>-6</v>
      </c>
      <c r="J290" s="1259">
        <f>J277</f>
        <v>9.74</v>
      </c>
      <c r="K290" s="1041"/>
      <c r="L290" s="1203">
        <f>-ROUND(J290*$C290/100,0)</f>
        <v>-7</v>
      </c>
      <c r="N290" s="1185"/>
      <c r="O290" s="1185"/>
      <c r="P290" s="1186"/>
      <c r="Q290" s="1186"/>
      <c r="R290" s="1186"/>
      <c r="S290" s="1185"/>
      <c r="T290" s="1185"/>
      <c r="U290" s="1185"/>
      <c r="V290" s="1185"/>
      <c r="W290" s="1185"/>
      <c r="X290" s="1185"/>
      <c r="Y290" s="1185"/>
      <c r="Z290" s="1185"/>
      <c r="AA290" s="1185"/>
      <c r="AB290" s="1185"/>
      <c r="AC290" s="1185"/>
      <c r="AD290" s="1185"/>
      <c r="AE290" s="1185"/>
      <c r="AF290" s="1185"/>
      <c r="AG290" s="1185"/>
      <c r="AH290" s="1185"/>
      <c r="AI290" s="1185"/>
      <c r="AK290" s="1204"/>
    </row>
    <row r="291" spans="1:37">
      <c r="A291" s="1219" t="s">
        <v>391</v>
      </c>
      <c r="B291" s="1219"/>
      <c r="C291" s="1026">
        <f>[95]Sheet1!$F$3+[95]Sheet1!$F$7+[95]Sheet1!$F$8+[95]Sheet1!$F$9</f>
        <v>126.7000000000001</v>
      </c>
      <c r="D291" s="1259">
        <v>11.36</v>
      </c>
      <c r="E291" s="1041"/>
      <c r="F291" s="1203">
        <f>-ROUND(D291*$C291/100,0)</f>
        <v>-14</v>
      </c>
      <c r="G291" s="1259">
        <v>12.98</v>
      </c>
      <c r="H291" s="1041"/>
      <c r="I291" s="1203">
        <f t="shared" ref="I291:I293" si="47">-ROUND(G291*$C291/100,0)</f>
        <v>-16</v>
      </c>
      <c r="J291" s="1259">
        <f>J278</f>
        <v>14.51</v>
      </c>
      <c r="K291" s="1041"/>
      <c r="L291" s="1203">
        <f>-ROUND(J291*$C291/100,0)</f>
        <v>-18</v>
      </c>
      <c r="N291" s="1185"/>
      <c r="O291" s="1185"/>
      <c r="P291" s="1186"/>
      <c r="Q291" s="1186"/>
      <c r="R291" s="1186"/>
      <c r="S291" s="1185"/>
      <c r="T291" s="1185"/>
      <c r="U291" s="1185"/>
      <c r="V291" s="1185"/>
      <c r="W291" s="1185"/>
      <c r="X291" s="1185"/>
      <c r="Y291" s="1185"/>
      <c r="Z291" s="1185"/>
      <c r="AA291" s="1185"/>
      <c r="AB291" s="1185"/>
      <c r="AC291" s="1185"/>
      <c r="AD291" s="1185"/>
      <c r="AE291" s="1185"/>
      <c r="AF291" s="1185"/>
      <c r="AG291" s="1185"/>
      <c r="AH291" s="1185"/>
      <c r="AI291" s="1185"/>
      <c r="AK291" s="1204"/>
    </row>
    <row r="292" spans="1:37">
      <c r="A292" s="1219" t="s">
        <v>402</v>
      </c>
      <c r="B292" s="1219"/>
      <c r="C292" s="1026">
        <f>[95]Sheet1!$G$5+[95]Sheet1!$G$7+[95]Sheet1!$G$8+[95]Sheet1!$G$9</f>
        <v>1862</v>
      </c>
      <c r="D292" s="1259">
        <v>0.81</v>
      </c>
      <c r="E292" s="1041"/>
      <c r="F292" s="1203">
        <f>-ROUND(D292*$C292/100,0)</f>
        <v>-15</v>
      </c>
      <c r="G292" s="1259">
        <v>0.92</v>
      </c>
      <c r="H292" s="1041"/>
      <c r="I292" s="1203">
        <f t="shared" si="47"/>
        <v>-17</v>
      </c>
      <c r="J292" s="1259">
        <f>J279</f>
        <v>1.03</v>
      </c>
      <c r="K292" s="1041"/>
      <c r="L292" s="1203">
        <f>-ROUND(J292*$C292/100,0)</f>
        <v>-19</v>
      </c>
      <c r="N292" s="1185"/>
      <c r="O292" s="1185"/>
      <c r="P292" s="1186"/>
      <c r="Q292" s="1186"/>
      <c r="R292" s="1186"/>
      <c r="S292" s="1185"/>
      <c r="T292" s="1185"/>
      <c r="U292" s="1185"/>
      <c r="V292" s="1185"/>
      <c r="W292" s="1185"/>
      <c r="X292" s="1185"/>
      <c r="Y292" s="1185"/>
      <c r="Z292" s="1185"/>
      <c r="AA292" s="1185"/>
      <c r="AB292" s="1185"/>
      <c r="AC292" s="1185"/>
      <c r="AD292" s="1185"/>
      <c r="AE292" s="1185"/>
      <c r="AF292" s="1185"/>
      <c r="AG292" s="1185"/>
      <c r="AH292" s="1185"/>
      <c r="AI292" s="1185"/>
      <c r="AK292" s="1204"/>
    </row>
    <row r="293" spans="1:37">
      <c r="A293" s="1219" t="s">
        <v>413</v>
      </c>
      <c r="B293" s="1219"/>
      <c r="C293" s="1026">
        <f>[95]Sheet1!$K$5+[95]Sheet1!$K$7+[95]Sheet1!$K$8+[95]Sheet1!$K$9</f>
        <v>712.5</v>
      </c>
      <c r="D293" s="1259">
        <v>2.98</v>
      </c>
      <c r="E293" s="1009"/>
      <c r="F293" s="1203">
        <f>-ROUND(D293*$C293/100,0)</f>
        <v>-21</v>
      </c>
      <c r="G293" s="1259">
        <v>3.4</v>
      </c>
      <c r="H293" s="1009"/>
      <c r="I293" s="1203">
        <f t="shared" si="47"/>
        <v>-24</v>
      </c>
      <c r="J293" s="1259">
        <f>J281</f>
        <v>3.8</v>
      </c>
      <c r="K293" s="1009"/>
      <c r="L293" s="1203">
        <f>-ROUND(J293*$C293/100,0)</f>
        <v>-27</v>
      </c>
      <c r="N293" s="1185"/>
      <c r="O293" s="1185"/>
      <c r="P293" s="1186"/>
      <c r="Q293" s="1186"/>
      <c r="R293" s="1186"/>
      <c r="S293" s="1185"/>
      <c r="T293" s="1185"/>
      <c r="U293" s="1185"/>
      <c r="V293" s="1185"/>
      <c r="W293" s="1185"/>
      <c r="X293" s="1185"/>
      <c r="Y293" s="1185"/>
      <c r="Z293" s="1185"/>
      <c r="AA293" s="1185"/>
      <c r="AB293" s="1185"/>
      <c r="AC293" s="1185"/>
      <c r="AD293" s="1185"/>
      <c r="AE293" s="1185"/>
      <c r="AF293" s="1185"/>
      <c r="AG293" s="1185"/>
      <c r="AH293" s="1185"/>
      <c r="AI293" s="1185"/>
      <c r="AK293" s="1204"/>
    </row>
    <row r="294" spans="1:37">
      <c r="A294" s="1219" t="s">
        <v>405</v>
      </c>
      <c r="B294" s="1219"/>
      <c r="C294" s="1026">
        <f>[95]Sheet1!$I$3+[95]Sheet1!$I$5+[95]Sheet1!$I$7+[95]Sheet1!$I$8+[95]Sheet1!$I$9</f>
        <v>148079.66666666669</v>
      </c>
      <c r="D294" s="1070">
        <v>8.5489999999999995</v>
      </c>
      <c r="E294" s="1009" t="s">
        <v>374</v>
      </c>
      <c r="F294" s="1203">
        <f>ROUND(D294*$C294/100*D289,0)</f>
        <v>-127</v>
      </c>
      <c r="G294" s="1070">
        <v>9.766</v>
      </c>
      <c r="H294" s="1009" t="s">
        <v>374</v>
      </c>
      <c r="I294" s="1203">
        <f>ROUND(G294*$C294/100*G289,0)</f>
        <v>-145</v>
      </c>
      <c r="J294" s="1070">
        <f>J282</f>
        <v>6.4269999999999996</v>
      </c>
      <c r="K294" s="1009" t="s">
        <v>374</v>
      </c>
      <c r="L294" s="1203">
        <f>ROUND(J294*$C294/100*J289,0)</f>
        <v>-95</v>
      </c>
      <c r="N294" s="1185"/>
      <c r="O294" s="1185"/>
      <c r="P294" s="1186"/>
      <c r="Q294" s="1186"/>
      <c r="R294" s="1186"/>
      <c r="S294" s="1185"/>
      <c r="T294" s="1185"/>
      <c r="U294" s="1185"/>
      <c r="V294" s="1185"/>
      <c r="W294" s="1185"/>
      <c r="X294" s="1185"/>
      <c r="Y294" s="1185"/>
      <c r="Z294" s="1185"/>
      <c r="AA294" s="1185"/>
      <c r="AB294" s="1185"/>
      <c r="AC294" s="1185"/>
      <c r="AD294" s="1185"/>
      <c r="AE294" s="1185"/>
      <c r="AF294" s="1185"/>
      <c r="AG294" s="1185"/>
      <c r="AH294" s="1185"/>
      <c r="AI294" s="1185"/>
      <c r="AK294" s="1204"/>
    </row>
    <row r="295" spans="1:37">
      <c r="A295" s="1219" t="s">
        <v>398</v>
      </c>
      <c r="B295" s="1219"/>
      <c r="C295" s="1026">
        <f>[95]Sheet1!$J$3+[95]Sheet1!$J$5+[95]Sheet1!$J$7+[95]Sheet1!$J$8+[95]Sheet1!$J$9</f>
        <v>550098.33333333279</v>
      </c>
      <c r="D295" s="1070">
        <v>5.9020000000000001</v>
      </c>
      <c r="E295" s="1009" t="s">
        <v>374</v>
      </c>
      <c r="F295" s="1203">
        <f>ROUND(D295*$C295/100*D289,0)</f>
        <v>-325</v>
      </c>
      <c r="G295" s="1070">
        <v>6.7460000000000004</v>
      </c>
      <c r="H295" s="1009" t="s">
        <v>374</v>
      </c>
      <c r="I295" s="1203">
        <f>ROUND(G295*$C295/100*G289,0)</f>
        <v>-371</v>
      </c>
      <c r="J295" s="1070">
        <f>J283</f>
        <v>4.4400000000000004</v>
      </c>
      <c r="K295" s="1009" t="s">
        <v>374</v>
      </c>
      <c r="L295" s="1203">
        <f>ROUND(J295*$C295/100*J289,0)</f>
        <v>-244</v>
      </c>
      <c r="N295" s="1185"/>
      <c r="O295" s="1185"/>
      <c r="P295" s="1186"/>
      <c r="Q295" s="1186"/>
      <c r="R295" s="1186"/>
      <c r="S295" s="1185"/>
      <c r="T295" s="1185"/>
      <c r="U295" s="1185"/>
      <c r="V295" s="1185"/>
      <c r="W295" s="1185"/>
      <c r="X295" s="1185"/>
      <c r="Y295" s="1185"/>
      <c r="Z295" s="1185"/>
      <c r="AA295" s="1185"/>
      <c r="AB295" s="1185"/>
      <c r="AC295" s="1185"/>
      <c r="AD295" s="1185"/>
      <c r="AE295" s="1185"/>
      <c r="AF295" s="1185"/>
      <c r="AG295" s="1185"/>
      <c r="AH295" s="1185"/>
      <c r="AI295" s="1185"/>
      <c r="AK295" s="1204"/>
    </row>
    <row r="296" spans="1:37">
      <c r="A296" s="1219" t="s">
        <v>399</v>
      </c>
      <c r="B296" s="1219"/>
      <c r="C296" s="1026">
        <f>[95]Sheet1!$H$3+[95]Sheet1!$H$5+[95]Sheet1!$H$7+[95]Sheet1!$H$8+[95]Sheet1!$H$9-C294-C295</f>
        <v>84378.000000000466</v>
      </c>
      <c r="D296" s="1070">
        <v>5.0839999999999996</v>
      </c>
      <c r="E296" s="1009" t="s">
        <v>374</v>
      </c>
      <c r="F296" s="1203">
        <f>ROUND(D296*$C296/100*D289,0)</f>
        <v>-43</v>
      </c>
      <c r="G296" s="1070">
        <v>5.8120000000000003</v>
      </c>
      <c r="H296" s="1009" t="s">
        <v>374</v>
      </c>
      <c r="I296" s="1203">
        <f>ROUND(G296*$C296/100*G289,0)</f>
        <v>-49</v>
      </c>
      <c r="J296" s="1070">
        <f>J284</f>
        <v>3.8250000000000002</v>
      </c>
      <c r="K296" s="1009" t="s">
        <v>374</v>
      </c>
      <c r="L296" s="1203">
        <f>ROUND(J296*$C296/100*J289,0)</f>
        <v>-32</v>
      </c>
      <c r="N296" s="1185"/>
      <c r="O296" s="1185"/>
      <c r="P296" s="1186"/>
      <c r="Q296" s="1186"/>
      <c r="R296" s="1186"/>
      <c r="S296" s="1185"/>
      <c r="T296" s="1185"/>
      <c r="U296" s="1185"/>
      <c r="V296" s="1185"/>
      <c r="W296" s="1185"/>
      <c r="X296" s="1185"/>
      <c r="Y296" s="1185"/>
      <c r="Z296" s="1185"/>
      <c r="AA296" s="1185"/>
      <c r="AB296" s="1185"/>
      <c r="AC296" s="1185"/>
      <c r="AD296" s="1185"/>
      <c r="AE296" s="1185"/>
      <c r="AF296" s="1185"/>
      <c r="AG296" s="1185"/>
      <c r="AH296" s="1185"/>
      <c r="AI296" s="1185"/>
      <c r="AK296" s="1204"/>
    </row>
    <row r="297" spans="1:37">
      <c r="A297" s="1219" t="s">
        <v>400</v>
      </c>
      <c r="B297" s="1219"/>
      <c r="C297" s="1026">
        <f>[95]Sheet1!$L$9</f>
        <v>2643.7</v>
      </c>
      <c r="D297" s="1260">
        <v>50</v>
      </c>
      <c r="E297" s="1009" t="s">
        <v>374</v>
      </c>
      <c r="F297" s="1203">
        <f>ROUND(D297*$C297/100*D289,0)</f>
        <v>-13</v>
      </c>
      <c r="G297" s="1260">
        <v>56</v>
      </c>
      <c r="H297" s="1009" t="s">
        <v>374</v>
      </c>
      <c r="I297" s="1203">
        <f>ROUND(G297*$C297/100*G289,0)</f>
        <v>-15</v>
      </c>
      <c r="J297" s="1260">
        <f>J285</f>
        <v>63</v>
      </c>
      <c r="K297" s="1009" t="s">
        <v>374</v>
      </c>
      <c r="L297" s="1203">
        <f>ROUND(J297*$C297/100*J289,0)</f>
        <v>-17</v>
      </c>
      <c r="N297" s="1185"/>
      <c r="O297" s="1185"/>
      <c r="P297" s="1186"/>
      <c r="Q297" s="1186"/>
      <c r="R297" s="1186"/>
      <c r="S297" s="1185"/>
      <c r="T297" s="1185"/>
      <c r="U297" s="1185"/>
      <c r="V297" s="1185"/>
      <c r="W297" s="1185"/>
      <c r="X297" s="1185"/>
      <c r="Y297" s="1185"/>
      <c r="Z297" s="1185"/>
      <c r="AA297" s="1185"/>
      <c r="AB297" s="1185"/>
      <c r="AC297" s="1185"/>
      <c r="AD297" s="1185"/>
      <c r="AE297" s="1185"/>
      <c r="AF297" s="1185"/>
      <c r="AG297" s="1185"/>
      <c r="AH297" s="1185"/>
      <c r="AI297" s="1185"/>
      <c r="AK297" s="1204"/>
    </row>
    <row r="298" spans="1:37">
      <c r="A298" s="1219" t="s">
        <v>407</v>
      </c>
      <c r="B298" s="1219"/>
      <c r="C298" s="1026">
        <f>[95]Sheet1!$F$5+[95]Sheet1!$F$9</f>
        <v>132.13333333333341</v>
      </c>
      <c r="D298" s="1261">
        <v>60</v>
      </c>
      <c r="E298" s="1041"/>
      <c r="F298" s="1203">
        <f>ROUND(D298*$C298,0)</f>
        <v>7928</v>
      </c>
      <c r="G298" s="1261">
        <v>60</v>
      </c>
      <c r="H298" s="1009"/>
      <c r="I298" s="1203">
        <f>ROUND(G298*C298,0)</f>
        <v>7928</v>
      </c>
      <c r="J298" s="1261">
        <f>$J$194</f>
        <v>60</v>
      </c>
      <c r="K298" s="1009"/>
      <c r="L298" s="1203">
        <f>ROUND(J298*$C298,0)</f>
        <v>7928</v>
      </c>
      <c r="N298" s="1185"/>
      <c r="O298" s="1185"/>
      <c r="P298" s="1186"/>
      <c r="Q298" s="1186"/>
      <c r="R298" s="1186"/>
      <c r="S298" s="1185"/>
      <c r="T298" s="1185"/>
      <c r="U298" s="1185"/>
      <c r="V298" s="1185"/>
      <c r="W298" s="1185"/>
      <c r="X298" s="1185"/>
      <c r="Y298" s="1185"/>
      <c r="Z298" s="1185"/>
      <c r="AA298" s="1185"/>
      <c r="AB298" s="1185"/>
      <c r="AC298" s="1185"/>
      <c r="AD298" s="1185"/>
      <c r="AE298" s="1185"/>
      <c r="AF298" s="1185"/>
      <c r="AG298" s="1185"/>
      <c r="AH298" s="1185"/>
      <c r="AI298" s="1185"/>
      <c r="AK298" s="1204"/>
    </row>
    <row r="299" spans="1:37">
      <c r="A299" s="1219" t="s">
        <v>408</v>
      </c>
      <c r="B299" s="1219"/>
      <c r="C299" s="1026">
        <f>C292</f>
        <v>1862</v>
      </c>
      <c r="D299" s="1262">
        <v>-30</v>
      </c>
      <c r="E299" s="1041" t="s">
        <v>374</v>
      </c>
      <c r="F299" s="1203">
        <f>ROUND(D299*$C299/100,0)</f>
        <v>-559</v>
      </c>
      <c r="G299" s="1262">
        <v>-30</v>
      </c>
      <c r="H299" s="1009" t="s">
        <v>374</v>
      </c>
      <c r="I299" s="1203">
        <f>ROUND(G299*C299/100,0)</f>
        <v>-559</v>
      </c>
      <c r="J299" s="1262">
        <f>$J$195</f>
        <v>-30</v>
      </c>
      <c r="K299" s="1009" t="s">
        <v>374</v>
      </c>
      <c r="L299" s="1203">
        <f>ROUND(J299*$C299/100,0)</f>
        <v>-559</v>
      </c>
      <c r="N299" s="1185"/>
      <c r="O299" s="1185"/>
      <c r="P299" s="1186"/>
      <c r="Q299" s="1186"/>
      <c r="R299" s="1186"/>
      <c r="S299" s="1185"/>
      <c r="T299" s="1185"/>
      <c r="U299" s="1185"/>
      <c r="V299" s="1185"/>
      <c r="W299" s="1185"/>
      <c r="X299" s="1185"/>
      <c r="Y299" s="1185"/>
      <c r="Z299" s="1185"/>
      <c r="AA299" s="1185"/>
      <c r="AB299" s="1185"/>
      <c r="AC299" s="1185"/>
      <c r="AD299" s="1185"/>
      <c r="AE299" s="1185"/>
      <c r="AF299" s="1185"/>
      <c r="AG299" s="1185"/>
      <c r="AH299" s="1185"/>
      <c r="AI299" s="1185"/>
      <c r="AK299" s="1204"/>
    </row>
    <row r="300" spans="1:37">
      <c r="A300" s="1005" t="s">
        <v>918</v>
      </c>
      <c r="C300" s="1202">
        <f>C294</f>
        <v>148079.66666666669</v>
      </c>
      <c r="D300" s="269"/>
      <c r="E300" s="1185"/>
      <c r="F300" s="1203"/>
      <c r="G300" s="269"/>
      <c r="H300" s="1185"/>
      <c r="I300" s="1203"/>
      <c r="J300" s="1230">
        <f>J179</f>
        <v>4.4989999999999997</v>
      </c>
      <c r="K300" s="1009" t="s">
        <v>374</v>
      </c>
      <c r="L300" s="1203">
        <f t="shared" ref="L300:L302" si="48">ROUND(J300*$C300/100,0)</f>
        <v>6662</v>
      </c>
      <c r="N300" s="1204"/>
      <c r="P300" s="815"/>
      <c r="Q300" s="1184"/>
      <c r="R300" s="1184"/>
      <c r="S300" s="1205"/>
      <c r="T300" s="1205"/>
      <c r="Y300" s="1185"/>
      <c r="Z300" s="1185"/>
      <c r="AA300" s="1185"/>
      <c r="AB300" s="1185"/>
      <c r="AC300" s="1185"/>
      <c r="AD300" s="1185"/>
      <c r="AE300" s="1185"/>
      <c r="AF300" s="1185"/>
      <c r="AG300" s="1185"/>
      <c r="AH300" s="1185"/>
      <c r="AI300" s="1185"/>
      <c r="AK300" s="1204"/>
    </row>
    <row r="301" spans="1:37">
      <c r="A301" s="1005" t="s">
        <v>919</v>
      </c>
      <c r="C301" s="1202">
        <f>C295</f>
        <v>550098.33333333279</v>
      </c>
      <c r="D301" s="269"/>
      <c r="E301" s="1185"/>
      <c r="F301" s="1203"/>
      <c r="G301" s="269"/>
      <c r="H301" s="1185"/>
      <c r="I301" s="1203"/>
      <c r="J301" s="1230">
        <f>J180</f>
        <v>3.1080000000000001</v>
      </c>
      <c r="K301" s="1009" t="s">
        <v>374</v>
      </c>
      <c r="L301" s="1203">
        <f t="shared" si="48"/>
        <v>17097</v>
      </c>
      <c r="N301" s="1204"/>
      <c r="P301" s="815"/>
      <c r="Q301" s="1184"/>
      <c r="R301" s="1184"/>
      <c r="S301" s="1205"/>
      <c r="T301" s="1205"/>
      <c r="Y301" s="1185"/>
      <c r="Z301" s="1185"/>
      <c r="AA301" s="1185"/>
      <c r="AB301" s="1185"/>
      <c r="AC301" s="1185"/>
      <c r="AD301" s="1185"/>
      <c r="AE301" s="1185"/>
      <c r="AF301" s="1185"/>
      <c r="AG301" s="1185"/>
      <c r="AH301" s="1185"/>
      <c r="AI301" s="1185"/>
      <c r="AK301" s="1204"/>
    </row>
    <row r="302" spans="1:37">
      <c r="A302" s="1005" t="s">
        <v>920</v>
      </c>
      <c r="C302" s="1202">
        <f>C296</f>
        <v>84378.000000000466</v>
      </c>
      <c r="D302" s="269"/>
      <c r="E302" s="1185"/>
      <c r="F302" s="1203"/>
      <c r="G302" s="269"/>
      <c r="H302" s="1185"/>
      <c r="I302" s="1203"/>
      <c r="J302" s="1230">
        <f>J181</f>
        <v>2.6779999999999999</v>
      </c>
      <c r="K302" s="1009" t="s">
        <v>374</v>
      </c>
      <c r="L302" s="1203">
        <f t="shared" si="48"/>
        <v>2260</v>
      </c>
      <c r="N302" s="1204"/>
      <c r="P302" s="815"/>
      <c r="Q302" s="1184"/>
      <c r="R302" s="1184"/>
      <c r="S302" s="1205"/>
      <c r="T302" s="1205"/>
      <c r="Y302" s="1185"/>
      <c r="Z302" s="1185"/>
      <c r="AA302" s="1185"/>
      <c r="AB302" s="1185"/>
      <c r="AC302" s="1185"/>
      <c r="AD302" s="1185"/>
      <c r="AE302" s="1185"/>
      <c r="AF302" s="1185"/>
      <c r="AG302" s="1185"/>
      <c r="AH302" s="1185"/>
      <c r="AI302" s="1185"/>
      <c r="AK302" s="1204"/>
    </row>
    <row r="303" spans="1:37">
      <c r="A303" s="1219" t="s">
        <v>381</v>
      </c>
      <c r="B303" s="307"/>
      <c r="C303" s="1026">
        <f>SUM(C282:C284)</f>
        <v>517067354.80855358</v>
      </c>
      <c r="D303" s="1255"/>
      <c r="E303" s="1203"/>
      <c r="F303" s="1203">
        <f>SUM(F277:F299)</f>
        <v>37912062</v>
      </c>
      <c r="G303" s="1255"/>
      <c r="H303" s="1009"/>
      <c r="I303" s="1203">
        <f>SUM(I277:I299)</f>
        <v>43310655</v>
      </c>
      <c r="J303" s="1255"/>
      <c r="K303" s="1009"/>
      <c r="L303" s="1203">
        <f>SUM(L277:L302)</f>
        <v>48480126</v>
      </c>
      <c r="N303" s="1274"/>
      <c r="O303" s="1274"/>
      <c r="P303" s="1186"/>
      <c r="Q303" s="1186"/>
      <c r="R303" s="1186"/>
      <c r="S303" s="1185"/>
      <c r="T303" s="1185"/>
      <c r="U303" s="1185"/>
      <c r="V303" s="1185"/>
      <c r="W303" s="1185"/>
      <c r="X303" s="1185"/>
      <c r="Y303" s="1185"/>
      <c r="Z303" s="1185"/>
      <c r="AA303" s="1185"/>
      <c r="AB303" s="1185"/>
      <c r="AC303" s="1185"/>
      <c r="AD303" s="1185"/>
      <c r="AE303" s="1185"/>
      <c r="AF303" s="1185"/>
      <c r="AG303" s="1185"/>
      <c r="AH303" s="1185"/>
      <c r="AI303" s="1185"/>
      <c r="AK303" s="1204"/>
    </row>
    <row r="304" spans="1:37">
      <c r="A304" s="1219" t="s">
        <v>363</v>
      </c>
      <c r="B304" s="1219"/>
      <c r="C304" s="1032">
        <f>'[94]Table 2'!H41</f>
        <v>-1344873.1991789686</v>
      </c>
      <c r="D304" s="1218"/>
      <c r="E304" s="1218"/>
      <c r="F304" s="1264" t="e">
        <f>#REF!</f>
        <v>#REF!</v>
      </c>
      <c r="G304" s="1218"/>
      <c r="H304" s="1218"/>
      <c r="I304" s="1264">
        <f>'[94]Table 3'!E41</f>
        <v>-127697.18695907027</v>
      </c>
      <c r="J304" s="1218"/>
      <c r="K304" s="1218"/>
      <c r="L304" s="1264">
        <f>I304</f>
        <v>-127697.18695907027</v>
      </c>
      <c r="N304" s="444"/>
      <c r="O304" s="444"/>
      <c r="P304" s="287"/>
      <c r="Q304" s="1186"/>
      <c r="R304" s="1186"/>
      <c r="S304" s="1185"/>
      <c r="T304" s="1185"/>
      <c r="U304" s="1185"/>
      <c r="V304" s="1185"/>
      <c r="W304" s="1185"/>
      <c r="X304" s="1185"/>
      <c r="Y304" s="1185"/>
      <c r="Z304" s="1185"/>
      <c r="AA304" s="1185"/>
      <c r="AB304" s="1185"/>
      <c r="AC304" s="1185"/>
      <c r="AD304" s="1185"/>
      <c r="AE304" s="1185"/>
      <c r="AF304" s="1185"/>
      <c r="AG304" s="1185"/>
      <c r="AH304" s="1185"/>
      <c r="AI304" s="1185"/>
      <c r="AK304" s="1204"/>
    </row>
    <row r="305" spans="1:37" ht="16.5" thickBot="1">
      <c r="A305" s="1219" t="s">
        <v>382</v>
      </c>
      <c r="B305" s="1219"/>
      <c r="C305" s="1240">
        <f>SUM(C303:C304)</f>
        <v>515722481.60937458</v>
      </c>
      <c r="D305" s="1265"/>
      <c r="E305" s="1266"/>
      <c r="F305" s="1267" t="e">
        <f>F303+F304</f>
        <v>#REF!</v>
      </c>
      <c r="G305" s="1265"/>
      <c r="H305" s="1269"/>
      <c r="I305" s="1267">
        <f>I303+I304</f>
        <v>43182957.813040927</v>
      </c>
      <c r="J305" s="1265"/>
      <c r="K305" s="1269"/>
      <c r="L305" s="1267">
        <f>L303+L304</f>
        <v>48352428.813040927</v>
      </c>
      <c r="N305" s="411"/>
      <c r="O305" s="411"/>
      <c r="P305" s="470"/>
      <c r="Q305" s="1186"/>
      <c r="R305" s="1186"/>
      <c r="S305" s="1185"/>
      <c r="T305" s="1185"/>
      <c r="U305" s="1185"/>
      <c r="V305" s="1185"/>
      <c r="W305" s="1185"/>
      <c r="X305" s="1185"/>
      <c r="Y305" s="1185"/>
      <c r="Z305" s="1185"/>
      <c r="AA305" s="1185"/>
      <c r="AB305" s="1185"/>
      <c r="AC305" s="1185"/>
      <c r="AD305" s="1185"/>
      <c r="AE305" s="1185"/>
      <c r="AF305" s="1185"/>
      <c r="AG305" s="1185"/>
      <c r="AH305" s="1185"/>
      <c r="AI305" s="1185"/>
      <c r="AK305" s="1204"/>
    </row>
    <row r="306" spans="1:37" ht="16.5" thickTop="1">
      <c r="A306" s="1219"/>
      <c r="B306" s="1219"/>
      <c r="C306" s="1225"/>
      <c r="D306" s="1261"/>
      <c r="E306" s="1203"/>
      <c r="F306" s="1203"/>
      <c r="G306" s="1261"/>
      <c r="H306" s="1219"/>
      <c r="I306" s="1203"/>
      <c r="J306" s="1261"/>
      <c r="K306" s="1219"/>
      <c r="L306" s="1203" t="s">
        <v>31</v>
      </c>
      <c r="N306" s="1185"/>
      <c r="O306" s="1185"/>
      <c r="P306" s="1186"/>
      <c r="Q306" s="1186"/>
      <c r="R306" s="1186"/>
      <c r="S306" s="1185"/>
      <c r="T306" s="1185"/>
      <c r="U306" s="1185"/>
      <c r="V306" s="1185"/>
      <c r="W306" s="1185"/>
      <c r="X306" s="1185"/>
      <c r="Y306" s="1185"/>
      <c r="Z306" s="1185"/>
      <c r="AA306" s="1185"/>
      <c r="AB306" s="1185"/>
      <c r="AC306" s="1185"/>
      <c r="AD306" s="1185"/>
      <c r="AE306" s="1185"/>
      <c r="AF306" s="1185"/>
      <c r="AG306" s="1185"/>
      <c r="AH306" s="1185"/>
      <c r="AI306" s="1185"/>
      <c r="AK306" s="1204"/>
    </row>
    <row r="307" spans="1:37">
      <c r="A307" s="1224" t="s">
        <v>387</v>
      </c>
      <c r="B307" s="1219"/>
      <c r="C307" s="1219"/>
      <c r="D307" s="1203"/>
      <c r="E307" s="1203"/>
      <c r="F307" s="1219" t="s">
        <v>31</v>
      </c>
      <c r="G307" s="1203"/>
      <c r="H307" s="1219"/>
      <c r="I307" s="1219"/>
      <c r="J307" s="1203"/>
      <c r="K307" s="1219"/>
      <c r="L307" s="1219"/>
      <c r="N307" s="1185"/>
      <c r="O307" s="1185"/>
      <c r="P307" s="1186"/>
      <c r="Q307" s="1186"/>
      <c r="R307" s="1186"/>
      <c r="S307" s="1185"/>
      <c r="T307" s="1185"/>
      <c r="U307" s="1185"/>
      <c r="V307" s="1185"/>
      <c r="W307" s="1185"/>
      <c r="X307" s="1185"/>
      <c r="Y307" s="1185"/>
      <c r="Z307" s="1185"/>
      <c r="AA307" s="1185"/>
      <c r="AB307" s="1185"/>
      <c r="AC307" s="1185"/>
      <c r="AD307" s="1185"/>
      <c r="AE307" s="1185"/>
      <c r="AF307" s="1185"/>
      <c r="AG307" s="1185"/>
      <c r="AH307" s="1185"/>
      <c r="AI307" s="1185"/>
      <c r="AK307" s="1204"/>
    </row>
    <row r="308" spans="1:37">
      <c r="A308" s="1219" t="s">
        <v>414</v>
      </c>
      <c r="B308" s="1219"/>
      <c r="C308" s="1225"/>
      <c r="D308" s="1203"/>
      <c r="E308" s="1203"/>
      <c r="F308" s="1219"/>
      <c r="G308" s="1203"/>
      <c r="H308" s="1219"/>
      <c r="I308" s="1219"/>
      <c r="J308" s="1203"/>
      <c r="K308" s="1219"/>
      <c r="L308" s="1219"/>
      <c r="N308" s="1185"/>
      <c r="O308" s="1185"/>
      <c r="P308" s="1186"/>
      <c r="Q308" s="1186"/>
      <c r="R308" s="1186"/>
      <c r="S308" s="1185"/>
      <c r="T308" s="1185"/>
      <c r="U308" s="1185"/>
      <c r="V308" s="1185"/>
      <c r="W308" s="1185"/>
      <c r="X308" s="1185"/>
      <c r="Y308" s="1185"/>
      <c r="Z308" s="1185"/>
      <c r="AA308" s="1185"/>
      <c r="AB308" s="1185"/>
      <c r="AC308" s="1185"/>
      <c r="AD308" s="1185"/>
      <c r="AE308" s="1185"/>
      <c r="AF308" s="1185"/>
      <c r="AG308" s="1185"/>
      <c r="AH308" s="1185"/>
      <c r="AI308" s="1185"/>
      <c r="AK308" s="1204"/>
    </row>
    <row r="309" spans="1:37">
      <c r="A309" s="1219"/>
      <c r="B309" s="1219"/>
      <c r="C309" s="1219"/>
      <c r="D309" s="1203"/>
      <c r="E309" s="1203"/>
      <c r="F309" s="1219"/>
      <c r="G309" s="1203"/>
      <c r="H309" s="1219"/>
      <c r="I309" s="1219"/>
      <c r="J309" s="1203"/>
      <c r="K309" s="1219"/>
      <c r="L309" s="1219"/>
      <c r="N309" s="1185"/>
      <c r="O309" s="1185"/>
      <c r="P309" s="1186"/>
      <c r="Q309" s="1186"/>
      <c r="R309" s="1186"/>
      <c r="S309" s="1185"/>
      <c r="T309" s="1185"/>
      <c r="U309" s="1185"/>
      <c r="V309" s="1185"/>
      <c r="W309" s="1185"/>
      <c r="X309" s="1185"/>
      <c r="Y309" s="1185"/>
      <c r="Z309" s="1185"/>
      <c r="AA309" s="1185"/>
      <c r="AB309" s="1185"/>
      <c r="AC309" s="1185"/>
      <c r="AD309" s="1185"/>
      <c r="AE309" s="1185"/>
      <c r="AF309" s="1185"/>
      <c r="AG309" s="1185"/>
      <c r="AH309" s="1185"/>
      <c r="AI309" s="1185"/>
      <c r="AK309" s="1204"/>
    </row>
    <row r="310" spans="1:37">
      <c r="A310" s="1219" t="s">
        <v>393</v>
      </c>
      <c r="B310" s="1219"/>
      <c r="C310" s="1026"/>
      <c r="D310" s="1203"/>
      <c r="E310" s="1203"/>
      <c r="F310" s="1219"/>
      <c r="G310" s="1203"/>
      <c r="H310" s="1219"/>
      <c r="I310" s="1219"/>
      <c r="J310" s="1203"/>
      <c r="K310" s="1219"/>
      <c r="L310" s="1219"/>
      <c r="N310" s="1185"/>
      <c r="O310" s="1185"/>
      <c r="P310" s="1186"/>
      <c r="Q310" s="1186"/>
      <c r="R310" s="1186"/>
      <c r="S310" s="1185"/>
      <c r="T310" s="1185"/>
      <c r="U310" s="1185"/>
      <c r="V310" s="1185"/>
      <c r="W310" s="1185"/>
      <c r="X310" s="1185"/>
      <c r="Y310" s="1185"/>
      <c r="Z310" s="1185"/>
      <c r="AA310" s="1185"/>
      <c r="AB310" s="1185"/>
      <c r="AC310" s="1185"/>
      <c r="AD310" s="1185"/>
      <c r="AE310" s="1185"/>
      <c r="AF310" s="1185"/>
      <c r="AG310" s="1185"/>
      <c r="AH310" s="1185"/>
      <c r="AI310" s="1185"/>
      <c r="AK310" s="1204"/>
    </row>
    <row r="311" spans="1:37">
      <c r="A311" s="1219" t="s">
        <v>390</v>
      </c>
      <c r="B311" s="1219"/>
      <c r="C311" s="1026">
        <f>[95]Sheet1!$F$14+[95]Sheet1!$F$16</f>
        <v>2168.1333333333332</v>
      </c>
      <c r="D311" s="1229">
        <v>7.64</v>
      </c>
      <c r="E311" s="1041"/>
      <c r="F311" s="1203">
        <f>ROUND(D311*$C311,0)</f>
        <v>16565</v>
      </c>
      <c r="G311" s="1229">
        <v>8.7100000000000009</v>
      </c>
      <c r="H311" s="1009"/>
      <c r="I311" s="1203">
        <f>ROUND(G311*$C311,0)</f>
        <v>18884</v>
      </c>
      <c r="J311" s="1229">
        <f>$J$169</f>
        <v>9.74</v>
      </c>
      <c r="K311" s="1009"/>
      <c r="L311" s="1203">
        <f>ROUND(J311*$C311,0)</f>
        <v>21118</v>
      </c>
      <c r="N311" s="1185"/>
      <c r="O311" s="1185"/>
      <c r="P311" s="1186"/>
      <c r="Q311" s="1186"/>
      <c r="R311" s="1186"/>
      <c r="S311" s="1185"/>
      <c r="T311" s="1185"/>
      <c r="U311" s="1185"/>
      <c r="V311" s="1185"/>
      <c r="W311" s="1185"/>
      <c r="X311" s="1185"/>
      <c r="Y311" s="1185"/>
      <c r="Z311" s="1185"/>
      <c r="AA311" s="1185"/>
      <c r="AB311" s="1185"/>
      <c r="AC311" s="1185"/>
      <c r="AD311" s="1185"/>
      <c r="AE311" s="1185"/>
      <c r="AF311" s="1185"/>
      <c r="AG311" s="1185"/>
      <c r="AH311" s="1185"/>
      <c r="AI311" s="1185"/>
      <c r="AK311" s="1204"/>
    </row>
    <row r="312" spans="1:37">
      <c r="A312" s="1219" t="s">
        <v>391</v>
      </c>
      <c r="B312" s="1219"/>
      <c r="C312" s="1026">
        <f>[95]Sheet1!$F$15+[95]Sheet1!$F$17+[95]Sheet1!$F$18</f>
        <v>3271.3</v>
      </c>
      <c r="D312" s="1229">
        <v>11.36</v>
      </c>
      <c r="E312" s="1249"/>
      <c r="F312" s="1203">
        <f>ROUND(D312*$C312,0)</f>
        <v>37162</v>
      </c>
      <c r="G312" s="1229">
        <v>12.98</v>
      </c>
      <c r="H312" s="1250"/>
      <c r="I312" s="1203">
        <f t="shared" ref="I312:I313" si="49">ROUND(G312*$C312,0)</f>
        <v>42461</v>
      </c>
      <c r="J312" s="1229">
        <f>$J$170</f>
        <v>14.51</v>
      </c>
      <c r="K312" s="1250"/>
      <c r="L312" s="1203">
        <f>ROUND(J312*$C312,0)</f>
        <v>47467</v>
      </c>
      <c r="N312" s="1185"/>
      <c r="O312" s="1185"/>
      <c r="P312" s="1186"/>
      <c r="Q312" s="1186"/>
      <c r="R312" s="1186"/>
      <c r="S312" s="1185"/>
      <c r="T312" s="1185"/>
      <c r="U312" s="1185"/>
      <c r="V312" s="1185"/>
      <c r="W312" s="1185"/>
      <c r="X312" s="1185"/>
      <c r="Y312" s="1185"/>
      <c r="Z312" s="1185"/>
      <c r="AA312" s="1185"/>
      <c r="AB312" s="1185"/>
      <c r="AC312" s="1185"/>
      <c r="AD312" s="1185"/>
      <c r="AE312" s="1185"/>
      <c r="AF312" s="1185"/>
      <c r="AG312" s="1185"/>
      <c r="AH312" s="1185"/>
      <c r="AI312" s="1185"/>
      <c r="AK312" s="1204"/>
    </row>
    <row r="313" spans="1:37">
      <c r="A313" s="1219" t="s">
        <v>392</v>
      </c>
      <c r="B313" s="1219"/>
      <c r="C313" s="1026">
        <f>[95]Sheet1!$G$14+[95]Sheet1!$G$15+[95]Sheet1!$G$16+[95]Sheet1!$G$17+[95]Sheet1!$G$18</f>
        <v>62765</v>
      </c>
      <c r="D313" s="1229">
        <v>0.81</v>
      </c>
      <c r="E313" s="1249"/>
      <c r="F313" s="1203">
        <f>ROUND(D313*$C313,0)</f>
        <v>50840</v>
      </c>
      <c r="G313" s="1229">
        <v>0.92</v>
      </c>
      <c r="H313" s="1250"/>
      <c r="I313" s="1203">
        <f t="shared" si="49"/>
        <v>57744</v>
      </c>
      <c r="J313" s="1229">
        <f>$J$171</f>
        <v>1.03</v>
      </c>
      <c r="K313" s="1250"/>
      <c r="L313" s="1203">
        <f>ROUND(J313*$C313,0)</f>
        <v>64648</v>
      </c>
      <c r="N313" s="1185"/>
      <c r="O313" s="1185"/>
      <c r="P313" s="1186"/>
      <c r="Q313" s="1186"/>
      <c r="R313" s="1186"/>
      <c r="S313" s="1185"/>
      <c r="T313" s="1185"/>
      <c r="U313" s="1185"/>
      <c r="V313" s="1185"/>
      <c r="W313" s="1185"/>
      <c r="X313" s="1185"/>
      <c r="Y313" s="1185"/>
      <c r="Z313" s="1185"/>
      <c r="AA313" s="1185"/>
      <c r="AB313" s="1185"/>
      <c r="AC313" s="1185"/>
      <c r="AD313" s="1185"/>
      <c r="AE313" s="1185"/>
      <c r="AF313" s="1185"/>
      <c r="AG313" s="1185"/>
      <c r="AH313" s="1185"/>
      <c r="AI313" s="1185"/>
      <c r="AK313" s="1204"/>
    </row>
    <row r="314" spans="1:37">
      <c r="A314" s="1219" t="s">
        <v>394</v>
      </c>
      <c r="B314" s="1219"/>
      <c r="C314" s="1026">
        <f>SUM(C311:C312)</f>
        <v>5439.4333333333334</v>
      </c>
      <c r="D314" s="1229"/>
      <c r="E314" s="1041"/>
      <c r="F314" s="1203"/>
      <c r="G314" s="1229"/>
      <c r="H314" s="1009"/>
      <c r="I314" s="1203"/>
      <c r="J314" s="1229"/>
      <c r="K314" s="1009"/>
      <c r="L314" s="1203"/>
      <c r="N314" s="1185"/>
      <c r="O314" s="1185"/>
      <c r="P314" s="1186"/>
      <c r="Q314" s="1186"/>
      <c r="R314" s="1186"/>
      <c r="S314" s="1185"/>
      <c r="T314" s="1185"/>
      <c r="U314" s="1185"/>
      <c r="V314" s="1185"/>
      <c r="W314" s="1185"/>
      <c r="X314" s="1185"/>
      <c r="Y314" s="1185"/>
      <c r="Z314" s="1185"/>
      <c r="AA314" s="1185"/>
      <c r="AB314" s="1185"/>
      <c r="AC314" s="1185"/>
      <c r="AD314" s="1185"/>
      <c r="AE314" s="1185"/>
      <c r="AF314" s="1185"/>
      <c r="AG314" s="1185"/>
      <c r="AH314" s="1185"/>
      <c r="AI314" s="1185"/>
      <c r="AK314" s="1204"/>
    </row>
    <row r="315" spans="1:37">
      <c r="A315" s="1219" t="s">
        <v>395</v>
      </c>
      <c r="B315" s="1219"/>
      <c r="C315" s="1026">
        <f>[95]Sheet1!$K$14+[95]Sheet1!$K$15+[95]Sheet1!$K$16+[95]Sheet1!$K$17+[95]Sheet1!$K$18</f>
        <v>37219.5</v>
      </c>
      <c r="D315" s="1261">
        <v>2.98</v>
      </c>
      <c r="E315" s="1009"/>
      <c r="F315" s="1203">
        <f>ROUND(D315*$C315,0)</f>
        <v>110914</v>
      </c>
      <c r="G315" s="1261">
        <v>3.4</v>
      </c>
      <c r="H315" s="1009"/>
      <c r="I315" s="1203">
        <f>ROUND(G315*C315,0)</f>
        <v>126546</v>
      </c>
      <c r="J315" s="1261">
        <f>$J$174</f>
        <v>3.8</v>
      </c>
      <c r="K315" s="1009"/>
      <c r="L315" s="1203">
        <f>ROUND(J315*$C315,0)</f>
        <v>141434</v>
      </c>
      <c r="N315" s="1185"/>
      <c r="O315" s="1185"/>
      <c r="P315" s="1186"/>
      <c r="Q315" s="1186"/>
      <c r="R315" s="1186"/>
      <c r="S315" s="1185"/>
      <c r="T315" s="1185"/>
      <c r="U315" s="1185"/>
      <c r="V315" s="1185"/>
      <c r="W315" s="1185"/>
      <c r="X315" s="1185"/>
      <c r="Y315" s="1185"/>
      <c r="Z315" s="1185"/>
      <c r="AA315" s="1185"/>
      <c r="AB315" s="1185"/>
      <c r="AC315" s="1185"/>
      <c r="AD315" s="1185"/>
      <c r="AE315" s="1185"/>
      <c r="AF315" s="1185"/>
      <c r="AG315" s="1185"/>
      <c r="AH315" s="1185"/>
      <c r="AI315" s="1185"/>
      <c r="AK315" s="1204"/>
    </row>
    <row r="316" spans="1:37">
      <c r="A316" s="1219" t="s">
        <v>397</v>
      </c>
      <c r="B316" s="1219"/>
      <c r="C316" s="1026">
        <f>[95]Sheet1!$I$14+[95]Sheet1!$I$15+[95]Sheet1!$I$16+[95]Sheet1!$I$17+[95]Sheet1!$I$18</f>
        <v>3527991.6666666633</v>
      </c>
      <c r="D316" s="1230">
        <v>8.5489999999999995</v>
      </c>
      <c r="E316" s="1009" t="s">
        <v>374</v>
      </c>
      <c r="F316" s="1203">
        <f>ROUND(D316*$C316/100,0)</f>
        <v>301608</v>
      </c>
      <c r="G316" s="1230">
        <v>9.766</v>
      </c>
      <c r="H316" s="1009" t="s">
        <v>374</v>
      </c>
      <c r="I316" s="1203">
        <f>ROUND(G316*C316/100,0)</f>
        <v>344544</v>
      </c>
      <c r="J316" s="1230">
        <f>$J$175</f>
        <v>6.4269999999999996</v>
      </c>
      <c r="K316" s="1009" t="s">
        <v>374</v>
      </c>
      <c r="L316" s="1203">
        <f>ROUND(J316*$C316/100,0)</f>
        <v>226744</v>
      </c>
      <c r="N316" s="1185"/>
      <c r="O316" s="1185"/>
      <c r="P316" s="1186"/>
      <c r="Q316" s="1186"/>
      <c r="R316" s="1186"/>
      <c r="S316" s="1185"/>
      <c r="T316" s="1185"/>
      <c r="U316" s="1185"/>
      <c r="V316" s="1185"/>
      <c r="W316" s="1185"/>
      <c r="X316" s="1185"/>
      <c r="Y316" s="1185"/>
      <c r="Z316" s="1185"/>
      <c r="AA316" s="1185"/>
      <c r="AB316" s="1185"/>
      <c r="AC316" s="1185"/>
      <c r="AD316" s="1185"/>
      <c r="AE316" s="1185"/>
      <c r="AF316" s="1185"/>
      <c r="AG316" s="1185"/>
      <c r="AH316" s="1185"/>
      <c r="AI316" s="1185"/>
      <c r="AK316" s="1204"/>
    </row>
    <row r="317" spans="1:37">
      <c r="A317" s="1219" t="s">
        <v>398</v>
      </c>
      <c r="B317" s="1219"/>
      <c r="C317" s="1026">
        <f>[95]Sheet1!$J$14+[95]Sheet1!$J$15+[95]Sheet1!$J$16+[95]Sheet1!$J$17+[95]Sheet1!$J$18</f>
        <v>9702345.3333333246</v>
      </c>
      <c r="D317" s="1230">
        <v>5.9020000000000001</v>
      </c>
      <c r="E317" s="1009" t="s">
        <v>374</v>
      </c>
      <c r="F317" s="1203">
        <f>ROUND(D317*$C317/100,0)</f>
        <v>572632</v>
      </c>
      <c r="G317" s="1230">
        <v>6.7460000000000004</v>
      </c>
      <c r="H317" s="1009" t="s">
        <v>374</v>
      </c>
      <c r="I317" s="1203">
        <f t="shared" ref="I317:I319" si="50">ROUND(G317*C317/100,0)</f>
        <v>654520</v>
      </c>
      <c r="J317" s="1230">
        <f>$J$176</f>
        <v>4.4400000000000004</v>
      </c>
      <c r="K317" s="1009" t="s">
        <v>374</v>
      </c>
      <c r="L317" s="1203">
        <f>ROUND(J317*$C317/100,0)</f>
        <v>430784</v>
      </c>
      <c r="N317" s="1185"/>
      <c r="O317" s="1185"/>
      <c r="P317" s="1186"/>
      <c r="Q317" s="1186"/>
      <c r="R317" s="1186"/>
      <c r="S317" s="1185"/>
      <c r="T317" s="1185"/>
      <c r="U317" s="1185"/>
      <c r="V317" s="1185"/>
      <c r="W317" s="1185"/>
      <c r="X317" s="1185"/>
      <c r="Y317" s="1185"/>
      <c r="Z317" s="1185"/>
      <c r="AA317" s="1185"/>
      <c r="AB317" s="1185"/>
      <c r="AC317" s="1185"/>
      <c r="AD317" s="1185"/>
      <c r="AE317" s="1185"/>
      <c r="AF317" s="1185"/>
      <c r="AG317" s="1185"/>
      <c r="AH317" s="1185"/>
      <c r="AI317" s="1185"/>
      <c r="AK317" s="1204"/>
    </row>
    <row r="318" spans="1:37">
      <c r="A318" s="1219" t="s">
        <v>399</v>
      </c>
      <c r="B318" s="1219"/>
      <c r="C318" s="1026">
        <f>[95]Sheet1!$H$14+[95]Sheet1!$H$15+[95]Sheet1!$H$16+[95]Sheet1!$H$17+[95]Sheet1!$H$18-C317-C316</f>
        <v>4189763.0000000121</v>
      </c>
      <c r="D318" s="1230">
        <v>5.0839999999999996</v>
      </c>
      <c r="E318" s="1009" t="s">
        <v>374</v>
      </c>
      <c r="F318" s="1203">
        <f>ROUND(D318*$C318/100,0)</f>
        <v>213008</v>
      </c>
      <c r="G318" s="1230">
        <v>5.8120000000000003</v>
      </c>
      <c r="H318" s="1009" t="s">
        <v>374</v>
      </c>
      <c r="I318" s="1203">
        <f t="shared" si="50"/>
        <v>243509</v>
      </c>
      <c r="J318" s="1230">
        <f>$J$177</f>
        <v>3.8250000000000002</v>
      </c>
      <c r="K318" s="1009" t="s">
        <v>374</v>
      </c>
      <c r="L318" s="1203">
        <f>ROUND(J318*$C318/100,0)</f>
        <v>160258</v>
      </c>
      <c r="N318" s="1185"/>
      <c r="O318" s="1185"/>
      <c r="P318" s="1186"/>
      <c r="Q318" s="1186"/>
      <c r="R318" s="1186"/>
      <c r="S318" s="1185"/>
      <c r="T318" s="1185"/>
      <c r="U318" s="1185"/>
      <c r="V318" s="1185"/>
      <c r="W318" s="1185"/>
      <c r="X318" s="1185"/>
      <c r="Y318" s="1185"/>
      <c r="Z318" s="1185"/>
      <c r="AA318" s="1185"/>
      <c r="AB318" s="1185"/>
      <c r="AC318" s="1185"/>
      <c r="AD318" s="1185"/>
      <c r="AE318" s="1185"/>
      <c r="AF318" s="1185"/>
      <c r="AG318" s="1185"/>
      <c r="AH318" s="1185"/>
      <c r="AI318" s="1185"/>
      <c r="AK318" s="1204"/>
    </row>
    <row r="319" spans="1:37">
      <c r="A319" s="1219" t="s">
        <v>400</v>
      </c>
      <c r="B319" s="1219"/>
      <c r="C319" s="1026">
        <f>[95]Sheet1!$L$15+[95]Sheet1!$L$18</f>
        <v>14734.36666666667</v>
      </c>
      <c r="D319" s="1255">
        <v>50</v>
      </c>
      <c r="E319" s="1041" t="s">
        <v>374</v>
      </c>
      <c r="F319" s="1203">
        <f>ROUND(D319*$C319/100,0)</f>
        <v>7367</v>
      </c>
      <c r="G319" s="1255">
        <v>56</v>
      </c>
      <c r="H319" s="1009" t="s">
        <v>374</v>
      </c>
      <c r="I319" s="1203">
        <f t="shared" si="50"/>
        <v>8251</v>
      </c>
      <c r="J319" s="1255">
        <f>$J$178</f>
        <v>63</v>
      </c>
      <c r="K319" s="1009" t="s">
        <v>374</v>
      </c>
      <c r="L319" s="1203">
        <f>ROUND(J319*$C319/100,0)</f>
        <v>9283</v>
      </c>
      <c r="N319" s="1185"/>
      <c r="O319" s="1185"/>
      <c r="P319" s="1186"/>
      <c r="Q319" s="1186"/>
      <c r="R319" s="1186"/>
      <c r="S319" s="1185"/>
      <c r="T319" s="1185"/>
      <c r="U319" s="1185"/>
      <c r="V319" s="1185"/>
      <c r="W319" s="1185"/>
      <c r="X319" s="1185"/>
      <c r="Y319" s="1185"/>
      <c r="Z319" s="1185"/>
      <c r="AA319" s="1185"/>
      <c r="AB319" s="1185"/>
      <c r="AC319" s="1185"/>
      <c r="AD319" s="1185"/>
      <c r="AE319" s="1185"/>
      <c r="AF319" s="1185"/>
      <c r="AG319" s="1185"/>
      <c r="AH319" s="1185"/>
      <c r="AI319" s="1185"/>
      <c r="AK319" s="1204"/>
    </row>
    <row r="320" spans="1:37">
      <c r="A320" s="1005" t="s">
        <v>918</v>
      </c>
      <c r="C320" s="1202">
        <f>C316</f>
        <v>3527991.6666666633</v>
      </c>
      <c r="D320" s="269"/>
      <c r="E320" s="1185"/>
      <c r="F320" s="1203"/>
      <c r="G320" s="269"/>
      <c r="H320" s="1185"/>
      <c r="I320" s="1203"/>
      <c r="J320" s="1230">
        <f>J179</f>
        <v>4.4989999999999997</v>
      </c>
      <c r="K320" s="1009" t="s">
        <v>374</v>
      </c>
      <c r="L320" s="1203">
        <f t="shared" ref="L320:L322" si="51">ROUND(J320*$C320/100,0)</f>
        <v>158724</v>
      </c>
      <c r="N320" s="1204"/>
      <c r="P320" s="815"/>
      <c r="Q320" s="1184"/>
      <c r="R320" s="1184"/>
      <c r="S320" s="1205"/>
      <c r="T320" s="1205"/>
      <c r="Y320" s="1185"/>
      <c r="Z320" s="1185"/>
      <c r="AA320" s="1185"/>
      <c r="AB320" s="1185"/>
      <c r="AC320" s="1185"/>
      <c r="AD320" s="1185"/>
      <c r="AE320" s="1185"/>
      <c r="AF320" s="1185"/>
      <c r="AG320" s="1185"/>
      <c r="AH320" s="1185"/>
      <c r="AI320" s="1185"/>
      <c r="AK320" s="1204"/>
    </row>
    <row r="321" spans="1:37">
      <c r="A321" s="1005" t="s">
        <v>919</v>
      </c>
      <c r="C321" s="1202">
        <f>C317</f>
        <v>9702345.3333333246</v>
      </c>
      <c r="D321" s="269"/>
      <c r="E321" s="1185"/>
      <c r="F321" s="1203"/>
      <c r="G321" s="269"/>
      <c r="H321" s="1185"/>
      <c r="I321" s="1203"/>
      <c r="J321" s="1230">
        <f>J180</f>
        <v>3.1080000000000001</v>
      </c>
      <c r="K321" s="1009" t="s">
        <v>374</v>
      </c>
      <c r="L321" s="1203">
        <f t="shared" si="51"/>
        <v>301549</v>
      </c>
      <c r="N321" s="1204"/>
      <c r="P321" s="815"/>
      <c r="Q321" s="1184"/>
      <c r="R321" s="1184"/>
      <c r="S321" s="1205"/>
      <c r="T321" s="1205"/>
      <c r="Y321" s="1185"/>
      <c r="Z321" s="1185"/>
      <c r="AA321" s="1185"/>
      <c r="AB321" s="1185"/>
      <c r="AC321" s="1185"/>
      <c r="AD321" s="1185"/>
      <c r="AE321" s="1185"/>
      <c r="AF321" s="1185"/>
      <c r="AG321" s="1185"/>
      <c r="AH321" s="1185"/>
      <c r="AI321" s="1185"/>
      <c r="AK321" s="1204"/>
    </row>
    <row r="322" spans="1:37">
      <c r="A322" s="1005" t="s">
        <v>920</v>
      </c>
      <c r="C322" s="1202">
        <f>C318</f>
        <v>4189763.0000000121</v>
      </c>
      <c r="D322" s="269"/>
      <c r="E322" s="1185"/>
      <c r="F322" s="1203"/>
      <c r="G322" s="269"/>
      <c r="H322" s="1185"/>
      <c r="I322" s="1203"/>
      <c r="J322" s="1230">
        <f>J181</f>
        <v>2.6779999999999999</v>
      </c>
      <c r="K322" s="1009" t="s">
        <v>374</v>
      </c>
      <c r="L322" s="1203">
        <f t="shared" si="51"/>
        <v>112202</v>
      </c>
      <c r="N322" s="1204"/>
      <c r="P322" s="815"/>
      <c r="Q322" s="1184"/>
      <c r="R322" s="1184"/>
      <c r="S322" s="1205"/>
      <c r="T322" s="1205"/>
      <c r="Y322" s="1185"/>
      <c r="Z322" s="1185"/>
      <c r="AA322" s="1185"/>
      <c r="AB322" s="1185"/>
      <c r="AC322" s="1185"/>
      <c r="AD322" s="1185"/>
      <c r="AE322" s="1185"/>
      <c r="AF322" s="1185"/>
      <c r="AG322" s="1185"/>
      <c r="AH322" s="1185"/>
      <c r="AI322" s="1185"/>
      <c r="AK322" s="1204"/>
    </row>
    <row r="323" spans="1:37">
      <c r="A323" s="1256" t="s">
        <v>401</v>
      </c>
      <c r="B323" s="1219"/>
      <c r="C323" s="1026"/>
      <c r="D323" s="1257">
        <v>-0.01</v>
      </c>
      <c r="E323" s="1041"/>
      <c r="F323" s="1203"/>
      <c r="G323" s="1257">
        <v>-0.01</v>
      </c>
      <c r="H323" s="1009"/>
      <c r="I323" s="1203"/>
      <c r="J323" s="1257">
        <v>-0.01</v>
      </c>
      <c r="K323" s="1009"/>
      <c r="L323" s="1203"/>
      <c r="N323" s="1185"/>
      <c r="O323" s="1185"/>
      <c r="P323" s="1186"/>
      <c r="Q323" s="1186"/>
      <c r="R323" s="1186"/>
      <c r="S323" s="1185"/>
      <c r="T323" s="1185"/>
      <c r="U323" s="1185"/>
      <c r="V323" s="1185"/>
      <c r="W323" s="1185"/>
      <c r="X323" s="1185"/>
      <c r="Y323" s="1185"/>
      <c r="Z323" s="1185"/>
      <c r="AA323" s="1185"/>
      <c r="AB323" s="1185"/>
      <c r="AC323" s="1185"/>
      <c r="AD323" s="1185"/>
      <c r="AE323" s="1185"/>
      <c r="AF323" s="1185"/>
      <c r="AG323" s="1185"/>
      <c r="AH323" s="1185"/>
      <c r="AI323" s="1185"/>
      <c r="AK323" s="1204"/>
    </row>
    <row r="324" spans="1:37">
      <c r="A324" s="1219" t="s">
        <v>390</v>
      </c>
      <c r="B324" s="1219"/>
      <c r="C324" s="1026">
        <v>0</v>
      </c>
      <c r="D324" s="1259">
        <v>7.64</v>
      </c>
      <c r="E324" s="1041"/>
      <c r="F324" s="1203">
        <f>-ROUND(D324*$C324/100,0)</f>
        <v>0</v>
      </c>
      <c r="G324" s="1259">
        <v>8.7100000000000009</v>
      </c>
      <c r="H324" s="1041"/>
      <c r="I324" s="1203">
        <f>-ROUND(G324*$C324/100,0)</f>
        <v>0</v>
      </c>
      <c r="J324" s="1259">
        <f>J311</f>
        <v>9.74</v>
      </c>
      <c r="K324" s="1041"/>
      <c r="L324" s="1203">
        <f>-ROUND(J324*$C324/100,0)</f>
        <v>0</v>
      </c>
      <c r="N324" s="1185"/>
      <c r="O324" s="1185"/>
      <c r="P324" s="1186"/>
      <c r="Q324" s="1186"/>
      <c r="R324" s="1186"/>
      <c r="S324" s="1185"/>
      <c r="T324" s="1185"/>
      <c r="U324" s="1185"/>
      <c r="V324" s="1185"/>
      <c r="W324" s="1185"/>
      <c r="X324" s="1185"/>
      <c r="Y324" s="1185"/>
      <c r="Z324" s="1185"/>
      <c r="AA324" s="1185"/>
      <c r="AB324" s="1185"/>
      <c r="AC324" s="1185"/>
      <c r="AD324" s="1185"/>
      <c r="AE324" s="1185"/>
      <c r="AF324" s="1185"/>
      <c r="AG324" s="1185"/>
      <c r="AH324" s="1185"/>
      <c r="AI324" s="1185"/>
      <c r="AK324" s="1204"/>
    </row>
    <row r="325" spans="1:37">
      <c r="A325" s="1219" t="s">
        <v>391</v>
      </c>
      <c r="B325" s="1219"/>
      <c r="C325" s="1026">
        <f>[95]Sheet1!$F$17</f>
        <v>3</v>
      </c>
      <c r="D325" s="1259">
        <v>11.36</v>
      </c>
      <c r="E325" s="1041"/>
      <c r="F325" s="1203">
        <f>-ROUND(D325*$C325/100,0)</f>
        <v>0</v>
      </c>
      <c r="G325" s="1259">
        <v>12.98</v>
      </c>
      <c r="H325" s="1041"/>
      <c r="I325" s="1203">
        <f t="shared" ref="I325:I327" si="52">-ROUND(G325*$C325/100,0)</f>
        <v>0</v>
      </c>
      <c r="J325" s="1259">
        <f>J312</f>
        <v>14.51</v>
      </c>
      <c r="K325" s="1041"/>
      <c r="L325" s="1203">
        <f>-ROUND(J325*$C325/100,0)</f>
        <v>0</v>
      </c>
      <c r="N325" s="1185"/>
      <c r="O325" s="1185"/>
      <c r="P325" s="1186"/>
      <c r="Q325" s="1186"/>
      <c r="R325" s="1186"/>
      <c r="S325" s="1185"/>
      <c r="T325" s="1185"/>
      <c r="U325" s="1185"/>
      <c r="V325" s="1185"/>
      <c r="W325" s="1185"/>
      <c r="X325" s="1185"/>
      <c r="Y325" s="1185"/>
      <c r="Z325" s="1185"/>
      <c r="AA325" s="1185"/>
      <c r="AB325" s="1185"/>
      <c r="AC325" s="1185"/>
      <c r="AD325" s="1185"/>
      <c r="AE325" s="1185"/>
      <c r="AF325" s="1185"/>
      <c r="AG325" s="1185"/>
      <c r="AH325" s="1185"/>
      <c r="AI325" s="1185"/>
      <c r="AK325" s="1204"/>
    </row>
    <row r="326" spans="1:37">
      <c r="A326" s="1219" t="s">
        <v>402</v>
      </c>
      <c r="B326" s="1219"/>
      <c r="C326" s="1026">
        <f>[95]Sheet1!$G$17</f>
        <v>264</v>
      </c>
      <c r="D326" s="1259">
        <v>0.81</v>
      </c>
      <c r="E326" s="1041"/>
      <c r="F326" s="1203">
        <f>-ROUND(D326*$C326/100,0)</f>
        <v>-2</v>
      </c>
      <c r="G326" s="1259">
        <v>0.92</v>
      </c>
      <c r="H326" s="1041"/>
      <c r="I326" s="1203">
        <f t="shared" si="52"/>
        <v>-2</v>
      </c>
      <c r="J326" s="1259">
        <f>J313</f>
        <v>1.03</v>
      </c>
      <c r="K326" s="1041"/>
      <c r="L326" s="1203">
        <f>-ROUND(J326*$C326/100,0)</f>
        <v>-3</v>
      </c>
      <c r="N326" s="1185"/>
      <c r="O326" s="1185"/>
      <c r="P326" s="1186"/>
      <c r="Q326" s="1186"/>
      <c r="R326" s="1186"/>
      <c r="S326" s="1185"/>
      <c r="T326" s="1185"/>
      <c r="U326" s="1185"/>
      <c r="V326" s="1185"/>
      <c r="W326" s="1185"/>
      <c r="X326" s="1185"/>
      <c r="Y326" s="1185"/>
      <c r="Z326" s="1185"/>
      <c r="AA326" s="1185"/>
      <c r="AB326" s="1185"/>
      <c r="AC326" s="1185"/>
      <c r="AD326" s="1185"/>
      <c r="AE326" s="1185"/>
      <c r="AF326" s="1185"/>
      <c r="AG326" s="1185"/>
      <c r="AH326" s="1185"/>
      <c r="AI326" s="1185"/>
      <c r="AK326" s="1204"/>
    </row>
    <row r="327" spans="1:37">
      <c r="A327" s="1219" t="s">
        <v>403</v>
      </c>
      <c r="B327" s="1219"/>
      <c r="C327" s="1026">
        <f>[95]Sheet1!$K$17</f>
        <v>132</v>
      </c>
      <c r="D327" s="1259">
        <v>2.98</v>
      </c>
      <c r="E327" s="1009"/>
      <c r="F327" s="1203">
        <f>-ROUND(D327*$C327/100,0)</f>
        <v>-4</v>
      </c>
      <c r="G327" s="1259">
        <v>3.4</v>
      </c>
      <c r="H327" s="1009"/>
      <c r="I327" s="1203">
        <f t="shared" si="52"/>
        <v>-4</v>
      </c>
      <c r="J327" s="1259">
        <f>J315</f>
        <v>3.8</v>
      </c>
      <c r="K327" s="1009"/>
      <c r="L327" s="1203">
        <f>-ROUND(J327*$C327/100,0)</f>
        <v>-5</v>
      </c>
      <c r="N327" s="1185"/>
      <c r="O327" s="1185"/>
      <c r="P327" s="1186"/>
      <c r="Q327" s="1186"/>
      <c r="R327" s="1186"/>
      <c r="S327" s="1185"/>
      <c r="T327" s="1185"/>
      <c r="U327" s="1185"/>
      <c r="V327" s="1185"/>
      <c r="W327" s="1185"/>
      <c r="X327" s="1185"/>
      <c r="Y327" s="1185"/>
      <c r="Z327" s="1185"/>
      <c r="AA327" s="1185"/>
      <c r="AB327" s="1185"/>
      <c r="AC327" s="1185"/>
      <c r="AD327" s="1185"/>
      <c r="AE327" s="1185"/>
      <c r="AF327" s="1185"/>
      <c r="AG327" s="1185"/>
      <c r="AH327" s="1185"/>
      <c r="AI327" s="1185"/>
      <c r="AK327" s="1204"/>
    </row>
    <row r="328" spans="1:37">
      <c r="A328" s="1219" t="s">
        <v>405</v>
      </c>
      <c r="B328" s="1219"/>
      <c r="C328" s="1026">
        <f>[95]Sheet1!$I$17</f>
        <v>3000</v>
      </c>
      <c r="D328" s="1070">
        <v>8.5489999999999995</v>
      </c>
      <c r="E328" s="1009" t="s">
        <v>374</v>
      </c>
      <c r="F328" s="1203">
        <f>ROUND(D328*$C328/100*D323,0)</f>
        <v>-3</v>
      </c>
      <c r="G328" s="1070">
        <v>9.766</v>
      </c>
      <c r="H328" s="1009" t="s">
        <v>374</v>
      </c>
      <c r="I328" s="1203">
        <f>ROUND(G328*$C328/100*G323,0)</f>
        <v>-3</v>
      </c>
      <c r="J328" s="1070">
        <f>J316</f>
        <v>6.4269999999999996</v>
      </c>
      <c r="K328" s="1009" t="s">
        <v>374</v>
      </c>
      <c r="L328" s="1203">
        <f>ROUND(J328*$C328/100*J323,0)</f>
        <v>-2</v>
      </c>
      <c r="N328" s="1185"/>
      <c r="O328" s="1185"/>
      <c r="P328" s="1186"/>
      <c r="Q328" s="1186"/>
      <c r="R328" s="1186"/>
      <c r="S328" s="1185"/>
      <c r="T328" s="1185"/>
      <c r="U328" s="1185"/>
      <c r="V328" s="1185"/>
      <c r="W328" s="1185"/>
      <c r="X328" s="1185"/>
      <c r="Y328" s="1185"/>
      <c r="Z328" s="1185"/>
      <c r="AA328" s="1185"/>
      <c r="AB328" s="1185"/>
      <c r="AC328" s="1185"/>
      <c r="AD328" s="1185"/>
      <c r="AE328" s="1185"/>
      <c r="AF328" s="1185"/>
      <c r="AG328" s="1185"/>
      <c r="AH328" s="1185"/>
      <c r="AI328" s="1185"/>
      <c r="AK328" s="1204"/>
    </row>
    <row r="329" spans="1:37">
      <c r="A329" s="1219" t="s">
        <v>398</v>
      </c>
      <c r="B329" s="1219"/>
      <c r="C329" s="1026">
        <f>[95]Sheet1!$J$17</f>
        <v>24000</v>
      </c>
      <c r="D329" s="1070">
        <v>5.9020000000000001</v>
      </c>
      <c r="E329" s="1009" t="s">
        <v>374</v>
      </c>
      <c r="F329" s="1203">
        <f>ROUND(D329*$C329/100*D323,0)</f>
        <v>-14</v>
      </c>
      <c r="G329" s="1070">
        <v>6.7460000000000004</v>
      </c>
      <c r="H329" s="1009" t="s">
        <v>374</v>
      </c>
      <c r="I329" s="1203">
        <f>ROUND(G329*$C329/100*G323,0)</f>
        <v>-16</v>
      </c>
      <c r="J329" s="1070">
        <f>J317</f>
        <v>4.4400000000000004</v>
      </c>
      <c r="K329" s="1009" t="s">
        <v>374</v>
      </c>
      <c r="L329" s="1203">
        <f>ROUND(J329*$C329/100*J323,0)</f>
        <v>-11</v>
      </c>
      <c r="N329" s="1185"/>
      <c r="O329" s="1185"/>
      <c r="P329" s="1186"/>
      <c r="Q329" s="1186"/>
      <c r="R329" s="1186"/>
      <c r="S329" s="1185"/>
      <c r="T329" s="1185"/>
      <c r="U329" s="1185"/>
      <c r="V329" s="1185"/>
      <c r="W329" s="1185"/>
      <c r="X329" s="1185"/>
      <c r="Y329" s="1185"/>
      <c r="Z329" s="1185"/>
      <c r="AA329" s="1185"/>
      <c r="AB329" s="1185"/>
      <c r="AC329" s="1185"/>
      <c r="AD329" s="1185"/>
      <c r="AE329" s="1185"/>
      <c r="AF329" s="1185"/>
      <c r="AG329" s="1185"/>
      <c r="AH329" s="1185"/>
      <c r="AI329" s="1185"/>
      <c r="AK329" s="1204"/>
    </row>
    <row r="330" spans="1:37">
      <c r="A330" s="1219" t="s">
        <v>399</v>
      </c>
      <c r="B330" s="1219"/>
      <c r="C330" s="1026">
        <f>[95]Sheet1!$H$17-C329-C328</f>
        <v>40200</v>
      </c>
      <c r="D330" s="1070">
        <v>5.0839999999999996</v>
      </c>
      <c r="E330" s="1009" t="s">
        <v>374</v>
      </c>
      <c r="F330" s="1203">
        <f>ROUND(D330*$C330/100*D323,0)</f>
        <v>-20</v>
      </c>
      <c r="G330" s="1070">
        <v>5.8120000000000003</v>
      </c>
      <c r="H330" s="1009" t="s">
        <v>374</v>
      </c>
      <c r="I330" s="1203">
        <f>ROUND(G330*$C330/100*G323,0)</f>
        <v>-23</v>
      </c>
      <c r="J330" s="1070">
        <f>J318</f>
        <v>3.8250000000000002</v>
      </c>
      <c r="K330" s="1009" t="s">
        <v>374</v>
      </c>
      <c r="L330" s="1203">
        <f>ROUND(J330*$C330/100*J323,0)</f>
        <v>-15</v>
      </c>
      <c r="N330" s="1185"/>
      <c r="O330" s="1185"/>
      <c r="P330" s="1186"/>
      <c r="Q330" s="1186"/>
      <c r="R330" s="1186"/>
      <c r="S330" s="1185"/>
      <c r="T330" s="1185"/>
      <c r="U330" s="1185"/>
      <c r="V330" s="1185"/>
      <c r="W330" s="1185"/>
      <c r="X330" s="1185"/>
      <c r="Y330" s="1185"/>
      <c r="Z330" s="1185"/>
      <c r="AA330" s="1185"/>
      <c r="AB330" s="1185"/>
      <c r="AC330" s="1185"/>
      <c r="AD330" s="1185"/>
      <c r="AE330" s="1185"/>
      <c r="AF330" s="1185"/>
      <c r="AG330" s="1185"/>
      <c r="AH330" s="1185"/>
      <c r="AI330" s="1185"/>
      <c r="AK330" s="1204"/>
    </row>
    <row r="331" spans="1:37">
      <c r="A331" s="1219" t="s">
        <v>400</v>
      </c>
      <c r="B331" s="1219"/>
      <c r="C331" s="1026">
        <v>0</v>
      </c>
      <c r="D331" s="1260">
        <v>50</v>
      </c>
      <c r="E331" s="1009" t="s">
        <v>374</v>
      </c>
      <c r="F331" s="1203">
        <f>ROUND(D331*$C331/100*D323,0)</f>
        <v>0</v>
      </c>
      <c r="G331" s="1260">
        <v>56</v>
      </c>
      <c r="H331" s="1009" t="s">
        <v>374</v>
      </c>
      <c r="I331" s="1203">
        <f>ROUND(G331*$C331/100*G323,0)</f>
        <v>0</v>
      </c>
      <c r="J331" s="1260">
        <f>J319</f>
        <v>63</v>
      </c>
      <c r="K331" s="1009" t="s">
        <v>374</v>
      </c>
      <c r="L331" s="1203">
        <f>ROUND(J331*$C331/100*J323,0)</f>
        <v>0</v>
      </c>
      <c r="N331" s="1185"/>
      <c r="O331" s="1185"/>
      <c r="P331" s="1186"/>
      <c r="Q331" s="1186"/>
      <c r="R331" s="1186"/>
      <c r="S331" s="1185"/>
      <c r="T331" s="1185"/>
      <c r="U331" s="1185"/>
      <c r="V331" s="1185"/>
      <c r="W331" s="1185"/>
      <c r="X331" s="1185"/>
      <c r="Y331" s="1185"/>
      <c r="Z331" s="1185"/>
      <c r="AA331" s="1185"/>
      <c r="AB331" s="1185"/>
      <c r="AC331" s="1185"/>
      <c r="AD331" s="1185"/>
      <c r="AE331" s="1185"/>
      <c r="AF331" s="1185"/>
      <c r="AG331" s="1185"/>
      <c r="AH331" s="1185"/>
      <c r="AI331" s="1185"/>
      <c r="AK331" s="1204"/>
    </row>
    <row r="332" spans="1:37">
      <c r="A332" s="1219" t="s">
        <v>407</v>
      </c>
      <c r="B332" s="1219"/>
      <c r="C332" s="1026">
        <f>3</f>
        <v>3</v>
      </c>
      <c r="D332" s="1261">
        <v>60</v>
      </c>
      <c r="E332" s="1041"/>
      <c r="F332" s="1203">
        <f>ROUND(D332*$C332,0)</f>
        <v>180</v>
      </c>
      <c r="G332" s="1261">
        <v>60</v>
      </c>
      <c r="H332" s="1009"/>
      <c r="I332" s="1203">
        <f>ROUND(G332*C332,0)</f>
        <v>180</v>
      </c>
      <c r="J332" s="1261">
        <f>$J$194</f>
        <v>60</v>
      </c>
      <c r="K332" s="1009"/>
      <c r="L332" s="1203">
        <f>ROUND(J332*$C332,0)</f>
        <v>180</v>
      </c>
      <c r="N332" s="1185"/>
      <c r="O332" s="1185"/>
      <c r="P332" s="1186"/>
      <c r="Q332" s="1186"/>
      <c r="R332" s="1186"/>
      <c r="S332" s="1185"/>
      <c r="T332" s="1185"/>
      <c r="U332" s="1185"/>
      <c r="V332" s="1185"/>
      <c r="W332" s="1185"/>
      <c r="X332" s="1185"/>
      <c r="Y332" s="1185"/>
      <c r="Z332" s="1185"/>
      <c r="AA332" s="1185"/>
      <c r="AB332" s="1185"/>
      <c r="AC332" s="1185"/>
      <c r="AD332" s="1185"/>
      <c r="AE332" s="1185"/>
      <c r="AF332" s="1185"/>
      <c r="AG332" s="1185"/>
      <c r="AH332" s="1185"/>
      <c r="AI332" s="1185"/>
      <c r="AK332" s="1204"/>
    </row>
    <row r="333" spans="1:37">
      <c r="A333" s="1219" t="s">
        <v>408</v>
      </c>
      <c r="B333" s="1219"/>
      <c r="C333" s="1026">
        <f>C326</f>
        <v>264</v>
      </c>
      <c r="D333" s="1262">
        <v>-30</v>
      </c>
      <c r="E333" s="1041" t="s">
        <v>374</v>
      </c>
      <c r="F333" s="1203">
        <f>ROUND(D333*$C333/100,0)</f>
        <v>-79</v>
      </c>
      <c r="G333" s="1262">
        <v>-30</v>
      </c>
      <c r="H333" s="1009" t="s">
        <v>374</v>
      </c>
      <c r="I333" s="1203">
        <f>ROUND(G333*C333/100,0)</f>
        <v>-79</v>
      </c>
      <c r="J333" s="1262">
        <f>$J$195</f>
        <v>-30</v>
      </c>
      <c r="K333" s="1009" t="s">
        <v>374</v>
      </c>
      <c r="L333" s="1203">
        <f>ROUND(J333*$C333/100,0)</f>
        <v>-79</v>
      </c>
      <c r="N333" s="1185"/>
      <c r="O333" s="1185"/>
      <c r="P333" s="1186"/>
      <c r="Q333" s="1186"/>
      <c r="R333" s="1186"/>
      <c r="S333" s="1185"/>
      <c r="T333" s="1185"/>
      <c r="U333" s="1185"/>
      <c r="V333" s="1185"/>
      <c r="W333" s="1185"/>
      <c r="X333" s="1185"/>
      <c r="Y333" s="1185"/>
      <c r="Z333" s="1185"/>
      <c r="AA333" s="1185"/>
      <c r="AB333" s="1185"/>
      <c r="AC333" s="1185"/>
      <c r="AD333" s="1185"/>
      <c r="AE333" s="1185"/>
      <c r="AF333" s="1185"/>
      <c r="AG333" s="1185"/>
      <c r="AH333" s="1185"/>
      <c r="AI333" s="1185"/>
      <c r="AK333" s="1204"/>
    </row>
    <row r="334" spans="1:37">
      <c r="A334" s="1005" t="s">
        <v>918</v>
      </c>
      <c r="C334" s="1202">
        <f>C328</f>
        <v>3000</v>
      </c>
      <c r="D334" s="269"/>
      <c r="E334" s="1185"/>
      <c r="F334" s="1203"/>
      <c r="G334" s="269"/>
      <c r="H334" s="1185"/>
      <c r="I334" s="1203"/>
      <c r="J334" s="1230">
        <f>J179</f>
        <v>4.4989999999999997</v>
      </c>
      <c r="K334" s="1009" t="s">
        <v>374</v>
      </c>
      <c r="L334" s="1203">
        <f t="shared" ref="L334:L336" si="53">ROUND(J334*$C334/100,0)</f>
        <v>135</v>
      </c>
      <c r="N334" s="1204"/>
      <c r="P334" s="815"/>
      <c r="Q334" s="1184"/>
      <c r="R334" s="1184"/>
      <c r="S334" s="1205"/>
      <c r="T334" s="1205"/>
      <c r="Y334" s="1185"/>
      <c r="Z334" s="1185"/>
      <c r="AA334" s="1185"/>
      <c r="AB334" s="1185"/>
      <c r="AC334" s="1185"/>
      <c r="AD334" s="1185"/>
      <c r="AE334" s="1185"/>
      <c r="AF334" s="1185"/>
      <c r="AG334" s="1185"/>
      <c r="AH334" s="1185"/>
      <c r="AI334" s="1185"/>
      <c r="AK334" s="1204"/>
    </row>
    <row r="335" spans="1:37">
      <c r="A335" s="1005" t="s">
        <v>919</v>
      </c>
      <c r="C335" s="1202">
        <f>C329</f>
        <v>24000</v>
      </c>
      <c r="D335" s="269"/>
      <c r="E335" s="1185"/>
      <c r="F335" s="1203"/>
      <c r="G335" s="269"/>
      <c r="H335" s="1185"/>
      <c r="I335" s="1203"/>
      <c r="J335" s="1230">
        <f>J180</f>
        <v>3.1080000000000001</v>
      </c>
      <c r="K335" s="1009" t="s">
        <v>374</v>
      </c>
      <c r="L335" s="1203">
        <f t="shared" si="53"/>
        <v>746</v>
      </c>
      <c r="N335" s="1204"/>
      <c r="P335" s="815"/>
      <c r="Q335" s="1184"/>
      <c r="R335" s="1184"/>
      <c r="S335" s="1205"/>
      <c r="T335" s="1205"/>
      <c r="Y335" s="1185"/>
      <c r="Z335" s="1185"/>
      <c r="AA335" s="1185"/>
      <c r="AB335" s="1185"/>
      <c r="AC335" s="1185"/>
      <c r="AD335" s="1185"/>
      <c r="AE335" s="1185"/>
      <c r="AF335" s="1185"/>
      <c r="AG335" s="1185"/>
      <c r="AH335" s="1185"/>
      <c r="AI335" s="1185"/>
      <c r="AK335" s="1204"/>
    </row>
    <row r="336" spans="1:37">
      <c r="A336" s="1005" t="s">
        <v>920</v>
      </c>
      <c r="C336" s="1202">
        <f>C330</f>
        <v>40200</v>
      </c>
      <c r="D336" s="269"/>
      <c r="E336" s="1185"/>
      <c r="F336" s="1203"/>
      <c r="G336" s="269"/>
      <c r="H336" s="1185"/>
      <c r="I336" s="1203"/>
      <c r="J336" s="1230">
        <f>J181</f>
        <v>2.6779999999999999</v>
      </c>
      <c r="K336" s="1009" t="s">
        <v>374</v>
      </c>
      <c r="L336" s="1203">
        <f t="shared" si="53"/>
        <v>1077</v>
      </c>
      <c r="N336" s="1204"/>
      <c r="P336" s="815"/>
      <c r="Q336" s="1184"/>
      <c r="R336" s="1184"/>
      <c r="S336" s="1205"/>
      <c r="T336" s="1205"/>
      <c r="Y336" s="1185"/>
      <c r="Z336" s="1185"/>
      <c r="AA336" s="1185"/>
      <c r="AB336" s="1185"/>
      <c r="AC336" s="1185"/>
      <c r="AD336" s="1185"/>
      <c r="AE336" s="1185"/>
      <c r="AF336" s="1185"/>
      <c r="AG336" s="1185"/>
      <c r="AH336" s="1185"/>
      <c r="AI336" s="1185"/>
      <c r="AK336" s="1204"/>
    </row>
    <row r="337" spans="1:37">
      <c r="A337" s="1219" t="s">
        <v>381</v>
      </c>
      <c r="B337" s="1219"/>
      <c r="C337" s="1026">
        <f>SUM(C316:C318)</f>
        <v>17420100</v>
      </c>
      <c r="D337" s="1255"/>
      <c r="E337" s="1203"/>
      <c r="F337" s="1203">
        <f>SUM(F311:F333)</f>
        <v>1310154</v>
      </c>
      <c r="G337" s="1255"/>
      <c r="H337" s="1009"/>
      <c r="I337" s="1203">
        <f>SUM(I311:I333)</f>
        <v>1496512</v>
      </c>
      <c r="J337" s="1255"/>
      <c r="K337" s="1009"/>
      <c r="L337" s="1203">
        <f>SUM(L311:L336)</f>
        <v>1676234</v>
      </c>
      <c r="N337" s="1185"/>
      <c r="O337" s="1185"/>
      <c r="P337" s="1186"/>
      <c r="Q337" s="1186"/>
      <c r="R337" s="1186"/>
      <c r="S337" s="1185"/>
      <c r="T337" s="1185"/>
      <c r="U337" s="1185"/>
      <c r="V337" s="1185"/>
      <c r="W337" s="1185"/>
      <c r="X337" s="1185"/>
      <c r="Y337" s="1185"/>
      <c r="Z337" s="1185"/>
      <c r="AA337" s="1185"/>
      <c r="AB337" s="1185"/>
      <c r="AC337" s="1185"/>
      <c r="AD337" s="1185"/>
      <c r="AE337" s="1185"/>
      <c r="AF337" s="1185"/>
      <c r="AG337" s="1185"/>
      <c r="AH337" s="1185"/>
      <c r="AI337" s="1185"/>
      <c r="AK337" s="1204"/>
    </row>
    <row r="338" spans="1:37">
      <c r="A338" s="1219" t="s">
        <v>363</v>
      </c>
      <c r="B338" s="1219"/>
      <c r="C338" s="1032">
        <f>'[94]Table 2'!H71</f>
        <v>238998.12647392348</v>
      </c>
      <c r="D338" s="1218"/>
      <c r="E338" s="1218"/>
      <c r="F338" s="1264" t="e">
        <f>#REF!</f>
        <v>#REF!</v>
      </c>
      <c r="G338" s="1218"/>
      <c r="H338" s="1218"/>
      <c r="I338" s="1264">
        <f>'[94]Table 3'!E71</f>
        <v>24162.483012530323</v>
      </c>
      <c r="J338" s="1218"/>
      <c r="K338" s="1218"/>
      <c r="L338" s="1264">
        <f>I338</f>
        <v>24162.483012530323</v>
      </c>
      <c r="N338" s="444"/>
      <c r="O338" s="444"/>
      <c r="P338" s="287"/>
      <c r="Q338" s="1186"/>
      <c r="R338" s="1186"/>
      <c r="S338" s="1185"/>
      <c r="T338" s="1185"/>
      <c r="U338" s="1185"/>
      <c r="V338" s="1185"/>
      <c r="W338" s="1185"/>
      <c r="X338" s="1185"/>
      <c r="Y338" s="1185"/>
      <c r="Z338" s="1185"/>
      <c r="AA338" s="1185"/>
      <c r="AB338" s="1185"/>
      <c r="AC338" s="1185"/>
      <c r="AD338" s="1185"/>
      <c r="AE338" s="1185"/>
      <c r="AF338" s="1185"/>
      <c r="AG338" s="1185"/>
      <c r="AH338" s="1185"/>
      <c r="AI338" s="1185"/>
      <c r="AK338" s="1204"/>
    </row>
    <row r="339" spans="1:37" ht="16.5" thickBot="1">
      <c r="A339" s="1219" t="s">
        <v>382</v>
      </c>
      <c r="B339" s="1219"/>
      <c r="C339" s="1240">
        <f>SUM(C337:C338)</f>
        <v>17659098.126473922</v>
      </c>
      <c r="D339" s="1265"/>
      <c r="E339" s="1266"/>
      <c r="F339" s="1267" t="e">
        <f>F337+F338</f>
        <v>#REF!</v>
      </c>
      <c r="G339" s="1265"/>
      <c r="H339" s="1269"/>
      <c r="I339" s="1267">
        <f>I337+I338</f>
        <v>1520674.4830125303</v>
      </c>
      <c r="J339" s="1265"/>
      <c r="K339" s="1269"/>
      <c r="L339" s="1267">
        <f>L337+L338</f>
        <v>1700396.4830125303</v>
      </c>
      <c r="N339" s="411"/>
      <c r="O339" s="411"/>
      <c r="P339" s="470"/>
      <c r="Q339" s="1186"/>
      <c r="R339" s="1186"/>
      <c r="S339" s="1185"/>
      <c r="T339" s="1185"/>
      <c r="U339" s="1185"/>
      <c r="V339" s="1185"/>
      <c r="W339" s="1185"/>
      <c r="X339" s="1185"/>
      <c r="Y339" s="1185"/>
      <c r="Z339" s="1185"/>
      <c r="AA339" s="1185"/>
      <c r="AB339" s="1185"/>
      <c r="AC339" s="1185"/>
      <c r="AD339" s="1185"/>
      <c r="AE339" s="1185"/>
      <c r="AF339" s="1185"/>
      <c r="AG339" s="1185"/>
      <c r="AH339" s="1185"/>
      <c r="AI339" s="1185"/>
      <c r="AK339" s="1204"/>
    </row>
    <row r="340" spans="1:37" ht="16.5" thickTop="1">
      <c r="A340" s="1219"/>
      <c r="B340" s="1219"/>
      <c r="C340" s="1018"/>
      <c r="D340" s="1275"/>
      <c r="E340" s="1276"/>
      <c r="F340" s="1040"/>
      <c r="G340" s="1275"/>
      <c r="H340" s="1277"/>
      <c r="I340" s="1040"/>
      <c r="J340" s="1275"/>
      <c r="K340" s="1277"/>
      <c r="L340" s="1040"/>
      <c r="N340" s="1185"/>
      <c r="O340" s="1185"/>
      <c r="P340" s="1186"/>
      <c r="Q340" s="1186"/>
      <c r="R340" s="1186"/>
      <c r="S340" s="1185"/>
      <c r="T340" s="1185"/>
      <c r="U340" s="1185"/>
      <c r="V340" s="1185"/>
      <c r="W340" s="1185"/>
      <c r="X340" s="1185"/>
      <c r="Y340" s="1185"/>
      <c r="Z340" s="1185"/>
      <c r="AA340" s="1185"/>
      <c r="AB340" s="1185"/>
      <c r="AC340" s="1185"/>
      <c r="AD340" s="1185"/>
      <c r="AE340" s="1185"/>
      <c r="AF340" s="1185"/>
      <c r="AG340" s="1185"/>
      <c r="AH340" s="1185"/>
      <c r="AI340" s="1185"/>
      <c r="AK340" s="1204"/>
    </row>
    <row r="341" spans="1:37">
      <c r="A341" s="1224" t="s">
        <v>415</v>
      </c>
      <c r="B341" s="1219"/>
      <c r="C341" s="1219"/>
      <c r="D341" s="1203"/>
      <c r="E341" s="1203"/>
      <c r="F341" s="1219" t="s">
        <v>31</v>
      </c>
      <c r="G341" s="1203"/>
      <c r="H341" s="1219"/>
      <c r="I341" s="1219"/>
      <c r="J341" s="1203"/>
      <c r="K341" s="1219"/>
      <c r="L341" s="1219"/>
      <c r="N341" s="1185"/>
      <c r="O341" s="1185"/>
      <c r="P341" s="1186"/>
      <c r="Q341" s="1186"/>
      <c r="R341" s="1186"/>
      <c r="S341" s="1185"/>
      <c r="T341" s="1185"/>
      <c r="U341" s="1185"/>
      <c r="V341" s="1185"/>
      <c r="W341" s="1185"/>
      <c r="X341" s="1185"/>
      <c r="Y341" s="1185"/>
      <c r="Z341" s="1185"/>
      <c r="AA341" s="1185"/>
      <c r="AB341" s="1185"/>
      <c r="AC341" s="1185"/>
      <c r="AD341" s="1185"/>
      <c r="AE341" s="1185"/>
      <c r="AF341" s="1185"/>
      <c r="AG341" s="1185"/>
      <c r="AH341" s="1185"/>
      <c r="AI341" s="1185"/>
      <c r="AK341" s="1204"/>
    </row>
    <row r="342" spans="1:37">
      <c r="A342" s="1219" t="s">
        <v>410</v>
      </c>
      <c r="B342" s="1219"/>
      <c r="C342" s="1219"/>
      <c r="D342" s="1203"/>
      <c r="E342" s="1203"/>
      <c r="F342" s="1219"/>
      <c r="G342" s="1203"/>
      <c r="H342" s="1219"/>
      <c r="I342" s="1219"/>
      <c r="J342" s="1203"/>
      <c r="K342" s="1219"/>
      <c r="L342" s="1219"/>
      <c r="N342" s="1185"/>
      <c r="O342" s="1185"/>
      <c r="P342" s="1186"/>
      <c r="Q342" s="1186"/>
      <c r="R342" s="1186"/>
      <c r="S342" s="1185"/>
      <c r="T342" s="1185"/>
      <c r="U342" s="1185"/>
      <c r="V342" s="1185"/>
      <c r="W342" s="1185"/>
      <c r="X342" s="1185"/>
      <c r="Y342" s="1185"/>
      <c r="Z342" s="1185"/>
      <c r="AA342" s="1185"/>
      <c r="AB342" s="1185"/>
      <c r="AC342" s="1185"/>
      <c r="AD342" s="1185"/>
      <c r="AE342" s="1185"/>
      <c r="AF342" s="1185"/>
      <c r="AG342" s="1185"/>
      <c r="AH342" s="1185"/>
      <c r="AI342" s="1185"/>
      <c r="AK342" s="1204"/>
    </row>
    <row r="343" spans="1:37">
      <c r="A343" s="1219"/>
      <c r="B343" s="1219"/>
      <c r="C343" s="1219"/>
      <c r="D343" s="1203"/>
      <c r="E343" s="1203"/>
      <c r="F343" s="1219"/>
      <c r="G343" s="1203"/>
      <c r="H343" s="1219"/>
      <c r="I343" s="1219"/>
      <c r="J343" s="1203"/>
      <c r="K343" s="1219"/>
      <c r="L343" s="1219"/>
      <c r="N343" s="1185"/>
      <c r="O343" s="1185"/>
      <c r="P343" s="1186"/>
      <c r="Q343" s="1186"/>
      <c r="R343" s="1186"/>
      <c r="S343" s="1185"/>
      <c r="T343" s="1185"/>
      <c r="U343" s="1185"/>
      <c r="V343" s="1185"/>
      <c r="W343" s="1185"/>
      <c r="X343" s="1185"/>
      <c r="Y343" s="1185"/>
      <c r="Z343" s="1185"/>
      <c r="AA343" s="1185"/>
      <c r="AB343" s="1185"/>
      <c r="AC343" s="1185"/>
      <c r="AD343" s="1185"/>
      <c r="AE343" s="1185"/>
      <c r="AF343" s="1185"/>
      <c r="AG343" s="1185"/>
      <c r="AH343" s="1185"/>
      <c r="AI343" s="1185"/>
      <c r="AK343" s="1204"/>
    </row>
    <row r="344" spans="1:37">
      <c r="A344" s="1219" t="s">
        <v>393</v>
      </c>
      <c r="B344" s="1219"/>
      <c r="C344" s="1026"/>
      <c r="D344" s="1203"/>
      <c r="E344" s="1203"/>
      <c r="F344" s="1219"/>
      <c r="G344" s="1203"/>
      <c r="H344" s="1219"/>
      <c r="I344" s="1219"/>
      <c r="J344" s="1203"/>
      <c r="K344" s="1219"/>
      <c r="L344" s="1219"/>
      <c r="N344" s="1185"/>
      <c r="O344" s="1185"/>
      <c r="P344" s="1186"/>
      <c r="Q344" s="1186"/>
      <c r="R344" s="1186"/>
      <c r="S344" s="1185"/>
      <c r="T344" s="1185"/>
      <c r="U344" s="1185"/>
      <c r="V344" s="1185"/>
      <c r="W344" s="1185"/>
      <c r="X344" s="1185"/>
      <c r="Y344" s="1185"/>
      <c r="Z344" s="1185"/>
      <c r="AA344" s="1185"/>
      <c r="AB344" s="1185"/>
      <c r="AC344" s="1185"/>
      <c r="AD344" s="1185"/>
      <c r="AE344" s="1185"/>
      <c r="AF344" s="1185"/>
      <c r="AG344" s="1185"/>
      <c r="AH344" s="1185"/>
      <c r="AI344" s="1185"/>
      <c r="AK344" s="1204"/>
    </row>
    <row r="345" spans="1:37">
      <c r="A345" s="1219" t="s">
        <v>416</v>
      </c>
      <c r="B345" s="1219"/>
      <c r="C345" s="1026">
        <f>C380+C415</f>
        <v>4518</v>
      </c>
      <c r="D345" s="1229">
        <v>7.64</v>
      </c>
      <c r="E345" s="1041"/>
      <c r="F345" s="1203">
        <f>F380+F415</f>
        <v>34517</v>
      </c>
      <c r="G345" s="1229">
        <v>8.7100000000000009</v>
      </c>
      <c r="H345" s="1009"/>
      <c r="I345" s="1203">
        <f>ROUND(G345*$C345,0)</f>
        <v>39352</v>
      </c>
      <c r="J345" s="1229">
        <f>$J$169</f>
        <v>9.74</v>
      </c>
      <c r="K345" s="1009"/>
      <c r="L345" s="1203">
        <f>L380+L415</f>
        <v>44005</v>
      </c>
      <c r="N345" s="1185"/>
      <c r="O345" s="1185"/>
      <c r="P345" s="1186"/>
      <c r="Q345" s="1186"/>
      <c r="R345" s="1186"/>
      <c r="S345" s="1185"/>
      <c r="T345" s="1185"/>
      <c r="U345" s="1185"/>
      <c r="V345" s="1185"/>
      <c r="W345" s="1185"/>
      <c r="X345" s="1185"/>
      <c r="Y345" s="1185"/>
      <c r="Z345" s="1185"/>
      <c r="AA345" s="1185"/>
      <c r="AB345" s="1185"/>
      <c r="AC345" s="1185"/>
      <c r="AD345" s="1185"/>
      <c r="AE345" s="1185"/>
      <c r="AF345" s="1185"/>
      <c r="AG345" s="1185"/>
      <c r="AH345" s="1185"/>
      <c r="AI345" s="1185"/>
      <c r="AK345" s="1204"/>
    </row>
    <row r="346" spans="1:37">
      <c r="A346" s="1219" t="s">
        <v>391</v>
      </c>
      <c r="B346" s="1219"/>
      <c r="C346" s="1026">
        <f>C381+C416</f>
        <v>0</v>
      </c>
      <c r="D346" s="1229">
        <v>11.36</v>
      </c>
      <c r="E346" s="1249"/>
      <c r="F346" s="1203">
        <f>F381+F416</f>
        <v>0</v>
      </c>
      <c r="G346" s="1229">
        <v>12.98</v>
      </c>
      <c r="H346" s="1250"/>
      <c r="I346" s="1203">
        <f t="shared" ref="I346:I347" si="54">ROUND(G346*$C346,0)</f>
        <v>0</v>
      </c>
      <c r="J346" s="1229">
        <f>$J$170</f>
        <v>14.51</v>
      </c>
      <c r="K346" s="1250"/>
      <c r="L346" s="1203">
        <f>L381+L416</f>
        <v>0</v>
      </c>
      <c r="N346" s="1185"/>
      <c r="O346" s="1185"/>
      <c r="P346" s="1186"/>
      <c r="Q346" s="1186"/>
      <c r="R346" s="1186"/>
      <c r="S346" s="1185"/>
      <c r="T346" s="1185"/>
      <c r="U346" s="1185"/>
      <c r="V346" s="1185"/>
      <c r="W346" s="1185"/>
      <c r="X346" s="1185"/>
      <c r="Y346" s="1185"/>
      <c r="Z346" s="1185"/>
      <c r="AA346" s="1185"/>
      <c r="AB346" s="1185"/>
      <c r="AC346" s="1185"/>
      <c r="AD346" s="1185"/>
      <c r="AE346" s="1185"/>
      <c r="AF346" s="1185"/>
      <c r="AG346" s="1185"/>
      <c r="AH346" s="1185"/>
      <c r="AI346" s="1185"/>
      <c r="AK346" s="1204"/>
    </row>
    <row r="347" spans="1:37">
      <c r="A347" s="1219" t="s">
        <v>392</v>
      </c>
      <c r="B347" s="1219"/>
      <c r="C347" s="1026">
        <f>C382+C417</f>
        <v>0</v>
      </c>
      <c r="D347" s="1229">
        <v>0.81</v>
      </c>
      <c r="E347" s="1249"/>
      <c r="F347" s="1203">
        <f>F382+F417</f>
        <v>0</v>
      </c>
      <c r="G347" s="1229">
        <v>0.92</v>
      </c>
      <c r="H347" s="1250"/>
      <c r="I347" s="1203">
        <f t="shared" si="54"/>
        <v>0</v>
      </c>
      <c r="J347" s="1229">
        <f>$J$171</f>
        <v>1.03</v>
      </c>
      <c r="K347" s="1250"/>
      <c r="L347" s="1203">
        <f>L382+L417</f>
        <v>0</v>
      </c>
      <c r="N347" s="1185"/>
      <c r="O347" s="1185"/>
      <c r="P347" s="1186"/>
      <c r="Q347" s="1186"/>
      <c r="R347" s="1186"/>
      <c r="S347" s="1185"/>
      <c r="T347" s="1185"/>
      <c r="U347" s="1185"/>
      <c r="V347" s="1185"/>
      <c r="W347" s="1185"/>
      <c r="X347" s="1185"/>
      <c r="Y347" s="1185"/>
      <c r="Z347" s="1185"/>
      <c r="AA347" s="1185"/>
      <c r="AB347" s="1185"/>
      <c r="AC347" s="1185"/>
      <c r="AD347" s="1185"/>
      <c r="AE347" s="1185"/>
      <c r="AF347" s="1185"/>
      <c r="AG347" s="1185"/>
      <c r="AH347" s="1185"/>
      <c r="AI347" s="1185"/>
      <c r="AK347" s="1204"/>
    </row>
    <row r="348" spans="1:37">
      <c r="A348" s="1219" t="s">
        <v>394</v>
      </c>
      <c r="B348" s="1219"/>
      <c r="C348" s="1026">
        <f>SUM(C345:C346)</f>
        <v>4518</v>
      </c>
      <c r="D348" s="1229"/>
      <c r="E348" s="1041"/>
      <c r="F348" s="1203"/>
      <c r="G348" s="1229"/>
      <c r="H348" s="1009"/>
      <c r="I348" s="1203"/>
      <c r="J348" s="1229"/>
      <c r="K348" s="1009"/>
      <c r="L348" s="1203"/>
      <c r="N348" s="1185"/>
      <c r="O348" s="1185"/>
      <c r="P348" s="1186"/>
      <c r="Q348" s="1186"/>
      <c r="R348" s="1186"/>
      <c r="S348" s="1185"/>
      <c r="T348" s="1185"/>
      <c r="U348" s="1185"/>
      <c r="V348" s="1185"/>
      <c r="W348" s="1185"/>
      <c r="X348" s="1185"/>
      <c r="Y348" s="1185"/>
      <c r="Z348" s="1185"/>
      <c r="AA348" s="1185"/>
      <c r="AB348" s="1185"/>
      <c r="AC348" s="1185"/>
      <c r="AD348" s="1185"/>
      <c r="AE348" s="1185"/>
      <c r="AF348" s="1185"/>
      <c r="AG348" s="1185"/>
      <c r="AH348" s="1185"/>
      <c r="AI348" s="1185"/>
      <c r="AK348" s="1204"/>
    </row>
    <row r="349" spans="1:37">
      <c r="A349" s="1219" t="s">
        <v>362</v>
      </c>
      <c r="B349" s="1219"/>
      <c r="C349" s="1026">
        <f t="shared" ref="C349:C357" si="55">C384+C419</f>
        <v>1459</v>
      </c>
      <c r="D349" s="1229"/>
      <c r="E349" s="1041"/>
      <c r="F349" s="1203"/>
      <c r="G349" s="1229"/>
      <c r="H349" s="1009"/>
      <c r="I349" s="1203"/>
      <c r="J349" s="1229"/>
      <c r="K349" s="1009"/>
      <c r="L349" s="1203"/>
      <c r="N349" s="1185"/>
      <c r="O349" s="1185"/>
      <c r="P349" s="1186"/>
      <c r="Q349" s="1186"/>
      <c r="R349" s="1186"/>
      <c r="S349" s="1185"/>
      <c r="T349" s="1185"/>
      <c r="U349" s="1185"/>
      <c r="V349" s="1185"/>
      <c r="W349" s="1185"/>
      <c r="X349" s="1185"/>
      <c r="Y349" s="1185"/>
      <c r="Z349" s="1185"/>
      <c r="AA349" s="1185"/>
      <c r="AB349" s="1185"/>
      <c r="AC349" s="1185"/>
      <c r="AD349" s="1185"/>
      <c r="AE349" s="1185"/>
      <c r="AF349" s="1185"/>
      <c r="AG349" s="1185"/>
      <c r="AH349" s="1185"/>
      <c r="AI349" s="1185"/>
      <c r="AK349" s="1204"/>
    </row>
    <row r="350" spans="1:37">
      <c r="A350" s="1219" t="s">
        <v>395</v>
      </c>
      <c r="B350" s="1219"/>
      <c r="C350" s="1026">
        <f t="shared" si="55"/>
        <v>0</v>
      </c>
      <c r="D350" s="1261">
        <v>2.98</v>
      </c>
      <c r="E350" s="1009"/>
      <c r="F350" s="1203">
        <f>F385+F420</f>
        <v>0</v>
      </c>
      <c r="G350" s="1261">
        <v>3.4</v>
      </c>
      <c r="H350" s="1009"/>
      <c r="I350" s="1203">
        <f>ROUND(G350*C350,0)</f>
        <v>0</v>
      </c>
      <c r="J350" s="1261">
        <f>$J$174</f>
        <v>3.8</v>
      </c>
      <c r="K350" s="1009"/>
      <c r="L350" s="1203">
        <f>L385+L420</f>
        <v>0</v>
      </c>
      <c r="N350" s="1185"/>
      <c r="O350" s="1185"/>
      <c r="P350" s="1186"/>
      <c r="Q350" s="1186"/>
      <c r="R350" s="1186"/>
      <c r="S350" s="1185"/>
      <c r="T350" s="1185"/>
      <c r="U350" s="1185"/>
      <c r="V350" s="1185"/>
      <c r="W350" s="1185"/>
      <c r="X350" s="1185"/>
      <c r="Y350" s="1185"/>
      <c r="Z350" s="1185"/>
      <c r="AA350" s="1185"/>
      <c r="AB350" s="1185"/>
      <c r="AC350" s="1185"/>
      <c r="AD350" s="1185"/>
      <c r="AE350" s="1185"/>
      <c r="AF350" s="1185"/>
      <c r="AG350" s="1185"/>
      <c r="AH350" s="1185"/>
      <c r="AI350" s="1185"/>
      <c r="AK350" s="1204"/>
    </row>
    <row r="351" spans="1:37">
      <c r="A351" s="1219" t="s">
        <v>397</v>
      </c>
      <c r="B351" s="1219"/>
      <c r="C351" s="1026">
        <f t="shared" si="55"/>
        <v>1237847</v>
      </c>
      <c r="D351" s="1230">
        <v>8.5489999999999995</v>
      </c>
      <c r="E351" s="1009" t="s">
        <v>374</v>
      </c>
      <c r="F351" s="1203">
        <f>F386+F421</f>
        <v>105824</v>
      </c>
      <c r="G351" s="1230">
        <v>9.766</v>
      </c>
      <c r="H351" s="1009" t="s">
        <v>374</v>
      </c>
      <c r="I351" s="1203">
        <f>ROUND(G351*C351/100,0)</f>
        <v>120888</v>
      </c>
      <c r="J351" s="1230">
        <f>$J$175</f>
        <v>6.4269999999999996</v>
      </c>
      <c r="K351" s="1009" t="s">
        <v>374</v>
      </c>
      <c r="L351" s="1203">
        <f>L386+L421</f>
        <v>79556</v>
      </c>
      <c r="N351" s="1185"/>
      <c r="O351" s="1185"/>
      <c r="P351" s="1186"/>
      <c r="Q351" s="1186"/>
      <c r="R351" s="1186"/>
      <c r="S351" s="1185"/>
      <c r="T351" s="1185"/>
      <c r="U351" s="1185"/>
      <c r="V351" s="1185"/>
      <c r="W351" s="1185"/>
      <c r="X351" s="1185"/>
      <c r="Y351" s="1185"/>
      <c r="Z351" s="1185"/>
      <c r="AA351" s="1185"/>
      <c r="AB351" s="1185"/>
      <c r="AC351" s="1185"/>
      <c r="AD351" s="1185"/>
      <c r="AE351" s="1185"/>
      <c r="AF351" s="1185"/>
      <c r="AG351" s="1185"/>
      <c r="AH351" s="1185"/>
      <c r="AI351" s="1185"/>
      <c r="AK351" s="1204"/>
    </row>
    <row r="352" spans="1:37">
      <c r="A352" s="1219" t="s">
        <v>398</v>
      </c>
      <c r="B352" s="1219"/>
      <c r="C352" s="1026">
        <f t="shared" si="55"/>
        <v>64813</v>
      </c>
      <c r="D352" s="1230">
        <v>5.9020000000000001</v>
      </c>
      <c r="E352" s="1009" t="s">
        <v>374</v>
      </c>
      <c r="F352" s="1203">
        <f>F387+F422</f>
        <v>3825</v>
      </c>
      <c r="G352" s="1230">
        <v>6.7460000000000004</v>
      </c>
      <c r="H352" s="1009" t="s">
        <v>374</v>
      </c>
      <c r="I352" s="1203">
        <f t="shared" ref="I352:I354" si="56">ROUND(G352*C352/100,0)</f>
        <v>4372</v>
      </c>
      <c r="J352" s="1230">
        <f>$J$176</f>
        <v>4.4400000000000004</v>
      </c>
      <c r="K352" s="1009" t="s">
        <v>374</v>
      </c>
      <c r="L352" s="1203">
        <f>L387+L422</f>
        <v>2878</v>
      </c>
      <c r="N352" s="1185"/>
      <c r="O352" s="1185"/>
      <c r="P352" s="1186"/>
      <c r="Q352" s="1186"/>
      <c r="R352" s="1186"/>
      <c r="S352" s="1185"/>
      <c r="T352" s="1185"/>
      <c r="U352" s="1185"/>
      <c r="V352" s="1185"/>
      <c r="W352" s="1185"/>
      <c r="X352" s="1185"/>
      <c r="Y352" s="1185"/>
      <c r="Z352" s="1185"/>
      <c r="AA352" s="1185"/>
      <c r="AB352" s="1185"/>
      <c r="AC352" s="1185"/>
      <c r="AD352" s="1185"/>
      <c r="AE352" s="1185"/>
      <c r="AF352" s="1185"/>
      <c r="AG352" s="1185"/>
      <c r="AH352" s="1185"/>
      <c r="AI352" s="1185"/>
      <c r="AK352" s="1204"/>
    </row>
    <row r="353" spans="1:37">
      <c r="A353" s="1219" t="s">
        <v>399</v>
      </c>
      <c r="B353" s="1219"/>
      <c r="C353" s="1026">
        <f t="shared" si="55"/>
        <v>0</v>
      </c>
      <c r="D353" s="1230">
        <v>5.0839999999999996</v>
      </c>
      <c r="E353" s="1009" t="s">
        <v>374</v>
      </c>
      <c r="F353" s="1203">
        <f>F388+F423</f>
        <v>0</v>
      </c>
      <c r="G353" s="1230">
        <v>5.8120000000000003</v>
      </c>
      <c r="H353" s="1009" t="s">
        <v>374</v>
      </c>
      <c r="I353" s="1203">
        <f t="shared" si="56"/>
        <v>0</v>
      </c>
      <c r="J353" s="1230">
        <f>$J$177</f>
        <v>3.8250000000000002</v>
      </c>
      <c r="K353" s="1009" t="s">
        <v>374</v>
      </c>
      <c r="L353" s="1203">
        <f>L388+L423</f>
        <v>0</v>
      </c>
      <c r="N353" s="1185"/>
      <c r="O353" s="1185"/>
      <c r="P353" s="1186"/>
      <c r="Q353" s="1186"/>
      <c r="R353" s="1186"/>
      <c r="S353" s="1185"/>
      <c r="T353" s="1185"/>
      <c r="U353" s="1185"/>
      <c r="V353" s="1185"/>
      <c r="W353" s="1185"/>
      <c r="X353" s="1185"/>
      <c r="Y353" s="1185"/>
      <c r="Z353" s="1185"/>
      <c r="AA353" s="1185"/>
      <c r="AB353" s="1185"/>
      <c r="AC353" s="1185"/>
      <c r="AD353" s="1185"/>
      <c r="AE353" s="1185"/>
      <c r="AF353" s="1185"/>
      <c r="AG353" s="1185"/>
      <c r="AH353" s="1185"/>
      <c r="AI353" s="1185"/>
      <c r="AK353" s="1204"/>
    </row>
    <row r="354" spans="1:37">
      <c r="A354" s="1219" t="s">
        <v>400</v>
      </c>
      <c r="B354" s="1219"/>
      <c r="C354" s="1026">
        <f t="shared" si="55"/>
        <v>0</v>
      </c>
      <c r="D354" s="1255">
        <v>50</v>
      </c>
      <c r="E354" s="1041" t="s">
        <v>374</v>
      </c>
      <c r="F354" s="1203">
        <f>F389+F424</f>
        <v>0</v>
      </c>
      <c r="G354" s="1255">
        <v>56</v>
      </c>
      <c r="H354" s="1009" t="s">
        <v>374</v>
      </c>
      <c r="I354" s="1203">
        <f t="shared" si="56"/>
        <v>0</v>
      </c>
      <c r="J354" s="1255">
        <f>$J$178</f>
        <v>63</v>
      </c>
      <c r="K354" s="1009" t="s">
        <v>374</v>
      </c>
      <c r="L354" s="1203">
        <f>L389+L424</f>
        <v>0</v>
      </c>
      <c r="N354" s="1185"/>
      <c r="O354" s="1185"/>
      <c r="P354" s="1186"/>
      <c r="Q354" s="1186"/>
      <c r="R354" s="1186"/>
      <c r="S354" s="1185"/>
      <c r="T354" s="1185"/>
      <c r="U354" s="1185"/>
      <c r="V354" s="1185"/>
      <c r="W354" s="1185"/>
      <c r="X354" s="1185"/>
      <c r="Y354" s="1185"/>
      <c r="Z354" s="1185"/>
      <c r="AA354" s="1185"/>
      <c r="AB354" s="1185"/>
      <c r="AC354" s="1185"/>
      <c r="AD354" s="1185"/>
      <c r="AE354" s="1185"/>
      <c r="AF354" s="1185"/>
      <c r="AG354" s="1185"/>
      <c r="AH354" s="1185"/>
      <c r="AI354" s="1185"/>
      <c r="AK354" s="1204"/>
    </row>
    <row r="355" spans="1:37">
      <c r="A355" s="1005" t="s">
        <v>918</v>
      </c>
      <c r="C355" s="1026">
        <f t="shared" si="55"/>
        <v>1237847</v>
      </c>
      <c r="D355" s="269"/>
      <c r="E355" s="1185"/>
      <c r="F355" s="1203"/>
      <c r="G355" s="269"/>
      <c r="H355" s="1185"/>
      <c r="I355" s="1203"/>
      <c r="J355" s="1230">
        <f>J179</f>
        <v>4.4989999999999997</v>
      </c>
      <c r="K355" s="1009" t="s">
        <v>374</v>
      </c>
      <c r="L355" s="1203">
        <f t="shared" ref="L355:L357" si="57">L390+L425</f>
        <v>55691</v>
      </c>
      <c r="N355" s="1204"/>
      <c r="P355" s="815"/>
      <c r="Q355" s="1184"/>
      <c r="R355" s="1184"/>
      <c r="S355" s="1205"/>
      <c r="T355" s="1205"/>
      <c r="Y355" s="1185"/>
      <c r="Z355" s="1185"/>
      <c r="AA355" s="1185"/>
      <c r="AB355" s="1185"/>
      <c r="AC355" s="1185"/>
      <c r="AD355" s="1185"/>
      <c r="AE355" s="1185"/>
      <c r="AF355" s="1185"/>
      <c r="AG355" s="1185"/>
      <c r="AH355" s="1185"/>
      <c r="AI355" s="1185"/>
      <c r="AK355" s="1204"/>
    </row>
    <row r="356" spans="1:37">
      <c r="A356" s="1005" t="s">
        <v>919</v>
      </c>
      <c r="C356" s="1026">
        <f t="shared" si="55"/>
        <v>64813</v>
      </c>
      <c r="D356" s="269"/>
      <c r="E356" s="1185"/>
      <c r="F356" s="1203"/>
      <c r="G356" s="269"/>
      <c r="H356" s="1185"/>
      <c r="I356" s="1203"/>
      <c r="J356" s="1230">
        <f>J180</f>
        <v>3.1080000000000001</v>
      </c>
      <c r="K356" s="1009" t="s">
        <v>374</v>
      </c>
      <c r="L356" s="1203">
        <f t="shared" si="57"/>
        <v>2014</v>
      </c>
      <c r="N356" s="1204"/>
      <c r="P356" s="815"/>
      <c r="Q356" s="1184"/>
      <c r="R356" s="1184"/>
      <c r="S356" s="1205"/>
      <c r="T356" s="1205"/>
      <c r="Y356" s="1185"/>
      <c r="Z356" s="1185"/>
      <c r="AA356" s="1185"/>
      <c r="AB356" s="1185"/>
      <c r="AC356" s="1185"/>
      <c r="AD356" s="1185"/>
      <c r="AE356" s="1185"/>
      <c r="AF356" s="1185"/>
      <c r="AG356" s="1185"/>
      <c r="AH356" s="1185"/>
      <c r="AI356" s="1185"/>
      <c r="AK356" s="1204"/>
    </row>
    <row r="357" spans="1:37">
      <c r="A357" s="1005" t="s">
        <v>920</v>
      </c>
      <c r="C357" s="1026">
        <f t="shared" si="55"/>
        <v>0</v>
      </c>
      <c r="D357" s="269"/>
      <c r="E357" s="1185"/>
      <c r="F357" s="1203"/>
      <c r="G357" s="269"/>
      <c r="H357" s="1185"/>
      <c r="I357" s="1203"/>
      <c r="J357" s="1230">
        <f>J181</f>
        <v>2.6779999999999999</v>
      </c>
      <c r="K357" s="1009" t="s">
        <v>374</v>
      </c>
      <c r="L357" s="1203">
        <f t="shared" si="57"/>
        <v>0</v>
      </c>
      <c r="N357" s="1204"/>
      <c r="P357" s="815"/>
      <c r="Q357" s="1184"/>
      <c r="R357" s="1184"/>
      <c r="S357" s="1205"/>
      <c r="T357" s="1205"/>
      <c r="Y357" s="1185"/>
      <c r="Z357" s="1185"/>
      <c r="AA357" s="1185"/>
      <c r="AB357" s="1185"/>
      <c r="AC357" s="1185"/>
      <c r="AD357" s="1185"/>
      <c r="AE357" s="1185"/>
      <c r="AF357" s="1185"/>
      <c r="AG357" s="1185"/>
      <c r="AH357" s="1185"/>
      <c r="AI357" s="1185"/>
      <c r="AK357" s="1204"/>
    </row>
    <row r="358" spans="1:37">
      <c r="A358" s="1256" t="s">
        <v>401</v>
      </c>
      <c r="B358" s="1219"/>
      <c r="C358" s="1026"/>
      <c r="D358" s="1257">
        <v>-0.01</v>
      </c>
      <c r="E358" s="1041"/>
      <c r="F358" s="1203"/>
      <c r="G358" s="1257">
        <v>-0.01</v>
      </c>
      <c r="H358" s="1009"/>
      <c r="I358" s="1203"/>
      <c r="J358" s="1257">
        <v>-0.01</v>
      </c>
      <c r="K358" s="1009"/>
      <c r="L358" s="1203"/>
      <c r="N358" s="1185"/>
      <c r="O358" s="1185"/>
      <c r="P358" s="1186"/>
      <c r="Q358" s="1186"/>
      <c r="R358" s="1186"/>
      <c r="S358" s="1185"/>
      <c r="T358" s="1185"/>
      <c r="U358" s="1185"/>
      <c r="V358" s="1185"/>
      <c r="W358" s="1185"/>
      <c r="X358" s="1185"/>
      <c r="Y358" s="1185"/>
      <c r="Z358" s="1185"/>
      <c r="AA358" s="1185"/>
      <c r="AB358" s="1185"/>
      <c r="AC358" s="1185"/>
      <c r="AD358" s="1185"/>
      <c r="AE358" s="1185"/>
      <c r="AF358" s="1185"/>
      <c r="AG358" s="1185"/>
      <c r="AH358" s="1185"/>
      <c r="AI358" s="1185"/>
      <c r="AK358" s="1204"/>
    </row>
    <row r="359" spans="1:37">
      <c r="A359" s="1219" t="s">
        <v>390</v>
      </c>
      <c r="B359" s="1219"/>
      <c r="C359" s="1026">
        <v>0</v>
      </c>
      <c r="D359" s="1259">
        <v>7.64</v>
      </c>
      <c r="E359" s="1041"/>
      <c r="F359" s="1203">
        <f t="shared" ref="F359:F368" si="58">F394+F429</f>
        <v>0</v>
      </c>
      <c r="G359" s="1259">
        <v>8.7100000000000009</v>
      </c>
      <c r="H359" s="1041"/>
      <c r="I359" s="1203">
        <f>-ROUND(G359*$C359/100,0)</f>
        <v>0</v>
      </c>
      <c r="J359" s="1259">
        <f>J345</f>
        <v>9.74</v>
      </c>
      <c r="K359" s="1041"/>
      <c r="L359" s="1203">
        <f t="shared" ref="L359:L372" si="59">L394+L429</f>
        <v>0</v>
      </c>
      <c r="N359" s="1185"/>
      <c r="O359" s="1185"/>
      <c r="P359" s="1186"/>
      <c r="Q359" s="1186"/>
      <c r="R359" s="1186"/>
      <c r="S359" s="1185"/>
      <c r="T359" s="1185"/>
      <c r="U359" s="1185"/>
      <c r="V359" s="1185"/>
      <c r="W359" s="1185"/>
      <c r="X359" s="1185"/>
      <c r="Y359" s="1185"/>
      <c r="Z359" s="1185"/>
      <c r="AA359" s="1185"/>
      <c r="AB359" s="1185"/>
      <c r="AC359" s="1185"/>
      <c r="AD359" s="1185"/>
      <c r="AE359" s="1185"/>
      <c r="AF359" s="1185"/>
      <c r="AG359" s="1185"/>
      <c r="AH359" s="1185"/>
      <c r="AI359" s="1185"/>
      <c r="AK359" s="1204"/>
    </row>
    <row r="360" spans="1:37">
      <c r="A360" s="1219" t="s">
        <v>391</v>
      </c>
      <c r="B360" s="1219"/>
      <c r="C360" s="1026">
        <v>0</v>
      </c>
      <c r="D360" s="1259">
        <v>11.36</v>
      </c>
      <c r="E360" s="1041"/>
      <c r="F360" s="1203">
        <f t="shared" si="58"/>
        <v>0</v>
      </c>
      <c r="G360" s="1259">
        <v>12.98</v>
      </c>
      <c r="H360" s="1041"/>
      <c r="I360" s="1203">
        <f t="shared" ref="I360:I362" si="60">-ROUND(G360*$C360/100,0)</f>
        <v>0</v>
      </c>
      <c r="J360" s="1259">
        <f>J346</f>
        <v>14.51</v>
      </c>
      <c r="K360" s="1041"/>
      <c r="L360" s="1203">
        <f t="shared" si="59"/>
        <v>0</v>
      </c>
      <c r="N360" s="1185"/>
      <c r="O360" s="1185"/>
      <c r="P360" s="1186"/>
      <c r="Q360" s="1186"/>
      <c r="R360" s="1186"/>
      <c r="S360" s="1185"/>
      <c r="T360" s="1185"/>
      <c r="U360" s="1185"/>
      <c r="V360" s="1185"/>
      <c r="W360" s="1185"/>
      <c r="X360" s="1185"/>
      <c r="Y360" s="1185"/>
      <c r="Z360" s="1185"/>
      <c r="AA360" s="1185"/>
      <c r="AB360" s="1185"/>
      <c r="AC360" s="1185"/>
      <c r="AD360" s="1185"/>
      <c r="AE360" s="1185"/>
      <c r="AF360" s="1185"/>
      <c r="AG360" s="1185"/>
      <c r="AH360" s="1185"/>
      <c r="AI360" s="1185"/>
      <c r="AK360" s="1204"/>
    </row>
    <row r="361" spans="1:37">
      <c r="A361" s="1219" t="s">
        <v>402</v>
      </c>
      <c r="B361" s="1219"/>
      <c r="C361" s="1026">
        <v>0</v>
      </c>
      <c r="D361" s="1259">
        <v>0.81</v>
      </c>
      <c r="E361" s="1041"/>
      <c r="F361" s="1203">
        <f t="shared" si="58"/>
        <v>0</v>
      </c>
      <c r="G361" s="1259">
        <v>0.92</v>
      </c>
      <c r="H361" s="1041"/>
      <c r="I361" s="1203">
        <f t="shared" si="60"/>
        <v>0</v>
      </c>
      <c r="J361" s="1259">
        <f>J347</f>
        <v>1.03</v>
      </c>
      <c r="K361" s="1041"/>
      <c r="L361" s="1203">
        <f t="shared" si="59"/>
        <v>0</v>
      </c>
      <c r="N361" s="1185"/>
      <c r="O361" s="1185"/>
      <c r="P361" s="1186"/>
      <c r="Q361" s="1186"/>
      <c r="R361" s="1186"/>
      <c r="S361" s="1185"/>
      <c r="T361" s="1185"/>
      <c r="U361" s="1185"/>
      <c r="V361" s="1185"/>
      <c r="W361" s="1185"/>
      <c r="X361" s="1185"/>
      <c r="Y361" s="1185"/>
      <c r="Z361" s="1185"/>
      <c r="AA361" s="1185"/>
      <c r="AB361" s="1185"/>
      <c r="AC361" s="1185"/>
      <c r="AD361" s="1185"/>
      <c r="AE361" s="1185"/>
      <c r="AF361" s="1185"/>
      <c r="AG361" s="1185"/>
      <c r="AH361" s="1185"/>
      <c r="AI361" s="1185"/>
      <c r="AK361" s="1204"/>
    </row>
    <row r="362" spans="1:37">
      <c r="A362" s="1219" t="s">
        <v>403</v>
      </c>
      <c r="B362" s="1219"/>
      <c r="C362" s="1026">
        <v>0</v>
      </c>
      <c r="D362" s="1259">
        <v>2.98</v>
      </c>
      <c r="E362" s="1009"/>
      <c r="F362" s="1203">
        <f t="shared" si="58"/>
        <v>0</v>
      </c>
      <c r="G362" s="1259">
        <v>3.4</v>
      </c>
      <c r="H362" s="1009"/>
      <c r="I362" s="1203">
        <f t="shared" si="60"/>
        <v>0</v>
      </c>
      <c r="J362" s="1259">
        <f>J350</f>
        <v>3.8</v>
      </c>
      <c r="K362" s="1009"/>
      <c r="L362" s="1203">
        <f t="shared" si="59"/>
        <v>0</v>
      </c>
      <c r="N362" s="1185"/>
      <c r="O362" s="1185"/>
      <c r="P362" s="1186"/>
      <c r="Q362" s="1186"/>
      <c r="R362" s="1186"/>
      <c r="S362" s="1185"/>
      <c r="T362" s="1185"/>
      <c r="U362" s="1185"/>
      <c r="V362" s="1185"/>
      <c r="W362" s="1185"/>
      <c r="X362" s="1185"/>
      <c r="Y362" s="1185"/>
      <c r="Z362" s="1185"/>
      <c r="AA362" s="1185"/>
      <c r="AB362" s="1185"/>
      <c r="AC362" s="1185"/>
      <c r="AD362" s="1185"/>
      <c r="AE362" s="1185"/>
      <c r="AF362" s="1185"/>
      <c r="AG362" s="1185"/>
      <c r="AH362" s="1185"/>
      <c r="AI362" s="1185"/>
      <c r="AK362" s="1204"/>
    </row>
    <row r="363" spans="1:37">
      <c r="A363" s="1219" t="s">
        <v>405</v>
      </c>
      <c r="B363" s="1219"/>
      <c r="C363" s="1026">
        <v>0</v>
      </c>
      <c r="D363" s="1070">
        <v>8.5489999999999995</v>
      </c>
      <c r="E363" s="1009" t="s">
        <v>374</v>
      </c>
      <c r="F363" s="1203">
        <f t="shared" si="58"/>
        <v>0</v>
      </c>
      <c r="G363" s="1070">
        <v>9.766</v>
      </c>
      <c r="H363" s="1009" t="s">
        <v>374</v>
      </c>
      <c r="I363" s="1203">
        <f>ROUND(G363*$C363/100*G358,0)</f>
        <v>0</v>
      </c>
      <c r="J363" s="1070">
        <f>J351</f>
        <v>6.4269999999999996</v>
      </c>
      <c r="K363" s="1009" t="s">
        <v>374</v>
      </c>
      <c r="L363" s="1203">
        <f t="shared" si="59"/>
        <v>0</v>
      </c>
      <c r="N363" s="1185"/>
      <c r="O363" s="1185"/>
      <c r="P363" s="1186"/>
      <c r="Q363" s="1186"/>
      <c r="R363" s="1186"/>
      <c r="S363" s="1185"/>
      <c r="T363" s="1185"/>
      <c r="U363" s="1185"/>
      <c r="V363" s="1185"/>
      <c r="W363" s="1185"/>
      <c r="X363" s="1185"/>
      <c r="Y363" s="1185"/>
      <c r="Z363" s="1185"/>
      <c r="AA363" s="1185"/>
      <c r="AB363" s="1185"/>
      <c r="AC363" s="1185"/>
      <c r="AD363" s="1185"/>
      <c r="AE363" s="1185"/>
      <c r="AF363" s="1185"/>
      <c r="AG363" s="1185"/>
      <c r="AH363" s="1185"/>
      <c r="AI363" s="1185"/>
      <c r="AK363" s="1204"/>
    </row>
    <row r="364" spans="1:37">
      <c r="A364" s="1219" t="s">
        <v>398</v>
      </c>
      <c r="B364" s="1219"/>
      <c r="C364" s="1026">
        <v>0</v>
      </c>
      <c r="D364" s="1070">
        <v>5.9020000000000001</v>
      </c>
      <c r="E364" s="1009" t="s">
        <v>374</v>
      </c>
      <c r="F364" s="1203">
        <f t="shared" si="58"/>
        <v>0</v>
      </c>
      <c r="G364" s="1070">
        <v>6.7460000000000004</v>
      </c>
      <c r="H364" s="1009" t="s">
        <v>374</v>
      </c>
      <c r="I364" s="1203">
        <f>ROUND(G364*$C364/100*G358,0)</f>
        <v>0</v>
      </c>
      <c r="J364" s="1070">
        <f>J352</f>
        <v>4.4400000000000004</v>
      </c>
      <c r="K364" s="1009" t="s">
        <v>374</v>
      </c>
      <c r="L364" s="1203">
        <f t="shared" si="59"/>
        <v>0</v>
      </c>
      <c r="N364" s="1185"/>
      <c r="O364" s="1185"/>
      <c r="P364" s="1186"/>
      <c r="Q364" s="1186"/>
      <c r="R364" s="1186"/>
      <c r="S364" s="1185"/>
      <c r="T364" s="1185"/>
      <c r="U364" s="1185"/>
      <c r="V364" s="1185"/>
      <c r="W364" s="1185"/>
      <c r="X364" s="1185"/>
      <c r="Y364" s="1185"/>
      <c r="Z364" s="1185"/>
      <c r="AA364" s="1185"/>
      <c r="AB364" s="1185"/>
      <c r="AC364" s="1185"/>
      <c r="AD364" s="1185"/>
      <c r="AE364" s="1185"/>
      <c r="AF364" s="1185"/>
      <c r="AG364" s="1185"/>
      <c r="AH364" s="1185"/>
      <c r="AI364" s="1185"/>
      <c r="AK364" s="1204"/>
    </row>
    <row r="365" spans="1:37">
      <c r="A365" s="1219" t="s">
        <v>399</v>
      </c>
      <c r="B365" s="1219"/>
      <c r="C365" s="1026">
        <v>0</v>
      </c>
      <c r="D365" s="1070">
        <v>5.0839999999999996</v>
      </c>
      <c r="E365" s="1009" t="s">
        <v>374</v>
      </c>
      <c r="F365" s="1203">
        <f t="shared" si="58"/>
        <v>0</v>
      </c>
      <c r="G365" s="1070">
        <v>5.8120000000000003</v>
      </c>
      <c r="H365" s="1009" t="s">
        <v>374</v>
      </c>
      <c r="I365" s="1203">
        <f>ROUND(G365*$C365/100*G358,0)</f>
        <v>0</v>
      </c>
      <c r="J365" s="1070">
        <f>J353</f>
        <v>3.8250000000000002</v>
      </c>
      <c r="K365" s="1009" t="s">
        <v>374</v>
      </c>
      <c r="L365" s="1203">
        <f t="shared" si="59"/>
        <v>0</v>
      </c>
      <c r="N365" s="1185"/>
      <c r="O365" s="1185"/>
      <c r="P365" s="1186"/>
      <c r="Q365" s="1186"/>
      <c r="R365" s="1186"/>
      <c r="S365" s="1185"/>
      <c r="T365" s="1185"/>
      <c r="U365" s="1185"/>
      <c r="V365" s="1185"/>
      <c r="W365" s="1185"/>
      <c r="X365" s="1185"/>
      <c r="Y365" s="1185"/>
      <c r="Z365" s="1185"/>
      <c r="AA365" s="1185"/>
      <c r="AB365" s="1185"/>
      <c r="AC365" s="1185"/>
      <c r="AD365" s="1185"/>
      <c r="AE365" s="1185"/>
      <c r="AF365" s="1185"/>
      <c r="AG365" s="1185"/>
      <c r="AH365" s="1185"/>
      <c r="AI365" s="1185"/>
      <c r="AK365" s="1204"/>
    </row>
    <row r="366" spans="1:37">
      <c r="A366" s="1219" t="s">
        <v>400</v>
      </c>
      <c r="B366" s="1219"/>
      <c r="C366" s="1026">
        <v>0</v>
      </c>
      <c r="D366" s="1260">
        <v>50</v>
      </c>
      <c r="E366" s="1009" t="s">
        <v>374</v>
      </c>
      <c r="F366" s="1203">
        <f t="shared" si="58"/>
        <v>0</v>
      </c>
      <c r="G366" s="1260">
        <v>56</v>
      </c>
      <c r="H366" s="1009" t="s">
        <v>374</v>
      </c>
      <c r="I366" s="1203">
        <f>ROUND(G366*$C366/100*G358,0)</f>
        <v>0</v>
      </c>
      <c r="J366" s="1260">
        <f>J354</f>
        <v>63</v>
      </c>
      <c r="K366" s="1009" t="s">
        <v>374</v>
      </c>
      <c r="L366" s="1203">
        <f t="shared" si="59"/>
        <v>0</v>
      </c>
      <c r="N366" s="1185"/>
      <c r="O366" s="1185"/>
      <c r="P366" s="1186"/>
      <c r="Q366" s="1186"/>
      <c r="R366" s="1186"/>
      <c r="S366" s="1185"/>
      <c r="T366" s="1185"/>
      <c r="U366" s="1185"/>
      <c r="V366" s="1185"/>
      <c r="W366" s="1185"/>
      <c r="X366" s="1185"/>
      <c r="Y366" s="1185"/>
      <c r="Z366" s="1185"/>
      <c r="AA366" s="1185"/>
      <c r="AB366" s="1185"/>
      <c r="AC366" s="1185"/>
      <c r="AD366" s="1185"/>
      <c r="AE366" s="1185"/>
      <c r="AF366" s="1185"/>
      <c r="AG366" s="1185"/>
      <c r="AH366" s="1185"/>
      <c r="AI366" s="1185"/>
      <c r="AK366" s="1204"/>
    </row>
    <row r="367" spans="1:37">
      <c r="A367" s="1219" t="s">
        <v>407</v>
      </c>
      <c r="B367" s="1219"/>
      <c r="C367" s="1026">
        <v>0</v>
      </c>
      <c r="D367" s="1261">
        <v>60</v>
      </c>
      <c r="E367" s="1041"/>
      <c r="F367" s="1203">
        <f t="shared" si="58"/>
        <v>0</v>
      </c>
      <c r="G367" s="1261">
        <v>60</v>
      </c>
      <c r="H367" s="1009"/>
      <c r="I367" s="1203">
        <f>ROUND(G367*C367,0)</f>
        <v>0</v>
      </c>
      <c r="J367" s="1261">
        <f>$J$194</f>
        <v>60</v>
      </c>
      <c r="K367" s="1009"/>
      <c r="L367" s="1203">
        <f t="shared" si="59"/>
        <v>0</v>
      </c>
      <c r="N367" s="1185"/>
      <c r="O367" s="1185"/>
      <c r="P367" s="1186"/>
      <c r="Q367" s="1186"/>
      <c r="R367" s="1186"/>
      <c r="S367" s="1185"/>
      <c r="T367" s="1185"/>
      <c r="U367" s="1185"/>
      <c r="V367" s="1185"/>
      <c r="W367" s="1185"/>
      <c r="X367" s="1185"/>
      <c r="Y367" s="1185"/>
      <c r="Z367" s="1185"/>
      <c r="AA367" s="1185"/>
      <c r="AB367" s="1185"/>
      <c r="AC367" s="1185"/>
      <c r="AD367" s="1185"/>
      <c r="AE367" s="1185"/>
      <c r="AF367" s="1185"/>
      <c r="AG367" s="1185"/>
      <c r="AH367" s="1185"/>
      <c r="AI367" s="1185"/>
      <c r="AK367" s="1204"/>
    </row>
    <row r="368" spans="1:37">
      <c r="A368" s="1219" t="s">
        <v>408</v>
      </c>
      <c r="B368" s="1219"/>
      <c r="C368" s="1026">
        <v>0</v>
      </c>
      <c r="D368" s="1262">
        <v>-30</v>
      </c>
      <c r="E368" s="1041" t="s">
        <v>374</v>
      </c>
      <c r="F368" s="1203">
        <f t="shared" si="58"/>
        <v>0</v>
      </c>
      <c r="G368" s="1262">
        <v>-30</v>
      </c>
      <c r="H368" s="1009" t="s">
        <v>374</v>
      </c>
      <c r="I368" s="1203">
        <f>ROUND(G368*C368/100,0)</f>
        <v>0</v>
      </c>
      <c r="J368" s="1262">
        <f>$J$195</f>
        <v>-30</v>
      </c>
      <c r="K368" s="1009" t="s">
        <v>374</v>
      </c>
      <c r="L368" s="1203">
        <f t="shared" si="59"/>
        <v>0</v>
      </c>
      <c r="N368" s="1185"/>
      <c r="O368" s="1185"/>
      <c r="P368" s="1186"/>
      <c r="Q368" s="1186"/>
      <c r="R368" s="1186"/>
      <c r="S368" s="1185"/>
      <c r="T368" s="1185"/>
      <c r="U368" s="1185"/>
      <c r="V368" s="1185"/>
      <c r="W368" s="1185"/>
      <c r="X368" s="1185"/>
      <c r="Y368" s="1185"/>
      <c r="Z368" s="1185"/>
      <c r="AA368" s="1185"/>
      <c r="AB368" s="1185"/>
      <c r="AC368" s="1185"/>
      <c r="AD368" s="1185"/>
      <c r="AE368" s="1185"/>
      <c r="AF368" s="1185"/>
      <c r="AG368" s="1185"/>
      <c r="AH368" s="1185"/>
      <c r="AI368" s="1185"/>
      <c r="AK368" s="1204"/>
    </row>
    <row r="369" spans="1:37">
      <c r="A369" s="1005" t="s">
        <v>918</v>
      </c>
      <c r="C369" s="1026">
        <v>0</v>
      </c>
      <c r="D369" s="269"/>
      <c r="E369" s="1185"/>
      <c r="F369" s="1203"/>
      <c r="G369" s="269"/>
      <c r="H369" s="1185"/>
      <c r="I369" s="1203"/>
      <c r="J369" s="1230">
        <f>J179</f>
        <v>4.4989999999999997</v>
      </c>
      <c r="K369" s="1009" t="s">
        <v>374</v>
      </c>
      <c r="L369" s="1203">
        <f t="shared" si="59"/>
        <v>0</v>
      </c>
      <c r="N369" s="1204"/>
      <c r="P369" s="815"/>
      <c r="Q369" s="1184"/>
      <c r="R369" s="1184"/>
      <c r="S369" s="1205"/>
      <c r="T369" s="1205"/>
      <c r="Y369" s="1185"/>
      <c r="Z369" s="1185"/>
      <c r="AA369" s="1185"/>
      <c r="AB369" s="1185"/>
      <c r="AC369" s="1185"/>
      <c r="AD369" s="1185"/>
      <c r="AE369" s="1185"/>
      <c r="AF369" s="1185"/>
      <c r="AG369" s="1185"/>
      <c r="AH369" s="1185"/>
      <c r="AI369" s="1185"/>
      <c r="AK369" s="1204"/>
    </row>
    <row r="370" spans="1:37">
      <c r="A370" s="1005" t="s">
        <v>919</v>
      </c>
      <c r="C370" s="1026">
        <v>0</v>
      </c>
      <c r="D370" s="269"/>
      <c r="E370" s="1185"/>
      <c r="F370" s="1203"/>
      <c r="G370" s="269"/>
      <c r="H370" s="1185"/>
      <c r="I370" s="1203"/>
      <c r="J370" s="1230">
        <f>J180</f>
        <v>3.1080000000000001</v>
      </c>
      <c r="K370" s="1009" t="s">
        <v>374</v>
      </c>
      <c r="L370" s="1203">
        <f t="shared" si="59"/>
        <v>0</v>
      </c>
      <c r="N370" s="1204"/>
      <c r="P370" s="815"/>
      <c r="Q370" s="1184"/>
      <c r="R370" s="1184"/>
      <c r="S370" s="1205"/>
      <c r="T370" s="1205"/>
      <c r="Y370" s="1185"/>
      <c r="Z370" s="1185"/>
      <c r="AA370" s="1185"/>
      <c r="AB370" s="1185"/>
      <c r="AC370" s="1185"/>
      <c r="AD370" s="1185"/>
      <c r="AE370" s="1185"/>
      <c r="AF370" s="1185"/>
      <c r="AG370" s="1185"/>
      <c r="AH370" s="1185"/>
      <c r="AI370" s="1185"/>
      <c r="AK370" s="1204"/>
    </row>
    <row r="371" spans="1:37">
      <c r="A371" s="1005" t="s">
        <v>920</v>
      </c>
      <c r="C371" s="1026">
        <v>0</v>
      </c>
      <c r="D371" s="269"/>
      <c r="E371" s="1185"/>
      <c r="F371" s="1203"/>
      <c r="G371" s="269"/>
      <c r="H371" s="1185"/>
      <c r="I371" s="1203"/>
      <c r="J371" s="1230">
        <f>J181</f>
        <v>2.6779999999999999</v>
      </c>
      <c r="K371" s="1009" t="s">
        <v>374</v>
      </c>
      <c r="L371" s="1203">
        <f t="shared" si="59"/>
        <v>0</v>
      </c>
      <c r="N371" s="1204"/>
      <c r="P371" s="815"/>
      <c r="Q371" s="1184"/>
      <c r="R371" s="1184"/>
      <c r="S371" s="1205"/>
      <c r="T371" s="1205"/>
      <c r="Y371" s="1185"/>
      <c r="Z371" s="1185"/>
      <c r="AA371" s="1185"/>
      <c r="AB371" s="1185"/>
      <c r="AC371" s="1185"/>
      <c r="AD371" s="1185"/>
      <c r="AE371" s="1185"/>
      <c r="AF371" s="1185"/>
      <c r="AG371" s="1185"/>
      <c r="AH371" s="1185"/>
      <c r="AI371" s="1185"/>
      <c r="AK371" s="1204"/>
    </row>
    <row r="372" spans="1:37">
      <c r="A372" s="1219" t="s">
        <v>381</v>
      </c>
      <c r="B372" s="1219"/>
      <c r="C372" s="1026">
        <f>C407+C442</f>
        <v>1302660</v>
      </c>
      <c r="D372" s="1255"/>
      <c r="E372" s="1203"/>
      <c r="F372" s="1203">
        <f>F407+F442</f>
        <v>144166</v>
      </c>
      <c r="G372" s="1255"/>
      <c r="H372" s="1009"/>
      <c r="I372" s="1203">
        <f>I407+I442</f>
        <v>164611</v>
      </c>
      <c r="J372" s="1255"/>
      <c r="K372" s="1009"/>
      <c r="L372" s="1203">
        <f t="shared" si="59"/>
        <v>184144</v>
      </c>
      <c r="N372" s="1185"/>
      <c r="O372" s="1185"/>
      <c r="P372" s="1186"/>
      <c r="Q372" s="1186"/>
      <c r="R372" s="1186"/>
      <c r="S372" s="1185"/>
      <c r="T372" s="1185"/>
      <c r="U372" s="1185"/>
      <c r="V372" s="1185"/>
      <c r="W372" s="1185"/>
      <c r="X372" s="1185"/>
      <c r="Y372" s="1185"/>
      <c r="Z372" s="1185"/>
      <c r="AA372" s="1185"/>
      <c r="AB372" s="1185"/>
      <c r="AC372" s="1185"/>
      <c r="AD372" s="1185"/>
      <c r="AE372" s="1185"/>
      <c r="AF372" s="1185"/>
      <c r="AG372" s="1185"/>
      <c r="AH372" s="1185"/>
      <c r="AI372" s="1185"/>
      <c r="AK372" s="1204"/>
    </row>
    <row r="373" spans="1:37">
      <c r="A373" s="1219" t="s">
        <v>363</v>
      </c>
      <c r="B373" s="1219"/>
      <c r="C373" s="1028">
        <f>C408+C443</f>
        <v>-2815.5547367919953</v>
      </c>
      <c r="D373" s="1218"/>
      <c r="E373" s="1218"/>
      <c r="F373" s="1264" t="e">
        <f>F408+F443</f>
        <v>#REF!</v>
      </c>
      <c r="G373" s="1218"/>
      <c r="H373" s="1218"/>
      <c r="I373" s="1264">
        <f>I408+I443</f>
        <v>-332.36765943366282</v>
      </c>
      <c r="J373" s="1218"/>
      <c r="K373" s="1218"/>
      <c r="L373" s="1264">
        <f>I373</f>
        <v>-332.36765943366282</v>
      </c>
      <c r="N373" s="444"/>
      <c r="O373" s="444"/>
      <c r="P373" s="287"/>
      <c r="Q373" s="1186"/>
      <c r="R373" s="1186"/>
      <c r="S373" s="1185"/>
      <c r="T373" s="1185"/>
      <c r="U373" s="1185"/>
      <c r="V373" s="1185"/>
      <c r="W373" s="1185"/>
      <c r="X373" s="1185"/>
      <c r="Y373" s="1185"/>
      <c r="Z373" s="1185"/>
      <c r="AA373" s="1185"/>
      <c r="AB373" s="1185"/>
      <c r="AC373" s="1185"/>
      <c r="AD373" s="1185"/>
      <c r="AE373" s="1185"/>
      <c r="AF373" s="1185"/>
      <c r="AG373" s="1185"/>
      <c r="AH373" s="1185"/>
      <c r="AI373" s="1185"/>
      <c r="AK373" s="1204"/>
    </row>
    <row r="374" spans="1:37" ht="16.5" thickBot="1">
      <c r="A374" s="1219" t="s">
        <v>382</v>
      </c>
      <c r="B374" s="1219"/>
      <c r="C374" s="1240">
        <f>SUM(C372:C373)</f>
        <v>1299844.4452632079</v>
      </c>
      <c r="D374" s="1265"/>
      <c r="E374" s="1266"/>
      <c r="F374" s="1267" t="e">
        <f>F372+F373</f>
        <v>#REF!</v>
      </c>
      <c r="G374" s="1265"/>
      <c r="H374" s="1269"/>
      <c r="I374" s="1267">
        <f>I372+I373</f>
        <v>164278.63234056634</v>
      </c>
      <c r="J374" s="1265"/>
      <c r="K374" s="1269"/>
      <c r="L374" s="1267">
        <f>L372+L373</f>
        <v>183811.63234056634</v>
      </c>
      <c r="N374" s="411"/>
      <c r="O374" s="411"/>
      <c r="P374" s="470"/>
      <c r="Q374" s="1186"/>
      <c r="R374" s="1186"/>
      <c r="S374" s="1185"/>
      <c r="T374" s="1185"/>
      <c r="U374" s="1185"/>
      <c r="V374" s="1185"/>
      <c r="W374" s="1185"/>
      <c r="X374" s="1185"/>
      <c r="Y374" s="1185"/>
      <c r="Z374" s="1185"/>
      <c r="AA374" s="1185"/>
      <c r="AB374" s="1185"/>
      <c r="AC374" s="1185"/>
      <c r="AD374" s="1185"/>
      <c r="AE374" s="1185"/>
      <c r="AF374" s="1185"/>
      <c r="AG374" s="1185"/>
      <c r="AH374" s="1185"/>
      <c r="AI374" s="1185"/>
      <c r="AK374" s="1204"/>
    </row>
    <row r="375" spans="1:37" ht="16.5" thickTop="1">
      <c r="A375" s="1219"/>
      <c r="B375" s="1219"/>
      <c r="C375" s="1225"/>
      <c r="D375" s="1261"/>
      <c r="E375" s="1203"/>
      <c r="F375" s="1203"/>
      <c r="G375" s="1261"/>
      <c r="H375" s="1219"/>
      <c r="I375" s="1203"/>
      <c r="J375" s="1261"/>
      <c r="K375" s="1219"/>
      <c r="L375" s="1203" t="s">
        <v>31</v>
      </c>
      <c r="N375" s="1185"/>
      <c r="O375" s="1185"/>
      <c r="P375" s="1186"/>
      <c r="Q375" s="1186"/>
      <c r="R375" s="1186"/>
      <c r="S375" s="1185"/>
      <c r="T375" s="1185"/>
      <c r="U375" s="1185"/>
      <c r="V375" s="1185"/>
      <c r="W375" s="1185"/>
      <c r="X375" s="1185"/>
      <c r="Y375" s="1185"/>
      <c r="Z375" s="1185"/>
      <c r="AA375" s="1185"/>
      <c r="AB375" s="1185"/>
      <c r="AC375" s="1185"/>
      <c r="AD375" s="1185"/>
      <c r="AE375" s="1185"/>
      <c r="AF375" s="1185"/>
      <c r="AG375" s="1185"/>
      <c r="AH375" s="1185"/>
      <c r="AI375" s="1185"/>
      <c r="AK375" s="1204"/>
    </row>
    <row r="376" spans="1:37">
      <c r="A376" s="1224" t="s">
        <v>415</v>
      </c>
      <c r="B376" s="1219"/>
      <c r="C376" s="1219"/>
      <c r="D376" s="1203"/>
      <c r="E376" s="1203"/>
      <c r="F376" s="1219" t="s">
        <v>31</v>
      </c>
      <c r="G376" s="1203"/>
      <c r="H376" s="1219"/>
      <c r="I376" s="1219"/>
      <c r="J376" s="1203"/>
      <c r="K376" s="1219"/>
      <c r="L376" s="1219"/>
      <c r="N376" s="1185"/>
      <c r="O376" s="1185"/>
      <c r="P376" s="1186"/>
      <c r="Q376" s="1186"/>
      <c r="R376" s="1186"/>
      <c r="S376" s="1185"/>
      <c r="T376" s="1185"/>
      <c r="U376" s="1185"/>
      <c r="V376" s="1185"/>
      <c r="W376" s="1185"/>
      <c r="X376" s="1185"/>
      <c r="Y376" s="1185"/>
      <c r="Z376" s="1185"/>
      <c r="AA376" s="1185"/>
      <c r="AB376" s="1185"/>
      <c r="AC376" s="1185"/>
      <c r="AD376" s="1185"/>
      <c r="AE376" s="1185"/>
      <c r="AF376" s="1185"/>
      <c r="AG376" s="1185"/>
      <c r="AH376" s="1185"/>
      <c r="AI376" s="1185"/>
      <c r="AK376" s="1204"/>
    </row>
    <row r="377" spans="1:37">
      <c r="A377" s="1219" t="s">
        <v>411</v>
      </c>
      <c r="B377" s="1219"/>
      <c r="C377" s="1219"/>
      <c r="D377" s="1203"/>
      <c r="E377" s="1203"/>
      <c r="F377" s="1219"/>
      <c r="G377" s="1203"/>
      <c r="H377" s="1219"/>
      <c r="I377" s="1219"/>
      <c r="J377" s="1203"/>
      <c r="K377" s="1219"/>
      <c r="L377" s="1219"/>
      <c r="N377" s="1185"/>
      <c r="O377" s="1185"/>
      <c r="P377" s="1186"/>
      <c r="Q377" s="1186"/>
      <c r="R377" s="1186"/>
      <c r="S377" s="1185"/>
      <c r="T377" s="1185"/>
      <c r="U377" s="1185"/>
      <c r="V377" s="1185"/>
      <c r="W377" s="1185"/>
      <c r="X377" s="1185"/>
      <c r="Y377" s="1185"/>
      <c r="Z377" s="1185"/>
      <c r="AA377" s="1185"/>
      <c r="AB377" s="1185"/>
      <c r="AC377" s="1185"/>
      <c r="AD377" s="1185"/>
      <c r="AE377" s="1185"/>
      <c r="AF377" s="1185"/>
      <c r="AG377" s="1185"/>
      <c r="AH377" s="1185"/>
      <c r="AI377" s="1185"/>
      <c r="AK377" s="1204"/>
    </row>
    <row r="378" spans="1:37">
      <c r="A378" s="1219"/>
      <c r="B378" s="1219"/>
      <c r="C378" s="1219"/>
      <c r="D378" s="1203"/>
      <c r="E378" s="1203"/>
      <c r="F378" s="1219"/>
      <c r="G378" s="1203"/>
      <c r="H378" s="1219"/>
      <c r="I378" s="1219"/>
      <c r="J378" s="1203"/>
      <c r="K378" s="1219"/>
      <c r="L378" s="1219"/>
      <c r="N378" s="1185"/>
      <c r="O378" s="1185"/>
      <c r="P378" s="1186"/>
      <c r="Q378" s="1186"/>
      <c r="R378" s="1186"/>
      <c r="S378" s="1185"/>
      <c r="T378" s="1185"/>
      <c r="U378" s="1185"/>
      <c r="V378" s="1185"/>
      <c r="W378" s="1185"/>
      <c r="X378" s="1185"/>
      <c r="Y378" s="1185"/>
      <c r="Z378" s="1185"/>
      <c r="AA378" s="1185"/>
      <c r="AB378" s="1185"/>
      <c r="AC378" s="1185"/>
      <c r="AD378" s="1185"/>
      <c r="AE378" s="1185"/>
      <c r="AF378" s="1185"/>
      <c r="AG378" s="1185"/>
      <c r="AH378" s="1185"/>
      <c r="AI378" s="1185"/>
      <c r="AK378" s="1204"/>
    </row>
    <row r="379" spans="1:37">
      <c r="A379" s="1219" t="s">
        <v>393</v>
      </c>
      <c r="B379" s="1219"/>
      <c r="C379" s="1026"/>
      <c r="D379" s="1203"/>
      <c r="E379" s="1203"/>
      <c r="F379" s="1219"/>
      <c r="G379" s="1203"/>
      <c r="H379" s="1219"/>
      <c r="I379" s="1219"/>
      <c r="J379" s="1203"/>
      <c r="K379" s="1219"/>
      <c r="L379" s="1219"/>
      <c r="N379" s="1185"/>
      <c r="O379" s="1185"/>
      <c r="P379" s="1186"/>
      <c r="Q379" s="1186"/>
      <c r="R379" s="1186"/>
      <c r="S379" s="1185"/>
      <c r="T379" s="1185"/>
      <c r="U379" s="1185"/>
      <c r="V379" s="1185"/>
      <c r="W379" s="1185"/>
      <c r="X379" s="1185"/>
      <c r="Y379" s="1185"/>
      <c r="Z379" s="1185"/>
      <c r="AA379" s="1185"/>
      <c r="AB379" s="1185"/>
      <c r="AC379" s="1185"/>
      <c r="AD379" s="1185"/>
      <c r="AE379" s="1185"/>
      <c r="AF379" s="1185"/>
      <c r="AG379" s="1185"/>
      <c r="AH379" s="1185"/>
      <c r="AI379" s="1185"/>
      <c r="AK379" s="1204"/>
    </row>
    <row r="380" spans="1:37">
      <c r="A380" s="1219" t="s">
        <v>416</v>
      </c>
      <c r="B380" s="1219"/>
      <c r="C380" s="1026">
        <f>324+3678</f>
        <v>4002</v>
      </c>
      <c r="D380" s="1229">
        <v>7.64</v>
      </c>
      <c r="E380" s="1041"/>
      <c r="F380" s="1203">
        <f>ROUND(D380*$C380,0)</f>
        <v>30575</v>
      </c>
      <c r="G380" s="1229">
        <v>8.7100000000000009</v>
      </c>
      <c r="H380" s="1009"/>
      <c r="I380" s="1203">
        <f>ROUND(G380*$C380,0)</f>
        <v>34857</v>
      </c>
      <c r="J380" s="1229">
        <f>$J$169</f>
        <v>9.74</v>
      </c>
      <c r="K380" s="1009"/>
      <c r="L380" s="1203">
        <f>ROUND(J380*$C380,0)</f>
        <v>38979</v>
      </c>
      <c r="N380" s="1185"/>
      <c r="O380" s="1185"/>
      <c r="P380" s="1186"/>
      <c r="Q380" s="1186"/>
      <c r="R380" s="1186"/>
      <c r="S380" s="1185"/>
      <c r="T380" s="1185"/>
      <c r="U380" s="1185"/>
      <c r="V380" s="1185"/>
      <c r="W380" s="1185"/>
      <c r="X380" s="1185"/>
      <c r="Y380" s="1185"/>
      <c r="Z380" s="1185"/>
      <c r="AA380" s="1185"/>
      <c r="AB380" s="1185"/>
      <c r="AC380" s="1185"/>
      <c r="AD380" s="1185"/>
      <c r="AE380" s="1185"/>
      <c r="AF380" s="1185"/>
      <c r="AG380" s="1185"/>
      <c r="AH380" s="1185"/>
      <c r="AI380" s="1185"/>
      <c r="AK380" s="1204"/>
    </row>
    <row r="381" spans="1:37">
      <c r="A381" s="1219" t="s">
        <v>391</v>
      </c>
      <c r="B381" s="1219"/>
      <c r="C381" s="1026">
        <v>0</v>
      </c>
      <c r="D381" s="1229">
        <v>11.36</v>
      </c>
      <c r="E381" s="1249"/>
      <c r="F381" s="1203">
        <f>ROUND(D381*$C381,0)</f>
        <v>0</v>
      </c>
      <c r="G381" s="1229">
        <v>12.98</v>
      </c>
      <c r="H381" s="1250"/>
      <c r="I381" s="1203">
        <f t="shared" ref="I381:I382" si="61">ROUND(G381*$C381,0)</f>
        <v>0</v>
      </c>
      <c r="J381" s="1229">
        <f>$J$170</f>
        <v>14.51</v>
      </c>
      <c r="K381" s="1250"/>
      <c r="L381" s="1203">
        <f>ROUND(J381*$C381,0)</f>
        <v>0</v>
      </c>
      <c r="N381" s="1185"/>
      <c r="O381" s="1185"/>
      <c r="P381" s="1186"/>
      <c r="Q381" s="1186"/>
      <c r="R381" s="1186"/>
      <c r="S381" s="1185"/>
      <c r="T381" s="1185"/>
      <c r="U381" s="1185"/>
      <c r="V381" s="1185"/>
      <c r="W381" s="1185"/>
      <c r="X381" s="1185"/>
      <c r="Y381" s="1185"/>
      <c r="Z381" s="1185"/>
      <c r="AA381" s="1185"/>
      <c r="AB381" s="1185"/>
      <c r="AC381" s="1185"/>
      <c r="AD381" s="1185"/>
      <c r="AE381" s="1185"/>
      <c r="AF381" s="1185"/>
      <c r="AG381" s="1185"/>
      <c r="AH381" s="1185"/>
      <c r="AI381" s="1185"/>
      <c r="AK381" s="1204"/>
    </row>
    <row r="382" spans="1:37">
      <c r="A382" s="1219" t="s">
        <v>392</v>
      </c>
      <c r="B382" s="1219"/>
      <c r="C382" s="1026">
        <v>0</v>
      </c>
      <c r="D382" s="1229">
        <v>0.81</v>
      </c>
      <c r="E382" s="1249"/>
      <c r="F382" s="1203">
        <f>ROUND(D382*$C382,0)</f>
        <v>0</v>
      </c>
      <c r="G382" s="1229">
        <v>0.92</v>
      </c>
      <c r="H382" s="1250"/>
      <c r="I382" s="1203">
        <f t="shared" si="61"/>
        <v>0</v>
      </c>
      <c r="J382" s="1229">
        <f>$J$171</f>
        <v>1.03</v>
      </c>
      <c r="K382" s="1250"/>
      <c r="L382" s="1203">
        <f>ROUND(J382*$C382,0)</f>
        <v>0</v>
      </c>
      <c r="N382" s="1185"/>
      <c r="O382" s="1185"/>
      <c r="P382" s="1186"/>
      <c r="Q382" s="1186"/>
      <c r="R382" s="1186"/>
      <c r="S382" s="1185"/>
      <c r="T382" s="1185"/>
      <c r="U382" s="1185"/>
      <c r="V382" s="1185"/>
      <c r="W382" s="1185"/>
      <c r="X382" s="1185"/>
      <c r="Y382" s="1185"/>
      <c r="Z382" s="1185"/>
      <c r="AA382" s="1185"/>
      <c r="AB382" s="1185"/>
      <c r="AC382" s="1185"/>
      <c r="AD382" s="1185"/>
      <c r="AE382" s="1185"/>
      <c r="AF382" s="1185"/>
      <c r="AG382" s="1185"/>
      <c r="AH382" s="1185"/>
      <c r="AI382" s="1185"/>
      <c r="AK382" s="1204"/>
    </row>
    <row r="383" spans="1:37">
      <c r="A383" s="1219" t="s">
        <v>394</v>
      </c>
      <c r="B383" s="1219"/>
      <c r="C383" s="1026">
        <f>SUM(C380:C381)</f>
        <v>4002</v>
      </c>
      <c r="D383" s="1229"/>
      <c r="E383" s="1041"/>
      <c r="F383" s="1203"/>
      <c r="G383" s="1229"/>
      <c r="H383" s="1009"/>
      <c r="I383" s="1203"/>
      <c r="J383" s="1229"/>
      <c r="K383" s="1009"/>
      <c r="L383" s="1203"/>
      <c r="N383" s="1185"/>
      <c r="O383" s="1185"/>
      <c r="P383" s="1186"/>
      <c r="Q383" s="1186"/>
      <c r="R383" s="1186"/>
      <c r="S383" s="1185"/>
      <c r="T383" s="1185"/>
      <c r="U383" s="1185"/>
      <c r="V383" s="1185"/>
      <c r="W383" s="1185"/>
      <c r="X383" s="1185"/>
      <c r="Y383" s="1185"/>
      <c r="Z383" s="1185"/>
      <c r="AA383" s="1185"/>
      <c r="AB383" s="1185"/>
      <c r="AC383" s="1185"/>
      <c r="AD383" s="1185"/>
      <c r="AE383" s="1185"/>
      <c r="AF383" s="1185"/>
      <c r="AG383" s="1185"/>
      <c r="AH383" s="1185"/>
      <c r="AI383" s="1185"/>
      <c r="AK383" s="1204"/>
    </row>
    <row r="384" spans="1:37">
      <c r="A384" s="1219" t="s">
        <v>362</v>
      </c>
      <c r="B384" s="1219"/>
      <c r="C384" s="1026">
        <f>72+1339</f>
        <v>1411</v>
      </c>
      <c r="D384" s="1229"/>
      <c r="E384" s="1041"/>
      <c r="F384" s="1203"/>
      <c r="G384" s="1229"/>
      <c r="H384" s="1009"/>
      <c r="I384" s="1203"/>
      <c r="J384" s="1229"/>
      <c r="K384" s="1009"/>
      <c r="L384" s="1203"/>
      <c r="N384" s="1185"/>
      <c r="O384" s="1185"/>
      <c r="P384" s="1186"/>
      <c r="Q384" s="1186"/>
      <c r="R384" s="1186"/>
      <c r="S384" s="1185"/>
      <c r="T384" s="1185"/>
      <c r="U384" s="1185"/>
      <c r="V384" s="1185"/>
      <c r="W384" s="1185"/>
      <c r="X384" s="1185"/>
      <c r="Y384" s="1185"/>
      <c r="Z384" s="1185"/>
      <c r="AA384" s="1185"/>
      <c r="AB384" s="1185"/>
      <c r="AC384" s="1185"/>
      <c r="AD384" s="1185"/>
      <c r="AE384" s="1185"/>
      <c r="AF384" s="1185"/>
      <c r="AG384" s="1185"/>
      <c r="AH384" s="1185"/>
      <c r="AI384" s="1185"/>
      <c r="AK384" s="1204"/>
    </row>
    <row r="385" spans="1:37">
      <c r="A385" s="1219" t="s">
        <v>395</v>
      </c>
      <c r="B385" s="1219"/>
      <c r="C385" s="1026">
        <v>0</v>
      </c>
      <c r="D385" s="1261">
        <v>2.98</v>
      </c>
      <c r="E385" s="1009"/>
      <c r="F385" s="1203">
        <f>ROUND(D385*$C385,0)</f>
        <v>0</v>
      </c>
      <c r="G385" s="1261">
        <v>3.4</v>
      </c>
      <c r="H385" s="1009"/>
      <c r="I385" s="1203">
        <f>ROUND(G385*C385,0)</f>
        <v>0</v>
      </c>
      <c r="J385" s="1261">
        <f>$J$174</f>
        <v>3.8</v>
      </c>
      <c r="K385" s="1009"/>
      <c r="L385" s="1203">
        <f>ROUND(J385*$C385,0)</f>
        <v>0</v>
      </c>
      <c r="N385" s="1185"/>
      <c r="O385" s="1185"/>
      <c r="P385" s="1186"/>
      <c r="Q385" s="1186"/>
      <c r="R385" s="1186"/>
      <c r="S385" s="1185"/>
      <c r="T385" s="1185"/>
      <c r="U385" s="1185"/>
      <c r="V385" s="1185"/>
      <c r="W385" s="1185"/>
      <c r="X385" s="1185"/>
      <c r="Y385" s="1185"/>
      <c r="Z385" s="1185"/>
      <c r="AA385" s="1185"/>
      <c r="AB385" s="1185"/>
      <c r="AC385" s="1185"/>
      <c r="AD385" s="1185"/>
      <c r="AE385" s="1185"/>
      <c r="AF385" s="1185"/>
      <c r="AG385" s="1185"/>
      <c r="AH385" s="1185"/>
      <c r="AI385" s="1185"/>
      <c r="AK385" s="1204"/>
    </row>
    <row r="386" spans="1:37">
      <c r="A386" s="1219" t="s">
        <v>397</v>
      </c>
      <c r="B386" s="1219"/>
      <c r="C386" s="1026">
        <f>864+153420+1050250</f>
        <v>1204534</v>
      </c>
      <c r="D386" s="1230">
        <v>8.5489999999999995</v>
      </c>
      <c r="E386" s="1009" t="s">
        <v>374</v>
      </c>
      <c r="F386" s="1203">
        <f>ROUND(D386*$C386/100,0)</f>
        <v>102976</v>
      </c>
      <c r="G386" s="1230">
        <v>9.766</v>
      </c>
      <c r="H386" s="1009" t="s">
        <v>374</v>
      </c>
      <c r="I386" s="1203">
        <f>ROUND(G386*C386/100,0)</f>
        <v>117635</v>
      </c>
      <c r="J386" s="1230">
        <f>$J$175</f>
        <v>6.4269999999999996</v>
      </c>
      <c r="K386" s="1009" t="s">
        <v>374</v>
      </c>
      <c r="L386" s="1203">
        <f>ROUND(J386*$C386/100,0)</f>
        <v>77415</v>
      </c>
      <c r="N386" s="1185"/>
      <c r="O386" s="1185"/>
      <c r="P386" s="1186"/>
      <c r="Q386" s="1186"/>
      <c r="R386" s="1186"/>
      <c r="S386" s="1185"/>
      <c r="T386" s="1185"/>
      <c r="U386" s="1185"/>
      <c r="V386" s="1185"/>
      <c r="W386" s="1185"/>
      <c r="X386" s="1185"/>
      <c r="Y386" s="1185"/>
      <c r="Z386" s="1185"/>
      <c r="AA386" s="1185"/>
      <c r="AB386" s="1185"/>
      <c r="AC386" s="1185"/>
      <c r="AD386" s="1185"/>
      <c r="AE386" s="1185"/>
      <c r="AF386" s="1185"/>
      <c r="AG386" s="1185"/>
      <c r="AH386" s="1185"/>
      <c r="AI386" s="1185"/>
      <c r="AK386" s="1204"/>
    </row>
    <row r="387" spans="1:37">
      <c r="A387" s="1219" t="s">
        <v>398</v>
      </c>
      <c r="B387" s="1225"/>
      <c r="C387" s="1026">
        <f>64813</f>
        <v>64813</v>
      </c>
      <c r="D387" s="1230">
        <v>5.9020000000000001</v>
      </c>
      <c r="E387" s="1009" t="s">
        <v>374</v>
      </c>
      <c r="F387" s="1203">
        <f>ROUND(D387*$C387/100,0)</f>
        <v>3825</v>
      </c>
      <c r="G387" s="1230">
        <v>6.7460000000000004</v>
      </c>
      <c r="H387" s="1009" t="s">
        <v>374</v>
      </c>
      <c r="I387" s="1203">
        <f t="shared" ref="I387:I389" si="62">ROUND(G387*C387/100,0)</f>
        <v>4372</v>
      </c>
      <c r="J387" s="1230">
        <f>$J$176</f>
        <v>4.4400000000000004</v>
      </c>
      <c r="K387" s="1009" t="s">
        <v>374</v>
      </c>
      <c r="L387" s="1203">
        <f>ROUND(J387*$C387/100,0)</f>
        <v>2878</v>
      </c>
      <c r="N387" s="1185"/>
      <c r="O387" s="1185"/>
      <c r="P387" s="1186"/>
      <c r="Q387" s="1186"/>
      <c r="R387" s="1186"/>
      <c r="S387" s="1185"/>
      <c r="T387" s="1185"/>
      <c r="U387" s="1185"/>
      <c r="V387" s="1185"/>
      <c r="W387" s="1185"/>
      <c r="X387" s="1185"/>
      <c r="Y387" s="1185"/>
      <c r="Z387" s="1185"/>
      <c r="AA387" s="1185"/>
      <c r="AB387" s="1185"/>
      <c r="AC387" s="1185"/>
      <c r="AD387" s="1185"/>
      <c r="AE387" s="1185"/>
      <c r="AF387" s="1185"/>
      <c r="AG387" s="1185"/>
      <c r="AH387" s="1185"/>
      <c r="AI387" s="1185"/>
      <c r="AK387" s="1204"/>
    </row>
    <row r="388" spans="1:37">
      <c r="A388" s="1219" t="s">
        <v>399</v>
      </c>
      <c r="B388" s="1219"/>
      <c r="C388" s="1026">
        <f>0</f>
        <v>0</v>
      </c>
      <c r="D388" s="1230">
        <v>5.0839999999999996</v>
      </c>
      <c r="E388" s="1009" t="s">
        <v>374</v>
      </c>
      <c r="F388" s="1203">
        <f>ROUND(D388*$C388/100,0)</f>
        <v>0</v>
      </c>
      <c r="G388" s="1230">
        <v>5.8120000000000003</v>
      </c>
      <c r="H388" s="1009" t="s">
        <v>374</v>
      </c>
      <c r="I388" s="1203">
        <f t="shared" si="62"/>
        <v>0</v>
      </c>
      <c r="J388" s="1230">
        <f>$J$177</f>
        <v>3.8250000000000002</v>
      </c>
      <c r="K388" s="1009" t="s">
        <v>374</v>
      </c>
      <c r="L388" s="1203">
        <f>ROUND(J388*$C388/100,0)</f>
        <v>0</v>
      </c>
      <c r="N388" s="1185"/>
      <c r="O388" s="1185"/>
      <c r="P388" s="1186"/>
      <c r="Q388" s="1186"/>
      <c r="R388" s="1186"/>
      <c r="S388" s="1185"/>
      <c r="T388" s="1185"/>
      <c r="U388" s="1185"/>
      <c r="V388" s="1185"/>
      <c r="W388" s="1185"/>
      <c r="X388" s="1185"/>
      <c r="Y388" s="1185"/>
      <c r="Z388" s="1185"/>
      <c r="AA388" s="1185"/>
      <c r="AB388" s="1185"/>
      <c r="AC388" s="1185"/>
      <c r="AD388" s="1185"/>
      <c r="AE388" s="1185"/>
      <c r="AF388" s="1185"/>
      <c r="AG388" s="1185"/>
      <c r="AH388" s="1185"/>
      <c r="AI388" s="1185"/>
      <c r="AK388" s="1204"/>
    </row>
    <row r="389" spans="1:37">
      <c r="A389" s="1219" t="s">
        <v>400</v>
      </c>
      <c r="B389" s="1219"/>
      <c r="C389" s="1026">
        <v>0</v>
      </c>
      <c r="D389" s="1255">
        <v>50</v>
      </c>
      <c r="E389" s="1041" t="s">
        <v>374</v>
      </c>
      <c r="F389" s="1203">
        <f>ROUND(D389*$C389/100,0)</f>
        <v>0</v>
      </c>
      <c r="G389" s="1255">
        <v>56</v>
      </c>
      <c r="H389" s="1009" t="s">
        <v>374</v>
      </c>
      <c r="I389" s="1203">
        <f t="shared" si="62"/>
        <v>0</v>
      </c>
      <c r="J389" s="1255">
        <f>$J$178</f>
        <v>63</v>
      </c>
      <c r="K389" s="1009" t="s">
        <v>374</v>
      </c>
      <c r="L389" s="1203">
        <f>ROUND(J389*$C389/100,0)</f>
        <v>0</v>
      </c>
      <c r="N389" s="1185"/>
      <c r="O389" s="1185"/>
      <c r="P389" s="1186"/>
      <c r="Q389" s="1186"/>
      <c r="R389" s="1186"/>
      <c r="S389" s="1185"/>
      <c r="T389" s="1185"/>
      <c r="U389" s="1185"/>
      <c r="V389" s="1185"/>
      <c r="W389" s="1185"/>
      <c r="X389" s="1185"/>
      <c r="Y389" s="1185"/>
      <c r="Z389" s="1185"/>
      <c r="AA389" s="1185"/>
      <c r="AB389" s="1185"/>
      <c r="AC389" s="1185"/>
      <c r="AD389" s="1185"/>
      <c r="AE389" s="1185"/>
      <c r="AF389" s="1185"/>
      <c r="AG389" s="1185"/>
      <c r="AH389" s="1185"/>
      <c r="AI389" s="1185"/>
      <c r="AK389" s="1204"/>
    </row>
    <row r="390" spans="1:37">
      <c r="A390" s="1005" t="s">
        <v>918</v>
      </c>
      <c r="C390" s="1202">
        <f>C386</f>
        <v>1204534</v>
      </c>
      <c r="D390" s="269"/>
      <c r="E390" s="1185"/>
      <c r="F390" s="1203"/>
      <c r="G390" s="269"/>
      <c r="H390" s="1185"/>
      <c r="I390" s="1203"/>
      <c r="J390" s="1230">
        <f>J179</f>
        <v>4.4989999999999997</v>
      </c>
      <c r="K390" s="1009" t="s">
        <v>374</v>
      </c>
      <c r="L390" s="1203">
        <f t="shared" ref="L390:L392" si="63">ROUND(J390*$C390/100,0)</f>
        <v>54192</v>
      </c>
      <c r="N390" s="1204"/>
      <c r="P390" s="815"/>
      <c r="Q390" s="1184"/>
      <c r="R390" s="1184"/>
      <c r="S390" s="1205"/>
      <c r="T390" s="1205"/>
      <c r="Y390" s="1185"/>
      <c r="Z390" s="1185"/>
      <c r="AA390" s="1185"/>
      <c r="AB390" s="1185"/>
      <c r="AC390" s="1185"/>
      <c r="AD390" s="1185"/>
      <c r="AE390" s="1185"/>
      <c r="AF390" s="1185"/>
      <c r="AG390" s="1185"/>
      <c r="AH390" s="1185"/>
      <c r="AI390" s="1185"/>
      <c r="AK390" s="1204"/>
    </row>
    <row r="391" spans="1:37">
      <c r="A391" s="1005" t="s">
        <v>919</v>
      </c>
      <c r="C391" s="1202">
        <f>C387</f>
        <v>64813</v>
      </c>
      <c r="D391" s="269"/>
      <c r="E391" s="1185"/>
      <c r="F391" s="1203"/>
      <c r="G391" s="269"/>
      <c r="H391" s="1185"/>
      <c r="I391" s="1203"/>
      <c r="J391" s="1230">
        <f>J180</f>
        <v>3.1080000000000001</v>
      </c>
      <c r="K391" s="1009" t="s">
        <v>374</v>
      </c>
      <c r="L391" s="1203">
        <f t="shared" si="63"/>
        <v>2014</v>
      </c>
      <c r="N391" s="1204"/>
      <c r="P391" s="815"/>
      <c r="Q391" s="1184"/>
      <c r="R391" s="1184"/>
      <c r="S391" s="1205"/>
      <c r="T391" s="1205"/>
      <c r="Y391" s="1185"/>
      <c r="Z391" s="1185"/>
      <c r="AA391" s="1185"/>
      <c r="AB391" s="1185"/>
      <c r="AC391" s="1185"/>
      <c r="AD391" s="1185"/>
      <c r="AE391" s="1185"/>
      <c r="AF391" s="1185"/>
      <c r="AG391" s="1185"/>
      <c r="AH391" s="1185"/>
      <c r="AI391" s="1185"/>
      <c r="AK391" s="1204"/>
    </row>
    <row r="392" spans="1:37">
      <c r="A392" s="1005" t="s">
        <v>920</v>
      </c>
      <c r="C392" s="1202">
        <f>C388</f>
        <v>0</v>
      </c>
      <c r="D392" s="269"/>
      <c r="E392" s="1185"/>
      <c r="F392" s="1203"/>
      <c r="G392" s="269"/>
      <c r="H392" s="1185"/>
      <c r="I392" s="1203"/>
      <c r="J392" s="1230">
        <f>J181</f>
        <v>2.6779999999999999</v>
      </c>
      <c r="K392" s="1009" t="s">
        <v>374</v>
      </c>
      <c r="L392" s="1203">
        <f t="shared" si="63"/>
        <v>0</v>
      </c>
      <c r="N392" s="1204"/>
      <c r="P392" s="815"/>
      <c r="Q392" s="1184"/>
      <c r="R392" s="1184"/>
      <c r="S392" s="1205"/>
      <c r="T392" s="1205"/>
      <c r="Y392" s="1185"/>
      <c r="Z392" s="1185"/>
      <c r="AA392" s="1185"/>
      <c r="AB392" s="1185"/>
      <c r="AC392" s="1185"/>
      <c r="AD392" s="1185"/>
      <c r="AE392" s="1185"/>
      <c r="AF392" s="1185"/>
      <c r="AG392" s="1185"/>
      <c r="AH392" s="1185"/>
      <c r="AI392" s="1185"/>
      <c r="AK392" s="1204"/>
    </row>
    <row r="393" spans="1:37">
      <c r="A393" s="1256" t="s">
        <v>401</v>
      </c>
      <c r="B393" s="1219"/>
      <c r="C393" s="1026"/>
      <c r="D393" s="1257">
        <v>-0.01</v>
      </c>
      <c r="E393" s="1041"/>
      <c r="F393" s="1203"/>
      <c r="G393" s="1257">
        <v>-0.01</v>
      </c>
      <c r="H393" s="1009"/>
      <c r="I393" s="1203"/>
      <c r="J393" s="1257">
        <v>-0.01</v>
      </c>
      <c r="K393" s="1009"/>
      <c r="L393" s="1203"/>
      <c r="N393" s="1185"/>
      <c r="O393" s="1185"/>
      <c r="P393" s="1186"/>
      <c r="Q393" s="1186"/>
      <c r="R393" s="1186"/>
      <c r="S393" s="1185"/>
      <c r="T393" s="1185"/>
      <c r="U393" s="1185"/>
      <c r="V393" s="1185"/>
      <c r="W393" s="1185"/>
      <c r="X393" s="1185"/>
      <c r="Y393" s="1185"/>
      <c r="Z393" s="1185"/>
      <c r="AA393" s="1185"/>
      <c r="AB393" s="1185"/>
      <c r="AC393" s="1185"/>
      <c r="AD393" s="1185"/>
      <c r="AE393" s="1185"/>
      <c r="AF393" s="1185"/>
      <c r="AG393" s="1185"/>
      <c r="AH393" s="1185"/>
      <c r="AI393" s="1185"/>
      <c r="AK393" s="1204"/>
    </row>
    <row r="394" spans="1:37">
      <c r="A394" s="1219" t="s">
        <v>390</v>
      </c>
      <c r="B394" s="1219"/>
      <c r="C394" s="1026">
        <v>0</v>
      </c>
      <c r="D394" s="1259">
        <v>7.64</v>
      </c>
      <c r="E394" s="1041"/>
      <c r="F394" s="1203">
        <f>-ROUND(D394*$C394/100,0)</f>
        <v>0</v>
      </c>
      <c r="G394" s="1259">
        <v>8.7100000000000009</v>
      </c>
      <c r="H394" s="1041"/>
      <c r="I394" s="1203">
        <f>-ROUND(G394*$C394/100,0)</f>
        <v>0</v>
      </c>
      <c r="J394" s="1259">
        <f>J380</f>
        <v>9.74</v>
      </c>
      <c r="K394" s="1041"/>
      <c r="L394" s="1203">
        <f>-ROUND(J394*$C394/100,0)</f>
        <v>0</v>
      </c>
      <c r="N394" s="1185"/>
      <c r="O394" s="1185"/>
      <c r="P394" s="1186"/>
      <c r="Q394" s="1186"/>
      <c r="R394" s="1186"/>
      <c r="S394" s="1185"/>
      <c r="T394" s="1185"/>
      <c r="U394" s="1185"/>
      <c r="V394" s="1185"/>
      <c r="W394" s="1185"/>
      <c r="X394" s="1185"/>
      <c r="Y394" s="1185"/>
      <c r="Z394" s="1185"/>
      <c r="AA394" s="1185"/>
      <c r="AB394" s="1185"/>
      <c r="AC394" s="1185"/>
      <c r="AD394" s="1185"/>
      <c r="AE394" s="1185"/>
      <c r="AF394" s="1185"/>
      <c r="AG394" s="1185"/>
      <c r="AH394" s="1185"/>
      <c r="AI394" s="1185"/>
      <c r="AK394" s="1204"/>
    </row>
    <row r="395" spans="1:37">
      <c r="A395" s="1219" t="s">
        <v>391</v>
      </c>
      <c r="B395" s="1219"/>
      <c r="C395" s="1026">
        <v>0</v>
      </c>
      <c r="D395" s="1259">
        <v>11.36</v>
      </c>
      <c r="E395" s="1041"/>
      <c r="F395" s="1203">
        <f>-ROUND(D395*$C395/100,0)</f>
        <v>0</v>
      </c>
      <c r="G395" s="1259">
        <v>12.98</v>
      </c>
      <c r="H395" s="1041"/>
      <c r="I395" s="1203">
        <f t="shared" ref="I395:I397" si="64">-ROUND(G395*$C395/100,0)</f>
        <v>0</v>
      </c>
      <c r="J395" s="1259">
        <f>J381</f>
        <v>14.51</v>
      </c>
      <c r="K395" s="1041"/>
      <c r="L395" s="1203">
        <f>-ROUND(J395*$C395/100,0)</f>
        <v>0</v>
      </c>
      <c r="N395" s="1185"/>
      <c r="O395" s="1185"/>
      <c r="P395" s="1186"/>
      <c r="Q395" s="1186"/>
      <c r="R395" s="1186"/>
      <c r="S395" s="1185"/>
      <c r="T395" s="1185"/>
      <c r="U395" s="1185"/>
      <c r="V395" s="1185"/>
      <c r="W395" s="1185"/>
      <c r="X395" s="1185"/>
      <c r="Y395" s="1185"/>
      <c r="Z395" s="1185"/>
      <c r="AA395" s="1185"/>
      <c r="AB395" s="1185"/>
      <c r="AC395" s="1185"/>
      <c r="AD395" s="1185"/>
      <c r="AE395" s="1185"/>
      <c r="AF395" s="1185"/>
      <c r="AG395" s="1185"/>
      <c r="AH395" s="1185"/>
      <c r="AI395" s="1185"/>
      <c r="AK395" s="1204"/>
    </row>
    <row r="396" spans="1:37">
      <c r="A396" s="1219" t="s">
        <v>402</v>
      </c>
      <c r="B396" s="1219"/>
      <c r="C396" s="1026">
        <v>0</v>
      </c>
      <c r="D396" s="1259">
        <v>0.81</v>
      </c>
      <c r="E396" s="1041"/>
      <c r="F396" s="1203">
        <f>-ROUND(D396*$C396/100,0)</f>
        <v>0</v>
      </c>
      <c r="G396" s="1259">
        <v>0.92</v>
      </c>
      <c r="H396" s="1041"/>
      <c r="I396" s="1203">
        <f t="shared" si="64"/>
        <v>0</v>
      </c>
      <c r="J396" s="1259">
        <f>J382</f>
        <v>1.03</v>
      </c>
      <c r="K396" s="1041"/>
      <c r="L396" s="1203">
        <f>-ROUND(J396*$C396/100,0)</f>
        <v>0</v>
      </c>
      <c r="N396" s="1185"/>
      <c r="O396" s="1185"/>
      <c r="P396" s="1186"/>
      <c r="Q396" s="1186"/>
      <c r="R396" s="1186"/>
      <c r="S396" s="1185"/>
      <c r="T396" s="1185"/>
      <c r="U396" s="1185"/>
      <c r="V396" s="1185"/>
      <c r="W396" s="1185"/>
      <c r="X396" s="1185"/>
      <c r="Y396" s="1185"/>
      <c r="Z396" s="1185"/>
      <c r="AA396" s="1185"/>
      <c r="AB396" s="1185"/>
      <c r="AC396" s="1185"/>
      <c r="AD396" s="1185"/>
      <c r="AE396" s="1185"/>
      <c r="AF396" s="1185"/>
      <c r="AG396" s="1185"/>
      <c r="AH396" s="1185"/>
      <c r="AI396" s="1185"/>
      <c r="AK396" s="1204"/>
    </row>
    <row r="397" spans="1:37">
      <c r="A397" s="1219" t="s">
        <v>403</v>
      </c>
      <c r="B397" s="1219"/>
      <c r="C397" s="1026">
        <v>0</v>
      </c>
      <c r="D397" s="1259">
        <v>2.98</v>
      </c>
      <c r="E397" s="1009"/>
      <c r="F397" s="1203">
        <f>-ROUND(D397*$C397/100,0)</f>
        <v>0</v>
      </c>
      <c r="G397" s="1259">
        <v>3.4</v>
      </c>
      <c r="H397" s="1009"/>
      <c r="I397" s="1203">
        <f t="shared" si="64"/>
        <v>0</v>
      </c>
      <c r="J397" s="1259">
        <f>J385</f>
        <v>3.8</v>
      </c>
      <c r="K397" s="1009"/>
      <c r="L397" s="1203">
        <f>-ROUND(J397*$C397/100,0)</f>
        <v>0</v>
      </c>
      <c r="N397" s="1185"/>
      <c r="O397" s="1185"/>
      <c r="P397" s="1186"/>
      <c r="Q397" s="1186"/>
      <c r="R397" s="1186"/>
      <c r="S397" s="1185"/>
      <c r="T397" s="1185"/>
      <c r="U397" s="1185"/>
      <c r="V397" s="1185"/>
      <c r="W397" s="1185"/>
      <c r="X397" s="1185"/>
      <c r="Y397" s="1185"/>
      <c r="Z397" s="1185"/>
      <c r="AA397" s="1185"/>
      <c r="AB397" s="1185"/>
      <c r="AC397" s="1185"/>
      <c r="AD397" s="1185"/>
      <c r="AE397" s="1185"/>
      <c r="AF397" s="1185"/>
      <c r="AG397" s="1185"/>
      <c r="AH397" s="1185"/>
      <c r="AI397" s="1185"/>
      <c r="AK397" s="1204"/>
    </row>
    <row r="398" spans="1:37">
      <c r="A398" s="1219" t="s">
        <v>405</v>
      </c>
      <c r="B398" s="1219"/>
      <c r="C398" s="1026">
        <v>0</v>
      </c>
      <c r="D398" s="1070">
        <v>8.5489999999999995</v>
      </c>
      <c r="E398" s="1009" t="s">
        <v>374</v>
      </c>
      <c r="F398" s="1203">
        <f>ROUND(D398*$C398/100*D393,0)</f>
        <v>0</v>
      </c>
      <c r="G398" s="1070">
        <v>9.766</v>
      </c>
      <c r="H398" s="1009" t="s">
        <v>374</v>
      </c>
      <c r="I398" s="1203">
        <f>ROUND(G398*$C398/100*G393,0)</f>
        <v>0</v>
      </c>
      <c r="J398" s="1070">
        <f>J386</f>
        <v>6.4269999999999996</v>
      </c>
      <c r="K398" s="1009" t="s">
        <v>374</v>
      </c>
      <c r="L398" s="1203">
        <f>ROUND(J398*$C398/100*J393,0)</f>
        <v>0</v>
      </c>
      <c r="N398" s="1185"/>
      <c r="O398" s="1185"/>
      <c r="P398" s="1186"/>
      <c r="Q398" s="1186"/>
      <c r="R398" s="1186"/>
      <c r="S398" s="1185"/>
      <c r="T398" s="1185"/>
      <c r="U398" s="1185"/>
      <c r="V398" s="1185"/>
      <c r="W398" s="1185"/>
      <c r="X398" s="1185"/>
      <c r="Y398" s="1185"/>
      <c r="Z398" s="1185"/>
      <c r="AA398" s="1185"/>
      <c r="AB398" s="1185"/>
      <c r="AC398" s="1185"/>
      <c r="AD398" s="1185"/>
      <c r="AE398" s="1185"/>
      <c r="AF398" s="1185"/>
      <c r="AG398" s="1185"/>
      <c r="AH398" s="1185"/>
      <c r="AI398" s="1185"/>
      <c r="AK398" s="1204"/>
    </row>
    <row r="399" spans="1:37">
      <c r="A399" s="1219" t="s">
        <v>398</v>
      </c>
      <c r="B399" s="1219"/>
      <c r="C399" s="1026">
        <v>0</v>
      </c>
      <c r="D399" s="1070">
        <v>5.9020000000000001</v>
      </c>
      <c r="E399" s="1009" t="s">
        <v>374</v>
      </c>
      <c r="F399" s="1203">
        <f>ROUND(D399*$C399/100*D393,0)</f>
        <v>0</v>
      </c>
      <c r="G399" s="1070">
        <v>6.7460000000000004</v>
      </c>
      <c r="H399" s="1009" t="s">
        <v>374</v>
      </c>
      <c r="I399" s="1203">
        <f>ROUND(G399*$C399/100*G393,0)</f>
        <v>0</v>
      </c>
      <c r="J399" s="1070">
        <f>J387</f>
        <v>4.4400000000000004</v>
      </c>
      <c r="K399" s="1009" t="s">
        <v>374</v>
      </c>
      <c r="L399" s="1203">
        <f>ROUND(J399*$C399/100*J393,0)</f>
        <v>0</v>
      </c>
      <c r="N399" s="1185"/>
      <c r="O399" s="1185"/>
      <c r="P399" s="1186"/>
      <c r="Q399" s="1186"/>
      <c r="R399" s="1186"/>
      <c r="S399" s="1185"/>
      <c r="T399" s="1185"/>
      <c r="U399" s="1185"/>
      <c r="V399" s="1185"/>
      <c r="W399" s="1185"/>
      <c r="X399" s="1185"/>
      <c r="Y399" s="1185"/>
      <c r="Z399" s="1185"/>
      <c r="AA399" s="1185"/>
      <c r="AB399" s="1185"/>
      <c r="AC399" s="1185"/>
      <c r="AD399" s="1185"/>
      <c r="AE399" s="1185"/>
      <c r="AF399" s="1185"/>
      <c r="AG399" s="1185"/>
      <c r="AH399" s="1185"/>
      <c r="AI399" s="1185"/>
      <c r="AK399" s="1204"/>
    </row>
    <row r="400" spans="1:37">
      <c r="A400" s="1219" t="s">
        <v>399</v>
      </c>
      <c r="B400" s="1219"/>
      <c r="C400" s="1026">
        <v>0</v>
      </c>
      <c r="D400" s="1070">
        <v>5.0839999999999996</v>
      </c>
      <c r="E400" s="1009" t="s">
        <v>374</v>
      </c>
      <c r="F400" s="1203">
        <f>ROUND(D400*$C400/100*D393,0)</f>
        <v>0</v>
      </c>
      <c r="G400" s="1070">
        <v>5.8120000000000003</v>
      </c>
      <c r="H400" s="1009" t="s">
        <v>374</v>
      </c>
      <c r="I400" s="1203">
        <f>ROUND(G400*$C400/100*G393,0)</f>
        <v>0</v>
      </c>
      <c r="J400" s="1070">
        <f>J388</f>
        <v>3.8250000000000002</v>
      </c>
      <c r="K400" s="1009" t="s">
        <v>374</v>
      </c>
      <c r="L400" s="1203">
        <f>ROUND(J400*$C400/100*J393,0)</f>
        <v>0</v>
      </c>
      <c r="N400" s="1185"/>
      <c r="O400" s="1185"/>
      <c r="P400" s="1186"/>
      <c r="Q400" s="1186"/>
      <c r="R400" s="1186"/>
      <c r="S400" s="1185"/>
      <c r="T400" s="1185"/>
      <c r="U400" s="1185"/>
      <c r="V400" s="1185"/>
      <c r="W400" s="1185"/>
      <c r="X400" s="1185"/>
      <c r="Y400" s="1185"/>
      <c r="Z400" s="1185"/>
      <c r="AA400" s="1185"/>
      <c r="AB400" s="1185"/>
      <c r="AC400" s="1185"/>
      <c r="AD400" s="1185"/>
      <c r="AE400" s="1185"/>
      <c r="AF400" s="1185"/>
      <c r="AG400" s="1185"/>
      <c r="AH400" s="1185"/>
      <c r="AI400" s="1185"/>
      <c r="AK400" s="1204"/>
    </row>
    <row r="401" spans="1:37">
      <c r="A401" s="1219" t="s">
        <v>400</v>
      </c>
      <c r="B401" s="1219"/>
      <c r="C401" s="1026">
        <v>0</v>
      </c>
      <c r="D401" s="1260">
        <v>50</v>
      </c>
      <c r="E401" s="1009" t="s">
        <v>374</v>
      </c>
      <c r="F401" s="1203">
        <f>ROUND(D401*$C401/100*D393,0)</f>
        <v>0</v>
      </c>
      <c r="G401" s="1260">
        <v>56</v>
      </c>
      <c r="H401" s="1009" t="s">
        <v>374</v>
      </c>
      <c r="I401" s="1203">
        <f>ROUND(G401*$C401/100*G393,0)</f>
        <v>0</v>
      </c>
      <c r="J401" s="1260">
        <f>J389</f>
        <v>63</v>
      </c>
      <c r="K401" s="1009" t="s">
        <v>374</v>
      </c>
      <c r="L401" s="1203">
        <f>ROUND(J401*$C401/100*J393,0)</f>
        <v>0</v>
      </c>
      <c r="N401" s="1185"/>
      <c r="O401" s="1185"/>
      <c r="P401" s="1186"/>
      <c r="Q401" s="1186"/>
      <c r="R401" s="1186"/>
      <c r="S401" s="1185"/>
      <c r="T401" s="1185"/>
      <c r="U401" s="1185"/>
      <c r="V401" s="1185"/>
      <c r="W401" s="1185"/>
      <c r="X401" s="1185"/>
      <c r="Y401" s="1185"/>
      <c r="Z401" s="1185"/>
      <c r="AA401" s="1185"/>
      <c r="AB401" s="1185"/>
      <c r="AC401" s="1185"/>
      <c r="AD401" s="1185"/>
      <c r="AE401" s="1185"/>
      <c r="AF401" s="1185"/>
      <c r="AG401" s="1185"/>
      <c r="AH401" s="1185"/>
      <c r="AI401" s="1185"/>
      <c r="AK401" s="1204"/>
    </row>
    <row r="402" spans="1:37">
      <c r="A402" s="1219" t="s">
        <v>407</v>
      </c>
      <c r="B402" s="1219"/>
      <c r="C402" s="1026">
        <v>0</v>
      </c>
      <c r="D402" s="1261">
        <v>60</v>
      </c>
      <c r="E402" s="1041"/>
      <c r="F402" s="1203">
        <f>ROUND(D402*$C402,0)</f>
        <v>0</v>
      </c>
      <c r="G402" s="1261">
        <v>60</v>
      </c>
      <c r="H402" s="1009"/>
      <c r="I402" s="1203">
        <f>ROUND(G402*C402,0)</f>
        <v>0</v>
      </c>
      <c r="J402" s="1261">
        <f>$J$194</f>
        <v>60</v>
      </c>
      <c r="K402" s="1009"/>
      <c r="L402" s="1203">
        <f>ROUND(J402*$C402,0)</f>
        <v>0</v>
      </c>
      <c r="N402" s="1185"/>
      <c r="O402" s="1185"/>
      <c r="P402" s="1186"/>
      <c r="Q402" s="1186"/>
      <c r="R402" s="1186"/>
      <c r="S402" s="1185"/>
      <c r="T402" s="1185"/>
      <c r="U402" s="1185"/>
      <c r="V402" s="1185"/>
      <c r="W402" s="1185"/>
      <c r="X402" s="1185"/>
      <c r="Y402" s="1185"/>
      <c r="Z402" s="1185"/>
      <c r="AA402" s="1185"/>
      <c r="AB402" s="1185"/>
      <c r="AC402" s="1185"/>
      <c r="AD402" s="1185"/>
      <c r="AE402" s="1185"/>
      <c r="AF402" s="1185"/>
      <c r="AG402" s="1185"/>
      <c r="AH402" s="1185"/>
      <c r="AI402" s="1185"/>
      <c r="AK402" s="1204"/>
    </row>
    <row r="403" spans="1:37">
      <c r="A403" s="1219" t="s">
        <v>408</v>
      </c>
      <c r="B403" s="1219"/>
      <c r="C403" s="1026">
        <v>0</v>
      </c>
      <c r="D403" s="1262">
        <v>-30</v>
      </c>
      <c r="E403" s="1041" t="s">
        <v>374</v>
      </c>
      <c r="F403" s="1203">
        <f>ROUND(D403*$C403/100,0)</f>
        <v>0</v>
      </c>
      <c r="G403" s="1262">
        <v>-30</v>
      </c>
      <c r="H403" s="1009" t="s">
        <v>374</v>
      </c>
      <c r="I403" s="1203">
        <f>ROUND(G403*C403/100,0)</f>
        <v>0</v>
      </c>
      <c r="J403" s="1262">
        <f>$J$195</f>
        <v>-30</v>
      </c>
      <c r="K403" s="1009" t="s">
        <v>374</v>
      </c>
      <c r="L403" s="1203">
        <f>ROUND(J403*$C403/100,0)</f>
        <v>0</v>
      </c>
      <c r="N403" s="1185"/>
      <c r="O403" s="1185"/>
      <c r="P403" s="1186"/>
      <c r="Q403" s="1186"/>
      <c r="R403" s="1186"/>
      <c r="S403" s="1185"/>
      <c r="T403" s="1185"/>
      <c r="U403" s="1185"/>
      <c r="V403" s="1185"/>
      <c r="W403" s="1185"/>
      <c r="X403" s="1185"/>
      <c r="Y403" s="1185"/>
      <c r="Z403" s="1185"/>
      <c r="AA403" s="1185"/>
      <c r="AB403" s="1185"/>
      <c r="AC403" s="1185"/>
      <c r="AD403" s="1185"/>
      <c r="AE403" s="1185"/>
      <c r="AF403" s="1185"/>
      <c r="AG403" s="1185"/>
      <c r="AH403" s="1185"/>
      <c r="AI403" s="1185"/>
      <c r="AK403" s="1204"/>
    </row>
    <row r="404" spans="1:37">
      <c r="A404" s="1005" t="s">
        <v>918</v>
      </c>
      <c r="C404" s="1202">
        <f>C398</f>
        <v>0</v>
      </c>
      <c r="D404" s="269"/>
      <c r="E404" s="1185"/>
      <c r="F404" s="1203"/>
      <c r="G404" s="269"/>
      <c r="H404" s="1185"/>
      <c r="I404" s="1203"/>
      <c r="J404" s="1230">
        <f>J179</f>
        <v>4.4989999999999997</v>
      </c>
      <c r="K404" s="1009" t="s">
        <v>374</v>
      </c>
      <c r="L404" s="1203">
        <f t="shared" ref="L404:L406" si="65">ROUND(J404*$C404/100,0)</f>
        <v>0</v>
      </c>
      <c r="N404" s="1204"/>
      <c r="P404" s="815"/>
      <c r="Q404" s="1184"/>
      <c r="R404" s="1184"/>
      <c r="S404" s="1205"/>
      <c r="T404" s="1205"/>
      <c r="Y404" s="1185"/>
      <c r="Z404" s="1185"/>
      <c r="AA404" s="1185"/>
      <c r="AB404" s="1185"/>
      <c r="AC404" s="1185"/>
      <c r="AD404" s="1185"/>
      <c r="AE404" s="1185"/>
      <c r="AF404" s="1185"/>
      <c r="AG404" s="1185"/>
      <c r="AH404" s="1185"/>
      <c r="AI404" s="1185"/>
      <c r="AK404" s="1204"/>
    </row>
    <row r="405" spans="1:37">
      <c r="A405" s="1005" t="s">
        <v>919</v>
      </c>
      <c r="C405" s="1202">
        <f>C399</f>
        <v>0</v>
      </c>
      <c r="D405" s="269"/>
      <c r="E405" s="1185"/>
      <c r="F405" s="1203"/>
      <c r="G405" s="269"/>
      <c r="H405" s="1185"/>
      <c r="I405" s="1203"/>
      <c r="J405" s="1230">
        <f>J180</f>
        <v>3.1080000000000001</v>
      </c>
      <c r="K405" s="1009" t="s">
        <v>374</v>
      </c>
      <c r="L405" s="1203">
        <f t="shared" si="65"/>
        <v>0</v>
      </c>
      <c r="N405" s="1204"/>
      <c r="P405" s="815"/>
      <c r="Q405" s="1184"/>
      <c r="R405" s="1184"/>
      <c r="S405" s="1205"/>
      <c r="T405" s="1205"/>
      <c r="Y405" s="1185"/>
      <c r="Z405" s="1185"/>
      <c r="AA405" s="1185"/>
      <c r="AB405" s="1185"/>
      <c r="AC405" s="1185"/>
      <c r="AD405" s="1185"/>
      <c r="AE405" s="1185"/>
      <c r="AF405" s="1185"/>
      <c r="AG405" s="1185"/>
      <c r="AH405" s="1185"/>
      <c r="AI405" s="1185"/>
      <c r="AK405" s="1204"/>
    </row>
    <row r="406" spans="1:37">
      <c r="A406" s="1005" t="s">
        <v>920</v>
      </c>
      <c r="C406" s="1202">
        <f>C400</f>
        <v>0</v>
      </c>
      <c r="D406" s="269"/>
      <c r="E406" s="1185"/>
      <c r="F406" s="1203"/>
      <c r="G406" s="269"/>
      <c r="H406" s="1185"/>
      <c r="I406" s="1203"/>
      <c r="J406" s="1230">
        <f>J181</f>
        <v>2.6779999999999999</v>
      </c>
      <c r="K406" s="1009" t="s">
        <v>374</v>
      </c>
      <c r="L406" s="1203">
        <f t="shared" si="65"/>
        <v>0</v>
      </c>
      <c r="N406" s="1204"/>
      <c r="P406" s="815"/>
      <c r="Q406" s="1184"/>
      <c r="R406" s="1184"/>
      <c r="S406" s="1205"/>
      <c r="T406" s="1205"/>
      <c r="Y406" s="1185"/>
      <c r="Z406" s="1185"/>
      <c r="AA406" s="1185"/>
      <c r="AB406" s="1185"/>
      <c r="AC406" s="1185"/>
      <c r="AD406" s="1185"/>
      <c r="AE406" s="1185"/>
      <c r="AF406" s="1185"/>
      <c r="AG406" s="1185"/>
      <c r="AH406" s="1185"/>
      <c r="AI406" s="1185"/>
      <c r="AK406" s="1204"/>
    </row>
    <row r="407" spans="1:37">
      <c r="A407" s="1219" t="s">
        <v>381</v>
      </c>
      <c r="B407" s="1219"/>
      <c r="C407" s="1026">
        <f>SUM(C386:C388)</f>
        <v>1269347</v>
      </c>
      <c r="D407" s="1255"/>
      <c r="E407" s="1203"/>
      <c r="F407" s="1203">
        <f>SUM(F380:F403)</f>
        <v>137376</v>
      </c>
      <c r="G407" s="1255"/>
      <c r="H407" s="1009"/>
      <c r="I407" s="1203">
        <f>SUM(I380:I403)</f>
        <v>156864</v>
      </c>
      <c r="J407" s="1255"/>
      <c r="K407" s="1009"/>
      <c r="L407" s="1203">
        <f>SUM(L380:L406)</f>
        <v>175478</v>
      </c>
      <c r="N407" s="1185"/>
      <c r="O407" s="1185"/>
      <c r="P407" s="1186"/>
      <c r="Q407" s="1186"/>
      <c r="R407" s="1186"/>
      <c r="S407" s="1185"/>
      <c r="T407" s="1185"/>
      <c r="U407" s="1185"/>
      <c r="V407" s="1185"/>
      <c r="W407" s="1185"/>
      <c r="X407" s="1185"/>
      <c r="Y407" s="1185"/>
      <c r="Z407" s="1185"/>
      <c r="AA407" s="1185"/>
      <c r="AB407" s="1185"/>
      <c r="AC407" s="1185"/>
      <c r="AD407" s="1185"/>
      <c r="AE407" s="1185"/>
      <c r="AF407" s="1185"/>
      <c r="AG407" s="1185"/>
      <c r="AH407" s="1185"/>
      <c r="AI407" s="1185"/>
      <c r="AK407" s="1204"/>
    </row>
    <row r="408" spans="1:37">
      <c r="A408" s="1219" t="s">
        <v>363</v>
      </c>
      <c r="B408" s="1219"/>
      <c r="C408" s="1032">
        <f>'[94]Table 2'!H42</f>
        <v>-3272.5983006765778</v>
      </c>
      <c r="D408" s="1218"/>
      <c r="E408" s="1218"/>
      <c r="F408" s="1264" t="e">
        <f>#REF!</f>
        <v>#REF!</v>
      </c>
      <c r="G408" s="1218"/>
      <c r="H408" s="1218"/>
      <c r="I408" s="1264">
        <f>'[94]Table 3'!E42</f>
        <v>-457.64161025595331</v>
      </c>
      <c r="J408" s="1218"/>
      <c r="K408" s="1218"/>
      <c r="L408" s="1264">
        <f>I408</f>
        <v>-457.64161025595331</v>
      </c>
      <c r="N408" s="444"/>
      <c r="O408" s="444"/>
      <c r="P408" s="287"/>
      <c r="Q408" s="1186"/>
      <c r="R408" s="1186"/>
      <c r="S408" s="1185"/>
      <c r="T408" s="1185"/>
      <c r="U408" s="1185"/>
      <c r="V408" s="1185"/>
      <c r="W408" s="1185"/>
      <c r="X408" s="1185"/>
      <c r="Y408" s="1185"/>
      <c r="Z408" s="1185"/>
      <c r="AA408" s="1185"/>
      <c r="AB408" s="1185"/>
      <c r="AC408" s="1185"/>
      <c r="AD408" s="1185"/>
      <c r="AE408" s="1185"/>
      <c r="AF408" s="1185"/>
      <c r="AG408" s="1185"/>
      <c r="AH408" s="1185"/>
      <c r="AI408" s="1185"/>
      <c r="AK408" s="1204"/>
    </row>
    <row r="409" spans="1:37" ht="16.5" thickBot="1">
      <c r="A409" s="1219" t="s">
        <v>382</v>
      </c>
      <c r="B409" s="1219"/>
      <c r="C409" s="1240">
        <f>SUM(C407:C408)</f>
        <v>1266074.4016993234</v>
      </c>
      <c r="D409" s="1265"/>
      <c r="E409" s="1266"/>
      <c r="F409" s="1267" t="e">
        <f>F407+F408</f>
        <v>#REF!</v>
      </c>
      <c r="G409" s="1265"/>
      <c r="H409" s="1269"/>
      <c r="I409" s="1267">
        <f>I407+I408</f>
        <v>156406.35838974404</v>
      </c>
      <c r="J409" s="1265"/>
      <c r="K409" s="1269"/>
      <c r="L409" s="1267">
        <f>L407+L408</f>
        <v>175020.35838974404</v>
      </c>
      <c r="N409" s="411"/>
      <c r="O409" s="411"/>
      <c r="P409" s="470"/>
      <c r="Q409" s="1186"/>
      <c r="R409" s="1186"/>
      <c r="S409" s="1185"/>
      <c r="T409" s="1185"/>
      <c r="U409" s="1185"/>
      <c r="V409" s="1185"/>
      <c r="W409" s="1185"/>
      <c r="X409" s="1185"/>
      <c r="Y409" s="1185"/>
      <c r="Z409" s="1185"/>
      <c r="AA409" s="1185"/>
      <c r="AB409" s="1185"/>
      <c r="AC409" s="1185"/>
      <c r="AD409" s="1185"/>
      <c r="AE409" s="1185"/>
      <c r="AF409" s="1185"/>
      <c r="AG409" s="1185"/>
      <c r="AH409" s="1185"/>
      <c r="AI409" s="1185"/>
      <c r="AK409" s="1204"/>
    </row>
    <row r="410" spans="1:37" ht="16.5" thickTop="1">
      <c r="A410" s="1219"/>
      <c r="B410" s="1219"/>
      <c r="C410" s="1225"/>
      <c r="D410" s="1261"/>
      <c r="E410" s="1203"/>
      <c r="F410" s="1203"/>
      <c r="G410" s="1261"/>
      <c r="H410" s="1219"/>
      <c r="I410" s="1203"/>
      <c r="J410" s="1261"/>
      <c r="K410" s="1219"/>
      <c r="L410" s="1203" t="s">
        <v>31</v>
      </c>
      <c r="N410" s="1185"/>
      <c r="O410" s="1185"/>
      <c r="P410" s="1186"/>
      <c r="Q410" s="1186"/>
      <c r="R410" s="1186"/>
      <c r="S410" s="1185"/>
      <c r="T410" s="1185"/>
      <c r="U410" s="1185"/>
      <c r="V410" s="1185"/>
      <c r="W410" s="1185"/>
      <c r="X410" s="1185"/>
      <c r="Y410" s="1185"/>
      <c r="Z410" s="1185"/>
      <c r="AA410" s="1185"/>
      <c r="AB410" s="1185"/>
      <c r="AC410" s="1185"/>
      <c r="AD410" s="1185"/>
      <c r="AE410" s="1185"/>
      <c r="AF410" s="1185"/>
      <c r="AG410" s="1185"/>
      <c r="AH410" s="1185"/>
      <c r="AI410" s="1185"/>
      <c r="AK410" s="1204"/>
    </row>
    <row r="411" spans="1:37">
      <c r="A411" s="1224" t="s">
        <v>415</v>
      </c>
      <c r="B411" s="1219"/>
      <c r="C411" s="1219"/>
      <c r="D411" s="1203"/>
      <c r="E411" s="1203"/>
      <c r="F411" s="1219" t="s">
        <v>31</v>
      </c>
      <c r="G411" s="1203"/>
      <c r="H411" s="1219"/>
      <c r="I411" s="1219"/>
      <c r="J411" s="1203"/>
      <c r="K411" s="1219"/>
      <c r="L411" s="1219"/>
      <c r="N411" s="1185"/>
      <c r="O411" s="1185"/>
      <c r="P411" s="1186"/>
      <c r="Q411" s="1186"/>
      <c r="R411" s="1186"/>
      <c r="S411" s="1185"/>
      <c r="T411" s="1185"/>
      <c r="U411" s="1185"/>
      <c r="V411" s="1185"/>
      <c r="W411" s="1185"/>
      <c r="X411" s="1185"/>
      <c r="Y411" s="1185"/>
      <c r="Z411" s="1185"/>
      <c r="AA411" s="1185"/>
      <c r="AB411" s="1185"/>
      <c r="AC411" s="1185"/>
      <c r="AD411" s="1185"/>
      <c r="AE411" s="1185"/>
      <c r="AF411" s="1185"/>
      <c r="AG411" s="1185"/>
      <c r="AH411" s="1185"/>
      <c r="AI411" s="1185"/>
      <c r="AK411" s="1204"/>
    </row>
    <row r="412" spans="1:37">
      <c r="A412" s="1219" t="s">
        <v>414</v>
      </c>
      <c r="B412" s="1219"/>
      <c r="C412" s="1219"/>
      <c r="D412" s="1203"/>
      <c r="E412" s="1203"/>
      <c r="F412" s="1219"/>
      <c r="G412" s="1203"/>
      <c r="H412" s="1219"/>
      <c r="I412" s="1219"/>
      <c r="J412" s="1203"/>
      <c r="K412" s="1219"/>
      <c r="L412" s="1219"/>
      <c r="N412" s="1185"/>
      <c r="O412" s="1185"/>
      <c r="P412" s="1186"/>
      <c r="Q412" s="1186"/>
      <c r="R412" s="1186"/>
      <c r="S412" s="1185"/>
      <c r="T412" s="1185"/>
      <c r="U412" s="1185"/>
      <c r="V412" s="1185"/>
      <c r="W412" s="1185"/>
      <c r="X412" s="1185"/>
      <c r="Y412" s="1185"/>
      <c r="Z412" s="1185"/>
      <c r="AA412" s="1185"/>
      <c r="AB412" s="1185"/>
      <c r="AC412" s="1185"/>
      <c r="AD412" s="1185"/>
      <c r="AE412" s="1185"/>
      <c r="AF412" s="1185"/>
      <c r="AG412" s="1185"/>
      <c r="AH412" s="1185"/>
      <c r="AI412" s="1185"/>
      <c r="AK412" s="1204"/>
    </row>
    <row r="413" spans="1:37">
      <c r="A413" s="1219"/>
      <c r="B413" s="1219"/>
      <c r="C413" s="1219"/>
      <c r="D413" s="1203"/>
      <c r="E413" s="1203"/>
      <c r="F413" s="1219"/>
      <c r="G413" s="1203"/>
      <c r="H413" s="1219"/>
      <c r="I413" s="1219"/>
      <c r="J413" s="1203"/>
      <c r="K413" s="1219"/>
      <c r="L413" s="1219"/>
      <c r="N413" s="1185"/>
      <c r="O413" s="1185"/>
      <c r="P413" s="1186"/>
      <c r="Q413" s="1186"/>
      <c r="R413" s="1186"/>
      <c r="S413" s="1185"/>
      <c r="T413" s="1185"/>
      <c r="U413" s="1185"/>
      <c r="V413" s="1185"/>
      <c r="W413" s="1185"/>
      <c r="X413" s="1185"/>
      <c r="Y413" s="1185"/>
      <c r="Z413" s="1185"/>
      <c r="AA413" s="1185"/>
      <c r="AB413" s="1185"/>
      <c r="AC413" s="1185"/>
      <c r="AD413" s="1185"/>
      <c r="AE413" s="1185"/>
      <c r="AF413" s="1185"/>
      <c r="AG413" s="1185"/>
      <c r="AH413" s="1185"/>
      <c r="AI413" s="1185"/>
      <c r="AK413" s="1204"/>
    </row>
    <row r="414" spans="1:37">
      <c r="A414" s="1219" t="s">
        <v>393</v>
      </c>
      <c r="B414" s="1219"/>
      <c r="C414" s="1026"/>
      <c r="D414" s="1203"/>
      <c r="E414" s="1203"/>
      <c r="F414" s="1219"/>
      <c r="G414" s="1203"/>
      <c r="H414" s="1219"/>
      <c r="I414" s="1219"/>
      <c r="J414" s="1203"/>
      <c r="K414" s="1219"/>
      <c r="L414" s="1219"/>
      <c r="N414" s="1185"/>
      <c r="O414" s="1185"/>
      <c r="P414" s="1186"/>
      <c r="Q414" s="1186"/>
      <c r="R414" s="1186"/>
      <c r="S414" s="1185"/>
      <c r="T414" s="1185"/>
      <c r="U414" s="1185"/>
      <c r="V414" s="1185"/>
      <c r="W414" s="1185"/>
      <c r="X414" s="1185"/>
      <c r="Y414" s="1185"/>
      <c r="Z414" s="1185"/>
      <c r="AA414" s="1185"/>
      <c r="AB414" s="1185"/>
      <c r="AC414" s="1185"/>
      <c r="AD414" s="1185"/>
      <c r="AE414" s="1185"/>
      <c r="AF414" s="1185"/>
      <c r="AG414" s="1185"/>
      <c r="AH414" s="1185"/>
      <c r="AI414" s="1185"/>
      <c r="AK414" s="1204"/>
    </row>
    <row r="415" spans="1:37">
      <c r="A415" s="1219" t="s">
        <v>416</v>
      </c>
      <c r="B415" s="1219"/>
      <c r="C415" s="1026">
        <v>516</v>
      </c>
      <c r="D415" s="1229">
        <v>7.64</v>
      </c>
      <c r="E415" s="1041"/>
      <c r="F415" s="1203">
        <f>ROUND(D415*$C415,0)</f>
        <v>3942</v>
      </c>
      <c r="G415" s="1229">
        <v>8.7100000000000009</v>
      </c>
      <c r="H415" s="1009"/>
      <c r="I415" s="1203">
        <f>ROUND(G415*$C415,0)</f>
        <v>4494</v>
      </c>
      <c r="J415" s="1229">
        <f>$J$169</f>
        <v>9.74</v>
      </c>
      <c r="K415" s="1009"/>
      <c r="L415" s="1203">
        <f>ROUND(J415*$C415,0)</f>
        <v>5026</v>
      </c>
      <c r="N415" s="1185"/>
      <c r="O415" s="1185"/>
      <c r="P415" s="1186"/>
      <c r="Q415" s="1186"/>
      <c r="R415" s="1186"/>
      <c r="S415" s="1185"/>
      <c r="T415" s="1185"/>
      <c r="U415" s="1185"/>
      <c r="V415" s="1185"/>
      <c r="W415" s="1185"/>
      <c r="X415" s="1185"/>
      <c r="Y415" s="1185"/>
      <c r="Z415" s="1185"/>
      <c r="AA415" s="1185"/>
      <c r="AB415" s="1185"/>
      <c r="AC415" s="1185"/>
      <c r="AD415" s="1185"/>
      <c r="AE415" s="1185"/>
      <c r="AF415" s="1185"/>
      <c r="AG415" s="1185"/>
      <c r="AH415" s="1185"/>
      <c r="AI415" s="1185"/>
      <c r="AK415" s="1204"/>
    </row>
    <row r="416" spans="1:37">
      <c r="A416" s="1219" t="s">
        <v>391</v>
      </c>
      <c r="B416" s="1219"/>
      <c r="C416" s="1026">
        <v>0</v>
      </c>
      <c r="D416" s="1229">
        <v>11.36</v>
      </c>
      <c r="E416" s="1249"/>
      <c r="F416" s="1203">
        <f>ROUND(D416*$C416,0)</f>
        <v>0</v>
      </c>
      <c r="G416" s="1229">
        <v>12.98</v>
      </c>
      <c r="H416" s="1250"/>
      <c r="I416" s="1203">
        <f t="shared" ref="I416:I417" si="66">ROUND(G416*$C416,0)</f>
        <v>0</v>
      </c>
      <c r="J416" s="1229">
        <f>$J$170</f>
        <v>14.51</v>
      </c>
      <c r="K416" s="1250"/>
      <c r="L416" s="1203">
        <f>ROUND(J416*$C416,0)</f>
        <v>0</v>
      </c>
      <c r="N416" s="1185"/>
      <c r="O416" s="1185"/>
      <c r="P416" s="1186"/>
      <c r="Q416" s="1186"/>
      <c r="R416" s="1186"/>
      <c r="S416" s="1185"/>
      <c r="T416" s="1185"/>
      <c r="U416" s="1185"/>
      <c r="V416" s="1185"/>
      <c r="W416" s="1185"/>
      <c r="X416" s="1185"/>
      <c r="Y416" s="1185"/>
      <c r="Z416" s="1185"/>
      <c r="AA416" s="1185"/>
      <c r="AB416" s="1185"/>
      <c r="AC416" s="1185"/>
      <c r="AD416" s="1185"/>
      <c r="AE416" s="1185"/>
      <c r="AF416" s="1185"/>
      <c r="AG416" s="1185"/>
      <c r="AH416" s="1185"/>
      <c r="AI416" s="1185"/>
      <c r="AK416" s="1204"/>
    </row>
    <row r="417" spans="1:37">
      <c r="A417" s="1219" t="s">
        <v>392</v>
      </c>
      <c r="B417" s="1219"/>
      <c r="C417" s="1026">
        <v>0</v>
      </c>
      <c r="D417" s="1229">
        <v>0.81</v>
      </c>
      <c r="E417" s="1249"/>
      <c r="F417" s="1203">
        <f>ROUND(D417*$C417,0)</f>
        <v>0</v>
      </c>
      <c r="G417" s="1229">
        <v>0.92</v>
      </c>
      <c r="H417" s="1250"/>
      <c r="I417" s="1203">
        <f t="shared" si="66"/>
        <v>0</v>
      </c>
      <c r="J417" s="1229">
        <f>$J$171</f>
        <v>1.03</v>
      </c>
      <c r="K417" s="1250"/>
      <c r="L417" s="1203">
        <f>ROUND(J417*$C417,0)</f>
        <v>0</v>
      </c>
      <c r="N417" s="1185"/>
      <c r="O417" s="1185"/>
      <c r="P417" s="1186"/>
      <c r="Q417" s="1186"/>
      <c r="R417" s="1186"/>
      <c r="S417" s="1185"/>
      <c r="T417" s="1185"/>
      <c r="U417" s="1185"/>
      <c r="V417" s="1185"/>
      <c r="W417" s="1185"/>
      <c r="X417" s="1185"/>
      <c r="Y417" s="1185"/>
      <c r="Z417" s="1185"/>
      <c r="AA417" s="1185"/>
      <c r="AB417" s="1185"/>
      <c r="AC417" s="1185"/>
      <c r="AD417" s="1185"/>
      <c r="AE417" s="1185"/>
      <c r="AF417" s="1185"/>
      <c r="AG417" s="1185"/>
      <c r="AH417" s="1185"/>
      <c r="AI417" s="1185"/>
      <c r="AK417" s="1204"/>
    </row>
    <row r="418" spans="1:37">
      <c r="A418" s="1219" t="s">
        <v>394</v>
      </c>
      <c r="B418" s="1219"/>
      <c r="C418" s="1026">
        <f>SUM(C415:C416)</f>
        <v>516</v>
      </c>
      <c r="D418" s="1229"/>
      <c r="E418" s="1041"/>
      <c r="F418" s="1203"/>
      <c r="G418" s="1229"/>
      <c r="H418" s="1009"/>
      <c r="I418" s="1203"/>
      <c r="J418" s="1229"/>
      <c r="K418" s="1009"/>
      <c r="L418" s="1203"/>
      <c r="N418" s="1185"/>
      <c r="O418" s="1185"/>
      <c r="P418" s="1186"/>
      <c r="Q418" s="1186"/>
      <c r="R418" s="1186"/>
      <c r="S418" s="1185"/>
      <c r="T418" s="1185"/>
      <c r="U418" s="1185"/>
      <c r="V418" s="1185"/>
      <c r="W418" s="1185"/>
      <c r="X418" s="1185"/>
      <c r="Y418" s="1185"/>
      <c r="Z418" s="1185"/>
      <c r="AA418" s="1185"/>
      <c r="AB418" s="1185"/>
      <c r="AC418" s="1185"/>
      <c r="AD418" s="1185"/>
      <c r="AE418" s="1185"/>
      <c r="AF418" s="1185"/>
      <c r="AG418" s="1185"/>
      <c r="AH418" s="1185"/>
      <c r="AI418" s="1185"/>
      <c r="AK418" s="1204"/>
    </row>
    <row r="419" spans="1:37">
      <c r="A419" s="1219" t="s">
        <v>362</v>
      </c>
      <c r="B419" s="1219"/>
      <c r="C419" s="1026">
        <v>48</v>
      </c>
      <c r="D419" s="1229"/>
      <c r="E419" s="1041"/>
      <c r="F419" s="1203"/>
      <c r="G419" s="1229"/>
      <c r="H419" s="1009"/>
      <c r="I419" s="1203"/>
      <c r="J419" s="1229"/>
      <c r="K419" s="1009"/>
      <c r="L419" s="1203"/>
      <c r="N419" s="1185"/>
      <c r="O419" s="1185"/>
      <c r="P419" s="1186"/>
      <c r="Q419" s="1186"/>
      <c r="R419" s="1186"/>
      <c r="S419" s="1185"/>
      <c r="T419" s="1185"/>
      <c r="U419" s="1185"/>
      <c r="V419" s="1185"/>
      <c r="W419" s="1185"/>
      <c r="X419" s="1185"/>
      <c r="Y419" s="1185"/>
      <c r="Z419" s="1185"/>
      <c r="AA419" s="1185"/>
      <c r="AB419" s="1185"/>
      <c r="AC419" s="1185"/>
      <c r="AD419" s="1185"/>
      <c r="AE419" s="1185"/>
      <c r="AF419" s="1185"/>
      <c r="AG419" s="1185"/>
      <c r="AH419" s="1185"/>
      <c r="AI419" s="1185"/>
      <c r="AK419" s="1204"/>
    </row>
    <row r="420" spans="1:37">
      <c r="A420" s="1219" t="s">
        <v>395</v>
      </c>
      <c r="B420" s="1219"/>
      <c r="C420" s="1026">
        <v>0</v>
      </c>
      <c r="D420" s="1261">
        <v>2.98</v>
      </c>
      <c r="E420" s="1009"/>
      <c r="F420" s="1203">
        <f>ROUND(D420*$C420,0)</f>
        <v>0</v>
      </c>
      <c r="G420" s="1261">
        <v>3.4</v>
      </c>
      <c r="H420" s="1009"/>
      <c r="I420" s="1203">
        <f>ROUND(G420*C420,0)</f>
        <v>0</v>
      </c>
      <c r="J420" s="1261">
        <f>$J$174</f>
        <v>3.8</v>
      </c>
      <c r="K420" s="1009"/>
      <c r="L420" s="1203">
        <f>ROUND(J420*$C420,0)</f>
        <v>0</v>
      </c>
      <c r="N420" s="1185"/>
      <c r="O420" s="1185"/>
      <c r="P420" s="1186"/>
      <c r="Q420" s="1186"/>
      <c r="R420" s="1186"/>
      <c r="S420" s="1185"/>
      <c r="T420" s="1185"/>
      <c r="U420" s="1185"/>
      <c r="V420" s="1185"/>
      <c r="W420" s="1185"/>
      <c r="X420" s="1185"/>
      <c r="Y420" s="1185"/>
      <c r="Z420" s="1185"/>
      <c r="AA420" s="1185"/>
      <c r="AB420" s="1185"/>
      <c r="AC420" s="1185"/>
      <c r="AD420" s="1185"/>
      <c r="AE420" s="1185"/>
      <c r="AF420" s="1185"/>
      <c r="AG420" s="1185"/>
      <c r="AH420" s="1185"/>
      <c r="AI420" s="1185"/>
      <c r="AK420" s="1204"/>
    </row>
    <row r="421" spans="1:37">
      <c r="A421" s="1219" t="s">
        <v>397</v>
      </c>
      <c r="B421" s="1219"/>
      <c r="C421" s="1026">
        <f>33313</f>
        <v>33313</v>
      </c>
      <c r="D421" s="1230">
        <v>8.5489999999999995</v>
      </c>
      <c r="E421" s="1009" t="s">
        <v>374</v>
      </c>
      <c r="F421" s="1203">
        <f>ROUND(D421*$C421/100,0)</f>
        <v>2848</v>
      </c>
      <c r="G421" s="1230">
        <v>9.766</v>
      </c>
      <c r="H421" s="1009" t="s">
        <v>374</v>
      </c>
      <c r="I421" s="1203">
        <f>ROUND(G421*C421/100,0)</f>
        <v>3253</v>
      </c>
      <c r="J421" s="1230">
        <f>$J$175</f>
        <v>6.4269999999999996</v>
      </c>
      <c r="K421" s="1009" t="s">
        <v>374</v>
      </c>
      <c r="L421" s="1203">
        <f>ROUND(J421*$C421/100,0)</f>
        <v>2141</v>
      </c>
      <c r="N421" s="1185"/>
      <c r="O421" s="1185"/>
      <c r="P421" s="1186"/>
      <c r="Q421" s="1186"/>
      <c r="R421" s="1186"/>
      <c r="S421" s="1185"/>
      <c r="T421" s="1185"/>
      <c r="U421" s="1185"/>
      <c r="V421" s="1185"/>
      <c r="W421" s="1185"/>
      <c r="X421" s="1185"/>
      <c r="Y421" s="1185"/>
      <c r="Z421" s="1185"/>
      <c r="AA421" s="1185"/>
      <c r="AB421" s="1185"/>
      <c r="AC421" s="1185"/>
      <c r="AD421" s="1185"/>
      <c r="AE421" s="1185"/>
      <c r="AF421" s="1185"/>
      <c r="AG421" s="1185"/>
      <c r="AH421" s="1185"/>
      <c r="AI421" s="1185"/>
      <c r="AK421" s="1204"/>
    </row>
    <row r="422" spans="1:37">
      <c r="A422" s="1219" t="s">
        <v>398</v>
      </c>
      <c r="B422" s="1219"/>
      <c r="C422" s="1026">
        <v>0</v>
      </c>
      <c r="D422" s="1230">
        <v>5.9020000000000001</v>
      </c>
      <c r="E422" s="1009" t="s">
        <v>374</v>
      </c>
      <c r="F422" s="1203">
        <f>ROUND(D422*$C422/100,0)</f>
        <v>0</v>
      </c>
      <c r="G422" s="1230">
        <v>6.7460000000000004</v>
      </c>
      <c r="H422" s="1009" t="s">
        <v>374</v>
      </c>
      <c r="I422" s="1203">
        <f t="shared" ref="I422:I424" si="67">ROUND(G422*C422/100,0)</f>
        <v>0</v>
      </c>
      <c r="J422" s="1230">
        <f>$J$176</f>
        <v>4.4400000000000004</v>
      </c>
      <c r="K422" s="1009" t="s">
        <v>374</v>
      </c>
      <c r="L422" s="1203">
        <f>ROUND(J422*$C422/100,0)</f>
        <v>0</v>
      </c>
      <c r="N422" s="1185"/>
      <c r="O422" s="1185"/>
      <c r="P422" s="1186"/>
      <c r="Q422" s="1186"/>
      <c r="R422" s="1186"/>
      <c r="S422" s="1185"/>
      <c r="T422" s="1185"/>
      <c r="U422" s="1185"/>
      <c r="V422" s="1185"/>
      <c r="W422" s="1185"/>
      <c r="X422" s="1185"/>
      <c r="Y422" s="1185"/>
      <c r="Z422" s="1185"/>
      <c r="AA422" s="1185"/>
      <c r="AB422" s="1185"/>
      <c r="AC422" s="1185"/>
      <c r="AD422" s="1185"/>
      <c r="AE422" s="1185"/>
      <c r="AF422" s="1185"/>
      <c r="AG422" s="1185"/>
      <c r="AH422" s="1185"/>
      <c r="AI422" s="1185"/>
      <c r="AK422" s="1204"/>
    </row>
    <row r="423" spans="1:37">
      <c r="A423" s="1219" t="s">
        <v>399</v>
      </c>
      <c r="B423" s="1219"/>
      <c r="C423" s="1026">
        <v>0</v>
      </c>
      <c r="D423" s="1230">
        <v>5.0839999999999996</v>
      </c>
      <c r="E423" s="1009" t="s">
        <v>374</v>
      </c>
      <c r="F423" s="1203">
        <f>ROUND(D423*$C423/100,0)</f>
        <v>0</v>
      </c>
      <c r="G423" s="1230">
        <v>5.8120000000000003</v>
      </c>
      <c r="H423" s="1009" t="s">
        <v>374</v>
      </c>
      <c r="I423" s="1203">
        <f t="shared" si="67"/>
        <v>0</v>
      </c>
      <c r="J423" s="1230">
        <f>$J$177</f>
        <v>3.8250000000000002</v>
      </c>
      <c r="K423" s="1009" t="s">
        <v>374</v>
      </c>
      <c r="L423" s="1203">
        <f>ROUND(J423*$C423/100,0)</f>
        <v>0</v>
      </c>
      <c r="N423" s="1185"/>
      <c r="O423" s="1185"/>
      <c r="P423" s="1186"/>
      <c r="Q423" s="1186"/>
      <c r="R423" s="1186"/>
      <c r="S423" s="1185"/>
      <c r="T423" s="1185"/>
      <c r="U423" s="1185"/>
      <c r="V423" s="1185"/>
      <c r="W423" s="1185"/>
      <c r="X423" s="1185"/>
      <c r="Y423" s="1185"/>
      <c r="Z423" s="1185"/>
      <c r="AA423" s="1185"/>
      <c r="AB423" s="1185"/>
      <c r="AC423" s="1185"/>
      <c r="AD423" s="1185"/>
      <c r="AE423" s="1185"/>
      <c r="AF423" s="1185"/>
      <c r="AG423" s="1185"/>
      <c r="AH423" s="1185"/>
      <c r="AI423" s="1185"/>
      <c r="AK423" s="1204"/>
    </row>
    <row r="424" spans="1:37">
      <c r="A424" s="1219" t="s">
        <v>400</v>
      </c>
      <c r="B424" s="1219"/>
      <c r="C424" s="1026">
        <v>0</v>
      </c>
      <c r="D424" s="1255">
        <v>50</v>
      </c>
      <c r="E424" s="1041" t="s">
        <v>374</v>
      </c>
      <c r="F424" s="1203">
        <f>ROUND(D424*$C424/100,0)</f>
        <v>0</v>
      </c>
      <c r="G424" s="1255">
        <v>56</v>
      </c>
      <c r="H424" s="1009" t="s">
        <v>374</v>
      </c>
      <c r="I424" s="1203">
        <f t="shared" si="67"/>
        <v>0</v>
      </c>
      <c r="J424" s="1255">
        <f>$J$178</f>
        <v>63</v>
      </c>
      <c r="K424" s="1009" t="s">
        <v>374</v>
      </c>
      <c r="L424" s="1203">
        <f>ROUND(J424*$C424/100,0)</f>
        <v>0</v>
      </c>
      <c r="N424" s="1185"/>
      <c r="O424" s="1185"/>
      <c r="P424" s="1186"/>
      <c r="Q424" s="1186"/>
      <c r="R424" s="1186"/>
      <c r="S424" s="1185"/>
      <c r="T424" s="1185"/>
      <c r="U424" s="1185"/>
      <c r="V424" s="1185"/>
      <c r="W424" s="1185"/>
      <c r="X424" s="1185"/>
      <c r="Y424" s="1185"/>
      <c r="Z424" s="1185"/>
      <c r="AA424" s="1185"/>
      <c r="AB424" s="1185"/>
      <c r="AC424" s="1185"/>
      <c r="AD424" s="1185"/>
      <c r="AE424" s="1185"/>
      <c r="AF424" s="1185"/>
      <c r="AG424" s="1185"/>
      <c r="AH424" s="1185"/>
      <c r="AI424" s="1185"/>
      <c r="AK424" s="1204"/>
    </row>
    <row r="425" spans="1:37">
      <c r="A425" s="1005" t="s">
        <v>918</v>
      </c>
      <c r="C425" s="1202">
        <f>C421</f>
        <v>33313</v>
      </c>
      <c r="D425" s="269"/>
      <c r="E425" s="1185"/>
      <c r="F425" s="1203"/>
      <c r="G425" s="269"/>
      <c r="H425" s="1185"/>
      <c r="I425" s="1203"/>
      <c r="J425" s="1230">
        <f>J179</f>
        <v>4.4989999999999997</v>
      </c>
      <c r="K425" s="1009" t="s">
        <v>374</v>
      </c>
      <c r="L425" s="1203">
        <f t="shared" ref="L425:L427" si="68">ROUND(J425*$C425/100,0)</f>
        <v>1499</v>
      </c>
      <c r="N425" s="1204"/>
      <c r="P425" s="815"/>
      <c r="Q425" s="1184"/>
      <c r="R425" s="1184"/>
      <c r="S425" s="1205"/>
      <c r="T425" s="1205"/>
      <c r="Y425" s="1185"/>
      <c r="Z425" s="1185"/>
      <c r="AA425" s="1185"/>
      <c r="AB425" s="1185"/>
      <c r="AC425" s="1185"/>
      <c r="AD425" s="1185"/>
      <c r="AE425" s="1185"/>
      <c r="AF425" s="1185"/>
      <c r="AG425" s="1185"/>
      <c r="AH425" s="1185"/>
      <c r="AI425" s="1185"/>
      <c r="AK425" s="1204"/>
    </row>
    <row r="426" spans="1:37">
      <c r="A426" s="1005" t="s">
        <v>919</v>
      </c>
      <c r="C426" s="1202">
        <f>C422</f>
        <v>0</v>
      </c>
      <c r="D426" s="269"/>
      <c r="E426" s="1185"/>
      <c r="F426" s="1203"/>
      <c r="G426" s="269"/>
      <c r="H426" s="1185"/>
      <c r="I426" s="1203"/>
      <c r="J426" s="1230">
        <f>J180</f>
        <v>3.1080000000000001</v>
      </c>
      <c r="K426" s="1009" t="s">
        <v>374</v>
      </c>
      <c r="L426" s="1203">
        <f t="shared" si="68"/>
        <v>0</v>
      </c>
      <c r="N426" s="1204"/>
      <c r="P426" s="815"/>
      <c r="Q426" s="1184"/>
      <c r="R426" s="1184"/>
      <c r="S426" s="1205"/>
      <c r="T426" s="1205"/>
      <c r="Y426" s="1185"/>
      <c r="Z426" s="1185"/>
      <c r="AA426" s="1185"/>
      <c r="AB426" s="1185"/>
      <c r="AC426" s="1185"/>
      <c r="AD426" s="1185"/>
      <c r="AE426" s="1185"/>
      <c r="AF426" s="1185"/>
      <c r="AG426" s="1185"/>
      <c r="AH426" s="1185"/>
      <c r="AI426" s="1185"/>
      <c r="AK426" s="1204"/>
    </row>
    <row r="427" spans="1:37">
      <c r="A427" s="1005" t="s">
        <v>920</v>
      </c>
      <c r="C427" s="1202">
        <f>C423</f>
        <v>0</v>
      </c>
      <c r="D427" s="269"/>
      <c r="E427" s="1185"/>
      <c r="F427" s="1203"/>
      <c r="G427" s="269"/>
      <c r="H427" s="1185"/>
      <c r="I427" s="1203"/>
      <c r="J427" s="1230">
        <f>J181</f>
        <v>2.6779999999999999</v>
      </c>
      <c r="K427" s="1009" t="s">
        <v>374</v>
      </c>
      <c r="L427" s="1203">
        <f t="shared" si="68"/>
        <v>0</v>
      </c>
      <c r="N427" s="1204"/>
      <c r="P427" s="815"/>
      <c r="Q427" s="1184"/>
      <c r="R427" s="1184"/>
      <c r="S427" s="1205"/>
      <c r="T427" s="1205"/>
      <c r="Y427" s="1185"/>
      <c r="Z427" s="1185"/>
      <c r="AA427" s="1185"/>
      <c r="AB427" s="1185"/>
      <c r="AC427" s="1185"/>
      <c r="AD427" s="1185"/>
      <c r="AE427" s="1185"/>
      <c r="AF427" s="1185"/>
      <c r="AG427" s="1185"/>
      <c r="AH427" s="1185"/>
      <c r="AI427" s="1185"/>
      <c r="AK427" s="1204"/>
    </row>
    <row r="428" spans="1:37">
      <c r="A428" s="1256" t="s">
        <v>401</v>
      </c>
      <c r="B428" s="1219"/>
      <c r="C428" s="1026"/>
      <c r="D428" s="1257">
        <v>-0.01</v>
      </c>
      <c r="E428" s="1041"/>
      <c r="F428" s="1203"/>
      <c r="G428" s="1257">
        <v>-0.01</v>
      </c>
      <c r="H428" s="1009"/>
      <c r="I428" s="1203"/>
      <c r="J428" s="1257">
        <v>-0.01</v>
      </c>
      <c r="K428" s="1009"/>
      <c r="L428" s="1203"/>
      <c r="N428" s="1185"/>
      <c r="O428" s="1185"/>
      <c r="P428" s="1186"/>
      <c r="Q428" s="1186"/>
      <c r="R428" s="1186"/>
      <c r="S428" s="1185"/>
      <c r="T428" s="1185"/>
      <c r="U428" s="1185"/>
      <c r="V428" s="1185"/>
      <c r="W428" s="1185"/>
      <c r="X428" s="1185"/>
      <c r="Y428" s="1185"/>
      <c r="Z428" s="1185"/>
      <c r="AA428" s="1185"/>
      <c r="AB428" s="1185"/>
      <c r="AC428" s="1185"/>
      <c r="AD428" s="1185"/>
      <c r="AE428" s="1185"/>
      <c r="AF428" s="1185"/>
      <c r="AG428" s="1185"/>
      <c r="AH428" s="1185"/>
      <c r="AI428" s="1185"/>
      <c r="AK428" s="1204"/>
    </row>
    <row r="429" spans="1:37">
      <c r="A429" s="1219" t="s">
        <v>390</v>
      </c>
      <c r="B429" s="1219"/>
      <c r="C429" s="1026">
        <v>0</v>
      </c>
      <c r="D429" s="1259">
        <v>7.64</v>
      </c>
      <c r="E429" s="1041"/>
      <c r="F429" s="1203">
        <f>-ROUND(D429*$C429/100,0)</f>
        <v>0</v>
      </c>
      <c r="G429" s="1259">
        <v>8.7100000000000009</v>
      </c>
      <c r="H429" s="1041"/>
      <c r="I429" s="1203">
        <f>-ROUND(G429*$C429/100,0)</f>
        <v>0</v>
      </c>
      <c r="J429" s="1259">
        <f>J415</f>
        <v>9.74</v>
      </c>
      <c r="K429" s="1041"/>
      <c r="L429" s="1203">
        <f>-ROUND(J429*$C429/100,0)</f>
        <v>0</v>
      </c>
      <c r="N429" s="1185"/>
      <c r="O429" s="1185"/>
      <c r="P429" s="1186"/>
      <c r="Q429" s="1186"/>
      <c r="R429" s="1186"/>
      <c r="S429" s="1185"/>
      <c r="T429" s="1185"/>
      <c r="U429" s="1185"/>
      <c r="V429" s="1185"/>
      <c r="W429" s="1185"/>
      <c r="X429" s="1185"/>
      <c r="Y429" s="1185"/>
      <c r="Z429" s="1185"/>
      <c r="AA429" s="1185"/>
      <c r="AB429" s="1185"/>
      <c r="AC429" s="1185"/>
      <c r="AD429" s="1185"/>
      <c r="AE429" s="1185"/>
      <c r="AF429" s="1185"/>
      <c r="AG429" s="1185"/>
      <c r="AH429" s="1185"/>
      <c r="AI429" s="1185"/>
      <c r="AK429" s="1204"/>
    </row>
    <row r="430" spans="1:37">
      <c r="A430" s="1219" t="s">
        <v>391</v>
      </c>
      <c r="B430" s="1219"/>
      <c r="C430" s="1026">
        <v>0</v>
      </c>
      <c r="D430" s="1259">
        <v>11.36</v>
      </c>
      <c r="E430" s="1041"/>
      <c r="F430" s="1203">
        <f>-ROUND(D430*$C430/100,0)</f>
        <v>0</v>
      </c>
      <c r="G430" s="1259">
        <v>12.98</v>
      </c>
      <c r="H430" s="1041"/>
      <c r="I430" s="1203">
        <f t="shared" ref="I430:I432" si="69">-ROUND(G430*$C430/100,0)</f>
        <v>0</v>
      </c>
      <c r="J430" s="1259">
        <f>J416</f>
        <v>14.51</v>
      </c>
      <c r="K430" s="1041"/>
      <c r="L430" s="1203">
        <f>-ROUND(J430*$C430/100,0)</f>
        <v>0</v>
      </c>
      <c r="N430" s="1185"/>
      <c r="O430" s="1185"/>
      <c r="P430" s="1186"/>
      <c r="Q430" s="1186"/>
      <c r="R430" s="1186"/>
      <c r="S430" s="1185"/>
      <c r="T430" s="1185"/>
      <c r="U430" s="1185"/>
      <c r="V430" s="1185"/>
      <c r="W430" s="1185"/>
      <c r="X430" s="1185"/>
      <c r="Y430" s="1185"/>
      <c r="Z430" s="1185"/>
      <c r="AA430" s="1185"/>
      <c r="AB430" s="1185"/>
      <c r="AC430" s="1185"/>
      <c r="AD430" s="1185"/>
      <c r="AE430" s="1185"/>
      <c r="AF430" s="1185"/>
      <c r="AG430" s="1185"/>
      <c r="AH430" s="1185"/>
      <c r="AI430" s="1185"/>
      <c r="AK430" s="1204"/>
    </row>
    <row r="431" spans="1:37">
      <c r="A431" s="1219" t="s">
        <v>402</v>
      </c>
      <c r="B431" s="1219"/>
      <c r="C431" s="1026">
        <v>0</v>
      </c>
      <c r="D431" s="1259">
        <v>0.81</v>
      </c>
      <c r="E431" s="1041"/>
      <c r="F431" s="1203">
        <f>-ROUND(D431*$C431/100,0)</f>
        <v>0</v>
      </c>
      <c r="G431" s="1259">
        <v>0.92</v>
      </c>
      <c r="H431" s="1041"/>
      <c r="I431" s="1203">
        <f t="shared" si="69"/>
        <v>0</v>
      </c>
      <c r="J431" s="1259">
        <f>J417</f>
        <v>1.03</v>
      </c>
      <c r="K431" s="1041"/>
      <c r="L431" s="1203">
        <f>-ROUND(J431*$C431/100,0)</f>
        <v>0</v>
      </c>
      <c r="N431" s="1185"/>
      <c r="O431" s="1185"/>
      <c r="P431" s="1186"/>
      <c r="Q431" s="1186"/>
      <c r="R431" s="1186"/>
      <c r="S431" s="1185"/>
      <c r="T431" s="1185"/>
      <c r="U431" s="1185"/>
      <c r="V431" s="1185"/>
      <c r="W431" s="1185"/>
      <c r="X431" s="1185"/>
      <c r="Y431" s="1185"/>
      <c r="Z431" s="1185"/>
      <c r="AA431" s="1185"/>
      <c r="AB431" s="1185"/>
      <c r="AC431" s="1185"/>
      <c r="AD431" s="1185"/>
      <c r="AE431" s="1185"/>
      <c r="AF431" s="1185"/>
      <c r="AG431" s="1185"/>
      <c r="AH431" s="1185"/>
      <c r="AI431" s="1185"/>
      <c r="AK431" s="1204"/>
    </row>
    <row r="432" spans="1:37">
      <c r="A432" s="1219" t="s">
        <v>403</v>
      </c>
      <c r="B432" s="1219"/>
      <c r="C432" s="1026">
        <v>0</v>
      </c>
      <c r="D432" s="1259">
        <v>2.98</v>
      </c>
      <c r="E432" s="1009"/>
      <c r="F432" s="1203">
        <f>-ROUND(D432*$C432/100,0)</f>
        <v>0</v>
      </c>
      <c r="G432" s="1259">
        <v>3.4</v>
      </c>
      <c r="H432" s="1009"/>
      <c r="I432" s="1203">
        <f t="shared" si="69"/>
        <v>0</v>
      </c>
      <c r="J432" s="1259">
        <f>J420</f>
        <v>3.8</v>
      </c>
      <c r="K432" s="1009"/>
      <c r="L432" s="1203">
        <f>-ROUND(J432*$C432/100,0)</f>
        <v>0</v>
      </c>
      <c r="N432" s="1185"/>
      <c r="O432" s="1185"/>
      <c r="P432" s="1186"/>
      <c r="Q432" s="1186"/>
      <c r="R432" s="1186"/>
      <c r="S432" s="1185"/>
      <c r="T432" s="1185"/>
      <c r="U432" s="1185"/>
      <c r="V432" s="1185"/>
      <c r="W432" s="1185"/>
      <c r="X432" s="1185"/>
      <c r="Y432" s="1185"/>
      <c r="Z432" s="1185"/>
      <c r="AA432" s="1185"/>
      <c r="AB432" s="1185"/>
      <c r="AC432" s="1185"/>
      <c r="AD432" s="1185"/>
      <c r="AE432" s="1185"/>
      <c r="AF432" s="1185"/>
      <c r="AG432" s="1185"/>
      <c r="AH432" s="1185"/>
      <c r="AI432" s="1185"/>
      <c r="AK432" s="1204"/>
    </row>
    <row r="433" spans="1:37">
      <c r="A433" s="1219" t="s">
        <v>405</v>
      </c>
      <c r="B433" s="1219"/>
      <c r="C433" s="1026">
        <v>0</v>
      </c>
      <c r="D433" s="1070">
        <v>8.5489999999999995</v>
      </c>
      <c r="E433" s="1009" t="s">
        <v>374</v>
      </c>
      <c r="F433" s="1203">
        <f>ROUND(D433*$C433/100*D428,0)</f>
        <v>0</v>
      </c>
      <c r="G433" s="1070">
        <v>9.766</v>
      </c>
      <c r="H433" s="1009" t="s">
        <v>374</v>
      </c>
      <c r="I433" s="1203">
        <f>ROUND(G433*$C433/100*G428,0)</f>
        <v>0</v>
      </c>
      <c r="J433" s="1070">
        <f>J421</f>
        <v>6.4269999999999996</v>
      </c>
      <c r="K433" s="1009" t="s">
        <v>374</v>
      </c>
      <c r="L433" s="1203">
        <f>ROUND(J433*$C433/100*J428,0)</f>
        <v>0</v>
      </c>
      <c r="N433" s="1185"/>
      <c r="O433" s="1185"/>
      <c r="P433" s="1186"/>
      <c r="Q433" s="1186"/>
      <c r="R433" s="1186"/>
      <c r="S433" s="1185"/>
      <c r="T433" s="1185"/>
      <c r="U433" s="1185"/>
      <c r="V433" s="1185"/>
      <c r="W433" s="1185"/>
      <c r="X433" s="1185"/>
      <c r="Y433" s="1185"/>
      <c r="Z433" s="1185"/>
      <c r="AA433" s="1185"/>
      <c r="AB433" s="1185"/>
      <c r="AC433" s="1185"/>
      <c r="AD433" s="1185"/>
      <c r="AE433" s="1185"/>
      <c r="AF433" s="1185"/>
      <c r="AG433" s="1185"/>
      <c r="AH433" s="1185"/>
      <c r="AI433" s="1185"/>
      <c r="AK433" s="1204"/>
    </row>
    <row r="434" spans="1:37">
      <c r="A434" s="1219" t="s">
        <v>398</v>
      </c>
      <c r="B434" s="1219"/>
      <c r="C434" s="1026">
        <v>0</v>
      </c>
      <c r="D434" s="1070">
        <v>5.9020000000000001</v>
      </c>
      <c r="E434" s="1009" t="s">
        <v>374</v>
      </c>
      <c r="F434" s="1203">
        <f>ROUND(D434*$C434/100*D428,0)</f>
        <v>0</v>
      </c>
      <c r="G434" s="1070">
        <v>6.7460000000000004</v>
      </c>
      <c r="H434" s="1009" t="s">
        <v>374</v>
      </c>
      <c r="I434" s="1203">
        <f>ROUND(G434*$C434/100*G428,0)</f>
        <v>0</v>
      </c>
      <c r="J434" s="1070">
        <f>J422</f>
        <v>4.4400000000000004</v>
      </c>
      <c r="K434" s="1009" t="s">
        <v>374</v>
      </c>
      <c r="L434" s="1203">
        <f>ROUND(J434*$C434/100*J428,0)</f>
        <v>0</v>
      </c>
      <c r="N434" s="1185"/>
      <c r="O434" s="1185"/>
      <c r="P434" s="1186"/>
      <c r="Q434" s="1186"/>
      <c r="R434" s="1186"/>
      <c r="S434" s="1185"/>
      <c r="T434" s="1185"/>
      <c r="U434" s="1185"/>
      <c r="V434" s="1185"/>
      <c r="W434" s="1185"/>
      <c r="X434" s="1185"/>
      <c r="Y434" s="1185"/>
      <c r="Z434" s="1185"/>
      <c r="AA434" s="1185"/>
      <c r="AB434" s="1185"/>
      <c r="AC434" s="1185"/>
      <c r="AD434" s="1185"/>
      <c r="AE434" s="1185"/>
      <c r="AF434" s="1185"/>
      <c r="AG434" s="1185"/>
      <c r="AH434" s="1185"/>
      <c r="AI434" s="1185"/>
      <c r="AK434" s="1204"/>
    </row>
    <row r="435" spans="1:37">
      <c r="A435" s="1219" t="s">
        <v>399</v>
      </c>
      <c r="B435" s="1219"/>
      <c r="C435" s="1026">
        <v>0</v>
      </c>
      <c r="D435" s="1070">
        <v>5.0839999999999996</v>
      </c>
      <c r="E435" s="1009" t="s">
        <v>374</v>
      </c>
      <c r="F435" s="1203">
        <f>ROUND(D435*$C435/100*D428,0)</f>
        <v>0</v>
      </c>
      <c r="G435" s="1070">
        <v>5.8120000000000003</v>
      </c>
      <c r="H435" s="1009" t="s">
        <v>374</v>
      </c>
      <c r="I435" s="1203">
        <f>ROUND(G435*$C435/100*G428,0)</f>
        <v>0</v>
      </c>
      <c r="J435" s="1070">
        <f>J423</f>
        <v>3.8250000000000002</v>
      </c>
      <c r="K435" s="1009" t="s">
        <v>374</v>
      </c>
      <c r="L435" s="1203">
        <f>ROUND(J435*$C435/100*J428,0)</f>
        <v>0</v>
      </c>
      <c r="N435" s="1185"/>
      <c r="O435" s="1185"/>
      <c r="P435" s="1186"/>
      <c r="Q435" s="1186"/>
      <c r="R435" s="1186"/>
      <c r="S435" s="1185"/>
      <c r="T435" s="1185"/>
      <c r="U435" s="1185"/>
      <c r="V435" s="1185"/>
      <c r="W435" s="1185"/>
      <c r="X435" s="1185"/>
      <c r="Y435" s="1185"/>
      <c r="Z435" s="1185"/>
      <c r="AA435" s="1185"/>
      <c r="AB435" s="1185"/>
      <c r="AC435" s="1185"/>
      <c r="AD435" s="1185"/>
      <c r="AE435" s="1185"/>
      <c r="AF435" s="1185"/>
      <c r="AG435" s="1185"/>
      <c r="AH435" s="1185"/>
      <c r="AI435" s="1185"/>
      <c r="AK435" s="1204"/>
    </row>
    <row r="436" spans="1:37">
      <c r="A436" s="1219" t="s">
        <v>400</v>
      </c>
      <c r="B436" s="1219"/>
      <c r="C436" s="1026">
        <v>0</v>
      </c>
      <c r="D436" s="1260">
        <v>50</v>
      </c>
      <c r="E436" s="1009" t="s">
        <v>374</v>
      </c>
      <c r="F436" s="1203">
        <f>ROUND(D436*$C436/100*D428,0)</f>
        <v>0</v>
      </c>
      <c r="G436" s="1260">
        <v>56</v>
      </c>
      <c r="H436" s="1009" t="s">
        <v>374</v>
      </c>
      <c r="I436" s="1203">
        <f>ROUND(G436*$C436/100*G428,0)</f>
        <v>0</v>
      </c>
      <c r="J436" s="1260">
        <f>J424</f>
        <v>63</v>
      </c>
      <c r="K436" s="1009" t="s">
        <v>374</v>
      </c>
      <c r="L436" s="1203">
        <f>ROUND(J436*$C436/100*J428,0)</f>
        <v>0</v>
      </c>
      <c r="N436" s="1185"/>
      <c r="O436" s="1185"/>
      <c r="P436" s="1186"/>
      <c r="Q436" s="1186"/>
      <c r="R436" s="1186"/>
      <c r="S436" s="1185"/>
      <c r="T436" s="1185"/>
      <c r="U436" s="1185"/>
      <c r="V436" s="1185"/>
      <c r="W436" s="1185"/>
      <c r="X436" s="1185"/>
      <c r="Y436" s="1185"/>
      <c r="Z436" s="1185"/>
      <c r="AA436" s="1185"/>
      <c r="AB436" s="1185"/>
      <c r="AC436" s="1185"/>
      <c r="AD436" s="1185"/>
      <c r="AE436" s="1185"/>
      <c r="AF436" s="1185"/>
      <c r="AG436" s="1185"/>
      <c r="AH436" s="1185"/>
      <c r="AI436" s="1185"/>
      <c r="AK436" s="1204"/>
    </row>
    <row r="437" spans="1:37">
      <c r="A437" s="1219" t="s">
        <v>407</v>
      </c>
      <c r="B437" s="1219"/>
      <c r="C437" s="1026">
        <v>0</v>
      </c>
      <c r="D437" s="1261">
        <v>60</v>
      </c>
      <c r="E437" s="1041"/>
      <c r="F437" s="1203">
        <f>ROUND(D437*$C437,0)</f>
        <v>0</v>
      </c>
      <c r="G437" s="1261">
        <v>60</v>
      </c>
      <c r="H437" s="1009"/>
      <c r="I437" s="1203">
        <f>ROUND(G437*C437,0)</f>
        <v>0</v>
      </c>
      <c r="J437" s="1261">
        <f>$J$194</f>
        <v>60</v>
      </c>
      <c r="K437" s="1009"/>
      <c r="L437" s="1203">
        <f>ROUND(J437*$C437,0)</f>
        <v>0</v>
      </c>
      <c r="N437" s="1185"/>
      <c r="O437" s="1185"/>
      <c r="P437" s="1186"/>
      <c r="Q437" s="1186"/>
      <c r="R437" s="1186"/>
      <c r="S437" s="1185"/>
      <c r="T437" s="1185"/>
      <c r="U437" s="1185"/>
      <c r="V437" s="1185"/>
      <c r="W437" s="1185"/>
      <c r="X437" s="1185"/>
      <c r="Y437" s="1185"/>
      <c r="Z437" s="1185"/>
      <c r="AA437" s="1185"/>
      <c r="AB437" s="1185"/>
      <c r="AC437" s="1185"/>
      <c r="AD437" s="1185"/>
      <c r="AE437" s="1185"/>
      <c r="AF437" s="1185"/>
      <c r="AG437" s="1185"/>
      <c r="AH437" s="1185"/>
      <c r="AI437" s="1185"/>
      <c r="AK437" s="1204"/>
    </row>
    <row r="438" spans="1:37">
      <c r="A438" s="1219" t="s">
        <v>408</v>
      </c>
      <c r="B438" s="1219"/>
      <c r="C438" s="1026">
        <v>0</v>
      </c>
      <c r="D438" s="1262">
        <v>-30</v>
      </c>
      <c r="E438" s="1041" t="s">
        <v>374</v>
      </c>
      <c r="F438" s="1203">
        <f>ROUND(D438*$C438/100,0)</f>
        <v>0</v>
      </c>
      <c r="G438" s="1262">
        <v>-30</v>
      </c>
      <c r="H438" s="1009" t="s">
        <v>374</v>
      </c>
      <c r="I438" s="1203">
        <f>ROUND(G438*C438/100,0)</f>
        <v>0</v>
      </c>
      <c r="J438" s="1262">
        <f>$J$195</f>
        <v>-30</v>
      </c>
      <c r="K438" s="1009" t="s">
        <v>374</v>
      </c>
      <c r="L438" s="1203">
        <f>ROUND(J438*$C438/100,0)</f>
        <v>0</v>
      </c>
      <c r="N438" s="1185"/>
      <c r="O438" s="1185"/>
      <c r="P438" s="1186"/>
      <c r="Q438" s="1186"/>
      <c r="R438" s="1186"/>
      <c r="S438" s="1185"/>
      <c r="T438" s="1185"/>
      <c r="U438" s="1185"/>
      <c r="V438" s="1185"/>
      <c r="W438" s="1185"/>
      <c r="X438" s="1185"/>
      <c r="Y438" s="1185"/>
      <c r="Z438" s="1185"/>
      <c r="AA438" s="1185"/>
      <c r="AB438" s="1185"/>
      <c r="AC438" s="1185"/>
      <c r="AD438" s="1185"/>
      <c r="AE438" s="1185"/>
      <c r="AF438" s="1185"/>
      <c r="AG438" s="1185"/>
      <c r="AH438" s="1185"/>
      <c r="AI438" s="1185"/>
      <c r="AK438" s="1204"/>
    </row>
    <row r="439" spans="1:37">
      <c r="A439" s="1005" t="s">
        <v>918</v>
      </c>
      <c r="C439" s="1202">
        <f>C433</f>
        <v>0</v>
      </c>
      <c r="D439" s="269"/>
      <c r="E439" s="1185"/>
      <c r="F439" s="1203"/>
      <c r="G439" s="269"/>
      <c r="H439" s="1185"/>
      <c r="I439" s="1203"/>
      <c r="J439" s="1230">
        <f>J179</f>
        <v>4.4989999999999997</v>
      </c>
      <c r="K439" s="1009" t="s">
        <v>374</v>
      </c>
      <c r="L439" s="1203">
        <f t="shared" ref="L439:L441" si="70">ROUND(J439*$C439/100,0)</f>
        <v>0</v>
      </c>
      <c r="N439" s="1204"/>
      <c r="P439" s="815"/>
      <c r="Q439" s="1184"/>
      <c r="R439" s="1184"/>
      <c r="S439" s="1205"/>
      <c r="T439" s="1205"/>
      <c r="Y439" s="1185"/>
      <c r="Z439" s="1185"/>
      <c r="AA439" s="1185"/>
      <c r="AB439" s="1185"/>
      <c r="AC439" s="1185"/>
      <c r="AD439" s="1185"/>
      <c r="AE439" s="1185"/>
      <c r="AF439" s="1185"/>
      <c r="AG439" s="1185"/>
      <c r="AH439" s="1185"/>
      <c r="AI439" s="1185"/>
      <c r="AK439" s="1204"/>
    </row>
    <row r="440" spans="1:37">
      <c r="A440" s="1005" t="s">
        <v>919</v>
      </c>
      <c r="C440" s="1202">
        <f>C434</f>
        <v>0</v>
      </c>
      <c r="D440" s="269"/>
      <c r="E440" s="1185"/>
      <c r="F440" s="1203"/>
      <c r="G440" s="269"/>
      <c r="H440" s="1185"/>
      <c r="I440" s="1203"/>
      <c r="J440" s="1230">
        <f>J180</f>
        <v>3.1080000000000001</v>
      </c>
      <c r="K440" s="1009" t="s">
        <v>374</v>
      </c>
      <c r="L440" s="1203">
        <f t="shared" si="70"/>
        <v>0</v>
      </c>
      <c r="N440" s="1204"/>
      <c r="P440" s="815"/>
      <c r="Q440" s="1184"/>
      <c r="R440" s="1184"/>
      <c r="S440" s="1205"/>
      <c r="T440" s="1205"/>
      <c r="Y440" s="1185"/>
      <c r="Z440" s="1185"/>
      <c r="AA440" s="1185"/>
      <c r="AB440" s="1185"/>
      <c r="AC440" s="1185"/>
      <c r="AD440" s="1185"/>
      <c r="AE440" s="1185"/>
      <c r="AF440" s="1185"/>
      <c r="AG440" s="1185"/>
      <c r="AH440" s="1185"/>
      <c r="AI440" s="1185"/>
      <c r="AK440" s="1204"/>
    </row>
    <row r="441" spans="1:37">
      <c r="A441" s="1005" t="s">
        <v>920</v>
      </c>
      <c r="C441" s="1202">
        <f>C435</f>
        <v>0</v>
      </c>
      <c r="D441" s="269"/>
      <c r="E441" s="1185"/>
      <c r="F441" s="1203"/>
      <c r="G441" s="269"/>
      <c r="H441" s="1185"/>
      <c r="I441" s="1203"/>
      <c r="J441" s="1230">
        <f>J181</f>
        <v>2.6779999999999999</v>
      </c>
      <c r="K441" s="1009" t="s">
        <v>374</v>
      </c>
      <c r="L441" s="1203">
        <f t="shared" si="70"/>
        <v>0</v>
      </c>
      <c r="N441" s="1204"/>
      <c r="P441" s="815"/>
      <c r="Q441" s="1184"/>
      <c r="R441" s="1184"/>
      <c r="S441" s="1205"/>
      <c r="T441" s="1205"/>
      <c r="Y441" s="1185"/>
      <c r="Z441" s="1185"/>
      <c r="AA441" s="1185"/>
      <c r="AB441" s="1185"/>
      <c r="AC441" s="1185"/>
      <c r="AD441" s="1185"/>
      <c r="AE441" s="1185"/>
      <c r="AF441" s="1185"/>
      <c r="AG441" s="1185"/>
      <c r="AH441" s="1185"/>
      <c r="AI441" s="1185"/>
      <c r="AK441" s="1204"/>
    </row>
    <row r="442" spans="1:37">
      <c r="A442" s="1219" t="s">
        <v>381</v>
      </c>
      <c r="B442" s="1219"/>
      <c r="C442" s="1026">
        <f>SUM(C421:C423)</f>
        <v>33313</v>
      </c>
      <c r="D442" s="1255"/>
      <c r="E442" s="1203"/>
      <c r="F442" s="1203">
        <f>SUM(F415:F438)</f>
        <v>6790</v>
      </c>
      <c r="G442" s="1255"/>
      <c r="H442" s="1009"/>
      <c r="I442" s="1203">
        <f>SUM(I415:I438)</f>
        <v>7747</v>
      </c>
      <c r="J442" s="1255"/>
      <c r="K442" s="1009"/>
      <c r="L442" s="1203">
        <f>SUM(L415:L441)</f>
        <v>8666</v>
      </c>
      <c r="N442" s="1185"/>
      <c r="O442" s="1185"/>
      <c r="P442" s="1186"/>
      <c r="Q442" s="1186"/>
      <c r="R442" s="1186"/>
      <c r="S442" s="1185"/>
      <c r="T442" s="1185"/>
      <c r="U442" s="1185"/>
      <c r="V442" s="1185"/>
      <c r="W442" s="1185"/>
      <c r="X442" s="1185"/>
      <c r="Y442" s="1185"/>
      <c r="Z442" s="1185"/>
      <c r="AA442" s="1185"/>
      <c r="AB442" s="1185"/>
      <c r="AC442" s="1185"/>
      <c r="AD442" s="1185"/>
      <c r="AE442" s="1185"/>
      <c r="AF442" s="1185"/>
      <c r="AG442" s="1185"/>
      <c r="AH442" s="1185"/>
      <c r="AI442" s="1185"/>
      <c r="AK442" s="1204"/>
    </row>
    <row r="443" spans="1:37">
      <c r="A443" s="1219" t="s">
        <v>363</v>
      </c>
      <c r="B443" s="1219"/>
      <c r="C443" s="1032">
        <f>'[94]Table 2'!H72</f>
        <v>457.04356388458245</v>
      </c>
      <c r="D443" s="1218"/>
      <c r="E443" s="1218"/>
      <c r="F443" s="1264" t="e">
        <f>#REF!</f>
        <v>#REF!</v>
      </c>
      <c r="G443" s="1218"/>
      <c r="H443" s="1218"/>
      <c r="I443" s="1264">
        <f>'[94]Table 3'!E72</f>
        <v>125.2739508222905</v>
      </c>
      <c r="J443" s="1218"/>
      <c r="K443" s="1218"/>
      <c r="L443" s="1264">
        <f>I443</f>
        <v>125.2739508222905</v>
      </c>
      <c r="N443" s="444"/>
      <c r="O443" s="444"/>
      <c r="P443" s="287"/>
      <c r="Q443" s="1186"/>
      <c r="R443" s="1186"/>
      <c r="S443" s="1185"/>
      <c r="T443" s="1185"/>
      <c r="U443" s="1185"/>
      <c r="V443" s="1185"/>
      <c r="W443" s="1185"/>
      <c r="X443" s="1185"/>
      <c r="Y443" s="1185"/>
      <c r="Z443" s="1185"/>
      <c r="AA443" s="1185"/>
      <c r="AB443" s="1185"/>
      <c r="AC443" s="1185"/>
      <c r="AD443" s="1185"/>
      <c r="AE443" s="1185"/>
      <c r="AF443" s="1185"/>
      <c r="AG443" s="1185"/>
      <c r="AH443" s="1185"/>
      <c r="AI443" s="1185"/>
      <c r="AK443" s="1204"/>
    </row>
    <row r="444" spans="1:37" ht="16.5" thickBot="1">
      <c r="A444" s="1219" t="s">
        <v>382</v>
      </c>
      <c r="B444" s="1219"/>
      <c r="C444" s="1240">
        <f>SUM(C442:C443)</f>
        <v>33770.043563884581</v>
      </c>
      <c r="D444" s="1265"/>
      <c r="E444" s="1266"/>
      <c r="F444" s="1267" t="e">
        <f>F442+F443</f>
        <v>#REF!</v>
      </c>
      <c r="G444" s="1265"/>
      <c r="H444" s="1269"/>
      <c r="I444" s="1267">
        <f>I442+I443</f>
        <v>7872.2739508222903</v>
      </c>
      <c r="J444" s="1265"/>
      <c r="K444" s="1269"/>
      <c r="L444" s="1267">
        <f>L442+L443</f>
        <v>8791.2739508222912</v>
      </c>
      <c r="N444" s="411"/>
      <c r="O444" s="411"/>
      <c r="P444" s="470"/>
      <c r="Q444" s="1186"/>
      <c r="R444" s="1186"/>
      <c r="S444" s="1185"/>
      <c r="T444" s="1185"/>
      <c r="U444" s="1185"/>
      <c r="V444" s="1185"/>
      <c r="W444" s="1185"/>
      <c r="X444" s="1185"/>
      <c r="Y444" s="1185"/>
      <c r="Z444" s="1185"/>
      <c r="AA444" s="1185"/>
      <c r="AB444" s="1185"/>
      <c r="AC444" s="1185"/>
      <c r="AD444" s="1185"/>
      <c r="AE444" s="1185"/>
      <c r="AF444" s="1185"/>
      <c r="AG444" s="1185"/>
      <c r="AH444" s="1185"/>
      <c r="AI444" s="1185"/>
      <c r="AK444" s="1204"/>
    </row>
    <row r="445" spans="1:37" ht="16.5" thickTop="1">
      <c r="A445" s="1219"/>
      <c r="B445" s="1219"/>
      <c r="C445" s="1225"/>
      <c r="D445" s="1261"/>
      <c r="E445" s="1203"/>
      <c r="F445" s="1203"/>
      <c r="G445" s="1261" t="s">
        <v>31</v>
      </c>
      <c r="H445" s="1219"/>
      <c r="I445" s="1203"/>
      <c r="J445" s="1259" t="s">
        <v>31</v>
      </c>
      <c r="K445" s="1219"/>
      <c r="L445" s="1203" t="s">
        <v>31</v>
      </c>
      <c r="N445" s="1185"/>
      <c r="O445" s="1185"/>
      <c r="P445" s="1186"/>
      <c r="Q445" s="1186"/>
      <c r="R445" s="1186"/>
      <c r="S445" s="1185"/>
      <c r="T445" s="1185"/>
      <c r="U445" s="1185"/>
      <c r="V445" s="1185"/>
      <c r="W445" s="1185"/>
      <c r="X445" s="1185"/>
      <c r="Y445" s="1185"/>
      <c r="Z445" s="1185"/>
      <c r="AA445" s="1185"/>
      <c r="AB445" s="1185"/>
      <c r="AC445" s="1185"/>
      <c r="AD445" s="1185"/>
      <c r="AE445" s="1185"/>
      <c r="AF445" s="1185"/>
      <c r="AG445" s="1185"/>
      <c r="AH445" s="1185"/>
      <c r="AI445" s="1185"/>
      <c r="AK445" s="1204"/>
    </row>
    <row r="446" spans="1:37">
      <c r="A446" s="1219"/>
      <c r="B446" s="1219"/>
      <c r="C446" s="1225"/>
      <c r="D446" s="1261"/>
      <c r="E446" s="1203"/>
      <c r="F446" s="1203"/>
      <c r="G446" s="1261" t="s">
        <v>31</v>
      </c>
      <c r="H446" s="1219"/>
      <c r="I446" s="1203"/>
      <c r="J446" s="1259" t="s">
        <v>31</v>
      </c>
      <c r="K446" s="1219"/>
      <c r="L446" s="1203" t="s">
        <v>31</v>
      </c>
      <c r="N446" s="1185"/>
      <c r="O446" s="1185"/>
      <c r="P446" s="1186"/>
      <c r="Q446" s="1186"/>
      <c r="R446" s="1186"/>
      <c r="S446" s="1185"/>
      <c r="T446" s="1185"/>
      <c r="U446" s="1185"/>
      <c r="V446" s="1185"/>
      <c r="W446" s="1185"/>
      <c r="X446" s="1185"/>
      <c r="Y446" s="1185"/>
      <c r="Z446" s="1185"/>
      <c r="AA446" s="1185"/>
      <c r="AB446" s="1185"/>
      <c r="AC446" s="1185"/>
      <c r="AD446" s="1185"/>
      <c r="AE446" s="1185"/>
      <c r="AF446" s="1185"/>
      <c r="AG446" s="1185"/>
      <c r="AH446" s="1185"/>
      <c r="AI446" s="1185"/>
      <c r="AK446" s="1204"/>
    </row>
    <row r="447" spans="1:37">
      <c r="A447" s="1224" t="s">
        <v>417</v>
      </c>
      <c r="B447" s="1219"/>
      <c r="C447" s="1219"/>
      <c r="D447" s="1203"/>
      <c r="E447" s="1203"/>
      <c r="F447" s="1219" t="s">
        <v>31</v>
      </c>
      <c r="G447" s="1203"/>
      <c r="H447" s="1219"/>
      <c r="I447" s="1219"/>
      <c r="J447" s="1203"/>
      <c r="K447" s="1219"/>
      <c r="L447" s="1219"/>
      <c r="N447" s="1185"/>
      <c r="O447" s="1185"/>
      <c r="P447" s="1186"/>
      <c r="Q447" s="1186"/>
      <c r="R447" s="1186"/>
      <c r="S447" s="1185"/>
      <c r="T447" s="1185"/>
      <c r="U447" s="1185"/>
      <c r="V447" s="1185"/>
      <c r="W447" s="1185"/>
      <c r="X447" s="1185"/>
      <c r="Y447" s="1185"/>
      <c r="Z447" s="1185"/>
      <c r="AA447" s="1185"/>
      <c r="AB447" s="1185"/>
      <c r="AC447" s="1185"/>
      <c r="AD447" s="1185"/>
      <c r="AE447" s="1185"/>
      <c r="AF447" s="1185"/>
      <c r="AG447" s="1185"/>
      <c r="AH447" s="1185"/>
      <c r="AI447" s="1185"/>
      <c r="AK447" s="1204"/>
    </row>
    <row r="448" spans="1:37">
      <c r="A448" s="1219" t="s">
        <v>410</v>
      </c>
      <c r="B448" s="1219"/>
      <c r="C448" s="1219"/>
      <c r="D448" s="1203"/>
      <c r="E448" s="1203"/>
      <c r="F448" s="1219"/>
      <c r="G448" s="1203"/>
      <c r="H448" s="1219"/>
      <c r="I448" s="1219"/>
      <c r="J448" s="1203"/>
      <c r="K448" s="1219"/>
      <c r="L448" s="1219"/>
      <c r="N448" s="1185"/>
      <c r="O448" s="1185"/>
      <c r="P448" s="1186"/>
      <c r="Q448" s="1186"/>
      <c r="R448" s="1186"/>
      <c r="S448" s="1185"/>
      <c r="T448" s="1185"/>
      <c r="U448" s="1185"/>
      <c r="V448" s="1185"/>
      <c r="W448" s="1185"/>
      <c r="X448" s="1185"/>
      <c r="Y448" s="1185"/>
      <c r="Z448" s="1185"/>
      <c r="AA448" s="1185"/>
      <c r="AB448" s="1185"/>
      <c r="AC448" s="1185"/>
      <c r="AD448" s="1185"/>
      <c r="AE448" s="1185"/>
      <c r="AF448" s="1185"/>
      <c r="AG448" s="1185"/>
      <c r="AH448" s="1185"/>
      <c r="AI448" s="1185"/>
    </row>
    <row r="449" spans="1:37">
      <c r="A449" s="1219" t="s">
        <v>418</v>
      </c>
      <c r="B449" s="1219"/>
      <c r="C449" s="1219"/>
      <c r="D449" s="1203"/>
      <c r="E449" s="1203"/>
      <c r="F449" s="1219"/>
      <c r="G449" s="1203"/>
      <c r="H449" s="1219"/>
      <c r="I449" s="1219"/>
      <c r="J449" s="1203"/>
      <c r="K449" s="1219"/>
      <c r="L449" s="1219"/>
      <c r="N449" s="1185"/>
      <c r="O449" s="1185"/>
      <c r="P449" s="1186"/>
      <c r="Q449" s="1186"/>
      <c r="R449" s="1186"/>
      <c r="S449" s="1185"/>
      <c r="T449" s="1185"/>
      <c r="U449" s="1185"/>
      <c r="V449" s="1185"/>
      <c r="W449" s="1185"/>
      <c r="X449" s="1185"/>
      <c r="Y449" s="1185"/>
      <c r="Z449" s="1185"/>
      <c r="AA449" s="1185"/>
      <c r="AB449" s="1185"/>
      <c r="AC449" s="1185"/>
      <c r="AD449" s="1185"/>
      <c r="AE449" s="1185"/>
      <c r="AF449" s="1185"/>
      <c r="AG449" s="1185"/>
      <c r="AH449" s="1185"/>
      <c r="AI449" s="1185"/>
    </row>
    <row r="450" spans="1:37">
      <c r="A450" s="1219" t="s">
        <v>393</v>
      </c>
      <c r="B450" s="1219"/>
      <c r="C450" s="1026"/>
      <c r="D450" s="1203"/>
      <c r="E450" s="1203"/>
      <c r="F450" s="1219"/>
      <c r="G450" s="1203"/>
      <c r="H450" s="1219"/>
      <c r="I450" s="1219"/>
      <c r="J450" s="1203"/>
      <c r="K450" s="1219"/>
      <c r="L450" s="1219"/>
      <c r="N450" s="1185"/>
      <c r="O450" s="1185"/>
      <c r="P450" s="1186"/>
      <c r="Q450" s="1186"/>
      <c r="R450" s="1186"/>
      <c r="S450" s="1185"/>
      <c r="T450" s="1185"/>
      <c r="U450" s="1185"/>
      <c r="V450" s="1185"/>
      <c r="W450" s="1185"/>
      <c r="X450" s="1185"/>
      <c r="Y450" s="1185"/>
      <c r="Z450" s="1185"/>
      <c r="AA450" s="1185"/>
      <c r="AB450" s="1185"/>
      <c r="AC450" s="1185"/>
      <c r="AD450" s="1185"/>
      <c r="AE450" s="1185"/>
      <c r="AF450" s="1185"/>
      <c r="AG450" s="1185"/>
      <c r="AH450" s="1185"/>
      <c r="AI450" s="1185"/>
    </row>
    <row r="451" spans="1:37">
      <c r="A451" s="1219" t="s">
        <v>390</v>
      </c>
      <c r="B451" s="1219"/>
      <c r="C451" s="1026">
        <f t="shared" ref="C451:C463" si="71">C486+C521</f>
        <v>1</v>
      </c>
      <c r="D451" s="1229">
        <v>91.679999999999993</v>
      </c>
      <c r="E451" s="1041"/>
      <c r="F451" s="1203">
        <f>F486+F521</f>
        <v>92</v>
      </c>
      <c r="G451" s="1229">
        <v>104.52000000000001</v>
      </c>
      <c r="H451" s="1009"/>
      <c r="I451" s="1203">
        <f>I486+I521</f>
        <v>105</v>
      </c>
      <c r="J451" s="1229">
        <f>$J$165</f>
        <v>116.88</v>
      </c>
      <c r="K451" s="1009"/>
      <c r="L451" s="1203">
        <f>L486+L521</f>
        <v>117</v>
      </c>
      <c r="N451" s="1185"/>
      <c r="O451" s="1185"/>
      <c r="P451" s="1186"/>
      <c r="Q451" s="1186"/>
      <c r="R451" s="1186"/>
      <c r="S451" s="1185"/>
      <c r="T451" s="1185"/>
      <c r="U451" s="1185"/>
      <c r="V451" s="1185"/>
      <c r="W451" s="1185"/>
      <c r="X451" s="1185"/>
      <c r="Y451" s="1185"/>
      <c r="Z451" s="1185"/>
      <c r="AA451" s="1185"/>
      <c r="AB451" s="1185"/>
      <c r="AC451" s="1185"/>
      <c r="AD451" s="1185"/>
      <c r="AE451" s="1185"/>
      <c r="AF451" s="1185"/>
      <c r="AG451" s="1185"/>
      <c r="AH451" s="1185"/>
      <c r="AI451" s="1185"/>
    </row>
    <row r="452" spans="1:37">
      <c r="A452" s="1219" t="s">
        <v>391</v>
      </c>
      <c r="B452" s="1219"/>
      <c r="C452" s="1026">
        <f t="shared" si="71"/>
        <v>88.747945205479496</v>
      </c>
      <c r="D452" s="1229">
        <v>136.32</v>
      </c>
      <c r="E452" s="1249"/>
      <c r="F452" s="1203">
        <f>F487+F522</f>
        <v>12098</v>
      </c>
      <c r="G452" s="1229">
        <v>155.76</v>
      </c>
      <c r="H452" s="1250"/>
      <c r="I452" s="1203">
        <f>I487+I522</f>
        <v>13824</v>
      </c>
      <c r="J452" s="1229">
        <f>$J$166</f>
        <v>174.12</v>
      </c>
      <c r="K452" s="1250"/>
      <c r="L452" s="1203">
        <f>L487+L522</f>
        <v>15453</v>
      </c>
      <c r="N452" s="1185"/>
      <c r="O452" s="1185"/>
      <c r="P452" s="1186"/>
      <c r="Q452" s="1186"/>
      <c r="R452" s="1186"/>
      <c r="S452" s="1185"/>
      <c r="T452" s="1185"/>
      <c r="U452" s="1185"/>
      <c r="V452" s="1185"/>
      <c r="W452" s="1185"/>
      <c r="X452" s="1185"/>
      <c r="Y452" s="1185"/>
      <c r="Z452" s="1185"/>
      <c r="AA452" s="1185"/>
      <c r="AB452" s="1185"/>
      <c r="AC452" s="1185"/>
      <c r="AD452" s="1185"/>
      <c r="AE452" s="1185"/>
      <c r="AF452" s="1185"/>
      <c r="AG452" s="1185"/>
      <c r="AH452" s="1185"/>
      <c r="AI452" s="1185"/>
    </row>
    <row r="453" spans="1:37">
      <c r="A453" s="1219" t="s">
        <v>392</v>
      </c>
      <c r="B453" s="1219"/>
      <c r="C453" s="1026">
        <f t="shared" si="71"/>
        <v>3368.9150684931501</v>
      </c>
      <c r="D453" s="1229">
        <v>9.66</v>
      </c>
      <c r="E453" s="1249"/>
      <c r="F453" s="1203">
        <f>F488+F523</f>
        <v>32544</v>
      </c>
      <c r="G453" s="1229">
        <v>11.040000000000001</v>
      </c>
      <c r="H453" s="1250"/>
      <c r="I453" s="1203">
        <f>I488+I523</f>
        <v>37193</v>
      </c>
      <c r="J453" s="1229">
        <f>$J$167</f>
        <v>12.36</v>
      </c>
      <c r="K453" s="1250"/>
      <c r="L453" s="1203">
        <f>L488+L523</f>
        <v>41640</v>
      </c>
      <c r="N453" s="1185"/>
      <c r="O453" s="1185"/>
      <c r="P453" s="1186"/>
      <c r="Q453" s="1186"/>
      <c r="R453" s="1186"/>
      <c r="S453" s="1185"/>
      <c r="T453" s="1185"/>
      <c r="U453" s="1185"/>
      <c r="V453" s="1185"/>
      <c r="W453" s="1185"/>
      <c r="X453" s="1185"/>
      <c r="Y453" s="1185"/>
      <c r="Z453" s="1185"/>
      <c r="AA453" s="1185"/>
      <c r="AB453" s="1185"/>
      <c r="AC453" s="1185"/>
      <c r="AD453" s="1185"/>
      <c r="AE453" s="1185"/>
      <c r="AF453" s="1185"/>
      <c r="AG453" s="1185"/>
      <c r="AH453" s="1185"/>
      <c r="AI453" s="1185"/>
    </row>
    <row r="454" spans="1:37">
      <c r="A454" s="1219" t="s">
        <v>394</v>
      </c>
      <c r="B454" s="1219"/>
      <c r="C454" s="1026">
        <f t="shared" si="71"/>
        <v>89.747945205479496</v>
      </c>
      <c r="D454" s="1229"/>
      <c r="E454" s="1041"/>
      <c r="F454" s="1203"/>
      <c r="G454" s="1229"/>
      <c r="H454" s="1009"/>
      <c r="I454" s="1203"/>
      <c r="J454" s="1229"/>
      <c r="K454" s="1009"/>
      <c r="L454" s="1203"/>
      <c r="N454" s="1185"/>
      <c r="O454" s="1185"/>
      <c r="P454" s="1186"/>
      <c r="Q454" s="1186"/>
      <c r="R454" s="1186"/>
      <c r="S454" s="1185"/>
      <c r="T454" s="1185"/>
      <c r="U454" s="1185"/>
      <c r="V454" s="1185"/>
      <c r="W454" s="1185"/>
      <c r="X454" s="1185"/>
      <c r="Y454" s="1185"/>
      <c r="Z454" s="1185"/>
      <c r="AA454" s="1185"/>
      <c r="AB454" s="1185"/>
      <c r="AC454" s="1185"/>
      <c r="AD454" s="1185"/>
      <c r="AE454" s="1185"/>
      <c r="AF454" s="1185"/>
      <c r="AG454" s="1185"/>
      <c r="AH454" s="1185"/>
      <c r="AI454" s="1185"/>
    </row>
    <row r="455" spans="1:37">
      <c r="A455" s="1219" t="s">
        <v>419</v>
      </c>
      <c r="B455" s="1219"/>
      <c r="C455" s="1026">
        <f t="shared" si="71"/>
        <v>1055</v>
      </c>
      <c r="D455" s="1229"/>
      <c r="E455" s="1041"/>
      <c r="F455" s="1203"/>
      <c r="G455" s="1229"/>
      <c r="H455" s="1009"/>
      <c r="I455" s="1203"/>
      <c r="J455" s="1229"/>
      <c r="K455" s="1009"/>
      <c r="L455" s="1203"/>
      <c r="N455" s="1185"/>
      <c r="O455" s="1185"/>
      <c r="P455" s="1186"/>
      <c r="Q455" s="1186"/>
      <c r="R455" s="1186"/>
      <c r="S455" s="1185"/>
      <c r="T455" s="1185"/>
      <c r="U455" s="1185"/>
      <c r="V455" s="1185"/>
      <c r="W455" s="1185"/>
      <c r="X455" s="1185"/>
      <c r="Y455" s="1185"/>
      <c r="Z455" s="1185"/>
      <c r="AA455" s="1185"/>
      <c r="AB455" s="1185"/>
      <c r="AC455" s="1185"/>
      <c r="AD455" s="1185"/>
      <c r="AE455" s="1185"/>
      <c r="AF455" s="1185"/>
      <c r="AG455" s="1185"/>
      <c r="AH455" s="1185"/>
      <c r="AI455" s="1185"/>
    </row>
    <row r="456" spans="1:37">
      <c r="A456" s="1219" t="s">
        <v>395</v>
      </c>
      <c r="B456" s="1219"/>
      <c r="C456" s="1026">
        <f t="shared" si="71"/>
        <v>12896</v>
      </c>
      <c r="D456" s="1261">
        <v>2.98</v>
      </c>
      <c r="E456" s="1009"/>
      <c r="F456" s="1203">
        <f>F491+F526</f>
        <v>38430</v>
      </c>
      <c r="G456" s="1261">
        <v>3.4</v>
      </c>
      <c r="H456" s="1009"/>
      <c r="I456" s="1203">
        <f>I491+I526</f>
        <v>43846</v>
      </c>
      <c r="J456" s="1261">
        <f>$J$174</f>
        <v>3.8</v>
      </c>
      <c r="K456" s="1009"/>
      <c r="L456" s="1203">
        <f>L491+L526</f>
        <v>49004</v>
      </c>
      <c r="N456" s="1185"/>
      <c r="O456" s="1185"/>
      <c r="P456" s="1186"/>
      <c r="Q456" s="1186"/>
      <c r="R456" s="1186"/>
      <c r="S456" s="1185"/>
      <c r="T456" s="1185"/>
      <c r="U456" s="1185"/>
      <c r="V456" s="1185"/>
      <c r="W456" s="1185"/>
      <c r="X456" s="1185"/>
      <c r="Y456" s="1185"/>
      <c r="Z456" s="1185"/>
      <c r="AA456" s="1185"/>
      <c r="AB456" s="1185"/>
      <c r="AC456" s="1185"/>
      <c r="AD456" s="1185"/>
      <c r="AE456" s="1185"/>
      <c r="AF456" s="1185"/>
      <c r="AG456" s="1185"/>
      <c r="AH456" s="1185"/>
      <c r="AI456" s="1185"/>
    </row>
    <row r="457" spans="1:37">
      <c r="A457" s="1219" t="s">
        <v>397</v>
      </c>
      <c r="B457" s="1219"/>
      <c r="C457" s="1026">
        <f t="shared" si="71"/>
        <v>111429</v>
      </c>
      <c r="D457" s="1230">
        <v>8.5489999999999995</v>
      </c>
      <c r="E457" s="1009" t="s">
        <v>374</v>
      </c>
      <c r="F457" s="1203">
        <f>F492+F527</f>
        <v>9526</v>
      </c>
      <c r="G457" s="1230">
        <v>9.766</v>
      </c>
      <c r="H457" s="1009" t="s">
        <v>374</v>
      </c>
      <c r="I457" s="1203">
        <f>I492+I527</f>
        <v>10883</v>
      </c>
      <c r="J457" s="1230">
        <f>$J$175</f>
        <v>6.4269999999999996</v>
      </c>
      <c r="K457" s="1009" t="s">
        <v>374</v>
      </c>
      <c r="L457" s="1203">
        <f>L492+L527</f>
        <v>7161</v>
      </c>
      <c r="N457" s="1185"/>
      <c r="O457" s="1185"/>
      <c r="P457" s="1186"/>
      <c r="Q457" s="1186"/>
      <c r="R457" s="1186"/>
      <c r="S457" s="1185"/>
      <c r="T457" s="1185"/>
      <c r="U457" s="1185"/>
      <c r="V457" s="1185"/>
      <c r="W457" s="1185"/>
      <c r="X457" s="1185"/>
      <c r="Y457" s="1185"/>
      <c r="Z457" s="1185"/>
      <c r="AA457" s="1185"/>
      <c r="AB457" s="1185"/>
      <c r="AC457" s="1185"/>
      <c r="AD457" s="1185"/>
      <c r="AE457" s="1185"/>
      <c r="AF457" s="1185"/>
      <c r="AG457" s="1185"/>
      <c r="AH457" s="1185"/>
      <c r="AI457" s="1185"/>
    </row>
    <row r="458" spans="1:37">
      <c r="A458" s="1219" t="s">
        <v>398</v>
      </c>
      <c r="B458" s="1219"/>
      <c r="C458" s="1026">
        <f t="shared" si="71"/>
        <v>111236</v>
      </c>
      <c r="D458" s="1230">
        <v>5.9020000000000001</v>
      </c>
      <c r="E458" s="1009" t="s">
        <v>374</v>
      </c>
      <c r="F458" s="1203">
        <f>F493+F528</f>
        <v>6565</v>
      </c>
      <c r="G458" s="1230">
        <v>6.7460000000000004</v>
      </c>
      <c r="H458" s="1009" t="s">
        <v>374</v>
      </c>
      <c r="I458" s="1203">
        <f>I493+I528</f>
        <v>7504</v>
      </c>
      <c r="J458" s="1230">
        <f>$J$176</f>
        <v>4.4400000000000004</v>
      </c>
      <c r="K458" s="1009" t="s">
        <v>374</v>
      </c>
      <c r="L458" s="1203">
        <f>L493+L528</f>
        <v>4939</v>
      </c>
      <c r="N458" s="1185"/>
      <c r="O458" s="1185"/>
      <c r="P458" s="1186"/>
      <c r="Q458" s="1186"/>
      <c r="R458" s="1186"/>
      <c r="S458" s="1185"/>
      <c r="T458" s="1185"/>
      <c r="U458" s="1185"/>
      <c r="V458" s="1185"/>
      <c r="W458" s="1185"/>
      <c r="X458" s="1185"/>
      <c r="Y458" s="1185"/>
      <c r="Z458" s="1185"/>
      <c r="AA458" s="1185"/>
      <c r="AB458" s="1185"/>
      <c r="AC458" s="1185"/>
      <c r="AD458" s="1185"/>
      <c r="AE458" s="1185"/>
      <c r="AF458" s="1185"/>
      <c r="AG458" s="1185"/>
      <c r="AH458" s="1185"/>
      <c r="AI458" s="1185"/>
    </row>
    <row r="459" spans="1:37">
      <c r="A459" s="1219" t="s">
        <v>399</v>
      </c>
      <c r="B459" s="1219"/>
      <c r="C459" s="1026">
        <f t="shared" si="71"/>
        <v>134813</v>
      </c>
      <c r="D459" s="1230">
        <v>5.0839999999999996</v>
      </c>
      <c r="E459" s="1009" t="s">
        <v>374</v>
      </c>
      <c r="F459" s="1203">
        <f>F494+F529</f>
        <v>6854</v>
      </c>
      <c r="G459" s="1230">
        <v>5.8120000000000003</v>
      </c>
      <c r="H459" s="1009" t="s">
        <v>374</v>
      </c>
      <c r="I459" s="1203">
        <f>I494+I529</f>
        <v>7835</v>
      </c>
      <c r="J459" s="1230">
        <f>$J$177</f>
        <v>3.8250000000000002</v>
      </c>
      <c r="K459" s="1009" t="s">
        <v>374</v>
      </c>
      <c r="L459" s="1203">
        <f>L494+L529</f>
        <v>5157</v>
      </c>
      <c r="N459" s="1185"/>
      <c r="O459" s="1185"/>
      <c r="P459" s="1186"/>
      <c r="Q459" s="1186"/>
      <c r="R459" s="1186"/>
      <c r="S459" s="1185"/>
      <c r="T459" s="1185"/>
      <c r="U459" s="1185"/>
      <c r="V459" s="1185"/>
      <c r="W459" s="1185"/>
      <c r="X459" s="1185"/>
      <c r="Y459" s="1185"/>
      <c r="Z459" s="1185"/>
      <c r="AA459" s="1185"/>
      <c r="AB459" s="1185"/>
      <c r="AC459" s="1185"/>
      <c r="AD459" s="1185"/>
      <c r="AE459" s="1185"/>
      <c r="AF459" s="1185"/>
      <c r="AG459" s="1185"/>
      <c r="AH459" s="1185"/>
      <c r="AI459" s="1185"/>
    </row>
    <row r="460" spans="1:37">
      <c r="A460" s="1219" t="s">
        <v>400</v>
      </c>
      <c r="B460" s="1219"/>
      <c r="C460" s="1026">
        <f t="shared" si="71"/>
        <v>1416.98888888889</v>
      </c>
      <c r="D460" s="1255">
        <v>50</v>
      </c>
      <c r="E460" s="1041" t="s">
        <v>374</v>
      </c>
      <c r="F460" s="1203">
        <f>F495+F530</f>
        <v>708</v>
      </c>
      <c r="G460" s="1255">
        <v>56</v>
      </c>
      <c r="H460" s="1009" t="s">
        <v>374</v>
      </c>
      <c r="I460" s="1203">
        <f>I495+I530</f>
        <v>794</v>
      </c>
      <c r="J460" s="1255">
        <f>$J$178</f>
        <v>63</v>
      </c>
      <c r="K460" s="1009" t="s">
        <v>374</v>
      </c>
      <c r="L460" s="1203">
        <f>L495+L530</f>
        <v>893</v>
      </c>
      <c r="N460" s="1185"/>
      <c r="O460" s="1185"/>
      <c r="P460" s="1186"/>
      <c r="Q460" s="1186"/>
      <c r="R460" s="1186"/>
      <c r="S460" s="1185"/>
      <c r="T460" s="1185"/>
      <c r="U460" s="1185"/>
      <c r="V460" s="1185"/>
      <c r="W460" s="1185"/>
      <c r="X460" s="1185"/>
      <c r="Y460" s="1185"/>
      <c r="Z460" s="1185"/>
      <c r="AA460" s="1185"/>
      <c r="AB460" s="1185"/>
      <c r="AC460" s="1185"/>
      <c r="AD460" s="1185"/>
      <c r="AE460" s="1185"/>
      <c r="AF460" s="1185"/>
      <c r="AG460" s="1185"/>
      <c r="AH460" s="1185"/>
      <c r="AI460" s="1185"/>
    </row>
    <row r="461" spans="1:37">
      <c r="A461" s="1005" t="s">
        <v>918</v>
      </c>
      <c r="C461" s="1026">
        <f t="shared" si="71"/>
        <v>111429</v>
      </c>
      <c r="D461" s="269"/>
      <c r="E461" s="1185"/>
      <c r="F461" s="1203"/>
      <c r="G461" s="269"/>
      <c r="H461" s="1185"/>
      <c r="I461" s="1203"/>
      <c r="J461" s="1230">
        <f>J179</f>
        <v>4.4989999999999997</v>
      </c>
      <c r="K461" s="1009" t="s">
        <v>374</v>
      </c>
      <c r="L461" s="1203">
        <f t="shared" ref="L461:L463" si="72">L496+L531</f>
        <v>5013</v>
      </c>
      <c r="N461" s="1204"/>
      <c r="P461" s="815"/>
      <c r="Q461" s="1184"/>
      <c r="R461" s="1184"/>
      <c r="S461" s="1205"/>
      <c r="T461" s="1205"/>
      <c r="Y461" s="1185"/>
      <c r="Z461" s="1185"/>
      <c r="AA461" s="1185"/>
      <c r="AB461" s="1185"/>
      <c r="AC461" s="1185"/>
      <c r="AD461" s="1185"/>
      <c r="AE461" s="1185"/>
      <c r="AF461" s="1185"/>
      <c r="AG461" s="1185"/>
      <c r="AH461" s="1185"/>
      <c r="AI461" s="1185"/>
      <c r="AK461" s="1204"/>
    </row>
    <row r="462" spans="1:37">
      <c r="A462" s="1005" t="s">
        <v>919</v>
      </c>
      <c r="C462" s="1026">
        <f t="shared" si="71"/>
        <v>111236</v>
      </c>
      <c r="D462" s="269"/>
      <c r="E462" s="1185"/>
      <c r="F462" s="1203"/>
      <c r="G462" s="269"/>
      <c r="H462" s="1185"/>
      <c r="I462" s="1203"/>
      <c r="J462" s="1230">
        <f>J180</f>
        <v>3.1080000000000001</v>
      </c>
      <c r="K462" s="1009" t="s">
        <v>374</v>
      </c>
      <c r="L462" s="1203">
        <f t="shared" si="72"/>
        <v>3458</v>
      </c>
      <c r="N462" s="1204"/>
      <c r="P462" s="815"/>
      <c r="Q462" s="1184"/>
      <c r="R462" s="1184"/>
      <c r="S462" s="1205"/>
      <c r="T462" s="1205"/>
      <c r="Y462" s="1185"/>
      <c r="Z462" s="1185"/>
      <c r="AA462" s="1185"/>
      <c r="AB462" s="1185"/>
      <c r="AC462" s="1185"/>
      <c r="AD462" s="1185"/>
      <c r="AE462" s="1185"/>
      <c r="AF462" s="1185"/>
      <c r="AG462" s="1185"/>
      <c r="AH462" s="1185"/>
      <c r="AI462" s="1185"/>
      <c r="AK462" s="1204"/>
    </row>
    <row r="463" spans="1:37">
      <c r="A463" s="1005" t="s">
        <v>920</v>
      </c>
      <c r="C463" s="1026">
        <f t="shared" si="71"/>
        <v>134813</v>
      </c>
      <c r="D463" s="269"/>
      <c r="E463" s="1185"/>
      <c r="F463" s="1203"/>
      <c r="G463" s="269"/>
      <c r="H463" s="1185"/>
      <c r="I463" s="1203"/>
      <c r="J463" s="1230">
        <f>J181</f>
        <v>2.6779999999999999</v>
      </c>
      <c r="K463" s="1009" t="s">
        <v>374</v>
      </c>
      <c r="L463" s="1203">
        <f t="shared" si="72"/>
        <v>3610</v>
      </c>
      <c r="N463" s="1204"/>
      <c r="O463" s="1005" t="s">
        <v>31</v>
      </c>
      <c r="P463" s="815"/>
      <c r="Q463" s="1184"/>
      <c r="R463" s="1184"/>
      <c r="S463" s="1205"/>
      <c r="T463" s="1205"/>
      <c r="Y463" s="1185"/>
      <c r="Z463" s="1185"/>
      <c r="AA463" s="1185"/>
      <c r="AB463" s="1185"/>
      <c r="AC463" s="1185"/>
      <c r="AD463" s="1185"/>
      <c r="AE463" s="1185"/>
      <c r="AF463" s="1185"/>
      <c r="AG463" s="1185"/>
      <c r="AH463" s="1185"/>
      <c r="AI463" s="1185"/>
      <c r="AK463" s="1204"/>
    </row>
    <row r="464" spans="1:37">
      <c r="A464" s="1256" t="s">
        <v>401</v>
      </c>
      <c r="B464" s="1219"/>
      <c r="C464" s="1026"/>
      <c r="D464" s="1257">
        <v>-0.01</v>
      </c>
      <c r="E464" s="1041"/>
      <c r="F464" s="1203"/>
      <c r="G464" s="1257">
        <v>-0.01</v>
      </c>
      <c r="H464" s="1009"/>
      <c r="I464" s="1203"/>
      <c r="J464" s="1257">
        <v>-0.01</v>
      </c>
      <c r="K464" s="1009"/>
      <c r="L464" s="1203"/>
      <c r="N464" s="1185"/>
      <c r="O464" s="1185"/>
      <c r="P464" s="1186"/>
      <c r="Q464" s="1186"/>
      <c r="R464" s="1186"/>
      <c r="S464" s="1185"/>
      <c r="T464" s="1185"/>
      <c r="U464" s="1185"/>
      <c r="V464" s="1185"/>
      <c r="W464" s="1185"/>
      <c r="X464" s="1185"/>
      <c r="Y464" s="1185"/>
      <c r="Z464" s="1185"/>
      <c r="AA464" s="1185"/>
      <c r="AB464" s="1185"/>
      <c r="AC464" s="1185"/>
      <c r="AD464" s="1185"/>
      <c r="AE464" s="1185"/>
      <c r="AF464" s="1185"/>
      <c r="AG464" s="1185"/>
      <c r="AH464" s="1185"/>
      <c r="AI464" s="1185"/>
    </row>
    <row r="465" spans="1:37">
      <c r="A465" s="1219" t="s">
        <v>390</v>
      </c>
      <c r="B465" s="1219"/>
      <c r="C465" s="1026">
        <v>0</v>
      </c>
      <c r="D465" s="1259">
        <v>91.679999999999993</v>
      </c>
      <c r="E465" s="1041"/>
      <c r="F465" s="1203">
        <f t="shared" ref="F465:F474" si="73">F500+F535</f>
        <v>0</v>
      </c>
      <c r="G465" s="1259">
        <v>104.52000000000001</v>
      </c>
      <c r="H465" s="1041"/>
      <c r="I465" s="1203">
        <f t="shared" ref="I465:I474" si="74">I500+I535</f>
        <v>0</v>
      </c>
      <c r="J465" s="1259">
        <f>J451</f>
        <v>116.88</v>
      </c>
      <c r="K465" s="1041"/>
      <c r="L465" s="1203">
        <f t="shared" ref="L465:L478" si="75">L500+L535</f>
        <v>0</v>
      </c>
      <c r="N465" s="1185"/>
      <c r="O465" s="1185"/>
      <c r="P465" s="1186"/>
      <c r="Q465" s="1186"/>
      <c r="R465" s="1186"/>
      <c r="S465" s="1185"/>
      <c r="T465" s="1185"/>
      <c r="U465" s="1185"/>
      <c r="V465" s="1185"/>
      <c r="W465" s="1185"/>
      <c r="X465" s="1185"/>
      <c r="Y465" s="1185"/>
      <c r="Z465" s="1185"/>
      <c r="AA465" s="1185"/>
      <c r="AB465" s="1185"/>
      <c r="AC465" s="1185"/>
      <c r="AD465" s="1185"/>
      <c r="AE465" s="1185"/>
      <c r="AF465" s="1185"/>
      <c r="AG465" s="1185"/>
      <c r="AH465" s="1185"/>
      <c r="AI465" s="1185"/>
    </row>
    <row r="466" spans="1:37">
      <c r="A466" s="1219" t="s">
        <v>391</v>
      </c>
      <c r="B466" s="1219"/>
      <c r="C466" s="1026">
        <v>0</v>
      </c>
      <c r="D466" s="1259">
        <v>136.32</v>
      </c>
      <c r="E466" s="1041"/>
      <c r="F466" s="1203">
        <f t="shared" si="73"/>
        <v>0</v>
      </c>
      <c r="G466" s="1259">
        <v>155.76</v>
      </c>
      <c r="H466" s="1041"/>
      <c r="I466" s="1203">
        <f t="shared" si="74"/>
        <v>0</v>
      </c>
      <c r="J466" s="1259">
        <f>J452</f>
        <v>174.12</v>
      </c>
      <c r="K466" s="1041"/>
      <c r="L466" s="1203">
        <f t="shared" si="75"/>
        <v>0</v>
      </c>
      <c r="N466" s="1185"/>
      <c r="O466" s="1185"/>
      <c r="P466" s="1186"/>
      <c r="Q466" s="1186"/>
      <c r="R466" s="1186"/>
      <c r="S466" s="1185"/>
      <c r="T466" s="1185"/>
      <c r="U466" s="1185"/>
      <c r="V466" s="1185"/>
      <c r="W466" s="1185"/>
      <c r="X466" s="1185"/>
      <c r="Y466" s="1185"/>
      <c r="Z466" s="1185"/>
      <c r="AA466" s="1185"/>
      <c r="AB466" s="1185"/>
      <c r="AC466" s="1185"/>
      <c r="AD466" s="1185"/>
      <c r="AE466" s="1185"/>
      <c r="AF466" s="1185"/>
      <c r="AG466" s="1185"/>
      <c r="AH466" s="1185"/>
      <c r="AI466" s="1185"/>
    </row>
    <row r="467" spans="1:37">
      <c r="A467" s="1219" t="s">
        <v>402</v>
      </c>
      <c r="B467" s="1219"/>
      <c r="C467" s="1026">
        <v>0</v>
      </c>
      <c r="D467" s="1259">
        <v>9.66</v>
      </c>
      <c r="E467" s="1041"/>
      <c r="F467" s="1203">
        <f t="shared" si="73"/>
        <v>0</v>
      </c>
      <c r="G467" s="1259">
        <v>11.040000000000001</v>
      </c>
      <c r="H467" s="1041"/>
      <c r="I467" s="1203">
        <f t="shared" si="74"/>
        <v>0</v>
      </c>
      <c r="J467" s="1259">
        <f>J453</f>
        <v>12.36</v>
      </c>
      <c r="K467" s="1041"/>
      <c r="L467" s="1203">
        <f t="shared" si="75"/>
        <v>0</v>
      </c>
      <c r="N467" s="1185"/>
      <c r="O467" s="1185"/>
      <c r="P467" s="1186"/>
      <c r="Q467" s="1186"/>
      <c r="R467" s="1186"/>
      <c r="S467" s="1185"/>
      <c r="T467" s="1185"/>
      <c r="U467" s="1185"/>
      <c r="V467" s="1185"/>
      <c r="W467" s="1185"/>
      <c r="X467" s="1185"/>
      <c r="Y467" s="1185"/>
      <c r="Z467" s="1185"/>
      <c r="AA467" s="1185"/>
      <c r="AB467" s="1185"/>
      <c r="AC467" s="1185"/>
      <c r="AD467" s="1185"/>
      <c r="AE467" s="1185"/>
      <c r="AF467" s="1185"/>
      <c r="AG467" s="1185"/>
      <c r="AH467" s="1185"/>
      <c r="AI467" s="1185"/>
    </row>
    <row r="468" spans="1:37">
      <c r="A468" s="1219" t="s">
        <v>403</v>
      </c>
      <c r="B468" s="1219"/>
      <c r="C468" s="1026">
        <v>0</v>
      </c>
      <c r="D468" s="1259">
        <v>2.98</v>
      </c>
      <c r="E468" s="1009"/>
      <c r="F468" s="1203">
        <f t="shared" si="73"/>
        <v>0</v>
      </c>
      <c r="G468" s="1259">
        <v>3.4</v>
      </c>
      <c r="H468" s="1009"/>
      <c r="I468" s="1203">
        <f t="shared" si="74"/>
        <v>0</v>
      </c>
      <c r="J468" s="1259">
        <f>J456</f>
        <v>3.8</v>
      </c>
      <c r="K468" s="1009"/>
      <c r="L468" s="1203">
        <f t="shared" si="75"/>
        <v>0</v>
      </c>
      <c r="N468" s="1185"/>
      <c r="O468" s="1185"/>
      <c r="P468" s="1186"/>
      <c r="Q468" s="1186"/>
      <c r="R468" s="1186"/>
      <c r="S468" s="1185"/>
      <c r="T468" s="1185"/>
      <c r="U468" s="1185"/>
      <c r="V468" s="1185"/>
      <c r="W468" s="1185"/>
      <c r="X468" s="1185"/>
      <c r="Y468" s="1185"/>
      <c r="Z468" s="1185"/>
      <c r="AA468" s="1185"/>
      <c r="AB468" s="1185"/>
      <c r="AC468" s="1185"/>
      <c r="AD468" s="1185"/>
      <c r="AE468" s="1185"/>
      <c r="AF468" s="1185"/>
      <c r="AG468" s="1185"/>
      <c r="AH468" s="1185"/>
      <c r="AI468" s="1185"/>
    </row>
    <row r="469" spans="1:37">
      <c r="A469" s="1219" t="s">
        <v>405</v>
      </c>
      <c r="B469" s="1219"/>
      <c r="C469" s="1026">
        <v>0</v>
      </c>
      <c r="D469" s="1070">
        <v>8.5489999999999995</v>
      </c>
      <c r="E469" s="1009" t="s">
        <v>374</v>
      </c>
      <c r="F469" s="1203">
        <f t="shared" si="73"/>
        <v>0</v>
      </c>
      <c r="G469" s="1070">
        <v>9.766</v>
      </c>
      <c r="H469" s="1009" t="s">
        <v>374</v>
      </c>
      <c r="I469" s="1203">
        <f t="shared" si="74"/>
        <v>0</v>
      </c>
      <c r="J469" s="1070">
        <f>J457</f>
        <v>6.4269999999999996</v>
      </c>
      <c r="K469" s="1009" t="s">
        <v>374</v>
      </c>
      <c r="L469" s="1203">
        <f t="shared" si="75"/>
        <v>0</v>
      </c>
      <c r="N469" s="1185"/>
      <c r="O469" s="1185"/>
      <c r="P469" s="1186"/>
      <c r="Q469" s="1186"/>
      <c r="R469" s="1186"/>
      <c r="S469" s="1185"/>
      <c r="T469" s="1185"/>
      <c r="U469" s="1185"/>
      <c r="V469" s="1185"/>
      <c r="W469" s="1185"/>
      <c r="X469" s="1185"/>
      <c r="Y469" s="1185"/>
      <c r="Z469" s="1185"/>
      <c r="AA469" s="1185"/>
      <c r="AB469" s="1185"/>
      <c r="AC469" s="1185"/>
      <c r="AD469" s="1185"/>
      <c r="AE469" s="1185"/>
      <c r="AF469" s="1185"/>
      <c r="AG469" s="1185"/>
      <c r="AH469" s="1185"/>
      <c r="AI469" s="1185"/>
    </row>
    <row r="470" spans="1:37">
      <c r="A470" s="1219" t="s">
        <v>398</v>
      </c>
      <c r="B470" s="1219"/>
      <c r="C470" s="1026">
        <v>0</v>
      </c>
      <c r="D470" s="1070">
        <v>5.9020000000000001</v>
      </c>
      <c r="E470" s="1009" t="s">
        <v>374</v>
      </c>
      <c r="F470" s="1203">
        <f t="shared" si="73"/>
        <v>0</v>
      </c>
      <c r="G470" s="1070">
        <v>6.7460000000000004</v>
      </c>
      <c r="H470" s="1009" t="s">
        <v>374</v>
      </c>
      <c r="I470" s="1203">
        <f t="shared" si="74"/>
        <v>0</v>
      </c>
      <c r="J470" s="1070">
        <f>J458</f>
        <v>4.4400000000000004</v>
      </c>
      <c r="K470" s="1009" t="s">
        <v>374</v>
      </c>
      <c r="L470" s="1203">
        <f t="shared" si="75"/>
        <v>0</v>
      </c>
      <c r="N470" s="1185"/>
      <c r="O470" s="1185"/>
      <c r="P470" s="1186"/>
      <c r="Q470" s="1186"/>
      <c r="R470" s="1186"/>
      <c r="S470" s="1185"/>
      <c r="T470" s="1185"/>
      <c r="U470" s="1185"/>
      <c r="V470" s="1185"/>
      <c r="W470" s="1185"/>
      <c r="X470" s="1185"/>
      <c r="Y470" s="1185"/>
      <c r="Z470" s="1185"/>
      <c r="AA470" s="1185"/>
      <c r="AB470" s="1185"/>
      <c r="AC470" s="1185"/>
      <c r="AD470" s="1185"/>
      <c r="AE470" s="1185"/>
      <c r="AF470" s="1185"/>
      <c r="AG470" s="1185"/>
      <c r="AH470" s="1185"/>
      <c r="AI470" s="1185"/>
    </row>
    <row r="471" spans="1:37">
      <c r="A471" s="1219" t="s">
        <v>399</v>
      </c>
      <c r="B471" s="1219"/>
      <c r="C471" s="1026">
        <v>0</v>
      </c>
      <c r="D471" s="1070">
        <v>5.0839999999999996</v>
      </c>
      <c r="E471" s="1009" t="s">
        <v>374</v>
      </c>
      <c r="F471" s="1203">
        <f t="shared" si="73"/>
        <v>0</v>
      </c>
      <c r="G471" s="1070">
        <v>5.8120000000000003</v>
      </c>
      <c r="H471" s="1009" t="s">
        <v>374</v>
      </c>
      <c r="I471" s="1203">
        <f t="shared" si="74"/>
        <v>0</v>
      </c>
      <c r="J471" s="1070">
        <f>J459</f>
        <v>3.8250000000000002</v>
      </c>
      <c r="K471" s="1009" t="s">
        <v>374</v>
      </c>
      <c r="L471" s="1203">
        <f t="shared" si="75"/>
        <v>0</v>
      </c>
      <c r="N471" s="1185"/>
      <c r="O471" s="1185"/>
      <c r="P471" s="1186"/>
      <c r="Q471" s="1186"/>
      <c r="R471" s="1186"/>
      <c r="S471" s="1185"/>
      <c r="T471" s="1185"/>
      <c r="U471" s="1185"/>
      <c r="V471" s="1185"/>
      <c r="W471" s="1185"/>
      <c r="X471" s="1185"/>
      <c r="Y471" s="1185"/>
      <c r="Z471" s="1185"/>
      <c r="AA471" s="1185"/>
      <c r="AB471" s="1185"/>
      <c r="AC471" s="1185"/>
      <c r="AD471" s="1185"/>
      <c r="AE471" s="1185"/>
      <c r="AF471" s="1185"/>
      <c r="AG471" s="1185"/>
      <c r="AH471" s="1185"/>
      <c r="AI471" s="1185"/>
    </row>
    <row r="472" spans="1:37">
      <c r="A472" s="1219" t="s">
        <v>400</v>
      </c>
      <c r="B472" s="1219"/>
      <c r="C472" s="1026">
        <v>0</v>
      </c>
      <c r="D472" s="1260">
        <v>50</v>
      </c>
      <c r="E472" s="1009" t="s">
        <v>374</v>
      </c>
      <c r="F472" s="1203">
        <f t="shared" si="73"/>
        <v>0</v>
      </c>
      <c r="G472" s="1260">
        <v>56</v>
      </c>
      <c r="H472" s="1009" t="s">
        <v>374</v>
      </c>
      <c r="I472" s="1203">
        <f t="shared" si="74"/>
        <v>0</v>
      </c>
      <c r="J472" s="1260">
        <f>J460</f>
        <v>63</v>
      </c>
      <c r="K472" s="1009" t="s">
        <v>374</v>
      </c>
      <c r="L472" s="1203">
        <f t="shared" si="75"/>
        <v>0</v>
      </c>
      <c r="N472" s="1185"/>
      <c r="O472" s="1185"/>
      <c r="P472" s="1186"/>
      <c r="Q472" s="1186"/>
      <c r="R472" s="1186"/>
      <c r="S472" s="1185"/>
      <c r="T472" s="1185"/>
      <c r="U472" s="1185"/>
      <c r="V472" s="1185"/>
      <c r="W472" s="1185"/>
      <c r="X472" s="1185"/>
      <c r="Y472" s="1185"/>
      <c r="Z472" s="1185"/>
      <c r="AA472" s="1185"/>
      <c r="AB472" s="1185"/>
      <c r="AC472" s="1185"/>
      <c r="AD472" s="1185"/>
      <c r="AE472" s="1185"/>
      <c r="AF472" s="1185"/>
      <c r="AG472" s="1185"/>
      <c r="AH472" s="1185"/>
      <c r="AI472" s="1185"/>
    </row>
    <row r="473" spans="1:37">
      <c r="A473" s="1219" t="s">
        <v>407</v>
      </c>
      <c r="B473" s="1219"/>
      <c r="C473" s="1026">
        <v>0</v>
      </c>
      <c r="D473" s="1261">
        <v>60</v>
      </c>
      <c r="E473" s="1041"/>
      <c r="F473" s="1203">
        <f t="shared" si="73"/>
        <v>0</v>
      </c>
      <c r="G473" s="1261">
        <v>60</v>
      </c>
      <c r="H473" s="1009"/>
      <c r="I473" s="1203">
        <f t="shared" si="74"/>
        <v>0</v>
      </c>
      <c r="J473" s="1261">
        <f>$J$194</f>
        <v>60</v>
      </c>
      <c r="K473" s="1009"/>
      <c r="L473" s="1203">
        <f t="shared" si="75"/>
        <v>0</v>
      </c>
      <c r="N473" s="1185"/>
      <c r="O473" s="1185"/>
      <c r="P473" s="1186"/>
      <c r="Q473" s="1186"/>
      <c r="R473" s="1186"/>
      <c r="S473" s="1185"/>
      <c r="T473" s="1185"/>
      <c r="U473" s="1185"/>
      <c r="V473" s="1185"/>
      <c r="W473" s="1185"/>
      <c r="X473" s="1185"/>
      <c r="Y473" s="1185"/>
      <c r="Z473" s="1185"/>
      <c r="AA473" s="1185"/>
      <c r="AB473" s="1185"/>
      <c r="AC473" s="1185"/>
      <c r="AD473" s="1185"/>
      <c r="AE473" s="1185"/>
      <c r="AF473" s="1185"/>
      <c r="AG473" s="1185"/>
      <c r="AH473" s="1185"/>
      <c r="AI473" s="1185"/>
    </row>
    <row r="474" spans="1:37">
      <c r="A474" s="1219" t="s">
        <v>408</v>
      </c>
      <c r="B474" s="1219"/>
      <c r="C474" s="1026">
        <v>0</v>
      </c>
      <c r="D474" s="1262">
        <v>-30</v>
      </c>
      <c r="E474" s="1041" t="s">
        <v>374</v>
      </c>
      <c r="F474" s="1203">
        <f t="shared" si="73"/>
        <v>0</v>
      </c>
      <c r="G474" s="1262">
        <v>-30</v>
      </c>
      <c r="H474" s="1009" t="s">
        <v>374</v>
      </c>
      <c r="I474" s="1203">
        <f t="shared" si="74"/>
        <v>0</v>
      </c>
      <c r="J474" s="1262">
        <f>$J$195</f>
        <v>-30</v>
      </c>
      <c r="K474" s="1009" t="s">
        <v>374</v>
      </c>
      <c r="L474" s="1203">
        <f t="shared" si="75"/>
        <v>0</v>
      </c>
      <c r="N474" s="1185"/>
      <c r="O474" s="1185"/>
      <c r="P474" s="1186"/>
      <c r="Q474" s="1186"/>
      <c r="R474" s="1186"/>
      <c r="S474" s="1185"/>
      <c r="T474" s="1185"/>
      <c r="U474" s="1185"/>
      <c r="V474" s="1185"/>
      <c r="W474" s="1185"/>
      <c r="X474" s="1185"/>
      <c r="Y474" s="1185"/>
      <c r="Z474" s="1185"/>
      <c r="AA474" s="1185"/>
      <c r="AB474" s="1185"/>
      <c r="AC474" s="1185"/>
      <c r="AD474" s="1185"/>
      <c r="AE474" s="1185"/>
      <c r="AF474" s="1185"/>
      <c r="AG474" s="1185"/>
      <c r="AH474" s="1185"/>
      <c r="AI474" s="1185"/>
    </row>
    <row r="475" spans="1:37">
      <c r="A475" s="1005" t="s">
        <v>918</v>
      </c>
      <c r="C475" s="1202">
        <f>C469</f>
        <v>0</v>
      </c>
      <c r="D475" s="269"/>
      <c r="E475" s="1185"/>
      <c r="F475" s="1203"/>
      <c r="G475" s="269"/>
      <c r="H475" s="1185"/>
      <c r="I475" s="1203"/>
      <c r="J475" s="1230">
        <f>J179</f>
        <v>4.4989999999999997</v>
      </c>
      <c r="K475" s="1009" t="s">
        <v>374</v>
      </c>
      <c r="L475" s="1203">
        <f t="shared" si="75"/>
        <v>0</v>
      </c>
      <c r="N475" s="1204"/>
      <c r="P475" s="815"/>
      <c r="Q475" s="1184"/>
      <c r="R475" s="1184"/>
      <c r="S475" s="1205"/>
      <c r="T475" s="1205"/>
      <c r="Y475" s="1185"/>
      <c r="Z475" s="1185"/>
      <c r="AA475" s="1185"/>
      <c r="AB475" s="1185"/>
      <c r="AC475" s="1185"/>
      <c r="AD475" s="1185"/>
      <c r="AE475" s="1185"/>
      <c r="AF475" s="1185"/>
      <c r="AG475" s="1185"/>
      <c r="AH475" s="1185"/>
      <c r="AI475" s="1185"/>
      <c r="AK475" s="1204"/>
    </row>
    <row r="476" spans="1:37">
      <c r="A476" s="1005" t="s">
        <v>919</v>
      </c>
      <c r="C476" s="1202">
        <f>C470</f>
        <v>0</v>
      </c>
      <c r="D476" s="269"/>
      <c r="E476" s="1185"/>
      <c r="F476" s="1203"/>
      <c r="G476" s="269"/>
      <c r="H476" s="1185"/>
      <c r="I476" s="1203"/>
      <c r="J476" s="1230">
        <f>J180</f>
        <v>3.1080000000000001</v>
      </c>
      <c r="K476" s="1009" t="s">
        <v>374</v>
      </c>
      <c r="L476" s="1203">
        <f t="shared" si="75"/>
        <v>0</v>
      </c>
      <c r="N476" s="1204"/>
      <c r="P476" s="815"/>
      <c r="Q476" s="1184"/>
      <c r="R476" s="1184"/>
      <c r="S476" s="1205"/>
      <c r="T476" s="1205"/>
      <c r="Y476" s="1185"/>
      <c r="Z476" s="1185"/>
      <c r="AA476" s="1185"/>
      <c r="AB476" s="1185"/>
      <c r="AC476" s="1185"/>
      <c r="AD476" s="1185"/>
      <c r="AE476" s="1185"/>
      <c r="AF476" s="1185"/>
      <c r="AG476" s="1185"/>
      <c r="AH476" s="1185"/>
      <c r="AI476" s="1185"/>
      <c r="AK476" s="1204"/>
    </row>
    <row r="477" spans="1:37">
      <c r="A477" s="1005" t="s">
        <v>920</v>
      </c>
      <c r="C477" s="1202">
        <f>C471</f>
        <v>0</v>
      </c>
      <c r="D477" s="269"/>
      <c r="E477" s="1185"/>
      <c r="F477" s="1203"/>
      <c r="G477" s="269"/>
      <c r="H477" s="1185"/>
      <c r="I477" s="1203"/>
      <c r="J477" s="1230">
        <f>J181</f>
        <v>2.6779999999999999</v>
      </c>
      <c r="K477" s="1009" t="s">
        <v>374</v>
      </c>
      <c r="L477" s="1203">
        <f t="shared" si="75"/>
        <v>0</v>
      </c>
      <c r="N477" s="1204"/>
      <c r="P477" s="815"/>
      <c r="Q477" s="1184"/>
      <c r="R477" s="1184"/>
      <c r="S477" s="1205"/>
      <c r="T477" s="1205"/>
      <c r="Y477" s="1185"/>
      <c r="Z477" s="1185"/>
      <c r="AA477" s="1185"/>
      <c r="AB477" s="1185"/>
      <c r="AC477" s="1185"/>
      <c r="AD477" s="1185"/>
      <c r="AE477" s="1185"/>
      <c r="AF477" s="1185"/>
      <c r="AG477" s="1185"/>
      <c r="AH477" s="1185"/>
      <c r="AI477" s="1185"/>
      <c r="AK477" s="1204"/>
    </row>
    <row r="478" spans="1:37">
      <c r="A478" s="1219" t="s">
        <v>381</v>
      </c>
      <c r="B478" s="1219"/>
      <c r="C478" s="1026">
        <f>C513+C548</f>
        <v>357478</v>
      </c>
      <c r="D478" s="1255"/>
      <c r="E478" s="1203"/>
      <c r="F478" s="1203">
        <f>F513+F548</f>
        <v>106817</v>
      </c>
      <c r="G478" s="1249"/>
      <c r="H478" s="1009"/>
      <c r="I478" s="1203">
        <f>I513+I548</f>
        <v>121984</v>
      </c>
      <c r="J478" s="1203"/>
      <c r="K478" s="1009"/>
      <c r="L478" s="1203">
        <f t="shared" si="75"/>
        <v>136445</v>
      </c>
      <c r="N478" s="1185"/>
      <c r="O478" s="1185"/>
      <c r="P478" s="1186"/>
      <c r="Q478" s="1186"/>
      <c r="R478" s="1186"/>
      <c r="S478" s="1185"/>
      <c r="T478" s="1185"/>
      <c r="U478" s="1185"/>
      <c r="V478" s="1185"/>
      <c r="W478" s="1185"/>
      <c r="X478" s="1185"/>
      <c r="Y478" s="1185"/>
      <c r="Z478" s="1185"/>
      <c r="AA478" s="1185"/>
      <c r="AB478" s="1185"/>
      <c r="AC478" s="1185"/>
      <c r="AD478" s="1185"/>
      <c r="AE478" s="1185"/>
      <c r="AF478" s="1185"/>
      <c r="AG478" s="1185"/>
      <c r="AH478" s="1185"/>
      <c r="AI478" s="1185"/>
    </row>
    <row r="479" spans="1:37">
      <c r="A479" s="1219" t="s">
        <v>363</v>
      </c>
      <c r="B479" s="1219"/>
      <c r="C479" s="1028">
        <f>C514+C549</f>
        <v>-822.76182582951765</v>
      </c>
      <c r="D479" s="1218"/>
      <c r="E479" s="1218"/>
      <c r="F479" s="1264" t="e">
        <f>F514+F549</f>
        <v>#REF!</v>
      </c>
      <c r="G479" s="1218"/>
      <c r="H479" s="1218"/>
      <c r="I479" s="1264">
        <f>I514+I549</f>
        <v>-263.15414039122498</v>
      </c>
      <c r="J479" s="1218"/>
      <c r="K479" s="1218"/>
      <c r="L479" s="1264">
        <f>I479</f>
        <v>-263.15414039122498</v>
      </c>
      <c r="N479" s="444"/>
      <c r="O479" s="444"/>
      <c r="P479" s="287"/>
      <c r="Q479" s="1186"/>
      <c r="R479" s="1186"/>
      <c r="S479" s="1185"/>
      <c r="T479" s="1185"/>
      <c r="U479" s="1185"/>
      <c r="V479" s="1185"/>
      <c r="W479" s="1185"/>
      <c r="X479" s="1185"/>
      <c r="Y479" s="1185"/>
      <c r="Z479" s="1185"/>
      <c r="AA479" s="1185"/>
      <c r="AB479" s="1185"/>
      <c r="AC479" s="1185"/>
      <c r="AD479" s="1185"/>
      <c r="AE479" s="1185"/>
      <c r="AF479" s="1185"/>
      <c r="AG479" s="1185"/>
      <c r="AH479" s="1185"/>
      <c r="AI479" s="1185"/>
    </row>
    <row r="480" spans="1:37" ht="16.5" thickBot="1">
      <c r="A480" s="1219" t="s">
        <v>382</v>
      </c>
      <c r="B480" s="1219"/>
      <c r="C480" s="1240">
        <f>SUM(C478:C479)</f>
        <v>356655.23817417049</v>
      </c>
      <c r="D480" s="1265"/>
      <c r="E480" s="1266"/>
      <c r="F480" s="1267" t="e">
        <f>F478+F479</f>
        <v>#REF!</v>
      </c>
      <c r="G480" s="1265"/>
      <c r="H480" s="1269"/>
      <c r="I480" s="1267">
        <f>I478+I479</f>
        <v>121720.84585960877</v>
      </c>
      <c r="J480" s="1265"/>
      <c r="K480" s="1269"/>
      <c r="L480" s="1267">
        <f>L478+L479</f>
        <v>136181.84585960879</v>
      </c>
      <c r="N480" s="411"/>
      <c r="O480" s="411"/>
      <c r="P480" s="470"/>
      <c r="Q480" s="1186"/>
      <c r="R480" s="1186"/>
      <c r="S480" s="1185"/>
      <c r="T480" s="1185"/>
      <c r="U480" s="1185"/>
      <c r="V480" s="1185"/>
      <c r="W480" s="1185"/>
      <c r="X480" s="1185"/>
      <c r="Y480" s="1185"/>
      <c r="Z480" s="1185"/>
      <c r="AA480" s="1185"/>
      <c r="AB480" s="1185"/>
      <c r="AC480" s="1185"/>
      <c r="AD480" s="1185"/>
      <c r="AE480" s="1185"/>
      <c r="AF480" s="1185"/>
      <c r="AG480" s="1185"/>
      <c r="AH480" s="1185"/>
      <c r="AI480" s="1185"/>
    </row>
    <row r="481" spans="1:37" ht="16.5" thickTop="1">
      <c r="A481" s="1219"/>
      <c r="B481" s="1219"/>
      <c r="C481" s="1225"/>
      <c r="D481" s="1261"/>
      <c r="E481" s="1203"/>
      <c r="F481" s="1203"/>
      <c r="G481" s="1261" t="s">
        <v>31</v>
      </c>
      <c r="H481" s="1219"/>
      <c r="I481" s="1203"/>
      <c r="J481" s="1259" t="s">
        <v>31</v>
      </c>
      <c r="K481" s="1219"/>
      <c r="L481" s="1203" t="s">
        <v>31</v>
      </c>
      <c r="N481" s="1185"/>
      <c r="O481" s="1185"/>
      <c r="P481" s="1186"/>
      <c r="Q481" s="1186"/>
      <c r="R481" s="1186"/>
      <c r="S481" s="1185"/>
      <c r="T481" s="1185"/>
      <c r="U481" s="1185"/>
      <c r="V481" s="1185"/>
      <c r="W481" s="1185"/>
      <c r="X481" s="1185"/>
      <c r="Y481" s="1185"/>
      <c r="Z481" s="1185"/>
      <c r="AA481" s="1185"/>
      <c r="AB481" s="1185"/>
      <c r="AC481" s="1185"/>
      <c r="AD481" s="1185"/>
      <c r="AE481" s="1185"/>
      <c r="AF481" s="1185"/>
      <c r="AG481" s="1185"/>
      <c r="AH481" s="1185"/>
      <c r="AI481" s="1185"/>
    </row>
    <row r="482" spans="1:37">
      <c r="A482" s="1224" t="s">
        <v>417</v>
      </c>
      <c r="B482" s="1219"/>
      <c r="C482" s="1219"/>
      <c r="D482" s="1203"/>
      <c r="E482" s="1203"/>
      <c r="F482" s="1219" t="s">
        <v>31</v>
      </c>
      <c r="G482" s="1203"/>
      <c r="H482" s="1219"/>
      <c r="I482" s="1219"/>
      <c r="J482" s="1203"/>
      <c r="K482" s="1219"/>
      <c r="L482" s="1219"/>
      <c r="N482" s="1185"/>
      <c r="O482" s="1185"/>
      <c r="P482" s="1186"/>
      <c r="Q482" s="1186"/>
      <c r="R482" s="1186"/>
      <c r="S482" s="1185"/>
      <c r="T482" s="1185"/>
      <c r="U482" s="1185"/>
      <c r="V482" s="1185"/>
      <c r="W482" s="1185"/>
      <c r="X482" s="1185"/>
      <c r="Y482" s="1185"/>
      <c r="Z482" s="1185"/>
      <c r="AA482" s="1185"/>
      <c r="AB482" s="1185"/>
      <c r="AC482" s="1185"/>
      <c r="AD482" s="1185"/>
      <c r="AE482" s="1185"/>
      <c r="AF482" s="1185"/>
      <c r="AG482" s="1185"/>
      <c r="AH482" s="1185"/>
      <c r="AI482" s="1185"/>
    </row>
    <row r="483" spans="1:37">
      <c r="A483" s="1219" t="s">
        <v>411</v>
      </c>
      <c r="B483" s="1219"/>
      <c r="C483" s="1219"/>
      <c r="D483" s="1203"/>
      <c r="E483" s="1203"/>
      <c r="F483" s="1219"/>
      <c r="G483" s="1203"/>
      <c r="H483" s="1219"/>
      <c r="I483" s="1219"/>
      <c r="J483" s="1203"/>
      <c r="K483" s="1219"/>
      <c r="L483" s="1219"/>
      <c r="N483" s="1185"/>
      <c r="O483" s="1185"/>
      <c r="P483" s="1186"/>
      <c r="Q483" s="1186"/>
      <c r="R483" s="1186"/>
      <c r="S483" s="1185"/>
      <c r="T483" s="1185"/>
      <c r="U483" s="1185"/>
      <c r="V483" s="1185"/>
      <c r="W483" s="1185"/>
      <c r="X483" s="1185"/>
      <c r="Y483" s="1185"/>
      <c r="Z483" s="1185"/>
      <c r="AA483" s="1185"/>
      <c r="AB483" s="1185"/>
      <c r="AC483" s="1185"/>
      <c r="AD483" s="1185"/>
      <c r="AE483" s="1185"/>
      <c r="AF483" s="1185"/>
      <c r="AG483" s="1185"/>
      <c r="AH483" s="1185"/>
      <c r="AI483" s="1185"/>
    </row>
    <row r="484" spans="1:37">
      <c r="A484" s="1219" t="s">
        <v>418</v>
      </c>
      <c r="B484" s="1219"/>
      <c r="C484" s="1219"/>
      <c r="D484" s="1203"/>
      <c r="E484" s="1203"/>
      <c r="F484" s="1219"/>
      <c r="G484" s="1203"/>
      <c r="H484" s="1219"/>
      <c r="I484" s="1219"/>
      <c r="J484" s="1203"/>
      <c r="K484" s="1219"/>
      <c r="L484" s="1219"/>
      <c r="N484" s="1185"/>
      <c r="O484" s="1185"/>
      <c r="P484" s="1186"/>
      <c r="Q484" s="1186"/>
      <c r="R484" s="1186"/>
      <c r="S484" s="1185"/>
      <c r="T484" s="1185"/>
      <c r="U484" s="1185"/>
      <c r="V484" s="1185"/>
      <c r="W484" s="1185"/>
      <c r="X484" s="1185"/>
      <c r="Y484" s="1185"/>
      <c r="Z484" s="1185"/>
      <c r="AA484" s="1185"/>
      <c r="AB484" s="1185"/>
      <c r="AC484" s="1185"/>
      <c r="AD484" s="1185"/>
      <c r="AE484" s="1185"/>
      <c r="AF484" s="1185"/>
      <c r="AG484" s="1185"/>
      <c r="AH484" s="1185"/>
      <c r="AI484" s="1185"/>
    </row>
    <row r="485" spans="1:37">
      <c r="A485" s="1219" t="s">
        <v>393</v>
      </c>
      <c r="B485" s="1219"/>
      <c r="C485" s="1026"/>
      <c r="D485" s="1203"/>
      <c r="E485" s="1203"/>
      <c r="F485" s="1219"/>
      <c r="G485" s="1203"/>
      <c r="H485" s="1219"/>
      <c r="I485" s="1219"/>
      <c r="J485" s="1203"/>
      <c r="K485" s="1219"/>
      <c r="L485" s="1219"/>
      <c r="N485" s="1185"/>
      <c r="O485" s="1185"/>
      <c r="P485" s="1186"/>
      <c r="Q485" s="1186"/>
      <c r="R485" s="1186"/>
      <c r="S485" s="1185"/>
      <c r="T485" s="1185"/>
      <c r="U485" s="1185"/>
      <c r="V485" s="1185"/>
      <c r="W485" s="1185"/>
      <c r="X485" s="1185"/>
      <c r="Y485" s="1185"/>
      <c r="Z485" s="1185"/>
      <c r="AA485" s="1185"/>
      <c r="AB485" s="1185"/>
      <c r="AC485" s="1185"/>
      <c r="AD485" s="1185"/>
      <c r="AE485" s="1185"/>
      <c r="AF485" s="1185"/>
      <c r="AG485" s="1185"/>
      <c r="AH485" s="1185"/>
      <c r="AI485" s="1185"/>
    </row>
    <row r="486" spans="1:37">
      <c r="A486" s="1219" t="s">
        <v>390</v>
      </c>
      <c r="B486" s="1219"/>
      <c r="C486" s="1026">
        <v>1</v>
      </c>
      <c r="D486" s="1229">
        <v>91.679999999999993</v>
      </c>
      <c r="E486" s="1041"/>
      <c r="F486" s="1203">
        <f>ROUND(D486*$C486,0)</f>
        <v>92</v>
      </c>
      <c r="G486" s="1229">
        <v>104.52000000000001</v>
      </c>
      <c r="H486" s="1009"/>
      <c r="I486" s="1203">
        <f>ROUND(G486*$C486,0)</f>
        <v>105</v>
      </c>
      <c r="J486" s="1229">
        <f>$J$165</f>
        <v>116.88</v>
      </c>
      <c r="K486" s="1009"/>
      <c r="L486" s="1203">
        <f>ROUND(J486*$C486,0)</f>
        <v>117</v>
      </c>
      <c r="N486" s="1185"/>
      <c r="O486" s="1185"/>
      <c r="P486" s="1186"/>
      <c r="Q486" s="1186"/>
      <c r="R486" s="1186"/>
      <c r="S486" s="1185"/>
      <c r="T486" s="1185"/>
      <c r="U486" s="1185"/>
      <c r="V486" s="1185"/>
      <c r="W486" s="1185"/>
      <c r="X486" s="1185"/>
      <c r="Y486" s="1185"/>
      <c r="Z486" s="1185"/>
      <c r="AA486" s="1185"/>
      <c r="AB486" s="1185"/>
      <c r="AC486" s="1185"/>
      <c r="AD486" s="1185"/>
      <c r="AE486" s="1185"/>
      <c r="AF486" s="1185"/>
      <c r="AG486" s="1185"/>
      <c r="AH486" s="1185"/>
      <c r="AI486" s="1185"/>
    </row>
    <row r="487" spans="1:37">
      <c r="A487" s="1219" t="s">
        <v>391</v>
      </c>
      <c r="B487" s="1219"/>
      <c r="C487" s="1026">
        <v>87.747945205479496</v>
      </c>
      <c r="D487" s="1229">
        <v>136.32</v>
      </c>
      <c r="E487" s="1249"/>
      <c r="F487" s="1203">
        <f>ROUND(D487*$C487,0)</f>
        <v>11962</v>
      </c>
      <c r="G487" s="1229">
        <v>155.76</v>
      </c>
      <c r="H487" s="1250"/>
      <c r="I487" s="1203">
        <f t="shared" ref="I487:I488" si="76">ROUND(G487*$C487,0)</f>
        <v>13668</v>
      </c>
      <c r="J487" s="1229">
        <f>$J$166</f>
        <v>174.12</v>
      </c>
      <c r="K487" s="1250"/>
      <c r="L487" s="1203">
        <f>ROUND(J487*$C487,0)</f>
        <v>15279</v>
      </c>
      <c r="N487" s="1185"/>
      <c r="O487" s="1185"/>
      <c r="P487" s="1186"/>
      <c r="Q487" s="1186"/>
      <c r="R487" s="1186"/>
      <c r="S487" s="1185"/>
      <c r="T487" s="1185"/>
      <c r="U487" s="1185"/>
      <c r="V487" s="1185"/>
      <c r="W487" s="1185"/>
      <c r="X487" s="1185"/>
      <c r="Y487" s="1185"/>
      <c r="Z487" s="1185"/>
      <c r="AA487" s="1185"/>
      <c r="AB487" s="1185"/>
      <c r="AC487" s="1185"/>
      <c r="AD487" s="1185"/>
      <c r="AE487" s="1185"/>
      <c r="AF487" s="1185"/>
      <c r="AG487" s="1185"/>
      <c r="AH487" s="1185"/>
      <c r="AI487" s="1185"/>
    </row>
    <row r="488" spans="1:37">
      <c r="A488" s="1219" t="s">
        <v>392</v>
      </c>
      <c r="B488" s="1219"/>
      <c r="C488" s="1026">
        <v>3293.9150684931501</v>
      </c>
      <c r="D488" s="1229">
        <v>9.66</v>
      </c>
      <c r="E488" s="1249"/>
      <c r="F488" s="1203">
        <f>ROUND(D488*$C488,0)</f>
        <v>31819</v>
      </c>
      <c r="G488" s="1229">
        <v>11.040000000000001</v>
      </c>
      <c r="H488" s="1250"/>
      <c r="I488" s="1203">
        <f t="shared" si="76"/>
        <v>36365</v>
      </c>
      <c r="J488" s="1229">
        <f>$J$167</f>
        <v>12.36</v>
      </c>
      <c r="K488" s="1250"/>
      <c r="L488" s="1203">
        <f>ROUND(J488*$C488,0)</f>
        <v>40713</v>
      </c>
      <c r="N488" s="1185"/>
      <c r="O488" s="1185"/>
      <c r="P488" s="1186"/>
      <c r="Q488" s="1186"/>
      <c r="R488" s="1186"/>
      <c r="S488" s="1185"/>
      <c r="T488" s="1185"/>
      <c r="U488" s="1185"/>
      <c r="V488" s="1185"/>
      <c r="W488" s="1185"/>
      <c r="X488" s="1185"/>
      <c r="Y488" s="1185"/>
      <c r="Z488" s="1185"/>
      <c r="AA488" s="1185"/>
      <c r="AB488" s="1185"/>
      <c r="AC488" s="1185"/>
      <c r="AD488" s="1185"/>
      <c r="AE488" s="1185"/>
      <c r="AF488" s="1185"/>
      <c r="AG488" s="1185"/>
      <c r="AH488" s="1185"/>
      <c r="AI488" s="1185"/>
    </row>
    <row r="489" spans="1:37">
      <c r="A489" s="1219" t="s">
        <v>394</v>
      </c>
      <c r="B489" s="1219"/>
      <c r="C489" s="1026">
        <f>SUM(C486:C487)</f>
        <v>88.747945205479496</v>
      </c>
      <c r="D489" s="1229"/>
      <c r="E489" s="1041"/>
      <c r="F489" s="1203"/>
      <c r="G489" s="1229"/>
      <c r="H489" s="1009"/>
      <c r="I489" s="1203"/>
      <c r="J489" s="1229"/>
      <c r="K489" s="1009"/>
      <c r="L489" s="1203"/>
      <c r="N489" s="1185"/>
      <c r="O489" s="1185"/>
      <c r="P489" s="1186"/>
      <c r="Q489" s="1186"/>
      <c r="R489" s="1186"/>
      <c r="S489" s="1185"/>
      <c r="T489" s="1185"/>
      <c r="U489" s="1185"/>
      <c r="V489" s="1185"/>
      <c r="W489" s="1185"/>
      <c r="X489" s="1185"/>
      <c r="Y489" s="1185"/>
      <c r="Z489" s="1185"/>
      <c r="AA489" s="1185"/>
      <c r="AB489" s="1185"/>
      <c r="AC489" s="1185"/>
      <c r="AD489" s="1185"/>
      <c r="AE489" s="1185"/>
      <c r="AF489" s="1185"/>
      <c r="AG489" s="1185"/>
      <c r="AH489" s="1185"/>
      <c r="AI489" s="1185"/>
    </row>
    <row r="490" spans="1:37">
      <c r="A490" s="1219" t="s">
        <v>419</v>
      </c>
      <c r="B490" s="1219"/>
      <c r="C490" s="1026">
        <f>12+1031</f>
        <v>1043</v>
      </c>
      <c r="D490" s="1229"/>
      <c r="E490" s="1041"/>
      <c r="F490" s="1203"/>
      <c r="G490" s="1229"/>
      <c r="H490" s="1009"/>
      <c r="I490" s="1203"/>
      <c r="J490" s="1229"/>
      <c r="K490" s="1009"/>
      <c r="L490" s="1203"/>
      <c r="N490" s="1185"/>
      <c r="O490" s="1185"/>
      <c r="P490" s="1186"/>
      <c r="Q490" s="1186"/>
      <c r="R490" s="1186"/>
      <c r="S490" s="1185"/>
      <c r="T490" s="1185"/>
      <c r="U490" s="1185"/>
      <c r="V490" s="1185"/>
      <c r="W490" s="1185"/>
      <c r="X490" s="1185"/>
      <c r="Y490" s="1185"/>
      <c r="Z490" s="1185"/>
      <c r="AA490" s="1185"/>
      <c r="AB490" s="1185"/>
      <c r="AC490" s="1185"/>
      <c r="AD490" s="1185"/>
      <c r="AE490" s="1185"/>
      <c r="AF490" s="1185"/>
      <c r="AG490" s="1185"/>
      <c r="AH490" s="1185"/>
      <c r="AI490" s="1185"/>
    </row>
    <row r="491" spans="1:37">
      <c r="A491" s="1219" t="s">
        <v>395</v>
      </c>
      <c r="B491" s="1219"/>
      <c r="C491" s="1026">
        <v>12658</v>
      </c>
      <c r="D491" s="1261">
        <v>2.98</v>
      </c>
      <c r="E491" s="1009"/>
      <c r="F491" s="1203">
        <f>ROUND(D491*$C491,0)</f>
        <v>37721</v>
      </c>
      <c r="G491" s="1261">
        <v>3.4</v>
      </c>
      <c r="H491" s="1009"/>
      <c r="I491" s="1203">
        <f>ROUND(G491*C491,0)</f>
        <v>43037</v>
      </c>
      <c r="J491" s="1261">
        <f>$J$174</f>
        <v>3.8</v>
      </c>
      <c r="K491" s="1009"/>
      <c r="L491" s="1203">
        <f>ROUND(J491*$C491,0)</f>
        <v>48100</v>
      </c>
      <c r="N491" s="1185"/>
      <c r="O491" s="1185"/>
      <c r="P491" s="1186"/>
      <c r="Q491" s="1186"/>
      <c r="R491" s="1186"/>
      <c r="S491" s="1185"/>
      <c r="T491" s="1185"/>
      <c r="U491" s="1185"/>
      <c r="V491" s="1185"/>
      <c r="W491" s="1185"/>
      <c r="X491" s="1185"/>
      <c r="Y491" s="1185"/>
      <c r="Z491" s="1185"/>
      <c r="AA491" s="1185"/>
      <c r="AB491" s="1185"/>
      <c r="AC491" s="1185"/>
      <c r="AD491" s="1185"/>
      <c r="AE491" s="1185"/>
      <c r="AF491" s="1185"/>
      <c r="AG491" s="1185"/>
      <c r="AH491" s="1185"/>
      <c r="AI491" s="1185"/>
    </row>
    <row r="492" spans="1:37">
      <c r="A492" s="1219" t="s">
        <v>397</v>
      </c>
      <c r="B492" s="1219"/>
      <c r="C492" s="1026">
        <f>4094+101902</f>
        <v>105996</v>
      </c>
      <c r="D492" s="1230">
        <v>8.5489999999999995</v>
      </c>
      <c r="E492" s="1009" t="s">
        <v>374</v>
      </c>
      <c r="F492" s="1203">
        <f>ROUND(D492*$C492/100,0)</f>
        <v>9062</v>
      </c>
      <c r="G492" s="1230">
        <v>9.766</v>
      </c>
      <c r="H492" s="1009" t="s">
        <v>374</v>
      </c>
      <c r="I492" s="1203">
        <f>ROUND(G492*C492/100,0)</f>
        <v>10352</v>
      </c>
      <c r="J492" s="1230">
        <f>$J$175</f>
        <v>6.4269999999999996</v>
      </c>
      <c r="K492" s="1009" t="s">
        <v>374</v>
      </c>
      <c r="L492" s="1203">
        <f>ROUND(J492*$C492/100,0)</f>
        <v>6812</v>
      </c>
      <c r="N492" s="1185"/>
      <c r="O492" s="1185"/>
      <c r="P492" s="1186"/>
      <c r="Q492" s="1186"/>
      <c r="R492" s="1186"/>
      <c r="S492" s="1185"/>
      <c r="T492" s="1185"/>
      <c r="U492" s="1185"/>
      <c r="V492" s="1185"/>
      <c r="W492" s="1185"/>
      <c r="X492" s="1185"/>
      <c r="Y492" s="1185"/>
      <c r="Z492" s="1185"/>
      <c r="AA492" s="1185"/>
      <c r="AB492" s="1185"/>
      <c r="AC492" s="1185"/>
      <c r="AD492" s="1185"/>
      <c r="AE492" s="1185"/>
      <c r="AF492" s="1185"/>
      <c r="AG492" s="1185"/>
      <c r="AH492" s="1185"/>
      <c r="AI492" s="1185"/>
    </row>
    <row r="493" spans="1:37">
      <c r="A493" s="1219" t="s">
        <v>398</v>
      </c>
      <c r="B493" s="1219"/>
      <c r="C493" s="1026">
        <f>308+110294</f>
        <v>110602</v>
      </c>
      <c r="D493" s="1230">
        <v>5.9020000000000001</v>
      </c>
      <c r="E493" s="1009" t="s">
        <v>374</v>
      </c>
      <c r="F493" s="1203">
        <f>ROUND(D493*$C493/100,0)</f>
        <v>6528</v>
      </c>
      <c r="G493" s="1230">
        <v>6.7460000000000004</v>
      </c>
      <c r="H493" s="1009" t="s">
        <v>374</v>
      </c>
      <c r="I493" s="1203">
        <f t="shared" ref="I493:I495" si="77">ROUND(G493*C493/100,0)</f>
        <v>7461</v>
      </c>
      <c r="J493" s="1230">
        <f>$J$176</f>
        <v>4.4400000000000004</v>
      </c>
      <c r="K493" s="1009" t="s">
        <v>374</v>
      </c>
      <c r="L493" s="1203">
        <f>ROUND(J493*$C493/100,0)</f>
        <v>4911</v>
      </c>
      <c r="N493" s="1185"/>
      <c r="O493" s="1185"/>
      <c r="P493" s="1186"/>
      <c r="Q493" s="1186"/>
      <c r="R493" s="1186"/>
      <c r="S493" s="1185"/>
      <c r="T493" s="1185"/>
      <c r="U493" s="1185"/>
      <c r="V493" s="1185"/>
      <c r="W493" s="1185"/>
      <c r="X493" s="1185"/>
      <c r="Y493" s="1185"/>
      <c r="Z493" s="1185"/>
      <c r="AA493" s="1185"/>
      <c r="AB493" s="1185"/>
      <c r="AC493" s="1185"/>
      <c r="AD493" s="1185"/>
      <c r="AE493" s="1185"/>
      <c r="AF493" s="1185"/>
      <c r="AG493" s="1185"/>
      <c r="AH493" s="1185"/>
      <c r="AI493" s="1185"/>
    </row>
    <row r="494" spans="1:37">
      <c r="A494" s="1219" t="s">
        <v>399</v>
      </c>
      <c r="B494" s="1219"/>
      <c r="C494" s="1026">
        <v>134813</v>
      </c>
      <c r="D494" s="1230">
        <v>5.0839999999999996</v>
      </c>
      <c r="E494" s="1009" t="s">
        <v>374</v>
      </c>
      <c r="F494" s="1203">
        <f>ROUND(D494*$C494/100,0)</f>
        <v>6854</v>
      </c>
      <c r="G494" s="1230">
        <v>5.8120000000000003</v>
      </c>
      <c r="H494" s="1009" t="s">
        <v>374</v>
      </c>
      <c r="I494" s="1203">
        <f t="shared" si="77"/>
        <v>7835</v>
      </c>
      <c r="J494" s="1230">
        <f>$J$177</f>
        <v>3.8250000000000002</v>
      </c>
      <c r="K494" s="1009" t="s">
        <v>374</v>
      </c>
      <c r="L494" s="1203">
        <f>ROUND(J494*$C494/100,0)</f>
        <v>5157</v>
      </c>
      <c r="N494" s="1185"/>
      <c r="O494" s="1185"/>
      <c r="P494" s="1186"/>
      <c r="Q494" s="1186"/>
      <c r="R494" s="1186"/>
      <c r="S494" s="1185"/>
      <c r="T494" s="1185"/>
      <c r="U494" s="1185"/>
      <c r="V494" s="1185"/>
      <c r="W494" s="1185"/>
      <c r="X494" s="1185"/>
      <c r="Y494" s="1185"/>
      <c r="Z494" s="1185"/>
      <c r="AA494" s="1185"/>
      <c r="AB494" s="1185"/>
      <c r="AC494" s="1185"/>
      <c r="AD494" s="1185"/>
      <c r="AE494" s="1185"/>
      <c r="AF494" s="1185"/>
      <c r="AG494" s="1185"/>
      <c r="AH494" s="1185"/>
      <c r="AI494" s="1185"/>
    </row>
    <row r="495" spans="1:37">
      <c r="A495" s="1219" t="s">
        <v>400</v>
      </c>
      <c r="B495" s="1219"/>
      <c r="C495" s="1026">
        <v>1416.98888888889</v>
      </c>
      <c r="D495" s="1255">
        <v>50</v>
      </c>
      <c r="E495" s="1041" t="s">
        <v>374</v>
      </c>
      <c r="F495" s="1203">
        <f>ROUND(D495*$C495/100,0)</f>
        <v>708</v>
      </c>
      <c r="G495" s="1255">
        <v>56</v>
      </c>
      <c r="H495" s="1009" t="s">
        <v>374</v>
      </c>
      <c r="I495" s="1203">
        <f t="shared" si="77"/>
        <v>794</v>
      </c>
      <c r="J495" s="1255">
        <f>$J$178</f>
        <v>63</v>
      </c>
      <c r="K495" s="1009" t="s">
        <v>374</v>
      </c>
      <c r="L495" s="1203">
        <f>ROUND(J495*$C495/100,0)</f>
        <v>893</v>
      </c>
      <c r="N495" s="1185"/>
      <c r="O495" s="1185"/>
      <c r="P495" s="1186"/>
      <c r="Q495" s="1186"/>
      <c r="R495" s="1186"/>
      <c r="S495" s="1185"/>
      <c r="T495" s="1185"/>
      <c r="U495" s="1185"/>
      <c r="V495" s="1185"/>
      <c r="W495" s="1185"/>
      <c r="X495" s="1185"/>
      <c r="Y495" s="1185"/>
      <c r="Z495" s="1185"/>
      <c r="AA495" s="1185"/>
      <c r="AB495" s="1185"/>
      <c r="AC495" s="1185"/>
      <c r="AD495" s="1185"/>
      <c r="AE495" s="1185"/>
      <c r="AF495" s="1185"/>
      <c r="AG495" s="1185"/>
      <c r="AH495" s="1185"/>
      <c r="AI495" s="1185"/>
    </row>
    <row r="496" spans="1:37">
      <c r="A496" s="1005" t="s">
        <v>918</v>
      </c>
      <c r="C496" s="1202">
        <f>C492</f>
        <v>105996</v>
      </c>
      <c r="D496" s="269"/>
      <c r="E496" s="1185"/>
      <c r="F496" s="1203"/>
      <c r="G496" s="269"/>
      <c r="H496" s="1185"/>
      <c r="I496" s="1203"/>
      <c r="J496" s="1230">
        <f>J179</f>
        <v>4.4989999999999997</v>
      </c>
      <c r="K496" s="1009" t="s">
        <v>374</v>
      </c>
      <c r="L496" s="1203">
        <f t="shared" ref="L496:L498" si="78">ROUND(J496*$C496/100,0)</f>
        <v>4769</v>
      </c>
      <c r="N496" s="1204"/>
      <c r="P496" s="815"/>
      <c r="Q496" s="1184"/>
      <c r="R496" s="1184"/>
      <c r="S496" s="1205"/>
      <c r="T496" s="1205"/>
      <c r="Y496" s="1185"/>
      <c r="Z496" s="1185"/>
      <c r="AA496" s="1185"/>
      <c r="AB496" s="1185"/>
      <c r="AC496" s="1185"/>
      <c r="AD496" s="1185"/>
      <c r="AE496" s="1185"/>
      <c r="AF496" s="1185"/>
      <c r="AG496" s="1185"/>
      <c r="AH496" s="1185"/>
      <c r="AI496" s="1185"/>
      <c r="AK496" s="1204"/>
    </row>
    <row r="497" spans="1:37">
      <c r="A497" s="1005" t="s">
        <v>919</v>
      </c>
      <c r="C497" s="1202">
        <f t="shared" ref="C497:C498" si="79">C493</f>
        <v>110602</v>
      </c>
      <c r="D497" s="269"/>
      <c r="E497" s="1185"/>
      <c r="F497" s="1203"/>
      <c r="G497" s="269"/>
      <c r="H497" s="1185"/>
      <c r="I497" s="1203"/>
      <c r="J497" s="1230">
        <f>J180</f>
        <v>3.1080000000000001</v>
      </c>
      <c r="K497" s="1009" t="s">
        <v>374</v>
      </c>
      <c r="L497" s="1203">
        <f t="shared" si="78"/>
        <v>3438</v>
      </c>
      <c r="N497" s="1204"/>
      <c r="P497" s="815"/>
      <c r="Q497" s="1184"/>
      <c r="R497" s="1184"/>
      <c r="S497" s="1205"/>
      <c r="T497" s="1205"/>
      <c r="Y497" s="1185"/>
      <c r="Z497" s="1185"/>
      <c r="AA497" s="1185"/>
      <c r="AB497" s="1185"/>
      <c r="AC497" s="1185"/>
      <c r="AD497" s="1185"/>
      <c r="AE497" s="1185"/>
      <c r="AF497" s="1185"/>
      <c r="AG497" s="1185"/>
      <c r="AH497" s="1185"/>
      <c r="AI497" s="1185"/>
      <c r="AK497" s="1204"/>
    </row>
    <row r="498" spans="1:37">
      <c r="A498" s="1005" t="s">
        <v>920</v>
      </c>
      <c r="C498" s="1202">
        <f t="shared" si="79"/>
        <v>134813</v>
      </c>
      <c r="D498" s="269"/>
      <c r="E498" s="1185"/>
      <c r="F498" s="1203"/>
      <c r="G498" s="269"/>
      <c r="H498" s="1185"/>
      <c r="I498" s="1203"/>
      <c r="J498" s="1230">
        <f>J181</f>
        <v>2.6779999999999999</v>
      </c>
      <c r="K498" s="1009" t="s">
        <v>374</v>
      </c>
      <c r="L498" s="1203">
        <f t="shared" si="78"/>
        <v>3610</v>
      </c>
      <c r="N498" s="1204"/>
      <c r="P498" s="815"/>
      <c r="Q498" s="1184"/>
      <c r="R498" s="1184"/>
      <c r="S498" s="1205"/>
      <c r="T498" s="1205"/>
      <c r="Y498" s="1185"/>
      <c r="Z498" s="1185"/>
      <c r="AA498" s="1185"/>
      <c r="AB498" s="1185"/>
      <c r="AC498" s="1185"/>
      <c r="AD498" s="1185"/>
      <c r="AE498" s="1185"/>
      <c r="AF498" s="1185"/>
      <c r="AG498" s="1185"/>
      <c r="AH498" s="1185"/>
      <c r="AI498" s="1185"/>
      <c r="AK498" s="1204"/>
    </row>
    <row r="499" spans="1:37">
      <c r="A499" s="1256" t="s">
        <v>401</v>
      </c>
      <c r="B499" s="1219"/>
      <c r="C499" s="1026"/>
      <c r="D499" s="1257">
        <v>-0.01</v>
      </c>
      <c r="E499" s="1041"/>
      <c r="F499" s="1203"/>
      <c r="G499" s="1257">
        <v>-0.01</v>
      </c>
      <c r="H499" s="1009"/>
      <c r="I499" s="1203"/>
      <c r="J499" s="1257">
        <v>-0.01</v>
      </c>
      <c r="K499" s="1009"/>
      <c r="L499" s="1203"/>
      <c r="N499" s="1185"/>
      <c r="O499" s="1185"/>
      <c r="P499" s="1186"/>
      <c r="Q499" s="1186"/>
      <c r="R499" s="1186"/>
      <c r="S499" s="1185"/>
      <c r="T499" s="1185"/>
      <c r="U499" s="1185"/>
      <c r="V499" s="1185"/>
      <c r="W499" s="1185"/>
      <c r="X499" s="1185"/>
      <c r="Y499" s="1185"/>
      <c r="Z499" s="1185"/>
      <c r="AA499" s="1185"/>
      <c r="AB499" s="1185"/>
      <c r="AC499" s="1185"/>
      <c r="AD499" s="1185"/>
      <c r="AE499" s="1185"/>
      <c r="AF499" s="1185"/>
      <c r="AG499" s="1185"/>
      <c r="AH499" s="1185"/>
      <c r="AI499" s="1185"/>
    </row>
    <row r="500" spans="1:37">
      <c r="A500" s="1219" t="s">
        <v>390</v>
      </c>
      <c r="B500" s="1219"/>
      <c r="C500" s="1026">
        <v>0</v>
      </c>
      <c r="D500" s="1259">
        <v>91.679999999999993</v>
      </c>
      <c r="E500" s="1041"/>
      <c r="F500" s="1203">
        <f>-ROUND(D500*$C500/100,0)</f>
        <v>0</v>
      </c>
      <c r="G500" s="1259">
        <v>104.52000000000001</v>
      </c>
      <c r="H500" s="1041"/>
      <c r="I500" s="1203">
        <f>-ROUND(G500*$C500/100,0)</f>
        <v>0</v>
      </c>
      <c r="J500" s="1259">
        <f>J486</f>
        <v>116.88</v>
      </c>
      <c r="K500" s="1041"/>
      <c r="L500" s="1203">
        <f>-ROUND(J500*$C500/100,0)</f>
        <v>0</v>
      </c>
      <c r="N500" s="1185"/>
      <c r="O500" s="1185"/>
      <c r="P500" s="1186"/>
      <c r="Q500" s="1186"/>
      <c r="R500" s="1186"/>
      <c r="S500" s="1185"/>
      <c r="T500" s="1185"/>
      <c r="U500" s="1185"/>
      <c r="V500" s="1185"/>
      <c r="W500" s="1185"/>
      <c r="X500" s="1185"/>
      <c r="Y500" s="1185"/>
      <c r="Z500" s="1185"/>
      <c r="AA500" s="1185"/>
      <c r="AB500" s="1185"/>
      <c r="AC500" s="1185"/>
      <c r="AD500" s="1185"/>
      <c r="AE500" s="1185"/>
      <c r="AF500" s="1185"/>
      <c r="AG500" s="1185"/>
      <c r="AH500" s="1185"/>
      <c r="AI500" s="1185"/>
    </row>
    <row r="501" spans="1:37">
      <c r="A501" s="1219" t="s">
        <v>391</v>
      </c>
      <c r="B501" s="1219"/>
      <c r="C501" s="1026">
        <v>0</v>
      </c>
      <c r="D501" s="1259">
        <v>136.32</v>
      </c>
      <c r="E501" s="1041"/>
      <c r="F501" s="1203">
        <f>-ROUND(D501*$C501/100,0)</f>
        <v>0</v>
      </c>
      <c r="G501" s="1259">
        <v>155.76</v>
      </c>
      <c r="H501" s="1041"/>
      <c r="I501" s="1203">
        <f t="shared" ref="I501:I503" si="80">-ROUND(G501*$C501/100,0)</f>
        <v>0</v>
      </c>
      <c r="J501" s="1259">
        <f>J487</f>
        <v>174.12</v>
      </c>
      <c r="K501" s="1041"/>
      <c r="L501" s="1203">
        <f>-ROUND(J501*$C501/100,0)</f>
        <v>0</v>
      </c>
      <c r="N501" s="1185"/>
      <c r="O501" s="1185"/>
      <c r="P501" s="1186"/>
      <c r="Q501" s="1186"/>
      <c r="R501" s="1186"/>
      <c r="S501" s="1185"/>
      <c r="T501" s="1185"/>
      <c r="U501" s="1185"/>
      <c r="V501" s="1185"/>
      <c r="W501" s="1185"/>
      <c r="X501" s="1185"/>
      <c r="Y501" s="1185"/>
      <c r="Z501" s="1185"/>
      <c r="AA501" s="1185"/>
      <c r="AB501" s="1185"/>
      <c r="AC501" s="1185"/>
      <c r="AD501" s="1185"/>
      <c r="AE501" s="1185"/>
      <c r="AF501" s="1185"/>
      <c r="AG501" s="1185"/>
      <c r="AH501" s="1185"/>
      <c r="AI501" s="1185"/>
    </row>
    <row r="502" spans="1:37">
      <c r="A502" s="1219" t="s">
        <v>402</v>
      </c>
      <c r="B502" s="1219"/>
      <c r="C502" s="1026">
        <v>0</v>
      </c>
      <c r="D502" s="1259">
        <v>9.66</v>
      </c>
      <c r="E502" s="1041"/>
      <c r="F502" s="1203">
        <f>-ROUND(D502*$C502/100,0)</f>
        <v>0</v>
      </c>
      <c r="G502" s="1259">
        <v>11.040000000000001</v>
      </c>
      <c r="H502" s="1041"/>
      <c r="I502" s="1203">
        <f t="shared" si="80"/>
        <v>0</v>
      </c>
      <c r="J502" s="1259">
        <f>J488</f>
        <v>12.36</v>
      </c>
      <c r="K502" s="1041"/>
      <c r="L502" s="1203">
        <f>-ROUND(J502*$C502/100,0)</f>
        <v>0</v>
      </c>
      <c r="N502" s="1185"/>
      <c r="O502" s="1185"/>
      <c r="P502" s="1186"/>
      <c r="Q502" s="1186"/>
      <c r="R502" s="1186"/>
      <c r="S502" s="1185"/>
      <c r="T502" s="1185"/>
      <c r="U502" s="1185"/>
      <c r="V502" s="1185"/>
      <c r="W502" s="1185"/>
      <c r="X502" s="1185"/>
      <c r="Y502" s="1185"/>
      <c r="Z502" s="1185"/>
      <c r="AA502" s="1185"/>
      <c r="AB502" s="1185"/>
      <c r="AC502" s="1185"/>
      <c r="AD502" s="1185"/>
      <c r="AE502" s="1185"/>
      <c r="AF502" s="1185"/>
      <c r="AG502" s="1185"/>
      <c r="AH502" s="1185"/>
      <c r="AI502" s="1185"/>
    </row>
    <row r="503" spans="1:37">
      <c r="A503" s="1219" t="s">
        <v>403</v>
      </c>
      <c r="B503" s="1219"/>
      <c r="C503" s="1026">
        <v>0</v>
      </c>
      <c r="D503" s="1259">
        <v>2.98</v>
      </c>
      <c r="E503" s="1009"/>
      <c r="F503" s="1203">
        <f>-ROUND(D503*$C503/100,0)</f>
        <v>0</v>
      </c>
      <c r="G503" s="1259">
        <v>3.4</v>
      </c>
      <c r="H503" s="1009"/>
      <c r="I503" s="1203">
        <f t="shared" si="80"/>
        <v>0</v>
      </c>
      <c r="J503" s="1259">
        <f>J491</f>
        <v>3.8</v>
      </c>
      <c r="K503" s="1009"/>
      <c r="L503" s="1203">
        <f>-ROUND(J503*$C503/100,0)</f>
        <v>0</v>
      </c>
      <c r="N503" s="1185"/>
      <c r="O503" s="1185"/>
      <c r="P503" s="1186"/>
      <c r="Q503" s="1186"/>
      <c r="R503" s="1186"/>
      <c r="S503" s="1185"/>
      <c r="T503" s="1185"/>
      <c r="U503" s="1185"/>
      <c r="V503" s="1185"/>
      <c r="W503" s="1185"/>
      <c r="X503" s="1185"/>
      <c r="Y503" s="1185"/>
      <c r="Z503" s="1185"/>
      <c r="AA503" s="1185"/>
      <c r="AB503" s="1185"/>
      <c r="AC503" s="1185"/>
      <c r="AD503" s="1185"/>
      <c r="AE503" s="1185"/>
      <c r="AF503" s="1185"/>
      <c r="AG503" s="1185"/>
      <c r="AH503" s="1185"/>
      <c r="AI503" s="1185"/>
    </row>
    <row r="504" spans="1:37">
      <c r="A504" s="1219" t="s">
        <v>405</v>
      </c>
      <c r="B504" s="1219"/>
      <c r="C504" s="1026">
        <v>0</v>
      </c>
      <c r="D504" s="1070">
        <v>8.5489999999999995</v>
      </c>
      <c r="E504" s="1009" t="s">
        <v>374</v>
      </c>
      <c r="F504" s="1203">
        <f>ROUND(D504*$C504/100*D499,0)</f>
        <v>0</v>
      </c>
      <c r="G504" s="1070">
        <v>9.766</v>
      </c>
      <c r="H504" s="1009" t="s">
        <v>374</v>
      </c>
      <c r="I504" s="1203">
        <f>ROUND(G504*$C504/100*G499,0)</f>
        <v>0</v>
      </c>
      <c r="J504" s="1070">
        <f>J492</f>
        <v>6.4269999999999996</v>
      </c>
      <c r="K504" s="1009" t="s">
        <v>374</v>
      </c>
      <c r="L504" s="1203">
        <f>ROUND(J504*$C504/100*J499,0)</f>
        <v>0</v>
      </c>
      <c r="N504" s="1185"/>
      <c r="O504" s="1185"/>
      <c r="P504" s="1186"/>
      <c r="Q504" s="1186"/>
      <c r="R504" s="1186"/>
      <c r="S504" s="1185"/>
      <c r="T504" s="1185"/>
      <c r="U504" s="1185"/>
      <c r="V504" s="1185"/>
      <c r="W504" s="1185"/>
      <c r="X504" s="1185"/>
      <c r="Y504" s="1185"/>
      <c r="Z504" s="1185"/>
      <c r="AA504" s="1185"/>
      <c r="AB504" s="1185"/>
      <c r="AC504" s="1185"/>
      <c r="AD504" s="1185"/>
      <c r="AE504" s="1185"/>
      <c r="AF504" s="1185"/>
      <c r="AG504" s="1185"/>
      <c r="AH504" s="1185"/>
      <c r="AI504" s="1185"/>
    </row>
    <row r="505" spans="1:37">
      <c r="A505" s="1219" t="s">
        <v>398</v>
      </c>
      <c r="B505" s="1219"/>
      <c r="C505" s="1026">
        <v>0</v>
      </c>
      <c r="D505" s="1070">
        <v>5.9020000000000001</v>
      </c>
      <c r="E505" s="1009" t="s">
        <v>374</v>
      </c>
      <c r="F505" s="1203">
        <f>ROUND(D505*$C505/100*D499,0)</f>
        <v>0</v>
      </c>
      <c r="G505" s="1070">
        <v>6.7460000000000004</v>
      </c>
      <c r="H505" s="1009" t="s">
        <v>374</v>
      </c>
      <c r="I505" s="1203">
        <f>ROUND(G505*$C505/100*G499,0)</f>
        <v>0</v>
      </c>
      <c r="J505" s="1070">
        <f>J493</f>
        <v>4.4400000000000004</v>
      </c>
      <c r="K505" s="1009" t="s">
        <v>374</v>
      </c>
      <c r="L505" s="1203">
        <f>ROUND(J505*$C505/100*J499,0)</f>
        <v>0</v>
      </c>
      <c r="N505" s="1185"/>
      <c r="O505" s="1185"/>
      <c r="P505" s="1186"/>
      <c r="Q505" s="1186"/>
      <c r="R505" s="1186"/>
      <c r="S505" s="1185"/>
      <c r="T505" s="1185"/>
      <c r="U505" s="1185"/>
      <c r="V505" s="1185"/>
      <c r="W505" s="1185"/>
      <c r="X505" s="1185"/>
      <c r="Y505" s="1185"/>
      <c r="Z505" s="1185"/>
      <c r="AA505" s="1185"/>
      <c r="AB505" s="1185"/>
      <c r="AC505" s="1185"/>
      <c r="AD505" s="1185"/>
      <c r="AE505" s="1185"/>
      <c r="AF505" s="1185"/>
      <c r="AG505" s="1185"/>
      <c r="AH505" s="1185"/>
      <c r="AI505" s="1185"/>
    </row>
    <row r="506" spans="1:37">
      <c r="A506" s="1219" t="s">
        <v>399</v>
      </c>
      <c r="B506" s="1219"/>
      <c r="C506" s="1026">
        <v>0</v>
      </c>
      <c r="D506" s="1070">
        <v>5.0839999999999996</v>
      </c>
      <c r="E506" s="1009" t="s">
        <v>374</v>
      </c>
      <c r="F506" s="1203">
        <f>ROUND(D506*$C506/100*D499,0)</f>
        <v>0</v>
      </c>
      <c r="G506" s="1070">
        <v>5.8120000000000003</v>
      </c>
      <c r="H506" s="1009" t="s">
        <v>374</v>
      </c>
      <c r="I506" s="1203">
        <f>ROUND(G506*$C506/100*G499,0)</f>
        <v>0</v>
      </c>
      <c r="J506" s="1070">
        <f>J494</f>
        <v>3.8250000000000002</v>
      </c>
      <c r="K506" s="1009" t="s">
        <v>374</v>
      </c>
      <c r="L506" s="1203">
        <f>ROUND(J506*$C506/100*J499,0)</f>
        <v>0</v>
      </c>
      <c r="N506" s="1185"/>
      <c r="O506" s="1185"/>
      <c r="P506" s="1186"/>
      <c r="Q506" s="1186"/>
      <c r="R506" s="1186"/>
      <c r="S506" s="1185"/>
      <c r="T506" s="1185"/>
      <c r="U506" s="1185"/>
      <c r="V506" s="1185"/>
      <c r="W506" s="1185"/>
      <c r="X506" s="1185"/>
      <c r="Y506" s="1185"/>
      <c r="Z506" s="1185"/>
      <c r="AA506" s="1185"/>
      <c r="AB506" s="1185"/>
      <c r="AC506" s="1185"/>
      <c r="AD506" s="1185"/>
      <c r="AE506" s="1185"/>
      <c r="AF506" s="1185"/>
      <c r="AG506" s="1185"/>
      <c r="AH506" s="1185"/>
      <c r="AI506" s="1185"/>
    </row>
    <row r="507" spans="1:37">
      <c r="A507" s="1219" t="s">
        <v>400</v>
      </c>
      <c r="B507" s="1219"/>
      <c r="C507" s="1026">
        <v>0</v>
      </c>
      <c r="D507" s="1260">
        <v>50</v>
      </c>
      <c r="E507" s="1009" t="s">
        <v>374</v>
      </c>
      <c r="F507" s="1203">
        <f>ROUND(D507*$C507/100*D499,0)</f>
        <v>0</v>
      </c>
      <c r="G507" s="1260">
        <v>56</v>
      </c>
      <c r="H507" s="1009" t="s">
        <v>374</v>
      </c>
      <c r="I507" s="1203">
        <f>ROUND(G507*$C507/100*G499,0)</f>
        <v>0</v>
      </c>
      <c r="J507" s="1260">
        <f>J495</f>
        <v>63</v>
      </c>
      <c r="K507" s="1009" t="s">
        <v>374</v>
      </c>
      <c r="L507" s="1203">
        <f>ROUND(J507*$C507/100*J499,0)</f>
        <v>0</v>
      </c>
      <c r="N507" s="1185"/>
      <c r="O507" s="1185"/>
      <c r="P507" s="1186"/>
      <c r="Q507" s="1186"/>
      <c r="R507" s="1186"/>
      <c r="S507" s="1185"/>
      <c r="T507" s="1185"/>
      <c r="U507" s="1185"/>
      <c r="V507" s="1185"/>
      <c r="W507" s="1185"/>
      <c r="X507" s="1185"/>
      <c r="Y507" s="1185"/>
      <c r="Z507" s="1185"/>
      <c r="AA507" s="1185"/>
      <c r="AB507" s="1185"/>
      <c r="AC507" s="1185"/>
      <c r="AD507" s="1185"/>
      <c r="AE507" s="1185"/>
      <c r="AF507" s="1185"/>
      <c r="AG507" s="1185"/>
      <c r="AH507" s="1185"/>
      <c r="AI507" s="1185"/>
    </row>
    <row r="508" spans="1:37">
      <c r="A508" s="1219" t="s">
        <v>407</v>
      </c>
      <c r="B508" s="1219"/>
      <c r="C508" s="1026">
        <v>0</v>
      </c>
      <c r="D508" s="1261">
        <v>60</v>
      </c>
      <c r="E508" s="1041"/>
      <c r="F508" s="1203">
        <f>ROUND(D508*$C508,0)</f>
        <v>0</v>
      </c>
      <c r="G508" s="1261">
        <v>60</v>
      </c>
      <c r="H508" s="1009"/>
      <c r="I508" s="1203">
        <f>ROUND(G508*C508,0)</f>
        <v>0</v>
      </c>
      <c r="J508" s="1261">
        <f>$J$194</f>
        <v>60</v>
      </c>
      <c r="K508" s="1009"/>
      <c r="L508" s="1203">
        <f>ROUND(J508*$C508,0)</f>
        <v>0</v>
      </c>
      <c r="N508" s="1185"/>
      <c r="O508" s="1185"/>
      <c r="P508" s="1186"/>
      <c r="Q508" s="1186"/>
      <c r="R508" s="1186"/>
      <c r="S508" s="1185"/>
      <c r="T508" s="1185"/>
      <c r="U508" s="1185"/>
      <c r="V508" s="1185"/>
      <c r="W508" s="1185"/>
      <c r="X508" s="1185"/>
      <c r="Y508" s="1185"/>
      <c r="Z508" s="1185"/>
      <c r="AA508" s="1185"/>
      <c r="AB508" s="1185"/>
      <c r="AC508" s="1185"/>
      <c r="AD508" s="1185"/>
      <c r="AE508" s="1185"/>
      <c r="AF508" s="1185"/>
      <c r="AG508" s="1185"/>
      <c r="AH508" s="1185"/>
      <c r="AI508" s="1185"/>
    </row>
    <row r="509" spans="1:37">
      <c r="A509" s="1219" t="s">
        <v>408</v>
      </c>
      <c r="B509" s="1219"/>
      <c r="C509" s="1026">
        <v>0</v>
      </c>
      <c r="D509" s="1262">
        <v>-30</v>
      </c>
      <c r="E509" s="1041" t="s">
        <v>374</v>
      </c>
      <c r="F509" s="1203">
        <f>ROUND(D509*$C509/100,0)</f>
        <v>0</v>
      </c>
      <c r="G509" s="1262">
        <v>-30</v>
      </c>
      <c r="H509" s="1009" t="s">
        <v>374</v>
      </c>
      <c r="I509" s="1203">
        <f>ROUND(G509*C509/100,0)</f>
        <v>0</v>
      </c>
      <c r="J509" s="1262">
        <f>$J$195</f>
        <v>-30</v>
      </c>
      <c r="K509" s="1009" t="s">
        <v>374</v>
      </c>
      <c r="L509" s="1203">
        <f>ROUND(J509*$C509/100,0)</f>
        <v>0</v>
      </c>
      <c r="N509" s="1185"/>
      <c r="O509" s="1185"/>
      <c r="P509" s="1186"/>
      <c r="Q509" s="1186"/>
      <c r="R509" s="1186"/>
      <c r="S509" s="1185"/>
      <c r="T509" s="1185"/>
      <c r="U509" s="1185"/>
      <c r="V509" s="1185"/>
      <c r="W509" s="1185"/>
      <c r="X509" s="1185"/>
      <c r="Y509" s="1185"/>
      <c r="Z509" s="1185"/>
      <c r="AA509" s="1185"/>
      <c r="AB509" s="1185"/>
      <c r="AC509" s="1185"/>
      <c r="AD509" s="1185"/>
      <c r="AE509" s="1185"/>
      <c r="AF509" s="1185"/>
      <c r="AG509" s="1185"/>
      <c r="AH509" s="1185"/>
      <c r="AI509" s="1185"/>
    </row>
    <row r="510" spans="1:37">
      <c r="A510" s="1005" t="s">
        <v>918</v>
      </c>
      <c r="C510" s="1202">
        <f>C504</f>
        <v>0</v>
      </c>
      <c r="D510" s="269"/>
      <c r="E510" s="1185"/>
      <c r="F510" s="1203"/>
      <c r="G510" s="269"/>
      <c r="H510" s="1185"/>
      <c r="I510" s="1203"/>
      <c r="J510" s="1230">
        <f>J179</f>
        <v>4.4989999999999997</v>
      </c>
      <c r="K510" s="1009" t="s">
        <v>374</v>
      </c>
      <c r="L510" s="1203">
        <f t="shared" ref="L510:L512" si="81">ROUND(J510*$C510/100,0)</f>
        <v>0</v>
      </c>
      <c r="N510" s="1204"/>
      <c r="P510" s="815"/>
      <c r="Q510" s="1184"/>
      <c r="R510" s="1184"/>
      <c r="S510" s="1205"/>
      <c r="T510" s="1205"/>
      <c r="Y510" s="1185"/>
      <c r="Z510" s="1185"/>
      <c r="AA510" s="1185"/>
      <c r="AB510" s="1185"/>
      <c r="AC510" s="1185"/>
      <c r="AD510" s="1185"/>
      <c r="AE510" s="1185"/>
      <c r="AF510" s="1185"/>
      <c r="AG510" s="1185"/>
      <c r="AH510" s="1185"/>
      <c r="AI510" s="1185"/>
      <c r="AK510" s="1204"/>
    </row>
    <row r="511" spans="1:37">
      <c r="A511" s="1005" t="s">
        <v>919</v>
      </c>
      <c r="C511" s="1202">
        <f t="shared" ref="C511:C512" si="82">C505</f>
        <v>0</v>
      </c>
      <c r="D511" s="269"/>
      <c r="E511" s="1185"/>
      <c r="F511" s="1203"/>
      <c r="G511" s="269"/>
      <c r="H511" s="1185"/>
      <c r="I511" s="1203"/>
      <c r="J511" s="1230">
        <f>J180</f>
        <v>3.1080000000000001</v>
      </c>
      <c r="K511" s="1009" t="s">
        <v>374</v>
      </c>
      <c r="L511" s="1203">
        <f t="shared" si="81"/>
        <v>0</v>
      </c>
      <c r="N511" s="1204"/>
      <c r="P511" s="815"/>
      <c r="Q511" s="1184"/>
      <c r="R511" s="1184"/>
      <c r="S511" s="1205"/>
      <c r="T511" s="1205"/>
      <c r="Y511" s="1185"/>
      <c r="Z511" s="1185"/>
      <c r="AA511" s="1185"/>
      <c r="AB511" s="1185"/>
      <c r="AC511" s="1185"/>
      <c r="AD511" s="1185"/>
      <c r="AE511" s="1185"/>
      <c r="AF511" s="1185"/>
      <c r="AG511" s="1185"/>
      <c r="AH511" s="1185"/>
      <c r="AI511" s="1185"/>
      <c r="AK511" s="1204"/>
    </row>
    <row r="512" spans="1:37">
      <c r="A512" s="1005" t="s">
        <v>920</v>
      </c>
      <c r="C512" s="1202">
        <f t="shared" si="82"/>
        <v>0</v>
      </c>
      <c r="D512" s="269"/>
      <c r="E512" s="1185"/>
      <c r="F512" s="1203"/>
      <c r="G512" s="269"/>
      <c r="H512" s="1185"/>
      <c r="I512" s="1203"/>
      <c r="J512" s="1230">
        <f>J181</f>
        <v>2.6779999999999999</v>
      </c>
      <c r="K512" s="1009" t="s">
        <v>374</v>
      </c>
      <c r="L512" s="1203">
        <f t="shared" si="81"/>
        <v>0</v>
      </c>
      <c r="N512" s="1204"/>
      <c r="P512" s="815"/>
      <c r="Q512" s="1184"/>
      <c r="R512" s="1184"/>
      <c r="S512" s="1205"/>
      <c r="T512" s="1205"/>
      <c r="Y512" s="1185"/>
      <c r="Z512" s="1185"/>
      <c r="AA512" s="1185"/>
      <c r="AB512" s="1185"/>
      <c r="AC512" s="1185"/>
      <c r="AD512" s="1185"/>
      <c r="AE512" s="1185"/>
      <c r="AF512" s="1185"/>
      <c r="AG512" s="1185"/>
      <c r="AH512" s="1185"/>
      <c r="AI512" s="1185"/>
      <c r="AK512" s="1204"/>
    </row>
    <row r="513" spans="1:35">
      <c r="A513" s="1219" t="s">
        <v>381</v>
      </c>
      <c r="B513" s="1219"/>
      <c r="C513" s="1026">
        <f>SUM(C492:C494)</f>
        <v>351411</v>
      </c>
      <c r="D513" s="1255"/>
      <c r="E513" s="1203"/>
      <c r="F513" s="1203">
        <f>SUM(F486:F509)</f>
        <v>104746</v>
      </c>
      <c r="G513" s="1255"/>
      <c r="H513" s="1009"/>
      <c r="I513" s="1203">
        <f>SUM(I486:I509)</f>
        <v>119617</v>
      </c>
      <c r="J513" s="1255"/>
      <c r="K513" s="1009"/>
      <c r="L513" s="1203">
        <f>SUM(L486:L512)</f>
        <v>133799</v>
      </c>
      <c r="N513" s="1185"/>
      <c r="O513" s="1185"/>
      <c r="P513" s="1186"/>
      <c r="Q513" s="1186"/>
      <c r="R513" s="1186"/>
      <c r="S513" s="1185"/>
      <c r="T513" s="1185"/>
      <c r="U513" s="1185"/>
      <c r="V513" s="1185"/>
      <c r="W513" s="1185"/>
      <c r="X513" s="1185"/>
      <c r="Y513" s="1185"/>
      <c r="Z513" s="1185"/>
      <c r="AA513" s="1185"/>
      <c r="AB513" s="1185"/>
      <c r="AC513" s="1185"/>
      <c r="AD513" s="1185"/>
      <c r="AE513" s="1185"/>
      <c r="AF513" s="1185"/>
      <c r="AG513" s="1185"/>
      <c r="AH513" s="1185"/>
      <c r="AI513" s="1185"/>
    </row>
    <row r="514" spans="1:35">
      <c r="A514" s="1219" t="s">
        <v>363</v>
      </c>
      <c r="B514" s="1219"/>
      <c r="C514" s="1032">
        <f>'[94]Table 2'!H43</f>
        <v>-905.99909962916831</v>
      </c>
      <c r="D514" s="1218"/>
      <c r="E514" s="1218"/>
      <c r="F514" s="1264" t="e">
        <f>#REF!</f>
        <v>#REF!</v>
      </c>
      <c r="G514" s="1218"/>
      <c r="H514" s="1218"/>
      <c r="I514" s="1264">
        <f>'[94]Table 3'!E43</f>
        <v>-300.81745054377819</v>
      </c>
      <c r="J514" s="1218"/>
      <c r="K514" s="1218"/>
      <c r="L514" s="1264">
        <f>I514</f>
        <v>-300.81745054377819</v>
      </c>
      <c r="N514" s="444"/>
      <c r="O514" s="444"/>
      <c r="P514" s="287"/>
      <c r="Q514" s="1186"/>
      <c r="R514" s="1186"/>
      <c r="S514" s="1185"/>
      <c r="T514" s="1185"/>
      <c r="U514" s="1185"/>
      <c r="V514" s="1185"/>
      <c r="W514" s="1185"/>
      <c r="X514" s="1185"/>
      <c r="Y514" s="1185"/>
      <c r="Z514" s="1185"/>
      <c r="AA514" s="1185"/>
      <c r="AB514" s="1185"/>
      <c r="AC514" s="1185"/>
      <c r="AD514" s="1185"/>
      <c r="AE514" s="1185"/>
      <c r="AF514" s="1185"/>
      <c r="AG514" s="1185"/>
      <c r="AH514" s="1185"/>
      <c r="AI514" s="1185"/>
    </row>
    <row r="515" spans="1:35" ht="16.5" thickBot="1">
      <c r="A515" s="1219" t="s">
        <v>382</v>
      </c>
      <c r="B515" s="1219"/>
      <c r="C515" s="1240">
        <f>SUM(C513:C514)</f>
        <v>350505.00090037083</v>
      </c>
      <c r="D515" s="1265"/>
      <c r="E515" s="1266"/>
      <c r="F515" s="1267" t="e">
        <f>F513+F514</f>
        <v>#REF!</v>
      </c>
      <c r="G515" s="1265"/>
      <c r="H515" s="1269"/>
      <c r="I515" s="1267">
        <f>I513+I514</f>
        <v>119316.18254945622</v>
      </c>
      <c r="J515" s="1265"/>
      <c r="K515" s="1269"/>
      <c r="L515" s="1267">
        <f>L513+L514</f>
        <v>133498.18254945622</v>
      </c>
      <c r="N515" s="411"/>
      <c r="O515" s="411"/>
      <c r="P515" s="470"/>
      <c r="Q515" s="1186"/>
      <c r="R515" s="1186"/>
      <c r="S515" s="1185"/>
      <c r="T515" s="1185"/>
      <c r="U515" s="1185"/>
      <c r="V515" s="1185"/>
      <c r="W515" s="1185"/>
      <c r="X515" s="1185"/>
      <c r="Y515" s="1185"/>
      <c r="Z515" s="1185"/>
      <c r="AA515" s="1185"/>
      <c r="AB515" s="1185"/>
      <c r="AC515" s="1185"/>
      <c r="AD515" s="1185"/>
      <c r="AE515" s="1185"/>
      <c r="AF515" s="1185"/>
      <c r="AG515" s="1185"/>
      <c r="AH515" s="1185"/>
      <c r="AI515" s="1185"/>
    </row>
    <row r="516" spans="1:35" ht="16.5" thickTop="1">
      <c r="A516" s="1219"/>
      <c r="B516" s="1219"/>
      <c r="C516" s="1225"/>
      <c r="D516" s="1261"/>
      <c r="E516" s="1203"/>
      <c r="F516" s="1203"/>
      <c r="G516" s="1261" t="s">
        <v>31</v>
      </c>
      <c r="H516" s="1219"/>
      <c r="I516" s="1203"/>
      <c r="J516" s="1259" t="s">
        <v>31</v>
      </c>
      <c r="K516" s="1219"/>
      <c r="L516" s="1203" t="s">
        <v>31</v>
      </c>
      <c r="N516" s="1185"/>
      <c r="O516" s="1185"/>
      <c r="P516" s="1186"/>
      <c r="Q516" s="1186"/>
      <c r="R516" s="1186"/>
      <c r="S516" s="1185"/>
      <c r="T516" s="1185"/>
      <c r="U516" s="1185"/>
      <c r="V516" s="1185"/>
      <c r="W516" s="1185"/>
      <c r="X516" s="1185"/>
      <c r="Y516" s="1185"/>
      <c r="Z516" s="1185"/>
      <c r="AA516" s="1185"/>
      <c r="AB516" s="1185"/>
      <c r="AC516" s="1185"/>
      <c r="AD516" s="1185"/>
      <c r="AE516" s="1185"/>
      <c r="AF516" s="1185"/>
      <c r="AG516" s="1185"/>
      <c r="AH516" s="1185"/>
      <c r="AI516" s="1185"/>
    </row>
    <row r="517" spans="1:35">
      <c r="A517" s="1224" t="s">
        <v>417</v>
      </c>
      <c r="B517" s="1219"/>
      <c r="C517" s="1219"/>
      <c r="D517" s="1203"/>
      <c r="E517" s="1203"/>
      <c r="F517" s="1219" t="s">
        <v>31</v>
      </c>
      <c r="G517" s="1203"/>
      <c r="H517" s="1219"/>
      <c r="I517" s="1219"/>
      <c r="J517" s="1203"/>
      <c r="K517" s="1219"/>
      <c r="L517" s="1219"/>
      <c r="N517" s="1185"/>
      <c r="O517" s="1185"/>
      <c r="P517" s="1186"/>
      <c r="Q517" s="1186"/>
      <c r="R517" s="1186"/>
      <c r="S517" s="1185"/>
      <c r="T517" s="1185"/>
      <c r="U517" s="1185"/>
      <c r="V517" s="1185"/>
      <c r="W517" s="1185"/>
      <c r="X517" s="1185"/>
      <c r="Y517" s="1185"/>
      <c r="Z517" s="1185"/>
      <c r="AA517" s="1185"/>
      <c r="AB517" s="1185"/>
      <c r="AC517" s="1185"/>
      <c r="AD517" s="1185"/>
      <c r="AE517" s="1185"/>
      <c r="AF517" s="1185"/>
      <c r="AG517" s="1185"/>
      <c r="AH517" s="1185"/>
      <c r="AI517" s="1185"/>
    </row>
    <row r="518" spans="1:35">
      <c r="A518" s="1219" t="s">
        <v>414</v>
      </c>
      <c r="B518" s="1219"/>
      <c r="C518" s="1219"/>
      <c r="D518" s="1203"/>
      <c r="E518" s="1203"/>
      <c r="F518" s="1219"/>
      <c r="G518" s="1203"/>
      <c r="H518" s="1219"/>
      <c r="I518" s="1219"/>
      <c r="J518" s="1203"/>
      <c r="K518" s="1219"/>
      <c r="L518" s="1219"/>
      <c r="N518" s="1185"/>
      <c r="O518" s="1185"/>
      <c r="P518" s="1186"/>
      <c r="Q518" s="1186"/>
      <c r="R518" s="1186"/>
      <c r="S518" s="1185"/>
      <c r="T518" s="1185"/>
      <c r="U518" s="1185"/>
      <c r="V518" s="1185"/>
      <c r="W518" s="1185"/>
      <c r="X518" s="1185"/>
      <c r="Y518" s="1185"/>
      <c r="Z518" s="1185"/>
      <c r="AA518" s="1185"/>
      <c r="AB518" s="1185"/>
      <c r="AC518" s="1185"/>
      <c r="AD518" s="1185"/>
      <c r="AE518" s="1185"/>
      <c r="AF518" s="1185"/>
      <c r="AG518" s="1185"/>
      <c r="AH518" s="1185"/>
      <c r="AI518" s="1185"/>
    </row>
    <row r="519" spans="1:35">
      <c r="A519" s="1219" t="s">
        <v>418</v>
      </c>
      <c r="B519" s="1219"/>
      <c r="C519" s="1219"/>
      <c r="D519" s="1203"/>
      <c r="E519" s="1203"/>
      <c r="F519" s="1219"/>
      <c r="G519" s="1203"/>
      <c r="H519" s="1219"/>
      <c r="I519" s="1219"/>
      <c r="J519" s="1203"/>
      <c r="K519" s="1219"/>
      <c r="L519" s="1219"/>
      <c r="N519" s="1185"/>
      <c r="O519" s="1185"/>
      <c r="P519" s="1186"/>
      <c r="Q519" s="1186"/>
      <c r="R519" s="1186"/>
      <c r="S519" s="1185"/>
      <c r="T519" s="1185"/>
      <c r="U519" s="1185"/>
      <c r="V519" s="1185"/>
      <c r="W519" s="1185"/>
      <c r="X519" s="1185"/>
      <c r="Y519" s="1185"/>
      <c r="Z519" s="1185"/>
      <c r="AA519" s="1185"/>
      <c r="AB519" s="1185"/>
      <c r="AC519" s="1185"/>
      <c r="AD519" s="1185"/>
      <c r="AE519" s="1185"/>
      <c r="AF519" s="1185"/>
      <c r="AG519" s="1185"/>
      <c r="AH519" s="1185"/>
      <c r="AI519" s="1185"/>
    </row>
    <row r="520" spans="1:35">
      <c r="A520" s="1219" t="s">
        <v>393</v>
      </c>
      <c r="B520" s="1219"/>
      <c r="C520" s="1026"/>
      <c r="D520" s="1203"/>
      <c r="E520" s="1203"/>
      <c r="F520" s="1219"/>
      <c r="G520" s="1203"/>
      <c r="H520" s="1219"/>
      <c r="I520" s="1219"/>
      <c r="J520" s="1203"/>
      <c r="K520" s="1219"/>
      <c r="L520" s="1219"/>
      <c r="N520" s="1185"/>
      <c r="O520" s="1185"/>
      <c r="P520" s="1186"/>
      <c r="Q520" s="1186"/>
      <c r="R520" s="1186"/>
      <c r="S520" s="1185"/>
      <c r="T520" s="1185"/>
      <c r="U520" s="1185"/>
      <c r="V520" s="1185"/>
      <c r="W520" s="1185"/>
      <c r="X520" s="1185"/>
      <c r="Y520" s="1185"/>
      <c r="Z520" s="1185"/>
      <c r="AA520" s="1185"/>
      <c r="AB520" s="1185"/>
      <c r="AC520" s="1185"/>
      <c r="AD520" s="1185"/>
      <c r="AE520" s="1185"/>
      <c r="AF520" s="1185"/>
      <c r="AG520" s="1185"/>
      <c r="AH520" s="1185"/>
      <c r="AI520" s="1185"/>
    </row>
    <row r="521" spans="1:35">
      <c r="A521" s="1219" t="s">
        <v>390</v>
      </c>
      <c r="B521" s="1219"/>
      <c r="C521" s="1026">
        <v>0</v>
      </c>
      <c r="D521" s="1229">
        <v>91.679999999999993</v>
      </c>
      <c r="E521" s="1041"/>
      <c r="F521" s="1203">
        <f>ROUND(D521*$C521,0)</f>
        <v>0</v>
      </c>
      <c r="G521" s="1229">
        <v>104.52000000000001</v>
      </c>
      <c r="H521" s="1009"/>
      <c r="I521" s="1203">
        <f>ROUND(G521*$C521,0)</f>
        <v>0</v>
      </c>
      <c r="J521" s="1229">
        <f>$J$165</f>
        <v>116.88</v>
      </c>
      <c r="K521" s="1009"/>
      <c r="L521" s="1203">
        <f>ROUND(J521*$C521,0)</f>
        <v>0</v>
      </c>
      <c r="N521" s="1185"/>
      <c r="O521" s="1185"/>
      <c r="P521" s="1186"/>
      <c r="Q521" s="1186"/>
      <c r="R521" s="1186"/>
      <c r="S521" s="1185"/>
      <c r="T521" s="1185"/>
      <c r="U521" s="1185"/>
      <c r="V521" s="1185"/>
      <c r="W521" s="1185"/>
      <c r="X521" s="1185"/>
      <c r="Y521" s="1185"/>
      <c r="Z521" s="1185"/>
      <c r="AA521" s="1185"/>
      <c r="AB521" s="1185"/>
      <c r="AC521" s="1185"/>
      <c r="AD521" s="1185"/>
      <c r="AE521" s="1185"/>
      <c r="AF521" s="1185"/>
      <c r="AG521" s="1185"/>
      <c r="AH521" s="1185"/>
      <c r="AI521" s="1185"/>
    </row>
    <row r="522" spans="1:35">
      <c r="A522" s="1219" t="s">
        <v>391</v>
      </c>
      <c r="B522" s="1219"/>
      <c r="C522" s="1026">
        <v>1</v>
      </c>
      <c r="D522" s="1229">
        <v>136.32</v>
      </c>
      <c r="E522" s="1249"/>
      <c r="F522" s="1203">
        <f>ROUND(D522*$C522,0)</f>
        <v>136</v>
      </c>
      <c r="G522" s="1229">
        <v>155.76</v>
      </c>
      <c r="H522" s="1250"/>
      <c r="I522" s="1203">
        <f t="shared" ref="I522:I523" si="83">ROUND(G522*$C522,0)</f>
        <v>156</v>
      </c>
      <c r="J522" s="1229">
        <f>$J$166</f>
        <v>174.12</v>
      </c>
      <c r="K522" s="1250"/>
      <c r="L522" s="1203">
        <f>ROUND(J522*$C522,0)</f>
        <v>174</v>
      </c>
      <c r="N522" s="1185"/>
      <c r="O522" s="1185"/>
      <c r="P522" s="1186"/>
      <c r="Q522" s="1186"/>
      <c r="R522" s="1186"/>
      <c r="S522" s="1185"/>
      <c r="T522" s="1185"/>
      <c r="U522" s="1185"/>
      <c r="V522" s="1185"/>
      <c r="W522" s="1185"/>
      <c r="X522" s="1185"/>
      <c r="Y522" s="1185"/>
      <c r="Z522" s="1185"/>
      <c r="AA522" s="1185"/>
      <c r="AB522" s="1185"/>
      <c r="AC522" s="1185"/>
      <c r="AD522" s="1185"/>
      <c r="AE522" s="1185"/>
      <c r="AF522" s="1185"/>
      <c r="AG522" s="1185"/>
      <c r="AH522" s="1185"/>
      <c r="AI522" s="1185"/>
    </row>
    <row r="523" spans="1:35">
      <c r="A523" s="1219" t="s">
        <v>392</v>
      </c>
      <c r="B523" s="1219"/>
      <c r="C523" s="1026">
        <v>75</v>
      </c>
      <c r="D523" s="1229">
        <v>9.66</v>
      </c>
      <c r="E523" s="1249"/>
      <c r="F523" s="1203">
        <f>ROUND(D523*$C523,0)</f>
        <v>725</v>
      </c>
      <c r="G523" s="1229">
        <v>11.040000000000001</v>
      </c>
      <c r="H523" s="1250"/>
      <c r="I523" s="1203">
        <f t="shared" si="83"/>
        <v>828</v>
      </c>
      <c r="J523" s="1229">
        <f>$J$167</f>
        <v>12.36</v>
      </c>
      <c r="K523" s="1250"/>
      <c r="L523" s="1203">
        <f>ROUND(J523*$C523,0)</f>
        <v>927</v>
      </c>
      <c r="N523" s="1185"/>
      <c r="O523" s="1185"/>
      <c r="P523" s="1186"/>
      <c r="Q523" s="1186"/>
      <c r="R523" s="1186"/>
      <c r="S523" s="1185"/>
      <c r="T523" s="1185"/>
      <c r="U523" s="1185"/>
      <c r="V523" s="1185"/>
      <c r="W523" s="1185"/>
      <c r="X523" s="1185"/>
      <c r="Y523" s="1185"/>
      <c r="Z523" s="1185"/>
      <c r="AA523" s="1185"/>
      <c r="AB523" s="1185"/>
      <c r="AC523" s="1185"/>
      <c r="AD523" s="1185"/>
      <c r="AE523" s="1185"/>
      <c r="AF523" s="1185"/>
      <c r="AG523" s="1185"/>
      <c r="AH523" s="1185"/>
      <c r="AI523" s="1185"/>
    </row>
    <row r="524" spans="1:35">
      <c r="A524" s="1219" t="s">
        <v>394</v>
      </c>
      <c r="B524" s="1219"/>
      <c r="C524" s="1026">
        <f>SUM(C521:C522)</f>
        <v>1</v>
      </c>
      <c r="D524" s="1229"/>
      <c r="E524" s="1041"/>
      <c r="F524" s="1203"/>
      <c r="G524" s="1229"/>
      <c r="H524" s="1009"/>
      <c r="I524" s="1203"/>
      <c r="J524" s="1229"/>
      <c r="K524" s="1009"/>
      <c r="L524" s="1203"/>
      <c r="N524" s="1185"/>
      <c r="O524" s="1185"/>
      <c r="P524" s="1186"/>
      <c r="Q524" s="1186"/>
      <c r="R524" s="1186"/>
      <c r="S524" s="1185"/>
      <c r="T524" s="1185"/>
      <c r="U524" s="1185"/>
      <c r="V524" s="1185"/>
      <c r="W524" s="1185"/>
      <c r="X524" s="1185"/>
      <c r="Y524" s="1185"/>
      <c r="Z524" s="1185"/>
      <c r="AA524" s="1185"/>
      <c r="AB524" s="1185"/>
      <c r="AC524" s="1185"/>
      <c r="AD524" s="1185"/>
      <c r="AE524" s="1185"/>
      <c r="AF524" s="1185"/>
      <c r="AG524" s="1185"/>
      <c r="AH524" s="1185"/>
      <c r="AI524" s="1185"/>
    </row>
    <row r="525" spans="1:35">
      <c r="A525" s="1219" t="s">
        <v>419</v>
      </c>
      <c r="B525" s="1219"/>
      <c r="C525" s="1026">
        <v>12</v>
      </c>
      <c r="D525" s="1229"/>
      <c r="E525" s="1041"/>
      <c r="F525" s="1203"/>
      <c r="G525" s="1229"/>
      <c r="H525" s="1009"/>
      <c r="I525" s="1203"/>
      <c r="J525" s="1229"/>
      <c r="K525" s="1009"/>
      <c r="L525" s="1203"/>
      <c r="N525" s="1185"/>
      <c r="O525" s="1185"/>
      <c r="P525" s="1186"/>
      <c r="Q525" s="1186"/>
      <c r="R525" s="1186"/>
      <c r="S525" s="1185"/>
      <c r="T525" s="1185"/>
      <c r="U525" s="1185"/>
      <c r="V525" s="1185"/>
      <c r="W525" s="1185"/>
      <c r="X525" s="1185"/>
      <c r="Y525" s="1185"/>
      <c r="Z525" s="1185"/>
      <c r="AA525" s="1185"/>
      <c r="AB525" s="1185"/>
      <c r="AC525" s="1185"/>
      <c r="AD525" s="1185"/>
      <c r="AE525" s="1185"/>
      <c r="AF525" s="1185"/>
      <c r="AG525" s="1185"/>
      <c r="AH525" s="1185"/>
      <c r="AI525" s="1185"/>
    </row>
    <row r="526" spans="1:35">
      <c r="A526" s="1219" t="s">
        <v>395</v>
      </c>
      <c r="B526" s="1219"/>
      <c r="C526" s="1026">
        <v>238</v>
      </c>
      <c r="D526" s="1261">
        <v>2.98</v>
      </c>
      <c r="E526" s="1009"/>
      <c r="F526" s="1203">
        <f>ROUND(D526*$C526,0)</f>
        <v>709</v>
      </c>
      <c r="G526" s="1261">
        <v>3.4</v>
      </c>
      <c r="H526" s="1009"/>
      <c r="I526" s="1203">
        <f>ROUND(G526*C526,0)</f>
        <v>809</v>
      </c>
      <c r="J526" s="1261">
        <f>$J$174</f>
        <v>3.8</v>
      </c>
      <c r="K526" s="1009"/>
      <c r="L526" s="1203">
        <f>ROUND(J526*$C526,0)</f>
        <v>904</v>
      </c>
      <c r="N526" s="1185"/>
      <c r="O526" s="1185"/>
      <c r="P526" s="1186"/>
      <c r="Q526" s="1186"/>
      <c r="R526" s="1186"/>
      <c r="S526" s="1185"/>
      <c r="T526" s="1185"/>
      <c r="U526" s="1185"/>
      <c r="V526" s="1185"/>
      <c r="W526" s="1185"/>
      <c r="X526" s="1185"/>
      <c r="Y526" s="1185"/>
      <c r="Z526" s="1185"/>
      <c r="AA526" s="1185"/>
      <c r="AB526" s="1185"/>
      <c r="AC526" s="1185"/>
      <c r="AD526" s="1185"/>
      <c r="AE526" s="1185"/>
      <c r="AF526" s="1185"/>
      <c r="AG526" s="1185"/>
      <c r="AH526" s="1185"/>
      <c r="AI526" s="1185"/>
    </row>
    <row r="527" spans="1:35">
      <c r="A527" s="1219" t="s">
        <v>397</v>
      </c>
      <c r="B527" s="1219"/>
      <c r="C527" s="1026">
        <v>5433</v>
      </c>
      <c r="D527" s="1230">
        <v>8.5489999999999995</v>
      </c>
      <c r="E527" s="1009" t="s">
        <v>374</v>
      </c>
      <c r="F527" s="1203">
        <f>ROUND(D527*$C527/100,0)</f>
        <v>464</v>
      </c>
      <c r="G527" s="1230">
        <v>9.766</v>
      </c>
      <c r="H527" s="1009" t="s">
        <v>374</v>
      </c>
      <c r="I527" s="1203">
        <f>ROUND(G527*C527/100,0)</f>
        <v>531</v>
      </c>
      <c r="J527" s="1230">
        <f>$J$175</f>
        <v>6.4269999999999996</v>
      </c>
      <c r="K527" s="1009" t="s">
        <v>374</v>
      </c>
      <c r="L527" s="1203">
        <f>ROUND(J527*$C527/100,0)</f>
        <v>349</v>
      </c>
      <c r="N527" s="1185"/>
      <c r="O527" s="1185"/>
      <c r="P527" s="1186"/>
      <c r="Q527" s="1186"/>
      <c r="R527" s="1186"/>
      <c r="S527" s="1185"/>
      <c r="T527" s="1185"/>
      <c r="U527" s="1185"/>
      <c r="V527" s="1185"/>
      <c r="W527" s="1185"/>
      <c r="X527" s="1185"/>
      <c r="Y527" s="1185"/>
      <c r="Z527" s="1185"/>
      <c r="AA527" s="1185"/>
      <c r="AB527" s="1185"/>
      <c r="AC527" s="1185"/>
      <c r="AD527" s="1185"/>
      <c r="AE527" s="1185"/>
      <c r="AF527" s="1185"/>
      <c r="AG527" s="1185"/>
      <c r="AH527" s="1185"/>
      <c r="AI527" s="1185"/>
    </row>
    <row r="528" spans="1:35">
      <c r="A528" s="1219" t="s">
        <v>398</v>
      </c>
      <c r="B528" s="1219"/>
      <c r="C528" s="1026">
        <v>634</v>
      </c>
      <c r="D528" s="1230">
        <v>5.9020000000000001</v>
      </c>
      <c r="E528" s="1009" t="s">
        <v>374</v>
      </c>
      <c r="F528" s="1203">
        <f>ROUND(D528*$C528/100,0)</f>
        <v>37</v>
      </c>
      <c r="G528" s="1230">
        <v>6.7460000000000004</v>
      </c>
      <c r="H528" s="1009" t="s">
        <v>374</v>
      </c>
      <c r="I528" s="1203">
        <f t="shared" ref="I528:I530" si="84">ROUND(G528*C528/100,0)</f>
        <v>43</v>
      </c>
      <c r="J528" s="1230">
        <f>$J$176</f>
        <v>4.4400000000000004</v>
      </c>
      <c r="K528" s="1009" t="s">
        <v>374</v>
      </c>
      <c r="L528" s="1203">
        <f>ROUND(J528*$C528/100,0)</f>
        <v>28</v>
      </c>
      <c r="N528" s="1185"/>
      <c r="O528" s="1185"/>
      <c r="P528" s="1186"/>
      <c r="Q528" s="1186"/>
      <c r="R528" s="1186"/>
      <c r="S528" s="1185"/>
      <c r="T528" s="1185"/>
      <c r="U528" s="1185"/>
      <c r="V528" s="1185"/>
      <c r="W528" s="1185"/>
      <c r="X528" s="1185"/>
      <c r="Y528" s="1185"/>
      <c r="Z528" s="1185"/>
      <c r="AA528" s="1185"/>
      <c r="AB528" s="1185"/>
      <c r="AC528" s="1185"/>
      <c r="AD528" s="1185"/>
      <c r="AE528" s="1185"/>
      <c r="AF528" s="1185"/>
      <c r="AG528" s="1185"/>
      <c r="AH528" s="1185"/>
      <c r="AI528" s="1185"/>
    </row>
    <row r="529" spans="1:37">
      <c r="A529" s="1219" t="s">
        <v>399</v>
      </c>
      <c r="B529" s="1219"/>
      <c r="C529" s="1026">
        <v>0</v>
      </c>
      <c r="D529" s="1230">
        <v>5.0839999999999996</v>
      </c>
      <c r="E529" s="1009" t="s">
        <v>374</v>
      </c>
      <c r="F529" s="1203">
        <f>ROUND(D529*$C529/100,0)</f>
        <v>0</v>
      </c>
      <c r="G529" s="1230">
        <v>5.8120000000000003</v>
      </c>
      <c r="H529" s="1009" t="s">
        <v>374</v>
      </c>
      <c r="I529" s="1203">
        <f t="shared" si="84"/>
        <v>0</v>
      </c>
      <c r="J529" s="1230">
        <f>$J$177</f>
        <v>3.8250000000000002</v>
      </c>
      <c r="K529" s="1009" t="s">
        <v>374</v>
      </c>
      <c r="L529" s="1203">
        <f>ROUND(J529*$C529/100,0)</f>
        <v>0</v>
      </c>
      <c r="N529" s="1185"/>
      <c r="O529" s="1185"/>
      <c r="P529" s="1186"/>
      <c r="Q529" s="1186"/>
      <c r="R529" s="1186"/>
      <c r="S529" s="1185"/>
      <c r="T529" s="1185"/>
      <c r="U529" s="1185"/>
      <c r="V529" s="1185"/>
      <c r="W529" s="1185"/>
      <c r="X529" s="1185"/>
      <c r="Y529" s="1185"/>
      <c r="Z529" s="1185"/>
      <c r="AA529" s="1185"/>
      <c r="AB529" s="1185"/>
      <c r="AC529" s="1185"/>
      <c r="AD529" s="1185"/>
      <c r="AE529" s="1185"/>
      <c r="AF529" s="1185"/>
      <c r="AG529" s="1185"/>
      <c r="AH529" s="1185"/>
      <c r="AI529" s="1185"/>
    </row>
    <row r="530" spans="1:37">
      <c r="A530" s="1219" t="s">
        <v>400</v>
      </c>
      <c r="B530" s="1219"/>
      <c r="C530" s="1026">
        <v>0</v>
      </c>
      <c r="D530" s="1255">
        <v>50</v>
      </c>
      <c r="E530" s="1041" t="s">
        <v>374</v>
      </c>
      <c r="F530" s="1203">
        <f>ROUND(D530*$C530/100,0)</f>
        <v>0</v>
      </c>
      <c r="G530" s="1255">
        <v>56</v>
      </c>
      <c r="H530" s="1009" t="s">
        <v>374</v>
      </c>
      <c r="I530" s="1203">
        <f t="shared" si="84"/>
        <v>0</v>
      </c>
      <c r="J530" s="1255">
        <f>$J$178</f>
        <v>63</v>
      </c>
      <c r="K530" s="1009" t="s">
        <v>374</v>
      </c>
      <c r="L530" s="1203">
        <f>ROUND(J530*$C530/100,0)</f>
        <v>0</v>
      </c>
      <c r="N530" s="1185"/>
      <c r="O530" s="1185"/>
      <c r="P530" s="1186"/>
      <c r="Q530" s="1186"/>
      <c r="R530" s="1186"/>
      <c r="S530" s="1185"/>
      <c r="T530" s="1185"/>
      <c r="U530" s="1185"/>
      <c r="V530" s="1185"/>
      <c r="W530" s="1185"/>
      <c r="X530" s="1185"/>
      <c r="Y530" s="1185"/>
      <c r="Z530" s="1185"/>
      <c r="AA530" s="1185"/>
      <c r="AB530" s="1185"/>
      <c r="AC530" s="1185"/>
      <c r="AD530" s="1185"/>
      <c r="AE530" s="1185"/>
      <c r="AF530" s="1185"/>
      <c r="AG530" s="1185"/>
      <c r="AH530" s="1185"/>
      <c r="AI530" s="1185"/>
    </row>
    <row r="531" spans="1:37">
      <c r="A531" s="1005" t="s">
        <v>918</v>
      </c>
      <c r="C531" s="1202">
        <f>C527</f>
        <v>5433</v>
      </c>
      <c r="D531" s="269"/>
      <c r="E531" s="1185"/>
      <c r="F531" s="1203"/>
      <c r="G531" s="269"/>
      <c r="H531" s="1185"/>
      <c r="I531" s="1203"/>
      <c r="J531" s="1230">
        <f>J179</f>
        <v>4.4989999999999997</v>
      </c>
      <c r="K531" s="1009" t="s">
        <v>374</v>
      </c>
      <c r="L531" s="1203">
        <f t="shared" ref="L531:L533" si="85">ROUND(J531*$C531/100,0)</f>
        <v>244</v>
      </c>
      <c r="N531" s="1204"/>
      <c r="P531" s="815"/>
      <c r="Q531" s="1184"/>
      <c r="R531" s="1184"/>
      <c r="S531" s="1205"/>
      <c r="T531" s="1205"/>
      <c r="Y531" s="1185"/>
      <c r="Z531" s="1185"/>
      <c r="AA531" s="1185"/>
      <c r="AB531" s="1185"/>
      <c r="AC531" s="1185"/>
      <c r="AD531" s="1185"/>
      <c r="AE531" s="1185"/>
      <c r="AF531" s="1185"/>
      <c r="AG531" s="1185"/>
      <c r="AH531" s="1185"/>
      <c r="AI531" s="1185"/>
      <c r="AK531" s="1204"/>
    </row>
    <row r="532" spans="1:37">
      <c r="A532" s="1005" t="s">
        <v>919</v>
      </c>
      <c r="C532" s="1202">
        <f>C528</f>
        <v>634</v>
      </c>
      <c r="D532" s="269"/>
      <c r="E532" s="1185"/>
      <c r="F532" s="1203"/>
      <c r="G532" s="269"/>
      <c r="H532" s="1185"/>
      <c r="I532" s="1203"/>
      <c r="J532" s="1230">
        <f>J180</f>
        <v>3.1080000000000001</v>
      </c>
      <c r="K532" s="1009" t="s">
        <v>374</v>
      </c>
      <c r="L532" s="1203">
        <f t="shared" si="85"/>
        <v>20</v>
      </c>
      <c r="N532" s="1204"/>
      <c r="P532" s="815"/>
      <c r="Q532" s="1184"/>
      <c r="R532" s="1184"/>
      <c r="S532" s="1205"/>
      <c r="T532" s="1205"/>
      <c r="Y532" s="1185"/>
      <c r="Z532" s="1185"/>
      <c r="AA532" s="1185"/>
      <c r="AB532" s="1185"/>
      <c r="AC532" s="1185"/>
      <c r="AD532" s="1185"/>
      <c r="AE532" s="1185"/>
      <c r="AF532" s="1185"/>
      <c r="AG532" s="1185"/>
      <c r="AH532" s="1185"/>
      <c r="AI532" s="1185"/>
      <c r="AK532" s="1204"/>
    </row>
    <row r="533" spans="1:37">
      <c r="A533" s="1005" t="s">
        <v>920</v>
      </c>
      <c r="C533" s="1202">
        <f>C529</f>
        <v>0</v>
      </c>
      <c r="D533" s="269"/>
      <c r="E533" s="1185"/>
      <c r="F533" s="1203"/>
      <c r="G533" s="269"/>
      <c r="H533" s="1185"/>
      <c r="I533" s="1203"/>
      <c r="J533" s="1230">
        <f>J181</f>
        <v>2.6779999999999999</v>
      </c>
      <c r="K533" s="1009" t="s">
        <v>374</v>
      </c>
      <c r="L533" s="1203">
        <f t="shared" si="85"/>
        <v>0</v>
      </c>
      <c r="N533" s="1204"/>
      <c r="P533" s="815"/>
      <c r="Q533" s="1184"/>
      <c r="R533" s="1184"/>
      <c r="S533" s="1205"/>
      <c r="T533" s="1205"/>
      <c r="Y533" s="1185"/>
      <c r="Z533" s="1185"/>
      <c r="AA533" s="1185"/>
      <c r="AB533" s="1185"/>
      <c r="AC533" s="1185"/>
      <c r="AD533" s="1185"/>
      <c r="AE533" s="1185"/>
      <c r="AF533" s="1185"/>
      <c r="AG533" s="1185"/>
      <c r="AH533" s="1185"/>
      <c r="AI533" s="1185"/>
      <c r="AK533" s="1204"/>
    </row>
    <row r="534" spans="1:37">
      <c r="A534" s="1256" t="s">
        <v>401</v>
      </c>
      <c r="B534" s="1219"/>
      <c r="C534" s="1026"/>
      <c r="D534" s="1257">
        <v>-0.01</v>
      </c>
      <c r="E534" s="1041"/>
      <c r="F534" s="1203"/>
      <c r="G534" s="1257">
        <v>-0.01</v>
      </c>
      <c r="H534" s="1009"/>
      <c r="I534" s="1203"/>
      <c r="J534" s="1257">
        <v>-0.01</v>
      </c>
      <c r="K534" s="1009"/>
      <c r="L534" s="1203"/>
      <c r="N534" s="1185"/>
      <c r="O534" s="1185"/>
      <c r="P534" s="1186"/>
      <c r="Q534" s="1186"/>
      <c r="R534" s="1186"/>
      <c r="S534" s="1185"/>
      <c r="T534" s="1185"/>
      <c r="U534" s="1185"/>
      <c r="V534" s="1185"/>
      <c r="W534" s="1185"/>
      <c r="X534" s="1185"/>
      <c r="Y534" s="1185"/>
      <c r="Z534" s="1185"/>
      <c r="AA534" s="1185"/>
      <c r="AB534" s="1185"/>
      <c r="AC534" s="1185"/>
      <c r="AD534" s="1185"/>
      <c r="AE534" s="1185"/>
      <c r="AF534" s="1185"/>
      <c r="AG534" s="1185"/>
      <c r="AH534" s="1185"/>
      <c r="AI534" s="1185"/>
    </row>
    <row r="535" spans="1:37">
      <c r="A535" s="1219" t="s">
        <v>390</v>
      </c>
      <c r="B535" s="1219"/>
      <c r="C535" s="1026">
        <v>0</v>
      </c>
      <c r="D535" s="1259">
        <v>91.679999999999993</v>
      </c>
      <c r="E535" s="1041"/>
      <c r="F535" s="1203">
        <f>-ROUND(D535*$C535/100,0)</f>
        <v>0</v>
      </c>
      <c r="G535" s="1259">
        <v>104.52000000000001</v>
      </c>
      <c r="H535" s="1041"/>
      <c r="I535" s="1203">
        <f>-ROUND(G535*$C535/100,0)</f>
        <v>0</v>
      </c>
      <c r="J535" s="1259">
        <f>J521</f>
        <v>116.88</v>
      </c>
      <c r="K535" s="1041"/>
      <c r="L535" s="1203">
        <f>-ROUND(J535*$C535/100,0)</f>
        <v>0</v>
      </c>
      <c r="N535" s="1185"/>
      <c r="O535" s="1185"/>
      <c r="P535" s="1186"/>
      <c r="Q535" s="1186"/>
      <c r="R535" s="1186"/>
      <c r="S535" s="1185"/>
      <c r="T535" s="1185"/>
      <c r="U535" s="1185"/>
      <c r="V535" s="1185"/>
      <c r="W535" s="1185"/>
      <c r="X535" s="1185"/>
      <c r="Y535" s="1185"/>
      <c r="Z535" s="1185"/>
      <c r="AA535" s="1185"/>
      <c r="AB535" s="1185"/>
      <c r="AC535" s="1185"/>
      <c r="AD535" s="1185"/>
      <c r="AE535" s="1185"/>
      <c r="AF535" s="1185"/>
      <c r="AG535" s="1185"/>
      <c r="AH535" s="1185"/>
      <c r="AI535" s="1185"/>
    </row>
    <row r="536" spans="1:37">
      <c r="A536" s="1219" t="s">
        <v>391</v>
      </c>
      <c r="B536" s="1219"/>
      <c r="C536" s="1026">
        <v>0</v>
      </c>
      <c r="D536" s="1259">
        <v>136.32</v>
      </c>
      <c r="E536" s="1041"/>
      <c r="F536" s="1203">
        <f>-ROUND(D536*$C536/100,0)</f>
        <v>0</v>
      </c>
      <c r="G536" s="1259">
        <v>155.76</v>
      </c>
      <c r="H536" s="1041"/>
      <c r="I536" s="1203">
        <f t="shared" ref="I536:I538" si="86">-ROUND(G536*$C536/100,0)</f>
        <v>0</v>
      </c>
      <c r="J536" s="1259">
        <f>J522</f>
        <v>174.12</v>
      </c>
      <c r="K536" s="1041"/>
      <c r="L536" s="1203">
        <f>-ROUND(J536*$C536/100,0)</f>
        <v>0</v>
      </c>
      <c r="N536" s="1185"/>
      <c r="O536" s="1185"/>
      <c r="P536" s="1186"/>
      <c r="Q536" s="1186"/>
      <c r="R536" s="1186"/>
      <c r="S536" s="1185"/>
      <c r="T536" s="1185"/>
      <c r="U536" s="1185"/>
      <c r="V536" s="1185"/>
      <c r="W536" s="1185"/>
      <c r="X536" s="1185"/>
      <c r="Y536" s="1185"/>
      <c r="Z536" s="1185"/>
      <c r="AA536" s="1185"/>
      <c r="AB536" s="1185"/>
      <c r="AC536" s="1185"/>
      <c r="AD536" s="1185"/>
      <c r="AE536" s="1185"/>
      <c r="AF536" s="1185"/>
      <c r="AG536" s="1185"/>
      <c r="AH536" s="1185"/>
      <c r="AI536" s="1185"/>
    </row>
    <row r="537" spans="1:37">
      <c r="A537" s="1219" t="s">
        <v>402</v>
      </c>
      <c r="B537" s="1219"/>
      <c r="C537" s="1026">
        <v>0</v>
      </c>
      <c r="D537" s="1259">
        <v>9.66</v>
      </c>
      <c r="E537" s="1041"/>
      <c r="F537" s="1203">
        <f>-ROUND(D537*$C537/100,0)</f>
        <v>0</v>
      </c>
      <c r="G537" s="1259">
        <v>11.040000000000001</v>
      </c>
      <c r="H537" s="1041"/>
      <c r="I537" s="1203">
        <f t="shared" si="86"/>
        <v>0</v>
      </c>
      <c r="J537" s="1259">
        <f>J523</f>
        <v>12.36</v>
      </c>
      <c r="K537" s="1041"/>
      <c r="L537" s="1203">
        <f>-ROUND(J537*$C537/100,0)</f>
        <v>0</v>
      </c>
      <c r="N537" s="1185"/>
      <c r="O537" s="1185"/>
      <c r="P537" s="1186"/>
      <c r="Q537" s="1186"/>
      <c r="R537" s="1186"/>
      <c r="S537" s="1185"/>
      <c r="T537" s="1185"/>
      <c r="U537" s="1185"/>
      <c r="V537" s="1185"/>
      <c r="W537" s="1185"/>
      <c r="X537" s="1185"/>
      <c r="Y537" s="1185"/>
      <c r="Z537" s="1185"/>
      <c r="AA537" s="1185"/>
      <c r="AB537" s="1185"/>
      <c r="AC537" s="1185"/>
      <c r="AD537" s="1185"/>
      <c r="AE537" s="1185"/>
      <c r="AF537" s="1185"/>
      <c r="AG537" s="1185"/>
      <c r="AH537" s="1185"/>
      <c r="AI537" s="1185"/>
    </row>
    <row r="538" spans="1:37">
      <c r="A538" s="1219" t="s">
        <v>403</v>
      </c>
      <c r="B538" s="1219"/>
      <c r="C538" s="1026">
        <v>0</v>
      </c>
      <c r="D538" s="1259">
        <v>2.98</v>
      </c>
      <c r="E538" s="1009"/>
      <c r="F538" s="1203">
        <f>-ROUND(D538*$C538/100,0)</f>
        <v>0</v>
      </c>
      <c r="G538" s="1259">
        <v>3.4</v>
      </c>
      <c r="H538" s="1009"/>
      <c r="I538" s="1203">
        <f t="shared" si="86"/>
        <v>0</v>
      </c>
      <c r="J538" s="1259">
        <f>J526</f>
        <v>3.8</v>
      </c>
      <c r="K538" s="1009"/>
      <c r="L538" s="1203">
        <f>-ROUND(J538*$C538/100,0)</f>
        <v>0</v>
      </c>
      <c r="N538" s="1185"/>
      <c r="O538" s="1185"/>
      <c r="P538" s="1186"/>
      <c r="Q538" s="1186"/>
      <c r="R538" s="1186"/>
      <c r="S538" s="1185"/>
      <c r="T538" s="1185"/>
      <c r="U538" s="1185"/>
      <c r="V538" s="1185"/>
      <c r="W538" s="1185"/>
      <c r="X538" s="1185"/>
      <c r="Y538" s="1185"/>
      <c r="Z538" s="1185"/>
      <c r="AA538" s="1185"/>
      <c r="AB538" s="1185"/>
      <c r="AC538" s="1185"/>
      <c r="AD538" s="1185"/>
      <c r="AE538" s="1185"/>
      <c r="AF538" s="1185"/>
      <c r="AG538" s="1185"/>
      <c r="AH538" s="1185"/>
      <c r="AI538" s="1185"/>
    </row>
    <row r="539" spans="1:37">
      <c r="A539" s="1219" t="s">
        <v>405</v>
      </c>
      <c r="B539" s="1219"/>
      <c r="C539" s="1026">
        <v>0</v>
      </c>
      <c r="D539" s="1070">
        <v>8.5489999999999995</v>
      </c>
      <c r="E539" s="1009" t="s">
        <v>374</v>
      </c>
      <c r="F539" s="1203">
        <f>ROUND(D539*$C539/100*D534,0)</f>
        <v>0</v>
      </c>
      <c r="G539" s="1070">
        <v>9.766</v>
      </c>
      <c r="H539" s="1009" t="s">
        <v>374</v>
      </c>
      <c r="I539" s="1203">
        <f>ROUND(G539*$C539/100*G534,0)</f>
        <v>0</v>
      </c>
      <c r="J539" s="1070">
        <f>J527</f>
        <v>6.4269999999999996</v>
      </c>
      <c r="K539" s="1009" t="s">
        <v>374</v>
      </c>
      <c r="L539" s="1203">
        <f>ROUND(J539*$C539/100*J534,0)</f>
        <v>0</v>
      </c>
      <c r="N539" s="1185"/>
      <c r="O539" s="1185"/>
      <c r="P539" s="1186"/>
      <c r="Q539" s="1186"/>
      <c r="R539" s="1186"/>
      <c r="S539" s="1185"/>
      <c r="T539" s="1185"/>
      <c r="U539" s="1185"/>
      <c r="V539" s="1185"/>
      <c r="W539" s="1185"/>
      <c r="X539" s="1185"/>
      <c r="Y539" s="1185"/>
      <c r="Z539" s="1185"/>
      <c r="AA539" s="1185"/>
      <c r="AB539" s="1185"/>
      <c r="AC539" s="1185"/>
      <c r="AD539" s="1185"/>
      <c r="AE539" s="1185"/>
      <c r="AF539" s="1185"/>
      <c r="AG539" s="1185"/>
      <c r="AH539" s="1185"/>
      <c r="AI539" s="1185"/>
    </row>
    <row r="540" spans="1:37">
      <c r="A540" s="1219" t="s">
        <v>398</v>
      </c>
      <c r="B540" s="1219"/>
      <c r="C540" s="1026">
        <v>0</v>
      </c>
      <c r="D540" s="1070">
        <v>5.9020000000000001</v>
      </c>
      <c r="E540" s="1009" t="s">
        <v>374</v>
      </c>
      <c r="F540" s="1203">
        <f>ROUND(D540*$C540/100*D534,0)</f>
        <v>0</v>
      </c>
      <c r="G540" s="1070">
        <v>6.7460000000000004</v>
      </c>
      <c r="H540" s="1009" t="s">
        <v>374</v>
      </c>
      <c r="I540" s="1203">
        <f>ROUND(G540*$C540/100*G534,0)</f>
        <v>0</v>
      </c>
      <c r="J540" s="1070">
        <f>J528</f>
        <v>4.4400000000000004</v>
      </c>
      <c r="K540" s="1009" t="s">
        <v>374</v>
      </c>
      <c r="L540" s="1203">
        <f>ROUND(J540*$C540/100*J534,0)</f>
        <v>0</v>
      </c>
      <c r="N540" s="1185"/>
      <c r="O540" s="1185"/>
      <c r="P540" s="1186"/>
      <c r="Q540" s="1186"/>
      <c r="R540" s="1186"/>
      <c r="S540" s="1185"/>
      <c r="T540" s="1185"/>
      <c r="U540" s="1185"/>
      <c r="V540" s="1185"/>
      <c r="W540" s="1185"/>
      <c r="X540" s="1185"/>
      <c r="Y540" s="1185"/>
      <c r="Z540" s="1185"/>
      <c r="AA540" s="1185"/>
      <c r="AB540" s="1185"/>
      <c r="AC540" s="1185"/>
      <c r="AD540" s="1185"/>
      <c r="AE540" s="1185"/>
      <c r="AF540" s="1185"/>
      <c r="AG540" s="1185"/>
      <c r="AH540" s="1185"/>
      <c r="AI540" s="1185"/>
    </row>
    <row r="541" spans="1:37">
      <c r="A541" s="1219" t="s">
        <v>399</v>
      </c>
      <c r="B541" s="1219"/>
      <c r="C541" s="1026">
        <v>0</v>
      </c>
      <c r="D541" s="1070">
        <v>5.0839999999999996</v>
      </c>
      <c r="E541" s="1009" t="s">
        <v>374</v>
      </c>
      <c r="F541" s="1203">
        <f>ROUND(D541*$C541/100*D534,0)</f>
        <v>0</v>
      </c>
      <c r="G541" s="1070">
        <v>5.8120000000000003</v>
      </c>
      <c r="H541" s="1009" t="s">
        <v>374</v>
      </c>
      <c r="I541" s="1203">
        <f>ROUND(G541*$C541/100*G534,0)</f>
        <v>0</v>
      </c>
      <c r="J541" s="1070">
        <f>J529</f>
        <v>3.8250000000000002</v>
      </c>
      <c r="K541" s="1009" t="s">
        <v>374</v>
      </c>
      <c r="L541" s="1203">
        <f>ROUND(J541*$C541/100*J534,0)</f>
        <v>0</v>
      </c>
      <c r="N541" s="1185"/>
      <c r="O541" s="1185"/>
      <c r="P541" s="1186"/>
      <c r="Q541" s="1186"/>
      <c r="R541" s="1186"/>
      <c r="S541" s="1185"/>
      <c r="T541" s="1185"/>
      <c r="U541" s="1185"/>
      <c r="V541" s="1185"/>
      <c r="W541" s="1185"/>
      <c r="X541" s="1185"/>
      <c r="Y541" s="1185"/>
      <c r="Z541" s="1185"/>
      <c r="AA541" s="1185"/>
      <c r="AB541" s="1185"/>
      <c r="AC541" s="1185"/>
      <c r="AD541" s="1185"/>
      <c r="AE541" s="1185"/>
      <c r="AF541" s="1185"/>
      <c r="AG541" s="1185"/>
      <c r="AH541" s="1185"/>
      <c r="AI541" s="1185"/>
    </row>
    <row r="542" spans="1:37">
      <c r="A542" s="1219" t="s">
        <v>400</v>
      </c>
      <c r="B542" s="1219"/>
      <c r="C542" s="1026">
        <v>0</v>
      </c>
      <c r="D542" s="1260">
        <v>50</v>
      </c>
      <c r="E542" s="1009" t="s">
        <v>374</v>
      </c>
      <c r="F542" s="1203">
        <f>ROUND(D542*$C542/100*D534,0)</f>
        <v>0</v>
      </c>
      <c r="G542" s="1260">
        <v>56</v>
      </c>
      <c r="H542" s="1009" t="s">
        <v>374</v>
      </c>
      <c r="I542" s="1203">
        <f>ROUND(G542*$C542/100*G534,0)</f>
        <v>0</v>
      </c>
      <c r="J542" s="1260">
        <f>J530</f>
        <v>63</v>
      </c>
      <c r="K542" s="1009" t="s">
        <v>374</v>
      </c>
      <c r="L542" s="1203">
        <f>ROUND(J542*$C542/100*J534,0)</f>
        <v>0</v>
      </c>
      <c r="N542" s="1185"/>
      <c r="O542" s="1185"/>
      <c r="P542" s="1186"/>
      <c r="Q542" s="1186"/>
      <c r="R542" s="1186"/>
      <c r="S542" s="1185"/>
      <c r="T542" s="1185"/>
      <c r="U542" s="1185"/>
      <c r="V542" s="1185"/>
      <c r="W542" s="1185"/>
      <c r="X542" s="1185"/>
      <c r="Y542" s="1185"/>
      <c r="Z542" s="1185"/>
      <c r="AA542" s="1185"/>
      <c r="AB542" s="1185"/>
      <c r="AC542" s="1185"/>
      <c r="AD542" s="1185"/>
      <c r="AE542" s="1185"/>
      <c r="AF542" s="1185"/>
      <c r="AG542" s="1185"/>
      <c r="AH542" s="1185"/>
      <c r="AI542" s="1185"/>
    </row>
    <row r="543" spans="1:37">
      <c r="A543" s="1219" t="s">
        <v>407</v>
      </c>
      <c r="B543" s="1219"/>
      <c r="C543" s="1026">
        <v>0</v>
      </c>
      <c r="D543" s="1261">
        <v>60</v>
      </c>
      <c r="E543" s="1041"/>
      <c r="F543" s="1203">
        <f>ROUND(D543*$C543,0)</f>
        <v>0</v>
      </c>
      <c r="G543" s="1261">
        <v>60</v>
      </c>
      <c r="H543" s="1009"/>
      <c r="I543" s="1203">
        <f>ROUND(G543*C543,0)</f>
        <v>0</v>
      </c>
      <c r="J543" s="1261">
        <f>$J$194</f>
        <v>60</v>
      </c>
      <c r="K543" s="1009"/>
      <c r="L543" s="1203">
        <f>ROUND(J543*$C543,0)</f>
        <v>0</v>
      </c>
      <c r="N543" s="1185"/>
      <c r="O543" s="1185"/>
      <c r="P543" s="1186"/>
      <c r="Q543" s="1186"/>
      <c r="R543" s="1186"/>
      <c r="S543" s="1185"/>
      <c r="T543" s="1185"/>
      <c r="U543" s="1185"/>
      <c r="V543" s="1185"/>
      <c r="W543" s="1185"/>
      <c r="X543" s="1185"/>
      <c r="Y543" s="1185"/>
      <c r="Z543" s="1185"/>
      <c r="AA543" s="1185"/>
      <c r="AB543" s="1185"/>
      <c r="AC543" s="1185"/>
      <c r="AD543" s="1185"/>
      <c r="AE543" s="1185"/>
      <c r="AF543" s="1185"/>
      <c r="AG543" s="1185"/>
      <c r="AH543" s="1185"/>
      <c r="AI543" s="1185"/>
    </row>
    <row r="544" spans="1:37">
      <c r="A544" s="1219" t="s">
        <v>408</v>
      </c>
      <c r="B544" s="1219"/>
      <c r="C544" s="1026">
        <v>0</v>
      </c>
      <c r="D544" s="1262">
        <v>-30</v>
      </c>
      <c r="E544" s="1041" t="s">
        <v>374</v>
      </c>
      <c r="F544" s="1203">
        <f>ROUND(D544*$C544/100,0)</f>
        <v>0</v>
      </c>
      <c r="G544" s="1262">
        <v>-30</v>
      </c>
      <c r="H544" s="1009" t="s">
        <v>374</v>
      </c>
      <c r="I544" s="1203">
        <f>ROUND(G544*C544/100,0)</f>
        <v>0</v>
      </c>
      <c r="J544" s="1262">
        <f>$J$195</f>
        <v>-30</v>
      </c>
      <c r="K544" s="1009" t="s">
        <v>374</v>
      </c>
      <c r="L544" s="1203">
        <f>ROUND(J544*$C544/100,0)</f>
        <v>0</v>
      </c>
      <c r="N544" s="1185"/>
      <c r="O544" s="1185"/>
      <c r="P544" s="1186"/>
      <c r="Q544" s="1186"/>
      <c r="R544" s="1186"/>
      <c r="S544" s="1185"/>
      <c r="T544" s="1185"/>
      <c r="U544" s="1185"/>
      <c r="V544" s="1185"/>
      <c r="W544" s="1185"/>
      <c r="X544" s="1185"/>
      <c r="Y544" s="1185"/>
      <c r="Z544" s="1185"/>
      <c r="AA544" s="1185"/>
      <c r="AB544" s="1185"/>
      <c r="AC544" s="1185"/>
      <c r="AD544" s="1185"/>
      <c r="AE544" s="1185"/>
      <c r="AF544" s="1185"/>
      <c r="AG544" s="1185"/>
      <c r="AH544" s="1185"/>
      <c r="AI544" s="1185"/>
    </row>
    <row r="545" spans="1:37">
      <c r="A545" s="1005" t="s">
        <v>918</v>
      </c>
      <c r="C545" s="1202">
        <f>C539</f>
        <v>0</v>
      </c>
      <c r="D545" s="269"/>
      <c r="E545" s="1185"/>
      <c r="F545" s="1203"/>
      <c r="G545" s="269"/>
      <c r="H545" s="1185"/>
      <c r="I545" s="1203"/>
      <c r="J545" s="1230">
        <f>J179</f>
        <v>4.4989999999999997</v>
      </c>
      <c r="K545" s="1009" t="s">
        <v>374</v>
      </c>
      <c r="L545" s="1203">
        <f t="shared" ref="L545:L547" si="87">ROUND(J545*$C545/100,0)</f>
        <v>0</v>
      </c>
      <c r="N545" s="1204"/>
      <c r="P545" s="815"/>
      <c r="Q545" s="1184"/>
      <c r="R545" s="1184"/>
      <c r="S545" s="1205"/>
      <c r="T545" s="1205"/>
      <c r="Y545" s="1185"/>
      <c r="Z545" s="1185"/>
      <c r="AA545" s="1185"/>
      <c r="AB545" s="1185"/>
      <c r="AC545" s="1185"/>
      <c r="AD545" s="1185"/>
      <c r="AE545" s="1185"/>
      <c r="AF545" s="1185"/>
      <c r="AG545" s="1185"/>
      <c r="AH545" s="1185"/>
      <c r="AI545" s="1185"/>
      <c r="AK545" s="1204"/>
    </row>
    <row r="546" spans="1:37">
      <c r="A546" s="1005" t="s">
        <v>919</v>
      </c>
      <c r="C546" s="1202">
        <f>C540</f>
        <v>0</v>
      </c>
      <c r="D546" s="269"/>
      <c r="E546" s="1185"/>
      <c r="F546" s="1203"/>
      <c r="G546" s="269"/>
      <c r="H546" s="1185"/>
      <c r="I546" s="1203"/>
      <c r="J546" s="1230">
        <f>J180</f>
        <v>3.1080000000000001</v>
      </c>
      <c r="K546" s="1009" t="s">
        <v>374</v>
      </c>
      <c r="L546" s="1203">
        <f t="shared" si="87"/>
        <v>0</v>
      </c>
      <c r="N546" s="1204"/>
      <c r="P546" s="815"/>
      <c r="Q546" s="1184"/>
      <c r="R546" s="1184"/>
      <c r="S546" s="1205"/>
      <c r="T546" s="1205"/>
      <c r="Y546" s="1185"/>
      <c r="Z546" s="1185"/>
      <c r="AA546" s="1185"/>
      <c r="AB546" s="1185"/>
      <c r="AC546" s="1185"/>
      <c r="AD546" s="1185"/>
      <c r="AE546" s="1185"/>
      <c r="AF546" s="1185"/>
      <c r="AG546" s="1185"/>
      <c r="AH546" s="1185"/>
      <c r="AI546" s="1185"/>
      <c r="AK546" s="1204"/>
    </row>
    <row r="547" spans="1:37">
      <c r="A547" s="1005" t="s">
        <v>920</v>
      </c>
      <c r="C547" s="1202">
        <f>C541</f>
        <v>0</v>
      </c>
      <c r="D547" s="269"/>
      <c r="E547" s="1185"/>
      <c r="F547" s="1203"/>
      <c r="G547" s="269"/>
      <c r="H547" s="1185"/>
      <c r="I547" s="1203"/>
      <c r="J547" s="1230">
        <f>J181</f>
        <v>2.6779999999999999</v>
      </c>
      <c r="K547" s="1009" t="s">
        <v>374</v>
      </c>
      <c r="L547" s="1203">
        <f t="shared" si="87"/>
        <v>0</v>
      </c>
      <c r="N547" s="1204"/>
      <c r="P547" s="815"/>
      <c r="Q547" s="1184"/>
      <c r="R547" s="1184"/>
      <c r="S547" s="1205"/>
      <c r="T547" s="1205"/>
      <c r="Y547" s="1185"/>
      <c r="Z547" s="1185"/>
      <c r="AA547" s="1185"/>
      <c r="AB547" s="1185"/>
      <c r="AC547" s="1185"/>
      <c r="AD547" s="1185"/>
      <c r="AE547" s="1185"/>
      <c r="AF547" s="1185"/>
      <c r="AG547" s="1185"/>
      <c r="AH547" s="1185"/>
      <c r="AI547" s="1185"/>
      <c r="AK547" s="1204"/>
    </row>
    <row r="548" spans="1:37">
      <c r="A548" s="1219" t="s">
        <v>381</v>
      </c>
      <c r="B548" s="1219"/>
      <c r="C548" s="1026">
        <f>SUM(C527:C529)</f>
        <v>6067</v>
      </c>
      <c r="D548" s="1255"/>
      <c r="E548" s="1203"/>
      <c r="F548" s="1203">
        <f>SUM(F521:F544)</f>
        <v>2071</v>
      </c>
      <c r="G548" s="1255"/>
      <c r="H548" s="1009"/>
      <c r="I548" s="1203">
        <f>SUM(I521:I544)</f>
        <v>2367</v>
      </c>
      <c r="J548" s="1255"/>
      <c r="K548" s="1009"/>
      <c r="L548" s="1203">
        <f>SUM(L521:L547)</f>
        <v>2646</v>
      </c>
      <c r="N548" s="1185"/>
      <c r="O548" s="1185"/>
      <c r="P548" s="1186"/>
      <c r="Q548" s="1186"/>
      <c r="R548" s="1186"/>
      <c r="S548" s="1185"/>
      <c r="T548" s="1185"/>
      <c r="U548" s="1185"/>
      <c r="V548" s="1185"/>
      <c r="W548" s="1185"/>
      <c r="X548" s="1185"/>
      <c r="Y548" s="1185"/>
      <c r="Z548" s="1185"/>
      <c r="AA548" s="1185"/>
      <c r="AB548" s="1185"/>
      <c r="AC548" s="1185"/>
      <c r="AD548" s="1185"/>
      <c r="AE548" s="1185"/>
      <c r="AF548" s="1185"/>
      <c r="AG548" s="1185"/>
      <c r="AH548" s="1185"/>
      <c r="AI548" s="1185"/>
    </row>
    <row r="549" spans="1:37">
      <c r="A549" s="1219" t="s">
        <v>363</v>
      </c>
      <c r="B549" s="1219"/>
      <c r="C549" s="1032">
        <f>'[94]Table 2'!H73</f>
        <v>83.237273799650609</v>
      </c>
      <c r="D549" s="1218"/>
      <c r="E549" s="1218"/>
      <c r="F549" s="1264" t="e">
        <f>#REF!</f>
        <v>#REF!</v>
      </c>
      <c r="G549" s="1218"/>
      <c r="H549" s="1218"/>
      <c r="I549" s="1264">
        <f>'[94]Table 3'!E73</f>
        <v>37.66331015255323</v>
      </c>
      <c r="J549" s="1218"/>
      <c r="K549" s="1218"/>
      <c r="L549" s="1264">
        <f>I549</f>
        <v>37.66331015255323</v>
      </c>
      <c r="N549" s="444"/>
      <c r="O549" s="444"/>
      <c r="P549" s="287"/>
      <c r="Q549" s="1186"/>
      <c r="R549" s="1186"/>
      <c r="S549" s="1185"/>
      <c r="T549" s="1185"/>
      <c r="U549" s="1185"/>
      <c r="V549" s="1185"/>
      <c r="W549" s="1185"/>
      <c r="X549" s="1185"/>
      <c r="Y549" s="1185"/>
      <c r="Z549" s="1185"/>
      <c r="AA549" s="1185"/>
      <c r="AB549" s="1185"/>
      <c r="AC549" s="1185"/>
      <c r="AD549" s="1185"/>
      <c r="AE549" s="1185"/>
      <c r="AF549" s="1185"/>
      <c r="AG549" s="1185"/>
      <c r="AH549" s="1185"/>
      <c r="AI549" s="1185"/>
    </row>
    <row r="550" spans="1:37" ht="16.5" thickBot="1">
      <c r="A550" s="1219" t="s">
        <v>382</v>
      </c>
      <c r="B550" s="1219"/>
      <c r="C550" s="1240">
        <f>SUM(C548:C549)</f>
        <v>6150.2372737996502</v>
      </c>
      <c r="D550" s="1265"/>
      <c r="E550" s="1266"/>
      <c r="F550" s="1267" t="e">
        <f>F548+F549</f>
        <v>#REF!</v>
      </c>
      <c r="G550" s="1265"/>
      <c r="H550" s="1269"/>
      <c r="I550" s="1267">
        <f>I548+I549</f>
        <v>2404.6633101525531</v>
      </c>
      <c r="J550" s="1265"/>
      <c r="K550" s="1269"/>
      <c r="L550" s="1267">
        <f>L548+L549</f>
        <v>2683.6633101525531</v>
      </c>
      <c r="N550" s="411"/>
      <c r="O550" s="411"/>
      <c r="P550" s="470"/>
      <c r="Q550" s="1186"/>
      <c r="R550" s="1186"/>
      <c r="S550" s="1185"/>
      <c r="T550" s="1185"/>
      <c r="U550" s="1185"/>
      <c r="V550" s="1185"/>
      <c r="W550" s="1185"/>
      <c r="X550" s="1185"/>
      <c r="Y550" s="1185"/>
      <c r="Z550" s="1185"/>
      <c r="AA550" s="1185"/>
      <c r="AB550" s="1185"/>
      <c r="AC550" s="1185"/>
      <c r="AD550" s="1185"/>
      <c r="AE550" s="1185"/>
      <c r="AF550" s="1185"/>
      <c r="AG550" s="1185"/>
      <c r="AH550" s="1185"/>
      <c r="AI550" s="1185"/>
    </row>
    <row r="551" spans="1:37" ht="16.5" thickTop="1">
      <c r="A551" s="1219"/>
      <c r="B551" s="1219"/>
      <c r="C551" s="1225"/>
      <c r="D551" s="1261"/>
      <c r="E551" s="1203"/>
      <c r="F551" s="1203"/>
      <c r="G551" s="1261" t="s">
        <v>31</v>
      </c>
      <c r="H551" s="1219"/>
      <c r="I551" s="1203"/>
      <c r="J551" s="1259" t="s">
        <v>31</v>
      </c>
      <c r="K551" s="1219"/>
      <c r="L551" s="1203" t="s">
        <v>31</v>
      </c>
      <c r="N551" s="1185"/>
      <c r="O551" s="1185"/>
      <c r="P551" s="1186"/>
      <c r="Q551" s="1186"/>
      <c r="R551" s="1186"/>
      <c r="S551" s="1185"/>
      <c r="T551" s="1185"/>
      <c r="U551" s="1185"/>
      <c r="V551" s="1185"/>
      <c r="W551" s="1185"/>
      <c r="X551" s="1185"/>
      <c r="Y551" s="1185"/>
      <c r="Z551" s="1185"/>
      <c r="AA551" s="1185"/>
      <c r="AB551" s="1185"/>
      <c r="AC551" s="1185"/>
      <c r="AD551" s="1185"/>
      <c r="AE551" s="1185"/>
      <c r="AF551" s="1185"/>
      <c r="AG551" s="1185"/>
      <c r="AH551" s="1185"/>
      <c r="AI551" s="1185"/>
    </row>
    <row r="552" spans="1:37">
      <c r="A552" s="1219"/>
      <c r="B552" s="1219"/>
      <c r="C552" s="1225"/>
      <c r="D552" s="1261"/>
      <c r="E552" s="1203"/>
      <c r="F552" s="1203"/>
      <c r="G552" s="1261" t="s">
        <v>31</v>
      </c>
      <c r="H552" s="1219"/>
      <c r="I552" s="1203"/>
      <c r="J552" s="1259" t="s">
        <v>31</v>
      </c>
      <c r="K552" s="1219"/>
      <c r="L552" s="1203" t="s">
        <v>31</v>
      </c>
      <c r="N552" s="1185"/>
      <c r="O552" s="1185"/>
      <c r="P552" s="1186"/>
      <c r="Q552" s="1186"/>
      <c r="R552" s="1186"/>
      <c r="S552" s="1185"/>
      <c r="T552" s="1185"/>
      <c r="U552" s="1185"/>
      <c r="V552" s="1185"/>
      <c r="W552" s="1185"/>
      <c r="X552" s="1185"/>
      <c r="Y552" s="1185"/>
      <c r="Z552" s="1185"/>
      <c r="AA552" s="1185"/>
      <c r="AB552" s="1185"/>
      <c r="AC552" s="1185"/>
      <c r="AD552" s="1185"/>
      <c r="AE552" s="1185"/>
      <c r="AF552" s="1185"/>
      <c r="AG552" s="1185"/>
      <c r="AH552" s="1185"/>
      <c r="AI552" s="1185"/>
    </row>
    <row r="553" spans="1:37">
      <c r="A553" s="1224" t="s">
        <v>420</v>
      </c>
      <c r="B553" s="1219"/>
      <c r="C553" s="1278"/>
      <c r="D553" s="1203"/>
      <c r="E553" s="1203"/>
      <c r="F553" s="1219"/>
      <c r="G553" s="1203"/>
      <c r="H553" s="1219"/>
      <c r="I553" s="1219"/>
      <c r="J553" s="1203"/>
      <c r="K553" s="1219"/>
      <c r="L553" s="1203" t="s">
        <v>31</v>
      </c>
      <c r="N553" s="1185"/>
      <c r="O553" s="1185"/>
      <c r="P553" s="1186"/>
      <c r="Q553" s="1186"/>
      <c r="R553" s="1186"/>
      <c r="S553" s="1185"/>
      <c r="T553" s="1185"/>
      <c r="U553" s="1185"/>
      <c r="V553" s="1185"/>
      <c r="W553" s="1185"/>
      <c r="X553" s="1185"/>
      <c r="Y553" s="1185"/>
      <c r="Z553" s="1185"/>
      <c r="AA553" s="1185"/>
      <c r="AB553" s="1185"/>
      <c r="AC553" s="1185"/>
      <c r="AD553" s="1185"/>
      <c r="AE553" s="1185"/>
      <c r="AF553" s="1185"/>
      <c r="AG553" s="1185"/>
      <c r="AH553" s="1185"/>
      <c r="AI553" s="1185"/>
    </row>
    <row r="554" spans="1:37">
      <c r="A554" s="1009" t="s">
        <v>335</v>
      </c>
      <c r="B554" s="1219"/>
      <c r="C554" s="1219" t="s">
        <v>31</v>
      </c>
      <c r="D554" s="1203"/>
      <c r="E554" s="1203"/>
      <c r="F554" s="1219"/>
      <c r="G554" s="1203"/>
      <c r="H554" s="1219"/>
      <c r="I554" s="1219"/>
      <c r="J554" s="1203"/>
      <c r="K554" s="1219"/>
      <c r="L554" s="1219"/>
      <c r="N554" s="1185"/>
      <c r="O554" s="1185"/>
      <c r="P554" s="1186"/>
      <c r="Q554" s="1186"/>
      <c r="R554" s="1186"/>
      <c r="S554" s="1185"/>
      <c r="T554" s="1185"/>
      <c r="U554" s="1185"/>
      <c r="V554" s="1185"/>
      <c r="W554" s="1185"/>
      <c r="X554" s="1185"/>
      <c r="Y554" s="1185"/>
      <c r="Z554" s="1185"/>
      <c r="AA554" s="1185"/>
      <c r="AB554" s="1185"/>
      <c r="AC554" s="1185"/>
      <c r="AD554" s="1185"/>
      <c r="AE554" s="1185"/>
      <c r="AF554" s="1185"/>
      <c r="AG554" s="1185"/>
      <c r="AH554" s="1185"/>
      <c r="AI554" s="1185"/>
    </row>
    <row r="555" spans="1:37">
      <c r="A555" s="1009"/>
      <c r="B555" s="1219"/>
      <c r="C555" s="1219"/>
      <c r="D555" s="1203"/>
      <c r="E555" s="1203"/>
      <c r="F555" s="1219"/>
      <c r="G555" s="1203"/>
      <c r="H555" s="1219"/>
      <c r="I555" s="1219"/>
      <c r="J555" s="1203"/>
      <c r="K555" s="1219"/>
      <c r="L555" s="1219"/>
      <c r="N555" s="1185"/>
      <c r="O555" s="1185"/>
      <c r="P555" s="1186"/>
      <c r="Q555" s="1186"/>
      <c r="R555" s="1186"/>
      <c r="S555" s="1185"/>
      <c r="T555" s="1185"/>
      <c r="U555" s="1185"/>
      <c r="V555" s="1185"/>
      <c r="W555" s="1185"/>
      <c r="X555" s="1185"/>
      <c r="Y555" s="1185"/>
      <c r="Z555" s="1185"/>
      <c r="AA555" s="1185"/>
      <c r="AB555" s="1185"/>
      <c r="AC555" s="1185"/>
      <c r="AD555" s="1185"/>
      <c r="AE555" s="1185"/>
      <c r="AF555" s="1185"/>
      <c r="AG555" s="1185"/>
      <c r="AH555" s="1185"/>
      <c r="AI555" s="1185"/>
    </row>
    <row r="556" spans="1:37">
      <c r="A556" s="1009" t="s">
        <v>393</v>
      </c>
      <c r="B556" s="1219"/>
      <c r="C556" s="1026"/>
      <c r="D556" s="1203"/>
      <c r="E556" s="1203"/>
      <c r="F556" s="1219"/>
      <c r="G556" s="1203"/>
      <c r="H556" s="1219"/>
      <c r="I556" s="1219"/>
      <c r="J556" s="1203"/>
      <c r="K556" s="1219"/>
      <c r="L556" s="1219"/>
      <c r="N556" s="1185"/>
      <c r="O556" s="1185"/>
      <c r="P556" s="1186"/>
      <c r="Q556" s="1186"/>
      <c r="R556" s="1186"/>
      <c r="S556" s="1185"/>
      <c r="T556" s="1185"/>
      <c r="U556" s="1185"/>
      <c r="V556" s="1185"/>
      <c r="W556" s="1185"/>
      <c r="X556" s="1185"/>
      <c r="Y556" s="1185"/>
      <c r="Z556" s="1185"/>
      <c r="AA556" s="1185"/>
      <c r="AB556" s="1185"/>
      <c r="AC556" s="1185"/>
      <c r="AD556" s="1185"/>
      <c r="AE556" s="1185"/>
      <c r="AF556" s="1185"/>
      <c r="AG556" s="1185"/>
      <c r="AH556" s="1185"/>
      <c r="AI556" s="1185"/>
    </row>
    <row r="557" spans="1:37">
      <c r="A557" s="1009" t="s">
        <v>421</v>
      </c>
      <c r="B557" s="1219"/>
      <c r="C557" s="1026">
        <v>0</v>
      </c>
      <c r="D557" s="1234">
        <v>227</v>
      </c>
      <c r="E557" s="1009"/>
      <c r="F557" s="1041">
        <f t="shared" ref="F557:F559" si="88">ROUND(D557*$C557,0)</f>
        <v>0</v>
      </c>
      <c r="G557" s="1234">
        <v>259</v>
      </c>
      <c r="H557" s="1009"/>
      <c r="I557" s="1041">
        <f>ROUND(E557*$C557,0)</f>
        <v>0</v>
      </c>
      <c r="J557" s="1234">
        <f>J598</f>
        <v>298</v>
      </c>
      <c r="K557" s="1009"/>
      <c r="L557" s="1041">
        <f>ROUND(J557*$C557,0)</f>
        <v>0</v>
      </c>
      <c r="N557" s="1185"/>
      <c r="O557" s="1185"/>
      <c r="P557" s="1186"/>
      <c r="Q557" s="1186"/>
      <c r="R557" s="1186"/>
      <c r="S557" s="1185"/>
      <c r="T557" s="1185"/>
      <c r="U557" s="1185"/>
      <c r="V557" s="1185"/>
      <c r="W557" s="1185"/>
      <c r="X557" s="1185"/>
      <c r="Y557" s="1185"/>
      <c r="Z557" s="1185"/>
      <c r="AA557" s="1185"/>
      <c r="AB557" s="1185"/>
      <c r="AC557" s="1185"/>
      <c r="AD557" s="1185"/>
      <c r="AE557" s="1185"/>
      <c r="AF557" s="1185"/>
      <c r="AG557" s="1185"/>
      <c r="AH557" s="1185"/>
      <c r="AI557" s="1185"/>
    </row>
    <row r="558" spans="1:37">
      <c r="A558" s="1009" t="s">
        <v>422</v>
      </c>
      <c r="B558" s="1219"/>
      <c r="C558" s="1026">
        <v>0</v>
      </c>
      <c r="D558" s="1234">
        <v>84</v>
      </c>
      <c r="E558" s="1009"/>
      <c r="F558" s="1041">
        <f t="shared" si="88"/>
        <v>0</v>
      </c>
      <c r="G558" s="1234">
        <v>96</v>
      </c>
      <c r="H558" s="1009"/>
      <c r="I558" s="1041">
        <f>ROUND(E558*$C558,0)</f>
        <v>0</v>
      </c>
      <c r="J558" s="1234">
        <f t="shared" ref="J558:J564" si="89">J599</f>
        <v>109</v>
      </c>
      <c r="K558" s="1009"/>
      <c r="L558" s="1041">
        <f>ROUND(J558*$C558,0)</f>
        <v>0</v>
      </c>
      <c r="N558" s="1185"/>
      <c r="O558" s="1185"/>
      <c r="P558" s="1186"/>
      <c r="Q558" s="1186"/>
      <c r="R558" s="1186"/>
      <c r="S558" s="1185"/>
      <c r="T558" s="1185"/>
      <c r="U558" s="1185"/>
      <c r="V558" s="1185"/>
      <c r="W558" s="1185"/>
      <c r="X558" s="1185"/>
      <c r="Y558" s="1185"/>
      <c r="Z558" s="1185"/>
      <c r="AA558" s="1185"/>
      <c r="AB558" s="1185"/>
      <c r="AC558" s="1185"/>
      <c r="AD558" s="1185"/>
      <c r="AE558" s="1185"/>
      <c r="AF558" s="1185"/>
      <c r="AG558" s="1185"/>
      <c r="AH558" s="1185"/>
      <c r="AI558" s="1185"/>
    </row>
    <row r="559" spans="1:37">
      <c r="A559" s="1009" t="s">
        <v>423</v>
      </c>
      <c r="B559" s="1219"/>
      <c r="C559" s="1026">
        <v>0</v>
      </c>
      <c r="D559" s="1234">
        <v>168</v>
      </c>
      <c r="E559" s="1250"/>
      <c r="F559" s="1041">
        <f t="shared" si="88"/>
        <v>0</v>
      </c>
      <c r="G559" s="1234">
        <v>192</v>
      </c>
      <c r="H559" s="1250"/>
      <c r="I559" s="1041">
        <f>ROUND(E559*$C559,0)</f>
        <v>0</v>
      </c>
      <c r="J559" s="1234">
        <f t="shared" si="89"/>
        <v>219</v>
      </c>
      <c r="K559" s="1250"/>
      <c r="L559" s="1041">
        <f>ROUND(J559*$C559,0)</f>
        <v>0</v>
      </c>
      <c r="N559" s="1185"/>
      <c r="O559" s="1185"/>
      <c r="P559" s="1186"/>
      <c r="Q559" s="1186"/>
      <c r="R559" s="1186"/>
      <c r="S559" s="1185"/>
      <c r="T559" s="1185"/>
      <c r="U559" s="1185"/>
      <c r="V559" s="1185"/>
      <c r="W559" s="1185"/>
      <c r="X559" s="1185"/>
      <c r="Y559" s="1185"/>
      <c r="Z559" s="1185"/>
      <c r="AA559" s="1185"/>
      <c r="AB559" s="1185"/>
      <c r="AC559" s="1185"/>
      <c r="AD559" s="1185"/>
      <c r="AE559" s="1185"/>
      <c r="AF559" s="1185"/>
      <c r="AG559" s="1185"/>
      <c r="AH559" s="1185"/>
      <c r="AI559" s="1185"/>
    </row>
    <row r="560" spans="1:37">
      <c r="A560" s="1009" t="s">
        <v>394</v>
      </c>
      <c r="B560" s="1219"/>
      <c r="C560" s="1026">
        <f>SUM(C557:C559)</f>
        <v>0</v>
      </c>
      <c r="D560" s="1234"/>
      <c r="E560" s="1009"/>
      <c r="F560" s="1041"/>
      <c r="G560" s="1234"/>
      <c r="H560" s="1009"/>
      <c r="I560" s="1041"/>
      <c r="J560" s="1234"/>
      <c r="K560" s="1009"/>
      <c r="L560" s="1041"/>
      <c r="N560" s="1185"/>
      <c r="O560" s="1185"/>
      <c r="P560" s="1186"/>
      <c r="Q560" s="1186"/>
      <c r="R560" s="1186"/>
      <c r="S560" s="1185"/>
      <c r="T560" s="1185"/>
      <c r="U560" s="1185"/>
      <c r="V560" s="1185"/>
      <c r="W560" s="1185"/>
      <c r="X560" s="1185"/>
      <c r="Y560" s="1185"/>
      <c r="Z560" s="1185"/>
      <c r="AA560" s="1185"/>
      <c r="AB560" s="1185"/>
      <c r="AC560" s="1185"/>
      <c r="AD560" s="1185"/>
      <c r="AE560" s="1185"/>
      <c r="AF560" s="1185"/>
      <c r="AG560" s="1185"/>
      <c r="AH560" s="1185"/>
      <c r="AI560" s="1185"/>
    </row>
    <row r="561" spans="1:37">
      <c r="A561" s="1009" t="s">
        <v>422</v>
      </c>
      <c r="B561" s="1219"/>
      <c r="C561" s="1026">
        <v>0</v>
      </c>
      <c r="D561" s="1234">
        <v>1.48</v>
      </c>
      <c r="E561" s="1009" t="s">
        <v>31</v>
      </c>
      <c r="F561" s="1041">
        <f>ROUND(D561*$C561,0)</f>
        <v>0</v>
      </c>
      <c r="G561" s="1234">
        <v>1.7</v>
      </c>
      <c r="H561" s="1009" t="s">
        <v>31</v>
      </c>
      <c r="I561" s="1041">
        <f>ROUND(E561*$C561,0)</f>
        <v>0</v>
      </c>
      <c r="J561" s="1234">
        <f t="shared" si="89"/>
        <v>1.94</v>
      </c>
      <c r="K561" s="1009" t="s">
        <v>31</v>
      </c>
      <c r="L561" s="1041">
        <f>ROUND(J561*$C561,0)</f>
        <v>0</v>
      </c>
      <c r="N561" s="1185"/>
      <c r="O561" s="1185"/>
      <c r="P561" s="1186"/>
      <c r="Q561" s="1186"/>
      <c r="R561" s="1186"/>
      <c r="S561" s="1185"/>
      <c r="T561" s="1185"/>
      <c r="U561" s="1185"/>
      <c r="V561" s="1185"/>
      <c r="W561" s="1185"/>
      <c r="X561" s="1185"/>
      <c r="Y561" s="1185"/>
      <c r="Z561" s="1185"/>
      <c r="AA561" s="1185"/>
      <c r="AB561" s="1185"/>
      <c r="AC561" s="1185"/>
      <c r="AD561" s="1185"/>
      <c r="AE561" s="1185"/>
      <c r="AF561" s="1185"/>
      <c r="AG561" s="1185"/>
      <c r="AH561" s="1185"/>
      <c r="AI561" s="1185"/>
    </row>
    <row r="562" spans="1:37">
      <c r="A562" s="1009" t="s">
        <v>423</v>
      </c>
      <c r="B562" s="1219"/>
      <c r="C562" s="1026">
        <v>0</v>
      </c>
      <c r="D562" s="1234">
        <v>1.22</v>
      </c>
      <c r="E562" s="1009" t="s">
        <v>31</v>
      </c>
      <c r="F562" s="1041">
        <f>ROUND(D562*$C562,0)</f>
        <v>0</v>
      </c>
      <c r="G562" s="1234">
        <v>1.39</v>
      </c>
      <c r="H562" s="1009" t="s">
        <v>31</v>
      </c>
      <c r="I562" s="1041">
        <f>ROUND(E562*$C562,0)</f>
        <v>0</v>
      </c>
      <c r="J562" s="1234">
        <f t="shared" si="89"/>
        <v>1.59</v>
      </c>
      <c r="K562" s="1009" t="s">
        <v>31</v>
      </c>
      <c r="L562" s="1041">
        <f>ROUND(J562*$C562,0)</f>
        <v>0</v>
      </c>
      <c r="N562" s="1185"/>
      <c r="O562" s="1185"/>
      <c r="P562" s="1186"/>
      <c r="Q562" s="1186"/>
      <c r="R562" s="1186"/>
      <c r="S562" s="1185"/>
      <c r="T562" s="1185"/>
      <c r="U562" s="1185"/>
      <c r="V562" s="1185"/>
      <c r="W562" s="1185"/>
      <c r="X562" s="1185"/>
      <c r="Y562" s="1185"/>
      <c r="Z562" s="1185"/>
      <c r="AA562" s="1185"/>
      <c r="AB562" s="1185"/>
      <c r="AC562" s="1185"/>
      <c r="AD562" s="1185"/>
      <c r="AE562" s="1185"/>
      <c r="AF562" s="1185"/>
      <c r="AG562" s="1185"/>
      <c r="AH562" s="1185"/>
      <c r="AI562" s="1185"/>
    </row>
    <row r="563" spans="1:37">
      <c r="A563" s="1218" t="s">
        <v>424</v>
      </c>
      <c r="B563" s="1219"/>
      <c r="C563" s="1026"/>
      <c r="D563" s="1234"/>
      <c r="E563" s="1009"/>
      <c r="F563" s="1041"/>
      <c r="G563" s="1234"/>
      <c r="H563" s="1009"/>
      <c r="I563" s="1041"/>
      <c r="J563" s="1234"/>
      <c r="K563" s="1009"/>
      <c r="L563" s="1041"/>
      <c r="N563" s="1185"/>
      <c r="O563" s="1185"/>
      <c r="P563" s="1186"/>
      <c r="Q563" s="1186"/>
      <c r="R563" s="1186"/>
      <c r="S563" s="1185"/>
      <c r="T563" s="1185"/>
      <c r="U563" s="1185"/>
      <c r="V563" s="1185"/>
      <c r="W563" s="1185"/>
      <c r="X563" s="1185"/>
      <c r="Y563" s="1185"/>
      <c r="Z563" s="1185"/>
      <c r="AA563" s="1185"/>
      <c r="AB563" s="1185"/>
      <c r="AC563" s="1185"/>
      <c r="AD563" s="1185"/>
      <c r="AE563" s="1185"/>
      <c r="AF563" s="1185"/>
      <c r="AG563" s="1185"/>
      <c r="AH563" s="1185"/>
      <c r="AI563" s="1185"/>
    </row>
    <row r="564" spans="1:37">
      <c r="A564" s="1218" t="s">
        <v>425</v>
      </c>
      <c r="B564" s="1219"/>
      <c r="C564" s="1026">
        <v>0</v>
      </c>
      <c r="D564" s="1234">
        <v>3.88</v>
      </c>
      <c r="E564" s="1009"/>
      <c r="F564" s="1041">
        <f>ROUND(D564*$C564,0)</f>
        <v>0</v>
      </c>
      <c r="G564" s="1234">
        <v>4.4400000000000004</v>
      </c>
      <c r="H564" s="1009"/>
      <c r="I564" s="1041">
        <f>ROUND(E564*$C564,0)</f>
        <v>0</v>
      </c>
      <c r="J564" s="1234">
        <f t="shared" si="89"/>
        <v>5.2299999999999995</v>
      </c>
      <c r="K564" s="1009"/>
      <c r="L564" s="1041">
        <f>ROUND(J564*$C564,0)</f>
        <v>0</v>
      </c>
      <c r="N564" s="1185"/>
      <c r="O564" s="1185"/>
      <c r="P564" s="1186"/>
      <c r="Q564" s="1186"/>
      <c r="R564" s="1186"/>
      <c r="S564" s="1185"/>
      <c r="T564" s="1185"/>
      <c r="U564" s="1185"/>
      <c r="V564" s="1185"/>
      <c r="W564" s="1185"/>
      <c r="X564" s="1185"/>
      <c r="Y564" s="1185"/>
      <c r="Z564" s="1185"/>
      <c r="AA564" s="1185"/>
      <c r="AB564" s="1185"/>
      <c r="AC564" s="1185"/>
      <c r="AD564" s="1185"/>
      <c r="AE564" s="1185"/>
      <c r="AF564" s="1185"/>
      <c r="AG564" s="1185"/>
      <c r="AH564" s="1185"/>
      <c r="AI564" s="1185"/>
    </row>
    <row r="565" spans="1:37">
      <c r="A565" s="1009" t="s">
        <v>426</v>
      </c>
      <c r="B565" s="1219"/>
      <c r="C565" s="1026"/>
      <c r="D565" s="1279"/>
      <c r="E565" s="1041"/>
      <c r="F565" s="1041"/>
      <c r="G565" s="1279"/>
      <c r="H565" s="1041"/>
      <c r="I565" s="1041"/>
      <c r="J565" s="1279"/>
      <c r="K565" s="1041"/>
      <c r="L565" s="1041"/>
      <c r="N565" s="1185"/>
      <c r="O565" s="1185"/>
      <c r="P565" s="1186"/>
      <c r="Q565" s="1186"/>
      <c r="R565" s="1186"/>
      <c r="S565" s="1185"/>
      <c r="T565" s="1185"/>
      <c r="U565" s="1185"/>
      <c r="V565" s="1185"/>
      <c r="W565" s="1185"/>
      <c r="X565" s="1185"/>
      <c r="Y565" s="1185"/>
      <c r="Z565" s="1185"/>
      <c r="AA565" s="1185"/>
      <c r="AB565" s="1185"/>
      <c r="AC565" s="1185"/>
      <c r="AD565" s="1185"/>
      <c r="AE565" s="1185"/>
      <c r="AF565" s="1185"/>
      <c r="AG565" s="1185"/>
      <c r="AH565" s="1185"/>
      <c r="AI565" s="1185"/>
    </row>
    <row r="566" spans="1:37">
      <c r="A566" s="1009" t="s">
        <v>427</v>
      </c>
      <c r="B566" s="1219"/>
      <c r="C566" s="1026">
        <v>0</v>
      </c>
      <c r="D566" s="1070">
        <v>4.6340000000000003</v>
      </c>
      <c r="E566" s="1041" t="s">
        <v>374</v>
      </c>
      <c r="F566" s="1041">
        <f>ROUND($C566*D566/100,0)</f>
        <v>0</v>
      </c>
      <c r="G566" s="1070">
        <v>5.2939999999999996</v>
      </c>
      <c r="H566" s="1041" t="s">
        <v>374</v>
      </c>
      <c r="I566" s="1041">
        <f>ROUND($C566*E566/100,0)</f>
        <v>0</v>
      </c>
      <c r="J566" s="1070">
        <f>J608</f>
        <v>2.5059999999999998</v>
      </c>
      <c r="K566" s="1041" t="s">
        <v>374</v>
      </c>
      <c r="L566" s="1041">
        <f>ROUND($C566*J566/100,0)</f>
        <v>0</v>
      </c>
      <c r="N566" s="1185"/>
      <c r="O566" s="1185"/>
      <c r="P566" s="1186"/>
      <c r="Q566" s="1186"/>
      <c r="R566" s="1186"/>
      <c r="S566" s="1185"/>
      <c r="T566" s="1185"/>
      <c r="U566" s="1185"/>
      <c r="V566" s="1185"/>
      <c r="W566" s="1185"/>
      <c r="X566" s="1185"/>
      <c r="Y566" s="1185"/>
      <c r="Z566" s="1185"/>
      <c r="AA566" s="1185"/>
      <c r="AB566" s="1185"/>
      <c r="AC566" s="1185"/>
      <c r="AD566" s="1185"/>
      <c r="AE566" s="1185"/>
      <c r="AF566" s="1185"/>
      <c r="AG566" s="1185"/>
      <c r="AH566" s="1185"/>
      <c r="AI566" s="1185"/>
    </row>
    <row r="567" spans="1:37">
      <c r="A567" s="1009" t="s">
        <v>399</v>
      </c>
      <c r="B567" s="1219"/>
      <c r="C567" s="1026">
        <v>0</v>
      </c>
      <c r="D567" s="1070">
        <v>4.2469999999999999</v>
      </c>
      <c r="E567" s="1041" t="s">
        <v>374</v>
      </c>
      <c r="F567" s="1041">
        <f>ROUND($C567*D567/100,0)</f>
        <v>0</v>
      </c>
      <c r="G567" s="1070">
        <v>4.8520000000000003</v>
      </c>
      <c r="H567" s="1041" t="s">
        <v>374</v>
      </c>
      <c r="I567" s="1041">
        <f>ROUND($C567*E567/100,0)</f>
        <v>0</v>
      </c>
      <c r="J567" s="1070">
        <f>J609</f>
        <v>2.2970000000000002</v>
      </c>
      <c r="K567" s="1041" t="s">
        <v>374</v>
      </c>
      <c r="L567" s="1041">
        <f>ROUND($C567*J567/100,0)</f>
        <v>0</v>
      </c>
      <c r="N567" s="1185"/>
      <c r="O567" s="1185"/>
      <c r="P567" s="1186"/>
      <c r="Q567" s="1186"/>
      <c r="R567" s="1186"/>
      <c r="S567" s="1185"/>
      <c r="T567" s="1185"/>
      <c r="U567" s="1185"/>
      <c r="V567" s="1185"/>
      <c r="W567" s="1185"/>
      <c r="X567" s="1185"/>
      <c r="Y567" s="1185"/>
      <c r="Z567" s="1185"/>
      <c r="AA567" s="1185"/>
      <c r="AB567" s="1185"/>
      <c r="AC567" s="1185"/>
      <c r="AD567" s="1185"/>
      <c r="AE567" s="1185"/>
      <c r="AF567" s="1185"/>
      <c r="AG567" s="1185"/>
      <c r="AH567" s="1185"/>
      <c r="AI567" s="1185"/>
    </row>
    <row r="568" spans="1:37">
      <c r="A568" s="1009" t="s">
        <v>400</v>
      </c>
      <c r="B568" s="1219"/>
      <c r="C568" s="1026">
        <v>0</v>
      </c>
      <c r="D568" s="1280">
        <v>0</v>
      </c>
      <c r="E568" s="1041" t="s">
        <v>374</v>
      </c>
      <c r="F568" s="1041">
        <f>ROUND(D568*$C568/100,0)</f>
        <v>0</v>
      </c>
      <c r="G568" s="1280">
        <v>56</v>
      </c>
      <c r="H568" s="1041" t="s">
        <v>374</v>
      </c>
      <c r="I568" s="1041">
        <f>ROUND(E568*$C568/100,0)</f>
        <v>0</v>
      </c>
      <c r="J568" s="1280">
        <f>J610</f>
        <v>64</v>
      </c>
      <c r="K568" s="1041" t="s">
        <v>374</v>
      </c>
      <c r="L568" s="1041">
        <f>ROUND(J568*$C568,0)</f>
        <v>0</v>
      </c>
      <c r="N568" s="1185"/>
      <c r="O568" s="1185"/>
      <c r="P568" s="1186"/>
      <c r="Q568" s="1186"/>
      <c r="R568" s="1186"/>
      <c r="S568" s="1185"/>
      <c r="T568" s="1185"/>
      <c r="U568" s="1185"/>
      <c r="V568" s="1185"/>
      <c r="W568" s="1185"/>
      <c r="X568" s="1185"/>
      <c r="Y568" s="1185"/>
      <c r="Z568" s="1185"/>
      <c r="AA568" s="1185"/>
      <c r="AB568" s="1185"/>
      <c r="AC568" s="1185"/>
      <c r="AD568" s="1185"/>
      <c r="AE568" s="1185"/>
      <c r="AF568" s="1185"/>
      <c r="AG568" s="1185"/>
      <c r="AH568" s="1185"/>
      <c r="AI568" s="1185"/>
    </row>
    <row r="569" spans="1:37">
      <c r="A569" s="1009" t="s">
        <v>428</v>
      </c>
      <c r="B569" s="1219"/>
      <c r="C569" s="1026">
        <v>0</v>
      </c>
      <c r="D569" s="1281">
        <v>0.06</v>
      </c>
      <c r="E569" s="1041"/>
      <c r="F569" s="1041">
        <f>ROUND($C569*D569/100,0)</f>
        <v>0</v>
      </c>
      <c r="G569" s="1281">
        <v>0.06</v>
      </c>
      <c r="H569" s="1041"/>
      <c r="I569" s="1041">
        <f>ROUND($C569*E569/100,0)</f>
        <v>0</v>
      </c>
      <c r="J569" s="1281">
        <f>'[94]Blocking - detail'!I455</f>
        <v>0.06</v>
      </c>
      <c r="K569" s="1041" t="s">
        <v>374</v>
      </c>
      <c r="L569" s="1041">
        <f>ROUND($C569*J569/100,0)</f>
        <v>0</v>
      </c>
      <c r="N569" s="1185"/>
      <c r="O569" s="1185"/>
      <c r="P569" s="1186"/>
      <c r="Q569" s="1186"/>
      <c r="R569" s="1186"/>
      <c r="S569" s="1185"/>
      <c r="T569" s="1185"/>
      <c r="U569" s="1185"/>
      <c r="V569" s="1185"/>
      <c r="W569" s="1185"/>
      <c r="X569" s="1185"/>
      <c r="Y569" s="1185"/>
      <c r="Z569" s="1185"/>
      <c r="AA569" s="1185"/>
      <c r="AB569" s="1185"/>
      <c r="AC569" s="1185"/>
      <c r="AD569" s="1185"/>
      <c r="AE569" s="1185"/>
      <c r="AF569" s="1185"/>
      <c r="AG569" s="1185"/>
      <c r="AH569" s="1185"/>
      <c r="AI569" s="1185"/>
    </row>
    <row r="570" spans="1:37">
      <c r="A570" s="1005" t="s">
        <v>924</v>
      </c>
      <c r="C570" s="1202">
        <f>C566+C567</f>
        <v>0</v>
      </c>
      <c r="D570" s="269"/>
      <c r="E570" s="1185"/>
      <c r="F570" s="1203"/>
      <c r="G570" s="269"/>
      <c r="H570" s="1185"/>
      <c r="I570" s="1203"/>
      <c r="J570" s="1230">
        <f>J588</f>
        <v>3.4790000000000001</v>
      </c>
      <c r="K570" s="1041" t="s">
        <v>374</v>
      </c>
      <c r="L570" s="1041">
        <f t="shared" ref="L570:L571" si="90">ROUND($C570*J570/100,0)</f>
        <v>0</v>
      </c>
      <c r="N570" s="1204"/>
      <c r="P570" s="815"/>
      <c r="Q570" s="1184"/>
      <c r="R570" s="1184"/>
      <c r="S570" s="1205"/>
      <c r="T570" s="1205"/>
      <c r="Y570" s="1185"/>
      <c r="Z570" s="1185"/>
      <c r="AA570" s="1185"/>
      <c r="AB570" s="1185"/>
      <c r="AC570" s="1185"/>
      <c r="AD570" s="1185"/>
      <c r="AE570" s="1185"/>
      <c r="AF570" s="1185"/>
      <c r="AG570" s="1185"/>
      <c r="AH570" s="1185"/>
      <c r="AI570" s="1185"/>
      <c r="AK570" s="1204"/>
    </row>
    <row r="571" spans="1:37">
      <c r="A571" s="1005" t="s">
        <v>925</v>
      </c>
      <c r="C571" s="1202">
        <f>C567+C568</f>
        <v>0</v>
      </c>
      <c r="D571" s="269"/>
      <c r="E571" s="1185"/>
      <c r="F571" s="1203"/>
      <c r="G571" s="269"/>
      <c r="H571" s="1185"/>
      <c r="I571" s="1203"/>
      <c r="J571" s="1230">
        <f>J589</f>
        <v>3.19</v>
      </c>
      <c r="K571" s="1185"/>
      <c r="L571" s="1041">
        <f t="shared" si="90"/>
        <v>0</v>
      </c>
      <c r="N571" s="1204"/>
      <c r="P571" s="815"/>
      <c r="Q571" s="1184"/>
      <c r="R571" s="1184"/>
      <c r="S571" s="1205"/>
      <c r="T571" s="1205"/>
      <c r="Y571" s="1185"/>
      <c r="Z571" s="1185"/>
      <c r="AA571" s="1185"/>
      <c r="AB571" s="1185"/>
      <c r="AC571" s="1185"/>
      <c r="AD571" s="1185"/>
      <c r="AE571" s="1185"/>
      <c r="AF571" s="1185"/>
      <c r="AG571" s="1185"/>
      <c r="AH571" s="1185"/>
      <c r="AI571" s="1185"/>
      <c r="AK571" s="1204"/>
    </row>
    <row r="572" spans="1:37">
      <c r="A572" s="1283" t="s">
        <v>401</v>
      </c>
      <c r="B572" s="1219" t="s">
        <v>31</v>
      </c>
      <c r="C572" s="1026"/>
      <c r="D572" s="1257">
        <v>-0.01</v>
      </c>
      <c r="E572" s="1284"/>
      <c r="F572" s="1284"/>
      <c r="G572" s="1257">
        <v>-0.01</v>
      </c>
      <c r="H572" s="1284"/>
      <c r="I572" s="1284"/>
      <c r="J572" s="1257">
        <v>-0.01</v>
      </c>
      <c r="K572" s="1284"/>
      <c r="L572" s="1203"/>
      <c r="N572" s="1185"/>
      <c r="O572" s="1185"/>
      <c r="P572" s="1186"/>
      <c r="Q572" s="1186"/>
      <c r="R572" s="1186"/>
      <c r="S572" s="1185"/>
      <c r="T572" s="1185"/>
      <c r="U572" s="1185"/>
      <c r="V572" s="1185"/>
      <c r="W572" s="1185"/>
      <c r="X572" s="1185"/>
      <c r="Y572" s="1185"/>
      <c r="Z572" s="1185"/>
      <c r="AA572" s="1185"/>
      <c r="AB572" s="1185"/>
      <c r="AC572" s="1185"/>
      <c r="AD572" s="1185"/>
      <c r="AE572" s="1185"/>
      <c r="AF572" s="1185"/>
      <c r="AG572" s="1185"/>
      <c r="AH572" s="1185"/>
      <c r="AI572" s="1185"/>
    </row>
    <row r="573" spans="1:37">
      <c r="A573" s="1009" t="s">
        <v>421</v>
      </c>
      <c r="B573" s="1219"/>
      <c r="C573" s="1026">
        <v>0</v>
      </c>
      <c r="D573" s="1234">
        <v>227</v>
      </c>
      <c r="E573" s="1009"/>
      <c r="F573" s="1041">
        <f t="shared" ref="F573:F578" si="91">ROUND(D573*$C573*$D$572,0)</f>
        <v>0</v>
      </c>
      <c r="G573" s="1234">
        <v>259</v>
      </c>
      <c r="H573" s="1009"/>
      <c r="I573" s="1041">
        <f t="shared" ref="I573:I578" si="92">ROUND(E573*$C573*$D$572,0)</f>
        <v>0</v>
      </c>
      <c r="J573" s="1234">
        <f>J557</f>
        <v>298</v>
      </c>
      <c r="K573" s="1009"/>
      <c r="L573" s="1041">
        <f t="shared" ref="L573:L578" si="93">ROUND(J573*$C573*$D$572,0)</f>
        <v>0</v>
      </c>
      <c r="N573" s="1185"/>
      <c r="O573" s="1185"/>
      <c r="P573" s="1186"/>
      <c r="Q573" s="1186"/>
      <c r="R573" s="1186"/>
      <c r="S573" s="1185"/>
      <c r="T573" s="1185"/>
      <c r="U573" s="1185"/>
      <c r="V573" s="1185"/>
      <c r="W573" s="1185"/>
      <c r="X573" s="1185"/>
      <c r="Y573" s="1185"/>
      <c r="Z573" s="1185"/>
      <c r="AA573" s="1185"/>
      <c r="AB573" s="1185"/>
      <c r="AC573" s="1185"/>
      <c r="AD573" s="1185"/>
      <c r="AE573" s="1185"/>
      <c r="AF573" s="1185"/>
      <c r="AG573" s="1185"/>
      <c r="AH573" s="1185"/>
      <c r="AI573" s="1185"/>
    </row>
    <row r="574" spans="1:37">
      <c r="A574" s="1009" t="s">
        <v>422</v>
      </c>
      <c r="B574" s="1219"/>
      <c r="C574" s="1026">
        <v>0</v>
      </c>
      <c r="D574" s="1234">
        <v>84</v>
      </c>
      <c r="E574" s="1009"/>
      <c r="F574" s="1041">
        <f t="shared" si="91"/>
        <v>0</v>
      </c>
      <c r="G574" s="1234">
        <v>96</v>
      </c>
      <c r="H574" s="1009"/>
      <c r="I574" s="1041">
        <f t="shared" si="92"/>
        <v>0</v>
      </c>
      <c r="J574" s="1234">
        <f>J558</f>
        <v>109</v>
      </c>
      <c r="K574" s="1009"/>
      <c r="L574" s="1041">
        <f t="shared" si="93"/>
        <v>0</v>
      </c>
      <c r="N574" s="1185"/>
      <c r="O574" s="1185"/>
      <c r="P574" s="1186"/>
      <c r="Q574" s="1186"/>
      <c r="R574" s="1186"/>
      <c r="S574" s="1185"/>
      <c r="T574" s="1185"/>
      <c r="U574" s="1185"/>
      <c r="V574" s="1185"/>
      <c r="W574" s="1185"/>
      <c r="X574" s="1185"/>
      <c r="Y574" s="1185"/>
      <c r="Z574" s="1185"/>
      <c r="AA574" s="1185"/>
      <c r="AB574" s="1185"/>
      <c r="AC574" s="1185"/>
      <c r="AD574" s="1185"/>
      <c r="AE574" s="1185"/>
      <c r="AF574" s="1185"/>
      <c r="AG574" s="1185"/>
      <c r="AH574" s="1185"/>
      <c r="AI574" s="1185"/>
    </row>
    <row r="575" spans="1:37">
      <c r="A575" s="1009" t="s">
        <v>423</v>
      </c>
      <c r="B575" s="1219"/>
      <c r="C575" s="1026">
        <v>0</v>
      </c>
      <c r="D575" s="1234">
        <v>168</v>
      </c>
      <c r="E575" s="1250"/>
      <c r="F575" s="1041">
        <f t="shared" si="91"/>
        <v>0</v>
      </c>
      <c r="G575" s="1234">
        <v>192</v>
      </c>
      <c r="H575" s="1250"/>
      <c r="I575" s="1041">
        <f t="shared" si="92"/>
        <v>0</v>
      </c>
      <c r="J575" s="1234">
        <f>J559</f>
        <v>219</v>
      </c>
      <c r="K575" s="1250"/>
      <c r="L575" s="1041">
        <f t="shared" si="93"/>
        <v>0</v>
      </c>
      <c r="N575" s="1185"/>
      <c r="O575" s="1185"/>
      <c r="P575" s="1186"/>
      <c r="Q575" s="1186"/>
      <c r="R575" s="1186"/>
      <c r="S575" s="1185"/>
      <c r="T575" s="1185"/>
      <c r="U575" s="1185"/>
      <c r="V575" s="1185"/>
      <c r="W575" s="1185"/>
      <c r="X575" s="1185"/>
      <c r="Y575" s="1185"/>
      <c r="Z575" s="1185"/>
      <c r="AA575" s="1185"/>
      <c r="AB575" s="1185"/>
      <c r="AC575" s="1185"/>
      <c r="AD575" s="1185"/>
      <c r="AE575" s="1185"/>
      <c r="AF575" s="1185"/>
      <c r="AG575" s="1185"/>
      <c r="AH575" s="1185"/>
      <c r="AI575" s="1185"/>
    </row>
    <row r="576" spans="1:37">
      <c r="A576" s="1009" t="s">
        <v>422</v>
      </c>
      <c r="B576" s="1219"/>
      <c r="C576" s="1026">
        <v>0</v>
      </c>
      <c r="D576" s="1234">
        <v>1.48</v>
      </c>
      <c r="E576" s="1009" t="s">
        <v>31</v>
      </c>
      <c r="F576" s="1041">
        <f t="shared" si="91"/>
        <v>0</v>
      </c>
      <c r="G576" s="1234">
        <v>1.7</v>
      </c>
      <c r="H576" s="1009" t="s">
        <v>31</v>
      </c>
      <c r="I576" s="1041">
        <f t="shared" si="92"/>
        <v>0</v>
      </c>
      <c r="J576" s="1234">
        <f>J561</f>
        <v>1.94</v>
      </c>
      <c r="K576" s="1009" t="s">
        <v>31</v>
      </c>
      <c r="L576" s="1041">
        <f t="shared" si="93"/>
        <v>0</v>
      </c>
      <c r="N576" s="1185"/>
      <c r="O576" s="1185"/>
      <c r="P576" s="1186"/>
      <c r="Q576" s="1186"/>
      <c r="R576" s="1186"/>
      <c r="S576" s="1185"/>
      <c r="T576" s="1185"/>
      <c r="U576" s="1185"/>
      <c r="V576" s="1185"/>
      <c r="W576" s="1185"/>
      <c r="X576" s="1185"/>
      <c r="Y576" s="1185"/>
      <c r="Z576" s="1185"/>
      <c r="AA576" s="1185"/>
      <c r="AB576" s="1185"/>
      <c r="AC576" s="1185"/>
      <c r="AD576" s="1185"/>
      <c r="AE576" s="1185"/>
      <c r="AF576" s="1185"/>
      <c r="AG576" s="1185"/>
      <c r="AH576" s="1185"/>
      <c r="AI576" s="1185"/>
    </row>
    <row r="577" spans="1:37">
      <c r="A577" s="1009" t="s">
        <v>423</v>
      </c>
      <c r="B577" s="1219"/>
      <c r="C577" s="1026">
        <v>0</v>
      </c>
      <c r="D577" s="1234">
        <v>1.22</v>
      </c>
      <c r="E577" s="1009" t="s">
        <v>31</v>
      </c>
      <c r="F577" s="1041">
        <f t="shared" si="91"/>
        <v>0</v>
      </c>
      <c r="G577" s="1234">
        <v>1.39</v>
      </c>
      <c r="H577" s="1009" t="s">
        <v>31</v>
      </c>
      <c r="I577" s="1041">
        <f t="shared" si="92"/>
        <v>0</v>
      </c>
      <c r="J577" s="1234">
        <f>J562</f>
        <v>1.59</v>
      </c>
      <c r="K577" s="1009" t="s">
        <v>31</v>
      </c>
      <c r="L577" s="1041">
        <f t="shared" si="93"/>
        <v>0</v>
      </c>
      <c r="N577" s="1185"/>
      <c r="O577" s="1185"/>
      <c r="P577" s="1186"/>
      <c r="Q577" s="1186"/>
      <c r="R577" s="1186"/>
      <c r="S577" s="1185"/>
      <c r="T577" s="1185"/>
      <c r="U577" s="1185"/>
      <c r="V577" s="1185"/>
      <c r="W577" s="1185"/>
      <c r="X577" s="1185"/>
      <c r="Y577" s="1185"/>
      <c r="Z577" s="1185"/>
      <c r="AA577" s="1185"/>
      <c r="AB577" s="1185"/>
      <c r="AC577" s="1185"/>
      <c r="AD577" s="1185"/>
      <c r="AE577" s="1185"/>
      <c r="AF577" s="1185"/>
      <c r="AG577" s="1185"/>
      <c r="AH577" s="1185"/>
      <c r="AI577" s="1185"/>
    </row>
    <row r="578" spans="1:37">
      <c r="A578" s="1218" t="s">
        <v>425</v>
      </c>
      <c r="B578" s="1219"/>
      <c r="C578" s="1026">
        <v>0</v>
      </c>
      <c r="D578" s="1234">
        <v>3.88</v>
      </c>
      <c r="E578" s="1009"/>
      <c r="F578" s="1041">
        <f t="shared" si="91"/>
        <v>0</v>
      </c>
      <c r="G578" s="1234">
        <v>4.4400000000000004</v>
      </c>
      <c r="H578" s="1009"/>
      <c r="I578" s="1041">
        <f t="shared" si="92"/>
        <v>0</v>
      </c>
      <c r="J578" s="1234">
        <f>J564</f>
        <v>5.2299999999999995</v>
      </c>
      <c r="K578" s="1009"/>
      <c r="L578" s="1041">
        <f t="shared" si="93"/>
        <v>0</v>
      </c>
      <c r="N578" s="1185"/>
      <c r="O578" s="1185"/>
      <c r="P578" s="1186"/>
      <c r="Q578" s="1186"/>
      <c r="R578" s="1186"/>
      <c r="S578" s="1185"/>
      <c r="T578" s="1185"/>
      <c r="U578" s="1185"/>
      <c r="V578" s="1185"/>
      <c r="W578" s="1185"/>
      <c r="X578" s="1185"/>
      <c r="Y578" s="1185"/>
      <c r="Z578" s="1185"/>
      <c r="AA578" s="1185"/>
      <c r="AB578" s="1185"/>
      <c r="AC578" s="1185"/>
      <c r="AD578" s="1185"/>
      <c r="AE578" s="1185"/>
      <c r="AF578" s="1185"/>
      <c r="AG578" s="1185"/>
      <c r="AH578" s="1185"/>
      <c r="AI578" s="1185"/>
    </row>
    <row r="579" spans="1:37">
      <c r="A579" s="1009" t="s">
        <v>427</v>
      </c>
      <c r="B579" s="1219"/>
      <c r="C579" s="1026">
        <v>0</v>
      </c>
      <c r="D579" s="1070">
        <v>4.6340000000000003</v>
      </c>
      <c r="E579" s="1041" t="s">
        <v>374</v>
      </c>
      <c r="F579" s="1041">
        <f>ROUND(D579/100*$C579*D572,0)</f>
        <v>0</v>
      </c>
      <c r="G579" s="1259">
        <v>0</v>
      </c>
      <c r="H579" s="1041" t="s">
        <v>374</v>
      </c>
      <c r="I579" s="1041">
        <f>ROUND(E579/100*$C579*E572,0)</f>
        <v>0</v>
      </c>
      <c r="J579" s="1234">
        <f>J565</f>
        <v>0</v>
      </c>
      <c r="K579" s="1041" t="s">
        <v>374</v>
      </c>
      <c r="L579" s="1041">
        <f>ROUND(J579/100*$C579*D572,0)</f>
        <v>0</v>
      </c>
      <c r="N579" s="1185"/>
      <c r="O579" s="1185"/>
      <c r="P579" s="1186"/>
      <c r="Q579" s="1186"/>
      <c r="R579" s="1186"/>
      <c r="S579" s="1185"/>
      <c r="T579" s="1185"/>
      <c r="U579" s="1185"/>
      <c r="V579" s="1185"/>
      <c r="W579" s="1185"/>
      <c r="X579" s="1185"/>
      <c r="Y579" s="1185"/>
      <c r="Z579" s="1185"/>
      <c r="AA579" s="1185"/>
      <c r="AB579" s="1185"/>
      <c r="AC579" s="1185"/>
      <c r="AD579" s="1185"/>
      <c r="AE579" s="1185"/>
      <c r="AF579" s="1185"/>
      <c r="AG579" s="1185"/>
      <c r="AH579" s="1185"/>
      <c r="AI579" s="1185"/>
    </row>
    <row r="580" spans="1:37">
      <c r="A580" s="1009" t="s">
        <v>399</v>
      </c>
      <c r="B580" s="1219"/>
      <c r="C580" s="1026">
        <v>0</v>
      </c>
      <c r="D580" s="1070">
        <v>4.2469999999999999</v>
      </c>
      <c r="E580" s="1041" t="s">
        <v>374</v>
      </c>
      <c r="F580" s="1041">
        <f>ROUND(D580/100*$C580*D572,0)</f>
        <v>0</v>
      </c>
      <c r="G580" s="1285">
        <v>4.8520000000000003</v>
      </c>
      <c r="H580" s="1041" t="s">
        <v>374</v>
      </c>
      <c r="I580" s="1041">
        <f>ROUND(E580/100*$C580*E572,0)</f>
        <v>0</v>
      </c>
      <c r="J580" s="1236">
        <f>J567</f>
        <v>2.2970000000000002</v>
      </c>
      <c r="K580" s="1041" t="s">
        <v>374</v>
      </c>
      <c r="L580" s="1041">
        <f>ROUND(J580/100*$C580*D572,0)</f>
        <v>0</v>
      </c>
      <c r="N580" s="1185"/>
      <c r="O580" s="1185"/>
      <c r="P580" s="1186"/>
      <c r="Q580" s="1186"/>
      <c r="R580" s="1186"/>
      <c r="S580" s="1185"/>
      <c r="T580" s="1185"/>
      <c r="U580" s="1185"/>
      <c r="V580" s="1185"/>
      <c r="W580" s="1185"/>
      <c r="X580" s="1185"/>
      <c r="Y580" s="1185"/>
      <c r="Z580" s="1185"/>
      <c r="AA580" s="1185"/>
      <c r="AB580" s="1185"/>
      <c r="AC580" s="1185"/>
      <c r="AD580" s="1185"/>
      <c r="AE580" s="1185"/>
      <c r="AF580" s="1185"/>
      <c r="AG580" s="1185"/>
      <c r="AH580" s="1185"/>
      <c r="AI580" s="1185"/>
    </row>
    <row r="581" spans="1:37">
      <c r="A581" s="1218" t="s">
        <v>429</v>
      </c>
      <c r="B581" s="1219"/>
      <c r="C581" s="1026">
        <v>0</v>
      </c>
      <c r="D581" s="1280">
        <v>50</v>
      </c>
      <c r="E581" s="1041" t="s">
        <v>374</v>
      </c>
      <c r="F581" s="1041">
        <f>ROUND(D581*$C581*$D$572,0)</f>
        <v>0</v>
      </c>
      <c r="G581" s="1285">
        <v>56</v>
      </c>
      <c r="H581" s="1041" t="s">
        <v>374</v>
      </c>
      <c r="I581" s="1041">
        <f>ROUND(E581*$C581*$D$572,0)</f>
        <v>0</v>
      </c>
      <c r="J581" s="1236">
        <f>J568</f>
        <v>64</v>
      </c>
      <c r="K581" s="1041" t="s">
        <v>374</v>
      </c>
      <c r="L581" s="1041">
        <f>ROUND(J581*$C581*$D$572,0)</f>
        <v>0</v>
      </c>
      <c r="N581" s="1185"/>
      <c r="O581" s="1185"/>
      <c r="P581" s="1186"/>
      <c r="Q581" s="1186"/>
      <c r="R581" s="1186"/>
      <c r="S581" s="1185"/>
      <c r="T581" s="1185"/>
      <c r="U581" s="1185"/>
      <c r="V581" s="1185"/>
      <c r="W581" s="1185"/>
      <c r="X581" s="1185"/>
      <c r="Y581" s="1185"/>
      <c r="Z581" s="1185"/>
      <c r="AA581" s="1185"/>
      <c r="AB581" s="1185"/>
      <c r="AC581" s="1185"/>
      <c r="AD581" s="1185"/>
      <c r="AE581" s="1185"/>
      <c r="AF581" s="1185"/>
      <c r="AG581" s="1185"/>
      <c r="AH581" s="1185"/>
      <c r="AI581" s="1185"/>
    </row>
    <row r="582" spans="1:37">
      <c r="A582" s="1218" t="s">
        <v>430</v>
      </c>
      <c r="B582" s="1219"/>
      <c r="C582" s="1026">
        <v>0</v>
      </c>
      <c r="D582" s="1287">
        <v>0.06</v>
      </c>
      <c r="E582" s="1041" t="s">
        <v>374</v>
      </c>
      <c r="F582" s="1041">
        <f>ROUND(D582/100*$C582*D572,0)</f>
        <v>0</v>
      </c>
      <c r="G582" s="1287">
        <v>0.06</v>
      </c>
      <c r="H582" s="1041" t="s">
        <v>374</v>
      </c>
      <c r="I582" s="1041">
        <f>ROUND(E582/100*$C582*E572,0)</f>
        <v>0</v>
      </c>
      <c r="J582" s="1287">
        <f>J569</f>
        <v>0.06</v>
      </c>
      <c r="K582" s="1041" t="s">
        <v>374</v>
      </c>
      <c r="L582" s="1041">
        <f>ROUND(J582/100*$C582*J572,0)</f>
        <v>0</v>
      </c>
      <c r="N582" s="1185"/>
      <c r="O582" s="1185"/>
      <c r="P582" s="1186"/>
      <c r="Q582" s="1186"/>
      <c r="R582" s="1186"/>
      <c r="S582" s="1185"/>
      <c r="T582" s="1185"/>
      <c r="U582" s="1185"/>
      <c r="V582" s="1185"/>
      <c r="W582" s="1185"/>
      <c r="X582" s="1185"/>
      <c r="Y582" s="1185"/>
      <c r="Z582" s="1185"/>
      <c r="AA582" s="1185"/>
      <c r="AB582" s="1185"/>
      <c r="AC582" s="1185"/>
      <c r="AD582" s="1185"/>
      <c r="AE582" s="1185"/>
      <c r="AF582" s="1185"/>
      <c r="AG582" s="1185"/>
      <c r="AH582" s="1185"/>
      <c r="AI582" s="1185"/>
    </row>
    <row r="583" spans="1:37">
      <c r="A583" s="1009" t="s">
        <v>431</v>
      </c>
      <c r="B583" s="1219"/>
      <c r="C583" s="1026">
        <v>0</v>
      </c>
      <c r="D583" s="1259">
        <v>60</v>
      </c>
      <c r="E583" s="1284" t="s">
        <v>31</v>
      </c>
      <c r="F583" s="1041">
        <f>ROUND(D583*$C583,0)</f>
        <v>0</v>
      </c>
      <c r="G583" s="1259">
        <v>60</v>
      </c>
      <c r="H583" s="1288" t="s">
        <v>31</v>
      </c>
      <c r="I583" s="1041">
        <f>ROUND(E583*$C583,0)</f>
        <v>0</v>
      </c>
      <c r="J583" s="1259">
        <v>60</v>
      </c>
      <c r="K583" s="1288" t="s">
        <v>31</v>
      </c>
      <c r="L583" s="1041">
        <f>ROUND(J583*$C583,0)</f>
        <v>0</v>
      </c>
      <c r="N583" s="1185"/>
      <c r="O583" s="1185"/>
      <c r="P583" s="1186"/>
      <c r="Q583" s="1186"/>
      <c r="R583" s="1186"/>
      <c r="S583" s="1185"/>
      <c r="T583" s="1185"/>
      <c r="U583" s="1185"/>
      <c r="V583" s="1185"/>
      <c r="W583" s="1185"/>
      <c r="X583" s="1185"/>
      <c r="Y583" s="1185"/>
      <c r="Z583" s="1185"/>
      <c r="AA583" s="1185"/>
      <c r="AB583" s="1185"/>
      <c r="AC583" s="1185"/>
      <c r="AD583" s="1185"/>
      <c r="AE583" s="1185"/>
      <c r="AF583" s="1185"/>
      <c r="AG583" s="1185"/>
      <c r="AH583" s="1185"/>
      <c r="AI583" s="1185"/>
    </row>
    <row r="584" spans="1:37">
      <c r="A584" s="1009" t="s">
        <v>432</v>
      </c>
      <c r="B584" s="1219"/>
      <c r="C584" s="1026">
        <v>0</v>
      </c>
      <c r="D584" s="1260">
        <v>-30</v>
      </c>
      <c r="E584" s="1041" t="s">
        <v>374</v>
      </c>
      <c r="F584" s="1041">
        <f>ROUND(D584*$C584*$D$572,0)</f>
        <v>0</v>
      </c>
      <c r="G584" s="1260">
        <v>-30</v>
      </c>
      <c r="H584" s="1041" t="s">
        <v>374</v>
      </c>
      <c r="I584" s="1041">
        <f>ROUND(E584*$C584*$D$572,0)</f>
        <v>0</v>
      </c>
      <c r="J584" s="1260">
        <v>-30</v>
      </c>
      <c r="K584" s="1041" t="s">
        <v>374</v>
      </c>
      <c r="L584" s="1041">
        <f>ROUND(J584*$C584*$D$572,0)</f>
        <v>0</v>
      </c>
      <c r="N584" s="1185"/>
      <c r="O584" s="1185"/>
      <c r="P584" s="1186"/>
      <c r="Q584" s="1186"/>
      <c r="R584" s="1186"/>
      <c r="S584" s="1185"/>
      <c r="T584" s="1185"/>
      <c r="U584" s="1185"/>
      <c r="V584" s="1185"/>
      <c r="W584" s="1185"/>
      <c r="X584" s="1185"/>
      <c r="Y584" s="1185"/>
      <c r="Z584" s="1185"/>
      <c r="AA584" s="1185"/>
      <c r="AB584" s="1185"/>
      <c r="AC584" s="1185"/>
      <c r="AD584" s="1185"/>
      <c r="AE584" s="1185"/>
      <c r="AF584" s="1185"/>
      <c r="AG584" s="1185"/>
      <c r="AH584" s="1185"/>
      <c r="AI584" s="1185"/>
    </row>
    <row r="585" spans="1:37">
      <c r="A585" s="1218" t="s">
        <v>433</v>
      </c>
      <c r="B585" s="1219"/>
      <c r="C585" s="1026">
        <v>0</v>
      </c>
      <c r="D585" s="1259">
        <v>1.94</v>
      </c>
      <c r="E585" s="1041"/>
      <c r="F585" s="1041"/>
      <c r="G585" s="1259">
        <v>2.2200000000000002</v>
      </c>
      <c r="H585" s="1041"/>
      <c r="I585" s="1041"/>
      <c r="J585" s="1234">
        <f>J578/2</f>
        <v>2.6149999999999998</v>
      </c>
      <c r="K585" s="1041"/>
      <c r="L585" s="1041">
        <f>ROUND($C585*J585,0)</f>
        <v>0</v>
      </c>
      <c r="N585" s="1185"/>
      <c r="O585" s="1185"/>
      <c r="P585" s="1186"/>
      <c r="Q585" s="1186"/>
      <c r="R585" s="1186"/>
      <c r="S585" s="1185"/>
      <c r="T585" s="1185"/>
      <c r="U585" s="1185"/>
      <c r="V585" s="1185"/>
      <c r="W585" s="1185"/>
      <c r="X585" s="1185"/>
      <c r="Y585" s="1185"/>
      <c r="Z585" s="1185"/>
      <c r="AA585" s="1185"/>
      <c r="AB585" s="1185"/>
      <c r="AC585" s="1185"/>
      <c r="AD585" s="1185"/>
      <c r="AE585" s="1185"/>
      <c r="AF585" s="1185"/>
      <c r="AG585" s="1185"/>
      <c r="AH585" s="1185"/>
      <c r="AI585" s="1185"/>
    </row>
    <row r="586" spans="1:37">
      <c r="A586" s="1218" t="s">
        <v>434</v>
      </c>
      <c r="B586" s="1219"/>
      <c r="C586" s="1026">
        <v>0</v>
      </c>
      <c r="D586" s="1259">
        <v>15.52</v>
      </c>
      <c r="E586" s="1041"/>
      <c r="F586" s="1041"/>
      <c r="G586" s="1259">
        <v>17.760000000000002</v>
      </c>
      <c r="H586" s="1041"/>
      <c r="I586" s="1041"/>
      <c r="J586" s="1234">
        <f>J578*4</f>
        <v>20.919999999999998</v>
      </c>
      <c r="K586" s="1041"/>
      <c r="L586" s="1041">
        <f>ROUND($C586*J586,0)</f>
        <v>0</v>
      </c>
      <c r="N586" s="1185"/>
      <c r="O586" s="1185"/>
      <c r="P586" s="1186"/>
      <c r="Q586" s="1186"/>
      <c r="R586" s="1186"/>
      <c r="S586" s="1185"/>
      <c r="T586" s="1185"/>
      <c r="U586" s="1185"/>
      <c r="V586" s="1185"/>
      <c r="W586" s="1185"/>
      <c r="X586" s="1185"/>
      <c r="Y586" s="1185"/>
      <c r="Z586" s="1185"/>
      <c r="AA586" s="1185"/>
      <c r="AB586" s="1185"/>
      <c r="AC586" s="1185"/>
      <c r="AD586" s="1185"/>
      <c r="AE586" s="1185"/>
      <c r="AF586" s="1185"/>
      <c r="AG586" s="1185"/>
      <c r="AH586" s="1185"/>
      <c r="AI586" s="1185"/>
    </row>
    <row r="587" spans="1:37">
      <c r="A587" s="1184" t="s">
        <v>435</v>
      </c>
      <c r="B587" s="1233"/>
      <c r="C587" s="1026">
        <v>0</v>
      </c>
      <c r="D587" s="1070">
        <v>16.988</v>
      </c>
      <c r="E587" s="1041" t="s">
        <v>374</v>
      </c>
      <c r="F587" s="1041">
        <f>ROUND($C587*D587/100,0)</f>
        <v>0</v>
      </c>
      <c r="G587" s="1070">
        <v>19.408000000000001</v>
      </c>
      <c r="H587" s="1041" t="s">
        <v>374</v>
      </c>
      <c r="I587" s="1041">
        <f>ROUND($C587*E587/100,0)</f>
        <v>0</v>
      </c>
      <c r="J587" s="1070">
        <f>(J567+J571)*4</f>
        <v>21.948</v>
      </c>
      <c r="K587" s="1041" t="s">
        <v>374</v>
      </c>
      <c r="L587" s="1041">
        <f>ROUND($C587*J587/100,0)</f>
        <v>0</v>
      </c>
      <c r="N587" s="1185"/>
      <c r="O587" s="1065" t="s">
        <v>74</v>
      </c>
      <c r="P587" s="1186"/>
      <c r="Q587" s="1186"/>
      <c r="R587" s="1186"/>
      <c r="S587" s="1185"/>
      <c r="T587" s="1185"/>
      <c r="U587" s="1185"/>
      <c r="V587" s="1185"/>
      <c r="W587" s="1185"/>
      <c r="X587" s="1185"/>
      <c r="Y587" s="1185"/>
      <c r="Z587" s="1185"/>
      <c r="AA587" s="1185"/>
      <c r="AB587" s="1185"/>
      <c r="AC587" s="1185"/>
      <c r="AD587" s="1185"/>
      <c r="AE587" s="1185"/>
      <c r="AF587" s="1185"/>
      <c r="AG587" s="1185"/>
      <c r="AH587" s="1185"/>
      <c r="AI587" s="1185"/>
    </row>
    <row r="588" spans="1:37">
      <c r="A588" s="1005" t="s">
        <v>924</v>
      </c>
      <c r="C588" s="1202">
        <f>C579+C580</f>
        <v>0</v>
      </c>
      <c r="D588" s="269"/>
      <c r="E588" s="1185"/>
      <c r="F588" s="1203"/>
      <c r="G588" s="269"/>
      <c r="H588" s="1185"/>
      <c r="I588" s="1203"/>
      <c r="J588" s="1230">
        <f>J611</f>
        <v>3.4790000000000001</v>
      </c>
      <c r="K588" s="1009" t="s">
        <v>374</v>
      </c>
      <c r="L588" s="1041">
        <f t="shared" ref="L588:L589" si="94">ROUND($C588*J588/100,0)</f>
        <v>0</v>
      </c>
      <c r="N588" s="1204"/>
      <c r="P588" s="815"/>
      <c r="Q588" s="1184"/>
      <c r="R588" s="1184"/>
      <c r="S588" s="1205"/>
      <c r="T588" s="1205"/>
      <c r="Y588" s="1185"/>
      <c r="Z588" s="1185"/>
      <c r="AA588" s="1185"/>
      <c r="AB588" s="1185"/>
      <c r="AC588" s="1185"/>
      <c r="AD588" s="1185"/>
      <c r="AE588" s="1185"/>
      <c r="AF588" s="1185"/>
      <c r="AG588" s="1185"/>
      <c r="AH588" s="1185"/>
      <c r="AI588" s="1185"/>
      <c r="AK588" s="1204"/>
    </row>
    <row r="589" spans="1:37">
      <c r="A589" s="1005" t="s">
        <v>925</v>
      </c>
      <c r="C589" s="1202">
        <f>C580+C581</f>
        <v>0</v>
      </c>
      <c r="D589" s="269"/>
      <c r="E589" s="1185"/>
      <c r="F589" s="1203"/>
      <c r="G589" s="269"/>
      <c r="H589" s="1185"/>
      <c r="I589" s="1203"/>
      <c r="J589" s="1230">
        <f>J612</f>
        <v>3.19</v>
      </c>
      <c r="K589" s="1009" t="s">
        <v>374</v>
      </c>
      <c r="L589" s="1041">
        <f t="shared" si="94"/>
        <v>0</v>
      </c>
      <c r="N589" s="1204"/>
      <c r="P589" s="815"/>
      <c r="Q589" s="1184"/>
      <c r="R589" s="1184"/>
      <c r="S589" s="1205"/>
      <c r="T589" s="1205"/>
      <c r="Y589" s="1185"/>
      <c r="Z589" s="1185"/>
      <c r="AA589" s="1185"/>
      <c r="AB589" s="1185"/>
      <c r="AC589" s="1185"/>
      <c r="AD589" s="1185"/>
      <c r="AE589" s="1185"/>
      <c r="AF589" s="1185"/>
      <c r="AG589" s="1185"/>
      <c r="AH589" s="1185"/>
      <c r="AI589" s="1185"/>
      <c r="AK589" s="1204"/>
    </row>
    <row r="590" spans="1:37">
      <c r="A590" s="1219" t="s">
        <v>381</v>
      </c>
      <c r="B590" s="1219"/>
      <c r="C590" s="1026">
        <f>SUM(C566:C567)</f>
        <v>0</v>
      </c>
      <c r="D590" s="1255"/>
      <c r="E590" s="1203"/>
      <c r="F590" s="1203">
        <f>SUM(F557:F587)</f>
        <v>0</v>
      </c>
      <c r="G590" s="1255"/>
      <c r="H590" s="1009"/>
      <c r="I590" s="1203">
        <f>SUM(I557:I587)</f>
        <v>0</v>
      </c>
      <c r="J590" s="1255"/>
      <c r="K590" s="1009"/>
      <c r="L590" s="1203">
        <f>SUM(L557:L589)</f>
        <v>0</v>
      </c>
      <c r="N590" s="1185"/>
      <c r="O590" s="1185"/>
      <c r="P590" s="1186"/>
      <c r="Q590" s="1186"/>
      <c r="R590" s="1186"/>
      <c r="S590" s="1185"/>
      <c r="T590" s="1185"/>
      <c r="U590" s="1185"/>
      <c r="V590" s="1185"/>
      <c r="W590" s="1185"/>
      <c r="X590" s="1185"/>
      <c r="Y590" s="1185"/>
      <c r="Z590" s="1185"/>
      <c r="AA590" s="1185"/>
      <c r="AB590" s="1185"/>
      <c r="AC590" s="1185"/>
      <c r="AD590" s="1185"/>
      <c r="AE590" s="1185"/>
      <c r="AF590" s="1185"/>
      <c r="AG590" s="1185"/>
      <c r="AH590" s="1185"/>
      <c r="AI590" s="1185"/>
    </row>
    <row r="591" spans="1:37">
      <c r="A591" s="1219" t="s">
        <v>363</v>
      </c>
      <c r="B591" s="1219"/>
      <c r="C591" s="1032">
        <v>0</v>
      </c>
      <c r="D591" s="1218"/>
      <c r="E591" s="1218"/>
      <c r="F591" s="1239">
        <v>0</v>
      </c>
      <c r="G591" s="1218"/>
      <c r="H591" s="1218"/>
      <c r="I591" s="1239">
        <v>0</v>
      </c>
      <c r="J591" s="1218"/>
      <c r="K591" s="1218"/>
      <c r="L591" s="1239">
        <v>0</v>
      </c>
      <c r="N591" s="444"/>
      <c r="O591" s="444"/>
      <c r="P591" s="287"/>
      <c r="Q591" s="1186"/>
      <c r="R591" s="1186"/>
      <c r="S591" s="1185"/>
      <c r="T591" s="1185"/>
      <c r="U591" s="1185"/>
      <c r="V591" s="1185"/>
      <c r="W591" s="1185"/>
      <c r="X591" s="1185"/>
      <c r="Y591" s="1185"/>
      <c r="Z591" s="1185"/>
      <c r="AA591" s="1185"/>
      <c r="AB591" s="1185"/>
      <c r="AC591" s="1185"/>
      <c r="AD591" s="1185"/>
      <c r="AE591" s="1185"/>
      <c r="AF591" s="1185"/>
      <c r="AG591" s="1185"/>
      <c r="AH591" s="1185"/>
      <c r="AI591" s="1185"/>
    </row>
    <row r="592" spans="1:37" ht="16.5" thickBot="1">
      <c r="A592" s="1219" t="s">
        <v>382</v>
      </c>
      <c r="B592" s="1219"/>
      <c r="C592" s="1289">
        <f>SUM(C590:C591)</f>
        <v>0</v>
      </c>
      <c r="D592" s="1265"/>
      <c r="E592" s="1266"/>
      <c r="F592" s="1267">
        <f>SUM(F590:F591)</f>
        <v>0</v>
      </c>
      <c r="G592" s="1265"/>
      <c r="H592" s="1269"/>
      <c r="I592" s="1267">
        <f>SUM(I590:I591)</f>
        <v>0</v>
      </c>
      <c r="J592" s="1265"/>
      <c r="K592" s="1269"/>
      <c r="L592" s="1267">
        <f>SUM(L590:L591)</f>
        <v>0</v>
      </c>
      <c r="N592" s="411"/>
      <c r="O592" s="411"/>
      <c r="P592" s="470"/>
      <c r="Q592" s="1186"/>
      <c r="R592" s="1186"/>
      <c r="S592" s="1185"/>
      <c r="T592" s="1185"/>
      <c r="U592" s="1185"/>
      <c r="V592" s="1185"/>
      <c r="W592" s="1185"/>
      <c r="X592" s="1185"/>
      <c r="Y592" s="1185"/>
      <c r="Z592" s="1185"/>
      <c r="AA592" s="1185"/>
      <c r="AB592" s="1185"/>
      <c r="AC592" s="1185"/>
      <c r="AD592" s="1185"/>
      <c r="AE592" s="1185"/>
      <c r="AF592" s="1185"/>
      <c r="AG592" s="1185"/>
      <c r="AH592" s="1185"/>
      <c r="AI592" s="1185"/>
    </row>
    <row r="593" spans="1:35" ht="16.5" thickTop="1">
      <c r="A593" s="1219"/>
      <c r="B593" s="1290"/>
      <c r="C593" s="1225"/>
      <c r="D593" s="1261"/>
      <c r="E593" s="1203"/>
      <c r="F593" s="1203"/>
      <c r="G593" s="1261"/>
      <c r="H593" s="1219"/>
      <c r="I593" s="1203"/>
      <c r="J593" s="1261"/>
      <c r="K593" s="1219"/>
      <c r="L593" s="1203"/>
      <c r="N593" s="1185"/>
      <c r="O593" s="1185"/>
      <c r="P593" s="1186"/>
      <c r="Q593" s="1186"/>
      <c r="R593" s="1186"/>
      <c r="S593" s="1185"/>
      <c r="T593" s="1185"/>
      <c r="U593" s="1185"/>
      <c r="V593" s="1185"/>
      <c r="W593" s="1185"/>
      <c r="X593" s="1185"/>
      <c r="Y593" s="1185"/>
      <c r="Z593" s="1185"/>
      <c r="AA593" s="1185"/>
      <c r="AB593" s="1185"/>
      <c r="AC593" s="1185"/>
      <c r="AD593" s="1185"/>
      <c r="AE593" s="1185"/>
      <c r="AF593" s="1185"/>
      <c r="AG593" s="1185"/>
      <c r="AH593" s="1185"/>
      <c r="AI593" s="1185"/>
    </row>
    <row r="594" spans="1:35">
      <c r="A594" s="1224" t="s">
        <v>436</v>
      </c>
      <c r="B594" s="1219"/>
      <c r="C594" s="1219"/>
      <c r="D594" s="1203"/>
      <c r="E594" s="1203"/>
      <c r="F594" s="1219" t="s">
        <v>31</v>
      </c>
      <c r="G594" s="1203"/>
      <c r="H594" s="1219"/>
      <c r="I594" s="1219"/>
      <c r="J594" s="1203"/>
      <c r="K594" s="1219"/>
      <c r="L594" s="1219"/>
      <c r="N594" s="1185"/>
      <c r="O594" s="1185"/>
      <c r="P594" s="1186"/>
      <c r="Q594" s="1186"/>
      <c r="R594" s="1186"/>
      <c r="S594" s="1185"/>
      <c r="T594" s="1185"/>
      <c r="U594" s="1185"/>
      <c r="V594" s="1185"/>
      <c r="W594" s="1185"/>
      <c r="X594" s="1185"/>
      <c r="Y594" s="1185"/>
      <c r="Z594" s="1185"/>
      <c r="AA594" s="1185"/>
      <c r="AB594" s="1185"/>
      <c r="AC594" s="1185"/>
      <c r="AD594" s="1185"/>
      <c r="AE594" s="1185"/>
      <c r="AF594" s="1185"/>
      <c r="AG594" s="1185"/>
      <c r="AH594" s="1185"/>
      <c r="AI594" s="1185"/>
    </row>
    <row r="595" spans="1:35">
      <c r="A595" s="1218" t="s">
        <v>437</v>
      </c>
      <c r="B595" s="1219"/>
      <c r="C595" s="1219"/>
      <c r="D595" s="1203"/>
      <c r="E595" s="1203"/>
      <c r="F595" s="1219"/>
      <c r="G595" s="1203"/>
      <c r="H595" s="1219"/>
      <c r="I595" s="1219"/>
      <c r="J595" s="1203"/>
      <c r="K595" s="1219"/>
      <c r="L595" s="1219"/>
      <c r="N595" s="1185"/>
      <c r="O595" s="1185"/>
      <c r="P595" s="1186"/>
      <c r="Q595" s="1186"/>
      <c r="R595" s="1186"/>
      <c r="S595" s="1185"/>
      <c r="T595" s="1185"/>
      <c r="U595" s="1185"/>
      <c r="V595" s="1185"/>
      <c r="W595" s="1185"/>
      <c r="X595" s="1185"/>
      <c r="Y595" s="1185"/>
      <c r="Z595" s="1185"/>
      <c r="AA595" s="1185"/>
      <c r="AB595" s="1185"/>
      <c r="AC595" s="1185"/>
      <c r="AD595" s="1185"/>
      <c r="AE595" s="1185"/>
      <c r="AF595" s="1185"/>
      <c r="AG595" s="1185"/>
      <c r="AH595" s="1185"/>
      <c r="AI595" s="1185"/>
    </row>
    <row r="596" spans="1:35">
      <c r="A596" s="1009"/>
      <c r="B596" s="1219"/>
      <c r="C596" s="1219"/>
      <c r="D596" s="1203"/>
      <c r="E596" s="1203"/>
      <c r="F596" s="1219"/>
      <c r="G596" s="1203"/>
      <c r="H596" s="1219"/>
      <c r="I596" s="1219"/>
      <c r="J596" s="1203"/>
      <c r="K596" s="1219"/>
      <c r="L596" s="1219"/>
      <c r="N596" s="1185"/>
      <c r="O596" s="1185"/>
      <c r="Q596" s="1186"/>
      <c r="R596" s="1186"/>
      <c r="S596" s="1185"/>
      <c r="T596" s="1185"/>
      <c r="U596" s="1185"/>
      <c r="V596" s="1185"/>
      <c r="W596" s="1185"/>
      <c r="X596" s="1185"/>
      <c r="Y596" s="1185"/>
      <c r="Z596" s="1185"/>
      <c r="AA596" s="1185"/>
      <c r="AB596" s="1185"/>
      <c r="AC596" s="1185"/>
      <c r="AD596" s="1185"/>
      <c r="AE596" s="1185"/>
      <c r="AF596" s="1185"/>
      <c r="AG596" s="1185"/>
      <c r="AH596" s="1185"/>
      <c r="AI596" s="1185"/>
    </row>
    <row r="597" spans="1:35">
      <c r="A597" s="1009" t="s">
        <v>393</v>
      </c>
      <c r="B597" s="1219"/>
      <c r="C597" s="1026"/>
      <c r="D597" s="1203"/>
      <c r="E597" s="1203"/>
      <c r="F597" s="1219"/>
      <c r="G597" s="1203"/>
      <c r="H597" s="1219"/>
      <c r="I597" s="1219"/>
      <c r="J597" s="1203"/>
      <c r="K597" s="1219"/>
      <c r="L597" s="1219"/>
      <c r="N597" s="1185"/>
      <c r="O597" s="1185"/>
      <c r="P597" s="1186"/>
      <c r="Q597" s="1291" t="s">
        <v>252</v>
      </c>
      <c r="R597" s="1291"/>
      <c r="S597" s="1185"/>
      <c r="T597" s="1185"/>
      <c r="U597" s="1185"/>
      <c r="V597" s="1185"/>
      <c r="W597" s="1185"/>
      <c r="X597" s="1185"/>
      <c r="Y597" s="1185"/>
      <c r="AA597" s="1185"/>
      <c r="AB597" s="1185"/>
      <c r="AC597" s="1185"/>
      <c r="AD597" s="1185"/>
      <c r="AE597" s="1185"/>
      <c r="AF597" s="1185"/>
      <c r="AG597" s="1185"/>
      <c r="AH597" s="1185"/>
      <c r="AI597" s="1185"/>
    </row>
    <row r="598" spans="1:35">
      <c r="A598" s="1009" t="s">
        <v>421</v>
      </c>
      <c r="B598" s="1219"/>
      <c r="C598" s="1026">
        <f>C638+C676</f>
        <v>332</v>
      </c>
      <c r="D598" s="1229">
        <v>227</v>
      </c>
      <c r="E598" s="1009"/>
      <c r="F598" s="1041">
        <f>F638+F676</f>
        <v>75364</v>
      </c>
      <c r="G598" s="1229">
        <v>259</v>
      </c>
      <c r="H598" s="1009"/>
      <c r="I598" s="1041">
        <f>I638+I676</f>
        <v>85988</v>
      </c>
      <c r="J598" s="1229">
        <f>ROUND(G598*(1+$Q$632),0)+3</f>
        <v>298</v>
      </c>
      <c r="K598" s="1009"/>
      <c r="L598" s="1041">
        <f>L638+L676</f>
        <v>98936</v>
      </c>
      <c r="N598" s="1204" t="e">
        <f>J598*#REF!</f>
        <v>#REF!</v>
      </c>
      <c r="Q598" s="55">
        <f>(J598-G598)/G598</f>
        <v>0.15057915057915058</v>
      </c>
      <c r="R598" s="55"/>
      <c r="Z598" s="1246"/>
      <c r="AA598" s="1246"/>
      <c r="AD598" s="1185"/>
      <c r="AE598" s="1185"/>
      <c r="AF598" s="1185"/>
      <c r="AG598" s="1185"/>
      <c r="AH598" s="1185"/>
      <c r="AI598" s="1185"/>
    </row>
    <row r="599" spans="1:35">
      <c r="A599" s="1009" t="s">
        <v>422</v>
      </c>
      <c r="B599" s="1219"/>
      <c r="C599" s="1026">
        <f>C639+C677</f>
        <v>8660</v>
      </c>
      <c r="D599" s="1229">
        <v>84</v>
      </c>
      <c r="E599" s="1009"/>
      <c r="F599" s="1041">
        <f>F639+F677</f>
        <v>727440</v>
      </c>
      <c r="G599" s="1229">
        <v>96</v>
      </c>
      <c r="H599" s="1009"/>
      <c r="I599" s="1041">
        <f>I639+I677</f>
        <v>831360</v>
      </c>
      <c r="J599" s="1229">
        <f>ROUND(G599*(1+$Q$632),0)</f>
        <v>109</v>
      </c>
      <c r="K599" s="1009"/>
      <c r="L599" s="1041">
        <f>L639+L677</f>
        <v>943940</v>
      </c>
      <c r="N599" s="1204" t="e">
        <f>J599*#REF!</f>
        <v>#REF!</v>
      </c>
      <c r="Q599" s="55">
        <f>(J599-G599)/G599</f>
        <v>0.13541666666666666</v>
      </c>
      <c r="R599" s="55"/>
      <c r="T599" s="1204"/>
      <c r="U599" s="736"/>
      <c r="V599" s="1204"/>
      <c r="W599" s="736"/>
      <c r="X599" s="1204"/>
      <c r="Y599" s="1204"/>
      <c r="Z599" s="736"/>
      <c r="AA599" s="736"/>
      <c r="AC599" s="801"/>
      <c r="AD599" s="1185"/>
      <c r="AE599" s="1185"/>
      <c r="AF599" s="1185"/>
      <c r="AG599" s="1185"/>
      <c r="AH599" s="1185"/>
      <c r="AI599" s="1185"/>
    </row>
    <row r="600" spans="1:35">
      <c r="A600" s="1009" t="s">
        <v>423</v>
      </c>
      <c r="B600" s="1219"/>
      <c r="C600" s="1026">
        <f>C640+C678</f>
        <v>3541.9333333333334</v>
      </c>
      <c r="D600" s="1229">
        <v>168</v>
      </c>
      <c r="E600" s="1250"/>
      <c r="F600" s="1041">
        <f>F640+F678</f>
        <v>595045</v>
      </c>
      <c r="G600" s="1229">
        <v>192</v>
      </c>
      <c r="H600" s="1250"/>
      <c r="I600" s="1041">
        <f>I640+I678</f>
        <v>680051</v>
      </c>
      <c r="J600" s="1229">
        <f>ROUND(G600*(1+$Q$632),0)</f>
        <v>219</v>
      </c>
      <c r="K600" s="1250"/>
      <c r="L600" s="1041">
        <f>L640+L678</f>
        <v>775683</v>
      </c>
      <c r="N600" s="1204" t="e">
        <f>J600*#REF!</f>
        <v>#REF!</v>
      </c>
      <c r="Q600" s="55">
        <f>(J600-G600)/G600</f>
        <v>0.140625</v>
      </c>
      <c r="R600" s="55"/>
      <c r="T600" s="1204"/>
      <c r="U600" s="736"/>
      <c r="V600" s="1204"/>
      <c r="W600" s="736"/>
      <c r="X600" s="1204"/>
      <c r="Y600" s="1204"/>
      <c r="Z600" s="736"/>
      <c r="AA600" s="736"/>
      <c r="AC600" s="801"/>
      <c r="AD600" s="1185"/>
      <c r="AE600" s="1185"/>
      <c r="AF600" s="1185"/>
      <c r="AG600" s="1185"/>
      <c r="AH600" s="1185"/>
      <c r="AI600" s="1185"/>
    </row>
    <row r="601" spans="1:35">
      <c r="A601" s="1009" t="s">
        <v>394</v>
      </c>
      <c r="B601" s="1219"/>
      <c r="C601" s="1026">
        <f>SUM(C598:C600)</f>
        <v>12533.933333333334</v>
      </c>
      <c r="D601" s="1229"/>
      <c r="E601" s="1009"/>
      <c r="F601" s="1041"/>
      <c r="G601" s="1229"/>
      <c r="H601" s="1009"/>
      <c r="I601" s="1041"/>
      <c r="J601" s="1229"/>
      <c r="K601" s="1009"/>
      <c r="L601" s="1041"/>
      <c r="T601" s="1204"/>
      <c r="U601" s="736"/>
      <c r="V601" s="1204"/>
      <c r="W601" s="736"/>
      <c r="X601" s="1204"/>
      <c r="Y601" s="1204"/>
      <c r="Z601" s="736"/>
      <c r="AA601" s="736"/>
      <c r="AC601" s="801"/>
      <c r="AD601" s="1185"/>
      <c r="AE601" s="1185"/>
      <c r="AF601" s="1185"/>
      <c r="AG601" s="1185"/>
      <c r="AH601" s="1185"/>
      <c r="AI601" s="1185"/>
    </row>
    <row r="602" spans="1:35">
      <c r="A602" s="1009" t="s">
        <v>422</v>
      </c>
      <c r="B602" s="1219"/>
      <c r="C602" s="1026">
        <f>C642+C680</f>
        <v>1493044</v>
      </c>
      <c r="D602" s="1229">
        <v>1.48</v>
      </c>
      <c r="E602" s="1009" t="s">
        <v>31</v>
      </c>
      <c r="F602" s="1041">
        <f>F642+F680</f>
        <v>2209706</v>
      </c>
      <c r="G602" s="1229">
        <v>1.7</v>
      </c>
      <c r="H602" s="1009" t="s">
        <v>31</v>
      </c>
      <c r="I602" s="1041">
        <f>I642+I680</f>
        <v>2538175</v>
      </c>
      <c r="J602" s="1229">
        <f>ROUND(G602*(1+$Q$632),2)</f>
        <v>1.94</v>
      </c>
      <c r="K602" s="1009" t="s">
        <v>31</v>
      </c>
      <c r="L602" s="1041">
        <f>L642+L680</f>
        <v>2896506</v>
      </c>
      <c r="N602" s="1204" t="e">
        <f>J602*#REF!</f>
        <v>#REF!</v>
      </c>
      <c r="P602" s="1231" t="s">
        <v>31</v>
      </c>
      <c r="Q602" s="55">
        <f>(J602-G602)/G602</f>
        <v>0.14117647058823529</v>
      </c>
      <c r="R602" s="55"/>
      <c r="T602" s="1204"/>
      <c r="U602" s="1251"/>
      <c r="V602" s="1204"/>
      <c r="W602" s="1251"/>
      <c r="X602" s="1204"/>
      <c r="Y602" s="1204"/>
      <c r="Z602" s="1251"/>
      <c r="AA602" s="1251"/>
      <c r="AC602" s="1185"/>
      <c r="AD602" s="1185"/>
      <c r="AE602" s="1185"/>
      <c r="AF602" s="1185"/>
      <c r="AG602" s="1185"/>
      <c r="AH602" s="1185"/>
      <c r="AI602" s="1185"/>
    </row>
    <row r="603" spans="1:35">
      <c r="A603" s="1009" t="s">
        <v>423</v>
      </c>
      <c r="B603" s="1219"/>
      <c r="C603" s="1026">
        <f>C643+C681</f>
        <v>1779104</v>
      </c>
      <c r="D603" s="1229">
        <v>1.22</v>
      </c>
      <c r="E603" s="1009" t="s">
        <v>31</v>
      </c>
      <c r="F603" s="1041">
        <f>F643+F681</f>
        <v>2170507</v>
      </c>
      <c r="G603" s="1229">
        <v>1.39</v>
      </c>
      <c r="H603" s="1009" t="s">
        <v>31</v>
      </c>
      <c r="I603" s="1041">
        <f>I643+I681</f>
        <v>2472955</v>
      </c>
      <c r="J603" s="1229">
        <f>ROUND(G603*(1+$Q$632),2)</f>
        <v>1.59</v>
      </c>
      <c r="K603" s="1009" t="s">
        <v>31</v>
      </c>
      <c r="L603" s="1041">
        <f>L643+L681</f>
        <v>2828775</v>
      </c>
      <c r="N603" s="1204" t="e">
        <f>J603*#REF!</f>
        <v>#REF!</v>
      </c>
      <c r="Q603" s="55">
        <f>(J603-G603)/G603</f>
        <v>0.14388489208633107</v>
      </c>
      <c r="R603" s="55"/>
      <c r="T603" s="1204"/>
      <c r="U603" s="1204"/>
      <c r="AC603" s="1185"/>
      <c r="AD603" s="1185"/>
      <c r="AE603" s="1185"/>
      <c r="AF603" s="1185"/>
      <c r="AG603" s="1185"/>
      <c r="AH603" s="1185"/>
      <c r="AI603" s="1185"/>
    </row>
    <row r="604" spans="1:35">
      <c r="A604" s="1218" t="s">
        <v>424</v>
      </c>
      <c r="B604" s="1219"/>
      <c r="C604" s="1026"/>
      <c r="D604" s="1234"/>
      <c r="E604" s="1009"/>
      <c r="F604" s="1041"/>
      <c r="G604" s="1234"/>
      <c r="H604" s="1009"/>
      <c r="I604" s="1041"/>
      <c r="J604" s="1234"/>
      <c r="K604" s="1009"/>
      <c r="L604" s="1041"/>
      <c r="S604" s="1190"/>
      <c r="AC604" s="1185"/>
      <c r="AD604" s="1185"/>
      <c r="AE604" s="1185"/>
      <c r="AF604" s="1185"/>
      <c r="AG604" s="1185"/>
      <c r="AH604" s="1185"/>
      <c r="AI604" s="1185"/>
    </row>
    <row r="605" spans="1:35">
      <c r="A605" s="1218" t="s">
        <v>425</v>
      </c>
      <c r="B605" s="1219"/>
      <c r="C605" s="1026">
        <f>C645+C683</f>
        <v>2464015</v>
      </c>
      <c r="D605" s="1229">
        <v>3.88</v>
      </c>
      <c r="E605" s="1009"/>
      <c r="F605" s="1041">
        <f>F645+F683</f>
        <v>9560378</v>
      </c>
      <c r="G605" s="1229">
        <v>4.4400000000000004</v>
      </c>
      <c r="H605" s="1009"/>
      <c r="I605" s="1041">
        <f>I645+I683</f>
        <v>10940227</v>
      </c>
      <c r="J605" s="1229">
        <f>ROUND(G605*(1+$Q$632),2)+0.17</f>
        <v>5.2299999999999995</v>
      </c>
      <c r="K605" s="1009"/>
      <c r="L605" s="1041">
        <f>L645+L683</f>
        <v>12886799</v>
      </c>
      <c r="N605" s="1204" t="e">
        <f>J605*#REF!</f>
        <v>#REF!</v>
      </c>
      <c r="Q605" s="55">
        <f>(J605-G605)/G605</f>
        <v>0.17792792792792772</v>
      </c>
      <c r="R605" s="55"/>
      <c r="S605" s="1190"/>
      <c r="AC605" s="1185"/>
      <c r="AD605" s="1185"/>
      <c r="AE605" s="1185"/>
      <c r="AF605" s="1185"/>
      <c r="AG605" s="1185"/>
      <c r="AH605" s="1185"/>
      <c r="AI605" s="1185"/>
    </row>
    <row r="606" spans="1:35">
      <c r="A606" s="1218" t="s">
        <v>441</v>
      </c>
      <c r="B606" s="1219"/>
      <c r="C606" s="1026">
        <f>C646+C684</f>
        <v>3552</v>
      </c>
      <c r="D606" s="1292">
        <v>3.88</v>
      </c>
      <c r="E606" s="1009"/>
      <c r="F606" s="1041">
        <f>F646+F684</f>
        <v>13782</v>
      </c>
      <c r="G606" s="1292">
        <v>4.4400000000000004</v>
      </c>
      <c r="H606" s="1009"/>
      <c r="I606" s="1041">
        <f>I646+I684</f>
        <v>15771</v>
      </c>
      <c r="J606" s="1292">
        <f>J605</f>
        <v>5.2299999999999995</v>
      </c>
      <c r="K606" s="1009"/>
      <c r="L606" s="1041">
        <f>L646+L684</f>
        <v>18577</v>
      </c>
      <c r="N606" s="1204" t="e">
        <f>J606*#REF!</f>
        <v>#REF!</v>
      </c>
      <c r="Q606" s="55">
        <f>(J606-G606)/G606</f>
        <v>0.17792792792792772</v>
      </c>
      <c r="R606" s="55"/>
      <c r="S606" s="1190"/>
      <c r="AC606" s="1185"/>
      <c r="AD606" s="1185"/>
      <c r="AE606" s="1185"/>
      <c r="AF606" s="1185"/>
      <c r="AG606" s="1185"/>
      <c r="AH606" s="1185"/>
      <c r="AI606" s="1185"/>
    </row>
    <row r="607" spans="1:35">
      <c r="A607" s="1009" t="s">
        <v>426</v>
      </c>
      <c r="B607" s="1219"/>
      <c r="C607" s="1026"/>
      <c r="D607" s="1229"/>
      <c r="E607" s="1009"/>
      <c r="F607" s="1041"/>
      <c r="G607" s="1229"/>
      <c r="H607" s="1009"/>
      <c r="I607" s="1041"/>
      <c r="J607" s="1229"/>
      <c r="K607" s="1009"/>
      <c r="L607" s="1041"/>
      <c r="S607" s="1231" t="s">
        <v>31</v>
      </c>
      <c r="AC607" s="1185"/>
      <c r="AD607" s="1185"/>
      <c r="AE607" s="1185"/>
      <c r="AF607" s="1185"/>
      <c r="AG607" s="1185"/>
      <c r="AH607" s="1185"/>
      <c r="AI607" s="1185"/>
    </row>
    <row r="608" spans="1:35">
      <c r="A608" s="1009" t="s">
        <v>427</v>
      </c>
      <c r="B608" s="1026"/>
      <c r="C608" s="1026">
        <f>C648+C686</f>
        <v>392463948.33333331</v>
      </c>
      <c r="D608" s="806">
        <v>4.6340000000000003</v>
      </c>
      <c r="E608" s="1009" t="s">
        <v>374</v>
      </c>
      <c r="F608" s="1041">
        <f>F648+F686</f>
        <v>18186780</v>
      </c>
      <c r="G608" s="806">
        <v>5.2919999999999998</v>
      </c>
      <c r="H608" s="1009" t="s">
        <v>374</v>
      </c>
      <c r="I608" s="1041">
        <f>I648+I686</f>
        <v>20769192</v>
      </c>
      <c r="J608" s="806">
        <f>ROUND(G608*(1+Q632)-J611,3)-0.051</f>
        <v>2.5059999999999998</v>
      </c>
      <c r="K608" s="1009" t="s">
        <v>374</v>
      </c>
      <c r="L608" s="1041">
        <f>L648+L686</f>
        <v>9835146</v>
      </c>
      <c r="N608" s="1204" t="e">
        <f>(J608/100)*#REF!</f>
        <v>#REF!</v>
      </c>
      <c r="Q608" s="55">
        <f>(J608+J611-G608)/G608</f>
        <v>0.13095238095238088</v>
      </c>
      <c r="R608" s="55"/>
      <c r="S608" s="1190"/>
      <c r="AC608" s="1185"/>
      <c r="AD608" s="1185"/>
      <c r="AE608" s="1185"/>
      <c r="AF608" s="1185"/>
      <c r="AG608" s="1185"/>
      <c r="AH608" s="1185"/>
      <c r="AI608" s="1185"/>
    </row>
    <row r="609" spans="1:37">
      <c r="A609" s="1009" t="s">
        <v>399</v>
      </c>
      <c r="B609" s="1026"/>
      <c r="C609" s="1026">
        <f>C649+C687</f>
        <v>468674490.66666669</v>
      </c>
      <c r="D609" s="806">
        <v>4.2469999999999999</v>
      </c>
      <c r="E609" s="1009" t="s">
        <v>374</v>
      </c>
      <c r="F609" s="1041">
        <f>F649+F687</f>
        <v>19904606</v>
      </c>
      <c r="G609" s="806">
        <v>4.8499999999999996</v>
      </c>
      <c r="H609" s="1009" t="s">
        <v>374</v>
      </c>
      <c r="I609" s="1041">
        <f>I649+I687</f>
        <v>22730713</v>
      </c>
      <c r="J609" s="806">
        <f>ROUND(J608/D608*D609,3)</f>
        <v>2.2970000000000002</v>
      </c>
      <c r="K609" s="1009" t="s">
        <v>374</v>
      </c>
      <c r="L609" s="1041">
        <f>L649+L687</f>
        <v>10765453</v>
      </c>
      <c r="N609" s="1204" t="e">
        <f>(J609/100)*#REF!</f>
        <v>#REF!</v>
      </c>
      <c r="Q609" s="55">
        <f>(J609+J612-G609)/G609</f>
        <v>0.1313402061855671</v>
      </c>
      <c r="R609" s="55"/>
      <c r="S609" s="1190"/>
      <c r="AD609" s="1185"/>
      <c r="AE609" s="1185"/>
      <c r="AF609" s="1185"/>
      <c r="AG609" s="1185"/>
      <c r="AH609" s="1185"/>
      <c r="AI609" s="1185"/>
    </row>
    <row r="610" spans="1:37">
      <c r="A610" s="1009" t="s">
        <v>400</v>
      </c>
      <c r="B610" s="1219"/>
      <c r="C610" s="1026">
        <f>C650+C688</f>
        <v>496293.6</v>
      </c>
      <c r="D610" s="1282">
        <v>50</v>
      </c>
      <c r="E610" s="1009" t="s">
        <v>374</v>
      </c>
      <c r="F610" s="1041">
        <f>F650+F688</f>
        <v>248147</v>
      </c>
      <c r="G610" s="1282">
        <v>56</v>
      </c>
      <c r="H610" s="1009" t="s">
        <v>374</v>
      </c>
      <c r="I610" s="1041">
        <f>I650+I688</f>
        <v>277924</v>
      </c>
      <c r="J610" s="1282">
        <f>ROUND((J609+J612)/D609*D610,0)-1</f>
        <v>64</v>
      </c>
      <c r="K610" s="1009" t="s">
        <v>374</v>
      </c>
      <c r="L610" s="1041">
        <f>L650+L688</f>
        <v>317628</v>
      </c>
      <c r="N610" s="1204" t="e">
        <f>(J610/100)*#REF!</f>
        <v>#REF!</v>
      </c>
      <c r="Q610" s="55">
        <f>(J610-G610)/G610</f>
        <v>0.14285714285714285</v>
      </c>
      <c r="R610" s="55"/>
      <c r="S610" s="1190"/>
      <c r="AD610" s="1185"/>
      <c r="AE610" s="1185"/>
      <c r="AF610" s="1185"/>
      <c r="AG610" s="1185"/>
      <c r="AH610" s="1185"/>
      <c r="AI610" s="1185"/>
    </row>
    <row r="611" spans="1:37">
      <c r="A611" s="1005" t="s">
        <v>924</v>
      </c>
      <c r="C611" s="1026">
        <f t="shared" ref="C611:C612" si="95">C651+C689</f>
        <v>392463948.33333331</v>
      </c>
      <c r="D611" s="269"/>
      <c r="E611" s="1185"/>
      <c r="F611" s="1203"/>
      <c r="G611" s="269"/>
      <c r="H611" s="1185"/>
      <c r="I611" s="1203"/>
      <c r="J611" s="1230">
        <f>ROUND((I608/($I$608+$I$609)*$O$611)/C611*100,3)-0.001</f>
        <v>3.4790000000000001</v>
      </c>
      <c r="K611" s="1041" t="s">
        <v>374</v>
      </c>
      <c r="L611" s="1041">
        <f t="shared" ref="L611:L612" si="96">L651+L689</f>
        <v>13653821</v>
      </c>
      <c r="N611" s="1204"/>
      <c r="O611" s="1204">
        <f>'[94]NPC Spread'!F33</f>
        <v>28605195.273029372</v>
      </c>
      <c r="P611" s="815" t="s">
        <v>913</v>
      </c>
      <c r="Q611" s="1184"/>
      <c r="R611" s="1184"/>
      <c r="S611" s="1205"/>
      <c r="T611" s="1205"/>
      <c r="Y611" s="1185"/>
      <c r="Z611" s="1185"/>
      <c r="AA611" s="1185"/>
      <c r="AB611" s="1185"/>
      <c r="AC611" s="1185"/>
      <c r="AD611" s="1185"/>
      <c r="AE611" s="1185"/>
      <c r="AF611" s="1185"/>
      <c r="AG611" s="1185"/>
      <c r="AH611" s="1185"/>
      <c r="AI611" s="1185"/>
      <c r="AK611" s="1204"/>
    </row>
    <row r="612" spans="1:37">
      <c r="A612" s="1005" t="s">
        <v>925</v>
      </c>
      <c r="C612" s="1026">
        <f t="shared" si="95"/>
        <v>468674490.66666669</v>
      </c>
      <c r="D612" s="269"/>
      <c r="E612" s="1185"/>
      <c r="F612" s="1203"/>
      <c r="G612" s="269"/>
      <c r="H612" s="1185"/>
      <c r="I612" s="1203"/>
      <c r="J612" s="1230">
        <f>ROUND((I609/($I$608+$I$609)*$O$611)/C612*100,3)+0.001</f>
        <v>3.19</v>
      </c>
      <c r="K612" s="1041" t="s">
        <v>374</v>
      </c>
      <c r="L612" s="1041">
        <f t="shared" si="96"/>
        <v>14950716</v>
      </c>
      <c r="N612" s="1204"/>
      <c r="O612" s="1005" t="s">
        <v>31</v>
      </c>
      <c r="P612" s="815"/>
      <c r="Q612" s="1184"/>
      <c r="R612" s="1184"/>
      <c r="S612" s="1205"/>
      <c r="T612" s="1205"/>
      <c r="Y612" s="1185"/>
      <c r="Z612" s="1185"/>
      <c r="AA612" s="1185"/>
      <c r="AB612" s="1185"/>
      <c r="AC612" s="1185"/>
      <c r="AD612" s="1185"/>
      <c r="AE612" s="1185"/>
      <c r="AF612" s="1185"/>
      <c r="AG612" s="1185"/>
      <c r="AH612" s="1185"/>
      <c r="AI612" s="1185"/>
      <c r="AK612" s="1204"/>
    </row>
    <row r="613" spans="1:37">
      <c r="A613" s="1509" t="s">
        <v>926</v>
      </c>
      <c r="B613" s="1510"/>
      <c r="C613" s="1517"/>
      <c r="D613" s="1512"/>
      <c r="E613" s="1513"/>
      <c r="F613" s="1514"/>
      <c r="G613" s="1520">
        <f>G608</f>
        <v>5.2919999999999998</v>
      </c>
      <c r="H613" s="1518" t="s">
        <v>374</v>
      </c>
      <c r="I613" s="1514"/>
      <c r="J613" s="1520">
        <f>J608+J611</f>
        <v>5.9849999999999994</v>
      </c>
      <c r="K613" s="1518" t="s">
        <v>374</v>
      </c>
      <c r="L613" s="1521"/>
      <c r="N613" s="1204"/>
      <c r="O613" s="1005"/>
      <c r="P613" s="815"/>
      <c r="Q613" s="55">
        <f>(J613-G613)/G613</f>
        <v>0.13095238095238088</v>
      </c>
      <c r="R613" s="1184"/>
      <c r="S613" s="1205"/>
      <c r="T613" s="1205"/>
      <c r="Y613" s="1185"/>
      <c r="Z613" s="1185"/>
      <c r="AA613" s="1185"/>
      <c r="AB613" s="1185"/>
      <c r="AC613" s="1185"/>
      <c r="AD613" s="1185"/>
      <c r="AE613" s="1185"/>
      <c r="AF613" s="1185"/>
      <c r="AG613" s="1185"/>
      <c r="AH613" s="1185"/>
      <c r="AI613" s="1185"/>
      <c r="AK613" s="1204"/>
    </row>
    <row r="614" spans="1:37">
      <c r="A614" s="1509" t="s">
        <v>927</v>
      </c>
      <c r="B614" s="1510"/>
      <c r="C614" s="1517"/>
      <c r="D614" s="1512"/>
      <c r="E614" s="1513"/>
      <c r="F614" s="1514"/>
      <c r="G614" s="1520">
        <f>G609</f>
        <v>4.8499999999999996</v>
      </c>
      <c r="H614" s="1518" t="s">
        <v>374</v>
      </c>
      <c r="I614" s="1514"/>
      <c r="J614" s="1520">
        <f>J609+J612</f>
        <v>5.4870000000000001</v>
      </c>
      <c r="K614" s="1518" t="s">
        <v>374</v>
      </c>
      <c r="L614" s="1521"/>
      <c r="N614" s="1204"/>
      <c r="O614" s="1005"/>
      <c r="P614" s="815"/>
      <c r="Q614" s="55">
        <f>(J614-G614)/G614</f>
        <v>0.1313402061855671</v>
      </c>
      <c r="R614" s="1184"/>
      <c r="S614" s="1205"/>
      <c r="T614" s="1205"/>
      <c r="Y614" s="1185"/>
      <c r="Z614" s="1185"/>
      <c r="AA614" s="1185"/>
      <c r="AB614" s="1185"/>
      <c r="AC614" s="1185"/>
      <c r="AD614" s="1185"/>
      <c r="AE614" s="1185"/>
      <c r="AF614" s="1185"/>
      <c r="AG614" s="1185"/>
      <c r="AH614" s="1185"/>
      <c r="AI614" s="1185"/>
      <c r="AK614" s="1204"/>
    </row>
    <row r="615" spans="1:37">
      <c r="A615" s="1283" t="s">
        <v>401</v>
      </c>
      <c r="B615" s="1219"/>
      <c r="C615" s="1026"/>
      <c r="D615" s="1257">
        <v>-0.01</v>
      </c>
      <c r="E615" s="1203"/>
      <c r="F615" s="1041"/>
      <c r="G615" s="1257">
        <v>-0.01</v>
      </c>
      <c r="H615" s="1219"/>
      <c r="I615" s="1041"/>
      <c r="J615" s="1257">
        <v>-0.01</v>
      </c>
      <c r="K615" s="1219"/>
      <c r="L615" s="1041"/>
      <c r="AD615" s="1185"/>
      <c r="AE615" s="1185"/>
      <c r="AF615" s="1185"/>
      <c r="AG615" s="1185"/>
      <c r="AH615" s="1185"/>
      <c r="AI615" s="1185"/>
    </row>
    <row r="616" spans="1:37">
      <c r="A616" s="1009" t="s">
        <v>421</v>
      </c>
      <c r="B616" s="1219"/>
      <c r="C616" s="1026">
        <f t="shared" ref="C616:C631" si="97">C654+C692</f>
        <v>0</v>
      </c>
      <c r="D616" s="1234">
        <v>227</v>
      </c>
      <c r="E616" s="1288"/>
      <c r="F616" s="1041">
        <f t="shared" ref="F616:F627" si="98">F654+F692</f>
        <v>0</v>
      </c>
      <c r="G616" s="1234">
        <v>259</v>
      </c>
      <c r="H616" s="1224"/>
      <c r="I616" s="1041">
        <f t="shared" ref="I616:I627" si="99">I654+I692</f>
        <v>0</v>
      </c>
      <c r="J616" s="1234">
        <f>J598</f>
        <v>298</v>
      </c>
      <c r="K616" s="1224"/>
      <c r="L616" s="1041">
        <f t="shared" ref="L616:L630" si="100">L654+L692</f>
        <v>0</v>
      </c>
      <c r="N616" s="1204" t="e">
        <f>-(J616*#REF!)/100</f>
        <v>#REF!</v>
      </c>
      <c r="P616" s="1231" t="s">
        <v>31</v>
      </c>
      <c r="AD616" s="1185"/>
      <c r="AE616" s="1185"/>
      <c r="AF616" s="1185"/>
      <c r="AG616" s="1185"/>
      <c r="AH616" s="1185"/>
      <c r="AI616" s="1185"/>
    </row>
    <row r="617" spans="1:37">
      <c r="A617" s="1009" t="s">
        <v>422</v>
      </c>
      <c r="B617" s="1219"/>
      <c r="C617" s="1026">
        <f t="shared" si="97"/>
        <v>66</v>
      </c>
      <c r="D617" s="1234">
        <v>84</v>
      </c>
      <c r="E617" s="1288"/>
      <c r="F617" s="1041">
        <f t="shared" si="98"/>
        <v>-56</v>
      </c>
      <c r="G617" s="1234">
        <v>96</v>
      </c>
      <c r="H617" s="1224"/>
      <c r="I617" s="1041">
        <f t="shared" si="99"/>
        <v>-64</v>
      </c>
      <c r="J617" s="1234">
        <f>J599</f>
        <v>109</v>
      </c>
      <c r="K617" s="1224"/>
      <c r="L617" s="1041">
        <f t="shared" si="100"/>
        <v>-72</v>
      </c>
      <c r="N617" s="1204" t="e">
        <f>-(J617*#REF!)/100</f>
        <v>#REF!</v>
      </c>
      <c r="P617" s="1293"/>
      <c r="AC617" s="1185"/>
      <c r="AD617" s="1185"/>
      <c r="AE617" s="1185"/>
      <c r="AF617" s="1185"/>
      <c r="AG617" s="1185"/>
      <c r="AH617" s="1185"/>
      <c r="AI617" s="1185"/>
    </row>
    <row r="618" spans="1:37">
      <c r="A618" s="1009" t="s">
        <v>423</v>
      </c>
      <c r="B618" s="1219"/>
      <c r="C618" s="1026">
        <f t="shared" si="97"/>
        <v>76.933333333333294</v>
      </c>
      <c r="D618" s="1234">
        <v>168</v>
      </c>
      <c r="E618" s="1294"/>
      <c r="F618" s="1041">
        <f t="shared" si="98"/>
        <v>-130</v>
      </c>
      <c r="G618" s="1234">
        <v>192</v>
      </c>
      <c r="H618" s="1295"/>
      <c r="I618" s="1041">
        <f t="shared" si="99"/>
        <v>-148</v>
      </c>
      <c r="J618" s="1234">
        <f>J600</f>
        <v>219</v>
      </c>
      <c r="K618" s="1295"/>
      <c r="L618" s="1041">
        <f t="shared" si="100"/>
        <v>-169</v>
      </c>
      <c r="N618" s="1204" t="e">
        <f>-(J618*#REF!)/100</f>
        <v>#REF!</v>
      </c>
      <c r="P618" s="1293"/>
      <c r="AC618" s="1185"/>
      <c r="AD618" s="1185"/>
      <c r="AE618" s="1185"/>
      <c r="AF618" s="1185"/>
      <c r="AG618" s="1185"/>
      <c r="AH618" s="1185"/>
      <c r="AI618" s="1185"/>
    </row>
    <row r="619" spans="1:37">
      <c r="A619" s="1009" t="s">
        <v>422</v>
      </c>
      <c r="B619" s="1219"/>
      <c r="C619" s="1026">
        <f t="shared" si="97"/>
        <v>13175</v>
      </c>
      <c r="D619" s="1234">
        <v>1.48</v>
      </c>
      <c r="E619" s="1288"/>
      <c r="F619" s="1041">
        <f t="shared" si="98"/>
        <v>-195</v>
      </c>
      <c r="G619" s="1234">
        <v>1.7</v>
      </c>
      <c r="H619" s="1224"/>
      <c r="I619" s="1041">
        <f t="shared" si="99"/>
        <v>-224</v>
      </c>
      <c r="J619" s="1234">
        <f>J602</f>
        <v>1.94</v>
      </c>
      <c r="K619" s="1224"/>
      <c r="L619" s="1041">
        <f t="shared" si="100"/>
        <v>-256</v>
      </c>
      <c r="N619" s="1204" t="e">
        <f>-(J619*#REF!)/100</f>
        <v>#REF!</v>
      </c>
      <c r="AC619" s="1185"/>
      <c r="AD619" s="1185"/>
      <c r="AE619" s="1185"/>
      <c r="AF619" s="1185"/>
      <c r="AG619" s="1185"/>
      <c r="AH619" s="1185"/>
      <c r="AI619" s="1185"/>
    </row>
    <row r="620" spans="1:37">
      <c r="A620" s="1009" t="s">
        <v>423</v>
      </c>
      <c r="B620" s="1219"/>
      <c r="C620" s="1026">
        <f t="shared" si="97"/>
        <v>51278</v>
      </c>
      <c r="D620" s="1234">
        <v>1.22</v>
      </c>
      <c r="E620" s="1288" t="s">
        <v>31</v>
      </c>
      <c r="F620" s="1041">
        <f t="shared" si="98"/>
        <v>-626</v>
      </c>
      <c r="G620" s="1234">
        <v>1.39</v>
      </c>
      <c r="H620" s="1224"/>
      <c r="I620" s="1041">
        <f t="shared" si="99"/>
        <v>-713</v>
      </c>
      <c r="J620" s="1234">
        <f>J603</f>
        <v>1.59</v>
      </c>
      <c r="K620" s="1224"/>
      <c r="L620" s="1041">
        <f t="shared" si="100"/>
        <v>-816</v>
      </c>
      <c r="N620" s="1204" t="e">
        <f>-(J620*#REF!)/100</f>
        <v>#REF!</v>
      </c>
      <c r="P620" s="1231" t="s">
        <v>31</v>
      </c>
      <c r="AC620" s="1185"/>
      <c r="AD620" s="1185"/>
      <c r="AE620" s="1185"/>
      <c r="AF620" s="1185"/>
      <c r="AG620" s="1185"/>
      <c r="AH620" s="1185"/>
      <c r="AI620" s="1185"/>
    </row>
    <row r="621" spans="1:37">
      <c r="A621" s="1218" t="s">
        <v>425</v>
      </c>
      <c r="B621" s="1219"/>
      <c r="C621" s="1026">
        <f t="shared" si="97"/>
        <v>46548</v>
      </c>
      <c r="D621" s="1234">
        <v>3.88</v>
      </c>
      <c r="E621" s="1288" t="s">
        <v>31</v>
      </c>
      <c r="F621" s="1041">
        <f t="shared" si="98"/>
        <v>-1806</v>
      </c>
      <c r="G621" s="1234">
        <v>4.4400000000000004</v>
      </c>
      <c r="H621" s="1224"/>
      <c r="I621" s="1041">
        <f t="shared" si="99"/>
        <v>-2067</v>
      </c>
      <c r="J621" s="1234">
        <f>J605</f>
        <v>5.2299999999999995</v>
      </c>
      <c r="K621" s="1224"/>
      <c r="L621" s="1041">
        <f t="shared" si="100"/>
        <v>-2435</v>
      </c>
      <c r="N621" s="1204" t="e">
        <f>-(J621*#REF!)/100</f>
        <v>#REF!</v>
      </c>
      <c r="AC621" s="1185"/>
      <c r="AD621" s="1185"/>
      <c r="AE621" s="1185"/>
      <c r="AF621" s="1185"/>
      <c r="AG621" s="1185"/>
      <c r="AH621" s="1185"/>
      <c r="AI621" s="1185"/>
    </row>
    <row r="622" spans="1:37">
      <c r="A622" s="1218" t="s">
        <v>441</v>
      </c>
      <c r="B622" s="1219"/>
      <c r="C622" s="1026">
        <f t="shared" si="97"/>
        <v>181</v>
      </c>
      <c r="D622" s="1234">
        <v>3.88</v>
      </c>
      <c r="E622" s="1288" t="s">
        <v>31</v>
      </c>
      <c r="F622" s="1041">
        <f t="shared" si="98"/>
        <v>-7</v>
      </c>
      <c r="G622" s="1234">
        <v>4.4400000000000004</v>
      </c>
      <c r="H622" s="1224"/>
      <c r="I622" s="1041">
        <f t="shared" si="99"/>
        <v>-8</v>
      </c>
      <c r="J622" s="1234">
        <f>J606</f>
        <v>5.2299999999999995</v>
      </c>
      <c r="K622" s="1224"/>
      <c r="L622" s="1041">
        <f t="shared" si="100"/>
        <v>-9</v>
      </c>
      <c r="N622" s="1204" t="e">
        <f>-(J622*#REF!)/100</f>
        <v>#REF!</v>
      </c>
      <c r="AC622" s="1185"/>
      <c r="AD622" s="1185"/>
      <c r="AE622" s="1185"/>
      <c r="AF622" s="1185"/>
      <c r="AG622" s="1185"/>
      <c r="AH622" s="1185"/>
      <c r="AI622" s="1185"/>
    </row>
    <row r="623" spans="1:37">
      <c r="A623" s="1009" t="s">
        <v>427</v>
      </c>
      <c r="B623" s="1219"/>
      <c r="C623" s="1026">
        <f t="shared" si="97"/>
        <v>5105859.333333333</v>
      </c>
      <c r="D623" s="1236">
        <v>4.6340000000000003</v>
      </c>
      <c r="E623" s="1041" t="s">
        <v>374</v>
      </c>
      <c r="F623" s="1041">
        <f t="shared" si="98"/>
        <v>-2366</v>
      </c>
      <c r="G623" s="1236">
        <v>5.2919999999999998</v>
      </c>
      <c r="H623" s="1009" t="s">
        <v>374</v>
      </c>
      <c r="I623" s="1041">
        <f t="shared" si="99"/>
        <v>-2703</v>
      </c>
      <c r="J623" s="1236">
        <f>J608</f>
        <v>2.5059999999999998</v>
      </c>
      <c r="K623" s="1009" t="s">
        <v>374</v>
      </c>
      <c r="L623" s="1041">
        <f t="shared" si="100"/>
        <v>-1279</v>
      </c>
      <c r="N623" s="1204" t="e">
        <f>-((J623*#REF!)/100)/100</f>
        <v>#REF!</v>
      </c>
      <c r="AC623" s="1185"/>
      <c r="AD623" s="1185"/>
      <c r="AE623" s="1185"/>
      <c r="AF623" s="1185"/>
      <c r="AG623" s="1185"/>
      <c r="AH623" s="1185"/>
      <c r="AI623" s="1185"/>
    </row>
    <row r="624" spans="1:37">
      <c r="A624" s="1009" t="s">
        <v>399</v>
      </c>
      <c r="B624" s="1219"/>
      <c r="C624" s="1026">
        <f t="shared" si="97"/>
        <v>11112061.666666668</v>
      </c>
      <c r="D624" s="1236">
        <v>4.2469999999999999</v>
      </c>
      <c r="E624" s="1041" t="s">
        <v>374</v>
      </c>
      <c r="F624" s="1041">
        <f t="shared" si="98"/>
        <v>-4719</v>
      </c>
      <c r="G624" s="1236">
        <v>4.8499999999999996</v>
      </c>
      <c r="H624" s="1009" t="s">
        <v>374</v>
      </c>
      <c r="I624" s="1041">
        <f t="shared" si="99"/>
        <v>-5392</v>
      </c>
      <c r="J624" s="1236">
        <f>J609</f>
        <v>2.2970000000000002</v>
      </c>
      <c r="K624" s="1009" t="s">
        <v>374</v>
      </c>
      <c r="L624" s="1041">
        <f t="shared" si="100"/>
        <v>-2553</v>
      </c>
      <c r="N624" s="1204" t="e">
        <f>-((J624*#REF!)/100)/100</f>
        <v>#REF!</v>
      </c>
      <c r="AC624" s="1185"/>
      <c r="AD624" s="1185"/>
      <c r="AE624" s="1185"/>
      <c r="AF624" s="1185"/>
      <c r="AG624" s="1185"/>
      <c r="AH624" s="1185"/>
      <c r="AI624" s="1185"/>
    </row>
    <row r="625" spans="1:37">
      <c r="A625" s="1009" t="s">
        <v>400</v>
      </c>
      <c r="B625" s="1219"/>
      <c r="C625" s="1026">
        <f t="shared" si="97"/>
        <v>8803.6</v>
      </c>
      <c r="D625" s="1286">
        <v>50</v>
      </c>
      <c r="E625" s="1041" t="s">
        <v>374</v>
      </c>
      <c r="F625" s="1041">
        <f t="shared" si="98"/>
        <v>-44</v>
      </c>
      <c r="G625" s="1286">
        <v>56</v>
      </c>
      <c r="H625" s="1009" t="s">
        <v>374</v>
      </c>
      <c r="I625" s="1041">
        <f t="shared" si="99"/>
        <v>-49</v>
      </c>
      <c r="J625" s="1286">
        <f>J610</f>
        <v>64</v>
      </c>
      <c r="K625" s="1009" t="s">
        <v>374</v>
      </c>
      <c r="L625" s="1041">
        <f t="shared" si="100"/>
        <v>-56</v>
      </c>
      <c r="N625" s="1204" t="e">
        <f>-((J625*#REF!)/100)/100</f>
        <v>#REF!</v>
      </c>
      <c r="AC625" s="1185"/>
      <c r="AD625" s="1185"/>
      <c r="AE625" s="1185"/>
      <c r="AF625" s="1185"/>
      <c r="AG625" s="1185"/>
      <c r="AH625" s="1185"/>
      <c r="AI625" s="1185"/>
    </row>
    <row r="626" spans="1:37">
      <c r="A626" s="1009" t="s">
        <v>443</v>
      </c>
      <c r="B626" s="1219"/>
      <c r="C626" s="1026">
        <f t="shared" si="97"/>
        <v>143</v>
      </c>
      <c r="D626" s="1229">
        <v>60</v>
      </c>
      <c r="E626" s="1288" t="s">
        <v>31</v>
      </c>
      <c r="F626" s="1041">
        <f t="shared" si="98"/>
        <v>8580</v>
      </c>
      <c r="G626" s="1229">
        <v>60</v>
      </c>
      <c r="H626" s="1219"/>
      <c r="I626" s="1041">
        <f t="shared" si="99"/>
        <v>8580</v>
      </c>
      <c r="J626" s="1229">
        <f>'[94]Blocking - detail'!I504</f>
        <v>60</v>
      </c>
      <c r="K626" s="1219"/>
      <c r="L626" s="1041">
        <f t="shared" si="100"/>
        <v>8580</v>
      </c>
      <c r="N626" s="1204" t="e">
        <f>J626*#REF!</f>
        <v>#REF!</v>
      </c>
      <c r="AC626" s="1185"/>
      <c r="AD626" s="1185"/>
      <c r="AE626" s="1185"/>
      <c r="AF626" s="1185"/>
      <c r="AG626" s="1185"/>
      <c r="AH626" s="1185"/>
      <c r="AI626" s="1185"/>
    </row>
    <row r="627" spans="1:37">
      <c r="A627" s="1009" t="s">
        <v>444</v>
      </c>
      <c r="B627" s="1219"/>
      <c r="C627" s="1026">
        <f t="shared" si="97"/>
        <v>64453</v>
      </c>
      <c r="D627" s="1262">
        <v>-30</v>
      </c>
      <c r="E627" s="1041" t="s">
        <v>374</v>
      </c>
      <c r="F627" s="1041">
        <f t="shared" si="98"/>
        <v>-19336</v>
      </c>
      <c r="G627" s="1262">
        <v>-30</v>
      </c>
      <c r="H627" s="1041" t="s">
        <v>374</v>
      </c>
      <c r="I627" s="1041">
        <f t="shared" si="99"/>
        <v>-19336</v>
      </c>
      <c r="J627" s="1262">
        <f>'[94]Blocking - detail'!I505</f>
        <v>-30</v>
      </c>
      <c r="K627" s="1041" t="s">
        <v>374</v>
      </c>
      <c r="L627" s="1041">
        <f t="shared" si="100"/>
        <v>-19336</v>
      </c>
      <c r="N627" s="1204" t="e">
        <f>(J627/100)*#REF!</f>
        <v>#REF!</v>
      </c>
      <c r="AC627" s="1185"/>
      <c r="AD627" s="1185"/>
      <c r="AE627" s="1185"/>
      <c r="AF627" s="1185"/>
      <c r="AG627" s="1185"/>
      <c r="AH627" s="1185"/>
      <c r="AI627" s="1185"/>
    </row>
    <row r="628" spans="1:37">
      <c r="A628" s="1005" t="s">
        <v>924</v>
      </c>
      <c r="C628" s="1026">
        <f t="shared" si="97"/>
        <v>5105859.333333333</v>
      </c>
      <c r="D628" s="269"/>
      <c r="E628" s="1185"/>
      <c r="F628" s="1203"/>
      <c r="G628" s="269"/>
      <c r="H628" s="1185"/>
      <c r="I628" s="1203"/>
      <c r="J628" s="1230">
        <f>J611</f>
        <v>3.4790000000000001</v>
      </c>
      <c r="K628" s="1041" t="s">
        <v>374</v>
      </c>
      <c r="L628" s="1041">
        <f t="shared" si="100"/>
        <v>-1776</v>
      </c>
      <c r="N628" s="1204"/>
      <c r="P628" s="815"/>
      <c r="Q628" s="1184"/>
      <c r="R628" s="1184"/>
      <c r="S628" s="1205"/>
      <c r="T628" s="1205"/>
      <c r="Y628" s="1185"/>
      <c r="Z628" s="1185"/>
      <c r="AA628" s="1185"/>
      <c r="AB628" s="1185"/>
      <c r="AC628" s="1185"/>
      <c r="AD628" s="1185"/>
      <c r="AE628" s="1185"/>
      <c r="AF628" s="1185"/>
      <c r="AG628" s="1185"/>
      <c r="AH628" s="1185"/>
      <c r="AI628" s="1185"/>
      <c r="AK628" s="1204"/>
    </row>
    <row r="629" spans="1:37">
      <c r="A629" s="1005" t="s">
        <v>925</v>
      </c>
      <c r="C629" s="1026">
        <f t="shared" si="97"/>
        <v>11112061.666666668</v>
      </c>
      <c r="D629" s="269"/>
      <c r="E629" s="1185"/>
      <c r="F629" s="1203"/>
      <c r="G629" s="269"/>
      <c r="H629" s="1185"/>
      <c r="I629" s="1203"/>
      <c r="J629" s="1230">
        <f>J612</f>
        <v>3.19</v>
      </c>
      <c r="K629" s="1041" t="s">
        <v>374</v>
      </c>
      <c r="L629" s="1041">
        <f t="shared" si="100"/>
        <v>-3545</v>
      </c>
      <c r="N629" s="1204"/>
      <c r="P629" s="815"/>
      <c r="Q629" s="1184"/>
      <c r="R629" s="1184"/>
      <c r="S629" s="1205"/>
      <c r="T629" s="1205"/>
      <c r="Y629" s="1185"/>
      <c r="Z629" s="1185"/>
      <c r="AA629" s="1185"/>
      <c r="AB629" s="1185"/>
      <c r="AC629" s="1185"/>
      <c r="AD629" s="1185"/>
      <c r="AE629" s="1185"/>
      <c r="AF629" s="1185"/>
      <c r="AG629" s="1185"/>
      <c r="AH629" s="1185"/>
      <c r="AI629" s="1185"/>
      <c r="AK629" s="1204"/>
    </row>
    <row r="630" spans="1:37">
      <c r="A630" s="1219" t="s">
        <v>381</v>
      </c>
      <c r="B630" s="1296"/>
      <c r="C630" s="1026">
        <f t="shared" si="97"/>
        <v>861138439</v>
      </c>
      <c r="D630" s="1255"/>
      <c r="E630" s="1203"/>
      <c r="F630" s="1203">
        <f>F668+F706</f>
        <v>53671050</v>
      </c>
      <c r="G630" s="1249"/>
      <c r="H630" s="1219"/>
      <c r="I630" s="1203">
        <f>I668+I706</f>
        <v>61320232</v>
      </c>
      <c r="J630" s="1203"/>
      <c r="K630" s="1219"/>
      <c r="L630" s="1203">
        <f t="shared" si="100"/>
        <v>69948258</v>
      </c>
      <c r="N630" s="1204" t="e">
        <f>SUM(N598:N627)</f>
        <v>#REF!</v>
      </c>
      <c r="Q630" s="804"/>
      <c r="R630" s="804"/>
      <c r="AC630" s="1185"/>
      <c r="AD630" s="1185"/>
      <c r="AE630" s="1185"/>
      <c r="AF630" s="1185"/>
      <c r="AG630" s="1185"/>
      <c r="AH630" s="1185"/>
      <c r="AI630" s="1185"/>
    </row>
    <row r="631" spans="1:37">
      <c r="A631" s="1219" t="s">
        <v>363</v>
      </c>
      <c r="B631" s="25"/>
      <c r="C631" s="1028">
        <f t="shared" si="97"/>
        <v>-434048.61387258163</v>
      </c>
      <c r="D631" s="1218"/>
      <c r="E631" s="1218"/>
      <c r="F631" s="1239" t="e">
        <f>F669+F707</f>
        <v>#REF!</v>
      </c>
      <c r="G631" s="1218"/>
      <c r="H631" s="1218"/>
      <c r="I631" s="1239">
        <f>I669+I707</f>
        <v>-22821.496526031377</v>
      </c>
      <c r="J631" s="1218"/>
      <c r="K631" s="1218"/>
      <c r="L631" s="1239">
        <f>I631</f>
        <v>-22821.496526031377</v>
      </c>
      <c r="N631" s="289"/>
      <c r="O631" s="289"/>
      <c r="P631" s="290"/>
      <c r="AC631" s="1185"/>
      <c r="AD631" s="1185"/>
      <c r="AE631" s="1185"/>
      <c r="AF631" s="1185"/>
      <c r="AG631" s="1185"/>
      <c r="AH631" s="1185"/>
      <c r="AI631" s="1185"/>
    </row>
    <row r="632" spans="1:37" ht="16.5" thickBot="1">
      <c r="A632" s="1219" t="s">
        <v>382</v>
      </c>
      <c r="B632" s="1219"/>
      <c r="C632" s="1289">
        <f>SUM(C630)+C631</f>
        <v>860704390.38612747</v>
      </c>
      <c r="D632" s="1265"/>
      <c r="E632" s="1266"/>
      <c r="F632" s="1267" t="e">
        <f>F630+F631</f>
        <v>#REF!</v>
      </c>
      <c r="G632" s="1265"/>
      <c r="H632" s="1269"/>
      <c r="I632" s="1267">
        <f>I630+I631</f>
        <v>61297410.503473967</v>
      </c>
      <c r="J632" s="1265"/>
      <c r="K632" s="1269"/>
      <c r="L632" s="1267">
        <f>L630+L631</f>
        <v>69925436.503473967</v>
      </c>
      <c r="N632" s="291"/>
      <c r="O632" s="1215" t="s">
        <v>409</v>
      </c>
      <c r="P632" s="1241">
        <f>'[94]Rate Spread'!Q24*1000</f>
        <v>69925634.005942971</v>
      </c>
      <c r="Q632" s="818">
        <f>'[94]Rate Spread'!V24-0.00026</f>
        <v>0.14049999999999999</v>
      </c>
      <c r="R632" s="777"/>
      <c r="S632" s="55" t="s">
        <v>31</v>
      </c>
      <c r="AC632" s="1185"/>
      <c r="AD632" s="1185"/>
      <c r="AE632" s="1185"/>
      <c r="AF632" s="1185"/>
      <c r="AG632" s="1185"/>
      <c r="AH632" s="1185"/>
      <c r="AI632" s="1185"/>
    </row>
    <row r="633" spans="1:37" ht="16.5" thickTop="1">
      <c r="A633" s="1219"/>
      <c r="B633" s="1219"/>
      <c r="C633" s="1225"/>
      <c r="D633" s="1261"/>
      <c r="E633" s="1203"/>
      <c r="F633" s="1203"/>
      <c r="G633" s="1261" t="s">
        <v>31</v>
      </c>
      <c r="H633" s="1219"/>
      <c r="I633" s="1203" t="s">
        <v>31</v>
      </c>
      <c r="J633" s="1259" t="s">
        <v>31</v>
      </c>
      <c r="K633" s="1219"/>
      <c r="L633" s="1203" t="s">
        <v>31</v>
      </c>
      <c r="O633" s="1220" t="s">
        <v>263</v>
      </c>
      <c r="P633" s="1221">
        <f>P632-L632</f>
        <v>197.50246900320053</v>
      </c>
      <c r="Q633" s="1271" t="s">
        <v>31</v>
      </c>
      <c r="R633" s="1272"/>
      <c r="AC633" s="1185"/>
      <c r="AD633" s="1185"/>
      <c r="AE633" s="1185"/>
      <c r="AF633" s="1185"/>
      <c r="AG633" s="1185"/>
      <c r="AH633" s="1185"/>
      <c r="AI633" s="1185"/>
    </row>
    <row r="634" spans="1:37">
      <c r="A634" s="1224" t="s">
        <v>436</v>
      </c>
      <c r="B634" s="1219"/>
      <c r="C634" s="1219"/>
      <c r="D634" s="1203"/>
      <c r="E634" s="1203"/>
      <c r="F634" s="1219" t="s">
        <v>31</v>
      </c>
      <c r="G634" s="1203"/>
      <c r="H634" s="1219"/>
      <c r="I634" s="1219"/>
      <c r="J634" s="1203"/>
      <c r="K634" s="1219"/>
      <c r="L634" s="1219"/>
      <c r="AC634" s="1185"/>
      <c r="AD634" s="1185"/>
      <c r="AE634" s="1185"/>
      <c r="AF634" s="1185"/>
      <c r="AG634" s="1185"/>
      <c r="AH634" s="1185"/>
      <c r="AI634" s="1185"/>
    </row>
    <row r="635" spans="1:37">
      <c r="A635" s="1218" t="s">
        <v>445</v>
      </c>
      <c r="B635" s="1219"/>
      <c r="C635" s="1219"/>
      <c r="D635" s="1203"/>
      <c r="E635" s="1203"/>
      <c r="F635" s="1219"/>
      <c r="G635" s="1203"/>
      <c r="H635" s="1219"/>
      <c r="I635" s="1219"/>
      <c r="J635" s="1203"/>
      <c r="K635" s="1219"/>
      <c r="L635" s="1219"/>
      <c r="P635" s="1223" t="s">
        <v>31</v>
      </c>
      <c r="AC635" s="1185"/>
      <c r="AD635" s="1185"/>
      <c r="AE635" s="1185"/>
      <c r="AF635" s="1185"/>
      <c r="AG635" s="1185"/>
      <c r="AH635" s="1185"/>
      <c r="AI635" s="1185"/>
    </row>
    <row r="636" spans="1:37">
      <c r="A636" s="1009"/>
      <c r="B636" s="1219"/>
      <c r="C636" s="1219"/>
      <c r="D636" s="1203"/>
      <c r="E636" s="1203"/>
      <c r="F636" s="1219"/>
      <c r="G636" s="1203"/>
      <c r="H636" s="1219"/>
      <c r="I636" s="1219"/>
      <c r="J636" s="1203"/>
      <c r="K636" s="1219"/>
      <c r="L636" s="1219"/>
      <c r="N636" s="1185"/>
      <c r="O636" s="1185"/>
      <c r="P636" s="1186"/>
      <c r="Q636" s="1186"/>
      <c r="R636" s="1186"/>
      <c r="S636" s="1185"/>
      <c r="T636" s="1185"/>
      <c r="U636" s="1185"/>
      <c r="V636" s="1185"/>
      <c r="W636" s="1185"/>
      <c r="X636" s="1185"/>
      <c r="Y636" s="1185"/>
      <c r="Z636" s="1185"/>
      <c r="AA636" s="1185"/>
      <c r="AB636" s="1185"/>
      <c r="AC636" s="1185"/>
      <c r="AD636" s="1185"/>
      <c r="AE636" s="1185"/>
      <c r="AF636" s="1185"/>
      <c r="AG636" s="1185"/>
      <c r="AH636" s="1185"/>
      <c r="AI636" s="1185"/>
    </row>
    <row r="637" spans="1:37">
      <c r="A637" s="1009" t="s">
        <v>393</v>
      </c>
      <c r="B637" s="1219"/>
      <c r="C637" s="1026"/>
      <c r="D637" s="1203"/>
      <c r="E637" s="1203"/>
      <c r="F637" s="1219"/>
      <c r="G637" s="1203"/>
      <c r="H637" s="1219"/>
      <c r="I637" s="1219"/>
      <c r="J637" s="1203"/>
      <c r="K637" s="1219"/>
      <c r="L637" s="1219"/>
      <c r="N637" s="1185"/>
      <c r="O637" s="1185"/>
      <c r="P637" s="1186"/>
      <c r="Q637" s="1186"/>
      <c r="R637" s="1186"/>
      <c r="S637" s="1185"/>
      <c r="T637" s="1185"/>
      <c r="U637" s="1185"/>
      <c r="V637" s="1185"/>
      <c r="W637" s="1185"/>
      <c r="X637" s="1185"/>
      <c r="Y637" s="1185"/>
      <c r="Z637" s="1185"/>
      <c r="AA637" s="1185"/>
      <c r="AB637" s="1185"/>
      <c r="AC637" s="1185"/>
      <c r="AD637" s="1185"/>
      <c r="AE637" s="1185"/>
      <c r="AF637" s="1185"/>
      <c r="AG637" s="1185"/>
      <c r="AH637" s="1185"/>
      <c r="AI637" s="1185"/>
    </row>
    <row r="638" spans="1:37">
      <c r="A638" s="1009" t="s">
        <v>421</v>
      </c>
      <c r="B638" s="1219"/>
      <c r="C638" s="1026">
        <f>281</f>
        <v>281</v>
      </c>
      <c r="D638" s="1229">
        <v>227</v>
      </c>
      <c r="E638" s="1009"/>
      <c r="F638" s="1041">
        <f>ROUND(D638*$C638,0)</f>
        <v>63787</v>
      </c>
      <c r="G638" s="1229">
        <v>259</v>
      </c>
      <c r="H638" s="1009"/>
      <c r="I638" s="1041">
        <f>ROUND(G638*C638,0)</f>
        <v>72779</v>
      </c>
      <c r="J638" s="1229">
        <f>$J$598</f>
        <v>298</v>
      </c>
      <c r="K638" s="1009"/>
      <c r="L638" s="1041">
        <f>ROUND(J638*$C638,0)</f>
        <v>83738</v>
      </c>
      <c r="N638" s="1185"/>
      <c r="Q638" s="1186"/>
      <c r="R638" s="1186"/>
      <c r="S638" s="1185"/>
      <c r="T638" s="1185"/>
      <c r="U638" s="1185"/>
      <c r="V638" s="1185"/>
      <c r="W638" s="1185"/>
      <c r="X638" s="1185"/>
      <c r="Y638" s="1185"/>
      <c r="Z638" s="1185"/>
      <c r="AA638" s="1185"/>
      <c r="AB638" s="1185"/>
      <c r="AC638" s="1185"/>
      <c r="AD638" s="1185"/>
      <c r="AE638" s="1185"/>
      <c r="AF638" s="1185"/>
      <c r="AG638" s="1185"/>
      <c r="AH638" s="1185"/>
      <c r="AI638" s="1185"/>
    </row>
    <row r="639" spans="1:37">
      <c r="A639" s="1009" t="s">
        <v>422</v>
      </c>
      <c r="B639" s="1219"/>
      <c r="C639" s="1026">
        <f>57+7534</f>
        <v>7591</v>
      </c>
      <c r="D639" s="1229">
        <v>84</v>
      </c>
      <c r="E639" s="1009"/>
      <c r="F639" s="1041">
        <f>ROUND(D639*$C639,0)</f>
        <v>637644</v>
      </c>
      <c r="G639" s="1229">
        <v>96</v>
      </c>
      <c r="H639" s="1009"/>
      <c r="I639" s="1041">
        <f>ROUND(G639*C639,0)</f>
        <v>728736</v>
      </c>
      <c r="J639" s="1229">
        <f>$J$599</f>
        <v>109</v>
      </c>
      <c r="K639" s="1009"/>
      <c r="L639" s="1041">
        <f>ROUND(J639*$C639,0)</f>
        <v>827419</v>
      </c>
      <c r="N639" s="1185"/>
      <c r="Q639" s="1186"/>
      <c r="R639" s="1186"/>
      <c r="S639" s="1185"/>
      <c r="T639" s="1185"/>
      <c r="U639" s="1185"/>
      <c r="V639" s="1185"/>
      <c r="W639" s="1185"/>
      <c r="X639" s="1185"/>
      <c r="Y639" s="1185"/>
      <c r="Z639" s="1185"/>
      <c r="AA639" s="1185"/>
      <c r="AB639" s="1185"/>
      <c r="AC639" s="1185"/>
      <c r="AD639" s="1185"/>
      <c r="AE639" s="1185"/>
      <c r="AF639" s="1185"/>
      <c r="AG639" s="1185"/>
      <c r="AH639" s="1185"/>
      <c r="AI639" s="1185"/>
    </row>
    <row r="640" spans="1:37">
      <c r="A640" s="1009" t="s">
        <v>423</v>
      </c>
      <c r="B640" s="1219"/>
      <c r="C640" s="1026">
        <f>85+2926-'[94]Load Loss'!C11</f>
        <v>2998.9333333333334</v>
      </c>
      <c r="D640" s="1229">
        <v>168</v>
      </c>
      <c r="E640" s="1250"/>
      <c r="F640" s="1041">
        <f>ROUND(D640*$C640,0)</f>
        <v>503821</v>
      </c>
      <c r="G640" s="1229">
        <v>192</v>
      </c>
      <c r="H640" s="1250"/>
      <c r="I640" s="1041">
        <f>ROUND(G640*C640,0)</f>
        <v>575795</v>
      </c>
      <c r="J640" s="1229">
        <f>$J$600</f>
        <v>219</v>
      </c>
      <c r="K640" s="1250"/>
      <c r="L640" s="1041">
        <f>ROUND(J640*$C640,0)</f>
        <v>656766</v>
      </c>
      <c r="N640" s="1185"/>
      <c r="Q640" s="1186"/>
      <c r="R640" s="1186"/>
      <c r="S640" s="1185"/>
      <c r="T640" s="1185"/>
      <c r="U640" s="1185"/>
      <c r="V640" s="1185"/>
      <c r="W640" s="1185"/>
      <c r="X640" s="1185"/>
      <c r="Y640" s="1185"/>
      <c r="Z640" s="1185"/>
      <c r="AA640" s="1185"/>
      <c r="AB640" s="1185"/>
      <c r="AC640" s="1185"/>
      <c r="AD640" s="1185"/>
      <c r="AE640" s="1185"/>
      <c r="AF640" s="1185"/>
      <c r="AG640" s="1185"/>
      <c r="AH640" s="1185"/>
      <c r="AI640" s="1185"/>
    </row>
    <row r="641" spans="1:37">
      <c r="A641" s="1009" t="s">
        <v>394</v>
      </c>
      <c r="B641" s="1219"/>
      <c r="C641" s="1026">
        <f>SUM(C638:C640)</f>
        <v>10870.933333333334</v>
      </c>
      <c r="D641" s="1229"/>
      <c r="E641" s="1009"/>
      <c r="F641" s="1041"/>
      <c r="G641" s="1229"/>
      <c r="H641" s="1009"/>
      <c r="I641" s="1041"/>
      <c r="J641" s="1229"/>
      <c r="K641" s="1009"/>
      <c r="L641" s="1041"/>
      <c r="N641" s="1185"/>
      <c r="Q641" s="1186"/>
      <c r="R641" s="1186"/>
      <c r="S641" s="1185"/>
      <c r="T641" s="1185"/>
      <c r="U641" s="1185"/>
      <c r="V641" s="1185"/>
      <c r="W641" s="1185"/>
      <c r="X641" s="1185"/>
      <c r="Y641" s="1185"/>
      <c r="Z641" s="1185"/>
      <c r="AA641" s="1185"/>
      <c r="AB641" s="1185"/>
      <c r="AC641" s="1185"/>
      <c r="AD641" s="1185"/>
      <c r="AE641" s="1185"/>
      <c r="AF641" s="1185"/>
      <c r="AG641" s="1185"/>
      <c r="AH641" s="1185"/>
      <c r="AI641" s="1185"/>
    </row>
    <row r="642" spans="1:37">
      <c r="A642" s="1009" t="s">
        <v>422</v>
      </c>
      <c r="B642" s="1219"/>
      <c r="C642" s="1026">
        <f>11751+1300323</f>
        <v>1312074</v>
      </c>
      <c r="D642" s="1229">
        <v>1.48</v>
      </c>
      <c r="E642" s="1009" t="s">
        <v>31</v>
      </c>
      <c r="F642" s="1041">
        <f>ROUND(D642*$C642,0)</f>
        <v>1941870</v>
      </c>
      <c r="G642" s="1229">
        <v>1.7</v>
      </c>
      <c r="H642" s="1009" t="s">
        <v>31</v>
      </c>
      <c r="I642" s="1041">
        <f t="shared" ref="I642:I643" si="101">ROUND(G642*C642,0)</f>
        <v>2230526</v>
      </c>
      <c r="J642" s="1229">
        <f>$J$602</f>
        <v>1.94</v>
      </c>
      <c r="K642" s="1009" t="s">
        <v>31</v>
      </c>
      <c r="L642" s="1041">
        <f>ROUND(J642*$C642,0)</f>
        <v>2545424</v>
      </c>
      <c r="N642" s="1185"/>
      <c r="Q642" s="1186"/>
      <c r="R642" s="1186"/>
      <c r="S642" s="1185"/>
      <c r="T642" s="1185"/>
      <c r="U642" s="1185"/>
      <c r="V642" s="1185"/>
      <c r="W642" s="1185"/>
      <c r="X642" s="1185"/>
      <c r="Y642" s="1185"/>
      <c r="Z642" s="1185"/>
      <c r="AA642" s="1185"/>
      <c r="AB642" s="1185"/>
      <c r="AC642" s="1185"/>
      <c r="AD642" s="1185"/>
      <c r="AE642" s="1185"/>
      <c r="AF642" s="1185"/>
      <c r="AG642" s="1185"/>
      <c r="AH642" s="1185"/>
      <c r="AI642" s="1185"/>
    </row>
    <row r="643" spans="1:37">
      <c r="A643" s="1009" t="s">
        <v>423</v>
      </c>
      <c r="B643" s="1219"/>
      <c r="C643" s="1026">
        <f>55486+1424492-'[94]Load Loss'!C14</f>
        <v>1471768</v>
      </c>
      <c r="D643" s="1229">
        <v>1.22</v>
      </c>
      <c r="E643" s="1009" t="s">
        <v>31</v>
      </c>
      <c r="F643" s="1041">
        <f>ROUND(D643*$C643,0)</f>
        <v>1795557</v>
      </c>
      <c r="G643" s="1229">
        <v>1.39</v>
      </c>
      <c r="H643" s="1009" t="s">
        <v>31</v>
      </c>
      <c r="I643" s="1041">
        <f t="shared" si="101"/>
        <v>2045758</v>
      </c>
      <c r="J643" s="1229">
        <f>$J$603</f>
        <v>1.59</v>
      </c>
      <c r="K643" s="1009" t="s">
        <v>31</v>
      </c>
      <c r="L643" s="1041">
        <f>ROUND(J643*$C643,0)</f>
        <v>2340111</v>
      </c>
      <c r="N643" s="1185"/>
      <c r="Q643" s="1186"/>
      <c r="R643" s="1186"/>
      <c r="S643" s="1185"/>
      <c r="T643" s="1185"/>
      <c r="U643" s="1185"/>
      <c r="V643" s="1185"/>
      <c r="W643" s="1185"/>
      <c r="X643" s="1185"/>
      <c r="Y643" s="1185"/>
      <c r="Z643" s="1185"/>
      <c r="AA643" s="1185"/>
      <c r="AB643" s="1185"/>
      <c r="AC643" s="1185"/>
      <c r="AD643" s="1185"/>
      <c r="AE643" s="1185"/>
      <c r="AF643" s="1185"/>
      <c r="AG643" s="1185"/>
      <c r="AH643" s="1185"/>
      <c r="AI643" s="1185"/>
    </row>
    <row r="644" spans="1:37">
      <c r="A644" s="1218" t="s">
        <v>424</v>
      </c>
      <c r="B644" s="1219"/>
      <c r="C644" s="1026"/>
      <c r="D644" s="1234"/>
      <c r="E644" s="1009"/>
      <c r="F644" s="1041"/>
      <c r="G644" s="1234"/>
      <c r="H644" s="1009"/>
      <c r="I644" s="1041"/>
      <c r="J644" s="1234"/>
      <c r="K644" s="1009"/>
      <c r="L644" s="1041"/>
      <c r="N644" s="1185"/>
      <c r="Q644" s="1186"/>
      <c r="R644" s="1186"/>
      <c r="S644" s="1185"/>
      <c r="T644" s="1185"/>
      <c r="U644" s="1185"/>
      <c r="V644" s="1185"/>
      <c r="W644" s="1185"/>
      <c r="X644" s="1185"/>
      <c r="Y644" s="1185"/>
      <c r="Z644" s="1185"/>
      <c r="AA644" s="1185"/>
      <c r="AB644" s="1185"/>
      <c r="AC644" s="1185"/>
      <c r="AD644" s="1185"/>
      <c r="AE644" s="1185"/>
      <c r="AF644" s="1185"/>
      <c r="AG644" s="1185"/>
      <c r="AH644" s="1185"/>
      <c r="AI644" s="1185"/>
    </row>
    <row r="645" spans="1:37">
      <c r="A645" s="1218" t="s">
        <v>425</v>
      </c>
      <c r="B645" s="1219"/>
      <c r="C645" s="1026">
        <f>9322+39219+17535+972195+1060315-'[94]Load Loss'!C16</f>
        <v>2091816</v>
      </c>
      <c r="D645" s="1229">
        <v>3.88</v>
      </c>
      <c r="E645" s="1009"/>
      <c r="F645" s="1041">
        <f>ROUND(D645*$C645,0)</f>
        <v>8116246</v>
      </c>
      <c r="G645" s="1229">
        <v>4.4400000000000004</v>
      </c>
      <c r="H645" s="1009"/>
      <c r="I645" s="1041">
        <f t="shared" ref="I645:I646" si="102">ROUND(G645*C645,0)</f>
        <v>9287663</v>
      </c>
      <c r="J645" s="1229">
        <f>$J$605</f>
        <v>5.2299999999999995</v>
      </c>
      <c r="K645" s="1009"/>
      <c r="L645" s="1041">
        <f>ROUND(J645*$C645,0)</f>
        <v>10940198</v>
      </c>
      <c r="N645" s="1185"/>
      <c r="Q645" s="1186"/>
      <c r="R645" s="1186"/>
      <c r="S645" s="1185"/>
      <c r="T645" s="1185"/>
      <c r="U645" s="1185"/>
      <c r="V645" s="1185"/>
      <c r="W645" s="1185"/>
      <c r="X645" s="1185"/>
      <c r="Y645" s="1185"/>
      <c r="Z645" s="1185"/>
      <c r="AA645" s="1185"/>
      <c r="AB645" s="1185"/>
      <c r="AC645" s="1185"/>
      <c r="AD645" s="1185"/>
      <c r="AE645" s="1185"/>
      <c r="AF645" s="1185"/>
      <c r="AG645" s="1185"/>
      <c r="AH645" s="1185"/>
      <c r="AI645" s="1185"/>
    </row>
    <row r="646" spans="1:37">
      <c r="A646" s="1218" t="s">
        <v>441</v>
      </c>
      <c r="B646" s="1219"/>
      <c r="C646" s="1026">
        <f>250+210+1624+950</f>
        <v>3034</v>
      </c>
      <c r="D646" s="1292">
        <v>3.88</v>
      </c>
      <c r="E646" s="1009"/>
      <c r="F646" s="1041">
        <f>ROUND(D646*$C646,0)</f>
        <v>11772</v>
      </c>
      <c r="G646" s="1292">
        <v>4.4400000000000004</v>
      </c>
      <c r="H646" s="1009"/>
      <c r="I646" s="1041">
        <f t="shared" si="102"/>
        <v>13471</v>
      </c>
      <c r="J646" s="1292">
        <f>J645</f>
        <v>5.2299999999999995</v>
      </c>
      <c r="K646" s="1009"/>
      <c r="L646" s="1041">
        <f>ROUND(J646*$C646,0)</f>
        <v>15868</v>
      </c>
      <c r="N646" s="1185"/>
      <c r="Q646" s="1186"/>
      <c r="R646" s="1186"/>
      <c r="S646" s="1185"/>
      <c r="T646" s="1185"/>
      <c r="U646" s="1185"/>
      <c r="V646" s="1185"/>
      <c r="W646" s="1185"/>
      <c r="X646" s="1185"/>
      <c r="Y646" s="1185"/>
      <c r="Z646" s="1185"/>
      <c r="AA646" s="1185"/>
      <c r="AB646" s="1185"/>
      <c r="AC646" s="1185"/>
      <c r="AD646" s="1185"/>
      <c r="AE646" s="1185"/>
      <c r="AF646" s="1185"/>
      <c r="AG646" s="1185"/>
      <c r="AH646" s="1185"/>
      <c r="AI646" s="1185"/>
    </row>
    <row r="647" spans="1:37">
      <c r="A647" s="1009" t="s">
        <v>426</v>
      </c>
      <c r="B647" s="1219"/>
      <c r="C647" s="1026"/>
      <c r="D647" s="1229"/>
      <c r="E647" s="1009"/>
      <c r="F647" s="1041"/>
      <c r="G647" s="1229"/>
      <c r="H647" s="1009"/>
      <c r="I647" s="1041"/>
      <c r="J647" s="1229"/>
      <c r="K647" s="1009"/>
      <c r="L647" s="1041"/>
      <c r="N647" s="1185"/>
      <c r="Q647" s="1186"/>
      <c r="R647" s="1186"/>
      <c r="S647" s="1185"/>
      <c r="T647" s="1185"/>
      <c r="U647" s="1185"/>
      <c r="V647" s="1185"/>
      <c r="W647" s="1185"/>
      <c r="X647" s="1185"/>
      <c r="Y647" s="1185"/>
      <c r="Z647" s="1185"/>
      <c r="AA647" s="1185"/>
      <c r="AB647" s="1185"/>
      <c r="AC647" s="1185"/>
      <c r="AD647" s="1185"/>
      <c r="AE647" s="1185"/>
      <c r="AF647" s="1185"/>
      <c r="AG647" s="1185"/>
      <c r="AH647" s="1185"/>
      <c r="AI647" s="1185"/>
    </row>
    <row r="648" spans="1:37">
      <c r="A648" s="1009" t="s">
        <v>427</v>
      </c>
      <c r="B648" s="1026"/>
      <c r="C648" s="1026">
        <f>2056393+3072400+4257539+226577685+110054142-'[94]Load Loss'!C19</f>
        <v>345535492.33333331</v>
      </c>
      <c r="D648" s="1297">
        <v>4.6340000000000003</v>
      </c>
      <c r="E648" s="1009" t="s">
        <v>374</v>
      </c>
      <c r="F648" s="1041">
        <f>ROUND(D648*$C648/100,0)</f>
        <v>16012115</v>
      </c>
      <c r="G648" s="1298">
        <v>5.2919999999999998</v>
      </c>
      <c r="H648" s="1009" t="s">
        <v>374</v>
      </c>
      <c r="I648" s="1041">
        <f>ROUND(G648*C648/100,0)</f>
        <v>18285738</v>
      </c>
      <c r="J648" s="806">
        <f>$J$608</f>
        <v>2.5059999999999998</v>
      </c>
      <c r="K648" s="1009" t="s">
        <v>374</v>
      </c>
      <c r="L648" s="1041">
        <f>ROUND(J648*$C648/100,0)</f>
        <v>8659119</v>
      </c>
      <c r="N648" s="1185"/>
      <c r="Q648" s="1186"/>
      <c r="R648" s="1186"/>
      <c r="S648" s="1185"/>
      <c r="T648" s="1185"/>
      <c r="U648" s="1185"/>
      <c r="V648" s="1185"/>
      <c r="W648" s="1185"/>
      <c r="X648" s="1185"/>
      <c r="Y648" s="1185"/>
      <c r="Z648" s="1185"/>
      <c r="AA648" s="1185"/>
      <c r="AB648" s="1185"/>
      <c r="AC648" s="1185"/>
      <c r="AD648" s="1185"/>
      <c r="AE648" s="1185"/>
      <c r="AF648" s="1185"/>
      <c r="AG648" s="1185"/>
      <c r="AH648" s="1185"/>
      <c r="AI648" s="1185"/>
    </row>
    <row r="649" spans="1:37">
      <c r="A649" s="1009" t="s">
        <v>399</v>
      </c>
      <c r="B649" s="1026"/>
      <c r="C649" s="1026">
        <f>3686800+12483521+4350426+318933808+413712700-'[94]Load Loss'!C19-'[94]Load Loss'!C20-C648</f>
        <v>406010762.66666669</v>
      </c>
      <c r="D649" s="1297">
        <v>4.2469999999999999</v>
      </c>
      <c r="E649" s="1009" t="s">
        <v>374</v>
      </c>
      <c r="F649" s="1041">
        <f>ROUND(D649*$C649/100,0)</f>
        <v>17243277</v>
      </c>
      <c r="G649" s="1298">
        <v>4.8499999999999996</v>
      </c>
      <c r="H649" s="1009" t="s">
        <v>374</v>
      </c>
      <c r="I649" s="1041">
        <f t="shared" ref="I649:I650" si="103">ROUND(G649*C649/100,0)</f>
        <v>19691522</v>
      </c>
      <c r="J649" s="806">
        <f>$J$609</f>
        <v>2.2970000000000002</v>
      </c>
      <c r="K649" s="1009" t="s">
        <v>374</v>
      </c>
      <c r="L649" s="1041">
        <f>ROUND(J649*$C649/100,0)</f>
        <v>9326067</v>
      </c>
      <c r="N649" s="1185"/>
      <c r="Q649" s="1186"/>
      <c r="R649" s="1186"/>
      <c r="S649" s="1185"/>
      <c r="T649" s="1185"/>
      <c r="U649" s="1185"/>
      <c r="V649" s="1185"/>
      <c r="W649" s="1185"/>
      <c r="X649" s="1185"/>
      <c r="Y649" s="1185"/>
      <c r="Z649" s="1185"/>
      <c r="AA649" s="1185"/>
      <c r="AB649" s="1185"/>
      <c r="AC649" s="1185"/>
      <c r="AD649" s="1185"/>
      <c r="AE649" s="1185"/>
      <c r="AF649" s="1185"/>
      <c r="AG649" s="1185"/>
      <c r="AH649" s="1185"/>
      <c r="AI649" s="1185"/>
    </row>
    <row r="650" spans="1:37">
      <c r="A650" s="1009" t="s">
        <v>400</v>
      </c>
      <c r="B650" s="1219"/>
      <c r="C650" s="1026">
        <f>590+10691+1905+174527+195017-'[94]Load Loss'!C21</f>
        <v>379182.6</v>
      </c>
      <c r="D650" s="1262">
        <v>50</v>
      </c>
      <c r="E650" s="1009" t="s">
        <v>374</v>
      </c>
      <c r="F650" s="1041">
        <f>ROUND(D650*$C650/100,0)</f>
        <v>189591</v>
      </c>
      <c r="G650" s="1299">
        <v>56</v>
      </c>
      <c r="H650" s="1009" t="s">
        <v>374</v>
      </c>
      <c r="I650" s="1041">
        <f t="shared" si="103"/>
        <v>212342</v>
      </c>
      <c r="J650" s="1300">
        <f>$J$610</f>
        <v>64</v>
      </c>
      <c r="K650" s="1009" t="s">
        <v>374</v>
      </c>
      <c r="L650" s="1041">
        <f>ROUND(J650*$C650/100,0)</f>
        <v>242677</v>
      </c>
      <c r="N650" s="1185"/>
      <c r="Q650" s="1186"/>
      <c r="R650" s="1186"/>
      <c r="S650" s="1065" t="s">
        <v>31</v>
      </c>
      <c r="T650" s="1185"/>
      <c r="U650" s="1185"/>
      <c r="V650" s="1185"/>
      <c r="W650" s="1185"/>
      <c r="X650" s="1185"/>
      <c r="Y650" s="1185"/>
      <c r="Z650" s="1185"/>
      <c r="AA650" s="1185"/>
      <c r="AB650" s="1185"/>
      <c r="AC650" s="1185"/>
      <c r="AD650" s="1185"/>
      <c r="AE650" s="1185"/>
      <c r="AF650" s="1185"/>
      <c r="AG650" s="1185"/>
      <c r="AH650" s="1185"/>
      <c r="AI650" s="1185"/>
    </row>
    <row r="651" spans="1:37">
      <c r="A651" s="1005" t="s">
        <v>924</v>
      </c>
      <c r="C651" s="1202">
        <f>C648</f>
        <v>345535492.33333331</v>
      </c>
      <c r="D651" s="269"/>
      <c r="E651" s="1185"/>
      <c r="F651" s="1203"/>
      <c r="G651" s="269"/>
      <c r="H651" s="1185"/>
      <c r="I651" s="1203"/>
      <c r="J651" s="1230">
        <f>J611</f>
        <v>3.4790000000000001</v>
      </c>
      <c r="K651" s="1041" t="s">
        <v>374</v>
      </c>
      <c r="L651" s="1041">
        <f t="shared" ref="L651:L652" si="104">ROUND(J651*$C651/100,0)</f>
        <v>12021180</v>
      </c>
      <c r="N651" s="1204"/>
      <c r="Q651" s="1274"/>
      <c r="R651" s="1186"/>
      <c r="S651" s="1205"/>
      <c r="T651" s="1205"/>
      <c r="Y651" s="1185"/>
      <c r="Z651" s="1185"/>
      <c r="AA651" s="1185"/>
      <c r="AB651" s="1185"/>
      <c r="AC651" s="1185"/>
      <c r="AD651" s="1185"/>
      <c r="AE651" s="1185"/>
      <c r="AF651" s="1185"/>
      <c r="AG651" s="1185"/>
      <c r="AH651" s="1185"/>
      <c r="AI651" s="1185"/>
      <c r="AK651" s="1204"/>
    </row>
    <row r="652" spans="1:37">
      <c r="A652" s="1005" t="s">
        <v>925</v>
      </c>
      <c r="C652" s="1202">
        <f>C649</f>
        <v>406010762.66666669</v>
      </c>
      <c r="D652" s="269"/>
      <c r="E652" s="1185"/>
      <c r="F652" s="1203"/>
      <c r="G652" s="269"/>
      <c r="H652" s="1185"/>
      <c r="I652" s="1203"/>
      <c r="J652" s="1230">
        <f>J612</f>
        <v>3.19</v>
      </c>
      <c r="K652" s="1041" t="s">
        <v>374</v>
      </c>
      <c r="L652" s="1041">
        <f t="shared" si="104"/>
        <v>12951743</v>
      </c>
      <c r="N652" s="1204"/>
      <c r="Q652" s="1274"/>
      <c r="R652" s="1186"/>
      <c r="S652" s="1205"/>
      <c r="T652" s="1205"/>
      <c r="Y652" s="1185"/>
      <c r="Z652" s="1185"/>
      <c r="AA652" s="1185"/>
      <c r="AB652" s="1185"/>
      <c r="AC652" s="1185"/>
      <c r="AD652" s="1185"/>
      <c r="AE652" s="1185"/>
      <c r="AF652" s="1185"/>
      <c r="AG652" s="1185"/>
      <c r="AH652" s="1185"/>
      <c r="AI652" s="1185"/>
      <c r="AK652" s="1204"/>
    </row>
    <row r="653" spans="1:37">
      <c r="A653" s="1283" t="s">
        <v>401</v>
      </c>
      <c r="B653" s="1219"/>
      <c r="C653" s="1026"/>
      <c r="D653" s="1257">
        <v>-0.01</v>
      </c>
      <c r="E653" s="1203"/>
      <c r="F653" s="1041"/>
      <c r="G653" s="1257">
        <v>-0.01</v>
      </c>
      <c r="H653" s="1219"/>
      <c r="I653" s="1041"/>
      <c r="J653" s="1257">
        <v>-0.01</v>
      </c>
      <c r="K653" s="1219"/>
      <c r="L653" s="1041"/>
      <c r="N653" s="1185"/>
      <c r="Q653" s="1274"/>
      <c r="R653" s="1186"/>
      <c r="S653" s="1185"/>
      <c r="T653" s="1185"/>
      <c r="U653" s="1185"/>
      <c r="V653" s="1185"/>
      <c r="W653" s="1185"/>
      <c r="X653" s="1185"/>
      <c r="Y653" s="1185"/>
      <c r="Z653" s="1185"/>
      <c r="AA653" s="1185"/>
      <c r="AB653" s="1185"/>
      <c r="AC653" s="1185"/>
      <c r="AD653" s="1185"/>
      <c r="AE653" s="1185"/>
      <c r="AF653" s="1185"/>
      <c r="AG653" s="1185"/>
      <c r="AH653" s="1185"/>
      <c r="AI653" s="1185"/>
    </row>
    <row r="654" spans="1:37">
      <c r="A654" s="1009" t="s">
        <v>421</v>
      </c>
      <c r="B654" s="1225"/>
      <c r="C654" s="1026">
        <v>0</v>
      </c>
      <c r="D654" s="1234">
        <v>227</v>
      </c>
      <c r="E654" s="1288"/>
      <c r="F654" s="1041">
        <f>ROUND(D654*$C654*D653,0)</f>
        <v>0</v>
      </c>
      <c r="G654" s="1234">
        <v>259</v>
      </c>
      <c r="H654" s="1224"/>
      <c r="I654" s="1041">
        <f>ROUND(G654*C654*$G$653,0)</f>
        <v>0</v>
      </c>
      <c r="J654" s="1234">
        <f>J638</f>
        <v>298</v>
      </c>
      <c r="K654" s="1224"/>
      <c r="L654" s="1041">
        <f>ROUND(J654*$C654*J653,0)</f>
        <v>0</v>
      </c>
      <c r="N654" s="1185"/>
      <c r="Q654" s="1274"/>
      <c r="R654" s="1186"/>
      <c r="S654" s="1185"/>
      <c r="T654" s="1185"/>
      <c r="U654" s="1185"/>
      <c r="V654" s="1185"/>
      <c r="W654" s="1185"/>
      <c r="X654" s="1185"/>
      <c r="Y654" s="1185"/>
      <c r="Z654" s="1185"/>
      <c r="AA654" s="1185"/>
      <c r="AB654" s="1185"/>
      <c r="AC654" s="1185"/>
      <c r="AD654" s="1185"/>
      <c r="AE654" s="1185"/>
      <c r="AF654" s="1185"/>
      <c r="AG654" s="1185"/>
      <c r="AH654" s="1185"/>
      <c r="AI654" s="1185"/>
    </row>
    <row r="655" spans="1:37">
      <c r="A655" s="1009" t="s">
        <v>422</v>
      </c>
      <c r="B655" s="1219"/>
      <c r="C655" s="1026">
        <f>57</f>
        <v>57</v>
      </c>
      <c r="D655" s="1234">
        <v>84</v>
      </c>
      <c r="E655" s="1288"/>
      <c r="F655" s="1041">
        <f>ROUND(D655*$C655*D653,0)</f>
        <v>-48</v>
      </c>
      <c r="G655" s="1234">
        <v>96</v>
      </c>
      <c r="H655" s="1224"/>
      <c r="I655" s="1041">
        <f t="shared" ref="I655:I660" si="105">ROUND(G655*C655*$G$653,0)</f>
        <v>-55</v>
      </c>
      <c r="J655" s="1234">
        <f>J639</f>
        <v>109</v>
      </c>
      <c r="K655" s="1224"/>
      <c r="L655" s="1041">
        <f>ROUND(J655*$C655*J653,0)</f>
        <v>-62</v>
      </c>
      <c r="N655" s="1185"/>
      <c r="Q655" s="1274"/>
      <c r="R655" s="1186"/>
      <c r="S655" s="1185"/>
      <c r="T655" s="1185"/>
      <c r="U655" s="1185"/>
      <c r="V655" s="1185"/>
      <c r="W655" s="1185"/>
      <c r="X655" s="1185"/>
      <c r="Y655" s="1185"/>
      <c r="Z655" s="1185"/>
      <c r="AA655" s="1185"/>
      <c r="AB655" s="1185"/>
      <c r="AC655" s="1185"/>
      <c r="AD655" s="1185"/>
      <c r="AE655" s="1185"/>
      <c r="AF655" s="1185"/>
      <c r="AG655" s="1185"/>
      <c r="AH655" s="1185"/>
      <c r="AI655" s="1185"/>
    </row>
    <row r="656" spans="1:37">
      <c r="A656" s="1009" t="s">
        <v>423</v>
      </c>
      <c r="B656" s="1219"/>
      <c r="C656" s="1026">
        <f>85-'[94]Load Loss'!C25</f>
        <v>72.933333333333294</v>
      </c>
      <c r="D656" s="1234">
        <v>168</v>
      </c>
      <c r="E656" s="1294"/>
      <c r="F656" s="1041">
        <f>ROUND(D656*$C656*D653,0)</f>
        <v>-123</v>
      </c>
      <c r="G656" s="1234">
        <v>192</v>
      </c>
      <c r="H656" s="1295"/>
      <c r="I656" s="1041">
        <f t="shared" si="105"/>
        <v>-140</v>
      </c>
      <c r="J656" s="1234">
        <f>J640</f>
        <v>219</v>
      </c>
      <c r="K656" s="1295"/>
      <c r="L656" s="1041">
        <f>ROUND(J656*$C656*J653,0)</f>
        <v>-160</v>
      </c>
      <c r="N656" s="1185"/>
      <c r="Q656" s="1274"/>
      <c r="R656" s="1186"/>
      <c r="S656" s="1185"/>
      <c r="T656" s="1185"/>
      <c r="U656" s="1185"/>
      <c r="V656" s="1185"/>
      <c r="W656" s="1185"/>
      <c r="X656" s="1185"/>
      <c r="Y656" s="1185"/>
      <c r="Z656" s="1185"/>
      <c r="AA656" s="1185"/>
      <c r="AB656" s="1185"/>
      <c r="AC656" s="1185"/>
      <c r="AD656" s="1185"/>
      <c r="AE656" s="1185"/>
      <c r="AF656" s="1185"/>
      <c r="AG656" s="1185"/>
      <c r="AH656" s="1185"/>
      <c r="AI656" s="1185"/>
    </row>
    <row r="657" spans="1:37">
      <c r="A657" s="1009" t="s">
        <v>422</v>
      </c>
      <c r="B657" s="1219"/>
      <c r="C657" s="1026">
        <f>11751</f>
        <v>11751</v>
      </c>
      <c r="D657" s="1234">
        <v>1.48</v>
      </c>
      <c r="E657" s="1288"/>
      <c r="F657" s="1041">
        <f>ROUND(D657*$C657*D653,0)</f>
        <v>-174</v>
      </c>
      <c r="G657" s="1234">
        <v>1.7</v>
      </c>
      <c r="H657" s="1224"/>
      <c r="I657" s="1041">
        <f t="shared" si="105"/>
        <v>-200</v>
      </c>
      <c r="J657" s="1234">
        <f>J642</f>
        <v>1.94</v>
      </c>
      <c r="K657" s="1224"/>
      <c r="L657" s="1041">
        <f>ROUND(J657*$C657*J653,0)</f>
        <v>-228</v>
      </c>
      <c r="N657" s="1185"/>
      <c r="Q657" s="1274"/>
      <c r="R657" s="1186"/>
      <c r="S657" s="1185"/>
      <c r="T657" s="1185"/>
      <c r="U657" s="1185"/>
      <c r="V657" s="1185"/>
      <c r="W657" s="1185"/>
      <c r="X657" s="1185"/>
      <c r="Y657" s="1185"/>
      <c r="Z657" s="1185"/>
      <c r="AA657" s="1185"/>
      <c r="AB657" s="1185"/>
      <c r="AC657" s="1185"/>
      <c r="AD657" s="1185"/>
      <c r="AE657" s="1185"/>
      <c r="AF657" s="1185"/>
      <c r="AG657" s="1185"/>
      <c r="AH657" s="1185"/>
      <c r="AI657" s="1185"/>
    </row>
    <row r="658" spans="1:37">
      <c r="A658" s="1009" t="s">
        <v>423</v>
      </c>
      <c r="B658" s="1219"/>
      <c r="C658" s="1026">
        <f>55486-'[94]Load Loss'!C27</f>
        <v>47276</v>
      </c>
      <c r="D658" s="1234">
        <v>1.22</v>
      </c>
      <c r="E658" s="1288" t="s">
        <v>31</v>
      </c>
      <c r="F658" s="1041">
        <f>ROUND(D658*$C658*D653,0)</f>
        <v>-577</v>
      </c>
      <c r="G658" s="1234">
        <v>1.39</v>
      </c>
      <c r="H658" s="1224"/>
      <c r="I658" s="1041">
        <f t="shared" si="105"/>
        <v>-657</v>
      </c>
      <c r="J658" s="1234">
        <f>J643</f>
        <v>1.59</v>
      </c>
      <c r="K658" s="1224"/>
      <c r="L658" s="1041">
        <f>ROUND(J658*$C658*J653,0)</f>
        <v>-752</v>
      </c>
      <c r="N658" s="1185"/>
      <c r="Q658" s="1274"/>
      <c r="R658" s="1186"/>
      <c r="S658" s="1185"/>
      <c r="T658" s="1185"/>
      <c r="U658" s="1185"/>
      <c r="V658" s="1185"/>
      <c r="W658" s="1185"/>
      <c r="X658" s="1185"/>
      <c r="Y658" s="1185"/>
      <c r="Z658" s="1185"/>
      <c r="AA658" s="1185"/>
      <c r="AB658" s="1185"/>
      <c r="AC658" s="1185"/>
      <c r="AD658" s="1185"/>
      <c r="AE658" s="1185"/>
      <c r="AF658" s="1185"/>
      <c r="AG658" s="1185"/>
      <c r="AH658" s="1185"/>
      <c r="AI658" s="1185"/>
    </row>
    <row r="659" spans="1:37">
      <c r="A659" s="1218" t="s">
        <v>425</v>
      </c>
      <c r="B659" s="1219"/>
      <c r="C659" s="1026">
        <f>9322+39219-'[94]Load Loss'!C28</f>
        <v>41771</v>
      </c>
      <c r="D659" s="1234">
        <v>3.88</v>
      </c>
      <c r="E659" s="1288" t="s">
        <v>31</v>
      </c>
      <c r="F659" s="1041">
        <f>ROUND(D659*$C659*D653,0)</f>
        <v>-1621</v>
      </c>
      <c r="G659" s="1234">
        <v>4.4400000000000004</v>
      </c>
      <c r="H659" s="1224"/>
      <c r="I659" s="1041">
        <f t="shared" si="105"/>
        <v>-1855</v>
      </c>
      <c r="J659" s="1234">
        <f>J645</f>
        <v>5.2299999999999995</v>
      </c>
      <c r="K659" s="1224"/>
      <c r="L659" s="1041">
        <f>ROUND(J659*$C659*J653,0)</f>
        <v>-2185</v>
      </c>
      <c r="N659" s="1185"/>
      <c r="Q659" s="1274"/>
      <c r="R659" s="1186"/>
      <c r="S659" s="1185"/>
      <c r="T659" s="1185"/>
      <c r="U659" s="1185"/>
      <c r="V659" s="1185"/>
      <c r="W659" s="1185"/>
      <c r="X659" s="1185"/>
      <c r="Y659" s="1185"/>
      <c r="Z659" s="1185"/>
      <c r="AA659" s="1185"/>
      <c r="AB659" s="1185"/>
      <c r="AC659" s="1185"/>
      <c r="AD659" s="1185"/>
      <c r="AE659" s="1185"/>
      <c r="AF659" s="1185"/>
      <c r="AG659" s="1185"/>
      <c r="AH659" s="1185"/>
      <c r="AI659" s="1185"/>
    </row>
    <row r="660" spans="1:37">
      <c r="A660" s="1218" t="s">
        <v>441</v>
      </c>
      <c r="B660" s="1219"/>
      <c r="C660" s="1026">
        <f>250</f>
        <v>250</v>
      </c>
      <c r="D660" s="1234">
        <v>3.88</v>
      </c>
      <c r="E660" s="1288" t="s">
        <v>31</v>
      </c>
      <c r="F660" s="1041">
        <f>ROUND(D660*$C660*D653,0)</f>
        <v>-10</v>
      </c>
      <c r="G660" s="1234">
        <v>4.4400000000000004</v>
      </c>
      <c r="H660" s="1224"/>
      <c r="I660" s="1041">
        <f t="shared" si="105"/>
        <v>-11</v>
      </c>
      <c r="J660" s="1234">
        <f>J646</f>
        <v>5.2299999999999995</v>
      </c>
      <c r="K660" s="1224"/>
      <c r="L660" s="1041">
        <f>ROUND(J660*$C660*J653,0)</f>
        <v>-13</v>
      </c>
      <c r="N660" s="1185"/>
      <c r="Q660" s="1274"/>
      <c r="R660" s="1186"/>
      <c r="S660" s="1185"/>
      <c r="T660" s="1185"/>
      <c r="U660" s="1185"/>
      <c r="V660" s="1185"/>
      <c r="W660" s="1185"/>
      <c r="X660" s="1185"/>
      <c r="Y660" s="1185"/>
      <c r="Z660" s="1185"/>
      <c r="AA660" s="1185"/>
      <c r="AB660" s="1185"/>
      <c r="AC660" s="1185"/>
      <c r="AD660" s="1185"/>
      <c r="AE660" s="1185"/>
      <c r="AF660" s="1185"/>
      <c r="AG660" s="1185"/>
      <c r="AH660" s="1185"/>
      <c r="AI660" s="1185"/>
    </row>
    <row r="661" spans="1:37">
      <c r="A661" s="1009" t="s">
        <v>427</v>
      </c>
      <c r="B661" s="1219"/>
      <c r="C661" s="1026">
        <f>2056393+3072400-'[94]Load Loss'!C30</f>
        <v>4646126.333333333</v>
      </c>
      <c r="D661" s="1236">
        <v>4.6340000000000003</v>
      </c>
      <c r="E661" s="1041" t="s">
        <v>374</v>
      </c>
      <c r="F661" s="1041">
        <f>ROUND(D661*$C661/100*D653,0)</f>
        <v>-2153</v>
      </c>
      <c r="G661" s="1236">
        <v>5.2939999999999996</v>
      </c>
      <c r="H661" s="1009" t="s">
        <v>374</v>
      </c>
      <c r="I661" s="1041">
        <f>ROUND(G661*C661/100*$G$653,0)</f>
        <v>-2460</v>
      </c>
      <c r="J661" s="1236">
        <f>J648</f>
        <v>2.5059999999999998</v>
      </c>
      <c r="K661" s="1009" t="s">
        <v>374</v>
      </c>
      <c r="L661" s="1041">
        <f>ROUND(J661*$C661/100*J653,0)</f>
        <v>-1164</v>
      </c>
      <c r="N661" s="1274"/>
      <c r="Q661" s="1274"/>
      <c r="R661" s="1186"/>
      <c r="S661" s="1185"/>
      <c r="T661" s="1185"/>
      <c r="U661" s="1185"/>
      <c r="V661" s="1185"/>
      <c r="W661" s="1185"/>
      <c r="X661" s="1185"/>
      <c r="Y661" s="1185"/>
      <c r="Z661" s="1185"/>
      <c r="AA661" s="1185"/>
      <c r="AB661" s="1185"/>
      <c r="AC661" s="1185"/>
      <c r="AD661" s="1185"/>
      <c r="AE661" s="1185"/>
      <c r="AF661" s="1185"/>
      <c r="AG661" s="1185"/>
      <c r="AH661" s="1185"/>
      <c r="AI661" s="1185"/>
    </row>
    <row r="662" spans="1:37">
      <c r="A662" s="1009" t="s">
        <v>399</v>
      </c>
      <c r="B662" s="1219"/>
      <c r="C662" s="1026">
        <f>3686800+12483521-'[94]Load Loss'!C31-'[94]Load Loss'!C30-C661</f>
        <v>9903194.6666666679</v>
      </c>
      <c r="D662" s="1236">
        <v>4.2469999999999999</v>
      </c>
      <c r="E662" s="1041" t="s">
        <v>374</v>
      </c>
      <c r="F662" s="1041">
        <f>ROUND(D662*$C662/100*D653,0)</f>
        <v>-4206</v>
      </c>
      <c r="G662" s="1236">
        <v>4.8520000000000003</v>
      </c>
      <c r="H662" s="1009" t="s">
        <v>374</v>
      </c>
      <c r="I662" s="1041">
        <f>ROUND(G662*C662/100*$G$653,0)</f>
        <v>-4805</v>
      </c>
      <c r="J662" s="1236">
        <f>J649</f>
        <v>2.2970000000000002</v>
      </c>
      <c r="K662" s="1009" t="s">
        <v>374</v>
      </c>
      <c r="L662" s="1041">
        <f>ROUND(J662*$C662/100*J653,0)</f>
        <v>-2275</v>
      </c>
      <c r="N662" s="1185"/>
      <c r="Q662" s="1274"/>
      <c r="R662" s="1186"/>
      <c r="S662" s="1185"/>
      <c r="T662" s="1185"/>
      <c r="U662" s="1185"/>
      <c r="V662" s="1185"/>
      <c r="W662" s="1185"/>
      <c r="X662" s="1185"/>
      <c r="Y662" s="1185"/>
      <c r="Z662" s="1185"/>
      <c r="AA662" s="1185"/>
      <c r="AB662" s="1185"/>
      <c r="AC662" s="1185"/>
      <c r="AD662" s="1185"/>
      <c r="AE662" s="1185"/>
      <c r="AF662" s="1185"/>
      <c r="AG662" s="1185"/>
      <c r="AH662" s="1185"/>
      <c r="AI662" s="1185"/>
    </row>
    <row r="663" spans="1:37">
      <c r="A663" s="1009" t="s">
        <v>400</v>
      </c>
      <c r="B663" s="1219"/>
      <c r="C663" s="1026">
        <f>590+10691-'[94]Load Loss'!C32</f>
        <v>7733.6</v>
      </c>
      <c r="D663" s="1286">
        <v>50</v>
      </c>
      <c r="E663" s="1041" t="s">
        <v>374</v>
      </c>
      <c r="F663" s="1041">
        <f>ROUND(D663*$C663/100*D653,0)</f>
        <v>-39</v>
      </c>
      <c r="G663" s="1286">
        <v>56</v>
      </c>
      <c r="H663" s="1009" t="s">
        <v>374</v>
      </c>
      <c r="I663" s="1041">
        <f>ROUND(G663*C663/100*$G$653,0)</f>
        <v>-43</v>
      </c>
      <c r="J663" s="1286">
        <f>J650</f>
        <v>64</v>
      </c>
      <c r="K663" s="1009" t="s">
        <v>374</v>
      </c>
      <c r="L663" s="1041">
        <f>ROUND(J663*$C663/100*J653,0)</f>
        <v>-49</v>
      </c>
      <c r="N663" s="1185"/>
      <c r="Q663" s="1274"/>
      <c r="R663" s="1186"/>
      <c r="S663" s="1185"/>
      <c r="T663" s="1185"/>
      <c r="U663" s="1185"/>
      <c r="V663" s="1185"/>
      <c r="W663" s="1185"/>
      <c r="X663" s="1185"/>
      <c r="Y663" s="1185"/>
      <c r="Z663" s="1185"/>
      <c r="AA663" s="1185"/>
      <c r="AB663" s="1185"/>
      <c r="AC663" s="1185"/>
      <c r="AD663" s="1185"/>
      <c r="AE663" s="1185"/>
      <c r="AF663" s="1185"/>
      <c r="AG663" s="1185"/>
      <c r="AH663" s="1185"/>
      <c r="AI663" s="1185"/>
    </row>
    <row r="664" spans="1:37">
      <c r="A664" s="1009" t="s">
        <v>443</v>
      </c>
      <c r="B664" s="1219"/>
      <c r="C664" s="1026">
        <f>57+85-'[94]Load Loss'!C33</f>
        <v>130</v>
      </c>
      <c r="D664" s="1229">
        <v>60</v>
      </c>
      <c r="E664" s="1288" t="s">
        <v>31</v>
      </c>
      <c r="F664" s="1041">
        <f>ROUND(D664*$C664,0)</f>
        <v>7800</v>
      </c>
      <c r="G664" s="1229">
        <v>60</v>
      </c>
      <c r="H664" s="1219"/>
      <c r="I664" s="1041">
        <f>ROUND(G664*C664,0)</f>
        <v>7800</v>
      </c>
      <c r="J664" s="1229">
        <f>$J$626</f>
        <v>60</v>
      </c>
      <c r="K664" s="1219"/>
      <c r="L664" s="1041">
        <f>ROUND(J664*$C664,0)</f>
        <v>7800</v>
      </c>
      <c r="N664" s="1185"/>
      <c r="Q664" s="1184"/>
      <c r="R664" s="815"/>
      <c r="S664" s="1185"/>
      <c r="T664" s="1185"/>
      <c r="U664" s="1185"/>
      <c r="V664" s="1185"/>
      <c r="W664" s="1185"/>
      <c r="X664" s="1185"/>
      <c r="Y664" s="1185"/>
      <c r="Z664" s="1185"/>
      <c r="AA664" s="1185"/>
      <c r="AB664" s="1185"/>
      <c r="AC664" s="1185"/>
      <c r="AD664" s="1185"/>
      <c r="AE664" s="1185"/>
      <c r="AF664" s="1185"/>
      <c r="AG664" s="1185"/>
      <c r="AH664" s="1185"/>
      <c r="AI664" s="1185"/>
    </row>
    <row r="665" spans="1:37">
      <c r="A665" s="1009" t="s">
        <v>444</v>
      </c>
      <c r="B665" s="1235"/>
      <c r="C665" s="1026">
        <f>11751+55486-'[94]Load Loss'!C34</f>
        <v>59027</v>
      </c>
      <c r="D665" s="1262">
        <v>-30</v>
      </c>
      <c r="E665" s="1041" t="s">
        <v>374</v>
      </c>
      <c r="F665" s="1041">
        <f>ROUND(D665*$C665/100,0)</f>
        <v>-17708</v>
      </c>
      <c r="G665" s="1262">
        <v>-30</v>
      </c>
      <c r="H665" s="1041" t="s">
        <v>374</v>
      </c>
      <c r="I665" s="1041">
        <f>-ROUND(G665*C665*$G$653,0)</f>
        <v>-17708</v>
      </c>
      <c r="J665" s="1262">
        <f>$J$627</f>
        <v>-30</v>
      </c>
      <c r="K665" s="1041" t="s">
        <v>374</v>
      </c>
      <c r="L665" s="1041">
        <f>ROUND(J665*$C665/100,0)</f>
        <v>-17708</v>
      </c>
      <c r="N665" s="1185"/>
      <c r="Q665" s="1184"/>
      <c r="R665" s="815"/>
      <c r="S665" s="1065" t="s">
        <v>31</v>
      </c>
      <c r="T665" s="1185"/>
      <c r="U665" s="1185"/>
      <c r="V665" s="1185"/>
      <c r="W665" s="1185"/>
      <c r="X665" s="1185"/>
      <c r="Y665" s="1185"/>
      <c r="Z665" s="1185"/>
      <c r="AA665" s="1185"/>
      <c r="AB665" s="1185"/>
      <c r="AC665" s="1185"/>
      <c r="AD665" s="1185"/>
      <c r="AE665" s="1185"/>
      <c r="AF665" s="1185"/>
      <c r="AG665" s="1185"/>
      <c r="AH665" s="1185"/>
      <c r="AI665" s="1185"/>
    </row>
    <row r="666" spans="1:37">
      <c r="A666" s="1005" t="s">
        <v>924</v>
      </c>
      <c r="C666" s="1202">
        <f>C661</f>
        <v>4646126.333333333</v>
      </c>
      <c r="D666" s="269"/>
      <c r="E666" s="1185"/>
      <c r="F666" s="1203"/>
      <c r="G666" s="269"/>
      <c r="H666" s="1185"/>
      <c r="I666" s="1203"/>
      <c r="J666" s="1230">
        <f>J651</f>
        <v>3.4790000000000001</v>
      </c>
      <c r="K666" s="1041" t="s">
        <v>374</v>
      </c>
      <c r="L666" s="1041">
        <f>ROUND(J666*$C666/100*J653,0)</f>
        <v>-1616</v>
      </c>
      <c r="N666" s="1204"/>
      <c r="Q666" s="1274"/>
      <c r="R666" s="1186"/>
      <c r="S666" s="1205"/>
      <c r="T666" s="1205"/>
      <c r="Y666" s="1185"/>
      <c r="Z666" s="1185"/>
      <c r="AA666" s="1185"/>
      <c r="AB666" s="1185"/>
      <c r="AC666" s="1185"/>
      <c r="AD666" s="1185"/>
      <c r="AE666" s="1185"/>
      <c r="AF666" s="1185"/>
      <c r="AG666" s="1185"/>
      <c r="AH666" s="1185"/>
      <c r="AI666" s="1185"/>
      <c r="AK666" s="1204"/>
    </row>
    <row r="667" spans="1:37">
      <c r="A667" s="1005" t="s">
        <v>925</v>
      </c>
      <c r="C667" s="1202">
        <f>C662</f>
        <v>9903194.6666666679</v>
      </c>
      <c r="D667" s="269"/>
      <c r="E667" s="1185"/>
      <c r="F667" s="1203"/>
      <c r="G667" s="269"/>
      <c r="H667" s="1185"/>
      <c r="I667" s="1203"/>
      <c r="J667" s="1230">
        <f>J652</f>
        <v>3.19</v>
      </c>
      <c r="K667" s="1041" t="s">
        <v>374</v>
      </c>
      <c r="L667" s="1041">
        <f>ROUND(J667*$C667/100*J653,0)</f>
        <v>-3159</v>
      </c>
      <c r="N667" s="1204"/>
      <c r="Q667" s="1274"/>
      <c r="R667" s="1186"/>
      <c r="S667" s="1205"/>
      <c r="T667" s="1205"/>
      <c r="Y667" s="1185"/>
      <c r="Z667" s="1185"/>
      <c r="AA667" s="1185"/>
      <c r="AB667" s="1185"/>
      <c r="AC667" s="1185"/>
      <c r="AD667" s="1185"/>
      <c r="AE667" s="1185"/>
      <c r="AF667" s="1185"/>
      <c r="AG667" s="1185"/>
      <c r="AH667" s="1185"/>
      <c r="AI667" s="1185"/>
      <c r="AK667" s="1204"/>
    </row>
    <row r="668" spans="1:37">
      <c r="A668" s="1219" t="s">
        <v>381</v>
      </c>
      <c r="B668" s="307"/>
      <c r="C668" s="1026">
        <f>SUM(C648:C649)</f>
        <v>751546255</v>
      </c>
      <c r="D668" s="1255"/>
      <c r="E668" s="1203"/>
      <c r="F668" s="1203">
        <f>SUM(F638:F665)</f>
        <v>46496821</v>
      </c>
      <c r="G668" s="1255"/>
      <c r="H668" s="1219"/>
      <c r="I668" s="1203">
        <f>SUM(I638:I665)</f>
        <v>53124196</v>
      </c>
      <c r="J668" s="1255"/>
      <c r="K668" s="1219"/>
      <c r="L668" s="1203">
        <f>SUM(L638:L667)</f>
        <v>60588739</v>
      </c>
      <c r="N668" s="1185"/>
      <c r="Q668" s="1274"/>
      <c r="R668" s="1186"/>
      <c r="S668" s="1185"/>
      <c r="T668" s="1185"/>
      <c r="U668" s="1185"/>
      <c r="V668" s="1185"/>
      <c r="W668" s="1185"/>
      <c r="X668" s="1185"/>
      <c r="Y668" s="1185"/>
      <c r="Z668" s="1185"/>
      <c r="AA668" s="1185"/>
      <c r="AB668" s="1185"/>
      <c r="AC668" s="1185"/>
      <c r="AD668" s="1185"/>
      <c r="AE668" s="1185"/>
      <c r="AF668" s="1185"/>
      <c r="AG668" s="1185"/>
      <c r="AH668" s="1185"/>
      <c r="AI668" s="1185"/>
    </row>
    <row r="669" spans="1:37">
      <c r="A669" s="1219" t="s">
        <v>363</v>
      </c>
      <c r="B669" s="1219"/>
      <c r="C669" s="1032">
        <f>'[94]Table 2'!H46</f>
        <v>-1937617.861591337</v>
      </c>
      <c r="D669" s="1218"/>
      <c r="E669" s="1218"/>
      <c r="F669" s="1239" t="e">
        <f>#REF!</f>
        <v>#REF!</v>
      </c>
      <c r="G669" s="1218"/>
      <c r="H669" s="1218"/>
      <c r="I669" s="1239">
        <f>'[94]Table 3'!E46</f>
        <v>-154956.56153473366</v>
      </c>
      <c r="J669" s="1218"/>
      <c r="K669" s="1218"/>
      <c r="L669" s="1239">
        <f>I669</f>
        <v>-154956.56153473366</v>
      </c>
      <c r="N669" s="444"/>
      <c r="O669" s="444"/>
      <c r="P669" s="287"/>
      <c r="Q669" s="1274"/>
      <c r="R669" s="1186"/>
      <c r="S669" s="1185"/>
      <c r="T669" s="1185"/>
      <c r="U669" s="1185"/>
      <c r="V669" s="1185"/>
      <c r="W669" s="1185"/>
      <c r="X669" s="1185"/>
      <c r="Y669" s="1185"/>
      <c r="Z669" s="1185"/>
      <c r="AA669" s="1185"/>
      <c r="AB669" s="1185"/>
      <c r="AC669" s="1185"/>
      <c r="AD669" s="1185"/>
      <c r="AE669" s="1185"/>
      <c r="AF669" s="1185"/>
      <c r="AG669" s="1185"/>
      <c r="AH669" s="1185"/>
      <c r="AI669" s="1185"/>
    </row>
    <row r="670" spans="1:37" ht="16.5" thickBot="1">
      <c r="A670" s="1219" t="s">
        <v>382</v>
      </c>
      <c r="B670" s="1219"/>
      <c r="C670" s="1289">
        <f>SUM(C668)+C669</f>
        <v>749608637.13840866</v>
      </c>
      <c r="D670" s="1265"/>
      <c r="E670" s="1266"/>
      <c r="F670" s="1267" t="e">
        <f>F668+F669</f>
        <v>#REF!</v>
      </c>
      <c r="G670" s="1265"/>
      <c r="H670" s="1269"/>
      <c r="I670" s="1267">
        <f>I668+I669</f>
        <v>52969239.438465267</v>
      </c>
      <c r="J670" s="1265"/>
      <c r="K670" s="1269"/>
      <c r="L670" s="1267">
        <f>L668+L669</f>
        <v>60433782.438465267</v>
      </c>
      <c r="N670" s="411"/>
      <c r="O670" s="411"/>
      <c r="P670" s="470"/>
      <c r="Q670" s="1274"/>
      <c r="R670" s="1186"/>
      <c r="S670" s="1185"/>
      <c r="T670" s="1185"/>
      <c r="U670" s="1185"/>
      <c r="V670" s="1185"/>
      <c r="W670" s="1185"/>
      <c r="X670" s="1185"/>
      <c r="Y670" s="1185"/>
      <c r="Z670" s="1185"/>
      <c r="AA670" s="1185"/>
      <c r="AB670" s="1185"/>
      <c r="AC670" s="1185"/>
      <c r="AD670" s="1185"/>
      <c r="AE670" s="1185"/>
      <c r="AF670" s="1185"/>
      <c r="AG670" s="1185"/>
      <c r="AH670" s="1185"/>
      <c r="AI670" s="1185"/>
    </row>
    <row r="671" spans="1:37" ht="16.5" thickTop="1">
      <c r="A671" s="1219"/>
      <c r="B671" s="1219"/>
      <c r="C671" s="1225"/>
      <c r="D671" s="1261"/>
      <c r="E671" s="1203"/>
      <c r="F671" s="1203"/>
      <c r="G671" s="1261" t="s">
        <v>31</v>
      </c>
      <c r="H671" s="1219"/>
      <c r="I671" s="1203"/>
      <c r="J671" s="1259" t="s">
        <v>31</v>
      </c>
      <c r="K671" s="1219"/>
      <c r="L671" s="1203" t="s">
        <v>31</v>
      </c>
      <c r="N671" s="1185"/>
      <c r="O671" s="1185"/>
      <c r="P671" s="1186"/>
      <c r="Q671" s="1274"/>
      <c r="R671" s="1186"/>
      <c r="S671" s="1185"/>
      <c r="T671" s="1185"/>
      <c r="U671" s="1185"/>
      <c r="V671" s="1185"/>
      <c r="W671" s="1185"/>
      <c r="X671" s="1185"/>
      <c r="Y671" s="1185"/>
      <c r="Z671" s="1185"/>
      <c r="AA671" s="1185"/>
      <c r="AB671" s="1185"/>
      <c r="AC671" s="1185"/>
      <c r="AD671" s="1185"/>
      <c r="AE671" s="1185"/>
      <c r="AF671" s="1185"/>
      <c r="AG671" s="1185"/>
      <c r="AH671" s="1185"/>
      <c r="AI671" s="1185"/>
    </row>
    <row r="672" spans="1:37">
      <c r="A672" s="1224" t="s">
        <v>436</v>
      </c>
      <c r="B672" s="1219"/>
      <c r="C672" s="1219"/>
      <c r="D672" s="1203"/>
      <c r="E672" s="1203"/>
      <c r="F672" s="1219" t="s">
        <v>31</v>
      </c>
      <c r="G672" s="1203"/>
      <c r="H672" s="1219"/>
      <c r="I672" s="1219"/>
      <c r="J672" s="1203"/>
      <c r="K672" s="1219"/>
      <c r="L672" s="1219"/>
      <c r="N672" s="1185"/>
      <c r="O672" s="1185"/>
      <c r="P672" s="1186"/>
      <c r="Q672" s="1274"/>
      <c r="R672" s="1186"/>
      <c r="S672" s="1185"/>
      <c r="T672" s="1185"/>
      <c r="U672" s="1185"/>
      <c r="V672" s="1185"/>
      <c r="W672" s="1185"/>
      <c r="X672" s="1185"/>
      <c r="Y672" s="1185"/>
      <c r="Z672" s="1185"/>
      <c r="AA672" s="1185"/>
      <c r="AB672" s="1185"/>
      <c r="AC672" s="1185"/>
      <c r="AD672" s="1185"/>
      <c r="AE672" s="1185"/>
      <c r="AF672" s="1185"/>
      <c r="AG672" s="1185"/>
      <c r="AH672" s="1185"/>
      <c r="AI672" s="1185"/>
    </row>
    <row r="673" spans="1:35">
      <c r="A673" s="1218" t="s">
        <v>446</v>
      </c>
      <c r="B673" s="1219"/>
      <c r="C673" s="1219"/>
      <c r="D673" s="1203"/>
      <c r="E673" s="1203"/>
      <c r="F673" s="1219"/>
      <c r="G673" s="1203"/>
      <c r="H673" s="1219"/>
      <c r="I673" s="1219"/>
      <c r="J673" s="1203"/>
      <c r="K673" s="1219"/>
      <c r="L673" s="1219"/>
      <c r="N673" s="1185"/>
      <c r="O673" s="1185"/>
      <c r="P673" s="1186"/>
      <c r="Q673" s="1274"/>
      <c r="R673" s="1186"/>
      <c r="S673" s="1185"/>
      <c r="T673" s="1185"/>
      <c r="U673" s="1185"/>
      <c r="V673" s="1185"/>
      <c r="W673" s="1185"/>
      <c r="X673" s="1185"/>
      <c r="Y673" s="1185"/>
      <c r="Z673" s="1185"/>
      <c r="AA673" s="1185"/>
      <c r="AB673" s="1185"/>
      <c r="AC673" s="1185"/>
      <c r="AD673" s="1185"/>
      <c r="AE673" s="1185"/>
      <c r="AF673" s="1185"/>
      <c r="AG673" s="1185"/>
      <c r="AH673" s="1185"/>
      <c r="AI673" s="1185"/>
    </row>
    <row r="674" spans="1:35">
      <c r="A674" s="1009"/>
      <c r="B674" s="1219"/>
      <c r="C674" s="1219"/>
      <c r="D674" s="1203"/>
      <c r="E674" s="1203"/>
      <c r="F674" s="1219"/>
      <c r="G674" s="1203"/>
      <c r="H674" s="1219"/>
      <c r="I674" s="1219"/>
      <c r="J674" s="1203"/>
      <c r="K674" s="1219"/>
      <c r="L674" s="1219"/>
      <c r="N674" s="1185"/>
      <c r="O674" s="1185"/>
      <c r="P674" s="1186"/>
      <c r="Q674" s="1274"/>
      <c r="R674" s="1186"/>
      <c r="S674" s="1185"/>
      <c r="T674" s="1185"/>
      <c r="U674" s="1185"/>
      <c r="V674" s="1185"/>
      <c r="W674" s="1185"/>
      <c r="X674" s="1185"/>
      <c r="Y674" s="1185"/>
      <c r="Z674" s="1185"/>
      <c r="AA674" s="1185"/>
      <c r="AB674" s="1185"/>
      <c r="AC674" s="1185"/>
      <c r="AD674" s="1185"/>
      <c r="AE674" s="1185"/>
      <c r="AF674" s="1185"/>
      <c r="AG674" s="1185"/>
      <c r="AH674" s="1185"/>
      <c r="AI674" s="1185"/>
    </row>
    <row r="675" spans="1:35">
      <c r="A675" s="1009" t="s">
        <v>393</v>
      </c>
      <c r="B675" s="1225"/>
      <c r="C675" s="1026"/>
      <c r="D675" s="1203"/>
      <c r="E675" s="1203"/>
      <c r="F675" s="1219"/>
      <c r="G675" s="1203"/>
      <c r="H675" s="1219"/>
      <c r="I675" s="1219"/>
      <c r="J675" s="1203"/>
      <c r="K675" s="1219"/>
      <c r="L675" s="1219"/>
      <c r="N675" s="1185"/>
      <c r="O675" s="1185"/>
      <c r="P675" s="1186"/>
      <c r="Q675" s="1274"/>
      <c r="R675" s="1186"/>
      <c r="S675" s="1185"/>
      <c r="T675" s="1185"/>
      <c r="U675" s="1185"/>
      <c r="V675" s="1185"/>
      <c r="W675" s="1185"/>
      <c r="X675" s="1185"/>
      <c r="Y675" s="1185"/>
      <c r="Z675" s="1185"/>
      <c r="AA675" s="1185"/>
      <c r="AB675" s="1185"/>
      <c r="AC675" s="1185"/>
      <c r="AD675" s="1185"/>
      <c r="AE675" s="1185"/>
      <c r="AF675" s="1185"/>
      <c r="AG675" s="1185"/>
      <c r="AH675" s="1185"/>
      <c r="AI675" s="1185"/>
    </row>
    <row r="676" spans="1:35">
      <c r="A676" s="1009" t="s">
        <v>421</v>
      </c>
      <c r="B676" s="1219"/>
      <c r="C676" s="1026">
        <f>51</f>
        <v>51</v>
      </c>
      <c r="D676" s="1229">
        <v>227</v>
      </c>
      <c r="E676" s="1009"/>
      <c r="F676" s="1041">
        <f>ROUND(D676*$C676,0)</f>
        <v>11577</v>
      </c>
      <c r="G676" s="1229">
        <v>259</v>
      </c>
      <c r="H676" s="1009"/>
      <c r="I676" s="1041">
        <f>ROUND(G676*C676,0)</f>
        <v>13209</v>
      </c>
      <c r="J676" s="1229">
        <f>$J$598</f>
        <v>298</v>
      </c>
      <c r="K676" s="1009"/>
      <c r="L676" s="1041">
        <f>ROUND(J676*$C676,0)</f>
        <v>15198</v>
      </c>
      <c r="N676" s="1185"/>
      <c r="O676" s="1185"/>
      <c r="P676" s="1186"/>
      <c r="Q676" s="1274"/>
      <c r="R676" s="1186"/>
      <c r="S676" s="1185"/>
      <c r="T676" s="1185"/>
      <c r="U676" s="1185"/>
      <c r="V676" s="1185"/>
      <c r="W676" s="1185"/>
      <c r="X676" s="1185"/>
      <c r="Y676" s="1185"/>
      <c r="Z676" s="1185"/>
      <c r="AA676" s="1185"/>
      <c r="AB676" s="1185"/>
      <c r="AC676" s="1185"/>
      <c r="AD676" s="1185"/>
      <c r="AE676" s="1185"/>
      <c r="AF676" s="1185"/>
      <c r="AG676" s="1185"/>
      <c r="AH676" s="1185"/>
      <c r="AI676" s="1185"/>
    </row>
    <row r="677" spans="1:35">
      <c r="A677" s="1009" t="s">
        <v>422</v>
      </c>
      <c r="B677" s="1219"/>
      <c r="C677" s="1026">
        <f>9+1060</f>
        <v>1069</v>
      </c>
      <c r="D677" s="1229">
        <v>84</v>
      </c>
      <c r="E677" s="1009"/>
      <c r="F677" s="1041">
        <f>ROUND(D677*$C677,0)</f>
        <v>89796</v>
      </c>
      <c r="G677" s="1229">
        <v>96</v>
      </c>
      <c r="H677" s="1009"/>
      <c r="I677" s="1041">
        <f>ROUND(G677*C677,0)</f>
        <v>102624</v>
      </c>
      <c r="J677" s="1229">
        <f>$J$599</f>
        <v>109</v>
      </c>
      <c r="K677" s="1009"/>
      <c r="L677" s="1041">
        <f>ROUND(J677*$C677,0)</f>
        <v>116521</v>
      </c>
      <c r="N677" s="1185"/>
      <c r="O677" s="1185"/>
      <c r="P677" s="1186"/>
      <c r="Q677" s="1274"/>
      <c r="R677" s="1186"/>
      <c r="S677" s="1185"/>
      <c r="T677" s="1185"/>
      <c r="U677" s="1185"/>
      <c r="V677" s="1185"/>
      <c r="W677" s="1185"/>
      <c r="X677" s="1185"/>
      <c r="Y677" s="1185"/>
      <c r="Z677" s="1185"/>
      <c r="AA677" s="1185"/>
      <c r="AB677" s="1185"/>
      <c r="AC677" s="1185"/>
      <c r="AD677" s="1185"/>
      <c r="AE677" s="1185"/>
      <c r="AF677" s="1185"/>
      <c r="AG677" s="1185"/>
      <c r="AH677" s="1185"/>
      <c r="AI677" s="1185"/>
    </row>
    <row r="678" spans="1:35">
      <c r="A678" s="1009" t="s">
        <v>423</v>
      </c>
      <c r="B678" s="1219"/>
      <c r="C678" s="1026">
        <f>4+539</f>
        <v>543</v>
      </c>
      <c r="D678" s="1229">
        <v>168</v>
      </c>
      <c r="E678" s="1250"/>
      <c r="F678" s="1041">
        <f>ROUND(D678*$C678,0)</f>
        <v>91224</v>
      </c>
      <c r="G678" s="1229">
        <v>192</v>
      </c>
      <c r="H678" s="1250"/>
      <c r="I678" s="1041">
        <f>ROUND(G678*C678,0)</f>
        <v>104256</v>
      </c>
      <c r="J678" s="1229">
        <f>$J$600</f>
        <v>219</v>
      </c>
      <c r="K678" s="1250"/>
      <c r="L678" s="1041">
        <f>ROUND(J678*$C678,0)</f>
        <v>118917</v>
      </c>
      <c r="N678" s="1185"/>
      <c r="O678" s="1185"/>
      <c r="P678" s="1186"/>
      <c r="Q678" s="1274"/>
      <c r="R678" s="1186"/>
      <c r="S678" s="1185"/>
      <c r="T678" s="1185"/>
      <c r="U678" s="1185"/>
      <c r="V678" s="1185"/>
      <c r="W678" s="1185"/>
      <c r="X678" s="1185"/>
      <c r="Y678" s="1185"/>
      <c r="Z678" s="1185"/>
      <c r="AA678" s="1185"/>
      <c r="AB678" s="1185"/>
      <c r="AC678" s="1185"/>
      <c r="AD678" s="1185"/>
      <c r="AE678" s="1185"/>
      <c r="AF678" s="1185"/>
      <c r="AG678" s="1185"/>
      <c r="AH678" s="1185"/>
      <c r="AI678" s="1185"/>
    </row>
    <row r="679" spans="1:35">
      <c r="A679" s="1009" t="s">
        <v>394</v>
      </c>
      <c r="B679" s="1219"/>
      <c r="C679" s="1026">
        <f>SUM(C676:C678)</f>
        <v>1663</v>
      </c>
      <c r="D679" s="1229"/>
      <c r="E679" s="1009"/>
      <c r="F679" s="1041"/>
      <c r="G679" s="1229"/>
      <c r="H679" s="1009"/>
      <c r="I679" s="1041"/>
      <c r="J679" s="1229"/>
      <c r="K679" s="1009"/>
      <c r="L679" s="1041"/>
      <c r="N679" s="1185"/>
      <c r="O679" s="1185"/>
      <c r="P679" s="1186"/>
      <c r="Q679" s="1184"/>
      <c r="R679" s="815"/>
      <c r="S679" s="1185"/>
      <c r="T679" s="1185"/>
      <c r="U679" s="1185"/>
      <c r="V679" s="1185"/>
      <c r="W679" s="1185"/>
      <c r="X679" s="1185"/>
      <c r="Y679" s="1185"/>
      <c r="Z679" s="1185"/>
      <c r="AA679" s="1185"/>
      <c r="AB679" s="1185"/>
      <c r="AC679" s="1185"/>
      <c r="AD679" s="1185"/>
      <c r="AE679" s="1185"/>
      <c r="AF679" s="1185"/>
      <c r="AG679" s="1185"/>
      <c r="AH679" s="1185"/>
      <c r="AI679" s="1185"/>
    </row>
    <row r="680" spans="1:35">
      <c r="A680" s="1009" t="s">
        <v>422</v>
      </c>
      <c r="B680" s="1219"/>
      <c r="C680" s="1026">
        <f>1424+179546</f>
        <v>180970</v>
      </c>
      <c r="D680" s="1229">
        <v>1.48</v>
      </c>
      <c r="E680" s="1009" t="s">
        <v>31</v>
      </c>
      <c r="F680" s="1041">
        <f>ROUND(D680*$C680,0)</f>
        <v>267836</v>
      </c>
      <c r="G680" s="1229">
        <v>1.7</v>
      </c>
      <c r="H680" s="1009" t="s">
        <v>31</v>
      </c>
      <c r="I680" s="1041">
        <f t="shared" ref="I680:I681" si="106">ROUND(G680*C680,0)</f>
        <v>307649</v>
      </c>
      <c r="J680" s="1229">
        <f>$J$602</f>
        <v>1.94</v>
      </c>
      <c r="K680" s="1009" t="s">
        <v>31</v>
      </c>
      <c r="L680" s="1041">
        <f>ROUND(J680*$C680,0)</f>
        <v>351082</v>
      </c>
      <c r="N680" s="1185"/>
      <c r="O680" s="1185"/>
      <c r="P680" s="1186"/>
      <c r="Q680" s="1184"/>
      <c r="R680" s="815"/>
      <c r="S680" s="1185"/>
      <c r="T680" s="1185"/>
      <c r="U680" s="1185"/>
      <c r="V680" s="1185"/>
      <c r="W680" s="1185"/>
      <c r="X680" s="1185"/>
      <c r="Y680" s="1185"/>
      <c r="Z680" s="1185"/>
      <c r="AA680" s="1185"/>
      <c r="AB680" s="1185"/>
      <c r="AC680" s="1185"/>
      <c r="AD680" s="1185"/>
      <c r="AE680" s="1185"/>
      <c r="AF680" s="1185"/>
      <c r="AG680" s="1185"/>
      <c r="AH680" s="1185"/>
      <c r="AI680" s="1185"/>
    </row>
    <row r="681" spans="1:35">
      <c r="A681" s="1009" t="s">
        <v>423</v>
      </c>
      <c r="B681" s="1219"/>
      <c r="C681" s="1026">
        <f>4002+303334</f>
        <v>307336</v>
      </c>
      <c r="D681" s="1229">
        <v>1.22</v>
      </c>
      <c r="E681" s="1009" t="s">
        <v>31</v>
      </c>
      <c r="F681" s="1041">
        <f>ROUND(D681*$C681,0)</f>
        <v>374950</v>
      </c>
      <c r="G681" s="1229">
        <v>1.39</v>
      </c>
      <c r="H681" s="1009" t="s">
        <v>31</v>
      </c>
      <c r="I681" s="1041">
        <f t="shared" si="106"/>
        <v>427197</v>
      </c>
      <c r="J681" s="1229">
        <f>$J$603</f>
        <v>1.59</v>
      </c>
      <c r="K681" s="1009" t="s">
        <v>31</v>
      </c>
      <c r="L681" s="1041">
        <f>ROUND(J681*$C681,0)</f>
        <v>488664</v>
      </c>
      <c r="N681" s="1185"/>
      <c r="O681" s="1185"/>
      <c r="P681" s="1186"/>
      <c r="Q681" s="1274"/>
      <c r="R681" s="1186"/>
      <c r="S681" s="1185"/>
      <c r="T681" s="1185"/>
      <c r="U681" s="1185"/>
      <c r="V681" s="1185"/>
      <c r="W681" s="1185"/>
      <c r="X681" s="1185"/>
      <c r="Y681" s="1185"/>
      <c r="Z681" s="1185"/>
      <c r="AA681" s="1185"/>
      <c r="AB681" s="1185"/>
      <c r="AC681" s="1185"/>
      <c r="AD681" s="1185"/>
      <c r="AE681" s="1185"/>
      <c r="AF681" s="1185"/>
      <c r="AG681" s="1185"/>
      <c r="AH681" s="1185"/>
      <c r="AI681" s="1185"/>
    </row>
    <row r="682" spans="1:35">
      <c r="A682" s="1218" t="s">
        <v>424</v>
      </c>
      <c r="B682" s="1219"/>
      <c r="C682" s="1026"/>
      <c r="D682" s="1234"/>
      <c r="E682" s="1009"/>
      <c r="F682" s="1041"/>
      <c r="G682" s="1234"/>
      <c r="H682" s="1009"/>
      <c r="I682" s="1041"/>
      <c r="J682" s="1234"/>
      <c r="K682" s="1009"/>
      <c r="L682" s="1041"/>
      <c r="N682" s="1185"/>
      <c r="O682" s="1185"/>
      <c r="P682" s="1186"/>
      <c r="Q682" s="1186"/>
      <c r="R682" s="1186"/>
      <c r="S682" s="1185"/>
      <c r="T682" s="1185"/>
      <c r="U682" s="1185"/>
      <c r="V682" s="1185"/>
      <c r="W682" s="1185"/>
      <c r="X682" s="1185"/>
      <c r="Y682" s="1185"/>
      <c r="Z682" s="1185"/>
      <c r="AA682" s="1185"/>
      <c r="AB682" s="1185"/>
      <c r="AC682" s="1185"/>
      <c r="AD682" s="1185"/>
      <c r="AE682" s="1185"/>
      <c r="AF682" s="1185"/>
      <c r="AG682" s="1185"/>
      <c r="AH682" s="1185"/>
      <c r="AI682" s="1185"/>
    </row>
    <row r="683" spans="1:35">
      <c r="A683" s="1218" t="s">
        <v>425</v>
      </c>
      <c r="B683" s="1219"/>
      <c r="C683" s="1026">
        <f>41+721+4015+3207+129389+234826</f>
        <v>372199</v>
      </c>
      <c r="D683" s="1229">
        <v>3.88</v>
      </c>
      <c r="E683" s="1009"/>
      <c r="F683" s="1041">
        <f>ROUND(D683*$C683,0)</f>
        <v>1444132</v>
      </c>
      <c r="G683" s="1229">
        <v>4.4400000000000004</v>
      </c>
      <c r="H683" s="1009"/>
      <c r="I683" s="1041">
        <f t="shared" ref="I683:I684" si="107">ROUND(G683*C683,0)</f>
        <v>1652564</v>
      </c>
      <c r="J683" s="1229">
        <f>$J$605</f>
        <v>5.2299999999999995</v>
      </c>
      <c r="K683" s="1009"/>
      <c r="L683" s="1041">
        <f>ROUND(J683*$C683,0)</f>
        <v>1946601</v>
      </c>
      <c r="N683" s="1185"/>
      <c r="O683" s="1185"/>
      <c r="P683" s="1186"/>
      <c r="Q683" s="1186"/>
      <c r="R683" s="1186"/>
      <c r="S683" s="1185"/>
      <c r="T683" s="1185"/>
      <c r="U683" s="1185"/>
      <c r="V683" s="1185"/>
      <c r="W683" s="1185"/>
      <c r="X683" s="1185"/>
      <c r="Y683" s="1185"/>
      <c r="Z683" s="1185"/>
      <c r="AA683" s="1185"/>
      <c r="AB683" s="1185"/>
      <c r="AC683" s="1185"/>
      <c r="AD683" s="1185"/>
      <c r="AE683" s="1185"/>
      <c r="AF683" s="1185"/>
      <c r="AG683" s="1185"/>
      <c r="AH683" s="1185"/>
      <c r="AI683" s="1185"/>
    </row>
    <row r="684" spans="1:35">
      <c r="A684" s="1218" t="s">
        <v>441</v>
      </c>
      <c r="B684" s="1219"/>
      <c r="C684" s="1026">
        <f>-69+-51+638</f>
        <v>518</v>
      </c>
      <c r="D684" s="1292">
        <v>3.88</v>
      </c>
      <c r="E684" s="1009"/>
      <c r="F684" s="1041">
        <f>ROUND(D684*$C684,0)</f>
        <v>2010</v>
      </c>
      <c r="G684" s="1292">
        <v>4.4400000000000004</v>
      </c>
      <c r="H684" s="1009"/>
      <c r="I684" s="1041">
        <f t="shared" si="107"/>
        <v>2300</v>
      </c>
      <c r="J684" s="1292">
        <f>J683</f>
        <v>5.2299999999999995</v>
      </c>
      <c r="K684" s="1009"/>
      <c r="L684" s="1041">
        <f>ROUND(J684*$C684,0)</f>
        <v>2709</v>
      </c>
      <c r="N684" s="1185"/>
      <c r="O684" s="1185"/>
      <c r="P684" s="1186"/>
      <c r="Q684" s="1186"/>
      <c r="R684" s="1186"/>
      <c r="S684" s="1185"/>
      <c r="T684" s="1185"/>
      <c r="U684" s="1185"/>
      <c r="V684" s="1185"/>
      <c r="W684" s="1185"/>
      <c r="X684" s="1185"/>
      <c r="Y684" s="1185"/>
      <c r="Z684" s="1185"/>
      <c r="AA684" s="1185"/>
      <c r="AB684" s="1185"/>
      <c r="AC684" s="1185"/>
      <c r="AD684" s="1185"/>
      <c r="AE684" s="1185"/>
      <c r="AF684" s="1185"/>
      <c r="AG684" s="1185"/>
      <c r="AH684" s="1185"/>
      <c r="AI684" s="1185"/>
    </row>
    <row r="685" spans="1:35">
      <c r="A685" s="1009" t="s">
        <v>426</v>
      </c>
      <c r="B685" s="1219"/>
      <c r="C685" s="1026"/>
      <c r="D685" s="1229"/>
      <c r="E685" s="1009"/>
      <c r="F685" s="1041"/>
      <c r="G685" s="1229"/>
      <c r="H685" s="1009"/>
      <c r="I685" s="1041"/>
      <c r="J685" s="1229"/>
      <c r="K685" s="1009"/>
      <c r="L685" s="1041"/>
      <c r="N685" s="1185"/>
      <c r="O685" s="1185"/>
      <c r="P685" s="1186"/>
      <c r="Q685" s="1186"/>
      <c r="R685" s="1186"/>
      <c r="S685" s="1185"/>
      <c r="T685" s="1185"/>
      <c r="U685" s="1185"/>
      <c r="V685" s="1185"/>
      <c r="W685" s="1185"/>
      <c r="X685" s="1185"/>
      <c r="Y685" s="1185"/>
      <c r="Z685" s="1185"/>
      <c r="AA685" s="1185"/>
      <c r="AB685" s="1185"/>
      <c r="AC685" s="1185"/>
      <c r="AD685" s="1185"/>
      <c r="AE685" s="1185"/>
      <c r="AF685" s="1185"/>
      <c r="AG685" s="1185"/>
      <c r="AH685" s="1185"/>
      <c r="AI685" s="1185"/>
    </row>
    <row r="686" spans="1:35">
      <c r="A686" s="1009" t="s">
        <v>427</v>
      </c>
      <c r="B686" s="1219"/>
      <c r="C686" s="1026">
        <f>9333+294400+156000+594867+25753476+20120380</f>
        <v>46928456</v>
      </c>
      <c r="D686" s="1297">
        <v>4.6340000000000003</v>
      </c>
      <c r="E686" s="1009" t="s">
        <v>374</v>
      </c>
      <c r="F686" s="1041">
        <f>ROUND(D686*$C686/100,0)</f>
        <v>2174665</v>
      </c>
      <c r="G686" s="1298">
        <v>5.2919999999999998</v>
      </c>
      <c r="H686" s="1009" t="s">
        <v>374</v>
      </c>
      <c r="I686" s="1041">
        <f>ROUND(G686*C686/100,0)</f>
        <v>2483454</v>
      </c>
      <c r="J686" s="806">
        <f>$J$608</f>
        <v>2.5059999999999998</v>
      </c>
      <c r="K686" s="1009" t="s">
        <v>374</v>
      </c>
      <c r="L686" s="1041">
        <f>ROUND(J686*$C686/100,0)</f>
        <v>1176027</v>
      </c>
      <c r="N686" s="1185"/>
      <c r="O686" s="1185"/>
      <c r="P686" s="1186"/>
      <c r="Q686" s="1186"/>
      <c r="R686" s="1186"/>
      <c r="S686" s="1185"/>
      <c r="T686" s="1185"/>
      <c r="U686" s="1185"/>
      <c r="V686" s="1185"/>
      <c r="W686" s="1185"/>
      <c r="X686" s="1185"/>
      <c r="Y686" s="1185"/>
      <c r="Z686" s="1185"/>
      <c r="AA686" s="1185"/>
      <c r="AB686" s="1185"/>
      <c r="AC686" s="1185"/>
      <c r="AD686" s="1185"/>
      <c r="AE686" s="1185"/>
      <c r="AF686" s="1185"/>
      <c r="AG686" s="1185"/>
      <c r="AH686" s="1185"/>
      <c r="AI686" s="1185"/>
    </row>
    <row r="687" spans="1:35">
      <c r="A687" s="1009" t="s">
        <v>399</v>
      </c>
      <c r="B687" s="1219"/>
      <c r="C687" s="1026">
        <f>12600+297600+1358400+747880+33430363+73745341-C686</f>
        <v>62663728</v>
      </c>
      <c r="D687" s="1297">
        <v>4.2469999999999999</v>
      </c>
      <c r="E687" s="1009" t="s">
        <v>374</v>
      </c>
      <c r="F687" s="1041">
        <f>ROUND(D687*$C687/100,0)</f>
        <v>2661329</v>
      </c>
      <c r="G687" s="1298">
        <v>4.8499999999999996</v>
      </c>
      <c r="H687" s="1009" t="s">
        <v>374</v>
      </c>
      <c r="I687" s="1041">
        <f t="shared" ref="I687:I688" si="108">ROUND(G687*C687/100,0)</f>
        <v>3039191</v>
      </c>
      <c r="J687" s="806">
        <f>$J$609</f>
        <v>2.2970000000000002</v>
      </c>
      <c r="K687" s="1009" t="s">
        <v>374</v>
      </c>
      <c r="L687" s="1041">
        <f>ROUND(J687*$C687/100,0)</f>
        <v>1439386</v>
      </c>
      <c r="N687" s="1185"/>
      <c r="O687" s="1185"/>
      <c r="P687" s="1186"/>
      <c r="Q687" s="1186"/>
      <c r="R687" s="1186"/>
      <c r="S687" s="1185"/>
      <c r="T687" s="1185"/>
      <c r="U687" s="1185"/>
      <c r="V687" s="1185"/>
      <c r="W687" s="1185"/>
      <c r="X687" s="1185"/>
      <c r="Y687" s="1185"/>
      <c r="Z687" s="1185"/>
      <c r="AA687" s="1185"/>
      <c r="AB687" s="1185"/>
      <c r="AC687" s="1185"/>
      <c r="AD687" s="1185"/>
      <c r="AE687" s="1185"/>
      <c r="AF687" s="1185"/>
      <c r="AG687" s="1185"/>
      <c r="AH687" s="1185"/>
      <c r="AI687" s="1185"/>
    </row>
    <row r="688" spans="1:35">
      <c r="A688" s="1009" t="s">
        <v>400</v>
      </c>
      <c r="B688" s="1219"/>
      <c r="C688" s="1026">
        <f>28+1042+308+41191+74542</f>
        <v>117111</v>
      </c>
      <c r="D688" s="1262">
        <v>50</v>
      </c>
      <c r="E688" s="1009" t="s">
        <v>374</v>
      </c>
      <c r="F688" s="1041">
        <f>ROUND(D688*$C688/100,0)</f>
        <v>58556</v>
      </c>
      <c r="G688" s="1299">
        <v>56</v>
      </c>
      <c r="H688" s="1009" t="s">
        <v>374</v>
      </c>
      <c r="I688" s="1041">
        <f t="shared" si="108"/>
        <v>65582</v>
      </c>
      <c r="J688" s="1300">
        <f>$J$610</f>
        <v>64</v>
      </c>
      <c r="K688" s="1009" t="s">
        <v>374</v>
      </c>
      <c r="L688" s="1041">
        <f>ROUND(J688*$C688/100,0)</f>
        <v>74951</v>
      </c>
      <c r="N688" s="1185"/>
      <c r="O688" s="1185"/>
      <c r="P688" s="1186"/>
      <c r="Q688" s="1186"/>
      <c r="R688" s="1186"/>
      <c r="S688" s="1185"/>
      <c r="T688" s="1185"/>
      <c r="U688" s="1185"/>
      <c r="V688" s="1185"/>
      <c r="W688" s="1185"/>
      <c r="X688" s="1185"/>
      <c r="Y688" s="1185"/>
      <c r="Z688" s="1185"/>
      <c r="AA688" s="1185"/>
      <c r="AB688" s="1185"/>
      <c r="AC688" s="1185"/>
      <c r="AD688" s="1185"/>
      <c r="AE688" s="1185"/>
      <c r="AF688" s="1185"/>
      <c r="AG688" s="1185"/>
      <c r="AH688" s="1185"/>
      <c r="AI688" s="1185"/>
    </row>
    <row r="689" spans="1:37">
      <c r="A689" s="1005" t="s">
        <v>924</v>
      </c>
      <c r="C689" s="1202">
        <f>C686</f>
        <v>46928456</v>
      </c>
      <c r="D689" s="269"/>
      <c r="E689" s="1185"/>
      <c r="F689" s="1203"/>
      <c r="G689" s="269"/>
      <c r="H689" s="1185"/>
      <c r="I689" s="1203"/>
      <c r="J689" s="1230">
        <f>J611</f>
        <v>3.4790000000000001</v>
      </c>
      <c r="K689" s="1041" t="s">
        <v>374</v>
      </c>
      <c r="L689" s="1041">
        <f t="shared" ref="L689:L690" si="109">ROUND(J689*$C689/100,0)</f>
        <v>1632641</v>
      </c>
      <c r="N689" s="1204"/>
      <c r="P689" s="815"/>
      <c r="Q689" s="1184"/>
      <c r="R689" s="1184"/>
      <c r="S689" s="1205"/>
      <c r="T689" s="1205"/>
      <c r="Y689" s="1185"/>
      <c r="Z689" s="1185"/>
      <c r="AA689" s="1185"/>
      <c r="AB689" s="1185"/>
      <c r="AC689" s="1185"/>
      <c r="AD689" s="1185"/>
      <c r="AE689" s="1185"/>
      <c r="AF689" s="1185"/>
      <c r="AG689" s="1185"/>
      <c r="AH689" s="1185"/>
      <c r="AI689" s="1185"/>
      <c r="AK689" s="1204"/>
    </row>
    <row r="690" spans="1:37">
      <c r="A690" s="1005" t="s">
        <v>925</v>
      </c>
      <c r="C690" s="1202">
        <f>C687</f>
        <v>62663728</v>
      </c>
      <c r="D690" s="269"/>
      <c r="E690" s="1185"/>
      <c r="F690" s="1203"/>
      <c r="G690" s="269"/>
      <c r="H690" s="1185"/>
      <c r="I690" s="1203"/>
      <c r="J690" s="1230">
        <f>J612</f>
        <v>3.19</v>
      </c>
      <c r="K690" s="1041" t="s">
        <v>374</v>
      </c>
      <c r="L690" s="1041">
        <f t="shared" si="109"/>
        <v>1998973</v>
      </c>
      <c r="N690" s="1204"/>
      <c r="P690" s="815"/>
      <c r="Q690" s="1184"/>
      <c r="R690" s="1184"/>
      <c r="S690" s="1205"/>
      <c r="T690" s="1205"/>
      <c r="Y690" s="1185"/>
      <c r="Z690" s="1185"/>
      <c r="AA690" s="1185"/>
      <c r="AB690" s="1185"/>
      <c r="AC690" s="1185"/>
      <c r="AD690" s="1185"/>
      <c r="AE690" s="1185"/>
      <c r="AF690" s="1185"/>
      <c r="AG690" s="1185"/>
      <c r="AH690" s="1185"/>
      <c r="AI690" s="1185"/>
      <c r="AK690" s="1204"/>
    </row>
    <row r="691" spans="1:37">
      <c r="A691" s="1283" t="s">
        <v>401</v>
      </c>
      <c r="B691" s="1219"/>
      <c r="C691" s="1026"/>
      <c r="D691" s="1257">
        <v>-0.01</v>
      </c>
      <c r="E691" s="1203"/>
      <c r="F691" s="1041"/>
      <c r="G691" s="1257">
        <v>-0.01</v>
      </c>
      <c r="H691" s="1219"/>
      <c r="I691" s="1041"/>
      <c r="J691" s="1257">
        <v>-0.01</v>
      </c>
      <c r="K691" s="1219"/>
      <c r="L691" s="1041"/>
      <c r="N691" s="1185"/>
      <c r="O691" s="1185"/>
      <c r="P691" s="1186"/>
      <c r="Q691" s="1186"/>
      <c r="R691" s="1186"/>
      <c r="S691" s="1185"/>
      <c r="T691" s="1185"/>
      <c r="U691" s="1185"/>
      <c r="V691" s="1185"/>
      <c r="W691" s="1185"/>
      <c r="X691" s="1185"/>
      <c r="Y691" s="1185"/>
      <c r="Z691" s="1185"/>
      <c r="AA691" s="1185"/>
      <c r="AB691" s="1185"/>
      <c r="AC691" s="1185"/>
      <c r="AD691" s="1185"/>
      <c r="AE691" s="1185"/>
      <c r="AF691" s="1185"/>
      <c r="AG691" s="1185"/>
      <c r="AH691" s="1185"/>
      <c r="AI691" s="1185"/>
    </row>
    <row r="692" spans="1:37">
      <c r="A692" s="1009" t="s">
        <v>421</v>
      </c>
      <c r="B692" s="1219"/>
      <c r="C692" s="1026">
        <v>0</v>
      </c>
      <c r="D692" s="1234">
        <v>227</v>
      </c>
      <c r="E692" s="1288"/>
      <c r="F692" s="1041">
        <f>ROUND(D692*$C692*D691,0)</f>
        <v>0</v>
      </c>
      <c r="G692" s="1234">
        <v>259</v>
      </c>
      <c r="H692" s="1224"/>
      <c r="I692" s="1041">
        <f>ROUND(G692*C692*$G$653,0)</f>
        <v>0</v>
      </c>
      <c r="J692" s="1234">
        <f>J676</f>
        <v>298</v>
      </c>
      <c r="K692" s="1224"/>
      <c r="L692" s="1041">
        <f>ROUND(J692*$C692*J691,0)</f>
        <v>0</v>
      </c>
      <c r="N692" s="1185"/>
      <c r="O692" s="1185"/>
      <c r="P692" s="1186"/>
      <c r="Q692" s="1186"/>
      <c r="R692" s="1186"/>
      <c r="S692" s="1185"/>
      <c r="T692" s="1185"/>
      <c r="U692" s="1185"/>
      <c r="V692" s="1185"/>
      <c r="W692" s="1185"/>
      <c r="X692" s="1185"/>
      <c r="Y692" s="1185"/>
      <c r="Z692" s="1185"/>
      <c r="AA692" s="1185"/>
      <c r="AB692" s="1185"/>
      <c r="AC692" s="1185"/>
      <c r="AD692" s="1185"/>
      <c r="AE692" s="1185"/>
      <c r="AF692" s="1185"/>
      <c r="AG692" s="1185"/>
      <c r="AH692" s="1185"/>
      <c r="AI692" s="1185"/>
    </row>
    <row r="693" spans="1:37">
      <c r="A693" s="1009" t="s">
        <v>422</v>
      </c>
      <c r="B693" s="1219"/>
      <c r="C693" s="1026">
        <f>9</f>
        <v>9</v>
      </c>
      <c r="D693" s="1234">
        <v>84</v>
      </c>
      <c r="E693" s="1288"/>
      <c r="F693" s="1041">
        <f>ROUND(D693*$C693*D691,0)</f>
        <v>-8</v>
      </c>
      <c r="G693" s="1234">
        <v>96</v>
      </c>
      <c r="H693" s="1224"/>
      <c r="I693" s="1041">
        <f t="shared" ref="I693:I698" si="110">ROUND(G693*C693*$G$653,0)</f>
        <v>-9</v>
      </c>
      <c r="J693" s="1234">
        <f>J677</f>
        <v>109</v>
      </c>
      <c r="K693" s="1224"/>
      <c r="L693" s="1041">
        <f>ROUND(J693*$C693*J691,0)</f>
        <v>-10</v>
      </c>
      <c r="N693" s="1185"/>
      <c r="O693" s="1185"/>
      <c r="P693" s="1186"/>
      <c r="Q693" s="1186"/>
      <c r="R693" s="1186"/>
      <c r="S693" s="1185"/>
      <c r="T693" s="1185"/>
      <c r="U693" s="1185"/>
      <c r="V693" s="1185"/>
      <c r="W693" s="1185"/>
      <c r="X693" s="1185"/>
      <c r="Y693" s="1185"/>
      <c r="Z693" s="1185"/>
      <c r="AA693" s="1185"/>
      <c r="AB693" s="1185"/>
      <c r="AC693" s="1185"/>
      <c r="AD693" s="1185"/>
      <c r="AE693" s="1185"/>
      <c r="AF693" s="1185"/>
      <c r="AG693" s="1185"/>
      <c r="AH693" s="1185"/>
      <c r="AI693" s="1185"/>
    </row>
    <row r="694" spans="1:37">
      <c r="A694" s="1009" t="s">
        <v>423</v>
      </c>
      <c r="B694" s="1219"/>
      <c r="C694" s="1026">
        <f>4</f>
        <v>4</v>
      </c>
      <c r="D694" s="1234">
        <v>168</v>
      </c>
      <c r="E694" s="1294"/>
      <c r="F694" s="1041">
        <f>ROUND(D694*$C694*D691,0)</f>
        <v>-7</v>
      </c>
      <c r="G694" s="1234">
        <v>192</v>
      </c>
      <c r="H694" s="1295"/>
      <c r="I694" s="1041">
        <f t="shared" si="110"/>
        <v>-8</v>
      </c>
      <c r="J694" s="1234">
        <f>J678</f>
        <v>219</v>
      </c>
      <c r="K694" s="1295"/>
      <c r="L694" s="1041">
        <f>ROUND(J694*$C694*J691,0)</f>
        <v>-9</v>
      </c>
      <c r="N694" s="1185"/>
      <c r="O694" s="1185"/>
      <c r="P694" s="1186"/>
      <c r="Q694" s="1186"/>
      <c r="R694" s="1186"/>
      <c r="S694" s="1185"/>
      <c r="T694" s="1185"/>
      <c r="U694" s="1185"/>
      <c r="V694" s="1185"/>
      <c r="W694" s="1185"/>
      <c r="X694" s="1185"/>
      <c r="Y694" s="1185"/>
      <c r="Z694" s="1185"/>
      <c r="AA694" s="1185"/>
      <c r="AB694" s="1185"/>
      <c r="AC694" s="1185"/>
      <c r="AD694" s="1185"/>
      <c r="AE694" s="1185"/>
      <c r="AF694" s="1185"/>
      <c r="AG694" s="1185"/>
      <c r="AH694" s="1185"/>
      <c r="AI694" s="1185"/>
    </row>
    <row r="695" spans="1:37">
      <c r="A695" s="1009" t="s">
        <v>422</v>
      </c>
      <c r="B695" s="1219"/>
      <c r="C695" s="1026">
        <f>1424</f>
        <v>1424</v>
      </c>
      <c r="D695" s="1234">
        <v>1.48</v>
      </c>
      <c r="E695" s="1288"/>
      <c r="F695" s="1041">
        <f>ROUND(D695*$C695*D691,0)</f>
        <v>-21</v>
      </c>
      <c r="G695" s="1234">
        <v>1.7</v>
      </c>
      <c r="H695" s="1224"/>
      <c r="I695" s="1041">
        <f t="shared" si="110"/>
        <v>-24</v>
      </c>
      <c r="J695" s="1234">
        <f>J680</f>
        <v>1.94</v>
      </c>
      <c r="K695" s="1224"/>
      <c r="L695" s="1041">
        <f>ROUND(J695*$C695*J691,0)</f>
        <v>-28</v>
      </c>
      <c r="N695" s="1185"/>
      <c r="O695" s="1185"/>
      <c r="P695" s="1186"/>
      <c r="Q695" s="1186"/>
      <c r="R695" s="1186"/>
      <c r="S695" s="1185"/>
      <c r="T695" s="1185"/>
      <c r="U695" s="1185"/>
      <c r="V695" s="1185"/>
      <c r="W695" s="1185"/>
      <c r="X695" s="1185"/>
      <c r="Y695" s="1185"/>
      <c r="Z695" s="1185"/>
      <c r="AA695" s="1185"/>
      <c r="AB695" s="1185"/>
      <c r="AC695" s="1185"/>
      <c r="AD695" s="1185"/>
      <c r="AE695" s="1185"/>
      <c r="AF695" s="1185"/>
      <c r="AG695" s="1185"/>
      <c r="AH695" s="1185"/>
      <c r="AI695" s="1185"/>
    </row>
    <row r="696" spans="1:37">
      <c r="A696" s="1009" t="s">
        <v>423</v>
      </c>
      <c r="B696" s="1219"/>
      <c r="C696" s="1026">
        <f>4002</f>
        <v>4002</v>
      </c>
      <c r="D696" s="1234">
        <v>1.22</v>
      </c>
      <c r="E696" s="1288" t="s">
        <v>31</v>
      </c>
      <c r="F696" s="1041">
        <f>ROUND(D696*$C696*D691,0)</f>
        <v>-49</v>
      </c>
      <c r="G696" s="1234">
        <v>1.39</v>
      </c>
      <c r="H696" s="1224"/>
      <c r="I696" s="1041">
        <f t="shared" si="110"/>
        <v>-56</v>
      </c>
      <c r="J696" s="1234">
        <f>J681</f>
        <v>1.59</v>
      </c>
      <c r="K696" s="1224"/>
      <c r="L696" s="1041">
        <f>ROUND(J696*$C696*J691,0)</f>
        <v>-64</v>
      </c>
      <c r="N696" s="1185"/>
      <c r="O696" s="1185"/>
      <c r="P696" s="1186"/>
      <c r="Q696" s="1186"/>
      <c r="R696" s="1186"/>
      <c r="S696" s="1185"/>
      <c r="T696" s="1185"/>
      <c r="U696" s="1185"/>
      <c r="V696" s="1185"/>
      <c r="W696" s="1185"/>
      <c r="X696" s="1185"/>
      <c r="Y696" s="1185"/>
      <c r="Z696" s="1185"/>
      <c r="AA696" s="1185"/>
      <c r="AB696" s="1185"/>
      <c r="AC696" s="1185"/>
      <c r="AD696" s="1185"/>
      <c r="AE696" s="1185"/>
      <c r="AF696" s="1185"/>
      <c r="AG696" s="1185"/>
      <c r="AH696" s="1185"/>
      <c r="AI696" s="1185"/>
    </row>
    <row r="697" spans="1:37">
      <c r="A697" s="1218" t="s">
        <v>425</v>
      </c>
      <c r="B697" s="1219"/>
      <c r="C697" s="1026">
        <f>41+721+4015</f>
        <v>4777</v>
      </c>
      <c r="D697" s="1234">
        <v>3.88</v>
      </c>
      <c r="E697" s="1288" t="s">
        <v>31</v>
      </c>
      <c r="F697" s="1041">
        <f>ROUND(D697*$C697*D691,0)</f>
        <v>-185</v>
      </c>
      <c r="G697" s="1234">
        <v>4.4400000000000004</v>
      </c>
      <c r="H697" s="1224"/>
      <c r="I697" s="1041">
        <f t="shared" si="110"/>
        <v>-212</v>
      </c>
      <c r="J697" s="1234">
        <f>J683</f>
        <v>5.2299999999999995</v>
      </c>
      <c r="K697" s="1224"/>
      <c r="L697" s="1041">
        <f>ROUND(J697*$C697*J691,0)</f>
        <v>-250</v>
      </c>
      <c r="N697" s="1185"/>
      <c r="O697" s="1185"/>
      <c r="P697" s="1186"/>
      <c r="Q697" s="1186"/>
      <c r="R697" s="1186"/>
      <c r="S697" s="1185"/>
      <c r="T697" s="1185"/>
      <c r="U697" s="1185"/>
      <c r="V697" s="1185"/>
      <c r="W697" s="1185"/>
      <c r="X697" s="1185"/>
      <c r="Y697" s="1185"/>
      <c r="Z697" s="1185"/>
      <c r="AA697" s="1185"/>
      <c r="AB697" s="1185"/>
      <c r="AC697" s="1185"/>
      <c r="AD697" s="1185"/>
      <c r="AE697" s="1185"/>
      <c r="AF697" s="1185"/>
      <c r="AG697" s="1185"/>
      <c r="AH697" s="1185"/>
      <c r="AI697" s="1185"/>
    </row>
    <row r="698" spans="1:37">
      <c r="A698" s="1218" t="s">
        <v>441</v>
      </c>
      <c r="B698" s="1219"/>
      <c r="C698" s="1026">
        <f>-69</f>
        <v>-69</v>
      </c>
      <c r="D698" s="1234">
        <v>3.88</v>
      </c>
      <c r="E698" s="1288" t="s">
        <v>31</v>
      </c>
      <c r="F698" s="1041">
        <f>ROUND(D698*$C698*D691,0)</f>
        <v>3</v>
      </c>
      <c r="G698" s="1234">
        <v>4.4400000000000004</v>
      </c>
      <c r="H698" s="1224"/>
      <c r="I698" s="1041">
        <f t="shared" si="110"/>
        <v>3</v>
      </c>
      <c r="J698" s="1234">
        <f>J684</f>
        <v>5.2299999999999995</v>
      </c>
      <c r="K698" s="1224"/>
      <c r="L698" s="1041">
        <f>ROUND(J698*$C698*J691,0)</f>
        <v>4</v>
      </c>
      <c r="N698" s="1185"/>
      <c r="O698" s="1185"/>
      <c r="P698" s="1186"/>
      <c r="Q698" s="1186"/>
      <c r="R698" s="1186"/>
      <c r="S698" s="1185"/>
      <c r="T698" s="1185"/>
      <c r="U698" s="1185"/>
      <c r="V698" s="1185"/>
      <c r="W698" s="1185"/>
      <c r="X698" s="1185"/>
      <c r="Y698" s="1185"/>
      <c r="Z698" s="1185"/>
      <c r="AA698" s="1185"/>
      <c r="AB698" s="1185"/>
      <c r="AC698" s="1185"/>
      <c r="AD698" s="1185"/>
      <c r="AE698" s="1185"/>
      <c r="AF698" s="1185"/>
      <c r="AG698" s="1185"/>
      <c r="AH698" s="1185"/>
      <c r="AI698" s="1185"/>
    </row>
    <row r="699" spans="1:37">
      <c r="A699" s="1009" t="s">
        <v>427</v>
      </c>
      <c r="B699" s="1219"/>
      <c r="C699" s="1026">
        <f>9333+294400+156000</f>
        <v>459733</v>
      </c>
      <c r="D699" s="1236">
        <v>4.6340000000000003</v>
      </c>
      <c r="E699" s="1041" t="s">
        <v>374</v>
      </c>
      <c r="F699" s="1041">
        <f>ROUND(D699*$C699/100*D691,0)</f>
        <v>-213</v>
      </c>
      <c r="G699" s="1236">
        <v>5.2939999999999996</v>
      </c>
      <c r="H699" s="1009" t="s">
        <v>374</v>
      </c>
      <c r="I699" s="1041">
        <f>ROUND(G699*C699/100*$G$653,0)</f>
        <v>-243</v>
      </c>
      <c r="J699" s="1236">
        <f>J686</f>
        <v>2.5059999999999998</v>
      </c>
      <c r="K699" s="1009" t="s">
        <v>374</v>
      </c>
      <c r="L699" s="1041">
        <f>ROUND(J699*$C699/100*J691,0)</f>
        <v>-115</v>
      </c>
      <c r="N699" s="1185"/>
      <c r="O699" s="1185"/>
      <c r="P699" s="1186"/>
      <c r="Q699" s="1186"/>
      <c r="R699" s="1186"/>
      <c r="S699" s="1185"/>
      <c r="T699" s="1185"/>
      <c r="U699" s="1185"/>
      <c r="V699" s="1185"/>
      <c r="W699" s="1185"/>
      <c r="X699" s="1185"/>
      <c r="Y699" s="1185"/>
      <c r="Z699" s="1185"/>
      <c r="AA699" s="1185"/>
      <c r="AB699" s="1185"/>
      <c r="AC699" s="1185"/>
      <c r="AD699" s="1185"/>
      <c r="AE699" s="1185"/>
      <c r="AF699" s="1185"/>
      <c r="AG699" s="1185"/>
      <c r="AH699" s="1185"/>
      <c r="AI699" s="1185"/>
    </row>
    <row r="700" spans="1:37">
      <c r="A700" s="1009" t="s">
        <v>399</v>
      </c>
      <c r="B700" s="1219"/>
      <c r="C700" s="1026">
        <f>12600+297600+1358400-C699</f>
        <v>1208867</v>
      </c>
      <c r="D700" s="1236">
        <v>4.2469999999999999</v>
      </c>
      <c r="E700" s="1041" t="s">
        <v>374</v>
      </c>
      <c r="F700" s="1041">
        <f>ROUND(D700*$C700/100*D691,0)</f>
        <v>-513</v>
      </c>
      <c r="G700" s="1236">
        <v>4.8520000000000003</v>
      </c>
      <c r="H700" s="1009" t="s">
        <v>374</v>
      </c>
      <c r="I700" s="1041">
        <f>ROUND(G700*C700/100*$G$653,0)</f>
        <v>-587</v>
      </c>
      <c r="J700" s="1236">
        <f>J687</f>
        <v>2.2970000000000002</v>
      </c>
      <c r="K700" s="1009" t="s">
        <v>374</v>
      </c>
      <c r="L700" s="1041">
        <f>ROUND(J700*$C700/100*J691,0)</f>
        <v>-278</v>
      </c>
      <c r="N700" s="1185"/>
      <c r="O700" s="1185"/>
      <c r="P700" s="1186"/>
      <c r="Q700" s="1186"/>
      <c r="R700" s="1186"/>
      <c r="S700" s="1185"/>
      <c r="T700" s="1185"/>
      <c r="U700" s="1185"/>
      <c r="V700" s="1185"/>
      <c r="W700" s="1185"/>
      <c r="X700" s="1185"/>
      <c r="Y700" s="1185"/>
      <c r="Z700" s="1185"/>
      <c r="AA700" s="1185"/>
      <c r="AB700" s="1185"/>
      <c r="AC700" s="1185"/>
      <c r="AD700" s="1185"/>
      <c r="AE700" s="1185"/>
      <c r="AF700" s="1185"/>
      <c r="AG700" s="1185"/>
      <c r="AH700" s="1185"/>
      <c r="AI700" s="1185"/>
    </row>
    <row r="701" spans="1:37">
      <c r="A701" s="1009" t="s">
        <v>400</v>
      </c>
      <c r="B701" s="1219"/>
      <c r="C701" s="1026">
        <f>28+1042</f>
        <v>1070</v>
      </c>
      <c r="D701" s="1286">
        <v>50</v>
      </c>
      <c r="E701" s="1041" t="s">
        <v>374</v>
      </c>
      <c r="F701" s="1041">
        <f>ROUND(D701*$C701/100*D691,0)</f>
        <v>-5</v>
      </c>
      <c r="G701" s="1286">
        <v>56</v>
      </c>
      <c r="H701" s="1009" t="s">
        <v>374</v>
      </c>
      <c r="I701" s="1041">
        <f>ROUND(G701*C701/100*$G$653,0)</f>
        <v>-6</v>
      </c>
      <c r="J701" s="1286">
        <f>J688</f>
        <v>64</v>
      </c>
      <c r="K701" s="1009" t="s">
        <v>374</v>
      </c>
      <c r="L701" s="1041">
        <f>ROUND(J701*$C701/100*J691,0)</f>
        <v>-7</v>
      </c>
      <c r="N701" s="1185"/>
      <c r="O701" s="1185"/>
      <c r="P701" s="1186"/>
      <c r="Q701" s="1186"/>
      <c r="R701" s="1186"/>
      <c r="S701" s="1185"/>
      <c r="T701" s="1185"/>
      <c r="U701" s="1185"/>
      <c r="V701" s="1185"/>
      <c r="W701" s="1185"/>
      <c r="X701" s="1185"/>
      <c r="Y701" s="1185"/>
      <c r="Z701" s="1185"/>
      <c r="AA701" s="1185"/>
      <c r="AB701" s="1185"/>
      <c r="AC701" s="1185"/>
      <c r="AD701" s="1185"/>
      <c r="AE701" s="1185"/>
      <c r="AF701" s="1185"/>
      <c r="AG701" s="1185"/>
      <c r="AH701" s="1185"/>
      <c r="AI701" s="1185"/>
    </row>
    <row r="702" spans="1:37">
      <c r="A702" s="1009" t="s">
        <v>443</v>
      </c>
      <c r="B702" s="1219"/>
      <c r="C702" s="1026">
        <f>9+4</f>
        <v>13</v>
      </c>
      <c r="D702" s="1229">
        <v>60</v>
      </c>
      <c r="E702" s="1288" t="s">
        <v>31</v>
      </c>
      <c r="F702" s="1041">
        <f>ROUND(D702*$C702,0)</f>
        <v>780</v>
      </c>
      <c r="G702" s="1229">
        <v>60</v>
      </c>
      <c r="H702" s="1219"/>
      <c r="I702" s="1041">
        <f>ROUND(G702*C702,0)</f>
        <v>780</v>
      </c>
      <c r="J702" s="1229">
        <f>$J$626</f>
        <v>60</v>
      </c>
      <c r="K702" s="1219"/>
      <c r="L702" s="1041">
        <f>ROUND(J702*$C702,0)</f>
        <v>780</v>
      </c>
      <c r="N702" s="1185"/>
      <c r="O702" s="1185"/>
      <c r="P702" s="1186"/>
      <c r="Q702" s="1186"/>
      <c r="R702" s="1186"/>
      <c r="S702" s="1185"/>
      <c r="T702" s="1185"/>
      <c r="U702" s="1185"/>
      <c r="V702" s="1185"/>
      <c r="W702" s="1185"/>
      <c r="X702" s="1185"/>
      <c r="Y702" s="1185"/>
      <c r="Z702" s="1185"/>
      <c r="AA702" s="1185"/>
      <c r="AB702" s="1185"/>
      <c r="AC702" s="1185"/>
      <c r="AD702" s="1185"/>
      <c r="AE702" s="1185"/>
      <c r="AF702" s="1185"/>
      <c r="AG702" s="1185"/>
      <c r="AH702" s="1185"/>
      <c r="AI702" s="1185"/>
    </row>
    <row r="703" spans="1:37">
      <c r="A703" s="1009" t="s">
        <v>444</v>
      </c>
      <c r="B703" s="1219"/>
      <c r="C703" s="1026">
        <f>C695+C696</f>
        <v>5426</v>
      </c>
      <c r="D703" s="1262">
        <v>-30</v>
      </c>
      <c r="E703" s="1041" t="s">
        <v>374</v>
      </c>
      <c r="F703" s="1041">
        <f>ROUND(D703*$C703/100,0)</f>
        <v>-1628</v>
      </c>
      <c r="G703" s="1262">
        <v>-30</v>
      </c>
      <c r="H703" s="1041" t="s">
        <v>374</v>
      </c>
      <c r="I703" s="1041">
        <f>-ROUND(G703*C703*$G$653,0)</f>
        <v>-1628</v>
      </c>
      <c r="J703" s="1262">
        <f>$J$627</f>
        <v>-30</v>
      </c>
      <c r="K703" s="1041" t="s">
        <v>374</v>
      </c>
      <c r="L703" s="1041">
        <f>ROUND(J703*$C703/100,0)</f>
        <v>-1628</v>
      </c>
      <c r="N703" s="1185"/>
      <c r="O703" s="1185"/>
      <c r="P703" s="1186"/>
      <c r="Q703" s="1186"/>
      <c r="R703" s="1186"/>
      <c r="S703" s="1185"/>
      <c r="T703" s="1185"/>
      <c r="U703" s="1185"/>
      <c r="V703" s="1185"/>
      <c r="W703" s="1185"/>
      <c r="X703" s="1185"/>
      <c r="Y703" s="1185"/>
      <c r="Z703" s="1185"/>
      <c r="AA703" s="1185"/>
      <c r="AB703" s="1185"/>
      <c r="AC703" s="1185"/>
      <c r="AD703" s="1185"/>
      <c r="AE703" s="1185"/>
      <c r="AF703" s="1185"/>
      <c r="AG703" s="1185"/>
      <c r="AH703" s="1185"/>
      <c r="AI703" s="1185"/>
    </row>
    <row r="704" spans="1:37">
      <c r="A704" s="1005" t="s">
        <v>924</v>
      </c>
      <c r="C704" s="1202">
        <f>C699</f>
        <v>459733</v>
      </c>
      <c r="D704" s="269"/>
      <c r="E704" s="1185"/>
      <c r="F704" s="1203"/>
      <c r="G704" s="269"/>
      <c r="H704" s="1185"/>
      <c r="I704" s="1203"/>
      <c r="J704" s="1230">
        <f>J689</f>
        <v>3.4790000000000001</v>
      </c>
      <c r="K704" s="1041" t="s">
        <v>374</v>
      </c>
      <c r="L704" s="1041">
        <f>ROUND(J704*$C704/100*J691,0)</f>
        <v>-160</v>
      </c>
      <c r="N704" s="1204"/>
      <c r="P704" s="815"/>
      <c r="Q704" s="1184"/>
      <c r="R704" s="1184"/>
      <c r="S704" s="1205"/>
      <c r="T704" s="1205"/>
      <c r="Y704" s="1185"/>
      <c r="Z704" s="1185"/>
      <c r="AA704" s="1185"/>
      <c r="AB704" s="1185"/>
      <c r="AC704" s="1185"/>
      <c r="AD704" s="1185"/>
      <c r="AE704" s="1185"/>
      <c r="AF704" s="1185"/>
      <c r="AG704" s="1185"/>
      <c r="AH704" s="1185"/>
      <c r="AI704" s="1185"/>
      <c r="AK704" s="1204"/>
    </row>
    <row r="705" spans="1:37">
      <c r="A705" s="1005" t="s">
        <v>925</v>
      </c>
      <c r="C705" s="1202">
        <f>C700</f>
        <v>1208867</v>
      </c>
      <c r="D705" s="269"/>
      <c r="E705" s="1185"/>
      <c r="F705" s="1203"/>
      <c r="G705" s="269"/>
      <c r="H705" s="1185"/>
      <c r="I705" s="1203"/>
      <c r="J705" s="1230">
        <f>J690</f>
        <v>3.19</v>
      </c>
      <c r="K705" s="1041" t="s">
        <v>374</v>
      </c>
      <c r="L705" s="1041">
        <f>ROUND(J705*$C705/100*J691,0)</f>
        <v>-386</v>
      </c>
      <c r="N705" s="1204"/>
      <c r="P705" s="815"/>
      <c r="Q705" s="1184"/>
      <c r="R705" s="1184"/>
      <c r="S705" s="1205"/>
      <c r="T705" s="1205"/>
      <c r="Y705" s="1185"/>
      <c r="Z705" s="1185"/>
      <c r="AA705" s="1185"/>
      <c r="AB705" s="1185"/>
      <c r="AC705" s="1185"/>
      <c r="AD705" s="1185"/>
      <c r="AE705" s="1185"/>
      <c r="AF705" s="1185"/>
      <c r="AG705" s="1185"/>
      <c r="AH705" s="1185"/>
      <c r="AI705" s="1185"/>
      <c r="AK705" s="1204"/>
    </row>
    <row r="706" spans="1:37">
      <c r="A706" s="1219" t="s">
        <v>381</v>
      </c>
      <c r="B706" s="1219"/>
      <c r="C706" s="1026">
        <f>SUM(C686:C687)</f>
        <v>109592184</v>
      </c>
      <c r="D706" s="1255"/>
      <c r="E706" s="1203"/>
      <c r="F706" s="1203">
        <f>SUM(F676:F703)</f>
        <v>7174229</v>
      </c>
      <c r="G706" s="1255"/>
      <c r="H706" s="1219"/>
      <c r="I706" s="1203">
        <f>SUM(I676:I703)</f>
        <v>8196036</v>
      </c>
      <c r="J706" s="1255"/>
      <c r="K706" s="1219"/>
      <c r="L706" s="1203">
        <f>SUM(L676:L705)</f>
        <v>9359519</v>
      </c>
      <c r="N706" s="1185"/>
      <c r="O706" s="1185"/>
      <c r="P706" s="1186"/>
      <c r="Q706" s="1186"/>
      <c r="R706" s="1186"/>
      <c r="S706" s="1185"/>
      <c r="T706" s="1185"/>
      <c r="U706" s="1185"/>
      <c r="V706" s="1185"/>
      <c r="W706" s="1185"/>
      <c r="X706" s="1185"/>
      <c r="Y706" s="1185"/>
      <c r="Z706" s="1185"/>
      <c r="AA706" s="1185"/>
      <c r="AB706" s="1185"/>
      <c r="AC706" s="1185"/>
      <c r="AD706" s="1185"/>
      <c r="AE706" s="1185"/>
      <c r="AF706" s="1185"/>
      <c r="AG706" s="1185"/>
      <c r="AH706" s="1185"/>
      <c r="AI706" s="1185"/>
    </row>
    <row r="707" spans="1:37">
      <c r="A707" s="1219" t="s">
        <v>363</v>
      </c>
      <c r="B707" s="1219"/>
      <c r="C707" s="1032">
        <f>'[94]Table 2'!H76</f>
        <v>1503569.2477187554</v>
      </c>
      <c r="D707" s="1218"/>
      <c r="E707" s="1218"/>
      <c r="F707" s="1239" t="e">
        <f>#REF!</f>
        <v>#REF!</v>
      </c>
      <c r="G707" s="1218"/>
      <c r="H707" s="1218"/>
      <c r="I707" s="1239">
        <f>'[94]Table 3'!E76</f>
        <v>132135.06500870228</v>
      </c>
      <c r="J707" s="1218"/>
      <c r="K707" s="1218"/>
      <c r="L707" s="1239">
        <f>I707</f>
        <v>132135.06500870228</v>
      </c>
      <c r="N707" s="444"/>
      <c r="O707" s="444"/>
      <c r="P707" s="287"/>
      <c r="Q707" s="1186"/>
      <c r="R707" s="1186"/>
      <c r="S707" s="1185"/>
      <c r="T707" s="1185"/>
      <c r="U707" s="1185"/>
      <c r="V707" s="1185"/>
      <c r="W707" s="1185"/>
      <c r="X707" s="1185"/>
      <c r="Y707" s="1185"/>
      <c r="Z707" s="1185"/>
      <c r="AA707" s="1185"/>
      <c r="AB707" s="1185"/>
      <c r="AC707" s="1185"/>
      <c r="AD707" s="1185"/>
      <c r="AE707" s="1185"/>
      <c r="AF707" s="1185"/>
      <c r="AG707" s="1185"/>
      <c r="AH707" s="1185"/>
      <c r="AI707" s="1185"/>
    </row>
    <row r="708" spans="1:37" ht="16.5" thickBot="1">
      <c r="A708" s="1219" t="s">
        <v>382</v>
      </c>
      <c r="B708" s="1219"/>
      <c r="C708" s="1289">
        <f>SUM(C706)+C707</f>
        <v>111095753.24771875</v>
      </c>
      <c r="D708" s="1265"/>
      <c r="E708" s="1266"/>
      <c r="F708" s="1267" t="e">
        <f>F706+F707</f>
        <v>#REF!</v>
      </c>
      <c r="G708" s="1265"/>
      <c r="H708" s="1269"/>
      <c r="I708" s="1267">
        <f>I706+I707</f>
        <v>8328171.0650087027</v>
      </c>
      <c r="J708" s="1265"/>
      <c r="K708" s="1269"/>
      <c r="L708" s="1267">
        <f>L706+L707</f>
        <v>9491654.0650087018</v>
      </c>
      <c r="N708" s="411"/>
      <c r="O708" s="411"/>
      <c r="P708" s="470"/>
      <c r="Q708" s="1186"/>
      <c r="R708" s="1186"/>
      <c r="S708" s="1185"/>
      <c r="T708" s="1185"/>
      <c r="U708" s="1185"/>
      <c r="V708" s="1185"/>
      <c r="W708" s="1185"/>
      <c r="X708" s="1185"/>
      <c r="Y708" s="1185"/>
      <c r="Z708" s="1185"/>
      <c r="AA708" s="1185"/>
      <c r="AB708" s="1185"/>
      <c r="AC708" s="1185"/>
      <c r="AD708" s="1185"/>
      <c r="AE708" s="1185"/>
      <c r="AF708" s="1185"/>
      <c r="AG708" s="1185"/>
      <c r="AH708" s="1185"/>
      <c r="AI708" s="1185"/>
    </row>
    <row r="709" spans="1:37" ht="16.5" thickTop="1">
      <c r="A709" s="1233"/>
      <c r="B709" s="1301"/>
      <c r="C709" s="1233"/>
      <c r="D709" s="1225"/>
      <c r="E709" s="1225"/>
      <c r="F709" s="1302"/>
      <c r="G709" s="1219"/>
      <c r="H709" s="1233"/>
      <c r="I709" s="1302"/>
      <c r="J709" s="1233"/>
      <c r="K709" s="1233"/>
      <c r="L709" s="1233"/>
      <c r="N709" s="1185"/>
      <c r="O709" s="1185"/>
      <c r="P709" s="1186"/>
      <c r="Q709" s="1186"/>
      <c r="R709" s="1186"/>
      <c r="S709" s="1185"/>
      <c r="T709" s="1185"/>
      <c r="U709" s="1185"/>
      <c r="V709" s="1185"/>
      <c r="W709" s="1185"/>
      <c r="X709" s="1185"/>
      <c r="Y709" s="1185"/>
      <c r="Z709" s="1185"/>
      <c r="AA709" s="1185"/>
      <c r="AB709" s="1185"/>
      <c r="AC709" s="1185"/>
      <c r="AD709" s="1185"/>
      <c r="AE709" s="1185"/>
      <c r="AF709" s="1185"/>
      <c r="AG709" s="1185"/>
      <c r="AH709" s="1185"/>
      <c r="AI709" s="1185"/>
    </row>
    <row r="710" spans="1:37">
      <c r="A710" s="1224" t="s">
        <v>447</v>
      </c>
      <c r="B710" s="1219"/>
      <c r="C710" s="1225"/>
      <c r="D710" s="1261"/>
      <c r="E710" s="1203"/>
      <c r="F710" s="1203"/>
      <c r="G710" s="1261"/>
      <c r="H710" s="1219"/>
      <c r="I710" s="1203"/>
      <c r="J710" s="1261"/>
      <c r="K710" s="1219"/>
      <c r="L710" s="1203"/>
      <c r="N710" s="1185"/>
      <c r="O710" s="1185"/>
      <c r="P710" s="1186"/>
      <c r="Q710" s="1186"/>
      <c r="R710" s="1186"/>
      <c r="S710" s="1185"/>
      <c r="T710" s="1185"/>
      <c r="U710" s="1185"/>
      <c r="V710" s="1185"/>
      <c r="W710" s="1185"/>
      <c r="X710" s="1185"/>
      <c r="Y710" s="1185"/>
      <c r="Z710" s="1185"/>
      <c r="AA710" s="1185"/>
      <c r="AB710" s="1185"/>
      <c r="AC710" s="1185"/>
      <c r="AD710" s="1185"/>
      <c r="AE710" s="1185"/>
      <c r="AF710" s="1185"/>
      <c r="AG710" s="1185"/>
      <c r="AH710" s="1185"/>
      <c r="AI710" s="1185"/>
    </row>
    <row r="711" spans="1:37">
      <c r="A711" s="1218" t="s">
        <v>448</v>
      </c>
      <c r="B711" s="1219"/>
      <c r="C711" s="1225"/>
      <c r="D711" s="1261"/>
      <c r="E711" s="1203"/>
      <c r="F711" s="1203"/>
      <c r="G711" s="1261"/>
      <c r="H711" s="1219"/>
      <c r="I711" s="1203"/>
      <c r="J711" s="1261"/>
      <c r="K711" s="1219"/>
      <c r="L711" s="1203"/>
      <c r="N711" s="1185"/>
      <c r="O711" s="1185"/>
      <c r="P711" s="1186"/>
      <c r="Q711" s="1186"/>
      <c r="R711" s="1186"/>
      <c r="S711" s="1185"/>
      <c r="T711" s="1185"/>
      <c r="U711" s="1185"/>
      <c r="V711" s="1185"/>
      <c r="W711" s="1185"/>
      <c r="X711" s="1185"/>
      <c r="Y711" s="1185"/>
      <c r="Z711" s="1185"/>
      <c r="AA711" s="1185"/>
      <c r="AB711" s="1185"/>
      <c r="AC711" s="1185"/>
      <c r="AD711" s="1185"/>
      <c r="AE711" s="1185"/>
      <c r="AF711" s="1185"/>
      <c r="AG711" s="1185"/>
      <c r="AH711" s="1185"/>
      <c r="AI711" s="1185"/>
    </row>
    <row r="712" spans="1:37">
      <c r="A712" s="1009"/>
      <c r="B712" s="1219"/>
      <c r="C712" s="1225"/>
      <c r="D712" s="1261"/>
      <c r="E712" s="1203"/>
      <c r="F712" s="1303"/>
      <c r="G712" s="1261"/>
      <c r="H712" s="1219"/>
      <c r="I712" s="1303"/>
      <c r="J712" s="1261"/>
      <c r="K712" s="1219"/>
      <c r="L712" s="1304"/>
      <c r="N712" s="1185"/>
      <c r="O712" s="1185"/>
      <c r="P712" s="1186"/>
      <c r="Q712" s="1186"/>
      <c r="R712" s="1186"/>
      <c r="S712" s="1185"/>
      <c r="T712" s="1185"/>
      <c r="U712" s="1185"/>
      <c r="V712" s="1185"/>
      <c r="W712" s="1185"/>
      <c r="X712" s="1185"/>
      <c r="Y712" s="1185"/>
      <c r="Z712" s="1185"/>
      <c r="AA712" s="1185"/>
      <c r="AB712" s="1185"/>
      <c r="AC712" s="1185"/>
      <c r="AD712" s="1185"/>
      <c r="AE712" s="1185"/>
      <c r="AF712" s="1185"/>
      <c r="AG712" s="1185"/>
      <c r="AH712" s="1185"/>
      <c r="AI712" s="1185"/>
    </row>
    <row r="713" spans="1:37">
      <c r="A713" s="1218" t="s">
        <v>449</v>
      </c>
      <c r="B713" s="1219"/>
      <c r="C713" s="1026"/>
      <c r="D713" s="1203" t="s">
        <v>31</v>
      </c>
      <c r="E713" s="1203"/>
      <c r="F713" s="1219"/>
      <c r="G713" s="1203" t="s">
        <v>31</v>
      </c>
      <c r="H713" s="1219"/>
      <c r="I713" s="1219"/>
      <c r="J713" s="1203" t="s">
        <v>31</v>
      </c>
      <c r="K713" s="1219"/>
      <c r="L713" s="1219"/>
      <c r="N713" s="1185"/>
      <c r="O713" s="1185"/>
      <c r="P713" s="1186"/>
      <c r="Q713" s="1185"/>
      <c r="R713" s="1185"/>
      <c r="S713" s="1185"/>
      <c r="T713" s="1185"/>
      <c r="U713" s="1185"/>
      <c r="V713" s="1185"/>
      <c r="W713" s="1185"/>
      <c r="X713" s="1185"/>
      <c r="Y713" s="1185"/>
      <c r="AC713" s="1185"/>
      <c r="AD713" s="1185"/>
      <c r="AE713" s="1185"/>
      <c r="AF713" s="1185"/>
      <c r="AG713" s="1185"/>
      <c r="AH713" s="1185"/>
      <c r="AI713" s="1185"/>
    </row>
    <row r="714" spans="1:37">
      <c r="A714" s="1218" t="s">
        <v>450</v>
      </c>
      <c r="B714" s="1219"/>
      <c r="C714" s="1026">
        <f>C768+C821</f>
        <v>1049</v>
      </c>
      <c r="D714" s="1261">
        <v>0</v>
      </c>
      <c r="E714" s="1249"/>
      <c r="F714" s="1041">
        <f>F768+F821</f>
        <v>0</v>
      </c>
      <c r="G714" s="1261">
        <v>0</v>
      </c>
      <c r="H714" s="1249"/>
      <c r="I714" s="1041">
        <f>I768+I821</f>
        <v>0</v>
      </c>
      <c r="J714" s="1261">
        <f>D714</f>
        <v>0</v>
      </c>
      <c r="K714" s="1249"/>
      <c r="L714" s="1041">
        <f>L768+L821</f>
        <v>0</v>
      </c>
      <c r="N714" s="1204" t="e">
        <f>J714*#REF!</f>
        <v>#REF!</v>
      </c>
      <c r="Q714" s="55"/>
      <c r="R714" s="55"/>
      <c r="AD714" s="1185"/>
      <c r="AE714" s="1185"/>
      <c r="AF714" s="1185"/>
      <c r="AG714" s="1185"/>
      <c r="AH714" s="1185"/>
      <c r="AI714" s="1185"/>
    </row>
    <row r="715" spans="1:37">
      <c r="A715" s="1218" t="s">
        <v>451</v>
      </c>
      <c r="B715" s="1219"/>
      <c r="C715" s="1026"/>
      <c r="D715" s="1261"/>
      <c r="E715" s="1249"/>
      <c r="F715" s="1041"/>
      <c r="G715" s="1261"/>
      <c r="H715" s="1249"/>
      <c r="I715" s="1041"/>
      <c r="J715" s="1261"/>
      <c r="K715" s="1249"/>
      <c r="L715" s="1041"/>
      <c r="T715" s="1204"/>
      <c r="U715" s="666"/>
      <c r="V715" s="1204"/>
      <c r="W715" s="666"/>
      <c r="X715" s="1204"/>
      <c r="Y715" s="1204"/>
      <c r="Z715" s="801"/>
      <c r="AD715" s="1185"/>
      <c r="AE715" s="1185"/>
      <c r="AF715" s="1185"/>
      <c r="AG715" s="1185"/>
      <c r="AH715" s="1185"/>
      <c r="AI715" s="1185"/>
    </row>
    <row r="716" spans="1:37">
      <c r="A716" s="1218" t="s">
        <v>452</v>
      </c>
      <c r="B716" s="1219"/>
      <c r="C716" s="1026">
        <f t="shared" ref="C716:C721" si="111">C770+C823</f>
        <v>3806</v>
      </c>
      <c r="D716" s="1261">
        <v>0</v>
      </c>
      <c r="E716" s="1249"/>
      <c r="F716" s="1041">
        <f>F770+F823</f>
        <v>0</v>
      </c>
      <c r="G716" s="1261">
        <v>0</v>
      </c>
      <c r="H716" s="1249"/>
      <c r="I716" s="1041">
        <f>I770+I823</f>
        <v>0</v>
      </c>
      <c r="J716" s="1261">
        <v>0</v>
      </c>
      <c r="K716" s="1249"/>
      <c r="L716" s="1041">
        <f>L770+L823</f>
        <v>0</v>
      </c>
      <c r="N716" s="1204" t="e">
        <f>J716*#REF!</f>
        <v>#REF!</v>
      </c>
      <c r="O716" s="1246"/>
      <c r="Q716" s="1211" t="s">
        <v>643</v>
      </c>
      <c r="R716" s="1211"/>
      <c r="T716" s="1204"/>
      <c r="U716" s="666"/>
      <c r="V716" s="1204"/>
      <c r="W716" s="666"/>
      <c r="X716" s="1204"/>
      <c r="Y716" s="1204"/>
      <c r="Z716" s="801"/>
      <c r="AD716" s="1185"/>
      <c r="AE716" s="1185"/>
      <c r="AF716" s="1185"/>
      <c r="AG716" s="1185"/>
      <c r="AH716" s="1185"/>
      <c r="AI716" s="1185"/>
    </row>
    <row r="717" spans="1:37">
      <c r="A717" s="1218" t="s">
        <v>453</v>
      </c>
      <c r="B717" s="1219"/>
      <c r="C717" s="1026">
        <f t="shared" si="111"/>
        <v>405</v>
      </c>
      <c r="D717" s="1261">
        <v>312</v>
      </c>
      <c r="E717" s="1249"/>
      <c r="F717" s="1041">
        <f>F771+F824</f>
        <v>126360</v>
      </c>
      <c r="G717" s="1261">
        <v>357</v>
      </c>
      <c r="H717" s="1249"/>
      <c r="I717" s="1041">
        <f>I771+I824</f>
        <v>144585</v>
      </c>
      <c r="J717" s="1261">
        <f>ROUND(G717+(G717*$Q$762),0)</f>
        <v>401</v>
      </c>
      <c r="K717" s="1249"/>
      <c r="L717" s="1041">
        <f>L771+L824</f>
        <v>162405</v>
      </c>
      <c r="N717" s="1204" t="e">
        <f>J717*#REF!</f>
        <v>#REF!</v>
      </c>
      <c r="O717" s="1190"/>
      <c r="Q717" s="55">
        <f>(J717-G717)/G717</f>
        <v>0.12324929971988796</v>
      </c>
      <c r="R717" s="55"/>
      <c r="S717" s="1254"/>
      <c r="T717" s="1204"/>
      <c r="U717" s="1248"/>
      <c r="V717" s="1204"/>
      <c r="W717" s="1248"/>
      <c r="X717" s="1204"/>
      <c r="Y717" s="1204"/>
      <c r="Z717" s="1305"/>
      <c r="AD717" s="1185"/>
      <c r="AE717" s="1185"/>
      <c r="AF717" s="1185"/>
      <c r="AG717" s="1185"/>
      <c r="AH717" s="1185"/>
      <c r="AI717" s="1185"/>
    </row>
    <row r="718" spans="1:37">
      <c r="A718" s="1218" t="s">
        <v>454</v>
      </c>
      <c r="B718" s="1219"/>
      <c r="C718" s="1026">
        <f t="shared" si="111"/>
        <v>0</v>
      </c>
      <c r="D718" s="1261">
        <v>1268</v>
      </c>
      <c r="E718" s="1249"/>
      <c r="F718" s="1041">
        <f>F772+F825</f>
        <v>0</v>
      </c>
      <c r="G718" s="1261">
        <v>1457</v>
      </c>
      <c r="H718" s="1249"/>
      <c r="I718" s="1041">
        <f>I772+I825</f>
        <v>0</v>
      </c>
      <c r="J718" s="1261">
        <f>ROUND(G718+(G718*$Q$762),0)</f>
        <v>1635</v>
      </c>
      <c r="K718" s="1249"/>
      <c r="L718" s="1041">
        <f>L772+L825</f>
        <v>0</v>
      </c>
      <c r="N718" s="1204" t="e">
        <f>J718*#REF!</f>
        <v>#REF!</v>
      </c>
      <c r="O718" s="1190"/>
      <c r="Q718" s="55">
        <f>(J718-G718)/G718</f>
        <v>0.12216884008236102</v>
      </c>
      <c r="R718" s="55"/>
      <c r="T718" s="1204"/>
      <c r="U718" s="1204"/>
      <c r="Z718" s="1185"/>
      <c r="AC718" s="1185"/>
      <c r="AD718" s="1185"/>
      <c r="AE718" s="1185"/>
      <c r="AF718" s="1185"/>
      <c r="AG718" s="1185"/>
      <c r="AH718" s="1185"/>
      <c r="AI718" s="1185"/>
    </row>
    <row r="719" spans="1:37">
      <c r="A719" s="1218" t="s">
        <v>362</v>
      </c>
      <c r="B719" s="1219"/>
      <c r="C719" s="1026">
        <f t="shared" si="111"/>
        <v>5260</v>
      </c>
      <c r="D719" s="1261"/>
      <c r="E719" s="1249"/>
      <c r="F719" s="1041"/>
      <c r="G719" s="1261"/>
      <c r="H719" s="1249"/>
      <c r="I719" s="1041"/>
      <c r="J719" s="1261"/>
      <c r="K719" s="1249"/>
      <c r="L719" s="1041"/>
      <c r="N719" s="1190"/>
      <c r="O719" s="1190"/>
      <c r="Q719" s="1248"/>
      <c r="R719" s="1248"/>
      <c r="S719" s="1190"/>
      <c r="Z719" s="1254"/>
      <c r="AA719" s="1254"/>
      <c r="AB719" s="1185"/>
      <c r="AC719" s="1185"/>
      <c r="AD719" s="1185"/>
      <c r="AE719" s="1185"/>
      <c r="AF719" s="1185"/>
      <c r="AG719" s="1185"/>
      <c r="AH719" s="1185"/>
      <c r="AI719" s="1185"/>
    </row>
    <row r="720" spans="1:37">
      <c r="A720" s="1218" t="s">
        <v>455</v>
      </c>
      <c r="B720" s="1219"/>
      <c r="C720" s="1026">
        <f t="shared" si="111"/>
        <v>39861</v>
      </c>
      <c r="D720" s="1261"/>
      <c r="E720" s="1249"/>
      <c r="F720" s="1041"/>
      <c r="G720" s="1261"/>
      <c r="H720" s="1249"/>
      <c r="I720" s="1041"/>
      <c r="J720" s="1261"/>
      <c r="K720" s="1249"/>
      <c r="L720" s="1041"/>
      <c r="N720" s="1190"/>
      <c r="O720" s="1190"/>
      <c r="S720" s="1190"/>
      <c r="AB720" s="1185"/>
      <c r="AC720" s="1185"/>
      <c r="AD720" s="1185"/>
      <c r="AE720" s="1185"/>
      <c r="AF720" s="1185"/>
      <c r="AG720" s="1185"/>
      <c r="AH720" s="1185"/>
      <c r="AI720" s="1185"/>
    </row>
    <row r="721" spans="1:37">
      <c r="A721" s="1218" t="s">
        <v>104</v>
      </c>
      <c r="B721" s="1219"/>
      <c r="C721" s="1026">
        <f t="shared" si="111"/>
        <v>5907</v>
      </c>
      <c r="D721" s="1261"/>
      <c r="E721" s="1041"/>
      <c r="F721" s="1041"/>
      <c r="G721" s="1261"/>
      <c r="H721" s="1041"/>
      <c r="I721" s="1041"/>
      <c r="J721" s="1261"/>
      <c r="K721" s="1041"/>
      <c r="L721" s="1306" t="s">
        <v>31</v>
      </c>
      <c r="N721" s="1190"/>
      <c r="O721" s="1190"/>
      <c r="Q721" s="1248"/>
      <c r="R721" s="1248"/>
      <c r="S721" s="1263"/>
      <c r="AB721" s="1185"/>
      <c r="AC721" s="1185"/>
      <c r="AD721" s="1185"/>
      <c r="AE721" s="1185"/>
      <c r="AF721" s="1185"/>
      <c r="AG721" s="1185"/>
      <c r="AH721" s="1185"/>
      <c r="AI721" s="1185"/>
    </row>
    <row r="722" spans="1:37">
      <c r="A722" s="1218" t="s">
        <v>456</v>
      </c>
      <c r="B722" s="1219"/>
      <c r="C722" s="1026"/>
      <c r="D722" s="1261"/>
      <c r="E722" s="1249"/>
      <c r="F722" s="1041"/>
      <c r="G722" s="1261"/>
      <c r="H722" s="1249"/>
      <c r="I722" s="1041"/>
      <c r="J722" s="1261"/>
      <c r="K722" s="1249"/>
      <c r="L722" s="1041"/>
      <c r="N722" s="1190"/>
      <c r="O722" s="1190"/>
      <c r="Q722" s="1248"/>
      <c r="R722" s="1248"/>
      <c r="S722" s="1190"/>
      <c r="AB722" s="1185"/>
      <c r="AC722" s="1185"/>
      <c r="AD722" s="1185"/>
      <c r="AE722" s="1185"/>
      <c r="AF722" s="1185"/>
      <c r="AG722" s="1185"/>
      <c r="AH722" s="1185"/>
      <c r="AI722" s="1185"/>
    </row>
    <row r="723" spans="1:37">
      <c r="A723" s="1218" t="s">
        <v>457</v>
      </c>
      <c r="B723" s="1219"/>
      <c r="C723" s="1026">
        <f>C777+C830</f>
        <v>2990</v>
      </c>
      <c r="D723" s="1261">
        <v>20.86</v>
      </c>
      <c r="E723" s="1249"/>
      <c r="F723" s="1041">
        <f>F777+F830</f>
        <v>62371</v>
      </c>
      <c r="G723" s="1261">
        <v>23.87</v>
      </c>
      <c r="H723" s="1249"/>
      <c r="I723" s="1041">
        <f>I777+I830</f>
        <v>71371</v>
      </c>
      <c r="J723" s="1261">
        <f>ROUND(G723+(G723*$Q$762),2)-0.02</f>
        <v>26.77</v>
      </c>
      <c r="K723" s="1249"/>
      <c r="L723" s="1041">
        <f>L777+L830</f>
        <v>80042</v>
      </c>
      <c r="N723" s="1204" t="e">
        <f>J723*#REF!</f>
        <v>#REF!</v>
      </c>
      <c r="O723" s="1307"/>
      <c r="Q723" s="55">
        <f>(J723-G723)/G723</f>
        <v>0.12149141181399239</v>
      </c>
      <c r="R723" s="55"/>
      <c r="S723" s="1190"/>
      <c r="AD723" s="1185"/>
      <c r="AE723" s="1185"/>
      <c r="AF723" s="1185"/>
      <c r="AG723" s="1185"/>
      <c r="AH723" s="1185"/>
      <c r="AI723" s="1185"/>
    </row>
    <row r="724" spans="1:37">
      <c r="A724" s="1218" t="s">
        <v>458</v>
      </c>
      <c r="B724" s="1219"/>
      <c r="C724" s="1026"/>
      <c r="D724" s="1261"/>
      <c r="E724" s="1249"/>
      <c r="F724" s="1041"/>
      <c r="G724" s="1261"/>
      <c r="H724" s="1249"/>
      <c r="I724" s="1041"/>
      <c r="J724" s="1261"/>
      <c r="K724" s="1249"/>
      <c r="L724" s="1041"/>
      <c r="N724" s="1307"/>
      <c r="O724" s="1307"/>
      <c r="Q724" s="1248"/>
      <c r="R724" s="1248"/>
      <c r="S724" s="1190"/>
      <c r="AD724" s="1185"/>
      <c r="AE724" s="1185"/>
      <c r="AF724" s="1185"/>
      <c r="AG724" s="1185"/>
      <c r="AH724" s="1185"/>
      <c r="AI724" s="1185"/>
    </row>
    <row r="725" spans="1:37">
      <c r="A725" s="1218" t="s">
        <v>452</v>
      </c>
      <c r="B725" s="1219"/>
      <c r="C725" s="1026">
        <f>C779+C832</f>
        <v>50496</v>
      </c>
      <c r="D725" s="1261">
        <v>20.860000000000003</v>
      </c>
      <c r="E725" s="1249"/>
      <c r="F725" s="1041">
        <f>F779+F832</f>
        <v>1053346</v>
      </c>
      <c r="G725" s="1261">
        <v>23.79</v>
      </c>
      <c r="H725" s="1249"/>
      <c r="I725" s="1041">
        <f>I779+I832</f>
        <v>1201300</v>
      </c>
      <c r="J725" s="1261">
        <f>ROUND(G725+(G725*$Q$762),2)</f>
        <v>26.7</v>
      </c>
      <c r="K725" s="1249"/>
      <c r="L725" s="1041">
        <f>L779+L832</f>
        <v>1348244</v>
      </c>
      <c r="N725" s="1204" t="e">
        <f>J725*#REF!</f>
        <v>#REF!</v>
      </c>
      <c r="O725" s="1307"/>
      <c r="Q725" s="55">
        <f>(J725-G725)/G725</f>
        <v>0.12232030264817151</v>
      </c>
      <c r="R725" s="55"/>
      <c r="S725" s="1190"/>
      <c r="AD725" s="1185"/>
      <c r="AE725" s="1185"/>
      <c r="AF725" s="1185"/>
      <c r="AG725" s="1185"/>
      <c r="AH725" s="1185"/>
      <c r="AI725" s="1185"/>
    </row>
    <row r="726" spans="1:37">
      <c r="A726" s="1218" t="s">
        <v>453</v>
      </c>
      <c r="B726" s="1219"/>
      <c r="C726" s="1026">
        <f>C780+C833</f>
        <v>38906</v>
      </c>
      <c r="D726" s="1261">
        <v>14.53</v>
      </c>
      <c r="E726" s="1249"/>
      <c r="F726" s="1041">
        <f>F780+F833</f>
        <v>565305</v>
      </c>
      <c r="G726" s="1261">
        <v>16.559999999999999</v>
      </c>
      <c r="H726" s="1249"/>
      <c r="I726" s="1041">
        <f>I780+I833</f>
        <v>644284</v>
      </c>
      <c r="J726" s="1261">
        <f>ROUND(G726+(G726*$Q$762),2)</f>
        <v>18.59</v>
      </c>
      <c r="K726" s="1249"/>
      <c r="L726" s="1041">
        <f>L780+L833</f>
        <v>723263</v>
      </c>
      <c r="N726" s="1204" t="e">
        <f>J726*#REF!</f>
        <v>#REF!</v>
      </c>
      <c r="O726" s="1307"/>
      <c r="Q726" s="55">
        <f>(J726-G726)/G726</f>
        <v>0.122584541062802</v>
      </c>
      <c r="R726" s="55"/>
      <c r="S726" s="1190"/>
      <c r="V726" s="1204"/>
      <c r="W726" s="1204"/>
      <c r="X726" s="1204"/>
      <c r="Y726" s="1204"/>
      <c r="Z726" s="1204"/>
      <c r="AA726" s="801"/>
      <c r="AB726" s="1185" t="s">
        <v>31</v>
      </c>
      <c r="AC726" s="1185"/>
      <c r="AD726" s="1185"/>
      <c r="AE726" s="1185"/>
      <c r="AF726" s="1185"/>
      <c r="AG726" s="1185"/>
      <c r="AH726" s="1185"/>
      <c r="AI726" s="1185"/>
    </row>
    <row r="727" spans="1:37">
      <c r="A727" s="1218" t="s">
        <v>454</v>
      </c>
      <c r="B727" s="1219" t="s">
        <v>31</v>
      </c>
      <c r="C727" s="1026">
        <f>C781+C834</f>
        <v>0</v>
      </c>
      <c r="D727" s="1261">
        <v>11.340000000000002</v>
      </c>
      <c r="E727" s="1249"/>
      <c r="F727" s="1041">
        <f>F781+F834</f>
        <v>0</v>
      </c>
      <c r="G727" s="1261">
        <v>12.96</v>
      </c>
      <c r="H727" s="1249"/>
      <c r="I727" s="1041">
        <f>I781+I834</f>
        <v>0</v>
      </c>
      <c r="J727" s="1261">
        <f>ROUND(G727+(G727*$Q$762),2)</f>
        <v>14.55</v>
      </c>
      <c r="K727" s="1249"/>
      <c r="L727" s="1041">
        <f>L781+L834</f>
        <v>0</v>
      </c>
      <c r="N727" s="1204" t="e">
        <f>J727*#REF!</f>
        <v>#REF!</v>
      </c>
      <c r="O727" s="1307"/>
      <c r="Q727" s="55">
        <f>(J727-G727)/G727</f>
        <v>0.12268518518518516</v>
      </c>
      <c r="R727" s="55"/>
      <c r="S727" s="1190"/>
      <c r="AB727" s="1185" t="s">
        <v>31</v>
      </c>
      <c r="AC727" s="1185"/>
      <c r="AD727" s="1185"/>
      <c r="AE727" s="1185"/>
      <c r="AF727" s="1185"/>
      <c r="AG727" s="1185"/>
      <c r="AH727" s="1185"/>
      <c r="AI727" s="1185"/>
    </row>
    <row r="728" spans="1:37">
      <c r="A728" s="1218" t="s">
        <v>460</v>
      </c>
      <c r="B728" s="1219"/>
      <c r="C728" s="1026">
        <f>C782+C835</f>
        <v>608</v>
      </c>
      <c r="D728" s="1261">
        <v>62.58</v>
      </c>
      <c r="E728" s="1249"/>
      <c r="F728" s="1041">
        <f>F782+F835</f>
        <v>38049</v>
      </c>
      <c r="G728" s="1261">
        <v>71.61</v>
      </c>
      <c r="H728" s="1249"/>
      <c r="I728" s="1041">
        <f>I782+I835</f>
        <v>43539</v>
      </c>
      <c r="J728" s="1261">
        <f>3*J723</f>
        <v>80.31</v>
      </c>
      <c r="K728" s="1249"/>
      <c r="L728" s="1041">
        <f>L782+L835</f>
        <v>48829</v>
      </c>
      <c r="N728" s="1204" t="e">
        <f>J728*#REF!</f>
        <v>#REF!</v>
      </c>
      <c r="O728" s="1190"/>
      <c r="Q728" s="55">
        <f>(J728-G728)/G728</f>
        <v>0.12149141181399251</v>
      </c>
      <c r="R728" s="55"/>
      <c r="S728" s="1190"/>
      <c r="AB728" s="1185"/>
      <c r="AC728" s="1185"/>
      <c r="AD728" s="1185"/>
      <c r="AE728" s="1185"/>
      <c r="AF728" s="1185"/>
      <c r="AG728" s="1185"/>
      <c r="AH728" s="1185"/>
      <c r="AI728" s="1185"/>
    </row>
    <row r="729" spans="1:37">
      <c r="A729" s="1218" t="s">
        <v>461</v>
      </c>
      <c r="B729" s="1219"/>
      <c r="C729" s="1026">
        <f>C783+C836</f>
        <v>1116</v>
      </c>
      <c r="D729" s="1261">
        <v>125.16000000000003</v>
      </c>
      <c r="E729" s="1249"/>
      <c r="F729" s="1041">
        <f>F783+F836</f>
        <v>139679</v>
      </c>
      <c r="G729" s="1261">
        <v>142.74</v>
      </c>
      <c r="H729" s="1249"/>
      <c r="I729" s="1041">
        <f>I783+I836</f>
        <v>159298</v>
      </c>
      <c r="J729" s="1261">
        <f>6*J725</f>
        <v>160.19999999999999</v>
      </c>
      <c r="K729" s="1249"/>
      <c r="L729" s="1041">
        <f>L783+L836</f>
        <v>178783</v>
      </c>
      <c r="N729" s="1204" t="e">
        <f>J729*#REF!</f>
        <v>#REF!</v>
      </c>
      <c r="O729" s="1190"/>
      <c r="Q729" s="55">
        <f>(J729-G729)/G729</f>
        <v>0.12232030264817136</v>
      </c>
      <c r="R729" s="55"/>
      <c r="S729" s="1190"/>
      <c r="AB729" s="1185"/>
      <c r="AC729" s="1185"/>
      <c r="AD729" s="1185"/>
      <c r="AE729" s="1185"/>
      <c r="AF729" s="1185"/>
      <c r="AG729" s="1185"/>
      <c r="AH729" s="1185"/>
      <c r="AI729" s="1185"/>
    </row>
    <row r="730" spans="1:37">
      <c r="A730" s="1218" t="s">
        <v>462</v>
      </c>
      <c r="B730" s="1219"/>
      <c r="C730" s="1026"/>
      <c r="D730" s="1261"/>
      <c r="E730" s="1249"/>
      <c r="F730" s="1041"/>
      <c r="G730" s="1261"/>
      <c r="H730" s="1249"/>
      <c r="I730" s="1041"/>
      <c r="J730" s="1261"/>
      <c r="K730" s="1249"/>
      <c r="L730" s="1041"/>
      <c r="N730" s="1190"/>
      <c r="O730" s="1190"/>
      <c r="Q730" s="1184"/>
      <c r="R730" s="1184"/>
      <c r="S730" s="1190"/>
      <c r="AB730" s="1185"/>
      <c r="AC730" s="1185"/>
      <c r="AD730" s="1185"/>
      <c r="AE730" s="1185"/>
      <c r="AF730" s="1185"/>
      <c r="AG730" s="1185"/>
      <c r="AH730" s="1185"/>
      <c r="AI730" s="1185"/>
    </row>
    <row r="731" spans="1:37">
      <c r="A731" s="1218" t="s">
        <v>457</v>
      </c>
      <c r="B731" s="1219"/>
      <c r="C731" s="1026">
        <f t="shared" ref="C731:C736" si="112">C785+C838</f>
        <v>50</v>
      </c>
      <c r="D731" s="1259">
        <v>-20.86</v>
      </c>
      <c r="E731" s="1249"/>
      <c r="F731" s="1041">
        <f>F785+F838</f>
        <v>-1043</v>
      </c>
      <c r="G731" s="1259">
        <v>-23.87</v>
      </c>
      <c r="H731" s="1249"/>
      <c r="I731" s="1041">
        <f>I785+I838</f>
        <v>-1194</v>
      </c>
      <c r="J731" s="1259">
        <f>-J723</f>
        <v>-26.77</v>
      </c>
      <c r="K731" s="1249"/>
      <c r="L731" s="1041">
        <f>L785+L838</f>
        <v>-1339</v>
      </c>
      <c r="N731" s="1204" t="e">
        <f>J731*#REF!</f>
        <v>#REF!</v>
      </c>
      <c r="O731" s="1190"/>
      <c r="Q731" s="1184"/>
      <c r="R731" s="1184"/>
      <c r="S731" s="1190"/>
      <c r="AB731" s="1185"/>
      <c r="AC731" s="1185"/>
      <c r="AD731" s="1185"/>
      <c r="AE731" s="1185"/>
      <c r="AF731" s="1185"/>
      <c r="AG731" s="1185"/>
      <c r="AH731" s="1185"/>
      <c r="AI731" s="1185"/>
    </row>
    <row r="732" spans="1:37">
      <c r="A732" s="1218" t="s">
        <v>463</v>
      </c>
      <c r="B732" s="1219"/>
      <c r="C732" s="1026">
        <f t="shared" si="112"/>
        <v>574</v>
      </c>
      <c r="D732" s="1259">
        <v>-20.860000000000003</v>
      </c>
      <c r="E732" s="1249"/>
      <c r="F732" s="1041">
        <f>F786+F839</f>
        <v>-11973</v>
      </c>
      <c r="G732" s="1259">
        <v>-23.79</v>
      </c>
      <c r="H732" s="1249"/>
      <c r="I732" s="1041">
        <f>I786+I839</f>
        <v>-13655</v>
      </c>
      <c r="J732" s="1259">
        <f>-J725</f>
        <v>-26.7</v>
      </c>
      <c r="K732" s="1249"/>
      <c r="L732" s="1041">
        <f>L786+L839</f>
        <v>-15326</v>
      </c>
      <c r="N732" s="1204" t="e">
        <f>J732*#REF!</f>
        <v>#REF!</v>
      </c>
      <c r="O732" s="1190"/>
      <c r="Q732" s="1184"/>
      <c r="R732" s="1184"/>
      <c r="S732" s="1190"/>
      <c r="AB732" s="1185"/>
      <c r="AC732" s="1185"/>
      <c r="AD732" s="1185"/>
      <c r="AE732" s="1185"/>
      <c r="AF732" s="1185"/>
      <c r="AG732" s="1185"/>
      <c r="AH732" s="1185"/>
      <c r="AI732" s="1185"/>
    </row>
    <row r="733" spans="1:37">
      <c r="A733" s="1009" t="s">
        <v>426</v>
      </c>
      <c r="B733" s="1219"/>
      <c r="C733" s="1026">
        <f t="shared" si="112"/>
        <v>145798478.36433661</v>
      </c>
      <c r="D733" s="1261"/>
      <c r="E733" s="1041"/>
      <c r="F733" s="1041"/>
      <c r="G733" s="1261"/>
      <c r="H733" s="1041"/>
      <c r="I733" s="1041"/>
      <c r="J733" s="1261"/>
      <c r="K733" s="1041"/>
      <c r="L733" s="1041"/>
      <c r="N733" s="1190"/>
      <c r="O733" s="1190"/>
      <c r="Q733" s="1184"/>
      <c r="R733" s="1184"/>
      <c r="S733" s="1190"/>
      <c r="T733" s="1184" t="s">
        <v>31</v>
      </c>
      <c r="AB733" s="1185"/>
      <c r="AC733" s="1185"/>
      <c r="AD733" s="1185"/>
      <c r="AE733" s="1185"/>
      <c r="AF733" s="1185"/>
      <c r="AG733" s="1185"/>
      <c r="AH733" s="1185"/>
      <c r="AI733" s="1185"/>
    </row>
    <row r="734" spans="1:37">
      <c r="A734" s="1218" t="s">
        <v>464</v>
      </c>
      <c r="B734" s="1219"/>
      <c r="C734" s="1026">
        <f t="shared" si="112"/>
        <v>151200065.36433661</v>
      </c>
      <c r="D734" s="1308">
        <v>5.6469999999999994</v>
      </c>
      <c r="E734" s="1041" t="s">
        <v>374</v>
      </c>
      <c r="F734" s="1041">
        <f>F788+F841</f>
        <v>8538268</v>
      </c>
      <c r="G734" s="1308">
        <v>6.4390000000000001</v>
      </c>
      <c r="H734" s="1041" t="s">
        <v>374</v>
      </c>
      <c r="I734" s="1041">
        <f>I788+I841</f>
        <v>9735772</v>
      </c>
      <c r="J734" s="1308">
        <f>ROUND(G734-J736+(G734*$Q$762),3)</f>
        <v>4.0780000000000003</v>
      </c>
      <c r="K734" s="1041" t="s">
        <v>374</v>
      </c>
      <c r="L734" s="1041">
        <f>L788+L841</f>
        <v>6165939</v>
      </c>
      <c r="N734" s="1204" t="e">
        <f>(J734/100)*#REF!</f>
        <v>#REF!</v>
      </c>
      <c r="O734" s="1309"/>
      <c r="Q734" s="55">
        <f>(J734+J736-G734)/G734</f>
        <v>0.12253455505513274</v>
      </c>
      <c r="R734" s="55"/>
      <c r="S734" s="1190"/>
      <c r="AB734" s="1185"/>
      <c r="AC734" s="1185"/>
      <c r="AD734" s="1185"/>
      <c r="AE734" s="1185"/>
      <c r="AF734" s="1185"/>
      <c r="AG734" s="1185"/>
      <c r="AH734" s="1185"/>
      <c r="AI734" s="1185"/>
    </row>
    <row r="735" spans="1:37">
      <c r="A735" s="1009" t="s">
        <v>400</v>
      </c>
      <c r="B735" s="1219"/>
      <c r="C735" s="1026">
        <f t="shared" si="112"/>
        <v>46531</v>
      </c>
      <c r="D735" s="1310">
        <v>50</v>
      </c>
      <c r="E735" s="1009" t="s">
        <v>374</v>
      </c>
      <c r="F735" s="1041">
        <f>F789+F842</f>
        <v>23266</v>
      </c>
      <c r="G735" s="1310">
        <v>56</v>
      </c>
      <c r="H735" s="1009" t="s">
        <v>374</v>
      </c>
      <c r="I735" s="1041">
        <f>I789+I842</f>
        <v>26057</v>
      </c>
      <c r="J735" s="1310">
        <f>ROUND(G735+(G735*$Q$762),0)</f>
        <v>63</v>
      </c>
      <c r="K735" s="1009" t="s">
        <v>374</v>
      </c>
      <c r="L735" s="1041">
        <f>L789+L842</f>
        <v>29315</v>
      </c>
      <c r="N735" s="1204" t="e">
        <f>(J735/100)*#REF!</f>
        <v>#REF!</v>
      </c>
      <c r="Q735" s="55">
        <f>(J735-G735)/G735</f>
        <v>0.125</v>
      </c>
      <c r="R735" s="55"/>
      <c r="S735" s="1190"/>
      <c r="AB735" s="1185"/>
      <c r="AC735" s="1185"/>
      <c r="AD735" s="1185"/>
      <c r="AE735" s="1185"/>
      <c r="AF735" s="1185"/>
      <c r="AG735" s="1185"/>
      <c r="AH735" s="1185"/>
      <c r="AI735" s="1185"/>
    </row>
    <row r="736" spans="1:37">
      <c r="A736" s="1005" t="s">
        <v>928</v>
      </c>
      <c r="C736" s="1026">
        <f t="shared" si="112"/>
        <v>151200065.36433661</v>
      </c>
      <c r="D736" s="269"/>
      <c r="E736" s="1185"/>
      <c r="F736" s="1203"/>
      <c r="G736" s="269"/>
      <c r="H736" s="1185"/>
      <c r="I736" s="1203"/>
      <c r="J736" s="1230">
        <f>ROUND(O736/C736*100,3)</f>
        <v>3.15</v>
      </c>
      <c r="K736" s="1009" t="s">
        <v>374</v>
      </c>
      <c r="L736" s="1041">
        <f>L790+L843</f>
        <v>4762802</v>
      </c>
      <c r="N736" s="1204"/>
      <c r="O736" s="1204">
        <f>'[94]NPC Spread'!I33</f>
        <v>4762684.196680231</v>
      </c>
      <c r="P736" s="815" t="s">
        <v>913</v>
      </c>
      <c r="Q736" s="1184"/>
      <c r="R736" s="1184"/>
      <c r="S736" s="1205"/>
      <c r="T736" s="1205"/>
      <c r="Y736" s="1185"/>
      <c r="Z736" s="1185"/>
      <c r="AA736" s="1185"/>
      <c r="AB736" s="1185"/>
      <c r="AC736" s="1185"/>
      <c r="AD736" s="1185"/>
      <c r="AE736" s="1185"/>
      <c r="AF736" s="1185"/>
      <c r="AG736" s="1185"/>
      <c r="AH736" s="1185"/>
      <c r="AI736" s="1185"/>
      <c r="AK736" s="1204"/>
    </row>
    <row r="737" spans="1:37">
      <c r="A737" s="1509" t="s">
        <v>929</v>
      </c>
      <c r="B737" s="1510"/>
      <c r="C737" s="1517"/>
      <c r="D737" s="1512"/>
      <c r="E737" s="1513"/>
      <c r="F737" s="1514"/>
      <c r="G737" s="1522">
        <f>G734</f>
        <v>6.4390000000000001</v>
      </c>
      <c r="H737" s="1518" t="s">
        <v>374</v>
      </c>
      <c r="I737" s="1514"/>
      <c r="J737" s="1515">
        <f>J734+J736</f>
        <v>7.2279999999999998</v>
      </c>
      <c r="K737" s="1518" t="s">
        <v>374</v>
      </c>
      <c r="L737" s="1521"/>
      <c r="N737" s="1204"/>
      <c r="O737" s="1204"/>
      <c r="P737" s="815"/>
      <c r="Q737" s="55">
        <f>(J737-G737)/G737</f>
        <v>0.12253455505513274</v>
      </c>
      <c r="R737" s="1184"/>
      <c r="S737" s="1205"/>
      <c r="T737" s="1205"/>
      <c r="Y737" s="1185"/>
      <c r="Z737" s="1185"/>
      <c r="AA737" s="1185"/>
      <c r="AB737" s="1185"/>
      <c r="AC737" s="1185"/>
      <c r="AD737" s="1185"/>
      <c r="AE737" s="1185"/>
      <c r="AF737" s="1185"/>
      <c r="AG737" s="1185"/>
      <c r="AH737" s="1185"/>
      <c r="AI737" s="1185"/>
      <c r="AK737" s="1204"/>
    </row>
    <row r="738" spans="1:37">
      <c r="A738" s="1283" t="s">
        <v>401</v>
      </c>
      <c r="B738" s="1219"/>
      <c r="C738" s="1026"/>
      <c r="D738" s="1257">
        <v>-0.01</v>
      </c>
      <c r="E738" s="1203"/>
      <c r="F738" s="1041"/>
      <c r="G738" s="1257">
        <v>-0.01</v>
      </c>
      <c r="H738" s="1219"/>
      <c r="I738" s="1041"/>
      <c r="J738" s="1257">
        <v>-0.01</v>
      </c>
      <c r="K738" s="1219"/>
      <c r="L738" s="1041"/>
      <c r="AB738" s="1185"/>
      <c r="AC738" s="1185"/>
      <c r="AD738" s="1185"/>
      <c r="AE738" s="1185"/>
      <c r="AF738" s="1185"/>
      <c r="AG738" s="1185"/>
      <c r="AH738" s="1185"/>
      <c r="AI738" s="1185"/>
    </row>
    <row r="739" spans="1:37">
      <c r="A739" s="1218" t="s">
        <v>390</v>
      </c>
      <c r="B739" s="1219"/>
      <c r="C739" s="1026">
        <f>C792+C845</f>
        <v>0</v>
      </c>
      <c r="D739" s="1303">
        <v>0</v>
      </c>
      <c r="E739" s="1249"/>
      <c r="F739" s="1041">
        <f>F792+F845</f>
        <v>0</v>
      </c>
      <c r="G739" s="1303">
        <v>0</v>
      </c>
      <c r="H739" s="1249"/>
      <c r="I739" s="1041">
        <f>I792+I845</f>
        <v>0</v>
      </c>
      <c r="J739" s="1303">
        <f>J714</f>
        <v>0</v>
      </c>
      <c r="K739" s="1249"/>
      <c r="L739" s="1041">
        <f>L792+L845</f>
        <v>0</v>
      </c>
      <c r="N739" s="1204" t="e">
        <f>-(J739/100)*#REF!</f>
        <v>#REF!</v>
      </c>
      <c r="AB739" s="1185"/>
      <c r="AC739" s="1185"/>
      <c r="AD739" s="1185"/>
      <c r="AE739" s="1185"/>
      <c r="AF739" s="1185"/>
      <c r="AG739" s="1185"/>
      <c r="AH739" s="1185"/>
      <c r="AI739" s="1185"/>
    </row>
    <row r="740" spans="1:37">
      <c r="A740" s="1218" t="s">
        <v>391</v>
      </c>
      <c r="B740" s="1219"/>
      <c r="C740" s="1026"/>
      <c r="D740" s="1303"/>
      <c r="E740" s="1249"/>
      <c r="F740" s="1041"/>
      <c r="G740" s="1303"/>
      <c r="H740" s="1249"/>
      <c r="I740" s="1041"/>
      <c r="J740" s="1303"/>
      <c r="K740" s="1249"/>
      <c r="L740" s="1041"/>
      <c r="AB740" s="1185"/>
      <c r="AC740" s="1185"/>
      <c r="AD740" s="1185"/>
      <c r="AE740" s="1185"/>
      <c r="AF740" s="1185"/>
      <c r="AG740" s="1185"/>
      <c r="AH740" s="1185"/>
      <c r="AI740" s="1185"/>
    </row>
    <row r="741" spans="1:37">
      <c r="A741" s="1218" t="s">
        <v>452</v>
      </c>
      <c r="B741" s="1219"/>
      <c r="C741" s="1026">
        <f>C794+C847</f>
        <v>0</v>
      </c>
      <c r="D741" s="1303">
        <v>0</v>
      </c>
      <c r="E741" s="1249"/>
      <c r="F741" s="1041">
        <f>F794+F847</f>
        <v>0</v>
      </c>
      <c r="G741" s="1303">
        <v>0</v>
      </c>
      <c r="H741" s="1249"/>
      <c r="I741" s="1041">
        <f>I794+I847</f>
        <v>0</v>
      </c>
      <c r="J741" s="1303">
        <f>J716</f>
        <v>0</v>
      </c>
      <c r="K741" s="1249"/>
      <c r="L741" s="1041">
        <f>L794+L847</f>
        <v>0</v>
      </c>
      <c r="N741" s="1204" t="e">
        <f>-(J741/100)*#REF!</f>
        <v>#REF!</v>
      </c>
      <c r="AB741" s="1185"/>
      <c r="AC741" s="1185"/>
      <c r="AD741" s="1185"/>
      <c r="AE741" s="1185"/>
      <c r="AF741" s="1185"/>
      <c r="AG741" s="1185"/>
      <c r="AH741" s="1185"/>
      <c r="AI741" s="1185"/>
    </row>
    <row r="742" spans="1:37">
      <c r="A742" s="1218" t="s">
        <v>453</v>
      </c>
      <c r="B742" s="1219"/>
      <c r="C742" s="1026">
        <f>C795+C848</f>
        <v>0</v>
      </c>
      <c r="D742" s="1303">
        <v>312</v>
      </c>
      <c r="E742" s="1249"/>
      <c r="F742" s="1041">
        <f>F795+F848</f>
        <v>0</v>
      </c>
      <c r="G742" s="1303">
        <v>357</v>
      </c>
      <c r="H742" s="1249"/>
      <c r="I742" s="1041">
        <f>I795+I848</f>
        <v>0</v>
      </c>
      <c r="J742" s="1303">
        <f>J717</f>
        <v>401</v>
      </c>
      <c r="K742" s="1249"/>
      <c r="L742" s="1041">
        <f>L795+L848</f>
        <v>0</v>
      </c>
      <c r="N742" s="1204" t="e">
        <f>-(J742/100)*#REF!</f>
        <v>#REF!</v>
      </c>
      <c r="AB742" s="1185"/>
      <c r="AC742" s="1185"/>
      <c r="AD742" s="1185"/>
      <c r="AE742" s="1185"/>
      <c r="AF742" s="1185"/>
      <c r="AG742" s="1185"/>
      <c r="AH742" s="1185"/>
      <c r="AI742" s="1185"/>
    </row>
    <row r="743" spans="1:37">
      <c r="A743" s="1218" t="s">
        <v>454</v>
      </c>
      <c r="B743" s="1219"/>
      <c r="C743" s="1026">
        <f>C796+C849</f>
        <v>0</v>
      </c>
      <c r="D743" s="1303">
        <v>1268</v>
      </c>
      <c r="E743" s="1249"/>
      <c r="F743" s="1041">
        <f>F796+F849</f>
        <v>0</v>
      </c>
      <c r="G743" s="1303">
        <v>1457</v>
      </c>
      <c r="H743" s="1249"/>
      <c r="I743" s="1041">
        <f>I796+I849</f>
        <v>0</v>
      </c>
      <c r="J743" s="1303">
        <f>J718</f>
        <v>1635</v>
      </c>
      <c r="K743" s="1249"/>
      <c r="L743" s="1041">
        <f>L796+L849</f>
        <v>0</v>
      </c>
      <c r="N743" s="1204" t="e">
        <f>-(J743/100)*#REF!</f>
        <v>#REF!</v>
      </c>
      <c r="AB743" s="1185"/>
      <c r="AC743" s="1185"/>
      <c r="AD743" s="1185"/>
      <c r="AE743" s="1185"/>
      <c r="AF743" s="1185"/>
      <c r="AG743" s="1185"/>
      <c r="AH743" s="1185"/>
      <c r="AI743" s="1185"/>
    </row>
    <row r="744" spans="1:37">
      <c r="A744" s="1218" t="s">
        <v>390</v>
      </c>
      <c r="B744" s="1219"/>
      <c r="C744" s="1026">
        <f>C797+C850</f>
        <v>0</v>
      </c>
      <c r="D744" s="1303">
        <v>20.86</v>
      </c>
      <c r="E744" s="1249"/>
      <c r="F744" s="1041">
        <f>F797+F850</f>
        <v>0</v>
      </c>
      <c r="G744" s="1303">
        <v>23.87</v>
      </c>
      <c r="H744" s="1249"/>
      <c r="I744" s="1041">
        <f>I797+I850</f>
        <v>0</v>
      </c>
      <c r="J744" s="1303">
        <f>J723</f>
        <v>26.77</v>
      </c>
      <c r="K744" s="1249"/>
      <c r="L744" s="1041">
        <f>L797+L850</f>
        <v>0</v>
      </c>
      <c r="N744" s="1204" t="e">
        <f>-(J744/100)*#REF!</f>
        <v>#REF!</v>
      </c>
      <c r="AB744" s="1185"/>
      <c r="AC744" s="1185"/>
      <c r="AD744" s="1185"/>
      <c r="AE744" s="1185"/>
      <c r="AF744" s="1185"/>
      <c r="AG744" s="1185"/>
      <c r="AH744" s="1185"/>
      <c r="AI744" s="1185"/>
    </row>
    <row r="745" spans="1:37">
      <c r="A745" s="1218" t="s">
        <v>391</v>
      </c>
      <c r="B745" s="1219"/>
      <c r="C745" s="1026"/>
      <c r="D745" s="1303"/>
      <c r="E745" s="1249"/>
      <c r="F745" s="1041"/>
      <c r="G745" s="1303"/>
      <c r="H745" s="1249"/>
      <c r="I745" s="1041"/>
      <c r="J745" s="1303"/>
      <c r="K745" s="1249"/>
      <c r="L745" s="1041"/>
      <c r="AB745" s="1185"/>
      <c r="AC745" s="1185"/>
      <c r="AD745" s="1185"/>
      <c r="AE745" s="1185"/>
      <c r="AF745" s="1185"/>
      <c r="AG745" s="1185"/>
      <c r="AH745" s="1185"/>
      <c r="AI745" s="1185"/>
    </row>
    <row r="746" spans="1:37">
      <c r="A746" s="1218" t="s">
        <v>452</v>
      </c>
      <c r="B746" s="1219"/>
      <c r="C746" s="1026">
        <f>C799+C852</f>
        <v>39</v>
      </c>
      <c r="D746" s="1303">
        <v>20.860000000000003</v>
      </c>
      <c r="E746" s="1249"/>
      <c r="F746" s="1041">
        <f>F799+F852</f>
        <v>-8</v>
      </c>
      <c r="G746" s="1303">
        <v>23.79</v>
      </c>
      <c r="H746" s="1249"/>
      <c r="I746" s="1041">
        <f>I799+I852</f>
        <v>-9</v>
      </c>
      <c r="J746" s="1303">
        <f>J725</f>
        <v>26.7</v>
      </c>
      <c r="K746" s="1249"/>
      <c r="L746" s="1041">
        <f>L799+L852</f>
        <v>-10</v>
      </c>
      <c r="N746" s="1204" t="e">
        <f>-(J746/100)*#REF!</f>
        <v>#REF!</v>
      </c>
      <c r="AB746" s="1185"/>
      <c r="AC746" s="1185"/>
      <c r="AD746" s="1185"/>
      <c r="AE746" s="1185"/>
      <c r="AF746" s="1185"/>
      <c r="AG746" s="1185"/>
      <c r="AH746" s="1185"/>
      <c r="AI746" s="1185"/>
    </row>
    <row r="747" spans="1:37">
      <c r="A747" s="1218" t="s">
        <v>453</v>
      </c>
      <c r="B747" s="1219"/>
      <c r="C747" s="1026">
        <f>C800+C853</f>
        <v>0</v>
      </c>
      <c r="D747" s="1303">
        <v>14.53</v>
      </c>
      <c r="E747" s="1249"/>
      <c r="F747" s="1041">
        <f>F800+F853</f>
        <v>0</v>
      </c>
      <c r="G747" s="1303">
        <v>16.559999999999999</v>
      </c>
      <c r="H747" s="1249"/>
      <c r="I747" s="1041">
        <f>I800+I853</f>
        <v>0</v>
      </c>
      <c r="J747" s="1303">
        <f>J726</f>
        <v>18.59</v>
      </c>
      <c r="K747" s="1249"/>
      <c r="L747" s="1041">
        <f>L800+L853</f>
        <v>0</v>
      </c>
      <c r="N747" s="1204" t="e">
        <f>-(J747/100)*#REF!</f>
        <v>#REF!</v>
      </c>
      <c r="AB747" s="1185"/>
      <c r="AC747" s="1185"/>
      <c r="AD747" s="1185"/>
      <c r="AE747" s="1185"/>
      <c r="AF747" s="1185"/>
      <c r="AG747" s="1185"/>
      <c r="AH747" s="1185"/>
      <c r="AI747" s="1185"/>
    </row>
    <row r="748" spans="1:37">
      <c r="A748" s="1218" t="s">
        <v>454</v>
      </c>
      <c r="B748" s="1219"/>
      <c r="C748" s="1026">
        <f>C801+C854</f>
        <v>0</v>
      </c>
      <c r="D748" s="1303">
        <v>11.340000000000002</v>
      </c>
      <c r="E748" s="1249"/>
      <c r="F748" s="1041">
        <f>F801+F854</f>
        <v>0</v>
      </c>
      <c r="G748" s="1303">
        <v>12.96</v>
      </c>
      <c r="H748" s="1249"/>
      <c r="I748" s="1041">
        <f>I801+I854</f>
        <v>0</v>
      </c>
      <c r="J748" s="1303">
        <f>J727</f>
        <v>14.55</v>
      </c>
      <c r="K748" s="1249"/>
      <c r="L748" s="1041">
        <f>L801+L854</f>
        <v>0</v>
      </c>
      <c r="N748" s="1204" t="e">
        <f>-(J748/100)*#REF!</f>
        <v>#REF!</v>
      </c>
      <c r="AB748" s="1185"/>
      <c r="AC748" s="1185"/>
      <c r="AD748" s="1185"/>
      <c r="AE748" s="1185"/>
      <c r="AF748" s="1185"/>
      <c r="AG748" s="1185"/>
      <c r="AH748" s="1185"/>
      <c r="AI748" s="1185"/>
    </row>
    <row r="749" spans="1:37">
      <c r="A749" s="1218" t="s">
        <v>465</v>
      </c>
      <c r="B749" s="1219"/>
      <c r="C749" s="1026">
        <f>C802+C855</f>
        <v>0</v>
      </c>
      <c r="D749" s="1259">
        <v>62.58</v>
      </c>
      <c r="E749" s="1249"/>
      <c r="F749" s="1041">
        <f>F802+F855</f>
        <v>0</v>
      </c>
      <c r="G749" s="1259">
        <v>71.61</v>
      </c>
      <c r="H749" s="1249"/>
      <c r="I749" s="1041">
        <f>I802+I855</f>
        <v>0</v>
      </c>
      <c r="J749" s="1259">
        <f>J728</f>
        <v>80.31</v>
      </c>
      <c r="K749" s="1249"/>
      <c r="L749" s="1041">
        <f>L802+L855</f>
        <v>0</v>
      </c>
      <c r="N749" s="1204" t="e">
        <f>-(J749/100)*#REF!</f>
        <v>#REF!</v>
      </c>
      <c r="AB749" s="1185"/>
      <c r="AC749" s="1185"/>
      <c r="AD749" s="1185"/>
      <c r="AE749" s="1185"/>
      <c r="AF749" s="1185"/>
      <c r="AG749" s="1185"/>
      <c r="AH749" s="1185"/>
      <c r="AI749" s="1185"/>
    </row>
    <row r="750" spans="1:37">
      <c r="A750" s="1218" t="s">
        <v>466</v>
      </c>
      <c r="B750" s="1219"/>
      <c r="C750" s="1026">
        <f>C803+C856</f>
        <v>0</v>
      </c>
      <c r="D750" s="1259">
        <v>125.16000000000003</v>
      </c>
      <c r="E750" s="1249"/>
      <c r="F750" s="1041">
        <f>F803+F856</f>
        <v>0</v>
      </c>
      <c r="G750" s="1259">
        <v>142.74</v>
      </c>
      <c r="H750" s="1249"/>
      <c r="I750" s="1041">
        <f>I803+I856</f>
        <v>0</v>
      </c>
      <c r="J750" s="1259">
        <f>J729</f>
        <v>160.19999999999999</v>
      </c>
      <c r="K750" s="1249"/>
      <c r="L750" s="1041">
        <f>L803+L856</f>
        <v>0</v>
      </c>
      <c r="N750" s="1204" t="e">
        <f>-(J750/100)*#REF!</f>
        <v>#REF!</v>
      </c>
      <c r="AB750" s="1185"/>
      <c r="AC750" s="1185"/>
      <c r="AD750" s="1185"/>
      <c r="AE750" s="1185"/>
      <c r="AF750" s="1185"/>
      <c r="AG750" s="1185"/>
      <c r="AH750" s="1185"/>
      <c r="AI750" s="1185"/>
    </row>
    <row r="751" spans="1:37">
      <c r="A751" s="1218" t="s">
        <v>462</v>
      </c>
      <c r="B751" s="1219"/>
      <c r="C751" s="1026"/>
      <c r="D751" s="1261"/>
      <c r="E751" s="1249"/>
      <c r="F751" s="1041"/>
      <c r="G751" s="1261"/>
      <c r="H751" s="1249"/>
      <c r="I751" s="1041"/>
      <c r="J751" s="1261"/>
      <c r="K751" s="1249"/>
      <c r="L751" s="1041"/>
      <c r="AB751" s="1185"/>
      <c r="AC751" s="1185"/>
      <c r="AD751" s="1185"/>
      <c r="AE751" s="1185"/>
      <c r="AF751" s="1185"/>
      <c r="AG751" s="1185"/>
      <c r="AH751" s="1185"/>
      <c r="AI751" s="1185"/>
    </row>
    <row r="752" spans="1:37">
      <c r="A752" s="1218" t="s">
        <v>457</v>
      </c>
      <c r="B752" s="1219"/>
      <c r="C752" s="1026">
        <f>C805+C858</f>
        <v>0</v>
      </c>
      <c r="D752" s="1259">
        <v>-20.86</v>
      </c>
      <c r="E752" s="1249"/>
      <c r="F752" s="1041">
        <f>F805+F858</f>
        <v>0</v>
      </c>
      <c r="G752" s="1259">
        <v>-23.87</v>
      </c>
      <c r="H752" s="1249"/>
      <c r="I752" s="1041">
        <f>I805+I858</f>
        <v>0</v>
      </c>
      <c r="J752" s="1259">
        <f>J731</f>
        <v>-26.77</v>
      </c>
      <c r="K752" s="1249"/>
      <c r="L752" s="1041">
        <f>L805+L858</f>
        <v>0</v>
      </c>
      <c r="N752" s="1204" t="e">
        <f>-(J752/100)*#REF!</f>
        <v>#REF!</v>
      </c>
      <c r="AB752" s="1185"/>
      <c r="AC752" s="1185"/>
      <c r="AD752" s="1185"/>
      <c r="AE752" s="1185"/>
      <c r="AF752" s="1185"/>
      <c r="AG752" s="1185"/>
      <c r="AH752" s="1185"/>
      <c r="AI752" s="1185"/>
    </row>
    <row r="753" spans="1:37">
      <c r="A753" s="1218" t="s">
        <v>463</v>
      </c>
      <c r="B753" s="1219"/>
      <c r="C753" s="1026">
        <f>C806+C859</f>
        <v>0</v>
      </c>
      <c r="D753" s="1259">
        <v>-20.860000000000003</v>
      </c>
      <c r="E753" s="1249"/>
      <c r="F753" s="1041">
        <f>F806+F859</f>
        <v>0</v>
      </c>
      <c r="G753" s="1259">
        <v>-23.79</v>
      </c>
      <c r="H753" s="1249"/>
      <c r="I753" s="1041">
        <f>I806+I859</f>
        <v>0</v>
      </c>
      <c r="J753" s="1259">
        <f>J732</f>
        <v>-26.7</v>
      </c>
      <c r="K753" s="1249"/>
      <c r="L753" s="1041">
        <f>L806+L859</f>
        <v>0</v>
      </c>
      <c r="N753" s="1204" t="e">
        <f>-(J753/100)*#REF!</f>
        <v>#REF!</v>
      </c>
      <c r="AB753" s="1185"/>
      <c r="AC753" s="1185"/>
      <c r="AD753" s="1185"/>
      <c r="AE753" s="1185"/>
      <c r="AF753" s="1185"/>
      <c r="AG753" s="1185"/>
      <c r="AH753" s="1185"/>
      <c r="AI753" s="1185"/>
    </row>
    <row r="754" spans="1:37">
      <c r="A754" s="1009" t="s">
        <v>426</v>
      </c>
      <c r="B754" s="1219"/>
      <c r="C754" s="1026"/>
      <c r="D754" s="1303"/>
      <c r="E754" s="1041"/>
      <c r="F754" s="1041"/>
      <c r="G754" s="1303"/>
      <c r="H754" s="1041"/>
      <c r="I754" s="1041"/>
      <c r="J754" s="1303"/>
      <c r="K754" s="1041"/>
      <c r="L754" s="1041"/>
      <c r="AB754" s="1185"/>
      <c r="AC754" s="1185"/>
      <c r="AD754" s="1185"/>
      <c r="AE754" s="1185"/>
      <c r="AF754" s="1185"/>
      <c r="AG754" s="1185"/>
      <c r="AH754" s="1185"/>
      <c r="AI754" s="1185"/>
    </row>
    <row r="755" spans="1:37">
      <c r="A755" s="1218" t="s">
        <v>464</v>
      </c>
      <c r="B755" s="1219"/>
      <c r="C755" s="1026">
        <f t="shared" ref="C755:C761" si="113">C808+C861</f>
        <v>0</v>
      </c>
      <c r="D755" s="1311">
        <v>5.6469999999999994</v>
      </c>
      <c r="E755" s="1041" t="s">
        <v>374</v>
      </c>
      <c r="F755" s="1041">
        <f>F808+F861</f>
        <v>0</v>
      </c>
      <c r="G755" s="1311">
        <v>6.4390000000000001</v>
      </c>
      <c r="H755" s="1041" t="s">
        <v>374</v>
      </c>
      <c r="I755" s="1041">
        <f>I808+I861</f>
        <v>0</v>
      </c>
      <c r="J755" s="1311">
        <f>J734</f>
        <v>4.0780000000000003</v>
      </c>
      <c r="K755" s="1041" t="s">
        <v>374</v>
      </c>
      <c r="L755" s="1041">
        <f t="shared" ref="L755:L760" si="114">L808+L861</f>
        <v>0</v>
      </c>
      <c r="N755" s="1204" t="e">
        <f>-((J755/100)*#REF!)/100</f>
        <v>#REF!</v>
      </c>
      <c r="AB755" s="1185"/>
      <c r="AC755" s="1185"/>
      <c r="AD755" s="1185"/>
      <c r="AE755" s="1185"/>
      <c r="AF755" s="1185"/>
      <c r="AG755" s="1185"/>
      <c r="AH755" s="1185"/>
      <c r="AI755" s="1185"/>
    </row>
    <row r="756" spans="1:37">
      <c r="A756" s="1009" t="s">
        <v>400</v>
      </c>
      <c r="B756" s="1219"/>
      <c r="C756" s="1026">
        <f t="shared" si="113"/>
        <v>0</v>
      </c>
      <c r="D756" s="1286">
        <v>50</v>
      </c>
      <c r="E756" s="1041" t="s">
        <v>374</v>
      </c>
      <c r="F756" s="1041">
        <f>F809+F862</f>
        <v>0</v>
      </c>
      <c r="G756" s="1286">
        <v>56</v>
      </c>
      <c r="H756" s="1009" t="s">
        <v>374</v>
      </c>
      <c r="I756" s="1041">
        <f>I809+I862</f>
        <v>0</v>
      </c>
      <c r="J756" s="1286">
        <f>J735</f>
        <v>63</v>
      </c>
      <c r="K756" s="1009" t="s">
        <v>374</v>
      </c>
      <c r="L756" s="1041">
        <f t="shared" si="114"/>
        <v>0</v>
      </c>
      <c r="N756" s="1204" t="e">
        <f>-((J756/100)*#REF!)/100</f>
        <v>#REF!</v>
      </c>
      <c r="AB756" s="1185"/>
      <c r="AC756" s="1185"/>
      <c r="AD756" s="1185"/>
      <c r="AE756" s="1185"/>
      <c r="AF756" s="1185"/>
      <c r="AG756" s="1185"/>
      <c r="AH756" s="1185"/>
      <c r="AI756" s="1185"/>
    </row>
    <row r="757" spans="1:37">
      <c r="A757" s="1009" t="s">
        <v>443</v>
      </c>
      <c r="B757" s="1219"/>
      <c r="C757" s="1026">
        <f t="shared" si="113"/>
        <v>0</v>
      </c>
      <c r="D757" s="1261">
        <v>60</v>
      </c>
      <c r="E757" s="1288" t="s">
        <v>31</v>
      </c>
      <c r="F757" s="1041">
        <f>F810+F863</f>
        <v>0</v>
      </c>
      <c r="G757" s="1261">
        <v>60</v>
      </c>
      <c r="H757" s="1219"/>
      <c r="I757" s="1041">
        <f>I810+I863</f>
        <v>0</v>
      </c>
      <c r="J757" s="1261">
        <f>'[94]Blocking - detail'!I623</f>
        <v>60</v>
      </c>
      <c r="K757" s="1219"/>
      <c r="L757" s="1041">
        <f t="shared" si="114"/>
        <v>0</v>
      </c>
      <c r="N757" s="1204" t="e">
        <f>J757*#REF!</f>
        <v>#REF!</v>
      </c>
      <c r="AB757" s="1185"/>
      <c r="AC757" s="1185"/>
      <c r="AD757" s="1185"/>
      <c r="AE757" s="1185"/>
      <c r="AF757" s="1185"/>
      <c r="AG757" s="1185"/>
      <c r="AH757" s="1185"/>
      <c r="AI757" s="1185"/>
    </row>
    <row r="758" spans="1:37">
      <c r="A758" s="1009" t="s">
        <v>444</v>
      </c>
      <c r="B758" s="1219"/>
      <c r="C758" s="1026">
        <f t="shared" si="113"/>
        <v>0</v>
      </c>
      <c r="D758" s="1310">
        <v>-30</v>
      </c>
      <c r="E758" s="1041" t="s">
        <v>374</v>
      </c>
      <c r="F758" s="1041">
        <f>F811+F864</f>
        <v>0</v>
      </c>
      <c r="G758" s="1310">
        <v>-30</v>
      </c>
      <c r="H758" s="1041" t="s">
        <v>374</v>
      </c>
      <c r="I758" s="1041">
        <f>I811+I864</f>
        <v>0</v>
      </c>
      <c r="J758" s="1312">
        <f>'[94]Blocking - detail'!I624</f>
        <v>-30</v>
      </c>
      <c r="K758" s="1041" t="s">
        <v>374</v>
      </c>
      <c r="L758" s="1041">
        <f t="shared" si="114"/>
        <v>0</v>
      </c>
      <c r="N758" s="1204" t="e">
        <f>(J758/100)*#REF!</f>
        <v>#REF!</v>
      </c>
      <c r="AB758" s="1185"/>
      <c r="AC758" s="1185"/>
      <c r="AD758" s="1185"/>
      <c r="AE758" s="1185"/>
      <c r="AF758" s="1185"/>
      <c r="AG758" s="1185"/>
      <c r="AH758" s="1185"/>
      <c r="AI758" s="1185"/>
    </row>
    <row r="759" spans="1:37">
      <c r="A759" s="1005" t="s">
        <v>928</v>
      </c>
      <c r="C759" s="1026">
        <f t="shared" si="113"/>
        <v>0</v>
      </c>
      <c r="D759" s="269"/>
      <c r="E759" s="1185"/>
      <c r="F759" s="1203"/>
      <c r="G759" s="269"/>
      <c r="H759" s="1185"/>
      <c r="I759" s="1203"/>
      <c r="J759" s="1230">
        <f>J736</f>
        <v>3.15</v>
      </c>
      <c r="K759" s="1041" t="s">
        <v>374</v>
      </c>
      <c r="L759" s="1041">
        <f t="shared" si="114"/>
        <v>0</v>
      </c>
      <c r="N759" s="1204"/>
      <c r="P759" s="815"/>
      <c r="Q759" s="1184"/>
      <c r="R759" s="1184"/>
      <c r="S759" s="1205"/>
      <c r="T759" s="1205"/>
      <c r="Y759" s="1185"/>
      <c r="Z759" s="1185"/>
      <c r="AA759" s="1185"/>
      <c r="AB759" s="1185"/>
      <c r="AC759" s="1185"/>
      <c r="AD759" s="1185"/>
      <c r="AE759" s="1185"/>
      <c r="AF759" s="1185"/>
      <c r="AG759" s="1185"/>
      <c r="AH759" s="1185"/>
      <c r="AI759" s="1185"/>
      <c r="AK759" s="1204"/>
    </row>
    <row r="760" spans="1:37">
      <c r="A760" s="1219" t="s">
        <v>381</v>
      </c>
      <c r="B760" s="1219"/>
      <c r="C760" s="1026">
        <f t="shared" si="113"/>
        <v>151200065.36433661</v>
      </c>
      <c r="D760" s="1255"/>
      <c r="E760" s="1203"/>
      <c r="F760" s="1203">
        <f>F813+F866</f>
        <v>10533620</v>
      </c>
      <c r="G760" s="1249"/>
      <c r="H760" s="1009"/>
      <c r="I760" s="1203">
        <f>I813+I866</f>
        <v>12011348</v>
      </c>
      <c r="J760" s="1203"/>
      <c r="K760" s="1009"/>
      <c r="L760" s="1203">
        <f t="shared" si="114"/>
        <v>13482947</v>
      </c>
      <c r="N760" s="1204" t="e">
        <f>SUM(N714:N758)</f>
        <v>#REF!</v>
      </c>
      <c r="Q760" s="1223"/>
      <c r="R760" s="1223"/>
      <c r="AB760" s="1185"/>
      <c r="AC760" s="1185"/>
      <c r="AD760" s="1185"/>
      <c r="AE760" s="1185"/>
      <c r="AF760" s="1185"/>
      <c r="AG760" s="1185"/>
      <c r="AH760" s="1185"/>
      <c r="AI760" s="1185"/>
    </row>
    <row r="761" spans="1:37" ht="14.25" customHeight="1">
      <c r="A761" s="1219" t="s">
        <v>363</v>
      </c>
      <c r="B761" s="1219"/>
      <c r="C761" s="1028">
        <f t="shared" si="113"/>
        <v>2355000</v>
      </c>
      <c r="D761" s="1218"/>
      <c r="E761" s="1218"/>
      <c r="F761" s="1239" t="e">
        <f>F814+F867</f>
        <v>#REF!</v>
      </c>
      <c r="G761" s="1218"/>
      <c r="H761" s="1218"/>
      <c r="I761" s="1239">
        <f>I814+I867</f>
        <v>288000</v>
      </c>
      <c r="J761" s="1218"/>
      <c r="K761" s="1218"/>
      <c r="L761" s="1239">
        <f>I761</f>
        <v>288000</v>
      </c>
      <c r="AB761" s="1185"/>
      <c r="AC761" s="1185"/>
      <c r="AD761" s="1185"/>
      <c r="AE761" s="1185"/>
      <c r="AF761" s="1185"/>
      <c r="AG761" s="1185"/>
      <c r="AH761" s="1185"/>
      <c r="AI761" s="1185"/>
    </row>
    <row r="762" spans="1:37" ht="17.25" customHeight="1" thickBot="1">
      <c r="A762" s="1219" t="s">
        <v>382</v>
      </c>
      <c r="B762" s="1219"/>
      <c r="C762" s="1289">
        <f>SUM(C760:C761)</f>
        <v>153555065.36433661</v>
      </c>
      <c r="D762" s="1265"/>
      <c r="E762" s="1266"/>
      <c r="F762" s="1267" t="e">
        <f>F760+F761</f>
        <v>#REF!</v>
      </c>
      <c r="G762" s="1265"/>
      <c r="H762" s="1269"/>
      <c r="I762" s="1267">
        <f>I760+I761</f>
        <v>12299348</v>
      </c>
      <c r="J762" s="1265"/>
      <c r="K762" s="1269"/>
      <c r="L762" s="1267">
        <f>L760+L761</f>
        <v>13770947</v>
      </c>
      <c r="O762" s="1215" t="s">
        <v>364</v>
      </c>
      <c r="P762" s="1216">
        <f>'[94]Rate Spread'!Q25*1000</f>
        <v>13770951.72618835</v>
      </c>
      <c r="Q762" s="818">
        <f>'[94]Rate Spread'!V25+0.00281</f>
        <v>0.1224589217305137</v>
      </c>
      <c r="R762" s="777"/>
      <c r="S762" s="1248" t="s">
        <v>31</v>
      </c>
      <c r="T762" s="1248"/>
      <c r="AB762" s="1185"/>
      <c r="AC762" s="1185"/>
      <c r="AD762" s="1185"/>
      <c r="AE762" s="1185"/>
      <c r="AF762" s="1185"/>
      <c r="AG762" s="1185"/>
      <c r="AH762" s="1185"/>
      <c r="AI762" s="1185"/>
    </row>
    <row r="763" spans="1:37" ht="16.5" thickTop="1">
      <c r="A763" s="1219"/>
      <c r="B763" s="1219"/>
      <c r="C763" s="1313"/>
      <c r="D763" s="1275"/>
      <c r="E763" s="1276"/>
      <c r="F763" s="1040"/>
      <c r="G763" s="1275" t="s">
        <v>31</v>
      </c>
      <c r="H763" s="1277"/>
      <c r="I763" s="1040"/>
      <c r="J763" s="1314" t="s">
        <v>31</v>
      </c>
      <c r="K763" s="1277"/>
      <c r="L763" s="1210" t="s">
        <v>31</v>
      </c>
      <c r="O763" s="1220" t="s">
        <v>263</v>
      </c>
      <c r="P763" s="1221">
        <f>P762-L762</f>
        <v>4.726188350468874</v>
      </c>
      <c r="Q763" s="1315" t="s">
        <v>31</v>
      </c>
      <c r="R763" s="941"/>
      <c r="AB763" s="1185"/>
      <c r="AC763" s="1185"/>
      <c r="AD763" s="1185"/>
      <c r="AE763" s="1185"/>
      <c r="AF763" s="1185"/>
      <c r="AG763" s="1185"/>
      <c r="AH763" s="1185"/>
      <c r="AI763" s="1185"/>
    </row>
    <row r="764" spans="1:37">
      <c r="A764" s="1224" t="s">
        <v>447</v>
      </c>
      <c r="B764" s="1219"/>
      <c r="C764" s="1225"/>
      <c r="D764" s="1261"/>
      <c r="E764" s="1203"/>
      <c r="F764" s="1203"/>
      <c r="G764" s="1261"/>
      <c r="H764" s="1219"/>
      <c r="I764" s="1203"/>
      <c r="J764" s="1261"/>
      <c r="K764" s="1219"/>
      <c r="L764" s="1203"/>
      <c r="AB764" s="1185"/>
      <c r="AC764" s="1185"/>
      <c r="AD764" s="1185"/>
      <c r="AE764" s="1185"/>
      <c r="AF764" s="1185"/>
      <c r="AG764" s="1185"/>
      <c r="AH764" s="1185"/>
      <c r="AI764" s="1185"/>
    </row>
    <row r="765" spans="1:37">
      <c r="A765" s="1218" t="s">
        <v>196</v>
      </c>
      <c r="B765" s="1219"/>
      <c r="C765" s="1225"/>
      <c r="D765" s="1261"/>
      <c r="E765" s="1203"/>
      <c r="F765" s="1203"/>
      <c r="G765" s="1261"/>
      <c r="H765" s="1219"/>
      <c r="I765" s="1203"/>
      <c r="J765" s="1261"/>
      <c r="K765" s="1219"/>
      <c r="L765" s="1203"/>
      <c r="N765" s="1204"/>
      <c r="O765" s="1204"/>
      <c r="P765" s="1273" t="s">
        <v>31</v>
      </c>
      <c r="Q765" s="801"/>
      <c r="R765" s="801"/>
      <c r="AB765" s="1185"/>
      <c r="AC765" s="1185"/>
      <c r="AD765" s="1185"/>
      <c r="AE765" s="1185"/>
      <c r="AF765" s="1185"/>
      <c r="AG765" s="1185"/>
      <c r="AH765" s="1185"/>
      <c r="AI765" s="1185"/>
    </row>
    <row r="766" spans="1:37">
      <c r="A766" s="1009"/>
      <c r="B766" s="1219"/>
      <c r="C766" s="1225"/>
      <c r="D766" s="1261"/>
      <c r="E766" s="1203"/>
      <c r="F766" s="1303"/>
      <c r="G766" s="1261"/>
      <c r="H766" s="1219"/>
      <c r="I766" s="1303"/>
      <c r="J766" s="1261"/>
      <c r="K766" s="1219"/>
      <c r="L766" s="1304"/>
      <c r="N766" s="1185"/>
      <c r="O766" s="1185"/>
      <c r="P766" s="1186"/>
      <c r="Q766" s="1186"/>
      <c r="R766" s="1186"/>
      <c r="S766" s="1185"/>
      <c r="T766" s="1185"/>
      <c r="U766" s="1185"/>
      <c r="V766" s="1185"/>
      <c r="W766" s="1185"/>
      <c r="X766" s="1185"/>
      <c r="Y766" s="1185"/>
      <c r="Z766" s="1185"/>
      <c r="AA766" s="1185"/>
      <c r="AB766" s="1185"/>
      <c r="AC766" s="1185"/>
      <c r="AD766" s="1185"/>
      <c r="AE766" s="1185"/>
      <c r="AF766" s="1185"/>
      <c r="AG766" s="1185"/>
      <c r="AH766" s="1185"/>
      <c r="AI766" s="1185"/>
    </row>
    <row r="767" spans="1:37">
      <c r="A767" s="1218" t="s">
        <v>449</v>
      </c>
      <c r="B767" s="1219"/>
      <c r="C767" s="1026"/>
      <c r="D767" s="1203" t="s">
        <v>31</v>
      </c>
      <c r="E767" s="1203"/>
      <c r="F767" s="1219"/>
      <c r="G767" s="1203" t="s">
        <v>31</v>
      </c>
      <c r="H767" s="1219"/>
      <c r="I767" s="1219"/>
      <c r="J767" s="1203" t="s">
        <v>31</v>
      </c>
      <c r="K767" s="1219"/>
      <c r="L767" s="1219"/>
      <c r="N767" s="1185"/>
      <c r="O767" s="1185"/>
      <c r="P767" s="1186"/>
      <c r="Q767" s="1186"/>
      <c r="R767" s="1186"/>
      <c r="S767" s="1185"/>
      <c r="T767" s="1185"/>
      <c r="U767" s="1185"/>
      <c r="V767" s="1185"/>
      <c r="W767" s="1185"/>
      <c r="X767" s="1185"/>
      <c r="Y767" s="1185"/>
      <c r="Z767" s="1185"/>
      <c r="AA767" s="1185"/>
      <c r="AB767" s="1185"/>
      <c r="AC767" s="1185"/>
      <c r="AD767" s="1185"/>
      <c r="AE767" s="1185"/>
      <c r="AF767" s="1185"/>
      <c r="AG767" s="1185"/>
      <c r="AH767" s="1185"/>
      <c r="AI767" s="1185"/>
    </row>
    <row r="768" spans="1:37">
      <c r="A768" s="1218" t="s">
        <v>450</v>
      </c>
      <c r="B768" s="1219"/>
      <c r="C768" s="1026">
        <f>985</f>
        <v>985</v>
      </c>
      <c r="D768" s="1261">
        <v>0</v>
      </c>
      <c r="E768" s="1249"/>
      <c r="F768" s="1041">
        <f>ROUND(D768*$C768,0)</f>
        <v>0</v>
      </c>
      <c r="G768" s="1261">
        <v>0</v>
      </c>
      <c r="H768" s="1249"/>
      <c r="I768" s="1041">
        <f>ROUND(G768*C768,0)</f>
        <v>0</v>
      </c>
      <c r="J768" s="1261">
        <f>$J$714</f>
        <v>0</v>
      </c>
      <c r="K768" s="1249"/>
      <c r="L768" s="1041">
        <f>ROUND(J768*$C768,0)</f>
        <v>0</v>
      </c>
      <c r="N768" s="1185"/>
      <c r="O768" s="1185"/>
      <c r="P768" s="1186"/>
      <c r="Q768" s="1186"/>
      <c r="R768" s="1186"/>
      <c r="S768" s="1185"/>
      <c r="T768" s="1185"/>
      <c r="U768" s="1185"/>
      <c r="V768" s="1185"/>
      <c r="W768" s="1185"/>
      <c r="X768" s="1185"/>
      <c r="Y768" s="1185"/>
      <c r="Z768" s="1185"/>
      <c r="AA768" s="1185"/>
      <c r="AB768" s="1185"/>
      <c r="AC768" s="1185"/>
      <c r="AD768" s="1185"/>
      <c r="AE768" s="1185"/>
      <c r="AF768" s="1185"/>
      <c r="AG768" s="1185"/>
      <c r="AH768" s="1185"/>
      <c r="AI768" s="1185"/>
    </row>
    <row r="769" spans="1:35">
      <c r="A769" s="1218" t="s">
        <v>451</v>
      </c>
      <c r="B769" s="1219"/>
      <c r="C769" s="1026"/>
      <c r="D769" s="1261"/>
      <c r="E769" s="1249"/>
      <c r="F769" s="1041"/>
      <c r="G769" s="1261"/>
      <c r="H769" s="1249"/>
      <c r="I769" s="1041"/>
      <c r="J769" s="1261"/>
      <c r="K769" s="1249"/>
      <c r="L769" s="1041"/>
      <c r="N769" s="1185"/>
      <c r="O769" s="1185"/>
      <c r="P769" s="1186"/>
      <c r="Q769" s="1186"/>
      <c r="R769" s="1186"/>
      <c r="S769" s="1185"/>
      <c r="T769" s="1185"/>
      <c r="U769" s="1185"/>
      <c r="V769" s="1185"/>
      <c r="W769" s="1185"/>
      <c r="X769" s="1185"/>
      <c r="Y769" s="1185"/>
      <c r="Z769" s="1185"/>
      <c r="AA769" s="1185"/>
      <c r="AB769" s="1185"/>
      <c r="AC769" s="1185"/>
      <c r="AD769" s="1185"/>
      <c r="AE769" s="1185"/>
      <c r="AF769" s="1185"/>
      <c r="AG769" s="1185"/>
      <c r="AH769" s="1185"/>
      <c r="AI769" s="1185"/>
    </row>
    <row r="770" spans="1:35">
      <c r="A770" s="1218" t="s">
        <v>452</v>
      </c>
      <c r="B770" s="1219"/>
      <c r="C770" s="1026">
        <f>1+3685</f>
        <v>3686</v>
      </c>
      <c r="D770" s="1261">
        <v>0</v>
      </c>
      <c r="E770" s="1249"/>
      <c r="F770" s="1041">
        <f>ROUND(D770*$C770,0)</f>
        <v>0</v>
      </c>
      <c r="G770" s="1261">
        <v>0</v>
      </c>
      <c r="H770" s="1249"/>
      <c r="I770" s="1041">
        <f t="shared" ref="I770:I772" si="115">ROUND(G770*C770,0)</f>
        <v>0</v>
      </c>
      <c r="J770" s="1261">
        <f>$J$716</f>
        <v>0</v>
      </c>
      <c r="K770" s="1249"/>
      <c r="L770" s="1041">
        <f>ROUND(J770*$C770,0)</f>
        <v>0</v>
      </c>
      <c r="N770" s="1185"/>
      <c r="O770" s="1185"/>
      <c r="P770" s="1186"/>
      <c r="Q770" s="1186"/>
      <c r="R770" s="1186"/>
      <c r="S770" s="1185"/>
      <c r="T770" s="1185"/>
      <c r="U770" s="1185"/>
      <c r="V770" s="1185"/>
      <c r="W770" s="1185"/>
      <c r="X770" s="1185"/>
      <c r="Y770" s="1185"/>
      <c r="Z770" s="1185"/>
      <c r="AA770" s="1185"/>
      <c r="AB770" s="1185"/>
      <c r="AC770" s="1185"/>
      <c r="AD770" s="1185"/>
      <c r="AE770" s="1185"/>
      <c r="AF770" s="1185"/>
      <c r="AG770" s="1185"/>
      <c r="AH770" s="1185"/>
      <c r="AI770" s="1185"/>
    </row>
    <row r="771" spans="1:35">
      <c r="A771" s="1218" t="s">
        <v>453</v>
      </c>
      <c r="B771" s="1219"/>
      <c r="C771" s="1026">
        <f>394</f>
        <v>394</v>
      </c>
      <c r="D771" s="1261">
        <v>312</v>
      </c>
      <c r="E771" s="1249"/>
      <c r="F771" s="1041">
        <f>ROUND(D771*$C771,0)</f>
        <v>122928</v>
      </c>
      <c r="G771" s="1261">
        <v>357</v>
      </c>
      <c r="H771" s="1249"/>
      <c r="I771" s="1041">
        <f t="shared" si="115"/>
        <v>140658</v>
      </c>
      <c r="J771" s="1261">
        <f>$J$717</f>
        <v>401</v>
      </c>
      <c r="K771" s="1249"/>
      <c r="L771" s="1041">
        <f>ROUND(J771*$C771,0)</f>
        <v>157994</v>
      </c>
      <c r="N771" s="1185"/>
      <c r="O771" s="1185"/>
      <c r="P771" s="1186"/>
      <c r="Q771" s="1186"/>
      <c r="R771" s="1186"/>
      <c r="S771" s="1185"/>
      <c r="T771" s="1185"/>
      <c r="U771" s="1185"/>
      <c r="V771" s="1185"/>
      <c r="W771" s="1185"/>
      <c r="X771" s="1185"/>
      <c r="Y771" s="1185"/>
      <c r="Z771" s="1185"/>
      <c r="AA771" s="1185"/>
      <c r="AB771" s="1185"/>
      <c r="AC771" s="1185"/>
      <c r="AD771" s="1185"/>
      <c r="AE771" s="1185"/>
      <c r="AF771" s="1185"/>
      <c r="AG771" s="1185"/>
      <c r="AH771" s="1185"/>
      <c r="AI771" s="1185"/>
    </row>
    <row r="772" spans="1:35">
      <c r="A772" s="1218" t="s">
        <v>454</v>
      </c>
      <c r="B772" s="1219"/>
      <c r="C772" s="1026">
        <v>0</v>
      </c>
      <c r="D772" s="1261">
        <v>1268</v>
      </c>
      <c r="E772" s="1249"/>
      <c r="F772" s="1041">
        <f>ROUND(D772*$C772,0)</f>
        <v>0</v>
      </c>
      <c r="G772" s="1261">
        <v>1457</v>
      </c>
      <c r="H772" s="1249"/>
      <c r="I772" s="1041">
        <f t="shared" si="115"/>
        <v>0</v>
      </c>
      <c r="J772" s="1261">
        <f>$J$718</f>
        <v>1635</v>
      </c>
      <c r="K772" s="1249"/>
      <c r="L772" s="1041">
        <f>ROUND(J772*$C772,0)</f>
        <v>0</v>
      </c>
      <c r="N772" s="1185"/>
      <c r="O772" s="1185"/>
      <c r="P772" s="1186"/>
      <c r="Q772" s="1186"/>
      <c r="R772" s="1186"/>
      <c r="S772" s="1185"/>
      <c r="T772" s="1185"/>
      <c r="U772" s="1185"/>
      <c r="V772" s="1185"/>
      <c r="W772" s="1185"/>
      <c r="X772" s="1185"/>
      <c r="Y772" s="1185"/>
      <c r="Z772" s="1185"/>
      <c r="AA772" s="1185"/>
      <c r="AB772" s="1185"/>
      <c r="AC772" s="1185"/>
      <c r="AD772" s="1185"/>
      <c r="AE772" s="1185"/>
      <c r="AF772" s="1185"/>
      <c r="AG772" s="1185"/>
      <c r="AH772" s="1185"/>
      <c r="AI772" s="1185"/>
    </row>
    <row r="773" spans="1:35">
      <c r="A773" s="1218" t="s">
        <v>362</v>
      </c>
      <c r="B773" s="1219"/>
      <c r="C773" s="1026">
        <f>SUM(C768:C772)</f>
        <v>5065</v>
      </c>
      <c r="D773" s="1261"/>
      <c r="E773" s="1249"/>
      <c r="F773" s="1041"/>
      <c r="G773" s="1261"/>
      <c r="H773" s="1249"/>
      <c r="I773" s="1041"/>
      <c r="J773" s="1261"/>
      <c r="K773" s="1249"/>
      <c r="L773" s="1041"/>
      <c r="N773" s="1185"/>
      <c r="O773" s="1185"/>
      <c r="P773" s="1186"/>
      <c r="Q773" s="1186"/>
      <c r="R773" s="1186"/>
      <c r="S773" s="1185"/>
      <c r="T773" s="1185"/>
      <c r="U773" s="1185"/>
      <c r="V773" s="1185"/>
      <c r="W773" s="1185"/>
      <c r="X773" s="1185"/>
      <c r="Y773" s="1185"/>
      <c r="Z773" s="1185"/>
      <c r="AA773" s="1185"/>
      <c r="AB773" s="1185"/>
      <c r="AC773" s="1185"/>
      <c r="AD773" s="1185"/>
      <c r="AE773" s="1185"/>
      <c r="AF773" s="1185"/>
      <c r="AG773" s="1185"/>
      <c r="AH773" s="1185"/>
      <c r="AI773" s="1185"/>
    </row>
    <row r="774" spans="1:35">
      <c r="A774" s="1218" t="s">
        <v>455</v>
      </c>
      <c r="B774" s="1219"/>
      <c r="C774" s="1026">
        <f>7280+27868+3039</f>
        <v>38187</v>
      </c>
      <c r="D774" s="1261"/>
      <c r="E774" s="1041"/>
      <c r="F774" s="1041"/>
      <c r="G774" s="1261"/>
      <c r="H774" s="1041"/>
      <c r="I774" s="1041"/>
      <c r="J774" s="1261"/>
      <c r="K774" s="1041"/>
      <c r="L774" s="1041"/>
      <c r="N774" s="1185"/>
      <c r="O774" s="1185"/>
      <c r="P774" s="1186"/>
      <c r="Q774" s="1186"/>
      <c r="R774" s="1186"/>
      <c r="S774" s="1185"/>
      <c r="T774" s="1185"/>
      <c r="U774" s="1185"/>
      <c r="V774" s="1185"/>
      <c r="W774" s="1185"/>
      <c r="X774" s="1185"/>
      <c r="Y774" s="1185"/>
      <c r="Z774" s="1185"/>
      <c r="AA774" s="1185"/>
      <c r="AB774" s="1185"/>
      <c r="AC774" s="1185"/>
      <c r="AD774" s="1185"/>
      <c r="AE774" s="1185"/>
      <c r="AF774" s="1185"/>
      <c r="AG774" s="1185"/>
      <c r="AH774" s="1185"/>
      <c r="AI774" s="1185"/>
    </row>
    <row r="775" spans="1:35">
      <c r="A775" s="1218" t="s">
        <v>104</v>
      </c>
      <c r="B775" s="1219"/>
      <c r="C775" s="1026">
        <f>1+1+1071+4201+407</f>
        <v>5681</v>
      </c>
      <c r="D775" s="1261"/>
      <c r="E775" s="1041"/>
      <c r="F775" s="1041"/>
      <c r="G775" s="1261"/>
      <c r="H775" s="1041"/>
      <c r="I775" s="1041"/>
      <c r="J775" s="1261"/>
      <c r="K775" s="1041"/>
      <c r="L775" s="1041"/>
      <c r="N775" s="1185"/>
      <c r="O775" s="1185"/>
      <c r="P775" s="1186"/>
      <c r="Q775" s="1186"/>
      <c r="R775" s="1186"/>
      <c r="S775" s="1185"/>
      <c r="T775" s="1185"/>
      <c r="U775" s="1185"/>
      <c r="V775" s="1185"/>
      <c r="W775" s="1185"/>
      <c r="X775" s="1185"/>
      <c r="Y775" s="1185"/>
      <c r="Z775" s="1185"/>
      <c r="AA775" s="1185"/>
      <c r="AB775" s="1185"/>
      <c r="AC775" s="1185"/>
      <c r="AD775" s="1185"/>
      <c r="AE775" s="1185"/>
      <c r="AF775" s="1185"/>
      <c r="AG775" s="1185"/>
      <c r="AH775" s="1185"/>
      <c r="AI775" s="1185"/>
    </row>
    <row r="776" spans="1:35">
      <c r="A776" s="1218" t="s">
        <v>456</v>
      </c>
      <c r="B776" s="1219"/>
      <c r="C776" s="1026"/>
      <c r="D776" s="1261"/>
      <c r="E776" s="1249"/>
      <c r="F776" s="1041"/>
      <c r="G776" s="1261"/>
      <c r="H776" s="1249"/>
      <c r="I776" s="1041"/>
      <c r="J776" s="1261"/>
      <c r="K776" s="1249"/>
      <c r="L776" s="1041"/>
      <c r="N776" s="1185"/>
      <c r="O776" s="1185"/>
      <c r="P776" s="1186"/>
      <c r="Q776" s="1186"/>
      <c r="R776" s="1186"/>
      <c r="S776" s="1185"/>
      <c r="T776" s="1185"/>
      <c r="U776" s="1185"/>
      <c r="V776" s="1185"/>
      <c r="W776" s="1185"/>
      <c r="X776" s="1185"/>
      <c r="Y776" s="1185"/>
      <c r="Z776" s="1185"/>
      <c r="AA776" s="1185"/>
      <c r="AB776" s="1185"/>
      <c r="AC776" s="1185"/>
      <c r="AD776" s="1185"/>
      <c r="AE776" s="1185"/>
      <c r="AF776" s="1185"/>
      <c r="AG776" s="1185"/>
      <c r="AH776" s="1185"/>
      <c r="AI776" s="1185"/>
    </row>
    <row r="777" spans="1:35">
      <c r="A777" s="1218" t="s">
        <v>457</v>
      </c>
      <c r="B777" s="1219"/>
      <c r="C777" s="1026">
        <f>2783</f>
        <v>2783</v>
      </c>
      <c r="D777" s="1261">
        <v>20.86</v>
      </c>
      <c r="E777" s="1249"/>
      <c r="F777" s="1041">
        <f>ROUND(D777*$C777,0)</f>
        <v>58053</v>
      </c>
      <c r="G777" s="1261">
        <v>23.87</v>
      </c>
      <c r="H777" s="1249"/>
      <c r="I777" s="1041">
        <f>ROUND(G777*C777,0)</f>
        <v>66430</v>
      </c>
      <c r="J777" s="1261">
        <f>$J$723</f>
        <v>26.77</v>
      </c>
      <c r="K777" s="1249"/>
      <c r="L777" s="1041">
        <f>ROUND(J777*$C777,0)</f>
        <v>74501</v>
      </c>
      <c r="N777" s="1185"/>
      <c r="O777" s="1185"/>
      <c r="P777" s="1186"/>
      <c r="Q777" s="1186"/>
      <c r="R777" s="1186"/>
      <c r="S777" s="1185"/>
      <c r="T777" s="1185"/>
      <c r="U777" s="1185"/>
      <c r="V777" s="1185"/>
      <c r="W777" s="1185"/>
      <c r="X777" s="1185"/>
      <c r="Y777" s="1185"/>
      <c r="Z777" s="1185"/>
      <c r="AA777" s="1185"/>
      <c r="AB777" s="1185"/>
      <c r="AC777" s="1185"/>
      <c r="AD777" s="1185"/>
      <c r="AE777" s="1185"/>
      <c r="AF777" s="1185"/>
      <c r="AG777" s="1185"/>
      <c r="AH777" s="1185"/>
      <c r="AI777" s="1185"/>
    </row>
    <row r="778" spans="1:35">
      <c r="A778" s="1218" t="s">
        <v>458</v>
      </c>
      <c r="B778" s="1219"/>
      <c r="C778" s="1026"/>
      <c r="D778" s="1261"/>
      <c r="E778" s="1249"/>
      <c r="F778" s="1041"/>
      <c r="G778" s="1261"/>
      <c r="H778" s="1249"/>
      <c r="I778" s="1041"/>
      <c r="J778" s="1261"/>
      <c r="K778" s="1249"/>
      <c r="L778" s="1041"/>
      <c r="N778" s="1185"/>
      <c r="O778" s="1185"/>
      <c r="P778" s="1186"/>
      <c r="Q778" s="1186"/>
      <c r="R778" s="1186"/>
      <c r="S778" s="1185"/>
      <c r="T778" s="1185"/>
      <c r="U778" s="1185"/>
      <c r="V778" s="1185"/>
      <c r="W778" s="1185"/>
      <c r="X778" s="1185"/>
      <c r="Y778" s="1185"/>
      <c r="Z778" s="1185"/>
      <c r="AA778" s="1185"/>
      <c r="AB778" s="1185"/>
      <c r="AC778" s="1185"/>
      <c r="AD778" s="1185"/>
      <c r="AE778" s="1185"/>
      <c r="AF778" s="1185"/>
      <c r="AG778" s="1185"/>
      <c r="AH778" s="1185"/>
      <c r="AI778" s="1185"/>
    </row>
    <row r="779" spans="1:35">
      <c r="A779" s="1218" t="s">
        <v>452</v>
      </c>
      <c r="B779" s="1219"/>
      <c r="C779" s="1026">
        <f>42+48776</f>
        <v>48818</v>
      </c>
      <c r="D779" s="1261">
        <v>20.860000000000003</v>
      </c>
      <c r="E779" s="1249"/>
      <c r="F779" s="1041">
        <f>ROUND(D779*$C779,0)</f>
        <v>1018343</v>
      </c>
      <c r="G779" s="1261">
        <v>23.79</v>
      </c>
      <c r="H779" s="1249"/>
      <c r="I779" s="1041">
        <f t="shared" ref="I779:I783" si="116">ROUND(G779*C779,0)</f>
        <v>1161380</v>
      </c>
      <c r="J779" s="1261">
        <f>$J$725</f>
        <v>26.7</v>
      </c>
      <c r="K779" s="1249"/>
      <c r="L779" s="1041">
        <f>ROUND(J779*$C779,0)</f>
        <v>1303441</v>
      </c>
      <c r="N779" s="1185"/>
      <c r="O779" s="1185"/>
      <c r="P779" s="1186"/>
      <c r="Q779" s="1186"/>
      <c r="R779" s="1186"/>
      <c r="S779" s="1185"/>
      <c r="T779" s="1185"/>
      <c r="U779" s="1185"/>
      <c r="V779" s="1185"/>
      <c r="W779" s="1185"/>
      <c r="X779" s="1185"/>
      <c r="Y779" s="1185"/>
      <c r="Z779" s="1185"/>
      <c r="AA779" s="1185"/>
      <c r="AB779" s="1185"/>
      <c r="AC779" s="1185"/>
      <c r="AD779" s="1185"/>
      <c r="AE779" s="1185"/>
      <c r="AF779" s="1185"/>
      <c r="AG779" s="1185"/>
      <c r="AH779" s="1185"/>
      <c r="AI779" s="1185"/>
    </row>
    <row r="780" spans="1:35">
      <c r="A780" s="1218" t="s">
        <v>453</v>
      </c>
      <c r="B780" s="1219"/>
      <c r="C780" s="1026">
        <f>37471</f>
        <v>37471</v>
      </c>
      <c r="D780" s="1261">
        <v>14.53</v>
      </c>
      <c r="E780" s="1249"/>
      <c r="F780" s="1041">
        <f>ROUND(D780*$C780,0)</f>
        <v>544454</v>
      </c>
      <c r="G780" s="1261">
        <v>16.559999999999999</v>
      </c>
      <c r="H780" s="1249"/>
      <c r="I780" s="1041">
        <f t="shared" si="116"/>
        <v>620520</v>
      </c>
      <c r="J780" s="1261">
        <f>$J$726</f>
        <v>18.59</v>
      </c>
      <c r="K780" s="1249"/>
      <c r="L780" s="1041">
        <f>ROUND(J780*$C780,0)</f>
        <v>696586</v>
      </c>
      <c r="N780" s="1185"/>
      <c r="O780" s="1185"/>
      <c r="P780" s="1186"/>
      <c r="Q780" s="1186"/>
      <c r="R780" s="1186"/>
      <c r="S780" s="1185"/>
      <c r="T780" s="1185"/>
      <c r="U780" s="1185"/>
      <c r="V780" s="1185"/>
      <c r="W780" s="1185"/>
      <c r="X780" s="1185"/>
      <c r="Y780" s="1185"/>
      <c r="Z780" s="1185"/>
      <c r="AA780" s="1185"/>
      <c r="AB780" s="1185"/>
      <c r="AC780" s="1185"/>
      <c r="AD780" s="1185"/>
      <c r="AE780" s="1185"/>
      <c r="AF780" s="1185"/>
      <c r="AG780" s="1185"/>
      <c r="AH780" s="1185"/>
      <c r="AI780" s="1185"/>
    </row>
    <row r="781" spans="1:35">
      <c r="A781" s="1218" t="s">
        <v>454</v>
      </c>
      <c r="B781" s="1219"/>
      <c r="C781" s="1026">
        <v>0</v>
      </c>
      <c r="D781" s="1261">
        <v>11.340000000000002</v>
      </c>
      <c r="E781" s="1249"/>
      <c r="F781" s="1041">
        <f>ROUND(D781*$C781,0)</f>
        <v>0</v>
      </c>
      <c r="G781" s="1261">
        <v>12.96</v>
      </c>
      <c r="H781" s="1249"/>
      <c r="I781" s="1041">
        <f t="shared" si="116"/>
        <v>0</v>
      </c>
      <c r="J781" s="1261">
        <f>$J$727</f>
        <v>14.55</v>
      </c>
      <c r="K781" s="1249"/>
      <c r="L781" s="1041">
        <f>ROUND(J781*$C781,0)</f>
        <v>0</v>
      </c>
      <c r="N781" s="1185"/>
      <c r="O781" s="1185"/>
      <c r="P781" s="1186"/>
      <c r="Q781" s="1186"/>
      <c r="R781" s="1186"/>
      <c r="S781" s="1185"/>
      <c r="T781" s="1185"/>
      <c r="U781" s="1185"/>
      <c r="V781" s="1185"/>
      <c r="W781" s="1185"/>
      <c r="X781" s="1185"/>
      <c r="Y781" s="1185"/>
      <c r="Z781" s="1185"/>
      <c r="AA781" s="1185"/>
      <c r="AB781" s="1185"/>
      <c r="AC781" s="1185"/>
      <c r="AD781" s="1185"/>
      <c r="AE781" s="1185"/>
      <c r="AF781" s="1185"/>
      <c r="AG781" s="1185"/>
      <c r="AH781" s="1185"/>
      <c r="AI781" s="1185"/>
    </row>
    <row r="782" spans="1:35">
      <c r="A782" s="1218" t="s">
        <v>460</v>
      </c>
      <c r="B782" s="1219"/>
      <c r="C782" s="1026">
        <f>570</f>
        <v>570</v>
      </c>
      <c r="D782" s="1261">
        <v>62.58</v>
      </c>
      <c r="E782" s="1249"/>
      <c r="F782" s="1041">
        <f>ROUND(D782*$C782,0)</f>
        <v>35671</v>
      </c>
      <c r="G782" s="1261">
        <v>71.61</v>
      </c>
      <c r="H782" s="1249"/>
      <c r="I782" s="1041">
        <f t="shared" si="116"/>
        <v>40818</v>
      </c>
      <c r="J782" s="1261">
        <f>$J$728</f>
        <v>80.31</v>
      </c>
      <c r="K782" s="1249"/>
      <c r="L782" s="1041">
        <f>ROUND(J782*$C782,0)</f>
        <v>45777</v>
      </c>
      <c r="N782" s="1185"/>
      <c r="O782" s="1185"/>
      <c r="P782" s="1186"/>
      <c r="Q782" s="1186"/>
      <c r="R782" s="1186"/>
      <c r="S782" s="1185"/>
      <c r="T782" s="1185"/>
      <c r="U782" s="1185"/>
      <c r="V782" s="1185"/>
      <c r="W782" s="1185"/>
      <c r="X782" s="1185"/>
      <c r="Y782" s="1185"/>
      <c r="Z782" s="1185"/>
      <c r="AA782" s="1185"/>
      <c r="AB782" s="1185"/>
      <c r="AC782" s="1185"/>
      <c r="AD782" s="1185"/>
      <c r="AE782" s="1185"/>
      <c r="AF782" s="1185"/>
      <c r="AG782" s="1185"/>
      <c r="AH782" s="1185"/>
      <c r="AI782" s="1185"/>
    </row>
    <row r="783" spans="1:35">
      <c r="A783" s="1218" t="s">
        <v>461</v>
      </c>
      <c r="B783" s="1219"/>
      <c r="C783" s="1026">
        <f>1085</f>
        <v>1085</v>
      </c>
      <c r="D783" s="1261">
        <v>125.16000000000003</v>
      </c>
      <c r="E783" s="1249"/>
      <c r="F783" s="1041">
        <f>ROUND(D783*$C783,0)</f>
        <v>135799</v>
      </c>
      <c r="G783" s="1261">
        <v>142.74</v>
      </c>
      <c r="H783" s="1249"/>
      <c r="I783" s="1041">
        <f t="shared" si="116"/>
        <v>154873</v>
      </c>
      <c r="J783" s="1261">
        <f>$J$729</f>
        <v>160.19999999999999</v>
      </c>
      <c r="K783" s="1249"/>
      <c r="L783" s="1041">
        <f>ROUND(J783*$C783,0)</f>
        <v>173817</v>
      </c>
      <c r="N783" s="1185"/>
      <c r="O783" s="1185"/>
      <c r="P783" s="1186"/>
      <c r="Q783" s="1186"/>
      <c r="R783" s="1186"/>
      <c r="S783" s="1185"/>
      <c r="T783" s="1185"/>
      <c r="U783" s="1185"/>
      <c r="V783" s="1185"/>
      <c r="W783" s="1185"/>
      <c r="X783" s="1185"/>
      <c r="Y783" s="1185"/>
      <c r="Z783" s="1185"/>
      <c r="AA783" s="1185"/>
      <c r="AB783" s="1185"/>
      <c r="AC783" s="1185"/>
      <c r="AD783" s="1185"/>
      <c r="AE783" s="1185"/>
      <c r="AF783" s="1185"/>
      <c r="AG783" s="1185"/>
      <c r="AH783" s="1185"/>
      <c r="AI783" s="1185"/>
    </row>
    <row r="784" spans="1:35">
      <c r="A784" s="1218" t="s">
        <v>462</v>
      </c>
      <c r="B784" s="1219"/>
      <c r="C784" s="1026"/>
      <c r="D784" s="1261"/>
      <c r="E784" s="1249"/>
      <c r="F784" s="1041"/>
      <c r="G784" s="1261"/>
      <c r="H784" s="1249"/>
      <c r="I784" s="1041"/>
      <c r="J784" s="1261"/>
      <c r="K784" s="1249"/>
      <c r="L784" s="1041"/>
      <c r="N784" s="1185"/>
      <c r="O784" s="1185"/>
      <c r="P784" s="1186"/>
      <c r="Q784" s="1186"/>
      <c r="R784" s="1186"/>
      <c r="S784" s="1185"/>
      <c r="T784" s="1185"/>
      <c r="U784" s="1185"/>
      <c r="V784" s="1185"/>
      <c r="W784" s="1185"/>
      <c r="X784" s="1185"/>
      <c r="Y784" s="1185"/>
      <c r="Z784" s="1185"/>
      <c r="AA784" s="1185"/>
      <c r="AB784" s="1185"/>
      <c r="AC784" s="1185"/>
      <c r="AD784" s="1185"/>
      <c r="AE784" s="1185"/>
      <c r="AF784" s="1185"/>
      <c r="AG784" s="1185"/>
      <c r="AH784" s="1185"/>
      <c r="AI784" s="1185"/>
    </row>
    <row r="785" spans="1:37">
      <c r="A785" s="1218" t="s">
        <v>457</v>
      </c>
      <c r="B785" s="1219"/>
      <c r="C785" s="1026">
        <f>48</f>
        <v>48</v>
      </c>
      <c r="D785" s="1259">
        <v>-20.86</v>
      </c>
      <c r="E785" s="1249"/>
      <c r="F785" s="1041">
        <f>ROUND(D785*$C785,0)</f>
        <v>-1001</v>
      </c>
      <c r="G785" s="1259">
        <v>-23.87</v>
      </c>
      <c r="H785" s="1249"/>
      <c r="I785" s="1041">
        <f t="shared" ref="I785:I786" si="117">ROUND(G785*C785,0)</f>
        <v>-1146</v>
      </c>
      <c r="J785" s="1259">
        <f>-J777</f>
        <v>-26.77</v>
      </c>
      <c r="K785" s="1249"/>
      <c r="L785" s="1041">
        <f>ROUND(J785*$C785,0)</f>
        <v>-1285</v>
      </c>
      <c r="N785" s="1185"/>
      <c r="O785" s="1185"/>
      <c r="P785" s="1186"/>
      <c r="Q785" s="1186"/>
      <c r="R785" s="1186"/>
      <c r="S785" s="1185"/>
      <c r="T785" s="1185"/>
      <c r="U785" s="1185"/>
      <c r="V785" s="1185"/>
      <c r="W785" s="1185"/>
      <c r="X785" s="1185"/>
      <c r="Y785" s="1185"/>
      <c r="Z785" s="1185"/>
      <c r="AA785" s="1185"/>
      <c r="AB785" s="1185"/>
      <c r="AC785" s="1185"/>
      <c r="AD785" s="1185"/>
      <c r="AE785" s="1185"/>
      <c r="AF785" s="1185"/>
      <c r="AG785" s="1185"/>
      <c r="AH785" s="1185"/>
      <c r="AI785" s="1185"/>
    </row>
    <row r="786" spans="1:37">
      <c r="A786" s="1218" t="s">
        <v>463</v>
      </c>
      <c r="B786" s="1219"/>
      <c r="C786" s="1026">
        <f>561</f>
        <v>561</v>
      </c>
      <c r="D786" s="1259">
        <v>-20.860000000000003</v>
      </c>
      <c r="E786" s="1249"/>
      <c r="F786" s="1041">
        <f>ROUND(D786*$C786,0)</f>
        <v>-11702</v>
      </c>
      <c r="G786" s="1259">
        <v>-23.79</v>
      </c>
      <c r="H786" s="1249"/>
      <c r="I786" s="1041">
        <f t="shared" si="117"/>
        <v>-13346</v>
      </c>
      <c r="J786" s="1259">
        <f>-J779</f>
        <v>-26.7</v>
      </c>
      <c r="K786" s="1249"/>
      <c r="L786" s="1041">
        <f>ROUND(J786*$C786,0)</f>
        <v>-14979</v>
      </c>
      <c r="N786" s="1185"/>
      <c r="O786" s="1185"/>
      <c r="P786" s="1186"/>
      <c r="Q786" s="1186"/>
      <c r="R786" s="1186"/>
      <c r="S786" s="1185"/>
      <c r="T786" s="1185"/>
      <c r="U786" s="1185"/>
      <c r="V786" s="1185"/>
      <c r="W786" s="1185"/>
      <c r="X786" s="1185"/>
      <c r="Y786" s="1185"/>
      <c r="Z786" s="1185"/>
      <c r="AA786" s="1185"/>
      <c r="AB786" s="1185"/>
      <c r="AC786" s="1185"/>
      <c r="AD786" s="1185"/>
      <c r="AE786" s="1185"/>
      <c r="AF786" s="1185"/>
      <c r="AG786" s="1185"/>
      <c r="AH786" s="1185"/>
      <c r="AI786" s="1185"/>
    </row>
    <row r="787" spans="1:37">
      <c r="A787" s="1009" t="s">
        <v>426</v>
      </c>
      <c r="B787" s="1219"/>
      <c r="C787" s="1026">
        <f>C788</f>
        <v>145798478.36433661</v>
      </c>
      <c r="D787" s="1261"/>
      <c r="E787" s="1041"/>
      <c r="F787" s="1041"/>
      <c r="G787" s="1261"/>
      <c r="H787" s="1041"/>
      <c r="I787" s="1041"/>
      <c r="J787" s="1261"/>
      <c r="K787" s="1041"/>
      <c r="L787" s="1041"/>
      <c r="N787" s="1185"/>
      <c r="O787" s="1185"/>
      <c r="P787" s="1186"/>
      <c r="Q787" s="1186"/>
      <c r="R787" s="1186"/>
      <c r="S787" s="1185"/>
      <c r="T787" s="1185"/>
      <c r="U787" s="1185"/>
      <c r="V787" s="1185"/>
      <c r="W787" s="1185"/>
      <c r="X787" s="1185"/>
      <c r="Y787" s="1185"/>
      <c r="Z787" s="1185"/>
      <c r="AA787" s="1185"/>
      <c r="AB787" s="1185"/>
      <c r="AC787" s="1185"/>
      <c r="AD787" s="1185"/>
      <c r="AE787" s="1185"/>
      <c r="AF787" s="1185"/>
      <c r="AG787" s="1185"/>
      <c r="AH787" s="1185"/>
      <c r="AI787" s="1185"/>
    </row>
    <row r="788" spans="1:37">
      <c r="A788" s="1218" t="s">
        <v>464</v>
      </c>
      <c r="B788" s="1219"/>
      <c r="C788" s="1026">
        <f>24408+5713553+88448788+53690217+[94]Temperature!B92*1000</f>
        <v>145798478.36433661</v>
      </c>
      <c r="D788" s="1316">
        <v>5.6469999999999994</v>
      </c>
      <c r="E788" s="1041" t="s">
        <v>374</v>
      </c>
      <c r="F788" s="1041">
        <f>ROUND(D788/100*$C788,0)</f>
        <v>8233240</v>
      </c>
      <c r="G788" s="1316">
        <v>6.4390000000000001</v>
      </c>
      <c r="H788" s="1041" t="s">
        <v>374</v>
      </c>
      <c r="I788" s="1041">
        <f>ROUND(G788/100*C788,0)</f>
        <v>9387964</v>
      </c>
      <c r="J788" s="1316">
        <f>$J$734</f>
        <v>4.0780000000000003</v>
      </c>
      <c r="K788" s="1041" t="s">
        <v>374</v>
      </c>
      <c r="L788" s="1041">
        <f>ROUND(J788/100*$C788,0)</f>
        <v>5945662</v>
      </c>
      <c r="N788" s="1185"/>
      <c r="O788" s="1185"/>
      <c r="P788" s="1186"/>
      <c r="Q788" s="1186"/>
      <c r="R788" s="1186"/>
      <c r="S788" s="1185"/>
      <c r="T788" s="1185"/>
      <c r="U788" s="1185"/>
      <c r="V788" s="1185"/>
      <c r="W788" s="1185"/>
      <c r="X788" s="1185"/>
      <c r="Y788" s="1185"/>
      <c r="Z788" s="1185"/>
      <c r="AA788" s="1185"/>
      <c r="AB788" s="1185"/>
      <c r="AC788" s="1185"/>
      <c r="AD788" s="1185"/>
      <c r="AE788" s="1185"/>
      <c r="AF788" s="1185"/>
      <c r="AG788" s="1185"/>
      <c r="AH788" s="1185"/>
      <c r="AI788" s="1185"/>
    </row>
    <row r="789" spans="1:37">
      <c r="A789" s="1009" t="s">
        <v>400</v>
      </c>
      <c r="B789" s="1219"/>
      <c r="C789" s="1217">
        <f>22+15618+29518</f>
        <v>45158</v>
      </c>
      <c r="D789" s="1262">
        <v>50</v>
      </c>
      <c r="E789" s="1009" t="s">
        <v>374</v>
      </c>
      <c r="F789" s="1041">
        <f>ROUND(D789*$C789/100,0)</f>
        <v>22579</v>
      </c>
      <c r="G789" s="1262">
        <v>56</v>
      </c>
      <c r="H789" s="1009" t="s">
        <v>374</v>
      </c>
      <c r="I789" s="1041">
        <f>ROUND(G789/100*C789,0)</f>
        <v>25288</v>
      </c>
      <c r="J789" s="1262">
        <f>$J$735</f>
        <v>63</v>
      </c>
      <c r="K789" s="1009" t="s">
        <v>374</v>
      </c>
      <c r="L789" s="1041">
        <f>ROUND(J789*$C789/100,0)</f>
        <v>28450</v>
      </c>
      <c r="N789" s="1185"/>
      <c r="O789" s="1185"/>
      <c r="P789" s="1186"/>
      <c r="Q789" s="1186"/>
      <c r="R789" s="1186"/>
      <c r="S789" s="1185"/>
      <c r="T789" s="1185"/>
      <c r="U789" s="1185"/>
      <c r="V789" s="1185"/>
      <c r="W789" s="1185"/>
      <c r="X789" s="1185"/>
      <c r="Y789" s="1185"/>
      <c r="Z789" s="1185"/>
      <c r="AA789" s="1185"/>
      <c r="AB789" s="1185"/>
      <c r="AC789" s="1185"/>
      <c r="AD789" s="1185"/>
      <c r="AE789" s="1185"/>
      <c r="AF789" s="1185"/>
      <c r="AG789" s="1185"/>
      <c r="AH789" s="1185"/>
      <c r="AI789" s="1185"/>
    </row>
    <row r="790" spans="1:37">
      <c r="A790" s="1005" t="s">
        <v>928</v>
      </c>
      <c r="C790" s="1202">
        <f>C788</f>
        <v>145798478.36433661</v>
      </c>
      <c r="D790" s="269"/>
      <c r="E790" s="1185"/>
      <c r="F790" s="1203"/>
      <c r="G790" s="269"/>
      <c r="H790" s="1185"/>
      <c r="I790" s="1203"/>
      <c r="J790" s="1230">
        <f>J736</f>
        <v>3.15</v>
      </c>
      <c r="K790" s="1041" t="s">
        <v>374</v>
      </c>
      <c r="L790" s="1041">
        <f>ROUND(J790*$C790/100,0)</f>
        <v>4592652</v>
      </c>
      <c r="N790" s="1204"/>
      <c r="P790" s="815"/>
      <c r="Q790" s="1184"/>
      <c r="R790" s="1184"/>
      <c r="S790" s="1205"/>
      <c r="T790" s="1205"/>
      <c r="Y790" s="1185"/>
      <c r="Z790" s="1185"/>
      <c r="AA790" s="1185"/>
      <c r="AB790" s="1185"/>
      <c r="AC790" s="1185"/>
      <c r="AD790" s="1185"/>
      <c r="AE790" s="1185"/>
      <c r="AF790" s="1185"/>
      <c r="AG790" s="1185"/>
      <c r="AH790" s="1185"/>
      <c r="AI790" s="1185"/>
      <c r="AK790" s="1204"/>
    </row>
    <row r="791" spans="1:37">
      <c r="A791" s="1283" t="s">
        <v>401</v>
      </c>
      <c r="B791" s="1219"/>
      <c r="C791" s="1026"/>
      <c r="D791" s="1257">
        <v>-0.01</v>
      </c>
      <c r="E791" s="1203"/>
      <c r="F791" s="1041"/>
      <c r="G791" s="1257">
        <v>-0.01</v>
      </c>
      <c r="H791" s="1219"/>
      <c r="I791" s="1041"/>
      <c r="J791" s="1257">
        <v>-0.01</v>
      </c>
      <c r="K791" s="1219"/>
      <c r="L791" s="1041"/>
      <c r="N791" s="1185"/>
      <c r="O791" s="1185"/>
      <c r="P791" s="1186"/>
      <c r="Q791" s="1186"/>
      <c r="R791" s="1186"/>
      <c r="S791" s="1185"/>
      <c r="T791" s="1185"/>
      <c r="U791" s="1185"/>
      <c r="V791" s="1185"/>
      <c r="W791" s="1185"/>
      <c r="X791" s="1185"/>
      <c r="Y791" s="1185"/>
      <c r="Z791" s="1185"/>
      <c r="AA791" s="1185"/>
      <c r="AB791" s="1185"/>
      <c r="AC791" s="1185"/>
      <c r="AD791" s="1185"/>
      <c r="AE791" s="1185"/>
      <c r="AF791" s="1185"/>
      <c r="AG791" s="1185"/>
      <c r="AH791" s="1185"/>
      <c r="AI791" s="1185"/>
    </row>
    <row r="792" spans="1:37">
      <c r="A792" s="1218" t="s">
        <v>390</v>
      </c>
      <c r="B792" s="1219"/>
      <c r="C792" s="1026">
        <v>0</v>
      </c>
      <c r="D792" s="1303">
        <v>0</v>
      </c>
      <c r="E792" s="1249"/>
      <c r="F792" s="1041">
        <f>ROUND(D792*$C792*$D$738,0)</f>
        <v>0</v>
      </c>
      <c r="G792" s="1303">
        <v>0</v>
      </c>
      <c r="H792" s="1249"/>
      <c r="I792" s="1041">
        <f>ROUND(G792*C792*$G$738,0)</f>
        <v>0</v>
      </c>
      <c r="J792" s="1303">
        <f>J768</f>
        <v>0</v>
      </c>
      <c r="K792" s="1249"/>
      <c r="L792" s="1041">
        <f>ROUND(J792*$C792*$D$738,0)</f>
        <v>0</v>
      </c>
      <c r="N792" s="1185"/>
      <c r="O792" s="1185"/>
      <c r="P792" s="1186"/>
      <c r="Q792" s="1186"/>
      <c r="R792" s="1186"/>
      <c r="S792" s="1185"/>
      <c r="T792" s="1185"/>
      <c r="U792" s="1185"/>
      <c r="V792" s="1185"/>
      <c r="W792" s="1185"/>
      <c r="X792" s="1185"/>
      <c r="Y792" s="1185"/>
      <c r="Z792" s="1185"/>
      <c r="AA792" s="1185"/>
      <c r="AB792" s="1185"/>
      <c r="AC792" s="1185"/>
      <c r="AD792" s="1185"/>
      <c r="AE792" s="1185"/>
      <c r="AF792" s="1185"/>
      <c r="AG792" s="1185"/>
      <c r="AH792" s="1185"/>
      <c r="AI792" s="1185"/>
    </row>
    <row r="793" spans="1:37">
      <c r="A793" s="1218" t="s">
        <v>391</v>
      </c>
      <c r="B793" s="1219"/>
      <c r="C793" s="1026"/>
      <c r="D793" s="1303"/>
      <c r="E793" s="1249"/>
      <c r="F793" s="1041"/>
      <c r="G793" s="1303"/>
      <c r="H793" s="1249"/>
      <c r="I793" s="1041"/>
      <c r="J793" s="1303"/>
      <c r="K793" s="1249"/>
      <c r="L793" s="1041"/>
      <c r="N793" s="1185"/>
      <c r="O793" s="1185"/>
      <c r="P793" s="1186"/>
      <c r="Q793" s="1186"/>
      <c r="R793" s="1186"/>
      <c r="S793" s="1185"/>
      <c r="T793" s="1185"/>
      <c r="U793" s="1185"/>
      <c r="V793" s="1185"/>
      <c r="W793" s="1185"/>
      <c r="X793" s="1185"/>
      <c r="Y793" s="1185"/>
      <c r="Z793" s="1185"/>
      <c r="AA793" s="1185"/>
      <c r="AB793" s="1185"/>
      <c r="AC793" s="1185"/>
      <c r="AD793" s="1185"/>
      <c r="AE793" s="1185"/>
      <c r="AF793" s="1185"/>
      <c r="AG793" s="1185"/>
      <c r="AH793" s="1185"/>
      <c r="AI793" s="1185"/>
    </row>
    <row r="794" spans="1:37">
      <c r="A794" s="1218" t="s">
        <v>452</v>
      </c>
      <c r="B794" s="1219"/>
      <c r="C794" s="1026">
        <v>0</v>
      </c>
      <c r="D794" s="1303">
        <v>0</v>
      </c>
      <c r="E794" s="1249"/>
      <c r="F794" s="1041">
        <f>ROUND(D794*$C794*$D$738,0)</f>
        <v>0</v>
      </c>
      <c r="G794" s="1303">
        <v>0</v>
      </c>
      <c r="H794" s="1249"/>
      <c r="I794" s="1041">
        <f t="shared" ref="I794:I797" si="118">ROUND(G794*C794*$G$738,0)</f>
        <v>0</v>
      </c>
      <c r="J794" s="1303">
        <f>J770</f>
        <v>0</v>
      </c>
      <c r="K794" s="1249"/>
      <c r="L794" s="1041">
        <f>ROUND(J794*$C794*$D$738,0)</f>
        <v>0</v>
      </c>
      <c r="N794" s="1185"/>
      <c r="O794" s="1185"/>
      <c r="P794" s="1186"/>
      <c r="Q794" s="1186"/>
      <c r="R794" s="1186"/>
      <c r="S794" s="1185"/>
      <c r="T794" s="1185"/>
      <c r="U794" s="1185"/>
      <c r="V794" s="1185"/>
      <c r="W794" s="1185"/>
      <c r="X794" s="1185"/>
      <c r="Y794" s="1185"/>
      <c r="Z794" s="1185"/>
      <c r="AA794" s="1185"/>
      <c r="AB794" s="1185"/>
      <c r="AC794" s="1185"/>
      <c r="AD794" s="1185"/>
      <c r="AE794" s="1185"/>
      <c r="AF794" s="1185"/>
      <c r="AG794" s="1185"/>
      <c r="AH794" s="1185"/>
      <c r="AI794" s="1185"/>
    </row>
    <row r="795" spans="1:37">
      <c r="A795" s="1218" t="s">
        <v>453</v>
      </c>
      <c r="B795" s="1219"/>
      <c r="C795" s="1026">
        <v>0</v>
      </c>
      <c r="D795" s="1303">
        <v>312</v>
      </c>
      <c r="E795" s="1249"/>
      <c r="F795" s="1041">
        <f>ROUND(D795*$C795*$D$738,0)</f>
        <v>0</v>
      </c>
      <c r="G795" s="1303">
        <v>357</v>
      </c>
      <c r="H795" s="1249"/>
      <c r="I795" s="1041">
        <f t="shared" si="118"/>
        <v>0</v>
      </c>
      <c r="J795" s="1303">
        <f>J771</f>
        <v>401</v>
      </c>
      <c r="K795" s="1249"/>
      <c r="L795" s="1041">
        <f>ROUND(J795*$C795*$D$738,0)</f>
        <v>0</v>
      </c>
      <c r="N795" s="1185"/>
      <c r="O795" s="1185"/>
      <c r="P795" s="1186"/>
      <c r="Q795" s="1186"/>
      <c r="R795" s="1186"/>
      <c r="S795" s="1185"/>
      <c r="T795" s="1185"/>
      <c r="U795" s="1185"/>
      <c r="V795" s="1185"/>
      <c r="W795" s="1185"/>
      <c r="X795" s="1185"/>
      <c r="Y795" s="1185"/>
      <c r="Z795" s="1185"/>
      <c r="AA795" s="1185"/>
      <c r="AB795" s="1185"/>
      <c r="AC795" s="1185"/>
      <c r="AD795" s="1185"/>
      <c r="AE795" s="1185"/>
      <c r="AF795" s="1185"/>
      <c r="AG795" s="1185"/>
      <c r="AH795" s="1185"/>
      <c r="AI795" s="1185"/>
    </row>
    <row r="796" spans="1:37">
      <c r="A796" s="1218" t="s">
        <v>454</v>
      </c>
      <c r="B796" s="1219"/>
      <c r="C796" s="1026">
        <v>0</v>
      </c>
      <c r="D796" s="1303">
        <v>1268</v>
      </c>
      <c r="E796" s="1249"/>
      <c r="F796" s="1041">
        <f>ROUND(D796*$C796*$D$738,0)</f>
        <v>0</v>
      </c>
      <c r="G796" s="1303">
        <v>1457</v>
      </c>
      <c r="H796" s="1249"/>
      <c r="I796" s="1041">
        <f t="shared" si="118"/>
        <v>0</v>
      </c>
      <c r="J796" s="1303">
        <f>J772</f>
        <v>1635</v>
      </c>
      <c r="K796" s="1249"/>
      <c r="L796" s="1041">
        <f>ROUND(J796*$C796*$D$738,0)</f>
        <v>0</v>
      </c>
      <c r="N796" s="1185"/>
      <c r="O796" s="1185"/>
      <c r="P796" s="1186"/>
      <c r="Q796" s="1186"/>
      <c r="R796" s="1186"/>
      <c r="S796" s="1185"/>
      <c r="T796" s="1185"/>
      <c r="U796" s="1185"/>
      <c r="V796" s="1185"/>
      <c r="W796" s="1185"/>
      <c r="X796" s="1185"/>
      <c r="Y796" s="1185"/>
      <c r="Z796" s="1185"/>
      <c r="AA796" s="1185"/>
      <c r="AB796" s="1185"/>
      <c r="AC796" s="1185"/>
      <c r="AD796" s="1185"/>
      <c r="AE796" s="1185"/>
      <c r="AF796" s="1185"/>
      <c r="AG796" s="1185"/>
      <c r="AH796" s="1185"/>
      <c r="AI796" s="1185"/>
    </row>
    <row r="797" spans="1:37">
      <c r="A797" s="1218" t="s">
        <v>390</v>
      </c>
      <c r="B797" s="1219"/>
      <c r="C797" s="1026">
        <v>0</v>
      </c>
      <c r="D797" s="1303">
        <v>20.86</v>
      </c>
      <c r="E797" s="1249"/>
      <c r="F797" s="1041">
        <f>ROUND(D797*$C797*$D$738,0)</f>
        <v>0</v>
      </c>
      <c r="G797" s="1303">
        <v>23.87</v>
      </c>
      <c r="H797" s="1249"/>
      <c r="I797" s="1041">
        <f t="shared" si="118"/>
        <v>0</v>
      </c>
      <c r="J797" s="1303">
        <f>J777</f>
        <v>26.77</v>
      </c>
      <c r="K797" s="1249"/>
      <c r="L797" s="1041">
        <f>ROUND(J797*$C797*$D$738,0)</f>
        <v>0</v>
      </c>
      <c r="N797" s="1185"/>
      <c r="O797" s="1185"/>
      <c r="P797" s="1186"/>
      <c r="Q797" s="1186"/>
      <c r="R797" s="1186"/>
      <c r="S797" s="1185"/>
      <c r="T797" s="1185"/>
      <c r="U797" s="1185"/>
      <c r="V797" s="1185"/>
      <c r="W797" s="1185"/>
      <c r="X797" s="1185"/>
      <c r="Y797" s="1185"/>
      <c r="Z797" s="1185"/>
      <c r="AA797" s="1185"/>
      <c r="AB797" s="1185"/>
      <c r="AC797" s="1185"/>
      <c r="AD797" s="1185"/>
      <c r="AE797" s="1185"/>
      <c r="AF797" s="1185"/>
      <c r="AG797" s="1185"/>
      <c r="AH797" s="1185"/>
      <c r="AI797" s="1185"/>
    </row>
    <row r="798" spans="1:37">
      <c r="A798" s="1218" t="s">
        <v>391</v>
      </c>
      <c r="B798" s="1219"/>
      <c r="C798" s="1026"/>
      <c r="D798" s="1303"/>
      <c r="E798" s="1249"/>
      <c r="F798" s="1041"/>
      <c r="G798" s="1303"/>
      <c r="H798" s="1249"/>
      <c r="I798" s="1041"/>
      <c r="J798" s="1303"/>
      <c r="K798" s="1249"/>
      <c r="L798" s="1041"/>
      <c r="N798" s="1185"/>
      <c r="O798" s="1185"/>
      <c r="P798" s="1186"/>
      <c r="Q798" s="1186"/>
      <c r="R798" s="1186"/>
      <c r="S798" s="1185"/>
      <c r="T798" s="1185"/>
      <c r="U798" s="1185"/>
      <c r="V798" s="1185"/>
      <c r="W798" s="1185"/>
      <c r="X798" s="1185"/>
      <c r="Y798" s="1185"/>
      <c r="Z798" s="1185"/>
      <c r="AA798" s="1185"/>
      <c r="AB798" s="1185"/>
      <c r="AC798" s="1185"/>
      <c r="AD798" s="1185"/>
      <c r="AE798" s="1185"/>
      <c r="AF798" s="1185"/>
      <c r="AG798" s="1185"/>
      <c r="AH798" s="1185"/>
      <c r="AI798" s="1185"/>
    </row>
    <row r="799" spans="1:37">
      <c r="A799" s="1218" t="s">
        <v>452</v>
      </c>
      <c r="B799" s="1219"/>
      <c r="C799" s="1026">
        <v>0</v>
      </c>
      <c r="D799" s="1303">
        <v>20.860000000000003</v>
      </c>
      <c r="E799" s="1249"/>
      <c r="F799" s="1041">
        <f>ROUND(D799*$C799*$D$738,0)</f>
        <v>0</v>
      </c>
      <c r="G799" s="1303">
        <v>23.79</v>
      </c>
      <c r="H799" s="1249"/>
      <c r="I799" s="1041">
        <f t="shared" ref="I799:I803" si="119">ROUND(G799*C799*$G$738,0)</f>
        <v>0</v>
      </c>
      <c r="J799" s="1303">
        <f>J779</f>
        <v>26.7</v>
      </c>
      <c r="K799" s="1249"/>
      <c r="L799" s="1041">
        <f>ROUND(J799*$C799*$D$738,0)</f>
        <v>0</v>
      </c>
      <c r="N799" s="1185"/>
      <c r="O799" s="1185"/>
      <c r="P799" s="1186"/>
      <c r="Q799" s="1186"/>
      <c r="R799" s="1186"/>
      <c r="S799" s="1185"/>
      <c r="T799" s="1185"/>
      <c r="U799" s="1185"/>
      <c r="V799" s="1185"/>
      <c r="W799" s="1185"/>
      <c r="X799" s="1185"/>
      <c r="Y799" s="1185"/>
      <c r="Z799" s="1185"/>
      <c r="AA799" s="1185"/>
      <c r="AB799" s="1185"/>
      <c r="AC799" s="1185"/>
      <c r="AD799" s="1185"/>
      <c r="AE799" s="1185"/>
      <c r="AF799" s="1185"/>
      <c r="AG799" s="1185"/>
      <c r="AH799" s="1185"/>
      <c r="AI799" s="1185"/>
    </row>
    <row r="800" spans="1:37">
      <c r="A800" s="1218" t="s">
        <v>453</v>
      </c>
      <c r="B800" s="1219"/>
      <c r="C800" s="1026">
        <v>0</v>
      </c>
      <c r="D800" s="1303">
        <v>14.53</v>
      </c>
      <c r="E800" s="1249"/>
      <c r="F800" s="1041">
        <f>ROUND(D800*$C800*$D$738,0)</f>
        <v>0</v>
      </c>
      <c r="G800" s="1303">
        <v>16.559999999999999</v>
      </c>
      <c r="H800" s="1249"/>
      <c r="I800" s="1041">
        <f t="shared" si="119"/>
        <v>0</v>
      </c>
      <c r="J800" s="1303">
        <f>J780</f>
        <v>18.59</v>
      </c>
      <c r="K800" s="1249"/>
      <c r="L800" s="1041">
        <f>ROUND(J800*$C800*$D$738,0)</f>
        <v>0</v>
      </c>
      <c r="N800" s="1185"/>
      <c r="O800" s="1185"/>
      <c r="P800" s="1186"/>
      <c r="Q800" s="1186"/>
      <c r="R800" s="1186"/>
      <c r="S800" s="1185"/>
      <c r="T800" s="1185"/>
      <c r="U800" s="1185"/>
      <c r="V800" s="1185"/>
      <c r="W800" s="1185"/>
      <c r="X800" s="1185"/>
      <c r="Y800" s="1185"/>
      <c r="Z800" s="1185"/>
      <c r="AA800" s="1185"/>
      <c r="AB800" s="1185"/>
      <c r="AC800" s="1185"/>
      <c r="AD800" s="1185"/>
      <c r="AE800" s="1185"/>
      <c r="AF800" s="1185"/>
      <c r="AG800" s="1185"/>
      <c r="AH800" s="1185"/>
      <c r="AI800" s="1185"/>
    </row>
    <row r="801" spans="1:37">
      <c r="A801" s="1218" t="s">
        <v>454</v>
      </c>
      <c r="B801" s="1219"/>
      <c r="C801" s="1026">
        <v>0</v>
      </c>
      <c r="D801" s="1303">
        <v>11.340000000000002</v>
      </c>
      <c r="E801" s="1249"/>
      <c r="F801" s="1041">
        <f>ROUND(D801*$C801*$D$738,0)</f>
        <v>0</v>
      </c>
      <c r="G801" s="1303">
        <v>12.96</v>
      </c>
      <c r="H801" s="1249"/>
      <c r="I801" s="1041">
        <f t="shared" si="119"/>
        <v>0</v>
      </c>
      <c r="J801" s="1303">
        <f>J781</f>
        <v>14.55</v>
      </c>
      <c r="K801" s="1249"/>
      <c r="L801" s="1041">
        <f>ROUND(J801*$C801*$D$738,0)</f>
        <v>0</v>
      </c>
      <c r="N801" s="1185"/>
      <c r="O801" s="1185"/>
      <c r="P801" s="1186"/>
      <c r="Q801" s="1186"/>
      <c r="R801" s="1186"/>
      <c r="S801" s="1185"/>
      <c r="T801" s="1185"/>
      <c r="U801" s="1185"/>
      <c r="V801" s="1185"/>
      <c r="W801" s="1185"/>
      <c r="X801" s="1185"/>
      <c r="Y801" s="1185"/>
      <c r="Z801" s="1185"/>
      <c r="AA801" s="1185"/>
      <c r="AB801" s="1185"/>
      <c r="AC801" s="1185"/>
      <c r="AD801" s="1185"/>
      <c r="AE801" s="1185"/>
      <c r="AF801" s="1185"/>
      <c r="AG801" s="1185"/>
      <c r="AH801" s="1185"/>
      <c r="AI801" s="1185"/>
    </row>
    <row r="802" spans="1:37">
      <c r="A802" s="1218" t="s">
        <v>465</v>
      </c>
      <c r="B802" s="1219"/>
      <c r="C802" s="1026">
        <v>0</v>
      </c>
      <c r="D802" s="1259">
        <v>62.58</v>
      </c>
      <c r="E802" s="1249"/>
      <c r="F802" s="1041">
        <f>ROUND(D802*$C802*$D$738,0)</f>
        <v>0</v>
      </c>
      <c r="G802" s="1259">
        <v>71.61</v>
      </c>
      <c r="H802" s="1249"/>
      <c r="I802" s="1041">
        <f t="shared" si="119"/>
        <v>0</v>
      </c>
      <c r="J802" s="1259">
        <f>J782</f>
        <v>80.31</v>
      </c>
      <c r="K802" s="1249"/>
      <c r="L802" s="1041">
        <f>ROUND(J802*$C802*$D$738,0)</f>
        <v>0</v>
      </c>
      <c r="N802" s="1185"/>
      <c r="O802" s="1185"/>
      <c r="P802" s="1186"/>
      <c r="Q802" s="1186"/>
      <c r="R802" s="1186"/>
      <c r="S802" s="1185"/>
      <c r="T802" s="1185"/>
      <c r="U802" s="1185"/>
      <c r="V802" s="1185"/>
      <c r="W802" s="1185"/>
      <c r="X802" s="1185"/>
      <c r="Y802" s="1185"/>
      <c r="Z802" s="1185"/>
      <c r="AA802" s="1185"/>
      <c r="AB802" s="1185"/>
      <c r="AC802" s="1185"/>
      <c r="AD802" s="1185"/>
      <c r="AE802" s="1185"/>
      <c r="AF802" s="1185"/>
      <c r="AG802" s="1185"/>
      <c r="AH802" s="1185"/>
      <c r="AI802" s="1185"/>
    </row>
    <row r="803" spans="1:37">
      <c r="A803" s="1218" t="s">
        <v>466</v>
      </c>
      <c r="B803" s="1219"/>
      <c r="C803" s="1026">
        <v>0</v>
      </c>
      <c r="D803" s="1259">
        <v>125.16000000000003</v>
      </c>
      <c r="E803" s="1249"/>
      <c r="F803" s="1041">
        <f>ROUND(D803*$C803*$D$738,0)</f>
        <v>0</v>
      </c>
      <c r="G803" s="1259">
        <v>142.74</v>
      </c>
      <c r="H803" s="1249"/>
      <c r="I803" s="1041">
        <f t="shared" si="119"/>
        <v>0</v>
      </c>
      <c r="J803" s="1259">
        <f>J783</f>
        <v>160.19999999999999</v>
      </c>
      <c r="K803" s="1249"/>
      <c r="L803" s="1041">
        <f>ROUND(J803*$C803*$D$738,0)</f>
        <v>0</v>
      </c>
      <c r="N803" s="1185"/>
      <c r="O803" s="1185"/>
      <c r="P803" s="1186"/>
      <c r="Q803" s="1186"/>
      <c r="R803" s="1186"/>
      <c r="S803" s="1185"/>
      <c r="T803" s="1185"/>
      <c r="U803" s="1185"/>
      <c r="V803" s="1185"/>
      <c r="W803" s="1185"/>
      <c r="X803" s="1185"/>
      <c r="Y803" s="1185"/>
      <c r="Z803" s="1185"/>
      <c r="AA803" s="1185"/>
      <c r="AB803" s="1185"/>
      <c r="AC803" s="1185"/>
      <c r="AD803" s="1185"/>
      <c r="AE803" s="1185"/>
      <c r="AF803" s="1185"/>
      <c r="AG803" s="1185"/>
      <c r="AH803" s="1185"/>
      <c r="AI803" s="1185"/>
    </row>
    <row r="804" spans="1:37">
      <c r="A804" s="1218" t="s">
        <v>462</v>
      </c>
      <c r="B804" s="1219"/>
      <c r="C804" s="1026"/>
      <c r="D804" s="1261"/>
      <c r="E804" s="1249"/>
      <c r="F804" s="1041"/>
      <c r="G804" s="1261"/>
      <c r="H804" s="1249"/>
      <c r="I804" s="1041"/>
      <c r="J804" s="1261"/>
      <c r="K804" s="1249"/>
      <c r="L804" s="1041"/>
      <c r="N804" s="1185"/>
      <c r="O804" s="1185"/>
      <c r="P804" s="1186"/>
      <c r="Q804" s="1186"/>
      <c r="R804" s="1186"/>
      <c r="S804" s="1185"/>
      <c r="T804" s="1185"/>
      <c r="U804" s="1185"/>
      <c r="V804" s="1185"/>
      <c r="W804" s="1185"/>
      <c r="X804" s="1185"/>
      <c r="Y804" s="1185"/>
      <c r="Z804" s="1185"/>
      <c r="AA804" s="1185"/>
      <c r="AB804" s="1185"/>
      <c r="AC804" s="1185"/>
      <c r="AD804" s="1185"/>
      <c r="AE804" s="1185"/>
      <c r="AF804" s="1185"/>
      <c r="AG804" s="1185"/>
      <c r="AH804" s="1185"/>
      <c r="AI804" s="1185"/>
    </row>
    <row r="805" spans="1:37">
      <c r="A805" s="1218" t="s">
        <v>457</v>
      </c>
      <c r="B805" s="1219"/>
      <c r="C805" s="1026">
        <v>0</v>
      </c>
      <c r="D805" s="1259">
        <v>-20.86</v>
      </c>
      <c r="E805" s="1249"/>
      <c r="F805" s="1041">
        <f>ROUND(D805*$C805*$D$738,0)</f>
        <v>0</v>
      </c>
      <c r="G805" s="1259">
        <v>-23.87</v>
      </c>
      <c r="H805" s="1249"/>
      <c r="I805" s="1041">
        <f t="shared" ref="I805:I806" si="120">ROUND(G805*C805*$G$738,0)</f>
        <v>0</v>
      </c>
      <c r="J805" s="1259">
        <f>J785</f>
        <v>-26.77</v>
      </c>
      <c r="K805" s="1249"/>
      <c r="L805" s="1041">
        <f>ROUND(J805*$C805*$D$738,0)</f>
        <v>0</v>
      </c>
      <c r="N805" s="1185"/>
      <c r="O805" s="1185"/>
      <c r="P805" s="1186"/>
      <c r="Q805" s="1186"/>
      <c r="R805" s="1186"/>
      <c r="S805" s="1185"/>
      <c r="T805" s="1185"/>
      <c r="U805" s="1185"/>
      <c r="V805" s="1185"/>
      <c r="W805" s="1185"/>
      <c r="X805" s="1185"/>
      <c r="Y805" s="1185"/>
      <c r="Z805" s="1185"/>
      <c r="AA805" s="1185"/>
      <c r="AB805" s="1185"/>
      <c r="AC805" s="1185"/>
      <c r="AD805" s="1185"/>
      <c r="AE805" s="1185"/>
      <c r="AF805" s="1185"/>
      <c r="AG805" s="1185"/>
      <c r="AH805" s="1185"/>
      <c r="AI805" s="1185"/>
    </row>
    <row r="806" spans="1:37">
      <c r="A806" s="1218" t="s">
        <v>463</v>
      </c>
      <c r="B806" s="1219"/>
      <c r="C806" s="1026">
        <v>0</v>
      </c>
      <c r="D806" s="1259">
        <v>-20.860000000000003</v>
      </c>
      <c r="E806" s="1249"/>
      <c r="F806" s="1041">
        <f>ROUND(D806*$C806*$D$738,0)</f>
        <v>0</v>
      </c>
      <c r="G806" s="1259">
        <v>-23.79</v>
      </c>
      <c r="H806" s="1249"/>
      <c r="I806" s="1041">
        <f t="shared" si="120"/>
        <v>0</v>
      </c>
      <c r="J806" s="1259">
        <f>J786</f>
        <v>-26.7</v>
      </c>
      <c r="K806" s="1249"/>
      <c r="L806" s="1041">
        <f>ROUND(J806*$C806*$D$738,0)</f>
        <v>0</v>
      </c>
      <c r="N806" s="1185"/>
      <c r="O806" s="1185"/>
      <c r="P806" s="1186"/>
      <c r="Q806" s="1186"/>
      <c r="R806" s="1186"/>
      <c r="S806" s="1185"/>
      <c r="T806" s="1185"/>
      <c r="U806" s="1185"/>
      <c r="V806" s="1185"/>
      <c r="W806" s="1185"/>
      <c r="X806" s="1185"/>
      <c r="Y806" s="1185"/>
      <c r="Z806" s="1185"/>
      <c r="AA806" s="1185"/>
      <c r="AB806" s="1185"/>
      <c r="AC806" s="1185"/>
      <c r="AD806" s="1185"/>
      <c r="AE806" s="1185"/>
      <c r="AF806" s="1185"/>
      <c r="AG806" s="1185"/>
      <c r="AH806" s="1185"/>
      <c r="AI806" s="1185"/>
    </row>
    <row r="807" spans="1:37">
      <c r="A807" s="1009" t="s">
        <v>426</v>
      </c>
      <c r="B807" s="1219"/>
      <c r="C807" s="1026"/>
      <c r="D807" s="1303"/>
      <c r="E807" s="1041"/>
      <c r="F807" s="1041"/>
      <c r="G807" s="1303"/>
      <c r="H807" s="1041"/>
      <c r="I807" s="1041"/>
      <c r="J807" s="1303"/>
      <c r="K807" s="1041"/>
      <c r="L807" s="1041"/>
      <c r="N807" s="1185"/>
      <c r="O807" s="1185"/>
      <c r="P807" s="1186"/>
      <c r="Q807" s="1186"/>
      <c r="R807" s="1186"/>
      <c r="S807" s="1185"/>
      <c r="T807" s="1185"/>
      <c r="U807" s="1185"/>
      <c r="V807" s="1185"/>
      <c r="W807" s="1185"/>
      <c r="X807" s="1185"/>
      <c r="Y807" s="1185"/>
      <c r="Z807" s="1185"/>
      <c r="AA807" s="1185"/>
      <c r="AB807" s="1185"/>
      <c r="AC807" s="1185"/>
      <c r="AD807" s="1185"/>
      <c r="AE807" s="1185"/>
      <c r="AF807" s="1185"/>
      <c r="AG807" s="1185"/>
      <c r="AH807" s="1185"/>
      <c r="AI807" s="1185"/>
    </row>
    <row r="808" spans="1:37">
      <c r="A808" s="1218" t="s">
        <v>464</v>
      </c>
      <c r="B808" s="1219"/>
      <c r="C808" s="1026">
        <v>0</v>
      </c>
      <c r="D808" s="1311">
        <v>5.6469999999999994</v>
      </c>
      <c r="E808" s="1041" t="s">
        <v>374</v>
      </c>
      <c r="F808" s="1041">
        <f>ROUND(D808/100*$C808*$D$738,0)</f>
        <v>0</v>
      </c>
      <c r="G808" s="1311">
        <v>6.4390000000000001</v>
      </c>
      <c r="H808" s="1041" t="s">
        <v>374</v>
      </c>
      <c r="I808" s="1041">
        <f t="shared" ref="I808:I809" si="121">ROUND(G808*C808,0)</f>
        <v>0</v>
      </c>
      <c r="J808" s="1311">
        <f>J788</f>
        <v>4.0780000000000003</v>
      </c>
      <c r="K808" s="1041" t="s">
        <v>374</v>
      </c>
      <c r="L808" s="1041">
        <f>ROUND(J808/100*$C808*$D$738,0)</f>
        <v>0</v>
      </c>
      <c r="N808" s="1185"/>
      <c r="O808" s="1185"/>
      <c r="P808" s="1186"/>
      <c r="Q808" s="1186"/>
      <c r="R808" s="1186"/>
      <c r="S808" s="1185"/>
      <c r="T808" s="1185"/>
      <c r="U808" s="1185"/>
      <c r="V808" s="1185"/>
      <c r="W808" s="1185"/>
      <c r="X808" s="1185"/>
      <c r="Y808" s="1185"/>
      <c r="Z808" s="1185"/>
      <c r="AA808" s="1185"/>
      <c r="AB808" s="1185"/>
      <c r="AC808" s="1185"/>
      <c r="AD808" s="1185"/>
      <c r="AE808" s="1185"/>
      <c r="AF808" s="1185"/>
      <c r="AG808" s="1185"/>
      <c r="AH808" s="1185"/>
      <c r="AI808" s="1185"/>
    </row>
    <row r="809" spans="1:37">
      <c r="A809" s="1009" t="s">
        <v>400</v>
      </c>
      <c r="B809" s="1219"/>
      <c r="C809" s="1026">
        <v>0</v>
      </c>
      <c r="D809" s="1286">
        <v>50</v>
      </c>
      <c r="E809" s="1041" t="s">
        <v>374</v>
      </c>
      <c r="F809" s="1041">
        <f>ROUND(D809/100*$C809*$D$738,0)</f>
        <v>0</v>
      </c>
      <c r="G809" s="1286">
        <v>56</v>
      </c>
      <c r="H809" s="1009" t="s">
        <v>374</v>
      </c>
      <c r="I809" s="1041">
        <f t="shared" si="121"/>
        <v>0</v>
      </c>
      <c r="J809" s="1286">
        <f>J789</f>
        <v>63</v>
      </c>
      <c r="K809" s="1009" t="s">
        <v>374</v>
      </c>
      <c r="L809" s="1041">
        <f>ROUND(J809/100*$C809*$D$738,0)</f>
        <v>0</v>
      </c>
      <c r="N809" s="1185"/>
      <c r="O809" s="1185"/>
      <c r="P809" s="1186"/>
      <c r="Q809" s="1186"/>
      <c r="R809" s="1186"/>
      <c r="S809" s="1185"/>
      <c r="T809" s="1185"/>
      <c r="U809" s="1185"/>
      <c r="V809" s="1185"/>
      <c r="W809" s="1185"/>
      <c r="X809" s="1185"/>
      <c r="Y809" s="1185"/>
      <c r="Z809" s="1185"/>
      <c r="AA809" s="1185"/>
      <c r="AB809" s="1185"/>
      <c r="AC809" s="1185"/>
      <c r="AD809" s="1185"/>
      <c r="AE809" s="1185"/>
      <c r="AF809" s="1185"/>
      <c r="AG809" s="1185"/>
      <c r="AH809" s="1185"/>
      <c r="AI809" s="1185"/>
    </row>
    <row r="810" spans="1:37">
      <c r="A810" s="1009" t="s">
        <v>443</v>
      </c>
      <c r="B810" s="1219"/>
      <c r="C810" s="1026">
        <v>0</v>
      </c>
      <c r="D810" s="1229">
        <v>60</v>
      </c>
      <c r="E810" s="1288" t="s">
        <v>31</v>
      </c>
      <c r="F810" s="1041">
        <f>ROUND(D810*$C810,0)</f>
        <v>0</v>
      </c>
      <c r="G810" s="1229">
        <v>60</v>
      </c>
      <c r="H810" s="1219"/>
      <c r="I810" s="1041">
        <f t="shared" ref="I810:I811" si="122">ROUND(G810/100*C810*$G$738,0)</f>
        <v>0</v>
      </c>
      <c r="J810" s="1229">
        <f>$J$757</f>
        <v>60</v>
      </c>
      <c r="K810" s="1219"/>
      <c r="L810" s="1041">
        <f>ROUND(J810*$C810,0)</f>
        <v>0</v>
      </c>
      <c r="N810" s="1185"/>
      <c r="O810" s="1185"/>
      <c r="P810" s="1186"/>
      <c r="Q810" s="1186"/>
      <c r="R810" s="1186"/>
      <c r="S810" s="1185"/>
      <c r="T810" s="1185"/>
      <c r="U810" s="1185"/>
      <c r="V810" s="1185"/>
      <c r="W810" s="1185"/>
      <c r="X810" s="1185"/>
      <c r="Y810" s="1185"/>
      <c r="Z810" s="1185"/>
      <c r="AA810" s="1185"/>
      <c r="AB810" s="1185"/>
      <c r="AC810" s="1185"/>
      <c r="AD810" s="1185"/>
      <c r="AE810" s="1185"/>
      <c r="AF810" s="1185"/>
      <c r="AG810" s="1185"/>
      <c r="AH810" s="1185"/>
      <c r="AI810" s="1185"/>
    </row>
    <row r="811" spans="1:37">
      <c r="A811" s="1009" t="s">
        <v>444</v>
      </c>
      <c r="B811" s="1219"/>
      <c r="C811" s="1026">
        <v>0</v>
      </c>
      <c r="D811" s="1262">
        <v>-30</v>
      </c>
      <c r="E811" s="1041" t="s">
        <v>374</v>
      </c>
      <c r="F811" s="1041">
        <f>ROUND(D811*$C811,0)</f>
        <v>0</v>
      </c>
      <c r="G811" s="1262">
        <v>-30</v>
      </c>
      <c r="H811" s="1041" t="s">
        <v>374</v>
      </c>
      <c r="I811" s="1041">
        <f t="shared" si="122"/>
        <v>0</v>
      </c>
      <c r="J811" s="1262">
        <f>$J$758</f>
        <v>-30</v>
      </c>
      <c r="K811" s="1041" t="s">
        <v>374</v>
      </c>
      <c r="L811" s="1041">
        <f>ROUND(J811*$C811,0)</f>
        <v>0</v>
      </c>
      <c r="N811" s="1185"/>
      <c r="O811" s="1185"/>
      <c r="P811" s="1186"/>
      <c r="Q811" s="1186"/>
      <c r="R811" s="1186"/>
      <c r="S811" s="1185"/>
      <c r="T811" s="1185"/>
      <c r="U811" s="1185"/>
      <c r="V811" s="1185"/>
      <c r="W811" s="1185"/>
      <c r="X811" s="1185"/>
      <c r="Y811" s="1185"/>
      <c r="Z811" s="1185"/>
      <c r="AA811" s="1185"/>
      <c r="AB811" s="1185"/>
      <c r="AC811" s="1185"/>
      <c r="AD811" s="1185"/>
      <c r="AE811" s="1185"/>
      <c r="AF811" s="1185"/>
      <c r="AG811" s="1185"/>
      <c r="AH811" s="1185"/>
      <c r="AI811" s="1185"/>
    </row>
    <row r="812" spans="1:37">
      <c r="A812" s="1005" t="s">
        <v>928</v>
      </c>
      <c r="C812" s="1202">
        <f>C808</f>
        <v>0</v>
      </c>
      <c r="D812" s="269"/>
      <c r="E812" s="1185"/>
      <c r="F812" s="1203"/>
      <c r="G812" s="269"/>
      <c r="H812" s="1185"/>
      <c r="I812" s="1203"/>
      <c r="J812" s="1230">
        <f>J759</f>
        <v>3.15</v>
      </c>
      <c r="K812" s="1041" t="s">
        <v>374</v>
      </c>
      <c r="L812" s="1041">
        <f>ROUND(J812*$C812,0)</f>
        <v>0</v>
      </c>
      <c r="N812" s="1204"/>
      <c r="P812" s="815"/>
      <c r="Q812" s="1184"/>
      <c r="R812" s="1184"/>
      <c r="S812" s="1205"/>
      <c r="T812" s="1205"/>
      <c r="Y812" s="1185"/>
      <c r="Z812" s="1185"/>
      <c r="AA812" s="1185"/>
      <c r="AB812" s="1185"/>
      <c r="AC812" s="1185"/>
      <c r="AD812" s="1185"/>
      <c r="AE812" s="1185"/>
      <c r="AF812" s="1185"/>
      <c r="AG812" s="1185"/>
      <c r="AH812" s="1185"/>
      <c r="AI812" s="1185"/>
      <c r="AK812" s="1204"/>
    </row>
    <row r="813" spans="1:37">
      <c r="A813" s="1219" t="s">
        <v>381</v>
      </c>
      <c r="B813" s="1219"/>
      <c r="C813" s="1026">
        <f>SUM(C788:C788)</f>
        <v>145798478.36433661</v>
      </c>
      <c r="D813" s="1255"/>
      <c r="E813" s="1203"/>
      <c r="F813" s="1203">
        <f>SUM(F768:F811)</f>
        <v>10158364</v>
      </c>
      <c r="G813" s="1255"/>
      <c r="H813" s="1009"/>
      <c r="I813" s="1203">
        <f>SUM(I768:I811)</f>
        <v>11583439</v>
      </c>
      <c r="J813" s="1255"/>
      <c r="K813" s="1009"/>
      <c r="L813" s="1203">
        <f>SUM(L768:L812)</f>
        <v>13002616</v>
      </c>
      <c r="N813" s="1185"/>
      <c r="O813" s="1185"/>
      <c r="P813" s="1186"/>
      <c r="Q813" s="1186"/>
      <c r="R813" s="1186"/>
      <c r="S813" s="1185"/>
      <c r="T813" s="1185"/>
      <c r="U813" s="1185"/>
      <c r="V813" s="1185"/>
      <c r="W813" s="1185"/>
      <c r="X813" s="1185"/>
      <c r="Y813" s="1185"/>
      <c r="Z813" s="1185"/>
      <c r="AA813" s="1185"/>
      <c r="AB813" s="1185"/>
      <c r="AC813" s="1185"/>
      <c r="AD813" s="1185"/>
      <c r="AE813" s="1185"/>
      <c r="AF813" s="1185"/>
      <c r="AG813" s="1185"/>
      <c r="AH813" s="1185"/>
      <c r="AI813" s="1185"/>
    </row>
    <row r="814" spans="1:37">
      <c r="A814" s="1219" t="s">
        <v>363</v>
      </c>
      <c r="B814" s="1219"/>
      <c r="C814" s="1032">
        <f>'[94]Table 2'!H101</f>
        <v>2272009.0196180283</v>
      </c>
      <c r="D814" s="1218"/>
      <c r="E814" s="1218"/>
      <c r="F814" s="1239" t="e">
        <f>#REF!</f>
        <v>#REF!</v>
      </c>
      <c r="G814" s="1218"/>
      <c r="H814" s="1218"/>
      <c r="I814" s="1239">
        <f>'[94]Table 3'!E101</f>
        <v>277909.20330886031</v>
      </c>
      <c r="J814" s="1218"/>
      <c r="K814" s="1218"/>
      <c r="L814" s="1239">
        <f>I814</f>
        <v>277909.20330886031</v>
      </c>
      <c r="N814" s="444"/>
      <c r="O814" s="444"/>
      <c r="P814" s="287"/>
      <c r="Q814" s="1186"/>
      <c r="R814" s="1186"/>
      <c r="S814" s="1185"/>
      <c r="T814" s="1185"/>
      <c r="U814" s="1185"/>
      <c r="V814" s="1185"/>
      <c r="W814" s="1185"/>
      <c r="X814" s="1185"/>
      <c r="Y814" s="1185"/>
      <c r="Z814" s="1185"/>
      <c r="AA814" s="1185"/>
      <c r="AB814" s="1185"/>
      <c r="AC814" s="1185"/>
      <c r="AD814" s="1185"/>
      <c r="AE814" s="1185"/>
      <c r="AF814" s="1185"/>
      <c r="AG814" s="1185"/>
      <c r="AH814" s="1185"/>
      <c r="AI814" s="1185"/>
    </row>
    <row r="815" spans="1:37" ht="16.5" thickBot="1">
      <c r="A815" s="1219" t="s">
        <v>382</v>
      </c>
      <c r="B815" s="1219"/>
      <c r="C815" s="1289">
        <f>SUM(C813:C814)</f>
        <v>148070487.38395464</v>
      </c>
      <c r="D815" s="1265"/>
      <c r="E815" s="1266"/>
      <c r="F815" s="1267" t="e">
        <f>F813+F814</f>
        <v>#REF!</v>
      </c>
      <c r="G815" s="1265"/>
      <c r="H815" s="1269"/>
      <c r="I815" s="1267">
        <f>I813+I814</f>
        <v>11861348.20330886</v>
      </c>
      <c r="J815" s="1265"/>
      <c r="K815" s="1269"/>
      <c r="L815" s="1267">
        <f>L813+L814</f>
        <v>13280525.20330886</v>
      </c>
      <c r="N815" s="411"/>
      <c r="O815" s="411"/>
      <c r="P815" s="470"/>
      <c r="Q815" s="1186"/>
      <c r="R815" s="1186"/>
      <c r="S815" s="1185"/>
      <c r="T815" s="1185"/>
      <c r="U815" s="1185"/>
      <c r="V815" s="1185"/>
      <c r="W815" s="1185"/>
      <c r="X815" s="1185"/>
      <c r="Y815" s="1185"/>
      <c r="Z815" s="1185"/>
      <c r="AA815" s="1185"/>
      <c r="AB815" s="1185"/>
      <c r="AC815" s="1185"/>
      <c r="AD815" s="1185"/>
      <c r="AE815" s="1185"/>
      <c r="AF815" s="1185"/>
      <c r="AG815" s="1185"/>
      <c r="AH815" s="1185"/>
      <c r="AI815" s="1185"/>
    </row>
    <row r="816" spans="1:37" ht="16.5" thickTop="1">
      <c r="A816" s="1219"/>
      <c r="B816" s="1219"/>
      <c r="C816" s="1313"/>
      <c r="D816" s="1275"/>
      <c r="E816" s="1276"/>
      <c r="F816" s="1040"/>
      <c r="G816" s="1275" t="s">
        <v>31</v>
      </c>
      <c r="H816" s="1277"/>
      <c r="I816" s="1040"/>
      <c r="J816" s="1314" t="s">
        <v>31</v>
      </c>
      <c r="K816" s="1277"/>
      <c r="L816" s="1210" t="s">
        <v>31</v>
      </c>
      <c r="N816" s="1185"/>
      <c r="O816" s="1185"/>
      <c r="P816" s="1186"/>
      <c r="Q816" s="1186"/>
      <c r="R816" s="1186"/>
      <c r="S816" s="1185"/>
      <c r="T816" s="1185"/>
      <c r="U816" s="1185"/>
      <c r="V816" s="1185"/>
      <c r="W816" s="1185"/>
      <c r="X816" s="1185"/>
      <c r="Y816" s="1185"/>
      <c r="Z816" s="1185"/>
      <c r="AA816" s="1185"/>
      <c r="AB816" s="1185"/>
      <c r="AC816" s="1185"/>
      <c r="AD816" s="1185"/>
      <c r="AE816" s="1185"/>
      <c r="AF816" s="1185"/>
      <c r="AG816" s="1185"/>
      <c r="AH816" s="1185"/>
      <c r="AI816" s="1185"/>
    </row>
    <row r="817" spans="1:35">
      <c r="A817" s="1224" t="s">
        <v>467</v>
      </c>
      <c r="B817" s="1219"/>
      <c r="C817" s="1225"/>
      <c r="D817" s="1261"/>
      <c r="E817" s="1203"/>
      <c r="F817" s="1203"/>
      <c r="G817" s="1261"/>
      <c r="H817" s="1219"/>
      <c r="I817" s="1203"/>
      <c r="J817" s="1261"/>
      <c r="K817" s="1219"/>
      <c r="L817" s="1203"/>
      <c r="N817" s="1185"/>
      <c r="O817" s="1185"/>
      <c r="P817" s="1186"/>
      <c r="Q817" s="1186"/>
      <c r="R817" s="1186"/>
      <c r="S817" s="1185"/>
      <c r="T817" s="1185"/>
      <c r="U817" s="1185"/>
      <c r="V817" s="1185"/>
      <c r="W817" s="1185"/>
      <c r="X817" s="1185"/>
      <c r="Y817" s="1185"/>
      <c r="Z817" s="1185"/>
      <c r="AA817" s="1185"/>
      <c r="AB817" s="1185"/>
      <c r="AC817" s="1185"/>
      <c r="AD817" s="1185"/>
      <c r="AE817" s="1185"/>
      <c r="AF817" s="1185"/>
      <c r="AG817" s="1185"/>
      <c r="AH817" s="1185"/>
      <c r="AI817" s="1185"/>
    </row>
    <row r="818" spans="1:35">
      <c r="A818" s="1218" t="s">
        <v>468</v>
      </c>
      <c r="B818" s="1219"/>
      <c r="C818" s="1225"/>
      <c r="D818" s="1261"/>
      <c r="E818" s="1203"/>
      <c r="F818" s="1203"/>
      <c r="G818" s="1261"/>
      <c r="H818" s="1219"/>
      <c r="I818" s="1203"/>
      <c r="J818" s="1261"/>
      <c r="K818" s="1219"/>
      <c r="L818" s="1203"/>
      <c r="N818" s="1185"/>
      <c r="O818" s="1185"/>
      <c r="P818" s="1186"/>
      <c r="Q818" s="1186"/>
      <c r="R818" s="1186"/>
      <c r="S818" s="1185"/>
      <c r="T818" s="1185"/>
      <c r="U818" s="1185"/>
      <c r="V818" s="1185"/>
      <c r="W818" s="1185"/>
      <c r="X818" s="1185"/>
      <c r="Y818" s="1185"/>
      <c r="Z818" s="1185"/>
      <c r="AA818" s="1185"/>
      <c r="AB818" s="1185"/>
      <c r="AC818" s="1185"/>
      <c r="AD818" s="1185"/>
      <c r="AE818" s="1185"/>
      <c r="AF818" s="1185"/>
      <c r="AG818" s="1185"/>
      <c r="AH818" s="1185"/>
      <c r="AI818" s="1185"/>
    </row>
    <row r="819" spans="1:35">
      <c r="A819" s="1009"/>
      <c r="B819" s="1219"/>
      <c r="C819" s="1225"/>
      <c r="D819" s="1261"/>
      <c r="E819" s="1203"/>
      <c r="F819" s="1303"/>
      <c r="G819" s="1261"/>
      <c r="H819" s="1219"/>
      <c r="I819" s="1303"/>
      <c r="J819" s="1261"/>
      <c r="K819" s="1219"/>
      <c r="L819" s="1304"/>
      <c r="N819" s="1185"/>
      <c r="O819" s="1185"/>
      <c r="P819" s="1186"/>
      <c r="Q819" s="1186"/>
      <c r="R819" s="1186"/>
      <c r="S819" s="1185"/>
      <c r="T819" s="1185"/>
      <c r="U819" s="1185"/>
      <c r="V819" s="1185"/>
      <c r="W819" s="1185"/>
      <c r="X819" s="1185"/>
      <c r="Y819" s="1185"/>
      <c r="Z819" s="1185"/>
      <c r="AA819" s="1185"/>
      <c r="AB819" s="1185"/>
      <c r="AC819" s="1185"/>
      <c r="AD819" s="1185"/>
      <c r="AE819" s="1185"/>
      <c r="AF819" s="1185"/>
      <c r="AG819" s="1185"/>
      <c r="AH819" s="1185"/>
      <c r="AI819" s="1185"/>
    </row>
    <row r="820" spans="1:35">
      <c r="A820" s="1218" t="s">
        <v>449</v>
      </c>
      <c r="B820" s="1219"/>
      <c r="C820" s="1026"/>
      <c r="D820" s="1203" t="s">
        <v>31</v>
      </c>
      <c r="E820" s="1203"/>
      <c r="F820" s="1219"/>
      <c r="G820" s="1203" t="s">
        <v>31</v>
      </c>
      <c r="H820" s="1219"/>
      <c r="I820" s="1219"/>
      <c r="J820" s="1203" t="s">
        <v>31</v>
      </c>
      <c r="K820" s="1219"/>
      <c r="L820" s="1219"/>
      <c r="N820" s="1185"/>
      <c r="O820" s="1185"/>
      <c r="P820" s="1186"/>
      <c r="Q820" s="1186"/>
      <c r="R820" s="1186"/>
      <c r="S820" s="1185"/>
      <c r="T820" s="1185"/>
      <c r="U820" s="1185"/>
      <c r="V820" s="1185"/>
      <c r="W820" s="1185"/>
      <c r="X820" s="1185"/>
      <c r="Y820" s="1185"/>
      <c r="Z820" s="1185"/>
      <c r="AA820" s="1185"/>
      <c r="AB820" s="1185"/>
      <c r="AC820" s="1185"/>
      <c r="AD820" s="1185"/>
      <c r="AE820" s="1185"/>
      <c r="AF820" s="1185"/>
      <c r="AG820" s="1185"/>
      <c r="AH820" s="1185"/>
      <c r="AI820" s="1185"/>
    </row>
    <row r="821" spans="1:35">
      <c r="A821" s="1218" t="s">
        <v>450</v>
      </c>
      <c r="B821" s="1219"/>
      <c r="C821" s="1026">
        <f>64</f>
        <v>64</v>
      </c>
      <c r="D821" s="1261">
        <v>0</v>
      </c>
      <c r="E821" s="1249"/>
      <c r="F821" s="1041">
        <f>ROUND(D821*$C821,0)</f>
        <v>0</v>
      </c>
      <c r="G821" s="1261">
        <v>0</v>
      </c>
      <c r="H821" s="1249"/>
      <c r="I821" s="1041">
        <f>ROUND(G821*C821,0)</f>
        <v>0</v>
      </c>
      <c r="J821" s="1261">
        <f>$J$714</f>
        <v>0</v>
      </c>
      <c r="K821" s="1249"/>
      <c r="L821" s="1041">
        <f>ROUND(J821*$C821,0)</f>
        <v>0</v>
      </c>
      <c r="N821" s="1185"/>
      <c r="O821" s="1185"/>
      <c r="P821" s="1186"/>
      <c r="Q821" s="1186"/>
      <c r="R821" s="1186"/>
      <c r="S821" s="1185"/>
      <c r="T821" s="1185"/>
      <c r="U821" s="1185"/>
      <c r="V821" s="1185"/>
      <c r="W821" s="1185"/>
      <c r="X821" s="1185"/>
      <c r="Y821" s="1185"/>
      <c r="Z821" s="1185"/>
      <c r="AA821" s="1185"/>
      <c r="AB821" s="1185"/>
      <c r="AC821" s="1185"/>
      <c r="AD821" s="1185"/>
      <c r="AE821" s="1185"/>
      <c r="AF821" s="1185"/>
      <c r="AG821" s="1185"/>
      <c r="AH821" s="1185"/>
      <c r="AI821" s="1185"/>
    </row>
    <row r="822" spans="1:35">
      <c r="A822" s="1218" t="s">
        <v>451</v>
      </c>
      <c r="B822" s="1219"/>
      <c r="C822" s="1026"/>
      <c r="D822" s="1261"/>
      <c r="E822" s="1249"/>
      <c r="F822" s="1041"/>
      <c r="G822" s="1261"/>
      <c r="H822" s="1249"/>
      <c r="I822" s="1041"/>
      <c r="J822" s="1261"/>
      <c r="K822" s="1249"/>
      <c r="L822" s="1041"/>
      <c r="N822" s="1185"/>
      <c r="O822" s="1185"/>
      <c r="P822" s="1186"/>
      <c r="Q822" s="1186"/>
      <c r="R822" s="1186"/>
      <c r="S822" s="1185"/>
      <c r="T822" s="1185"/>
      <c r="U822" s="1185"/>
      <c r="V822" s="1185"/>
      <c r="W822" s="1185"/>
      <c r="X822" s="1185"/>
      <c r="Y822" s="1185"/>
      <c r="Z822" s="1185"/>
      <c r="AA822" s="1185"/>
      <c r="AB822" s="1185"/>
      <c r="AC822" s="1185"/>
      <c r="AD822" s="1185"/>
      <c r="AE822" s="1185"/>
      <c r="AF822" s="1185"/>
      <c r="AG822" s="1185"/>
      <c r="AH822" s="1185"/>
      <c r="AI822" s="1185"/>
    </row>
    <row r="823" spans="1:35">
      <c r="A823" s="1218" t="s">
        <v>452</v>
      </c>
      <c r="B823" s="1219"/>
      <c r="C823" s="1026">
        <f>120</f>
        <v>120</v>
      </c>
      <c r="D823" s="1261">
        <v>0</v>
      </c>
      <c r="E823" s="1249"/>
      <c r="F823" s="1041">
        <f>ROUND(D823*$C823,0)</f>
        <v>0</v>
      </c>
      <c r="G823" s="1261">
        <v>0</v>
      </c>
      <c r="H823" s="1249"/>
      <c r="I823" s="1041">
        <f t="shared" ref="I823:I825" si="123">ROUND(G823*C823,0)</f>
        <v>0</v>
      </c>
      <c r="J823" s="1261">
        <f>$J$716</f>
        <v>0</v>
      </c>
      <c r="K823" s="1249"/>
      <c r="L823" s="1041">
        <f>ROUND(J823*$C823,0)</f>
        <v>0</v>
      </c>
      <c r="N823" s="1185"/>
      <c r="O823" s="1185"/>
      <c r="P823" s="1186"/>
      <c r="Q823" s="1186"/>
      <c r="R823" s="1186"/>
      <c r="S823" s="1185"/>
      <c r="T823" s="1185"/>
      <c r="U823" s="1185"/>
      <c r="V823" s="1185"/>
      <c r="W823" s="1185"/>
      <c r="X823" s="1185"/>
      <c r="Y823" s="1185"/>
      <c r="Z823" s="1185"/>
      <c r="AA823" s="1185"/>
      <c r="AB823" s="1185"/>
      <c r="AC823" s="1185"/>
      <c r="AD823" s="1185"/>
      <c r="AE823" s="1185"/>
      <c r="AF823" s="1185"/>
      <c r="AG823" s="1185"/>
      <c r="AH823" s="1185"/>
      <c r="AI823" s="1185"/>
    </row>
    <row r="824" spans="1:35">
      <c r="A824" s="1218" t="s">
        <v>453</v>
      </c>
      <c r="B824" s="1219"/>
      <c r="C824" s="1026">
        <f>11</f>
        <v>11</v>
      </c>
      <c r="D824" s="1261">
        <v>312</v>
      </c>
      <c r="E824" s="1249"/>
      <c r="F824" s="1041">
        <f>ROUND(D824*$C824,0)</f>
        <v>3432</v>
      </c>
      <c r="G824" s="1261">
        <v>357</v>
      </c>
      <c r="H824" s="1249"/>
      <c r="I824" s="1041">
        <f t="shared" si="123"/>
        <v>3927</v>
      </c>
      <c r="J824" s="1261">
        <f>$J$717</f>
        <v>401</v>
      </c>
      <c r="K824" s="1249"/>
      <c r="L824" s="1041">
        <f>ROUND(J824*$C824,0)</f>
        <v>4411</v>
      </c>
      <c r="N824" s="1185"/>
      <c r="O824" s="1185"/>
      <c r="P824" s="1186"/>
      <c r="Q824" s="1186"/>
      <c r="R824" s="1186"/>
      <c r="S824" s="1185"/>
      <c r="T824" s="1185"/>
      <c r="U824" s="1185"/>
      <c r="V824" s="1185"/>
      <c r="W824" s="1185"/>
      <c r="X824" s="1185"/>
      <c r="Y824" s="1185"/>
      <c r="Z824" s="1185"/>
      <c r="AA824" s="1185"/>
      <c r="AB824" s="1185"/>
      <c r="AC824" s="1185"/>
      <c r="AD824" s="1185"/>
      <c r="AE824" s="1185"/>
      <c r="AF824" s="1185"/>
      <c r="AG824" s="1185"/>
      <c r="AH824" s="1185"/>
      <c r="AI824" s="1185"/>
    </row>
    <row r="825" spans="1:35">
      <c r="A825" s="1218" t="s">
        <v>454</v>
      </c>
      <c r="B825" s="1219"/>
      <c r="C825" s="1026">
        <v>0</v>
      </c>
      <c r="D825" s="1261">
        <v>1268</v>
      </c>
      <c r="E825" s="1249"/>
      <c r="F825" s="1041">
        <f>ROUND(D825*$C825,0)</f>
        <v>0</v>
      </c>
      <c r="G825" s="1261">
        <v>1457</v>
      </c>
      <c r="H825" s="1249"/>
      <c r="I825" s="1041">
        <f t="shared" si="123"/>
        <v>0</v>
      </c>
      <c r="J825" s="1261">
        <f>$J$718</f>
        <v>1635</v>
      </c>
      <c r="K825" s="1249"/>
      <c r="L825" s="1041">
        <f>ROUND(J825*$C825,0)</f>
        <v>0</v>
      </c>
      <c r="N825" s="1185"/>
      <c r="O825" s="1185"/>
      <c r="P825" s="1186"/>
      <c r="Q825" s="1186"/>
      <c r="R825" s="1186"/>
      <c r="S825" s="1185"/>
      <c r="T825" s="1185"/>
      <c r="U825" s="1185"/>
      <c r="V825" s="1185"/>
      <c r="W825" s="1185"/>
      <c r="X825" s="1185"/>
      <c r="Y825" s="1185"/>
      <c r="Z825" s="1185"/>
      <c r="AA825" s="1185"/>
      <c r="AB825" s="1185"/>
      <c r="AC825" s="1185"/>
      <c r="AD825" s="1185"/>
      <c r="AE825" s="1185"/>
      <c r="AF825" s="1185"/>
      <c r="AG825" s="1185"/>
      <c r="AH825" s="1185"/>
      <c r="AI825" s="1185"/>
    </row>
    <row r="826" spans="1:35">
      <c r="A826" s="1218" t="s">
        <v>362</v>
      </c>
      <c r="B826" s="1219"/>
      <c r="C826" s="1026">
        <f>SUM(C821:C825)</f>
        <v>195</v>
      </c>
      <c r="D826" s="1261"/>
      <c r="E826" s="1249"/>
      <c r="F826" s="1041"/>
      <c r="G826" s="1261"/>
      <c r="H826" s="1249"/>
      <c r="I826" s="1041"/>
      <c r="J826" s="1261"/>
      <c r="K826" s="1249"/>
      <c r="L826" s="1041"/>
      <c r="N826" s="1185"/>
      <c r="O826" s="1185"/>
      <c r="P826" s="1186"/>
      <c r="Q826" s="1186"/>
      <c r="R826" s="1186"/>
      <c r="S826" s="1185"/>
      <c r="T826" s="1185"/>
      <c r="U826" s="1185"/>
      <c r="V826" s="1185"/>
      <c r="W826" s="1185"/>
      <c r="X826" s="1185"/>
      <c r="Y826" s="1185"/>
      <c r="Z826" s="1185"/>
      <c r="AA826" s="1185"/>
      <c r="AB826" s="1185"/>
      <c r="AC826" s="1185"/>
      <c r="AD826" s="1185"/>
      <c r="AE826" s="1185"/>
      <c r="AF826" s="1185"/>
      <c r="AG826" s="1185"/>
      <c r="AH826" s="1185"/>
      <c r="AI826" s="1185"/>
    </row>
    <row r="827" spans="1:35">
      <c r="A827" s="1218" t="s">
        <v>455</v>
      </c>
      <c r="B827" s="1219"/>
      <c r="C827" s="1026">
        <f>514+1058+102</f>
        <v>1674</v>
      </c>
      <c r="D827" s="1261"/>
      <c r="E827" s="1041"/>
      <c r="F827" s="1041"/>
      <c r="G827" s="1261"/>
      <c r="H827" s="1041"/>
      <c r="I827" s="1041"/>
      <c r="J827" s="1261"/>
      <c r="K827" s="1041"/>
      <c r="L827" s="1041"/>
      <c r="N827" s="1185"/>
      <c r="O827" s="1185"/>
      <c r="P827" s="1186"/>
      <c r="Q827" s="1186"/>
      <c r="R827" s="1186"/>
      <c r="S827" s="1185"/>
      <c r="T827" s="1185"/>
      <c r="U827" s="1185"/>
      <c r="V827" s="1185"/>
      <c r="W827" s="1185"/>
      <c r="X827" s="1185"/>
      <c r="Y827" s="1185"/>
      <c r="Z827" s="1185"/>
      <c r="AA827" s="1185"/>
      <c r="AB827" s="1185"/>
      <c r="AC827" s="1185"/>
      <c r="AD827" s="1185"/>
      <c r="AE827" s="1185"/>
      <c r="AF827" s="1185"/>
      <c r="AG827" s="1185"/>
      <c r="AH827" s="1185"/>
      <c r="AI827" s="1185"/>
    </row>
    <row r="828" spans="1:35">
      <c r="A828" s="1218" t="s">
        <v>104</v>
      </c>
      <c r="B828" s="1219"/>
      <c r="C828" s="1026">
        <f>71+142+13</f>
        <v>226</v>
      </c>
      <c r="D828" s="1261"/>
      <c r="E828" s="1041"/>
      <c r="F828" s="1041"/>
      <c r="G828" s="1261"/>
      <c r="H828" s="1041"/>
      <c r="I828" s="1041"/>
      <c r="J828" s="1261"/>
      <c r="K828" s="1041"/>
      <c r="L828" s="1041"/>
      <c r="N828" s="1185"/>
      <c r="O828" s="1185"/>
      <c r="P828" s="1186"/>
      <c r="Q828" s="1186"/>
      <c r="R828" s="1186"/>
      <c r="S828" s="1185"/>
      <c r="T828" s="1185"/>
      <c r="U828" s="1185"/>
      <c r="V828" s="1185"/>
      <c r="W828" s="1185"/>
      <c r="X828" s="1185"/>
      <c r="Y828" s="1185"/>
      <c r="Z828" s="1185"/>
      <c r="AA828" s="1185"/>
      <c r="AB828" s="1185"/>
      <c r="AC828" s="1185"/>
      <c r="AD828" s="1185"/>
      <c r="AE828" s="1185"/>
      <c r="AF828" s="1185"/>
      <c r="AG828" s="1185"/>
      <c r="AH828" s="1185"/>
      <c r="AI828" s="1185"/>
    </row>
    <row r="829" spans="1:35">
      <c r="A829" s="1218" t="s">
        <v>456</v>
      </c>
      <c r="B829" s="1219"/>
      <c r="C829" s="1026"/>
      <c r="D829" s="1261"/>
      <c r="E829" s="1249"/>
      <c r="F829" s="1041"/>
      <c r="G829" s="1261"/>
      <c r="H829" s="1249"/>
      <c r="I829" s="1041"/>
      <c r="J829" s="1261"/>
      <c r="K829" s="1249"/>
      <c r="L829" s="1041"/>
      <c r="N829" s="1185"/>
      <c r="O829" s="1185"/>
      <c r="P829" s="1186"/>
      <c r="Q829" s="1186"/>
      <c r="R829" s="1186"/>
      <c r="S829" s="1185"/>
      <c r="T829" s="1185"/>
      <c r="U829" s="1185"/>
      <c r="V829" s="1185"/>
      <c r="W829" s="1185"/>
      <c r="X829" s="1185"/>
      <c r="Y829" s="1185"/>
      <c r="Z829" s="1185"/>
      <c r="AA829" s="1185"/>
      <c r="AB829" s="1185"/>
      <c r="AC829" s="1185"/>
      <c r="AD829" s="1185"/>
      <c r="AE829" s="1185"/>
      <c r="AF829" s="1185"/>
      <c r="AG829" s="1185"/>
      <c r="AH829" s="1185"/>
      <c r="AI829" s="1185"/>
    </row>
    <row r="830" spans="1:35">
      <c r="A830" s="1218" t="s">
        <v>457</v>
      </c>
      <c r="B830" s="1219"/>
      <c r="C830" s="1026">
        <f>207</f>
        <v>207</v>
      </c>
      <c r="D830" s="1261">
        <v>20.86</v>
      </c>
      <c r="E830" s="1249"/>
      <c r="F830" s="1041">
        <f>ROUND(D830*$C830,0)</f>
        <v>4318</v>
      </c>
      <c r="G830" s="1261">
        <v>23.87</v>
      </c>
      <c r="H830" s="1249"/>
      <c r="I830" s="1041">
        <f>ROUND(G830*C830,0)</f>
        <v>4941</v>
      </c>
      <c r="J830" s="1261">
        <f>$J$723</f>
        <v>26.77</v>
      </c>
      <c r="K830" s="1249"/>
      <c r="L830" s="1041">
        <f>ROUND(J830*$C830,0)</f>
        <v>5541</v>
      </c>
      <c r="N830" s="1185"/>
      <c r="O830" s="1185"/>
      <c r="P830" s="1186"/>
      <c r="Q830" s="1186"/>
      <c r="R830" s="1186"/>
      <c r="S830" s="1185"/>
      <c r="T830" s="1185"/>
      <c r="U830" s="1185"/>
      <c r="V830" s="1185"/>
      <c r="W830" s="1185"/>
      <c r="X830" s="1185"/>
      <c r="Y830" s="1185"/>
      <c r="Z830" s="1185"/>
      <c r="AA830" s="1185"/>
      <c r="AB830" s="1185"/>
      <c r="AC830" s="1185"/>
      <c r="AD830" s="1185"/>
      <c r="AE830" s="1185"/>
      <c r="AF830" s="1185"/>
      <c r="AG830" s="1185"/>
      <c r="AH830" s="1185"/>
      <c r="AI830" s="1185"/>
    </row>
    <row r="831" spans="1:35">
      <c r="A831" s="1218" t="s">
        <v>458</v>
      </c>
      <c r="B831" s="1219"/>
      <c r="C831" s="1026"/>
      <c r="D831" s="1261"/>
      <c r="E831" s="1249"/>
      <c r="F831" s="1041"/>
      <c r="G831" s="1261"/>
      <c r="H831" s="1249"/>
      <c r="I831" s="1041"/>
      <c r="J831" s="1261"/>
      <c r="K831" s="1249"/>
      <c r="L831" s="1041"/>
      <c r="N831" s="1185"/>
      <c r="O831" s="1185"/>
      <c r="P831" s="1186"/>
      <c r="Q831" s="1186"/>
      <c r="R831" s="1186"/>
      <c r="S831" s="1185"/>
      <c r="T831" s="1185"/>
      <c r="U831" s="1185"/>
      <c r="V831" s="1185"/>
      <c r="W831" s="1185"/>
      <c r="X831" s="1185"/>
      <c r="Y831" s="1185"/>
      <c r="Z831" s="1185"/>
      <c r="AA831" s="1185"/>
      <c r="AB831" s="1185"/>
      <c r="AC831" s="1185"/>
      <c r="AD831" s="1185"/>
      <c r="AE831" s="1185"/>
      <c r="AF831" s="1185"/>
      <c r="AG831" s="1185"/>
      <c r="AH831" s="1185"/>
      <c r="AI831" s="1185"/>
    </row>
    <row r="832" spans="1:35">
      <c r="A832" s="1218" t="s">
        <v>452</v>
      </c>
      <c r="B832" s="1219"/>
      <c r="C832" s="1026">
        <f>1678</f>
        <v>1678</v>
      </c>
      <c r="D832" s="1261">
        <v>20.860000000000003</v>
      </c>
      <c r="E832" s="1249"/>
      <c r="F832" s="1041">
        <f>ROUND(D832*$C832,0)</f>
        <v>35003</v>
      </c>
      <c r="G832" s="1261">
        <v>23.79</v>
      </c>
      <c r="H832" s="1249"/>
      <c r="I832" s="1041">
        <f t="shared" ref="I832:I836" si="124">ROUND(G832*C832,0)</f>
        <v>39920</v>
      </c>
      <c r="J832" s="1261">
        <f>$J$725</f>
        <v>26.7</v>
      </c>
      <c r="K832" s="1249"/>
      <c r="L832" s="1041">
        <f>ROUND(J832*$C832,0)</f>
        <v>44803</v>
      </c>
      <c r="N832" s="1185"/>
      <c r="O832" s="1185"/>
      <c r="P832" s="1186"/>
      <c r="Q832" s="1186"/>
      <c r="R832" s="1186"/>
      <c r="S832" s="1185"/>
      <c r="T832" s="1185"/>
      <c r="U832" s="1185"/>
      <c r="V832" s="1185"/>
      <c r="W832" s="1185"/>
      <c r="X832" s="1185"/>
      <c r="Y832" s="1185"/>
      <c r="Z832" s="1185"/>
      <c r="AA832" s="1185"/>
      <c r="AB832" s="1185"/>
      <c r="AC832" s="1185"/>
      <c r="AD832" s="1185"/>
      <c r="AE832" s="1185"/>
      <c r="AF832" s="1185"/>
      <c r="AG832" s="1185"/>
      <c r="AH832" s="1185"/>
      <c r="AI832" s="1185"/>
    </row>
    <row r="833" spans="1:37">
      <c r="A833" s="1218" t="s">
        <v>453</v>
      </c>
      <c r="B833" s="1219"/>
      <c r="C833" s="1026">
        <f>1435</f>
        <v>1435</v>
      </c>
      <c r="D833" s="1261">
        <v>14.53</v>
      </c>
      <c r="E833" s="1249"/>
      <c r="F833" s="1041">
        <f>ROUND(D833*$C833,0)</f>
        <v>20851</v>
      </c>
      <c r="G833" s="1261">
        <v>16.559999999999999</v>
      </c>
      <c r="H833" s="1249"/>
      <c r="I833" s="1041">
        <f t="shared" si="124"/>
        <v>23764</v>
      </c>
      <c r="J833" s="1261">
        <f>$J$726</f>
        <v>18.59</v>
      </c>
      <c r="K833" s="1249"/>
      <c r="L833" s="1041">
        <f>ROUND(J833*$C833,0)</f>
        <v>26677</v>
      </c>
      <c r="N833" s="1185"/>
      <c r="O833" s="1185"/>
      <c r="P833" s="1186"/>
      <c r="Q833" s="1186"/>
      <c r="R833" s="1186"/>
      <c r="S833" s="1185"/>
      <c r="T833" s="1185"/>
      <c r="U833" s="1185"/>
      <c r="V833" s="1185"/>
      <c r="W833" s="1185"/>
      <c r="X833" s="1185"/>
      <c r="Y833" s="1185"/>
      <c r="Z833" s="1185"/>
      <c r="AA833" s="1185"/>
      <c r="AB833" s="1185"/>
      <c r="AC833" s="1185"/>
      <c r="AD833" s="1185"/>
      <c r="AE833" s="1185"/>
      <c r="AF833" s="1185"/>
      <c r="AG833" s="1185"/>
      <c r="AH833" s="1185"/>
      <c r="AI833" s="1185"/>
    </row>
    <row r="834" spans="1:37">
      <c r="A834" s="1218" t="s">
        <v>454</v>
      </c>
      <c r="B834" s="1219"/>
      <c r="C834" s="1026">
        <v>0</v>
      </c>
      <c r="D834" s="1261">
        <v>11.340000000000002</v>
      </c>
      <c r="E834" s="1249"/>
      <c r="F834" s="1041">
        <f>ROUND(D834*$C834,0)</f>
        <v>0</v>
      </c>
      <c r="G834" s="1261">
        <v>12.96</v>
      </c>
      <c r="H834" s="1249"/>
      <c r="I834" s="1041">
        <f t="shared" si="124"/>
        <v>0</v>
      </c>
      <c r="J834" s="1261">
        <f>$J$727</f>
        <v>14.55</v>
      </c>
      <c r="K834" s="1249"/>
      <c r="L834" s="1041">
        <f>ROUND(J834*$C834,0)</f>
        <v>0</v>
      </c>
      <c r="N834" s="1185"/>
      <c r="O834" s="1185"/>
      <c r="P834" s="1186"/>
      <c r="Q834" s="1186"/>
      <c r="R834" s="1186"/>
      <c r="S834" s="1185"/>
      <c r="T834" s="1185"/>
      <c r="U834" s="1185"/>
      <c r="V834" s="1185"/>
      <c r="W834" s="1185"/>
      <c r="X834" s="1185"/>
      <c r="Y834" s="1185"/>
      <c r="Z834" s="1185"/>
      <c r="AA834" s="1185"/>
      <c r="AB834" s="1185"/>
      <c r="AC834" s="1185"/>
      <c r="AD834" s="1185"/>
      <c r="AE834" s="1185"/>
      <c r="AF834" s="1185"/>
      <c r="AG834" s="1185"/>
      <c r="AH834" s="1185"/>
      <c r="AI834" s="1185"/>
    </row>
    <row r="835" spans="1:37">
      <c r="A835" s="1218" t="s">
        <v>460</v>
      </c>
      <c r="B835" s="1219"/>
      <c r="C835" s="1026">
        <f>38</f>
        <v>38</v>
      </c>
      <c r="D835" s="1261">
        <v>62.58</v>
      </c>
      <c r="E835" s="1249"/>
      <c r="F835" s="1041">
        <f>ROUND(D835*$C835,0)</f>
        <v>2378</v>
      </c>
      <c r="G835" s="1261">
        <v>71.61</v>
      </c>
      <c r="H835" s="1249"/>
      <c r="I835" s="1041">
        <f t="shared" si="124"/>
        <v>2721</v>
      </c>
      <c r="J835" s="1261">
        <f>$J$728</f>
        <v>80.31</v>
      </c>
      <c r="K835" s="1249"/>
      <c r="L835" s="1041">
        <f>ROUND(J835*$C835,0)</f>
        <v>3052</v>
      </c>
      <c r="N835" s="1185"/>
      <c r="O835" s="1185"/>
      <c r="P835" s="1186"/>
      <c r="Q835" s="1186"/>
      <c r="R835" s="1186"/>
      <c r="S835" s="1185"/>
      <c r="T835" s="1185"/>
      <c r="U835" s="1185"/>
      <c r="V835" s="1185"/>
      <c r="W835" s="1185"/>
      <c r="X835" s="1185"/>
      <c r="Y835" s="1185"/>
      <c r="Z835" s="1185"/>
      <c r="AA835" s="1185"/>
      <c r="AB835" s="1185"/>
      <c r="AC835" s="1185"/>
      <c r="AD835" s="1185"/>
      <c r="AE835" s="1185"/>
      <c r="AF835" s="1185"/>
      <c r="AG835" s="1185"/>
      <c r="AH835" s="1185"/>
      <c r="AI835" s="1185"/>
    </row>
    <row r="836" spans="1:37">
      <c r="A836" s="1218" t="s">
        <v>461</v>
      </c>
      <c r="B836" s="1219"/>
      <c r="C836" s="1026">
        <f>31</f>
        <v>31</v>
      </c>
      <c r="D836" s="1261">
        <v>125.16000000000003</v>
      </c>
      <c r="E836" s="1249"/>
      <c r="F836" s="1041">
        <f>ROUND(D836*$C836,0)</f>
        <v>3880</v>
      </c>
      <c r="G836" s="1261">
        <v>142.74</v>
      </c>
      <c r="H836" s="1249"/>
      <c r="I836" s="1041">
        <f t="shared" si="124"/>
        <v>4425</v>
      </c>
      <c r="J836" s="1261">
        <f>$J$729</f>
        <v>160.19999999999999</v>
      </c>
      <c r="K836" s="1249"/>
      <c r="L836" s="1041">
        <f>ROUND(J836*$C836,0)</f>
        <v>4966</v>
      </c>
      <c r="N836" s="1185"/>
      <c r="O836" s="1185"/>
      <c r="P836" s="1186"/>
      <c r="Q836" s="1186"/>
      <c r="R836" s="1186"/>
      <c r="S836" s="1185"/>
      <c r="T836" s="1185"/>
      <c r="U836" s="1185"/>
      <c r="V836" s="1185"/>
      <c r="W836" s="1185"/>
      <c r="X836" s="1185"/>
      <c r="Y836" s="1185"/>
      <c r="Z836" s="1185"/>
      <c r="AA836" s="1185"/>
      <c r="AB836" s="1185"/>
      <c r="AC836" s="1185"/>
      <c r="AD836" s="1185"/>
      <c r="AE836" s="1185"/>
      <c r="AF836" s="1185"/>
      <c r="AG836" s="1185"/>
      <c r="AH836" s="1185"/>
      <c r="AI836" s="1185"/>
    </row>
    <row r="837" spans="1:37">
      <c r="A837" s="1218" t="s">
        <v>462</v>
      </c>
      <c r="B837" s="1219"/>
      <c r="C837" s="1026"/>
      <c r="D837" s="1261"/>
      <c r="E837" s="1249"/>
      <c r="F837" s="1041"/>
      <c r="G837" s="1261"/>
      <c r="H837" s="1249"/>
      <c r="I837" s="1041"/>
      <c r="J837" s="1261"/>
      <c r="K837" s="1249"/>
      <c r="L837" s="1041"/>
      <c r="N837" s="1185"/>
      <c r="O837" s="1185"/>
      <c r="P837" s="1186"/>
      <c r="Q837" s="1186"/>
      <c r="R837" s="1186"/>
      <c r="S837" s="1185"/>
      <c r="T837" s="1185"/>
      <c r="U837" s="1185"/>
      <c r="V837" s="1185"/>
      <c r="W837" s="1185"/>
      <c r="X837" s="1185"/>
      <c r="Y837" s="1185"/>
      <c r="Z837" s="1185"/>
      <c r="AA837" s="1185"/>
      <c r="AB837" s="1185"/>
      <c r="AC837" s="1185"/>
      <c r="AD837" s="1185"/>
      <c r="AE837" s="1185"/>
      <c r="AF837" s="1185"/>
      <c r="AG837" s="1185"/>
      <c r="AH837" s="1185"/>
      <c r="AI837" s="1185"/>
    </row>
    <row r="838" spans="1:37">
      <c r="A838" s="1218" t="s">
        <v>457</v>
      </c>
      <c r="B838" s="1219"/>
      <c r="C838" s="1026">
        <f>2</f>
        <v>2</v>
      </c>
      <c r="D838" s="1259">
        <v>-20.86</v>
      </c>
      <c r="E838" s="1249"/>
      <c r="F838" s="1041">
        <f>ROUND(D838*$C838,0)</f>
        <v>-42</v>
      </c>
      <c r="G838" s="1259">
        <v>-23.87</v>
      </c>
      <c r="H838" s="1249"/>
      <c r="I838" s="1041">
        <f t="shared" ref="I838:I839" si="125">ROUND(G838*C838,0)</f>
        <v>-48</v>
      </c>
      <c r="J838" s="1259">
        <f>-J830</f>
        <v>-26.77</v>
      </c>
      <c r="K838" s="1249"/>
      <c r="L838" s="1041">
        <f>ROUND(J838*$C838,0)</f>
        <v>-54</v>
      </c>
      <c r="N838" s="1185"/>
      <c r="O838" s="1185"/>
      <c r="P838" s="1186"/>
      <c r="Q838" s="1186"/>
      <c r="R838" s="1186"/>
      <c r="S838" s="1185"/>
      <c r="T838" s="1185"/>
      <c r="U838" s="1185"/>
      <c r="V838" s="1185"/>
      <c r="W838" s="1185"/>
      <c r="X838" s="1185"/>
      <c r="Y838" s="1185"/>
      <c r="Z838" s="1185"/>
      <c r="AA838" s="1185"/>
      <c r="AB838" s="1185"/>
      <c r="AC838" s="1185"/>
      <c r="AD838" s="1185"/>
      <c r="AE838" s="1185"/>
      <c r="AF838" s="1185"/>
      <c r="AG838" s="1185"/>
      <c r="AH838" s="1185"/>
      <c r="AI838" s="1185"/>
    </row>
    <row r="839" spans="1:37">
      <c r="A839" s="1218" t="s">
        <v>463</v>
      </c>
      <c r="B839" s="1219"/>
      <c r="C839" s="1026">
        <f>13</f>
        <v>13</v>
      </c>
      <c r="D839" s="1259">
        <v>-20.860000000000003</v>
      </c>
      <c r="E839" s="1249"/>
      <c r="F839" s="1041">
        <f>ROUND(D839*$C839,0)</f>
        <v>-271</v>
      </c>
      <c r="G839" s="1259">
        <v>-23.79</v>
      </c>
      <c r="H839" s="1249"/>
      <c r="I839" s="1041">
        <f t="shared" si="125"/>
        <v>-309</v>
      </c>
      <c r="J839" s="1259">
        <f>-J832</f>
        <v>-26.7</v>
      </c>
      <c r="K839" s="1249"/>
      <c r="L839" s="1041">
        <f>ROUND(J839*$C839,0)</f>
        <v>-347</v>
      </c>
      <c r="N839" s="1185"/>
      <c r="O839" s="1185"/>
      <c r="P839" s="1186"/>
      <c r="Q839" s="1186"/>
      <c r="R839" s="1186"/>
      <c r="S839" s="1185"/>
      <c r="T839" s="1185"/>
      <c r="U839" s="1185"/>
      <c r="V839" s="1185"/>
      <c r="W839" s="1185"/>
      <c r="X839" s="1185"/>
      <c r="Y839" s="1185"/>
      <c r="Z839" s="1185"/>
      <c r="AA839" s="1185"/>
      <c r="AB839" s="1185"/>
      <c r="AC839" s="1185"/>
      <c r="AD839" s="1185"/>
      <c r="AE839" s="1185"/>
      <c r="AF839" s="1185"/>
      <c r="AG839" s="1185"/>
      <c r="AH839" s="1185"/>
      <c r="AI839" s="1185"/>
    </row>
    <row r="840" spans="1:37">
      <c r="A840" s="1009" t="s">
        <v>426</v>
      </c>
      <c r="B840" s="1219"/>
      <c r="C840" s="1026"/>
      <c r="D840" s="1261"/>
      <c r="E840" s="1041"/>
      <c r="F840" s="1041"/>
      <c r="G840" s="1261"/>
      <c r="H840" s="1041"/>
      <c r="I840" s="1041"/>
      <c r="J840" s="1261"/>
      <c r="K840" s="1041"/>
      <c r="L840" s="1041"/>
      <c r="N840" s="1185"/>
      <c r="O840" s="1185"/>
      <c r="P840" s="1186"/>
      <c r="Q840" s="1186"/>
      <c r="R840" s="1186"/>
      <c r="S840" s="1185"/>
      <c r="T840" s="1185"/>
      <c r="U840" s="1185"/>
      <c r="V840" s="1185"/>
      <c r="W840" s="1185"/>
      <c r="X840" s="1185"/>
      <c r="Y840" s="1185"/>
      <c r="Z840" s="1185"/>
      <c r="AA840" s="1185"/>
      <c r="AB840" s="1185"/>
      <c r="AC840" s="1185"/>
      <c r="AD840" s="1185"/>
      <c r="AE840" s="1185"/>
      <c r="AF840" s="1185"/>
      <c r="AG840" s="1185"/>
      <c r="AH840" s="1185"/>
      <c r="AI840" s="1185"/>
    </row>
    <row r="841" spans="1:37">
      <c r="A841" s="1218" t="s">
        <v>464</v>
      </c>
      <c r="B841" s="1219"/>
      <c r="C841" s="1026">
        <f>422494+3044200+1934893</f>
        <v>5401587</v>
      </c>
      <c r="D841" s="1316">
        <v>5.6469999999999994</v>
      </c>
      <c r="E841" s="1041" t="s">
        <v>374</v>
      </c>
      <c r="F841" s="1041">
        <f>ROUND(D841/100*$C841,0)</f>
        <v>305028</v>
      </c>
      <c r="G841" s="1316">
        <v>6.4390000000000001</v>
      </c>
      <c r="H841" s="1041" t="s">
        <v>374</v>
      </c>
      <c r="I841" s="1041">
        <f>ROUND(G841/100*C841,0)</f>
        <v>347808</v>
      </c>
      <c r="J841" s="1316">
        <f>$J$734</f>
        <v>4.0780000000000003</v>
      </c>
      <c r="K841" s="1041" t="s">
        <v>374</v>
      </c>
      <c r="L841" s="1041">
        <f>ROUND(J841/100*$C841,0)</f>
        <v>220277</v>
      </c>
      <c r="N841" s="1185"/>
      <c r="O841" s="1185"/>
      <c r="P841" s="1186"/>
      <c r="Q841" s="1186"/>
      <c r="R841" s="1186"/>
      <c r="S841" s="1185"/>
      <c r="T841" s="1185"/>
      <c r="U841" s="1185"/>
      <c r="V841" s="1185"/>
      <c r="W841" s="1185"/>
      <c r="X841" s="1185"/>
      <c r="Y841" s="1185"/>
      <c r="Z841" s="1185"/>
      <c r="AA841" s="1185"/>
      <c r="AB841" s="1185"/>
      <c r="AC841" s="1185"/>
      <c r="AD841" s="1185"/>
      <c r="AE841" s="1185"/>
      <c r="AF841" s="1185"/>
      <c r="AG841" s="1185"/>
      <c r="AH841" s="1185"/>
      <c r="AI841" s="1185"/>
    </row>
    <row r="842" spans="1:37">
      <c r="A842" s="1009" t="s">
        <v>400</v>
      </c>
      <c r="B842" s="1219"/>
      <c r="C842" s="1026">
        <f>643+730</f>
        <v>1373</v>
      </c>
      <c r="D842" s="1262">
        <v>50</v>
      </c>
      <c r="E842" s="1009" t="s">
        <v>374</v>
      </c>
      <c r="F842" s="1041">
        <f>ROUND(D842*$C842/100,0)</f>
        <v>687</v>
      </c>
      <c r="G842" s="1262">
        <v>56</v>
      </c>
      <c r="H842" s="1009" t="s">
        <v>374</v>
      </c>
      <c r="I842" s="1041">
        <f>ROUND(G842*C842/100,0)</f>
        <v>769</v>
      </c>
      <c r="J842" s="1262">
        <f>$J$735</f>
        <v>63</v>
      </c>
      <c r="K842" s="1009" t="s">
        <v>374</v>
      </c>
      <c r="L842" s="1041">
        <f>ROUND(J842*$C842/100,0)</f>
        <v>865</v>
      </c>
      <c r="N842" s="1185"/>
      <c r="O842" s="1185"/>
      <c r="P842" s="1186"/>
      <c r="Q842" s="1186"/>
      <c r="R842" s="1186"/>
      <c r="S842" s="1185"/>
      <c r="T842" s="1185"/>
      <c r="U842" s="1185"/>
      <c r="V842" s="1185"/>
      <c r="W842" s="1185"/>
      <c r="X842" s="1185"/>
      <c r="Y842" s="1185"/>
      <c r="Z842" s="1185"/>
      <c r="AA842" s="1185"/>
      <c r="AB842" s="1185"/>
      <c r="AC842" s="1185"/>
      <c r="AD842" s="1185"/>
      <c r="AE842" s="1185"/>
      <c r="AF842" s="1185"/>
      <c r="AG842" s="1185"/>
      <c r="AH842" s="1185"/>
      <c r="AI842" s="1185"/>
    </row>
    <row r="843" spans="1:37">
      <c r="A843" s="1005" t="s">
        <v>928</v>
      </c>
      <c r="C843" s="1202">
        <f>C841</f>
        <v>5401587</v>
      </c>
      <c r="D843" s="269"/>
      <c r="E843" s="1185"/>
      <c r="F843" s="1203"/>
      <c r="G843" s="269"/>
      <c r="H843" s="1185"/>
      <c r="I843" s="1203"/>
      <c r="J843" s="1316">
        <f>J736</f>
        <v>3.15</v>
      </c>
      <c r="K843" s="1041" t="s">
        <v>374</v>
      </c>
      <c r="L843" s="1041">
        <f>ROUND(J843*$C843/100,0)</f>
        <v>170150</v>
      </c>
      <c r="N843" s="1204"/>
      <c r="P843" s="815"/>
      <c r="Q843" s="1184"/>
      <c r="R843" s="1184"/>
      <c r="S843" s="1205"/>
      <c r="T843" s="1205"/>
      <c r="Y843" s="1185"/>
      <c r="Z843" s="1185"/>
      <c r="AA843" s="1185"/>
      <c r="AB843" s="1185"/>
      <c r="AC843" s="1185"/>
      <c r="AD843" s="1185"/>
      <c r="AE843" s="1185"/>
      <c r="AF843" s="1185"/>
      <c r="AG843" s="1185"/>
      <c r="AH843" s="1185"/>
      <c r="AI843" s="1185"/>
      <c r="AK843" s="1204"/>
    </row>
    <row r="844" spans="1:37">
      <c r="A844" s="1283" t="s">
        <v>401</v>
      </c>
      <c r="B844" s="1219"/>
      <c r="C844" s="1026"/>
      <c r="D844" s="1257">
        <v>-0.01</v>
      </c>
      <c r="E844" s="1203"/>
      <c r="F844" s="1041"/>
      <c r="G844" s="1257">
        <v>-0.01</v>
      </c>
      <c r="H844" s="1219"/>
      <c r="I844" s="1041"/>
      <c r="J844" s="1257">
        <v>-0.01</v>
      </c>
      <c r="K844" s="1219"/>
      <c r="L844" s="1041"/>
      <c r="N844" s="1185"/>
      <c r="O844" s="1185"/>
      <c r="P844" s="1186"/>
      <c r="Q844" s="1186"/>
      <c r="R844" s="1186"/>
      <c r="S844" s="1185"/>
      <c r="T844" s="1185"/>
      <c r="U844" s="1185"/>
      <c r="V844" s="1185"/>
      <c r="W844" s="1185"/>
      <c r="X844" s="1185"/>
      <c r="Y844" s="1185"/>
      <c r="Z844" s="1185"/>
      <c r="AA844" s="1185"/>
      <c r="AB844" s="1185"/>
      <c r="AC844" s="1185"/>
      <c r="AD844" s="1185"/>
      <c r="AE844" s="1185"/>
      <c r="AF844" s="1185"/>
      <c r="AG844" s="1185"/>
      <c r="AH844" s="1185"/>
      <c r="AI844" s="1185"/>
    </row>
    <row r="845" spans="1:37">
      <c r="A845" s="1218" t="s">
        <v>390</v>
      </c>
      <c r="B845" s="1219"/>
      <c r="C845" s="1026">
        <v>0</v>
      </c>
      <c r="D845" s="1303">
        <v>0</v>
      </c>
      <c r="E845" s="1249"/>
      <c r="F845" s="1041">
        <f>ROUND(D845*$C845*$D$738,0)</f>
        <v>0</v>
      </c>
      <c r="G845" s="1303">
        <v>0</v>
      </c>
      <c r="H845" s="1249"/>
      <c r="I845" s="1041">
        <f>ROUND(G845*C845,0)</f>
        <v>0</v>
      </c>
      <c r="J845" s="1303">
        <f>J821</f>
        <v>0</v>
      </c>
      <c r="K845" s="1249"/>
      <c r="L845" s="1041">
        <f>ROUND(J845*$C845*$D$738,0)</f>
        <v>0</v>
      </c>
      <c r="N845" s="1185"/>
      <c r="O845" s="1185"/>
      <c r="P845" s="1186"/>
      <c r="Q845" s="1186"/>
      <c r="R845" s="1186"/>
      <c r="S845" s="1185"/>
      <c r="T845" s="1185"/>
      <c r="U845" s="1185"/>
      <c r="V845" s="1185"/>
      <c r="W845" s="1185"/>
      <c r="X845" s="1185"/>
      <c r="Y845" s="1185"/>
      <c r="Z845" s="1185"/>
      <c r="AA845" s="1185"/>
      <c r="AB845" s="1185"/>
      <c r="AC845" s="1185"/>
      <c r="AD845" s="1185"/>
      <c r="AE845" s="1185"/>
      <c r="AF845" s="1185"/>
      <c r="AG845" s="1185"/>
      <c r="AH845" s="1185"/>
      <c r="AI845" s="1185"/>
    </row>
    <row r="846" spans="1:37">
      <c r="A846" s="1218" t="s">
        <v>391</v>
      </c>
      <c r="B846" s="1219"/>
      <c r="C846" s="1026"/>
      <c r="D846" s="1303"/>
      <c r="E846" s="1249"/>
      <c r="F846" s="1041"/>
      <c r="G846" s="1303"/>
      <c r="H846" s="1249"/>
      <c r="I846" s="1041"/>
      <c r="J846" s="1303"/>
      <c r="K846" s="1249"/>
      <c r="L846" s="1041"/>
      <c r="N846" s="1185"/>
      <c r="O846" s="1185"/>
      <c r="P846" s="1186"/>
      <c r="Q846" s="1186"/>
      <c r="R846" s="1186"/>
      <c r="S846" s="1185"/>
      <c r="T846" s="1185"/>
      <c r="U846" s="1185"/>
      <c r="V846" s="1185"/>
      <c r="W846" s="1185"/>
      <c r="X846" s="1185"/>
      <c r="Y846" s="1185"/>
      <c r="Z846" s="1185"/>
      <c r="AA846" s="1185"/>
      <c r="AB846" s="1185"/>
      <c r="AC846" s="1185"/>
      <c r="AD846" s="1185"/>
      <c r="AE846" s="1185"/>
      <c r="AF846" s="1185"/>
      <c r="AG846" s="1185"/>
      <c r="AH846" s="1185"/>
      <c r="AI846" s="1185"/>
    </row>
    <row r="847" spans="1:37">
      <c r="A847" s="1218" t="s">
        <v>452</v>
      </c>
      <c r="B847" s="1219"/>
      <c r="C847" s="1026">
        <v>0</v>
      </c>
      <c r="D847" s="1303">
        <v>0</v>
      </c>
      <c r="E847" s="1249"/>
      <c r="F847" s="1041">
        <f>ROUND(D847*$C847*$D$738,0)</f>
        <v>0</v>
      </c>
      <c r="G847" s="1303">
        <v>0</v>
      </c>
      <c r="H847" s="1249"/>
      <c r="I847" s="1041">
        <f t="shared" ref="I847:I850" si="126">ROUND(G847*C847,0)</f>
        <v>0</v>
      </c>
      <c r="J847" s="1303">
        <f>J823</f>
        <v>0</v>
      </c>
      <c r="K847" s="1249"/>
      <c r="L847" s="1041">
        <f>ROUND(J847*$C847*$D$738,0)</f>
        <v>0</v>
      </c>
      <c r="N847" s="1185"/>
      <c r="O847" s="1185"/>
      <c r="P847" s="1186"/>
      <c r="Q847" s="1186"/>
      <c r="R847" s="1186"/>
      <c r="S847" s="1185"/>
      <c r="T847" s="1185"/>
      <c r="U847" s="1185"/>
      <c r="V847" s="1185"/>
      <c r="W847" s="1185"/>
      <c r="X847" s="1185"/>
      <c r="Y847" s="1185"/>
      <c r="Z847" s="1185"/>
      <c r="AA847" s="1185"/>
      <c r="AB847" s="1185"/>
      <c r="AC847" s="1185"/>
      <c r="AD847" s="1185"/>
      <c r="AE847" s="1185"/>
      <c r="AF847" s="1185"/>
      <c r="AG847" s="1185"/>
      <c r="AH847" s="1185"/>
      <c r="AI847" s="1185"/>
    </row>
    <row r="848" spans="1:37">
      <c r="A848" s="1218" t="s">
        <v>453</v>
      </c>
      <c r="B848" s="1219"/>
      <c r="C848" s="1026">
        <v>0</v>
      </c>
      <c r="D848" s="1303">
        <v>312</v>
      </c>
      <c r="E848" s="1249"/>
      <c r="F848" s="1041">
        <f>ROUND(D848*$C848*$D$738,0)</f>
        <v>0</v>
      </c>
      <c r="G848" s="1303">
        <v>357</v>
      </c>
      <c r="H848" s="1249"/>
      <c r="I848" s="1041">
        <f t="shared" si="126"/>
        <v>0</v>
      </c>
      <c r="J848" s="1303">
        <f>J824</f>
        <v>401</v>
      </c>
      <c r="K848" s="1249"/>
      <c r="L848" s="1041">
        <f>ROUND(J848*$C848*$D$738,0)</f>
        <v>0</v>
      </c>
      <c r="N848" s="1185"/>
      <c r="O848" s="1185"/>
      <c r="P848" s="1186"/>
      <c r="Q848" s="1186"/>
      <c r="R848" s="1186"/>
      <c r="S848" s="1185"/>
      <c r="T848" s="1185"/>
      <c r="U848" s="1185"/>
      <c r="V848" s="1185"/>
      <c r="W848" s="1185"/>
      <c r="X848" s="1185"/>
      <c r="Y848" s="1185"/>
      <c r="Z848" s="1185"/>
      <c r="AA848" s="1185"/>
      <c r="AB848" s="1185"/>
      <c r="AC848" s="1185"/>
      <c r="AD848" s="1185"/>
      <c r="AE848" s="1185"/>
      <c r="AF848" s="1185"/>
      <c r="AG848" s="1185"/>
      <c r="AH848" s="1185"/>
      <c r="AI848" s="1185"/>
    </row>
    <row r="849" spans="1:35">
      <c r="A849" s="1218" t="s">
        <v>454</v>
      </c>
      <c r="B849" s="1219"/>
      <c r="C849" s="1026">
        <v>0</v>
      </c>
      <c r="D849" s="1303">
        <v>1268</v>
      </c>
      <c r="E849" s="1249"/>
      <c r="F849" s="1041">
        <f>ROUND(D849*$C849*$D$738,0)</f>
        <v>0</v>
      </c>
      <c r="G849" s="1303">
        <v>1457</v>
      </c>
      <c r="H849" s="1249"/>
      <c r="I849" s="1041">
        <f t="shared" si="126"/>
        <v>0</v>
      </c>
      <c r="J849" s="1303">
        <f>J825</f>
        <v>1635</v>
      </c>
      <c r="K849" s="1249"/>
      <c r="L849" s="1041">
        <f>ROUND(J849*$C849*$D$738,0)</f>
        <v>0</v>
      </c>
      <c r="N849" s="1185"/>
      <c r="O849" s="1185"/>
      <c r="P849" s="1186"/>
      <c r="Q849" s="1186"/>
      <c r="R849" s="1186"/>
      <c r="S849" s="1185"/>
      <c r="T849" s="1185"/>
      <c r="U849" s="1185"/>
      <c r="V849" s="1185"/>
      <c r="W849" s="1185"/>
      <c r="X849" s="1185"/>
      <c r="Y849" s="1185"/>
      <c r="Z849" s="1185"/>
      <c r="AA849" s="1185"/>
      <c r="AB849" s="1185"/>
      <c r="AC849" s="1185"/>
      <c r="AD849" s="1185"/>
      <c r="AE849" s="1185"/>
      <c r="AF849" s="1185"/>
      <c r="AG849" s="1185"/>
      <c r="AH849" s="1185"/>
      <c r="AI849" s="1185"/>
    </row>
    <row r="850" spans="1:35">
      <c r="A850" s="1218" t="s">
        <v>390</v>
      </c>
      <c r="B850" s="1219"/>
      <c r="C850" s="1026">
        <v>0</v>
      </c>
      <c r="D850" s="1303">
        <v>20.86</v>
      </c>
      <c r="E850" s="1249"/>
      <c r="F850" s="1041">
        <f>ROUND(D850*$C850*$D$738,0)</f>
        <v>0</v>
      </c>
      <c r="G850" s="1303">
        <v>23.87</v>
      </c>
      <c r="H850" s="1249"/>
      <c r="I850" s="1041">
        <f t="shared" si="126"/>
        <v>0</v>
      </c>
      <c r="J850" s="1303">
        <f>J830</f>
        <v>26.77</v>
      </c>
      <c r="K850" s="1249"/>
      <c r="L850" s="1041">
        <f>ROUND(J850*$C850*$D$738,0)</f>
        <v>0</v>
      </c>
      <c r="N850" s="1185"/>
      <c r="O850" s="1185"/>
      <c r="P850" s="1186"/>
      <c r="Q850" s="1186"/>
      <c r="R850" s="1186"/>
      <c r="S850" s="1185"/>
      <c r="T850" s="1185"/>
      <c r="U850" s="1185"/>
      <c r="V850" s="1185"/>
      <c r="W850" s="1185"/>
      <c r="X850" s="1185"/>
      <c r="Y850" s="1185"/>
      <c r="Z850" s="1185"/>
      <c r="AA850" s="1185"/>
      <c r="AB850" s="1185"/>
      <c r="AC850" s="1185"/>
      <c r="AD850" s="1185"/>
      <c r="AE850" s="1185"/>
      <c r="AF850" s="1185"/>
      <c r="AG850" s="1185"/>
      <c r="AH850" s="1185"/>
      <c r="AI850" s="1185"/>
    </row>
    <row r="851" spans="1:35">
      <c r="A851" s="1218" t="s">
        <v>391</v>
      </c>
      <c r="B851" s="1219"/>
      <c r="C851" s="1026"/>
      <c r="D851" s="1303"/>
      <c r="E851" s="1249"/>
      <c r="F851" s="1041"/>
      <c r="G851" s="1303"/>
      <c r="H851" s="1249"/>
      <c r="I851" s="1041"/>
      <c r="J851" s="1303"/>
      <c r="K851" s="1249"/>
      <c r="L851" s="1041"/>
      <c r="N851" s="1185"/>
      <c r="O851" s="1185"/>
      <c r="P851" s="1186"/>
      <c r="Q851" s="1186"/>
      <c r="R851" s="1186"/>
      <c r="S851" s="1185"/>
      <c r="T851" s="1185"/>
      <c r="U851" s="1185"/>
      <c r="V851" s="1185"/>
      <c r="W851" s="1185"/>
      <c r="X851" s="1185"/>
      <c r="Y851" s="1185"/>
      <c r="Z851" s="1185"/>
      <c r="AA851" s="1185"/>
      <c r="AB851" s="1185"/>
      <c r="AC851" s="1185"/>
      <c r="AD851" s="1185"/>
      <c r="AE851" s="1185"/>
      <c r="AF851" s="1185"/>
      <c r="AG851" s="1185"/>
      <c r="AH851" s="1185"/>
      <c r="AI851" s="1185"/>
    </row>
    <row r="852" spans="1:35">
      <c r="A852" s="1218" t="s">
        <v>452</v>
      </c>
      <c r="B852" s="1219"/>
      <c r="C852" s="1026">
        <v>39</v>
      </c>
      <c r="D852" s="1303">
        <v>20.860000000000003</v>
      </c>
      <c r="E852" s="1249"/>
      <c r="F852" s="1041">
        <f>ROUND(D852*$C852*$D$738,0)</f>
        <v>-8</v>
      </c>
      <c r="G852" s="1303">
        <v>23.79</v>
      </c>
      <c r="H852" s="1249"/>
      <c r="I852" s="1041">
        <f>ROUND(G852*$C852*$G$738,0)</f>
        <v>-9</v>
      </c>
      <c r="J852" s="1303">
        <f>J832</f>
        <v>26.7</v>
      </c>
      <c r="K852" s="1249"/>
      <c r="L852" s="1041">
        <f>ROUND(J852*$C852*$D$738,0)</f>
        <v>-10</v>
      </c>
      <c r="N852" s="1185"/>
      <c r="O852" s="1185"/>
      <c r="P852" s="1186"/>
      <c r="Q852" s="1186"/>
      <c r="R852" s="1186"/>
      <c r="S852" s="1185"/>
      <c r="T852" s="1185"/>
      <c r="U852" s="1185"/>
      <c r="V852" s="1185"/>
      <c r="W852" s="1185"/>
      <c r="X852" s="1185"/>
      <c r="Y852" s="1185"/>
      <c r="Z852" s="1185"/>
      <c r="AA852" s="1185"/>
      <c r="AB852" s="1185"/>
      <c r="AC852" s="1185"/>
      <c r="AD852" s="1185"/>
      <c r="AE852" s="1185"/>
      <c r="AF852" s="1185"/>
      <c r="AG852" s="1185"/>
      <c r="AH852" s="1185"/>
      <c r="AI852" s="1185"/>
    </row>
    <row r="853" spans="1:35">
      <c r="A853" s="1218" t="s">
        <v>453</v>
      </c>
      <c r="B853" s="1219"/>
      <c r="C853" s="1026">
        <v>0</v>
      </c>
      <c r="D853" s="1303">
        <v>14.53</v>
      </c>
      <c r="E853" s="1249"/>
      <c r="F853" s="1041">
        <f>ROUND(D853*$C853*$D$738,0)</f>
        <v>0</v>
      </c>
      <c r="G853" s="1303">
        <v>16.559999999999999</v>
      </c>
      <c r="H853" s="1249"/>
      <c r="I853" s="1041">
        <f t="shared" ref="I853:I856" si="127">ROUND(G853*$C853*$G$738,0)</f>
        <v>0</v>
      </c>
      <c r="J853" s="1303">
        <f>J833</f>
        <v>18.59</v>
      </c>
      <c r="K853" s="1249"/>
      <c r="L853" s="1041">
        <f>ROUND(J853*$C853*$D$738,0)</f>
        <v>0</v>
      </c>
      <c r="N853" s="1185"/>
      <c r="O853" s="1185"/>
      <c r="P853" s="1186"/>
      <c r="Q853" s="1186"/>
      <c r="R853" s="1186"/>
      <c r="S853" s="1185"/>
      <c r="T853" s="1185"/>
      <c r="U853" s="1185"/>
      <c r="V853" s="1185"/>
      <c r="W853" s="1185"/>
      <c r="X853" s="1185"/>
      <c r="Y853" s="1185"/>
      <c r="Z853" s="1185"/>
      <c r="AA853" s="1185"/>
      <c r="AB853" s="1185"/>
      <c r="AC853" s="1185"/>
      <c r="AD853" s="1185"/>
      <c r="AE853" s="1185"/>
      <c r="AF853" s="1185"/>
      <c r="AG853" s="1185"/>
      <c r="AH853" s="1185"/>
      <c r="AI853" s="1185"/>
    </row>
    <row r="854" spans="1:35">
      <c r="A854" s="1218" t="s">
        <v>454</v>
      </c>
      <c r="B854" s="1219"/>
      <c r="C854" s="1026">
        <v>0</v>
      </c>
      <c r="D854" s="1303">
        <v>11.340000000000002</v>
      </c>
      <c r="E854" s="1249"/>
      <c r="F854" s="1041">
        <f>ROUND(D854*$C854*$D$738,0)</f>
        <v>0</v>
      </c>
      <c r="G854" s="1303">
        <v>12.96</v>
      </c>
      <c r="H854" s="1249"/>
      <c r="I854" s="1041">
        <f t="shared" si="127"/>
        <v>0</v>
      </c>
      <c r="J854" s="1303">
        <f>J834</f>
        <v>14.55</v>
      </c>
      <c r="K854" s="1249"/>
      <c r="L854" s="1041">
        <f>ROUND(J854*$C854*$D$738,0)</f>
        <v>0</v>
      </c>
      <c r="N854" s="1185"/>
      <c r="O854" s="1185"/>
      <c r="P854" s="1186"/>
      <c r="Q854" s="1186"/>
      <c r="R854" s="1186"/>
      <c r="S854" s="1185"/>
      <c r="T854" s="1185"/>
      <c r="U854" s="1185"/>
      <c r="V854" s="1185"/>
      <c r="W854" s="1185"/>
      <c r="X854" s="1185"/>
      <c r="Y854" s="1185"/>
      <c r="Z854" s="1185"/>
      <c r="AA854" s="1185"/>
      <c r="AB854" s="1185"/>
      <c r="AC854" s="1185"/>
      <c r="AD854" s="1185"/>
      <c r="AE854" s="1185"/>
      <c r="AF854" s="1185"/>
      <c r="AG854" s="1185"/>
      <c r="AH854" s="1185"/>
      <c r="AI854" s="1185"/>
    </row>
    <row r="855" spans="1:35">
      <c r="A855" s="1218" t="s">
        <v>465</v>
      </c>
      <c r="B855" s="1219"/>
      <c r="C855" s="1026">
        <v>0</v>
      </c>
      <c r="D855" s="1259">
        <v>62.58</v>
      </c>
      <c r="E855" s="1249"/>
      <c r="F855" s="1041">
        <f>ROUND(D855*$C855*$D$738,0)</f>
        <v>0</v>
      </c>
      <c r="G855" s="1259">
        <v>71.61</v>
      </c>
      <c r="H855" s="1249"/>
      <c r="I855" s="1041">
        <f t="shared" si="127"/>
        <v>0</v>
      </c>
      <c r="J855" s="1259">
        <f>J835</f>
        <v>80.31</v>
      </c>
      <c r="K855" s="1249"/>
      <c r="L855" s="1041">
        <f>ROUND(J855*$C855*$D$738,0)</f>
        <v>0</v>
      </c>
      <c r="N855" s="1185"/>
      <c r="O855" s="1185"/>
      <c r="P855" s="1186"/>
      <c r="Q855" s="1186"/>
      <c r="R855" s="1186"/>
      <c r="S855" s="1185"/>
      <c r="T855" s="1185"/>
      <c r="U855" s="1185"/>
      <c r="V855" s="1185"/>
      <c r="W855" s="1185"/>
      <c r="X855" s="1185"/>
      <c r="Y855" s="1185"/>
      <c r="Z855" s="1185"/>
      <c r="AA855" s="1185"/>
      <c r="AB855" s="1185"/>
      <c r="AC855" s="1185"/>
      <c r="AD855" s="1185"/>
      <c r="AE855" s="1185"/>
      <c r="AF855" s="1185"/>
      <c r="AG855" s="1185"/>
      <c r="AH855" s="1185"/>
      <c r="AI855" s="1185"/>
    </row>
    <row r="856" spans="1:35">
      <c r="A856" s="1218" t="s">
        <v>466</v>
      </c>
      <c r="B856" s="1219"/>
      <c r="C856" s="1026">
        <v>0</v>
      </c>
      <c r="D856" s="1259">
        <v>125.16000000000003</v>
      </c>
      <c r="E856" s="1249"/>
      <c r="F856" s="1041">
        <f>ROUND(D856*$C856*$D$738,0)</f>
        <v>0</v>
      </c>
      <c r="G856" s="1259">
        <v>142.74</v>
      </c>
      <c r="H856" s="1249"/>
      <c r="I856" s="1041">
        <f t="shared" si="127"/>
        <v>0</v>
      </c>
      <c r="J856" s="1259">
        <f>J836</f>
        <v>160.19999999999999</v>
      </c>
      <c r="K856" s="1249"/>
      <c r="L856" s="1041">
        <f>ROUND(J856*$C856*$D$738,0)</f>
        <v>0</v>
      </c>
      <c r="N856" s="1185"/>
      <c r="O856" s="1185"/>
      <c r="P856" s="1186"/>
      <c r="Q856" s="1186"/>
      <c r="R856" s="1186"/>
      <c r="S856" s="1185"/>
      <c r="T856" s="1185"/>
      <c r="U856" s="1185"/>
      <c r="V856" s="1185"/>
      <c r="W856" s="1185"/>
      <c r="X856" s="1185"/>
      <c r="Y856" s="1185"/>
      <c r="Z856" s="1185"/>
      <c r="AA856" s="1185"/>
      <c r="AB856" s="1185"/>
      <c r="AC856" s="1185"/>
      <c r="AD856" s="1185"/>
      <c r="AE856" s="1185"/>
      <c r="AF856" s="1185"/>
      <c r="AG856" s="1185"/>
      <c r="AH856" s="1185"/>
      <c r="AI856" s="1185"/>
    </row>
    <row r="857" spans="1:35">
      <c r="A857" s="1218" t="s">
        <v>462</v>
      </c>
      <c r="B857" s="1219"/>
      <c r="C857" s="1026"/>
      <c r="D857" s="1261"/>
      <c r="E857" s="1249"/>
      <c r="F857" s="1041"/>
      <c r="G857" s="1261"/>
      <c r="H857" s="1249"/>
      <c r="I857" s="1041"/>
      <c r="J857" s="1261"/>
      <c r="K857" s="1249"/>
      <c r="L857" s="1041"/>
      <c r="N857" s="1185"/>
      <c r="O857" s="1185"/>
      <c r="P857" s="1186"/>
      <c r="Q857" s="1186"/>
      <c r="R857" s="1186"/>
      <c r="S857" s="1185"/>
      <c r="T857" s="1185"/>
      <c r="U857" s="1185"/>
      <c r="V857" s="1185"/>
      <c r="W857" s="1185"/>
      <c r="X857" s="1185"/>
      <c r="Y857" s="1185"/>
      <c r="Z857" s="1185"/>
      <c r="AA857" s="1185"/>
      <c r="AB857" s="1185"/>
      <c r="AC857" s="1185"/>
      <c r="AD857" s="1185"/>
      <c r="AE857" s="1185"/>
      <c r="AF857" s="1185"/>
      <c r="AG857" s="1185"/>
      <c r="AH857" s="1185"/>
      <c r="AI857" s="1185"/>
    </row>
    <row r="858" spans="1:35">
      <c r="A858" s="1218" t="s">
        <v>457</v>
      </c>
      <c r="B858" s="1219"/>
      <c r="C858" s="1026">
        <v>0</v>
      </c>
      <c r="D858" s="1259">
        <v>-20.86</v>
      </c>
      <c r="E858" s="1249"/>
      <c r="F858" s="1041">
        <f>ROUND(D858*$C858*$D$738,0)</f>
        <v>0</v>
      </c>
      <c r="G858" s="1259">
        <v>-23.87</v>
      </c>
      <c r="H858" s="1249"/>
      <c r="I858" s="1041">
        <f t="shared" ref="I858:I859" si="128">ROUND(G858*$C858*$G$738,0)</f>
        <v>0</v>
      </c>
      <c r="J858" s="1259">
        <f>J838</f>
        <v>-26.77</v>
      </c>
      <c r="K858" s="1249"/>
      <c r="L858" s="1041">
        <f>ROUND(J858*$C858*$D$738,0)</f>
        <v>0</v>
      </c>
      <c r="N858" s="1185"/>
      <c r="O858" s="1185"/>
      <c r="P858" s="1186"/>
      <c r="Q858" s="1186"/>
      <c r="R858" s="1186"/>
      <c r="S858" s="1185"/>
      <c r="T858" s="1185"/>
      <c r="U858" s="1185"/>
      <c r="V858" s="1185"/>
      <c r="W858" s="1185"/>
      <c r="X858" s="1185"/>
      <c r="Y858" s="1185"/>
      <c r="Z858" s="1185"/>
      <c r="AA858" s="1185"/>
      <c r="AB858" s="1185"/>
      <c r="AC858" s="1185"/>
      <c r="AD858" s="1185"/>
      <c r="AE858" s="1185"/>
      <c r="AF858" s="1185"/>
      <c r="AG858" s="1185"/>
      <c r="AH858" s="1185"/>
      <c r="AI858" s="1185"/>
    </row>
    <row r="859" spans="1:35">
      <c r="A859" s="1218" t="s">
        <v>463</v>
      </c>
      <c r="B859" s="1219"/>
      <c r="C859" s="1026">
        <v>0</v>
      </c>
      <c r="D859" s="1259">
        <v>-20.860000000000003</v>
      </c>
      <c r="E859" s="1249"/>
      <c r="F859" s="1041">
        <f>ROUND(D859*$C859*$D$738,0)</f>
        <v>0</v>
      </c>
      <c r="G859" s="1259">
        <v>-23.79</v>
      </c>
      <c r="H859" s="1249"/>
      <c r="I859" s="1041">
        <f t="shared" si="128"/>
        <v>0</v>
      </c>
      <c r="J859" s="1259">
        <f>J839</f>
        <v>-26.7</v>
      </c>
      <c r="K859" s="1249"/>
      <c r="L859" s="1041">
        <f>ROUND(J859*$C859*$D$738,0)</f>
        <v>0</v>
      </c>
      <c r="N859" s="1185"/>
      <c r="O859" s="1185"/>
      <c r="P859" s="1186"/>
      <c r="Q859" s="1186"/>
      <c r="R859" s="1186"/>
      <c r="S859" s="1185"/>
      <c r="T859" s="1185"/>
      <c r="U859" s="1185"/>
      <c r="V859" s="1185"/>
      <c r="W859" s="1185"/>
      <c r="X859" s="1185"/>
      <c r="Y859" s="1185"/>
      <c r="Z859" s="1185"/>
      <c r="AA859" s="1185"/>
      <c r="AB859" s="1185"/>
      <c r="AC859" s="1185"/>
      <c r="AD859" s="1185"/>
      <c r="AE859" s="1185"/>
      <c r="AF859" s="1185"/>
      <c r="AG859" s="1185"/>
      <c r="AH859" s="1185"/>
      <c r="AI859" s="1185"/>
    </row>
    <row r="860" spans="1:35">
      <c r="A860" s="1009" t="s">
        <v>426</v>
      </c>
      <c r="B860" s="1219"/>
      <c r="C860" s="1026"/>
      <c r="D860" s="1303"/>
      <c r="E860" s="1041"/>
      <c r="F860" s="1041"/>
      <c r="G860" s="1303"/>
      <c r="H860" s="1041"/>
      <c r="I860" s="1041"/>
      <c r="J860" s="1303"/>
      <c r="K860" s="1041"/>
      <c r="L860" s="1041"/>
      <c r="N860" s="1185"/>
      <c r="O860" s="1185"/>
      <c r="P860" s="1186"/>
      <c r="Q860" s="1186"/>
      <c r="R860" s="1186"/>
      <c r="S860" s="1185"/>
      <c r="T860" s="1185"/>
      <c r="U860" s="1185"/>
      <c r="V860" s="1185"/>
      <c r="W860" s="1185"/>
      <c r="X860" s="1185"/>
      <c r="Y860" s="1185"/>
      <c r="Z860" s="1185"/>
      <c r="AA860" s="1185"/>
      <c r="AB860" s="1185"/>
      <c r="AC860" s="1185"/>
      <c r="AD860" s="1185"/>
      <c r="AE860" s="1185"/>
      <c r="AF860" s="1185"/>
      <c r="AG860" s="1185"/>
      <c r="AH860" s="1185"/>
      <c r="AI860" s="1185"/>
    </row>
    <row r="861" spans="1:35">
      <c r="A861" s="1218" t="s">
        <v>464</v>
      </c>
      <c r="B861" s="1219"/>
      <c r="C861" s="1026">
        <v>0</v>
      </c>
      <c r="D861" s="1311">
        <v>5.6469999999999994</v>
      </c>
      <c r="E861" s="1041" t="s">
        <v>374</v>
      </c>
      <c r="F861" s="1041">
        <f>ROUND(D861/100*$C861*$D$738,0)</f>
        <v>0</v>
      </c>
      <c r="G861" s="1311">
        <v>6.4390000000000001</v>
      </c>
      <c r="H861" s="1041" t="s">
        <v>374</v>
      </c>
      <c r="I861" s="1041">
        <f>ROUND(G861/100*C861*$G$738,0)</f>
        <v>0</v>
      </c>
      <c r="J861" s="1311">
        <f>J841</f>
        <v>4.0780000000000003</v>
      </c>
      <c r="K861" s="1041" t="s">
        <v>374</v>
      </c>
      <c r="L861" s="1041">
        <f>ROUND(J861/100*$C861*$D$738,0)</f>
        <v>0</v>
      </c>
      <c r="N861" s="1185"/>
      <c r="O861" s="1185"/>
      <c r="P861" s="1186"/>
      <c r="Q861" s="1186"/>
      <c r="R861" s="1186"/>
      <c r="S861" s="1185"/>
      <c r="T861" s="1185"/>
      <c r="U861" s="1185"/>
      <c r="V861" s="1185"/>
      <c r="W861" s="1185"/>
      <c r="X861" s="1185"/>
      <c r="Y861" s="1185"/>
      <c r="Z861" s="1185"/>
      <c r="AA861" s="1185"/>
      <c r="AB861" s="1185"/>
      <c r="AC861" s="1185"/>
      <c r="AD861" s="1185"/>
      <c r="AE861" s="1185"/>
      <c r="AF861" s="1185"/>
      <c r="AG861" s="1185"/>
      <c r="AH861" s="1185"/>
      <c r="AI861" s="1185"/>
    </row>
    <row r="862" spans="1:35">
      <c r="A862" s="1009" t="s">
        <v>400</v>
      </c>
      <c r="B862" s="1219"/>
      <c r="C862" s="1026">
        <v>0</v>
      </c>
      <c r="D862" s="1286">
        <v>50</v>
      </c>
      <c r="E862" s="1041" t="s">
        <v>374</v>
      </c>
      <c r="F862" s="1041">
        <f>ROUND(D862/100*$C862*$D$738,0)</f>
        <v>0</v>
      </c>
      <c r="G862" s="1286">
        <v>56</v>
      </c>
      <c r="H862" s="1009" t="s">
        <v>374</v>
      </c>
      <c r="I862" s="1041">
        <f>ROUND(G862/100*C862*$G$738,0)</f>
        <v>0</v>
      </c>
      <c r="J862" s="1286">
        <f>J842</f>
        <v>63</v>
      </c>
      <c r="K862" s="1009" t="s">
        <v>374</v>
      </c>
      <c r="L862" s="1041">
        <f>ROUND(J862/100*$C862*$D$738,0)</f>
        <v>0</v>
      </c>
      <c r="N862" s="1185"/>
      <c r="O862" s="1185"/>
      <c r="P862" s="1186"/>
      <c r="Q862" s="1186"/>
      <c r="R862" s="1186"/>
      <c r="S862" s="1185"/>
      <c r="T862" s="1185"/>
      <c r="U862" s="1185"/>
      <c r="V862" s="1185"/>
      <c r="W862" s="1185"/>
      <c r="X862" s="1185"/>
      <c r="Y862" s="1185"/>
      <c r="Z862" s="1185"/>
      <c r="AA862" s="1185"/>
      <c r="AB862" s="1185"/>
      <c r="AC862" s="1185"/>
      <c r="AD862" s="1185"/>
      <c r="AE862" s="1185"/>
      <c r="AF862" s="1185"/>
      <c r="AG862" s="1185"/>
      <c r="AH862" s="1185"/>
      <c r="AI862" s="1185"/>
    </row>
    <row r="863" spans="1:35">
      <c r="A863" s="1009" t="s">
        <v>443</v>
      </c>
      <c r="B863" s="1219"/>
      <c r="C863" s="1026">
        <v>0</v>
      </c>
      <c r="D863" s="1229">
        <v>60</v>
      </c>
      <c r="E863" s="1288" t="s">
        <v>31</v>
      </c>
      <c r="F863" s="1041">
        <f>ROUND(D863*$C863,0)</f>
        <v>0</v>
      </c>
      <c r="G863" s="1229">
        <v>60</v>
      </c>
      <c r="H863" s="1219"/>
      <c r="I863" s="1041">
        <f>ROUND(G863*$C863,0)</f>
        <v>0</v>
      </c>
      <c r="J863" s="1229">
        <f>$J$757</f>
        <v>60</v>
      </c>
      <c r="K863" s="1219"/>
      <c r="L863" s="1041">
        <f>ROUND(J863*$C863,0)</f>
        <v>0</v>
      </c>
      <c r="N863" s="1185"/>
      <c r="O863" s="1185"/>
      <c r="P863" s="1186"/>
      <c r="Q863" s="1186"/>
      <c r="R863" s="1186"/>
      <c r="S863" s="1185"/>
      <c r="T863" s="1185"/>
      <c r="U863" s="1185"/>
      <c r="V863" s="1185"/>
      <c r="W863" s="1185"/>
      <c r="X863" s="1185"/>
      <c r="Y863" s="1185"/>
      <c r="Z863" s="1185"/>
      <c r="AA863" s="1185"/>
      <c r="AB863" s="1185"/>
      <c r="AC863" s="1185"/>
      <c r="AD863" s="1185"/>
      <c r="AE863" s="1185"/>
      <c r="AF863" s="1185"/>
      <c r="AG863" s="1185"/>
      <c r="AH863" s="1185"/>
      <c r="AI863" s="1185"/>
    </row>
    <row r="864" spans="1:35">
      <c r="A864" s="1009" t="s">
        <v>444</v>
      </c>
      <c r="B864" s="1219"/>
      <c r="C864" s="1026">
        <v>0</v>
      </c>
      <c r="D864" s="1262">
        <v>-30</v>
      </c>
      <c r="E864" s="1041" t="s">
        <v>374</v>
      </c>
      <c r="F864" s="1041">
        <f>ROUND(D864*$C864/100,0)</f>
        <v>0</v>
      </c>
      <c r="G864" s="1262">
        <v>-30</v>
      </c>
      <c r="H864" s="1041" t="s">
        <v>374</v>
      </c>
      <c r="I864" s="1041">
        <f>ROUND(G864*$C864/100,0)</f>
        <v>0</v>
      </c>
      <c r="J864" s="1262">
        <f>$J$758</f>
        <v>-30</v>
      </c>
      <c r="K864" s="1041" t="s">
        <v>374</v>
      </c>
      <c r="L864" s="1041">
        <f>ROUND(J864*$C864/100,0)</f>
        <v>0</v>
      </c>
      <c r="N864" s="1185"/>
      <c r="O864" s="1185"/>
      <c r="P864" s="1186"/>
      <c r="Q864" s="1186"/>
      <c r="R864" s="1186"/>
      <c r="S864" s="1185"/>
      <c r="T864" s="1185"/>
      <c r="U864" s="1185"/>
      <c r="V864" s="1185"/>
      <c r="W864" s="1185"/>
      <c r="X864" s="1185"/>
      <c r="Y864" s="1185"/>
      <c r="Z864" s="1185"/>
      <c r="AA864" s="1185"/>
      <c r="AB864" s="1185"/>
      <c r="AC864" s="1185"/>
      <c r="AD864" s="1185"/>
      <c r="AE864" s="1185"/>
      <c r="AF864" s="1185"/>
      <c r="AG864" s="1185"/>
      <c r="AH864" s="1185"/>
      <c r="AI864" s="1185"/>
    </row>
    <row r="865" spans="1:37">
      <c r="A865" s="1005" t="s">
        <v>928</v>
      </c>
      <c r="C865" s="1202">
        <f>C861</f>
        <v>0</v>
      </c>
      <c r="D865" s="269"/>
      <c r="E865" s="1185"/>
      <c r="F865" s="1203"/>
      <c r="G865" s="269"/>
      <c r="H865" s="1185"/>
      <c r="I865" s="1203"/>
      <c r="J865" s="1316">
        <f>J759</f>
        <v>3.15</v>
      </c>
      <c r="K865" s="1041" t="s">
        <v>374</v>
      </c>
      <c r="L865" s="1041">
        <f>ROUND(J865*$C865/100,0)</f>
        <v>0</v>
      </c>
      <c r="N865" s="1204"/>
      <c r="P865" s="815"/>
      <c r="Q865" s="1184"/>
      <c r="R865" s="1184"/>
      <c r="S865" s="1205"/>
      <c r="T865" s="1205"/>
      <c r="Y865" s="1185"/>
      <c r="Z865" s="1185"/>
      <c r="AA865" s="1185"/>
      <c r="AB865" s="1185"/>
      <c r="AC865" s="1185"/>
      <c r="AD865" s="1185"/>
      <c r="AE865" s="1185"/>
      <c r="AF865" s="1185"/>
      <c r="AG865" s="1185"/>
      <c r="AH865" s="1185"/>
      <c r="AI865" s="1185"/>
      <c r="AK865" s="1204"/>
    </row>
    <row r="866" spans="1:37">
      <c r="A866" s="1219" t="s">
        <v>381</v>
      </c>
      <c r="B866" s="1219"/>
      <c r="C866" s="1026">
        <f>SUM(C841:C841)</f>
        <v>5401587</v>
      </c>
      <c r="D866" s="1255"/>
      <c r="E866" s="1203"/>
      <c r="F866" s="1203">
        <f>SUM(F821:F864)</f>
        <v>375256</v>
      </c>
      <c r="G866" s="1255"/>
      <c r="H866" s="1009"/>
      <c r="I866" s="1203">
        <f>SUM(I821:I864)</f>
        <v>427909</v>
      </c>
      <c r="J866" s="1255"/>
      <c r="K866" s="1009"/>
      <c r="L866" s="1203">
        <f>SUM(L821:L865)</f>
        <v>480331</v>
      </c>
      <c r="N866" s="1185"/>
      <c r="O866" s="1185"/>
      <c r="P866" s="1186"/>
      <c r="Q866" s="1186"/>
      <c r="R866" s="1186"/>
      <c r="S866" s="1185"/>
      <c r="T866" s="1185"/>
      <c r="U866" s="1185"/>
      <c r="V866" s="1185"/>
      <c r="W866" s="1185"/>
      <c r="X866" s="1185"/>
      <c r="Y866" s="1185"/>
      <c r="Z866" s="1185"/>
      <c r="AA866" s="1185"/>
      <c r="AB866" s="1185"/>
      <c r="AC866" s="1185"/>
      <c r="AD866" s="1185"/>
      <c r="AE866" s="1185"/>
      <c r="AF866" s="1185"/>
      <c r="AG866" s="1185"/>
      <c r="AH866" s="1185"/>
      <c r="AI866" s="1185"/>
    </row>
    <row r="867" spans="1:37">
      <c r="A867" s="1219" t="s">
        <v>363</v>
      </c>
      <c r="B867" s="1219"/>
      <c r="C867" s="1032">
        <f>'[94]Table 2'!H102</f>
        <v>82990.980381971647</v>
      </c>
      <c r="D867" s="1218"/>
      <c r="E867" s="1218"/>
      <c r="F867" s="1239" t="e">
        <f>#REF!</f>
        <v>#REF!</v>
      </c>
      <c r="G867" s="1218"/>
      <c r="H867" s="1218"/>
      <c r="I867" s="1239">
        <f>'[94]Table 3'!E102</f>
        <v>10090.79669113968</v>
      </c>
      <c r="J867" s="1218"/>
      <c r="K867" s="1218"/>
      <c r="L867" s="1239">
        <f>I867</f>
        <v>10090.79669113968</v>
      </c>
      <c r="N867" s="444"/>
      <c r="O867" s="444"/>
      <c r="P867" s="287"/>
      <c r="Q867" s="1186"/>
      <c r="R867" s="1186"/>
      <c r="S867" s="1185"/>
      <c r="T867" s="1185"/>
      <c r="U867" s="1185"/>
      <c r="V867" s="1185"/>
      <c r="W867" s="1185"/>
      <c r="X867" s="1185"/>
      <c r="Y867" s="1185"/>
      <c r="Z867" s="1185"/>
      <c r="AA867" s="1185"/>
      <c r="AB867" s="1185"/>
      <c r="AC867" s="1185"/>
      <c r="AD867" s="1185"/>
      <c r="AE867" s="1185"/>
      <c r="AF867" s="1185"/>
      <c r="AG867" s="1185"/>
      <c r="AH867" s="1185"/>
      <c r="AI867" s="1185"/>
    </row>
    <row r="868" spans="1:37" ht="16.5" thickBot="1">
      <c r="A868" s="1219" t="s">
        <v>382</v>
      </c>
      <c r="B868" s="1219"/>
      <c r="C868" s="1289">
        <f>SUM(C866:C867)</f>
        <v>5484577.9803819712</v>
      </c>
      <c r="D868" s="1265"/>
      <c r="E868" s="1266"/>
      <c r="F868" s="1267" t="e">
        <f>F866+F867</f>
        <v>#REF!</v>
      </c>
      <c r="G868" s="1265"/>
      <c r="H868" s="1269"/>
      <c r="I868" s="1267">
        <f>I866+I867</f>
        <v>437999.79669113969</v>
      </c>
      <c r="J868" s="1265"/>
      <c r="K868" s="1269"/>
      <c r="L868" s="1267">
        <f>L866+L867</f>
        <v>490421.79669113969</v>
      </c>
      <c r="N868" s="411"/>
      <c r="O868" s="411"/>
      <c r="P868" s="470"/>
      <c r="Q868" s="1186"/>
      <c r="R868" s="1186"/>
      <c r="S868" s="1185"/>
      <c r="T868" s="1185"/>
      <c r="U868" s="1185"/>
      <c r="V868" s="1185"/>
      <c r="W868" s="1185"/>
      <c r="X868" s="1185"/>
      <c r="Y868" s="1185"/>
      <c r="Z868" s="1185"/>
      <c r="AA868" s="1185"/>
      <c r="AB868" s="1185"/>
      <c r="AC868" s="1185"/>
      <c r="AD868" s="1185"/>
      <c r="AE868" s="1185"/>
      <c r="AF868" s="1185"/>
      <c r="AG868" s="1185"/>
      <c r="AH868" s="1185"/>
      <c r="AI868" s="1185"/>
    </row>
    <row r="869" spans="1:37" ht="16.5" thickTop="1">
      <c r="A869" s="1233"/>
      <c r="B869" s="1301"/>
      <c r="C869" s="1233"/>
      <c r="D869" s="1225"/>
      <c r="E869" s="1225"/>
      <c r="F869" s="1302"/>
      <c r="G869" s="1219"/>
      <c r="H869" s="1233"/>
      <c r="I869" s="1302" t="s">
        <v>31</v>
      </c>
      <c r="J869" s="1233"/>
      <c r="K869" s="1233"/>
      <c r="L869" s="1233"/>
      <c r="N869" s="1185"/>
      <c r="O869" s="1185"/>
      <c r="P869" s="1186"/>
      <c r="Q869" s="1186"/>
      <c r="R869" s="1186"/>
      <c r="S869" s="1185"/>
      <c r="T869" s="1185"/>
      <c r="U869" s="1185"/>
      <c r="V869" s="1185"/>
      <c r="W869" s="1185"/>
      <c r="X869" s="1185"/>
      <c r="Y869" s="1185"/>
      <c r="Z869" s="1185"/>
      <c r="AA869" s="1185"/>
      <c r="AB869" s="1185"/>
      <c r="AC869" s="1185"/>
      <c r="AD869" s="1185"/>
      <c r="AE869" s="1185"/>
      <c r="AF869" s="1185"/>
      <c r="AG869" s="1185"/>
      <c r="AH869" s="1185"/>
      <c r="AI869" s="1185"/>
    </row>
    <row r="870" spans="1:37">
      <c r="A870" s="1224" t="s">
        <v>469</v>
      </c>
      <c r="B870" s="1219"/>
      <c r="C870" s="1219"/>
      <c r="D870" s="1203"/>
      <c r="E870" s="1203"/>
      <c r="F870" s="1219"/>
      <c r="G870" s="1203"/>
      <c r="H870" s="1219"/>
      <c r="I870" s="1219"/>
      <c r="J870" s="1203"/>
      <c r="K870" s="1219"/>
      <c r="L870" s="1219"/>
      <c r="N870" s="1185"/>
      <c r="O870" s="1185"/>
      <c r="P870" s="1186"/>
      <c r="Q870" s="1186"/>
      <c r="R870" s="1186"/>
      <c r="S870" s="1185"/>
      <c r="T870" s="1185"/>
      <c r="U870" s="1185"/>
      <c r="V870" s="1185"/>
      <c r="W870" s="1185"/>
      <c r="X870" s="1185"/>
      <c r="Y870" s="1185"/>
      <c r="Z870" s="1185"/>
      <c r="AA870" s="1185"/>
      <c r="AB870" s="1185"/>
      <c r="AC870" s="1185"/>
      <c r="AD870" s="1185"/>
      <c r="AE870" s="1185"/>
      <c r="AF870" s="1185"/>
      <c r="AG870" s="1185"/>
      <c r="AH870" s="1185"/>
      <c r="AI870" s="1185"/>
    </row>
    <row r="871" spans="1:37">
      <c r="A871" s="1218" t="s">
        <v>470</v>
      </c>
      <c r="B871" s="1219"/>
      <c r="C871" s="1219"/>
      <c r="D871" s="1203"/>
      <c r="E871" s="1203"/>
      <c r="F871" s="1219"/>
      <c r="G871" s="1203"/>
      <c r="H871" s="1219"/>
      <c r="I871" s="1219"/>
      <c r="J871" s="1203"/>
      <c r="K871" s="1219"/>
      <c r="L871" s="1219"/>
      <c r="N871" s="1185"/>
      <c r="O871" s="1185"/>
      <c r="P871" s="1186"/>
      <c r="Q871" s="1186"/>
      <c r="R871" s="1186"/>
      <c r="S871" s="1185"/>
      <c r="T871" s="1185"/>
      <c r="U871" s="1185"/>
      <c r="V871" s="1185"/>
      <c r="W871" s="1185"/>
      <c r="X871" s="1185"/>
      <c r="Y871" s="1185"/>
      <c r="Z871" s="1185"/>
      <c r="AA871" s="1185"/>
      <c r="AB871" s="1185"/>
      <c r="AC871" s="1185"/>
      <c r="AD871" s="1185"/>
      <c r="AE871" s="1185"/>
      <c r="AF871" s="1185"/>
      <c r="AG871" s="1185"/>
      <c r="AH871" s="1185"/>
      <c r="AI871" s="1185"/>
    </row>
    <row r="872" spans="1:37">
      <c r="A872" s="1009"/>
      <c r="B872" s="1219"/>
      <c r="C872" s="1219"/>
      <c r="D872" s="1203"/>
      <c r="E872" s="1203"/>
      <c r="F872" s="1219"/>
      <c r="G872" s="1203"/>
      <c r="H872" s="1219"/>
      <c r="I872" s="1219"/>
      <c r="J872" s="1203"/>
      <c r="K872" s="1219"/>
      <c r="L872" s="1219"/>
      <c r="N872" s="1185"/>
      <c r="O872" s="1185"/>
      <c r="P872" s="1186"/>
      <c r="Q872" s="1186"/>
      <c r="R872" s="1186"/>
      <c r="S872" s="1185"/>
      <c r="T872" s="1185"/>
      <c r="U872" s="1185"/>
      <c r="V872" s="1185"/>
      <c r="W872" s="1185"/>
      <c r="X872" s="1185"/>
      <c r="Y872" s="1185"/>
      <c r="Z872" s="1185"/>
      <c r="AA872" s="1185"/>
      <c r="AB872" s="1185"/>
      <c r="AC872" s="1185"/>
      <c r="AD872" s="1185"/>
      <c r="AE872" s="1185"/>
      <c r="AF872" s="1185"/>
      <c r="AG872" s="1185"/>
      <c r="AH872" s="1185"/>
      <c r="AI872" s="1185"/>
    </row>
    <row r="873" spans="1:37">
      <c r="A873" s="1009" t="s">
        <v>393</v>
      </c>
      <c r="B873" s="1219"/>
      <c r="C873" s="1026"/>
      <c r="D873" s="1203"/>
      <c r="E873" s="1203"/>
      <c r="F873" s="1219"/>
      <c r="G873" s="1203"/>
      <c r="H873" s="1219"/>
      <c r="I873" s="1219"/>
      <c r="J873" s="1203"/>
      <c r="K873" s="1219"/>
      <c r="L873" s="1219"/>
      <c r="N873" s="1185"/>
      <c r="O873" s="1185"/>
      <c r="P873" s="1186"/>
      <c r="Q873" s="1186"/>
      <c r="R873" s="1186"/>
      <c r="S873" s="1185"/>
      <c r="T873" s="1185"/>
      <c r="U873" s="1185"/>
      <c r="V873" s="1185"/>
      <c r="W873" s="1185"/>
      <c r="X873" s="1185"/>
      <c r="Y873" s="1185"/>
      <c r="Z873" s="1185"/>
      <c r="AA873" s="1185"/>
      <c r="AB873" s="1185"/>
      <c r="AC873" s="1185"/>
      <c r="AD873" s="1185"/>
      <c r="AE873" s="1185"/>
      <c r="AF873" s="1185"/>
      <c r="AG873" s="1185"/>
      <c r="AH873" s="1185"/>
      <c r="AI873" s="1185"/>
    </row>
    <row r="874" spans="1:37">
      <c r="A874" s="1009" t="s">
        <v>471</v>
      </c>
      <c r="B874" s="1219"/>
      <c r="C874" s="1026">
        <v>12</v>
      </c>
      <c r="D874" s="1303">
        <v>1215</v>
      </c>
      <c r="E874" s="1261"/>
      <c r="F874" s="1203">
        <f>ROUND(D874*$C874,0)</f>
        <v>14580</v>
      </c>
      <c r="G874" s="1303">
        <v>1386</v>
      </c>
      <c r="H874" s="1041"/>
      <c r="I874" s="1203">
        <f>ROUND(G874*C874,0)</f>
        <v>16632</v>
      </c>
      <c r="J874" s="1303">
        <f>J953</f>
        <v>1581</v>
      </c>
      <c r="K874" s="1041"/>
      <c r="L874" s="1203">
        <f>ROUND(J874*$C874,0)</f>
        <v>18972</v>
      </c>
      <c r="N874" s="1204" t="e">
        <f>J874*#REF!</f>
        <v>#REF!</v>
      </c>
      <c r="P874" s="55"/>
      <c r="S874" s="1185"/>
      <c r="T874" s="1185"/>
      <c r="U874" s="1185"/>
      <c r="V874" s="1185"/>
      <c r="W874" s="1185"/>
      <c r="X874" s="1185"/>
      <c r="Y874" s="1185"/>
      <c r="Z874" s="1185"/>
      <c r="AA874" s="1185"/>
      <c r="AB874" s="1185"/>
      <c r="AC874" s="1185"/>
      <c r="AD874" s="1185"/>
      <c r="AE874" s="1185"/>
      <c r="AF874" s="1185"/>
      <c r="AG874" s="1185"/>
      <c r="AH874" s="1185"/>
      <c r="AI874" s="1185"/>
    </row>
    <row r="875" spans="1:37">
      <c r="A875" s="1009" t="s">
        <v>472</v>
      </c>
      <c r="B875" s="1219"/>
      <c r="C875" s="1026">
        <v>0</v>
      </c>
      <c r="D875" s="1303">
        <v>1465</v>
      </c>
      <c r="E875" s="1261"/>
      <c r="F875" s="1203">
        <f>ROUND(D875*$C875,0)</f>
        <v>0</v>
      </c>
      <c r="G875" s="1303">
        <v>1675</v>
      </c>
      <c r="H875" s="1249"/>
      <c r="I875" s="1203">
        <f>ROUND(G875*C875,0)</f>
        <v>0</v>
      </c>
      <c r="J875" s="1303">
        <f>J954</f>
        <v>1914</v>
      </c>
      <c r="K875" s="1249"/>
      <c r="L875" s="1203">
        <f>ROUND(J875*$C875,0)</f>
        <v>0</v>
      </c>
      <c r="N875" s="1204" t="e">
        <f>J875*#REF!</f>
        <v>#REF!</v>
      </c>
      <c r="P875" s="55"/>
      <c r="S875" s="1185"/>
      <c r="T875" s="1185"/>
      <c r="U875" s="1185"/>
      <c r="V875" s="1185"/>
      <c r="W875" s="1185"/>
      <c r="X875" s="1185"/>
      <c r="Y875" s="1185"/>
      <c r="Z875" s="1185"/>
      <c r="AA875" s="1185"/>
      <c r="AB875" s="1185"/>
      <c r="AC875" s="1185"/>
      <c r="AD875" s="1185"/>
      <c r="AE875" s="1185"/>
      <c r="AF875" s="1185"/>
      <c r="AG875" s="1185"/>
      <c r="AH875" s="1185"/>
      <c r="AI875" s="1185"/>
    </row>
    <row r="876" spans="1:37">
      <c r="A876" s="1009" t="s">
        <v>394</v>
      </c>
      <c r="B876" s="1219"/>
      <c r="C876" s="1026">
        <f>SUM(C874:C875)</f>
        <v>12</v>
      </c>
      <c r="D876" s="1303" t="s">
        <v>31</v>
      </c>
      <c r="E876" s="1261"/>
      <c r="F876" s="1203" t="s">
        <v>31</v>
      </c>
      <c r="G876" s="1303" t="s">
        <v>31</v>
      </c>
      <c r="H876" s="1041"/>
      <c r="I876" s="1203" t="s">
        <v>31</v>
      </c>
      <c r="J876" s="1303" t="str">
        <f>P917</f>
        <v xml:space="preserve"> </v>
      </c>
      <c r="K876" s="1041"/>
      <c r="L876" s="1203" t="s">
        <v>31</v>
      </c>
      <c r="S876" s="1185"/>
      <c r="T876" s="1185"/>
      <c r="U876" s="1185"/>
      <c r="V876" s="1185"/>
      <c r="W876" s="1185"/>
      <c r="X876" s="1185"/>
      <c r="Y876" s="1185"/>
      <c r="Z876" s="1185"/>
      <c r="AA876" s="1185"/>
      <c r="AB876" s="1185"/>
      <c r="AC876" s="1185"/>
      <c r="AD876" s="1185"/>
      <c r="AE876" s="1185"/>
      <c r="AF876" s="1185"/>
      <c r="AG876" s="1185"/>
      <c r="AH876" s="1185"/>
      <c r="AI876" s="1185"/>
    </row>
    <row r="877" spans="1:37">
      <c r="A877" s="1009" t="s">
        <v>473</v>
      </c>
      <c r="B877" s="1219"/>
      <c r="C877" s="1026">
        <f>24891</f>
        <v>24891</v>
      </c>
      <c r="D877" s="1303">
        <v>0.92</v>
      </c>
      <c r="E877" s="1261"/>
      <c r="F877" s="1203">
        <f>ROUND(D877*$C877,0)</f>
        <v>22900</v>
      </c>
      <c r="G877" s="1303">
        <v>1.06</v>
      </c>
      <c r="H877" s="1041"/>
      <c r="I877" s="1203">
        <f t="shared" ref="I877:I879" si="129">ROUND(G877*C877,0)</f>
        <v>26384</v>
      </c>
      <c r="J877" s="1303">
        <f>J956</f>
        <v>1.21</v>
      </c>
      <c r="K877" s="1041"/>
      <c r="L877" s="1203">
        <f>ROUND(J877*$C877,0)</f>
        <v>30118</v>
      </c>
      <c r="N877" s="1204" t="e">
        <f>J877*#REF!</f>
        <v>#REF!</v>
      </c>
      <c r="P877" s="55"/>
      <c r="S877" s="1185"/>
      <c r="T877" s="1185"/>
      <c r="U877" s="1185"/>
      <c r="V877" s="1185"/>
      <c r="W877" s="1185"/>
      <c r="X877" s="1185"/>
      <c r="Y877" s="1185"/>
      <c r="Z877" s="1185"/>
      <c r="AA877" s="1185"/>
      <c r="AB877" s="1185"/>
      <c r="AC877" s="1185"/>
      <c r="AD877" s="1185"/>
      <c r="AE877" s="1185"/>
      <c r="AF877" s="1185"/>
      <c r="AG877" s="1185"/>
      <c r="AH877" s="1185"/>
      <c r="AI877" s="1185"/>
    </row>
    <row r="878" spans="1:37">
      <c r="A878" s="1009" t="s">
        <v>474</v>
      </c>
      <c r="B878" s="1219"/>
      <c r="C878" s="1026">
        <v>0</v>
      </c>
      <c r="D878" s="1303">
        <v>0.84</v>
      </c>
      <c r="E878" s="1261"/>
      <c r="F878" s="1203">
        <f>ROUND(D878*$C878,0)</f>
        <v>0</v>
      </c>
      <c r="G878" s="1303">
        <v>0.96</v>
      </c>
      <c r="H878" s="1041"/>
      <c r="I878" s="1203">
        <f t="shared" si="129"/>
        <v>0</v>
      </c>
      <c r="J878" s="1303">
        <f>J957</f>
        <v>1.1000000000000001</v>
      </c>
      <c r="K878" s="1041"/>
      <c r="L878" s="1203">
        <f>ROUND(J878*$C878,0)</f>
        <v>0</v>
      </c>
      <c r="N878" s="1204" t="e">
        <f>J878*#REF!</f>
        <v>#REF!</v>
      </c>
      <c r="S878" s="1185"/>
      <c r="T878" s="1185"/>
      <c r="U878" s="1185"/>
      <c r="V878" s="1185"/>
      <c r="W878" s="1185"/>
      <c r="X878" s="1185"/>
      <c r="Y878" s="1185"/>
      <c r="Z878" s="1185"/>
      <c r="AA878" s="1185"/>
      <c r="AB878" s="1185"/>
      <c r="AC878" s="1185"/>
      <c r="AD878" s="1185"/>
      <c r="AE878" s="1185"/>
      <c r="AF878" s="1185"/>
      <c r="AG878" s="1185"/>
      <c r="AH878" s="1185"/>
      <c r="AI878" s="1185"/>
    </row>
    <row r="879" spans="1:37">
      <c r="A879" s="1218" t="s">
        <v>403</v>
      </c>
      <c r="B879" s="1219"/>
      <c r="C879" s="1026">
        <f>18680</f>
        <v>18680</v>
      </c>
      <c r="D879" s="1303">
        <v>6.22</v>
      </c>
      <c r="E879" s="1261"/>
      <c r="F879" s="1203">
        <f>ROUND(D879*$C879,0)</f>
        <v>116190</v>
      </c>
      <c r="G879" s="1303">
        <v>7.12</v>
      </c>
      <c r="H879" s="1041"/>
      <c r="I879" s="1203">
        <f t="shared" si="129"/>
        <v>133002</v>
      </c>
      <c r="J879" s="1303">
        <f>J958</f>
        <v>8.4400000000000013</v>
      </c>
      <c r="K879" s="1041"/>
      <c r="L879" s="1203">
        <f>ROUND(J879*$C879,0)</f>
        <v>157659</v>
      </c>
      <c r="N879" s="1204" t="e">
        <f>J879*#REF!</f>
        <v>#REF!</v>
      </c>
      <c r="S879" s="1185"/>
      <c r="T879" s="1185"/>
      <c r="U879" s="1185"/>
      <c r="V879" s="1185"/>
      <c r="W879" s="1185"/>
      <c r="X879" s="1185"/>
      <c r="Y879" s="1185"/>
      <c r="Z879" s="1185"/>
      <c r="AA879" s="1185"/>
      <c r="AB879" s="1185"/>
      <c r="AC879" s="1185"/>
      <c r="AD879" s="1185"/>
      <c r="AE879" s="1185"/>
      <c r="AF879" s="1185"/>
      <c r="AG879" s="1185"/>
      <c r="AH879" s="1185"/>
      <c r="AI879" s="1185"/>
    </row>
    <row r="880" spans="1:37">
      <c r="A880" s="1009" t="s">
        <v>426</v>
      </c>
      <c r="B880" s="1219"/>
      <c r="C880" s="1026"/>
      <c r="D880" s="1303"/>
      <c r="E880" s="1261"/>
      <c r="F880" s="1203"/>
      <c r="G880" s="1303"/>
      <c r="H880" s="1041"/>
      <c r="I880" s="1203"/>
      <c r="J880" s="1303"/>
      <c r="K880" s="1041"/>
      <c r="L880" s="1203"/>
      <c r="S880" s="1185"/>
      <c r="T880" s="1185"/>
      <c r="U880" s="1185"/>
      <c r="V880" s="1185"/>
      <c r="W880" s="1185"/>
      <c r="X880" s="1185"/>
      <c r="Y880" s="1185"/>
      <c r="Z880" s="1185"/>
      <c r="AA880" s="1185"/>
      <c r="AB880" s="1185"/>
      <c r="AC880" s="1185"/>
      <c r="AD880" s="1185"/>
      <c r="AE880" s="1185"/>
      <c r="AF880" s="1185"/>
      <c r="AG880" s="1185"/>
      <c r="AH880" s="1185"/>
      <c r="AI880" s="1185"/>
    </row>
    <row r="881" spans="1:38">
      <c r="A881" s="1009" t="s">
        <v>464</v>
      </c>
      <c r="B881" s="1219"/>
      <c r="C881" s="1026">
        <f>1699425</f>
        <v>1699425</v>
      </c>
      <c r="D881" s="1317">
        <v>3.718</v>
      </c>
      <c r="E881" s="1041" t="s">
        <v>374</v>
      </c>
      <c r="F881" s="1203">
        <f>ROUND(D881/100*$C881,0)</f>
        <v>63185</v>
      </c>
      <c r="G881" s="1317">
        <v>4.2460000000000004</v>
      </c>
      <c r="H881" s="1041" t="s">
        <v>374</v>
      </c>
      <c r="I881" s="1203">
        <f>ROUND(G881/100*C881,0)</f>
        <v>72158</v>
      </c>
      <c r="J881" s="1317">
        <f>J960</f>
        <v>1.5410000000000001</v>
      </c>
      <c r="K881" s="1041" t="s">
        <v>374</v>
      </c>
      <c r="L881" s="1203">
        <f>ROUND(J881/100*$C881,0)</f>
        <v>26188</v>
      </c>
      <c r="N881" s="1204" t="e">
        <f>(J881/100)*#REF!</f>
        <v>#REF!</v>
      </c>
      <c r="S881" s="1185"/>
      <c r="T881" s="1185"/>
      <c r="U881" s="1185"/>
      <c r="V881" s="1185"/>
      <c r="W881" s="1185"/>
      <c r="X881" s="1185"/>
      <c r="Y881" s="1185"/>
      <c r="Z881" s="1185"/>
      <c r="AA881" s="1185"/>
      <c r="AB881" s="1185"/>
      <c r="AC881" s="1185"/>
      <c r="AD881" s="1185"/>
      <c r="AE881" s="1185"/>
      <c r="AF881" s="1185"/>
      <c r="AG881" s="1185"/>
      <c r="AH881" s="1185"/>
      <c r="AI881" s="1185"/>
    </row>
    <row r="882" spans="1:38">
      <c r="A882" s="1009" t="s">
        <v>400</v>
      </c>
      <c r="B882" s="1219"/>
      <c r="C882" s="1026">
        <v>0</v>
      </c>
      <c r="D882" s="1303">
        <v>0.48</v>
      </c>
      <c r="E882" s="1041"/>
      <c r="F882" s="1203">
        <f>ROUND(D882*$C882,0)</f>
        <v>0</v>
      </c>
      <c r="G882" s="1303">
        <v>0.55000000000000004</v>
      </c>
      <c r="H882" s="1041"/>
      <c r="I882" s="1203">
        <f>ROUND(G882*C882,0)</f>
        <v>0</v>
      </c>
      <c r="J882" s="1303">
        <f>J961</f>
        <v>0.63</v>
      </c>
      <c r="K882" s="1041"/>
      <c r="L882" s="1203">
        <f>ROUND(J882*$C882,0)</f>
        <v>0</v>
      </c>
      <c r="N882" s="1204" t="e">
        <f>J882*#REF!</f>
        <v>#REF!</v>
      </c>
      <c r="O882" s="1026"/>
      <c r="S882" s="1185"/>
      <c r="T882" s="1185"/>
      <c r="U882" s="1185"/>
      <c r="V882" s="1185"/>
      <c r="W882" s="1185"/>
      <c r="X882" s="1185"/>
      <c r="Y882" s="1185"/>
      <c r="Z882" s="1185"/>
      <c r="AA882" s="1185"/>
      <c r="AB882" s="1185"/>
      <c r="AC882" s="1185"/>
      <c r="AD882" s="1185"/>
      <c r="AE882" s="1185"/>
      <c r="AF882" s="1185"/>
      <c r="AG882" s="1185"/>
      <c r="AH882" s="1185"/>
      <c r="AI882" s="1185"/>
    </row>
    <row r="883" spans="1:38">
      <c r="A883" s="1218" t="s">
        <v>428</v>
      </c>
      <c r="B883" s="1219"/>
      <c r="C883" s="1026">
        <v>0</v>
      </c>
      <c r="D883" s="1318">
        <v>5.9999999999999995E-4</v>
      </c>
      <c r="E883" s="1041"/>
      <c r="F883" s="1203">
        <f>ROUND(D883*$C883,0)</f>
        <v>0</v>
      </c>
      <c r="G883" s="1318">
        <v>5.9999999999999995E-4</v>
      </c>
      <c r="H883" s="1041"/>
      <c r="I883" s="1203">
        <f>ROUND(G883*C883,0)</f>
        <v>0</v>
      </c>
      <c r="J883" s="1318">
        <v>5.9999999999999995E-4</v>
      </c>
      <c r="K883" s="1041"/>
      <c r="L883" s="1203">
        <f>ROUND(J883*$C883,0)</f>
        <v>0</v>
      </c>
      <c r="N883" s="1204" t="e">
        <f>J883*#REF!</f>
        <v>#REF!</v>
      </c>
      <c r="O883" s="1026"/>
      <c r="S883" s="1185"/>
      <c r="T883" s="1185"/>
      <c r="U883" s="1185"/>
      <c r="V883" s="1185"/>
      <c r="W883" s="1185"/>
      <c r="X883" s="1185"/>
      <c r="Y883" s="1185"/>
      <c r="Z883" s="1185"/>
      <c r="AA883" s="1185"/>
      <c r="AB883" s="1185"/>
      <c r="AC883" s="1185"/>
      <c r="AD883" s="1185"/>
      <c r="AE883" s="1185"/>
      <c r="AF883" s="1185"/>
      <c r="AG883" s="1185"/>
      <c r="AH883" s="1185"/>
      <c r="AI883" s="1185"/>
    </row>
    <row r="884" spans="1:38">
      <c r="A884" s="1218" t="s">
        <v>433</v>
      </c>
      <c r="B884" s="1219"/>
      <c r="C884" s="1026">
        <f>5320</f>
        <v>5320</v>
      </c>
      <c r="D884" s="1319">
        <v>3.11</v>
      </c>
      <c r="E884" s="1041"/>
      <c r="F884" s="1041">
        <f>ROUND(D884*$C884,0)</f>
        <v>16545</v>
      </c>
      <c r="G884" s="1259">
        <v>3.56</v>
      </c>
      <c r="H884" s="1041"/>
      <c r="I884" s="1041">
        <f>ROUND(G884*$C884,0)</f>
        <v>18939</v>
      </c>
      <c r="J884" s="1259">
        <f>ROUND(J879/2,3)</f>
        <v>4.22</v>
      </c>
      <c r="K884" s="1041"/>
      <c r="L884" s="1041">
        <f>ROUND($C884*J884,0)</f>
        <v>22450</v>
      </c>
      <c r="N884" s="1204" t="e">
        <f>J884*#REF!</f>
        <v>#REF!</v>
      </c>
      <c r="S884" s="1185"/>
      <c r="T884" s="1185"/>
      <c r="U884" s="1185"/>
      <c r="V884" s="1185"/>
      <c r="W884" s="1185"/>
      <c r="X884" s="1185"/>
      <c r="Y884" s="1185"/>
      <c r="Z884" s="1185"/>
      <c r="AA884" s="1185"/>
      <c r="AB884" s="1185"/>
      <c r="AC884" s="1185"/>
      <c r="AD884" s="1185"/>
      <c r="AE884" s="1185"/>
      <c r="AF884" s="1185"/>
      <c r="AG884" s="1185"/>
      <c r="AH884" s="1185"/>
      <c r="AI884" s="1185"/>
    </row>
    <row r="885" spans="1:38">
      <c r="A885" s="1218" t="s">
        <v>434</v>
      </c>
      <c r="B885" s="1219"/>
      <c r="C885" s="1026">
        <f>592</f>
        <v>592</v>
      </c>
      <c r="D885" s="1259">
        <v>24.88</v>
      </c>
      <c r="E885" s="1041"/>
      <c r="F885" s="1041">
        <f>ROUND(D885*$C885,0)</f>
        <v>14729</v>
      </c>
      <c r="G885" s="1259">
        <v>28.48</v>
      </c>
      <c r="H885" s="1041"/>
      <c r="I885" s="1041">
        <f>ROUND(G885*$C885,0)</f>
        <v>16860</v>
      </c>
      <c r="J885" s="1259">
        <f>J879*4</f>
        <v>33.760000000000005</v>
      </c>
      <c r="K885" s="1041"/>
      <c r="L885" s="1041">
        <f>ROUND($C885*J885,0)</f>
        <v>19986</v>
      </c>
      <c r="N885" s="1204" t="e">
        <f>J885*#REF!</f>
        <v>#REF!</v>
      </c>
      <c r="S885" s="1185"/>
      <c r="T885" s="1185"/>
      <c r="U885" s="1185"/>
      <c r="V885" s="1185"/>
      <c r="W885" s="1185"/>
      <c r="X885" s="1185"/>
      <c r="Y885" s="1185"/>
      <c r="Z885" s="1185"/>
      <c r="AA885" s="1185"/>
      <c r="AB885" s="1185"/>
      <c r="AC885" s="1185"/>
      <c r="AD885" s="1185"/>
      <c r="AE885" s="1185"/>
      <c r="AF885" s="1185"/>
      <c r="AG885" s="1185"/>
      <c r="AH885" s="1185"/>
      <c r="AI885" s="1185"/>
    </row>
    <row r="886" spans="1:38">
      <c r="A886" s="1184" t="s">
        <v>435</v>
      </c>
      <c r="B886" s="1233"/>
      <c r="C886" s="1026">
        <f>11575</f>
        <v>11575</v>
      </c>
      <c r="D886" s="1320">
        <v>14.872</v>
      </c>
      <c r="E886" s="1041" t="s">
        <v>374</v>
      </c>
      <c r="F886" s="1041">
        <f>ROUND($C886*D886/100,0)</f>
        <v>1721</v>
      </c>
      <c r="G886" s="1320">
        <v>16.984000000000002</v>
      </c>
      <c r="H886" s="1041" t="s">
        <v>374</v>
      </c>
      <c r="I886" s="1041">
        <f>ROUND($C886*G886/100,0)</f>
        <v>1966</v>
      </c>
      <c r="J886" s="1320">
        <f>(J881+J884)*4</f>
        <v>23.044</v>
      </c>
      <c r="K886" s="1041" t="s">
        <v>374</v>
      </c>
      <c r="L886" s="1041">
        <f>ROUND($C886*J886/100,0)</f>
        <v>2667</v>
      </c>
      <c r="N886" s="1204" t="e">
        <f>(J886/100)*#REF!</f>
        <v>#REF!</v>
      </c>
      <c r="S886" s="1185"/>
      <c r="T886" s="1185"/>
      <c r="U886" s="1185"/>
      <c r="V886" s="1185"/>
      <c r="W886" s="1185"/>
      <c r="X886" s="1185"/>
      <c r="Y886" s="1185"/>
      <c r="Z886" s="1185"/>
      <c r="AA886" s="1185"/>
      <c r="AB886" s="1185"/>
      <c r="AC886" s="1185"/>
      <c r="AD886" s="1185"/>
      <c r="AE886" s="1185"/>
      <c r="AF886" s="1185"/>
      <c r="AG886" s="1185"/>
      <c r="AH886" s="1185"/>
      <c r="AI886" s="1185"/>
    </row>
    <row r="887" spans="1:38">
      <c r="A887" s="1005" t="s">
        <v>928</v>
      </c>
      <c r="C887" s="1202">
        <f>C881</f>
        <v>1699425</v>
      </c>
      <c r="D887" s="269"/>
      <c r="E887" s="1185"/>
      <c r="F887" s="1203"/>
      <c r="G887" s="269"/>
      <c r="H887" s="1185"/>
      <c r="I887" s="1203"/>
      <c r="J887" s="1317">
        <f>J942</f>
        <v>3.2360000000000002</v>
      </c>
      <c r="K887" s="1041" t="s">
        <v>374</v>
      </c>
      <c r="L887" s="1203">
        <f>ROUND(J887/100*$C887,0)</f>
        <v>54993</v>
      </c>
      <c r="N887" s="1204"/>
      <c r="P887" s="815"/>
      <c r="Q887" s="1184"/>
      <c r="R887" s="1184"/>
      <c r="S887" s="1205"/>
      <c r="T887" s="1205"/>
      <c r="Y887" s="1185"/>
      <c r="Z887" s="1185"/>
      <c r="AA887" s="1185"/>
      <c r="AB887" s="1185"/>
      <c r="AC887" s="1185"/>
      <c r="AD887" s="1185"/>
      <c r="AE887" s="1185"/>
      <c r="AF887" s="1185"/>
      <c r="AG887" s="1185"/>
      <c r="AH887" s="1185"/>
      <c r="AI887" s="1185"/>
      <c r="AK887" s="1204"/>
    </row>
    <row r="888" spans="1:38">
      <c r="A888" s="1219" t="s">
        <v>381</v>
      </c>
      <c r="B888" s="1219"/>
      <c r="C888" s="1026">
        <f>C881+C886</f>
        <v>1711000</v>
      </c>
      <c r="D888" s="1255"/>
      <c r="E888" s="1203"/>
      <c r="F888" s="1203">
        <f>SUM(F874:F886)</f>
        <v>249850</v>
      </c>
      <c r="G888" s="1255"/>
      <c r="H888" s="1219"/>
      <c r="I888" s="1203">
        <f>SUM(I874:I886)</f>
        <v>285941</v>
      </c>
      <c r="J888" s="1255"/>
      <c r="K888" s="1219"/>
      <c r="L888" s="1203">
        <f>SUM(L874:L887)</f>
        <v>333033</v>
      </c>
      <c r="N888" s="1204" t="e">
        <f>SUM(N874:N886)</f>
        <v>#REF!</v>
      </c>
      <c r="S888" s="1185"/>
      <c r="T888" s="1185"/>
      <c r="U888" s="1185"/>
      <c r="V888" s="1185"/>
      <c r="W888" s="1185"/>
      <c r="X888" s="1185"/>
      <c r="Y888" s="1185"/>
      <c r="Z888" s="1185"/>
      <c r="AA888" s="1185"/>
      <c r="AB888" s="1185"/>
      <c r="AC888" s="1185"/>
      <c r="AD888" s="1185"/>
      <c r="AE888" s="1185"/>
      <c r="AF888" s="1185"/>
      <c r="AG888" s="1185"/>
      <c r="AH888" s="1185"/>
      <c r="AI888" s="1185"/>
    </row>
    <row r="889" spans="1:38">
      <c r="A889" s="1219" t="s">
        <v>363</v>
      </c>
      <c r="B889" s="1219"/>
      <c r="C889" s="1026">
        <f>'[94]Table 2'!H79</f>
        <v>23474.365497148876</v>
      </c>
      <c r="D889" s="1218"/>
      <c r="E889" s="1218"/>
      <c r="F889" s="1264" t="e">
        <f>#REF!</f>
        <v>#REF!</v>
      </c>
      <c r="G889" s="1218"/>
      <c r="H889" s="1218"/>
      <c r="I889" s="1264">
        <f>'[94]Table 3'!E79</f>
        <v>4619.5116938615674</v>
      </c>
      <c r="J889" s="1218"/>
      <c r="K889" s="1218"/>
      <c r="L889" s="1264">
        <f>I889</f>
        <v>4619.5116938615674</v>
      </c>
      <c r="S889" s="1185"/>
      <c r="T889" s="1185"/>
      <c r="U889" s="1185"/>
      <c r="V889" s="1185"/>
      <c r="W889" s="1185"/>
      <c r="X889" s="1185"/>
      <c r="Y889" s="1185"/>
      <c r="Z889" s="1185"/>
      <c r="AA889" s="1185"/>
      <c r="AB889" s="1185"/>
      <c r="AC889" s="1185"/>
      <c r="AD889" s="1185"/>
      <c r="AE889" s="1185"/>
      <c r="AF889" s="1185"/>
      <c r="AG889" s="1185"/>
      <c r="AH889" s="1185"/>
      <c r="AI889" s="1185"/>
    </row>
    <row r="890" spans="1:38" ht="16.5" thickBot="1">
      <c r="A890" s="1219" t="s">
        <v>382</v>
      </c>
      <c r="B890" s="1219"/>
      <c r="C890" s="1321">
        <f>SUM(C888)+C889</f>
        <v>1734474.3654971488</v>
      </c>
      <c r="D890" s="1265"/>
      <c r="E890" s="1266"/>
      <c r="F890" s="1267" t="e">
        <f>F888+F889</f>
        <v>#REF!</v>
      </c>
      <c r="G890" s="1265"/>
      <c r="H890" s="1269"/>
      <c r="I890" s="1267">
        <f>I888+I889</f>
        <v>290560.51169386157</v>
      </c>
      <c r="J890" s="1265"/>
      <c r="K890" s="1269"/>
      <c r="L890" s="1267">
        <f>L888+L889</f>
        <v>337652.51169386157</v>
      </c>
      <c r="O890" s="1215" t="s">
        <v>364</v>
      </c>
      <c r="P890" s="1216">
        <f>'[94]Rate Spread'!Q26*1000</f>
        <v>334115.46079693397</v>
      </c>
      <c r="Q890" s="818">
        <f>'[94]Rate Spread'!V26</f>
        <v>0.14989975358028876</v>
      </c>
      <c r="R890" s="777"/>
      <c r="S890" s="1185"/>
      <c r="T890" s="1185"/>
      <c r="U890" s="1185"/>
      <c r="V890" s="1185"/>
      <c r="W890" s="1185"/>
      <c r="X890" s="1185"/>
      <c r="Y890" s="1185"/>
      <c r="Z890" s="1185"/>
      <c r="AA890" s="1185"/>
      <c r="AB890" s="1185"/>
      <c r="AC890" s="1185"/>
      <c r="AD890" s="1185"/>
      <c r="AE890" s="1185"/>
      <c r="AF890" s="1185"/>
      <c r="AG890" s="1185"/>
      <c r="AH890" s="1185"/>
      <c r="AI890" s="1185"/>
    </row>
    <row r="891" spans="1:38" ht="16.5" thickTop="1">
      <c r="A891" s="1219"/>
      <c r="B891" s="1219"/>
      <c r="C891" s="1225"/>
      <c r="D891" s="1261"/>
      <c r="E891" s="1203"/>
      <c r="F891" s="1203"/>
      <c r="G891" s="1261"/>
      <c r="H891" s="1219"/>
      <c r="I891" s="1203"/>
      <c r="J891" s="1261"/>
      <c r="K891" s="1219"/>
      <c r="L891" s="1303"/>
      <c r="O891" s="1220" t="s">
        <v>263</v>
      </c>
      <c r="P891" s="1221">
        <f>P890-L890</f>
        <v>-3537.0508969275979</v>
      </c>
      <c r="Q891" s="816" t="s">
        <v>31</v>
      </c>
      <c r="R891" s="826"/>
      <c r="S891" s="1185"/>
      <c r="T891" s="1185"/>
      <c r="U891" s="1185"/>
      <c r="V891" s="1185"/>
      <c r="W891" s="1185"/>
      <c r="X891" s="1185"/>
      <c r="Y891" s="1185"/>
      <c r="Z891" s="1185"/>
      <c r="AA891" s="1185"/>
      <c r="AB891" s="1185"/>
      <c r="AC891" s="1185"/>
      <c r="AD891" s="1185"/>
      <c r="AE891" s="1185"/>
      <c r="AF891" s="1185"/>
      <c r="AG891" s="1185"/>
      <c r="AH891" s="1185"/>
      <c r="AI891" s="1185"/>
    </row>
    <row r="892" spans="1:38">
      <c r="A892" s="1224" t="s">
        <v>476</v>
      </c>
      <c r="B892" s="1219"/>
      <c r="C892" s="1219"/>
      <c r="D892" s="1203"/>
      <c r="E892" s="1203"/>
      <c r="F892" s="1219"/>
      <c r="G892" s="1203"/>
      <c r="H892" s="1219"/>
      <c r="I892" s="1219"/>
      <c r="J892" s="1203"/>
      <c r="K892" s="1219"/>
      <c r="L892" s="1219"/>
      <c r="N892" s="1185"/>
      <c r="O892" s="1185"/>
      <c r="P892" s="1186"/>
      <c r="Q892" s="1186"/>
      <c r="R892" s="1186"/>
      <c r="S892" s="1185"/>
      <c r="T892" s="1185"/>
      <c r="U892" s="1185"/>
      <c r="V892" s="1185"/>
      <c r="W892" s="1185"/>
      <c r="X892" s="1185"/>
      <c r="Y892" s="1185"/>
      <c r="Z892" s="1185"/>
      <c r="AA892" s="1185"/>
      <c r="AB892" s="1185"/>
      <c r="AC892" s="1185"/>
      <c r="AD892" s="1185"/>
      <c r="AE892" s="1185"/>
      <c r="AF892" s="1185"/>
      <c r="AG892" s="1185"/>
      <c r="AH892" s="1185"/>
      <c r="AI892" s="1185"/>
    </row>
    <row r="893" spans="1:38">
      <c r="A893" s="1218" t="s">
        <v>477</v>
      </c>
      <c r="B893" s="1219"/>
      <c r="C893" s="1219"/>
      <c r="D893" s="1203"/>
      <c r="E893" s="1203"/>
      <c r="F893" s="1219"/>
      <c r="G893" s="1203"/>
      <c r="H893" s="1219"/>
      <c r="I893" s="1219"/>
      <c r="J893" s="1203"/>
      <c r="K893" s="1219"/>
      <c r="L893" s="1219"/>
      <c r="N893" s="1185"/>
      <c r="O893" s="1185"/>
      <c r="P893" s="1186"/>
      <c r="Q893" s="1186"/>
      <c r="R893" s="1186"/>
      <c r="S893" s="1185"/>
      <c r="T893" s="1185"/>
      <c r="U893" s="1185"/>
      <c r="V893" s="1185"/>
      <c r="W893" s="1185"/>
      <c r="X893" s="1185"/>
      <c r="Y893" s="1185"/>
      <c r="Z893" s="1185"/>
      <c r="AA893" s="1185"/>
      <c r="AB893" s="1185"/>
      <c r="AC893" s="1185"/>
      <c r="AD893" s="1185"/>
      <c r="AE893" s="1185"/>
      <c r="AF893" s="1185"/>
      <c r="AG893" s="1185"/>
      <c r="AH893" s="1185"/>
      <c r="AI893" s="1185"/>
    </row>
    <row r="894" spans="1:38">
      <c r="A894" s="1009"/>
      <c r="B894" s="1219"/>
      <c r="C894" s="1219"/>
      <c r="D894" s="1203"/>
      <c r="E894" s="1203"/>
      <c r="F894" s="1219"/>
      <c r="G894" s="1203"/>
      <c r="H894" s="1219"/>
      <c r="I894" s="1219"/>
      <c r="J894" s="1203"/>
      <c r="K894" s="1219"/>
      <c r="L894" s="1219"/>
      <c r="N894" s="1185"/>
      <c r="O894" s="1185"/>
      <c r="P894" s="1186"/>
      <c r="Q894" s="1186"/>
      <c r="R894" s="1186"/>
      <c r="S894" s="1185"/>
      <c r="T894" s="1185"/>
      <c r="U894" s="1185"/>
      <c r="V894" s="1185"/>
      <c r="W894" s="1185"/>
      <c r="X894" s="1185"/>
      <c r="Y894" s="1185"/>
      <c r="Z894" s="1185"/>
      <c r="AA894" s="1185"/>
      <c r="AB894" s="1185"/>
      <c r="AC894" s="1185"/>
      <c r="AD894" s="1185"/>
      <c r="AE894" s="1185"/>
      <c r="AF894" s="1185"/>
      <c r="AG894" s="1185"/>
      <c r="AH894" s="1185"/>
      <c r="AI894" s="1185"/>
    </row>
    <row r="895" spans="1:38">
      <c r="A895" s="1009" t="s">
        <v>393</v>
      </c>
      <c r="B895" s="1219"/>
      <c r="C895" s="1026"/>
      <c r="D895" s="1203"/>
      <c r="E895" s="1203"/>
      <c r="F895" s="1219"/>
      <c r="G895" s="1203"/>
      <c r="H895" s="1219"/>
      <c r="I895" s="1219"/>
      <c r="J895" s="1203"/>
      <c r="K895" s="1219"/>
      <c r="L895" s="1219"/>
      <c r="N895" s="1185"/>
      <c r="O895" s="1185"/>
      <c r="P895" s="1186"/>
      <c r="Q895" s="1186"/>
      <c r="R895" s="1186"/>
      <c r="S895" s="1185"/>
      <c r="T895" s="1185"/>
      <c r="U895" s="1185"/>
      <c r="V895" s="1185"/>
      <c r="W895" s="1185"/>
      <c r="X895" s="1185"/>
      <c r="Y895" s="1185"/>
      <c r="Z895" s="1185"/>
      <c r="AA895" s="1185"/>
      <c r="AB895" s="1185"/>
      <c r="AC895" s="1185"/>
      <c r="AD895" s="1185"/>
      <c r="AE895" s="1185"/>
      <c r="AF895" s="1185"/>
      <c r="AG895" s="1185"/>
      <c r="AH895" s="1185"/>
      <c r="AI895" s="1185"/>
    </row>
    <row r="896" spans="1:38">
      <c r="A896" s="1009" t="s">
        <v>471</v>
      </c>
      <c r="B896" s="1219"/>
      <c r="C896" s="1026">
        <f t="shared" ref="C896:C901" si="130">C915+C1083</f>
        <v>695</v>
      </c>
      <c r="D896" s="1261"/>
      <c r="E896" s="1261"/>
      <c r="F896" s="1203">
        <f>F915+F1083</f>
        <v>848355</v>
      </c>
      <c r="G896" s="1261"/>
      <c r="H896" s="1041"/>
      <c r="I896" s="1203">
        <f>I915+I1083</f>
        <v>967593</v>
      </c>
      <c r="J896" s="1261"/>
      <c r="K896" s="1041"/>
      <c r="L896" s="1203">
        <f>L915+L1083</f>
        <v>1103642</v>
      </c>
      <c r="N896" s="1204" t="e">
        <f>J896*#REF!</f>
        <v>#REF!</v>
      </c>
      <c r="P896" s="55" t="s">
        <v>31</v>
      </c>
      <c r="Q896" s="1184"/>
      <c r="R896" s="1184"/>
      <c r="Z896" s="1254"/>
      <c r="AA896" s="1254"/>
      <c r="AG896" s="1185"/>
      <c r="AH896" s="1185"/>
      <c r="AI896" s="1185"/>
      <c r="AJ896" s="1185"/>
      <c r="AK896" s="1185"/>
      <c r="AL896" s="1185"/>
    </row>
    <row r="897" spans="1:38">
      <c r="A897" s="1009" t="s">
        <v>472</v>
      </c>
      <c r="B897" s="1219"/>
      <c r="C897" s="1026">
        <f t="shared" si="130"/>
        <v>12</v>
      </c>
      <c r="D897" s="1261"/>
      <c r="E897" s="1261"/>
      <c r="F897" s="1203">
        <f>F916+F1084</f>
        <v>25200</v>
      </c>
      <c r="G897" s="1261"/>
      <c r="H897" s="1249"/>
      <c r="I897" s="1203">
        <f>I916+I1084</f>
        <v>30336</v>
      </c>
      <c r="J897" s="1261"/>
      <c r="K897" s="1249"/>
      <c r="L897" s="1203">
        <f>L916+L1084</f>
        <v>34632</v>
      </c>
      <c r="N897" s="1204" t="e">
        <f>J897*#REF!</f>
        <v>#REF!</v>
      </c>
      <c r="P897" s="55" t="s">
        <v>31</v>
      </c>
      <c r="Q897" s="1184"/>
      <c r="R897" s="1184"/>
      <c r="S897" s="977"/>
      <c r="T897" s="977"/>
      <c r="U897" s="977"/>
      <c r="V897" s="977"/>
      <c r="W897" s="977"/>
      <c r="X897" s="977"/>
      <c r="Y897" s="801"/>
      <c r="Z897" s="1254"/>
      <c r="AA897" s="1254"/>
      <c r="AG897" s="1185"/>
      <c r="AH897" s="1185"/>
      <c r="AI897" s="1185"/>
      <c r="AJ897" s="1185"/>
      <c r="AK897" s="1185"/>
      <c r="AL897" s="1185"/>
    </row>
    <row r="898" spans="1:38">
      <c r="A898" s="1009" t="s">
        <v>394</v>
      </c>
      <c r="B898" s="1219"/>
      <c r="C898" s="1026">
        <f t="shared" si="130"/>
        <v>707</v>
      </c>
      <c r="D898" s="1261"/>
      <c r="E898" s="1261"/>
      <c r="F898" s="1203"/>
      <c r="G898" s="1261"/>
      <c r="H898" s="1041"/>
      <c r="I898" s="1203"/>
      <c r="J898" s="1261"/>
      <c r="K898" s="1041"/>
      <c r="L898" s="1203"/>
      <c r="P898" s="1248"/>
      <c r="Q898" s="1184"/>
      <c r="R898" s="1184"/>
      <c r="S898" s="977"/>
      <c r="T898" s="977"/>
      <c r="U898" s="977"/>
      <c r="V898" s="977"/>
      <c r="W898" s="977"/>
      <c r="X898" s="977"/>
      <c r="Y898" s="801"/>
      <c r="AG898" s="1185"/>
      <c r="AH898" s="1185"/>
      <c r="AI898" s="1185"/>
      <c r="AJ898" s="1185"/>
      <c r="AK898" s="1185"/>
      <c r="AL898" s="1185"/>
    </row>
    <row r="899" spans="1:38">
      <c r="A899" s="1009" t="s">
        <v>473</v>
      </c>
      <c r="B899" s="1219"/>
      <c r="C899" s="1026">
        <f t="shared" si="130"/>
        <v>993653</v>
      </c>
      <c r="D899" s="1261"/>
      <c r="E899" s="1261"/>
      <c r="F899" s="1203">
        <f>F918+F1086</f>
        <v>819275</v>
      </c>
      <c r="G899" s="1261"/>
      <c r="H899" s="1041"/>
      <c r="I899" s="1203">
        <f>I918+I1086</f>
        <v>946273</v>
      </c>
      <c r="J899" s="1261"/>
      <c r="K899" s="1041"/>
      <c r="L899" s="1203">
        <f>L918+L1086</f>
        <v>1081189</v>
      </c>
      <c r="N899" s="1204" t="e">
        <f>J899*#REF!</f>
        <v>#REF!</v>
      </c>
      <c r="P899" s="55" t="s">
        <v>31</v>
      </c>
      <c r="Q899" s="1184"/>
      <c r="R899" s="1184"/>
      <c r="S899" s="977"/>
      <c r="T899" s="977"/>
      <c r="U899" s="977"/>
      <c r="V899" s="977"/>
      <c r="W899" s="977"/>
      <c r="X899" s="977"/>
      <c r="Y899" s="801"/>
      <c r="AG899" s="1185"/>
      <c r="AH899" s="1185"/>
      <c r="AI899" s="1185"/>
      <c r="AJ899" s="1185"/>
      <c r="AK899" s="1185"/>
      <c r="AL899" s="1185"/>
    </row>
    <row r="900" spans="1:38">
      <c r="A900" s="1009" t="s">
        <v>474</v>
      </c>
      <c r="B900" s="1219"/>
      <c r="C900" s="1026">
        <f t="shared" si="130"/>
        <v>699156</v>
      </c>
      <c r="D900" s="1261"/>
      <c r="E900" s="1261"/>
      <c r="F900" s="1203">
        <f>F919+F1087</f>
        <v>139831</v>
      </c>
      <c r="G900" s="1261"/>
      <c r="H900" s="1041"/>
      <c r="I900" s="1203">
        <f>I919+I1087</f>
        <v>160806</v>
      </c>
      <c r="J900" s="1261"/>
      <c r="K900" s="1041"/>
      <c r="L900" s="1203">
        <f>L919+L1087</f>
        <v>181781</v>
      </c>
      <c r="N900" s="1204" t="e">
        <f>J900*#REF!</f>
        <v>#REF!</v>
      </c>
      <c r="P900" s="55" t="s">
        <v>31</v>
      </c>
      <c r="Q900" s="1184"/>
      <c r="R900" s="1184"/>
      <c r="S900" s="977"/>
      <c r="T900" s="977"/>
      <c r="U900" s="977"/>
      <c r="V900" s="977"/>
      <c r="W900" s="977"/>
      <c r="X900" s="977"/>
      <c r="Y900" s="801"/>
      <c r="AG900" s="1185"/>
      <c r="AH900" s="1185"/>
      <c r="AI900" s="1185"/>
      <c r="AJ900" s="1185"/>
      <c r="AK900" s="1185"/>
      <c r="AL900" s="1185"/>
    </row>
    <row r="901" spans="1:38">
      <c r="A901" s="1218" t="s">
        <v>403</v>
      </c>
      <c r="B901" s="1219"/>
      <c r="C901" s="1026">
        <f t="shared" si="130"/>
        <v>1504967</v>
      </c>
      <c r="D901" s="1261"/>
      <c r="E901" s="1261"/>
      <c r="F901" s="1203">
        <f>F920+F1088</f>
        <v>9254556</v>
      </c>
      <c r="G901" s="1261"/>
      <c r="H901" s="1041"/>
      <c r="I901" s="1203">
        <f>I920+I1088</f>
        <v>10576435</v>
      </c>
      <c r="J901" s="1261"/>
      <c r="K901" s="1041"/>
      <c r="L901" s="1203">
        <f>L920+L1088</f>
        <v>12559679</v>
      </c>
      <c r="N901" s="1204" t="e">
        <f>J901*#REF!</f>
        <v>#REF!</v>
      </c>
      <c r="P901" s="55" t="s">
        <v>31</v>
      </c>
      <c r="Q901" s="1184"/>
      <c r="R901" s="1184"/>
      <c r="S901" s="977"/>
      <c r="T901" s="977"/>
      <c r="U901" s="977"/>
      <c r="V901" s="977"/>
      <c r="W901" s="977"/>
      <c r="X901" s="977"/>
      <c r="Y901" s="801"/>
      <c r="AG901" s="1185"/>
      <c r="AH901" s="1185"/>
      <c r="AI901" s="1185"/>
      <c r="AJ901" s="1185"/>
      <c r="AK901" s="1185"/>
      <c r="AL901" s="1185"/>
    </row>
    <row r="902" spans="1:38">
      <c r="A902" s="1009" t="s">
        <v>426</v>
      </c>
      <c r="B902" s="1219"/>
      <c r="C902" s="1026"/>
      <c r="D902" s="1261"/>
      <c r="E902" s="1261"/>
      <c r="F902" s="1203"/>
      <c r="G902" s="1261"/>
      <c r="H902" s="1041"/>
      <c r="I902" s="1203"/>
      <c r="J902" s="1261"/>
      <c r="K902" s="1041"/>
      <c r="L902" s="1203"/>
      <c r="P902" s="1248"/>
      <c r="AB902" s="1185"/>
      <c r="AC902" s="1185"/>
      <c r="AD902" s="1185"/>
      <c r="AE902" s="1185"/>
      <c r="AF902" s="1185"/>
      <c r="AG902" s="1185"/>
      <c r="AH902" s="1185"/>
      <c r="AI902" s="1185"/>
    </row>
    <row r="903" spans="1:38">
      <c r="A903" s="1009" t="s">
        <v>464</v>
      </c>
      <c r="B903" s="1219"/>
      <c r="C903" s="1026">
        <f>C922+C1090</f>
        <v>823306393</v>
      </c>
      <c r="D903" s="1308"/>
      <c r="E903" s="1041"/>
      <c r="F903" s="1203">
        <f>F922+F1090</f>
        <v>30306995</v>
      </c>
      <c r="G903" s="1322"/>
      <c r="H903" s="1041"/>
      <c r="I903" s="1203">
        <f>I922+I1090</f>
        <v>34647474</v>
      </c>
      <c r="J903" s="1323"/>
      <c r="K903" s="1041"/>
      <c r="L903" s="1203">
        <f>L922+L1090</f>
        <v>14274644</v>
      </c>
      <c r="N903" s="1204" t="e">
        <f>(J903/100)*#REF!</f>
        <v>#REF!</v>
      </c>
      <c r="P903" s="55" t="s">
        <v>31</v>
      </c>
      <c r="AB903" s="1185"/>
      <c r="AC903" s="1185"/>
      <c r="AD903" s="1185"/>
      <c r="AE903" s="1185"/>
      <c r="AF903" s="1185"/>
      <c r="AG903" s="1185"/>
      <c r="AH903" s="1185"/>
      <c r="AI903" s="1185"/>
    </row>
    <row r="904" spans="1:38">
      <c r="A904" s="1009" t="s">
        <v>400</v>
      </c>
      <c r="B904" s="1219"/>
      <c r="C904" s="1026">
        <f>C923+C1091</f>
        <v>379226</v>
      </c>
      <c r="D904" s="1261"/>
      <c r="E904" s="1041"/>
      <c r="F904" s="1203">
        <f>F923+F1091</f>
        <v>178280</v>
      </c>
      <c r="G904" s="1261"/>
      <c r="H904" s="1041"/>
      <c r="I904" s="1203">
        <f>I923+I1091</f>
        <v>204826</v>
      </c>
      <c r="J904" s="1261"/>
      <c r="K904" s="1041"/>
      <c r="L904" s="1203">
        <f>L923+L1091</f>
        <v>235164</v>
      </c>
      <c r="N904" s="1204" t="e">
        <f>J904*#REF!</f>
        <v>#REF!</v>
      </c>
      <c r="O904" s="1248"/>
      <c r="P904" s="55" t="s">
        <v>31</v>
      </c>
      <c r="AB904" s="1185"/>
      <c r="AC904" s="1185"/>
      <c r="AD904" s="1185"/>
      <c r="AE904" s="1185"/>
      <c r="AF904" s="1185"/>
      <c r="AG904" s="1185"/>
      <c r="AH904" s="1185"/>
      <c r="AI904" s="1185"/>
    </row>
    <row r="905" spans="1:38">
      <c r="A905" s="1005" t="s">
        <v>928</v>
      </c>
      <c r="C905" s="1026">
        <f>C924+C1092</f>
        <v>467514000</v>
      </c>
      <c r="D905" s="269"/>
      <c r="E905" s="1185"/>
      <c r="F905" s="1203"/>
      <c r="G905" s="269"/>
      <c r="H905" s="1185"/>
      <c r="I905" s="1203"/>
      <c r="J905" s="265"/>
      <c r="K905" s="1185"/>
      <c r="L905" s="1203">
        <f>L924+L1092</f>
        <v>25062727</v>
      </c>
      <c r="N905" s="1204"/>
      <c r="P905" s="815"/>
      <c r="Q905" s="1184"/>
      <c r="R905" s="1184"/>
      <c r="S905" s="1205"/>
      <c r="T905" s="1205"/>
      <c r="Y905" s="1185"/>
      <c r="Z905" s="1185"/>
      <c r="AA905" s="1185"/>
      <c r="AB905" s="1185"/>
      <c r="AC905" s="1185"/>
      <c r="AD905" s="1185"/>
      <c r="AE905" s="1185"/>
      <c r="AF905" s="1185"/>
      <c r="AG905" s="1185"/>
      <c r="AH905" s="1185"/>
      <c r="AI905" s="1185"/>
      <c r="AK905" s="1204"/>
    </row>
    <row r="906" spans="1:38">
      <c r="A906" s="1219" t="s">
        <v>381</v>
      </c>
      <c r="B906" s="1219"/>
      <c r="C906" s="1026">
        <f>C925+C1094</f>
        <v>823306393</v>
      </c>
      <c r="D906" s="1255"/>
      <c r="E906" s="1203"/>
      <c r="F906" s="1203">
        <f>F925+F1094</f>
        <v>41572492</v>
      </c>
      <c r="G906" s="1249"/>
      <c r="H906" s="1219"/>
      <c r="I906" s="1203">
        <f>I925+I1094</f>
        <v>47533743</v>
      </c>
      <c r="J906" s="1203"/>
      <c r="K906" s="1219"/>
      <c r="L906" s="1203">
        <f>L925+L1094</f>
        <v>54533458</v>
      </c>
      <c r="N906" s="1204" t="e">
        <f>SUM(N896:N904)</f>
        <v>#REF!</v>
      </c>
      <c r="AB906" s="1185"/>
      <c r="AC906" s="1185"/>
      <c r="AD906" s="1185"/>
      <c r="AE906" s="1185"/>
      <c r="AF906" s="1185"/>
      <c r="AG906" s="1185"/>
      <c r="AH906" s="1185"/>
      <c r="AI906" s="1185"/>
    </row>
    <row r="907" spans="1:38">
      <c r="A907" s="1219" t="s">
        <v>363</v>
      </c>
      <c r="B907" s="1219"/>
      <c r="C907" s="1028">
        <f>C926+C1095</f>
        <v>8976517.3747324422</v>
      </c>
      <c r="D907" s="1218"/>
      <c r="E907" s="1218"/>
      <c r="F907" s="1324" t="e">
        <f>F926+F1095</f>
        <v>#REF!</v>
      </c>
      <c r="G907" s="1218"/>
      <c r="H907" s="1218"/>
      <c r="I907" s="1324">
        <f>I926+I1095</f>
        <v>593992.95648998208</v>
      </c>
      <c r="J907" s="1218"/>
      <c r="K907" s="1218"/>
      <c r="L907" s="1324">
        <f>L926+L1095</f>
        <v>593992.95648998208</v>
      </c>
      <c r="S907" s="1223"/>
      <c r="T907" s="1223"/>
      <c r="AB907" s="1185"/>
      <c r="AC907" s="1185"/>
      <c r="AD907" s="1185"/>
      <c r="AE907" s="1185"/>
      <c r="AF907" s="1185"/>
      <c r="AG907" s="1185"/>
      <c r="AH907" s="1185"/>
      <c r="AI907" s="1185"/>
    </row>
    <row r="908" spans="1:38" ht="16.5" thickBot="1">
      <c r="A908" s="1219" t="s">
        <v>382</v>
      </c>
      <c r="B908" s="1219"/>
      <c r="C908" s="1325">
        <f>SUM(C906:C907)</f>
        <v>832282910.37473249</v>
      </c>
      <c r="D908" s="1265"/>
      <c r="E908" s="1266"/>
      <c r="F908" s="1326" t="e">
        <f>F906+F907</f>
        <v>#REF!</v>
      </c>
      <c r="G908" s="1265"/>
      <c r="H908" s="1269"/>
      <c r="I908" s="1326">
        <f>I906+I907</f>
        <v>48127735.95648998</v>
      </c>
      <c r="J908" s="1265"/>
      <c r="K908" s="1269"/>
      <c r="L908" s="1326">
        <f>L906+L907</f>
        <v>55127450.95648998</v>
      </c>
      <c r="O908" s="1215" t="s">
        <v>364</v>
      </c>
      <c r="P908" s="1216">
        <f>('[94]Rate Spread'!Q26+'[94]Rate Spread'!Q27+'[94]Rate Spread'!Q28)*1000</f>
        <v>55465337.617967293</v>
      </c>
      <c r="Q908" s="818">
        <f>'[94]Rate Spread'!V27</f>
        <v>0.14076</v>
      </c>
      <c r="R908" s="777"/>
      <c r="AB908" s="1185"/>
      <c r="AC908" s="1185"/>
      <c r="AD908" s="1185"/>
      <c r="AE908" s="1185"/>
      <c r="AF908" s="1185"/>
      <c r="AG908" s="1185"/>
      <c r="AH908" s="1185"/>
      <c r="AI908" s="1185"/>
    </row>
    <row r="909" spans="1:38" ht="16.5" thickTop="1">
      <c r="A909" s="1219"/>
      <c r="B909" s="1219"/>
      <c r="C909" s="1225"/>
      <c r="D909" s="1261"/>
      <c r="E909" s="1203"/>
      <c r="F909" s="1203"/>
      <c r="G909" s="1261" t="s">
        <v>31</v>
      </c>
      <c r="H909" s="1219"/>
      <c r="I909" s="1203"/>
      <c r="J909" s="1259" t="s">
        <v>31</v>
      </c>
      <c r="K909" s="1219"/>
      <c r="L909" s="1203" t="s">
        <v>31</v>
      </c>
      <c r="O909" s="1220" t="s">
        <v>263</v>
      </c>
      <c r="P909" s="1221">
        <f>P908-L908-L890</f>
        <v>234.14978345087729</v>
      </c>
      <c r="Q909" s="1271" t="s">
        <v>31</v>
      </c>
      <c r="R909" s="1272"/>
      <c r="AB909" s="1185"/>
      <c r="AC909" s="1185"/>
      <c r="AD909" s="1185"/>
      <c r="AE909" s="1185"/>
      <c r="AF909" s="1185"/>
      <c r="AG909" s="1185"/>
      <c r="AH909" s="1185"/>
      <c r="AI909" s="1185"/>
    </row>
    <row r="910" spans="1:38">
      <c r="A910" s="1219"/>
      <c r="B910" s="1219"/>
      <c r="C910" s="1225"/>
      <c r="D910" s="1261"/>
      <c r="E910" s="1203"/>
      <c r="F910" s="1203"/>
      <c r="G910" s="1261"/>
      <c r="H910" s="1219"/>
      <c r="I910" s="1203" t="s">
        <v>31</v>
      </c>
      <c r="J910" s="1261"/>
      <c r="K910" s="1219"/>
      <c r="L910" s="1303"/>
      <c r="N910" s="1185"/>
      <c r="Q910" s="1186"/>
      <c r="R910" s="1186"/>
      <c r="S910" s="1185"/>
      <c r="T910" s="1185"/>
      <c r="U910" s="1185"/>
      <c r="V910" s="1185"/>
      <c r="W910" s="1185"/>
      <c r="X910" s="1185"/>
      <c r="Y910" s="1185"/>
      <c r="Z910" s="1185"/>
      <c r="AA910" s="1185"/>
      <c r="AB910" s="1185"/>
      <c r="AC910" s="1185"/>
      <c r="AD910" s="1185"/>
      <c r="AE910" s="1185"/>
      <c r="AF910" s="1185"/>
      <c r="AG910" s="1185"/>
      <c r="AH910" s="1185"/>
      <c r="AI910" s="1185"/>
    </row>
    <row r="911" spans="1:38">
      <c r="A911" s="1224" t="s">
        <v>476</v>
      </c>
      <c r="B911" s="1219"/>
      <c r="C911" s="1219"/>
      <c r="D911" s="1203"/>
      <c r="E911" s="1203"/>
      <c r="F911" s="1219"/>
      <c r="G911" s="1203"/>
      <c r="H911" s="1219"/>
      <c r="I911" s="1219"/>
      <c r="J911" s="1203"/>
      <c r="K911" s="1219"/>
      <c r="L911" s="1219"/>
      <c r="N911" s="1274"/>
      <c r="O911" s="1274"/>
      <c r="P911" s="1186"/>
      <c r="Q911" s="1186"/>
      <c r="R911" s="1186"/>
      <c r="S911" s="1185"/>
      <c r="T911" s="1185"/>
      <c r="U911" s="1185"/>
      <c r="V911" s="1185"/>
      <c r="W911" s="1185"/>
      <c r="X911" s="1185"/>
      <c r="Y911" s="1185"/>
      <c r="Z911" s="1185"/>
      <c r="AA911" s="1185"/>
      <c r="AB911" s="1185"/>
      <c r="AC911" s="1185"/>
      <c r="AD911" s="1185"/>
      <c r="AE911" s="1185"/>
      <c r="AF911" s="1185"/>
      <c r="AG911" s="1185"/>
      <c r="AH911" s="1185"/>
      <c r="AI911" s="1185"/>
    </row>
    <row r="912" spans="1:38">
      <c r="A912" s="1218" t="s">
        <v>478</v>
      </c>
      <c r="B912" s="1219"/>
      <c r="C912" s="1219"/>
      <c r="D912" s="1203"/>
      <c r="E912" s="1203"/>
      <c r="F912" s="1219"/>
      <c r="G912" s="1203"/>
      <c r="H912" s="1219"/>
      <c r="I912" s="1219"/>
      <c r="J912" s="1203"/>
      <c r="K912" s="1219"/>
      <c r="L912" s="1219"/>
      <c r="N912" s="1185"/>
      <c r="O912" s="1185"/>
      <c r="Q912" s="1186"/>
      <c r="R912" s="1186"/>
      <c r="S912" s="1185"/>
      <c r="T912" s="1185"/>
      <c r="U912" s="1185"/>
      <c r="V912" s="1185"/>
      <c r="W912" s="1185"/>
      <c r="X912" s="1185"/>
      <c r="Y912" s="1185"/>
      <c r="Z912" s="1185"/>
      <c r="AA912" s="1185"/>
      <c r="AB912" s="1185"/>
      <c r="AC912" s="1185"/>
      <c r="AD912" s="1185"/>
      <c r="AE912" s="1185"/>
      <c r="AF912" s="1185"/>
      <c r="AG912" s="1185"/>
      <c r="AH912" s="1185"/>
      <c r="AI912" s="1185"/>
    </row>
    <row r="913" spans="1:37">
      <c r="A913" s="1009"/>
      <c r="B913" s="1219"/>
      <c r="C913" s="1219"/>
      <c r="D913" s="1203"/>
      <c r="E913" s="1203"/>
      <c r="F913" s="1219"/>
      <c r="G913" s="1203"/>
      <c r="H913" s="1219"/>
      <c r="I913" s="1219"/>
      <c r="J913" s="1203"/>
      <c r="K913" s="1219"/>
      <c r="L913" s="1219"/>
      <c r="N913" s="1185"/>
      <c r="O913" s="1185"/>
      <c r="P913" s="1186"/>
      <c r="Q913" s="1186"/>
      <c r="R913" s="1186"/>
      <c r="S913" s="1185"/>
      <c r="T913" s="1185"/>
      <c r="U913" s="1185"/>
      <c r="V913" s="1185"/>
      <c r="W913" s="1185"/>
      <c r="X913" s="1185"/>
      <c r="Y913" s="1185"/>
      <c r="Z913" s="1185"/>
      <c r="AA913" s="1185"/>
      <c r="AB913" s="1185"/>
      <c r="AC913" s="1185"/>
      <c r="AD913" s="1185"/>
      <c r="AE913" s="1185"/>
      <c r="AF913" s="1185"/>
      <c r="AG913" s="1185"/>
      <c r="AH913" s="1185"/>
      <c r="AI913" s="1185"/>
    </row>
    <row r="914" spans="1:37">
      <c r="A914" s="1009" t="s">
        <v>393</v>
      </c>
      <c r="B914" s="1219"/>
      <c r="C914" s="1026"/>
      <c r="D914" s="1203"/>
      <c r="E914" s="1203"/>
      <c r="F914" s="1219"/>
      <c r="G914" s="1203"/>
      <c r="H914" s="1219"/>
      <c r="I914" s="1219"/>
      <c r="J914" s="1203"/>
      <c r="K914" s="1219"/>
      <c r="L914" s="1219"/>
      <c r="N914" s="1185"/>
      <c r="Q914" s="1185"/>
      <c r="R914" s="1185"/>
      <c r="S914" s="1190" t="s">
        <v>31</v>
      </c>
      <c r="AA914" s="1327"/>
      <c r="AB914" s="1185"/>
      <c r="AC914" s="1185"/>
      <c r="AD914" s="1185"/>
      <c r="AE914" s="1185"/>
      <c r="AF914" s="1185"/>
      <c r="AG914" s="1185"/>
      <c r="AH914" s="1185"/>
      <c r="AI914" s="1185"/>
      <c r="AJ914" s="1185"/>
      <c r="AK914" s="1185"/>
    </row>
    <row r="915" spans="1:37">
      <c r="A915" s="1009" t="s">
        <v>471</v>
      </c>
      <c r="B915" s="1219"/>
      <c r="C915" s="1026">
        <f t="shared" ref="C915:F923" si="131">C1046+C1065</f>
        <v>695</v>
      </c>
      <c r="D915" s="1261"/>
      <c r="E915" s="1261"/>
      <c r="F915" s="1203">
        <f>F1046+F1065</f>
        <v>848355</v>
      </c>
      <c r="G915" s="1328"/>
      <c r="H915" s="1041"/>
      <c r="I915" s="1203">
        <f>I1046+I1065</f>
        <v>967593</v>
      </c>
      <c r="K915" s="1041"/>
      <c r="L915" s="1203">
        <f>L1046+L1065</f>
        <v>1103642</v>
      </c>
      <c r="N915" s="1185"/>
      <c r="P915" s="1261">
        <f>J953</f>
        <v>1581</v>
      </c>
      <c r="Q915" s="55">
        <f>(P915-G933)/G933</f>
        <v>0.1406926406926407</v>
      </c>
      <c r="R915" s="55"/>
      <c r="U915" s="977"/>
      <c r="V915" s="801"/>
      <c r="W915" s="977"/>
      <c r="X915" s="801"/>
      <c r="Y915" s="977"/>
      <c r="Z915" s="977"/>
      <c r="AA915" s="1329"/>
      <c r="AB915" s="1185"/>
      <c r="AC915" s="1185"/>
      <c r="AD915" s="1185"/>
      <c r="AE915" s="1185"/>
      <c r="AF915" s="1185"/>
      <c r="AG915" s="1185"/>
      <c r="AH915" s="1185"/>
      <c r="AI915" s="1185"/>
      <c r="AJ915" s="1185"/>
      <c r="AK915" s="1185"/>
    </row>
    <row r="916" spans="1:37">
      <c r="A916" s="1009" t="s">
        <v>472</v>
      </c>
      <c r="B916" s="1219"/>
      <c r="C916" s="1026">
        <f t="shared" si="131"/>
        <v>0</v>
      </c>
      <c r="D916" s="1261"/>
      <c r="E916" s="1261"/>
      <c r="F916" s="1203">
        <f>F1047+F1066</f>
        <v>0</v>
      </c>
      <c r="G916" s="1328"/>
      <c r="H916" s="1249"/>
      <c r="I916" s="1203">
        <f>I1047+I1066</f>
        <v>0</v>
      </c>
      <c r="K916" s="1249"/>
      <c r="L916" s="1203">
        <f>L1047+L1066</f>
        <v>0</v>
      </c>
      <c r="N916" s="1185"/>
      <c r="P916" s="1261">
        <f>J954</f>
        <v>1914</v>
      </c>
      <c r="Q916" s="55">
        <f>(P916-G934)/G934</f>
        <v>0.1426865671641791</v>
      </c>
      <c r="R916" s="55"/>
      <c r="U916" s="977"/>
      <c r="V916" s="801"/>
      <c r="W916" s="977"/>
      <c r="X916" s="801"/>
      <c r="Y916" s="977"/>
      <c r="Z916" s="977"/>
      <c r="AA916" s="1329"/>
      <c r="AB916" s="1185"/>
      <c r="AC916" s="1185"/>
      <c r="AD916" s="1185"/>
      <c r="AE916" s="1185"/>
      <c r="AF916" s="1185"/>
      <c r="AG916" s="1185"/>
      <c r="AH916" s="1185"/>
      <c r="AI916" s="1185"/>
      <c r="AJ916" s="1185"/>
      <c r="AK916" s="1185"/>
    </row>
    <row r="917" spans="1:37">
      <c r="A917" s="1009" t="s">
        <v>394</v>
      </c>
      <c r="B917" s="1219"/>
      <c r="C917" s="1026">
        <f t="shared" si="131"/>
        <v>695</v>
      </c>
      <c r="D917" s="1261"/>
      <c r="E917" s="1261"/>
      <c r="F917" s="1203"/>
      <c r="G917" s="1328"/>
      <c r="H917" s="1041"/>
      <c r="I917" s="1203"/>
      <c r="K917" s="1041"/>
      <c r="L917" s="1203"/>
      <c r="N917" s="1185"/>
      <c r="P917" s="1261" t="s">
        <v>31</v>
      </c>
      <c r="Q917" s="1248"/>
      <c r="R917" s="1248"/>
      <c r="U917" s="977"/>
      <c r="V917" s="801"/>
      <c r="W917" s="977"/>
      <c r="X917" s="801"/>
      <c r="Y917" s="977"/>
      <c r="Z917" s="977"/>
      <c r="AA917" s="1329"/>
      <c r="AB917" s="1185"/>
      <c r="AC917" s="1185"/>
      <c r="AD917" s="1185"/>
      <c r="AE917" s="1185"/>
      <c r="AF917" s="1185"/>
      <c r="AG917" s="1185"/>
      <c r="AH917" s="1185"/>
      <c r="AI917" s="1185"/>
      <c r="AJ917" s="1185"/>
      <c r="AK917" s="1185"/>
    </row>
    <row r="918" spans="1:37">
      <c r="A918" s="1009" t="s">
        <v>473</v>
      </c>
      <c r="B918" s="1219"/>
      <c r="C918" s="1026">
        <f t="shared" si="131"/>
        <v>993653</v>
      </c>
      <c r="D918" s="1261"/>
      <c r="E918" s="1261"/>
      <c r="F918" s="1203">
        <f>F1049+F1068</f>
        <v>819275</v>
      </c>
      <c r="G918" s="1328"/>
      <c r="H918" s="1041"/>
      <c r="I918" s="1203">
        <f>I1049+I1068</f>
        <v>946273</v>
      </c>
      <c r="K918" s="1041"/>
      <c r="L918" s="1203">
        <f>L1049+L1068</f>
        <v>1081189</v>
      </c>
      <c r="N918" s="1185"/>
      <c r="P918" s="1261">
        <f>J956</f>
        <v>1.21</v>
      </c>
      <c r="Q918" s="55">
        <f>(P918-G936)/G936</f>
        <v>0.14150943396226406</v>
      </c>
      <c r="R918" s="55"/>
      <c r="U918" s="977"/>
      <c r="V918" s="801"/>
      <c r="W918" s="977"/>
      <c r="X918" s="801"/>
      <c r="Y918" s="977"/>
      <c r="Z918" s="977"/>
      <c r="AA918" s="1329"/>
      <c r="AB918" s="1185"/>
      <c r="AC918" s="1185"/>
      <c r="AD918" s="1185"/>
      <c r="AE918" s="1185"/>
      <c r="AF918" s="1185"/>
      <c r="AG918" s="1185"/>
      <c r="AH918" s="1185"/>
      <c r="AI918" s="1185"/>
      <c r="AJ918" s="1185"/>
      <c r="AK918" s="1185"/>
    </row>
    <row r="919" spans="1:37">
      <c r="A919" s="1009" t="s">
        <v>474</v>
      </c>
      <c r="B919" s="1219"/>
      <c r="C919" s="1026">
        <f t="shared" si="131"/>
        <v>0</v>
      </c>
      <c r="D919" s="1261"/>
      <c r="E919" s="1261"/>
      <c r="F919" s="1203">
        <f>F1050+F1069</f>
        <v>0</v>
      </c>
      <c r="G919" s="1328"/>
      <c r="H919" s="1041"/>
      <c r="I919" s="1203">
        <f>I1050+I1069</f>
        <v>0</v>
      </c>
      <c r="K919" s="1041"/>
      <c r="L919" s="1203">
        <f>L1050+L1069</f>
        <v>0</v>
      </c>
      <c r="N919" s="1185"/>
      <c r="P919" s="1261">
        <f>J957</f>
        <v>1.1000000000000001</v>
      </c>
      <c r="Q919" s="55">
        <f>(P919-G937)/G937</f>
        <v>0.14583333333333348</v>
      </c>
      <c r="R919" s="55"/>
      <c r="U919" s="977"/>
      <c r="V919" s="801"/>
      <c r="W919" s="977"/>
      <c r="X919" s="801"/>
      <c r="Y919" s="977"/>
      <c r="Z919" s="977"/>
      <c r="AA919" s="1329"/>
      <c r="AB919" s="1185"/>
      <c r="AC919" s="1185"/>
      <c r="AD919" s="1185"/>
      <c r="AE919" s="1185"/>
      <c r="AF919" s="1185"/>
      <c r="AG919" s="1185"/>
      <c r="AH919" s="1185"/>
      <c r="AI919" s="1185"/>
      <c r="AJ919" s="1185"/>
      <c r="AK919" s="1185"/>
    </row>
    <row r="920" spans="1:37">
      <c r="A920" s="1218" t="s">
        <v>403</v>
      </c>
      <c r="B920" s="1219"/>
      <c r="C920" s="1026">
        <f t="shared" si="131"/>
        <v>814415</v>
      </c>
      <c r="D920" s="1026">
        <f t="shared" si="131"/>
        <v>0</v>
      </c>
      <c r="E920" s="1026">
        <f t="shared" si="131"/>
        <v>0</v>
      </c>
      <c r="F920" s="1026">
        <f t="shared" si="131"/>
        <v>5049094</v>
      </c>
      <c r="G920" s="1328"/>
      <c r="H920" s="1041"/>
      <c r="I920" s="1203">
        <f>I1051+I1070</f>
        <v>5777099</v>
      </c>
      <c r="K920" s="1041"/>
      <c r="L920" s="1203">
        <f>L1051+L1070</f>
        <v>6848814</v>
      </c>
      <c r="N920" s="1185"/>
      <c r="P920" s="1261">
        <f>J958</f>
        <v>8.4400000000000013</v>
      </c>
      <c r="Q920" s="55">
        <f>(P920-G938)/G938</f>
        <v>0.18539325842696647</v>
      </c>
      <c r="R920" s="55"/>
      <c r="T920" s="1186"/>
      <c r="U920" s="1330"/>
      <c r="V920" s="1329"/>
      <c r="W920" s="1330"/>
      <c r="X920" s="1329"/>
      <c r="Y920" s="1330"/>
      <c r="Z920" s="1186"/>
      <c r="AA920" s="1329"/>
      <c r="AB920" s="1185"/>
      <c r="AC920" s="1185"/>
      <c r="AD920" s="1185"/>
      <c r="AE920" s="1185"/>
      <c r="AF920" s="1185"/>
      <c r="AG920" s="1185"/>
      <c r="AH920" s="1185"/>
      <c r="AI920" s="1185"/>
    </row>
    <row r="921" spans="1:37">
      <c r="A921" s="1009" t="s">
        <v>426</v>
      </c>
      <c r="B921" s="1219"/>
      <c r="C921" s="1026">
        <f t="shared" si="131"/>
        <v>0</v>
      </c>
      <c r="D921" s="1261"/>
      <c r="E921" s="1261"/>
      <c r="F921" s="1203"/>
      <c r="G921" s="1328"/>
      <c r="H921" s="1041"/>
      <c r="I921" s="1203"/>
      <c r="K921" s="1041"/>
      <c r="L921" s="1203"/>
      <c r="N921" s="1185"/>
      <c r="P921" s="1261" t="s">
        <v>31</v>
      </c>
      <c r="Q921" s="1248"/>
      <c r="R921" s="1248"/>
      <c r="T921" s="1186"/>
      <c r="U921" s="1185"/>
      <c r="V921" s="1185"/>
      <c r="W921" s="1274"/>
      <c r="X921" s="1185"/>
      <c r="Y921" s="1185"/>
      <c r="Z921" s="1185"/>
      <c r="AA921" s="1185"/>
      <c r="AB921" s="1185"/>
      <c r="AC921" s="1185"/>
      <c r="AD921" s="1185"/>
      <c r="AE921" s="1185"/>
      <c r="AF921" s="1185"/>
      <c r="AG921" s="1185"/>
      <c r="AH921" s="1185"/>
      <c r="AI921" s="1185"/>
    </row>
    <row r="922" spans="1:37">
      <c r="A922" s="1009" t="s">
        <v>464</v>
      </c>
      <c r="B922" s="1219"/>
      <c r="C922" s="1026">
        <f t="shared" si="131"/>
        <v>355792393</v>
      </c>
      <c r="D922" s="1323"/>
      <c r="E922" s="1041"/>
      <c r="F922" s="1203">
        <f>F1053+F1072</f>
        <v>13195983</v>
      </c>
      <c r="G922" s="1328"/>
      <c r="H922" s="1041"/>
      <c r="I922" s="1203">
        <f>I1053+I1072</f>
        <v>15072663</v>
      </c>
      <c r="K922" s="1041"/>
      <c r="L922" s="1203">
        <f t="shared" ref="L922:L927" si="132">L1053+L1072</f>
        <v>5059943</v>
      </c>
      <c r="N922" s="1185"/>
      <c r="P922" s="1323">
        <f>J960+J962</f>
        <v>4.7770000000000001</v>
      </c>
      <c r="Q922" s="55">
        <f>(P922-G940)/G940</f>
        <v>0.12505887894488923</v>
      </c>
      <c r="R922" s="55"/>
      <c r="T922" s="1186"/>
      <c r="U922" s="1185"/>
      <c r="V922" s="1185"/>
      <c r="W922" s="1330"/>
      <c r="X922" s="1185"/>
      <c r="Y922" s="1185"/>
      <c r="Z922" s="1185"/>
      <c r="AA922" s="1185"/>
      <c r="AB922" s="1185"/>
      <c r="AC922" s="1185"/>
      <c r="AD922" s="1185"/>
      <c r="AE922" s="1185"/>
      <c r="AF922" s="1185"/>
      <c r="AG922" s="1185"/>
      <c r="AH922" s="1185"/>
      <c r="AI922" s="1185"/>
    </row>
    <row r="923" spans="1:37">
      <c r="A923" s="1009" t="s">
        <v>400</v>
      </c>
      <c r="B923" s="1219"/>
      <c r="C923" s="1026">
        <f t="shared" si="131"/>
        <v>199998</v>
      </c>
      <c r="D923" s="1261"/>
      <c r="E923" s="1041"/>
      <c r="F923" s="1203">
        <f>F1054+F1073</f>
        <v>95835</v>
      </c>
      <c r="G923" s="1328"/>
      <c r="H923" s="1041"/>
      <c r="I923" s="1203">
        <f>I1054+I1073</f>
        <v>109835</v>
      </c>
      <c r="K923" s="1041"/>
      <c r="L923" s="1203">
        <f t="shared" si="132"/>
        <v>125835</v>
      </c>
      <c r="N923" s="1185"/>
      <c r="P923" s="1261">
        <f>J941</f>
        <v>0.63</v>
      </c>
      <c r="Q923" s="55">
        <f>(P923-G941)/G941</f>
        <v>0.14545454545454536</v>
      </c>
      <c r="R923" s="55"/>
      <c r="T923" s="1186"/>
      <c r="U923" s="1185"/>
      <c r="V923" s="1185"/>
      <c r="W923" s="1185"/>
      <c r="X923" s="1185"/>
      <c r="Y923" s="1185"/>
      <c r="Z923" s="1185"/>
      <c r="AA923" s="1185"/>
      <c r="AB923" s="1185"/>
      <c r="AC923" s="1185"/>
      <c r="AD923" s="1185"/>
      <c r="AE923" s="1185"/>
      <c r="AF923" s="1185"/>
      <c r="AG923" s="1185"/>
      <c r="AH923" s="1185"/>
      <c r="AI923" s="1185"/>
    </row>
    <row r="924" spans="1:37">
      <c r="A924" s="1005" t="s">
        <v>928</v>
      </c>
      <c r="C924" s="1202"/>
      <c r="D924" s="269"/>
      <c r="E924" s="1185"/>
      <c r="F924" s="1203"/>
      <c r="G924" s="269"/>
      <c r="H924" s="1185"/>
      <c r="I924" s="1203"/>
      <c r="J924" s="265"/>
      <c r="K924" s="1185"/>
      <c r="L924" s="1203">
        <f t="shared" si="132"/>
        <v>11897533</v>
      </c>
      <c r="N924" s="1204"/>
      <c r="P924" s="815"/>
      <c r="Q924" s="1184"/>
      <c r="R924" s="1184"/>
      <c r="S924" s="1205"/>
      <c r="T924" s="1205"/>
      <c r="Y924" s="1185"/>
      <c r="Z924" s="1185"/>
      <c r="AA924" s="1185"/>
      <c r="AB924" s="1185"/>
      <c r="AC924" s="1185"/>
      <c r="AD924" s="1185"/>
      <c r="AE924" s="1185"/>
      <c r="AF924" s="1185"/>
      <c r="AG924" s="1185"/>
      <c r="AH924" s="1185"/>
      <c r="AI924" s="1185"/>
      <c r="AK924" s="1204"/>
    </row>
    <row r="925" spans="1:37">
      <c r="A925" s="1219" t="s">
        <v>381</v>
      </c>
      <c r="B925" s="1219"/>
      <c r="C925" s="1026">
        <f>C1056+C1075</f>
        <v>355792393</v>
      </c>
      <c r="D925" s="1255"/>
      <c r="E925" s="1203"/>
      <c r="F925" s="1203">
        <f>F1056+F1075</f>
        <v>20008542</v>
      </c>
      <c r="G925" s="1249"/>
      <c r="H925" s="1219"/>
      <c r="I925" s="1203">
        <f>I1056+I1075</f>
        <v>22873463</v>
      </c>
      <c r="J925" s="1203"/>
      <c r="K925" s="1219"/>
      <c r="L925" s="1203">
        <f t="shared" si="132"/>
        <v>26116956</v>
      </c>
      <c r="N925" s="1185"/>
      <c r="O925" s="1185"/>
      <c r="Q925" s="1186"/>
      <c r="R925" s="1186"/>
      <c r="S925" s="1185"/>
      <c r="T925" s="1185"/>
      <c r="U925" s="1185"/>
      <c r="V925" s="1185"/>
      <c r="W925" s="1185"/>
      <c r="X925" s="1185"/>
      <c r="Y925" s="1185"/>
      <c r="Z925" s="1185"/>
      <c r="AA925" s="1185"/>
      <c r="AB925" s="1185"/>
      <c r="AC925" s="1185"/>
      <c r="AD925" s="1185"/>
      <c r="AE925" s="1185"/>
      <c r="AF925" s="1185"/>
      <c r="AG925" s="1185"/>
      <c r="AH925" s="1185"/>
      <c r="AI925" s="1185"/>
    </row>
    <row r="926" spans="1:37">
      <c r="A926" s="1219" t="s">
        <v>363</v>
      </c>
      <c r="B926" s="1219"/>
      <c r="C926" s="1028">
        <f>C1057+C1076</f>
        <v>2562376.8072081548</v>
      </c>
      <c r="D926" s="1218"/>
      <c r="E926" s="1218"/>
      <c r="F926" s="1324" t="e">
        <f>F1057+F1076</f>
        <v>#REF!</v>
      </c>
      <c r="G926" s="1218"/>
      <c r="H926" s="1218"/>
      <c r="I926" s="1324">
        <f>I1057+I1076</f>
        <v>196038.57052329986</v>
      </c>
      <c r="J926" s="1218"/>
      <c r="K926" s="1218"/>
      <c r="L926" s="1324">
        <f t="shared" si="132"/>
        <v>196038.57052329986</v>
      </c>
      <c r="N926" s="444"/>
      <c r="O926" s="444"/>
      <c r="P926" s="287"/>
      <c r="Q926" s="1186"/>
      <c r="R926" s="1186"/>
      <c r="S926" s="1185"/>
      <c r="T926" s="1185"/>
      <c r="U926" s="1185"/>
      <c r="V926" s="1185"/>
      <c r="W926" s="1185"/>
      <c r="X926" s="1185"/>
      <c r="Y926" s="1185"/>
      <c r="Z926" s="1185"/>
      <c r="AA926" s="1185"/>
      <c r="AB926" s="1185"/>
      <c r="AC926" s="1185"/>
      <c r="AD926" s="1185"/>
      <c r="AE926" s="1185"/>
      <c r="AF926" s="1185"/>
      <c r="AG926" s="1185"/>
      <c r="AH926" s="1185"/>
      <c r="AI926" s="1185"/>
    </row>
    <row r="927" spans="1:37" ht="16.5" thickBot="1">
      <c r="A927" s="1219" t="s">
        <v>382</v>
      </c>
      <c r="B927" s="1219"/>
      <c r="C927" s="1331">
        <f>C1058+C1077</f>
        <v>358354769.80720818</v>
      </c>
      <c r="D927" s="1265"/>
      <c r="E927" s="1266"/>
      <c r="F927" s="1332" t="e">
        <f>F1058+F1077</f>
        <v>#REF!</v>
      </c>
      <c r="G927" s="1265"/>
      <c r="H927" s="1269"/>
      <c r="I927" s="1332">
        <f>I1058+I1077</f>
        <v>23069501.570523299</v>
      </c>
      <c r="J927" s="1265"/>
      <c r="K927" s="1269"/>
      <c r="L927" s="1332">
        <f t="shared" si="132"/>
        <v>26312994.570523299</v>
      </c>
      <c r="N927" s="411"/>
      <c r="O927" s="1215" t="s">
        <v>364</v>
      </c>
      <c r="P927" s="1216">
        <f>('[94]Rate Spread'!Q27+'[94]Rate Spread'!Q26)*1000</f>
        <v>26650880.072387092</v>
      </c>
      <c r="Q927" s="818">
        <f>'[94]Rate Spread'!V27+0.001845</f>
        <v>0.14260500000000001</v>
      </c>
      <c r="R927" s="777"/>
      <c r="S927" s="1190" t="s">
        <v>721</v>
      </c>
      <c r="T927" s="1185"/>
      <c r="U927" s="1185"/>
      <c r="V927" s="1185"/>
      <c r="W927" s="1185"/>
      <c r="X927" s="1185"/>
      <c r="Y927" s="1185"/>
      <c r="Z927" s="1185"/>
      <c r="AA927" s="1185"/>
      <c r="AB927" s="1185"/>
      <c r="AC927" s="1185"/>
      <c r="AD927" s="1185"/>
      <c r="AE927" s="1185"/>
      <c r="AF927" s="1185"/>
      <c r="AG927" s="1185"/>
      <c r="AH927" s="1185"/>
      <c r="AI927" s="1185"/>
    </row>
    <row r="928" spans="1:37" ht="16.5" thickTop="1">
      <c r="A928" s="1219"/>
      <c r="B928" s="1219"/>
      <c r="C928" s="1018"/>
      <c r="D928" s="1275"/>
      <c r="E928" s="1276"/>
      <c r="F928" s="1244"/>
      <c r="G928" s="1275"/>
      <c r="H928" s="1277"/>
      <c r="I928" s="1244"/>
      <c r="J928" s="1275"/>
      <c r="K928" s="1277"/>
      <c r="L928" s="1244"/>
      <c r="N928" s="411"/>
      <c r="O928" s="787" t="s">
        <v>263</v>
      </c>
      <c r="P928" s="812">
        <f>P927-O930</f>
        <v>232.99016993120313</v>
      </c>
      <c r="Q928" s="1333"/>
      <c r="R928" s="1186"/>
      <c r="S928" s="1185"/>
      <c r="T928" s="1185"/>
      <c r="U928" s="1185"/>
      <c r="V928" s="1185"/>
      <c r="W928" s="1185"/>
      <c r="X928" s="1185"/>
      <c r="Y928" s="1185"/>
      <c r="Z928" s="1185"/>
      <c r="AA928" s="1185"/>
      <c r="AB928" s="1185"/>
      <c r="AC928" s="1185"/>
      <c r="AD928" s="1185"/>
      <c r="AE928" s="1185"/>
      <c r="AF928" s="1185"/>
      <c r="AG928" s="1185"/>
      <c r="AH928" s="1185"/>
      <c r="AI928" s="1185"/>
    </row>
    <row r="929" spans="1:37">
      <c r="A929" s="1224" t="s">
        <v>476</v>
      </c>
      <c r="B929" s="1219"/>
      <c r="C929" s="1219"/>
      <c r="D929" s="1203"/>
      <c r="E929" s="1203"/>
      <c r="F929" s="1219"/>
      <c r="G929" s="1203"/>
      <c r="H929" s="1219"/>
      <c r="I929" s="1219"/>
      <c r="J929" s="1203"/>
      <c r="K929" s="1219"/>
      <c r="N929" s="1185"/>
      <c r="Q929" s="1186"/>
      <c r="R929" s="1186"/>
      <c r="S929" s="1185"/>
      <c r="T929" s="1185"/>
      <c r="U929" s="1185"/>
      <c r="V929" s="1185"/>
      <c r="W929" s="1185"/>
      <c r="X929" s="1185"/>
      <c r="Y929" s="1185"/>
      <c r="Z929" s="1185"/>
      <c r="AA929" s="1185"/>
      <c r="AB929" s="1185"/>
      <c r="AC929" s="1185"/>
      <c r="AD929" s="1185"/>
      <c r="AE929" s="1185"/>
      <c r="AF929" s="1185"/>
      <c r="AG929" s="1185"/>
      <c r="AH929" s="1185"/>
      <c r="AI929" s="1185"/>
    </row>
    <row r="930" spans="1:37">
      <c r="A930" s="1218" t="s">
        <v>698</v>
      </c>
      <c r="B930" s="1219"/>
      <c r="C930" s="1219"/>
      <c r="D930" s="1203"/>
      <c r="E930" s="1203"/>
      <c r="F930" s="1219"/>
      <c r="G930" s="1203"/>
      <c r="H930" s="1219"/>
      <c r="I930" s="1219"/>
      <c r="J930" s="1203"/>
      <c r="K930" s="1219"/>
      <c r="L930" s="1219"/>
      <c r="N930" s="1185"/>
      <c r="O930" s="1203">
        <f>L890+L927</f>
        <v>26650647.082217161</v>
      </c>
      <c r="P930" s="1334" t="s">
        <v>721</v>
      </c>
      <c r="Q930" s="827">
        <f>(O930-(I927+I890))/(I927+I890)</f>
        <v>0.14086370954060762</v>
      </c>
      <c r="R930" s="1186"/>
      <c r="S930" s="1185"/>
      <c r="T930" s="1185"/>
      <c r="U930" s="1185"/>
      <c r="V930" s="1185"/>
      <c r="W930" s="1185"/>
      <c r="X930" s="1185"/>
      <c r="Y930" s="1185"/>
      <c r="Z930" s="1185"/>
      <c r="AA930" s="1185"/>
      <c r="AB930" s="1185"/>
      <c r="AC930" s="1185"/>
      <c r="AD930" s="1185"/>
      <c r="AE930" s="1185"/>
      <c r="AF930" s="1185"/>
      <c r="AG930" s="1185"/>
      <c r="AH930" s="1185"/>
      <c r="AI930" s="1185"/>
    </row>
    <row r="931" spans="1:37">
      <c r="A931" s="1009"/>
      <c r="B931" s="1219"/>
      <c r="C931" s="1219"/>
      <c r="D931" s="1203"/>
      <c r="E931" s="1203"/>
      <c r="F931" s="1219"/>
      <c r="G931" s="1203"/>
      <c r="H931" s="1219"/>
      <c r="I931" s="1219"/>
      <c r="J931" s="1203"/>
      <c r="K931" s="1219"/>
      <c r="L931" s="1219"/>
      <c r="N931" s="1185"/>
      <c r="O931" s="1185"/>
      <c r="P931" s="1186"/>
      <c r="Q931" s="1186"/>
      <c r="R931" s="1186"/>
      <c r="S931" s="1185"/>
      <c r="T931" s="1185"/>
      <c r="U931" s="1185"/>
      <c r="V931" s="1185"/>
      <c r="W931" s="1185"/>
      <c r="X931" s="1185"/>
      <c r="Y931" s="1185"/>
      <c r="Z931" s="1185"/>
      <c r="AA931" s="1185"/>
      <c r="AB931" s="1185"/>
      <c r="AC931" s="1185"/>
      <c r="AD931" s="1185"/>
      <c r="AE931" s="1185"/>
      <c r="AF931" s="1185"/>
      <c r="AG931" s="1185"/>
      <c r="AH931" s="1185"/>
      <c r="AI931" s="1185"/>
    </row>
    <row r="932" spans="1:37">
      <c r="A932" s="1009" t="s">
        <v>393</v>
      </c>
      <c r="B932" s="1219"/>
      <c r="C932" s="1026"/>
      <c r="D932" s="1203"/>
      <c r="E932" s="1203"/>
      <c r="F932" s="1219"/>
      <c r="G932" s="1203"/>
      <c r="H932" s="1219"/>
      <c r="I932" s="1219"/>
      <c r="J932" s="1203"/>
      <c r="K932" s="1219"/>
      <c r="L932" s="1219"/>
      <c r="N932" s="1185"/>
      <c r="O932" s="1185"/>
      <c r="P932" s="1186"/>
      <c r="Q932" s="1186"/>
      <c r="R932" s="1186"/>
      <c r="S932" s="1185"/>
      <c r="T932" s="1185"/>
      <c r="U932" s="1185"/>
      <c r="V932" s="1185"/>
      <c r="W932" s="1185"/>
      <c r="X932" s="1185"/>
      <c r="Y932" s="1185"/>
      <c r="Z932" s="1185"/>
      <c r="AA932" s="1185"/>
      <c r="AB932" s="1185"/>
      <c r="AC932" s="1185"/>
      <c r="AD932" s="1185"/>
      <c r="AE932" s="1185"/>
      <c r="AF932" s="1185"/>
      <c r="AG932" s="1185"/>
      <c r="AH932" s="1185"/>
      <c r="AI932" s="1185"/>
    </row>
    <row r="933" spans="1:37">
      <c r="A933" s="1009" t="s">
        <v>471</v>
      </c>
      <c r="B933" s="1219"/>
      <c r="C933" s="1026">
        <f t="shared" ref="C933:C938" si="133">C953+C971</f>
        <v>564</v>
      </c>
      <c r="D933" s="1261">
        <v>1215</v>
      </c>
      <c r="E933" s="1261"/>
      <c r="F933" s="1203">
        <f>ROUND(D933*$C933,0)</f>
        <v>685260</v>
      </c>
      <c r="G933" s="1261">
        <v>1386</v>
      </c>
      <c r="H933" s="1041"/>
      <c r="I933" s="1203">
        <f>ROUND(G933*C933,0)</f>
        <v>781704</v>
      </c>
      <c r="J933" s="1261">
        <f>ROUND(G933*(1+$Q$927),0)-3</f>
        <v>1581</v>
      </c>
      <c r="K933" s="1041"/>
      <c r="L933" s="1203">
        <f>ROUND(J933*$C933,0)</f>
        <v>891684</v>
      </c>
      <c r="N933" s="1185"/>
      <c r="O933" s="1185"/>
      <c r="Q933" s="827">
        <f>(J933-G933)/G933</f>
        <v>0.1406926406926407</v>
      </c>
      <c r="R933" s="777"/>
      <c r="S933" s="1185"/>
      <c r="T933" s="1185"/>
      <c r="U933" s="1185"/>
      <c r="V933" s="1185"/>
      <c r="W933" s="1185"/>
      <c r="X933" s="1185"/>
      <c r="Y933" s="1185"/>
      <c r="Z933" s="1185"/>
      <c r="AA933" s="1185"/>
      <c r="AB933" s="1185"/>
      <c r="AC933" s="1185"/>
      <c r="AD933" s="1185"/>
      <c r="AE933" s="1185"/>
      <c r="AF933" s="1185"/>
      <c r="AG933" s="1185"/>
      <c r="AH933" s="1185"/>
      <c r="AI933" s="1185"/>
    </row>
    <row r="934" spans="1:37">
      <c r="A934" s="1009" t="s">
        <v>472</v>
      </c>
      <c r="B934" s="1219"/>
      <c r="C934" s="1026">
        <f t="shared" si="133"/>
        <v>0</v>
      </c>
      <c r="D934" s="1261">
        <v>1465</v>
      </c>
      <c r="E934" s="1261"/>
      <c r="F934" s="1203">
        <f>ROUND(D934*$C934,0)</f>
        <v>0</v>
      </c>
      <c r="G934" s="1261">
        <v>1675</v>
      </c>
      <c r="H934" s="1249"/>
      <c r="I934" s="1203">
        <f>ROUND(G934*C934,0)</f>
        <v>0</v>
      </c>
      <c r="J934" s="1261">
        <f>ROUND(G934*(1+$Q$927),0)</f>
        <v>1914</v>
      </c>
      <c r="K934" s="1249"/>
      <c r="L934" s="1203">
        <f>ROUND(J934*$C934,0)</f>
        <v>0</v>
      </c>
      <c r="N934" s="1185"/>
      <c r="O934" s="1185"/>
      <c r="Q934" s="827">
        <f>(J934-G934)/G934</f>
        <v>0.1426865671641791</v>
      </c>
      <c r="R934" s="777"/>
      <c r="S934" s="1185"/>
      <c r="T934" s="1185"/>
      <c r="U934" s="1185"/>
      <c r="V934" s="1185"/>
      <c r="W934" s="1185"/>
      <c r="X934" s="1185"/>
      <c r="Y934" s="1185"/>
      <c r="Z934" s="1185"/>
      <c r="AA934" s="1185"/>
      <c r="AB934" s="1185"/>
      <c r="AC934" s="1185"/>
      <c r="AD934" s="1185"/>
      <c r="AE934" s="1185"/>
      <c r="AF934" s="1185"/>
      <c r="AG934" s="1185"/>
      <c r="AH934" s="1185"/>
      <c r="AI934" s="1185"/>
    </row>
    <row r="935" spans="1:37">
      <c r="A935" s="1009" t="s">
        <v>394</v>
      </c>
      <c r="B935" s="1219"/>
      <c r="C935" s="1026">
        <f t="shared" si="133"/>
        <v>564</v>
      </c>
      <c r="D935" s="1261" t="s">
        <v>31</v>
      </c>
      <c r="E935" s="1261"/>
      <c r="F935" s="1203" t="s">
        <v>31</v>
      </c>
      <c r="G935" s="1261" t="s">
        <v>31</v>
      </c>
      <c r="H935" s="1041"/>
      <c r="I935" s="1203" t="s">
        <v>31</v>
      </c>
      <c r="J935" s="1261" t="s">
        <v>31</v>
      </c>
      <c r="K935" s="1041"/>
      <c r="L935" s="1203" t="s">
        <v>31</v>
      </c>
      <c r="N935" s="1185"/>
      <c r="O935" s="1185"/>
      <c r="Q935" s="1335"/>
      <c r="R935" s="1186"/>
      <c r="S935" s="1185"/>
      <c r="T935" s="1185"/>
      <c r="U935" s="1185"/>
      <c r="V935" s="1185"/>
      <c r="W935" s="1185"/>
      <c r="X935" s="1185"/>
      <c r="Y935" s="1185"/>
      <c r="Z935" s="1185"/>
      <c r="AA935" s="1185"/>
      <c r="AB935" s="1185"/>
      <c r="AC935" s="1185"/>
      <c r="AD935" s="1185"/>
      <c r="AE935" s="1185"/>
      <c r="AF935" s="1185"/>
      <c r="AG935" s="1185"/>
      <c r="AH935" s="1185"/>
      <c r="AI935" s="1185"/>
    </row>
    <row r="936" spans="1:37">
      <c r="A936" s="1009" t="s">
        <v>473</v>
      </c>
      <c r="B936" s="1219"/>
      <c r="C936" s="1026">
        <f t="shared" si="133"/>
        <v>791768</v>
      </c>
      <c r="D936" s="1261">
        <v>0.92</v>
      </c>
      <c r="E936" s="1261"/>
      <c r="F936" s="1203">
        <f>ROUND(D936*$C936,0)</f>
        <v>728427</v>
      </c>
      <c r="G936" s="1261">
        <v>1.06</v>
      </c>
      <c r="H936" s="1041"/>
      <c r="I936" s="1203">
        <f t="shared" ref="I936:I938" si="134">ROUND(G936*C936,0)</f>
        <v>839274</v>
      </c>
      <c r="J936" s="1261">
        <f>ROUND(G936*(1+$Q$927),2)</f>
        <v>1.21</v>
      </c>
      <c r="K936" s="1041"/>
      <c r="L936" s="1203">
        <f>ROUND(J936*$C936,0)</f>
        <v>958039</v>
      </c>
      <c r="N936" s="1185"/>
      <c r="O936" s="1185"/>
      <c r="Q936" s="827">
        <f>(J936-G936)/G936</f>
        <v>0.14150943396226406</v>
      </c>
      <c r="R936" s="777"/>
      <c r="S936" s="1185"/>
      <c r="T936" s="1185"/>
      <c r="U936" s="1185"/>
      <c r="V936" s="1185"/>
      <c r="W936" s="1185"/>
      <c r="X936" s="1185"/>
      <c r="Y936" s="1185"/>
      <c r="Z936" s="1185"/>
      <c r="AA936" s="1185"/>
      <c r="AB936" s="1185"/>
      <c r="AC936" s="1185"/>
      <c r="AD936" s="1185"/>
      <c r="AE936" s="1185"/>
      <c r="AF936" s="1185"/>
      <c r="AG936" s="1185"/>
      <c r="AH936" s="1185"/>
      <c r="AI936" s="1185"/>
    </row>
    <row r="937" spans="1:37">
      <c r="A937" s="1009" t="s">
        <v>474</v>
      </c>
      <c r="B937" s="1219"/>
      <c r="C937" s="1026">
        <f t="shared" si="133"/>
        <v>0</v>
      </c>
      <c r="D937" s="1261">
        <v>0.84</v>
      </c>
      <c r="E937" s="1261"/>
      <c r="F937" s="1203">
        <f>ROUND(D937*$C937,0)</f>
        <v>0</v>
      </c>
      <c r="G937" s="1261">
        <v>0.96</v>
      </c>
      <c r="H937" s="1041"/>
      <c r="I937" s="1203">
        <f t="shared" si="134"/>
        <v>0</v>
      </c>
      <c r="J937" s="1261">
        <f>ROUND(G937*(1+$Q$927),2)</f>
        <v>1.1000000000000001</v>
      </c>
      <c r="K937" s="1041"/>
      <c r="L937" s="1203">
        <f>ROUND(J937*$C937,0)</f>
        <v>0</v>
      </c>
      <c r="N937" s="1185"/>
      <c r="O937" s="1185"/>
      <c r="Q937" s="827">
        <f>(J937-G937)/G937</f>
        <v>0.14583333333333348</v>
      </c>
      <c r="R937" s="777"/>
      <c r="S937" s="1185"/>
      <c r="T937" s="1185"/>
      <c r="U937" s="1185"/>
      <c r="V937" s="1185"/>
      <c r="W937" s="1185"/>
      <c r="X937" s="1185"/>
      <c r="Y937" s="1185"/>
      <c r="Z937" s="1185"/>
      <c r="AA937" s="1185"/>
      <c r="AB937" s="1185"/>
      <c r="AC937" s="1185"/>
      <c r="AD937" s="1185"/>
      <c r="AE937" s="1185"/>
      <c r="AF937" s="1185"/>
      <c r="AG937" s="1185"/>
      <c r="AH937" s="1185"/>
      <c r="AI937" s="1185"/>
    </row>
    <row r="938" spans="1:37">
      <c r="A938" s="1218" t="s">
        <v>403</v>
      </c>
      <c r="B938" s="1219"/>
      <c r="C938" s="1026">
        <f t="shared" si="133"/>
        <v>648754</v>
      </c>
      <c r="D938" s="1261">
        <v>6.22</v>
      </c>
      <c r="E938" s="1261"/>
      <c r="F938" s="1203">
        <f>ROUND(D938*$C938,0)</f>
        <v>4035250</v>
      </c>
      <c r="G938" s="1261">
        <v>7.12</v>
      </c>
      <c r="H938" s="1041"/>
      <c r="I938" s="1203">
        <f t="shared" si="134"/>
        <v>4619128</v>
      </c>
      <c r="J938" s="1261">
        <f>ROUND(G938*(1+$Q$927),2)+0.3</f>
        <v>8.4400000000000013</v>
      </c>
      <c r="K938" s="1041"/>
      <c r="L938" s="1203">
        <f>ROUND(J938*$C938,0)</f>
        <v>5475484</v>
      </c>
      <c r="N938" s="1185"/>
      <c r="O938" s="1185"/>
      <c r="Q938" s="827">
        <f>(J938-G938)/G938</f>
        <v>0.18539325842696647</v>
      </c>
      <c r="R938" s="777"/>
      <c r="S938" s="1185"/>
      <c r="T938" s="1185"/>
      <c r="U938" s="1185"/>
      <c r="V938" s="1185"/>
      <c r="W938" s="1185"/>
      <c r="X938" s="1185"/>
      <c r="Y938" s="1185"/>
      <c r="Z938" s="1185"/>
      <c r="AA938" s="1185"/>
      <c r="AB938" s="1185"/>
      <c r="AC938" s="1185"/>
      <c r="AD938" s="1185"/>
      <c r="AE938" s="1185"/>
      <c r="AF938" s="1185"/>
      <c r="AG938" s="1185"/>
      <c r="AH938" s="1185"/>
      <c r="AI938" s="1185"/>
    </row>
    <row r="939" spans="1:37">
      <c r="A939" s="1009" t="s">
        <v>426</v>
      </c>
      <c r="B939" s="1219"/>
      <c r="C939" s="1026"/>
      <c r="D939" s="1261" t="s">
        <v>31</v>
      </c>
      <c r="E939" s="1261"/>
      <c r="F939" s="1203"/>
      <c r="G939" s="1261" t="s">
        <v>31</v>
      </c>
      <c r="H939" s="1041"/>
      <c r="I939" s="1203"/>
      <c r="J939" s="1261" t="s">
        <v>31</v>
      </c>
      <c r="K939" s="1041"/>
      <c r="L939" s="1203"/>
      <c r="N939" s="1185"/>
      <c r="O939" s="1185"/>
      <c r="Q939" s="1335"/>
      <c r="R939" s="1186"/>
      <c r="S939" s="1185"/>
      <c r="T939" s="1185"/>
      <c r="U939" s="1185"/>
      <c r="V939" s="1185"/>
      <c r="W939" s="1185"/>
      <c r="X939" s="1185"/>
      <c r="Y939" s="1185"/>
      <c r="Z939" s="1185"/>
      <c r="AA939" s="1185"/>
      <c r="AB939" s="1185"/>
      <c r="AC939" s="1185"/>
      <c r="AD939" s="1185"/>
      <c r="AE939" s="1185"/>
      <c r="AF939" s="1185"/>
      <c r="AG939" s="1185"/>
      <c r="AH939" s="1185"/>
      <c r="AI939" s="1185"/>
    </row>
    <row r="940" spans="1:37">
      <c r="A940" s="1009" t="s">
        <v>464</v>
      </c>
      <c r="B940" s="1219"/>
      <c r="C940" s="1026">
        <f>C960+C978</f>
        <v>292306193</v>
      </c>
      <c r="D940" s="1323">
        <v>3.718</v>
      </c>
      <c r="E940" s="1041" t="s">
        <v>374</v>
      </c>
      <c r="F940" s="1203">
        <f>ROUND(D940/100*$C940,0)</f>
        <v>10867944</v>
      </c>
      <c r="G940" s="1323">
        <v>4.2460000000000004</v>
      </c>
      <c r="H940" s="1041" t="s">
        <v>374</v>
      </c>
      <c r="I940" s="1203">
        <f>ROUND(G940/100*C940,0)</f>
        <v>12411321</v>
      </c>
      <c r="J940" s="1323">
        <f>ROUND(G940*(1+$Q$927)-J942,3)-0.075</f>
        <v>1.5410000000000001</v>
      </c>
      <c r="K940" s="1041" t="s">
        <v>374</v>
      </c>
      <c r="L940" s="1203">
        <f>ROUND(J940/100*$C940,0)</f>
        <v>4504438</v>
      </c>
      <c r="N940" s="1185"/>
      <c r="O940" s="1185"/>
      <c r="Q940" s="827">
        <f>(J940+J942-G940)/G940</f>
        <v>0.12505887894488923</v>
      </c>
      <c r="R940" s="777"/>
      <c r="S940" s="1185"/>
      <c r="T940" s="1185"/>
      <c r="U940" s="1185"/>
      <c r="V940" s="1185"/>
      <c r="W940" s="1185"/>
      <c r="X940" s="1185"/>
      <c r="Y940" s="1185"/>
      <c r="Z940" s="1185"/>
      <c r="AA940" s="1185"/>
      <c r="AB940" s="1185"/>
      <c r="AC940" s="1185"/>
      <c r="AD940" s="1185"/>
      <c r="AE940" s="1185"/>
      <c r="AF940" s="1185"/>
      <c r="AG940" s="1185"/>
      <c r="AH940" s="1185"/>
      <c r="AI940" s="1185"/>
    </row>
    <row r="941" spans="1:37">
      <c r="A941" s="1009" t="s">
        <v>400</v>
      </c>
      <c r="B941" s="1219"/>
      <c r="C941" s="1026">
        <f>C961+C979</f>
        <v>183678</v>
      </c>
      <c r="D941" s="1261">
        <v>0.48</v>
      </c>
      <c r="E941" s="1041"/>
      <c r="F941" s="1203">
        <f>ROUND(D941*$C941,0)</f>
        <v>88165</v>
      </c>
      <c r="G941" s="1261">
        <v>0.55000000000000004</v>
      </c>
      <c r="H941" s="1041"/>
      <c r="I941" s="1203">
        <f>ROUND(G941*C941,0)</f>
        <v>101023</v>
      </c>
      <c r="J941" s="1261">
        <f>ROUND(G941*(1+$Q$927),2)</f>
        <v>0.63</v>
      </c>
      <c r="K941" s="1041"/>
      <c r="L941" s="1203">
        <f>ROUND(J941*$C941,0)</f>
        <v>115717</v>
      </c>
      <c r="N941" s="1185"/>
      <c r="O941" s="1185"/>
      <c r="Q941" s="827">
        <f>(J941-G941)/G941</f>
        <v>0.14545454545454536</v>
      </c>
      <c r="R941" s="777"/>
      <c r="S941" s="1185"/>
      <c r="T941" s="1185"/>
      <c r="U941" s="1185"/>
      <c r="V941" s="1185"/>
      <c r="W941" s="1185"/>
      <c r="X941" s="1185"/>
      <c r="Y941" s="1185"/>
      <c r="Z941" s="1185"/>
      <c r="AA941" s="1185"/>
      <c r="AB941" s="1185"/>
      <c r="AC941" s="1185"/>
      <c r="AD941" s="1185"/>
      <c r="AE941" s="1185"/>
      <c r="AF941" s="1185"/>
      <c r="AG941" s="1185"/>
      <c r="AH941" s="1185"/>
      <c r="AI941" s="1185"/>
    </row>
    <row r="942" spans="1:37">
      <c r="A942" s="1005" t="s">
        <v>928</v>
      </c>
      <c r="C942" s="1026">
        <f>C962+C980</f>
        <v>292306193</v>
      </c>
      <c r="D942" s="269"/>
      <c r="E942" s="1185"/>
      <c r="F942" s="1203"/>
      <c r="G942" s="269"/>
      <c r="H942" s="1185"/>
      <c r="I942" s="1203"/>
      <c r="J942" s="1230">
        <f>ROUND(O942/(C942+C881)*100,3)</f>
        <v>3.2360000000000002</v>
      </c>
      <c r="K942" s="1041" t="s">
        <v>374</v>
      </c>
      <c r="L942" s="1203">
        <f>ROUND(J942/100*$C942,0)</f>
        <v>9459028</v>
      </c>
      <c r="N942" s="1204"/>
      <c r="O942" s="1204">
        <f>'NPC Spread'!G47</f>
        <v>9512953.169853868</v>
      </c>
      <c r="P942" s="815" t="s">
        <v>913</v>
      </c>
      <c r="Q942" s="1184"/>
      <c r="R942" s="1184"/>
      <c r="S942" s="1205"/>
      <c r="T942" s="1205"/>
      <c r="Y942" s="1185"/>
      <c r="Z942" s="1185"/>
      <c r="AA942" s="1185"/>
      <c r="AB942" s="1185"/>
      <c r="AC942" s="1185"/>
      <c r="AD942" s="1185"/>
      <c r="AE942" s="1185"/>
      <c r="AF942" s="1185"/>
      <c r="AG942" s="1185"/>
      <c r="AH942" s="1185"/>
      <c r="AI942" s="1185"/>
      <c r="AK942" s="1204"/>
    </row>
    <row r="943" spans="1:37">
      <c r="A943" s="1509" t="s">
        <v>929</v>
      </c>
      <c r="B943" s="1510"/>
      <c r="C943" s="1517"/>
      <c r="D943" s="1512"/>
      <c r="E943" s="1513"/>
      <c r="F943" s="1514"/>
      <c r="G943" s="1523">
        <f>G940</f>
        <v>4.2460000000000004</v>
      </c>
      <c r="H943" s="1521" t="s">
        <v>374</v>
      </c>
      <c r="I943" s="1514"/>
      <c r="J943" s="1515">
        <f>J940+J942</f>
        <v>4.7770000000000001</v>
      </c>
      <c r="K943" s="1521" t="s">
        <v>374</v>
      </c>
      <c r="L943" s="1514"/>
      <c r="N943" s="1204"/>
      <c r="O943" s="1204"/>
      <c r="P943" s="815"/>
      <c r="Q943" s="827">
        <f>(J943-G943)/G943</f>
        <v>0.12505887894488923</v>
      </c>
      <c r="R943" s="1184"/>
      <c r="S943" s="1205"/>
      <c r="T943" s="1205"/>
      <c r="Y943" s="1185"/>
      <c r="Z943" s="1185"/>
      <c r="AA943" s="1185"/>
      <c r="AB943" s="1185"/>
      <c r="AC943" s="1185"/>
      <c r="AD943" s="1185"/>
      <c r="AE943" s="1185"/>
      <c r="AF943" s="1185"/>
      <c r="AG943" s="1185"/>
      <c r="AH943" s="1185"/>
      <c r="AI943" s="1185"/>
      <c r="AK943" s="1204"/>
    </row>
    <row r="944" spans="1:37">
      <c r="A944" s="1219" t="s">
        <v>381</v>
      </c>
      <c r="B944" s="1219"/>
      <c r="C944" s="1026">
        <f>C940</f>
        <v>292306193</v>
      </c>
      <c r="D944" s="1255"/>
      <c r="E944" s="1203"/>
      <c r="F944" s="1203">
        <f>SUM(F933:F941)</f>
        <v>16405046</v>
      </c>
      <c r="G944" s="1255"/>
      <c r="H944" s="1219"/>
      <c r="I944" s="1203">
        <f>SUM(I933:I941)</f>
        <v>18752450</v>
      </c>
      <c r="J944" s="1255"/>
      <c r="K944" s="1219"/>
      <c r="L944" s="1203">
        <f>SUM(L933:L942)</f>
        <v>21404390</v>
      </c>
      <c r="N944" s="1185"/>
      <c r="O944" s="1185"/>
      <c r="P944" s="1186"/>
      <c r="Q944" s="1186"/>
      <c r="R944" s="1186"/>
      <c r="S944" s="1185"/>
      <c r="T944" s="1185"/>
      <c r="U944" s="1185"/>
      <c r="V944" s="1185"/>
      <c r="W944" s="1185"/>
      <c r="X944" s="1185"/>
      <c r="Y944" s="1185"/>
      <c r="Z944" s="1185"/>
      <c r="AA944" s="1185"/>
      <c r="AB944" s="1185"/>
      <c r="AC944" s="1185"/>
      <c r="AD944" s="1185"/>
      <c r="AE944" s="1185"/>
      <c r="AF944" s="1185"/>
      <c r="AG944" s="1185"/>
      <c r="AH944" s="1185"/>
      <c r="AI944" s="1185"/>
    </row>
    <row r="945" spans="1:35">
      <c r="A945" s="1219" t="s">
        <v>363</v>
      </c>
      <c r="B945" s="1219"/>
      <c r="C945" s="1026">
        <f>C964+C982</f>
        <v>2651326.442353046</v>
      </c>
      <c r="D945" s="1218"/>
      <c r="E945" s="1218"/>
      <c r="F945" s="1264" t="e">
        <f>F964+F982</f>
        <v>#REF!</v>
      </c>
      <c r="G945" s="1218"/>
      <c r="H945" s="1218"/>
      <c r="I945" s="1028">
        <f>I964+I982</f>
        <v>169058.49388907425</v>
      </c>
      <c r="J945" s="1218"/>
      <c r="K945" s="1218"/>
      <c r="L945" s="1264">
        <f>I945</f>
        <v>169058.49388907425</v>
      </c>
      <c r="N945" s="444"/>
      <c r="O945" s="444"/>
      <c r="P945" s="287"/>
      <c r="Q945" s="1186"/>
      <c r="R945" s="1186"/>
      <c r="S945" s="1185"/>
      <c r="T945" s="1185"/>
      <c r="U945" s="1185"/>
      <c r="V945" s="1185"/>
      <c r="W945" s="1185"/>
      <c r="X945" s="1185"/>
      <c r="Y945" s="1185"/>
      <c r="Z945" s="1185"/>
      <c r="AA945" s="1185"/>
      <c r="AB945" s="1185"/>
      <c r="AC945" s="1185"/>
      <c r="AD945" s="1185"/>
      <c r="AE945" s="1185"/>
      <c r="AF945" s="1185"/>
      <c r="AG945" s="1185"/>
      <c r="AH945" s="1185"/>
      <c r="AI945" s="1185"/>
    </row>
    <row r="946" spans="1:35" ht="18" customHeight="1" thickBot="1">
      <c r="A946" s="1219" t="s">
        <v>382</v>
      </c>
      <c r="B946" s="1219"/>
      <c r="C946" s="1321">
        <f>SUM(C944)+C945</f>
        <v>294957519.44235307</v>
      </c>
      <c r="D946" s="1265"/>
      <c r="E946" s="1266"/>
      <c r="F946" s="1267" t="e">
        <f>F944+F945</f>
        <v>#REF!</v>
      </c>
      <c r="G946" s="1265"/>
      <c r="H946" s="1269"/>
      <c r="I946" s="1267">
        <f>I944+I945</f>
        <v>18921508.493889075</v>
      </c>
      <c r="J946" s="1265"/>
      <c r="K946" s="1269"/>
      <c r="L946" s="1267">
        <f>L944+L945</f>
        <v>21573448.493889075</v>
      </c>
      <c r="N946" s="411"/>
      <c r="O946" s="1065" t="s">
        <v>31</v>
      </c>
      <c r="P946" s="1334" t="s">
        <v>31</v>
      </c>
      <c r="Q946" s="1186"/>
      <c r="R946" s="1186"/>
      <c r="S946" s="801" t="s">
        <v>31</v>
      </c>
      <c r="T946" s="1185"/>
      <c r="U946" s="1185"/>
      <c r="V946" s="1185"/>
      <c r="W946" s="1185"/>
      <c r="X946" s="1185"/>
      <c r="Y946" s="1185"/>
      <c r="Z946" s="1185"/>
      <c r="AA946" s="1185"/>
      <c r="AB946" s="1185"/>
      <c r="AC946" s="1185"/>
      <c r="AD946" s="1185"/>
      <c r="AE946" s="1185"/>
      <c r="AF946" s="1185"/>
      <c r="AG946" s="1185"/>
      <c r="AH946" s="1185"/>
      <c r="AI946" s="1185"/>
    </row>
    <row r="947" spans="1:35" ht="16.5" thickTop="1">
      <c r="A947" s="1219"/>
      <c r="B947" s="1219"/>
      <c r="C947" s="1225"/>
      <c r="D947" s="1261"/>
      <c r="E947" s="1203"/>
      <c r="F947" s="1203"/>
      <c r="G947" s="1261"/>
      <c r="H947" s="1219"/>
      <c r="I947" s="1203" t="s">
        <v>31</v>
      </c>
      <c r="J947" s="1261"/>
      <c r="K947" s="1219"/>
      <c r="L947" s="1303"/>
      <c r="N947" s="1185"/>
      <c r="O947" s="1185"/>
      <c r="P947" s="1186"/>
      <c r="Q947" s="1186"/>
      <c r="R947" s="1186"/>
      <c r="S947" s="1065" t="s">
        <v>31</v>
      </c>
      <c r="T947" s="1185"/>
      <c r="U947" s="1185"/>
      <c r="V947" s="1185"/>
      <c r="W947" s="1185"/>
      <c r="X947" s="1185"/>
      <c r="Y947" s="1185"/>
      <c r="Z947" s="1185"/>
      <c r="AA947" s="1185"/>
      <c r="AB947" s="1185"/>
      <c r="AC947" s="1185"/>
      <c r="AD947" s="1185"/>
      <c r="AE947" s="1185"/>
      <c r="AF947" s="1185"/>
      <c r="AG947" s="1185"/>
      <c r="AH947" s="1185"/>
      <c r="AI947" s="1185"/>
    </row>
    <row r="948" spans="1:35">
      <c r="A948" s="1219"/>
      <c r="B948" s="1219"/>
      <c r="C948" s="1225"/>
      <c r="D948" s="1261"/>
      <c r="E948" s="1203"/>
      <c r="F948" s="1203"/>
      <c r="G948" s="1261"/>
      <c r="H948" s="1219"/>
      <c r="I948" s="1203"/>
      <c r="J948" s="1261"/>
      <c r="K948" s="1219"/>
      <c r="L948" s="1303"/>
      <c r="N948" s="1185"/>
      <c r="Q948" s="1186"/>
      <c r="R948" s="1186"/>
      <c r="S948" s="1185"/>
      <c r="T948" s="1185"/>
      <c r="U948" s="1185"/>
      <c r="V948" s="1185"/>
      <c r="W948" s="1185"/>
      <c r="X948" s="1185"/>
      <c r="Y948" s="1185"/>
      <c r="Z948" s="1185"/>
      <c r="AA948" s="1185"/>
      <c r="AB948" s="1185"/>
      <c r="AC948" s="1185"/>
      <c r="AD948" s="1185"/>
      <c r="AE948" s="1185"/>
      <c r="AF948" s="1185"/>
      <c r="AG948" s="1185"/>
      <c r="AH948" s="1185"/>
      <c r="AI948" s="1185"/>
    </row>
    <row r="949" spans="1:35">
      <c r="A949" s="1224" t="s">
        <v>476</v>
      </c>
      <c r="B949" s="1219"/>
      <c r="C949" s="1219"/>
      <c r="D949" s="1203"/>
      <c r="E949" s="1203"/>
      <c r="F949" s="1219"/>
      <c r="G949" s="1203"/>
      <c r="H949" s="1219"/>
      <c r="I949" s="1219"/>
      <c r="J949" s="1203"/>
      <c r="K949" s="1219"/>
      <c r="L949" s="1219"/>
      <c r="N949" s="1185"/>
      <c r="O949" s="1185"/>
      <c r="P949" s="1186"/>
      <c r="Q949" s="1186"/>
      <c r="R949" s="1186"/>
      <c r="S949" s="1185"/>
      <c r="T949" s="1185"/>
      <c r="U949" s="1185"/>
      <c r="V949" s="1185"/>
      <c r="W949" s="1185"/>
      <c r="X949" s="1185"/>
      <c r="Y949" s="1185"/>
      <c r="Z949" s="1185"/>
      <c r="AA949" s="1185"/>
      <c r="AB949" s="1185"/>
      <c r="AC949" s="1185"/>
      <c r="AD949" s="1185"/>
      <c r="AE949" s="1185"/>
      <c r="AF949" s="1185"/>
      <c r="AG949" s="1185"/>
      <c r="AH949" s="1185"/>
      <c r="AI949" s="1185"/>
    </row>
    <row r="950" spans="1:35">
      <c r="A950" s="1218" t="s">
        <v>697</v>
      </c>
      <c r="B950" s="1219"/>
      <c r="C950" s="1219"/>
      <c r="D950" s="1203"/>
      <c r="E950" s="1203"/>
      <c r="F950" s="1219"/>
      <c r="G950" s="1203"/>
      <c r="H950" s="1219"/>
      <c r="I950" s="1219"/>
      <c r="J950" s="1203"/>
      <c r="K950" s="1219"/>
      <c r="L950" s="1219"/>
      <c r="N950" s="1185"/>
      <c r="O950" s="1185"/>
      <c r="P950" s="1186"/>
      <c r="Q950" s="1186"/>
      <c r="R950" s="1186"/>
      <c r="S950" s="1185"/>
      <c r="T950" s="1185"/>
      <c r="U950" s="1185"/>
      <c r="V950" s="1185"/>
      <c r="W950" s="1185"/>
      <c r="X950" s="1185"/>
      <c r="Y950" s="1185"/>
      <c r="Z950" s="1185"/>
      <c r="AA950" s="1185"/>
      <c r="AB950" s="1185"/>
      <c r="AC950" s="1185"/>
      <c r="AD950" s="1185"/>
      <c r="AE950" s="1185"/>
      <c r="AF950" s="1185"/>
      <c r="AG950" s="1185"/>
      <c r="AH950" s="1185"/>
      <c r="AI950" s="1185"/>
    </row>
    <row r="951" spans="1:35">
      <c r="A951" s="1009"/>
      <c r="B951" s="1219"/>
      <c r="C951" s="1219"/>
      <c r="D951" s="1203"/>
      <c r="E951" s="1203"/>
      <c r="F951" s="1219"/>
      <c r="G951" s="1203"/>
      <c r="H951" s="1219"/>
      <c r="I951" s="1219"/>
      <c r="J951" s="1203"/>
      <c r="K951" s="1219"/>
      <c r="L951" s="1219"/>
      <c r="N951" s="1185"/>
      <c r="O951" s="1185"/>
      <c r="P951" s="1186"/>
      <c r="Q951" s="1186"/>
      <c r="R951" s="1186"/>
      <c r="S951" s="1185"/>
      <c r="T951" s="1185"/>
      <c r="U951" s="1185"/>
      <c r="V951" s="1185"/>
      <c r="W951" s="1185"/>
      <c r="X951" s="1185"/>
      <c r="Y951" s="1185"/>
      <c r="Z951" s="1185"/>
      <c r="AA951" s="1185"/>
      <c r="AB951" s="1185"/>
      <c r="AC951" s="1185"/>
      <c r="AD951" s="1185"/>
      <c r="AE951" s="1185"/>
      <c r="AF951" s="1185"/>
      <c r="AG951" s="1185"/>
      <c r="AH951" s="1185"/>
      <c r="AI951" s="1185"/>
    </row>
    <row r="952" spans="1:35">
      <c r="A952" s="1009" t="s">
        <v>393</v>
      </c>
      <c r="B952" s="1219"/>
      <c r="C952" s="1026"/>
      <c r="D952" s="1203"/>
      <c r="E952" s="1203"/>
      <c r="F952" s="1219"/>
      <c r="G952" s="1203"/>
      <c r="H952" s="1219"/>
      <c r="I952" s="1219"/>
      <c r="J952" s="1203"/>
      <c r="K952" s="1219"/>
      <c r="L952" s="1219"/>
      <c r="N952" s="1185"/>
      <c r="O952" s="1185"/>
      <c r="P952" s="1186" t="s">
        <v>31</v>
      </c>
      <c r="Q952" s="1186"/>
      <c r="R952" s="1186"/>
      <c r="S952" s="1185"/>
      <c r="T952" s="1185"/>
      <c r="U952" s="1185"/>
      <c r="V952" s="1185"/>
      <c r="W952" s="1185"/>
      <c r="X952" s="1185"/>
      <c r="Y952" s="1185"/>
      <c r="Z952" s="1185"/>
      <c r="AA952" s="1185"/>
      <c r="AB952" s="1185"/>
      <c r="AC952" s="1185"/>
      <c r="AD952" s="1185"/>
      <c r="AE952" s="1185"/>
      <c r="AF952" s="1185"/>
      <c r="AG952" s="1185"/>
      <c r="AH952" s="1185"/>
      <c r="AI952" s="1185"/>
    </row>
    <row r="953" spans="1:35">
      <c r="A953" s="1009" t="s">
        <v>471</v>
      </c>
      <c r="B953" s="1219"/>
      <c r="C953" s="1026">
        <v>214</v>
      </c>
      <c r="D953" s="1261">
        <v>1215</v>
      </c>
      <c r="E953" s="1261"/>
      <c r="F953" s="1203">
        <f>ROUND(D953*$C953,0)</f>
        <v>260010</v>
      </c>
      <c r="G953" s="1261">
        <v>1386</v>
      </c>
      <c r="H953" s="1041"/>
      <c r="I953" s="1203">
        <f>ROUND(G953*C953,0)</f>
        <v>296604</v>
      </c>
      <c r="J953" s="1261">
        <f>J933</f>
        <v>1581</v>
      </c>
      <c r="K953" s="1041"/>
      <c r="L953" s="1203">
        <f>ROUND(J953*$C953,0)</f>
        <v>338334</v>
      </c>
      <c r="N953" s="1185"/>
      <c r="O953" s="1185"/>
      <c r="P953" s="1186"/>
      <c r="Q953" s="1186"/>
      <c r="R953" s="1186"/>
      <c r="S953" s="1185"/>
      <c r="T953" s="1185"/>
      <c r="U953" s="1185"/>
      <c r="V953" s="1185"/>
      <c r="W953" s="1185"/>
      <c r="X953" s="1185"/>
      <c r="Y953" s="1185"/>
      <c r="Z953" s="1185"/>
      <c r="AA953" s="1185"/>
      <c r="AB953" s="1185"/>
      <c r="AC953" s="1185"/>
      <c r="AD953" s="1185"/>
      <c r="AE953" s="1185"/>
      <c r="AF953" s="1185"/>
      <c r="AG953" s="1185"/>
      <c r="AH953" s="1185"/>
      <c r="AI953" s="1185"/>
    </row>
    <row r="954" spans="1:35">
      <c r="A954" s="1009" t="s">
        <v>472</v>
      </c>
      <c r="B954" s="1219"/>
      <c r="C954" s="1026">
        <v>0</v>
      </c>
      <c r="D954" s="1261">
        <v>1465</v>
      </c>
      <c r="E954" s="1261"/>
      <c r="F954" s="1203">
        <f>ROUND(D954*$C954,0)</f>
        <v>0</v>
      </c>
      <c r="G954" s="1261">
        <v>1675</v>
      </c>
      <c r="H954" s="1249"/>
      <c r="I954" s="1203">
        <f>ROUND(G954*C954,0)</f>
        <v>0</v>
      </c>
      <c r="J954" s="1261">
        <f>J934</f>
        <v>1914</v>
      </c>
      <c r="K954" s="1249"/>
      <c r="L954" s="1203">
        <f>ROUND(J954*$C954,0)</f>
        <v>0</v>
      </c>
      <c r="N954" s="1185"/>
      <c r="O954" s="1185"/>
      <c r="P954" s="1186"/>
      <c r="Q954" s="1186"/>
      <c r="R954" s="1186"/>
      <c r="S954" s="1185"/>
      <c r="T954" s="1185"/>
      <c r="U954" s="1185"/>
      <c r="V954" s="1185"/>
      <c r="W954" s="1185"/>
      <c r="X954" s="1185"/>
      <c r="Y954" s="1185"/>
      <c r="Z954" s="1185"/>
      <c r="AA954" s="1185"/>
      <c r="AB954" s="1185"/>
      <c r="AC954" s="1185"/>
      <c r="AD954" s="1185"/>
      <c r="AE954" s="1185"/>
      <c r="AF954" s="1185"/>
      <c r="AG954" s="1185"/>
      <c r="AH954" s="1185"/>
      <c r="AI954" s="1185"/>
    </row>
    <row r="955" spans="1:35">
      <c r="A955" s="1009" t="s">
        <v>394</v>
      </c>
      <c r="B955" s="1219"/>
      <c r="C955" s="1026">
        <f>SUM(C953:C954)</f>
        <v>214</v>
      </c>
      <c r="D955" s="1261" t="s">
        <v>31</v>
      </c>
      <c r="E955" s="1261"/>
      <c r="F955" s="1203" t="s">
        <v>31</v>
      </c>
      <c r="G955" s="1261" t="s">
        <v>31</v>
      </c>
      <c r="H955" s="1041"/>
      <c r="I955" s="1203" t="s">
        <v>31</v>
      </c>
      <c r="J955" s="1261" t="s">
        <v>31</v>
      </c>
      <c r="K955" s="1041"/>
      <c r="L955" s="1203" t="s">
        <v>31</v>
      </c>
      <c r="N955" s="1185"/>
      <c r="O955" s="1185"/>
      <c r="P955" s="1186"/>
      <c r="Q955" s="1186"/>
      <c r="R955" s="1186"/>
      <c r="S955" s="1185"/>
      <c r="T955" s="1185"/>
      <c r="U955" s="1185"/>
      <c r="V955" s="1185"/>
      <c r="W955" s="1185"/>
      <c r="X955" s="1185"/>
      <c r="Y955" s="1185"/>
      <c r="Z955" s="1185"/>
      <c r="AA955" s="1185"/>
      <c r="AB955" s="1185"/>
      <c r="AC955" s="1185"/>
      <c r="AD955" s="1185"/>
      <c r="AE955" s="1185"/>
      <c r="AF955" s="1185"/>
      <c r="AG955" s="1185"/>
      <c r="AH955" s="1185"/>
      <c r="AI955" s="1185"/>
    </row>
    <row r="956" spans="1:35">
      <c r="A956" s="1009" t="s">
        <v>473</v>
      </c>
      <c r="B956" s="1219"/>
      <c r="C956" s="1026">
        <f>252258</f>
        <v>252258</v>
      </c>
      <c r="D956" s="1261">
        <v>0.92</v>
      </c>
      <c r="E956" s="1261"/>
      <c r="F956" s="1203">
        <f>ROUND(D956*$C956,0)</f>
        <v>232077</v>
      </c>
      <c r="G956" s="1261">
        <v>1.06</v>
      </c>
      <c r="H956" s="1041"/>
      <c r="I956" s="1203">
        <f t="shared" ref="I956:I958" si="135">ROUND(G956*C956,0)</f>
        <v>267393</v>
      </c>
      <c r="J956" s="1261">
        <f>J936</f>
        <v>1.21</v>
      </c>
      <c r="K956" s="1041"/>
      <c r="L956" s="1203">
        <f>ROUND(J956*$C956,0)</f>
        <v>305232</v>
      </c>
      <c r="N956" s="1185"/>
      <c r="O956" s="1185"/>
      <c r="P956" s="1186"/>
      <c r="Q956" s="1186"/>
      <c r="R956" s="1186"/>
      <c r="S956" s="1185"/>
      <c r="T956" s="1185"/>
      <c r="U956" s="1185"/>
      <c r="V956" s="1185"/>
      <c r="W956" s="1185"/>
      <c r="X956" s="1185"/>
      <c r="Y956" s="1185"/>
      <c r="Z956" s="1185"/>
      <c r="AA956" s="1185"/>
      <c r="AB956" s="1185"/>
      <c r="AC956" s="1185"/>
      <c r="AD956" s="1185"/>
      <c r="AE956" s="1185"/>
      <c r="AF956" s="1185"/>
      <c r="AG956" s="1185"/>
      <c r="AH956" s="1185"/>
      <c r="AI956" s="1185"/>
    </row>
    <row r="957" spans="1:35">
      <c r="A957" s="1009" t="s">
        <v>474</v>
      </c>
      <c r="B957" s="1219"/>
      <c r="C957" s="1026">
        <v>0</v>
      </c>
      <c r="D957" s="1261">
        <v>0.84</v>
      </c>
      <c r="E957" s="1261"/>
      <c r="F957" s="1203">
        <f>ROUND(D957*$C957,0)</f>
        <v>0</v>
      </c>
      <c r="G957" s="1261">
        <v>0.96</v>
      </c>
      <c r="H957" s="1041"/>
      <c r="I957" s="1203">
        <f t="shared" si="135"/>
        <v>0</v>
      </c>
      <c r="J957" s="1261">
        <f>J937</f>
        <v>1.1000000000000001</v>
      </c>
      <c r="K957" s="1041"/>
      <c r="L957" s="1203">
        <f>ROUND(J957*$C957,0)</f>
        <v>0</v>
      </c>
      <c r="N957" s="1185"/>
      <c r="O957" s="1185"/>
      <c r="P957" s="1186"/>
      <c r="Q957" s="1186"/>
      <c r="R957" s="1186"/>
      <c r="S957" s="1185"/>
      <c r="T957" s="1185"/>
      <c r="U957" s="1185"/>
      <c r="V957" s="1185"/>
      <c r="W957" s="1185"/>
      <c r="X957" s="1185"/>
      <c r="Y957" s="1185"/>
      <c r="Z957" s="1185"/>
      <c r="AA957" s="1185"/>
      <c r="AB957" s="1185"/>
      <c r="AC957" s="1185"/>
      <c r="AD957" s="1185"/>
      <c r="AE957" s="1185"/>
      <c r="AF957" s="1185"/>
      <c r="AG957" s="1185"/>
      <c r="AH957" s="1185"/>
      <c r="AI957" s="1185"/>
    </row>
    <row r="958" spans="1:35">
      <c r="A958" s="1218" t="s">
        <v>403</v>
      </c>
      <c r="B958" s="1219"/>
      <c r="C958" s="1026">
        <f>181843</f>
        <v>181843</v>
      </c>
      <c r="D958" s="1261">
        <v>6.22</v>
      </c>
      <c r="E958" s="1261"/>
      <c r="F958" s="1203">
        <f>ROUND(D958*$C958,0)</f>
        <v>1131063</v>
      </c>
      <c r="G958" s="1261">
        <v>7.12</v>
      </c>
      <c r="H958" s="1041"/>
      <c r="I958" s="1203">
        <f t="shared" si="135"/>
        <v>1294722</v>
      </c>
      <c r="J958" s="1261">
        <f>J938</f>
        <v>8.4400000000000013</v>
      </c>
      <c r="K958" s="1041"/>
      <c r="L958" s="1203">
        <f>ROUND(J958*$C958,0)</f>
        <v>1534755</v>
      </c>
      <c r="N958" s="1185"/>
      <c r="O958" s="1185"/>
      <c r="P958" s="1186"/>
      <c r="Q958" s="1186"/>
      <c r="R958" s="1186"/>
      <c r="S958" s="1185"/>
      <c r="T958" s="1185"/>
      <c r="U958" s="1185"/>
      <c r="V958" s="1185"/>
      <c r="W958" s="1185"/>
      <c r="X958" s="1185"/>
      <c r="Y958" s="1185"/>
      <c r="Z958" s="1185"/>
      <c r="AA958" s="1185"/>
      <c r="AB958" s="1185"/>
      <c r="AC958" s="1185"/>
      <c r="AD958" s="1185"/>
      <c r="AE958" s="1185"/>
      <c r="AF958" s="1185"/>
      <c r="AG958" s="1185"/>
      <c r="AH958" s="1185"/>
      <c r="AI958" s="1185"/>
    </row>
    <row r="959" spans="1:35">
      <c r="A959" s="1009" t="s">
        <v>426</v>
      </c>
      <c r="B959" s="1219"/>
      <c r="C959" s="1026"/>
      <c r="D959" s="1261" t="s">
        <v>31</v>
      </c>
      <c r="E959" s="1261"/>
      <c r="F959" s="1203"/>
      <c r="G959" s="1261" t="s">
        <v>31</v>
      </c>
      <c r="H959" s="1041"/>
      <c r="I959" s="1203"/>
      <c r="J959" s="1261" t="s">
        <v>31</v>
      </c>
      <c r="K959" s="1041"/>
      <c r="L959" s="1203"/>
      <c r="N959" s="1185"/>
      <c r="O959" s="1185"/>
      <c r="P959" s="1186"/>
      <c r="Q959" s="1186"/>
      <c r="R959" s="1186"/>
      <c r="S959" s="1185"/>
      <c r="T959" s="1185"/>
      <c r="U959" s="1185"/>
      <c r="V959" s="1185"/>
      <c r="W959" s="1185"/>
      <c r="X959" s="1185"/>
      <c r="Y959" s="1185"/>
      <c r="Z959" s="1185"/>
      <c r="AA959" s="1185"/>
      <c r="AB959" s="1185"/>
      <c r="AC959" s="1185"/>
      <c r="AD959" s="1185"/>
      <c r="AE959" s="1185"/>
      <c r="AF959" s="1185"/>
      <c r="AG959" s="1185"/>
      <c r="AH959" s="1185"/>
      <c r="AI959" s="1185"/>
    </row>
    <row r="960" spans="1:35">
      <c r="A960" s="1009" t="s">
        <v>464</v>
      </c>
      <c r="B960" s="1219"/>
      <c r="C960" s="1026">
        <f>83386441</f>
        <v>83386441</v>
      </c>
      <c r="D960" s="1323">
        <v>3.718</v>
      </c>
      <c r="E960" s="1041" t="s">
        <v>374</v>
      </c>
      <c r="F960" s="1203">
        <f>ROUND(D960/100*$C960,0)</f>
        <v>3100308</v>
      </c>
      <c r="G960" s="1323">
        <v>4.2460000000000004</v>
      </c>
      <c r="H960" s="1041" t="s">
        <v>374</v>
      </c>
      <c r="I960" s="1203">
        <f>ROUND(G960/100*C960,0)</f>
        <v>3540588</v>
      </c>
      <c r="J960" s="1323">
        <f>J940</f>
        <v>1.5410000000000001</v>
      </c>
      <c r="K960" s="1041" t="s">
        <v>374</v>
      </c>
      <c r="L960" s="1203">
        <f>ROUND(J960/100*$C960,0)</f>
        <v>1284985</v>
      </c>
      <c r="N960" s="1185"/>
      <c r="O960" s="1185"/>
      <c r="P960" s="1186"/>
      <c r="Q960" s="1186"/>
      <c r="R960" s="1186"/>
      <c r="S960" s="1185"/>
      <c r="T960" s="1185"/>
      <c r="U960" s="1185"/>
      <c r="V960" s="1185"/>
      <c r="W960" s="1185"/>
      <c r="X960" s="1185"/>
      <c r="Y960" s="1185"/>
      <c r="Z960" s="1185"/>
      <c r="AA960" s="1185"/>
      <c r="AB960" s="1185"/>
      <c r="AC960" s="1185"/>
      <c r="AD960" s="1185"/>
      <c r="AE960" s="1185"/>
      <c r="AF960" s="1185"/>
      <c r="AG960" s="1185"/>
      <c r="AH960" s="1185"/>
      <c r="AI960" s="1185"/>
    </row>
    <row r="961" spans="1:37">
      <c r="A961" s="1009" t="s">
        <v>400</v>
      </c>
      <c r="B961" s="1219"/>
      <c r="C961" s="1026">
        <f>24759</f>
        <v>24759</v>
      </c>
      <c r="D961" s="1261">
        <v>0.48</v>
      </c>
      <c r="E961" s="1041"/>
      <c r="F961" s="1203">
        <f>ROUND(D961*$C961,0)</f>
        <v>11884</v>
      </c>
      <c r="G961" s="1261">
        <v>0.55000000000000004</v>
      </c>
      <c r="H961" s="1041"/>
      <c r="I961" s="1203">
        <f>ROUND(G961*C961,0)</f>
        <v>13617</v>
      </c>
      <c r="J961" s="1261">
        <f>J941</f>
        <v>0.63</v>
      </c>
      <c r="K961" s="1041"/>
      <c r="L961" s="1203">
        <f>ROUND(J961*$C961,0)</f>
        <v>15598</v>
      </c>
      <c r="N961" s="1185"/>
      <c r="O961" s="1185"/>
      <c r="P961" s="1186"/>
      <c r="Q961" s="1186"/>
      <c r="R961" s="1186"/>
      <c r="S961" s="1185"/>
      <c r="T961" s="1185"/>
      <c r="U961" s="1185"/>
      <c r="V961" s="1185"/>
      <c r="W961" s="1185"/>
      <c r="X961" s="1185"/>
      <c r="Y961" s="1185"/>
      <c r="Z961" s="1185"/>
      <c r="AA961" s="1185"/>
      <c r="AB961" s="1185"/>
      <c r="AC961" s="1185"/>
      <c r="AD961" s="1185"/>
      <c r="AE961" s="1185"/>
      <c r="AF961" s="1185"/>
      <c r="AG961" s="1185"/>
      <c r="AH961" s="1185"/>
      <c r="AI961" s="1185"/>
    </row>
    <row r="962" spans="1:37">
      <c r="A962" s="1005" t="s">
        <v>928</v>
      </c>
      <c r="C962" s="1202">
        <f>C960</f>
        <v>83386441</v>
      </c>
      <c r="D962" s="269"/>
      <c r="E962" s="1185"/>
      <c r="F962" s="1203"/>
      <c r="G962" s="269"/>
      <c r="H962" s="1185"/>
      <c r="I962" s="1203"/>
      <c r="J962" s="1230">
        <f>J942</f>
        <v>3.2360000000000002</v>
      </c>
      <c r="K962" s="1041" t="s">
        <v>374</v>
      </c>
      <c r="L962" s="1203">
        <f>ROUND(J962*$C962/100,0)</f>
        <v>2698385</v>
      </c>
      <c r="N962" s="1204"/>
      <c r="P962" s="815"/>
      <c r="Q962" s="1184"/>
      <c r="R962" s="1184"/>
      <c r="S962" s="1205"/>
      <c r="T962" s="1205"/>
      <c r="Y962" s="1185"/>
      <c r="Z962" s="1185"/>
      <c r="AA962" s="1185"/>
      <c r="AB962" s="1185"/>
      <c r="AC962" s="1185"/>
      <c r="AD962" s="1185"/>
      <c r="AE962" s="1185"/>
      <c r="AF962" s="1185"/>
      <c r="AG962" s="1185"/>
      <c r="AH962" s="1185"/>
      <c r="AI962" s="1185"/>
      <c r="AK962" s="1204"/>
    </row>
    <row r="963" spans="1:37">
      <c r="A963" s="1219" t="s">
        <v>381</v>
      </c>
      <c r="B963" s="1219"/>
      <c r="C963" s="1026">
        <f>C960</f>
        <v>83386441</v>
      </c>
      <c r="D963" s="1255"/>
      <c r="E963" s="1203"/>
      <c r="F963" s="1203">
        <f>SUM(F953:F961)</f>
        <v>4735342</v>
      </c>
      <c r="G963" s="1255"/>
      <c r="H963" s="1219"/>
      <c r="I963" s="1203">
        <f>SUM(I953:I961)</f>
        <v>5412924</v>
      </c>
      <c r="J963" s="1255"/>
      <c r="K963" s="1219"/>
      <c r="L963" s="1203">
        <f>SUM(L953:L962)</f>
        <v>6177289</v>
      </c>
      <c r="N963" s="1185"/>
      <c r="O963" s="1185"/>
      <c r="P963" s="1186"/>
      <c r="Q963" s="777"/>
      <c r="R963" s="777"/>
      <c r="S963" s="1185"/>
      <c r="T963" s="1185"/>
      <c r="U963" s="1185"/>
      <c r="V963" s="1185"/>
      <c r="W963" s="1185"/>
      <c r="X963" s="1185"/>
      <c r="Y963" s="1185"/>
      <c r="Z963" s="1185"/>
      <c r="AA963" s="1185"/>
      <c r="AB963" s="1185"/>
      <c r="AC963" s="1185"/>
      <c r="AD963" s="1185"/>
      <c r="AE963" s="1185"/>
      <c r="AF963" s="1185"/>
      <c r="AG963" s="1185"/>
      <c r="AH963" s="1185"/>
      <c r="AI963" s="1185"/>
    </row>
    <row r="964" spans="1:37">
      <c r="A964" s="1219" t="s">
        <v>363</v>
      </c>
      <c r="B964" s="1219"/>
      <c r="C964" s="1026">
        <f>C963/($C$963+$C$1020)*$C$1057</f>
        <v>-214984.84813304298</v>
      </c>
      <c r="D964" s="1218"/>
      <c r="E964" s="1218"/>
      <c r="F964" s="1324" t="e">
        <f>F963/($F$963+$F$1020)*$F$1057</f>
        <v>#REF!</v>
      </c>
      <c r="G964" s="1218"/>
      <c r="H964" s="1218"/>
      <c r="I964" s="1028">
        <f>I963/($C$963+$C$1020)*$C$1057</f>
        <v>-13955.466022296161</v>
      </c>
      <c r="J964" s="1218"/>
      <c r="K964" s="1218"/>
      <c r="L964" s="1264">
        <f>I964</f>
        <v>-13955.466022296161</v>
      </c>
      <c r="N964" s="444"/>
      <c r="O964" s="444"/>
      <c r="P964" s="777" t="s">
        <v>31</v>
      </c>
      <c r="S964" s="1185"/>
      <c r="T964" s="1185"/>
      <c r="U964" s="1185"/>
      <c r="V964" s="1185"/>
      <c r="W964" s="1185"/>
      <c r="X964" s="1185"/>
      <c r="Y964" s="1185"/>
      <c r="Z964" s="1185"/>
      <c r="AA964" s="1185"/>
      <c r="AB964" s="1185"/>
      <c r="AC964" s="1185"/>
      <c r="AD964" s="1185"/>
      <c r="AE964" s="1185"/>
      <c r="AF964" s="1185"/>
      <c r="AG964" s="1185"/>
      <c r="AH964" s="1185"/>
      <c r="AI964" s="1185"/>
    </row>
    <row r="965" spans="1:37" ht="16.5" thickBot="1">
      <c r="A965" s="1219" t="s">
        <v>382</v>
      </c>
      <c r="B965" s="1219"/>
      <c r="C965" s="1321">
        <f>SUM(C963)+C964</f>
        <v>83171456.151866958</v>
      </c>
      <c r="D965" s="1265"/>
      <c r="E965" s="1266"/>
      <c r="F965" s="1267" t="e">
        <f>F963+F964</f>
        <v>#REF!</v>
      </c>
      <c r="G965" s="1265"/>
      <c r="H965" s="1269"/>
      <c r="I965" s="1267">
        <f>I963+I964</f>
        <v>5398968.5339777041</v>
      </c>
      <c r="J965" s="1265"/>
      <c r="K965" s="1269"/>
      <c r="L965" s="1267">
        <f>L963+L964</f>
        <v>6163333.5339777041</v>
      </c>
      <c r="N965" s="411"/>
      <c r="O965" s="411"/>
      <c r="P965" s="777" t="s">
        <v>31</v>
      </c>
      <c r="Q965" s="1186"/>
      <c r="R965" s="1186"/>
      <c r="S965" s="801" t="s">
        <v>31</v>
      </c>
      <c r="T965" s="1185"/>
      <c r="U965" s="1185"/>
      <c r="V965" s="1185"/>
      <c r="W965" s="1185"/>
      <c r="X965" s="1185"/>
      <c r="Y965" s="1185"/>
      <c r="Z965" s="1185"/>
      <c r="AA965" s="1185"/>
      <c r="AB965" s="1185"/>
      <c r="AC965" s="1185"/>
      <c r="AD965" s="1185"/>
      <c r="AE965" s="1185"/>
      <c r="AF965" s="1185"/>
      <c r="AG965" s="1185"/>
      <c r="AH965" s="1185"/>
      <c r="AI965" s="1185"/>
    </row>
    <row r="966" spans="1:37" ht="16.5" thickTop="1">
      <c r="A966" s="1219"/>
      <c r="B966" s="1219"/>
      <c r="C966" s="1225"/>
      <c r="D966" s="1261"/>
      <c r="E966" s="1203"/>
      <c r="F966" s="1203"/>
      <c r="G966" s="1261"/>
      <c r="H966" s="1219"/>
      <c r="I966" s="1203"/>
      <c r="J966" s="1261"/>
      <c r="K966" s="1219"/>
      <c r="L966" s="1303"/>
      <c r="N966" s="1185"/>
      <c r="O966" s="1185"/>
      <c r="P966" s="1186"/>
      <c r="Q966" s="1186"/>
      <c r="R966" s="1186"/>
      <c r="S966" s="1185"/>
      <c r="T966" s="1185"/>
      <c r="U966" s="1185"/>
      <c r="V966" s="1185"/>
      <c r="W966" s="1185"/>
      <c r="X966" s="1185"/>
      <c r="Y966" s="1185"/>
      <c r="Z966" s="1185"/>
      <c r="AA966" s="1185"/>
      <c r="AB966" s="1185"/>
      <c r="AC966" s="1185"/>
      <c r="AD966" s="1185"/>
      <c r="AE966" s="1185"/>
      <c r="AF966" s="1185"/>
      <c r="AG966" s="1185"/>
      <c r="AH966" s="1185"/>
      <c r="AI966" s="1185"/>
    </row>
    <row r="967" spans="1:37">
      <c r="A967" s="1224" t="s">
        <v>476</v>
      </c>
      <c r="B967" s="1219"/>
      <c r="C967" s="1219"/>
      <c r="D967" s="1203"/>
      <c r="E967" s="1203"/>
      <c r="F967" s="1219"/>
      <c r="G967" s="1203"/>
      <c r="H967" s="1219"/>
      <c r="I967" s="1219"/>
      <c r="J967" s="1203"/>
      <c r="K967" s="1219"/>
      <c r="L967" s="1219"/>
      <c r="N967" s="1185"/>
      <c r="O967" s="1185"/>
      <c r="P967" s="1186"/>
      <c r="Q967" s="1186"/>
      <c r="R967" s="1186"/>
      <c r="S967" s="1185"/>
      <c r="T967" s="1185"/>
      <c r="U967" s="1185"/>
      <c r="V967" s="1185"/>
      <c r="W967" s="1185"/>
      <c r="X967" s="1185"/>
      <c r="Y967" s="1185"/>
      <c r="Z967" s="1185"/>
      <c r="AA967" s="1185"/>
      <c r="AB967" s="1185"/>
      <c r="AC967" s="1185"/>
      <c r="AD967" s="1185"/>
      <c r="AE967" s="1185"/>
      <c r="AF967" s="1185"/>
      <c r="AG967" s="1185"/>
      <c r="AH967" s="1185"/>
      <c r="AI967" s="1185"/>
    </row>
    <row r="968" spans="1:37">
      <c r="A968" s="1218" t="s">
        <v>696</v>
      </c>
      <c r="B968" s="1219"/>
      <c r="C968" s="1219"/>
      <c r="D968" s="1203"/>
      <c r="E968" s="1203"/>
      <c r="F968" s="1219"/>
      <c r="G968" s="1203"/>
      <c r="H968" s="1219"/>
      <c r="I968" s="1219"/>
      <c r="J968" s="1203"/>
      <c r="K968" s="1219"/>
      <c r="L968" s="1219"/>
      <c r="N968" s="1185"/>
      <c r="O968" s="1185"/>
      <c r="P968" s="1186"/>
      <c r="Q968" s="1186"/>
      <c r="R968" s="1186"/>
      <c r="S968" s="1185"/>
      <c r="T968" s="1185"/>
      <c r="U968" s="1185"/>
      <c r="V968" s="1185"/>
      <c r="W968" s="1185"/>
      <c r="X968" s="1185"/>
      <c r="Y968" s="1185"/>
      <c r="Z968" s="1185"/>
      <c r="AA968" s="1185"/>
      <c r="AB968" s="1185"/>
      <c r="AC968" s="1185"/>
      <c r="AD968" s="1185"/>
      <c r="AE968" s="1185"/>
      <c r="AF968" s="1185"/>
      <c r="AG968" s="1185"/>
      <c r="AH968" s="1185"/>
      <c r="AI968" s="1185"/>
    </row>
    <row r="969" spans="1:37">
      <c r="A969" s="1009"/>
      <c r="B969" s="1219"/>
      <c r="C969" s="1219"/>
      <c r="D969" s="1203"/>
      <c r="E969" s="1203"/>
      <c r="F969" s="1219"/>
      <c r="G969" s="1203"/>
      <c r="H969" s="1219"/>
      <c r="I969" s="1219"/>
      <c r="J969" s="1203"/>
      <c r="K969" s="1219"/>
      <c r="L969" s="1219"/>
      <c r="N969" s="1185"/>
      <c r="O969" s="1185"/>
      <c r="P969" s="1186"/>
      <c r="Q969" s="1186"/>
      <c r="R969" s="1186"/>
      <c r="S969" s="1185"/>
      <c r="T969" s="1185"/>
      <c r="U969" s="1185"/>
      <c r="V969" s="1185"/>
      <c r="W969" s="1185"/>
      <c r="X969" s="1185"/>
      <c r="Y969" s="1185"/>
      <c r="Z969" s="1185"/>
      <c r="AA969" s="1185"/>
      <c r="AB969" s="1185"/>
      <c r="AC969" s="1185"/>
      <c r="AD969" s="1185"/>
      <c r="AE969" s="1185"/>
      <c r="AF969" s="1185"/>
      <c r="AG969" s="1185"/>
      <c r="AH969" s="1185"/>
      <c r="AI969" s="1185"/>
    </row>
    <row r="970" spans="1:37">
      <c r="A970" s="1009" t="s">
        <v>393</v>
      </c>
      <c r="B970" s="1219"/>
      <c r="C970" s="1026"/>
      <c r="D970" s="1203"/>
      <c r="E970" s="1203"/>
      <c r="F970" s="1219"/>
      <c r="G970" s="1203"/>
      <c r="H970" s="1219"/>
      <c r="I970" s="1219"/>
      <c r="J970" s="1203"/>
      <c r="K970" s="1219"/>
      <c r="L970" s="1219"/>
      <c r="N970" s="1185"/>
      <c r="O970" s="1185"/>
      <c r="P970" s="1186"/>
      <c r="Q970" s="1186"/>
      <c r="R970" s="1186"/>
      <c r="S970" s="1185"/>
      <c r="T970" s="1185"/>
      <c r="U970" s="1185"/>
      <c r="V970" s="1185"/>
      <c r="W970" s="1185"/>
      <c r="X970" s="1185"/>
      <c r="Y970" s="1185"/>
      <c r="Z970" s="1185"/>
      <c r="AA970" s="1185"/>
      <c r="AB970" s="1185"/>
      <c r="AC970" s="1185"/>
      <c r="AD970" s="1185"/>
      <c r="AE970" s="1185"/>
      <c r="AF970" s="1185"/>
      <c r="AG970" s="1185"/>
      <c r="AH970" s="1185"/>
      <c r="AI970" s="1185"/>
    </row>
    <row r="971" spans="1:37">
      <c r="A971" s="1009" t="s">
        <v>471</v>
      </c>
      <c r="B971" s="1219"/>
      <c r="C971" s="1026">
        <f>350</f>
        <v>350</v>
      </c>
      <c r="D971" s="1261">
        <v>1215</v>
      </c>
      <c r="E971" s="1261"/>
      <c r="F971" s="1203">
        <f>ROUND(D971*$C971,0)</f>
        <v>425250</v>
      </c>
      <c r="G971" s="1261">
        <v>1386</v>
      </c>
      <c r="H971" s="1041"/>
      <c r="I971" s="1203">
        <f>ROUND(G971*C971,0)</f>
        <v>485100</v>
      </c>
      <c r="J971" s="1261">
        <f>J933</f>
        <v>1581</v>
      </c>
      <c r="K971" s="1041"/>
      <c r="L971" s="1203">
        <f>ROUND(J971*$C971,0)</f>
        <v>553350</v>
      </c>
      <c r="N971" s="1185"/>
      <c r="O971" s="1185"/>
      <c r="P971" s="1186"/>
      <c r="Q971" s="1186"/>
      <c r="R971" s="1186"/>
      <c r="S971" s="1185"/>
      <c r="T971" s="1185"/>
      <c r="U971" s="1185"/>
      <c r="V971" s="1185"/>
      <c r="W971" s="1185"/>
      <c r="X971" s="1185"/>
      <c r="Y971" s="1185"/>
      <c r="Z971" s="1185"/>
      <c r="AA971" s="1185"/>
      <c r="AB971" s="1185"/>
      <c r="AC971" s="1185"/>
      <c r="AD971" s="1185"/>
      <c r="AE971" s="1185"/>
      <c r="AF971" s="1185"/>
      <c r="AG971" s="1185"/>
      <c r="AH971" s="1185"/>
      <c r="AI971" s="1185"/>
    </row>
    <row r="972" spans="1:37">
      <c r="A972" s="1009" t="s">
        <v>472</v>
      </c>
      <c r="B972" s="1219"/>
      <c r="C972" s="1026">
        <v>0</v>
      </c>
      <c r="D972" s="1261">
        <v>1465</v>
      </c>
      <c r="E972" s="1261"/>
      <c r="F972" s="1203">
        <f>ROUND(D972*$C972,0)</f>
        <v>0</v>
      </c>
      <c r="G972" s="1261">
        <v>1675</v>
      </c>
      <c r="H972" s="1249"/>
      <c r="I972" s="1203">
        <f>ROUND(G972*C972,0)</f>
        <v>0</v>
      </c>
      <c r="J972" s="1261">
        <f>J934</f>
        <v>1914</v>
      </c>
      <c r="K972" s="1249"/>
      <c r="L972" s="1203">
        <f>ROUND(J972*$C972,0)</f>
        <v>0</v>
      </c>
      <c r="N972" s="1185"/>
      <c r="O972" s="1185"/>
      <c r="P972" s="1186"/>
      <c r="Q972" s="1186"/>
      <c r="R972" s="1186"/>
      <c r="S972" s="1185"/>
      <c r="T972" s="1185"/>
      <c r="U972" s="1185"/>
      <c r="V972" s="1185"/>
      <c r="W972" s="1185"/>
      <c r="X972" s="1185"/>
      <c r="Y972" s="1185"/>
      <c r="Z972" s="1185"/>
      <c r="AA972" s="1185"/>
      <c r="AB972" s="1185"/>
      <c r="AC972" s="1185"/>
      <c r="AD972" s="1185"/>
      <c r="AE972" s="1185"/>
      <c r="AF972" s="1185"/>
      <c r="AG972" s="1185"/>
      <c r="AH972" s="1185"/>
      <c r="AI972" s="1185"/>
    </row>
    <row r="973" spans="1:37">
      <c r="A973" s="1009" t="s">
        <v>394</v>
      </c>
      <c r="B973" s="1219"/>
      <c r="C973" s="1026">
        <f>SUM(C971:C972)</f>
        <v>350</v>
      </c>
      <c r="D973" s="1261" t="s">
        <v>31</v>
      </c>
      <c r="E973" s="1261"/>
      <c r="F973" s="1203" t="s">
        <v>31</v>
      </c>
      <c r="G973" s="1261" t="s">
        <v>31</v>
      </c>
      <c r="H973" s="1041"/>
      <c r="I973" s="1203" t="s">
        <v>31</v>
      </c>
      <c r="J973" s="1261" t="s">
        <v>31</v>
      </c>
      <c r="K973" s="1041"/>
      <c r="L973" s="1203" t="s">
        <v>31</v>
      </c>
      <c r="N973" s="1185"/>
      <c r="O973" s="1185"/>
      <c r="P973" s="1186"/>
      <c r="Q973" s="1186"/>
      <c r="R973" s="1186"/>
      <c r="S973" s="1185"/>
      <c r="T973" s="1185"/>
      <c r="U973" s="1185"/>
      <c r="V973" s="1185"/>
      <c r="W973" s="1185"/>
      <c r="X973" s="1185"/>
      <c r="Y973" s="1185"/>
      <c r="Z973" s="1185"/>
      <c r="AA973" s="1185"/>
      <c r="AB973" s="1185"/>
      <c r="AC973" s="1185"/>
      <c r="AD973" s="1185"/>
      <c r="AE973" s="1185"/>
      <c r="AF973" s="1185"/>
      <c r="AG973" s="1185"/>
      <c r="AH973" s="1185"/>
      <c r="AI973" s="1185"/>
    </row>
    <row r="974" spans="1:37">
      <c r="A974" s="1009" t="s">
        <v>473</v>
      </c>
      <c r="B974" s="1219"/>
      <c r="C974" s="1026">
        <f>539510</f>
        <v>539510</v>
      </c>
      <c r="D974" s="1261">
        <v>0.92</v>
      </c>
      <c r="E974" s="1261"/>
      <c r="F974" s="1203">
        <f>ROUND(D974*$C974,0)</f>
        <v>496349</v>
      </c>
      <c r="G974" s="1261">
        <v>1.06</v>
      </c>
      <c r="H974" s="1041"/>
      <c r="I974" s="1203">
        <f t="shared" ref="I974:I976" si="136">ROUND(G974*C974,0)</f>
        <v>571881</v>
      </c>
      <c r="J974" s="1261">
        <f>J936</f>
        <v>1.21</v>
      </c>
      <c r="K974" s="1041"/>
      <c r="L974" s="1203">
        <f>ROUND(J974*$C974,0)</f>
        <v>652807</v>
      </c>
      <c r="N974" s="1185"/>
      <c r="O974" s="1185"/>
      <c r="P974" s="1186"/>
      <c r="Q974" s="1186"/>
      <c r="R974" s="1186"/>
      <c r="S974" s="1185"/>
      <c r="T974" s="1185"/>
      <c r="U974" s="1185"/>
      <c r="V974" s="1185"/>
      <c r="W974" s="1185"/>
      <c r="X974" s="1185"/>
      <c r="Y974" s="1185"/>
      <c r="Z974" s="1185"/>
      <c r="AA974" s="1185"/>
      <c r="AB974" s="1185"/>
      <c r="AC974" s="1185"/>
      <c r="AD974" s="1185"/>
      <c r="AE974" s="1185"/>
      <c r="AF974" s="1185"/>
      <c r="AG974" s="1185"/>
      <c r="AH974" s="1185"/>
      <c r="AI974" s="1185"/>
    </row>
    <row r="975" spans="1:37">
      <c r="A975" s="1009" t="s">
        <v>474</v>
      </c>
      <c r="B975" s="1219"/>
      <c r="C975" s="1026">
        <v>0</v>
      </c>
      <c r="D975" s="1261">
        <v>0.84</v>
      </c>
      <c r="E975" s="1261"/>
      <c r="F975" s="1203">
        <f>ROUND(D975*$C975,0)</f>
        <v>0</v>
      </c>
      <c r="G975" s="1261">
        <v>0.96</v>
      </c>
      <c r="H975" s="1041"/>
      <c r="I975" s="1203">
        <f t="shared" si="136"/>
        <v>0</v>
      </c>
      <c r="J975" s="1261">
        <f>J937</f>
        <v>1.1000000000000001</v>
      </c>
      <c r="K975" s="1041"/>
      <c r="L975" s="1203">
        <f>ROUND(J975*$C975,0)</f>
        <v>0</v>
      </c>
      <c r="N975" s="1185"/>
      <c r="O975" s="1185"/>
      <c r="P975" s="1186"/>
      <c r="Q975" s="1186"/>
      <c r="R975" s="1186"/>
      <c r="S975" s="1185"/>
      <c r="T975" s="1185"/>
      <c r="U975" s="1185"/>
      <c r="V975" s="1185"/>
      <c r="W975" s="1185"/>
      <c r="X975" s="1185"/>
      <c r="Y975" s="1185"/>
      <c r="Z975" s="1185"/>
      <c r="AA975" s="1185"/>
      <c r="AB975" s="1185"/>
      <c r="AC975" s="1185"/>
      <c r="AD975" s="1185"/>
      <c r="AE975" s="1185"/>
      <c r="AF975" s="1185"/>
      <c r="AG975" s="1185"/>
      <c r="AH975" s="1185"/>
      <c r="AI975" s="1185"/>
    </row>
    <row r="976" spans="1:37">
      <c r="A976" s="1218" t="s">
        <v>403</v>
      </c>
      <c r="B976" s="1219"/>
      <c r="C976" s="1026">
        <f>466911</f>
        <v>466911</v>
      </c>
      <c r="D976" s="1261">
        <v>6.22</v>
      </c>
      <c r="E976" s="1261"/>
      <c r="F976" s="1203">
        <f>ROUND(D976*$C976,0)</f>
        <v>2904186</v>
      </c>
      <c r="G976" s="1261">
        <v>7.12</v>
      </c>
      <c r="H976" s="1041"/>
      <c r="I976" s="1203">
        <f t="shared" si="136"/>
        <v>3324406</v>
      </c>
      <c r="J976" s="1261">
        <f>J938</f>
        <v>8.4400000000000013</v>
      </c>
      <c r="K976" s="1041"/>
      <c r="L976" s="1203">
        <f>ROUND(J976*$C976,0)</f>
        <v>3940729</v>
      </c>
      <c r="N976" s="1185"/>
      <c r="O976" s="1185"/>
      <c r="P976" s="1186"/>
      <c r="Q976" s="1186"/>
      <c r="R976" s="1186"/>
      <c r="S976" s="1185"/>
      <c r="T976" s="1185"/>
      <c r="U976" s="1185"/>
      <c r="V976" s="1185"/>
      <c r="W976" s="1185"/>
      <c r="X976" s="1185"/>
      <c r="Y976" s="1185"/>
      <c r="Z976" s="1185"/>
      <c r="AA976" s="1185"/>
      <c r="AB976" s="1185"/>
      <c r="AC976" s="1185"/>
      <c r="AD976" s="1185"/>
      <c r="AE976" s="1185"/>
      <c r="AF976" s="1185"/>
      <c r="AG976" s="1185"/>
      <c r="AH976" s="1185"/>
      <c r="AI976" s="1185"/>
    </row>
    <row r="977" spans="1:37">
      <c r="A977" s="1009" t="s">
        <v>426</v>
      </c>
      <c r="B977" s="1219"/>
      <c r="C977" s="1026"/>
      <c r="D977" s="1261" t="s">
        <v>31</v>
      </c>
      <c r="E977" s="1261"/>
      <c r="F977" s="1203"/>
      <c r="G977" s="1261" t="s">
        <v>31</v>
      </c>
      <c r="H977" s="1041"/>
      <c r="I977" s="1203"/>
      <c r="J977" s="1261" t="s">
        <v>31</v>
      </c>
      <c r="K977" s="1041"/>
      <c r="L977" s="1203"/>
      <c r="N977" s="1185"/>
      <c r="O977" s="1185"/>
      <c r="P977" s="1186"/>
      <c r="Q977" s="1186"/>
      <c r="R977" s="1186"/>
      <c r="S977" s="1185"/>
      <c r="T977" s="1185"/>
      <c r="U977" s="1185"/>
      <c r="V977" s="1185"/>
      <c r="W977" s="1185"/>
      <c r="X977" s="1185"/>
      <c r="Y977" s="1185"/>
      <c r="Z977" s="1185"/>
      <c r="AA977" s="1185"/>
      <c r="AB977" s="1185"/>
      <c r="AC977" s="1185"/>
      <c r="AD977" s="1185"/>
      <c r="AE977" s="1185"/>
      <c r="AF977" s="1185"/>
      <c r="AG977" s="1185"/>
      <c r="AH977" s="1185"/>
      <c r="AI977" s="1185"/>
    </row>
    <row r="978" spans="1:37">
      <c r="A978" s="1009" t="s">
        <v>464</v>
      </c>
      <c r="B978" s="1219"/>
      <c r="C978" s="1026">
        <f>208919752</f>
        <v>208919752</v>
      </c>
      <c r="D978" s="1323">
        <v>3.718</v>
      </c>
      <c r="E978" s="1041" t="s">
        <v>374</v>
      </c>
      <c r="F978" s="1203">
        <f>ROUND(D978/100*$C978,0)</f>
        <v>7767636</v>
      </c>
      <c r="G978" s="1323">
        <v>4.2460000000000004</v>
      </c>
      <c r="H978" s="1041" t="s">
        <v>374</v>
      </c>
      <c r="I978" s="1203">
        <f>ROUND(G978/100*C978,0)</f>
        <v>8870733</v>
      </c>
      <c r="J978" s="1323">
        <f>J940</f>
        <v>1.5410000000000001</v>
      </c>
      <c r="K978" s="1041" t="s">
        <v>374</v>
      </c>
      <c r="L978" s="1203">
        <f>ROUND(J978/100*$C978,0)</f>
        <v>3219453</v>
      </c>
      <c r="N978" s="1185"/>
      <c r="O978" s="1185"/>
      <c r="P978" s="1186"/>
      <c r="Q978" s="1186"/>
      <c r="R978" s="1186"/>
      <c r="S978" s="1185"/>
      <c r="T978" s="1185"/>
      <c r="U978" s="1185"/>
      <c r="V978" s="1185"/>
      <c r="W978" s="1185"/>
      <c r="X978" s="1185"/>
      <c r="Y978" s="1185"/>
      <c r="Z978" s="1185"/>
      <c r="AA978" s="1185"/>
      <c r="AB978" s="1185"/>
      <c r="AC978" s="1185"/>
      <c r="AD978" s="1185"/>
      <c r="AE978" s="1185"/>
      <c r="AF978" s="1185"/>
      <c r="AG978" s="1185"/>
      <c r="AH978" s="1185"/>
      <c r="AI978" s="1185"/>
    </row>
    <row r="979" spans="1:37">
      <c r="A979" s="1009" t="s">
        <v>400</v>
      </c>
      <c r="B979" s="1219"/>
      <c r="C979" s="1026">
        <f>158919</f>
        <v>158919</v>
      </c>
      <c r="D979" s="1261">
        <v>0.48</v>
      </c>
      <c r="E979" s="1041"/>
      <c r="F979" s="1203">
        <f>ROUND(D979*$C979,0)</f>
        <v>76281</v>
      </c>
      <c r="G979" s="1261">
        <v>0.55000000000000004</v>
      </c>
      <c r="H979" s="1041"/>
      <c r="I979" s="1203">
        <f>ROUND(G979*C979,0)</f>
        <v>87405</v>
      </c>
      <c r="J979" s="1261">
        <f>J941</f>
        <v>0.63</v>
      </c>
      <c r="K979" s="1041"/>
      <c r="L979" s="1203">
        <f>ROUND(J979*$C979,0)</f>
        <v>100119</v>
      </c>
      <c r="N979" s="1185"/>
      <c r="O979" s="1185"/>
      <c r="P979" s="1186"/>
      <c r="Q979" s="1186"/>
      <c r="R979" s="1186"/>
      <c r="S979" s="1185"/>
      <c r="T979" s="1185"/>
      <c r="U979" s="1185"/>
      <c r="V979" s="1185"/>
      <c r="W979" s="1185"/>
      <c r="X979" s="1185"/>
      <c r="Y979" s="1185"/>
      <c r="Z979" s="1185"/>
      <c r="AA979" s="1185"/>
      <c r="AB979" s="1185"/>
      <c r="AC979" s="1185"/>
      <c r="AD979" s="1185"/>
      <c r="AE979" s="1185"/>
      <c r="AF979" s="1185"/>
      <c r="AG979" s="1185"/>
      <c r="AH979" s="1185"/>
      <c r="AI979" s="1185"/>
    </row>
    <row r="980" spans="1:37">
      <c r="A980" s="1005" t="s">
        <v>928</v>
      </c>
      <c r="C980" s="1202">
        <f>C978</f>
        <v>208919752</v>
      </c>
      <c r="D980" s="269"/>
      <c r="E980" s="1185"/>
      <c r="F980" s="1203"/>
      <c r="G980" s="269"/>
      <c r="H980" s="1185"/>
      <c r="I980" s="1203"/>
      <c r="J980" s="1230">
        <f>J942</f>
        <v>3.2360000000000002</v>
      </c>
      <c r="K980" s="1041" t="s">
        <v>374</v>
      </c>
      <c r="L980" s="1203">
        <f>ROUND(J980*$C980/100,0)</f>
        <v>6760643</v>
      </c>
      <c r="N980" s="1204"/>
      <c r="P980" s="815"/>
      <c r="Q980" s="1184"/>
      <c r="R980" s="1184"/>
      <c r="S980" s="1205"/>
      <c r="T980" s="1205"/>
      <c r="Y980" s="1185"/>
      <c r="Z980" s="1185"/>
      <c r="AA980" s="1185"/>
      <c r="AB980" s="1185"/>
      <c r="AC980" s="1185"/>
      <c r="AD980" s="1185"/>
      <c r="AE980" s="1185"/>
      <c r="AF980" s="1185"/>
      <c r="AG980" s="1185"/>
      <c r="AH980" s="1185"/>
      <c r="AI980" s="1185"/>
      <c r="AK980" s="1204"/>
    </row>
    <row r="981" spans="1:37">
      <c r="A981" s="1219" t="s">
        <v>381</v>
      </c>
      <c r="B981" s="1219"/>
      <c r="C981" s="1026">
        <f>C978</f>
        <v>208919752</v>
      </c>
      <c r="D981" s="1255"/>
      <c r="E981" s="1203"/>
      <c r="F981" s="1203">
        <f>SUM(F971:F979)</f>
        <v>11669702</v>
      </c>
      <c r="G981" s="1255"/>
      <c r="H981" s="1219"/>
      <c r="I981" s="1203">
        <f>SUM(I971:I979)</f>
        <v>13339525</v>
      </c>
      <c r="J981" s="1255"/>
      <c r="K981" s="1219"/>
      <c r="L981" s="1203">
        <f>SUM(L971:L980)</f>
        <v>15227101</v>
      </c>
      <c r="N981" s="1185"/>
      <c r="O981" s="1065" t="s">
        <v>31</v>
      </c>
      <c r="P981" s="1186"/>
      <c r="Q981" s="1186"/>
      <c r="R981" s="1186"/>
      <c r="S981" s="1185"/>
      <c r="T981" s="1185"/>
      <c r="U981" s="1185"/>
      <c r="V981" s="1185"/>
      <c r="W981" s="1185"/>
      <c r="X981" s="1185"/>
      <c r="Y981" s="1185"/>
      <c r="Z981" s="1185"/>
      <c r="AA981" s="1185"/>
      <c r="AB981" s="1185"/>
      <c r="AC981" s="1185"/>
      <c r="AD981" s="1185"/>
      <c r="AE981" s="1185"/>
      <c r="AF981" s="1185"/>
      <c r="AG981" s="1185"/>
      <c r="AH981" s="1185"/>
      <c r="AI981" s="1185"/>
    </row>
    <row r="982" spans="1:37">
      <c r="A982" s="1219" t="s">
        <v>363</v>
      </c>
      <c r="B982" s="1219"/>
      <c r="C982" s="1026">
        <f>C981/($C$981+$C$1038)*$C$1076</f>
        <v>2866311.290486089</v>
      </c>
      <c r="D982" s="1218"/>
      <c r="E982" s="1218"/>
      <c r="F982" s="1324" t="e">
        <f>F981/($F$981+$F$1038)*$F$1076</f>
        <v>#REF!</v>
      </c>
      <c r="G982" s="1218"/>
      <c r="H982" s="1218"/>
      <c r="I982" s="1028">
        <f>I981/($C$981+$C$1038)*$C$1076</f>
        <v>183013.95991137042</v>
      </c>
      <c r="J982" s="1218"/>
      <c r="K982" s="1218"/>
      <c r="L982" s="1264">
        <f>I982</f>
        <v>183013.95991137042</v>
      </c>
      <c r="N982" s="444"/>
      <c r="O982" s="444"/>
      <c r="P982" s="287"/>
      <c r="Q982" s="1186"/>
      <c r="R982" s="1186"/>
      <c r="S982" s="1185"/>
      <c r="T982" s="1185"/>
      <c r="U982" s="1185"/>
      <c r="V982" s="1185"/>
      <c r="W982" s="1185"/>
      <c r="X982" s="1185"/>
      <c r="Y982" s="1185"/>
      <c r="Z982" s="1185"/>
      <c r="AA982" s="1185"/>
      <c r="AB982" s="1185"/>
      <c r="AC982" s="1185"/>
      <c r="AD982" s="1185"/>
      <c r="AE982" s="1185"/>
      <c r="AF982" s="1185"/>
      <c r="AG982" s="1185"/>
      <c r="AH982" s="1185"/>
      <c r="AI982" s="1185"/>
    </row>
    <row r="983" spans="1:37" ht="16.5" thickBot="1">
      <c r="A983" s="1219" t="s">
        <v>382</v>
      </c>
      <c r="B983" s="1219"/>
      <c r="C983" s="1321">
        <f>SUM(C981)+C982</f>
        <v>211786063.2904861</v>
      </c>
      <c r="D983" s="1265"/>
      <c r="E983" s="1266"/>
      <c r="F983" s="1267" t="e">
        <f>F981+F982</f>
        <v>#REF!</v>
      </c>
      <c r="G983" s="1265"/>
      <c r="H983" s="1269"/>
      <c r="I983" s="1267">
        <f>I981+I982</f>
        <v>13522538.959911371</v>
      </c>
      <c r="J983" s="1265"/>
      <c r="K983" s="1269"/>
      <c r="L983" s="1267">
        <f>L981+L982</f>
        <v>15410114.959911371</v>
      </c>
      <c r="N983" s="411"/>
      <c r="O983" s="411"/>
      <c r="P983" s="470"/>
      <c r="Q983" s="1186"/>
      <c r="R983" s="1186"/>
      <c r="S983" s="801" t="s">
        <v>31</v>
      </c>
      <c r="T983" s="1185"/>
      <c r="U983" s="1185"/>
      <c r="V983" s="1185"/>
      <c r="W983" s="1185"/>
      <c r="X983" s="1185"/>
      <c r="Y983" s="1185"/>
      <c r="Z983" s="1185"/>
      <c r="AA983" s="1185"/>
      <c r="AB983" s="1185"/>
      <c r="AC983" s="1185"/>
      <c r="AD983" s="1185"/>
      <c r="AE983" s="1185"/>
      <c r="AF983" s="1185"/>
      <c r="AG983" s="1185"/>
      <c r="AH983" s="1185"/>
      <c r="AI983" s="1185"/>
    </row>
    <row r="984" spans="1:37" ht="16.5" thickTop="1">
      <c r="A984" s="1219"/>
      <c r="B984" s="1219"/>
      <c r="C984" s="1225"/>
      <c r="D984" s="1261"/>
      <c r="E984" s="1203"/>
      <c r="F984" s="1203"/>
      <c r="G984" s="1261"/>
      <c r="H984" s="1219"/>
      <c r="I984" s="1203"/>
      <c r="J984" s="1261"/>
      <c r="K984" s="1219"/>
      <c r="L984" s="1303"/>
      <c r="N984" s="1185"/>
      <c r="P984" s="1186"/>
      <c r="Q984" s="777" t="s">
        <v>31</v>
      </c>
      <c r="R984" s="777"/>
      <c r="S984" s="1185"/>
      <c r="T984" s="1185"/>
      <c r="U984" s="1185"/>
      <c r="V984" s="1185"/>
      <c r="W984" s="1185"/>
      <c r="X984" s="1185"/>
      <c r="Y984" s="1185"/>
      <c r="Z984" s="1185"/>
      <c r="AA984" s="1185"/>
      <c r="AB984" s="1185"/>
      <c r="AC984" s="1185"/>
      <c r="AD984" s="1185"/>
      <c r="AE984" s="1185"/>
      <c r="AF984" s="1185"/>
      <c r="AG984" s="1185"/>
      <c r="AH984" s="1185"/>
      <c r="AI984" s="1185"/>
    </row>
    <row r="985" spans="1:37">
      <c r="A985" s="1224" t="s">
        <v>476</v>
      </c>
      <c r="B985" s="1219"/>
      <c r="C985" s="1219"/>
      <c r="D985" s="1203"/>
      <c r="E985" s="1203"/>
      <c r="F985" s="1219"/>
      <c r="G985" s="1203"/>
      <c r="H985" s="1219"/>
      <c r="I985" s="1219"/>
      <c r="J985" s="1203"/>
      <c r="K985" s="1219"/>
      <c r="L985" s="1219"/>
      <c r="N985" s="1185"/>
      <c r="O985" s="1185"/>
      <c r="P985" s="1186"/>
      <c r="Q985" s="1186"/>
      <c r="R985" s="1186"/>
      <c r="S985" s="1185"/>
      <c r="T985" s="1185"/>
      <c r="U985" s="1185"/>
      <c r="V985" s="1185"/>
      <c r="W985" s="1185"/>
      <c r="X985" s="1185"/>
      <c r="Y985" s="1185"/>
      <c r="Z985" s="1185"/>
      <c r="AA985" s="1185"/>
      <c r="AB985" s="1185"/>
      <c r="AC985" s="1185"/>
      <c r="AD985" s="1185"/>
      <c r="AE985" s="1185"/>
      <c r="AF985" s="1185"/>
      <c r="AG985" s="1185"/>
      <c r="AH985" s="1185"/>
      <c r="AI985" s="1185"/>
    </row>
    <row r="986" spans="1:37">
      <c r="A986" s="1218" t="s">
        <v>699</v>
      </c>
      <c r="B986" s="1219"/>
      <c r="C986" s="1219"/>
      <c r="D986" s="1203"/>
      <c r="E986" s="1203"/>
      <c r="F986" s="1219"/>
      <c r="G986" s="1203"/>
      <c r="H986" s="1219"/>
      <c r="I986" s="1219"/>
      <c r="J986" s="1203"/>
      <c r="K986" s="1219"/>
      <c r="L986" s="1219"/>
      <c r="N986" s="1185"/>
      <c r="O986" s="1185"/>
      <c r="P986" s="1186"/>
      <c r="Q986" s="1186"/>
      <c r="R986" s="1186"/>
      <c r="S986" s="1185"/>
      <c r="T986" s="1185"/>
      <c r="U986" s="1185"/>
      <c r="V986" s="1185"/>
      <c r="W986" s="1185"/>
      <c r="X986" s="1185"/>
      <c r="Y986" s="1185"/>
      <c r="Z986" s="1185"/>
      <c r="AA986" s="1185"/>
      <c r="AB986" s="1185"/>
      <c r="AC986" s="1185"/>
      <c r="AD986" s="1185"/>
      <c r="AE986" s="1185"/>
      <c r="AF986" s="1185"/>
      <c r="AG986" s="1185"/>
      <c r="AH986" s="1185"/>
      <c r="AI986" s="1185"/>
    </row>
    <row r="987" spans="1:37">
      <c r="A987" s="1219" t="s">
        <v>31</v>
      </c>
      <c r="B987" s="1219"/>
      <c r="C987" s="1219"/>
      <c r="D987" s="1203"/>
      <c r="E987" s="1203"/>
      <c r="F987" s="1219"/>
      <c r="G987" s="1203"/>
      <c r="H987" s="1219"/>
      <c r="I987" s="1219"/>
      <c r="J987" s="1203"/>
      <c r="K987" s="1219"/>
      <c r="L987" s="1219"/>
      <c r="N987" s="1185"/>
      <c r="O987" s="1185"/>
      <c r="P987" s="1186"/>
      <c r="Q987" s="1186"/>
      <c r="R987" s="1186"/>
      <c r="S987" s="1185"/>
      <c r="T987" s="1185"/>
      <c r="U987" s="1185"/>
      <c r="V987" s="1185"/>
      <c r="W987" s="1185"/>
      <c r="X987" s="1185"/>
      <c r="Y987" s="1185"/>
      <c r="Z987" s="1185"/>
      <c r="AA987" s="1185"/>
      <c r="AB987" s="1185"/>
      <c r="AC987" s="1185"/>
      <c r="AD987" s="1185"/>
      <c r="AE987" s="1185"/>
      <c r="AF987" s="1185"/>
      <c r="AG987" s="1185"/>
      <c r="AH987" s="1185"/>
      <c r="AI987" s="1185"/>
    </row>
    <row r="988" spans="1:37">
      <c r="A988" s="1009" t="s">
        <v>393</v>
      </c>
      <c r="B988" s="1219"/>
      <c r="C988" s="1026"/>
      <c r="D988" s="1203"/>
      <c r="E988" s="1203"/>
      <c r="F988" s="1219"/>
      <c r="G988" s="1203"/>
      <c r="H988" s="1219"/>
      <c r="I988" s="1219"/>
      <c r="J988" s="1203"/>
      <c r="K988" s="1219"/>
      <c r="L988" s="1219"/>
      <c r="N988" s="1185"/>
      <c r="P988" s="1186"/>
      <c r="Q988" s="1186"/>
      <c r="R988" s="1186"/>
      <c r="S988" s="1185"/>
      <c r="T988" s="1185"/>
      <c r="U988" s="1185"/>
      <c r="V988" s="1185"/>
      <c r="W988" s="1185"/>
      <c r="X988" s="1185"/>
      <c r="Y988" s="1185"/>
      <c r="Z988" s="1185"/>
      <c r="AA988" s="1185"/>
      <c r="AB988" s="1185"/>
      <c r="AC988" s="1185"/>
      <c r="AD988" s="1185"/>
      <c r="AE988" s="1185"/>
      <c r="AF988" s="1185"/>
      <c r="AG988" s="1185"/>
      <c r="AH988" s="1185"/>
      <c r="AI988" s="1185"/>
    </row>
    <row r="989" spans="1:37">
      <c r="A989" s="1009" t="s">
        <v>471</v>
      </c>
      <c r="B989" s="1219"/>
      <c r="C989" s="1026">
        <f t="shared" ref="C989:C994" si="137">C1010+C1028</f>
        <v>131</v>
      </c>
      <c r="D989" s="1261">
        <v>1245</v>
      </c>
      <c r="E989" s="1261"/>
      <c r="F989" s="1203">
        <f>ROUND(D989*$C989,0)</f>
        <v>163095</v>
      </c>
      <c r="G989" s="1261">
        <v>1419</v>
      </c>
      <c r="H989" s="1041"/>
      <c r="I989" s="1203">
        <f>ROUND(G989*C989,0)</f>
        <v>185889</v>
      </c>
      <c r="J989" s="1261">
        <f>ROUND(G989*(1+$Q$927),0)-3</f>
        <v>1618</v>
      </c>
      <c r="K989" s="1041"/>
      <c r="L989" s="1203">
        <f>ROUND(J989*$C989,0)</f>
        <v>211958</v>
      </c>
      <c r="N989" s="1185"/>
      <c r="O989" s="1185"/>
      <c r="Q989" s="827">
        <f>(J989-G989)/G989</f>
        <v>0.14023960535588442</v>
      </c>
      <c r="R989" s="777"/>
      <c r="S989" s="1185"/>
      <c r="T989" s="1185"/>
      <c r="U989" s="1185"/>
      <c r="V989" s="1185"/>
      <c r="W989" s="1185"/>
      <c r="X989" s="1185"/>
      <c r="Y989" s="1185"/>
      <c r="Z989" s="1185"/>
      <c r="AA989" s="1185"/>
      <c r="AB989" s="1185"/>
      <c r="AC989" s="1185"/>
      <c r="AD989" s="1185"/>
      <c r="AE989" s="1185"/>
      <c r="AF989" s="1185"/>
      <c r="AG989" s="1185"/>
      <c r="AH989" s="1185"/>
      <c r="AI989" s="1185"/>
    </row>
    <row r="990" spans="1:37">
      <c r="A990" s="1009" t="s">
        <v>472</v>
      </c>
      <c r="B990" s="1219"/>
      <c r="C990" s="1026">
        <f t="shared" si="137"/>
        <v>0</v>
      </c>
      <c r="D990" s="1261">
        <v>1490</v>
      </c>
      <c r="E990" s="1261"/>
      <c r="F990" s="1203">
        <f>ROUND(D990*$C990,0)</f>
        <v>0</v>
      </c>
      <c r="G990" s="1261">
        <v>1707</v>
      </c>
      <c r="H990" s="1249"/>
      <c r="I990" s="1203">
        <f>ROUND(G990*C990,0)</f>
        <v>0</v>
      </c>
      <c r="J990" s="1261">
        <f>ROUND(G990*(1+$Q$927),0)+2</f>
        <v>1952</v>
      </c>
      <c r="K990" s="1249"/>
      <c r="L990" s="1203">
        <f>ROUND(J990*$C990,0)</f>
        <v>0</v>
      </c>
      <c r="N990" s="1185"/>
      <c r="O990" s="1185"/>
      <c r="Q990" s="827">
        <f>(J990-G990)/G990</f>
        <v>0.14352665495020503</v>
      </c>
      <c r="R990" s="777"/>
      <c r="S990" s="1185"/>
      <c r="T990" s="1185"/>
      <c r="U990" s="1185"/>
      <c r="V990" s="1185"/>
      <c r="W990" s="1185"/>
      <c r="X990" s="1185"/>
      <c r="Y990" s="1185"/>
      <c r="Z990" s="1185"/>
      <c r="AA990" s="1185"/>
      <c r="AB990" s="1185"/>
      <c r="AC990" s="1185"/>
      <c r="AD990" s="1185"/>
      <c r="AE990" s="1185"/>
      <c r="AF990" s="1185"/>
      <c r="AG990" s="1185"/>
      <c r="AH990" s="1185"/>
      <c r="AI990" s="1185"/>
    </row>
    <row r="991" spans="1:37">
      <c r="A991" s="1009" t="s">
        <v>394</v>
      </c>
      <c r="B991" s="1219"/>
      <c r="C991" s="1026">
        <f t="shared" si="137"/>
        <v>131</v>
      </c>
      <c r="D991" s="1261" t="s">
        <v>31</v>
      </c>
      <c r="E991" s="1261"/>
      <c r="F991" s="1203" t="s">
        <v>31</v>
      </c>
      <c r="G991" s="1261" t="s">
        <v>31</v>
      </c>
      <c r="H991" s="1041"/>
      <c r="I991" s="1203" t="s">
        <v>31</v>
      </c>
      <c r="J991" s="1261" t="s">
        <v>31</v>
      </c>
      <c r="K991" s="1041"/>
      <c r="L991" s="1203" t="s">
        <v>31</v>
      </c>
      <c r="N991" s="1185"/>
      <c r="O991" s="1185"/>
      <c r="Q991" s="1335"/>
      <c r="R991" s="1186"/>
      <c r="S991" s="1185"/>
      <c r="T991" s="1185"/>
      <c r="U991" s="1185"/>
      <c r="V991" s="1185"/>
      <c r="W991" s="1185"/>
      <c r="X991" s="1185"/>
      <c r="Y991" s="1185"/>
      <c r="Z991" s="1185"/>
      <c r="AA991" s="1185"/>
      <c r="AB991" s="1185"/>
      <c r="AC991" s="1185"/>
      <c r="AD991" s="1185"/>
      <c r="AE991" s="1185"/>
      <c r="AF991" s="1185"/>
      <c r="AG991" s="1185"/>
      <c r="AH991" s="1185"/>
      <c r="AI991" s="1185"/>
    </row>
    <row r="992" spans="1:37">
      <c r="A992" s="1009" t="s">
        <v>473</v>
      </c>
      <c r="B992" s="1219"/>
      <c r="C992" s="1026">
        <f t="shared" si="137"/>
        <v>201885</v>
      </c>
      <c r="D992" s="1261">
        <v>0.45</v>
      </c>
      <c r="E992" s="1261"/>
      <c r="F992" s="1203">
        <f>ROUND(D992*$C992,0)</f>
        <v>90848</v>
      </c>
      <c r="G992" s="1261">
        <v>0.53</v>
      </c>
      <c r="H992" s="1041"/>
      <c r="I992" s="1203">
        <f t="shared" ref="I992:I994" si="138">ROUND(G992*C992,0)</f>
        <v>106999</v>
      </c>
      <c r="J992" s="1261">
        <f>ROUND(G992*(1+$Q$927),2)</f>
        <v>0.61</v>
      </c>
      <c r="K992" s="1041"/>
      <c r="L992" s="1203">
        <f>ROUND(J992*$C992,0)</f>
        <v>123150</v>
      </c>
      <c r="N992" s="1185"/>
      <c r="Q992" s="827">
        <f>(J992-G992)/G992</f>
        <v>0.15094339622641501</v>
      </c>
      <c r="R992" s="777"/>
      <c r="S992" s="1185" t="s">
        <v>31</v>
      </c>
      <c r="T992" s="1185"/>
      <c r="U992" s="1185"/>
      <c r="V992" s="1185"/>
      <c r="W992" s="1185"/>
      <c r="X992" s="1185"/>
      <c r="Y992" s="1185"/>
      <c r="Z992" s="1185"/>
      <c r="AA992" s="1185"/>
      <c r="AB992" s="1185"/>
      <c r="AC992" s="1185"/>
      <c r="AD992" s="1185"/>
      <c r="AE992" s="1185"/>
      <c r="AF992" s="1185"/>
      <c r="AG992" s="1185"/>
      <c r="AH992" s="1185"/>
      <c r="AI992" s="1185"/>
    </row>
    <row r="993" spans="1:37">
      <c r="A993" s="1009" t="s">
        <v>474</v>
      </c>
      <c r="B993" s="1219"/>
      <c r="C993" s="1026">
        <f t="shared" si="137"/>
        <v>0</v>
      </c>
      <c r="D993" s="1261">
        <v>0.38000000000000006</v>
      </c>
      <c r="E993" s="1261"/>
      <c r="F993" s="1203">
        <f>ROUND(D993*$C993,0)</f>
        <v>0</v>
      </c>
      <c r="G993" s="1261">
        <v>0.43</v>
      </c>
      <c r="H993" s="1041"/>
      <c r="I993" s="1203">
        <f t="shared" si="138"/>
        <v>0</v>
      </c>
      <c r="J993" s="1261">
        <f>ROUND(G993*(1+$Q$927),2)</f>
        <v>0.49</v>
      </c>
      <c r="K993" s="1041"/>
      <c r="L993" s="1203">
        <f>ROUND(J993*$C993,0)</f>
        <v>0</v>
      </c>
      <c r="N993" s="1185"/>
      <c r="O993" s="1185"/>
      <c r="Q993" s="827">
        <f>(J993-G993)/G993</f>
        <v>0.13953488372093023</v>
      </c>
      <c r="R993" s="777"/>
      <c r="S993" s="1185"/>
      <c r="T993" s="1185"/>
      <c r="U993" s="1185"/>
      <c r="V993" s="1185"/>
      <c r="W993" s="1185"/>
      <c r="X993" s="1185"/>
      <c r="Y993" s="1185"/>
      <c r="Z993" s="1185"/>
      <c r="AA993" s="1185"/>
      <c r="AB993" s="1185"/>
      <c r="AC993" s="1185"/>
      <c r="AD993" s="1185"/>
      <c r="AE993" s="1185"/>
      <c r="AF993" s="1185"/>
      <c r="AG993" s="1185"/>
      <c r="AH993" s="1185"/>
      <c r="AI993" s="1185"/>
    </row>
    <row r="994" spans="1:37">
      <c r="A994" s="1218" t="s">
        <v>403</v>
      </c>
      <c r="B994" s="1219"/>
      <c r="C994" s="1026">
        <f t="shared" si="137"/>
        <v>165661</v>
      </c>
      <c r="D994" s="1261">
        <v>6.12</v>
      </c>
      <c r="E994" s="1261"/>
      <c r="F994" s="1203">
        <f>ROUND(D994*$C994,0)</f>
        <v>1013845</v>
      </c>
      <c r="G994" s="1261">
        <v>6.99</v>
      </c>
      <c r="H994" s="1041"/>
      <c r="I994" s="1203">
        <f t="shared" si="138"/>
        <v>1157970</v>
      </c>
      <c r="J994" s="1261">
        <f>ROUND(G994*(1+$Q$938),2)</f>
        <v>8.2899999999999991</v>
      </c>
      <c r="K994" s="1041"/>
      <c r="L994" s="1203">
        <f>ROUND(J994*$C994,0)</f>
        <v>1373330</v>
      </c>
      <c r="N994" s="1185"/>
      <c r="O994" s="1185"/>
      <c r="Q994" s="827">
        <f>(J994-G994)/G994</f>
        <v>0.18597997138769656</v>
      </c>
      <c r="R994" s="777"/>
      <c r="S994" s="1185"/>
      <c r="T994" s="1185"/>
      <c r="U994" s="1185"/>
      <c r="V994" s="1185"/>
      <c r="W994" s="1185"/>
      <c r="X994" s="1185"/>
      <c r="Y994" s="1185"/>
      <c r="Z994" s="1185"/>
      <c r="AA994" s="1185"/>
      <c r="AB994" s="1185"/>
      <c r="AC994" s="1185"/>
      <c r="AD994" s="1185"/>
      <c r="AE994" s="1185"/>
      <c r="AF994" s="1185"/>
      <c r="AG994" s="1185"/>
      <c r="AH994" s="1185"/>
      <c r="AI994" s="1185"/>
    </row>
    <row r="995" spans="1:37">
      <c r="A995" s="1009" t="s">
        <v>426</v>
      </c>
      <c r="B995" s="1219"/>
      <c r="C995" s="1026"/>
      <c r="D995" s="1261" t="s">
        <v>31</v>
      </c>
      <c r="E995" s="1261"/>
      <c r="F995" s="1203"/>
      <c r="G995" s="1261" t="s">
        <v>31</v>
      </c>
      <c r="H995" s="1041"/>
      <c r="I995" s="1203"/>
      <c r="J995" s="1261" t="s">
        <v>31</v>
      </c>
      <c r="K995" s="1041"/>
      <c r="L995" s="1203"/>
      <c r="N995" s="1185"/>
      <c r="O995" s="1185"/>
      <c r="Q995" s="1335"/>
      <c r="R995" s="1186"/>
      <c r="S995" s="1185"/>
      <c r="T995" s="1185"/>
      <c r="U995" s="1185"/>
      <c r="V995" s="1185"/>
      <c r="W995" s="1185"/>
      <c r="X995" s="1185"/>
      <c r="Y995" s="1185"/>
      <c r="Z995" s="1185"/>
      <c r="AA995" s="1185"/>
      <c r="AB995" s="1185"/>
      <c r="AC995" s="1185"/>
      <c r="AD995" s="1185"/>
      <c r="AE995" s="1185"/>
      <c r="AF995" s="1185"/>
      <c r="AG995" s="1185"/>
      <c r="AH995" s="1185"/>
      <c r="AI995" s="1185"/>
    </row>
    <row r="996" spans="1:37">
      <c r="A996" s="1009" t="s">
        <v>464</v>
      </c>
      <c r="B996" s="1219"/>
      <c r="C996" s="1026">
        <f>C1017+C1035</f>
        <v>63486200</v>
      </c>
      <c r="D996" s="1323">
        <v>3.6669999999999998</v>
      </c>
      <c r="E996" s="1041" t="s">
        <v>374</v>
      </c>
      <c r="F996" s="1203">
        <f>ROUND(D996/100*$C996,0)</f>
        <v>2328039</v>
      </c>
      <c r="G996" s="1323">
        <v>4.1920000000000002</v>
      </c>
      <c r="H996" s="1041" t="s">
        <v>374</v>
      </c>
      <c r="I996" s="1203">
        <f>ROUND(G996/100*C996,0)</f>
        <v>2661342</v>
      </c>
      <c r="J996" s="1323">
        <f>ROUND(G996*(1+$Q$940)-J998,3)</f>
        <v>0.875</v>
      </c>
      <c r="K996" s="1041" t="s">
        <v>374</v>
      </c>
      <c r="L996" s="1203">
        <f>ROUND(J996/100*$C996,0)</f>
        <v>555504</v>
      </c>
      <c r="N996" s="1185"/>
      <c r="O996" s="1185"/>
      <c r="Q996" s="827">
        <f>(J996+J998-G996)/G996</f>
        <v>0.125</v>
      </c>
      <c r="R996" s="777"/>
      <c r="S996" s="1185"/>
      <c r="T996" s="1185"/>
      <c r="U996" s="1185"/>
      <c r="V996" s="1185"/>
      <c r="W996" s="1185"/>
      <c r="X996" s="1185"/>
      <c r="Y996" s="1185"/>
      <c r="Z996" s="1185"/>
      <c r="AA996" s="1185"/>
      <c r="AB996" s="1185"/>
      <c r="AC996" s="1185"/>
      <c r="AD996" s="1185"/>
      <c r="AE996" s="1185"/>
      <c r="AF996" s="1185"/>
      <c r="AG996" s="1185"/>
      <c r="AH996" s="1185"/>
      <c r="AI996" s="1185"/>
    </row>
    <row r="997" spans="1:37">
      <c r="A997" s="1009" t="s">
        <v>400</v>
      </c>
      <c r="B997" s="1219"/>
      <c r="C997" s="1026">
        <f>C1018+C1036</f>
        <v>16320</v>
      </c>
      <c r="D997" s="1261">
        <v>0.47</v>
      </c>
      <c r="E997" s="1041"/>
      <c r="F997" s="1203">
        <f>ROUND(D997*$C997,0)</f>
        <v>7670</v>
      </c>
      <c r="G997" s="1261">
        <v>0.54</v>
      </c>
      <c r="H997" s="1041"/>
      <c r="I997" s="1203">
        <f>ROUND(G997*C997,0)</f>
        <v>8813</v>
      </c>
      <c r="J997" s="1261">
        <f>ROUND(G997*(1+$Q$927),2)</f>
        <v>0.62</v>
      </c>
      <c r="K997" s="1041"/>
      <c r="L997" s="1203">
        <f>ROUND(J997*$C997,0)</f>
        <v>10118</v>
      </c>
      <c r="N997" s="1185"/>
      <c r="O997" s="1185"/>
      <c r="Q997" s="827">
        <f>(J997-G997)/G997</f>
        <v>0.14814814814814806</v>
      </c>
      <c r="R997" s="777"/>
      <c r="S997" s="1185"/>
      <c r="T997" s="1185"/>
      <c r="U997" s="1185"/>
      <c r="V997" s="1185"/>
      <c r="W997" s="1185"/>
      <c r="X997" s="1185"/>
      <c r="Y997" s="1185"/>
      <c r="Z997" s="1185"/>
      <c r="AA997" s="1185"/>
      <c r="AB997" s="1185"/>
      <c r="AC997" s="1185"/>
      <c r="AD997" s="1185"/>
      <c r="AE997" s="1185"/>
      <c r="AF997" s="1185"/>
      <c r="AG997" s="1185"/>
      <c r="AH997" s="1185"/>
      <c r="AI997" s="1185"/>
    </row>
    <row r="998" spans="1:37">
      <c r="A998" s="1005" t="s">
        <v>928</v>
      </c>
      <c r="C998" s="1202">
        <f>C996</f>
        <v>63486200</v>
      </c>
      <c r="D998" s="269"/>
      <c r="E998" s="1185"/>
      <c r="F998" s="1203"/>
      <c r="G998" s="269"/>
      <c r="H998" s="1185"/>
      <c r="I998" s="1203"/>
      <c r="J998" s="1230">
        <f>ROUND(O998/C998*100,3)</f>
        <v>3.8410000000000002</v>
      </c>
      <c r="K998" s="1041" t="s">
        <v>374</v>
      </c>
      <c r="L998" s="1203">
        <f>ROUND(J998/100*$C998,0)</f>
        <v>2438505</v>
      </c>
      <c r="N998" s="1204"/>
      <c r="O998" s="1204">
        <f>'NPC Spread'!G48</f>
        <v>2438646.2051787861</v>
      </c>
      <c r="P998" s="815" t="s">
        <v>913</v>
      </c>
      <c r="Q998" s="1184"/>
      <c r="R998" s="1184"/>
      <c r="S998" s="1205"/>
      <c r="T998" s="1205"/>
      <c r="Y998" s="1185"/>
      <c r="Z998" s="1185"/>
      <c r="AA998" s="1185"/>
      <c r="AB998" s="1185"/>
      <c r="AC998" s="1185"/>
      <c r="AD998" s="1185"/>
      <c r="AE998" s="1185"/>
      <c r="AF998" s="1185"/>
      <c r="AG998" s="1185"/>
      <c r="AH998" s="1185"/>
      <c r="AI998" s="1185"/>
      <c r="AK998" s="1204"/>
    </row>
    <row r="999" spans="1:37">
      <c r="A999" s="1509" t="s">
        <v>929</v>
      </c>
      <c r="B999" s="1510"/>
      <c r="C999" s="1524"/>
      <c r="D999" s="1512"/>
      <c r="E999" s="1513"/>
      <c r="F999" s="1514"/>
      <c r="G999" s="1523">
        <f>G996</f>
        <v>4.1920000000000002</v>
      </c>
      <c r="H999" s="1521" t="s">
        <v>374</v>
      </c>
      <c r="I999" s="1514"/>
      <c r="J999" s="1515">
        <f>J996+J998</f>
        <v>4.7160000000000002</v>
      </c>
      <c r="K999" s="1521" t="s">
        <v>374</v>
      </c>
      <c r="L999" s="1514"/>
      <c r="N999" s="1204"/>
      <c r="O999" s="1204"/>
      <c r="P999" s="815"/>
      <c r="Q999" s="827">
        <f>(J999-G999)/G999</f>
        <v>0.125</v>
      </c>
      <c r="R999" s="1184"/>
      <c r="S999" s="1205"/>
      <c r="T999" s="1205"/>
      <c r="Y999" s="1185"/>
      <c r="Z999" s="1185"/>
      <c r="AA999" s="1185"/>
      <c r="AB999" s="1185"/>
      <c r="AC999" s="1185"/>
      <c r="AD999" s="1185"/>
      <c r="AE999" s="1185"/>
      <c r="AF999" s="1185"/>
      <c r="AG999" s="1185"/>
      <c r="AH999" s="1185"/>
      <c r="AI999" s="1185"/>
      <c r="AK999" s="1204"/>
    </row>
    <row r="1000" spans="1:37">
      <c r="A1000" s="1219" t="s">
        <v>381</v>
      </c>
      <c r="B1000" s="1219"/>
      <c r="C1000" s="1026">
        <f>C996</f>
        <v>63486200</v>
      </c>
      <c r="D1000" s="1255"/>
      <c r="E1000" s="1203"/>
      <c r="F1000" s="1203">
        <f>SUM(F989:F997)</f>
        <v>3603497</v>
      </c>
      <c r="G1000" s="1255"/>
      <c r="H1000" s="1219"/>
      <c r="I1000" s="1203">
        <f>SUM(I989:I997)</f>
        <v>4121013</v>
      </c>
      <c r="J1000" s="1255"/>
      <c r="K1000" s="1219"/>
      <c r="L1000" s="1203">
        <f>SUM(L989:L998)</f>
        <v>4712565</v>
      </c>
      <c r="N1000" s="1185"/>
      <c r="O1000" s="1185"/>
      <c r="P1000" s="1186"/>
      <c r="Q1000" s="1186"/>
      <c r="R1000" s="1186"/>
      <c r="S1000" s="1185"/>
      <c r="T1000" s="1185"/>
      <c r="U1000" s="1185"/>
      <c r="V1000" s="1185"/>
      <c r="W1000" s="1185"/>
      <c r="X1000" s="1185"/>
      <c r="Y1000" s="1185"/>
      <c r="Z1000" s="1185"/>
      <c r="AA1000" s="1185"/>
      <c r="AB1000" s="1185"/>
      <c r="AC1000" s="1185"/>
      <c r="AD1000" s="1185"/>
      <c r="AE1000" s="1185"/>
      <c r="AF1000" s="1185"/>
      <c r="AG1000" s="1185"/>
      <c r="AH1000" s="1185"/>
      <c r="AI1000" s="1185"/>
    </row>
    <row r="1001" spans="1:37">
      <c r="A1001" s="1219" t="s">
        <v>363</v>
      </c>
      <c r="B1001" s="1219"/>
      <c r="C1001" s="1026">
        <f>C1021+C1039</f>
        <v>-88949.63514489145</v>
      </c>
      <c r="D1001" s="1218"/>
      <c r="E1001" s="1218"/>
      <c r="F1001" s="1264" t="e">
        <f>F1021+F1039</f>
        <v>#REF!</v>
      </c>
      <c r="G1001" s="1218"/>
      <c r="H1001" s="1218"/>
      <c r="I1001" s="1028">
        <f>I1021+I1039</f>
        <v>196038.57052329986</v>
      </c>
      <c r="J1001" s="1218"/>
      <c r="K1001" s="1218"/>
      <c r="L1001" s="1264">
        <f>I1001</f>
        <v>196038.57052329986</v>
      </c>
      <c r="N1001" s="444"/>
      <c r="O1001" s="444"/>
      <c r="P1001" s="287"/>
      <c r="Q1001" s="1186"/>
      <c r="R1001" s="1186"/>
      <c r="S1001" s="1185"/>
      <c r="T1001" s="1185"/>
      <c r="U1001" s="1185"/>
      <c r="V1001" s="1185"/>
      <c r="W1001" s="1185"/>
      <c r="X1001" s="1185"/>
      <c r="Y1001" s="1185"/>
      <c r="Z1001" s="1185"/>
      <c r="AA1001" s="1185"/>
      <c r="AB1001" s="1185"/>
      <c r="AC1001" s="1185"/>
      <c r="AD1001" s="1185"/>
      <c r="AE1001" s="1185"/>
      <c r="AF1001" s="1185"/>
      <c r="AG1001" s="1185"/>
      <c r="AH1001" s="1185"/>
      <c r="AI1001" s="1185"/>
    </row>
    <row r="1002" spans="1:37" ht="16.5" thickBot="1">
      <c r="A1002" s="1219" t="s">
        <v>382</v>
      </c>
      <c r="B1002" s="1219"/>
      <c r="C1002" s="1321">
        <f>SUM(C1000)+C1001</f>
        <v>63397250.364855111</v>
      </c>
      <c r="D1002" s="1265"/>
      <c r="E1002" s="1266"/>
      <c r="F1002" s="1267" t="e">
        <f>F1000+F1001</f>
        <v>#REF!</v>
      </c>
      <c r="G1002" s="1265"/>
      <c r="H1002" s="1269"/>
      <c r="I1002" s="1267">
        <f>I1000+I1001</f>
        <v>4317051.5705233002</v>
      </c>
      <c r="J1002" s="1265"/>
      <c r="K1002" s="1269"/>
      <c r="L1002" s="1267">
        <f>L1000+L1001</f>
        <v>4908603.5705233002</v>
      </c>
      <c r="N1002" s="411"/>
      <c r="O1002" s="411" t="s">
        <v>31</v>
      </c>
      <c r="P1002" s="777" t="s">
        <v>31</v>
      </c>
      <c r="Q1002" s="728">
        <f>(L1002-I1002)/I1002</f>
        <v>0.1370268550969137</v>
      </c>
      <c r="R1002" s="1186"/>
      <c r="T1002" s="1185"/>
      <c r="U1002" s="1185"/>
      <c r="V1002" s="1185"/>
      <c r="W1002" s="1185"/>
      <c r="X1002" s="1185"/>
      <c r="Y1002" s="1185"/>
      <c r="Z1002" s="1185"/>
      <c r="AA1002" s="1185"/>
      <c r="AB1002" s="1185"/>
      <c r="AC1002" s="1185"/>
      <c r="AD1002" s="1185"/>
      <c r="AE1002" s="1185"/>
      <c r="AF1002" s="1185"/>
      <c r="AG1002" s="1185"/>
      <c r="AH1002" s="1185"/>
      <c r="AI1002" s="1185"/>
    </row>
    <row r="1003" spans="1:37" ht="16.5" thickTop="1">
      <c r="A1003" s="1219"/>
      <c r="B1003" s="1219"/>
      <c r="C1003" s="1225"/>
      <c r="D1003" s="1261"/>
      <c r="E1003" s="1203"/>
      <c r="F1003" s="1203"/>
      <c r="G1003" s="1261" t="s">
        <v>31</v>
      </c>
      <c r="H1003" s="1219"/>
      <c r="I1003" s="1203"/>
      <c r="J1003" s="1259" t="s">
        <v>31</v>
      </c>
      <c r="K1003" s="1219"/>
      <c r="L1003" s="1203" t="s">
        <v>31</v>
      </c>
      <c r="N1003" s="1185"/>
      <c r="P1003" s="1186"/>
      <c r="Q1003" s="777" t="s">
        <v>31</v>
      </c>
      <c r="R1003" s="777"/>
      <c r="S1003" s="1185"/>
      <c r="T1003" s="1185"/>
      <c r="U1003" s="1185"/>
      <c r="V1003" s="1185"/>
      <c r="W1003" s="1185"/>
      <c r="X1003" s="1185"/>
      <c r="Y1003" s="1185"/>
      <c r="Z1003" s="1185"/>
      <c r="AA1003" s="1185"/>
      <c r="AB1003" s="1185"/>
      <c r="AC1003" s="1185"/>
      <c r="AD1003" s="1185"/>
      <c r="AE1003" s="1185"/>
      <c r="AF1003" s="1185"/>
      <c r="AG1003" s="1185"/>
      <c r="AH1003" s="1185"/>
      <c r="AI1003" s="1185"/>
    </row>
    <row r="1004" spans="1:37">
      <c r="A1004" s="1219"/>
      <c r="B1004" s="1219"/>
      <c r="C1004" s="1225"/>
      <c r="D1004" s="1261"/>
      <c r="E1004" s="1203"/>
      <c r="F1004" s="1203"/>
      <c r="G1004" s="1261" t="s">
        <v>31</v>
      </c>
      <c r="H1004" s="1219"/>
      <c r="I1004" s="1203"/>
      <c r="J1004" s="1259" t="s">
        <v>31</v>
      </c>
      <c r="K1004" s="1219"/>
      <c r="L1004" s="1203" t="s">
        <v>31</v>
      </c>
      <c r="N1004" s="1185"/>
      <c r="O1004" s="1185"/>
      <c r="P1004" s="1186"/>
      <c r="Q1004" s="1186"/>
      <c r="R1004" s="1186"/>
      <c r="S1004" s="1185"/>
      <c r="T1004" s="1185"/>
      <c r="U1004" s="1185"/>
      <c r="V1004" s="1185"/>
      <c r="W1004" s="1185"/>
      <c r="X1004" s="1185"/>
      <c r="Y1004" s="1185"/>
      <c r="Z1004" s="1185"/>
      <c r="AA1004" s="1185"/>
      <c r="AB1004" s="1185"/>
      <c r="AC1004" s="1185"/>
      <c r="AD1004" s="1185"/>
      <c r="AE1004" s="1185"/>
      <c r="AF1004" s="1185"/>
      <c r="AG1004" s="1185"/>
      <c r="AH1004" s="1185"/>
      <c r="AI1004" s="1185"/>
    </row>
    <row r="1005" spans="1:37">
      <c r="A1005" s="1219"/>
      <c r="B1005" s="1219"/>
      <c r="C1005" s="1225"/>
      <c r="D1005" s="1261"/>
      <c r="E1005" s="1203"/>
      <c r="F1005" s="1203"/>
      <c r="G1005" s="1261"/>
      <c r="H1005" s="1219"/>
      <c r="I1005" s="1203"/>
      <c r="J1005" s="1261"/>
      <c r="K1005" s="1219"/>
      <c r="L1005" s="1303"/>
      <c r="N1005" s="1185"/>
      <c r="O1005" s="1185"/>
      <c r="P1005" s="1186"/>
      <c r="Q1005" s="1186"/>
      <c r="R1005" s="1186"/>
      <c r="S1005" s="1185"/>
      <c r="T1005" s="1185"/>
      <c r="U1005" s="1185"/>
      <c r="V1005" s="1185"/>
      <c r="W1005" s="1185"/>
      <c r="X1005" s="1185"/>
      <c r="Y1005" s="1185"/>
      <c r="Z1005" s="1185"/>
      <c r="AA1005" s="1185"/>
      <c r="AB1005" s="1185"/>
      <c r="AC1005" s="1185"/>
      <c r="AD1005" s="1185"/>
      <c r="AE1005" s="1185"/>
      <c r="AF1005" s="1185"/>
      <c r="AG1005" s="1185"/>
      <c r="AH1005" s="1185"/>
      <c r="AI1005" s="1185"/>
    </row>
    <row r="1006" spans="1:37">
      <c r="A1006" s="1224" t="s">
        <v>476</v>
      </c>
      <c r="B1006" s="1219"/>
      <c r="C1006" s="1219"/>
      <c r="D1006" s="1203"/>
      <c r="E1006" s="1203"/>
      <c r="F1006" s="1219"/>
      <c r="G1006" s="1203"/>
      <c r="H1006" s="1219"/>
      <c r="I1006" s="1219"/>
      <c r="J1006" s="1203"/>
      <c r="K1006" s="1219"/>
      <c r="L1006" s="1219"/>
      <c r="N1006" s="1185"/>
      <c r="O1006" s="1185"/>
      <c r="P1006" s="1186"/>
      <c r="Q1006" s="1186"/>
      <c r="R1006" s="1186"/>
      <c r="S1006" s="1185"/>
      <c r="T1006" s="1185"/>
      <c r="U1006" s="1185"/>
      <c r="V1006" s="1185"/>
      <c r="W1006" s="1185"/>
      <c r="X1006" s="1185"/>
      <c r="Y1006" s="1185"/>
      <c r="Z1006" s="1185"/>
      <c r="AA1006" s="1185"/>
      <c r="AB1006" s="1185"/>
      <c r="AC1006" s="1185"/>
      <c r="AD1006" s="1185"/>
      <c r="AE1006" s="1185"/>
      <c r="AF1006" s="1185"/>
      <c r="AG1006" s="1185"/>
      <c r="AH1006" s="1185"/>
      <c r="AI1006" s="1185"/>
    </row>
    <row r="1007" spans="1:37">
      <c r="A1007" s="1218" t="s">
        <v>695</v>
      </c>
      <c r="B1007" s="1219"/>
      <c r="C1007" s="1219"/>
      <c r="D1007" s="1203"/>
      <c r="E1007" s="1203"/>
      <c r="F1007" s="1219"/>
      <c r="G1007" s="1203"/>
      <c r="H1007" s="1219"/>
      <c r="I1007" s="1219"/>
      <c r="J1007" s="1203"/>
      <c r="K1007" s="1219"/>
      <c r="L1007" s="1219"/>
      <c r="N1007" s="1185"/>
      <c r="O1007" s="1185"/>
      <c r="P1007" s="1186"/>
      <c r="Q1007" s="1186"/>
      <c r="R1007" s="1186"/>
      <c r="S1007" s="1185"/>
      <c r="T1007" s="1185"/>
      <c r="U1007" s="1185"/>
      <c r="V1007" s="1185"/>
      <c r="W1007" s="1185"/>
      <c r="X1007" s="1185"/>
      <c r="Y1007" s="1185"/>
      <c r="Z1007" s="1185"/>
      <c r="AA1007" s="1185"/>
      <c r="AB1007" s="1185"/>
      <c r="AC1007" s="1185"/>
      <c r="AD1007" s="1185"/>
      <c r="AE1007" s="1185"/>
      <c r="AF1007" s="1185"/>
      <c r="AG1007" s="1185"/>
      <c r="AH1007" s="1185"/>
      <c r="AI1007" s="1185"/>
    </row>
    <row r="1008" spans="1:37">
      <c r="A1008" s="1219" t="s">
        <v>31</v>
      </c>
      <c r="B1008" s="1219"/>
      <c r="C1008" s="1219"/>
      <c r="D1008" s="1203"/>
      <c r="E1008" s="1203"/>
      <c r="F1008" s="1219"/>
      <c r="G1008" s="1203"/>
      <c r="H1008" s="1219"/>
      <c r="I1008" s="1219"/>
      <c r="J1008" s="1203"/>
      <c r="K1008" s="1219"/>
      <c r="L1008" s="1219"/>
      <c r="N1008" s="1185"/>
      <c r="O1008" s="1185"/>
      <c r="P1008" s="1186"/>
      <c r="Q1008" s="1186"/>
      <c r="R1008" s="1186"/>
      <c r="S1008" s="1185"/>
      <c r="T1008" s="1185"/>
      <c r="U1008" s="1185"/>
      <c r="V1008" s="1185"/>
      <c r="W1008" s="1185"/>
      <c r="X1008" s="1185"/>
      <c r="Y1008" s="1185"/>
      <c r="Z1008" s="1185"/>
      <c r="AA1008" s="1185"/>
      <c r="AB1008" s="1185"/>
      <c r="AC1008" s="1185"/>
      <c r="AD1008" s="1185"/>
      <c r="AE1008" s="1185"/>
      <c r="AF1008" s="1185"/>
      <c r="AG1008" s="1185"/>
      <c r="AH1008" s="1185"/>
      <c r="AI1008" s="1185"/>
    </row>
    <row r="1009" spans="1:37">
      <c r="A1009" s="1009" t="s">
        <v>393</v>
      </c>
      <c r="B1009" s="1219"/>
      <c r="C1009" s="1026"/>
      <c r="D1009" s="1203"/>
      <c r="E1009" s="1203"/>
      <c r="F1009" s="1219"/>
      <c r="G1009" s="1203"/>
      <c r="H1009" s="1219"/>
      <c r="I1009" s="1219"/>
      <c r="J1009" s="1203"/>
      <c r="K1009" s="1219"/>
      <c r="L1009" s="1219"/>
      <c r="N1009" s="1185"/>
      <c r="P1009" s="1186"/>
      <c r="Q1009" s="1186"/>
      <c r="R1009" s="1186"/>
      <c r="S1009" s="1185"/>
      <c r="T1009" s="1185"/>
      <c r="U1009" s="1185"/>
      <c r="V1009" s="1185"/>
      <c r="W1009" s="1185"/>
      <c r="X1009" s="1185"/>
      <c r="Y1009" s="1185"/>
      <c r="Z1009" s="1185"/>
      <c r="AA1009" s="1185"/>
      <c r="AB1009" s="1185"/>
      <c r="AC1009" s="1185"/>
      <c r="AD1009" s="1185"/>
      <c r="AE1009" s="1185"/>
      <c r="AF1009" s="1185"/>
      <c r="AG1009" s="1185"/>
      <c r="AH1009" s="1185"/>
      <c r="AI1009" s="1185"/>
    </row>
    <row r="1010" spans="1:37">
      <c r="A1010" s="1009" t="s">
        <v>471</v>
      </c>
      <c r="B1010" s="1219"/>
      <c r="C1010" s="1026">
        <f>100</f>
        <v>100</v>
      </c>
      <c r="D1010" s="1261">
        <v>1245</v>
      </c>
      <c r="E1010" s="1261"/>
      <c r="F1010" s="1203">
        <f>ROUND(D1010*$C1010,0)</f>
        <v>124500</v>
      </c>
      <c r="G1010" s="1261">
        <v>1419</v>
      </c>
      <c r="H1010" s="1041"/>
      <c r="I1010" s="1203">
        <f>ROUND(G1010*C1010,0)</f>
        <v>141900</v>
      </c>
      <c r="J1010" s="1261">
        <f>J989</f>
        <v>1618</v>
      </c>
      <c r="K1010" s="1041"/>
      <c r="L1010" s="1203">
        <f>ROUND(J1010*$C1010,0)</f>
        <v>161800</v>
      </c>
      <c r="N1010" s="1185"/>
      <c r="O1010" s="1185"/>
      <c r="P1010" s="1186"/>
      <c r="Q1010" s="1186"/>
      <c r="R1010" s="1186"/>
      <c r="S1010" s="1185"/>
      <c r="T1010" s="1185"/>
      <c r="U1010" s="1185"/>
      <c r="V1010" s="1185"/>
      <c r="W1010" s="1185"/>
      <c r="X1010" s="1185"/>
      <c r="Y1010" s="1185"/>
      <c r="Z1010" s="1185"/>
      <c r="AA1010" s="1185"/>
      <c r="AB1010" s="1185"/>
      <c r="AC1010" s="1185"/>
      <c r="AD1010" s="1185"/>
      <c r="AE1010" s="1185"/>
      <c r="AF1010" s="1185"/>
      <c r="AG1010" s="1185"/>
      <c r="AH1010" s="1185"/>
      <c r="AI1010" s="1185"/>
    </row>
    <row r="1011" spans="1:37">
      <c r="A1011" s="1009" t="s">
        <v>472</v>
      </c>
      <c r="B1011" s="1219"/>
      <c r="C1011" s="1026">
        <v>0</v>
      </c>
      <c r="D1011" s="1261">
        <v>1490</v>
      </c>
      <c r="E1011" s="1261"/>
      <c r="F1011" s="1203">
        <f>ROUND(D1011*$C1011,0)</f>
        <v>0</v>
      </c>
      <c r="G1011" s="1261">
        <v>1707</v>
      </c>
      <c r="H1011" s="1249"/>
      <c r="I1011" s="1203">
        <f>ROUND(G1011*C1011,0)</f>
        <v>0</v>
      </c>
      <c r="J1011" s="1261">
        <f>J990</f>
        <v>1952</v>
      </c>
      <c r="K1011" s="1249"/>
      <c r="L1011" s="1203">
        <f>ROUND(J1011*$C1011,0)</f>
        <v>0</v>
      </c>
      <c r="N1011" s="1185"/>
      <c r="O1011" s="1185"/>
      <c r="P1011" s="1186"/>
      <c r="Q1011" s="1186"/>
      <c r="R1011" s="1186"/>
      <c r="S1011" s="1185"/>
      <c r="T1011" s="1185"/>
      <c r="U1011" s="1185"/>
      <c r="V1011" s="1185"/>
      <c r="W1011" s="1185"/>
      <c r="X1011" s="1185"/>
      <c r="Y1011" s="1185"/>
      <c r="Z1011" s="1185"/>
      <c r="AA1011" s="1185"/>
      <c r="AB1011" s="1185"/>
      <c r="AC1011" s="1185"/>
      <c r="AD1011" s="1185"/>
      <c r="AE1011" s="1185"/>
      <c r="AF1011" s="1185"/>
      <c r="AG1011" s="1185"/>
      <c r="AH1011" s="1185"/>
      <c r="AI1011" s="1185"/>
    </row>
    <row r="1012" spans="1:37">
      <c r="A1012" s="1009" t="s">
        <v>394</v>
      </c>
      <c r="B1012" s="1219"/>
      <c r="C1012" s="1026">
        <f>SUM(C1010:C1011)</f>
        <v>100</v>
      </c>
      <c r="D1012" s="1261" t="s">
        <v>31</v>
      </c>
      <c r="E1012" s="1261"/>
      <c r="F1012" s="1203" t="s">
        <v>31</v>
      </c>
      <c r="G1012" s="1261" t="s">
        <v>31</v>
      </c>
      <c r="H1012" s="1041"/>
      <c r="I1012" s="1203" t="s">
        <v>31</v>
      </c>
      <c r="J1012" s="1261" t="s">
        <v>31</v>
      </c>
      <c r="K1012" s="1041"/>
      <c r="L1012" s="1203" t="s">
        <v>31</v>
      </c>
      <c r="N1012" s="1185"/>
      <c r="O1012" s="1185"/>
      <c r="P1012" s="1186"/>
      <c r="Q1012" s="1186"/>
      <c r="R1012" s="1186"/>
      <c r="S1012" s="1185"/>
      <c r="T1012" s="1185"/>
      <c r="U1012" s="1185"/>
      <c r="V1012" s="1185"/>
      <c r="W1012" s="1185"/>
      <c r="X1012" s="1185"/>
      <c r="Y1012" s="1185"/>
      <c r="Z1012" s="1185"/>
      <c r="AA1012" s="1185"/>
      <c r="AB1012" s="1185"/>
      <c r="AC1012" s="1185"/>
      <c r="AD1012" s="1185"/>
      <c r="AE1012" s="1185"/>
      <c r="AF1012" s="1185"/>
      <c r="AG1012" s="1185"/>
      <c r="AH1012" s="1185"/>
      <c r="AI1012" s="1185"/>
    </row>
    <row r="1013" spans="1:37">
      <c r="A1013" s="1009" t="s">
        <v>473</v>
      </c>
      <c r="B1013" s="1219"/>
      <c r="C1013" s="1026">
        <f>176488</f>
        <v>176488</v>
      </c>
      <c r="D1013" s="1261">
        <v>0.45</v>
      </c>
      <c r="E1013" s="1261"/>
      <c r="F1013" s="1203">
        <f>ROUND(D1013*$C1013,0)</f>
        <v>79420</v>
      </c>
      <c r="G1013" s="1261">
        <v>0.53</v>
      </c>
      <c r="H1013" s="1041"/>
      <c r="I1013" s="1203">
        <f t="shared" ref="I1013:I1015" si="139">ROUND(G1013*C1013,0)</f>
        <v>93539</v>
      </c>
      <c r="J1013" s="1261">
        <f>J992</f>
        <v>0.61</v>
      </c>
      <c r="K1013" s="1041"/>
      <c r="L1013" s="1203">
        <f>ROUND(J1013*$C1013,0)</f>
        <v>107658</v>
      </c>
      <c r="N1013" s="1185"/>
      <c r="O1013" s="1065" t="s">
        <v>31</v>
      </c>
      <c r="P1013" s="1186"/>
      <c r="Q1013" s="1186" t="s">
        <v>31</v>
      </c>
      <c r="R1013" s="1186"/>
      <c r="S1013" s="1185"/>
      <c r="T1013" s="1185"/>
      <c r="U1013" s="1185"/>
      <c r="V1013" s="1185"/>
      <c r="W1013" s="1185"/>
      <c r="X1013" s="1185"/>
      <c r="Y1013" s="1185"/>
      <c r="Z1013" s="1185"/>
      <c r="AA1013" s="1185"/>
      <c r="AB1013" s="1185"/>
      <c r="AC1013" s="1185"/>
      <c r="AD1013" s="1185"/>
      <c r="AE1013" s="1185"/>
      <c r="AF1013" s="1185"/>
      <c r="AG1013" s="1185"/>
      <c r="AH1013" s="1185"/>
      <c r="AI1013" s="1185"/>
    </row>
    <row r="1014" spans="1:37">
      <c r="A1014" s="1009" t="s">
        <v>474</v>
      </c>
      <c r="B1014" s="1219"/>
      <c r="C1014" s="1026">
        <v>0</v>
      </c>
      <c r="D1014" s="1261">
        <v>0.38000000000000006</v>
      </c>
      <c r="E1014" s="1261"/>
      <c r="F1014" s="1203">
        <f>ROUND(D1014*$C1014,0)</f>
        <v>0</v>
      </c>
      <c r="G1014" s="1261">
        <v>0.43</v>
      </c>
      <c r="H1014" s="1041"/>
      <c r="I1014" s="1203">
        <f t="shared" si="139"/>
        <v>0</v>
      </c>
      <c r="J1014" s="1261">
        <f>J993</f>
        <v>0.49</v>
      </c>
      <c r="K1014" s="1041"/>
      <c r="L1014" s="1203">
        <f>ROUND(J1014*$C1014,0)</f>
        <v>0</v>
      </c>
      <c r="N1014" s="1185"/>
      <c r="O1014" s="1185"/>
      <c r="P1014" s="1186"/>
      <c r="Q1014" s="1186"/>
      <c r="R1014" s="1186"/>
      <c r="S1014" s="1185"/>
      <c r="T1014" s="1185"/>
      <c r="U1014" s="1185"/>
      <c r="V1014" s="1185"/>
      <c r="W1014" s="1185"/>
      <c r="X1014" s="1185"/>
      <c r="Y1014" s="1185"/>
      <c r="Z1014" s="1185"/>
      <c r="AA1014" s="1185"/>
      <c r="AB1014" s="1185"/>
      <c r="AC1014" s="1185"/>
      <c r="AD1014" s="1185"/>
      <c r="AE1014" s="1185"/>
      <c r="AF1014" s="1185"/>
      <c r="AG1014" s="1185"/>
      <c r="AH1014" s="1185"/>
      <c r="AI1014" s="1185"/>
    </row>
    <row r="1015" spans="1:37">
      <c r="A1015" s="1218" t="s">
        <v>403</v>
      </c>
      <c r="B1015" s="1219"/>
      <c r="C1015" s="1026">
        <f>140544</f>
        <v>140544</v>
      </c>
      <c r="D1015" s="1261">
        <v>6.12</v>
      </c>
      <c r="E1015" s="1261"/>
      <c r="F1015" s="1203">
        <f>ROUND(D1015*$C1015,0)</f>
        <v>860129</v>
      </c>
      <c r="G1015" s="1261">
        <v>6.99</v>
      </c>
      <c r="H1015" s="1041"/>
      <c r="I1015" s="1203">
        <f t="shared" si="139"/>
        <v>982403</v>
      </c>
      <c r="J1015" s="1261">
        <f>J994</f>
        <v>8.2899999999999991</v>
      </c>
      <c r="K1015" s="1041"/>
      <c r="L1015" s="1203">
        <f>ROUND(J1015*$C1015,0)</f>
        <v>1165110</v>
      </c>
      <c r="N1015" s="1185"/>
      <c r="O1015" s="1185"/>
      <c r="P1015" s="1186"/>
      <c r="Q1015" s="1186"/>
      <c r="R1015" s="1186"/>
      <c r="S1015" s="1185"/>
      <c r="T1015" s="1185"/>
      <c r="U1015" s="1185"/>
      <c r="V1015" s="1185"/>
      <c r="W1015" s="1185"/>
      <c r="X1015" s="1185"/>
      <c r="Y1015" s="1185"/>
      <c r="Z1015" s="1185"/>
      <c r="AA1015" s="1185"/>
      <c r="AB1015" s="1185"/>
      <c r="AC1015" s="1185"/>
      <c r="AD1015" s="1185"/>
      <c r="AE1015" s="1185"/>
      <c r="AF1015" s="1185"/>
      <c r="AG1015" s="1185"/>
      <c r="AH1015" s="1185"/>
      <c r="AI1015" s="1185"/>
    </row>
    <row r="1016" spans="1:37">
      <c r="A1016" s="1009" t="s">
        <v>426</v>
      </c>
      <c r="B1016" s="1219"/>
      <c r="C1016" s="1026"/>
      <c r="D1016" s="1261" t="s">
        <v>31</v>
      </c>
      <c r="E1016" s="1261"/>
      <c r="F1016" s="1203"/>
      <c r="G1016" s="1261" t="s">
        <v>31</v>
      </c>
      <c r="H1016" s="1041"/>
      <c r="I1016" s="1203"/>
      <c r="J1016" s="1261" t="s">
        <v>31</v>
      </c>
      <c r="K1016" s="1041"/>
      <c r="L1016" s="1203"/>
      <c r="N1016" s="1185"/>
      <c r="O1016" s="1185"/>
      <c r="P1016" s="1186"/>
      <c r="Q1016" s="1186"/>
      <c r="R1016" s="1186"/>
      <c r="S1016" s="1185"/>
      <c r="T1016" s="1185"/>
      <c r="U1016" s="1185"/>
      <c r="V1016" s="1185"/>
      <c r="W1016" s="1185"/>
      <c r="X1016" s="1185"/>
      <c r="Y1016" s="1185"/>
      <c r="Z1016" s="1185"/>
      <c r="AA1016" s="1185"/>
      <c r="AB1016" s="1185"/>
      <c r="AC1016" s="1185"/>
      <c r="AD1016" s="1185"/>
      <c r="AE1016" s="1185"/>
      <c r="AF1016" s="1185"/>
      <c r="AG1016" s="1185"/>
      <c r="AH1016" s="1185"/>
      <c r="AI1016" s="1185"/>
    </row>
    <row r="1017" spans="1:37">
      <c r="A1017" s="1009" t="s">
        <v>464</v>
      </c>
      <c r="B1017" s="1219"/>
      <c r="C1017" s="1026">
        <f>58901000</f>
        <v>58901000</v>
      </c>
      <c r="D1017" s="1323">
        <v>3.6669999999999998</v>
      </c>
      <c r="E1017" s="1041" t="s">
        <v>374</v>
      </c>
      <c r="F1017" s="1203">
        <f>ROUND(D1017/100*$C1017,0)</f>
        <v>2159900</v>
      </c>
      <c r="G1017" s="1323">
        <v>4.1920000000000002</v>
      </c>
      <c r="H1017" s="1041" t="s">
        <v>374</v>
      </c>
      <c r="I1017" s="1203">
        <f>ROUND(G1017/100*C1017,0)</f>
        <v>2469130</v>
      </c>
      <c r="J1017" s="1323">
        <f>J996</f>
        <v>0.875</v>
      </c>
      <c r="K1017" s="1041" t="s">
        <v>374</v>
      </c>
      <c r="L1017" s="1203">
        <f>ROUND(J1017/100*$C1017,0)</f>
        <v>515384</v>
      </c>
      <c r="N1017" s="1185"/>
      <c r="O1017" s="1185"/>
      <c r="P1017" s="1186"/>
      <c r="Q1017" s="1186"/>
      <c r="R1017" s="1186"/>
      <c r="S1017" s="1185"/>
      <c r="T1017" s="1185"/>
      <c r="U1017" s="1185"/>
      <c r="V1017" s="1185"/>
      <c r="W1017" s="1185"/>
      <c r="X1017" s="1185"/>
      <c r="Y1017" s="1185"/>
      <c r="Z1017" s="1185"/>
      <c r="AA1017" s="1185"/>
      <c r="AB1017" s="1185"/>
      <c r="AC1017" s="1185"/>
      <c r="AD1017" s="1185"/>
      <c r="AE1017" s="1185"/>
      <c r="AF1017" s="1185"/>
      <c r="AG1017" s="1185"/>
      <c r="AH1017" s="1185"/>
      <c r="AI1017" s="1185"/>
    </row>
    <row r="1018" spans="1:37">
      <c r="A1018" s="1009" t="s">
        <v>400</v>
      </c>
      <c r="B1018" s="1219"/>
      <c r="C1018" s="1026">
        <f>12483</f>
        <v>12483</v>
      </c>
      <c r="D1018" s="1261">
        <v>0.47</v>
      </c>
      <c r="E1018" s="1041"/>
      <c r="F1018" s="1203">
        <f>ROUND(D1018*$C1018,0)</f>
        <v>5867</v>
      </c>
      <c r="G1018" s="1261">
        <v>0.54</v>
      </c>
      <c r="H1018" s="1041"/>
      <c r="I1018" s="1203">
        <f>ROUND(G1018*C1018,0)</f>
        <v>6741</v>
      </c>
      <c r="J1018" s="1261">
        <f>J997</f>
        <v>0.62</v>
      </c>
      <c r="K1018" s="1041"/>
      <c r="L1018" s="1203">
        <f>ROUND(J1018*$C1018,0)</f>
        <v>7739</v>
      </c>
      <c r="N1018" s="1185"/>
      <c r="O1018" s="1185"/>
      <c r="P1018" s="1186"/>
      <c r="Q1018" s="1186"/>
      <c r="R1018" s="1186"/>
      <c r="S1018" s="1185"/>
      <c r="T1018" s="1185"/>
      <c r="U1018" s="1185"/>
      <c r="V1018" s="1185"/>
      <c r="W1018" s="1185"/>
      <c r="X1018" s="1185"/>
      <c r="Y1018" s="1185"/>
      <c r="Z1018" s="1185"/>
      <c r="AA1018" s="1185"/>
      <c r="AB1018" s="1185"/>
      <c r="AC1018" s="1185"/>
      <c r="AD1018" s="1185"/>
      <c r="AE1018" s="1185"/>
      <c r="AF1018" s="1185"/>
      <c r="AG1018" s="1185"/>
      <c r="AH1018" s="1185"/>
      <c r="AI1018" s="1185"/>
    </row>
    <row r="1019" spans="1:37">
      <c r="A1019" s="1005" t="s">
        <v>928</v>
      </c>
      <c r="C1019" s="1202">
        <f>C1017</f>
        <v>58901000</v>
      </c>
      <c r="D1019" s="269"/>
      <c r="E1019" s="1185"/>
      <c r="F1019" s="1203"/>
      <c r="G1019" s="269"/>
      <c r="H1019" s="1185"/>
      <c r="I1019" s="1203"/>
      <c r="J1019" s="1230">
        <f>J998</f>
        <v>3.8410000000000002</v>
      </c>
      <c r="K1019" s="1041" t="s">
        <v>374</v>
      </c>
      <c r="L1019" s="1203">
        <f>ROUND(J1019/100*$C1019,0)</f>
        <v>2262387</v>
      </c>
      <c r="N1019" s="1204"/>
      <c r="P1019" s="815"/>
      <c r="Q1019" s="1184"/>
      <c r="R1019" s="1184"/>
      <c r="S1019" s="1205"/>
      <c r="T1019" s="1205"/>
      <c r="Y1019" s="1185"/>
      <c r="Z1019" s="1185"/>
      <c r="AA1019" s="1185"/>
      <c r="AB1019" s="1185"/>
      <c r="AC1019" s="1185"/>
      <c r="AD1019" s="1185"/>
      <c r="AE1019" s="1185"/>
      <c r="AF1019" s="1185"/>
      <c r="AG1019" s="1185"/>
      <c r="AH1019" s="1185"/>
      <c r="AI1019" s="1185"/>
      <c r="AK1019" s="1204"/>
    </row>
    <row r="1020" spans="1:37">
      <c r="A1020" s="1219" t="s">
        <v>381</v>
      </c>
      <c r="B1020" s="1219"/>
      <c r="C1020" s="1026">
        <f>C1017</f>
        <v>58901000</v>
      </c>
      <c r="D1020" s="1255"/>
      <c r="E1020" s="1203"/>
      <c r="F1020" s="1203">
        <f>SUM(F1010:F1018)</f>
        <v>3229816</v>
      </c>
      <c r="G1020" s="1255"/>
      <c r="H1020" s="1219"/>
      <c r="I1020" s="1203">
        <f>SUM(I1010:I1018)</f>
        <v>3693713</v>
      </c>
      <c r="J1020" s="1255"/>
      <c r="K1020" s="1219"/>
      <c r="L1020" s="1203">
        <f>SUM(L1010:L1019)</f>
        <v>4220078</v>
      </c>
      <c r="N1020" s="1185"/>
      <c r="O1020" s="1185"/>
      <c r="P1020" s="1186"/>
      <c r="Q1020" s="1186"/>
      <c r="R1020" s="1186"/>
      <c r="S1020" s="1185"/>
      <c r="T1020" s="1185"/>
      <c r="U1020" s="1185"/>
      <c r="V1020" s="1185"/>
      <c r="W1020" s="1185"/>
      <c r="X1020" s="1185"/>
      <c r="Y1020" s="1185"/>
      <c r="Z1020" s="1185"/>
      <c r="AA1020" s="1185"/>
      <c r="AB1020" s="1185"/>
      <c r="AC1020" s="1185"/>
      <c r="AD1020" s="1185"/>
      <c r="AE1020" s="1185"/>
      <c r="AF1020" s="1185"/>
      <c r="AG1020" s="1185"/>
      <c r="AH1020" s="1185"/>
      <c r="AI1020" s="1185"/>
    </row>
    <row r="1021" spans="1:37">
      <c r="A1021" s="1219" t="s">
        <v>363</v>
      </c>
      <c r="B1021" s="1219"/>
      <c r="C1021" s="1026">
        <f>C1020/($C$963+$C$1020)*$C$1057</f>
        <v>-151857.09316799315</v>
      </c>
      <c r="D1021" s="1218"/>
      <c r="E1021" s="1218"/>
      <c r="F1021" s="1324" t="e">
        <f>F1020/($F$963+$F$1020)*$F$1057</f>
        <v>#REF!</v>
      </c>
      <c r="G1021" s="1218"/>
      <c r="H1021" s="1218"/>
      <c r="I1021" s="1264">
        <f>'[94]Table 3'!E49</f>
        <v>-26603.603302829546</v>
      </c>
      <c r="J1021" s="1218"/>
      <c r="K1021" s="1218"/>
      <c r="L1021" s="1264">
        <f>I1021</f>
        <v>-26603.603302829546</v>
      </c>
      <c r="N1021" s="444"/>
      <c r="O1021" s="444"/>
      <c r="P1021" s="287"/>
      <c r="Q1021" s="1186"/>
      <c r="R1021" s="1186"/>
      <c r="S1021" s="1185"/>
      <c r="T1021" s="1185"/>
      <c r="U1021" s="1185"/>
      <c r="V1021" s="1185"/>
      <c r="W1021" s="1185"/>
      <c r="X1021" s="1185"/>
      <c r="Y1021" s="1185"/>
      <c r="Z1021" s="1185"/>
      <c r="AA1021" s="1185"/>
      <c r="AB1021" s="1185"/>
      <c r="AC1021" s="1185"/>
      <c r="AD1021" s="1185"/>
      <c r="AE1021" s="1185"/>
      <c r="AF1021" s="1185"/>
      <c r="AG1021" s="1185"/>
      <c r="AH1021" s="1185"/>
      <c r="AI1021" s="1185"/>
    </row>
    <row r="1022" spans="1:37" ht="16.5" thickBot="1">
      <c r="A1022" s="1219" t="s">
        <v>382</v>
      </c>
      <c r="B1022" s="1219"/>
      <c r="C1022" s="1321">
        <f>SUM(C1020)+C1021</f>
        <v>58749142.90683201</v>
      </c>
      <c r="D1022" s="1265"/>
      <c r="E1022" s="1266"/>
      <c r="F1022" s="1267" t="e">
        <f>F1020+F1021</f>
        <v>#REF!</v>
      </c>
      <c r="G1022" s="1265"/>
      <c r="H1022" s="1269"/>
      <c r="I1022" s="1267">
        <f>I1020+I1021</f>
        <v>3667109.3966971706</v>
      </c>
      <c r="J1022" s="1265"/>
      <c r="K1022" s="1269"/>
      <c r="L1022" s="1267">
        <f>L1020+L1021</f>
        <v>4193474.3966971706</v>
      </c>
      <c r="N1022" s="411"/>
      <c r="O1022" s="411" t="s">
        <v>31</v>
      </c>
      <c r="P1022" s="470"/>
      <c r="Q1022" s="1186"/>
      <c r="R1022" s="1186"/>
      <c r="S1022" s="801" t="s">
        <v>31</v>
      </c>
      <c r="T1022" s="1185"/>
      <c r="U1022" s="1185"/>
      <c r="V1022" s="1185"/>
      <c r="W1022" s="1185"/>
      <c r="X1022" s="1185"/>
      <c r="Y1022" s="1185"/>
      <c r="Z1022" s="1185"/>
      <c r="AA1022" s="1185"/>
      <c r="AB1022" s="1185"/>
      <c r="AC1022" s="1185"/>
      <c r="AD1022" s="1185"/>
      <c r="AE1022" s="1185"/>
      <c r="AF1022" s="1185"/>
      <c r="AG1022" s="1185"/>
      <c r="AH1022" s="1185"/>
      <c r="AI1022" s="1185"/>
    </row>
    <row r="1023" spans="1:37" ht="16.5" thickTop="1">
      <c r="A1023" s="1219"/>
      <c r="B1023" s="1219"/>
      <c r="C1023" s="1225"/>
      <c r="D1023" s="1261"/>
      <c r="E1023" s="1203"/>
      <c r="F1023" s="1203"/>
      <c r="G1023" s="1261" t="s">
        <v>31</v>
      </c>
      <c r="H1023" s="1219"/>
      <c r="I1023" s="1203"/>
      <c r="J1023" s="1259" t="s">
        <v>31</v>
      </c>
      <c r="K1023" s="1219"/>
      <c r="L1023" s="1203" t="s">
        <v>31</v>
      </c>
      <c r="N1023" s="1185"/>
      <c r="O1023" s="1185"/>
      <c r="P1023" s="1186"/>
      <c r="Q1023" s="1186"/>
      <c r="R1023" s="1186"/>
      <c r="S1023" s="1185"/>
      <c r="T1023" s="1185"/>
      <c r="U1023" s="1185"/>
      <c r="V1023" s="1185"/>
      <c r="W1023" s="1185"/>
      <c r="X1023" s="1185"/>
      <c r="Y1023" s="1185"/>
      <c r="Z1023" s="1185"/>
      <c r="AA1023" s="1185"/>
      <c r="AB1023" s="1185"/>
      <c r="AC1023" s="1185"/>
      <c r="AD1023" s="1185"/>
      <c r="AE1023" s="1185"/>
      <c r="AF1023" s="1185"/>
      <c r="AG1023" s="1185"/>
      <c r="AH1023" s="1185"/>
      <c r="AI1023" s="1185"/>
    </row>
    <row r="1024" spans="1:37">
      <c r="A1024" s="1224" t="s">
        <v>476</v>
      </c>
      <c r="B1024" s="1219"/>
      <c r="C1024" s="1219"/>
      <c r="D1024" s="1203"/>
      <c r="E1024" s="1203"/>
      <c r="F1024" s="1219"/>
      <c r="G1024" s="1203"/>
      <c r="H1024" s="1219"/>
      <c r="I1024" s="1219"/>
      <c r="J1024" s="1203"/>
      <c r="K1024" s="1219"/>
      <c r="L1024" s="1219"/>
      <c r="N1024" s="1185"/>
      <c r="O1024" s="1185"/>
      <c r="P1024" s="1186"/>
      <c r="Q1024" s="1186"/>
      <c r="R1024" s="1186"/>
      <c r="S1024" s="1185"/>
      <c r="T1024" s="1185"/>
      <c r="U1024" s="1185"/>
      <c r="V1024" s="1185"/>
      <c r="W1024" s="1185"/>
      <c r="X1024" s="1185"/>
      <c r="Y1024" s="1185"/>
      <c r="Z1024" s="1185"/>
      <c r="AA1024" s="1185"/>
      <c r="AB1024" s="1185"/>
      <c r="AC1024" s="1185"/>
      <c r="AD1024" s="1185"/>
      <c r="AE1024" s="1185"/>
      <c r="AF1024" s="1185"/>
      <c r="AG1024" s="1185"/>
      <c r="AH1024" s="1185"/>
      <c r="AI1024" s="1185"/>
    </row>
    <row r="1025" spans="1:37">
      <c r="A1025" s="1218" t="s">
        <v>694</v>
      </c>
      <c r="B1025" s="1219"/>
      <c r="C1025" s="1219"/>
      <c r="D1025" s="1203"/>
      <c r="E1025" s="1203"/>
      <c r="F1025" s="1219"/>
      <c r="G1025" s="1203"/>
      <c r="H1025" s="1219"/>
      <c r="I1025" s="1219"/>
      <c r="J1025" s="1203"/>
      <c r="K1025" s="1219"/>
      <c r="L1025" s="1219"/>
      <c r="N1025" s="1185"/>
      <c r="O1025" s="1185"/>
      <c r="P1025" s="1186"/>
      <c r="Q1025" s="1186"/>
      <c r="R1025" s="1186"/>
      <c r="S1025" s="1185"/>
      <c r="T1025" s="1185"/>
      <c r="U1025" s="1185"/>
      <c r="V1025" s="1185"/>
      <c r="W1025" s="1185"/>
      <c r="X1025" s="1185"/>
      <c r="Y1025" s="1185"/>
      <c r="Z1025" s="1185"/>
      <c r="AA1025" s="1185"/>
      <c r="AB1025" s="1185"/>
      <c r="AC1025" s="1185"/>
      <c r="AD1025" s="1185"/>
      <c r="AE1025" s="1185"/>
      <c r="AF1025" s="1185"/>
      <c r="AG1025" s="1185"/>
      <c r="AH1025" s="1185"/>
      <c r="AI1025" s="1185"/>
    </row>
    <row r="1026" spans="1:37">
      <c r="A1026" s="1219" t="s">
        <v>31</v>
      </c>
      <c r="B1026" s="1219"/>
      <c r="C1026" s="1219"/>
      <c r="D1026" s="1203"/>
      <c r="E1026" s="1203"/>
      <c r="F1026" s="1219"/>
      <c r="G1026" s="1203"/>
      <c r="H1026" s="1219"/>
      <c r="I1026" s="1219"/>
      <c r="J1026" s="1203"/>
      <c r="K1026" s="1219"/>
      <c r="L1026" s="1219"/>
      <c r="N1026" s="1185"/>
      <c r="O1026" s="1185"/>
      <c r="P1026" s="1186"/>
      <c r="Q1026" s="1186"/>
      <c r="R1026" s="1186"/>
      <c r="S1026" s="1185"/>
      <c r="T1026" s="1185"/>
      <c r="U1026" s="1185"/>
      <c r="V1026" s="1185"/>
      <c r="W1026" s="1185"/>
      <c r="X1026" s="1185"/>
      <c r="Y1026" s="1185"/>
      <c r="Z1026" s="1185"/>
      <c r="AA1026" s="1185"/>
      <c r="AB1026" s="1185"/>
      <c r="AC1026" s="1185"/>
      <c r="AD1026" s="1185"/>
      <c r="AE1026" s="1185"/>
      <c r="AF1026" s="1185"/>
      <c r="AG1026" s="1185"/>
      <c r="AH1026" s="1185"/>
      <c r="AI1026" s="1185"/>
    </row>
    <row r="1027" spans="1:37">
      <c r="A1027" s="1009" t="s">
        <v>393</v>
      </c>
      <c r="B1027" s="1219"/>
      <c r="C1027" s="1026"/>
      <c r="D1027" s="1203"/>
      <c r="E1027" s="1203"/>
      <c r="F1027" s="1219"/>
      <c r="G1027" s="1203"/>
      <c r="H1027" s="1219"/>
      <c r="I1027" s="1219"/>
      <c r="J1027" s="1203"/>
      <c r="K1027" s="1219"/>
      <c r="L1027" s="1219"/>
      <c r="N1027" s="1185"/>
      <c r="P1027" s="1186"/>
      <c r="Q1027" s="1186"/>
      <c r="R1027" s="1186"/>
      <c r="S1027" s="1185"/>
      <c r="T1027" s="1185"/>
      <c r="U1027" s="1185"/>
      <c r="V1027" s="1185"/>
      <c r="W1027" s="1185"/>
      <c r="X1027" s="1185"/>
      <c r="Y1027" s="1185"/>
      <c r="Z1027" s="1185"/>
      <c r="AA1027" s="1185"/>
      <c r="AB1027" s="1185"/>
      <c r="AC1027" s="1185"/>
      <c r="AD1027" s="1185"/>
      <c r="AE1027" s="1185"/>
      <c r="AF1027" s="1185"/>
      <c r="AG1027" s="1185"/>
      <c r="AH1027" s="1185"/>
      <c r="AI1027" s="1185"/>
    </row>
    <row r="1028" spans="1:37">
      <c r="A1028" s="1009" t="s">
        <v>471</v>
      </c>
      <c r="B1028" s="1219"/>
      <c r="C1028" s="1026">
        <f>31</f>
        <v>31</v>
      </c>
      <c r="D1028" s="1261">
        <v>1245</v>
      </c>
      <c r="E1028" s="1261"/>
      <c r="F1028" s="1203">
        <f>ROUND(D1028*$C1028,0)</f>
        <v>38595</v>
      </c>
      <c r="G1028" s="1261">
        <v>1419</v>
      </c>
      <c r="H1028" s="1041"/>
      <c r="I1028" s="1203">
        <f>ROUND(G1028*C1028,0)</f>
        <v>43989</v>
      </c>
      <c r="J1028" s="1261">
        <f>J989</f>
        <v>1618</v>
      </c>
      <c r="K1028" s="1041"/>
      <c r="L1028" s="1203">
        <f>ROUND(J1028*$C1028,0)</f>
        <v>50158</v>
      </c>
      <c r="N1028" s="1185"/>
      <c r="O1028" s="1185"/>
      <c r="P1028" s="1186"/>
      <c r="Q1028" s="1186"/>
      <c r="R1028" s="1186"/>
      <c r="S1028" s="1185"/>
      <c r="T1028" s="1185"/>
      <c r="U1028" s="1185"/>
      <c r="V1028" s="1185"/>
      <c r="W1028" s="1185"/>
      <c r="X1028" s="1185"/>
      <c r="Y1028" s="1185"/>
      <c r="Z1028" s="1185"/>
      <c r="AA1028" s="1185"/>
      <c r="AB1028" s="1185"/>
      <c r="AC1028" s="1185"/>
      <c r="AD1028" s="1185"/>
      <c r="AE1028" s="1185"/>
      <c r="AF1028" s="1185"/>
      <c r="AG1028" s="1185"/>
      <c r="AH1028" s="1185"/>
      <c r="AI1028" s="1185"/>
    </row>
    <row r="1029" spans="1:37">
      <c r="A1029" s="1009" t="s">
        <v>472</v>
      </c>
      <c r="B1029" s="1219"/>
      <c r="C1029" s="1026">
        <v>0</v>
      </c>
      <c r="D1029" s="1261">
        <v>1490</v>
      </c>
      <c r="E1029" s="1261"/>
      <c r="F1029" s="1203">
        <f>ROUND(D1029*$C1029,0)</f>
        <v>0</v>
      </c>
      <c r="G1029" s="1261">
        <v>1707</v>
      </c>
      <c r="H1029" s="1249"/>
      <c r="I1029" s="1203">
        <f>ROUND(G1029*C1029,0)</f>
        <v>0</v>
      </c>
      <c r="J1029" s="1261">
        <f>J990</f>
        <v>1952</v>
      </c>
      <c r="K1029" s="1249"/>
      <c r="L1029" s="1203">
        <f>ROUND(J1029*$C1029,0)</f>
        <v>0</v>
      </c>
      <c r="N1029" s="1185"/>
      <c r="O1029" s="1185"/>
      <c r="P1029" s="1186"/>
      <c r="Q1029" s="1186"/>
      <c r="R1029" s="1186"/>
      <c r="S1029" s="1185"/>
      <c r="T1029" s="1185"/>
      <c r="U1029" s="1185"/>
      <c r="V1029" s="1185"/>
      <c r="W1029" s="1185"/>
      <c r="X1029" s="1185"/>
      <c r="Y1029" s="1185"/>
      <c r="Z1029" s="1185"/>
      <c r="AA1029" s="1185"/>
      <c r="AB1029" s="1185"/>
      <c r="AC1029" s="1185"/>
      <c r="AD1029" s="1185"/>
      <c r="AE1029" s="1185"/>
      <c r="AF1029" s="1185"/>
      <c r="AG1029" s="1185"/>
      <c r="AH1029" s="1185"/>
      <c r="AI1029" s="1185"/>
    </row>
    <row r="1030" spans="1:37">
      <c r="A1030" s="1009" t="s">
        <v>394</v>
      </c>
      <c r="B1030" s="1219"/>
      <c r="C1030" s="1026">
        <f>SUM(C1028:C1029)</f>
        <v>31</v>
      </c>
      <c r="D1030" s="1261" t="s">
        <v>31</v>
      </c>
      <c r="E1030" s="1261"/>
      <c r="F1030" s="1203" t="s">
        <v>31</v>
      </c>
      <c r="G1030" s="1261" t="s">
        <v>31</v>
      </c>
      <c r="H1030" s="1041"/>
      <c r="I1030" s="1203" t="s">
        <v>31</v>
      </c>
      <c r="J1030" s="1261" t="s">
        <v>31</v>
      </c>
      <c r="K1030" s="1041"/>
      <c r="L1030" s="1203" t="s">
        <v>31</v>
      </c>
      <c r="N1030" s="1185"/>
      <c r="O1030" s="1185"/>
      <c r="P1030" s="1186"/>
      <c r="Q1030" s="1186"/>
      <c r="R1030" s="1186"/>
      <c r="S1030" s="1185"/>
      <c r="T1030" s="1185"/>
      <c r="U1030" s="1185"/>
      <c r="V1030" s="1185"/>
      <c r="W1030" s="1185"/>
      <c r="X1030" s="1185"/>
      <c r="Y1030" s="1185"/>
      <c r="Z1030" s="1185"/>
      <c r="AA1030" s="1185"/>
      <c r="AB1030" s="1185"/>
      <c r="AC1030" s="1185"/>
      <c r="AD1030" s="1185"/>
      <c r="AE1030" s="1185"/>
      <c r="AF1030" s="1185"/>
      <c r="AG1030" s="1185"/>
      <c r="AH1030" s="1185"/>
      <c r="AI1030" s="1185"/>
    </row>
    <row r="1031" spans="1:37">
      <c r="A1031" s="1009" t="s">
        <v>473</v>
      </c>
      <c r="B1031" s="1219"/>
      <c r="C1031" s="1026">
        <f>25397</f>
        <v>25397</v>
      </c>
      <c r="D1031" s="1261">
        <v>0.45</v>
      </c>
      <c r="E1031" s="1261"/>
      <c r="F1031" s="1203">
        <f>ROUND(D1031*$C1031,0)</f>
        <v>11429</v>
      </c>
      <c r="G1031" s="1261">
        <v>0.53</v>
      </c>
      <c r="H1031" s="1041"/>
      <c r="I1031" s="1203">
        <f t="shared" ref="I1031:I1033" si="140">ROUND(G1031*C1031,0)</f>
        <v>13460</v>
      </c>
      <c r="J1031" s="1261">
        <f>J992</f>
        <v>0.61</v>
      </c>
      <c r="K1031" s="1041"/>
      <c r="L1031" s="1203">
        <f>ROUND(J1031*$C1031,0)</f>
        <v>15492</v>
      </c>
      <c r="N1031" s="1185"/>
      <c r="O1031" s="1065" t="s">
        <v>31</v>
      </c>
      <c r="P1031" s="1186"/>
      <c r="Q1031" s="1186" t="s">
        <v>31</v>
      </c>
      <c r="R1031" s="1186"/>
      <c r="S1031" s="1185"/>
      <c r="T1031" s="1185"/>
      <c r="U1031" s="1185"/>
      <c r="V1031" s="1185"/>
      <c r="W1031" s="1185"/>
      <c r="X1031" s="1185"/>
      <c r="Y1031" s="1185"/>
      <c r="Z1031" s="1185"/>
      <c r="AA1031" s="1185"/>
      <c r="AB1031" s="1185"/>
      <c r="AC1031" s="1185"/>
      <c r="AD1031" s="1185"/>
      <c r="AE1031" s="1185"/>
      <c r="AF1031" s="1185"/>
      <c r="AG1031" s="1185"/>
      <c r="AH1031" s="1185"/>
      <c r="AI1031" s="1185"/>
    </row>
    <row r="1032" spans="1:37">
      <c r="A1032" s="1009" t="s">
        <v>474</v>
      </c>
      <c r="B1032" s="1219"/>
      <c r="C1032" s="1026">
        <v>0</v>
      </c>
      <c r="D1032" s="1261">
        <v>0.38000000000000006</v>
      </c>
      <c r="E1032" s="1261"/>
      <c r="F1032" s="1203">
        <f>ROUND(D1032*$C1032,0)</f>
        <v>0</v>
      </c>
      <c r="G1032" s="1261">
        <v>0.43</v>
      </c>
      <c r="H1032" s="1041"/>
      <c r="I1032" s="1203">
        <f t="shared" si="140"/>
        <v>0</v>
      </c>
      <c r="J1032" s="1261">
        <f>J993</f>
        <v>0.49</v>
      </c>
      <c r="K1032" s="1041"/>
      <c r="L1032" s="1203">
        <f>ROUND(J1032*$C1032,0)</f>
        <v>0</v>
      </c>
      <c r="N1032" s="1185"/>
      <c r="O1032" s="1185"/>
      <c r="P1032" s="1186"/>
      <c r="Q1032" s="1186"/>
      <c r="R1032" s="1186"/>
      <c r="S1032" s="1185"/>
      <c r="T1032" s="1185"/>
      <c r="U1032" s="1185"/>
      <c r="V1032" s="1185"/>
      <c r="W1032" s="1185"/>
      <c r="X1032" s="1185"/>
      <c r="Y1032" s="1185"/>
      <c r="Z1032" s="1185"/>
      <c r="AA1032" s="1185"/>
      <c r="AB1032" s="1185"/>
      <c r="AC1032" s="1185"/>
      <c r="AD1032" s="1185"/>
      <c r="AE1032" s="1185"/>
      <c r="AF1032" s="1185"/>
      <c r="AG1032" s="1185"/>
      <c r="AH1032" s="1185"/>
      <c r="AI1032" s="1185"/>
    </row>
    <row r="1033" spans="1:37">
      <c r="A1033" s="1218" t="s">
        <v>403</v>
      </c>
      <c r="B1033" s="1219"/>
      <c r="C1033" s="1026">
        <f>25117</f>
        <v>25117</v>
      </c>
      <c r="D1033" s="1261">
        <v>6.12</v>
      </c>
      <c r="E1033" s="1261"/>
      <c r="F1033" s="1203">
        <f>ROUND(D1033*$C1033,0)</f>
        <v>153716</v>
      </c>
      <c r="G1033" s="1261">
        <v>6.99</v>
      </c>
      <c r="H1033" s="1041"/>
      <c r="I1033" s="1203">
        <f t="shared" si="140"/>
        <v>175568</v>
      </c>
      <c r="J1033" s="1261">
        <f>J994</f>
        <v>8.2899999999999991</v>
      </c>
      <c r="K1033" s="1041"/>
      <c r="L1033" s="1203">
        <f>ROUND(J1033*$C1033,0)</f>
        <v>208220</v>
      </c>
      <c r="N1033" s="1185"/>
      <c r="O1033" s="1185"/>
      <c r="P1033" s="1186"/>
      <c r="Q1033" s="1186"/>
      <c r="R1033" s="1186"/>
      <c r="S1033" s="1185"/>
      <c r="T1033" s="1185"/>
      <c r="U1033" s="1185"/>
      <c r="V1033" s="1185"/>
      <c r="W1033" s="1185"/>
      <c r="X1033" s="1185"/>
      <c r="Y1033" s="1185"/>
      <c r="Z1033" s="1185"/>
      <c r="AA1033" s="1185"/>
      <c r="AB1033" s="1185"/>
      <c r="AC1033" s="1185"/>
      <c r="AD1033" s="1185"/>
      <c r="AE1033" s="1185"/>
      <c r="AF1033" s="1185"/>
      <c r="AG1033" s="1185"/>
      <c r="AH1033" s="1185"/>
      <c r="AI1033" s="1185"/>
    </row>
    <row r="1034" spans="1:37">
      <c r="A1034" s="1009" t="s">
        <v>426</v>
      </c>
      <c r="B1034" s="1219"/>
      <c r="C1034" s="1026"/>
      <c r="D1034" s="1261" t="s">
        <v>31</v>
      </c>
      <c r="E1034" s="1261"/>
      <c r="F1034" s="1203"/>
      <c r="G1034" s="1261" t="s">
        <v>31</v>
      </c>
      <c r="H1034" s="1041"/>
      <c r="I1034" s="1203"/>
      <c r="J1034" s="1261" t="s">
        <v>31</v>
      </c>
      <c r="K1034" s="1041"/>
      <c r="L1034" s="1203"/>
      <c r="N1034" s="1185"/>
      <c r="O1034" s="1185"/>
      <c r="P1034" s="1186"/>
      <c r="Q1034" s="1186"/>
      <c r="R1034" s="1186"/>
      <c r="S1034" s="1185"/>
      <c r="T1034" s="1185"/>
      <c r="U1034" s="1185"/>
      <c r="V1034" s="1185"/>
      <c r="W1034" s="1185"/>
      <c r="X1034" s="1185"/>
      <c r="Y1034" s="1185"/>
      <c r="Z1034" s="1185"/>
      <c r="AA1034" s="1185"/>
      <c r="AB1034" s="1185"/>
      <c r="AC1034" s="1185"/>
      <c r="AD1034" s="1185"/>
      <c r="AE1034" s="1185"/>
      <c r="AF1034" s="1185"/>
      <c r="AG1034" s="1185"/>
      <c r="AH1034" s="1185"/>
      <c r="AI1034" s="1185"/>
    </row>
    <row r="1035" spans="1:37">
      <c r="A1035" s="1009" t="s">
        <v>464</v>
      </c>
      <c r="B1035" s="1219"/>
      <c r="C1035" s="1026">
        <f>4585200</f>
        <v>4585200</v>
      </c>
      <c r="D1035" s="1323">
        <v>3.6669999999999998</v>
      </c>
      <c r="E1035" s="1041" t="s">
        <v>374</v>
      </c>
      <c r="F1035" s="1203">
        <f>ROUND(D1035/100*$C1035,0)</f>
        <v>168139</v>
      </c>
      <c r="G1035" s="1323">
        <v>4.1920000000000002</v>
      </c>
      <c r="H1035" s="1041" t="s">
        <v>374</v>
      </c>
      <c r="I1035" s="1203">
        <f>ROUND(G1035/100*C1035,0)</f>
        <v>192212</v>
      </c>
      <c r="J1035" s="1323">
        <f>J996</f>
        <v>0.875</v>
      </c>
      <c r="K1035" s="1041" t="s">
        <v>374</v>
      </c>
      <c r="L1035" s="1203">
        <f>ROUND(J1035/100*$C1035,0)</f>
        <v>40121</v>
      </c>
      <c r="N1035" s="1185"/>
      <c r="O1035" s="1185"/>
      <c r="P1035" s="1186"/>
      <c r="Q1035" s="1186"/>
      <c r="R1035" s="1186"/>
      <c r="S1035" s="1185"/>
      <c r="T1035" s="1185"/>
      <c r="U1035" s="1185"/>
      <c r="V1035" s="1185"/>
      <c r="W1035" s="1185"/>
      <c r="X1035" s="1185"/>
      <c r="Y1035" s="1185"/>
      <c r="Z1035" s="1185"/>
      <c r="AA1035" s="1185"/>
      <c r="AB1035" s="1185"/>
      <c r="AC1035" s="1185"/>
      <c r="AD1035" s="1185"/>
      <c r="AE1035" s="1185"/>
      <c r="AF1035" s="1185"/>
      <c r="AG1035" s="1185"/>
      <c r="AH1035" s="1185"/>
      <c r="AI1035" s="1185"/>
    </row>
    <row r="1036" spans="1:37">
      <c r="A1036" s="1009" t="s">
        <v>400</v>
      </c>
      <c r="B1036" s="1219"/>
      <c r="C1036" s="1026">
        <f>3837</f>
        <v>3837</v>
      </c>
      <c r="D1036" s="1261">
        <v>0.47</v>
      </c>
      <c r="E1036" s="1041"/>
      <c r="F1036" s="1203">
        <f>ROUND(D1036*$C1036,0)</f>
        <v>1803</v>
      </c>
      <c r="G1036" s="1261">
        <v>0.54</v>
      </c>
      <c r="H1036" s="1041"/>
      <c r="I1036" s="1203">
        <f>ROUND(G1036*C1036,0)</f>
        <v>2072</v>
      </c>
      <c r="J1036" s="1261">
        <f>J997</f>
        <v>0.62</v>
      </c>
      <c r="K1036" s="1041"/>
      <c r="L1036" s="1203">
        <f>ROUND(J1036*$C1036,0)</f>
        <v>2379</v>
      </c>
      <c r="N1036" s="1185"/>
      <c r="O1036" s="1185"/>
      <c r="P1036" s="1186"/>
      <c r="Q1036" s="1186"/>
      <c r="R1036" s="1186"/>
      <c r="S1036" s="1185"/>
      <c r="T1036" s="1185"/>
      <c r="U1036" s="1185"/>
      <c r="V1036" s="1185"/>
      <c r="W1036" s="1185"/>
      <c r="X1036" s="1185"/>
      <c r="Y1036" s="1185"/>
      <c r="Z1036" s="1185"/>
      <c r="AA1036" s="1185"/>
      <c r="AB1036" s="1185"/>
      <c r="AC1036" s="1185"/>
      <c r="AD1036" s="1185"/>
      <c r="AE1036" s="1185"/>
      <c r="AF1036" s="1185"/>
      <c r="AG1036" s="1185"/>
      <c r="AH1036" s="1185"/>
      <c r="AI1036" s="1185"/>
    </row>
    <row r="1037" spans="1:37">
      <c r="A1037" s="1005" t="s">
        <v>928</v>
      </c>
      <c r="C1037" s="1202">
        <f>C1035</f>
        <v>4585200</v>
      </c>
      <c r="D1037" s="269"/>
      <c r="E1037" s="1185"/>
      <c r="F1037" s="1203"/>
      <c r="G1037" s="269"/>
      <c r="H1037" s="1185"/>
      <c r="I1037" s="1203"/>
      <c r="J1037" s="1230">
        <f>J998</f>
        <v>3.8410000000000002</v>
      </c>
      <c r="K1037" s="1041" t="s">
        <v>374</v>
      </c>
      <c r="L1037" s="1203">
        <f>ROUND(J1037/100*$C1037,0)</f>
        <v>176118</v>
      </c>
      <c r="N1037" s="1204"/>
      <c r="P1037" s="815"/>
      <c r="Q1037" s="1184"/>
      <c r="R1037" s="1184"/>
      <c r="S1037" s="1205"/>
      <c r="T1037" s="1205"/>
      <c r="Y1037" s="1185"/>
      <c r="Z1037" s="1185"/>
      <c r="AA1037" s="1185"/>
      <c r="AB1037" s="1185"/>
      <c r="AC1037" s="1185"/>
      <c r="AD1037" s="1185"/>
      <c r="AE1037" s="1185"/>
      <c r="AF1037" s="1185"/>
      <c r="AG1037" s="1185"/>
      <c r="AH1037" s="1185"/>
      <c r="AI1037" s="1185"/>
      <c r="AK1037" s="1204"/>
    </row>
    <row r="1038" spans="1:37">
      <c r="A1038" s="1219" t="s">
        <v>381</v>
      </c>
      <c r="B1038" s="1219"/>
      <c r="C1038" s="1026">
        <f>C1035</f>
        <v>4585200</v>
      </c>
      <c r="D1038" s="1255"/>
      <c r="E1038" s="1203"/>
      <c r="F1038" s="1203">
        <f>SUM(F1028:F1036)</f>
        <v>373682</v>
      </c>
      <c r="G1038" s="1255"/>
      <c r="H1038" s="1219"/>
      <c r="I1038" s="1203">
        <f>SUM(I1028:I1036)</f>
        <v>427301</v>
      </c>
      <c r="J1038" s="1255"/>
      <c r="K1038" s="1219"/>
      <c r="L1038" s="1203">
        <f>SUM(L1028:L1037)</f>
        <v>492488</v>
      </c>
      <c r="N1038" s="1185"/>
      <c r="O1038" s="1185"/>
      <c r="P1038" s="1186"/>
      <c r="Q1038" s="1186"/>
      <c r="R1038" s="1186"/>
      <c r="S1038" s="1185"/>
      <c r="T1038" s="1185"/>
      <c r="U1038" s="1185"/>
      <c r="V1038" s="1185"/>
      <c r="W1038" s="1185"/>
      <c r="X1038" s="1185"/>
      <c r="Y1038" s="1185"/>
      <c r="Z1038" s="1185"/>
      <c r="AA1038" s="1185"/>
      <c r="AB1038" s="1185"/>
      <c r="AC1038" s="1185"/>
      <c r="AD1038" s="1185"/>
      <c r="AE1038" s="1185"/>
      <c r="AF1038" s="1185"/>
      <c r="AG1038" s="1185"/>
      <c r="AH1038" s="1185"/>
      <c r="AI1038" s="1185"/>
    </row>
    <row r="1039" spans="1:37">
      <c r="A1039" s="1219" t="s">
        <v>363</v>
      </c>
      <c r="B1039" s="1219"/>
      <c r="C1039" s="1026">
        <f>C1038/($C$981+$C$1038)*$C$1076</f>
        <v>62907.458023101703</v>
      </c>
      <c r="D1039" s="1218"/>
      <c r="E1039" s="1218"/>
      <c r="F1039" s="1324" t="e">
        <f>F1038/($F$981+$F$1038)*$F$1076</f>
        <v>#REF!</v>
      </c>
      <c r="G1039" s="1218"/>
      <c r="H1039" s="1218"/>
      <c r="I1039" s="1264">
        <f>'[94]Table 3'!E80</f>
        <v>222642.17382612941</v>
      </c>
      <c r="J1039" s="1218"/>
      <c r="K1039" s="1218"/>
      <c r="L1039" s="1264">
        <f>I1039</f>
        <v>222642.17382612941</v>
      </c>
      <c r="N1039" s="444"/>
      <c r="O1039" s="444"/>
      <c r="P1039" s="287"/>
      <c r="Q1039" s="1186"/>
      <c r="R1039" s="1186"/>
      <c r="S1039" s="1185"/>
      <c r="T1039" s="1185"/>
      <c r="U1039" s="1185"/>
      <c r="V1039" s="1185"/>
      <c r="W1039" s="1185"/>
      <c r="X1039" s="1185"/>
      <c r="Y1039" s="1185"/>
      <c r="Z1039" s="1185"/>
      <c r="AA1039" s="1185"/>
      <c r="AB1039" s="1185"/>
      <c r="AC1039" s="1185"/>
      <c r="AD1039" s="1185"/>
      <c r="AE1039" s="1185"/>
      <c r="AF1039" s="1185"/>
      <c r="AG1039" s="1185"/>
      <c r="AH1039" s="1185"/>
      <c r="AI1039" s="1185"/>
    </row>
    <row r="1040" spans="1:37" ht="16.5" thickBot="1">
      <c r="A1040" s="1219" t="s">
        <v>382</v>
      </c>
      <c r="B1040" s="1219"/>
      <c r="C1040" s="1321">
        <f>SUM(C1038)+C1039</f>
        <v>4648107.458023102</v>
      </c>
      <c r="D1040" s="1265"/>
      <c r="E1040" s="1266"/>
      <c r="F1040" s="1267" t="e">
        <f>F1038+F1039</f>
        <v>#REF!</v>
      </c>
      <c r="G1040" s="1265"/>
      <c r="H1040" s="1269"/>
      <c r="I1040" s="1267">
        <f>I1038+I1039</f>
        <v>649943.17382612941</v>
      </c>
      <c r="J1040" s="1265"/>
      <c r="K1040" s="1269"/>
      <c r="L1040" s="1267">
        <f>L1038+L1039</f>
        <v>715130.17382612941</v>
      </c>
      <c r="N1040" s="411"/>
      <c r="O1040" s="411" t="s">
        <v>31</v>
      </c>
      <c r="P1040" s="470"/>
      <c r="Q1040" s="1186"/>
      <c r="R1040" s="1186"/>
      <c r="S1040" s="801" t="s">
        <v>31</v>
      </c>
      <c r="T1040" s="1185"/>
      <c r="U1040" s="1185"/>
      <c r="V1040" s="1185"/>
      <c r="W1040" s="1185"/>
      <c r="X1040" s="1185"/>
      <c r="Y1040" s="1185"/>
      <c r="Z1040" s="1185"/>
      <c r="AA1040" s="1185"/>
      <c r="AB1040" s="1185"/>
      <c r="AC1040" s="1185"/>
      <c r="AD1040" s="1185"/>
      <c r="AE1040" s="1185"/>
      <c r="AF1040" s="1185"/>
      <c r="AG1040" s="1185"/>
      <c r="AH1040" s="1185"/>
      <c r="AI1040" s="1185"/>
    </row>
    <row r="1041" spans="1:37" ht="16.5" thickTop="1">
      <c r="A1041" s="1219"/>
      <c r="B1041" s="1219"/>
      <c r="C1041" s="1225"/>
      <c r="D1041" s="1261"/>
      <c r="E1041" s="1203"/>
      <c r="F1041" s="1203"/>
      <c r="G1041" s="1261" t="s">
        <v>31</v>
      </c>
      <c r="H1041" s="1219"/>
      <c r="I1041" s="1203"/>
      <c r="J1041" s="1259" t="s">
        <v>31</v>
      </c>
      <c r="K1041" s="1219"/>
      <c r="L1041" s="1203" t="s">
        <v>31</v>
      </c>
      <c r="N1041" s="1185"/>
      <c r="O1041" s="1185"/>
      <c r="P1041" s="1186"/>
      <c r="Q1041" s="1186"/>
      <c r="R1041" s="1186"/>
      <c r="S1041" s="1185"/>
      <c r="T1041" s="1185"/>
      <c r="U1041" s="1185"/>
      <c r="V1041" s="1185"/>
      <c r="W1041" s="1185"/>
      <c r="X1041" s="1185"/>
      <c r="Y1041" s="1185"/>
      <c r="Z1041" s="1185"/>
      <c r="AA1041" s="1185"/>
      <c r="AB1041" s="1185"/>
      <c r="AC1041" s="1185"/>
      <c r="AD1041" s="1185"/>
      <c r="AE1041" s="1185"/>
      <c r="AF1041" s="1185"/>
      <c r="AG1041" s="1185"/>
      <c r="AH1041" s="1185"/>
      <c r="AI1041" s="1185"/>
    </row>
    <row r="1042" spans="1:37">
      <c r="A1042" s="1224" t="s">
        <v>476</v>
      </c>
      <c r="B1042" s="1219"/>
      <c r="C1042" s="1219"/>
      <c r="D1042" s="1203"/>
      <c r="E1042" s="1203"/>
      <c r="F1042" s="1219"/>
      <c r="G1042" s="1203"/>
      <c r="H1042" s="1219"/>
      <c r="I1042" s="1219"/>
      <c r="J1042" s="1203"/>
      <c r="K1042" s="1219"/>
      <c r="L1042" s="1219"/>
      <c r="N1042" s="1185"/>
      <c r="O1042" s="1185"/>
      <c r="P1042" s="1186"/>
      <c r="Q1042" s="1186"/>
      <c r="R1042" s="1186"/>
      <c r="S1042" s="1185"/>
      <c r="T1042" s="1185"/>
      <c r="U1042" s="1185"/>
      <c r="V1042" s="1185"/>
      <c r="W1042" s="1185"/>
      <c r="X1042" s="1185"/>
      <c r="Y1042" s="1185"/>
      <c r="Z1042" s="1185"/>
      <c r="AA1042" s="1185"/>
      <c r="AB1042" s="1185"/>
      <c r="AC1042" s="1185"/>
      <c r="AD1042" s="1185"/>
      <c r="AE1042" s="1185"/>
      <c r="AF1042" s="1185"/>
      <c r="AG1042" s="1185"/>
      <c r="AH1042" s="1185"/>
      <c r="AI1042" s="1185"/>
    </row>
    <row r="1043" spans="1:37">
      <c r="A1043" s="1218" t="s">
        <v>700</v>
      </c>
      <c r="B1043" s="1219"/>
      <c r="C1043" s="1219"/>
      <c r="D1043" s="1203"/>
      <c r="E1043" s="1203"/>
      <c r="F1043" s="1219"/>
      <c r="G1043" s="1203"/>
      <c r="H1043" s="1219"/>
      <c r="I1043" s="1219"/>
      <c r="J1043" s="1203"/>
      <c r="K1043" s="1219"/>
      <c r="L1043" s="1219"/>
      <c r="N1043" s="1185"/>
      <c r="O1043" s="1185"/>
      <c r="P1043" s="1186"/>
      <c r="Q1043" s="1186"/>
      <c r="R1043" s="1186"/>
      <c r="S1043" s="1185"/>
      <c r="T1043" s="1185"/>
      <c r="U1043" s="1185"/>
      <c r="V1043" s="1185"/>
      <c r="W1043" s="1185"/>
      <c r="X1043" s="1185"/>
      <c r="Y1043" s="1185"/>
      <c r="Z1043" s="1185"/>
      <c r="AA1043" s="1185"/>
      <c r="AB1043" s="1185"/>
      <c r="AC1043" s="1185"/>
      <c r="AD1043" s="1185"/>
      <c r="AE1043" s="1185"/>
      <c r="AF1043" s="1185"/>
      <c r="AG1043" s="1185"/>
      <c r="AH1043" s="1185"/>
      <c r="AI1043" s="1185"/>
    </row>
    <row r="1044" spans="1:37">
      <c r="A1044" s="1009"/>
      <c r="B1044" s="1219"/>
      <c r="C1044" s="1219"/>
      <c r="D1044" s="1203"/>
      <c r="E1044" s="1203"/>
      <c r="F1044" s="1219"/>
      <c r="G1044" s="1203"/>
      <c r="H1044" s="1219"/>
      <c r="I1044" s="1219"/>
      <c r="J1044" s="1203"/>
      <c r="K1044" s="1219"/>
      <c r="L1044" s="1219"/>
      <c r="N1044" s="1185"/>
      <c r="O1044" s="1185"/>
      <c r="P1044" s="1186"/>
      <c r="Q1044" s="1186"/>
      <c r="R1044" s="1186"/>
      <c r="S1044" s="1185"/>
      <c r="T1044" s="1185"/>
      <c r="U1044" s="1185"/>
      <c r="V1044" s="1185"/>
      <c r="W1044" s="1185"/>
      <c r="X1044" s="1185"/>
      <c r="Y1044" s="1185"/>
      <c r="Z1044" s="1185"/>
      <c r="AA1044" s="1185"/>
      <c r="AB1044" s="1185"/>
      <c r="AC1044" s="1185"/>
      <c r="AD1044" s="1185"/>
      <c r="AE1044" s="1185"/>
      <c r="AF1044" s="1185"/>
      <c r="AG1044" s="1185"/>
      <c r="AH1044" s="1185"/>
      <c r="AI1044" s="1185"/>
    </row>
    <row r="1045" spans="1:37">
      <c r="A1045" s="1009" t="s">
        <v>393</v>
      </c>
      <c r="B1045" s="1219"/>
      <c r="C1045" s="1026"/>
      <c r="D1045" s="1203"/>
      <c r="E1045" s="1203"/>
      <c r="F1045" s="1219"/>
      <c r="G1045" s="1203"/>
      <c r="H1045" s="1219"/>
      <c r="I1045" s="1219"/>
      <c r="J1045" s="1203"/>
      <c r="K1045" s="1219"/>
      <c r="L1045" s="1219"/>
      <c r="N1045" s="1185"/>
      <c r="O1045" s="1185"/>
      <c r="P1045" s="1186"/>
      <c r="Q1045" s="1186"/>
      <c r="R1045" s="1186"/>
      <c r="S1045" s="1185"/>
      <c r="T1045" s="1185"/>
      <c r="U1045" s="1185"/>
      <c r="V1045" s="1185"/>
      <c r="W1045" s="1185"/>
      <c r="X1045" s="1185"/>
      <c r="Y1045" s="1185"/>
      <c r="Z1045" s="1185"/>
      <c r="AA1045" s="1185"/>
      <c r="AB1045" s="1185"/>
      <c r="AC1045" s="1185"/>
      <c r="AD1045" s="1185"/>
      <c r="AE1045" s="1185"/>
      <c r="AF1045" s="1185"/>
      <c r="AG1045" s="1185"/>
      <c r="AH1045" s="1185"/>
      <c r="AI1045" s="1185"/>
    </row>
    <row r="1046" spans="1:37">
      <c r="A1046" s="1009" t="s">
        <v>471</v>
      </c>
      <c r="B1046" s="1219"/>
      <c r="C1046" s="1026">
        <f t="shared" ref="C1046:C1051" si="141">C1010+C953</f>
        <v>314</v>
      </c>
      <c r="D1046" s="1261"/>
      <c r="E1046" s="1261"/>
      <c r="F1046" s="1203">
        <f>F1010+F953</f>
        <v>384510</v>
      </c>
      <c r="G1046" s="1261"/>
      <c r="H1046" s="1041"/>
      <c r="I1046" s="1203">
        <f>I1010+I953</f>
        <v>438504</v>
      </c>
      <c r="J1046" s="1261"/>
      <c r="K1046" s="1041"/>
      <c r="L1046" s="1203">
        <f>L1010+L953</f>
        <v>500134</v>
      </c>
      <c r="N1046" s="1185"/>
      <c r="O1046" s="1185"/>
      <c r="P1046" s="1186"/>
      <c r="Q1046" s="1186"/>
      <c r="R1046" s="1186"/>
      <c r="S1046" s="1185"/>
      <c r="T1046" s="1185"/>
      <c r="U1046" s="1185"/>
      <c r="V1046" s="1185"/>
      <c r="W1046" s="1185"/>
      <c r="X1046" s="1185"/>
      <c r="Y1046" s="1185"/>
      <c r="Z1046" s="1185"/>
      <c r="AA1046" s="1185"/>
      <c r="AB1046" s="1185"/>
      <c r="AC1046" s="1185"/>
      <c r="AD1046" s="1185"/>
      <c r="AE1046" s="1185"/>
      <c r="AF1046" s="1185"/>
      <c r="AG1046" s="1185"/>
      <c r="AH1046" s="1185"/>
      <c r="AI1046" s="1185"/>
    </row>
    <row r="1047" spans="1:37">
      <c r="A1047" s="1009" t="s">
        <v>472</v>
      </c>
      <c r="B1047" s="1219"/>
      <c r="C1047" s="1026">
        <f t="shared" si="141"/>
        <v>0</v>
      </c>
      <c r="D1047" s="1261"/>
      <c r="E1047" s="1261"/>
      <c r="F1047" s="1203">
        <f>F1011+F954</f>
        <v>0</v>
      </c>
      <c r="G1047" s="1261"/>
      <c r="H1047" s="1249"/>
      <c r="I1047" s="1203">
        <f>I1011+I954</f>
        <v>0</v>
      </c>
      <c r="J1047" s="1261"/>
      <c r="K1047" s="1249"/>
      <c r="L1047" s="1203">
        <f>L1011+L954</f>
        <v>0</v>
      </c>
      <c r="N1047" s="1185"/>
      <c r="O1047" s="1185"/>
      <c r="P1047" s="1186"/>
      <c r="Q1047" s="1186"/>
      <c r="R1047" s="1186"/>
      <c r="S1047" s="1185"/>
      <c r="T1047" s="1185"/>
      <c r="U1047" s="1185"/>
      <c r="V1047" s="1185"/>
      <c r="W1047" s="1185"/>
      <c r="X1047" s="1185"/>
      <c r="Y1047" s="1185"/>
      <c r="Z1047" s="1185"/>
      <c r="AA1047" s="1185"/>
      <c r="AB1047" s="1185"/>
      <c r="AC1047" s="1185"/>
      <c r="AD1047" s="1185"/>
      <c r="AE1047" s="1185"/>
      <c r="AF1047" s="1185"/>
      <c r="AG1047" s="1185"/>
      <c r="AH1047" s="1185"/>
      <c r="AI1047" s="1185"/>
    </row>
    <row r="1048" spans="1:37">
      <c r="A1048" s="1009" t="s">
        <v>394</v>
      </c>
      <c r="B1048" s="1219"/>
      <c r="C1048" s="1026">
        <f t="shared" si="141"/>
        <v>314</v>
      </c>
      <c r="D1048" s="1261"/>
      <c r="E1048" s="1261"/>
      <c r="F1048" s="1203" t="s">
        <v>31</v>
      </c>
      <c r="G1048" s="1261"/>
      <c r="H1048" s="1041"/>
      <c r="I1048" s="1203" t="s">
        <v>31</v>
      </c>
      <c r="J1048" s="1261"/>
      <c r="K1048" s="1041"/>
      <c r="L1048" s="1203" t="s">
        <v>31</v>
      </c>
      <c r="N1048" s="1185"/>
      <c r="O1048" s="1185"/>
      <c r="P1048" s="1186"/>
      <c r="Q1048" s="1186"/>
      <c r="R1048" s="1186"/>
      <c r="S1048" s="1185"/>
      <c r="T1048" s="1185"/>
      <c r="U1048" s="1185"/>
      <c r="V1048" s="1185"/>
      <c r="W1048" s="1185"/>
      <c r="X1048" s="1185"/>
      <c r="Y1048" s="1185"/>
      <c r="Z1048" s="1185"/>
      <c r="AA1048" s="1185"/>
      <c r="AB1048" s="1185"/>
      <c r="AC1048" s="1185"/>
      <c r="AD1048" s="1185"/>
      <c r="AE1048" s="1185"/>
      <c r="AF1048" s="1185"/>
      <c r="AG1048" s="1185"/>
      <c r="AH1048" s="1185"/>
      <c r="AI1048" s="1185"/>
    </row>
    <row r="1049" spans="1:37">
      <c r="A1049" s="1009" t="s">
        <v>473</v>
      </c>
      <c r="B1049" s="1219"/>
      <c r="C1049" s="1026">
        <f t="shared" si="141"/>
        <v>428746</v>
      </c>
      <c r="D1049" s="1261"/>
      <c r="E1049" s="1261"/>
      <c r="F1049" s="1203">
        <f>F1013+F956</f>
        <v>311497</v>
      </c>
      <c r="G1049" s="1261"/>
      <c r="H1049" s="1041"/>
      <c r="I1049" s="1203">
        <f>I1013+I956</f>
        <v>360932</v>
      </c>
      <c r="J1049" s="1261"/>
      <c r="K1049" s="1041"/>
      <c r="L1049" s="1203">
        <f>L1013+L956</f>
        <v>412890</v>
      </c>
      <c r="N1049" s="1185"/>
      <c r="O1049" s="1185"/>
      <c r="P1049" s="1186"/>
      <c r="Q1049" s="1186"/>
      <c r="R1049" s="1186"/>
      <c r="S1049" s="1185"/>
      <c r="T1049" s="1185"/>
      <c r="U1049" s="1185"/>
      <c r="V1049" s="1185"/>
      <c r="W1049" s="1185"/>
      <c r="X1049" s="1185"/>
      <c r="Y1049" s="1185"/>
      <c r="Z1049" s="1185"/>
      <c r="AA1049" s="1185"/>
      <c r="AB1049" s="1185"/>
      <c r="AC1049" s="1185"/>
      <c r="AD1049" s="1185"/>
      <c r="AE1049" s="1185"/>
      <c r="AF1049" s="1185"/>
      <c r="AG1049" s="1185"/>
      <c r="AH1049" s="1185"/>
      <c r="AI1049" s="1185"/>
    </row>
    <row r="1050" spans="1:37">
      <c r="A1050" s="1009" t="s">
        <v>474</v>
      </c>
      <c r="B1050" s="1219"/>
      <c r="C1050" s="1026">
        <f t="shared" si="141"/>
        <v>0</v>
      </c>
      <c r="D1050" s="1261"/>
      <c r="E1050" s="1261"/>
      <c r="F1050" s="1203">
        <f>F1014+F957</f>
        <v>0</v>
      </c>
      <c r="G1050" s="1261"/>
      <c r="H1050" s="1041"/>
      <c r="I1050" s="1203">
        <f>I1014+I957</f>
        <v>0</v>
      </c>
      <c r="J1050" s="1261"/>
      <c r="K1050" s="1041"/>
      <c r="L1050" s="1203">
        <f>L1014+L957</f>
        <v>0</v>
      </c>
      <c r="N1050" s="1185"/>
      <c r="O1050" s="1185"/>
      <c r="P1050" s="1186"/>
      <c r="Q1050" s="1186"/>
      <c r="R1050" s="1186"/>
      <c r="S1050" s="1185"/>
      <c r="T1050" s="1185"/>
      <c r="U1050" s="1185"/>
      <c r="V1050" s="1185"/>
      <c r="W1050" s="1185"/>
      <c r="X1050" s="1185"/>
      <c r="Y1050" s="1185"/>
      <c r="Z1050" s="1185"/>
      <c r="AA1050" s="1185"/>
      <c r="AB1050" s="1185"/>
      <c r="AC1050" s="1185"/>
      <c r="AD1050" s="1185"/>
      <c r="AE1050" s="1185"/>
      <c r="AF1050" s="1185"/>
      <c r="AG1050" s="1185"/>
      <c r="AH1050" s="1185"/>
      <c r="AI1050" s="1185"/>
    </row>
    <row r="1051" spans="1:37">
      <c r="A1051" s="1218" t="s">
        <v>403</v>
      </c>
      <c r="B1051" s="1219"/>
      <c r="C1051" s="1026">
        <f t="shared" si="141"/>
        <v>322387</v>
      </c>
      <c r="D1051" s="1261"/>
      <c r="E1051" s="1261"/>
      <c r="F1051" s="1203">
        <f>F1015+F958</f>
        <v>1991192</v>
      </c>
      <c r="G1051" s="1261"/>
      <c r="H1051" s="1041"/>
      <c r="I1051" s="1203">
        <f>I1015+I958</f>
        <v>2277125</v>
      </c>
      <c r="J1051" s="1261"/>
      <c r="K1051" s="1041"/>
      <c r="L1051" s="1203">
        <f>L1015+L958</f>
        <v>2699865</v>
      </c>
      <c r="N1051" s="1185"/>
      <c r="O1051" s="1185"/>
      <c r="P1051" s="1186"/>
      <c r="Q1051" s="1186"/>
      <c r="R1051" s="1186"/>
      <c r="S1051" s="1185"/>
      <c r="T1051" s="1185"/>
      <c r="U1051" s="1185"/>
      <c r="V1051" s="1185"/>
      <c r="W1051" s="1185"/>
      <c r="X1051" s="1185"/>
      <c r="Y1051" s="1185"/>
      <c r="Z1051" s="1185"/>
      <c r="AA1051" s="1185"/>
      <c r="AB1051" s="1185"/>
      <c r="AC1051" s="1185"/>
      <c r="AD1051" s="1185"/>
      <c r="AE1051" s="1185"/>
      <c r="AF1051" s="1185"/>
      <c r="AG1051" s="1185"/>
      <c r="AH1051" s="1185"/>
      <c r="AI1051" s="1185"/>
    </row>
    <row r="1052" spans="1:37">
      <c r="A1052" s="1009" t="s">
        <v>426</v>
      </c>
      <c r="B1052" s="1219"/>
      <c r="C1052" s="1026"/>
      <c r="D1052" s="1261"/>
      <c r="E1052" s="1261"/>
      <c r="F1052" s="1203"/>
      <c r="G1052" s="1261"/>
      <c r="H1052" s="1041"/>
      <c r="I1052" s="1203"/>
      <c r="J1052" s="1261"/>
      <c r="K1052" s="1041"/>
      <c r="L1052" s="1203"/>
      <c r="N1052" s="1185"/>
      <c r="O1052" s="1185"/>
      <c r="P1052" s="1186"/>
      <c r="Q1052" s="1186"/>
      <c r="R1052" s="1186"/>
      <c r="S1052" s="1185"/>
      <c r="T1052" s="1185"/>
      <c r="U1052" s="1185"/>
      <c r="V1052" s="1185"/>
      <c r="W1052" s="1185"/>
      <c r="X1052" s="1185"/>
      <c r="Y1052" s="1185"/>
      <c r="Z1052" s="1185"/>
      <c r="AA1052" s="1185"/>
      <c r="AB1052" s="1185"/>
      <c r="AC1052" s="1185"/>
      <c r="AD1052" s="1185"/>
      <c r="AE1052" s="1185"/>
      <c r="AF1052" s="1185"/>
      <c r="AG1052" s="1185"/>
      <c r="AH1052" s="1185"/>
      <c r="AI1052" s="1185"/>
    </row>
    <row r="1053" spans="1:37">
      <c r="A1053" s="1009" t="s">
        <v>464</v>
      </c>
      <c r="B1053" s="1219"/>
      <c r="C1053" s="1026">
        <f>C1017+C960</f>
        <v>142287441</v>
      </c>
      <c r="D1053" s="1323"/>
      <c r="E1053" s="1201" t="s">
        <v>31</v>
      </c>
      <c r="F1053" s="1203">
        <f>F1017+F960</f>
        <v>5260208</v>
      </c>
      <c r="G1053" s="1323"/>
      <c r="H1053" s="1041"/>
      <c r="I1053" s="1203">
        <f>I1017+I960</f>
        <v>6009718</v>
      </c>
      <c r="J1053" s="1323"/>
      <c r="K1053" s="1041"/>
      <c r="L1053" s="1203">
        <f>L1017+L960</f>
        <v>1800369</v>
      </c>
      <c r="N1053" s="1185"/>
      <c r="O1053" s="1185"/>
      <c r="P1053" s="1186"/>
      <c r="Q1053" s="1186"/>
      <c r="R1053" s="1186"/>
      <c r="S1053" s="1185"/>
      <c r="T1053" s="1185"/>
      <c r="U1053" s="1185"/>
      <c r="V1053" s="1185"/>
      <c r="W1053" s="1185"/>
      <c r="X1053" s="1185"/>
      <c r="Y1053" s="1185"/>
      <c r="Z1053" s="1185"/>
      <c r="AA1053" s="1185"/>
      <c r="AB1053" s="1185"/>
      <c r="AC1053" s="1185"/>
      <c r="AD1053" s="1185"/>
      <c r="AE1053" s="1185"/>
      <c r="AF1053" s="1185"/>
      <c r="AG1053" s="1185"/>
      <c r="AH1053" s="1185"/>
      <c r="AI1053" s="1185"/>
    </row>
    <row r="1054" spans="1:37">
      <c r="A1054" s="1009" t="s">
        <v>400</v>
      </c>
      <c r="B1054" s="1219"/>
      <c r="C1054" s="1026">
        <f>C1018+C961</f>
        <v>37242</v>
      </c>
      <c r="D1054" s="1261"/>
      <c r="E1054" s="1041"/>
      <c r="F1054" s="1203">
        <f>F1018+F961</f>
        <v>17751</v>
      </c>
      <c r="G1054" s="1261"/>
      <c r="H1054" s="1041"/>
      <c r="I1054" s="1203">
        <f>I1018+I961</f>
        <v>20358</v>
      </c>
      <c r="J1054" s="1261"/>
      <c r="K1054" s="1041"/>
      <c r="L1054" s="1203">
        <f>L1018+L961</f>
        <v>23337</v>
      </c>
      <c r="N1054" s="1185"/>
      <c r="O1054" s="1185"/>
      <c r="P1054" s="1186"/>
      <c r="Q1054" s="1186"/>
      <c r="R1054" s="1186"/>
      <c r="S1054" s="1185"/>
      <c r="T1054" s="1185"/>
      <c r="U1054" s="1185"/>
      <c r="V1054" s="1185"/>
      <c r="W1054" s="1185"/>
      <c r="X1054" s="1185"/>
      <c r="Y1054" s="1185"/>
      <c r="Z1054" s="1185"/>
      <c r="AA1054" s="1185"/>
      <c r="AB1054" s="1185"/>
      <c r="AC1054" s="1185"/>
      <c r="AD1054" s="1185"/>
      <c r="AE1054" s="1185"/>
      <c r="AF1054" s="1185"/>
      <c r="AG1054" s="1185"/>
      <c r="AH1054" s="1185"/>
      <c r="AI1054" s="1185"/>
    </row>
    <row r="1055" spans="1:37">
      <c r="A1055" s="1005" t="s">
        <v>928</v>
      </c>
      <c r="C1055" s="1026">
        <f>C1019+C962</f>
        <v>142287441</v>
      </c>
      <c r="D1055" s="269"/>
      <c r="E1055" s="1185"/>
      <c r="F1055" s="1203"/>
      <c r="G1055" s="269"/>
      <c r="H1055" s="1185"/>
      <c r="I1055" s="1203"/>
      <c r="J1055" s="265"/>
      <c r="K1055" s="1185"/>
      <c r="L1055" s="1203">
        <f>L1019+L962</f>
        <v>4960772</v>
      </c>
      <c r="N1055" s="1204"/>
      <c r="P1055" s="815"/>
      <c r="Q1055" s="1184"/>
      <c r="R1055" s="1184"/>
      <c r="S1055" s="1205"/>
      <c r="T1055" s="1205"/>
      <c r="Y1055" s="1185"/>
      <c r="Z1055" s="1185"/>
      <c r="AA1055" s="1185"/>
      <c r="AB1055" s="1185"/>
      <c r="AC1055" s="1185"/>
      <c r="AD1055" s="1185"/>
      <c r="AE1055" s="1185"/>
      <c r="AF1055" s="1185"/>
      <c r="AG1055" s="1185"/>
      <c r="AH1055" s="1185"/>
      <c r="AI1055" s="1185"/>
      <c r="AK1055" s="1204"/>
    </row>
    <row r="1056" spans="1:37">
      <c r="A1056" s="1219" t="s">
        <v>381</v>
      </c>
      <c r="B1056" s="1219"/>
      <c r="C1056" s="1026">
        <f>C1020+C963</f>
        <v>142287441</v>
      </c>
      <c r="D1056" s="1255"/>
      <c r="E1056" s="1203"/>
      <c r="F1056" s="1203">
        <f>F1020+F963</f>
        <v>7965158</v>
      </c>
      <c r="G1056" s="1255"/>
      <c r="H1056" s="1219"/>
      <c r="I1056" s="1203">
        <f>I1020+I963</f>
        <v>9106637</v>
      </c>
      <c r="J1056" s="1255"/>
      <c r="K1056" s="1219"/>
      <c r="L1056" s="1203">
        <f>L1020+L963</f>
        <v>10397367</v>
      </c>
      <c r="N1056" s="1185"/>
      <c r="O1056" s="1185"/>
      <c r="P1056" s="1186"/>
      <c r="Q1056" s="1186"/>
      <c r="R1056" s="1186"/>
      <c r="S1056" s="1185"/>
      <c r="T1056" s="1185"/>
      <c r="U1056" s="1185"/>
      <c r="V1056" s="1185"/>
      <c r="W1056" s="1185"/>
      <c r="X1056" s="1185"/>
      <c r="Y1056" s="1185"/>
      <c r="Z1056" s="1185"/>
      <c r="AA1056" s="1185"/>
      <c r="AB1056" s="1185"/>
      <c r="AC1056" s="1185"/>
      <c r="AD1056" s="1185"/>
      <c r="AE1056" s="1185"/>
      <c r="AF1056" s="1185"/>
      <c r="AG1056" s="1185"/>
      <c r="AH1056" s="1185"/>
      <c r="AI1056" s="1185"/>
    </row>
    <row r="1057" spans="1:35">
      <c r="A1057" s="1219" t="s">
        <v>363</v>
      </c>
      <c r="B1057" s="1219"/>
      <c r="C1057" s="1028">
        <f>'[94]Table 2'!H49</f>
        <v>-366841.9413010361</v>
      </c>
      <c r="D1057" s="1218"/>
      <c r="E1057" s="1218"/>
      <c r="F1057" s="1324" t="e">
        <f>#REF!</f>
        <v>#REF!</v>
      </c>
      <c r="G1057" s="1218"/>
      <c r="H1057" s="1218"/>
      <c r="I1057" s="1324">
        <f>'[94]Table 3'!E49</f>
        <v>-26603.603302829546</v>
      </c>
      <c r="J1057" s="1218"/>
      <c r="K1057" s="1218"/>
      <c r="L1057" s="1324">
        <f>I1057</f>
        <v>-26603.603302829546</v>
      </c>
      <c r="N1057" s="444"/>
      <c r="O1057" s="444"/>
      <c r="P1057" s="287"/>
      <c r="Q1057" s="1186"/>
      <c r="R1057" s="1186"/>
      <c r="S1057" s="1185"/>
      <c r="T1057" s="1185"/>
      <c r="U1057" s="1185"/>
      <c r="V1057" s="1185"/>
      <c r="W1057" s="1185"/>
      <c r="X1057" s="1185"/>
      <c r="Y1057" s="1185"/>
      <c r="Z1057" s="1185"/>
      <c r="AA1057" s="1185"/>
      <c r="AB1057" s="1185"/>
      <c r="AC1057" s="1185"/>
      <c r="AD1057" s="1185"/>
      <c r="AE1057" s="1185"/>
      <c r="AF1057" s="1185"/>
      <c r="AG1057" s="1185"/>
      <c r="AH1057" s="1185"/>
      <c r="AI1057" s="1185"/>
    </row>
    <row r="1058" spans="1:35" ht="16.5" thickBot="1">
      <c r="A1058" s="1219" t="s">
        <v>382</v>
      </c>
      <c r="B1058" s="1219"/>
      <c r="C1058" s="1331">
        <f>C1056+C1057</f>
        <v>141920599.05869895</v>
      </c>
      <c r="D1058" s="1265"/>
      <c r="E1058" s="1266"/>
      <c r="F1058" s="1332" t="e">
        <f>F1056+F1057</f>
        <v>#REF!</v>
      </c>
      <c r="G1058" s="1265"/>
      <c r="H1058" s="1269"/>
      <c r="I1058" s="1332">
        <f>I1056+I1057</f>
        <v>9080033.396697171</v>
      </c>
      <c r="J1058" s="1265"/>
      <c r="K1058" s="1269"/>
      <c r="L1058" s="1332">
        <f>L1056+L1057</f>
        <v>10370763.396697171</v>
      </c>
      <c r="N1058" s="411"/>
      <c r="O1058" s="411"/>
      <c r="P1058" s="470"/>
      <c r="Q1058" s="1186"/>
      <c r="R1058" s="1186"/>
      <c r="S1058" s="1185"/>
      <c r="T1058" s="1185"/>
      <c r="U1058" s="1185"/>
      <c r="V1058" s="1185"/>
      <c r="W1058" s="1185"/>
      <c r="X1058" s="1185"/>
      <c r="Y1058" s="1185"/>
      <c r="Z1058" s="1185"/>
      <c r="AA1058" s="1185"/>
      <c r="AB1058" s="1185"/>
      <c r="AC1058" s="1185"/>
      <c r="AD1058" s="1185"/>
      <c r="AE1058" s="1185"/>
      <c r="AF1058" s="1185"/>
      <c r="AG1058" s="1185"/>
      <c r="AH1058" s="1185"/>
      <c r="AI1058" s="1185"/>
    </row>
    <row r="1059" spans="1:35" ht="16.5" thickTop="1">
      <c r="A1059" s="1219"/>
      <c r="B1059" s="1219"/>
      <c r="C1059" s="1225"/>
      <c r="D1059" s="1261"/>
      <c r="E1059" s="1203"/>
      <c r="F1059" s="1203"/>
      <c r="G1059" s="1261" t="s">
        <v>31</v>
      </c>
      <c r="H1059" s="1219"/>
      <c r="I1059" s="1203"/>
      <c r="J1059" s="1259" t="s">
        <v>31</v>
      </c>
      <c r="K1059" s="1219"/>
      <c r="L1059" s="1203" t="s">
        <v>31</v>
      </c>
      <c r="N1059" s="1185"/>
      <c r="O1059" s="1185"/>
      <c r="P1059" s="1186"/>
      <c r="Q1059" s="1186"/>
      <c r="R1059" s="1186"/>
      <c r="S1059" s="1185"/>
      <c r="T1059" s="1185"/>
      <c r="U1059" s="1185"/>
      <c r="V1059" s="1185"/>
      <c r="W1059" s="1185"/>
      <c r="X1059" s="1185"/>
      <c r="Y1059" s="1185"/>
      <c r="Z1059" s="1185"/>
      <c r="AA1059" s="1185"/>
      <c r="AB1059" s="1185"/>
      <c r="AC1059" s="1185"/>
      <c r="AD1059" s="1185"/>
      <c r="AE1059" s="1185"/>
      <c r="AF1059" s="1185"/>
      <c r="AG1059" s="1185"/>
      <c r="AH1059" s="1185"/>
      <c r="AI1059" s="1185"/>
    </row>
    <row r="1060" spans="1:35">
      <c r="A1060" s="1219"/>
      <c r="B1060" s="1219"/>
      <c r="C1060" s="1225"/>
      <c r="D1060" s="1261"/>
      <c r="E1060" s="1203"/>
      <c r="F1060" s="1203"/>
      <c r="G1060" s="1261"/>
      <c r="H1060" s="1219"/>
      <c r="I1060" s="1203"/>
      <c r="J1060" s="1261"/>
      <c r="K1060" s="1219"/>
      <c r="L1060" s="1303"/>
      <c r="N1060" s="1185"/>
      <c r="O1060" s="1185"/>
      <c r="P1060" s="1186"/>
      <c r="Q1060" s="1186"/>
      <c r="R1060" s="1186"/>
      <c r="S1060" s="1185"/>
      <c r="T1060" s="1185"/>
      <c r="U1060" s="1185"/>
      <c r="V1060" s="1185"/>
      <c r="W1060" s="1185"/>
      <c r="X1060" s="1185"/>
      <c r="Y1060" s="1185"/>
      <c r="Z1060" s="1185"/>
      <c r="AA1060" s="1185"/>
      <c r="AB1060" s="1185"/>
      <c r="AC1060" s="1185"/>
      <c r="AD1060" s="1185"/>
      <c r="AE1060" s="1185"/>
      <c r="AF1060" s="1185"/>
      <c r="AG1060" s="1185"/>
      <c r="AH1060" s="1185"/>
      <c r="AI1060" s="1185"/>
    </row>
    <row r="1061" spans="1:35">
      <c r="A1061" s="1224" t="s">
        <v>476</v>
      </c>
      <c r="B1061" s="1219"/>
      <c r="C1061" s="1219"/>
      <c r="D1061" s="1203"/>
      <c r="E1061" s="1203"/>
      <c r="F1061" s="1219"/>
      <c r="G1061" s="1203"/>
      <c r="H1061" s="1219"/>
      <c r="I1061" s="1219"/>
      <c r="J1061" s="1203"/>
      <c r="K1061" s="1219"/>
      <c r="L1061" s="1219"/>
      <c r="N1061" s="1185"/>
      <c r="O1061" s="1185"/>
      <c r="P1061" s="1186"/>
      <c r="Q1061" s="1186"/>
      <c r="R1061" s="1186"/>
      <c r="S1061" s="1185"/>
      <c r="T1061" s="1185"/>
      <c r="U1061" s="1185"/>
      <c r="V1061" s="1185"/>
      <c r="W1061" s="1185"/>
      <c r="X1061" s="1185"/>
      <c r="Y1061" s="1185"/>
      <c r="Z1061" s="1185"/>
      <c r="AA1061" s="1185"/>
      <c r="AB1061" s="1185"/>
      <c r="AC1061" s="1185"/>
      <c r="AD1061" s="1185"/>
      <c r="AE1061" s="1185"/>
      <c r="AF1061" s="1185"/>
      <c r="AG1061" s="1185"/>
      <c r="AH1061" s="1185"/>
      <c r="AI1061" s="1185"/>
    </row>
    <row r="1062" spans="1:35">
      <c r="A1062" s="1218" t="s">
        <v>701</v>
      </c>
      <c r="B1062" s="1219"/>
      <c r="C1062" s="1219"/>
      <c r="D1062" s="1203"/>
      <c r="E1062" s="1203"/>
      <c r="F1062" s="1219"/>
      <c r="G1062" s="1203"/>
      <c r="H1062" s="1219"/>
      <c r="I1062" s="1219"/>
      <c r="J1062" s="1203"/>
      <c r="K1062" s="1219"/>
      <c r="L1062" s="1219"/>
      <c r="N1062" s="1185"/>
      <c r="O1062" s="1185"/>
      <c r="P1062" s="1186"/>
      <c r="Q1062" s="1186"/>
      <c r="R1062" s="1186"/>
      <c r="S1062" s="1185"/>
      <c r="T1062" s="1185"/>
      <c r="U1062" s="1185"/>
      <c r="V1062" s="1185"/>
      <c r="W1062" s="1185"/>
      <c r="X1062" s="1185"/>
      <c r="Y1062" s="1185"/>
      <c r="Z1062" s="1185"/>
      <c r="AA1062" s="1185"/>
      <c r="AB1062" s="1185"/>
      <c r="AC1062" s="1185"/>
      <c r="AD1062" s="1185"/>
      <c r="AE1062" s="1185"/>
      <c r="AF1062" s="1185"/>
      <c r="AG1062" s="1185"/>
      <c r="AH1062" s="1185"/>
      <c r="AI1062" s="1185"/>
    </row>
    <row r="1063" spans="1:35">
      <c r="A1063" s="1009"/>
      <c r="B1063" s="1219"/>
      <c r="C1063" s="1219"/>
      <c r="D1063" s="1203"/>
      <c r="E1063" s="1203"/>
      <c r="F1063" s="1219"/>
      <c r="G1063" s="1203"/>
      <c r="H1063" s="1219"/>
      <c r="I1063" s="1219"/>
      <c r="J1063" s="1203"/>
      <c r="K1063" s="1219"/>
      <c r="L1063" s="1219"/>
      <c r="N1063" s="1185"/>
      <c r="O1063" s="1185"/>
      <c r="P1063" s="1186"/>
      <c r="Q1063" s="1186"/>
      <c r="R1063" s="1186"/>
      <c r="S1063" s="1185"/>
      <c r="T1063" s="1185"/>
      <c r="U1063" s="1185"/>
      <c r="V1063" s="1185"/>
      <c r="W1063" s="1185"/>
      <c r="X1063" s="1185"/>
      <c r="Y1063" s="1185"/>
      <c r="Z1063" s="1185"/>
      <c r="AA1063" s="1185"/>
      <c r="AB1063" s="1185"/>
      <c r="AC1063" s="1185"/>
      <c r="AD1063" s="1185"/>
      <c r="AE1063" s="1185"/>
      <c r="AF1063" s="1185"/>
      <c r="AG1063" s="1185"/>
      <c r="AH1063" s="1185"/>
      <c r="AI1063" s="1185"/>
    </row>
    <row r="1064" spans="1:35">
      <c r="A1064" s="1009" t="s">
        <v>393</v>
      </c>
      <c r="B1064" s="1219"/>
      <c r="C1064" s="1026"/>
      <c r="D1064" s="1203"/>
      <c r="E1064" s="1203"/>
      <c r="F1064" s="1219"/>
      <c r="G1064" s="1203"/>
      <c r="H1064" s="1219"/>
      <c r="I1064" s="1219"/>
      <c r="J1064" s="1203"/>
      <c r="K1064" s="1219"/>
      <c r="L1064" s="1219"/>
      <c r="N1064" s="1185"/>
      <c r="O1064" s="1185"/>
      <c r="P1064" s="1186"/>
      <c r="Q1064" s="1186"/>
      <c r="R1064" s="1186"/>
      <c r="S1064" s="1185"/>
      <c r="T1064" s="1185"/>
      <c r="U1064" s="1185"/>
      <c r="V1064" s="1185"/>
      <c r="W1064" s="1185"/>
      <c r="X1064" s="1185"/>
      <c r="Y1064" s="1185"/>
      <c r="Z1064" s="1185"/>
      <c r="AA1064" s="1185"/>
      <c r="AB1064" s="1185"/>
      <c r="AC1064" s="1185"/>
      <c r="AD1064" s="1185"/>
      <c r="AE1064" s="1185"/>
      <c r="AF1064" s="1185"/>
      <c r="AG1064" s="1185"/>
      <c r="AH1064" s="1185"/>
      <c r="AI1064" s="1185"/>
    </row>
    <row r="1065" spans="1:35">
      <c r="A1065" s="1009" t="s">
        <v>471</v>
      </c>
      <c r="B1065" s="1219"/>
      <c r="C1065" s="1026">
        <f t="shared" ref="C1065:C1070" si="142">C1028+C971</f>
        <v>381</v>
      </c>
      <c r="D1065" s="1261"/>
      <c r="E1065" s="1261"/>
      <c r="F1065" s="1203">
        <f>F1028+F971</f>
        <v>463845</v>
      </c>
      <c r="G1065" s="1261"/>
      <c r="H1065" s="1041"/>
      <c r="I1065" s="1203">
        <f>I1028+I971</f>
        <v>529089</v>
      </c>
      <c r="J1065" s="1261"/>
      <c r="K1065" s="1041"/>
      <c r="L1065" s="1203">
        <f>L1028+L971</f>
        <v>603508</v>
      </c>
      <c r="N1065" s="1185"/>
      <c r="O1065" s="1185"/>
      <c r="P1065" s="1186"/>
      <c r="Q1065" s="1186"/>
      <c r="R1065" s="1186"/>
      <c r="S1065" s="1185"/>
      <c r="T1065" s="1185"/>
      <c r="U1065" s="1185"/>
      <c r="V1065" s="1185"/>
      <c r="W1065" s="1185"/>
      <c r="X1065" s="1185"/>
      <c r="Y1065" s="1185"/>
      <c r="Z1065" s="1185"/>
      <c r="AA1065" s="1185"/>
      <c r="AB1065" s="1185"/>
      <c r="AC1065" s="1185"/>
      <c r="AD1065" s="1185"/>
      <c r="AE1065" s="1185"/>
      <c r="AF1065" s="1185"/>
      <c r="AG1065" s="1185"/>
      <c r="AH1065" s="1185"/>
      <c r="AI1065" s="1185"/>
    </row>
    <row r="1066" spans="1:35">
      <c r="A1066" s="1009" t="s">
        <v>472</v>
      </c>
      <c r="B1066" s="1219"/>
      <c r="C1066" s="1026">
        <f t="shared" si="142"/>
        <v>0</v>
      </c>
      <c r="D1066" s="1261"/>
      <c r="E1066" s="1261"/>
      <c r="F1066" s="1203">
        <f>F1029+F972</f>
        <v>0</v>
      </c>
      <c r="G1066" s="1261"/>
      <c r="H1066" s="1249"/>
      <c r="I1066" s="1203">
        <f>I1029+I972</f>
        <v>0</v>
      </c>
      <c r="J1066" s="1261"/>
      <c r="K1066" s="1249"/>
      <c r="L1066" s="1203">
        <f>L1029+L972</f>
        <v>0</v>
      </c>
      <c r="N1066" s="1185"/>
      <c r="O1066" s="1185"/>
      <c r="P1066" s="1186"/>
      <c r="Q1066" s="1186"/>
      <c r="R1066" s="1186"/>
      <c r="S1066" s="1185"/>
      <c r="T1066" s="1185"/>
      <c r="U1066" s="1185"/>
      <c r="V1066" s="1185"/>
      <c r="W1066" s="1185"/>
      <c r="X1066" s="1185"/>
      <c r="Y1066" s="1185"/>
      <c r="Z1066" s="1185"/>
      <c r="AA1066" s="1185"/>
      <c r="AB1066" s="1185"/>
      <c r="AC1066" s="1185"/>
      <c r="AD1066" s="1185"/>
      <c r="AE1066" s="1185"/>
      <c r="AF1066" s="1185"/>
      <c r="AG1066" s="1185"/>
      <c r="AH1066" s="1185"/>
      <c r="AI1066" s="1185"/>
    </row>
    <row r="1067" spans="1:35">
      <c r="A1067" s="1009" t="s">
        <v>394</v>
      </c>
      <c r="B1067" s="1219"/>
      <c r="C1067" s="1026">
        <f t="shared" si="142"/>
        <v>381</v>
      </c>
      <c r="D1067" s="1261"/>
      <c r="E1067" s="1261"/>
      <c r="F1067" s="1203" t="s">
        <v>31</v>
      </c>
      <c r="G1067" s="1261"/>
      <c r="H1067" s="1041"/>
      <c r="I1067" s="1203" t="s">
        <v>31</v>
      </c>
      <c r="J1067" s="1261"/>
      <c r="K1067" s="1041"/>
      <c r="L1067" s="1203" t="s">
        <v>31</v>
      </c>
      <c r="N1067" s="1185"/>
      <c r="O1067" s="1185"/>
      <c r="P1067" s="1186"/>
      <c r="Q1067" s="1186"/>
      <c r="R1067" s="1186"/>
      <c r="S1067" s="1185"/>
      <c r="T1067" s="1185"/>
      <c r="U1067" s="1185"/>
      <c r="V1067" s="1185"/>
      <c r="W1067" s="1185"/>
      <c r="X1067" s="1185"/>
      <c r="Y1067" s="1185"/>
      <c r="Z1067" s="1185"/>
      <c r="AA1067" s="1185"/>
      <c r="AB1067" s="1185"/>
      <c r="AC1067" s="1185"/>
      <c r="AD1067" s="1185"/>
      <c r="AE1067" s="1185"/>
      <c r="AF1067" s="1185"/>
      <c r="AG1067" s="1185"/>
      <c r="AH1067" s="1185"/>
      <c r="AI1067" s="1185"/>
    </row>
    <row r="1068" spans="1:35">
      <c r="A1068" s="1009" t="s">
        <v>473</v>
      </c>
      <c r="B1068" s="1219"/>
      <c r="C1068" s="1026">
        <f t="shared" si="142"/>
        <v>564907</v>
      </c>
      <c r="D1068" s="1261"/>
      <c r="E1068" s="1261"/>
      <c r="F1068" s="1203">
        <f>F1031+F974</f>
        <v>507778</v>
      </c>
      <c r="G1068" s="1261"/>
      <c r="H1068" s="1041"/>
      <c r="I1068" s="1203">
        <f>I1031+I974</f>
        <v>585341</v>
      </c>
      <c r="J1068" s="1261"/>
      <c r="K1068" s="1041"/>
      <c r="L1068" s="1203">
        <f>L1031+L974</f>
        <v>668299</v>
      </c>
      <c r="N1068" s="1185"/>
      <c r="O1068" s="1185"/>
      <c r="P1068" s="1186"/>
      <c r="Q1068" s="1186"/>
      <c r="R1068" s="1186"/>
      <c r="S1068" s="1185"/>
      <c r="T1068" s="1185"/>
      <c r="U1068" s="1185"/>
      <c r="V1068" s="1185"/>
      <c r="W1068" s="1185"/>
      <c r="X1068" s="1185"/>
      <c r="Y1068" s="1185"/>
      <c r="Z1068" s="1185"/>
      <c r="AA1068" s="1185"/>
      <c r="AB1068" s="1185"/>
      <c r="AC1068" s="1185"/>
      <c r="AD1068" s="1185"/>
      <c r="AE1068" s="1185"/>
      <c r="AF1068" s="1185"/>
      <c r="AG1068" s="1185"/>
      <c r="AH1068" s="1185"/>
      <c r="AI1068" s="1185"/>
    </row>
    <row r="1069" spans="1:35">
      <c r="A1069" s="1009" t="s">
        <v>474</v>
      </c>
      <c r="B1069" s="1219"/>
      <c r="C1069" s="1026">
        <f t="shared" si="142"/>
        <v>0</v>
      </c>
      <c r="D1069" s="1261"/>
      <c r="E1069" s="1261"/>
      <c r="F1069" s="1203">
        <f>F1032+F975</f>
        <v>0</v>
      </c>
      <c r="G1069" s="1261"/>
      <c r="H1069" s="1041"/>
      <c r="I1069" s="1203">
        <f>I1032+I975</f>
        <v>0</v>
      </c>
      <c r="J1069" s="1261"/>
      <c r="K1069" s="1041"/>
      <c r="L1069" s="1203">
        <f>L1032+L975</f>
        <v>0</v>
      </c>
      <c r="N1069" s="1185"/>
      <c r="O1069" s="1185"/>
      <c r="P1069" s="1186"/>
      <c r="Q1069" s="1186"/>
      <c r="R1069" s="1186"/>
      <c r="S1069" s="1185"/>
      <c r="T1069" s="1185"/>
      <c r="U1069" s="1185"/>
      <c r="V1069" s="1185"/>
      <c r="W1069" s="1185"/>
      <c r="X1069" s="1185"/>
      <c r="Y1069" s="1185"/>
      <c r="Z1069" s="1185"/>
      <c r="AA1069" s="1185"/>
      <c r="AB1069" s="1185"/>
      <c r="AC1069" s="1185"/>
      <c r="AD1069" s="1185"/>
      <c r="AE1069" s="1185"/>
      <c r="AF1069" s="1185"/>
      <c r="AG1069" s="1185"/>
      <c r="AH1069" s="1185"/>
      <c r="AI1069" s="1185"/>
    </row>
    <row r="1070" spans="1:35">
      <c r="A1070" s="1218" t="s">
        <v>403</v>
      </c>
      <c r="B1070" s="1219"/>
      <c r="C1070" s="1026">
        <f t="shared" si="142"/>
        <v>492028</v>
      </c>
      <c r="D1070" s="1261"/>
      <c r="E1070" s="1261"/>
      <c r="F1070" s="1203">
        <f>F1033+F976</f>
        <v>3057902</v>
      </c>
      <c r="G1070" s="1261"/>
      <c r="H1070" s="1041"/>
      <c r="I1070" s="1203">
        <f>I1033+I976</f>
        <v>3499974</v>
      </c>
      <c r="J1070" s="1261"/>
      <c r="K1070" s="1041"/>
      <c r="L1070" s="1203">
        <f>L1033+L976</f>
        <v>4148949</v>
      </c>
      <c r="N1070" s="1185"/>
      <c r="O1070" s="1185"/>
      <c r="P1070" s="1186"/>
      <c r="Q1070" s="1186"/>
      <c r="R1070" s="1186"/>
      <c r="S1070" s="1185"/>
      <c r="T1070" s="1185"/>
      <c r="U1070" s="1185"/>
      <c r="V1070" s="1185"/>
      <c r="W1070" s="1185"/>
      <c r="X1070" s="1185"/>
      <c r="Y1070" s="1185"/>
      <c r="Z1070" s="1185"/>
      <c r="AA1070" s="1185"/>
      <c r="AB1070" s="1185"/>
      <c r="AC1070" s="1185"/>
      <c r="AD1070" s="1185"/>
      <c r="AE1070" s="1185"/>
      <c r="AF1070" s="1185"/>
      <c r="AG1070" s="1185"/>
      <c r="AH1070" s="1185"/>
      <c r="AI1070" s="1185"/>
    </row>
    <row r="1071" spans="1:35">
      <c r="A1071" s="1009" t="s">
        <v>426</v>
      </c>
      <c r="B1071" s="1219"/>
      <c r="C1071" s="1026"/>
      <c r="D1071" s="1261"/>
      <c r="E1071" s="1261"/>
      <c r="F1071" s="1203"/>
      <c r="G1071" s="1261"/>
      <c r="H1071" s="1041"/>
      <c r="I1071" s="1203"/>
      <c r="J1071" s="1261"/>
      <c r="K1071" s="1041"/>
      <c r="L1071" s="1203"/>
      <c r="N1071" s="1185"/>
      <c r="O1071" s="1185"/>
      <c r="P1071" s="1186"/>
      <c r="Q1071" s="1186"/>
      <c r="R1071" s="1186"/>
      <c r="S1071" s="1185"/>
      <c r="T1071" s="1185"/>
      <c r="U1071" s="1185"/>
      <c r="V1071" s="1185"/>
      <c r="W1071" s="1185"/>
      <c r="X1071" s="1185"/>
      <c r="Y1071" s="1185"/>
      <c r="Z1071" s="1185"/>
      <c r="AA1071" s="1185"/>
      <c r="AB1071" s="1185"/>
      <c r="AC1071" s="1185"/>
      <c r="AD1071" s="1185"/>
      <c r="AE1071" s="1185"/>
      <c r="AF1071" s="1185"/>
      <c r="AG1071" s="1185"/>
      <c r="AH1071" s="1185"/>
      <c r="AI1071" s="1185"/>
    </row>
    <row r="1072" spans="1:35">
      <c r="A1072" s="1009" t="s">
        <v>464</v>
      </c>
      <c r="B1072" s="1219"/>
      <c r="C1072" s="1026">
        <f>C1035+C978</f>
        <v>213504952</v>
      </c>
      <c r="D1072" s="1323"/>
      <c r="E1072" s="1041"/>
      <c r="F1072" s="1203">
        <f>F1035+F978</f>
        <v>7935775</v>
      </c>
      <c r="G1072" s="1323"/>
      <c r="H1072" s="1041"/>
      <c r="I1072" s="1203">
        <f>I1035+I978</f>
        <v>9062945</v>
      </c>
      <c r="J1072" s="1323"/>
      <c r="K1072" s="1041"/>
      <c r="L1072" s="1203">
        <f>L1035+L978</f>
        <v>3259574</v>
      </c>
      <c r="N1072" s="1185"/>
      <c r="O1072" s="1185"/>
      <c r="P1072" s="1186"/>
      <c r="Q1072" s="1186"/>
      <c r="R1072" s="1186"/>
      <c r="S1072" s="1185"/>
      <c r="T1072" s="1185"/>
      <c r="U1072" s="1185"/>
      <c r="V1072" s="1185"/>
      <c r="W1072" s="1185"/>
      <c r="X1072" s="1185"/>
      <c r="Y1072" s="1185"/>
      <c r="Z1072" s="1185"/>
      <c r="AA1072" s="1185"/>
      <c r="AB1072" s="1185"/>
      <c r="AC1072" s="1185"/>
      <c r="AD1072" s="1185"/>
      <c r="AE1072" s="1185"/>
      <c r="AF1072" s="1185"/>
      <c r="AG1072" s="1185"/>
      <c r="AH1072" s="1185"/>
      <c r="AI1072" s="1185"/>
    </row>
    <row r="1073" spans="1:37">
      <c r="A1073" s="1009" t="s">
        <v>400</v>
      </c>
      <c r="B1073" s="1219"/>
      <c r="C1073" s="1026">
        <f>C1036+C979</f>
        <v>162756</v>
      </c>
      <c r="D1073" s="1261"/>
      <c r="E1073" s="1041"/>
      <c r="F1073" s="1203">
        <f>F1036+F979</f>
        <v>78084</v>
      </c>
      <c r="G1073" s="1261"/>
      <c r="H1073" s="1041"/>
      <c r="I1073" s="1203">
        <f>I1036+I979</f>
        <v>89477</v>
      </c>
      <c r="J1073" s="1261"/>
      <c r="K1073" s="1041"/>
      <c r="L1073" s="1203">
        <f>L1036+L979</f>
        <v>102498</v>
      </c>
      <c r="N1073" s="1185"/>
      <c r="O1073" s="1185"/>
      <c r="P1073" s="1186"/>
      <c r="Q1073" s="1186"/>
      <c r="R1073" s="1186"/>
      <c r="S1073" s="1185"/>
      <c r="T1073" s="1185"/>
      <c r="U1073" s="1185"/>
      <c r="V1073" s="1185"/>
      <c r="W1073" s="1185"/>
      <c r="X1073" s="1185"/>
      <c r="Y1073" s="1185"/>
      <c r="Z1073" s="1185"/>
      <c r="AA1073" s="1185"/>
      <c r="AB1073" s="1185"/>
      <c r="AC1073" s="1185"/>
      <c r="AD1073" s="1185"/>
      <c r="AE1073" s="1185"/>
      <c r="AF1073" s="1185"/>
      <c r="AG1073" s="1185"/>
      <c r="AH1073" s="1185"/>
      <c r="AI1073" s="1185"/>
    </row>
    <row r="1074" spans="1:37">
      <c r="A1074" s="1005" t="s">
        <v>928</v>
      </c>
      <c r="C1074" s="1026">
        <f>C1037+C980</f>
        <v>213504952</v>
      </c>
      <c r="D1074" s="269"/>
      <c r="E1074" s="1185"/>
      <c r="F1074" s="1203"/>
      <c r="G1074" s="269"/>
      <c r="H1074" s="1185"/>
      <c r="I1074" s="1203"/>
      <c r="J1074" s="265"/>
      <c r="K1074" s="1185"/>
      <c r="L1074" s="1203">
        <f>L1037+L980</f>
        <v>6936761</v>
      </c>
      <c r="N1074" s="1204"/>
      <c r="P1074" s="815"/>
      <c r="Q1074" s="1184"/>
      <c r="R1074" s="1184"/>
      <c r="S1074" s="1205"/>
      <c r="T1074" s="1205"/>
      <c r="Y1074" s="1185"/>
      <c r="Z1074" s="1185"/>
      <c r="AA1074" s="1185"/>
      <c r="AB1074" s="1185"/>
      <c r="AC1074" s="1185"/>
      <c r="AD1074" s="1185"/>
      <c r="AE1074" s="1185"/>
      <c r="AF1074" s="1185"/>
      <c r="AG1074" s="1185"/>
      <c r="AH1074" s="1185"/>
      <c r="AI1074" s="1185"/>
      <c r="AK1074" s="1204"/>
    </row>
    <row r="1075" spans="1:37">
      <c r="A1075" s="1219" t="s">
        <v>381</v>
      </c>
      <c r="B1075" s="1219"/>
      <c r="C1075" s="1018">
        <f>C1038+C981</f>
        <v>213504952</v>
      </c>
      <c r="D1075" s="1255"/>
      <c r="E1075" s="1203"/>
      <c r="F1075" s="1244">
        <f>F1038+F981</f>
        <v>12043384</v>
      </c>
      <c r="G1075" s="1255"/>
      <c r="H1075" s="1219"/>
      <c r="I1075" s="1244">
        <f>I1038+I981</f>
        <v>13766826</v>
      </c>
      <c r="J1075" s="1255"/>
      <c r="K1075" s="1219"/>
      <c r="L1075" s="1244">
        <f>L1038+L981</f>
        <v>15719589</v>
      </c>
      <c r="N1075" s="1185"/>
      <c r="O1075" s="1185"/>
      <c r="P1075" s="1186"/>
      <c r="Q1075" s="1186"/>
      <c r="R1075" s="1186"/>
      <c r="S1075" s="1185"/>
      <c r="T1075" s="1185"/>
      <c r="U1075" s="1185"/>
      <c r="V1075" s="1185"/>
      <c r="W1075" s="1185"/>
      <c r="X1075" s="1185"/>
      <c r="Y1075" s="1185"/>
      <c r="Z1075" s="1185"/>
      <c r="AA1075" s="1185"/>
      <c r="AB1075" s="1185"/>
      <c r="AC1075" s="1185"/>
      <c r="AD1075" s="1185"/>
      <c r="AE1075" s="1185"/>
      <c r="AF1075" s="1185"/>
      <c r="AG1075" s="1185"/>
      <c r="AH1075" s="1185"/>
      <c r="AI1075" s="1185"/>
    </row>
    <row r="1076" spans="1:37">
      <c r="A1076" s="1219" t="s">
        <v>363</v>
      </c>
      <c r="B1076" s="1219"/>
      <c r="C1076" s="1028">
        <f>'[94]Table 2'!H80</f>
        <v>2929218.748509191</v>
      </c>
      <c r="D1076" s="1218"/>
      <c r="E1076" s="1218"/>
      <c r="F1076" s="1324" t="e">
        <f>#REF!</f>
        <v>#REF!</v>
      </c>
      <c r="G1076" s="1218"/>
      <c r="H1076" s="1218"/>
      <c r="I1076" s="1324">
        <f>'[94]Table 3'!E80</f>
        <v>222642.17382612941</v>
      </c>
      <c r="J1076" s="1218"/>
      <c r="K1076" s="1218"/>
      <c r="L1076" s="1324">
        <f>I1076</f>
        <v>222642.17382612941</v>
      </c>
      <c r="N1076" s="444"/>
      <c r="O1076" s="444"/>
      <c r="P1076" s="287"/>
      <c r="Q1076" s="1186"/>
      <c r="R1076" s="1186"/>
      <c r="S1076" s="1185"/>
      <c r="T1076" s="1185"/>
      <c r="U1076" s="1185"/>
      <c r="V1076" s="1185"/>
      <c r="W1076" s="1185"/>
      <c r="X1076" s="1185"/>
      <c r="Y1076" s="1185"/>
      <c r="Z1076" s="1185"/>
      <c r="AA1076" s="1185"/>
      <c r="AB1076" s="1185"/>
      <c r="AC1076" s="1185"/>
      <c r="AD1076" s="1185"/>
      <c r="AE1076" s="1185"/>
      <c r="AF1076" s="1185"/>
      <c r="AG1076" s="1185"/>
      <c r="AH1076" s="1185"/>
      <c r="AI1076" s="1185"/>
    </row>
    <row r="1077" spans="1:37" ht="16.5" thickBot="1">
      <c r="A1077" s="1219" t="s">
        <v>382</v>
      </c>
      <c r="B1077" s="1219"/>
      <c r="C1077" s="1331">
        <f>C1075+C1076</f>
        <v>216434170.7485092</v>
      </c>
      <c r="D1077" s="1265"/>
      <c r="E1077" s="1266"/>
      <c r="F1077" s="1326" t="e">
        <f>F1075+F1076</f>
        <v>#REF!</v>
      </c>
      <c r="G1077" s="1265"/>
      <c r="H1077" s="1269"/>
      <c r="I1077" s="1326">
        <f>I1075+I1076</f>
        <v>13989468.17382613</v>
      </c>
      <c r="J1077" s="1265"/>
      <c r="K1077" s="1269"/>
      <c r="L1077" s="1326">
        <f>L1075+L1076</f>
        <v>15942231.17382613</v>
      </c>
      <c r="N1077" s="411"/>
      <c r="O1077" s="411"/>
      <c r="P1077" s="470"/>
      <c r="Q1077" s="1186"/>
      <c r="R1077" s="1186"/>
      <c r="S1077" s="1185"/>
      <c r="T1077" s="1185"/>
      <c r="U1077" s="1185"/>
      <c r="V1077" s="1185"/>
      <c r="W1077" s="1185"/>
      <c r="X1077" s="1185"/>
      <c r="Y1077" s="1185"/>
      <c r="Z1077" s="1185"/>
      <c r="AA1077" s="1185"/>
      <c r="AB1077" s="1185"/>
      <c r="AC1077" s="1185"/>
      <c r="AD1077" s="1185"/>
      <c r="AE1077" s="1185"/>
      <c r="AF1077" s="1185"/>
      <c r="AG1077" s="1185"/>
      <c r="AH1077" s="1185"/>
      <c r="AI1077" s="1185"/>
    </row>
    <row r="1078" spans="1:37" ht="16.5" thickTop="1">
      <c r="A1078" s="1219"/>
      <c r="B1078" s="1219"/>
      <c r="C1078" s="1225"/>
      <c r="D1078" s="1261"/>
      <c r="E1078" s="1203"/>
      <c r="F1078" s="1203"/>
      <c r="G1078" s="1261" t="s">
        <v>31</v>
      </c>
      <c r="H1078" s="1219"/>
      <c r="I1078" s="1203"/>
      <c r="J1078" s="1259" t="s">
        <v>31</v>
      </c>
      <c r="K1078" s="1219"/>
      <c r="L1078" s="1203" t="s">
        <v>31</v>
      </c>
      <c r="N1078" s="1185"/>
      <c r="O1078" s="1185"/>
      <c r="P1078" s="1186"/>
      <c r="Q1078" s="1186"/>
      <c r="R1078" s="1186"/>
      <c r="S1078" s="1185"/>
      <c r="T1078" s="1185"/>
      <c r="U1078" s="1185"/>
      <c r="V1078" s="1185"/>
      <c r="W1078" s="1185"/>
      <c r="X1078" s="1185"/>
      <c r="Y1078" s="1185"/>
      <c r="Z1078" s="1185"/>
      <c r="AA1078" s="1185"/>
      <c r="AB1078" s="1185"/>
      <c r="AC1078" s="1185"/>
      <c r="AD1078" s="1185"/>
      <c r="AE1078" s="1185"/>
      <c r="AF1078" s="1185"/>
      <c r="AG1078" s="1185"/>
      <c r="AH1078" s="1185"/>
      <c r="AI1078" s="1185"/>
    </row>
    <row r="1079" spans="1:37">
      <c r="A1079" s="1224" t="s">
        <v>476</v>
      </c>
      <c r="B1079" s="1219"/>
      <c r="C1079" s="1219"/>
      <c r="D1079" s="1203"/>
      <c r="E1079" s="1203"/>
      <c r="F1079" s="1219"/>
      <c r="G1079" s="1203"/>
      <c r="H1079" s="1219"/>
      <c r="I1079" s="1219"/>
      <c r="J1079" s="1203"/>
      <c r="K1079" s="1219"/>
      <c r="L1079" s="1219"/>
      <c r="N1079" s="1185"/>
      <c r="O1079" s="1185"/>
      <c r="P1079" s="1186"/>
      <c r="Q1079" s="1186"/>
      <c r="R1079" s="1186"/>
      <c r="S1079" s="1185"/>
      <c r="T1079" s="1185"/>
      <c r="U1079" s="1185"/>
      <c r="V1079" s="1185"/>
      <c r="W1079" s="1185"/>
      <c r="X1079" s="1185"/>
      <c r="Y1079" s="1185"/>
      <c r="Z1079" s="1185"/>
      <c r="AA1079" s="1185"/>
      <c r="AB1079" s="1185"/>
      <c r="AC1079" s="1185"/>
      <c r="AD1079" s="1185"/>
      <c r="AE1079" s="1185"/>
      <c r="AF1079" s="1185"/>
      <c r="AG1079" s="1185"/>
      <c r="AH1079" s="1185"/>
      <c r="AI1079" s="1185"/>
    </row>
    <row r="1080" spans="1:37">
      <c r="A1080" s="1218" t="s">
        <v>930</v>
      </c>
      <c r="B1080" s="1219"/>
      <c r="C1080" s="1219"/>
      <c r="D1080" s="1203"/>
      <c r="E1080" s="1203"/>
      <c r="F1080" s="1219"/>
      <c r="G1080" s="1203"/>
      <c r="H1080" s="1219"/>
      <c r="I1080" s="1219"/>
      <c r="J1080" s="1203"/>
      <c r="K1080" s="1219"/>
      <c r="L1080" s="1219"/>
      <c r="N1080" s="1185"/>
      <c r="O1080" s="1185"/>
      <c r="P1080" s="1186"/>
      <c r="Q1080" s="1186"/>
      <c r="R1080" s="1186"/>
      <c r="S1080" s="1185"/>
      <c r="T1080" s="1185"/>
      <c r="U1080" s="1185"/>
      <c r="V1080" s="1185"/>
      <c r="W1080" s="1185"/>
      <c r="X1080" s="1185"/>
      <c r="Y1080" s="1185"/>
      <c r="Z1080" s="1185"/>
      <c r="AA1080" s="1185"/>
      <c r="AB1080" s="1185"/>
      <c r="AC1080" s="1185"/>
      <c r="AD1080" s="1185"/>
      <c r="AE1080" s="1185"/>
      <c r="AF1080" s="1185"/>
      <c r="AG1080" s="1185"/>
      <c r="AH1080" s="1185"/>
      <c r="AI1080" s="1185"/>
    </row>
    <row r="1081" spans="1:37">
      <c r="A1081" s="1009"/>
      <c r="B1081" s="1219"/>
      <c r="C1081" s="1219"/>
      <c r="D1081" s="1203"/>
      <c r="E1081" s="1203"/>
      <c r="F1081" s="1219"/>
      <c r="G1081" s="1203"/>
      <c r="H1081" s="1219"/>
      <c r="I1081" s="1219"/>
      <c r="J1081" s="1203"/>
      <c r="K1081" s="1219"/>
      <c r="L1081" s="1219"/>
      <c r="N1081" s="1185"/>
      <c r="O1081" s="1185"/>
      <c r="P1081" s="1186"/>
      <c r="Q1081" s="1186"/>
      <c r="R1081" s="1186"/>
      <c r="S1081" s="1185"/>
      <c r="T1081" s="1185"/>
      <c r="U1081" s="1185"/>
      <c r="V1081" s="1185"/>
      <c r="W1081" s="1185"/>
      <c r="X1081" s="1185"/>
      <c r="Y1081" s="1185"/>
      <c r="Z1081" s="1185"/>
      <c r="AA1081" s="1185"/>
      <c r="AB1081" s="1185"/>
      <c r="AC1081" s="1185"/>
      <c r="AD1081" s="1185"/>
      <c r="AE1081" s="1185"/>
      <c r="AF1081" s="1185"/>
      <c r="AG1081" s="1185"/>
      <c r="AH1081" s="1185"/>
      <c r="AI1081" s="1185"/>
    </row>
    <row r="1082" spans="1:37">
      <c r="A1082" s="1009" t="s">
        <v>393</v>
      </c>
      <c r="B1082" s="1219"/>
      <c r="C1082" s="1026"/>
      <c r="D1082" s="1203"/>
      <c r="E1082" s="1203"/>
      <c r="F1082" s="1219"/>
      <c r="G1082" s="1203"/>
      <c r="H1082" s="1219"/>
      <c r="I1082" s="1219"/>
      <c r="J1082" s="1203"/>
      <c r="K1082" s="1219"/>
      <c r="L1082" s="1219"/>
      <c r="N1082" s="1185"/>
      <c r="O1082" s="1185"/>
      <c r="AA1082" s="1185"/>
      <c r="AB1082" s="1185"/>
      <c r="AC1082" s="1185"/>
      <c r="AD1082" s="1185"/>
      <c r="AE1082" s="1185"/>
      <c r="AF1082" s="1185"/>
      <c r="AG1082" s="1185"/>
      <c r="AH1082" s="1185"/>
      <c r="AI1082" s="1185"/>
    </row>
    <row r="1083" spans="1:37">
      <c r="A1083" s="1218" t="s">
        <v>673</v>
      </c>
      <c r="B1083" s="1219"/>
      <c r="C1083" s="1026">
        <v>0</v>
      </c>
      <c r="D1083" s="1261" t="s">
        <v>31</v>
      </c>
      <c r="E1083" s="1261"/>
      <c r="F1083" s="1203">
        <f>ROUND(D1083*$C1083,0)</f>
        <v>0</v>
      </c>
      <c r="G1083" s="1261" t="s">
        <v>31</v>
      </c>
      <c r="H1083" s="1041"/>
      <c r="I1083" s="1203">
        <f>ROUND(C1083*G1083,0)</f>
        <v>0</v>
      </c>
      <c r="J1083" s="1261" t="s">
        <v>31</v>
      </c>
      <c r="K1083" s="1041"/>
      <c r="L1083" s="1203">
        <f>ROUND(J1083*$C1083,0)</f>
        <v>0</v>
      </c>
      <c r="N1083" s="1185"/>
      <c r="O1083" s="1185"/>
      <c r="Q1083" s="1337"/>
      <c r="R1083" s="1337"/>
      <c r="T1083" s="977"/>
      <c r="U1083" s="1329"/>
      <c r="V1083" s="977"/>
      <c r="W1083" s="1329"/>
      <c r="X1083" s="977"/>
      <c r="Y1083" s="977"/>
      <c r="Z1083" s="1329"/>
      <c r="AA1083" s="1185"/>
      <c r="AB1083" s="1185"/>
      <c r="AC1083" s="1185"/>
      <c r="AD1083" s="1185"/>
      <c r="AE1083" s="1185"/>
      <c r="AF1083" s="1185"/>
      <c r="AG1083" s="1185"/>
      <c r="AH1083" s="1185"/>
      <c r="AI1083" s="1185"/>
    </row>
    <row r="1084" spans="1:37">
      <c r="A1084" s="1218" t="s">
        <v>674</v>
      </c>
      <c r="B1084" s="1219"/>
      <c r="C1084" s="1026">
        <v>12</v>
      </c>
      <c r="D1084" s="1261">
        <v>2100</v>
      </c>
      <c r="E1084" s="1261"/>
      <c r="F1084" s="1203">
        <f>ROUND(D1084*$C1084,0)</f>
        <v>25200</v>
      </c>
      <c r="G1084" s="1261">
        <v>2528</v>
      </c>
      <c r="H1084" s="1249"/>
      <c r="I1084" s="1203">
        <f>ROUND(C1084*G1084,0)</f>
        <v>30336</v>
      </c>
      <c r="J1084" s="1261">
        <f>ROUND(G1084*(1+$Q$1096),0)-27</f>
        <v>2886</v>
      </c>
      <c r="K1084" s="1249"/>
      <c r="L1084" s="1203">
        <f>ROUND(J1084*$C1084,0)</f>
        <v>34632</v>
      </c>
      <c r="N1084" s="1185"/>
      <c r="O1084" s="1185"/>
      <c r="Q1084" s="827">
        <f>(J1084-G1084)/G1084</f>
        <v>0.14161392405063292</v>
      </c>
      <c r="R1084" s="777"/>
      <c r="T1084" s="977"/>
      <c r="U1084" s="1329"/>
      <c r="V1084" s="977"/>
      <c r="W1084" s="1329"/>
      <c r="X1084" s="977"/>
      <c r="Y1084" s="977"/>
      <c r="Z1084" s="1329"/>
      <c r="AA1084" s="1185"/>
      <c r="AB1084" s="1185"/>
      <c r="AC1084" s="1185"/>
      <c r="AD1084" s="1185"/>
      <c r="AE1084" s="1185"/>
      <c r="AF1084" s="1185"/>
      <c r="AG1084" s="1185"/>
      <c r="AH1084" s="1185"/>
      <c r="AI1084" s="1185"/>
    </row>
    <row r="1085" spans="1:37">
      <c r="A1085" s="1009" t="s">
        <v>394</v>
      </c>
      <c r="B1085" s="1219"/>
      <c r="C1085" s="1026">
        <f>SUM(C1083:C1084)</f>
        <v>12</v>
      </c>
      <c r="D1085" s="1261" t="s">
        <v>31</v>
      </c>
      <c r="E1085" s="1261"/>
      <c r="F1085" s="1203" t="s">
        <v>31</v>
      </c>
      <c r="G1085" s="1261" t="s">
        <v>31</v>
      </c>
      <c r="H1085" s="1041"/>
      <c r="I1085" s="1203" t="s">
        <v>31</v>
      </c>
      <c r="J1085" s="1261" t="s">
        <v>31</v>
      </c>
      <c r="K1085" s="1041"/>
      <c r="L1085" s="1203" t="s">
        <v>31</v>
      </c>
      <c r="N1085" s="1185"/>
      <c r="O1085" s="1185"/>
      <c r="Q1085" s="1338"/>
      <c r="T1085" s="977"/>
      <c r="U1085" s="1329"/>
      <c r="V1085" s="977"/>
      <c r="W1085" s="1329"/>
      <c r="X1085" s="977"/>
      <c r="Y1085" s="977"/>
      <c r="Z1085" s="1329"/>
      <c r="AA1085" s="1185"/>
      <c r="AB1085" s="1185"/>
      <c r="AC1085" s="1185"/>
      <c r="AD1085" s="1185"/>
      <c r="AE1085" s="1185"/>
      <c r="AF1085" s="1185"/>
      <c r="AG1085" s="1185"/>
      <c r="AH1085" s="1185"/>
      <c r="AI1085" s="1185"/>
    </row>
    <row r="1086" spans="1:37">
      <c r="A1086" s="1009" t="s">
        <v>473</v>
      </c>
      <c r="B1086" s="1219"/>
      <c r="C1086" s="1026">
        <v>0</v>
      </c>
      <c r="D1086" s="1261" t="s">
        <v>31</v>
      </c>
      <c r="E1086" s="1261"/>
      <c r="F1086" s="1203">
        <f>ROUND(D1086*$C1086,0)</f>
        <v>0</v>
      </c>
      <c r="G1086" s="1261" t="s">
        <v>31</v>
      </c>
      <c r="H1086" s="1041"/>
      <c r="I1086" s="1203">
        <f t="shared" ref="I1086:I1088" si="143">ROUND(C1086*G1086,0)</f>
        <v>0</v>
      </c>
      <c r="J1086" s="1261" t="s">
        <v>31</v>
      </c>
      <c r="K1086" s="1041"/>
      <c r="L1086" s="1203">
        <f>ROUND(J1086*$C1086,0)</f>
        <v>0</v>
      </c>
      <c r="N1086" s="1185"/>
      <c r="O1086" s="1185"/>
      <c r="Q1086" s="1338"/>
      <c r="T1086" s="977"/>
      <c r="U1086" s="1329"/>
      <c r="V1086" s="977"/>
      <c r="W1086" s="1329"/>
      <c r="X1086" s="977"/>
      <c r="Y1086" s="977"/>
      <c r="Z1086" s="1329"/>
      <c r="AA1086" s="1185"/>
      <c r="AB1086" s="1185"/>
      <c r="AC1086" s="1185"/>
      <c r="AD1086" s="1185"/>
      <c r="AE1086" s="1185"/>
      <c r="AF1086" s="1185"/>
      <c r="AG1086" s="1185"/>
      <c r="AH1086" s="1185"/>
      <c r="AI1086" s="1185"/>
    </row>
    <row r="1087" spans="1:37">
      <c r="A1087" s="1218" t="s">
        <v>675</v>
      </c>
      <c r="B1087" s="1219"/>
      <c r="C1087" s="1026">
        <f>699156</f>
        <v>699156</v>
      </c>
      <c r="D1087" s="1261">
        <v>0.2</v>
      </c>
      <c r="E1087" s="1261"/>
      <c r="F1087" s="1203">
        <f>ROUND(D1087*$C1087,0)</f>
        <v>139831</v>
      </c>
      <c r="G1087" s="1261">
        <v>0.23</v>
      </c>
      <c r="H1087" s="1041"/>
      <c r="I1087" s="1203">
        <f t="shared" si="143"/>
        <v>160806</v>
      </c>
      <c r="J1087" s="1261">
        <f>ROUND(G1087*(1+$Q$1096),2)</f>
        <v>0.26</v>
      </c>
      <c r="K1087" s="1041"/>
      <c r="L1087" s="1203">
        <f>ROUND(J1087*$C1087,0)</f>
        <v>181781</v>
      </c>
      <c r="N1087" s="1185"/>
      <c r="O1087" s="1185"/>
      <c r="Q1087" s="827">
        <f>(J1087-G1087)/G1087</f>
        <v>0.13043478260869565</v>
      </c>
      <c r="R1087" s="777"/>
      <c r="T1087" s="977"/>
      <c r="U1087" s="1329"/>
      <c r="V1087" s="977"/>
      <c r="W1087" s="1329"/>
      <c r="X1087" s="977"/>
      <c r="Y1087" s="977"/>
      <c r="Z1087" s="1329"/>
      <c r="AA1087" s="1185"/>
      <c r="AB1087" s="1185"/>
      <c r="AC1087" s="1185"/>
      <c r="AD1087" s="1185"/>
      <c r="AE1087" s="1185"/>
      <c r="AF1087" s="1185"/>
      <c r="AG1087" s="1185"/>
      <c r="AH1087" s="1185"/>
      <c r="AI1087" s="1185"/>
    </row>
    <row r="1088" spans="1:37">
      <c r="A1088" s="1218" t="s">
        <v>403</v>
      </c>
      <c r="B1088" s="1219"/>
      <c r="C1088" s="1026">
        <f>690552</f>
        <v>690552</v>
      </c>
      <c r="D1088" s="1261">
        <v>6.09</v>
      </c>
      <c r="E1088" s="1261"/>
      <c r="F1088" s="1203">
        <f>ROUND(D1088*$C1088,0)</f>
        <v>4205462</v>
      </c>
      <c r="G1088" s="1261">
        <v>6.95</v>
      </c>
      <c r="H1088" s="1041"/>
      <c r="I1088" s="1203">
        <f t="shared" si="143"/>
        <v>4799336</v>
      </c>
      <c r="J1088" s="1261">
        <f>ROUND(G1088*(1+$Q$1096),2)+0.26</f>
        <v>8.27</v>
      </c>
      <c r="K1088" s="1041"/>
      <c r="L1088" s="1203">
        <f>ROUND(J1088*$C1088,0)</f>
        <v>5710865</v>
      </c>
      <c r="N1088" s="1185"/>
      <c r="O1088" s="1185"/>
      <c r="Q1088" s="827">
        <f>(J1088-G1088)/G1088</f>
        <v>0.18992805755395675</v>
      </c>
      <c r="R1088" s="777"/>
      <c r="S1088" s="1186"/>
      <c r="T1088" s="1330"/>
      <c r="U1088" s="1329"/>
      <c r="V1088" s="1330"/>
      <c r="W1088" s="1329"/>
      <c r="X1088" s="1330"/>
      <c r="Y1088" s="1186"/>
      <c r="Z1088" s="1329"/>
      <c r="AA1088" s="1185"/>
      <c r="AB1088" s="1185"/>
      <c r="AC1088" s="1185"/>
      <c r="AD1088" s="1185"/>
      <c r="AE1088" s="1185"/>
      <c r="AF1088" s="1185"/>
      <c r="AG1088" s="1185"/>
      <c r="AH1088" s="1185"/>
      <c r="AI1088" s="1185"/>
    </row>
    <row r="1089" spans="1:37">
      <c r="A1089" s="1009" t="s">
        <v>426</v>
      </c>
      <c r="B1089" s="1219"/>
      <c r="C1089" s="1217" t="s">
        <v>31</v>
      </c>
      <c r="D1089" s="1261" t="s">
        <v>31</v>
      </c>
      <c r="E1089" s="1261"/>
      <c r="F1089" s="1203"/>
      <c r="G1089" s="1261" t="s">
        <v>31</v>
      </c>
      <c r="H1089" s="1041"/>
      <c r="I1089" s="1203"/>
      <c r="J1089" s="1328" t="s">
        <v>31</v>
      </c>
      <c r="K1089" s="1041"/>
      <c r="L1089" s="1203"/>
      <c r="N1089" s="1185"/>
      <c r="O1089" s="1185"/>
      <c r="Q1089" s="1338"/>
      <c r="S1089" s="1186"/>
      <c r="T1089" s="1185"/>
      <c r="U1089" s="1185"/>
      <c r="V1089" s="1185"/>
      <c r="W1089" s="1185"/>
      <c r="X1089" s="1185"/>
      <c r="Y1089" s="1185"/>
      <c r="Z1089" s="1185"/>
      <c r="AA1089" s="1185"/>
      <c r="AB1089" s="1185"/>
      <c r="AC1089" s="1185"/>
      <c r="AD1089" s="1185"/>
      <c r="AE1089" s="1185"/>
      <c r="AF1089" s="1185"/>
      <c r="AG1089" s="1185"/>
      <c r="AH1089" s="1185"/>
      <c r="AI1089" s="1185"/>
    </row>
    <row r="1090" spans="1:37">
      <c r="A1090" s="1009" t="s">
        <v>464</v>
      </c>
      <c r="B1090" s="1219"/>
      <c r="C1090" s="1026">
        <f>467514000</f>
        <v>467514000</v>
      </c>
      <c r="D1090" s="1323">
        <v>3.66</v>
      </c>
      <c r="E1090" s="1041" t="s">
        <v>374</v>
      </c>
      <c r="F1090" s="1203">
        <f>ROUND(D1090/100*$C1090,0)</f>
        <v>17111012</v>
      </c>
      <c r="G1090" s="1328">
        <v>4.1870000000000003</v>
      </c>
      <c r="H1090" s="1041" t="s">
        <v>374</v>
      </c>
      <c r="I1090" s="1203">
        <f>ROUND(C1090/100*G1090,0)</f>
        <v>19574811</v>
      </c>
      <c r="J1090" s="1316">
        <f>ROUND(G1090*(1+$Q$1096)-J1092,3)-0.037</f>
        <v>1.9710000000000001</v>
      </c>
      <c r="K1090" s="1041" t="s">
        <v>374</v>
      </c>
      <c r="L1090" s="1203">
        <f>ROUND(J1090/100*$C1090,0)</f>
        <v>9214701</v>
      </c>
      <c r="N1090" s="1185"/>
      <c r="O1090" s="1185"/>
      <c r="Q1090" s="827">
        <f>(J1090+J1092-G1090)/G1090</f>
        <v>0.14330069262001424</v>
      </c>
      <c r="R1090" s="777"/>
      <c r="S1090" s="1186"/>
      <c r="T1090" s="1185"/>
      <c r="U1090" s="1185"/>
      <c r="V1090" s="1185"/>
      <c r="W1090" s="1185"/>
      <c r="X1090" s="1185"/>
      <c r="Y1090" s="1185"/>
      <c r="Z1090" s="1185"/>
      <c r="AA1090" s="1185"/>
      <c r="AB1090" s="1185"/>
      <c r="AC1090" s="1185"/>
      <c r="AD1090" s="1185"/>
      <c r="AE1090" s="1185"/>
      <c r="AF1090" s="1185"/>
      <c r="AG1090" s="1185"/>
      <c r="AH1090" s="1185"/>
      <c r="AI1090" s="1185"/>
    </row>
    <row r="1091" spans="1:37">
      <c r="A1091" s="1009" t="s">
        <v>400</v>
      </c>
      <c r="B1091" s="1219"/>
      <c r="C1091" s="1026">
        <f>179228</f>
        <v>179228</v>
      </c>
      <c r="D1091" s="1261">
        <v>0.46</v>
      </c>
      <c r="E1091" s="1041"/>
      <c r="F1091" s="1203">
        <f>ROUND(D1091*$C1091,0)</f>
        <v>82445</v>
      </c>
      <c r="G1091" s="1261">
        <v>0.53</v>
      </c>
      <c r="H1091" s="1041"/>
      <c r="I1091" s="1203">
        <f>ROUND(C1091*G1091,0)</f>
        <v>94991</v>
      </c>
      <c r="J1091" s="1261">
        <f>ROUND(G1091*(1+$Q$1096),2)</f>
        <v>0.61</v>
      </c>
      <c r="K1091" s="1041"/>
      <c r="L1091" s="1203">
        <f>ROUND(J1091*$C1091,0)</f>
        <v>109329</v>
      </c>
      <c r="N1091" s="1185"/>
      <c r="O1091" s="1185"/>
      <c r="Q1091" s="827">
        <f>(J1091-G1091)/G1091</f>
        <v>0.15094339622641501</v>
      </c>
      <c r="R1091" s="777"/>
      <c r="S1091" s="1186"/>
      <c r="T1091" s="1185"/>
      <c r="U1091" s="1185"/>
      <c r="V1091" s="1185"/>
      <c r="W1091" s="1185"/>
      <c r="X1091" s="1185"/>
      <c r="Y1091" s="1185"/>
      <c r="Z1091" s="1185"/>
      <c r="AA1091" s="1185"/>
      <c r="AB1091" s="1185"/>
      <c r="AC1091" s="1185"/>
      <c r="AD1091" s="1185"/>
      <c r="AE1091" s="1185"/>
      <c r="AF1091" s="1185"/>
      <c r="AG1091" s="1185"/>
      <c r="AH1091" s="1185"/>
      <c r="AI1091" s="1185"/>
    </row>
    <row r="1092" spans="1:37">
      <c r="A1092" s="1005" t="s">
        <v>928</v>
      </c>
      <c r="C1092" s="1202">
        <f>C1090</f>
        <v>467514000</v>
      </c>
      <c r="D1092" s="269"/>
      <c r="E1092" s="1185"/>
      <c r="F1092" s="1203"/>
      <c r="G1092" s="269"/>
      <c r="H1092" s="1185"/>
      <c r="I1092" s="1203"/>
      <c r="J1092" s="1230">
        <f>ROUND(O1092/C1092*100,3)</f>
        <v>2.8159999999999998</v>
      </c>
      <c r="K1092" s="1041" t="s">
        <v>374</v>
      </c>
      <c r="L1092" s="1041">
        <f>ROUND(J1092*$C1092/100,0)</f>
        <v>13165194</v>
      </c>
      <c r="N1092" s="1204"/>
      <c r="O1092" s="1204">
        <f>'NPC Spread'!H33</f>
        <v>13164524.379283957</v>
      </c>
      <c r="P1092" s="815" t="s">
        <v>913</v>
      </c>
      <c r="Q1092" s="1184"/>
      <c r="R1092" s="1184"/>
      <c r="S1092" s="1205"/>
      <c r="T1092" s="1205"/>
      <c r="Y1092" s="1185"/>
      <c r="Z1092" s="1185"/>
      <c r="AA1092" s="1185"/>
      <c r="AB1092" s="1185"/>
      <c r="AC1092" s="1185"/>
      <c r="AD1092" s="1185"/>
      <c r="AE1092" s="1185"/>
      <c r="AF1092" s="1185"/>
      <c r="AG1092" s="1185"/>
      <c r="AH1092" s="1185"/>
      <c r="AI1092" s="1185"/>
      <c r="AK1092" s="1204"/>
    </row>
    <row r="1093" spans="1:37">
      <c r="A1093" s="1509" t="s">
        <v>929</v>
      </c>
      <c r="B1093" s="1510"/>
      <c r="C1093" s="1524"/>
      <c r="D1093" s="1512"/>
      <c r="E1093" s="1513"/>
      <c r="F1093" s="1514"/>
      <c r="G1093" s="1525">
        <f>G1090</f>
        <v>4.1870000000000003</v>
      </c>
      <c r="H1093" s="1521" t="s">
        <v>374</v>
      </c>
      <c r="I1093" s="1514"/>
      <c r="J1093" s="1526">
        <f>J1090+J1092</f>
        <v>4.7869999999999999</v>
      </c>
      <c r="K1093" s="1521" t="s">
        <v>374</v>
      </c>
      <c r="L1093" s="1521"/>
      <c r="N1093" s="1204"/>
      <c r="O1093" s="1204"/>
      <c r="P1093" s="815"/>
      <c r="Q1093" s="827">
        <f>(J1093-G1093)/G1093</f>
        <v>0.14330069262001424</v>
      </c>
      <c r="R1093" s="1184"/>
      <c r="S1093" s="1205"/>
      <c r="T1093" s="1205"/>
      <c r="Y1093" s="1185"/>
      <c r="Z1093" s="1185"/>
      <c r="AA1093" s="1185"/>
      <c r="AB1093" s="1185"/>
      <c r="AC1093" s="1185"/>
      <c r="AD1093" s="1185"/>
      <c r="AE1093" s="1185"/>
      <c r="AF1093" s="1185"/>
      <c r="AG1093" s="1185"/>
      <c r="AH1093" s="1185"/>
      <c r="AI1093" s="1185"/>
      <c r="AK1093" s="1204"/>
    </row>
    <row r="1094" spans="1:37">
      <c r="A1094" s="1219" t="s">
        <v>381</v>
      </c>
      <c r="B1094" s="1219"/>
      <c r="C1094" s="1026">
        <f>C1090</f>
        <v>467514000</v>
      </c>
      <c r="D1094" s="1255"/>
      <c r="E1094" s="1203"/>
      <c r="F1094" s="1203">
        <f>SUM(F1083:F1091)</f>
        <v>21563950</v>
      </c>
      <c r="G1094" s="1255"/>
      <c r="H1094" s="1219"/>
      <c r="I1094" s="1203">
        <f>SUM(I1083:I1091)</f>
        <v>24660280</v>
      </c>
      <c r="J1094" s="1255"/>
      <c r="K1094" s="1219"/>
      <c r="L1094" s="1203">
        <f>SUM(L1083:L1092)</f>
        <v>28416502</v>
      </c>
      <c r="N1094" s="1185"/>
      <c r="O1094" s="1185"/>
      <c r="P1094" s="1186"/>
      <c r="Q1094" s="1186"/>
      <c r="R1094" s="1186"/>
      <c r="S1094" s="1185"/>
      <c r="T1094" s="1185"/>
      <c r="U1094" s="1185"/>
      <c r="V1094" s="1185"/>
      <c r="W1094" s="1185"/>
      <c r="X1094" s="1185"/>
      <c r="Y1094" s="1185"/>
      <c r="Z1094" s="1185"/>
      <c r="AA1094" s="1185"/>
      <c r="AB1094" s="1185"/>
      <c r="AC1094" s="1185"/>
      <c r="AD1094" s="1185"/>
      <c r="AE1094" s="1185"/>
      <c r="AF1094" s="1185"/>
      <c r="AG1094" s="1185"/>
      <c r="AH1094" s="1185"/>
      <c r="AI1094" s="1185"/>
    </row>
    <row r="1095" spans="1:37">
      <c r="A1095" s="1219" t="s">
        <v>363</v>
      </c>
      <c r="B1095" s="1219"/>
      <c r="C1095" s="1026">
        <f>'[94]Table 2'!H81</f>
        <v>6414140.5675242878</v>
      </c>
      <c r="D1095" s="1218"/>
      <c r="E1095" s="1218"/>
      <c r="F1095" s="1264" t="e">
        <f>#REF!</f>
        <v>#REF!</v>
      </c>
      <c r="G1095" s="1218"/>
      <c r="H1095" s="1218"/>
      <c r="I1095" s="1264">
        <f>'[94]Table 3'!E81</f>
        <v>397954.38596668228</v>
      </c>
      <c r="J1095" s="1218"/>
      <c r="K1095" s="1218"/>
      <c r="L1095" s="1264">
        <f>I1095</f>
        <v>397954.38596668228</v>
      </c>
      <c r="N1095" s="444"/>
      <c r="O1095" s="444"/>
      <c r="P1095" s="287"/>
      <c r="S1095" s="1185"/>
      <c r="T1095" s="1185"/>
      <c r="U1095" s="1185"/>
      <c r="V1095" s="1185"/>
      <c r="W1095" s="1185"/>
      <c r="X1095" s="1185"/>
      <c r="Y1095" s="1185"/>
      <c r="Z1095" s="1185"/>
      <c r="AA1095" s="1185"/>
      <c r="AB1095" s="1185"/>
      <c r="AC1095" s="1185"/>
      <c r="AD1095" s="1185"/>
      <c r="AE1095" s="1185"/>
      <c r="AF1095" s="1185"/>
      <c r="AG1095" s="1185"/>
      <c r="AH1095" s="1185"/>
      <c r="AI1095" s="1185"/>
    </row>
    <row r="1096" spans="1:37" ht="16.5" thickBot="1">
      <c r="A1096" s="1219" t="s">
        <v>382</v>
      </c>
      <c r="B1096" s="1219"/>
      <c r="C1096" s="1321">
        <f>SUM(C1094)+C1095</f>
        <v>473928140.56752431</v>
      </c>
      <c r="D1096" s="1265"/>
      <c r="E1096" s="1266"/>
      <c r="F1096" s="1267" t="e">
        <f>F1094+F1095</f>
        <v>#REF!</v>
      </c>
      <c r="G1096" s="1265"/>
      <c r="H1096" s="1269"/>
      <c r="I1096" s="1267">
        <f>I1094+I1095</f>
        <v>25058234.385966681</v>
      </c>
      <c r="J1096" s="1265"/>
      <c r="K1096" s="1269"/>
      <c r="L1096" s="1267">
        <f>L1094+L1095</f>
        <v>28814456.385966681</v>
      </c>
      <c r="N1096" s="411"/>
      <c r="O1096" s="1215" t="s">
        <v>364</v>
      </c>
      <c r="P1096" s="1216">
        <f>'[94]Rate Spread'!Q28*1000</f>
        <v>28814457.545580205</v>
      </c>
      <c r="Q1096" s="818">
        <f>'[94]Rate Spread'!V28+0.00221</f>
        <v>0.15210975358028875</v>
      </c>
      <c r="R1096" s="777"/>
      <c r="S1096" s="801" t="s">
        <v>31</v>
      </c>
      <c r="T1096" s="1185"/>
      <c r="U1096" s="1185"/>
      <c r="V1096" s="1185"/>
      <c r="W1096" s="1185"/>
      <c r="X1096" s="1185"/>
      <c r="Y1096" s="1185"/>
      <c r="Z1096" s="1185"/>
      <c r="AA1096" s="1185"/>
      <c r="AB1096" s="1185"/>
      <c r="AC1096" s="1185"/>
      <c r="AD1096" s="1185"/>
      <c r="AE1096" s="1185"/>
      <c r="AF1096" s="1185"/>
      <c r="AG1096" s="1185"/>
      <c r="AH1096" s="1185"/>
      <c r="AI1096" s="1185"/>
    </row>
    <row r="1097" spans="1:37" ht="16.5" thickTop="1">
      <c r="A1097" s="1219"/>
      <c r="B1097" s="1219"/>
      <c r="C1097" s="1225"/>
      <c r="D1097" s="1261"/>
      <c r="E1097" s="1203"/>
      <c r="F1097" s="1303" t="s">
        <v>31</v>
      </c>
      <c r="G1097" s="1261" t="s">
        <v>31</v>
      </c>
      <c r="H1097" s="1219"/>
      <c r="I1097" s="1203"/>
      <c r="J1097" s="1259" t="s">
        <v>31</v>
      </c>
      <c r="K1097" s="1219"/>
      <c r="L1097" s="1203" t="s">
        <v>31</v>
      </c>
      <c r="N1097" s="1185"/>
      <c r="O1097" s="1220" t="s">
        <v>263</v>
      </c>
      <c r="P1097" s="812">
        <f>P1096-L1096</f>
        <v>1.159613523632288</v>
      </c>
      <c r="Q1097" s="1333"/>
      <c r="R1097" s="1186"/>
      <c r="S1097" s="1185"/>
      <c r="T1097" s="1185"/>
      <c r="U1097" s="1185"/>
      <c r="V1097" s="1185"/>
      <c r="W1097" s="1185"/>
      <c r="X1097" s="1185"/>
      <c r="Y1097" s="1185"/>
      <c r="Z1097" s="1185"/>
      <c r="AA1097" s="1185"/>
      <c r="AB1097" s="1185"/>
      <c r="AC1097" s="1185"/>
      <c r="AD1097" s="1185"/>
      <c r="AE1097" s="1185"/>
      <c r="AF1097" s="1185"/>
      <c r="AG1097" s="1185"/>
      <c r="AH1097" s="1185"/>
      <c r="AI1097" s="1185"/>
    </row>
    <row r="1098" spans="1:37">
      <c r="A1098" s="1224" t="s">
        <v>482</v>
      </c>
      <c r="B1098" s="1219"/>
      <c r="C1098" s="1219"/>
      <c r="D1098" s="1219"/>
      <c r="E1098" s="1219"/>
      <c r="F1098" s="1203"/>
      <c r="G1098" s="1219"/>
      <c r="H1098" s="1219"/>
      <c r="I1098" s="1203"/>
      <c r="J1098" s="1219"/>
      <c r="K1098" s="1219"/>
      <c r="L1098" s="1219"/>
      <c r="N1098" s="1185"/>
      <c r="O1098" s="1185"/>
      <c r="P1098" s="1186"/>
      <c r="Q1098" s="1186"/>
      <c r="R1098" s="1186"/>
      <c r="S1098" s="1185"/>
      <c r="T1098" s="1185"/>
      <c r="U1098" s="1185"/>
      <c r="V1098" s="1185"/>
      <c r="W1098" s="1185"/>
      <c r="X1098" s="1185"/>
      <c r="Y1098" s="1185"/>
      <c r="Z1098" s="1185"/>
      <c r="AA1098" s="1185"/>
      <c r="AB1098" s="1185"/>
      <c r="AC1098" s="1185"/>
      <c r="AD1098" s="1185"/>
      <c r="AE1098" s="1185"/>
      <c r="AF1098" s="1185"/>
      <c r="AG1098" s="1185"/>
      <c r="AH1098" s="1185"/>
      <c r="AI1098" s="1185"/>
    </row>
    <row r="1099" spans="1:37">
      <c r="A1099" s="1219" t="s">
        <v>591</v>
      </c>
      <c r="B1099" s="1219"/>
      <c r="C1099" s="1219"/>
      <c r="D1099" s="1219"/>
      <c r="E1099" s="1219"/>
      <c r="F1099" s="1203"/>
      <c r="G1099" s="1219"/>
      <c r="H1099" s="1219"/>
      <c r="I1099" s="1203"/>
      <c r="J1099" s="1219"/>
      <c r="K1099" s="1219"/>
      <c r="L1099" s="1219"/>
      <c r="N1099" s="278"/>
      <c r="O1099" s="278"/>
      <c r="P1099" s="278"/>
      <c r="Q1099" s="470">
        <f>(L1096-I1096)/I1096</f>
        <v>0.14989970730354371</v>
      </c>
      <c r="R1099" s="278"/>
      <c r="S1099" s="278"/>
      <c r="T1099" s="278"/>
      <c r="U1099" s="278"/>
      <c r="V1099" s="278"/>
      <c r="W1099" s="278"/>
      <c r="X1099" s="278"/>
      <c r="Y1099" s="278"/>
      <c r="Z1099" s="278"/>
      <c r="AA1099" s="278"/>
      <c r="AB1099" s="278"/>
      <c r="AC1099" s="278"/>
      <c r="AD1099" s="278"/>
      <c r="AE1099" s="1185"/>
      <c r="AF1099" s="1185"/>
      <c r="AG1099" s="1185"/>
      <c r="AH1099" s="1185"/>
      <c r="AI1099" s="1185"/>
    </row>
    <row r="1100" spans="1:37">
      <c r="A1100" s="1219" t="s">
        <v>592</v>
      </c>
      <c r="B1100" s="1219"/>
      <c r="C1100" s="1219"/>
      <c r="D1100" s="1219"/>
      <c r="E1100" s="1219"/>
      <c r="F1100" s="1203"/>
      <c r="G1100" s="1219"/>
      <c r="H1100" s="1219"/>
      <c r="I1100" s="1203"/>
      <c r="J1100" s="1219"/>
      <c r="K1100" s="1219"/>
      <c r="L1100" s="1219"/>
      <c r="N1100" s="278"/>
      <c r="O1100" s="278"/>
      <c r="P1100" s="278"/>
      <c r="Q1100" s="278"/>
      <c r="R1100" s="278"/>
      <c r="S1100" s="278"/>
      <c r="T1100" s="278"/>
      <c r="U1100" s="278"/>
      <c r="V1100" s="278"/>
      <c r="W1100" s="278"/>
      <c r="X1100" s="278"/>
      <c r="Y1100" s="278"/>
      <c r="Z1100" s="278"/>
      <c r="AA1100" s="278"/>
      <c r="AB1100" s="278"/>
      <c r="AC1100" s="278"/>
      <c r="AD1100" s="278"/>
      <c r="AE1100" s="1185"/>
      <c r="AF1100" s="1185"/>
      <c r="AG1100" s="1185"/>
      <c r="AH1100" s="1185"/>
      <c r="AI1100" s="1185"/>
    </row>
    <row r="1101" spans="1:37">
      <c r="A1101" s="1219" t="s">
        <v>484</v>
      </c>
      <c r="B1101" s="1219"/>
      <c r="C1101" s="1219"/>
      <c r="D1101" s="1219"/>
      <c r="E1101" s="1219"/>
      <c r="F1101" s="1203"/>
      <c r="G1101" s="1219"/>
      <c r="H1101" s="1219"/>
      <c r="I1101" s="1203"/>
      <c r="J1101" s="1219"/>
      <c r="K1101" s="1219"/>
      <c r="L1101" s="1219"/>
      <c r="N1101" s="278"/>
      <c r="O1101" s="278"/>
      <c r="P1101" s="278"/>
      <c r="Q1101" s="1186"/>
      <c r="R1101" s="1186"/>
      <c r="S1101" s="279"/>
      <c r="T1101" s="279"/>
      <c r="U1101" s="280"/>
      <c r="V1101" s="280"/>
      <c r="W1101" s="280"/>
      <c r="X1101" s="280"/>
      <c r="Y1101" s="281"/>
      <c r="Z1101" s="282"/>
      <c r="AA1101" s="278"/>
      <c r="AB1101" s="278"/>
      <c r="AC1101" s="278"/>
      <c r="AD1101" s="278"/>
      <c r="AE1101" s="1185"/>
      <c r="AF1101" s="1185"/>
      <c r="AG1101" s="1185"/>
      <c r="AH1101" s="1185"/>
      <c r="AI1101" s="1185"/>
    </row>
    <row r="1102" spans="1:37">
      <c r="A1102" s="1184" t="s">
        <v>358</v>
      </c>
      <c r="C1102" s="1202">
        <f>14490</f>
        <v>14490</v>
      </c>
      <c r="D1102" s="265">
        <v>8.0299999999999994</v>
      </c>
      <c r="F1102" s="1203">
        <f t="shared" ref="F1102:F1111" si="144">ROUND(D1102*$C1102,0)</f>
        <v>116355</v>
      </c>
      <c r="G1102" s="265">
        <v>8.4600000000000009</v>
      </c>
      <c r="I1102" s="1203">
        <f>ROUND(C1102*G1102,0)</f>
        <v>122585</v>
      </c>
      <c r="J1102" s="265">
        <f t="shared" ref="J1102:J1111" si="145">ROUND(G1102+(G1102*$Q$1125),2)</f>
        <v>7.78</v>
      </c>
      <c r="L1102" s="1203">
        <f>ROUND(J1102*$C1102,0)</f>
        <v>112732</v>
      </c>
      <c r="N1102" s="1204" t="e">
        <f>J1102*#REF!</f>
        <v>#REF!</v>
      </c>
      <c r="Q1102" s="281"/>
      <c r="R1102" s="281"/>
      <c r="S1102" s="1186"/>
      <c r="T1102" s="403"/>
      <c r="U1102" s="403"/>
      <c r="V1102" s="283"/>
      <c r="W1102" s="283"/>
      <c r="X1102" s="283"/>
      <c r="Y1102" s="284"/>
      <c r="Z1102" s="278"/>
      <c r="AA1102" s="281"/>
      <c r="AB1102" s="281"/>
      <c r="AC1102" s="285"/>
      <c r="AD1102" s="281"/>
      <c r="AE1102" s="1185"/>
      <c r="AF1102" s="1185"/>
      <c r="AG1102" s="1185"/>
      <c r="AH1102" s="1185"/>
      <c r="AI1102" s="1185"/>
    </row>
    <row r="1103" spans="1:37">
      <c r="A1103" s="1184" t="s">
        <v>485</v>
      </c>
      <c r="C1103" s="1202">
        <f>17008+12</f>
        <v>17020</v>
      </c>
      <c r="D1103" s="265">
        <v>9.6300000000000008</v>
      </c>
      <c r="F1103" s="1203">
        <f t="shared" si="144"/>
        <v>163903</v>
      </c>
      <c r="G1103" s="265">
        <v>10.15</v>
      </c>
      <c r="I1103" s="1203">
        <f t="shared" ref="I1103:I1119" si="146">ROUND(C1103*G1103,0)</f>
        <v>172753</v>
      </c>
      <c r="J1103" s="265">
        <f t="shared" si="145"/>
        <v>9.34</v>
      </c>
      <c r="L1103" s="1203">
        <f t="shared" ref="L1103:L1116" si="147">ROUND(J1103*$C1103,0)</f>
        <v>158967</v>
      </c>
      <c r="N1103" s="1204" t="e">
        <f>J1103*#REF!</f>
        <v>#REF!</v>
      </c>
      <c r="Q1103" s="281"/>
      <c r="R1103" s="281"/>
      <c r="S1103" s="1186"/>
      <c r="T1103" s="403"/>
      <c r="U1103" s="403"/>
      <c r="V1103" s="283"/>
      <c r="W1103" s="283"/>
      <c r="X1103" s="283"/>
      <c r="Y1103" s="278"/>
      <c r="Z1103" s="278"/>
      <c r="AA1103" s="281"/>
      <c r="AB1103" s="281"/>
      <c r="AC1103" s="285"/>
      <c r="AD1103" s="281"/>
      <c r="AE1103" s="1185"/>
      <c r="AF1103" s="1185"/>
      <c r="AG1103" s="1185"/>
      <c r="AH1103" s="1185"/>
      <c r="AI1103" s="1185"/>
    </row>
    <row r="1104" spans="1:37">
      <c r="A1104" s="1184" t="s">
        <v>594</v>
      </c>
      <c r="C1104" s="1202">
        <v>0</v>
      </c>
      <c r="D1104" s="265">
        <v>30.59</v>
      </c>
      <c r="F1104" s="1203">
        <f t="shared" si="144"/>
        <v>0</v>
      </c>
      <c r="G1104" s="265">
        <v>32.24</v>
      </c>
      <c r="I1104" s="1203">
        <f t="shared" si="146"/>
        <v>0</v>
      </c>
      <c r="J1104" s="265">
        <f t="shared" si="145"/>
        <v>29.67</v>
      </c>
      <c r="L1104" s="1203">
        <f t="shared" si="147"/>
        <v>0</v>
      </c>
      <c r="N1104" s="1204" t="e">
        <f>J1104*#REF!</f>
        <v>#REF!</v>
      </c>
      <c r="Q1104" s="281"/>
      <c r="R1104" s="281"/>
      <c r="S1104" s="1186"/>
      <c r="T1104" s="403"/>
      <c r="U1104" s="403"/>
      <c r="V1104" s="283"/>
      <c r="W1104" s="283"/>
      <c r="X1104" s="283"/>
      <c r="Y1104" s="278"/>
      <c r="Z1104" s="278"/>
      <c r="AA1104" s="281"/>
      <c r="AB1104" s="281"/>
      <c r="AC1104" s="285"/>
      <c r="AD1104" s="281"/>
      <c r="AE1104" s="1185"/>
      <c r="AF1104" s="1185"/>
      <c r="AG1104" s="1185"/>
      <c r="AH1104" s="1185"/>
      <c r="AI1104" s="1185"/>
    </row>
    <row r="1105" spans="1:35">
      <c r="A1105" s="1184" t="s">
        <v>595</v>
      </c>
      <c r="C1105" s="1202">
        <v>0</v>
      </c>
      <c r="D1105" s="265">
        <v>23.79</v>
      </c>
      <c r="F1105" s="1203">
        <f t="shared" si="144"/>
        <v>0</v>
      </c>
      <c r="G1105" s="265">
        <v>25.07</v>
      </c>
      <c r="I1105" s="1203">
        <f t="shared" si="146"/>
        <v>0</v>
      </c>
      <c r="J1105" s="265">
        <f t="shared" si="145"/>
        <v>23.07</v>
      </c>
      <c r="L1105" s="1203">
        <f t="shared" si="147"/>
        <v>0</v>
      </c>
      <c r="N1105" s="1204" t="e">
        <f>J1105*#REF!</f>
        <v>#REF!</v>
      </c>
      <c r="Q1105" s="281"/>
      <c r="R1105" s="281"/>
      <c r="S1105" s="1186"/>
      <c r="T1105" s="403"/>
      <c r="U1105" s="403"/>
      <c r="V1105" s="283"/>
      <c r="W1105" s="283"/>
      <c r="X1105" s="283"/>
      <c r="Y1105" s="278"/>
      <c r="Z1105" s="278"/>
      <c r="AA1105" s="281"/>
      <c r="AB1105" s="281"/>
      <c r="AC1105" s="285"/>
      <c r="AD1105" s="281"/>
      <c r="AE1105" s="1185"/>
      <c r="AF1105" s="1185"/>
      <c r="AG1105" s="1185"/>
      <c r="AH1105" s="1185"/>
      <c r="AI1105" s="1185"/>
    </row>
    <row r="1106" spans="1:35">
      <c r="A1106" s="1184" t="s">
        <v>589</v>
      </c>
      <c r="C1106" s="1202">
        <f>612</f>
        <v>612</v>
      </c>
      <c r="D1106" s="265">
        <v>12.31</v>
      </c>
      <c r="F1106" s="1203">
        <f t="shared" si="144"/>
        <v>7534</v>
      </c>
      <c r="G1106" s="265">
        <v>12.97</v>
      </c>
      <c r="I1106" s="1203">
        <f t="shared" si="146"/>
        <v>7938</v>
      </c>
      <c r="J1106" s="265">
        <f t="shared" si="145"/>
        <v>11.93</v>
      </c>
      <c r="L1106" s="1203">
        <f t="shared" si="147"/>
        <v>7301</v>
      </c>
      <c r="N1106" s="1204" t="e">
        <f>J1106*#REF!</f>
        <v>#REF!</v>
      </c>
      <c r="Q1106" s="281"/>
      <c r="R1106" s="281"/>
      <c r="S1106" s="1186"/>
      <c r="T1106" s="403"/>
      <c r="U1106" s="403"/>
      <c r="V1106" s="283"/>
      <c r="W1106" s="283"/>
      <c r="X1106" s="283"/>
      <c r="Y1106" s="278"/>
      <c r="Z1106" s="278"/>
      <c r="AA1106" s="281"/>
      <c r="AB1106" s="281"/>
      <c r="AC1106" s="285"/>
      <c r="AD1106" s="281"/>
      <c r="AE1106" s="1185"/>
      <c r="AF1106" s="1185"/>
      <c r="AG1106" s="1185"/>
      <c r="AH1106" s="1185"/>
      <c r="AI1106" s="1185"/>
    </row>
    <row r="1107" spans="1:35">
      <c r="A1107" s="1184" t="s">
        <v>596</v>
      </c>
      <c r="C1107" s="1202">
        <v>0</v>
      </c>
      <c r="D1107" s="265">
        <v>31.69</v>
      </c>
      <c r="F1107" s="1203">
        <f t="shared" si="144"/>
        <v>0</v>
      </c>
      <c r="G1107" s="265">
        <v>33.4</v>
      </c>
      <c r="I1107" s="1203">
        <f t="shared" si="146"/>
        <v>0</v>
      </c>
      <c r="J1107" s="265">
        <f t="shared" si="145"/>
        <v>30.73</v>
      </c>
      <c r="L1107" s="1203">
        <f t="shared" si="147"/>
        <v>0</v>
      </c>
      <c r="N1107" s="1204" t="e">
        <f>J1107*#REF!</f>
        <v>#REF!</v>
      </c>
      <c r="Q1107" s="281"/>
      <c r="R1107" s="281"/>
      <c r="S1107" s="1186"/>
      <c r="T1107" s="403"/>
      <c r="U1107" s="403"/>
      <c r="V1107" s="283"/>
      <c r="W1107" s="283"/>
      <c r="X1107" s="283"/>
      <c r="Y1107" s="278"/>
      <c r="Z1107" s="278"/>
      <c r="AA1107" s="281"/>
      <c r="AB1107" s="281"/>
      <c r="AC1107" s="285"/>
      <c r="AD1107" s="281"/>
      <c r="AE1107" s="1185"/>
      <c r="AF1107" s="1185"/>
      <c r="AG1107" s="1185"/>
      <c r="AH1107" s="1185"/>
      <c r="AI1107" s="1185"/>
    </row>
    <row r="1108" spans="1:35">
      <c r="A1108" s="1184" t="s">
        <v>597</v>
      </c>
      <c r="C1108" s="1202">
        <v>0</v>
      </c>
      <c r="D1108" s="265">
        <v>24.93</v>
      </c>
      <c r="F1108" s="1203">
        <f t="shared" si="144"/>
        <v>0</v>
      </c>
      <c r="G1108" s="265">
        <v>26.27</v>
      </c>
      <c r="I1108" s="1203">
        <f t="shared" si="146"/>
        <v>0</v>
      </c>
      <c r="J1108" s="265">
        <f t="shared" si="145"/>
        <v>24.17</v>
      </c>
      <c r="L1108" s="1203">
        <f t="shared" si="147"/>
        <v>0</v>
      </c>
      <c r="N1108" s="1204" t="e">
        <f>J1108*#REF!</f>
        <v>#REF!</v>
      </c>
      <c r="Q1108" s="281"/>
      <c r="R1108" s="281"/>
      <c r="S1108" s="1186"/>
      <c r="T1108" s="403"/>
      <c r="U1108" s="403"/>
      <c r="V1108" s="283"/>
      <c r="W1108" s="283"/>
      <c r="X1108" s="283"/>
      <c r="Y1108" s="278"/>
      <c r="Z1108" s="278"/>
      <c r="AA1108" s="281"/>
      <c r="AB1108" s="281"/>
      <c r="AC1108" s="285"/>
      <c r="AD1108" s="281"/>
      <c r="AE1108" s="1185"/>
      <c r="AF1108" s="1185"/>
      <c r="AG1108" s="1185"/>
      <c r="AH1108" s="1185"/>
      <c r="AI1108" s="1185"/>
    </row>
    <row r="1109" spans="1:35">
      <c r="A1109" s="1184" t="s">
        <v>359</v>
      </c>
      <c r="C1109" s="1202">
        <f>18685</f>
        <v>18685</v>
      </c>
      <c r="D1109" s="265">
        <v>14.05</v>
      </c>
      <c r="F1109" s="1203">
        <f t="shared" si="144"/>
        <v>262524</v>
      </c>
      <c r="G1109" s="265">
        <v>14.81</v>
      </c>
      <c r="I1109" s="1203">
        <f t="shared" si="146"/>
        <v>276725</v>
      </c>
      <c r="J1109" s="265">
        <f t="shared" si="145"/>
        <v>13.63</v>
      </c>
      <c r="L1109" s="1203">
        <f t="shared" si="147"/>
        <v>254677</v>
      </c>
      <c r="N1109" s="1204" t="e">
        <f>J1109*#REF!</f>
        <v>#REF!</v>
      </c>
      <c r="Q1109" s="281"/>
      <c r="R1109" s="281"/>
      <c r="S1109" s="1186"/>
      <c r="T1109" s="403"/>
      <c r="U1109" s="403"/>
      <c r="V1109" s="283"/>
      <c r="W1109" s="283"/>
      <c r="X1109" s="283"/>
      <c r="Y1109" s="278"/>
      <c r="Z1109" s="278"/>
      <c r="AA1109" s="281"/>
      <c r="AB1109" s="281"/>
      <c r="AC1109" s="285"/>
      <c r="AD1109" s="281"/>
      <c r="AE1109" s="1185"/>
      <c r="AF1109" s="1185"/>
      <c r="AG1109" s="1185"/>
      <c r="AH1109" s="1185"/>
      <c r="AI1109" s="1185"/>
    </row>
    <row r="1110" spans="1:35">
      <c r="A1110" s="1184" t="s">
        <v>590</v>
      </c>
      <c r="C1110" s="1202">
        <f>1187</f>
        <v>1187</v>
      </c>
      <c r="D1110" s="265">
        <v>17.829999999999998</v>
      </c>
      <c r="F1110" s="1203">
        <f t="shared" si="144"/>
        <v>21164</v>
      </c>
      <c r="G1110" s="265">
        <v>18.79</v>
      </c>
      <c r="I1110" s="1203">
        <f t="shared" si="146"/>
        <v>22304</v>
      </c>
      <c r="J1110" s="265">
        <f t="shared" si="145"/>
        <v>17.29</v>
      </c>
      <c r="L1110" s="1203">
        <f t="shared" si="147"/>
        <v>20523</v>
      </c>
      <c r="N1110" s="1204" t="e">
        <f>J1110*#REF!</f>
        <v>#REF!</v>
      </c>
      <c r="Q1110" s="281"/>
      <c r="R1110" s="281"/>
      <c r="S1110" s="1186"/>
      <c r="T1110" s="403"/>
      <c r="U1110" s="403"/>
      <c r="V1110" s="283"/>
      <c r="W1110" s="283"/>
      <c r="X1110" s="283"/>
      <c r="Y1110" s="278"/>
      <c r="Z1110" s="278"/>
      <c r="AA1110" s="281"/>
      <c r="AB1110" s="281"/>
      <c r="AC1110" s="285"/>
      <c r="AD1110" s="281"/>
      <c r="AE1110" s="1185"/>
      <c r="AF1110" s="1185"/>
      <c r="AG1110" s="1185"/>
      <c r="AH1110" s="1185"/>
      <c r="AI1110" s="1185"/>
    </row>
    <row r="1111" spans="1:35">
      <c r="A1111" s="1184" t="s">
        <v>360</v>
      </c>
      <c r="C1111" s="1202">
        <f>2092</f>
        <v>2092</v>
      </c>
      <c r="D1111" s="265">
        <v>23.53</v>
      </c>
      <c r="F1111" s="1203">
        <f t="shared" si="144"/>
        <v>49225</v>
      </c>
      <c r="G1111" s="265">
        <v>24.8</v>
      </c>
      <c r="I1111" s="1203">
        <f t="shared" si="146"/>
        <v>51882</v>
      </c>
      <c r="J1111" s="265">
        <f t="shared" si="145"/>
        <v>22.82</v>
      </c>
      <c r="L1111" s="1203">
        <f>ROUND(J1111*$C1111,0)</f>
        <v>47739</v>
      </c>
      <c r="N1111" s="1204" t="e">
        <f>J1111*#REF!</f>
        <v>#REF!</v>
      </c>
      <c r="Q1111" s="281"/>
      <c r="R1111" s="281"/>
      <c r="S1111" s="1186"/>
      <c r="T1111" s="403"/>
      <c r="U1111" s="403"/>
      <c r="V1111" s="283"/>
      <c r="W1111" s="283"/>
      <c r="X1111" s="283"/>
      <c r="Y1111" s="278"/>
      <c r="Z1111" s="278"/>
      <c r="AA1111" s="281"/>
      <c r="AB1111" s="281"/>
      <c r="AC1111" s="285"/>
      <c r="AD1111" s="281"/>
      <c r="AE1111" s="1185"/>
      <c r="AF1111" s="1185"/>
      <c r="AG1111" s="1185"/>
      <c r="AH1111" s="1185"/>
      <c r="AI1111" s="1185"/>
    </row>
    <row r="1112" spans="1:35">
      <c r="A1112" s="1184" t="s">
        <v>593</v>
      </c>
      <c r="C1112" s="1202"/>
      <c r="D1112" s="265"/>
      <c r="F1112" s="1203"/>
      <c r="G1112" s="265"/>
      <c r="I1112" s="1203"/>
      <c r="J1112" s="265"/>
      <c r="L1112" s="1203"/>
      <c r="N1112" s="1204"/>
      <c r="Q1112" s="281"/>
      <c r="R1112" s="281"/>
      <c r="S1112" s="1186"/>
      <c r="T1112" s="403"/>
      <c r="U1112" s="403"/>
      <c r="V1112" s="283"/>
      <c r="W1112" s="283"/>
      <c r="X1112" s="283"/>
      <c r="Y1112" s="278"/>
      <c r="Z1112" s="278"/>
      <c r="AA1112" s="281"/>
      <c r="AB1112" s="281"/>
      <c r="AC1112" s="285"/>
      <c r="AD1112" s="281"/>
      <c r="AE1112" s="1185"/>
      <c r="AF1112" s="1185"/>
      <c r="AG1112" s="1185"/>
      <c r="AH1112" s="1185"/>
      <c r="AI1112" s="1185"/>
    </row>
    <row r="1113" spans="1:35">
      <c r="A1113" s="1184" t="s">
        <v>598</v>
      </c>
      <c r="C1113" s="1202">
        <v>0</v>
      </c>
      <c r="D1113" s="265">
        <v>30.92</v>
      </c>
      <c r="F1113" s="1203">
        <f t="shared" ref="F1113:F1119" si="148">ROUND(D1113*$C1113,0)</f>
        <v>0</v>
      </c>
      <c r="G1113" s="265">
        <v>30.92</v>
      </c>
      <c r="I1113" s="1203">
        <f t="shared" si="146"/>
        <v>0</v>
      </c>
      <c r="J1113" s="265">
        <f t="shared" ref="J1113:J1119" si="149">ROUND(G1113+(G1113*$Q$1125),2)</f>
        <v>28.45</v>
      </c>
      <c r="L1113" s="1203">
        <f>ROUND(J1113*$C1113,0)</f>
        <v>0</v>
      </c>
      <c r="N1113" s="1204" t="e">
        <f>J1113*#REF!</f>
        <v>#REF!</v>
      </c>
      <c r="Q1113" s="281"/>
      <c r="R1113" s="281"/>
      <c r="S1113" s="1186"/>
      <c r="T1113" s="403"/>
      <c r="U1113" s="403"/>
      <c r="V1113" s="283"/>
      <c r="W1113" s="283"/>
      <c r="X1113" s="283"/>
      <c r="Y1113" s="278"/>
      <c r="Z1113" s="278"/>
      <c r="AA1113" s="281"/>
      <c r="AB1113" s="281"/>
      <c r="AC1113" s="285"/>
      <c r="AD1113" s="281"/>
      <c r="AE1113" s="1185"/>
      <c r="AF1113" s="1185"/>
      <c r="AG1113" s="1185"/>
      <c r="AH1113" s="1185"/>
      <c r="AI1113" s="1185"/>
    </row>
    <row r="1114" spans="1:35">
      <c r="A1114" s="1184" t="s">
        <v>599</v>
      </c>
      <c r="C1114" s="1202">
        <v>0</v>
      </c>
      <c r="D1114" s="265">
        <v>25.79</v>
      </c>
      <c r="F1114" s="1203">
        <f t="shared" si="148"/>
        <v>0</v>
      </c>
      <c r="G1114" s="265">
        <v>25.79</v>
      </c>
      <c r="I1114" s="1203">
        <f t="shared" si="146"/>
        <v>0</v>
      </c>
      <c r="J1114" s="265">
        <f t="shared" si="149"/>
        <v>23.73</v>
      </c>
      <c r="L1114" s="1203">
        <f t="shared" si="147"/>
        <v>0</v>
      </c>
      <c r="N1114" s="1204" t="e">
        <f>J1114*#REF!</f>
        <v>#REF!</v>
      </c>
      <c r="Q1114" s="281"/>
      <c r="R1114" s="281"/>
      <c r="S1114" s="1186"/>
      <c r="T1114" s="403"/>
      <c r="U1114" s="403"/>
      <c r="V1114" s="283"/>
      <c r="W1114" s="283"/>
      <c r="X1114" s="283"/>
      <c r="Y1114" s="278"/>
      <c r="Z1114" s="278"/>
      <c r="AA1114" s="281"/>
      <c r="AB1114" s="281"/>
      <c r="AC1114" s="285"/>
      <c r="AD1114" s="281"/>
      <c r="AE1114" s="1185"/>
      <c r="AF1114" s="1185"/>
      <c r="AG1114" s="1185"/>
      <c r="AH1114" s="1185"/>
      <c r="AI1114" s="1185"/>
    </row>
    <row r="1115" spans="1:35">
      <c r="A1115" s="1184" t="s">
        <v>600</v>
      </c>
      <c r="C1115" s="1202">
        <v>0</v>
      </c>
      <c r="D1115" s="265">
        <v>23.77</v>
      </c>
      <c r="F1115" s="1203">
        <f t="shared" si="148"/>
        <v>0</v>
      </c>
      <c r="G1115" s="265">
        <v>23.77</v>
      </c>
      <c r="I1115" s="1203">
        <f t="shared" si="146"/>
        <v>0</v>
      </c>
      <c r="J1115" s="265">
        <f t="shared" si="149"/>
        <v>21.87</v>
      </c>
      <c r="L1115" s="1203">
        <f>ROUND(J1115*$C1115,0)</f>
        <v>0</v>
      </c>
      <c r="N1115" s="1204" t="e">
        <f>J1115*#REF!</f>
        <v>#REF!</v>
      </c>
      <c r="Q1115" s="281"/>
      <c r="R1115" s="281"/>
      <c r="S1115" s="1186"/>
      <c r="T1115" s="403"/>
      <c r="U1115" s="403"/>
      <c r="V1115" s="283"/>
      <c r="W1115" s="283"/>
      <c r="X1115" s="283"/>
      <c r="Y1115" s="278"/>
      <c r="Z1115" s="278"/>
      <c r="AA1115" s="281"/>
      <c r="AB1115" s="281"/>
      <c r="AC1115" s="285"/>
      <c r="AD1115" s="281"/>
      <c r="AE1115" s="1185"/>
      <c r="AF1115" s="1185"/>
      <c r="AG1115" s="1185"/>
      <c r="AH1115" s="1185"/>
      <c r="AI1115" s="1185"/>
    </row>
    <row r="1116" spans="1:35">
      <c r="A1116" s="1184" t="s">
        <v>601</v>
      </c>
      <c r="C1116" s="1202">
        <v>0</v>
      </c>
      <c r="D1116" s="265">
        <v>34.74</v>
      </c>
      <c r="F1116" s="1203">
        <f t="shared" si="148"/>
        <v>0</v>
      </c>
      <c r="G1116" s="265">
        <v>34.74</v>
      </c>
      <c r="I1116" s="1203">
        <f t="shared" si="146"/>
        <v>0</v>
      </c>
      <c r="J1116" s="265">
        <f t="shared" si="149"/>
        <v>31.97</v>
      </c>
      <c r="L1116" s="1203">
        <f t="shared" si="147"/>
        <v>0</v>
      </c>
      <c r="N1116" s="1204" t="e">
        <f>J1116*#REF!</f>
        <v>#REF!</v>
      </c>
      <c r="Q1116" s="281"/>
      <c r="R1116" s="281"/>
      <c r="S1116" s="1186"/>
      <c r="T1116" s="403"/>
      <c r="U1116" s="403"/>
      <c r="V1116" s="283"/>
      <c r="W1116" s="283"/>
      <c r="X1116" s="283"/>
      <c r="Y1116" s="278"/>
      <c r="Z1116" s="278"/>
      <c r="AA1116" s="281"/>
      <c r="AB1116" s="281"/>
      <c r="AC1116" s="285"/>
      <c r="AD1116" s="281"/>
      <c r="AE1116" s="1185"/>
      <c r="AF1116" s="1185"/>
      <c r="AG1116" s="1185"/>
      <c r="AH1116" s="1185"/>
      <c r="AI1116" s="1185"/>
    </row>
    <row r="1117" spans="1:35">
      <c r="A1117" s="1184" t="s">
        <v>602</v>
      </c>
      <c r="C1117" s="1202">
        <v>0</v>
      </c>
      <c r="D1117" s="265">
        <v>27.97</v>
      </c>
      <c r="F1117" s="1203">
        <f t="shared" si="148"/>
        <v>0</v>
      </c>
      <c r="G1117" s="265">
        <v>27.97</v>
      </c>
      <c r="I1117" s="1203">
        <f t="shared" si="146"/>
        <v>0</v>
      </c>
      <c r="J1117" s="265">
        <f t="shared" si="149"/>
        <v>25.74</v>
      </c>
      <c r="L1117" s="1203">
        <f>ROUND(J1117*$C1117,0)</f>
        <v>0</v>
      </c>
      <c r="N1117" s="1204" t="e">
        <f>J1117*#REF!</f>
        <v>#REF!</v>
      </c>
      <c r="Q1117" s="281"/>
      <c r="R1117" s="281"/>
      <c r="S1117" s="1186"/>
      <c r="T1117" s="403"/>
      <c r="U1117" s="403"/>
      <c r="V1117" s="283"/>
      <c r="W1117" s="283"/>
      <c r="X1117" s="283"/>
      <c r="Y1117" s="278"/>
      <c r="Z1117" s="278"/>
      <c r="AA1117" s="281"/>
      <c r="AB1117" s="281"/>
      <c r="AC1117" s="285"/>
      <c r="AD1117" s="281"/>
      <c r="AE1117" s="1185"/>
      <c r="AF1117" s="1185"/>
      <c r="AG1117" s="1185"/>
      <c r="AH1117" s="1185"/>
      <c r="AI1117" s="1185"/>
    </row>
    <row r="1118" spans="1:35">
      <c r="A1118" s="1184" t="s">
        <v>603</v>
      </c>
      <c r="C1118" s="1202">
        <v>0</v>
      </c>
      <c r="D1118" s="265">
        <v>27.49</v>
      </c>
      <c r="F1118" s="1203">
        <f t="shared" si="148"/>
        <v>0</v>
      </c>
      <c r="G1118" s="265">
        <v>27.49</v>
      </c>
      <c r="I1118" s="1203">
        <f t="shared" si="146"/>
        <v>0</v>
      </c>
      <c r="J1118" s="265">
        <f t="shared" si="149"/>
        <v>25.3</v>
      </c>
      <c r="L1118" s="1203">
        <f>ROUND(J1118*$C1118,0)</f>
        <v>0</v>
      </c>
      <c r="N1118" s="1204" t="e">
        <f>J1118*#REF!</f>
        <v>#REF!</v>
      </c>
      <c r="Q1118" s="281"/>
      <c r="R1118" s="281"/>
      <c r="S1118" s="1186"/>
      <c r="T1118" s="403"/>
      <c r="U1118" s="403"/>
      <c r="V1118" s="283"/>
      <c r="W1118" s="283"/>
      <c r="X1118" s="283"/>
      <c r="Y1118" s="278"/>
      <c r="Z1118" s="278"/>
      <c r="AA1118" s="281"/>
      <c r="AB1118" s="281"/>
      <c r="AC1118" s="285"/>
      <c r="AD1118" s="281"/>
      <c r="AE1118" s="1185"/>
      <c r="AF1118" s="1185"/>
      <c r="AG1118" s="1185"/>
      <c r="AH1118" s="1185"/>
      <c r="AI1118" s="1185"/>
    </row>
    <row r="1119" spans="1:35">
      <c r="A1119" s="1184" t="s">
        <v>604</v>
      </c>
      <c r="C1119" s="1202">
        <v>0</v>
      </c>
      <c r="D1119" s="265">
        <v>29.93</v>
      </c>
      <c r="F1119" s="1203">
        <f t="shared" si="148"/>
        <v>0</v>
      </c>
      <c r="G1119" s="265">
        <v>29.93</v>
      </c>
      <c r="I1119" s="1203">
        <f t="shared" si="146"/>
        <v>0</v>
      </c>
      <c r="J1119" s="265">
        <f t="shared" si="149"/>
        <v>27.54</v>
      </c>
      <c r="L1119" s="1203">
        <f>ROUND(J1119*$C1119,0)</f>
        <v>0</v>
      </c>
      <c r="N1119" s="1204" t="e">
        <f>J1119*#REF!</f>
        <v>#REF!</v>
      </c>
      <c r="Q1119" s="281"/>
      <c r="R1119" s="281"/>
      <c r="S1119" s="1186"/>
      <c r="T1119" s="403"/>
      <c r="U1119" s="403"/>
      <c r="V1119" s="283"/>
      <c r="W1119" s="283"/>
      <c r="X1119" s="283"/>
      <c r="Y1119" s="278"/>
      <c r="Z1119" s="278"/>
      <c r="AA1119" s="281"/>
      <c r="AB1119" s="281"/>
      <c r="AC1119" s="285"/>
      <c r="AD1119" s="281"/>
      <c r="AE1119" s="1185"/>
      <c r="AF1119" s="1185"/>
      <c r="AG1119" s="1185"/>
      <c r="AH1119" s="1185"/>
      <c r="AI1119" s="1185"/>
    </row>
    <row r="1120" spans="1:35">
      <c r="A1120" s="1184" t="s">
        <v>362</v>
      </c>
      <c r="C1120" s="1202">
        <f>163*12</f>
        <v>1956</v>
      </c>
      <c r="D1120" s="265"/>
      <c r="F1120" s="1203"/>
      <c r="G1120" s="265"/>
      <c r="I1120" s="1203"/>
      <c r="J1120" s="265"/>
      <c r="L1120" s="1203"/>
      <c r="Q1120" s="281"/>
      <c r="R1120" s="281"/>
      <c r="S1120" s="1186"/>
      <c r="T1120" s="403"/>
      <c r="U1120" s="403"/>
      <c r="V1120" s="283"/>
      <c r="W1120" s="283"/>
      <c r="X1120" s="283"/>
      <c r="Y1120" s="278"/>
      <c r="Z1120" s="278"/>
      <c r="AA1120" s="281"/>
      <c r="AB1120" s="281"/>
      <c r="AC1120" s="281"/>
      <c r="AD1120" s="281"/>
      <c r="AE1120" s="1185"/>
      <c r="AF1120" s="1185"/>
      <c r="AG1120" s="1185"/>
      <c r="AH1120" s="1185"/>
      <c r="AI1120" s="1185"/>
    </row>
    <row r="1121" spans="1:37">
      <c r="A1121" s="1005" t="s">
        <v>928</v>
      </c>
      <c r="C1121" s="1202">
        <f>C1122</f>
        <v>3331018</v>
      </c>
      <c r="D1121" s="269"/>
      <c r="E1121" s="1185"/>
      <c r="F1121" s="1203"/>
      <c r="G1121" s="269"/>
      <c r="H1121" s="1185"/>
      <c r="I1121" s="1203"/>
      <c r="J1121" s="1230">
        <f>ROUND(O1121/C1121*100,3)</f>
        <v>2.2869999999999999</v>
      </c>
      <c r="K1121" s="1041" t="s">
        <v>374</v>
      </c>
      <c r="L1121" s="1041">
        <f>ROUND(J1121*$C1121/100,0)</f>
        <v>76180</v>
      </c>
      <c r="N1121" s="1204"/>
      <c r="O1121" s="1204">
        <f>'[94]NPC Spread'!J38</f>
        <v>76171.367725336429</v>
      </c>
      <c r="P1121" s="815" t="s">
        <v>913</v>
      </c>
      <c r="Q1121" s="1184"/>
      <c r="R1121" s="1184"/>
      <c r="S1121" s="1205"/>
      <c r="T1121" s="1205"/>
      <c r="Y1121" s="1185"/>
      <c r="Z1121" s="1185"/>
      <c r="AA1121" s="1185"/>
      <c r="AB1121" s="1185"/>
      <c r="AC1121" s="1185"/>
      <c r="AD1121" s="1185"/>
      <c r="AE1121" s="1185"/>
      <c r="AF1121" s="1185"/>
      <c r="AG1121" s="1185"/>
      <c r="AH1121" s="1185"/>
      <c r="AI1121" s="1185"/>
      <c r="AK1121" s="1204"/>
    </row>
    <row r="1122" spans="1:37">
      <c r="A1122" s="1184" t="s">
        <v>381</v>
      </c>
      <c r="C1122" s="1202">
        <f>3331018</f>
        <v>3331018</v>
      </c>
      <c r="D1122" s="269"/>
      <c r="E1122" s="1185"/>
      <c r="F1122" s="1210">
        <f>SUM(F1102:F1114)</f>
        <v>620705</v>
      </c>
      <c r="G1122" s="269"/>
      <c r="H1122" s="1185"/>
      <c r="I1122" s="1210">
        <f>SUM(I1102:I1114)</f>
        <v>654187</v>
      </c>
      <c r="J1122" s="269"/>
      <c r="K1122" s="1185"/>
      <c r="L1122" s="1210">
        <f>SUM(L1102:L1121)</f>
        <v>678119</v>
      </c>
      <c r="N1122" s="1204" t="e">
        <f>SUM(N1102:N1120)</f>
        <v>#REF!</v>
      </c>
      <c r="Q1122" s="281"/>
      <c r="R1122" s="281"/>
      <c r="S1122" s="1339"/>
      <c r="T1122" s="1185"/>
      <c r="U1122" s="1185"/>
      <c r="V1122" s="287"/>
      <c r="W1122" s="287"/>
      <c r="X1122" s="287"/>
      <c r="Y1122" s="278"/>
      <c r="Z1122" s="278"/>
      <c r="AA1122" s="288"/>
      <c r="AB1122" s="278"/>
      <c r="AC1122" s="278"/>
      <c r="AD1122" s="278"/>
      <c r="AE1122" s="1185"/>
      <c r="AF1122" s="1185"/>
      <c r="AG1122" s="1185"/>
      <c r="AH1122" s="1185"/>
      <c r="AI1122" s="1185"/>
    </row>
    <row r="1123" spans="1:37">
      <c r="A1123" s="1184" t="s">
        <v>363</v>
      </c>
      <c r="C1123" s="1202">
        <f>'[94]Table 2'!H124</f>
        <v>-290831.01874098979</v>
      </c>
      <c r="D1123" s="269"/>
      <c r="E1123" s="1185"/>
      <c r="F1123" s="1210" t="e">
        <f>#REF!</f>
        <v>#REF!</v>
      </c>
      <c r="G1123" s="269"/>
      <c r="H1123" s="1185"/>
      <c r="I1123" s="1210">
        <f>'[94]Table 3'!E124</f>
        <v>-53742.020983527946</v>
      </c>
      <c r="J1123" s="269"/>
      <c r="K1123" s="1185"/>
      <c r="L1123" s="1210">
        <f>I1123</f>
        <v>-53742.020983527946</v>
      </c>
      <c r="N1123" s="289"/>
      <c r="O1123" s="289"/>
      <c r="Q1123" s="287"/>
      <c r="R1123" s="287"/>
      <c r="S1123" s="403"/>
      <c r="T1123" s="1185"/>
      <c r="U1123" s="1185"/>
      <c r="V1123" s="1185"/>
      <c r="W1123" s="1185"/>
      <c r="X1123" s="1185"/>
      <c r="Y1123" s="281"/>
      <c r="Z1123" s="278"/>
      <c r="AA1123" s="1185"/>
      <c r="AB1123" s="1185"/>
      <c r="AC1123" s="1185"/>
      <c r="AD1123" s="1185"/>
      <c r="AE1123" s="1185"/>
      <c r="AF1123" s="1185"/>
      <c r="AG1123" s="1185"/>
      <c r="AH1123" s="1185"/>
      <c r="AI1123" s="1185"/>
    </row>
    <row r="1124" spans="1:37" ht="16.5" thickBot="1">
      <c r="A1124" s="1184" t="s">
        <v>9</v>
      </c>
      <c r="C1124" s="1212">
        <f>C1122+C1123</f>
        <v>3040186.9812590103</v>
      </c>
      <c r="D1124" s="1213"/>
      <c r="E1124" s="1213"/>
      <c r="F1124" s="1213" t="e">
        <f>F1122+F1123</f>
        <v>#REF!</v>
      </c>
      <c r="G1124" s="1214"/>
      <c r="H1124" s="1214"/>
      <c r="I1124" s="1213">
        <f>I1122+I1123</f>
        <v>600444.979016472</v>
      </c>
      <c r="J1124" s="1214"/>
      <c r="K1124" s="1214"/>
      <c r="L1124" s="1213">
        <f>L1122+L1123</f>
        <v>624376.979016472</v>
      </c>
      <c r="N1124" s="291"/>
      <c r="O1124" s="788" t="s">
        <v>409</v>
      </c>
      <c r="P1124" s="817">
        <f>'[94]Rate Spread'!Q36*1000</f>
        <v>624462.77817713085</v>
      </c>
      <c r="Q1124" s="828">
        <f>(L1124-I1124)/I1124</f>
        <v>3.9857107372603201E-2</v>
      </c>
      <c r="R1124" s="777"/>
      <c r="Y1124" s="278"/>
      <c r="Z1124" s="278"/>
      <c r="AA1124" s="1185"/>
      <c r="AB1124" s="1185"/>
      <c r="AC1124" s="1185"/>
      <c r="AD1124" s="1185"/>
      <c r="AE1124" s="1185"/>
      <c r="AF1124" s="1185"/>
      <c r="AG1124" s="1185"/>
      <c r="AH1124" s="1185"/>
      <c r="AI1124" s="1185"/>
    </row>
    <row r="1125" spans="1:37" ht="16.5" thickTop="1">
      <c r="A1125" s="1219"/>
      <c r="B1125" s="1219"/>
      <c r="C1125" s="1225"/>
      <c r="D1125" s="1225"/>
      <c r="E1125" s="1225"/>
      <c r="F1125" s="1203"/>
      <c r="G1125" s="1225" t="s">
        <v>31</v>
      </c>
      <c r="H1125" s="1225"/>
      <c r="I1125" s="1203"/>
      <c r="J1125" s="1225" t="s">
        <v>31</v>
      </c>
      <c r="K1125" s="1225"/>
      <c r="L1125" s="1203" t="s">
        <v>31</v>
      </c>
      <c r="N1125" s="277"/>
      <c r="O1125" s="789" t="s">
        <v>263</v>
      </c>
      <c r="P1125" s="812">
        <f>P1124-L1124</f>
        <v>85.799160658847541</v>
      </c>
      <c r="Q1125" s="1135">
        <v>-7.9799999999999996E-2</v>
      </c>
      <c r="R1125" s="826"/>
      <c r="T1125" s="277"/>
      <c r="U1125" s="277"/>
      <c r="V1125" s="277"/>
      <c r="W1125" s="277"/>
      <c r="X1125" s="277"/>
      <c r="Y1125" s="278"/>
      <c r="Z1125" s="278"/>
      <c r="AA1125" s="1185"/>
      <c r="AB1125" s="1185"/>
      <c r="AC1125" s="1185"/>
      <c r="AD1125" s="1185"/>
      <c r="AE1125" s="1185"/>
      <c r="AF1125" s="1185"/>
      <c r="AG1125" s="1185"/>
      <c r="AH1125" s="1185"/>
      <c r="AI1125" s="1185"/>
    </row>
    <row r="1126" spans="1:37">
      <c r="A1126" s="1224" t="s">
        <v>486</v>
      </c>
      <c r="B1126" s="1219"/>
      <c r="C1126" s="1219"/>
      <c r="D1126" s="1219"/>
      <c r="E1126" s="1219"/>
      <c r="F1126" s="1219"/>
      <c r="G1126" s="1219"/>
      <c r="H1126" s="1219"/>
      <c r="I1126" s="1219"/>
      <c r="J1126" s="1219"/>
      <c r="K1126" s="1219"/>
      <c r="L1126" s="1219"/>
      <c r="N1126" s="278"/>
      <c r="O1126" s="278"/>
      <c r="P1126" s="287"/>
      <c r="Q1126" s="278"/>
      <c r="R1126" s="278"/>
      <c r="S1126" s="1185"/>
      <c r="T1126" s="1185"/>
      <c r="U1126" s="1185"/>
      <c r="V1126" s="1185"/>
      <c r="W1126" s="1185"/>
      <c r="X1126" s="1185"/>
      <c r="Y1126" s="1185"/>
      <c r="Z1126" s="278"/>
      <c r="AA1126" s="278"/>
      <c r="AB1126" s="278"/>
      <c r="AC1126" s="278"/>
      <c r="AD1126" s="278"/>
      <c r="AE1126" s="1185"/>
      <c r="AF1126" s="1185"/>
      <c r="AG1126" s="1185"/>
      <c r="AH1126" s="1185"/>
      <c r="AI1126" s="1185"/>
    </row>
    <row r="1127" spans="1:37">
      <c r="A1127" s="1219" t="s">
        <v>487</v>
      </c>
      <c r="B1127" s="1219"/>
      <c r="C1127" s="1219"/>
      <c r="D1127" s="1219"/>
      <c r="E1127" s="1219"/>
      <c r="F1127" s="1219"/>
      <c r="G1127" s="1219"/>
      <c r="H1127" s="1219"/>
      <c r="I1127" s="1219"/>
      <c r="J1127" s="1219"/>
      <c r="K1127" s="1219"/>
      <c r="L1127" s="1219"/>
      <c r="N1127" s="1185"/>
      <c r="O1127" s="1185"/>
      <c r="P1127" s="1186"/>
      <c r="Q1127" s="1186"/>
      <c r="R1127" s="1186"/>
      <c r="S1127" s="1185"/>
      <c r="T1127" s="1185"/>
      <c r="U1127" s="1185"/>
      <c r="V1127" s="1185"/>
      <c r="W1127" s="1185"/>
      <c r="X1127" s="1185"/>
      <c r="Y1127" s="1185"/>
      <c r="Z1127" s="278"/>
      <c r="AA1127" s="278"/>
      <c r="AB1127" s="278"/>
      <c r="AC1127" s="278"/>
      <c r="AD1127" s="278"/>
      <c r="AE1127" s="1185"/>
      <c r="AF1127" s="1185"/>
      <c r="AG1127" s="1185"/>
      <c r="AH1127" s="1185"/>
      <c r="AI1127" s="1185"/>
    </row>
    <row r="1128" spans="1:37">
      <c r="A1128" s="1219"/>
      <c r="B1128" s="1219"/>
      <c r="C1128" s="1219"/>
      <c r="D1128" s="1219"/>
      <c r="E1128" s="1219"/>
      <c r="F1128" s="1219"/>
      <c r="G1128" s="1219"/>
      <c r="H1128" s="1219"/>
      <c r="I1128" s="1219"/>
      <c r="J1128" s="1219"/>
      <c r="K1128" s="1219"/>
      <c r="L1128" s="1219"/>
      <c r="N1128" s="1185"/>
      <c r="O1128" s="1185"/>
      <c r="P1128" s="1186"/>
      <c r="Q1128" s="1186" t="s">
        <v>31</v>
      </c>
      <c r="R1128" s="1186"/>
      <c r="S1128" s="1185"/>
      <c r="T1128" s="1185"/>
      <c r="U1128" s="1185"/>
      <c r="V1128" s="1185"/>
      <c r="W1128" s="1185"/>
      <c r="X1128" s="1185"/>
      <c r="Y1128" s="1185"/>
      <c r="Z1128" s="278"/>
      <c r="AA1128" s="278"/>
      <c r="AB1128" s="278"/>
      <c r="AC1128" s="278"/>
      <c r="AD1128" s="278"/>
      <c r="AE1128" s="1185"/>
      <c r="AF1128" s="1185"/>
      <c r="AG1128" s="1185"/>
      <c r="AH1128" s="1185"/>
      <c r="AI1128" s="1185"/>
    </row>
    <row r="1129" spans="1:37">
      <c r="A1129" s="1219" t="s">
        <v>488</v>
      </c>
      <c r="B1129" s="1219"/>
      <c r="C1129" s="1225"/>
      <c r="D1129" s="1229"/>
      <c r="E1129" s="1219"/>
      <c r="F1129" s="1203">
        <v>28343.35</v>
      </c>
      <c r="G1129" s="1229"/>
      <c r="H1129" s="1219"/>
      <c r="I1129" s="1203">
        <f>26253.69</f>
        <v>26253.69</v>
      </c>
      <c r="J1129" s="1229"/>
      <c r="K1129" s="1219"/>
      <c r="L1129" s="1203">
        <f>I1129</f>
        <v>26253.69</v>
      </c>
      <c r="N1129" s="1204">
        <f>L1129</f>
        <v>26253.69</v>
      </c>
      <c r="O1129" s="1185"/>
      <c r="P1129" s="1186"/>
      <c r="Q1129" s="1186" t="s">
        <v>31</v>
      </c>
      <c r="R1129" s="1186"/>
      <c r="S1129" s="1185"/>
      <c r="T1129" s="1185"/>
      <c r="U1129" s="1185"/>
      <c r="V1129" s="1185"/>
      <c r="W1129" s="1185"/>
      <c r="X1129" s="1185"/>
      <c r="Y1129" s="1185"/>
      <c r="Z1129" s="1185"/>
      <c r="AA1129" s="1185"/>
      <c r="AB1129" s="1185"/>
      <c r="AC1129" s="1185"/>
      <c r="AD1129" s="1185"/>
      <c r="AE1129" s="1185"/>
      <c r="AF1129" s="1185"/>
      <c r="AG1129" s="1185"/>
      <c r="AH1129" s="1185"/>
      <c r="AI1129" s="1185"/>
    </row>
    <row r="1130" spans="1:37">
      <c r="A1130" s="1219" t="s">
        <v>489</v>
      </c>
      <c r="B1130" s="1219"/>
      <c r="C1130" s="1202">
        <f>314125</f>
        <v>314125</v>
      </c>
      <c r="D1130" s="1328">
        <v>7.0739999999999998</v>
      </c>
      <c r="E1130" s="1219" t="s">
        <v>374</v>
      </c>
      <c r="F1130" s="1340">
        <f>ROUND(C1130*D1130/100,0)</f>
        <v>22221</v>
      </c>
      <c r="G1130" s="1328">
        <v>7.8140000000000001</v>
      </c>
      <c r="H1130" s="1219" t="s">
        <v>374</v>
      </c>
      <c r="I1130" s="1340">
        <f>ROUND(G1130*C1130/100,0)</f>
        <v>24546</v>
      </c>
      <c r="J1130" s="1328">
        <v>6.1210000000000004</v>
      </c>
      <c r="K1130" s="1219" t="s">
        <v>374</v>
      </c>
      <c r="L1130" s="1203">
        <f>ROUND(J1130*$C1130/100,0)</f>
        <v>19228</v>
      </c>
      <c r="N1130" s="1204" t="e">
        <f>(J1130/100)*#REF!</f>
        <v>#REF!</v>
      </c>
      <c r="O1130" s="1185"/>
      <c r="P1130" s="1186"/>
      <c r="Q1130" s="1186"/>
      <c r="R1130" s="1186"/>
      <c r="S1130" s="1185"/>
      <c r="T1130" s="1185"/>
      <c r="U1130" s="1185"/>
      <c r="V1130" s="1185"/>
      <c r="W1130" s="1185"/>
      <c r="X1130" s="1185"/>
      <c r="Y1130" s="1185"/>
      <c r="Z1130" s="1185"/>
      <c r="AA1130" s="1185"/>
      <c r="AB1130" s="1185"/>
      <c r="AC1130" s="1185"/>
      <c r="AD1130" s="1185"/>
      <c r="AE1130" s="1185"/>
      <c r="AF1130" s="1185"/>
      <c r="AG1130" s="1185"/>
      <c r="AH1130" s="1185"/>
      <c r="AI1130" s="1185"/>
    </row>
    <row r="1131" spans="1:37">
      <c r="A1131" s="1219" t="s">
        <v>490</v>
      </c>
      <c r="B1131" s="1219"/>
      <c r="C1131" s="1202">
        <v>0</v>
      </c>
      <c r="D1131" s="1328">
        <v>7.9160000000000004</v>
      </c>
      <c r="E1131" s="1219" t="s">
        <v>374</v>
      </c>
      <c r="F1131" s="1340">
        <f>ROUND(C1131*D1131/100,0)</f>
        <v>0</v>
      </c>
      <c r="G1131" s="1316">
        <v>8.7439999999999998</v>
      </c>
      <c r="H1131" s="1219" t="s">
        <v>374</v>
      </c>
      <c r="I1131" s="1340">
        <f>ROUND(G1131*C1131/100,0)</f>
        <v>0</v>
      </c>
      <c r="J1131" s="1316">
        <f>ROUND(G1131/G1130*J1130,3)</f>
        <v>6.85</v>
      </c>
      <c r="K1131" s="1219" t="s">
        <v>374</v>
      </c>
      <c r="L1131" s="1203">
        <f>ROUND(J1131*$C1131/100,0)</f>
        <v>0</v>
      </c>
      <c r="N1131" s="1204" t="e">
        <f>(J1131/100)*#REF!</f>
        <v>#REF!</v>
      </c>
      <c r="O1131" s="1185"/>
      <c r="P1131" s="1186"/>
      <c r="Q1131" s="1185"/>
      <c r="R1131" s="1185"/>
      <c r="S1131" s="1185"/>
      <c r="T1131" s="1185"/>
      <c r="U1131" s="1185"/>
      <c r="V1131" s="1185"/>
      <c r="W1131" s="1185"/>
      <c r="X1131" s="1185"/>
      <c r="Y1131" s="1185"/>
      <c r="Z1131" s="1185"/>
      <c r="AA1131" s="1185"/>
      <c r="AB1131" s="1185"/>
      <c r="AC1131" s="1185"/>
      <c r="AD1131" s="1185"/>
      <c r="AE1131" s="1185"/>
      <c r="AF1131" s="1185"/>
      <c r="AG1131" s="1185"/>
      <c r="AH1131" s="1185"/>
      <c r="AI1131" s="1185"/>
    </row>
    <row r="1132" spans="1:37">
      <c r="A1132" s="1219" t="s">
        <v>362</v>
      </c>
      <c r="B1132" s="1219"/>
      <c r="C1132" s="1202">
        <f>18*12</f>
        <v>216</v>
      </c>
      <c r="D1132" s="1341"/>
      <c r="E1132" s="1219"/>
      <c r="F1132" s="1203"/>
      <c r="G1132" s="1341"/>
      <c r="H1132" s="1219"/>
      <c r="I1132" s="1203"/>
      <c r="J1132" s="1341"/>
      <c r="K1132" s="1219"/>
      <c r="L1132" s="1203"/>
      <c r="N1132" s="1185"/>
      <c r="O1132" s="1185"/>
      <c r="P1132" s="1186"/>
      <c r="Q1132" s="1186"/>
      <c r="R1132" s="1186"/>
      <c r="S1132" s="1185"/>
      <c r="T1132" s="1185"/>
      <c r="U1132" s="1185"/>
      <c r="V1132" s="1185"/>
      <c r="W1132" s="1185"/>
      <c r="X1132" s="1185"/>
      <c r="Y1132" s="1185"/>
      <c r="Z1132" s="1185"/>
      <c r="AA1132" s="1185"/>
      <c r="AB1132" s="1185"/>
      <c r="AC1132" s="1185"/>
      <c r="AD1132" s="1185"/>
      <c r="AE1132" s="1185"/>
      <c r="AF1132" s="1185"/>
      <c r="AG1132" s="1185"/>
      <c r="AH1132" s="1185"/>
      <c r="AI1132" s="1185"/>
    </row>
    <row r="1133" spans="1:37">
      <c r="A1133" s="1005" t="s">
        <v>928</v>
      </c>
      <c r="C1133" s="1202">
        <f>C1135</f>
        <v>314125</v>
      </c>
      <c r="D1133" s="269"/>
      <c r="E1133" s="1185"/>
      <c r="F1133" s="1203"/>
      <c r="G1133" s="269"/>
      <c r="H1133" s="1185"/>
      <c r="I1133" s="1203"/>
      <c r="J1133" s="1230">
        <f>ROUND(O1133/C1133*100,3)</f>
        <v>2.2869999999999999</v>
      </c>
      <c r="K1133" s="1041" t="s">
        <v>374</v>
      </c>
      <c r="L1133" s="1041">
        <f>ROUND(J1133*$C1133/100,0)</f>
        <v>7184</v>
      </c>
      <c r="N1133" s="1204"/>
      <c r="O1133" s="1204">
        <f>'[94]NPC Spread'!J39</f>
        <v>7183.1887088935891</v>
      </c>
      <c r="P1133" s="815" t="s">
        <v>913</v>
      </c>
      <c r="Q1133" s="1184"/>
      <c r="R1133" s="1184"/>
      <c r="S1133" s="1205"/>
      <c r="T1133" s="1205"/>
      <c r="Y1133" s="1185"/>
      <c r="Z1133" s="1185"/>
      <c r="AA1133" s="1185"/>
      <c r="AB1133" s="1185"/>
      <c r="AC1133" s="1185"/>
      <c r="AD1133" s="1185"/>
      <c r="AE1133" s="1185"/>
      <c r="AF1133" s="1185"/>
      <c r="AG1133" s="1185"/>
      <c r="AH1133" s="1185"/>
      <c r="AI1133" s="1185"/>
      <c r="AK1133" s="1204"/>
    </row>
    <row r="1134" spans="1:37">
      <c r="A1134" s="1509" t="s">
        <v>931</v>
      </c>
      <c r="B1134" s="1510"/>
      <c r="C1134" s="1524"/>
      <c r="D1134" s="1512"/>
      <c r="E1134" s="1513"/>
      <c r="F1134" s="1514"/>
      <c r="G1134" s="1526">
        <f>G1130</f>
        <v>7.8140000000000001</v>
      </c>
      <c r="H1134" s="1516" t="s">
        <v>374</v>
      </c>
      <c r="I1134" s="1514"/>
      <c r="J1134" s="1526">
        <f>J1130+J1133</f>
        <v>8.4080000000000013</v>
      </c>
      <c r="K1134" s="1516" t="s">
        <v>374</v>
      </c>
      <c r="L1134" s="1521"/>
      <c r="N1134" s="1204"/>
      <c r="O1134" s="1204"/>
      <c r="P1134" s="815"/>
      <c r="Q1134" s="826" t="s">
        <v>31</v>
      </c>
      <c r="R1134" s="1184"/>
      <c r="S1134" s="1205"/>
      <c r="T1134" s="1205"/>
      <c r="Y1134" s="1185"/>
      <c r="Z1134" s="1185"/>
      <c r="AA1134" s="1185"/>
      <c r="AB1134" s="1185"/>
      <c r="AC1134" s="1185"/>
      <c r="AD1134" s="1185"/>
      <c r="AE1134" s="1185"/>
      <c r="AF1134" s="1185"/>
      <c r="AG1134" s="1185"/>
      <c r="AH1134" s="1185"/>
      <c r="AI1134" s="1185"/>
      <c r="AK1134" s="1204"/>
    </row>
    <row r="1135" spans="1:37">
      <c r="A1135" s="1184" t="s">
        <v>491</v>
      </c>
      <c r="C1135" s="1202">
        <f>SUM(C1130:C1131)</f>
        <v>314125</v>
      </c>
      <c r="D1135" s="269"/>
      <c r="E1135" s="1185"/>
      <c r="F1135" s="1210">
        <f>SUM(F1129:F1131)</f>
        <v>50564.35</v>
      </c>
      <c r="G1135" s="269"/>
      <c r="H1135" s="1185"/>
      <c r="I1135" s="1210">
        <f>SUM(I1129:I1131)</f>
        <v>50799.69</v>
      </c>
      <c r="J1135" s="269"/>
      <c r="K1135" s="1185"/>
      <c r="L1135" s="1210">
        <f>SUM(L1129:L1133)</f>
        <v>52665.69</v>
      </c>
      <c r="N1135" s="1274" t="e">
        <f>SUM(N1129:N1132)</f>
        <v>#REF!</v>
      </c>
      <c r="O1135" s="1185"/>
      <c r="P1135" s="1186"/>
      <c r="Q1135" s="1186"/>
      <c r="R1135" s="1186"/>
      <c r="S1135" s="1185"/>
      <c r="T1135" s="1185"/>
      <c r="U1135" s="1185"/>
      <c r="V1135" s="1185"/>
      <c r="W1135" s="1185"/>
      <c r="X1135" s="1185"/>
      <c r="Y1135" s="1185"/>
      <c r="Z1135" s="1185"/>
      <c r="AA1135" s="1185"/>
      <c r="AB1135" s="1185"/>
      <c r="AC1135" s="1185"/>
      <c r="AD1135" s="1185"/>
      <c r="AE1135" s="1185"/>
      <c r="AF1135" s="1185"/>
      <c r="AG1135" s="1185"/>
      <c r="AH1135" s="1185"/>
      <c r="AI1135" s="1185"/>
    </row>
    <row r="1136" spans="1:37">
      <c r="A1136" s="1184" t="s">
        <v>492</v>
      </c>
      <c r="C1136" s="1202">
        <f>'[94]Table 2'!H121</f>
        <v>-27426.275046401868</v>
      </c>
      <c r="D1136" s="269"/>
      <c r="E1136" s="1185"/>
      <c r="F1136" s="1210" t="e">
        <f>#REF!</f>
        <v>#REF!</v>
      </c>
      <c r="G1136" s="269"/>
      <c r="H1136" s="1185"/>
      <c r="I1136" s="1210">
        <f>'[94]Table 3'!E121</f>
        <v>-4174.4211898859912</v>
      </c>
      <c r="J1136" s="269"/>
      <c r="K1136" s="1185"/>
      <c r="L1136" s="1210">
        <f>I1136</f>
        <v>-4174.4211898859912</v>
      </c>
      <c r="N1136" s="289"/>
      <c r="O1136" s="289"/>
      <c r="P1136" s="290"/>
      <c r="Q1136" s="1186"/>
      <c r="R1136" s="1186"/>
      <c r="S1136" s="1185"/>
      <c r="T1136" s="1185"/>
      <c r="U1136" s="1185"/>
      <c r="V1136" s="1185"/>
      <c r="W1136" s="1185"/>
      <c r="X1136" s="1185"/>
      <c r="Y1136" s="1185"/>
      <c r="Z1136" s="1185"/>
      <c r="AA1136" s="1185"/>
      <c r="AB1136" s="1185"/>
      <c r="AC1136" s="1185"/>
      <c r="AD1136" s="1185"/>
      <c r="AE1136" s="1185"/>
      <c r="AF1136" s="1185"/>
      <c r="AG1136" s="1185"/>
      <c r="AH1136" s="1185"/>
      <c r="AI1136" s="1185"/>
    </row>
    <row r="1137" spans="1:37" ht="16.5" thickBot="1">
      <c r="A1137" s="1219" t="s">
        <v>9</v>
      </c>
      <c r="B1137" s="1219"/>
      <c r="C1137" s="1321">
        <f>C1135+C1136</f>
        <v>286698.72495359811</v>
      </c>
      <c r="D1137" s="1342"/>
      <c r="E1137" s="1343"/>
      <c r="F1137" s="1213" t="e">
        <f>F1135+F1136</f>
        <v>#REF!</v>
      </c>
      <c r="G1137" s="1344"/>
      <c r="H1137" s="1269"/>
      <c r="I1137" s="1213">
        <f>I1135+I1136</f>
        <v>46625.268810114008</v>
      </c>
      <c r="J1137" s="1344"/>
      <c r="K1137" s="1269"/>
      <c r="L1137" s="1213">
        <f>L1135+L1136</f>
        <v>48491.268810114008</v>
      </c>
      <c r="N1137" s="291"/>
      <c r="O1137" s="788" t="s">
        <v>409</v>
      </c>
      <c r="P1137" s="1216">
        <f>'[94]Rate Spread'!Q37*1000</f>
        <v>48490.279562518568</v>
      </c>
      <c r="Q1137" s="828">
        <f>(L1137-I1137)/I1137</f>
        <v>4.0021216984280961E-2</v>
      </c>
      <c r="R1137" s="827"/>
      <c r="S1137" s="1185"/>
      <c r="T1137" s="1185"/>
      <c r="U1137" s="1185"/>
      <c r="V1137" s="1185"/>
      <c r="W1137" s="1185"/>
      <c r="X1137" s="1185"/>
      <c r="Y1137" s="1185"/>
      <c r="Z1137" s="1185"/>
      <c r="AA1137" s="1185"/>
      <c r="AB1137" s="1185"/>
      <c r="AC1137" s="1185"/>
      <c r="AD1137" s="1185"/>
      <c r="AE1137" s="1185"/>
      <c r="AF1137" s="1185"/>
      <c r="AG1137" s="1185"/>
      <c r="AH1137" s="1185"/>
      <c r="AI1137" s="1185"/>
    </row>
    <row r="1138" spans="1:37" ht="16.5" thickTop="1">
      <c r="A1138" s="1219"/>
      <c r="B1138" s="1219"/>
      <c r="C1138" s="1219"/>
      <c r="D1138" s="1317"/>
      <c r="E1138" s="1219"/>
      <c r="F1138" s="1219"/>
      <c r="G1138" s="1317" t="s">
        <v>31</v>
      </c>
      <c r="H1138" s="1219"/>
      <c r="I1138" s="1219"/>
      <c r="J1138" s="1317" t="s">
        <v>31</v>
      </c>
      <c r="K1138" s="1219"/>
      <c r="L1138" s="1203" t="s">
        <v>31</v>
      </c>
      <c r="N1138" s="1185"/>
      <c r="O1138" s="789" t="s">
        <v>263</v>
      </c>
      <c r="P1138" s="1221">
        <f>P1137-L1137</f>
        <v>-0.9892475954402471</v>
      </c>
      <c r="Q1138" s="816" t="s">
        <v>31</v>
      </c>
      <c r="R1138" s="826"/>
      <c r="S1138" s="1185"/>
      <c r="T1138" s="1185"/>
      <c r="U1138" s="1185"/>
      <c r="V1138" s="1185"/>
      <c r="W1138" s="1185"/>
      <c r="X1138" s="1185"/>
      <c r="Y1138" s="1185"/>
      <c r="Z1138" s="1185"/>
      <c r="AA1138" s="1185"/>
      <c r="AB1138" s="1185"/>
      <c r="AC1138" s="1185"/>
      <c r="AD1138" s="1185"/>
      <c r="AE1138" s="1185"/>
      <c r="AF1138" s="1185"/>
      <c r="AG1138" s="1185"/>
      <c r="AH1138" s="1185"/>
      <c r="AI1138" s="1185"/>
    </row>
    <row r="1139" spans="1:37">
      <c r="A1139" s="1224" t="s">
        <v>493</v>
      </c>
      <c r="B1139" s="1219"/>
      <c r="C1139" s="1219"/>
      <c r="D1139" s="1219"/>
      <c r="E1139" s="1219"/>
      <c r="F1139" s="1219"/>
      <c r="G1139" s="1219"/>
      <c r="H1139" s="1219"/>
      <c r="I1139" s="1219"/>
      <c r="J1139" s="1219"/>
      <c r="K1139" s="1219"/>
      <c r="L1139" s="1219"/>
      <c r="N1139" s="1185"/>
      <c r="O1139" s="1185"/>
      <c r="P1139" s="1186"/>
      <c r="Q1139" s="1186"/>
      <c r="R1139" s="1186"/>
      <c r="S1139" s="1185"/>
      <c r="T1139" s="1185"/>
      <c r="U1139" s="1185"/>
      <c r="V1139" s="1185"/>
      <c r="W1139" s="1185"/>
      <c r="X1139" s="1185"/>
      <c r="Y1139" s="1185"/>
      <c r="Z1139" s="1185"/>
      <c r="AA1139" s="1185"/>
      <c r="AB1139" s="1185"/>
      <c r="AC1139" s="1185"/>
      <c r="AD1139" s="1185"/>
      <c r="AE1139" s="1185"/>
      <c r="AF1139" s="1185"/>
      <c r="AG1139" s="1185"/>
      <c r="AH1139" s="1185"/>
      <c r="AI1139" s="1185"/>
    </row>
    <row r="1140" spans="1:37">
      <c r="A1140" s="1219" t="s">
        <v>494</v>
      </c>
      <c r="B1140" s="1219"/>
      <c r="C1140" s="1219"/>
      <c r="D1140" s="1219"/>
      <c r="E1140" s="1219"/>
      <c r="F1140" s="1219"/>
      <c r="G1140" s="1219"/>
      <c r="H1140" s="1219"/>
      <c r="I1140" s="1219"/>
      <c r="J1140" s="1219"/>
      <c r="K1140" s="1219"/>
      <c r="L1140" s="1219"/>
      <c r="N1140" s="1185"/>
      <c r="O1140" s="1185"/>
      <c r="P1140" s="1186"/>
      <c r="Q1140" s="1186"/>
      <c r="R1140" s="1186"/>
      <c r="S1140" s="1185"/>
      <c r="T1140" s="1185"/>
      <c r="U1140" s="1185"/>
      <c r="V1140" s="1185"/>
      <c r="W1140" s="1185"/>
      <c r="X1140" s="1185"/>
      <c r="Y1140" s="1185"/>
      <c r="Z1140" s="1185"/>
      <c r="AA1140" s="1185"/>
      <c r="AB1140" s="1185"/>
      <c r="AC1140" s="1185"/>
      <c r="AD1140" s="1185"/>
      <c r="AE1140" s="1185"/>
      <c r="AF1140" s="1185"/>
      <c r="AG1140" s="1185"/>
      <c r="AH1140" s="1185"/>
      <c r="AI1140" s="1185"/>
    </row>
    <row r="1141" spans="1:37">
      <c r="A1141" s="1219"/>
      <c r="B1141" s="1219"/>
      <c r="C1141" s="1219"/>
      <c r="D1141" s="1317"/>
      <c r="E1141" s="1219"/>
      <c r="F1141" s="1219"/>
      <c r="G1141" s="1317"/>
      <c r="H1141" s="1219"/>
      <c r="I1141" s="1219"/>
      <c r="J1141" s="1317"/>
      <c r="K1141" s="1219"/>
      <c r="L1141" s="1219"/>
      <c r="N1141" s="1185"/>
      <c r="O1141" s="1185"/>
      <c r="P1141" s="1186"/>
      <c r="Q1141" s="1186"/>
      <c r="R1141" s="1186"/>
      <c r="S1141" s="1185"/>
      <c r="T1141" s="1185"/>
      <c r="U1141" s="1185"/>
      <c r="V1141" s="1185"/>
      <c r="W1141" s="1185"/>
      <c r="X1141" s="1185"/>
      <c r="Y1141" s="1185"/>
      <c r="Z1141" s="1185"/>
      <c r="AA1141" s="1185"/>
      <c r="AB1141" s="1185"/>
      <c r="AC1141" s="1185"/>
      <c r="AD1141" s="1185"/>
      <c r="AE1141" s="1185"/>
      <c r="AF1141" s="1185"/>
      <c r="AG1141" s="1185"/>
      <c r="AH1141" s="1185"/>
      <c r="AI1141" s="1185"/>
    </row>
    <row r="1142" spans="1:37">
      <c r="A1142" s="1219" t="s">
        <v>488</v>
      </c>
      <c r="B1142" s="1219"/>
      <c r="C1142" s="1225"/>
      <c r="D1142" s="1229"/>
      <c r="E1142" s="1219"/>
      <c r="F1142" s="1203">
        <f>F1154+F1182</f>
        <v>2385.8499999999995</v>
      </c>
      <c r="G1142" s="1229"/>
      <c r="H1142" s="1219"/>
      <c r="I1142" s="1203">
        <f>I1154+I1182</f>
        <v>2266.75</v>
      </c>
      <c r="J1142" s="1229"/>
      <c r="K1142" s="1219"/>
      <c r="L1142" s="1203">
        <f>F1142</f>
        <v>2385.8499999999995</v>
      </c>
      <c r="N1142" s="1274">
        <f>L1142</f>
        <v>2385.8499999999995</v>
      </c>
      <c r="O1142" s="1185"/>
      <c r="P1142" s="1186"/>
      <c r="Q1142" s="1186"/>
      <c r="R1142" s="1186"/>
      <c r="S1142" s="1185"/>
      <c r="T1142" s="1185"/>
      <c r="U1142" s="1185"/>
      <c r="V1142" s="1185"/>
      <c r="W1142" s="1185"/>
      <c r="X1142" s="1185"/>
      <c r="Y1142" s="1185"/>
      <c r="Z1142" s="1185"/>
      <c r="AA1142" s="1185"/>
      <c r="AB1142" s="1185"/>
      <c r="AC1142" s="1185"/>
      <c r="AD1142" s="1185"/>
      <c r="AE1142" s="1185"/>
      <c r="AF1142" s="1185"/>
      <c r="AG1142" s="1185"/>
      <c r="AH1142" s="1185"/>
      <c r="AI1142" s="1185"/>
    </row>
    <row r="1143" spans="1:37">
      <c r="A1143" s="1219" t="s">
        <v>616</v>
      </c>
      <c r="B1143" s="1219"/>
      <c r="C1143" s="1202">
        <f>C1170+C1183+C1184</f>
        <v>2362099</v>
      </c>
      <c r="D1143" s="1328">
        <v>6.4820000000000002</v>
      </c>
      <c r="E1143" s="1219" t="s">
        <v>374</v>
      </c>
      <c r="F1143" s="1340">
        <f>F1170+F1183+F1184</f>
        <v>153111</v>
      </c>
      <c r="G1143" s="1316" t="s">
        <v>31</v>
      </c>
      <c r="H1143" s="1219" t="s">
        <v>31</v>
      </c>
      <c r="I1143" s="1340">
        <f>I1170+I1184</f>
        <v>161403</v>
      </c>
      <c r="J1143" s="1316" t="s">
        <v>31</v>
      </c>
      <c r="K1143" s="1219" t="s">
        <v>31</v>
      </c>
      <c r="L1143" s="1203">
        <f>L1170+L1184</f>
        <v>113381</v>
      </c>
      <c r="N1143" s="1204" t="e">
        <f>(J1143/100)*#REF!</f>
        <v>#REF!</v>
      </c>
      <c r="O1143" s="1185"/>
      <c r="P1143" s="1186"/>
      <c r="Q1143" s="1186"/>
      <c r="R1143" s="1186"/>
      <c r="S1143" s="1185"/>
      <c r="T1143" s="1185"/>
      <c r="U1143" s="1185"/>
      <c r="V1143" s="1185"/>
      <c r="W1143" s="1185"/>
      <c r="X1143" s="1185"/>
      <c r="Y1143" s="1185"/>
      <c r="Z1143" s="1185"/>
      <c r="AA1143" s="1185"/>
      <c r="AB1143" s="1185"/>
      <c r="AC1143" s="1185"/>
      <c r="AD1143" s="1185"/>
      <c r="AE1143" s="1185"/>
      <c r="AF1143" s="1185"/>
      <c r="AG1143" s="1185"/>
      <c r="AH1143" s="1185"/>
      <c r="AI1143" s="1185"/>
    </row>
    <row r="1144" spans="1:37">
      <c r="A1144" s="1219" t="s">
        <v>618</v>
      </c>
      <c r="B1144" s="1219"/>
      <c r="C1144" s="1202">
        <f>C1171</f>
        <v>2328689</v>
      </c>
      <c r="D1144" s="1009">
        <v>6.4820000000000002</v>
      </c>
      <c r="E1144" s="1219" t="s">
        <v>374</v>
      </c>
      <c r="F1144" s="1340">
        <f>SUM(F1156:F1168)</f>
        <v>150909.94</v>
      </c>
      <c r="G1144" s="1345" t="s">
        <v>31</v>
      </c>
      <c r="H1144" s="1219" t="s">
        <v>31</v>
      </c>
      <c r="I1144" s="1203">
        <f>I1156+I1157+I1158+I1159+I1160+I1161+I1164+I1165+I1166+I1167+I1168</f>
        <v>159055.60000000003</v>
      </c>
      <c r="J1144" s="1345" t="s">
        <v>31</v>
      </c>
      <c r="K1144" s="1219" t="s">
        <v>31</v>
      </c>
      <c r="L1144" s="1203">
        <f>L1156+L1157+L1158+L1159+L1160+L1161+L1164+L1165+L1166+L1167+L1168</f>
        <v>111650.86</v>
      </c>
      <c r="N1144" s="1204" t="e">
        <f>(J1144/100)*#REF!</f>
        <v>#REF!</v>
      </c>
      <c r="O1144" s="1185"/>
      <c r="P1144" s="1186"/>
      <c r="Q1144" s="1334" t="s">
        <v>31</v>
      </c>
      <c r="S1144" s="1185"/>
      <c r="T1144" s="1185"/>
      <c r="U1144" s="1185"/>
      <c r="V1144" s="1185"/>
      <c r="W1144" s="1185"/>
      <c r="X1144" s="1185"/>
      <c r="Y1144" s="1185"/>
      <c r="Z1144" s="1185"/>
      <c r="AA1144" s="1185"/>
      <c r="AB1144" s="1185"/>
      <c r="AC1144" s="1185"/>
      <c r="AD1144" s="1185"/>
      <c r="AE1144" s="1185"/>
      <c r="AF1144" s="1185"/>
      <c r="AG1144" s="1185"/>
      <c r="AH1144" s="1185"/>
      <c r="AI1144" s="1185"/>
    </row>
    <row r="1145" spans="1:37">
      <c r="A1145" s="1219" t="s">
        <v>362</v>
      </c>
      <c r="B1145" s="1219"/>
      <c r="C1145" s="1202">
        <f>C1172+C1185</f>
        <v>2640</v>
      </c>
      <c r="D1145" s="1341"/>
      <c r="E1145" s="1219"/>
      <c r="F1145" s="1203"/>
      <c r="G1145" s="1341"/>
      <c r="H1145" s="1219"/>
      <c r="I1145" s="1203"/>
      <c r="J1145" s="1341"/>
      <c r="K1145" s="1219"/>
      <c r="L1145" s="1203"/>
      <c r="N1145" s="1185"/>
      <c r="O1145" s="1185"/>
      <c r="P1145" s="1186"/>
      <c r="Q1145" s="1186"/>
      <c r="R1145" s="1186"/>
      <c r="S1145" s="1185"/>
      <c r="T1145" s="1185"/>
      <c r="U1145" s="1185"/>
      <c r="V1145" s="1185"/>
      <c r="W1145" s="1185"/>
      <c r="X1145" s="1185"/>
      <c r="Y1145" s="1185"/>
      <c r="Z1145" s="1185"/>
      <c r="AA1145" s="1185"/>
      <c r="AB1145" s="1185"/>
      <c r="AC1145" s="1185"/>
      <c r="AD1145" s="1185"/>
      <c r="AE1145" s="1185"/>
      <c r="AF1145" s="1185"/>
      <c r="AG1145" s="1185"/>
      <c r="AH1145" s="1185"/>
      <c r="AI1145" s="1185"/>
    </row>
    <row r="1146" spans="1:37">
      <c r="A1146" s="1005" t="s">
        <v>928</v>
      </c>
      <c r="C1146" s="1202">
        <f>C1147</f>
        <v>4690788</v>
      </c>
      <c r="D1146" s="269"/>
      <c r="E1146" s="1185"/>
      <c r="F1146" s="1203"/>
      <c r="G1146" s="269"/>
      <c r="H1146" s="1185"/>
      <c r="I1146" s="1203"/>
      <c r="J1146" s="1230">
        <f>ROUND(O1146/C1146*100,3)</f>
        <v>2.2869999999999999</v>
      </c>
      <c r="K1146" s="1041" t="s">
        <v>374</v>
      </c>
      <c r="L1146" s="1041">
        <f>ROUND(J1146*$C1146/100,0)</f>
        <v>107278</v>
      </c>
      <c r="N1146" s="1204"/>
      <c r="O1146" s="1274">
        <f>'[94]NPC Spread'!J40</f>
        <v>107265.62800609166</v>
      </c>
      <c r="P1146" s="1334" t="s">
        <v>913</v>
      </c>
      <c r="Q1146" s="1184"/>
      <c r="R1146" s="1184"/>
      <c r="S1146" s="1205"/>
      <c r="T1146" s="1205"/>
      <c r="Y1146" s="1185"/>
      <c r="Z1146" s="1185"/>
      <c r="AA1146" s="1185"/>
      <c r="AB1146" s="1185"/>
      <c r="AC1146" s="1185"/>
      <c r="AD1146" s="1185"/>
      <c r="AE1146" s="1185"/>
      <c r="AF1146" s="1185"/>
      <c r="AG1146" s="1185"/>
      <c r="AH1146" s="1185"/>
      <c r="AI1146" s="1185"/>
      <c r="AK1146" s="1204"/>
    </row>
    <row r="1147" spans="1:37">
      <c r="A1147" s="1184" t="s">
        <v>491</v>
      </c>
      <c r="C1147" s="1202">
        <f>C1175+C1187</f>
        <v>4690788</v>
      </c>
      <c r="D1147" s="269"/>
      <c r="E1147" s="1185"/>
      <c r="F1147" s="1210">
        <f>F1142+F1143+F1144</f>
        <v>306406.79000000004</v>
      </c>
      <c r="G1147" s="269"/>
      <c r="H1147" s="1185"/>
      <c r="I1147" s="1210">
        <f>I1175+I1187</f>
        <v>322725.35000000003</v>
      </c>
      <c r="J1147" s="269"/>
      <c r="K1147" s="1185"/>
      <c r="L1147" s="1210">
        <f>L1175+L1187</f>
        <v>334576.61</v>
      </c>
      <c r="N1147" s="1274" t="e">
        <f>SUM(N1142:N1145)</f>
        <v>#REF!</v>
      </c>
      <c r="Q1147" s="1186"/>
      <c r="R1147" s="1186"/>
      <c r="S1147" s="1185"/>
      <c r="T1147" s="1185"/>
      <c r="U1147" s="1185"/>
      <c r="V1147" s="1185"/>
      <c r="W1147" s="1185"/>
      <c r="X1147" s="1185"/>
      <c r="Y1147" s="1185"/>
      <c r="Z1147" s="1185"/>
      <c r="AA1147" s="1185"/>
      <c r="AB1147" s="1185"/>
      <c r="AC1147" s="1185"/>
      <c r="AD1147" s="1185"/>
      <c r="AE1147" s="1185"/>
      <c r="AF1147" s="1185"/>
      <c r="AG1147" s="1185"/>
      <c r="AH1147" s="1185"/>
      <c r="AI1147" s="1185"/>
    </row>
    <row r="1148" spans="1:37">
      <c r="A1148" s="1184" t="s">
        <v>492</v>
      </c>
      <c r="C1148" s="1202">
        <f>C1176+C1188</f>
        <v>-409552.50673556305</v>
      </c>
      <c r="D1148" s="269"/>
      <c r="E1148" s="1185"/>
      <c r="F1148" s="1210" t="e">
        <f>F1176+F1188</f>
        <v>#REF!</v>
      </c>
      <c r="G1148" s="269"/>
      <c r="H1148" s="1185"/>
      <c r="I1148" s="1210">
        <f>I1176+I1188</f>
        <v>-26497.772329804175</v>
      </c>
      <c r="J1148" s="269"/>
      <c r="K1148" s="1185"/>
      <c r="L1148" s="1210">
        <f>I1148</f>
        <v>-26497.772329804175</v>
      </c>
      <c r="N1148" s="289"/>
      <c r="O1148" s="289"/>
      <c r="P1148" s="290"/>
      <c r="Q1148" s="1186"/>
      <c r="R1148" s="1186"/>
      <c r="S1148" s="1185"/>
      <c r="T1148" s="1185"/>
      <c r="U1148" s="1185"/>
      <c r="V1148" s="1185"/>
      <c r="W1148" s="1185"/>
      <c r="X1148" s="1185"/>
      <c r="Y1148" s="1185"/>
      <c r="Z1148" s="1185"/>
      <c r="AA1148" s="1185"/>
      <c r="AB1148" s="1185"/>
      <c r="AC1148" s="1185"/>
      <c r="AD1148" s="1185"/>
      <c r="AE1148" s="1185"/>
      <c r="AF1148" s="1185"/>
      <c r="AG1148" s="1185"/>
      <c r="AH1148" s="1185"/>
      <c r="AI1148" s="1185"/>
    </row>
    <row r="1149" spans="1:37" ht="16.5" thickBot="1">
      <c r="A1149" s="1219" t="s">
        <v>9</v>
      </c>
      <c r="B1149" s="1219"/>
      <c r="C1149" s="1321">
        <f>C1147+C1148</f>
        <v>4281235.4932644367</v>
      </c>
      <c r="D1149" s="1342"/>
      <c r="E1149" s="1343"/>
      <c r="F1149" s="1213" t="e">
        <f>F1147+F1148</f>
        <v>#REF!</v>
      </c>
      <c r="G1149" s="1344"/>
      <c r="H1149" s="1269"/>
      <c r="I1149" s="1213">
        <f>I1147+I1148</f>
        <v>296227.57767019584</v>
      </c>
      <c r="J1149" s="1344"/>
      <c r="K1149" s="1269"/>
      <c r="L1149" s="1213">
        <f>L1147+L1148</f>
        <v>308078.83767019579</v>
      </c>
      <c r="N1149" s="291"/>
      <c r="O1149" s="788" t="s">
        <v>409</v>
      </c>
      <c r="P1149" s="1216">
        <f>'[94]Rate Spread'!Q38*1000</f>
        <v>308076.6807770037</v>
      </c>
      <c r="Q1149" s="828">
        <f>(L1149-I1149)/I1149</f>
        <v>4.00072812032191E-2</v>
      </c>
      <c r="R1149" s="827"/>
      <c r="S1149" s="1185"/>
      <c r="T1149" s="1185"/>
      <c r="U1149" s="1185"/>
      <c r="V1149" s="1185"/>
      <c r="W1149" s="1185"/>
      <c r="X1149" s="1185"/>
      <c r="Y1149" s="1185"/>
      <c r="Z1149" s="1185"/>
      <c r="AA1149" s="1185"/>
      <c r="AB1149" s="1185"/>
      <c r="AC1149" s="1185"/>
      <c r="AD1149" s="1185"/>
      <c r="AE1149" s="1185"/>
      <c r="AF1149" s="1185"/>
      <c r="AG1149" s="1185"/>
      <c r="AH1149" s="1185"/>
      <c r="AI1149" s="1185"/>
    </row>
    <row r="1150" spans="1:37" ht="16.5" thickTop="1">
      <c r="A1150" s="1219"/>
      <c r="B1150" s="1219"/>
      <c r="C1150" s="1313"/>
      <c r="D1150" s="1346"/>
      <c r="E1150" s="1277"/>
      <c r="F1150" s="1244"/>
      <c r="G1150" s="1346" t="s">
        <v>31</v>
      </c>
      <c r="H1150" s="1277"/>
      <c r="I1150" s="1244"/>
      <c r="J1150" s="1346" t="s">
        <v>31</v>
      </c>
      <c r="K1150" s="1277"/>
      <c r="L1150" s="1244" t="s">
        <v>31</v>
      </c>
      <c r="N1150" s="1185"/>
      <c r="O1150" s="789" t="s">
        <v>263</v>
      </c>
      <c r="P1150" s="1221">
        <f>P1149-L1149</f>
        <v>-2.1568931920919567</v>
      </c>
      <c r="Q1150" s="1333"/>
      <c r="R1150" s="1186"/>
      <c r="S1150" s="1185"/>
      <c r="T1150" s="1185"/>
      <c r="U1150" s="1185"/>
      <c r="V1150" s="1185"/>
      <c r="W1150" s="1185"/>
      <c r="X1150" s="1185"/>
      <c r="Y1150" s="1185"/>
      <c r="Z1150" s="1185"/>
      <c r="AA1150" s="1185"/>
      <c r="AB1150" s="1185"/>
      <c r="AC1150" s="1185"/>
      <c r="AD1150" s="1185"/>
      <c r="AE1150" s="1185"/>
      <c r="AF1150" s="1185"/>
      <c r="AG1150" s="1185"/>
      <c r="AH1150" s="1185"/>
      <c r="AI1150" s="1185"/>
    </row>
    <row r="1151" spans="1:37">
      <c r="A1151" s="1224" t="s">
        <v>497</v>
      </c>
      <c r="B1151" s="1219"/>
      <c r="C1151" s="1219"/>
      <c r="D1151" s="1219"/>
      <c r="E1151" s="1219"/>
      <c r="F1151" s="1219"/>
      <c r="G1151" s="1219"/>
      <c r="H1151" s="1219"/>
      <c r="I1151" s="1219"/>
      <c r="J1151" s="1219"/>
      <c r="K1151" s="1219"/>
      <c r="L1151" s="1219"/>
      <c r="N1151" s="1274"/>
      <c r="O1151" s="1274"/>
      <c r="P1151" s="1186"/>
      <c r="Q1151" s="1186"/>
      <c r="R1151" s="1186"/>
      <c r="S1151" s="1185"/>
      <c r="T1151" s="1185"/>
      <c r="U1151" s="1185"/>
      <c r="V1151" s="1185"/>
      <c r="W1151" s="1185"/>
      <c r="X1151" s="1185"/>
      <c r="Y1151" s="1185"/>
      <c r="Z1151" s="1185"/>
      <c r="AA1151" s="1185"/>
      <c r="AB1151" s="1185"/>
      <c r="AC1151" s="1185"/>
      <c r="AD1151" s="1185"/>
      <c r="AE1151" s="1185"/>
      <c r="AF1151" s="1185"/>
      <c r="AG1151" s="1185"/>
      <c r="AH1151" s="1185"/>
      <c r="AI1151" s="1185"/>
    </row>
    <row r="1152" spans="1:37">
      <c r="A1152" s="1219" t="s">
        <v>498</v>
      </c>
      <c r="B1152" s="1219"/>
      <c r="C1152" s="1219"/>
      <c r="D1152" s="1219"/>
      <c r="E1152" s="1219"/>
      <c r="F1152" s="1219"/>
      <c r="G1152" s="1219"/>
      <c r="H1152" s="1219"/>
      <c r="I1152" s="1219"/>
      <c r="J1152" s="1219"/>
      <c r="K1152" s="1219"/>
      <c r="L1152" s="1219"/>
      <c r="N1152" s="1185"/>
      <c r="O1152" s="1185"/>
      <c r="P1152" s="1186"/>
      <c r="Q1152" s="1186"/>
      <c r="R1152" s="1186"/>
      <c r="S1152" s="1185"/>
      <c r="T1152" s="1185"/>
      <c r="U1152" s="1185"/>
      <c r="V1152" s="1185"/>
      <c r="W1152" s="1185"/>
      <c r="X1152" s="1185"/>
      <c r="Y1152" s="1185"/>
      <c r="Z1152" s="1185"/>
      <c r="AA1152" s="1185"/>
      <c r="AB1152" s="1185"/>
      <c r="AC1152" s="1185"/>
      <c r="AD1152" s="1185"/>
      <c r="AE1152" s="1185"/>
      <c r="AF1152" s="1185"/>
      <c r="AG1152" s="1185"/>
      <c r="AH1152" s="1185"/>
      <c r="AI1152" s="1185"/>
    </row>
    <row r="1153" spans="1:35">
      <c r="A1153" s="1219"/>
      <c r="B1153" s="1219"/>
      <c r="C1153" s="1219"/>
      <c r="D1153" s="1317"/>
      <c r="E1153" s="1219"/>
      <c r="F1153" s="1219"/>
      <c r="G1153" s="1317"/>
      <c r="H1153" s="1219"/>
      <c r="I1153" s="1219"/>
      <c r="J1153" s="1317"/>
      <c r="K1153" s="1219"/>
      <c r="L1153" s="1219"/>
      <c r="N1153" s="1185"/>
      <c r="O1153" s="1185"/>
      <c r="P1153" s="1186"/>
      <c r="Q1153" s="1186"/>
      <c r="R1153" s="1186"/>
      <c r="S1153" s="1185"/>
      <c r="T1153" s="1185"/>
      <c r="U1153" s="1185"/>
      <c r="V1153" s="1185"/>
      <c r="W1153" s="1185"/>
      <c r="X1153" s="1185"/>
      <c r="Y1153" s="1185"/>
      <c r="Z1153" s="1185"/>
      <c r="AA1153" s="1185"/>
      <c r="AB1153" s="1185"/>
      <c r="AC1153" s="1185"/>
      <c r="AD1153" s="1185"/>
      <c r="AE1153" s="1185"/>
      <c r="AF1153" s="1185"/>
      <c r="AG1153" s="1185"/>
      <c r="AH1153" s="1185"/>
      <c r="AI1153" s="1185"/>
    </row>
    <row r="1154" spans="1:35">
      <c r="A1154" s="1219" t="s">
        <v>488</v>
      </c>
      <c r="B1154" s="1219"/>
      <c r="C1154" s="1225"/>
      <c r="D1154" s="1229"/>
      <c r="E1154" s="1219"/>
      <c r="F1154" s="1203">
        <f>4.1+2026.19+86.47+232.2+36.89</f>
        <v>2385.8499999999995</v>
      </c>
      <c r="G1154" s="1229"/>
      <c r="H1154" s="1219"/>
      <c r="I1154" s="1203">
        <f>2266.75</f>
        <v>2266.75</v>
      </c>
      <c r="J1154" s="1229"/>
      <c r="K1154" s="1219"/>
      <c r="L1154" s="1203">
        <f>I1154</f>
        <v>2266.75</v>
      </c>
      <c r="N1154" s="1185"/>
      <c r="O1154" s="1185"/>
      <c r="P1154" s="1186"/>
      <c r="Q1154" s="1186"/>
      <c r="R1154" s="1186"/>
      <c r="S1154" s="1185"/>
      <c r="T1154" s="1185"/>
      <c r="U1154" s="1185"/>
      <c r="V1154" s="1185"/>
      <c r="W1154" s="1185"/>
      <c r="X1154" s="1185"/>
      <c r="Y1154" s="1185"/>
      <c r="Z1154" s="1185"/>
      <c r="AA1154" s="1185"/>
      <c r="AB1154" s="1185"/>
      <c r="AC1154" s="1185"/>
      <c r="AD1154" s="1185"/>
      <c r="AE1154" s="1185"/>
      <c r="AF1154" s="1185"/>
      <c r="AG1154" s="1185"/>
      <c r="AH1154" s="1185"/>
      <c r="AI1154" s="1185"/>
    </row>
    <row r="1155" spans="1:35">
      <c r="A1155" s="1219" t="s">
        <v>592</v>
      </c>
      <c r="B1155" s="1219"/>
      <c r="C1155" s="1225"/>
      <c r="D1155" s="1229"/>
      <c r="E1155" s="1219"/>
      <c r="F1155" s="1203"/>
      <c r="G1155" s="1229"/>
      <c r="H1155" s="1219"/>
      <c r="I1155" s="1203"/>
      <c r="J1155" s="1229"/>
      <c r="K1155" s="1219"/>
      <c r="L1155" s="1203"/>
      <c r="N1155" s="1185"/>
      <c r="O1155" s="1185"/>
      <c r="S1155" s="1274">
        <f>P1149-L1149</f>
        <v>-2.1568931920919567</v>
      </c>
      <c r="T1155" s="1186"/>
      <c r="U1155" s="1185"/>
      <c r="V1155" s="1185"/>
      <c r="W1155" s="1185"/>
      <c r="X1155" s="1185"/>
      <c r="Y1155" s="1185"/>
      <c r="Z1155" s="1185"/>
      <c r="AA1155" s="1185"/>
      <c r="AB1155" s="1185"/>
      <c r="AC1155" s="1185"/>
      <c r="AD1155" s="1185"/>
      <c r="AE1155" s="1185"/>
      <c r="AF1155" s="1185"/>
      <c r="AG1155" s="1185"/>
      <c r="AH1155" s="1185"/>
      <c r="AI1155" s="1185"/>
    </row>
    <row r="1156" spans="1:35">
      <c r="A1156" s="1184" t="s">
        <v>605</v>
      </c>
      <c r="B1156" s="1219"/>
      <c r="C1156" s="1225">
        <f>4248+50</f>
        <v>4298</v>
      </c>
      <c r="D1156" s="1229">
        <v>2.0099999999999998</v>
      </c>
      <c r="E1156" s="1219"/>
      <c r="F1156" s="1203">
        <f t="shared" ref="F1156:F1161" si="150">D1156*C1156</f>
        <v>8638.98</v>
      </c>
      <c r="G1156" s="1229">
        <v>2.12</v>
      </c>
      <c r="H1156" s="1219"/>
      <c r="I1156" s="1203">
        <f>C1156*G1156</f>
        <v>9111.76</v>
      </c>
      <c r="J1156" s="1229">
        <f>ROUND(S1156*$J$1170/100,2)</f>
        <v>1.49</v>
      </c>
      <c r="K1156" s="1219"/>
      <c r="L1156" s="1203">
        <f t="shared" ref="L1156:L1161" si="151">J1156*$C1156</f>
        <v>6404.0199999999995</v>
      </c>
      <c r="N1156" s="1185"/>
      <c r="O1156" s="1185"/>
      <c r="S1156" s="1186">
        <v>31</v>
      </c>
      <c r="T1156" s="1347">
        <f t="shared" ref="T1156:T1161" si="152">D1156/S1156</f>
        <v>6.4838709677419351E-2</v>
      </c>
      <c r="U1156" s="1185"/>
      <c r="V1156" s="1185"/>
      <c r="W1156" s="1065" t="s">
        <v>31</v>
      </c>
      <c r="X1156" s="1185"/>
      <c r="Y1156" s="1185"/>
      <c r="Z1156" s="1185"/>
      <c r="AA1156" s="1185"/>
      <c r="AB1156" s="1185"/>
      <c r="AC1156" s="1185"/>
      <c r="AD1156" s="1185"/>
      <c r="AE1156" s="1185"/>
      <c r="AF1156" s="1185"/>
      <c r="AG1156" s="1185"/>
      <c r="AH1156" s="1185"/>
      <c r="AI1156" s="1185"/>
    </row>
    <row r="1157" spans="1:35">
      <c r="A1157" s="1184" t="s">
        <v>606</v>
      </c>
      <c r="B1157" s="1219"/>
      <c r="C1157" s="1225">
        <f>8156</f>
        <v>8156</v>
      </c>
      <c r="D1157" s="1229">
        <v>2.85</v>
      </c>
      <c r="E1157" s="1219"/>
      <c r="F1157" s="1203">
        <f t="shared" si="150"/>
        <v>23244.600000000002</v>
      </c>
      <c r="G1157" s="1229">
        <v>3</v>
      </c>
      <c r="H1157" s="1219"/>
      <c r="I1157" s="1203">
        <f t="shared" ref="I1157:I1161" si="153">C1157*G1157</f>
        <v>24468</v>
      </c>
      <c r="J1157" s="1229">
        <f>ROUND(S1157*$J$1170/100,2)-0.01</f>
        <v>2.1</v>
      </c>
      <c r="K1157" s="1219"/>
      <c r="L1157" s="1203">
        <f t="shared" si="151"/>
        <v>17127.600000000002</v>
      </c>
      <c r="N1157" s="1185"/>
      <c r="O1157" s="1185"/>
      <c r="S1157" s="1186">
        <v>44</v>
      </c>
      <c r="T1157" s="1347">
        <f t="shared" si="152"/>
        <v>6.4772727272727273E-2</v>
      </c>
      <c r="U1157" s="1185"/>
      <c r="V1157" s="1185"/>
      <c r="W1157" s="1185"/>
      <c r="X1157" s="1185"/>
      <c r="Y1157" s="1185"/>
      <c r="Z1157" s="1185"/>
      <c r="AA1157" s="1185"/>
      <c r="AB1157" s="1185"/>
      <c r="AC1157" s="1185"/>
      <c r="AD1157" s="1185"/>
      <c r="AE1157" s="1185"/>
      <c r="AF1157" s="1185"/>
      <c r="AG1157" s="1185"/>
      <c r="AH1157" s="1185"/>
      <c r="AI1157" s="1185"/>
    </row>
    <row r="1158" spans="1:35">
      <c r="A1158" s="1184" t="s">
        <v>607</v>
      </c>
      <c r="B1158" s="1219"/>
      <c r="C1158" s="1225">
        <f>84</f>
        <v>84</v>
      </c>
      <c r="D1158" s="1229">
        <v>4.1399999999999997</v>
      </c>
      <c r="E1158" s="1219"/>
      <c r="F1158" s="1203">
        <f t="shared" si="150"/>
        <v>347.76</v>
      </c>
      <c r="G1158" s="1229">
        <v>4.3600000000000003</v>
      </c>
      <c r="H1158" s="1219"/>
      <c r="I1158" s="1203">
        <f t="shared" si="153"/>
        <v>366.24</v>
      </c>
      <c r="J1158" s="1229">
        <f>ROUND(S1158*$J$1170/100,2)-0.01</f>
        <v>3.06</v>
      </c>
      <c r="K1158" s="1219"/>
      <c r="L1158" s="1203">
        <f t="shared" si="151"/>
        <v>257.04000000000002</v>
      </c>
      <c r="N1158" s="1185"/>
      <c r="O1158" s="1185"/>
      <c r="S1158" s="1186">
        <v>64</v>
      </c>
      <c r="T1158" s="1347">
        <f t="shared" si="152"/>
        <v>6.4687499999999995E-2</v>
      </c>
      <c r="U1158" s="1185"/>
      <c r="V1158" s="1185"/>
      <c r="W1158" s="1185"/>
      <c r="X1158" s="1185"/>
      <c r="Y1158" s="1185"/>
      <c r="Z1158" s="1185"/>
      <c r="AA1158" s="1185"/>
      <c r="AB1158" s="1185"/>
      <c r="AC1158" s="1185"/>
      <c r="AD1158" s="1185"/>
      <c r="AE1158" s="1185"/>
      <c r="AF1158" s="1185"/>
      <c r="AG1158" s="1185"/>
      <c r="AH1158" s="1185"/>
      <c r="AI1158" s="1185"/>
    </row>
    <row r="1159" spans="1:35">
      <c r="A1159" s="1184" t="s">
        <v>608</v>
      </c>
      <c r="B1159" s="1219"/>
      <c r="C1159" s="1225">
        <f>11718</f>
        <v>11718</v>
      </c>
      <c r="D1159" s="1229">
        <v>5.51</v>
      </c>
      <c r="E1159" s="1219"/>
      <c r="F1159" s="1203">
        <f t="shared" si="150"/>
        <v>64566.18</v>
      </c>
      <c r="G1159" s="1229">
        <v>5.81</v>
      </c>
      <c r="H1159" s="1219"/>
      <c r="I1159" s="1203">
        <f t="shared" si="153"/>
        <v>68081.58</v>
      </c>
      <c r="J1159" s="1229">
        <f t="shared" ref="J1159:J1161" si="154">ROUND(S1159*$J$1170/100,2)</f>
        <v>4.08</v>
      </c>
      <c r="K1159" s="1219"/>
      <c r="L1159" s="1203">
        <f t="shared" si="151"/>
        <v>47809.440000000002</v>
      </c>
      <c r="N1159" s="1185"/>
      <c r="O1159" s="1185"/>
      <c r="S1159" s="1186">
        <v>85</v>
      </c>
      <c r="T1159" s="1347">
        <f t="shared" si="152"/>
        <v>6.4823529411764697E-2</v>
      </c>
      <c r="U1159" s="1185"/>
      <c r="V1159" s="1185"/>
      <c r="W1159" s="1185"/>
      <c r="X1159" s="1185"/>
      <c r="Y1159" s="1185"/>
      <c r="Z1159" s="1185"/>
      <c r="AA1159" s="1185"/>
      <c r="AB1159" s="1185"/>
      <c r="AC1159" s="1185"/>
      <c r="AD1159" s="1185"/>
      <c r="AE1159" s="1185"/>
      <c r="AF1159" s="1185"/>
      <c r="AG1159" s="1185"/>
      <c r="AH1159" s="1185"/>
      <c r="AI1159" s="1185"/>
    </row>
    <row r="1160" spans="1:35">
      <c r="A1160" s="1184" t="s">
        <v>609</v>
      </c>
      <c r="B1160" s="1219"/>
      <c r="C1160" s="1225">
        <f>4625</f>
        <v>4625</v>
      </c>
      <c r="D1160" s="1229">
        <v>7.46</v>
      </c>
      <c r="E1160" s="1219"/>
      <c r="F1160" s="1203">
        <f t="shared" si="150"/>
        <v>34502.5</v>
      </c>
      <c r="G1160" s="1229">
        <v>7.86</v>
      </c>
      <c r="H1160" s="1219"/>
      <c r="I1160" s="1203">
        <f t="shared" si="153"/>
        <v>36352.5</v>
      </c>
      <c r="J1160" s="1229">
        <f t="shared" si="154"/>
        <v>5.52</v>
      </c>
      <c r="K1160" s="1219"/>
      <c r="L1160" s="1203">
        <f t="shared" si="151"/>
        <v>25529.999999999996</v>
      </c>
      <c r="N1160" s="1185"/>
      <c r="O1160" s="1185"/>
      <c r="S1160" s="1186">
        <v>115</v>
      </c>
      <c r="T1160" s="1347">
        <f t="shared" si="152"/>
        <v>6.4869565217391303E-2</v>
      </c>
      <c r="U1160" s="1185"/>
      <c r="V1160" s="1185"/>
      <c r="W1160" s="1185"/>
      <c r="X1160" s="1185"/>
      <c r="Y1160" s="1185"/>
      <c r="Z1160" s="1185"/>
      <c r="AA1160" s="1185"/>
      <c r="AB1160" s="1185"/>
      <c r="AC1160" s="1185"/>
      <c r="AD1160" s="1185"/>
      <c r="AE1160" s="1185"/>
      <c r="AF1160" s="1185"/>
      <c r="AG1160" s="1185"/>
      <c r="AH1160" s="1185"/>
      <c r="AI1160" s="1185"/>
    </row>
    <row r="1161" spans="1:35">
      <c r="A1161" s="1184" t="s">
        <v>610</v>
      </c>
      <c r="B1161" s="1219"/>
      <c r="C1161" s="1225">
        <f>1716</f>
        <v>1716</v>
      </c>
      <c r="D1161" s="1229">
        <v>11.41</v>
      </c>
      <c r="E1161" s="1219"/>
      <c r="F1161" s="1203">
        <f t="shared" si="150"/>
        <v>19579.560000000001</v>
      </c>
      <c r="G1161" s="1229">
        <v>12.03</v>
      </c>
      <c r="H1161" s="1219"/>
      <c r="I1161" s="1203">
        <f t="shared" si="153"/>
        <v>20643.48</v>
      </c>
      <c r="J1161" s="1229">
        <f t="shared" si="154"/>
        <v>8.4499999999999993</v>
      </c>
      <c r="K1161" s="1219"/>
      <c r="L1161" s="1203">
        <f t="shared" si="151"/>
        <v>14500.199999999999</v>
      </c>
      <c r="N1161" s="1185"/>
      <c r="Q1161" s="827" t="s">
        <v>31</v>
      </c>
      <c r="R1161" s="777"/>
      <c r="S1161" s="1186">
        <v>176</v>
      </c>
      <c r="T1161" s="1347">
        <f t="shared" si="152"/>
        <v>6.4829545454545459E-2</v>
      </c>
      <c r="U1161" s="1185"/>
      <c r="V1161" s="1185"/>
      <c r="W1161" s="1185"/>
      <c r="X1161" s="1185"/>
      <c r="Y1161" s="1185"/>
      <c r="Z1161" s="1185"/>
      <c r="AA1161" s="1185"/>
      <c r="AB1161" s="1185"/>
      <c r="AC1161" s="1185"/>
      <c r="AD1161" s="1185"/>
      <c r="AE1161" s="1185"/>
      <c r="AF1161" s="1185"/>
      <c r="AG1161" s="1185"/>
      <c r="AH1161" s="1185"/>
      <c r="AI1161" s="1185"/>
    </row>
    <row r="1162" spans="1:35">
      <c r="B1162" s="1219"/>
      <c r="C1162" s="1225"/>
      <c r="D1162" s="1229"/>
      <c r="E1162" s="1219"/>
      <c r="F1162" s="1203"/>
      <c r="G1162" s="1229"/>
      <c r="H1162" s="1219"/>
      <c r="I1162" s="1203"/>
      <c r="J1162" s="1229"/>
      <c r="K1162" s="1219"/>
      <c r="L1162" s="1203"/>
      <c r="N1162" s="1185"/>
      <c r="O1162" s="1185"/>
      <c r="S1162" s="1186"/>
      <c r="T1162" s="1186"/>
      <c r="U1162" s="1185"/>
      <c r="V1162" s="1185"/>
      <c r="W1162" s="1185"/>
      <c r="X1162" s="1185"/>
      <c r="Y1162" s="1185"/>
      <c r="Z1162" s="1185"/>
      <c r="AA1162" s="1185"/>
      <c r="AB1162" s="1185"/>
      <c r="AC1162" s="1185"/>
      <c r="AD1162" s="1185"/>
      <c r="AE1162" s="1185"/>
      <c r="AF1162" s="1185"/>
      <c r="AG1162" s="1185"/>
      <c r="AH1162" s="1185"/>
      <c r="AI1162" s="1185"/>
    </row>
    <row r="1163" spans="1:35">
      <c r="A1163" s="1184" t="s">
        <v>593</v>
      </c>
      <c r="B1163" s="1219"/>
      <c r="C1163" s="1225"/>
      <c r="D1163" s="1229" t="s">
        <v>31</v>
      </c>
      <c r="E1163" s="1219"/>
      <c r="F1163" s="1203"/>
      <c r="G1163" s="1229" t="s">
        <v>31</v>
      </c>
      <c r="H1163" s="1219"/>
      <c r="I1163" s="1203"/>
      <c r="J1163" s="1229" t="s">
        <v>31</v>
      </c>
      <c r="K1163" s="1219"/>
      <c r="L1163" s="1203"/>
      <c r="N1163" s="1185"/>
      <c r="O1163" s="1185"/>
      <c r="S1163" s="1186"/>
      <c r="T1163" s="1186"/>
      <c r="U1163" s="1185"/>
      <c r="V1163" s="1185"/>
      <c r="W1163" s="1185"/>
      <c r="X1163" s="1185"/>
      <c r="Y1163" s="1185"/>
      <c r="Z1163" s="1185"/>
      <c r="AA1163" s="1185"/>
      <c r="AB1163" s="1185"/>
      <c r="AC1163" s="1185"/>
      <c r="AD1163" s="1185"/>
      <c r="AE1163" s="1185"/>
      <c r="AF1163" s="1185"/>
      <c r="AG1163" s="1185"/>
      <c r="AH1163" s="1185"/>
      <c r="AI1163" s="1185"/>
    </row>
    <row r="1164" spans="1:35">
      <c r="A1164" s="1184" t="s">
        <v>611</v>
      </c>
      <c r="B1164" s="1219"/>
      <c r="C1164" s="1225">
        <v>12</v>
      </c>
      <c r="D1164" s="1229">
        <v>2.5299999999999998</v>
      </c>
      <c r="E1164" s="1219"/>
      <c r="F1164" s="1203">
        <f>D1164*C1164</f>
        <v>30.36</v>
      </c>
      <c r="G1164" s="1229">
        <v>2.67</v>
      </c>
      <c r="H1164" s="1219"/>
      <c r="I1164" s="1203">
        <f t="shared" ref="I1164:I1168" si="155">C1164*G1164</f>
        <v>32.04</v>
      </c>
      <c r="J1164" s="1229">
        <f>ROUND(S1164*$J$1170/100,2)+0.01</f>
        <v>1.8800000000000001</v>
      </c>
      <c r="K1164" s="1219"/>
      <c r="L1164" s="1203">
        <f>J1164*$C1164</f>
        <v>22.560000000000002</v>
      </c>
      <c r="N1164" s="1185"/>
      <c r="O1164" s="1185"/>
      <c r="S1164" s="1186">
        <v>39</v>
      </c>
      <c r="T1164" s="1347">
        <f>D1164/S1164</f>
        <v>6.4871794871794869E-2</v>
      </c>
      <c r="U1164" s="1185"/>
      <c r="V1164" s="1185"/>
      <c r="W1164" s="1185"/>
      <c r="X1164" s="1185"/>
      <c r="Y1164" s="1185"/>
      <c r="Z1164" s="1185"/>
      <c r="AA1164" s="1185"/>
      <c r="AB1164" s="1185"/>
      <c r="AC1164" s="1185"/>
      <c r="AD1164" s="1185"/>
      <c r="AE1164" s="1185"/>
      <c r="AF1164" s="1185"/>
      <c r="AG1164" s="1185"/>
      <c r="AH1164" s="1185"/>
      <c r="AI1164" s="1185"/>
    </row>
    <row r="1165" spans="1:35">
      <c r="A1165" s="1184" t="s">
        <v>612</v>
      </c>
      <c r="B1165" s="1219"/>
      <c r="C1165" s="1225">
        <v>0</v>
      </c>
      <c r="D1165" s="1229">
        <v>4.41</v>
      </c>
      <c r="E1165" s="1219"/>
      <c r="F1165" s="1203">
        <f>D1165*C1165</f>
        <v>0</v>
      </c>
      <c r="G1165" s="1229">
        <v>4.6500000000000004</v>
      </c>
      <c r="H1165" s="1219"/>
      <c r="I1165" s="1203">
        <f t="shared" si="155"/>
        <v>0</v>
      </c>
      <c r="J1165" s="1229">
        <f t="shared" ref="J1165:J1168" si="156">ROUND(S1165*$J$1170/100,2)</f>
        <v>3.26</v>
      </c>
      <c r="K1165" s="1219"/>
      <c r="L1165" s="1203">
        <f>J1165*$C1165</f>
        <v>0</v>
      </c>
      <c r="N1165" s="1185"/>
      <c r="O1165" s="1185"/>
      <c r="S1165" s="1186">
        <v>68</v>
      </c>
      <c r="T1165" s="1347">
        <f>D1165/S1165</f>
        <v>6.4852941176470585E-2</v>
      </c>
      <c r="U1165" s="1185"/>
      <c r="V1165" s="1185"/>
      <c r="W1165" s="1185"/>
      <c r="X1165" s="1185"/>
      <c r="Y1165" s="1185"/>
      <c r="Z1165" s="1185"/>
      <c r="AA1165" s="1185"/>
      <c r="AB1165" s="1185"/>
      <c r="AC1165" s="1185"/>
      <c r="AD1165" s="1185"/>
      <c r="AE1165" s="1185"/>
      <c r="AF1165" s="1185"/>
      <c r="AG1165" s="1185"/>
      <c r="AH1165" s="1185"/>
      <c r="AI1165" s="1185"/>
    </row>
    <row r="1166" spans="1:35">
      <c r="A1166" s="1184" t="s">
        <v>613</v>
      </c>
      <c r="B1166" s="1219"/>
      <c r="C1166" s="1225">
        <v>0</v>
      </c>
      <c r="D1166" s="1229">
        <v>6.1</v>
      </c>
      <c r="E1166" s="1219"/>
      <c r="F1166" s="1203">
        <f>D1166*C1166</f>
        <v>0</v>
      </c>
      <c r="G1166" s="1229">
        <v>6.43</v>
      </c>
      <c r="H1166" s="1219"/>
      <c r="I1166" s="1203">
        <f t="shared" si="155"/>
        <v>0</v>
      </c>
      <c r="J1166" s="1229">
        <f>ROUND(S1166*$J$1170/100,2)+0.01</f>
        <v>4.5199999999999996</v>
      </c>
      <c r="K1166" s="1219"/>
      <c r="L1166" s="1203">
        <f>J1166*$C1166</f>
        <v>0</v>
      </c>
      <c r="N1166" s="1185"/>
      <c r="O1166" s="1185" t="s">
        <v>31</v>
      </c>
      <c r="S1166" s="1186">
        <v>94</v>
      </c>
      <c r="T1166" s="1347">
        <f>D1166/S1166</f>
        <v>6.4893617021276592E-2</v>
      </c>
      <c r="U1166" s="1185"/>
      <c r="V1166" s="1185"/>
      <c r="W1166" s="1185"/>
      <c r="X1166" s="1185"/>
      <c r="Y1166" s="1185"/>
      <c r="Z1166" s="1185"/>
      <c r="AA1166" s="1185"/>
      <c r="AB1166" s="1185"/>
      <c r="AC1166" s="1185"/>
      <c r="AD1166" s="1185"/>
      <c r="AE1166" s="1185"/>
      <c r="AF1166" s="1185"/>
      <c r="AG1166" s="1185"/>
      <c r="AH1166" s="1185"/>
      <c r="AI1166" s="1185"/>
    </row>
    <row r="1167" spans="1:35">
      <c r="A1167" s="1184" t="s">
        <v>614</v>
      </c>
      <c r="B1167" s="1219"/>
      <c r="C1167" s="1225">
        <v>0</v>
      </c>
      <c r="D1167" s="1229">
        <v>9.66</v>
      </c>
      <c r="E1167" s="1219"/>
      <c r="F1167" s="1203">
        <f>D1167*C1167</f>
        <v>0</v>
      </c>
      <c r="G1167" s="1229">
        <v>10.18</v>
      </c>
      <c r="H1167" s="1219"/>
      <c r="I1167" s="1203">
        <f t="shared" si="155"/>
        <v>0</v>
      </c>
      <c r="J1167" s="1229">
        <f t="shared" si="156"/>
        <v>7.15</v>
      </c>
      <c r="K1167" s="1219"/>
      <c r="L1167" s="1203">
        <f>J1167*$C1167</f>
        <v>0</v>
      </c>
      <c r="N1167" s="1185"/>
      <c r="O1167" s="1185"/>
      <c r="S1167" s="1186">
        <v>149</v>
      </c>
      <c r="T1167" s="1347">
        <f>D1167/S1167</f>
        <v>6.4832214765100676E-2</v>
      </c>
      <c r="U1167" s="1185"/>
      <c r="V1167" s="1185"/>
      <c r="W1167" s="1185"/>
      <c r="X1167" s="1185"/>
      <c r="Y1167" s="1185"/>
      <c r="Z1167" s="1185"/>
      <c r="AA1167" s="1185"/>
      <c r="AB1167" s="1185"/>
      <c r="AC1167" s="1185"/>
      <c r="AD1167" s="1185"/>
      <c r="AE1167" s="1185"/>
      <c r="AF1167" s="1185"/>
      <c r="AG1167" s="1185"/>
      <c r="AH1167" s="1185"/>
      <c r="AI1167" s="1185"/>
    </row>
    <row r="1168" spans="1:35">
      <c r="A1168" s="1184" t="s">
        <v>615</v>
      </c>
      <c r="B1168" s="1219"/>
      <c r="C1168" s="1225">
        <v>0</v>
      </c>
      <c r="D1168" s="1229">
        <v>22.95</v>
      </c>
      <c r="E1168" s="1219"/>
      <c r="F1168" s="1203">
        <f>D1168*C1168</f>
        <v>0</v>
      </c>
      <c r="G1168" s="1229">
        <v>24.19</v>
      </c>
      <c r="H1168" s="1219"/>
      <c r="I1168" s="1203">
        <f t="shared" si="155"/>
        <v>0</v>
      </c>
      <c r="J1168" s="1229">
        <f t="shared" si="156"/>
        <v>16.989999999999998</v>
      </c>
      <c r="K1168" s="1219"/>
      <c r="L1168" s="1203">
        <f>J1168*$C1168</f>
        <v>0</v>
      </c>
      <c r="N1168" s="1185"/>
      <c r="O1168" s="1185"/>
      <c r="S1168" s="1186">
        <v>354</v>
      </c>
      <c r="T1168" s="1347">
        <f>D1168/S1168</f>
        <v>6.4830508474576276E-2</v>
      </c>
      <c r="U1168" s="1185" t="s">
        <v>31</v>
      </c>
      <c r="V1168" s="1185"/>
      <c r="W1168" s="1185"/>
      <c r="X1168" s="1185"/>
      <c r="Y1168" s="1185"/>
      <c r="Z1168" s="1185"/>
      <c r="AA1168" s="1185"/>
      <c r="AB1168" s="1185"/>
      <c r="AC1168" s="1185"/>
      <c r="AD1168" s="1185"/>
      <c r="AE1168" s="1185"/>
      <c r="AF1168" s="1185"/>
      <c r="AG1168" s="1185"/>
      <c r="AH1168" s="1185"/>
      <c r="AI1168" s="1185"/>
    </row>
    <row r="1169" spans="1:37">
      <c r="A1169" s="1219"/>
      <c r="B1169" s="1219"/>
      <c r="C1169" s="1225"/>
      <c r="D1169" s="1229"/>
      <c r="E1169" s="1219"/>
      <c r="F1169" s="1203"/>
      <c r="G1169" s="1229"/>
      <c r="H1169" s="1219"/>
      <c r="I1169" s="1203"/>
      <c r="J1169" s="1229"/>
      <c r="K1169" s="1219"/>
      <c r="L1169" s="1203"/>
      <c r="N1169" s="1185"/>
      <c r="O1169" s="1185"/>
      <c r="S1169" s="1186"/>
      <c r="T1169" s="1186"/>
      <c r="U1169" s="1185"/>
      <c r="V1169" s="1185"/>
      <c r="W1169" s="1185"/>
      <c r="X1169" s="1185"/>
      <c r="Y1169" s="1185"/>
      <c r="Z1169" s="1185"/>
      <c r="AA1169" s="1185"/>
      <c r="AB1169" s="1185"/>
      <c r="AC1169" s="1185"/>
      <c r="AD1169" s="1185"/>
      <c r="AE1169" s="1185"/>
      <c r="AF1169" s="1185"/>
      <c r="AG1169" s="1185"/>
      <c r="AH1169" s="1185"/>
      <c r="AI1169" s="1185"/>
    </row>
    <row r="1170" spans="1:37">
      <c r="A1170" s="1219" t="s">
        <v>616</v>
      </c>
      <c r="B1170" s="1219"/>
      <c r="C1170" s="1202">
        <f>423620+327074+2484+134160+80496+7032+118656+4944+127+39284+45855+2520+2448+6318</f>
        <v>1195018</v>
      </c>
      <c r="D1170" s="1328">
        <v>6.4820000000000002</v>
      </c>
      <c r="E1170" s="1219" t="s">
        <v>374</v>
      </c>
      <c r="F1170" s="1340">
        <f>ROUND(C1170*D1170/100,0)</f>
        <v>77461</v>
      </c>
      <c r="G1170" s="1316">
        <v>6.8330000000000002</v>
      </c>
      <c r="H1170" s="1219" t="s">
        <v>374</v>
      </c>
      <c r="I1170" s="1340">
        <f>ROUND(G1170*C1170/100,0)</f>
        <v>81656</v>
      </c>
      <c r="J1170" s="1316">
        <v>4.8</v>
      </c>
      <c r="K1170" s="1219" t="s">
        <v>374</v>
      </c>
      <c r="L1170" s="1203">
        <f>ROUND(J1170*C1170/100,0)</f>
        <v>57361</v>
      </c>
      <c r="N1170" s="1185"/>
      <c r="O1170" s="1185"/>
      <c r="S1170" s="1186"/>
      <c r="T1170" s="1186"/>
      <c r="U1170" s="1185"/>
      <c r="V1170" s="1185"/>
      <c r="W1170" s="1185"/>
      <c r="X1170" s="1185"/>
      <c r="Y1170" s="1185"/>
      <c r="Z1170" s="1185"/>
      <c r="AA1170" s="1185"/>
      <c r="AB1170" s="1185"/>
      <c r="AC1170" s="1185"/>
      <c r="AD1170" s="1185"/>
      <c r="AE1170" s="1185"/>
      <c r="AF1170" s="1185"/>
      <c r="AG1170" s="1185"/>
      <c r="AH1170" s="1185"/>
      <c r="AI1170" s="1185"/>
    </row>
    <row r="1171" spans="1:37">
      <c r="A1171" s="1219" t="s">
        <v>617</v>
      </c>
      <c r="B1171" s="1219"/>
      <c r="C1171" s="1202">
        <f>3523707-C1170</f>
        <v>2328689</v>
      </c>
      <c r="D1171" s="1009" t="s">
        <v>31</v>
      </c>
      <c r="E1171" s="1219" t="s">
        <v>31</v>
      </c>
      <c r="F1171" s="1340" t="s">
        <v>31</v>
      </c>
      <c r="G1171" s="1009">
        <v>0</v>
      </c>
      <c r="H1171" s="1219" t="s">
        <v>374</v>
      </c>
      <c r="I1171" s="1340">
        <f>ROUND(G1171*C1171/100,0)</f>
        <v>0</v>
      </c>
      <c r="J1171" s="1009">
        <v>0</v>
      </c>
      <c r="K1171" s="1219" t="s">
        <v>374</v>
      </c>
      <c r="L1171" s="1203">
        <v>0</v>
      </c>
      <c r="N1171" s="1185"/>
      <c r="O1171" s="1185"/>
      <c r="S1171" s="1186"/>
      <c r="T1171" s="1186">
        <v>211950</v>
      </c>
      <c r="U1171" s="1203">
        <f>C1171*0.06146</f>
        <v>143121.22594</v>
      </c>
      <c r="V1171" s="1203"/>
      <c r="W1171" s="1185"/>
      <c r="X1171" s="1185"/>
      <c r="Y1171" s="1185"/>
      <c r="Z1171" s="1185"/>
      <c r="AA1171" s="1185"/>
      <c r="AB1171" s="1185"/>
      <c r="AC1171" s="1185"/>
      <c r="AD1171" s="1185"/>
      <c r="AE1171" s="1185"/>
      <c r="AF1171" s="1185"/>
      <c r="AG1171" s="1185"/>
      <c r="AH1171" s="1185"/>
      <c r="AI1171" s="1185"/>
    </row>
    <row r="1172" spans="1:37">
      <c r="A1172" s="1219" t="s">
        <v>362</v>
      </c>
      <c r="B1172" s="1219"/>
      <c r="C1172" s="1202">
        <f>1439</f>
        <v>1439</v>
      </c>
      <c r="D1172" s="1341"/>
      <c r="E1172" s="1219"/>
      <c r="F1172" s="1203"/>
      <c r="G1172" s="1341"/>
      <c r="H1172" s="1219"/>
      <c r="I1172" s="1203"/>
      <c r="J1172" s="1341"/>
      <c r="K1172" s="1219"/>
      <c r="L1172" s="1203"/>
      <c r="N1172" s="1185"/>
      <c r="O1172" s="1185"/>
      <c r="P1172" s="1186"/>
      <c r="Q1172" s="1186"/>
      <c r="R1172" s="1186"/>
      <c r="S1172" s="1185"/>
      <c r="T1172" s="1185"/>
      <c r="U1172" s="1185"/>
      <c r="V1172" s="1185"/>
      <c r="W1172" s="1185"/>
      <c r="X1172" s="1185"/>
      <c r="Y1172" s="1185"/>
      <c r="Z1172" s="1185"/>
      <c r="AA1172" s="1185"/>
      <c r="AB1172" s="1185"/>
      <c r="AC1172" s="1185"/>
      <c r="AD1172" s="1185"/>
      <c r="AE1172" s="1185"/>
      <c r="AF1172" s="1185"/>
      <c r="AG1172" s="1185"/>
      <c r="AH1172" s="1185"/>
      <c r="AI1172" s="1185"/>
    </row>
    <row r="1173" spans="1:37">
      <c r="A1173" s="1005" t="s">
        <v>928</v>
      </c>
      <c r="C1173" s="1202">
        <f>C1175</f>
        <v>3523707</v>
      </c>
      <c r="D1173" s="269"/>
      <c r="E1173" s="1185"/>
      <c r="F1173" s="1203"/>
      <c r="G1173" s="269"/>
      <c r="H1173" s="1185"/>
      <c r="I1173" s="1203"/>
      <c r="J1173" s="1230">
        <f>J1146</f>
        <v>2.2869999999999999</v>
      </c>
      <c r="K1173" s="1219" t="s">
        <v>374</v>
      </c>
      <c r="L1173" s="1041">
        <f>ROUND(J1173*$C1173/100,0)</f>
        <v>80587</v>
      </c>
      <c r="N1173" s="1204"/>
      <c r="P1173" s="815"/>
      <c r="Q1173" s="1184"/>
      <c r="R1173" s="1184"/>
      <c r="S1173" s="1205"/>
      <c r="T1173" s="1205"/>
      <c r="Y1173" s="1185"/>
      <c r="Z1173" s="1185"/>
      <c r="AA1173" s="1185"/>
      <c r="AB1173" s="1185"/>
      <c r="AC1173" s="1185"/>
      <c r="AD1173" s="1185"/>
      <c r="AE1173" s="1185"/>
      <c r="AF1173" s="1185"/>
      <c r="AG1173" s="1185"/>
      <c r="AH1173" s="1185"/>
      <c r="AI1173" s="1185"/>
      <c r="AK1173" s="1204"/>
    </row>
    <row r="1174" spans="1:37">
      <c r="A1174" s="1509" t="s">
        <v>932</v>
      </c>
      <c r="B1174" s="1510"/>
      <c r="C1174" s="1524"/>
      <c r="D1174" s="1512"/>
      <c r="E1174" s="1513"/>
      <c r="F1174" s="1514"/>
      <c r="G1174" s="1526">
        <f>G1170</f>
        <v>6.8330000000000002</v>
      </c>
      <c r="H1174" s="1516" t="s">
        <v>374</v>
      </c>
      <c r="I1174" s="1514"/>
      <c r="J1174" s="1526">
        <f>J1170+J1173</f>
        <v>7.0869999999999997</v>
      </c>
      <c r="K1174" s="1516" t="s">
        <v>374</v>
      </c>
      <c r="L1174" s="1521"/>
      <c r="N1174" s="1204"/>
      <c r="P1174" s="815"/>
      <c r="Q1174" s="826" t="s">
        <v>31</v>
      </c>
      <c r="R1174" s="1184"/>
      <c r="S1174" s="1205"/>
      <c r="T1174" s="1205"/>
      <c r="Y1174" s="1185"/>
      <c r="Z1174" s="1185"/>
      <c r="AA1174" s="1185"/>
      <c r="AB1174" s="1185"/>
      <c r="AC1174" s="1185"/>
      <c r="AD1174" s="1185"/>
      <c r="AE1174" s="1185"/>
      <c r="AF1174" s="1185"/>
      <c r="AG1174" s="1185"/>
      <c r="AH1174" s="1185"/>
      <c r="AI1174" s="1185"/>
      <c r="AK1174" s="1204"/>
    </row>
    <row r="1175" spans="1:37">
      <c r="A1175" s="1184" t="s">
        <v>491</v>
      </c>
      <c r="C1175" s="1202">
        <f>C1170+C1171</f>
        <v>3523707</v>
      </c>
      <c r="D1175" s="269"/>
      <c r="E1175" s="1185"/>
      <c r="F1175" s="1210">
        <f>SUM(F1154:F1171)</f>
        <v>230756.78999999998</v>
      </c>
      <c r="G1175" s="269"/>
      <c r="H1175" s="1185"/>
      <c r="I1175" s="1210">
        <f>SUM(I1154:I1171)</f>
        <v>242978.35000000003</v>
      </c>
      <c r="J1175" s="269"/>
      <c r="K1175" s="1185"/>
      <c r="L1175" s="1210">
        <f>SUM(L1154:L1173)</f>
        <v>251865.61</v>
      </c>
      <c r="N1175" s="1185"/>
      <c r="O1175" s="1185"/>
      <c r="P1175" s="1186"/>
      <c r="Q1175" s="1186"/>
      <c r="R1175" s="1186"/>
      <c r="S1175" s="1185"/>
      <c r="T1175" s="1185"/>
      <c r="U1175" s="1185"/>
      <c r="V1175" s="1185"/>
      <c r="W1175" s="1185"/>
      <c r="X1175" s="1185"/>
      <c r="Y1175" s="1185"/>
      <c r="Z1175" s="1185"/>
      <c r="AA1175" s="1185"/>
      <c r="AB1175" s="1185"/>
      <c r="AC1175" s="1185"/>
      <c r="AD1175" s="1185"/>
      <c r="AE1175" s="1185"/>
      <c r="AF1175" s="1185"/>
      <c r="AG1175" s="1185"/>
      <c r="AH1175" s="1185"/>
      <c r="AI1175" s="1185"/>
    </row>
    <row r="1176" spans="1:37">
      <c r="A1176" s="1184" t="s">
        <v>492</v>
      </c>
      <c r="C1176" s="1202">
        <f>'[94]Table 2'!H122</f>
        <v>-307654.71277995309</v>
      </c>
      <c r="D1176" s="269"/>
      <c r="E1176" s="1185"/>
      <c r="F1176" s="1210" t="e">
        <f>#REF!</f>
        <v>#REF!</v>
      </c>
      <c r="G1176" s="269"/>
      <c r="H1176" s="1185"/>
      <c r="I1176" s="1210">
        <f>'[94]Table 3'!E122</f>
        <v>-19944.378113311941</v>
      </c>
      <c r="J1176" s="269"/>
      <c r="K1176" s="1185"/>
      <c r="L1176" s="1210">
        <f>I1176</f>
        <v>-19944.378113311941</v>
      </c>
      <c r="N1176" s="444"/>
      <c r="O1176" s="444"/>
      <c r="P1176" s="287"/>
      <c r="Q1176" s="1186"/>
      <c r="R1176" s="1186"/>
      <c r="S1176" s="1185"/>
      <c r="T1176" s="1185"/>
      <c r="U1176" s="1185"/>
      <c r="V1176" s="1185"/>
      <c r="W1176" s="1185"/>
      <c r="X1176" s="1185"/>
      <c r="Y1176" s="1185"/>
      <c r="Z1176" s="1185"/>
      <c r="AA1176" s="1185"/>
      <c r="AB1176" s="1185"/>
      <c r="AC1176" s="1185"/>
      <c r="AD1176" s="1185"/>
      <c r="AE1176" s="1185"/>
      <c r="AF1176" s="1185"/>
      <c r="AG1176" s="1185"/>
      <c r="AH1176" s="1185"/>
      <c r="AI1176" s="1185"/>
    </row>
    <row r="1177" spans="1:37" ht="16.5" thickBot="1">
      <c r="A1177" s="1219" t="s">
        <v>9</v>
      </c>
      <c r="B1177" s="1219"/>
      <c r="C1177" s="1321">
        <f>C1175+C1176</f>
        <v>3216052.2872200469</v>
      </c>
      <c r="D1177" s="1342"/>
      <c r="E1177" s="1343"/>
      <c r="F1177" s="1213" t="e">
        <f>F1175+F1176</f>
        <v>#REF!</v>
      </c>
      <c r="G1177" s="1344"/>
      <c r="H1177" s="1269"/>
      <c r="I1177" s="1213">
        <f>I1175+I1176</f>
        <v>223033.97188668809</v>
      </c>
      <c r="J1177" s="1344"/>
      <c r="K1177" s="1269"/>
      <c r="L1177" s="1213">
        <f>L1175+L1176</f>
        <v>231921.23188668804</v>
      </c>
      <c r="N1177" s="411"/>
      <c r="O1177" s="411"/>
      <c r="P1177" s="470"/>
      <c r="Q1177" s="1186"/>
      <c r="R1177" s="1186"/>
      <c r="S1177" s="1185"/>
      <c r="T1177" s="1185"/>
      <c r="U1177" s="1185"/>
      <c r="V1177" s="1185"/>
      <c r="W1177" s="1185"/>
      <c r="X1177" s="1185"/>
      <c r="Y1177" s="1185"/>
      <c r="Z1177" s="1185"/>
      <c r="AA1177" s="1185"/>
      <c r="AB1177" s="1185"/>
      <c r="AC1177" s="1185"/>
      <c r="AD1177" s="1185"/>
      <c r="AE1177" s="1185"/>
      <c r="AF1177" s="1185"/>
      <c r="AG1177" s="1185"/>
      <c r="AH1177" s="1185"/>
      <c r="AI1177" s="1185"/>
    </row>
    <row r="1178" spans="1:37" ht="16.5" thickTop="1">
      <c r="A1178" s="1219"/>
      <c r="B1178" s="1219"/>
      <c r="C1178" s="1313"/>
      <c r="D1178" s="1346"/>
      <c r="E1178" s="1277"/>
      <c r="F1178" s="1244"/>
      <c r="G1178" s="1346" t="s">
        <v>31</v>
      </c>
      <c r="H1178" s="1277"/>
      <c r="I1178" s="1244"/>
      <c r="J1178" s="1346" t="s">
        <v>31</v>
      </c>
      <c r="K1178" s="1277"/>
      <c r="L1178" s="1244" t="s">
        <v>31</v>
      </c>
      <c r="N1178" s="1185"/>
      <c r="O1178" s="1185"/>
      <c r="P1178" s="1186"/>
      <c r="Q1178" s="1186" t="s">
        <v>31</v>
      </c>
      <c r="R1178" s="1186"/>
      <c r="S1178" s="1185"/>
      <c r="T1178" s="1185"/>
      <c r="U1178" s="1185"/>
      <c r="V1178" s="1185"/>
      <c r="W1178" s="1185"/>
      <c r="X1178" s="1185"/>
      <c r="Y1178" s="1185"/>
      <c r="Z1178" s="1185"/>
      <c r="AA1178" s="1185"/>
      <c r="AB1178" s="1185"/>
      <c r="AC1178" s="1185"/>
      <c r="AD1178" s="1185"/>
      <c r="AE1178" s="1185"/>
      <c r="AF1178" s="1185"/>
      <c r="AG1178" s="1185"/>
      <c r="AH1178" s="1185"/>
      <c r="AI1178" s="1185"/>
    </row>
    <row r="1179" spans="1:37">
      <c r="A1179" s="1224" t="s">
        <v>499</v>
      </c>
      <c r="B1179" s="1219"/>
      <c r="C1179" s="1219"/>
      <c r="D1179" s="1219"/>
      <c r="E1179" s="1219"/>
      <c r="F1179" s="1219"/>
      <c r="G1179" s="1219"/>
      <c r="H1179" s="1219"/>
      <c r="I1179" s="1219"/>
      <c r="J1179" s="1219"/>
      <c r="K1179" s="1219"/>
      <c r="L1179" s="1219"/>
      <c r="N1179" s="1185"/>
      <c r="O1179" s="1185"/>
      <c r="P1179" s="1186"/>
      <c r="Q1179" s="1186"/>
      <c r="R1179" s="1186"/>
      <c r="S1179" s="1185"/>
      <c r="T1179" s="1185"/>
      <c r="U1179" s="1185"/>
      <c r="V1179" s="1185"/>
      <c r="W1179" s="1185"/>
      <c r="X1179" s="1185"/>
      <c r="Y1179" s="1185"/>
      <c r="Z1179" s="1185"/>
      <c r="AA1179" s="1185"/>
      <c r="AB1179" s="1185"/>
      <c r="AC1179" s="1185"/>
      <c r="AD1179" s="1185"/>
      <c r="AE1179" s="1185"/>
      <c r="AF1179" s="1185"/>
      <c r="AG1179" s="1185"/>
      <c r="AH1179" s="1185"/>
      <c r="AI1179" s="1185"/>
    </row>
    <row r="1180" spans="1:37">
      <c r="A1180" s="1219" t="s">
        <v>500</v>
      </c>
      <c r="B1180" s="1219"/>
      <c r="C1180" s="1219"/>
      <c r="D1180" s="1219"/>
      <c r="E1180" s="1219"/>
      <c r="F1180" s="1219"/>
      <c r="G1180" s="1219"/>
      <c r="H1180" s="1219"/>
      <c r="I1180" s="1219"/>
      <c r="J1180" s="1219"/>
      <c r="K1180" s="1219"/>
      <c r="L1180" s="1219"/>
      <c r="N1180" s="1185"/>
      <c r="O1180" s="1185"/>
      <c r="P1180" s="1186"/>
      <c r="Q1180" s="1186"/>
      <c r="R1180" s="1186"/>
      <c r="S1180" s="1185"/>
      <c r="T1180" s="1185"/>
      <c r="U1180" s="1185"/>
      <c r="V1180" s="1185"/>
      <c r="W1180" s="1185"/>
      <c r="X1180" s="1185"/>
      <c r="Y1180" s="1185"/>
      <c r="Z1180" s="1185"/>
      <c r="AA1180" s="1185"/>
      <c r="AB1180" s="1185"/>
      <c r="AC1180" s="1185"/>
      <c r="AD1180" s="1185"/>
      <c r="AE1180" s="1185"/>
      <c r="AF1180" s="1185"/>
      <c r="AG1180" s="1185"/>
      <c r="AH1180" s="1185"/>
      <c r="AI1180" s="1185"/>
    </row>
    <row r="1181" spans="1:37">
      <c r="A1181" s="1219"/>
      <c r="B1181" s="1219"/>
      <c r="C1181" s="1219"/>
      <c r="D1181" s="1317"/>
      <c r="E1181" s="1219"/>
      <c r="F1181" s="1219"/>
      <c r="G1181" s="1317"/>
      <c r="H1181" s="1219"/>
      <c r="I1181" s="1219"/>
      <c r="J1181" s="1317"/>
      <c r="K1181" s="1219"/>
      <c r="L1181" s="1219"/>
      <c r="N1181" s="1185"/>
      <c r="O1181" s="1185"/>
      <c r="P1181" s="1186"/>
      <c r="Q1181" s="1186"/>
      <c r="R1181" s="1186"/>
      <c r="S1181" s="1185"/>
      <c r="T1181" s="1185"/>
      <c r="U1181" s="1185"/>
      <c r="V1181" s="1185"/>
      <c r="W1181" s="1185"/>
      <c r="X1181" s="1185"/>
      <c r="Y1181" s="1185"/>
      <c r="Z1181" s="1185"/>
      <c r="AA1181" s="1185"/>
      <c r="AB1181" s="1185"/>
      <c r="AC1181" s="1185"/>
      <c r="AD1181" s="1185"/>
      <c r="AE1181" s="1185"/>
      <c r="AF1181" s="1185"/>
      <c r="AG1181" s="1185"/>
      <c r="AH1181" s="1185"/>
      <c r="AI1181" s="1185"/>
    </row>
    <row r="1182" spans="1:37">
      <c r="A1182" s="1219" t="s">
        <v>488</v>
      </c>
      <c r="B1182" s="1219"/>
      <c r="C1182" s="1225"/>
      <c r="D1182" s="1229"/>
      <c r="E1182" s="1219"/>
      <c r="F1182" s="1203">
        <v>0</v>
      </c>
      <c r="G1182" s="1229"/>
      <c r="H1182" s="1219"/>
      <c r="I1182" s="1203">
        <v>0</v>
      </c>
      <c r="J1182" s="1229"/>
      <c r="K1182" s="1219"/>
      <c r="L1182" s="1203">
        <f>F1182</f>
        <v>0</v>
      </c>
      <c r="N1182" s="1185"/>
      <c r="O1182" s="1185"/>
      <c r="P1182" s="1186"/>
      <c r="Q1182" s="1186"/>
      <c r="R1182" s="1186"/>
      <c r="S1182" s="1185"/>
      <c r="T1182" s="1185"/>
      <c r="U1182" s="1185"/>
      <c r="V1182" s="1185"/>
      <c r="W1182" s="1185"/>
      <c r="X1182" s="1185"/>
      <c r="Y1182" s="1185"/>
      <c r="Z1182" s="1185"/>
      <c r="AA1182" s="1185"/>
      <c r="AB1182" s="1185"/>
      <c r="AC1182" s="1185"/>
      <c r="AD1182" s="1185"/>
      <c r="AE1182" s="1185"/>
      <c r="AF1182" s="1185"/>
      <c r="AG1182" s="1185"/>
      <c r="AH1182" s="1185"/>
      <c r="AI1182" s="1185"/>
    </row>
    <row r="1183" spans="1:37">
      <c r="A1183" s="1219" t="s">
        <v>495</v>
      </c>
      <c r="B1183" s="1219"/>
      <c r="C1183" s="1202">
        <v>0</v>
      </c>
      <c r="D1183" s="1328">
        <v>6.4820000000000002</v>
      </c>
      <c r="E1183" s="1219" t="s">
        <v>374</v>
      </c>
      <c r="F1183" s="1340">
        <f>ROUND(C1183*D1183/100,0)</f>
        <v>0</v>
      </c>
      <c r="G1183" s="1316">
        <v>6.8330000000000002</v>
      </c>
      <c r="H1183" s="1219" t="s">
        <v>374</v>
      </c>
      <c r="I1183" s="1340">
        <f>ROUND(G1183*C1183/100,0)</f>
        <v>0</v>
      </c>
      <c r="J1183" s="1316">
        <f>J1170</f>
        <v>4.8</v>
      </c>
      <c r="K1183" s="1219" t="s">
        <v>374</v>
      </c>
      <c r="L1183" s="1203">
        <f>ROUND(C1183*J1183/100,0)</f>
        <v>0</v>
      </c>
      <c r="N1183" s="1185"/>
      <c r="O1183" s="1185"/>
      <c r="P1183" s="1186"/>
      <c r="Q1183" s="1186"/>
      <c r="R1183" s="1186"/>
      <c r="S1183" s="1185"/>
      <c r="T1183" s="1185"/>
      <c r="U1183" s="1185"/>
      <c r="V1183" s="1185"/>
      <c r="W1183" s="1185"/>
      <c r="X1183" s="1185"/>
      <c r="Y1183" s="1185"/>
      <c r="Z1183" s="1185"/>
      <c r="AA1183" s="1185"/>
      <c r="AB1183" s="1185"/>
      <c r="AC1183" s="1185"/>
      <c r="AD1183" s="1185"/>
      <c r="AE1183" s="1185"/>
      <c r="AF1183" s="1185"/>
      <c r="AG1183" s="1185"/>
      <c r="AH1183" s="1185"/>
      <c r="AI1183" s="1185"/>
    </row>
    <row r="1184" spans="1:37">
      <c r="A1184" s="1219" t="s">
        <v>496</v>
      </c>
      <c r="B1184" s="1219"/>
      <c r="C1184" s="1202">
        <f>1167081</f>
        <v>1167081</v>
      </c>
      <c r="D1184" s="1009">
        <v>6.4820000000000002</v>
      </c>
      <c r="E1184" s="1219" t="s">
        <v>374</v>
      </c>
      <c r="F1184" s="1340">
        <f>ROUND(C1184*D1184/100,0)</f>
        <v>75650</v>
      </c>
      <c r="G1184" s="1345">
        <v>6.8330000000000002</v>
      </c>
      <c r="H1184" s="1219" t="s">
        <v>374</v>
      </c>
      <c r="I1184" s="1340">
        <f>ROUND(G1184*C1184/100,0)</f>
        <v>79747</v>
      </c>
      <c r="J1184" s="1345">
        <f>J1183</f>
        <v>4.8</v>
      </c>
      <c r="K1184" s="1219" t="s">
        <v>374</v>
      </c>
      <c r="L1184" s="1203">
        <f>ROUND(J1184*$C1184/100,0)</f>
        <v>56020</v>
      </c>
      <c r="N1184" s="1185"/>
      <c r="O1184" s="1185"/>
      <c r="P1184" s="1186"/>
      <c r="Q1184" s="1186"/>
      <c r="R1184" s="1186"/>
      <c r="S1184" s="1185"/>
      <c r="T1184" s="1185"/>
      <c r="U1184" s="1185"/>
      <c r="V1184" s="1185"/>
      <c r="W1184" s="1185"/>
      <c r="X1184" s="1185"/>
      <c r="Y1184" s="1185"/>
      <c r="Z1184" s="1185"/>
      <c r="AA1184" s="1185"/>
      <c r="AB1184" s="1185"/>
      <c r="AC1184" s="1185"/>
      <c r="AD1184" s="1185"/>
      <c r="AE1184" s="1185"/>
      <c r="AF1184" s="1185"/>
      <c r="AG1184" s="1185"/>
      <c r="AH1184" s="1185"/>
      <c r="AI1184" s="1185"/>
    </row>
    <row r="1185" spans="1:37">
      <c r="A1185" s="1219" t="s">
        <v>362</v>
      </c>
      <c r="B1185" s="1219"/>
      <c r="C1185" s="1202">
        <f>1201</f>
        <v>1201</v>
      </c>
      <c r="D1185" s="1341"/>
      <c r="E1185" s="1219"/>
      <c r="F1185" s="1203"/>
      <c r="G1185" s="1341"/>
      <c r="H1185" s="1219"/>
      <c r="I1185" s="1203"/>
      <c r="J1185" s="1341"/>
      <c r="K1185" s="1219"/>
      <c r="L1185" s="1203"/>
      <c r="N1185" s="1185"/>
      <c r="O1185" s="1185"/>
      <c r="P1185" s="1186"/>
      <c r="Q1185" s="1186"/>
      <c r="R1185" s="1186"/>
      <c r="S1185" s="1185"/>
      <c r="T1185" s="1185"/>
      <c r="U1185" s="1185"/>
      <c r="V1185" s="1185"/>
      <c r="W1185" s="1185"/>
      <c r="X1185" s="1185"/>
      <c r="Y1185" s="1185"/>
      <c r="Z1185" s="1185"/>
      <c r="AA1185" s="1185"/>
      <c r="AB1185" s="1185"/>
      <c r="AC1185" s="1185"/>
      <c r="AD1185" s="1185"/>
      <c r="AE1185" s="1185"/>
      <c r="AF1185" s="1185"/>
      <c r="AG1185" s="1185"/>
      <c r="AH1185" s="1185"/>
      <c r="AI1185" s="1185"/>
    </row>
    <row r="1186" spans="1:37">
      <c r="A1186" s="1005" t="s">
        <v>928</v>
      </c>
      <c r="C1186" s="1202">
        <f>C1187</f>
        <v>1167081</v>
      </c>
      <c r="D1186" s="269"/>
      <c r="E1186" s="1185"/>
      <c r="F1186" s="1203"/>
      <c r="G1186" s="269"/>
      <c r="H1186" s="1185"/>
      <c r="I1186" s="1203"/>
      <c r="J1186" s="1230">
        <f>J1146</f>
        <v>2.2869999999999999</v>
      </c>
      <c r="K1186" s="1219" t="s">
        <v>374</v>
      </c>
      <c r="L1186" s="1041">
        <f>ROUND(J1186*$C1186/100,0)</f>
        <v>26691</v>
      </c>
      <c r="N1186" s="1204"/>
      <c r="P1186" s="815"/>
      <c r="Q1186" s="1184"/>
      <c r="R1186" s="1184"/>
      <c r="S1186" s="1205"/>
      <c r="T1186" s="1205"/>
      <c r="Y1186" s="1185"/>
      <c r="Z1186" s="1185"/>
      <c r="AA1186" s="1185"/>
      <c r="AB1186" s="1185"/>
      <c r="AC1186" s="1185"/>
      <c r="AD1186" s="1185"/>
      <c r="AE1186" s="1185"/>
      <c r="AF1186" s="1185"/>
      <c r="AG1186" s="1185"/>
      <c r="AH1186" s="1185"/>
      <c r="AI1186" s="1185"/>
      <c r="AK1186" s="1204"/>
    </row>
    <row r="1187" spans="1:37">
      <c r="A1187" s="1184" t="s">
        <v>491</v>
      </c>
      <c r="C1187" s="1202">
        <f>C1183+C1184</f>
        <v>1167081</v>
      </c>
      <c r="D1187" s="269"/>
      <c r="E1187" s="1185"/>
      <c r="F1187" s="1210">
        <f>SUM(F1182:F1184)</f>
        <v>75650</v>
      </c>
      <c r="G1187" s="269"/>
      <c r="H1187" s="1185"/>
      <c r="I1187" s="1210">
        <f>SUM(I1182:I1184)</f>
        <v>79747</v>
      </c>
      <c r="J1187" s="269"/>
      <c r="K1187" s="1185"/>
      <c r="L1187" s="1210">
        <f>SUM(L1182:L1186)</f>
        <v>82711</v>
      </c>
      <c r="N1187" s="1185"/>
      <c r="O1187" s="1185"/>
      <c r="P1187" s="1186"/>
      <c r="Q1187" s="1186"/>
      <c r="R1187" s="1186"/>
      <c r="S1187" s="1185"/>
      <c r="T1187" s="1185"/>
      <c r="U1187" s="1185"/>
      <c r="V1187" s="1185"/>
      <c r="W1187" s="1185"/>
      <c r="X1187" s="1185"/>
      <c r="Y1187" s="1185"/>
      <c r="Z1187" s="1185"/>
      <c r="AA1187" s="1185"/>
      <c r="AB1187" s="1185"/>
      <c r="AC1187" s="1185"/>
      <c r="AD1187" s="1185"/>
      <c r="AE1187" s="1185"/>
      <c r="AF1187" s="1185"/>
      <c r="AG1187" s="1185"/>
      <c r="AH1187" s="1185"/>
      <c r="AI1187" s="1185"/>
    </row>
    <row r="1188" spans="1:37">
      <c r="A1188" s="1184" t="s">
        <v>492</v>
      </c>
      <c r="C1188" s="1202">
        <f>'[94]Table 2'!H123</f>
        <v>-101897.79395560994</v>
      </c>
      <c r="D1188" s="269"/>
      <c r="E1188" s="1185"/>
      <c r="F1188" s="1210" t="e">
        <f>#REF!</f>
        <v>#REF!</v>
      </c>
      <c r="G1188" s="269"/>
      <c r="H1188" s="1185"/>
      <c r="I1188" s="1210">
        <f>'[94]Table 3'!E123</f>
        <v>-6553.3942164922319</v>
      </c>
      <c r="J1188" s="269"/>
      <c r="K1188" s="1185"/>
      <c r="L1188" s="1210">
        <f>I1188</f>
        <v>-6553.3942164922319</v>
      </c>
      <c r="N1188" s="444"/>
      <c r="O1188" s="444"/>
      <c r="P1188" s="287"/>
      <c r="Q1188" s="1186"/>
      <c r="R1188" s="1186"/>
      <c r="S1188" s="1185"/>
      <c r="T1188" s="1185"/>
      <c r="U1188" s="1185"/>
      <c r="V1188" s="1185"/>
      <c r="W1188" s="1185"/>
      <c r="X1188" s="1185"/>
      <c r="Y1188" s="1185"/>
      <c r="Z1188" s="1185"/>
      <c r="AA1188" s="1185"/>
      <c r="AB1188" s="1185"/>
      <c r="AC1188" s="1185"/>
      <c r="AD1188" s="1185"/>
      <c r="AE1188" s="1185"/>
      <c r="AF1188" s="1185"/>
      <c r="AG1188" s="1185"/>
      <c r="AH1188" s="1185"/>
      <c r="AI1188" s="1185"/>
    </row>
    <row r="1189" spans="1:37" ht="16.5" thickBot="1">
      <c r="A1189" s="1219" t="s">
        <v>9</v>
      </c>
      <c r="B1189" s="1219"/>
      <c r="C1189" s="1321">
        <f>C1187+C1188</f>
        <v>1065183.2060443901</v>
      </c>
      <c r="D1189" s="1342"/>
      <c r="E1189" s="1343"/>
      <c r="F1189" s="1213" t="e">
        <f>F1187+F1188</f>
        <v>#REF!</v>
      </c>
      <c r="G1189" s="1344"/>
      <c r="H1189" s="1269"/>
      <c r="I1189" s="1213">
        <f>I1187+I1188</f>
        <v>73193.605783507766</v>
      </c>
      <c r="J1189" s="1344"/>
      <c r="K1189" s="1269"/>
      <c r="L1189" s="1213">
        <f>L1187+L1188</f>
        <v>76157.605783507766</v>
      </c>
      <c r="N1189" s="411"/>
      <c r="O1189" s="411"/>
      <c r="P1189" s="470"/>
      <c r="Q1189" s="1186"/>
      <c r="R1189" s="1186"/>
      <c r="S1189" s="1185"/>
      <c r="T1189" s="1185"/>
      <c r="U1189" s="1185"/>
      <c r="V1189" s="1185"/>
      <c r="W1189" s="1185"/>
      <c r="X1189" s="1185"/>
      <c r="Y1189" s="1185"/>
      <c r="Z1189" s="1185"/>
      <c r="AA1189" s="1185"/>
      <c r="AB1189" s="1185"/>
      <c r="AC1189" s="1185"/>
      <c r="AD1189" s="1185"/>
      <c r="AE1189" s="1185"/>
      <c r="AF1189" s="1185"/>
      <c r="AG1189" s="1185"/>
      <c r="AH1189" s="1185"/>
      <c r="AI1189" s="1185"/>
    </row>
    <row r="1190" spans="1:37" ht="16.5" thickTop="1">
      <c r="A1190" s="1219"/>
      <c r="B1190" s="1219"/>
      <c r="C1190" s="1313"/>
      <c r="D1190" s="1346"/>
      <c r="E1190" s="1277"/>
      <c r="F1190" s="1244"/>
      <c r="G1190" s="1346" t="s">
        <v>31</v>
      </c>
      <c r="H1190" s="1277"/>
      <c r="I1190" s="1244"/>
      <c r="J1190" s="1346" t="s">
        <v>31</v>
      </c>
      <c r="K1190" s="1277"/>
      <c r="L1190" s="1244" t="s">
        <v>31</v>
      </c>
      <c r="N1190" s="1185"/>
      <c r="O1190" s="1185"/>
      <c r="P1190" s="1186"/>
      <c r="Q1190" s="1186"/>
      <c r="R1190" s="1186"/>
      <c r="S1190" s="1185"/>
      <c r="T1190" s="1185"/>
      <c r="U1190" s="1185"/>
      <c r="V1190" s="1185"/>
      <c r="W1190" s="1185"/>
      <c r="X1190" s="1185"/>
      <c r="Y1190" s="1185"/>
      <c r="Z1190" s="1185"/>
      <c r="AA1190" s="1185"/>
      <c r="AB1190" s="1185"/>
      <c r="AC1190" s="1185"/>
      <c r="AD1190" s="1185"/>
      <c r="AE1190" s="1185"/>
      <c r="AF1190" s="1185"/>
      <c r="AG1190" s="1185"/>
      <c r="AH1190" s="1185"/>
      <c r="AI1190" s="1185"/>
    </row>
    <row r="1191" spans="1:37">
      <c r="A1191" s="1224" t="s">
        <v>501</v>
      </c>
      <c r="B1191" s="1219"/>
      <c r="C1191" s="1219"/>
      <c r="D1191" s="1219"/>
      <c r="E1191" s="1219"/>
      <c r="F1191" s="1219"/>
      <c r="G1191" s="1219"/>
      <c r="H1191" s="1219"/>
      <c r="I1191" s="1219"/>
      <c r="J1191" s="1219"/>
      <c r="K1191" s="1219"/>
      <c r="L1191" s="1219" t="s">
        <v>31</v>
      </c>
      <c r="N1191" s="1185"/>
      <c r="O1191" s="1185"/>
      <c r="P1191" s="1186"/>
      <c r="Q1191" s="1186"/>
      <c r="R1191" s="1186"/>
      <c r="S1191" s="1185"/>
      <c r="T1191" s="1185"/>
      <c r="U1191" s="1185"/>
      <c r="V1191" s="1185"/>
      <c r="W1191" s="1185"/>
      <c r="X1191" s="1185"/>
      <c r="Y1191" s="1185"/>
      <c r="Z1191" s="1185"/>
      <c r="AA1191" s="1185"/>
      <c r="AB1191" s="1185"/>
      <c r="AC1191" s="1185"/>
      <c r="AD1191" s="1185"/>
      <c r="AE1191" s="1185"/>
      <c r="AF1191" s="1185"/>
      <c r="AG1191" s="1185"/>
      <c r="AH1191" s="1185"/>
      <c r="AI1191" s="1185"/>
    </row>
    <row r="1192" spans="1:37">
      <c r="A1192" s="1219" t="s">
        <v>192</v>
      </c>
      <c r="B1192" s="1219"/>
      <c r="C1192" s="1219"/>
      <c r="D1192" s="1219"/>
      <c r="E1192" s="1219"/>
      <c r="F1192" s="1219"/>
      <c r="G1192" s="1219"/>
      <c r="H1192" s="1219"/>
      <c r="I1192" s="1219"/>
      <c r="J1192" s="1219"/>
      <c r="K1192" s="1219"/>
      <c r="L1192" s="1219"/>
      <c r="N1192" s="1185"/>
      <c r="O1192" s="1185"/>
      <c r="P1192" s="1186"/>
      <c r="Q1192" s="1186"/>
      <c r="R1192" s="1186"/>
      <c r="S1192" s="1185"/>
      <c r="T1192" s="1185"/>
      <c r="U1192" s="1185"/>
      <c r="V1192" s="1185"/>
      <c r="W1192" s="1185"/>
      <c r="X1192" s="1185"/>
      <c r="Y1192" s="1185"/>
      <c r="Z1192" s="1185"/>
      <c r="AA1192" s="1185"/>
      <c r="AB1192" s="1185"/>
      <c r="AC1192" s="1185"/>
      <c r="AD1192" s="1185"/>
      <c r="AE1192" s="1185"/>
      <c r="AF1192" s="1185"/>
      <c r="AG1192" s="1185"/>
      <c r="AH1192" s="1185"/>
      <c r="AI1192" s="1185"/>
    </row>
    <row r="1193" spans="1:37">
      <c r="A1193" s="1219"/>
      <c r="B1193" s="1219"/>
      <c r="C1193" s="1219"/>
      <c r="D1193" s="1219"/>
      <c r="E1193" s="1219"/>
      <c r="F1193" s="1219"/>
      <c r="G1193" s="1219"/>
      <c r="H1193" s="1219"/>
      <c r="I1193" s="1219"/>
      <c r="J1193" s="1219"/>
      <c r="K1193" s="1219"/>
      <c r="L1193" s="1219"/>
      <c r="N1193" s="1185"/>
      <c r="O1193" s="1185"/>
      <c r="P1193" s="1186"/>
      <c r="Q1193" s="1186"/>
      <c r="R1193" s="1186"/>
      <c r="S1193" s="1185"/>
      <c r="T1193" s="1185"/>
      <c r="U1193" s="1185"/>
      <c r="V1193" s="1185"/>
      <c r="W1193" s="1185"/>
      <c r="X1193" s="1185"/>
      <c r="Y1193" s="1185"/>
      <c r="Z1193" s="1185"/>
      <c r="AA1193" s="1185"/>
      <c r="AB1193" s="1185"/>
      <c r="AC1193" s="1185"/>
      <c r="AD1193" s="1185"/>
      <c r="AE1193" s="1185"/>
      <c r="AF1193" s="1185"/>
      <c r="AG1193" s="1185"/>
      <c r="AH1193" s="1185"/>
      <c r="AI1193" s="1185"/>
    </row>
    <row r="1194" spans="1:37">
      <c r="A1194" s="1219" t="s">
        <v>502</v>
      </c>
      <c r="B1194" s="1219"/>
      <c r="C1194" s="1225">
        <f>177</f>
        <v>177</v>
      </c>
      <c r="D1194" s="1229">
        <v>3.5</v>
      </c>
      <c r="E1194" s="1219"/>
      <c r="F1194" s="1203">
        <f>ROUND(D1194*C1194,0)</f>
        <v>620</v>
      </c>
      <c r="G1194" s="1229">
        <v>3.75</v>
      </c>
      <c r="H1194" s="1219"/>
      <c r="I1194" s="1203">
        <f>ROUND(C1194*G1194,0)</f>
        <v>664</v>
      </c>
      <c r="J1194" s="1229">
        <v>4</v>
      </c>
      <c r="K1194" s="1219"/>
      <c r="L1194" s="1203">
        <f>ROUND(J1194*$C1194,0)</f>
        <v>708</v>
      </c>
      <c r="N1194" s="1204" t="e">
        <f>J1194*#REF!</f>
        <v>#REF!</v>
      </c>
      <c r="O1194" s="1185"/>
      <c r="P1194" s="1348"/>
      <c r="Q1194" s="1348"/>
      <c r="R1194" s="1348"/>
      <c r="S1194" s="1185"/>
      <c r="T1194" s="1185"/>
      <c r="U1194" s="1185"/>
      <c r="V1194" s="1185"/>
      <c r="W1194" s="1185"/>
      <c r="X1194" s="1185"/>
      <c r="Y1194" s="1185"/>
      <c r="Z1194" s="1185"/>
      <c r="AA1194" s="1185"/>
      <c r="AB1194" s="1185"/>
      <c r="AC1194" s="1185"/>
      <c r="AD1194" s="1185"/>
      <c r="AE1194" s="1185"/>
      <c r="AF1194" s="1185"/>
      <c r="AG1194" s="1185"/>
      <c r="AH1194" s="1185"/>
      <c r="AI1194" s="1185"/>
    </row>
    <row r="1195" spans="1:37">
      <c r="A1195" s="1219" t="s">
        <v>503</v>
      </c>
      <c r="B1195" s="1219"/>
      <c r="C1195" s="1225">
        <f>172</f>
        <v>172</v>
      </c>
      <c r="D1195" s="1229">
        <v>6.5</v>
      </c>
      <c r="E1195" s="1219"/>
      <c r="F1195" s="1203">
        <f>ROUND(D1195*C1195,0)</f>
        <v>1118</v>
      </c>
      <c r="G1195" s="1229">
        <v>6.75</v>
      </c>
      <c r="H1195" s="1219"/>
      <c r="I1195" s="1203">
        <f>ROUND(C1195*G1195,0)</f>
        <v>1161</v>
      </c>
      <c r="J1195" s="1229">
        <v>7</v>
      </c>
      <c r="K1195" s="1219"/>
      <c r="L1195" s="1203">
        <f>ROUND(J1195*$C1195,0)</f>
        <v>1204</v>
      </c>
      <c r="N1195" s="1204" t="e">
        <f>J1195*#REF!</f>
        <v>#REF!</v>
      </c>
      <c r="O1195" s="1185"/>
      <c r="P1195" s="1348"/>
      <c r="Q1195" s="1348"/>
      <c r="R1195" s="1348"/>
      <c r="S1195" s="1185"/>
      <c r="T1195" s="1185"/>
      <c r="U1195" s="1185"/>
      <c r="V1195" s="1185"/>
      <c r="W1195" s="1185"/>
      <c r="X1195" s="1185"/>
      <c r="Y1195" s="1185"/>
      <c r="Z1195" s="1185"/>
      <c r="AA1195" s="1185"/>
      <c r="AB1195" s="1185"/>
      <c r="AC1195" s="1185"/>
      <c r="AD1195" s="1185"/>
      <c r="AE1195" s="1185"/>
      <c r="AF1195" s="1185"/>
      <c r="AG1195" s="1185"/>
      <c r="AH1195" s="1185"/>
      <c r="AI1195" s="1185"/>
    </row>
    <row r="1196" spans="1:37">
      <c r="A1196" s="1219" t="s">
        <v>504</v>
      </c>
      <c r="B1196" s="1219"/>
      <c r="C1196" s="1225">
        <f>SUM(C1194:C1195)</f>
        <v>349</v>
      </c>
      <c r="D1196" s="1236"/>
      <c r="E1196" s="1219"/>
      <c r="F1196" s="1340"/>
      <c r="G1196" s="1236"/>
      <c r="H1196" s="1219"/>
      <c r="I1196" s="1340"/>
      <c r="J1196" s="1236"/>
      <c r="K1196" s="1219"/>
      <c r="L1196" s="1203"/>
      <c r="N1196" s="1185"/>
      <c r="O1196" s="1185"/>
      <c r="P1196" s="1348"/>
      <c r="Q1196" s="1348"/>
      <c r="R1196" s="1348"/>
      <c r="S1196" s="1185"/>
      <c r="T1196" s="1185"/>
      <c r="U1196" s="1185"/>
      <c r="V1196" s="1185"/>
      <c r="W1196" s="1185"/>
      <c r="X1196" s="1185"/>
      <c r="Y1196" s="1185"/>
      <c r="Z1196" s="1185"/>
      <c r="AA1196" s="1185"/>
      <c r="AB1196" s="1185"/>
      <c r="AC1196" s="1185"/>
      <c r="AD1196" s="1185"/>
      <c r="AE1196" s="1185"/>
      <c r="AF1196" s="1185"/>
      <c r="AG1196" s="1185"/>
      <c r="AH1196" s="1185"/>
      <c r="AI1196" s="1185"/>
    </row>
    <row r="1197" spans="1:37">
      <c r="A1197" s="1219" t="s">
        <v>464</v>
      </c>
      <c r="B1197" s="1219"/>
      <c r="C1197" s="1225">
        <f>77267+205979</f>
        <v>283246</v>
      </c>
      <c r="D1197" s="806">
        <v>7.7190000000000003</v>
      </c>
      <c r="E1197" s="1219" t="s">
        <v>374</v>
      </c>
      <c r="F1197" s="1340">
        <f>ROUND(C1197*D1197/100,0)</f>
        <v>21864</v>
      </c>
      <c r="G1197" s="806">
        <v>8.1110000000000007</v>
      </c>
      <c r="H1197" s="1203" t="s">
        <v>374</v>
      </c>
      <c r="I1197" s="1340">
        <f>ROUND(G1197*C1197/100,0)</f>
        <v>22974</v>
      </c>
      <c r="J1197" s="806">
        <v>6.1420000000000003</v>
      </c>
      <c r="K1197" s="1203" t="s">
        <v>374</v>
      </c>
      <c r="L1197" s="1203">
        <f>ROUND(J1197*$C1197/100,0)</f>
        <v>17397</v>
      </c>
      <c r="N1197" s="1204" t="e">
        <f>(J1197/100)*#REF!</f>
        <v>#REF!</v>
      </c>
      <c r="O1197" s="1185"/>
      <c r="P1197" s="1348"/>
      <c r="Q1197" s="1348"/>
      <c r="R1197" s="1348"/>
      <c r="S1197" s="1185"/>
      <c r="T1197" s="1185"/>
      <c r="U1197" s="1185"/>
      <c r="V1197" s="1185"/>
      <c r="W1197" s="1185"/>
      <c r="X1197" s="1185"/>
      <c r="Y1197" s="1185"/>
      <c r="Z1197" s="1185"/>
      <c r="AA1197" s="1185"/>
      <c r="AB1197" s="1185"/>
      <c r="AC1197" s="1185"/>
      <c r="AD1197" s="1185"/>
      <c r="AE1197" s="1185"/>
      <c r="AF1197" s="1185"/>
      <c r="AG1197" s="1185"/>
      <c r="AH1197" s="1185"/>
      <c r="AI1197" s="1185"/>
    </row>
    <row r="1198" spans="1:37">
      <c r="A1198" s="1005" t="s">
        <v>928</v>
      </c>
      <c r="C1198" s="1202">
        <f>C1200</f>
        <v>283246</v>
      </c>
      <c r="D1198" s="269"/>
      <c r="E1198" s="1185"/>
      <c r="F1198" s="1203"/>
      <c r="G1198" s="269"/>
      <c r="H1198" s="1185"/>
      <c r="I1198" s="1203"/>
      <c r="J1198" s="1230">
        <f>ROUND(O1198/C1198*100,3)</f>
        <v>2.2869999999999999</v>
      </c>
      <c r="K1198" s="1041" t="s">
        <v>374</v>
      </c>
      <c r="L1198" s="1041">
        <f>ROUND(J1198*$C1198/100,0)</f>
        <v>6478</v>
      </c>
      <c r="N1198" s="1204"/>
      <c r="O1198" s="1204">
        <f>'[94]NPC Spread'!J41</f>
        <v>6477.0695393212054</v>
      </c>
      <c r="P1198" s="815" t="s">
        <v>913</v>
      </c>
      <c r="Q1198" s="1184"/>
      <c r="R1198" s="1184"/>
      <c r="S1198" s="1205"/>
      <c r="T1198" s="1205"/>
      <c r="Y1198" s="1185"/>
      <c r="Z1198" s="1185"/>
      <c r="AA1198" s="1185"/>
      <c r="AB1198" s="1185"/>
      <c r="AC1198" s="1185"/>
      <c r="AD1198" s="1185"/>
      <c r="AE1198" s="1185"/>
      <c r="AF1198" s="1185"/>
      <c r="AG1198" s="1185"/>
      <c r="AH1198" s="1185"/>
      <c r="AI1198" s="1185"/>
      <c r="AK1198" s="1204"/>
    </row>
    <row r="1199" spans="1:37">
      <c r="A1199" s="1509" t="s">
        <v>931</v>
      </c>
      <c r="B1199" s="1510"/>
      <c r="C1199" s="1524"/>
      <c r="D1199" s="1512"/>
      <c r="E1199" s="1513"/>
      <c r="F1199" s="1514"/>
      <c r="G1199" s="1520">
        <f>G1197</f>
        <v>8.1110000000000007</v>
      </c>
      <c r="H1199" s="1514" t="s">
        <v>374</v>
      </c>
      <c r="I1199" s="1514"/>
      <c r="J1199" s="1520">
        <f>J1197+J1198</f>
        <v>8.4290000000000003</v>
      </c>
      <c r="K1199" s="1514" t="s">
        <v>374</v>
      </c>
      <c r="L1199" s="1521"/>
      <c r="N1199" s="1204"/>
      <c r="O1199" s="1204"/>
      <c r="P1199" s="815"/>
      <c r="R1199" s="1184"/>
      <c r="S1199" s="1205"/>
      <c r="T1199" s="1205"/>
      <c r="Y1199" s="1185"/>
      <c r="Z1199" s="1185"/>
      <c r="AA1199" s="1185"/>
      <c r="AB1199" s="1185"/>
      <c r="AC1199" s="1185"/>
      <c r="AD1199" s="1185"/>
      <c r="AE1199" s="1185"/>
      <c r="AF1199" s="1185"/>
      <c r="AG1199" s="1185"/>
      <c r="AH1199" s="1185"/>
      <c r="AI1199" s="1185"/>
      <c r="AK1199" s="1204"/>
    </row>
    <row r="1200" spans="1:37">
      <c r="A1200" s="1219" t="s">
        <v>381</v>
      </c>
      <c r="B1200" s="1219"/>
      <c r="C1200" s="1026">
        <f>SUM(C1197)</f>
        <v>283246</v>
      </c>
      <c r="D1200" s="1225"/>
      <c r="E1200" s="1225"/>
      <c r="F1200" s="1340">
        <f>SUM(F1194:F1197)</f>
        <v>23602</v>
      </c>
      <c r="G1200" s="1225"/>
      <c r="H1200" s="1203"/>
      <c r="I1200" s="1340">
        <f>SUM(I1194:I1197)</f>
        <v>24799</v>
      </c>
      <c r="J1200" s="1225"/>
      <c r="K1200" s="1203"/>
      <c r="L1200" s="1340">
        <f>SUM(L1194:L1198)</f>
        <v>25787</v>
      </c>
      <c r="N1200" s="1274" t="e">
        <f>SUM(N1194:N1197)</f>
        <v>#REF!</v>
      </c>
      <c r="O1200" s="1185"/>
      <c r="P1200" s="1186"/>
      <c r="Q1200" s="1186"/>
      <c r="R1200" s="1186"/>
      <c r="S1200" s="1185"/>
      <c r="T1200" s="1185"/>
      <c r="U1200" s="1185"/>
      <c r="V1200" s="1185"/>
      <c r="W1200" s="1185"/>
      <c r="X1200" s="1185"/>
      <c r="Y1200" s="1185"/>
      <c r="Z1200" s="1185"/>
      <c r="AA1200" s="1185"/>
      <c r="AB1200" s="1185"/>
      <c r="AC1200" s="1185"/>
      <c r="AD1200" s="1185"/>
      <c r="AE1200" s="1185"/>
      <c r="AF1200" s="1185"/>
      <c r="AG1200" s="1185"/>
      <c r="AH1200" s="1185"/>
      <c r="AI1200" s="1185"/>
    </row>
    <row r="1201" spans="1:35">
      <c r="A1201" s="1219" t="s">
        <v>363</v>
      </c>
      <c r="B1201" s="1219"/>
      <c r="C1201" s="1032">
        <f>'[94]Table 2'!H53</f>
        <v>-730.25779208267056</v>
      </c>
      <c r="D1201" s="1349"/>
      <c r="E1201" s="1349"/>
      <c r="F1201" s="1350" t="e">
        <f>#REF!</f>
        <v>#REF!</v>
      </c>
      <c r="G1201" s="1351"/>
      <c r="H1201" s="1351"/>
      <c r="I1201" s="1350">
        <f>'[94]Table 3'!E53</f>
        <v>-73.380560007788219</v>
      </c>
      <c r="J1201" s="1351"/>
      <c r="K1201" s="1351"/>
      <c r="L1201" s="1350">
        <f>I1201</f>
        <v>-73.380560007788219</v>
      </c>
      <c r="N1201" s="289"/>
      <c r="O1201" s="289"/>
      <c r="P1201" s="290"/>
      <c r="Q1201" s="1186"/>
      <c r="R1201" s="1186"/>
      <c r="S1201" s="1185"/>
      <c r="T1201" s="1185"/>
      <c r="U1201" s="1185"/>
      <c r="V1201" s="1185"/>
      <c r="W1201" s="1185"/>
      <c r="X1201" s="1185"/>
      <c r="Y1201" s="1185"/>
      <c r="Z1201" s="1185"/>
      <c r="AA1201" s="1185"/>
      <c r="AB1201" s="1185"/>
      <c r="AC1201" s="1185"/>
      <c r="AD1201" s="1185"/>
      <c r="AE1201" s="1185"/>
      <c r="AF1201" s="1185"/>
      <c r="AG1201" s="1185"/>
      <c r="AH1201" s="1185"/>
      <c r="AI1201" s="1185"/>
    </row>
    <row r="1202" spans="1:35" ht="16.5" thickBot="1">
      <c r="A1202" s="1219" t="s">
        <v>382</v>
      </c>
      <c r="B1202" s="1219"/>
      <c r="C1202" s="1289">
        <f>C1200+C1201</f>
        <v>282515.74220791733</v>
      </c>
      <c r="D1202" s="1269"/>
      <c r="E1202" s="1269"/>
      <c r="F1202" s="1214" t="e">
        <f>F1200+F1201</f>
        <v>#REF!</v>
      </c>
      <c r="G1202" s="1269"/>
      <c r="H1202" s="1269"/>
      <c r="I1202" s="1214">
        <f>I1200+I1201</f>
        <v>24725.619439992213</v>
      </c>
      <c r="J1202" s="1269"/>
      <c r="K1202" s="1269"/>
      <c r="L1202" s="1214">
        <f>L1200+L1201</f>
        <v>25713.619439992213</v>
      </c>
      <c r="N1202" s="291"/>
      <c r="O1202" s="788" t="s">
        <v>409</v>
      </c>
      <c r="P1202" s="1216">
        <f>'[94]Rate Spread'!Q29*1000</f>
        <v>25714.6442175919</v>
      </c>
      <c r="Q1202" s="818">
        <f>(J1199-G1199)/G1199</f>
        <v>3.9206016520774205E-2</v>
      </c>
      <c r="R1202" s="1186"/>
      <c r="S1202" s="1185"/>
      <c r="T1202" s="1185"/>
      <c r="U1202" s="1185"/>
      <c r="V1202" s="1185"/>
      <c r="W1202" s="1185"/>
      <c r="X1202" s="1185"/>
      <c r="Y1202" s="1185"/>
      <c r="Z1202" s="1185"/>
      <c r="AA1202" s="1185"/>
      <c r="AB1202" s="1185"/>
      <c r="AC1202" s="1185"/>
      <c r="AD1202" s="1185"/>
      <c r="AE1202" s="1185"/>
      <c r="AF1202" s="1185"/>
      <c r="AG1202" s="1185"/>
      <c r="AH1202" s="1185"/>
      <c r="AI1202" s="1185"/>
    </row>
    <row r="1203" spans="1:35" ht="16.5" thickTop="1">
      <c r="A1203" s="1219"/>
      <c r="B1203" s="1242"/>
      <c r="C1203" s="1219"/>
      <c r="D1203" s="1219"/>
      <c r="E1203" s="1219"/>
      <c r="F1203" s="1219"/>
      <c r="G1203" s="1219" t="s">
        <v>31</v>
      </c>
      <c r="H1203" s="1219"/>
      <c r="I1203" s="1219"/>
      <c r="J1203" s="1219" t="s">
        <v>31</v>
      </c>
      <c r="K1203" s="1219"/>
      <c r="L1203" s="1203" t="s">
        <v>31</v>
      </c>
      <c r="N1203" s="1185"/>
      <c r="O1203" s="789" t="s">
        <v>263</v>
      </c>
      <c r="P1203" s="1221">
        <f>P1202-L1202</f>
        <v>1.0247775996867858</v>
      </c>
      <c r="Q1203" s="1271" t="s">
        <v>31</v>
      </c>
      <c r="R1203" s="1223"/>
      <c r="S1203" s="1185"/>
      <c r="T1203" s="1185"/>
      <c r="U1203" s="1185"/>
      <c r="V1203" s="1185"/>
      <c r="W1203" s="1185"/>
      <c r="X1203" s="1185"/>
      <c r="Y1203" s="1185"/>
      <c r="Z1203" s="1185"/>
      <c r="AA1203" s="1185"/>
      <c r="AB1203" s="1185"/>
      <c r="AC1203" s="1185"/>
      <c r="AD1203" s="1185"/>
      <c r="AE1203" s="1185"/>
      <c r="AF1203" s="1185"/>
      <c r="AG1203" s="1185"/>
      <c r="AH1203" s="1185"/>
      <c r="AI1203" s="1185"/>
    </row>
    <row r="1204" spans="1:35">
      <c r="A1204" s="1200" t="s">
        <v>505</v>
      </c>
      <c r="B1204" s="1233"/>
      <c r="C1204" s="1233"/>
      <c r="D1204" s="1233"/>
      <c r="E1204" s="1233"/>
      <c r="F1204" s="1233"/>
      <c r="G1204" s="1233"/>
      <c r="H1204" s="1233"/>
      <c r="I1204" s="1233"/>
      <c r="J1204" s="1233"/>
      <c r="K1204" s="1233"/>
      <c r="L1204" s="1233"/>
      <c r="N1204" s="1185"/>
      <c r="O1204" s="1185"/>
      <c r="P1204" s="1186"/>
      <c r="Q1204" s="1186"/>
      <c r="R1204" s="1186"/>
      <c r="S1204" s="1185"/>
      <c r="T1204" s="1185"/>
      <c r="U1204" s="1185"/>
      <c r="V1204" s="1185"/>
      <c r="W1204" s="1185"/>
      <c r="X1204" s="1185"/>
      <c r="Y1204" s="1185"/>
      <c r="Z1204" s="1185"/>
      <c r="AA1204" s="1185"/>
      <c r="AB1204" s="1185"/>
      <c r="AC1204" s="1185"/>
      <c r="AD1204" s="1185"/>
      <c r="AE1204" s="1185"/>
      <c r="AF1204" s="1185"/>
      <c r="AG1204" s="1185"/>
      <c r="AH1204" s="1185"/>
      <c r="AI1204" s="1185"/>
    </row>
    <row r="1205" spans="1:35">
      <c r="A1205" s="1233" t="s">
        <v>506</v>
      </c>
      <c r="B1205" s="1233"/>
      <c r="C1205" s="1233"/>
      <c r="D1205" s="1233"/>
      <c r="E1205" s="1233"/>
      <c r="F1205" s="1233"/>
      <c r="G1205" s="1233"/>
      <c r="H1205" s="1233"/>
      <c r="I1205" s="1233"/>
      <c r="J1205" s="1233"/>
      <c r="K1205" s="1233"/>
      <c r="L1205" s="1233"/>
      <c r="N1205" s="278"/>
      <c r="O1205" s="278"/>
      <c r="P1205" s="278"/>
      <c r="Q1205" s="278"/>
      <c r="R1205" s="278"/>
      <c r="S1205" s="278"/>
      <c r="T1205" s="278"/>
      <c r="U1205" s="278"/>
      <c r="V1205" s="278"/>
      <c r="W1205" s="278"/>
      <c r="X1205" s="278"/>
      <c r="Y1205" s="278"/>
      <c r="Z1205" s="278"/>
      <c r="AA1205" s="278"/>
      <c r="AB1205" s="278"/>
      <c r="AC1205" s="278"/>
      <c r="AD1205" s="278"/>
      <c r="AE1205" s="1185"/>
      <c r="AF1205" s="1185"/>
      <c r="AG1205" s="1185"/>
      <c r="AH1205" s="1185"/>
      <c r="AI1205" s="1185"/>
    </row>
    <row r="1206" spans="1:35">
      <c r="A1206" s="1352" t="s">
        <v>507</v>
      </c>
      <c r="B1206" s="1233"/>
      <c r="C1206" s="1233"/>
      <c r="D1206" s="1233"/>
      <c r="E1206" s="1233"/>
      <c r="F1206" s="1233"/>
      <c r="G1206" s="1233"/>
      <c r="H1206" s="1233"/>
      <c r="I1206" s="1233"/>
      <c r="J1206" s="1233"/>
      <c r="K1206" s="1233"/>
      <c r="L1206" s="1233"/>
      <c r="N1206" s="278"/>
      <c r="O1206" s="278"/>
      <c r="P1206" s="278"/>
      <c r="Q1206" s="278"/>
      <c r="R1206" s="278"/>
      <c r="S1206" s="278"/>
      <c r="T1206" s="278"/>
      <c r="U1206" s="278"/>
      <c r="V1206" s="278"/>
      <c r="W1206" s="278"/>
      <c r="X1206" s="278"/>
      <c r="Y1206" s="278"/>
      <c r="Z1206" s="278"/>
      <c r="AA1206" s="278"/>
      <c r="AB1206" s="278"/>
      <c r="AC1206" s="278"/>
      <c r="AD1206" s="278"/>
      <c r="AE1206" s="1185"/>
      <c r="AF1206" s="1185"/>
      <c r="AG1206" s="1185"/>
      <c r="AH1206" s="1185"/>
      <c r="AI1206" s="1185"/>
    </row>
    <row r="1207" spans="1:35">
      <c r="A1207" s="1184" t="s">
        <v>508</v>
      </c>
      <c r="F1207" s="1201"/>
      <c r="I1207" s="1201"/>
      <c r="N1207" s="278"/>
      <c r="O1207" s="278"/>
      <c r="P1207" s="278"/>
      <c r="Q1207" s="1186"/>
      <c r="R1207" s="1186"/>
      <c r="S1207" s="279"/>
      <c r="T1207" s="279"/>
      <c r="U1207" s="280"/>
      <c r="V1207" s="280"/>
      <c r="W1207" s="280"/>
      <c r="X1207" s="280"/>
      <c r="Y1207" s="431"/>
      <c r="Z1207" s="282"/>
      <c r="AA1207" s="278"/>
      <c r="AB1207" s="278"/>
      <c r="AC1207" s="278"/>
      <c r="AD1207" s="278"/>
      <c r="AE1207" s="1185"/>
      <c r="AF1207" s="1185"/>
      <c r="AG1207" s="1185"/>
      <c r="AH1207" s="1185"/>
      <c r="AI1207" s="1185"/>
    </row>
    <row r="1208" spans="1:35">
      <c r="A1208" s="1184" t="s">
        <v>354</v>
      </c>
      <c r="C1208" s="1202">
        <f>12985</f>
        <v>12985</v>
      </c>
      <c r="D1208" s="265">
        <v>9.25</v>
      </c>
      <c r="F1208" s="1203">
        <f>ROUND(D1208*$C1208,0)</f>
        <v>120111</v>
      </c>
      <c r="G1208" s="265">
        <v>9.75</v>
      </c>
      <c r="I1208" s="1203">
        <f>ROUND(C1208*G1208,0)</f>
        <v>126604</v>
      </c>
      <c r="J1208" s="265">
        <f>ROUND(G1208+(G1208*$Q$1241),2)</f>
        <v>8.27</v>
      </c>
      <c r="L1208" s="1203">
        <f>ROUND(J1208*$C1208,0)</f>
        <v>107386</v>
      </c>
      <c r="N1208" s="1204" t="e">
        <f>J1208*#REF!</f>
        <v>#REF!</v>
      </c>
      <c r="O1208" s="1185"/>
      <c r="P1208" s="281"/>
      <c r="Q1208" s="1186"/>
      <c r="R1208" s="1186"/>
      <c r="S1208" s="403"/>
      <c r="T1208" s="403"/>
      <c r="U1208" s="283"/>
      <c r="V1208" s="283"/>
      <c r="W1208" s="283"/>
      <c r="X1208" s="283"/>
      <c r="Y1208" s="284"/>
      <c r="Z1208" s="278"/>
      <c r="AA1208" s="281"/>
      <c r="AB1208" s="281"/>
      <c r="AC1208" s="1353"/>
      <c r="AD1208" s="281"/>
      <c r="AE1208" s="1185"/>
      <c r="AF1208" s="1185"/>
      <c r="AG1208" s="1185"/>
      <c r="AH1208" s="1185"/>
      <c r="AI1208" s="1185"/>
    </row>
    <row r="1209" spans="1:35">
      <c r="A1209" s="1184" t="s">
        <v>355</v>
      </c>
      <c r="C1209" s="1202">
        <f>1930</f>
        <v>1930</v>
      </c>
      <c r="D1209" s="265">
        <v>16.940000000000001</v>
      </c>
      <c r="F1209" s="1203">
        <f>ROUND(D1209*$C1209,0)</f>
        <v>32694</v>
      </c>
      <c r="G1209" s="265">
        <v>17.850000000000001</v>
      </c>
      <c r="I1209" s="1203">
        <f t="shared" ref="I1209:I1213" si="157">ROUND(C1209*G1209,0)</f>
        <v>34451</v>
      </c>
      <c r="J1209" s="265">
        <f t="shared" ref="J1209:J1213" si="158">ROUND(G1209+(G1209*$Q$1241),2)</f>
        <v>15.15</v>
      </c>
      <c r="L1209" s="1203">
        <f>ROUND(J1209*$C1209,0)</f>
        <v>29240</v>
      </c>
      <c r="N1209" s="1204" t="e">
        <f>J1209*#REF!</f>
        <v>#REF!</v>
      </c>
      <c r="O1209" s="1185"/>
      <c r="P1209" s="281"/>
      <c r="Q1209" s="1186"/>
      <c r="R1209" s="1186"/>
      <c r="S1209" s="403"/>
      <c r="T1209" s="403"/>
      <c r="U1209" s="283"/>
      <c r="V1209" s="283"/>
      <c r="W1209" s="283"/>
      <c r="X1209" s="283"/>
      <c r="Y1209" s="278"/>
      <c r="Z1209" s="278"/>
      <c r="AA1209" s="281"/>
      <c r="AB1209" s="281"/>
      <c r="AC1209" s="1353"/>
      <c r="AD1209" s="281"/>
      <c r="AE1209" s="1185"/>
      <c r="AF1209" s="1185"/>
      <c r="AG1209" s="1185"/>
      <c r="AH1209" s="1185"/>
      <c r="AI1209" s="1185"/>
    </row>
    <row r="1210" spans="1:35">
      <c r="A1210" s="1184" t="s">
        <v>356</v>
      </c>
      <c r="C1210" s="1202">
        <v>0</v>
      </c>
      <c r="D1210" s="265">
        <v>34.25</v>
      </c>
      <c r="F1210" s="1203">
        <f>ROUND(D1210*$C1210,0)</f>
        <v>0</v>
      </c>
      <c r="G1210" s="265">
        <v>36.1</v>
      </c>
      <c r="I1210" s="1203">
        <f t="shared" si="157"/>
        <v>0</v>
      </c>
      <c r="J1210" s="265">
        <f t="shared" si="158"/>
        <v>30.64</v>
      </c>
      <c r="L1210" s="1203">
        <f>ROUND(J1210*$C1210,0)</f>
        <v>0</v>
      </c>
      <c r="N1210" s="1204" t="e">
        <f>J1210*#REF!</f>
        <v>#REF!</v>
      </c>
      <c r="O1210" s="1185"/>
      <c r="P1210" s="281"/>
      <c r="Q1210" s="1186"/>
      <c r="R1210" s="1186"/>
      <c r="S1210" s="403"/>
      <c r="T1210" s="403"/>
      <c r="U1210" s="283"/>
      <c r="V1210" s="283"/>
      <c r="W1210" s="283"/>
      <c r="X1210" s="283"/>
      <c r="Y1210" s="278"/>
      <c r="Z1210" s="278"/>
      <c r="AA1210" s="281"/>
      <c r="AB1210" s="281"/>
      <c r="AC1210" s="1353"/>
      <c r="AD1210" s="281"/>
      <c r="AE1210" s="1185"/>
      <c r="AF1210" s="1185"/>
      <c r="AG1210" s="1185"/>
      <c r="AH1210" s="1185"/>
      <c r="AI1210" s="1185"/>
    </row>
    <row r="1211" spans="1:35">
      <c r="A1211" s="1184" t="s">
        <v>509</v>
      </c>
      <c r="C1211" s="1202"/>
      <c r="D1211" s="1207"/>
      <c r="F1211" s="1201"/>
      <c r="G1211" s="1207"/>
      <c r="I1211" s="1201"/>
      <c r="J1211" s="1207"/>
      <c r="O1211" s="1185"/>
      <c r="P1211" s="281"/>
      <c r="Q1211" s="1186"/>
      <c r="R1211" s="1186"/>
      <c r="S1211" s="1185"/>
      <c r="T1211" s="1185"/>
      <c r="U1211" s="287"/>
      <c r="V1211" s="287"/>
      <c r="W1211" s="287"/>
      <c r="X1211" s="287"/>
      <c r="Y1211" s="278"/>
      <c r="Z1211" s="278"/>
      <c r="AA1211" s="281"/>
      <c r="AB1211" s="281"/>
      <c r="AC1211" s="1353"/>
      <c r="AD1211" s="281"/>
      <c r="AE1211" s="1185"/>
      <c r="AF1211" s="1185"/>
      <c r="AG1211" s="1185"/>
      <c r="AH1211" s="1185"/>
      <c r="AI1211" s="1185"/>
    </row>
    <row r="1212" spans="1:35">
      <c r="A1212" s="1184" t="s">
        <v>354</v>
      </c>
      <c r="C1212" s="1202">
        <f>4846</f>
        <v>4846</v>
      </c>
      <c r="D1212" s="265">
        <v>8.68</v>
      </c>
      <c r="F1212" s="1203">
        <f>ROUND(D1212*$C1212,0)</f>
        <v>42063</v>
      </c>
      <c r="G1212" s="265">
        <v>9.15</v>
      </c>
      <c r="I1212" s="1203">
        <f t="shared" si="157"/>
        <v>44341</v>
      </c>
      <c r="J1212" s="265">
        <f t="shared" si="158"/>
        <v>7.77</v>
      </c>
      <c r="L1212" s="1203">
        <f>ROUND(J1212*$C1212,0)</f>
        <v>37653</v>
      </c>
      <c r="N1212" s="1204" t="e">
        <f>J1212*#REF!</f>
        <v>#REF!</v>
      </c>
      <c r="O1212" s="1185"/>
      <c r="P1212" s="281"/>
      <c r="Q1212" s="1186"/>
      <c r="R1212" s="1186"/>
      <c r="S1212" s="403"/>
      <c r="T1212" s="403"/>
      <c r="U1212" s="283"/>
      <c r="V1212" s="283"/>
      <c r="W1212" s="283"/>
      <c r="X1212" s="283"/>
      <c r="Y1212" s="1185"/>
      <c r="Z1212" s="1185"/>
      <c r="AA1212" s="281"/>
      <c r="AB1212" s="281"/>
      <c r="AC1212" s="1353"/>
      <c r="AD1212" s="281"/>
      <c r="AE1212" s="1185"/>
      <c r="AF1212" s="1185"/>
      <c r="AG1212" s="1185"/>
      <c r="AH1212" s="1185"/>
      <c r="AI1212" s="1185"/>
    </row>
    <row r="1213" spans="1:35">
      <c r="A1213" s="1184" t="s">
        <v>355</v>
      </c>
      <c r="C1213" s="1202">
        <v>0</v>
      </c>
      <c r="D1213" s="265">
        <v>15.8</v>
      </c>
      <c r="F1213" s="1203">
        <f>ROUND(D1213*$C1213,0)</f>
        <v>0</v>
      </c>
      <c r="G1213" s="265">
        <v>16.649999999999999</v>
      </c>
      <c r="I1213" s="1203">
        <f t="shared" si="157"/>
        <v>0</v>
      </c>
      <c r="J1213" s="265">
        <f t="shared" si="158"/>
        <v>14.13</v>
      </c>
      <c r="L1213" s="1203">
        <f>ROUND(J1213*$C1213,0)</f>
        <v>0</v>
      </c>
      <c r="N1213" s="1204" t="e">
        <f>J1213*#REF!</f>
        <v>#REF!</v>
      </c>
      <c r="O1213" s="1185"/>
      <c r="P1213" s="281"/>
      <c r="Q1213" s="1186"/>
      <c r="R1213" s="1186"/>
      <c r="S1213" s="403"/>
      <c r="T1213" s="403"/>
      <c r="U1213" s="283"/>
      <c r="V1213" s="283"/>
      <c r="W1213" s="283"/>
      <c r="X1213" s="283"/>
      <c r="Y1213" s="1185"/>
      <c r="Z1213" s="1185"/>
      <c r="AA1213" s="281"/>
      <c r="AB1213" s="281"/>
      <c r="AC1213" s="1353"/>
      <c r="AD1213" s="281"/>
      <c r="AE1213" s="1185"/>
      <c r="AF1213" s="1185"/>
      <c r="AG1213" s="1185"/>
      <c r="AH1213" s="1185"/>
      <c r="AI1213" s="1185"/>
    </row>
    <row r="1214" spans="1:35">
      <c r="A1214" s="1352" t="s">
        <v>510</v>
      </c>
      <c r="C1214" s="1202"/>
      <c r="D1214" s="265"/>
      <c r="F1214" s="1203"/>
      <c r="G1214" s="265"/>
      <c r="I1214" s="1203"/>
      <c r="J1214" s="265"/>
      <c r="L1214" s="1203"/>
      <c r="O1214" s="1185"/>
      <c r="P1214" s="281"/>
      <c r="Q1214" s="1186"/>
      <c r="R1214" s="1186"/>
      <c r="S1214" s="1185"/>
      <c r="T1214" s="1185"/>
      <c r="U1214" s="1185"/>
      <c r="V1214" s="1185"/>
      <c r="W1214" s="1185"/>
      <c r="X1214" s="1185"/>
      <c r="Y1214" s="1185"/>
      <c r="Z1214" s="1185"/>
      <c r="AA1214" s="1185"/>
      <c r="AB1214" s="1185"/>
      <c r="AC1214" s="1353"/>
      <c r="AD1214" s="1185"/>
      <c r="AE1214" s="1185"/>
      <c r="AF1214" s="1185"/>
      <c r="AG1214" s="1185"/>
      <c r="AH1214" s="1185"/>
      <c r="AI1214" s="1185"/>
    </row>
    <row r="1215" spans="1:35">
      <c r="A1215" s="1184" t="s">
        <v>508</v>
      </c>
      <c r="C1215" s="1202"/>
      <c r="D1215" s="1207"/>
      <c r="F1215" s="1201"/>
      <c r="G1215" s="1207"/>
      <c r="I1215" s="1201"/>
      <c r="J1215" s="1207"/>
      <c r="O1215" s="1185"/>
      <c r="P1215" s="1186"/>
      <c r="Q1215" s="1186"/>
      <c r="R1215" s="1186"/>
      <c r="S1215" s="1185"/>
      <c r="T1215" s="1185"/>
      <c r="U1215" s="1185"/>
      <c r="V1215" s="1185"/>
      <c r="W1215" s="1185"/>
      <c r="X1215" s="1185"/>
      <c r="Y1215" s="1185"/>
      <c r="Z1215" s="1185"/>
      <c r="AA1215" s="1185"/>
      <c r="AB1215" s="1185"/>
      <c r="AC1215" s="1353"/>
      <c r="AD1215" s="1185"/>
      <c r="AE1215" s="1185"/>
      <c r="AF1215" s="1185"/>
      <c r="AG1215" s="1185"/>
      <c r="AH1215" s="1185"/>
      <c r="AI1215" s="1185"/>
    </row>
    <row r="1216" spans="1:35">
      <c r="A1216" s="1184" t="s">
        <v>354</v>
      </c>
      <c r="C1216" s="1202">
        <f>480</f>
        <v>480</v>
      </c>
      <c r="D1216" s="265">
        <v>12.09</v>
      </c>
      <c r="F1216" s="1203">
        <f>ROUND(D1216*$C1216,0)</f>
        <v>5803</v>
      </c>
      <c r="G1216" s="265">
        <v>12.74</v>
      </c>
      <c r="I1216" s="1203">
        <f t="shared" ref="I1216:I1218" si="159">ROUND(C1216*G1216,0)</f>
        <v>6115</v>
      </c>
      <c r="J1216" s="265">
        <f t="shared" ref="J1216:J1218" si="160">ROUND(G1216+(G1216*$Q$1241),2)</f>
        <v>10.81</v>
      </c>
      <c r="L1216" s="1203">
        <f>ROUND(J1216*$C1216,0)</f>
        <v>5189</v>
      </c>
      <c r="N1216" s="1204" t="e">
        <f>J1216*#REF!</f>
        <v>#REF!</v>
      </c>
      <c r="O1216" s="1185"/>
      <c r="P1216" s="281"/>
      <c r="Q1216" s="1186"/>
      <c r="R1216" s="1186"/>
      <c r="S1216" s="403"/>
      <c r="T1216" s="403"/>
      <c r="U1216" s="283"/>
      <c r="V1216" s="283"/>
      <c r="W1216" s="283"/>
      <c r="X1216" s="283"/>
      <c r="Y1216" s="1185"/>
      <c r="Z1216" s="1185"/>
      <c r="AA1216" s="281"/>
      <c r="AB1216" s="281"/>
      <c r="AC1216" s="1353"/>
      <c r="AD1216" s="281"/>
      <c r="AE1216" s="1185"/>
      <c r="AF1216" s="1185"/>
      <c r="AG1216" s="1185"/>
      <c r="AH1216" s="1185"/>
      <c r="AI1216" s="1185"/>
    </row>
    <row r="1217" spans="1:35">
      <c r="A1217" s="1184" t="s">
        <v>355</v>
      </c>
      <c r="C1217" s="1202">
        <f>348</f>
        <v>348</v>
      </c>
      <c r="D1217" s="265">
        <v>20.290000000000003</v>
      </c>
      <c r="F1217" s="1203">
        <f>ROUND(D1217*$C1217,0)</f>
        <v>7061</v>
      </c>
      <c r="G1217" s="265">
        <v>21.39</v>
      </c>
      <c r="I1217" s="1203">
        <f t="shared" si="159"/>
        <v>7444</v>
      </c>
      <c r="J1217" s="265">
        <f t="shared" si="160"/>
        <v>18.149999999999999</v>
      </c>
      <c r="L1217" s="1203">
        <f>ROUND(J1217*$C1217,0)</f>
        <v>6316</v>
      </c>
      <c r="N1217" s="1204" t="e">
        <f>J1217*#REF!</f>
        <v>#REF!</v>
      </c>
      <c r="O1217" s="1185"/>
      <c r="P1217" s="281"/>
      <c r="Q1217" s="1186"/>
      <c r="R1217" s="1186"/>
      <c r="S1217" s="403"/>
      <c r="T1217" s="403"/>
      <c r="U1217" s="283"/>
      <c r="V1217" s="283"/>
      <c r="W1217" s="283"/>
      <c r="X1217" s="283"/>
      <c r="Y1217" s="1354"/>
      <c r="Z1217" s="1354"/>
      <c r="AA1217" s="281"/>
      <c r="AB1217" s="281"/>
      <c r="AC1217" s="1353"/>
      <c r="AD1217" s="281"/>
      <c r="AE1217" s="1185"/>
      <c r="AF1217" s="1185"/>
      <c r="AG1217" s="1185"/>
      <c r="AH1217" s="1185"/>
      <c r="AI1217" s="1185"/>
    </row>
    <row r="1218" spans="1:35">
      <c r="A1218" s="1184" t="s">
        <v>356</v>
      </c>
      <c r="C1218" s="1202">
        <v>0</v>
      </c>
      <c r="D1218" s="265">
        <v>37.64</v>
      </c>
      <c r="F1218" s="1203">
        <f>ROUND(D1218*$C1218,0)</f>
        <v>0</v>
      </c>
      <c r="G1218" s="265">
        <v>39.67</v>
      </c>
      <c r="I1218" s="1203">
        <f t="shared" si="159"/>
        <v>0</v>
      </c>
      <c r="J1218" s="265">
        <f t="shared" si="160"/>
        <v>33.67</v>
      </c>
      <c r="L1218" s="1203">
        <f>ROUND(J1218*$C1218,0)</f>
        <v>0</v>
      </c>
      <c r="N1218" s="1204" t="e">
        <f>J1218*#REF!</f>
        <v>#REF!</v>
      </c>
      <c r="O1218" s="1185"/>
      <c r="P1218" s="281"/>
      <c r="Q1218" s="1186"/>
      <c r="R1218" s="1186"/>
      <c r="S1218" s="403"/>
      <c r="T1218" s="403"/>
      <c r="U1218" s="283"/>
      <c r="V1218" s="283"/>
      <c r="W1218" s="283"/>
      <c r="X1218" s="283"/>
      <c r="Y1218" s="1354"/>
      <c r="Z1218" s="1354"/>
      <c r="AA1218" s="281"/>
      <c r="AB1218" s="281"/>
      <c r="AC1218" s="1353"/>
      <c r="AD1218" s="281"/>
      <c r="AE1218" s="1185"/>
      <c r="AF1218" s="1185"/>
      <c r="AG1218" s="1185"/>
      <c r="AH1218" s="1185"/>
      <c r="AI1218" s="1185"/>
    </row>
    <row r="1219" spans="1:35">
      <c r="A1219" s="1184" t="s">
        <v>509</v>
      </c>
      <c r="C1219" s="1202"/>
      <c r="D1219" s="1207"/>
      <c r="F1219" s="1201"/>
      <c r="G1219" s="1207"/>
      <c r="I1219" s="1201"/>
      <c r="J1219" s="1207"/>
      <c r="N1219" s="1185"/>
      <c r="O1219" s="1185"/>
      <c r="P1219" s="1185"/>
      <c r="Q1219" s="1355"/>
      <c r="R1219" s="1355"/>
      <c r="S1219" s="1355"/>
      <c r="T1219" s="1355"/>
      <c r="U1219" s="1356"/>
      <c r="V1219" s="1356"/>
      <c r="W1219" s="1356"/>
      <c r="X1219" s="1356"/>
      <c r="Y1219" s="1354"/>
      <c r="Z1219" s="1354"/>
      <c r="AA1219" s="824"/>
      <c r="AB1219" s="1185"/>
      <c r="AC1219" s="1353"/>
      <c r="AD1219" s="1185"/>
      <c r="AE1219" s="1185"/>
      <c r="AF1219" s="1185"/>
      <c r="AG1219" s="1185"/>
      <c r="AH1219" s="1185"/>
      <c r="AI1219" s="1185"/>
    </row>
    <row r="1220" spans="1:35">
      <c r="A1220" s="1184" t="s">
        <v>354</v>
      </c>
      <c r="C1220" s="1202">
        <v>0</v>
      </c>
      <c r="D1220" s="265">
        <v>11.44</v>
      </c>
      <c r="F1220" s="1203">
        <f>ROUND(D1220*$C1220,0)</f>
        <v>0</v>
      </c>
      <c r="G1220" s="265">
        <v>12.06</v>
      </c>
      <c r="I1220" s="1203">
        <f t="shared" ref="I1220:I1221" si="161">ROUND(C1220*G1220,0)</f>
        <v>0</v>
      </c>
      <c r="J1220" s="265">
        <f t="shared" ref="J1220:J1221" si="162">ROUND(G1220+(G1220*$Q$1241),2)</f>
        <v>10.24</v>
      </c>
      <c r="L1220" s="1203">
        <f>ROUND(J1220*$C1220,0)</f>
        <v>0</v>
      </c>
      <c r="N1220" s="1204" t="e">
        <f>J1220*#REF!</f>
        <v>#REF!</v>
      </c>
      <c r="O1220" s="1185"/>
      <c r="P1220" s="281"/>
      <c r="Q1220" s="1186"/>
      <c r="R1220" s="1186"/>
      <c r="S1220" s="403"/>
      <c r="T1220" s="403"/>
      <c r="U1220" s="283"/>
      <c r="V1220" s="283"/>
      <c r="W1220" s="283"/>
      <c r="X1220" s="283"/>
      <c r="Y1220" s="1354"/>
      <c r="Z1220" s="1354"/>
      <c r="AA1220" s="281"/>
      <c r="AB1220" s="281"/>
      <c r="AC1220" s="1353"/>
      <c r="AD1220" s="281"/>
      <c r="AE1220" s="1185"/>
      <c r="AF1220" s="1185"/>
      <c r="AG1220" s="1185"/>
      <c r="AH1220" s="1185"/>
      <c r="AI1220" s="1185"/>
    </row>
    <row r="1221" spans="1:35">
      <c r="A1221" s="1184" t="s">
        <v>355</v>
      </c>
      <c r="C1221" s="1202">
        <v>0</v>
      </c>
      <c r="D1221" s="265">
        <v>19.18</v>
      </c>
      <c r="F1221" s="1203">
        <f>ROUND(D1221*$C1221,0)</f>
        <v>0</v>
      </c>
      <c r="G1221" s="265">
        <v>20.22</v>
      </c>
      <c r="I1221" s="1203">
        <f t="shared" si="161"/>
        <v>0</v>
      </c>
      <c r="J1221" s="265">
        <f t="shared" si="162"/>
        <v>17.16</v>
      </c>
      <c r="L1221" s="1203">
        <f>ROUND(J1221*$C1221,0)</f>
        <v>0</v>
      </c>
      <c r="N1221" s="1204" t="e">
        <f>J1221*#REF!</f>
        <v>#REF!</v>
      </c>
      <c r="O1221" s="1185"/>
      <c r="P1221" s="281"/>
      <c r="Q1221" s="1186"/>
      <c r="R1221" s="1186"/>
      <c r="S1221" s="403"/>
      <c r="T1221" s="403"/>
      <c r="U1221" s="283"/>
      <c r="V1221" s="283"/>
      <c r="W1221" s="283"/>
      <c r="X1221" s="283"/>
      <c r="Y1221" s="1354"/>
      <c r="Z1221" s="1354"/>
      <c r="AA1221" s="281"/>
      <c r="AB1221" s="281"/>
      <c r="AC1221" s="1353"/>
      <c r="AD1221" s="281"/>
      <c r="AE1221" s="1185"/>
      <c r="AF1221" s="1185"/>
      <c r="AG1221" s="1185"/>
      <c r="AH1221" s="1185"/>
      <c r="AI1221" s="1185"/>
    </row>
    <row r="1222" spans="1:35">
      <c r="A1222" s="1352" t="s">
        <v>511</v>
      </c>
      <c r="B1222" s="1233"/>
      <c r="C1222" s="1202"/>
      <c r="D1222" s="1207"/>
      <c r="E1222" s="1233"/>
      <c r="F1222" s="1233"/>
      <c r="G1222" s="1207"/>
      <c r="H1222" s="1233"/>
      <c r="I1222" s="1233"/>
      <c r="J1222" s="1207"/>
      <c r="K1222" s="1233"/>
      <c r="L1222" s="1233"/>
      <c r="N1222" s="1185"/>
      <c r="O1222" s="1185"/>
      <c r="P1222" s="1185"/>
      <c r="Q1222" s="1355"/>
      <c r="R1222" s="1355"/>
      <c r="S1222" s="1355"/>
      <c r="T1222" s="1355"/>
      <c r="U1222" s="1356"/>
      <c r="V1222" s="1356"/>
      <c r="W1222" s="1356"/>
      <c r="X1222" s="1356"/>
      <c r="Y1222" s="1354"/>
      <c r="Z1222" s="1354"/>
      <c r="AA1222" s="824"/>
      <c r="AB1222" s="1185"/>
      <c r="AC1222" s="1353"/>
      <c r="AD1222" s="1185"/>
      <c r="AE1222" s="1185"/>
      <c r="AF1222" s="1185"/>
      <c r="AG1222" s="1185"/>
      <c r="AH1222" s="1185"/>
      <c r="AI1222" s="1185"/>
    </row>
    <row r="1223" spans="1:35">
      <c r="A1223" s="1184" t="s">
        <v>508</v>
      </c>
      <c r="C1223" s="1202"/>
      <c r="D1223" s="1207"/>
      <c r="F1223" s="1201"/>
      <c r="G1223" s="1207"/>
      <c r="I1223" s="1201"/>
      <c r="J1223" s="1207"/>
      <c r="N1223" s="1185"/>
      <c r="O1223" s="1185"/>
      <c r="P1223" s="1185"/>
      <c r="Q1223" s="1355"/>
      <c r="R1223" s="1355"/>
      <c r="S1223" s="1355"/>
      <c r="T1223" s="1355"/>
      <c r="U1223" s="1356"/>
      <c r="V1223" s="1356"/>
      <c r="W1223" s="1356"/>
      <c r="X1223" s="1356"/>
      <c r="Y1223" s="1354"/>
      <c r="Z1223" s="1354"/>
      <c r="AA1223" s="824"/>
      <c r="AB1223" s="1185"/>
      <c r="AC1223" s="1353"/>
      <c r="AD1223" s="1185"/>
      <c r="AE1223" s="1185"/>
      <c r="AF1223" s="1185"/>
      <c r="AG1223" s="1185"/>
      <c r="AH1223" s="1185"/>
      <c r="AI1223" s="1185"/>
    </row>
    <row r="1224" spans="1:35">
      <c r="A1224" s="1184" t="s">
        <v>354</v>
      </c>
      <c r="C1224" s="1202">
        <v>0</v>
      </c>
      <c r="D1224" s="265">
        <v>12.08</v>
      </c>
      <c r="F1224" s="1203">
        <f>ROUND(D1224*$C1224,0)</f>
        <v>0</v>
      </c>
      <c r="G1224" s="265">
        <v>12.73</v>
      </c>
      <c r="I1224" s="1203">
        <f t="shared" ref="I1224:I1226" si="163">ROUND(C1224*G1224,0)</f>
        <v>0</v>
      </c>
      <c r="J1224" s="265">
        <f t="shared" ref="J1224:J1226" si="164">ROUND(G1224+(G1224*$Q$1241),2)</f>
        <v>10.8</v>
      </c>
      <c r="L1224" s="1203">
        <f>ROUND(J1224*$C1224,0)</f>
        <v>0</v>
      </c>
      <c r="N1224" s="1204" t="e">
        <f>J1224*#REF!</f>
        <v>#REF!</v>
      </c>
      <c r="O1224" s="1185"/>
      <c r="P1224" s="281"/>
      <c r="Q1224" s="1186"/>
      <c r="R1224" s="1186"/>
      <c r="S1224" s="403"/>
      <c r="T1224" s="403"/>
      <c r="U1224" s="283"/>
      <c r="V1224" s="283"/>
      <c r="W1224" s="283"/>
      <c r="X1224" s="283"/>
      <c r="Y1224" s="1354"/>
      <c r="Z1224" s="1354"/>
      <c r="AA1224" s="281"/>
      <c r="AB1224" s="281"/>
      <c r="AC1224" s="1353"/>
      <c r="AD1224" s="281"/>
      <c r="AE1224" s="1185"/>
      <c r="AF1224" s="1185"/>
      <c r="AG1224" s="1185"/>
      <c r="AH1224" s="1185"/>
      <c r="AI1224" s="1185"/>
    </row>
    <row r="1225" spans="1:35">
      <c r="A1225" s="1184" t="s">
        <v>355</v>
      </c>
      <c r="C1225" s="1202">
        <v>0</v>
      </c>
      <c r="D1225" s="265">
        <v>19.64</v>
      </c>
      <c r="F1225" s="1203">
        <f>ROUND(D1225*$C1225,0)</f>
        <v>0</v>
      </c>
      <c r="G1225" s="265">
        <v>20.7</v>
      </c>
      <c r="I1225" s="1203">
        <f t="shared" si="163"/>
        <v>0</v>
      </c>
      <c r="J1225" s="265">
        <f t="shared" si="164"/>
        <v>17.57</v>
      </c>
      <c r="L1225" s="1203">
        <f>ROUND(J1225*$C1225,0)</f>
        <v>0</v>
      </c>
      <c r="N1225" s="1204" t="e">
        <f>J1225*#REF!</f>
        <v>#REF!</v>
      </c>
      <c r="O1225" s="1185"/>
      <c r="P1225" s="281"/>
      <c r="Q1225" s="1186"/>
      <c r="R1225" s="1186"/>
      <c r="S1225" s="403"/>
      <c r="T1225" s="403"/>
      <c r="U1225" s="283"/>
      <c r="V1225" s="283"/>
      <c r="W1225" s="283"/>
      <c r="X1225" s="283"/>
      <c r="Y1225" s="1354"/>
      <c r="Z1225" s="1354"/>
      <c r="AA1225" s="281"/>
      <c r="AB1225" s="281"/>
      <c r="AC1225" s="1353"/>
      <c r="AD1225" s="281"/>
      <c r="AE1225" s="1185"/>
      <c r="AF1225" s="1185"/>
      <c r="AG1225" s="1185"/>
      <c r="AH1225" s="1185"/>
      <c r="AI1225" s="1185"/>
    </row>
    <row r="1226" spans="1:35">
      <c r="A1226" s="1184" t="s">
        <v>356</v>
      </c>
      <c r="C1226" s="1202">
        <v>0</v>
      </c>
      <c r="D1226" s="265">
        <v>36.99</v>
      </c>
      <c r="F1226" s="1203">
        <f>ROUND(D1226*$C1226,0)</f>
        <v>0</v>
      </c>
      <c r="G1226" s="265">
        <v>38.99</v>
      </c>
      <c r="I1226" s="1203">
        <f t="shared" si="163"/>
        <v>0</v>
      </c>
      <c r="J1226" s="265">
        <f t="shared" si="164"/>
        <v>33.090000000000003</v>
      </c>
      <c r="L1226" s="1203">
        <f>ROUND(J1226*$C1226,0)</f>
        <v>0</v>
      </c>
      <c r="N1226" s="1204" t="e">
        <f>J1226*#REF!</f>
        <v>#REF!</v>
      </c>
      <c r="O1226" s="1185"/>
      <c r="P1226" s="281"/>
      <c r="Q1226" s="1186"/>
      <c r="R1226" s="1186"/>
      <c r="S1226" s="403"/>
      <c r="T1226" s="403"/>
      <c r="U1226" s="283"/>
      <c r="V1226" s="283"/>
      <c r="W1226" s="283"/>
      <c r="X1226" s="283"/>
      <c r="Y1226" s="1354"/>
      <c r="Z1226" s="1354"/>
      <c r="AA1226" s="281"/>
      <c r="AB1226" s="281"/>
      <c r="AC1226" s="1353"/>
      <c r="AD1226" s="281"/>
      <c r="AE1226" s="1185"/>
      <c r="AF1226" s="1185"/>
      <c r="AG1226" s="1185"/>
      <c r="AH1226" s="1185"/>
      <c r="AI1226" s="1185"/>
    </row>
    <row r="1227" spans="1:35">
      <c r="A1227" s="1184" t="s">
        <v>509</v>
      </c>
      <c r="C1227" s="1202"/>
      <c r="D1227" s="1207"/>
      <c r="F1227" s="1201"/>
      <c r="G1227" s="1207"/>
      <c r="I1227" s="1201"/>
      <c r="J1227" s="1207"/>
      <c r="N1227" s="1185"/>
      <c r="O1227" s="1185"/>
      <c r="P1227" s="1185"/>
      <c r="Q1227" s="1355"/>
      <c r="R1227" s="1355"/>
      <c r="S1227" s="1355"/>
      <c r="T1227" s="1355"/>
      <c r="U1227" s="1356"/>
      <c r="V1227" s="1356"/>
      <c r="W1227" s="1356"/>
      <c r="X1227" s="1356"/>
      <c r="Y1227" s="1354"/>
      <c r="Z1227" s="1354"/>
      <c r="AA1227" s="824"/>
      <c r="AB1227" s="1185"/>
      <c r="AC1227" s="1353"/>
      <c r="AD1227" s="1185"/>
      <c r="AE1227" s="1185"/>
      <c r="AF1227" s="1185"/>
      <c r="AG1227" s="1185"/>
      <c r="AH1227" s="1185"/>
      <c r="AI1227" s="1185"/>
    </row>
    <row r="1228" spans="1:35">
      <c r="A1228" s="1184" t="s">
        <v>354</v>
      </c>
      <c r="C1228" s="1202">
        <v>0</v>
      </c>
      <c r="D1228" s="265">
        <v>11.44</v>
      </c>
      <c r="F1228" s="1203">
        <f>ROUND(D1228*$C1228,0)</f>
        <v>0</v>
      </c>
      <c r="G1228" s="265">
        <v>12.06</v>
      </c>
      <c r="I1228" s="1203">
        <f t="shared" ref="I1228:I1229" si="165">ROUND(C1228*G1228,0)</f>
        <v>0</v>
      </c>
      <c r="J1228" s="265">
        <f t="shared" ref="J1228:J1229" si="166">ROUND(G1228+(G1228*$Q$1241),2)</f>
        <v>10.24</v>
      </c>
      <c r="L1228" s="1203">
        <f>ROUND(J1228*$C1228,0)</f>
        <v>0</v>
      </c>
      <c r="N1228" s="1204" t="e">
        <f>J1228*#REF!</f>
        <v>#REF!</v>
      </c>
      <c r="O1228" s="1185"/>
      <c r="P1228" s="281"/>
      <c r="Q1228" s="1186"/>
      <c r="R1228" s="1186"/>
      <c r="S1228" s="403"/>
      <c r="T1228" s="403"/>
      <c r="U1228" s="283"/>
      <c r="V1228" s="283"/>
      <c r="W1228" s="283"/>
      <c r="X1228" s="283"/>
      <c r="Y1228" s="1354"/>
      <c r="Z1228" s="1354"/>
      <c r="AA1228" s="281"/>
      <c r="AB1228" s="281"/>
      <c r="AC1228" s="1353"/>
      <c r="AD1228" s="281"/>
      <c r="AE1228" s="1185"/>
      <c r="AF1228" s="1185"/>
      <c r="AG1228" s="1185"/>
      <c r="AH1228" s="1185"/>
      <c r="AI1228" s="1185"/>
    </row>
    <row r="1229" spans="1:35">
      <c r="A1229" s="1184" t="s">
        <v>355</v>
      </c>
      <c r="C1229" s="1202">
        <v>0</v>
      </c>
      <c r="D1229" s="265">
        <v>18.53</v>
      </c>
      <c r="F1229" s="1203">
        <f>ROUND(D1229*$C1229,0)</f>
        <v>0</v>
      </c>
      <c r="G1229" s="265">
        <v>19.53</v>
      </c>
      <c r="I1229" s="1203">
        <f t="shared" si="165"/>
        <v>0</v>
      </c>
      <c r="J1229" s="265">
        <f t="shared" si="166"/>
        <v>16.579999999999998</v>
      </c>
      <c r="L1229" s="1203">
        <f>ROUND(J1229*$C1229,0)</f>
        <v>0</v>
      </c>
      <c r="N1229" s="1204" t="e">
        <f>J1229*#REF!</f>
        <v>#REF!</v>
      </c>
      <c r="O1229" s="1185"/>
      <c r="P1229" s="281"/>
      <c r="Q1229" s="1186"/>
      <c r="R1229" s="1186"/>
      <c r="S1229" s="403"/>
      <c r="T1229" s="403"/>
      <c r="U1229" s="283"/>
      <c r="V1229" s="283"/>
      <c r="W1229" s="283"/>
      <c r="X1229" s="283"/>
      <c r="Y1229" s="1354"/>
      <c r="Z1229" s="1354"/>
      <c r="AA1229" s="281"/>
      <c r="AB1229" s="281"/>
      <c r="AC1229" s="1353"/>
      <c r="AD1229" s="281"/>
      <c r="AE1229" s="1185"/>
      <c r="AF1229" s="1185"/>
      <c r="AG1229" s="1185"/>
      <c r="AH1229" s="1185"/>
      <c r="AI1229" s="1185"/>
    </row>
    <row r="1230" spans="1:35">
      <c r="A1230" s="1352" t="s">
        <v>512</v>
      </c>
      <c r="B1230" s="1233"/>
      <c r="C1230" s="1202"/>
      <c r="D1230" s="1207"/>
      <c r="E1230" s="1233"/>
      <c r="F1230" s="1233"/>
      <c r="G1230" s="1207"/>
      <c r="H1230" s="1233"/>
      <c r="I1230" s="1233"/>
      <c r="J1230" s="1207"/>
      <c r="K1230" s="1233"/>
      <c r="L1230" s="1233"/>
      <c r="N1230" s="1185"/>
      <c r="O1230" s="1185"/>
      <c r="P1230" s="1185"/>
      <c r="Q1230" s="1355"/>
      <c r="R1230" s="1355"/>
      <c r="S1230" s="1355"/>
      <c r="T1230" s="1355"/>
      <c r="U1230" s="1356"/>
      <c r="V1230" s="1356"/>
      <c r="W1230" s="1356"/>
      <c r="X1230" s="1356"/>
      <c r="Y1230" s="1354"/>
      <c r="Z1230" s="1354"/>
      <c r="AA1230" s="824"/>
      <c r="AB1230" s="1185"/>
      <c r="AC1230" s="1353"/>
      <c r="AD1230" s="1185"/>
      <c r="AE1230" s="1185"/>
      <c r="AF1230" s="1185"/>
      <c r="AG1230" s="1185"/>
      <c r="AH1230" s="1185"/>
      <c r="AI1230" s="1185"/>
    </row>
    <row r="1231" spans="1:35">
      <c r="A1231" s="1184" t="s">
        <v>354</v>
      </c>
      <c r="C1231" s="1202">
        <f>444</f>
        <v>444</v>
      </c>
      <c r="D1231" s="265">
        <v>9.67</v>
      </c>
      <c r="F1231" s="1203">
        <f>ROUND(D1231*$C1231,0)</f>
        <v>4293</v>
      </c>
      <c r="G1231" s="265">
        <v>10.19</v>
      </c>
      <c r="I1231" s="1203">
        <f t="shared" ref="I1231:I1233" si="167">ROUND(C1231*G1231,0)</f>
        <v>4524</v>
      </c>
      <c r="J1231" s="265">
        <f t="shared" ref="J1231:J1233" si="168">ROUND(G1231+(G1231*$Q$1241),2)</f>
        <v>8.65</v>
      </c>
      <c r="L1231" s="1203">
        <f>ROUND(J1231*$C1231,0)</f>
        <v>3841</v>
      </c>
      <c r="N1231" s="1204" t="e">
        <f>J1231*#REF!</f>
        <v>#REF!</v>
      </c>
      <c r="O1231" s="1185"/>
      <c r="P1231" s="281"/>
      <c r="Q1231" s="1186"/>
      <c r="R1231" s="1186"/>
      <c r="S1231" s="403"/>
      <c r="T1231" s="403"/>
      <c r="U1231" s="283"/>
      <c r="V1231" s="283"/>
      <c r="W1231" s="283"/>
      <c r="X1231" s="283"/>
      <c r="Y1231" s="1354"/>
      <c r="Z1231" s="1354"/>
      <c r="AA1231" s="281"/>
      <c r="AB1231" s="281"/>
      <c r="AC1231" s="1353"/>
      <c r="AD1231" s="281"/>
      <c r="AE1231" s="1185"/>
      <c r="AF1231" s="1185"/>
      <c r="AG1231" s="1185"/>
      <c r="AH1231" s="1185"/>
      <c r="AI1231" s="1185"/>
    </row>
    <row r="1232" spans="1:35">
      <c r="A1232" s="1184" t="s">
        <v>355</v>
      </c>
      <c r="C1232" s="1202">
        <f>828</f>
        <v>828</v>
      </c>
      <c r="D1232" s="265">
        <v>16.93</v>
      </c>
      <c r="F1232" s="1203">
        <f>ROUND(D1232*$C1232,0)</f>
        <v>14018</v>
      </c>
      <c r="G1232" s="265">
        <v>17.84</v>
      </c>
      <c r="I1232" s="1203">
        <f t="shared" si="167"/>
        <v>14772</v>
      </c>
      <c r="J1232" s="265">
        <f t="shared" si="168"/>
        <v>15.14</v>
      </c>
      <c r="L1232" s="1203">
        <f>ROUND(J1232*$C1232,0)</f>
        <v>12536</v>
      </c>
      <c r="N1232" s="1204" t="e">
        <f>J1232*#REF!</f>
        <v>#REF!</v>
      </c>
      <c r="O1232" s="1185"/>
      <c r="P1232" s="281"/>
      <c r="Q1232" s="1186"/>
      <c r="R1232" s="1186"/>
      <c r="S1232" s="403"/>
      <c r="T1232" s="403"/>
      <c r="U1232" s="283"/>
      <c r="V1232" s="283"/>
      <c r="W1232" s="283"/>
      <c r="X1232" s="283"/>
      <c r="Y1232" s="1354"/>
      <c r="Z1232" s="1354"/>
      <c r="AA1232" s="281"/>
      <c r="AB1232" s="281"/>
      <c r="AC1232" s="1353"/>
      <c r="AD1232" s="281"/>
      <c r="AE1232" s="1185"/>
      <c r="AF1232" s="1185"/>
      <c r="AG1232" s="1185"/>
      <c r="AH1232" s="1185"/>
      <c r="AI1232" s="1185"/>
    </row>
    <row r="1233" spans="1:37">
      <c r="A1233" s="1184" t="s">
        <v>356</v>
      </c>
      <c r="C1233" s="1202">
        <v>0</v>
      </c>
      <c r="D1233" s="265">
        <v>36.159999999999997</v>
      </c>
      <c r="F1233" s="1203">
        <f>ROUND(D1233*$C1233,0)</f>
        <v>0</v>
      </c>
      <c r="G1233" s="265">
        <v>38.11</v>
      </c>
      <c r="I1233" s="1203">
        <f t="shared" si="167"/>
        <v>0</v>
      </c>
      <c r="J1233" s="265">
        <f t="shared" si="168"/>
        <v>32.340000000000003</v>
      </c>
      <c r="L1233" s="1203">
        <f>ROUND(J1233*$C1233,0)</f>
        <v>0</v>
      </c>
      <c r="N1233" s="1204" t="e">
        <f>J1233*#REF!</f>
        <v>#REF!</v>
      </c>
      <c r="O1233" s="1185"/>
      <c r="P1233" s="281"/>
      <c r="Q1233" s="1186"/>
      <c r="R1233" s="1186"/>
      <c r="S1233" s="403"/>
      <c r="T1233" s="403"/>
      <c r="U1233" s="283"/>
      <c r="V1233" s="283"/>
      <c r="W1233" s="283"/>
      <c r="X1233" s="283"/>
      <c r="Y1233" s="1354"/>
      <c r="Z1233" s="1354"/>
      <c r="AA1233" s="281"/>
      <c r="AB1233" s="281"/>
      <c r="AC1233" s="1353"/>
      <c r="AD1233" s="281"/>
      <c r="AE1233" s="1185"/>
      <c r="AF1233" s="1185"/>
      <c r="AG1233" s="1185"/>
      <c r="AH1233" s="1185"/>
      <c r="AI1233" s="1185"/>
    </row>
    <row r="1234" spans="1:37">
      <c r="A1234" s="1357" t="s">
        <v>513</v>
      </c>
      <c r="C1234" s="1202"/>
      <c r="D1234" s="265"/>
      <c r="F1234" s="1203"/>
      <c r="G1234" s="265"/>
      <c r="I1234" s="1203"/>
      <c r="J1234" s="265"/>
      <c r="L1234" s="1203"/>
      <c r="N1234" s="1185"/>
      <c r="O1234" s="1185"/>
      <c r="P1234" s="1185"/>
      <c r="Q1234" s="1355"/>
      <c r="R1234" s="1355"/>
      <c r="S1234" s="1355"/>
      <c r="T1234" s="1355"/>
      <c r="U1234" s="1358"/>
      <c r="V1234" s="1358"/>
      <c r="W1234" s="1358"/>
      <c r="X1234" s="1358"/>
      <c r="Y1234" s="1354"/>
      <c r="Z1234" s="1354"/>
      <c r="AA1234" s="824"/>
      <c r="AB1234" s="1185"/>
      <c r="AC1234" s="1353"/>
      <c r="AD1234" s="1185"/>
      <c r="AE1234" s="1185"/>
      <c r="AF1234" s="1185"/>
      <c r="AG1234" s="1185"/>
      <c r="AH1234" s="1185"/>
      <c r="AI1234" s="1185"/>
    </row>
    <row r="1235" spans="1:37">
      <c r="A1235" s="1184" t="s">
        <v>514</v>
      </c>
      <c r="C1235" s="1202">
        <v>0</v>
      </c>
      <c r="D1235" s="265">
        <v>34.700000000000003</v>
      </c>
      <c r="F1235" s="1203">
        <f>ROUND(D1235*$C1235,0)</f>
        <v>0</v>
      </c>
      <c r="G1235" s="265">
        <v>36.57</v>
      </c>
      <c r="I1235" s="1203">
        <f t="shared" ref="I1235" si="169">ROUND(C1235*G1235,0)</f>
        <v>0</v>
      </c>
      <c r="J1235" s="265">
        <f t="shared" ref="J1235" si="170">ROUND(G1235+(G1235*$Q$1241),2)</f>
        <v>31.04</v>
      </c>
      <c r="L1235" s="1203">
        <f>ROUND(J1235*$C1235,0)</f>
        <v>0</v>
      </c>
      <c r="N1235" s="1204" t="e">
        <f>J1235*#REF!</f>
        <v>#REF!</v>
      </c>
      <c r="O1235" s="1185"/>
      <c r="P1235" s="281"/>
      <c r="Q1235" s="1186"/>
      <c r="R1235" s="1186"/>
      <c r="S1235" s="403"/>
      <c r="T1235" s="403"/>
      <c r="U1235" s="283"/>
      <c r="V1235" s="283"/>
      <c r="W1235" s="283"/>
      <c r="X1235" s="283"/>
      <c r="Y1235" s="1354"/>
      <c r="Z1235" s="1354"/>
      <c r="AA1235" s="281"/>
      <c r="AB1235" s="281"/>
      <c r="AC1235" s="1353"/>
      <c r="AD1235" s="281"/>
      <c r="AE1235" s="1185"/>
      <c r="AF1235" s="1185"/>
      <c r="AG1235" s="1185"/>
      <c r="AH1235" s="1185"/>
      <c r="AI1235" s="1185"/>
    </row>
    <row r="1236" spans="1:37">
      <c r="A1236" s="1184" t="s">
        <v>362</v>
      </c>
      <c r="C1236" s="1202">
        <f>493</f>
        <v>493</v>
      </c>
      <c r="D1236" s="1359"/>
      <c r="F1236" s="1203"/>
      <c r="G1236" s="1359"/>
      <c r="I1236" s="1203"/>
      <c r="J1236" s="1359"/>
      <c r="L1236" s="1203"/>
      <c r="O1236" s="1185"/>
      <c r="P1236" s="281"/>
      <c r="Q1236" s="1360"/>
      <c r="R1236" s="1360"/>
      <c r="S1236" s="1185"/>
      <c r="T1236" s="1185"/>
      <c r="U1236" s="287"/>
      <c r="V1236" s="287"/>
      <c r="W1236" s="287"/>
      <c r="X1236" s="287"/>
      <c r="Y1236" s="278"/>
      <c r="Z1236" s="278"/>
      <c r="AA1236" s="281"/>
      <c r="AB1236" s="281"/>
      <c r="AC1236" s="281"/>
      <c r="AD1236" s="281"/>
      <c r="AE1236" s="1185"/>
      <c r="AF1236" s="1185"/>
      <c r="AG1236" s="1185"/>
      <c r="AH1236" s="1185"/>
      <c r="AI1236" s="1185"/>
    </row>
    <row r="1237" spans="1:37">
      <c r="A1237" s="1005" t="s">
        <v>928</v>
      </c>
      <c r="C1237" s="1202">
        <f>C1238</f>
        <v>1960718</v>
      </c>
      <c r="D1237" s="269"/>
      <c r="E1237" s="1185"/>
      <c r="F1237" s="1203"/>
      <c r="G1237" s="269"/>
      <c r="H1237" s="1185"/>
      <c r="I1237" s="1203"/>
      <c r="J1237" s="1230">
        <f>ROUND(O1237/C1237*100,3)</f>
        <v>2.2869999999999999</v>
      </c>
      <c r="K1237" s="1041" t="s">
        <v>374</v>
      </c>
      <c r="L1237" s="1041">
        <f>ROUND(J1237*$C1237/100,0)</f>
        <v>44842</v>
      </c>
      <c r="N1237" s="1204"/>
      <c r="O1237" s="1204">
        <f>'[94]NPC Spread'!J42</f>
        <v>44836.314839393301</v>
      </c>
      <c r="P1237" s="815" t="s">
        <v>913</v>
      </c>
      <c r="Q1237" s="1184"/>
      <c r="R1237" s="1184"/>
      <c r="S1237" s="1205"/>
      <c r="T1237" s="1205"/>
      <c r="Y1237" s="1185"/>
      <c r="Z1237" s="1185"/>
      <c r="AA1237" s="1185"/>
      <c r="AB1237" s="1185"/>
      <c r="AC1237" s="1185"/>
      <c r="AD1237" s="1185"/>
      <c r="AE1237" s="1185"/>
      <c r="AF1237" s="1185"/>
      <c r="AG1237" s="1185"/>
      <c r="AH1237" s="1185"/>
      <c r="AI1237" s="1185"/>
      <c r="AK1237" s="1204"/>
    </row>
    <row r="1238" spans="1:37">
      <c r="A1238" s="1184" t="s">
        <v>381</v>
      </c>
      <c r="C1238" s="1202">
        <f>1960718</f>
        <v>1960718</v>
      </c>
      <c r="D1238" s="269"/>
      <c r="E1238" s="1185"/>
      <c r="F1238" s="1210">
        <f>SUM(F1208:F1235)</f>
        <v>226043</v>
      </c>
      <c r="G1238" s="269"/>
      <c r="H1238" s="1185"/>
      <c r="I1238" s="1210">
        <f>SUM(I1208:I1235)</f>
        <v>238251</v>
      </c>
      <c r="J1238" s="269"/>
      <c r="K1238" s="1185"/>
      <c r="L1238" s="1210">
        <f>SUM(L1208:L1237)</f>
        <v>247003</v>
      </c>
      <c r="N1238" s="1204" t="e">
        <f>SUM(N1208:N1236)</f>
        <v>#REF!</v>
      </c>
      <c r="O1238" s="1185"/>
      <c r="P1238" s="281"/>
      <c r="Q1238" s="1361"/>
      <c r="R1238" s="1361"/>
      <c r="S1238" s="1185"/>
      <c r="T1238" s="1185"/>
      <c r="U1238" s="287"/>
      <c r="V1238" s="287"/>
      <c r="W1238" s="287"/>
      <c r="X1238" s="287"/>
      <c r="Y1238" s="278"/>
      <c r="Z1238" s="278"/>
      <c r="AA1238" s="288"/>
      <c r="AB1238" s="278"/>
      <c r="AC1238" s="278"/>
      <c r="AD1238" s="278"/>
      <c r="AE1238" s="1185"/>
      <c r="AF1238" s="1185"/>
      <c r="AG1238" s="1185"/>
      <c r="AH1238" s="1185"/>
      <c r="AI1238" s="1185"/>
    </row>
    <row r="1239" spans="1:37">
      <c r="A1239" s="1184" t="s">
        <v>363</v>
      </c>
      <c r="C1239" s="1202">
        <f>'[94]Table 2'!H125</f>
        <v>-171190.19947704519</v>
      </c>
      <c r="D1239" s="269"/>
      <c r="E1239" s="1185"/>
      <c r="F1239" s="1210" t="e">
        <f>#REF!</f>
        <v>#REF!</v>
      </c>
      <c r="G1239" s="269"/>
      <c r="H1239" s="1185"/>
      <c r="I1239" s="1210">
        <f>'[94]Table 3'!E125</f>
        <v>-19585.785496781922</v>
      </c>
      <c r="J1239" s="269"/>
      <c r="K1239" s="1185"/>
      <c r="L1239" s="1210">
        <f>I1239</f>
        <v>-19585.785496781922</v>
      </c>
      <c r="N1239" s="289"/>
      <c r="O1239" s="444"/>
      <c r="P1239" s="287"/>
      <c r="Q1239" s="278"/>
      <c r="R1239" s="278"/>
      <c r="S1239" s="278"/>
      <c r="T1239" s="278"/>
      <c r="U1239" s="283"/>
      <c r="V1239" s="283"/>
      <c r="W1239" s="283"/>
      <c r="X1239" s="283"/>
      <c r="Y1239" s="281"/>
      <c r="Z1239" s="278"/>
      <c r="AA1239" s="1185"/>
      <c r="AB1239" s="1185"/>
      <c r="AC1239" s="1185"/>
      <c r="AD1239" s="1185"/>
      <c r="AE1239" s="1185"/>
      <c r="AF1239" s="1185"/>
      <c r="AG1239" s="1185"/>
      <c r="AH1239" s="1185"/>
      <c r="AI1239" s="1185"/>
    </row>
    <row r="1240" spans="1:37" ht="16.5" thickBot="1">
      <c r="A1240" s="1184" t="s">
        <v>9</v>
      </c>
      <c r="C1240" s="1212">
        <f>C1238+C1239</f>
        <v>1789527.8005229549</v>
      </c>
      <c r="D1240" s="1213"/>
      <c r="E1240" s="1213"/>
      <c r="F1240" s="1213" t="e">
        <f>F1238+F1239</f>
        <v>#REF!</v>
      </c>
      <c r="G1240" s="1214"/>
      <c r="H1240" s="1214"/>
      <c r="I1240" s="1213">
        <f>I1238+I1239</f>
        <v>218665.21450321807</v>
      </c>
      <c r="J1240" s="1214"/>
      <c r="K1240" s="1214"/>
      <c r="L1240" s="1213">
        <f>L1238+L1239</f>
        <v>227417.21450321807</v>
      </c>
      <c r="N1240" s="291"/>
      <c r="O1240" s="788" t="s">
        <v>409</v>
      </c>
      <c r="P1240" s="1216">
        <f>'[94]Rate Spread'!Q39*1000</f>
        <v>227411.8230833468</v>
      </c>
      <c r="Q1240" s="818">
        <f>(L1240-I1240)/I1240</f>
        <v>4.0024656047298268E-2</v>
      </c>
      <c r="R1240" s="728"/>
      <c r="S1240" s="278"/>
      <c r="T1240" s="278"/>
      <c r="U1240" s="278"/>
      <c r="V1240" s="278"/>
      <c r="W1240" s="278"/>
      <c r="X1240" s="278"/>
      <c r="Y1240" s="278"/>
      <c r="Z1240" s="278"/>
      <c r="AA1240" s="1185"/>
      <c r="AB1240" s="1185"/>
      <c r="AC1240" s="1185"/>
      <c r="AD1240" s="1185"/>
      <c r="AE1240" s="1185"/>
      <c r="AF1240" s="1185"/>
      <c r="AG1240" s="1185"/>
      <c r="AH1240" s="1185"/>
      <c r="AI1240" s="1185"/>
    </row>
    <row r="1241" spans="1:37" ht="16.5" thickTop="1">
      <c r="C1241" s="1362" t="s">
        <v>31</v>
      </c>
      <c r="D1241" s="1217"/>
      <c r="E1241" s="1217"/>
      <c r="F1241" s="1201"/>
      <c r="G1241" s="1217"/>
      <c r="H1241" s="1217"/>
      <c r="I1241" s="1201"/>
      <c r="J1241" s="1217" t="s">
        <v>31</v>
      </c>
      <c r="K1241" s="1217"/>
      <c r="L1241" s="1203" t="s">
        <v>31</v>
      </c>
      <c r="N1241" s="277"/>
      <c r="O1241" s="789" t="s">
        <v>263</v>
      </c>
      <c r="P1241" s="1221">
        <f>P1240-L1240</f>
        <v>-5.3914198712736834</v>
      </c>
      <c r="Q1241" s="1135">
        <v>-0.15129999999999999</v>
      </c>
      <c r="R1241" s="1263"/>
      <c r="S1241" s="278"/>
      <c r="T1241" s="278"/>
      <c r="U1241" s="278"/>
      <c r="V1241" s="278"/>
      <c r="W1241" s="278"/>
      <c r="X1241" s="278"/>
      <c r="Y1241" s="278"/>
      <c r="Z1241" s="278"/>
      <c r="AA1241" s="1185"/>
      <c r="AB1241" s="1185"/>
      <c r="AC1241" s="1185"/>
      <c r="AD1241" s="1185"/>
      <c r="AE1241" s="1185"/>
      <c r="AF1241" s="1185"/>
      <c r="AG1241" s="1185"/>
      <c r="AH1241" s="1185"/>
      <c r="AI1241" s="1185"/>
    </row>
    <row r="1242" spans="1:37">
      <c r="A1242" s="1233"/>
      <c r="B1242" s="1242"/>
      <c r="C1242" s="1026"/>
      <c r="D1242" s="1363"/>
      <c r="E1242" s="1203"/>
      <c r="F1242" s="1203"/>
      <c r="G1242" s="1363"/>
      <c r="H1242" s="1233"/>
      <c r="I1242" s="1203"/>
      <c r="J1242" s="1363"/>
      <c r="K1242" s="1233"/>
      <c r="L1242" s="1203"/>
      <c r="N1242" s="1185"/>
      <c r="O1242" s="1185"/>
      <c r="P1242" s="1186"/>
      <c r="Q1242" s="1186"/>
      <c r="R1242" s="1186"/>
      <c r="S1242" s="1185"/>
      <c r="T1242" s="1185"/>
      <c r="U1242" s="1185"/>
      <c r="V1242" s="1185"/>
      <c r="W1242" s="1185"/>
      <c r="X1242" s="1185"/>
      <c r="Y1242" s="1185"/>
      <c r="Z1242" s="1185"/>
      <c r="AA1242" s="1185"/>
      <c r="AB1242" s="1185"/>
      <c r="AC1242" s="1185"/>
      <c r="AD1242" s="1185"/>
    </row>
    <row r="1243" spans="1:37" s="1005" customFormat="1" ht="19.899999999999999" customHeight="1" thickBot="1">
      <c r="A1243" s="1277" t="s">
        <v>515</v>
      </c>
      <c r="B1243" s="1242"/>
      <c r="C1243" s="1364">
        <f>C28+C99+C201+C592+C632+C762+C890+C908+C1124+C1137+C1149+C1202+C1240</f>
        <v>4000612315.4745193</v>
      </c>
      <c r="D1243" s="1365"/>
      <c r="E1243" s="1366"/>
      <c r="F1243" s="1366" t="e">
        <f>F28+F99+F201+F592+F632+F762+F890+F908+F1124+F1137+F1149+F1202+F1240</f>
        <v>#REF!</v>
      </c>
      <c r="G1243" s="1365"/>
      <c r="H1243" s="1366"/>
      <c r="I1243" s="1366">
        <f>I28+I99+I201+I592+I632+I762+I890+I908+I1124+I1137+I1149+I1202+I1240</f>
        <v>303518156.1400001</v>
      </c>
      <c r="J1243" s="1365"/>
      <c r="K1243" s="1366"/>
      <c r="L1243" s="1366">
        <f>L28+L99+L201+L592+L632+L762+L890+L908+L1124+L1137+L1149+L1202+L1240</f>
        <v>346319776.71879387</v>
      </c>
      <c r="N1243" s="1185"/>
      <c r="O1243" s="1367" t="s">
        <v>409</v>
      </c>
      <c r="P1243" s="1368">
        <f>P28+P99+P201+P632+P762+P927+P1096+P1124+P1137+P1149+P1202+P1240</f>
        <v>346319516.57133228</v>
      </c>
      <c r="Q1243" s="1186"/>
      <c r="R1243" s="1186"/>
      <c r="S1243" s="1065"/>
      <c r="T1243" s="1065"/>
      <c r="U1243" s="1065"/>
      <c r="V1243" s="1065"/>
      <c r="W1243" s="1065"/>
      <c r="X1243" s="1065"/>
      <c r="Y1243" s="1065"/>
      <c r="Z1243" s="1065"/>
      <c r="AA1243" s="1065"/>
      <c r="AB1243" s="1065"/>
      <c r="AC1243" s="1065"/>
      <c r="AD1243" s="1065"/>
    </row>
    <row r="1244" spans="1:37" ht="17.25" thickTop="1" thickBot="1">
      <c r="A1244" s="1219"/>
      <c r="B1244" s="1242"/>
      <c r="C1244" s="1364"/>
      <c r="D1244" s="1261"/>
      <c r="E1244" s="1203"/>
      <c r="F1244" s="1203"/>
      <c r="G1244" s="1261"/>
      <c r="H1244" s="1219"/>
      <c r="I1244" s="1203"/>
      <c r="J1244" s="1259" t="s">
        <v>31</v>
      </c>
      <c r="K1244" s="1219"/>
      <c r="L1244" s="1203" t="s">
        <v>31</v>
      </c>
      <c r="N1244" s="1185"/>
      <c r="O1244" s="1220" t="s">
        <v>263</v>
      </c>
      <c r="P1244" s="1369">
        <f>P1243-L1243</f>
        <v>-260.14746159315109</v>
      </c>
      <c r="Q1244" s="1370" t="s">
        <v>31</v>
      </c>
      <c r="R1244" s="1370"/>
      <c r="S1244" s="1185"/>
      <c r="T1244" s="1185"/>
      <c r="U1244" s="1185"/>
      <c r="V1244" s="1185"/>
      <c r="W1244" s="1185"/>
      <c r="X1244" s="1185"/>
      <c r="Y1244" s="1185"/>
      <c r="Z1244" s="1185"/>
      <c r="AA1244" s="1185"/>
      <c r="AB1244" s="1185"/>
      <c r="AC1244" s="1185"/>
      <c r="AD1244" s="1185"/>
    </row>
    <row r="1245" spans="1:37" ht="16.5" thickTop="1">
      <c r="A1245" s="1219" t="s">
        <v>34</v>
      </c>
      <c r="B1245" s="1242"/>
      <c r="C1245" s="1371"/>
      <c r="D1245" s="1372"/>
      <c r="E1245" s="1373"/>
      <c r="F1245" s="1373" t="e">
        <f>#REF!+#REF!+#REF!+#REF!+#REF!</f>
        <v>#REF!</v>
      </c>
      <c r="G1245" s="1372"/>
      <c r="H1245" s="1374"/>
      <c r="I1245" s="1373">
        <f>'[94]Table 3'!D24+'[94]Table 3'!D56+'[94]Table 3'!D87+'[94]Table 3'!D105+'[94]Table 3'!D129</f>
        <v>545052.17999999993</v>
      </c>
      <c r="J1245" s="1375"/>
      <c r="K1245" s="1374"/>
      <c r="L1245" s="1376">
        <f>I1245</f>
        <v>545052.17999999993</v>
      </c>
      <c r="N1245" s="1185"/>
      <c r="S1245" s="1185"/>
      <c r="T1245" s="1185"/>
      <c r="U1245" s="1185"/>
      <c r="V1245" s="1185"/>
      <c r="W1245" s="1185"/>
      <c r="X1245" s="1185"/>
      <c r="Y1245" s="1185"/>
      <c r="Z1245" s="1185"/>
      <c r="AA1245" s="1185"/>
      <c r="AB1245" s="1185"/>
      <c r="AC1245" s="1185"/>
      <c r="AD1245" s="1185"/>
    </row>
    <row r="1246" spans="1:37" s="1005" customFormat="1" ht="19.899999999999999" customHeight="1" thickBot="1">
      <c r="A1246" s="1377" t="s">
        <v>516</v>
      </c>
      <c r="B1246" s="1378"/>
      <c r="C1246" s="1379">
        <f>C1243+C1245</f>
        <v>4000612315.4745193</v>
      </c>
      <c r="D1246" s="462"/>
      <c r="E1246" s="1380"/>
      <c r="F1246" s="464" t="e">
        <f>F1243+F1245</f>
        <v>#REF!</v>
      </c>
      <c r="G1246" s="462"/>
      <c r="H1246" s="1380"/>
      <c r="I1246" s="464">
        <f>I1243+I1245</f>
        <v>304063208.32000011</v>
      </c>
      <c r="J1246" s="1381"/>
      <c r="K1246" s="1380"/>
      <c r="L1246" s="464">
        <f>L1243+L1245</f>
        <v>346864828.89879388</v>
      </c>
      <c r="N1246" s="1065"/>
      <c r="S1246" s="1065"/>
      <c r="T1246" s="1065"/>
      <c r="U1246" s="1065"/>
      <c r="V1246" s="1065"/>
      <c r="W1246" s="1065"/>
      <c r="X1246" s="1065"/>
      <c r="Y1246" s="1065"/>
      <c r="Z1246" s="1065"/>
      <c r="AA1246" s="1065"/>
      <c r="AB1246" s="1065"/>
      <c r="AC1246" s="1065"/>
      <c r="AD1246" s="1065"/>
    </row>
    <row r="1247" spans="1:37" ht="16.5" thickTop="1">
      <c r="A1247" s="1219"/>
      <c r="B1247" s="1242"/>
      <c r="C1247" s="1225"/>
      <c r="D1247" s="1382" t="s">
        <v>31</v>
      </c>
      <c r="E1247" s="1203"/>
      <c r="F1247" s="1203" t="s">
        <v>31</v>
      </c>
      <c r="G1247" s="1382" t="s">
        <v>31</v>
      </c>
      <c r="H1247" s="1382"/>
      <c r="I1247" s="1203" t="s">
        <v>31</v>
      </c>
      <c r="J1247" s="1261"/>
      <c r="K1247" s="1219"/>
      <c r="L1247" s="1203"/>
      <c r="N1247" s="1185"/>
      <c r="O1247" s="1185"/>
      <c r="P1247" s="1186"/>
      <c r="Q1247" s="1186"/>
      <c r="R1247" s="1186"/>
      <c r="S1247" s="1185"/>
      <c r="T1247" s="1185"/>
      <c r="U1247" s="1185"/>
      <c r="V1247" s="1185"/>
      <c r="W1247" s="1185"/>
      <c r="X1247" s="1185"/>
      <c r="Y1247" s="1185"/>
      <c r="Z1247" s="1185"/>
      <c r="AA1247" s="1185"/>
      <c r="AB1247" s="1185"/>
      <c r="AC1247" s="1185"/>
      <c r="AD1247" s="1185"/>
    </row>
    <row r="1248" spans="1:37">
      <c r="C1248" s="1313"/>
      <c r="D1248" s="1208"/>
      <c r="G1248" s="1208"/>
      <c r="H1248" s="1208"/>
      <c r="I1248" s="1383"/>
      <c r="L1248" s="1202"/>
      <c r="N1248" s="1185"/>
      <c r="O1248" s="1185"/>
      <c r="P1248" s="1186"/>
      <c r="Q1248" s="1186"/>
      <c r="R1248" s="1186"/>
      <c r="S1248" s="1185"/>
      <c r="T1248" s="1185"/>
      <c r="U1248" s="1185"/>
      <c r="V1248" s="1185"/>
      <c r="W1248" s="1185"/>
      <c r="X1248" s="1185"/>
      <c r="Y1248" s="1185"/>
      <c r="Z1248" s="1185"/>
      <c r="AA1248" s="1185"/>
      <c r="AB1248" s="1185"/>
      <c r="AC1248" s="1185"/>
      <c r="AD1248" s="1185"/>
    </row>
    <row r="1249" spans="1:30">
      <c r="A1249" s="1384"/>
      <c r="N1249" s="1185"/>
      <c r="O1249" s="1185"/>
      <c r="P1249" s="1186"/>
      <c r="Q1249" s="1186"/>
      <c r="R1249" s="1186"/>
      <c r="S1249" s="1185"/>
      <c r="T1249" s="1185"/>
      <c r="U1249" s="1185"/>
      <c r="V1249" s="1185"/>
      <c r="W1249" s="1185"/>
      <c r="X1249" s="1185"/>
      <c r="Y1249" s="1185"/>
      <c r="Z1249" s="1185"/>
      <c r="AA1249" s="1185"/>
      <c r="AB1249" s="1185"/>
      <c r="AC1249" s="1185"/>
      <c r="AD1249" s="1185"/>
    </row>
    <row r="1250" spans="1:30">
      <c r="A1250" s="1219" t="s">
        <v>168</v>
      </c>
      <c r="B1250" s="1184" t="s">
        <v>517</v>
      </c>
      <c r="C1250" s="1202">
        <f>'[94]Table 2'!M140</f>
        <v>4000612315.4745183</v>
      </c>
      <c r="F1250" s="1204" t="e">
        <f>#REF!</f>
        <v>#REF!</v>
      </c>
      <c r="I1250" s="1204">
        <f>'[94]Table 3'!P140</f>
        <v>304063208.36000001</v>
      </c>
      <c r="N1250" s="1185"/>
      <c r="O1250" s="1185"/>
      <c r="P1250" s="1186"/>
      <c r="Q1250" s="1186"/>
      <c r="R1250" s="1186"/>
      <c r="S1250" s="1185"/>
      <c r="T1250" s="1185"/>
      <c r="U1250" s="1185"/>
      <c r="V1250" s="1185"/>
      <c r="W1250" s="1185"/>
      <c r="X1250" s="1185"/>
      <c r="Y1250" s="1185"/>
      <c r="Z1250" s="1185"/>
      <c r="AA1250" s="1185"/>
      <c r="AB1250" s="1185"/>
      <c r="AC1250" s="1185"/>
      <c r="AD1250" s="1185"/>
    </row>
    <row r="1251" spans="1:30">
      <c r="B1251" s="1184" t="s">
        <v>518</v>
      </c>
      <c r="C1251" s="1202">
        <f>'[94]Table 1 - kWh'!F21</f>
        <v>4000612315.4745183</v>
      </c>
      <c r="F1251" s="1204" t="e">
        <f>#REF!</f>
        <v>#REF!</v>
      </c>
      <c r="I1251" s="1204">
        <f>'[94]Table 1-Revenues'!J21</f>
        <v>304063208.36000001</v>
      </c>
      <c r="N1251" s="1185"/>
      <c r="O1251" s="1185"/>
      <c r="P1251" s="1186"/>
      <c r="Q1251" s="1186"/>
      <c r="R1251" s="1186"/>
      <c r="S1251" s="1185"/>
      <c r="T1251" s="1185"/>
      <c r="U1251" s="1185"/>
      <c r="V1251" s="1185"/>
      <c r="W1251" s="1185"/>
      <c r="X1251" s="1185"/>
      <c r="Y1251" s="1185"/>
      <c r="Z1251" s="1185"/>
      <c r="AA1251" s="1185"/>
      <c r="AB1251" s="1185"/>
      <c r="AC1251" s="1185"/>
      <c r="AD1251" s="1185"/>
    </row>
    <row r="1252" spans="1:30">
      <c r="N1252" s="1185"/>
      <c r="O1252" s="1185"/>
      <c r="P1252" s="1186"/>
      <c r="Q1252" s="1186"/>
      <c r="R1252" s="1186"/>
      <c r="S1252" s="1185"/>
      <c r="T1252" s="1185"/>
      <c r="U1252" s="1185"/>
      <c r="V1252" s="1185"/>
      <c r="W1252" s="1185"/>
      <c r="X1252" s="1185"/>
      <c r="Y1252" s="1185"/>
      <c r="Z1252" s="1185"/>
      <c r="AA1252" s="1185"/>
      <c r="AB1252" s="1185"/>
      <c r="AC1252" s="1185"/>
      <c r="AD1252" s="1185"/>
    </row>
    <row r="1253" spans="1:30">
      <c r="B1253" s="1184" t="s">
        <v>251</v>
      </c>
      <c r="C1253" s="1202">
        <f>C1246-C1251</f>
        <v>0</v>
      </c>
      <c r="F1253" s="1202" t="e">
        <f>F1246-F1251</f>
        <v>#REF!</v>
      </c>
      <c r="I1253" s="1202">
        <f>I1246-I1251</f>
        <v>-3.9999902248382568E-2</v>
      </c>
      <c r="N1253" s="1185"/>
      <c r="O1253" s="1185"/>
      <c r="P1253" s="1186"/>
      <c r="Q1253" s="1186"/>
      <c r="R1253" s="1186"/>
      <c r="S1253" s="1185"/>
      <c r="T1253" s="1185"/>
      <c r="U1253" s="1185"/>
      <c r="V1253" s="1185"/>
      <c r="W1253" s="1185"/>
      <c r="X1253" s="1185"/>
      <c r="Y1253" s="1185"/>
      <c r="Z1253" s="1185"/>
      <c r="AA1253" s="1185"/>
      <c r="AB1253" s="1185"/>
      <c r="AC1253" s="1185"/>
      <c r="AD1253" s="1185"/>
    </row>
    <row r="1254" spans="1:30">
      <c r="N1254" s="1185"/>
      <c r="O1254" s="1185"/>
      <c r="P1254" s="1186"/>
      <c r="Q1254" s="1186"/>
      <c r="R1254" s="1186"/>
      <c r="S1254" s="1185"/>
      <c r="T1254" s="1185"/>
      <c r="U1254" s="1185"/>
      <c r="V1254" s="1185"/>
      <c r="W1254" s="1185"/>
      <c r="X1254" s="1185"/>
      <c r="Y1254" s="1185"/>
      <c r="Z1254" s="1185"/>
      <c r="AA1254" s="1185"/>
      <c r="AB1254" s="1185"/>
      <c r="AC1254" s="1185"/>
      <c r="AD1254" s="1185"/>
    </row>
    <row r="1256" spans="1:30">
      <c r="B1256" s="1184" t="s">
        <v>519</v>
      </c>
      <c r="C1256" s="1202">
        <f>C25+C87+C173+C601+C719+C876+C898+C1120+C1132+C1145+C1196+C1236</f>
        <v>1530682.1666666595</v>
      </c>
    </row>
    <row r="1257" spans="1:30">
      <c r="B1257" s="1184" t="s">
        <v>40</v>
      </c>
      <c r="C1257" s="1202">
        <f>((C25+C87+C211+C349+C601+C876+C898+C1120+C1132+C1145+C1196+C1236)/12)+C454+C719</f>
        <v>132380.34516742709</v>
      </c>
    </row>
    <row r="1258" spans="1:30">
      <c r="B1258" s="1005" t="s">
        <v>98</v>
      </c>
      <c r="C1258" s="1202">
        <f>'[94]Table 2'!F140</f>
        <v>132378.51388888832</v>
      </c>
      <c r="D1258" s="1231" t="s">
        <v>31</v>
      </c>
    </row>
    <row r="1259" spans="1:30">
      <c r="B1259" s="1184" t="s">
        <v>251</v>
      </c>
      <c r="C1259" s="1202">
        <f>C1257-C1258</f>
        <v>1.8312785387679469</v>
      </c>
    </row>
  </sheetData>
  <mergeCells count="4">
    <mergeCell ref="A2:L2"/>
    <mergeCell ref="A3:L3"/>
    <mergeCell ref="A4:L4"/>
    <mergeCell ref="A5:L5"/>
  </mergeCells>
  <printOptions horizontalCentered="1"/>
  <pageMargins left="0.25" right="0.25" top="0.5" bottom="0.3" header="0.5" footer="0.25"/>
  <pageSetup scale="53" fitToHeight="8" orientation="portrait" r:id="rId1"/>
  <headerFooter alignWithMargins="0"/>
  <rowBreaks count="7" manualBreakCount="7">
    <brk id="130" max="11" man="1"/>
    <brk id="202" max="11" man="1"/>
    <brk id="633" max="11" man="1"/>
    <brk id="891" max="11" man="1"/>
    <brk id="984" max="11" man="1"/>
    <brk id="1125" max="11" man="1"/>
    <brk id="1190" max="11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39">
    <pageSetUpPr fitToPage="1"/>
  </sheetPr>
  <dimension ref="B1:W65"/>
  <sheetViews>
    <sheetView zoomScale="85" zoomScaleNormal="85" workbookViewId="0">
      <pane xSplit="7" ySplit="12" topLeftCell="H46" activePane="bottomRight" state="frozen"/>
      <selection activeCell="F26" sqref="F26"/>
      <selection pane="topRight" activeCell="F26" sqref="F26"/>
      <selection pane="bottomLeft" activeCell="F26" sqref="F26"/>
      <selection pane="bottomRight" activeCell="J15" sqref="J15"/>
    </sheetView>
  </sheetViews>
  <sheetFormatPr defaultColWidth="8.5" defaultRowHeight="15"/>
  <cols>
    <col min="1" max="1" width="5" style="52" customWidth="1"/>
    <col min="2" max="2" width="3.25" style="52" customWidth="1"/>
    <col min="3" max="3" width="1.125" style="52" customWidth="1"/>
    <col min="4" max="4" width="32.25" style="52" customWidth="1"/>
    <col min="5" max="5" width="1.125" style="52" customWidth="1"/>
    <col min="6" max="6" width="7.25" style="52" bestFit="1" customWidth="1"/>
    <col min="7" max="7" width="1.125" style="52" customWidth="1"/>
    <col min="8" max="8" width="8.5" style="52" bestFit="1" customWidth="1"/>
    <col min="9" max="9" width="1.125" style="52" customWidth="1"/>
    <col min="10" max="10" width="11.75" style="52" bestFit="1" customWidth="1"/>
    <col min="11" max="11" width="1.125" style="52" customWidth="1"/>
    <col min="12" max="12" width="12.25" style="52" bestFit="1" customWidth="1"/>
    <col min="13" max="13" width="1.125" style="52" customWidth="1"/>
    <col min="14" max="14" width="12.25" style="52" hidden="1" customWidth="1"/>
    <col min="15" max="15" width="1.125" style="52" hidden="1" customWidth="1"/>
    <col min="16" max="16" width="13.25" style="52" hidden="1" customWidth="1"/>
    <col min="17" max="17" width="2.875" style="52" hidden="1" customWidth="1"/>
    <col min="18" max="18" width="10.5" style="52" hidden="1" customWidth="1"/>
    <col min="19" max="19" width="2.125" style="52" hidden="1" customWidth="1"/>
    <col min="20" max="20" width="10.5" style="52" hidden="1" customWidth="1"/>
    <col min="21" max="21" width="2.125" style="52" hidden="1" customWidth="1"/>
    <col min="22" max="22" width="10.5" style="52" hidden="1" customWidth="1"/>
    <col min="23" max="23" width="2.125" style="52" hidden="1" customWidth="1"/>
    <col min="24" max="24" width="0" style="52" hidden="1" customWidth="1"/>
    <col min="25" max="16384" width="8.5" style="52"/>
  </cols>
  <sheetData>
    <row r="1" spans="2:23" ht="15.75">
      <c r="B1" s="1385" t="s">
        <v>31</v>
      </c>
      <c r="C1" s="1385"/>
      <c r="D1" s="1385"/>
      <c r="E1" s="1385"/>
      <c r="F1" s="1385"/>
      <c r="G1" s="1385"/>
      <c r="H1" s="1385"/>
      <c r="I1" s="1385"/>
      <c r="J1" s="1385"/>
      <c r="K1" s="1385"/>
      <c r="L1" s="1385"/>
      <c r="M1" s="1385"/>
      <c r="N1" s="1385"/>
      <c r="O1" s="1385"/>
      <c r="P1" s="1385"/>
      <c r="Q1" s="1385"/>
      <c r="R1" s="1385"/>
      <c r="S1" s="1385"/>
      <c r="U1" s="1385"/>
      <c r="W1" s="1385"/>
    </row>
    <row r="2" spans="2:23" ht="15.75">
      <c r="B2" s="1386" t="s">
        <v>743</v>
      </c>
      <c r="C2" s="1386"/>
      <c r="D2" s="1386"/>
      <c r="E2" s="1386"/>
      <c r="F2" s="1386"/>
      <c r="G2" s="1386"/>
      <c r="H2" s="1386"/>
      <c r="I2" s="1386"/>
      <c r="J2" s="1386"/>
      <c r="K2" s="1386"/>
      <c r="L2" s="1386"/>
      <c r="M2" s="1386"/>
      <c r="N2" s="1386"/>
      <c r="O2" s="1386"/>
      <c r="P2" s="1386"/>
      <c r="Q2" s="1386"/>
      <c r="R2" s="1386"/>
      <c r="S2" s="1386"/>
      <c r="T2" s="1386"/>
      <c r="U2" s="1386"/>
      <c r="V2" s="1386"/>
      <c r="W2" s="1386"/>
    </row>
    <row r="3" spans="2:23" ht="15.75">
      <c r="B3" s="1386" t="s">
        <v>852</v>
      </c>
      <c r="C3" s="1386"/>
      <c r="D3" s="1386"/>
      <c r="E3" s="1386"/>
      <c r="F3" s="1386"/>
      <c r="G3" s="1386"/>
      <c r="H3" s="1386"/>
      <c r="I3" s="1386"/>
      <c r="J3" s="1386"/>
      <c r="K3" s="1386"/>
      <c r="L3" s="1386"/>
      <c r="M3" s="1386"/>
      <c r="N3" s="1386"/>
      <c r="O3" s="1386"/>
      <c r="P3" s="1386"/>
      <c r="Q3" s="1386"/>
      <c r="R3" s="1386"/>
      <c r="S3" s="1386"/>
      <c r="T3" s="1386"/>
      <c r="U3" s="1386"/>
      <c r="V3" s="1386"/>
      <c r="W3" s="1386"/>
    </row>
    <row r="4" spans="2:23" ht="15.75">
      <c r="B4" s="1386" t="s">
        <v>853</v>
      </c>
      <c r="C4" s="1386"/>
      <c r="D4" s="1386"/>
      <c r="E4" s="1386"/>
      <c r="F4" s="1386"/>
      <c r="G4" s="1386"/>
      <c r="H4" s="1386"/>
      <c r="I4" s="1386"/>
      <c r="J4" s="1386"/>
      <c r="K4" s="1386"/>
      <c r="L4" s="1386"/>
      <c r="M4" s="1386"/>
      <c r="N4" s="1386"/>
      <c r="O4" s="1386"/>
      <c r="P4" s="1386"/>
      <c r="Q4" s="1386"/>
      <c r="R4" s="1386"/>
      <c r="S4" s="1386"/>
      <c r="T4" s="1386"/>
      <c r="U4" s="1386"/>
      <c r="V4" s="1386"/>
      <c r="W4" s="1386"/>
    </row>
    <row r="5" spans="2:23" ht="15.75">
      <c r="B5" s="1387" t="str">
        <f>'[96]305 Inputs'!B4</f>
        <v>12 Months Ended June 2012</v>
      </c>
      <c r="C5" s="1387"/>
      <c r="D5" s="1387"/>
      <c r="E5" s="1387"/>
      <c r="F5" s="1387"/>
      <c r="G5" s="1387"/>
      <c r="H5" s="1387"/>
      <c r="I5" s="1387"/>
      <c r="J5" s="1387"/>
      <c r="K5" s="1387"/>
      <c r="L5" s="1387"/>
      <c r="M5" s="1387"/>
      <c r="N5" s="1387"/>
      <c r="O5" s="1387"/>
      <c r="P5" s="1387"/>
      <c r="Q5" s="1387"/>
      <c r="R5" s="1387"/>
      <c r="S5" s="1387"/>
      <c r="T5" s="1387"/>
      <c r="U5" s="1387"/>
      <c r="V5" s="1387"/>
      <c r="W5" s="1387"/>
    </row>
    <row r="6" spans="2:23">
      <c r="B6" s="1388"/>
      <c r="C6" s="1388"/>
      <c r="D6" s="1388"/>
      <c r="E6" s="1388"/>
      <c r="F6" s="1388"/>
      <c r="G6" s="1388"/>
      <c r="H6" s="1388"/>
      <c r="I6" s="1388"/>
      <c r="J6" s="1388"/>
      <c r="K6" s="1388"/>
      <c r="L6" s="1388"/>
      <c r="M6" s="1388"/>
      <c r="N6" s="1388"/>
      <c r="O6" s="1388"/>
      <c r="P6" s="1388"/>
      <c r="Q6" s="1389"/>
      <c r="R6" s="1388"/>
      <c r="S6" s="1388"/>
      <c r="U6" s="1388"/>
      <c r="W6" s="1388"/>
    </row>
    <row r="7" spans="2:23">
      <c r="B7" s="1388"/>
      <c r="C7" s="1388"/>
      <c r="D7" s="1388"/>
      <c r="E7" s="1388"/>
      <c r="F7" s="1388"/>
      <c r="G7" s="1388"/>
      <c r="H7" s="1388"/>
      <c r="I7" s="1388"/>
      <c r="J7" s="1388"/>
      <c r="K7" s="1388"/>
      <c r="L7" s="1388"/>
      <c r="M7" s="1388"/>
      <c r="N7" s="1388"/>
      <c r="O7" s="1388"/>
      <c r="P7" s="1388"/>
      <c r="Q7" s="1389"/>
      <c r="R7" s="1388"/>
      <c r="S7" s="1388"/>
      <c r="U7" s="1388"/>
      <c r="W7" s="1388"/>
    </row>
    <row r="8" spans="2:23">
      <c r="L8" s="1390" t="s">
        <v>31</v>
      </c>
      <c r="N8" s="1390" t="s">
        <v>197</v>
      </c>
      <c r="P8" s="1390" t="s">
        <v>197</v>
      </c>
      <c r="Q8" s="1391"/>
      <c r="R8" s="1392" t="s">
        <v>39</v>
      </c>
      <c r="S8" s="1393"/>
      <c r="T8" s="1394" t="s">
        <v>39</v>
      </c>
      <c r="U8" s="1393"/>
      <c r="V8" s="1394" t="s">
        <v>39</v>
      </c>
      <c r="W8" s="1393"/>
    </row>
    <row r="9" spans="2:23">
      <c r="F9" s="1395" t="s">
        <v>854</v>
      </c>
      <c r="I9" s="86"/>
      <c r="K9" s="86"/>
      <c r="L9" s="1390" t="s">
        <v>877</v>
      </c>
      <c r="M9" s="1396"/>
      <c r="N9" s="1390" t="s">
        <v>200</v>
      </c>
      <c r="O9" s="1396"/>
      <c r="P9" s="1390" t="s">
        <v>201</v>
      </c>
      <c r="Q9" s="1389"/>
      <c r="R9" s="1392" t="s">
        <v>187</v>
      </c>
      <c r="S9" s="1393"/>
      <c r="T9" s="1394" t="s">
        <v>200</v>
      </c>
      <c r="U9" s="1393"/>
      <c r="V9" s="1394" t="s">
        <v>201</v>
      </c>
      <c r="W9" s="1393"/>
    </row>
    <row r="10" spans="2:23" s="1398" customFormat="1" ht="17.25">
      <c r="B10" s="1395" t="s">
        <v>186</v>
      </c>
      <c r="C10" s="87"/>
      <c r="D10" s="1395"/>
      <c r="E10" s="1395"/>
      <c r="F10" s="1395" t="s">
        <v>855</v>
      </c>
      <c r="G10" s="1395"/>
      <c r="H10" s="1395" t="s">
        <v>856</v>
      </c>
      <c r="I10" s="1390"/>
      <c r="J10" s="1395"/>
      <c r="K10" s="1390"/>
      <c r="L10" s="1390" t="s">
        <v>37</v>
      </c>
      <c r="M10" s="1390"/>
      <c r="N10" s="1390" t="s">
        <v>37</v>
      </c>
      <c r="O10" s="1390"/>
      <c r="P10" s="1390" t="s">
        <v>857</v>
      </c>
      <c r="Q10" s="1397"/>
      <c r="R10" s="1392" t="s">
        <v>189</v>
      </c>
      <c r="S10" s="1390"/>
      <c r="T10" s="1392" t="s">
        <v>189</v>
      </c>
      <c r="U10" s="1390"/>
      <c r="V10" s="1392" t="s">
        <v>189</v>
      </c>
      <c r="W10" s="1390"/>
    </row>
    <row r="11" spans="2:23" ht="18" customHeight="1">
      <c r="B11" s="1399" t="s">
        <v>188</v>
      </c>
      <c r="C11" s="87"/>
      <c r="D11" s="1399" t="s">
        <v>202</v>
      </c>
      <c r="E11" s="87"/>
      <c r="F11" s="1399" t="s">
        <v>188</v>
      </c>
      <c r="G11" s="1395"/>
      <c r="H11" s="1399" t="s">
        <v>858</v>
      </c>
      <c r="I11" s="1395"/>
      <c r="J11" s="1399" t="s">
        <v>23</v>
      </c>
      <c r="K11" s="1395"/>
      <c r="L11" s="1400" t="s">
        <v>198</v>
      </c>
      <c r="M11" s="1395"/>
      <c r="N11" s="1400" t="s">
        <v>198</v>
      </c>
      <c r="O11" s="1395"/>
      <c r="P11" s="1400" t="s">
        <v>198</v>
      </c>
      <c r="Q11" s="1397"/>
      <c r="R11" s="1401" t="s">
        <v>859</v>
      </c>
      <c r="S11" s="1402"/>
      <c r="T11" s="1401" t="s">
        <v>859</v>
      </c>
      <c r="U11" s="1402"/>
      <c r="V11" s="1401" t="s">
        <v>859</v>
      </c>
      <c r="W11" s="1402"/>
    </row>
    <row r="12" spans="2:23" ht="18" customHeight="1">
      <c r="D12" s="1403">
        <v>-1</v>
      </c>
      <c r="F12" s="1403">
        <f>MIN($D12:E12)-1</f>
        <v>-2</v>
      </c>
      <c r="H12" s="1403">
        <f>MIN($D12:G12)-1</f>
        <v>-3</v>
      </c>
      <c r="J12" s="1403">
        <f>MIN($D12:I12)-1</f>
        <v>-4</v>
      </c>
      <c r="L12" s="1403">
        <f>MIN($D12:K12)-1</f>
        <v>-5</v>
      </c>
      <c r="N12" s="1403">
        <f>MIN($D12:M12)-1</f>
        <v>-6</v>
      </c>
      <c r="P12" s="1403">
        <f>MIN($D12:O12)-1</f>
        <v>-7</v>
      </c>
      <c r="Q12" s="1391"/>
      <c r="R12" s="1404">
        <f>MIN($D12:Q12)-1</f>
        <v>-8</v>
      </c>
      <c r="S12" s="86"/>
      <c r="T12" s="1404">
        <f>MIN($D12:S12)-1</f>
        <v>-9</v>
      </c>
      <c r="U12" s="86"/>
      <c r="V12" s="1404">
        <f>MIN($D12:U12)-1</f>
        <v>-10</v>
      </c>
      <c r="W12" s="86"/>
    </row>
    <row r="13" spans="2:23" ht="18" customHeight="1">
      <c r="Q13" s="1391"/>
      <c r="R13" s="1405" t="s">
        <v>860</v>
      </c>
      <c r="S13" s="86"/>
      <c r="T13" s="1405" t="s">
        <v>861</v>
      </c>
      <c r="U13" s="86"/>
      <c r="V13" s="1405" t="s">
        <v>862</v>
      </c>
      <c r="W13" s="86"/>
    </row>
    <row r="14" spans="2:23" ht="18" customHeight="1">
      <c r="D14" s="1406" t="s">
        <v>17</v>
      </c>
      <c r="E14" s="1406"/>
      <c r="Q14" s="1391"/>
    </row>
    <row r="15" spans="2:23" ht="18" customHeight="1">
      <c r="B15" s="86">
        <v>1</v>
      </c>
      <c r="D15" s="52" t="s">
        <v>17</v>
      </c>
      <c r="E15" s="1407"/>
      <c r="F15" s="1408" t="s">
        <v>863</v>
      </c>
      <c r="H15" s="1409">
        <f>'[96]Table 2'!F19</f>
        <v>104804.68611111111</v>
      </c>
      <c r="J15" s="1410">
        <f>'[96]Table 2'!M19/1000</f>
        <v>1604165.5009643973</v>
      </c>
      <c r="L15" s="1411">
        <f>'Rate Design prior GRC'!L90/1000</f>
        <v>142148.68010393452</v>
      </c>
      <c r="M15" s="1411"/>
      <c r="N15" s="1411">
        <f>0.00245*J15</f>
        <v>3930.2054773627733</v>
      </c>
      <c r="O15" s="1411"/>
      <c r="P15" s="1411">
        <f>SUM(L15:O15)</f>
        <v>146078.88558129728</v>
      </c>
      <c r="Q15" s="1412"/>
      <c r="R15" s="1413">
        <f>L15/$J15</f>
        <v>8.8612228612619526E-2</v>
      </c>
      <c r="S15" s="1411"/>
      <c r="T15" s="1413">
        <f>N15/$J15</f>
        <v>2.4499999999999999E-3</v>
      </c>
      <c r="U15" s="1411"/>
      <c r="V15" s="1413">
        <f>P15/$J15</f>
        <v>9.106222861261952E-2</v>
      </c>
      <c r="W15" s="1411"/>
    </row>
    <row r="16" spans="2:23" ht="18" customHeight="1">
      <c r="B16" s="86">
        <f>MAX(B$15:B15)+1</f>
        <v>2</v>
      </c>
      <c r="D16" s="52" t="s">
        <v>190</v>
      </c>
      <c r="F16" s="86" t="s">
        <v>191</v>
      </c>
      <c r="H16" s="1409">
        <f>'[96]Table 2'!F22</f>
        <v>1164.1666666666667</v>
      </c>
      <c r="I16" s="1410"/>
      <c r="J16" s="1410">
        <f>'[96]Table 2'!M22/1000</f>
        <v>1071.9593372313889</v>
      </c>
      <c r="L16" s="1411">
        <f>'Rate Design prior GRC'!L43/1000</f>
        <v>156.88785984894983</v>
      </c>
      <c r="M16" s="1411"/>
      <c r="N16" s="1411">
        <f>0.00219*J16</f>
        <v>2.3475909485367419</v>
      </c>
      <c r="O16" s="1411"/>
      <c r="P16" s="1411">
        <f>SUM(L16:O16)</f>
        <v>159.23545079748658</v>
      </c>
      <c r="Q16" s="1412"/>
      <c r="R16" s="1413">
        <f>L16/$J16</f>
        <v>0.14635616706707658</v>
      </c>
      <c r="S16" s="1414"/>
      <c r="T16" s="1413">
        <f>N16/$J16</f>
        <v>2.1900000000000001E-3</v>
      </c>
      <c r="U16" s="1414"/>
      <c r="V16" s="1413">
        <f>P16/$J16</f>
        <v>0.14854616706707657</v>
      </c>
      <c r="W16" s="1414"/>
    </row>
    <row r="17" spans="2:23" ht="18" customHeight="1">
      <c r="B17" s="86">
        <f>MAX(B$15:B16)+1</f>
        <v>3</v>
      </c>
      <c r="D17" s="52" t="s">
        <v>199</v>
      </c>
      <c r="F17" s="86"/>
      <c r="H17" s="1409"/>
      <c r="I17" s="1410"/>
      <c r="J17" s="1410">
        <f>'[96]Table 2'!M36/1000</f>
        <v>0</v>
      </c>
      <c r="L17" s="1411">
        <f>'[96]Table 2'!R36/1000</f>
        <v>0</v>
      </c>
      <c r="M17" s="1411"/>
      <c r="N17" s="1411"/>
      <c r="O17" s="1411"/>
      <c r="P17" s="1411">
        <f>SUM(L17:O17)</f>
        <v>0</v>
      </c>
      <c r="Q17" s="1412"/>
      <c r="R17" s="1413"/>
      <c r="S17" s="1414"/>
      <c r="T17" s="1415"/>
      <c r="U17" s="1414"/>
      <c r="V17" s="1415"/>
      <c r="W17" s="1414"/>
    </row>
    <row r="18" spans="2:23" ht="18" customHeight="1">
      <c r="B18" s="86">
        <f>MAX(B$15:B17)+1</f>
        <v>4</v>
      </c>
      <c r="D18" s="87" t="s">
        <v>27</v>
      </c>
      <c r="H18" s="1416">
        <f>SUM(H15:H17)</f>
        <v>105968.85277777778</v>
      </c>
      <c r="I18" s="1410"/>
      <c r="J18" s="1416">
        <f>SUM(J15:J17)</f>
        <v>1605237.4603016288</v>
      </c>
      <c r="L18" s="1417">
        <f>SUM(L15:L17)</f>
        <v>142305.56796378345</v>
      </c>
      <c r="M18" s="1411"/>
      <c r="N18" s="1417">
        <f>SUM(N15:N17)</f>
        <v>3932.5530683113102</v>
      </c>
      <c r="O18" s="1411"/>
      <c r="P18" s="1417">
        <f>SUM(P15:P17)</f>
        <v>146238.12103209476</v>
      </c>
      <c r="Q18" s="1412"/>
      <c r="R18" s="1418">
        <f>L18/$J18</f>
        <v>8.865078935863098E-2</v>
      </c>
      <c r="S18" s="1411"/>
      <c r="T18" s="1418">
        <f>N18/$J18</f>
        <v>2.4498263749541281E-3</v>
      </c>
      <c r="U18" s="1411"/>
      <c r="V18" s="1418">
        <f>P18/$J18</f>
        <v>9.1100615733585105E-2</v>
      </c>
      <c r="W18" s="1411"/>
    </row>
    <row r="19" spans="2:23" ht="8.25" customHeight="1">
      <c r="H19" s="1410"/>
      <c r="I19" s="1410"/>
      <c r="J19" s="1410"/>
      <c r="L19" s="1411"/>
      <c r="M19" s="1411"/>
      <c r="N19" s="1411"/>
      <c r="O19" s="1411"/>
      <c r="P19" s="1411"/>
      <c r="Q19" s="1412"/>
      <c r="R19" s="1415"/>
      <c r="S19" s="1411"/>
      <c r="T19" s="1415"/>
      <c r="U19" s="1411"/>
      <c r="V19" s="1415"/>
      <c r="W19" s="1411"/>
    </row>
    <row r="20" spans="2:23" ht="18" customHeight="1">
      <c r="D20" s="1406" t="s">
        <v>18</v>
      </c>
      <c r="E20" s="1406"/>
      <c r="F20" s="1406"/>
      <c r="L20" s="1411"/>
      <c r="N20" s="1411"/>
      <c r="P20" s="1411"/>
      <c r="Q20" s="1391"/>
      <c r="R20" s="1415"/>
      <c r="T20" s="1415"/>
      <c r="V20" s="1415"/>
    </row>
    <row r="21" spans="2:23" ht="18" customHeight="1">
      <c r="B21" s="86">
        <f>MAX(B$15:B20)+1</f>
        <v>5</v>
      </c>
      <c r="D21" s="52" t="s">
        <v>190</v>
      </c>
      <c r="F21" s="86" t="s">
        <v>191</v>
      </c>
      <c r="H21" s="1409">
        <f>'[96]Table 2'!F52</f>
        <v>1376.9166666666667</v>
      </c>
      <c r="I21" s="1410"/>
      <c r="J21" s="1410">
        <f>('[96]Table 2'!M52)/1000</f>
        <v>2227.6598572637295</v>
      </c>
      <c r="L21" s="1411">
        <f>'Rate Design prior GRC'!L60/1000</f>
        <v>306.84311141744109</v>
      </c>
      <c r="M21" s="1411"/>
      <c r="N21" s="1411">
        <f>0.00219*J21</f>
        <v>4.878575087407568</v>
      </c>
      <c r="O21" s="1411"/>
      <c r="P21" s="1411">
        <f t="shared" ref="P21:P26" si="0">SUM(L21:O21)</f>
        <v>311.72168650484866</v>
      </c>
      <c r="Q21" s="1412"/>
      <c r="R21" s="1413">
        <f>L21/$J21</f>
        <v>0.13774235344633873</v>
      </c>
      <c r="S21" s="1411"/>
      <c r="T21" s="1413">
        <f>N21/$J21</f>
        <v>2.1900000000000001E-3</v>
      </c>
      <c r="U21" s="1411"/>
      <c r="V21" s="1413">
        <f>P21/$J21</f>
        <v>0.13993235344633873</v>
      </c>
      <c r="W21" s="1411"/>
    </row>
    <row r="22" spans="2:23" ht="18" customHeight="1">
      <c r="B22" s="86">
        <f>MAX(B$15:B21)+1</f>
        <v>6</v>
      </c>
      <c r="D22" s="52" t="s">
        <v>192</v>
      </c>
      <c r="F22" s="86" t="s">
        <v>193</v>
      </c>
      <c r="H22" s="1409">
        <f>'[96]Table 2'!F53</f>
        <v>29.083333333333332</v>
      </c>
      <c r="I22" s="1410"/>
      <c r="J22" s="1410">
        <f>('[96]Table 2'!M53)/1000</f>
        <v>282.5157422079173</v>
      </c>
      <c r="L22" s="1411">
        <f>'Rate Design prior GRC'!L1067/1000</f>
        <v>24.725619439992212</v>
      </c>
      <c r="M22" s="1411"/>
      <c r="N22" s="1411">
        <f>0.00278*J22</f>
        <v>0.78539376333801003</v>
      </c>
      <c r="O22" s="1411"/>
      <c r="P22" s="1411">
        <f t="shared" si="0"/>
        <v>25.511013203330222</v>
      </c>
      <c r="Q22" s="1412"/>
      <c r="R22" s="1413">
        <f>L22/$J22</f>
        <v>8.7519439613369956E-2</v>
      </c>
      <c r="S22" s="1411"/>
      <c r="T22" s="1413">
        <f>N22/$J22</f>
        <v>2.7799999999999999E-3</v>
      </c>
      <c r="U22" s="1411"/>
      <c r="V22" s="1413">
        <f>P22/$J22</f>
        <v>9.0299439613369961E-2</v>
      </c>
      <c r="W22" s="1411"/>
    </row>
    <row r="23" spans="2:23" ht="18" customHeight="1">
      <c r="B23" s="86">
        <f>MAX(B$15:B22)+1</f>
        <v>7</v>
      </c>
      <c r="D23" s="52" t="s">
        <v>864</v>
      </c>
      <c r="F23" s="86">
        <v>24</v>
      </c>
      <c r="H23" s="1409">
        <f>'[96]Table 2'!F44</f>
        <v>17680.797222221616</v>
      </c>
      <c r="I23" s="1410"/>
      <c r="J23" s="1410">
        <f>('[96]Table 2'!M44)/1000</f>
        <v>517339.06101197418</v>
      </c>
      <c r="L23" s="1411">
        <f>('Rate Design prior GRC'!L261+'Rate Design prior GRC'!L347+'Rate Design prior GRC'!L435+'Rate Design prior GRC'!L232)/1000</f>
        <v>46195.405910196663</v>
      </c>
      <c r="M23" s="1411"/>
      <c r="N23" s="1411">
        <f>0.00245*J23</f>
        <v>1267.4806994793366</v>
      </c>
      <c r="O23" s="1411"/>
      <c r="P23" s="1411">
        <f t="shared" si="0"/>
        <v>47462.886609676003</v>
      </c>
      <c r="Q23" s="1412"/>
      <c r="R23" s="1413">
        <f>L23/$J23</f>
        <v>8.9294254757862637E-2</v>
      </c>
      <c r="S23" s="1411"/>
      <c r="T23" s="1413">
        <f>N23/$J23</f>
        <v>2.4499999999999999E-3</v>
      </c>
      <c r="U23" s="1411"/>
      <c r="V23" s="1413">
        <f>P23/$J23</f>
        <v>9.1744254757862645E-2</v>
      </c>
      <c r="W23" s="1411"/>
    </row>
    <row r="24" spans="2:23" ht="18" customHeight="1">
      <c r="B24" s="86">
        <f>MAX(B$15:B23)+1</f>
        <v>8</v>
      </c>
      <c r="D24" s="52" t="s">
        <v>865</v>
      </c>
      <c r="F24" s="86">
        <v>36</v>
      </c>
      <c r="H24" s="1409">
        <f>'[96]Table 2'!F46</f>
        <v>905.91111111111115</v>
      </c>
      <c r="I24" s="1410"/>
      <c r="J24" s="1410">
        <f>('[96]Table 2'!M46)/1000</f>
        <v>749608.63713840861</v>
      </c>
      <c r="L24" s="1411">
        <f>'Rate Design prior GRC'!L570/1000</f>
        <v>55966.130438465269</v>
      </c>
      <c r="M24" s="1411"/>
      <c r="N24" s="1411">
        <f>0.00204*J24</f>
        <v>1529.2016197623536</v>
      </c>
      <c r="O24" s="1411"/>
      <c r="P24" s="1411">
        <f t="shared" si="0"/>
        <v>57495.332058227621</v>
      </c>
      <c r="Q24" s="1412"/>
      <c r="R24" s="1413">
        <f>L24/$J24</f>
        <v>7.4660466362971772E-2</v>
      </c>
      <c r="S24" s="1411"/>
      <c r="T24" s="1413">
        <f>N24/$J24</f>
        <v>2.0400000000000001E-3</v>
      </c>
      <c r="U24" s="1411"/>
      <c r="V24" s="1413">
        <f>P24/$J24</f>
        <v>7.6700466362971773E-2</v>
      </c>
      <c r="W24" s="1411"/>
    </row>
    <row r="25" spans="2:23" ht="18" customHeight="1">
      <c r="B25" s="86">
        <f>MAX(B$15:B24)+1</f>
        <v>9</v>
      </c>
      <c r="D25" s="52" t="s">
        <v>866</v>
      </c>
      <c r="F25" s="86">
        <v>48</v>
      </c>
      <c r="H25" s="1409">
        <f>'[96]Table 2'!F49</f>
        <v>26.166666666666668</v>
      </c>
      <c r="I25" s="1410"/>
      <c r="J25" s="1410">
        <f>('[96]Table 2'!M49)/1000</f>
        <v>141920.59905869895</v>
      </c>
      <c r="L25" s="1411">
        <f>'Rate Design prior GRC'!L935/1000</f>
        <v>9599.7164949940379</v>
      </c>
      <c r="M25" s="1411"/>
      <c r="N25" s="1411">
        <f>0.00166*J25</f>
        <v>235.58819443744025</v>
      </c>
      <c r="O25" s="1411"/>
      <c r="P25" s="1411">
        <f t="shared" si="0"/>
        <v>9835.3046894314775</v>
      </c>
      <c r="Q25" s="1412"/>
      <c r="R25" s="1413">
        <f>L25/$J25</f>
        <v>6.7641459792764508E-2</v>
      </c>
      <c r="S25" s="1414"/>
      <c r="T25" s="1413">
        <f>N25/$J25</f>
        <v>1.66E-3</v>
      </c>
      <c r="U25" s="1414"/>
      <c r="V25" s="1413">
        <f>P25/$J25</f>
        <v>6.9301459792764503E-2</v>
      </c>
      <c r="W25" s="1414"/>
    </row>
    <row r="26" spans="2:23" ht="18" customHeight="1">
      <c r="B26" s="86">
        <f>MAX(B$15:B25)+1</f>
        <v>10</v>
      </c>
      <c r="D26" s="52" t="s">
        <v>199</v>
      </c>
      <c r="F26" s="86"/>
      <c r="H26" s="1409"/>
      <c r="I26" s="1410"/>
      <c r="J26" s="1410">
        <f>'[96]Table 2'!M66/1000</f>
        <v>0</v>
      </c>
      <c r="L26" s="1411">
        <f>'[96]Table 2'!R66/1000</f>
        <v>0</v>
      </c>
      <c r="M26" s="1411"/>
      <c r="N26" s="1411"/>
      <c r="O26" s="1411"/>
      <c r="P26" s="1411">
        <f t="shared" si="0"/>
        <v>0</v>
      </c>
      <c r="Q26" s="1412"/>
      <c r="R26" s="1413"/>
      <c r="S26" s="1414"/>
      <c r="T26" s="1415"/>
      <c r="U26" s="1414"/>
      <c r="V26" s="1415"/>
      <c r="W26" s="1414"/>
    </row>
    <row r="27" spans="2:23" ht="18" customHeight="1">
      <c r="B27" s="86">
        <f>MAX(B$15:B26)+1</f>
        <v>11</v>
      </c>
      <c r="D27" s="87" t="s">
        <v>28</v>
      </c>
      <c r="H27" s="1416">
        <f>SUM(H21:H26)</f>
        <v>20018.874999999396</v>
      </c>
      <c r="I27" s="1410"/>
      <c r="J27" s="1416">
        <f>SUM(J21:J26)</f>
        <v>1411378.4728085534</v>
      </c>
      <c r="L27" s="1417">
        <f>SUM(L21:L26)</f>
        <v>112092.82157451339</v>
      </c>
      <c r="M27" s="1411"/>
      <c r="N27" s="1417">
        <f>SUM(N21:N26)</f>
        <v>3037.9344825298758</v>
      </c>
      <c r="O27" s="1411"/>
      <c r="P27" s="1417">
        <f>SUM(P21:P26)</f>
        <v>115130.75605704327</v>
      </c>
      <c r="Q27" s="1412"/>
      <c r="R27" s="1418">
        <f>L27/$J27</f>
        <v>7.9420810033651576E-2</v>
      </c>
      <c r="S27" s="1411"/>
      <c r="T27" s="1418">
        <f>N27/$J27</f>
        <v>2.1524591320176362E-3</v>
      </c>
      <c r="U27" s="1411"/>
      <c r="V27" s="1418">
        <f>P27/$J27</f>
        <v>8.1573269165669218E-2</v>
      </c>
      <c r="W27" s="1411"/>
    </row>
    <row r="28" spans="2:23" ht="8.25" customHeight="1">
      <c r="Q28" s="1391"/>
      <c r="R28" s="1415"/>
      <c r="T28" s="1415"/>
      <c r="V28" s="1415"/>
    </row>
    <row r="29" spans="2:23">
      <c r="D29" s="1406" t="s">
        <v>30</v>
      </c>
      <c r="E29" s="1406"/>
      <c r="F29" s="1406"/>
      <c r="L29" s="1411"/>
      <c r="N29" s="1411"/>
      <c r="P29" s="1411"/>
      <c r="Q29" s="1391"/>
      <c r="R29" s="1415"/>
      <c r="T29" s="1415"/>
      <c r="V29" s="1415"/>
    </row>
    <row r="30" spans="2:23" ht="18" customHeight="1">
      <c r="B30" s="86">
        <f>MAX(B$15:B29)+1</f>
        <v>12</v>
      </c>
      <c r="D30" s="52" t="s">
        <v>190</v>
      </c>
      <c r="F30" s="86" t="s">
        <v>191</v>
      </c>
      <c r="H30" s="1409">
        <f>'[96]Table 2'!F84</f>
        <v>58.083333333333336</v>
      </c>
      <c r="I30" s="1410"/>
      <c r="J30" s="1410">
        <f>('[96]Table 2'!M84)/1000</f>
        <v>152.1106634390074</v>
      </c>
      <c r="L30" s="1411">
        <f>'Rate Design prior GRC'!L77/1000</f>
        <v>20.05710323111926</v>
      </c>
      <c r="M30" s="1411"/>
      <c r="N30" s="1411">
        <f>0.00219*J30</f>
        <v>0.33312235293142622</v>
      </c>
      <c r="O30" s="1411"/>
      <c r="P30" s="1411">
        <f>SUM(L30:O30)</f>
        <v>20.390225584050686</v>
      </c>
      <c r="Q30" s="1412"/>
      <c r="R30" s="1413">
        <f>L30/$J30</f>
        <v>0.13185862698680334</v>
      </c>
      <c r="S30" s="1411"/>
      <c r="T30" s="1413">
        <f t="shared" ref="T30:T39" si="1">N30/$J30</f>
        <v>2.1900000000000001E-3</v>
      </c>
      <c r="U30" s="1411"/>
      <c r="V30" s="1413">
        <f t="shared" ref="V30:V39" si="2">P30/$J30</f>
        <v>0.13404862698680334</v>
      </c>
      <c r="W30" s="1411"/>
    </row>
    <row r="31" spans="2:23" ht="18" customHeight="1">
      <c r="B31" s="86">
        <f>MAX(B$15:B30)+1</f>
        <v>13</v>
      </c>
      <c r="D31" s="52" t="s">
        <v>864</v>
      </c>
      <c r="F31" s="86">
        <v>24</v>
      </c>
      <c r="H31" s="1409">
        <f>'[96]Table 2'!F74</f>
        <v>458.2861111111111</v>
      </c>
      <c r="I31" s="1410"/>
      <c r="J31" s="1410">
        <f>('[96]Table 2'!M74)/1000</f>
        <v>17699.018407311607</v>
      </c>
      <c r="L31" s="1411">
        <f>('Rate Design prior GRC'!L289+'Rate Design prior GRC'!L376+'Rate Design prior GRC'!L464)/1000</f>
        <v>1614.5784202735049</v>
      </c>
      <c r="M31" s="1411"/>
      <c r="N31" s="1411">
        <f>0.00245*J31</f>
        <v>43.362595097913434</v>
      </c>
      <c r="O31" s="1411"/>
      <c r="P31" s="1411">
        <f t="shared" ref="P31:P40" si="3">SUM(L31:O31)</f>
        <v>1657.9410153714184</v>
      </c>
      <c r="Q31" s="1412"/>
      <c r="R31" s="1413">
        <f>L31/$J31</f>
        <v>9.1224178828273869E-2</v>
      </c>
      <c r="S31" s="1411"/>
      <c r="T31" s="1413">
        <f>N31/$J31</f>
        <v>2.4499999999999999E-3</v>
      </c>
      <c r="U31" s="1411"/>
      <c r="V31" s="1413">
        <f t="shared" si="2"/>
        <v>9.3674178828273863E-2</v>
      </c>
      <c r="W31" s="1411"/>
    </row>
    <row r="32" spans="2:23" ht="18" customHeight="1">
      <c r="B32" s="86">
        <f>MAX(B$15:B31)+1</f>
        <v>14</v>
      </c>
      <c r="D32" s="52" t="s">
        <v>865</v>
      </c>
      <c r="F32" s="86">
        <v>36</v>
      </c>
      <c r="H32" s="1409">
        <f>'[96]Table 2'!F76</f>
        <v>138.58333333333334</v>
      </c>
      <c r="I32" s="1410"/>
      <c r="J32" s="1410">
        <f>('[96]Table 2'!M76)/1000</f>
        <v>111095.75324771875</v>
      </c>
      <c r="L32" s="1411">
        <f>'Rate Design prior GRC'!L604/1000</f>
        <v>8782.9920650087024</v>
      </c>
      <c r="M32" s="1411"/>
      <c r="N32" s="1411">
        <f>0.00204*J32</f>
        <v>226.63533662534627</v>
      </c>
      <c r="O32" s="1411"/>
      <c r="P32" s="1411">
        <f t="shared" si="3"/>
        <v>9009.6274016340485</v>
      </c>
      <c r="Q32" s="1412"/>
      <c r="R32" s="1413">
        <f>L32/$J32</f>
        <v>7.9057856022854353E-2</v>
      </c>
      <c r="S32" s="1411"/>
      <c r="T32" s="1413">
        <f t="shared" si="1"/>
        <v>2.0400000000000001E-3</v>
      </c>
      <c r="U32" s="1411"/>
      <c r="V32" s="1413">
        <f t="shared" si="2"/>
        <v>8.1097856022854353E-2</v>
      </c>
      <c r="W32" s="1411"/>
    </row>
    <row r="33" spans="2:23" ht="18" customHeight="1">
      <c r="B33" s="86">
        <f>MAX(B$15:B32)+1</f>
        <v>15</v>
      </c>
      <c r="D33" s="52" t="s">
        <v>867</v>
      </c>
      <c r="F33" s="86">
        <v>47</v>
      </c>
      <c r="H33" s="1409">
        <f>'[96]Table 2'!F79</f>
        <v>1</v>
      </c>
      <c r="I33" s="1410"/>
      <c r="J33" s="1410">
        <f>('[96]Table 2'!M79)/1000</f>
        <v>1734.4743654971489</v>
      </c>
      <c r="L33" s="1411">
        <f>'Rate Design prior GRC'!L778/1000</f>
        <v>305.43251169386156</v>
      </c>
      <c r="M33" s="1411"/>
      <c r="N33" s="1411">
        <f>0.00166*J33</f>
        <v>2.8792274467252672</v>
      </c>
      <c r="O33" s="1411"/>
      <c r="P33" s="1411">
        <f>SUM(L33:O33)</f>
        <v>308.31173914058684</v>
      </c>
      <c r="Q33" s="1412"/>
      <c r="R33" s="1413">
        <f>L33/$J33</f>
        <v>0.17609514315670849</v>
      </c>
      <c r="S33" s="1411"/>
      <c r="T33" s="1413">
        <f t="shared" si="1"/>
        <v>1.66E-3</v>
      </c>
      <c r="U33" s="1411"/>
      <c r="V33" s="1413">
        <f t="shared" si="2"/>
        <v>0.17775514315670848</v>
      </c>
      <c r="W33" s="1411"/>
    </row>
    <row r="34" spans="2:23" ht="18" customHeight="1">
      <c r="B34" s="86">
        <f>MAX(B$15:B33)+1</f>
        <v>16</v>
      </c>
      <c r="D34" s="52" t="s">
        <v>866</v>
      </c>
      <c r="F34" s="86">
        <v>48</v>
      </c>
      <c r="H34" s="1409">
        <f>'[96]Table 2'!F80+'[96]Table 2'!F81</f>
        <v>32.75</v>
      </c>
      <c r="I34" s="1410"/>
      <c r="J34" s="1410">
        <f>('[96]Table 2'!M80+'[96]Table 2'!M81)/1000</f>
        <v>690362.31131603348</v>
      </c>
      <c r="L34" s="1411">
        <f>('Rate Design prior GRC'!L953+'Rate Design prior GRC'!L970)/1000</f>
        <v>41209.433777117847</v>
      </c>
      <c r="M34" s="1411"/>
      <c r="N34" s="1411">
        <f>0.00166*J34</f>
        <v>1146.0014367846156</v>
      </c>
      <c r="O34" s="1411"/>
      <c r="P34" s="1411">
        <f t="shared" si="3"/>
        <v>42355.435213902463</v>
      </c>
      <c r="Q34" s="1412"/>
      <c r="R34" s="1413">
        <f>L34/$J34</f>
        <v>5.969247321534768E-2</v>
      </c>
      <c r="S34" s="1411"/>
      <c r="T34" s="1413">
        <f t="shared" si="1"/>
        <v>1.66E-3</v>
      </c>
      <c r="U34" s="1411"/>
      <c r="V34" s="1413">
        <f t="shared" si="2"/>
        <v>6.1352473215347682E-2</v>
      </c>
      <c r="W34" s="1411"/>
    </row>
    <row r="35" spans="2:23" ht="18" customHeight="1">
      <c r="B35" s="86">
        <f>MAX(B$15:B34)+1</f>
        <v>17</v>
      </c>
      <c r="D35" s="52" t="s">
        <v>199</v>
      </c>
      <c r="F35" s="86"/>
      <c r="H35" s="1419"/>
      <c r="I35" s="1410"/>
      <c r="J35" s="1420">
        <f>('[96]Table 2'!M95/1000)</f>
        <v>0</v>
      </c>
      <c r="L35" s="1421">
        <f>('[96]Table 2'!R95/1000)</f>
        <v>0</v>
      </c>
      <c r="M35" s="1411"/>
      <c r="N35" s="1421"/>
      <c r="O35" s="1411"/>
      <c r="P35" s="1422">
        <f t="shared" si="3"/>
        <v>0</v>
      </c>
      <c r="Q35" s="1412"/>
      <c r="R35" s="1423"/>
      <c r="S35" s="1411"/>
      <c r="T35" s="1423"/>
      <c r="U35" s="1411"/>
      <c r="V35" s="1423"/>
      <c r="W35" s="1411"/>
    </row>
    <row r="36" spans="2:23" ht="18" customHeight="1">
      <c r="B36" s="86"/>
      <c r="D36" s="87" t="s">
        <v>868</v>
      </c>
      <c r="F36" s="86"/>
      <c r="H36" s="1409">
        <f>SUM(H30:H35)</f>
        <v>688.70277777777778</v>
      </c>
      <c r="I36" s="1410"/>
      <c r="J36" s="1410">
        <f>SUM(J30:J35)</f>
        <v>821043.66799999995</v>
      </c>
      <c r="L36" s="1411">
        <f>SUM(L30:L35)</f>
        <v>51932.493877325032</v>
      </c>
      <c r="M36" s="1411"/>
      <c r="N36" s="1411">
        <f>SUM(N30:N35)</f>
        <v>1419.211718307532</v>
      </c>
      <c r="O36" s="1411"/>
      <c r="P36" s="1411">
        <f>SUM(P30:P35)</f>
        <v>53351.705595632564</v>
      </c>
      <c r="Q36" s="1412"/>
      <c r="R36" s="1413">
        <f>L36/$J36</f>
        <v>6.3251804869074321E-2</v>
      </c>
      <c r="S36" s="1411"/>
      <c r="T36" s="1413">
        <f>N36/$J36</f>
        <v>1.7285459636569929E-3</v>
      </c>
      <c r="U36" s="1411"/>
      <c r="V36" s="1413">
        <f>P36/$J36</f>
        <v>6.4980350832731307E-2</v>
      </c>
      <c r="W36" s="1411"/>
    </row>
    <row r="37" spans="2:23" ht="10.5" customHeight="1">
      <c r="B37" s="86"/>
      <c r="F37" s="86"/>
      <c r="H37" s="1409"/>
      <c r="I37" s="1410"/>
      <c r="J37" s="1410"/>
      <c r="L37" s="1411"/>
      <c r="M37" s="1411"/>
      <c r="N37" s="1411"/>
      <c r="O37" s="1411"/>
      <c r="P37" s="1411"/>
      <c r="Q37" s="1412"/>
      <c r="R37" s="1413"/>
      <c r="S37" s="1411"/>
      <c r="T37" s="1413"/>
      <c r="U37" s="1411"/>
      <c r="V37" s="1413"/>
      <c r="W37" s="1411"/>
    </row>
    <row r="38" spans="2:23">
      <c r="D38" s="1406" t="s">
        <v>204</v>
      </c>
      <c r="E38" s="1406"/>
      <c r="F38" s="1406"/>
      <c r="L38" s="1411"/>
      <c r="N38" s="1411"/>
      <c r="P38" s="1411"/>
      <c r="Q38" s="1391"/>
      <c r="R38" s="1415"/>
      <c r="T38" s="1415"/>
      <c r="V38" s="1415"/>
    </row>
    <row r="39" spans="2:23" ht="18" customHeight="1">
      <c r="B39" s="86">
        <f>MAX(B$15:B38)+1</f>
        <v>18</v>
      </c>
      <c r="D39" s="52" t="s">
        <v>196</v>
      </c>
      <c r="F39" s="86">
        <v>40</v>
      </c>
      <c r="H39" s="1409">
        <f>'[96]Table 2'!F103</f>
        <v>5260</v>
      </c>
      <c r="I39" s="1410"/>
      <c r="J39" s="1410">
        <f>'[96]Table 2'!M103/1000</f>
        <v>153555.06536433662</v>
      </c>
      <c r="L39" s="1411">
        <f>'Rate Design prior GRC'!L655/1000</f>
        <v>12991.898999999999</v>
      </c>
      <c r="M39" s="1411"/>
      <c r="N39" s="1411">
        <f>0.0023*J39</f>
        <v>353.17665033797425</v>
      </c>
      <c r="O39" s="1411"/>
      <c r="P39" s="1411">
        <f t="shared" si="3"/>
        <v>13345.075650337974</v>
      </c>
      <c r="Q39" s="1412"/>
      <c r="R39" s="1413">
        <f>L39/$J39</f>
        <v>8.4607427108799149E-2</v>
      </c>
      <c r="S39" s="1414"/>
      <c r="T39" s="1413">
        <f t="shared" si="1"/>
        <v>2.3E-3</v>
      </c>
      <c r="U39" s="1414"/>
      <c r="V39" s="1413">
        <f t="shared" si="2"/>
        <v>8.6907427108799146E-2</v>
      </c>
      <c r="W39" s="1414"/>
    </row>
    <row r="40" spans="2:23" ht="18" customHeight="1">
      <c r="B40" s="86">
        <f>MAX(B$15:B39)+1</f>
        <v>19</v>
      </c>
      <c r="D40" s="52" t="s">
        <v>199</v>
      </c>
      <c r="F40" s="86"/>
      <c r="H40" s="1419"/>
      <c r="I40" s="1410"/>
      <c r="J40" s="1420">
        <f>'[96]Table 2'!M115/1000</f>
        <v>0</v>
      </c>
      <c r="L40" s="1421">
        <f>'[96]Table 2'!R115/1000</f>
        <v>0</v>
      </c>
      <c r="M40" s="1411"/>
      <c r="N40" s="1421"/>
      <c r="O40" s="1411"/>
      <c r="P40" s="1421">
        <f t="shared" si="3"/>
        <v>0</v>
      </c>
      <c r="Q40" s="1412"/>
      <c r="R40" s="1423"/>
      <c r="S40" s="1414"/>
      <c r="T40" s="1424"/>
      <c r="U40" s="1414"/>
      <c r="V40" s="1424"/>
      <c r="W40" s="1414"/>
    </row>
    <row r="41" spans="2:23" ht="18" customHeight="1">
      <c r="B41" s="86"/>
      <c r="D41" s="87" t="s">
        <v>214</v>
      </c>
      <c r="F41" s="86"/>
      <c r="H41" s="1409">
        <f>SUM(H39:H40)</f>
        <v>5260</v>
      </c>
      <c r="I41" s="1410"/>
      <c r="J41" s="1410">
        <f>SUM(J39:J40)</f>
        <v>153555.06536433662</v>
      </c>
      <c r="L41" s="1411">
        <f>SUM(L39:L40)</f>
        <v>12991.898999999999</v>
      </c>
      <c r="M41" s="1411"/>
      <c r="N41" s="1411">
        <f>SUM(N39:N40)</f>
        <v>353.17665033797425</v>
      </c>
      <c r="O41" s="1411"/>
      <c r="P41" s="1411">
        <f>SUM(P39:P40)</f>
        <v>13345.075650337974</v>
      </c>
      <c r="Q41" s="1412"/>
      <c r="R41" s="1413">
        <f>L41/$J41</f>
        <v>8.4607427108799149E-2</v>
      </c>
      <c r="S41" s="1411"/>
      <c r="T41" s="1413">
        <f>N41/$J41</f>
        <v>2.3E-3</v>
      </c>
      <c r="U41" s="1411"/>
      <c r="V41" s="1413">
        <f>P41/$J41</f>
        <v>8.6907427108799146E-2</v>
      </c>
      <c r="W41" s="1411"/>
    </row>
    <row r="42" spans="2:23" ht="9" customHeight="1">
      <c r="B42" s="86"/>
      <c r="F42" s="86"/>
      <c r="H42" s="1409"/>
      <c r="I42" s="1410"/>
      <c r="J42" s="1410"/>
      <c r="L42" s="1411"/>
      <c r="M42" s="1411"/>
      <c r="N42" s="1411"/>
      <c r="O42" s="1411"/>
      <c r="P42" s="1411"/>
      <c r="Q42" s="1412"/>
      <c r="R42" s="1413"/>
      <c r="S42" s="1411"/>
      <c r="T42" s="1413"/>
      <c r="U42" s="1411"/>
      <c r="V42" s="1413"/>
      <c r="W42" s="1411"/>
    </row>
    <row r="43" spans="2:23">
      <c r="B43" s="86">
        <f>MAX(B$15:B42)+1</f>
        <v>20</v>
      </c>
      <c r="D43" s="87" t="s">
        <v>869</v>
      </c>
      <c r="H43" s="1416">
        <f>H36+H41</f>
        <v>5948.7027777777776</v>
      </c>
      <c r="I43" s="1410"/>
      <c r="J43" s="1416">
        <f>J36+J41</f>
        <v>974598.73336433654</v>
      </c>
      <c r="L43" s="1417">
        <f>L36+L41</f>
        <v>64924.39287732503</v>
      </c>
      <c r="M43" s="1411"/>
      <c r="N43" s="1417">
        <f>N36+N41</f>
        <v>1772.3883686455063</v>
      </c>
      <c r="O43" s="1411"/>
      <c r="P43" s="1417">
        <f>P36+P41</f>
        <v>66696.781245970546</v>
      </c>
      <c r="Q43" s="1412"/>
      <c r="R43" s="1418">
        <f>L43/$J43</f>
        <v>6.6616537303721482E-2</v>
      </c>
      <c r="S43" s="1411"/>
      <c r="T43" s="1418">
        <f>N43/$J43</f>
        <v>1.8185826719958706E-3</v>
      </c>
      <c r="U43" s="1411"/>
      <c r="V43" s="1418">
        <f>P43/$J43</f>
        <v>6.8435119975717357E-2</v>
      </c>
      <c r="W43" s="1411"/>
    </row>
    <row r="44" spans="2:23" ht="8.25" customHeight="1">
      <c r="Q44" s="1391"/>
      <c r="R44" s="1415"/>
      <c r="T44" s="1415"/>
      <c r="V44" s="1415"/>
    </row>
    <row r="45" spans="2:23">
      <c r="B45" s="86">
        <f>MAX(B$15:B44)+1</f>
        <v>21</v>
      </c>
      <c r="D45" s="87" t="s">
        <v>870</v>
      </c>
      <c r="H45" s="1416">
        <f>H27+H36+H41</f>
        <v>25967.577777777173</v>
      </c>
      <c r="I45" s="1410"/>
      <c r="J45" s="1416">
        <f>J27+J36+J41</f>
        <v>2385977.20617289</v>
      </c>
      <c r="L45" s="1417">
        <f>L27+L36+L41</f>
        <v>177017.21445183843</v>
      </c>
      <c r="M45" s="1411"/>
      <c r="N45" s="1417">
        <f>N27+N36+N41</f>
        <v>4810.3228511753814</v>
      </c>
      <c r="O45" s="1411"/>
      <c r="P45" s="1417">
        <f>P27+P36+P41</f>
        <v>181827.53730301379</v>
      </c>
      <c r="Q45" s="1412"/>
      <c r="R45" s="1418">
        <f>L45/$J45</f>
        <v>7.4190656136138969E-2</v>
      </c>
      <c r="S45" s="1411"/>
      <c r="T45" s="1418">
        <f>N45/$J45</f>
        <v>2.0160808069458235E-3</v>
      </c>
      <c r="U45" s="1411"/>
      <c r="V45" s="1418">
        <f>P45/$J45</f>
        <v>7.6206736943084774E-2</v>
      </c>
      <c r="W45" s="1411"/>
    </row>
    <row r="46" spans="2:23" ht="8.25" customHeight="1">
      <c r="Q46" s="1391"/>
      <c r="R46" s="1415"/>
      <c r="T46" s="1415"/>
      <c r="V46" s="1415"/>
    </row>
    <row r="47" spans="2:23">
      <c r="D47" s="1406" t="s">
        <v>194</v>
      </c>
      <c r="H47" s="1410"/>
      <c r="I47" s="1410"/>
      <c r="J47" s="1410"/>
      <c r="L47" s="1411"/>
      <c r="M47" s="1411"/>
      <c r="N47" s="1411"/>
      <c r="O47" s="1411"/>
      <c r="P47" s="1411"/>
      <c r="Q47" s="1412"/>
      <c r="R47" s="1415"/>
      <c r="S47" s="1411"/>
      <c r="T47" s="1415"/>
      <c r="U47" s="1411"/>
      <c r="V47" s="1415"/>
      <c r="W47" s="1411"/>
    </row>
    <row r="48" spans="2:23" ht="18" customHeight="1">
      <c r="B48" s="86">
        <f>MAX(B$15:B47)+1</f>
        <v>22</v>
      </c>
      <c r="D48" s="52" t="s">
        <v>871</v>
      </c>
      <c r="F48" s="86">
        <v>51</v>
      </c>
      <c r="H48" s="1409">
        <f>'[96]Table 2'!F124</f>
        <v>163</v>
      </c>
      <c r="I48" s="1410"/>
      <c r="J48" s="1410">
        <f>('[96]Table 2'!M124)/1000</f>
        <v>3040.1869812590103</v>
      </c>
      <c r="L48" s="1411">
        <f>'Rate Design prior GRC'!L997/1000</f>
        <v>600.44497901647196</v>
      </c>
      <c r="M48" s="1411"/>
      <c r="N48" s="1411">
        <f>0.00219*J48</f>
        <v>6.6580094889572328</v>
      </c>
      <c r="O48" s="1411"/>
      <c r="P48" s="1411">
        <f>SUM(L48:O48)</f>
        <v>607.10298850542915</v>
      </c>
      <c r="Q48" s="1412"/>
      <c r="R48" s="1413">
        <f>L48/$J48</f>
        <v>0.19750264793509972</v>
      </c>
      <c r="S48" s="1411"/>
      <c r="T48" s="1413">
        <f>N48/$J48</f>
        <v>2.1900000000000001E-3</v>
      </c>
      <c r="U48" s="1411"/>
      <c r="V48" s="1413">
        <f>P48/$J48</f>
        <v>0.19969264793509972</v>
      </c>
      <c r="W48" s="1411"/>
    </row>
    <row r="49" spans="2:23" ht="18" customHeight="1">
      <c r="B49" s="86">
        <f>MAX(B$15:B48)+1</f>
        <v>23</v>
      </c>
      <c r="D49" s="52" t="s">
        <v>872</v>
      </c>
      <c r="F49" s="86">
        <v>52</v>
      </c>
      <c r="H49" s="1409">
        <f>'[96]Table 2'!F121</f>
        <v>18</v>
      </c>
      <c r="I49" s="1410"/>
      <c r="J49" s="1410">
        <f>('[96]Table 2'!M121)/1000</f>
        <v>286.69872495359812</v>
      </c>
      <c r="L49" s="1411">
        <f>'Rate Design prior GRC'!L1008/1000</f>
        <v>46.625268810114008</v>
      </c>
      <c r="M49" s="1425"/>
      <c r="N49" s="1411">
        <f>0.00219*J49</f>
        <v>0.62787020764837986</v>
      </c>
      <c r="O49" s="1425"/>
      <c r="P49" s="1411">
        <f>SUM(L49:O49)</f>
        <v>47.253139017762386</v>
      </c>
      <c r="Q49" s="1426"/>
      <c r="R49" s="1413">
        <f>L49/$J49</f>
        <v>0.16262809964592712</v>
      </c>
      <c r="S49" s="1411"/>
      <c r="T49" s="1413">
        <f>N49/$J49</f>
        <v>2.1900000000000001E-3</v>
      </c>
      <c r="U49" s="1411"/>
      <c r="V49" s="1413">
        <f>P49/$J49</f>
        <v>0.16481809964592711</v>
      </c>
      <c r="W49" s="1411"/>
    </row>
    <row r="50" spans="2:23" ht="18" customHeight="1">
      <c r="B50" s="86">
        <f>MAX(B$15:B49)+1</f>
        <v>24</v>
      </c>
      <c r="D50" s="52" t="s">
        <v>873</v>
      </c>
      <c r="F50" s="86">
        <v>53</v>
      </c>
      <c r="H50" s="1409">
        <f>'[96]Table 2'!F122+'[96]Table 2'!F123</f>
        <v>220</v>
      </c>
      <c r="I50" s="1410"/>
      <c r="J50" s="1410">
        <f>('[96]Table 2'!M122+'[96]Table 2'!M123)/1000</f>
        <v>4281.2354932644366</v>
      </c>
      <c r="L50" s="1411">
        <f>'Rate Design prior GRC'!L1019/1000</f>
        <v>296.22757767019584</v>
      </c>
      <c r="M50" s="1411"/>
      <c r="N50" s="1411">
        <f>0.00219*J50</f>
        <v>9.3759057302491176</v>
      </c>
      <c r="O50" s="1411"/>
      <c r="P50" s="1411">
        <f>SUM(L50:O50)</f>
        <v>305.60348340044499</v>
      </c>
      <c r="Q50" s="1412"/>
      <c r="R50" s="1413">
        <f>L50/$J50</f>
        <v>6.919207741228986E-2</v>
      </c>
      <c r="S50" s="1411"/>
      <c r="T50" s="1413">
        <f>N50/$J50</f>
        <v>2.1900000000000001E-3</v>
      </c>
      <c r="U50" s="1411"/>
      <c r="V50" s="1413">
        <f>P50/$J50</f>
        <v>7.1382077412289857E-2</v>
      </c>
      <c r="W50" s="1411"/>
    </row>
    <row r="51" spans="2:23" ht="18" customHeight="1">
      <c r="B51" s="86">
        <f>MAX(B$15:B50)+1</f>
        <v>25</v>
      </c>
      <c r="D51" s="52" t="s">
        <v>874</v>
      </c>
      <c r="F51" s="86">
        <v>57</v>
      </c>
      <c r="H51" s="1409">
        <f>'[96]Table 2'!F125</f>
        <v>41.083333333333336</v>
      </c>
      <c r="I51" s="1410"/>
      <c r="J51" s="1410">
        <f>('[96]Table 2'!M125)/1000</f>
        <v>1789.527800522955</v>
      </c>
      <c r="L51" s="1411">
        <f>'Rate Design prior GRC'!L1104/1000</f>
        <v>218.66521450321807</v>
      </c>
      <c r="M51" s="1411"/>
      <c r="N51" s="1411">
        <f>0.00219*J51</f>
        <v>3.9190658831452714</v>
      </c>
      <c r="O51" s="1411"/>
      <c r="P51" s="1411">
        <f>SUM(L51:O51)</f>
        <v>222.58428038636333</v>
      </c>
      <c r="Q51" s="1412"/>
      <c r="R51" s="1413">
        <f>L51/$J51</f>
        <v>0.12219157167567744</v>
      </c>
      <c r="S51" s="1414"/>
      <c r="T51" s="1413">
        <f>N51/$J51</f>
        <v>2.1900000000000001E-3</v>
      </c>
      <c r="U51" s="1414"/>
      <c r="V51" s="1413">
        <f>P51/$J51</f>
        <v>0.12438157167567744</v>
      </c>
      <c r="W51" s="1414"/>
    </row>
    <row r="52" spans="2:23" ht="18" customHeight="1">
      <c r="B52" s="86">
        <f>MAX(B$15:B51)+1</f>
        <v>26</v>
      </c>
      <c r="D52" s="52" t="s">
        <v>199</v>
      </c>
      <c r="F52" s="86"/>
      <c r="H52" s="1409"/>
      <c r="I52" s="1410"/>
      <c r="J52" s="1410">
        <f>'[96]Table 2'!M135/1000</f>
        <v>0</v>
      </c>
      <c r="L52" s="1411">
        <f>'[96]Table 2'!R135/1000</f>
        <v>0</v>
      </c>
      <c r="M52" s="1411"/>
      <c r="N52" s="1411"/>
      <c r="O52" s="1411"/>
      <c r="P52" s="1411">
        <f>SUM(L52:O52)</f>
        <v>0</v>
      </c>
      <c r="Q52" s="1412"/>
      <c r="R52" s="1413"/>
      <c r="S52" s="1414"/>
      <c r="T52" s="1415"/>
      <c r="U52" s="1414"/>
      <c r="V52" s="1415"/>
      <c r="W52" s="1414"/>
    </row>
    <row r="53" spans="2:23" ht="18" customHeight="1">
      <c r="B53" s="86">
        <f>MAX(B$15:B52)+1</f>
        <v>27</v>
      </c>
      <c r="D53" s="87" t="s">
        <v>875</v>
      </c>
      <c r="H53" s="1416">
        <f>SUM(H48:H52)</f>
        <v>442.08333333333331</v>
      </c>
      <c r="I53" s="1410"/>
      <c r="J53" s="1416">
        <f>SUM(J48:J52)</f>
        <v>9397.6490000000013</v>
      </c>
      <c r="L53" s="1417">
        <f>SUM(L48:L52)</f>
        <v>1161.9630399999999</v>
      </c>
      <c r="M53" s="1411"/>
      <c r="N53" s="1417">
        <f>SUM(N48:N52)</f>
        <v>20.580851310000003</v>
      </c>
      <c r="O53" s="1411"/>
      <c r="P53" s="1417">
        <f>SUM(P48:P52)</f>
        <v>1182.5438913099999</v>
      </c>
      <c r="Q53" s="1412"/>
      <c r="R53" s="1418">
        <f>L53/$J53</f>
        <v>0.12364401351870023</v>
      </c>
      <c r="S53" s="1411"/>
      <c r="T53" s="1418">
        <f>N53/$J53</f>
        <v>2.1900000000000001E-3</v>
      </c>
      <c r="U53" s="1411"/>
      <c r="V53" s="1418">
        <f>P53/$J53</f>
        <v>0.12583401351870024</v>
      </c>
      <c r="W53" s="1411"/>
    </row>
    <row r="54" spans="2:23" ht="8.25" customHeight="1">
      <c r="H54" s="1410"/>
      <c r="I54" s="1410"/>
      <c r="J54" s="1410"/>
      <c r="L54" s="1411"/>
      <c r="M54" s="1411"/>
      <c r="N54" s="1411"/>
      <c r="O54" s="1411"/>
      <c r="P54" s="1411"/>
      <c r="Q54" s="1412"/>
      <c r="R54" s="1415"/>
      <c r="S54" s="1411"/>
      <c r="T54" s="1415"/>
      <c r="U54" s="1411"/>
      <c r="V54" s="1415"/>
      <c r="W54" s="1411"/>
    </row>
    <row r="55" spans="2:23" ht="18" customHeight="1">
      <c r="B55" s="86">
        <f>MAX(B$15:B54)+1</f>
        <v>28</v>
      </c>
      <c r="D55" s="52" t="s">
        <v>34</v>
      </c>
      <c r="F55" s="86"/>
      <c r="H55" s="1409"/>
      <c r="I55" s="1410"/>
      <c r="J55" s="1410">
        <f>'[96]Table 2'!M24/1000+'[96]Table 2'!M56/1000+'[96]Table 2'!M87/1000+'[96]Table 2'!M105/1000+'[96]Table 2'!M129/1000</f>
        <v>0</v>
      </c>
      <c r="L55" s="1411">
        <f>('[96]Table 2'!R24+'[96]Table 2'!R56+'[96]Table 2'!R87+'[96]Table 2'!R105+'[96]Table 2'!R129)/1000</f>
        <v>545.05217999999991</v>
      </c>
      <c r="M55" s="1411"/>
      <c r="N55" s="1411"/>
      <c r="O55" s="1411"/>
      <c r="P55" s="1411">
        <f>SUM(L55:O55)</f>
        <v>545.05217999999991</v>
      </c>
      <c r="Q55" s="1412"/>
      <c r="R55" s="1413"/>
      <c r="S55" s="1414"/>
      <c r="T55" s="1427"/>
      <c r="U55" s="1414"/>
      <c r="V55" s="1427"/>
      <c r="W55" s="1414"/>
    </row>
    <row r="56" spans="2:23" ht="6.75" customHeight="1" thickBot="1">
      <c r="B56" s="86"/>
      <c r="F56" s="86"/>
      <c r="H56" s="1409"/>
      <c r="I56" s="1410"/>
      <c r="J56" s="1410"/>
      <c r="L56" s="1411"/>
      <c r="M56" s="1411"/>
      <c r="N56" s="1411"/>
      <c r="O56" s="1411"/>
      <c r="P56" s="1411"/>
      <c r="Q56" s="1412"/>
      <c r="R56" s="1413"/>
      <c r="S56" s="1414"/>
      <c r="T56" s="1415"/>
      <c r="U56" s="1414"/>
      <c r="V56" s="1415"/>
      <c r="W56" s="1414"/>
    </row>
    <row r="57" spans="2:23" ht="18" customHeight="1" thickTop="1">
      <c r="B57" s="86">
        <f>MAX(B$15:B56)+1</f>
        <v>29</v>
      </c>
      <c r="D57" s="87" t="s">
        <v>195</v>
      </c>
      <c r="H57" s="1428">
        <f>H18+H27+H36+H41+H53+H55</f>
        <v>132378.51388888832</v>
      </c>
      <c r="I57" s="1410"/>
      <c r="J57" s="1428">
        <f>J18+J27+J36+J41+J53+J55</f>
        <v>4000612.315474519</v>
      </c>
      <c r="K57" s="1410"/>
      <c r="L57" s="1429">
        <f>L18+L27+L36+L41+L53+L55</f>
        <v>321029.79763562186</v>
      </c>
      <c r="M57" s="1411"/>
      <c r="N57" s="1429">
        <f>N18+N27+N36+N41+N53+N55</f>
        <v>8763.4567707966926</v>
      </c>
      <c r="O57" s="1411"/>
      <c r="P57" s="1429">
        <f>P18+P27+P36+P41+P53+P55</f>
        <v>329793.25440641853</v>
      </c>
      <c r="Q57" s="1412"/>
      <c r="R57" s="1430">
        <f>L57/$J57</f>
        <v>8.0245165569747035E-2</v>
      </c>
      <c r="S57" s="1431"/>
      <c r="T57" s="1430">
        <f>N57/$J57</f>
        <v>2.1905288690182031E-3</v>
      </c>
      <c r="U57" s="1431"/>
      <c r="V57" s="1430">
        <f>P57/$J57</f>
        <v>8.2435694438765236E-2</v>
      </c>
      <c r="W57" s="1431"/>
    </row>
    <row r="58" spans="2:23" ht="8.25" customHeight="1">
      <c r="H58" s="1410"/>
      <c r="I58" s="1410"/>
      <c r="J58" s="1410"/>
      <c r="L58" s="1411"/>
      <c r="M58" s="1411"/>
      <c r="N58" s="1411"/>
      <c r="O58" s="1411"/>
      <c r="P58" s="1411"/>
      <c r="Q58" s="1411"/>
      <c r="S58" s="1411"/>
      <c r="U58" s="1411"/>
      <c r="W58" s="1411"/>
    </row>
    <row r="59" spans="2:23">
      <c r="H59" s="1410"/>
      <c r="I59" s="1410"/>
      <c r="L59" s="1411"/>
      <c r="M59" s="1411"/>
      <c r="N59" s="1411"/>
      <c r="O59" s="1411"/>
      <c r="P59" s="1411"/>
      <c r="Q59" s="1411"/>
      <c r="R59" s="1411"/>
      <c r="S59" s="1411"/>
      <c r="U59" s="1411"/>
      <c r="W59" s="1411"/>
    </row>
    <row r="60" spans="2:23" ht="23.25" customHeight="1">
      <c r="B60" s="1432"/>
      <c r="D60" s="1433" t="s">
        <v>876</v>
      </c>
    </row>
    <row r="61" spans="2:23" ht="16.5">
      <c r="B61" s="1432"/>
      <c r="J61" s="52" t="s">
        <v>34</v>
      </c>
    </row>
    <row r="62" spans="2:23" ht="18">
      <c r="B62" s="1433"/>
      <c r="J62" s="1434" t="s">
        <v>878</v>
      </c>
      <c r="L62" s="1411">
        <v>359</v>
      </c>
    </row>
    <row r="63" spans="2:23">
      <c r="J63" s="52" t="s">
        <v>879</v>
      </c>
      <c r="L63" s="1411">
        <v>357848</v>
      </c>
    </row>
    <row r="64" spans="2:23">
      <c r="J64" s="52" t="s">
        <v>880</v>
      </c>
      <c r="L64" s="1411">
        <v>186754</v>
      </c>
    </row>
    <row r="65" spans="10:12">
      <c r="J65" s="52" t="s">
        <v>722</v>
      </c>
      <c r="L65" s="1411">
        <v>91</v>
      </c>
    </row>
  </sheetData>
  <printOptions horizontalCentered="1"/>
  <pageMargins left="0" right="0" top="0.75" bottom="0.5" header="0" footer="0"/>
  <pageSetup scale="56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40"/>
  <dimension ref="A1:AR1123"/>
  <sheetViews>
    <sheetView view="pageBreakPreview" zoomScale="60" zoomScaleNormal="75" zoomScaleSheetLayoutView="75" workbookViewId="0">
      <pane ySplit="10" topLeftCell="A932" activePane="bottomLeft" state="frozen"/>
      <selection activeCell="B1" sqref="B1"/>
      <selection pane="bottomLeft" activeCell="I963" sqref="I963"/>
    </sheetView>
  </sheetViews>
  <sheetFormatPr defaultColWidth="10.25" defaultRowHeight="15.75"/>
  <cols>
    <col min="1" max="1" width="21.625" style="1184" customWidth="1"/>
    <col min="2" max="2" width="15.625" style="1184" customWidth="1"/>
    <col min="3" max="3" width="16.625" style="1184" customWidth="1"/>
    <col min="4" max="4" width="14.875" style="1184" hidden="1" customWidth="1"/>
    <col min="5" max="5" width="2.125" style="1184" hidden="1" customWidth="1"/>
    <col min="6" max="6" width="16.875" style="1184" hidden="1" customWidth="1"/>
    <col min="7" max="7" width="14.875" style="1184" customWidth="1"/>
    <col min="8" max="8" width="2.625" style="1184" customWidth="1"/>
    <col min="9" max="9" width="16.875" style="1184" customWidth="1"/>
    <col min="10" max="10" width="12.625" style="1184" customWidth="1"/>
    <col min="11" max="11" width="2.125" style="1184" bestFit="1" customWidth="1"/>
    <col min="12" max="12" width="17.875" style="1184" customWidth="1"/>
    <col min="13" max="13" width="1.25" style="1184" customWidth="1"/>
    <col min="14" max="14" width="16.375" style="1184" hidden="1" customWidth="1"/>
    <col min="15" max="15" width="13.625" style="1184" customWidth="1"/>
    <col min="16" max="16" width="15.125" style="1190" bestFit="1" customWidth="1"/>
    <col min="17" max="17" width="10.5" style="1190" bestFit="1" customWidth="1"/>
    <col min="18" max="18" width="8.125" style="1190" bestFit="1" customWidth="1"/>
    <col min="19" max="19" width="13" style="1184" customWidth="1"/>
    <col min="20" max="20" width="17" style="1184" customWidth="1"/>
    <col min="21" max="21" width="13" style="1184" customWidth="1"/>
    <col min="22" max="22" width="14.125" style="1184" bestFit="1" customWidth="1"/>
    <col min="23" max="23" width="14.75" style="1184" customWidth="1"/>
    <col min="24" max="24" width="13.25" style="1184" bestFit="1" customWidth="1"/>
    <col min="25" max="25" width="13" style="1184" bestFit="1" customWidth="1"/>
    <col min="26" max="26" width="12.25" style="1184" bestFit="1" customWidth="1"/>
    <col min="27" max="27" width="5.5" style="1184" bestFit="1" customWidth="1"/>
    <col min="28" max="28" width="18" style="1184" customWidth="1"/>
    <col min="29" max="29" width="10.25" style="1184" customWidth="1"/>
    <col min="30" max="30" width="12.125" style="1184" customWidth="1"/>
    <col min="31" max="16384" width="10.25" style="1184"/>
  </cols>
  <sheetData>
    <row r="1" spans="1:37" ht="18">
      <c r="A1" s="1735" t="s">
        <v>185</v>
      </c>
      <c r="B1" s="1735"/>
      <c r="C1" s="1735"/>
      <c r="D1" s="1735"/>
      <c r="E1" s="1735"/>
      <c r="F1" s="1735"/>
      <c r="G1" s="1735"/>
      <c r="H1" s="1735"/>
      <c r="I1" s="1735"/>
      <c r="J1" s="1735"/>
      <c r="K1" s="1735"/>
      <c r="L1" s="1735"/>
      <c r="N1" s="1185"/>
      <c r="O1" s="1185"/>
      <c r="P1" s="1186"/>
      <c r="Q1" s="1186"/>
      <c r="R1" s="1186"/>
      <c r="S1" s="1185"/>
      <c r="T1" s="1185"/>
      <c r="U1" s="1185"/>
      <c r="V1" s="1185"/>
      <c r="W1" s="1185"/>
      <c r="X1" s="1185"/>
      <c r="Y1" s="1185"/>
      <c r="Z1" s="1185"/>
      <c r="AA1" s="1185"/>
      <c r="AB1" s="1185"/>
      <c r="AC1" s="1185"/>
      <c r="AD1" s="1185"/>
      <c r="AE1" s="1185"/>
      <c r="AF1" s="1185"/>
      <c r="AG1" s="1185"/>
      <c r="AH1" s="1185"/>
      <c r="AI1" s="1185"/>
    </row>
    <row r="2" spans="1:37" ht="18">
      <c r="A2" s="1735" t="s">
        <v>346</v>
      </c>
      <c r="B2" s="1735"/>
      <c r="C2" s="1735"/>
      <c r="D2" s="1735"/>
      <c r="E2" s="1735"/>
      <c r="F2" s="1735"/>
      <c r="G2" s="1735"/>
      <c r="H2" s="1735"/>
      <c r="I2" s="1735"/>
      <c r="J2" s="1735"/>
      <c r="K2" s="1735"/>
      <c r="L2" s="1735"/>
      <c r="N2" s="1185"/>
      <c r="O2" s="1185"/>
      <c r="P2" s="1186"/>
      <c r="Q2" s="1186"/>
      <c r="R2" s="1186"/>
      <c r="S2" s="1185"/>
      <c r="T2" s="1185"/>
      <c r="U2" s="1185"/>
      <c r="V2" s="1185"/>
      <c r="W2" s="1185"/>
      <c r="X2" s="1185"/>
      <c r="Y2" s="1185"/>
      <c r="Z2" s="1185"/>
      <c r="AA2" s="1185"/>
      <c r="AB2" s="1185"/>
      <c r="AC2" s="1185"/>
      <c r="AD2" s="1185"/>
      <c r="AE2" s="1185"/>
      <c r="AF2" s="1185"/>
      <c r="AG2" s="1185"/>
      <c r="AH2" s="1185"/>
      <c r="AI2" s="1185"/>
    </row>
    <row r="3" spans="1:37">
      <c r="A3" s="1736" t="s">
        <v>787</v>
      </c>
      <c r="B3" s="1736"/>
      <c r="C3" s="1736"/>
      <c r="D3" s="1736"/>
      <c r="E3" s="1736"/>
      <c r="F3" s="1736"/>
      <c r="G3" s="1736"/>
      <c r="H3" s="1736"/>
      <c r="I3" s="1736"/>
      <c r="J3" s="1736"/>
      <c r="K3" s="1736"/>
      <c r="L3" s="1736"/>
      <c r="N3" s="1185"/>
      <c r="O3" s="1185"/>
      <c r="P3" s="1186"/>
      <c r="Q3" s="1186"/>
      <c r="R3" s="1186"/>
      <c r="S3" s="1185"/>
      <c r="T3" s="1185"/>
      <c r="U3" s="1185"/>
      <c r="V3" s="1185"/>
      <c r="W3" s="1185"/>
      <c r="X3" s="1185"/>
      <c r="Y3" s="1185"/>
      <c r="Z3" s="1185"/>
      <c r="AA3" s="1185"/>
      <c r="AB3" s="1185"/>
      <c r="AC3" s="1185"/>
      <c r="AD3" s="1185"/>
      <c r="AE3" s="1185"/>
      <c r="AF3" s="1185"/>
      <c r="AG3" s="1185"/>
      <c r="AH3" s="1185"/>
      <c r="AI3" s="1185"/>
    </row>
    <row r="4" spans="1:37">
      <c r="A4" s="1737" t="s">
        <v>347</v>
      </c>
      <c r="B4" s="1737"/>
      <c r="C4" s="1737"/>
      <c r="D4" s="1737"/>
      <c r="E4" s="1737"/>
      <c r="F4" s="1737"/>
      <c r="G4" s="1737"/>
      <c r="H4" s="1737"/>
      <c r="I4" s="1737"/>
      <c r="J4" s="1737"/>
      <c r="K4" s="1737"/>
      <c r="L4" s="1737"/>
      <c r="N4" s="1185"/>
      <c r="O4" s="1185"/>
      <c r="P4" s="1186"/>
      <c r="Q4" s="1186"/>
      <c r="R4" s="1186"/>
      <c r="S4" s="1185"/>
      <c r="T4" s="1185"/>
      <c r="U4" s="1185"/>
      <c r="V4" s="1185"/>
      <c r="W4" s="1185"/>
      <c r="X4" s="1185"/>
      <c r="Y4" s="1185"/>
      <c r="Z4" s="1185"/>
      <c r="AA4" s="1185"/>
      <c r="AB4" s="1185"/>
      <c r="AC4" s="1185"/>
      <c r="AD4" s="1185"/>
      <c r="AE4" s="1185"/>
      <c r="AF4" s="1185"/>
      <c r="AG4" s="1185"/>
      <c r="AH4" s="1185"/>
      <c r="AI4" s="1185"/>
    </row>
    <row r="5" spans="1:37">
      <c r="A5" s="1187"/>
      <c r="B5" s="1188"/>
      <c r="C5" s="1188"/>
      <c r="D5" s="1189"/>
      <c r="E5" s="1189"/>
      <c r="F5" s="1188"/>
      <c r="G5" s="1189"/>
      <c r="H5" s="1189"/>
      <c r="I5" s="1188"/>
      <c r="J5" s="1189"/>
      <c r="K5" s="1188"/>
      <c r="L5" s="1188"/>
      <c r="N5" s="1185"/>
      <c r="O5" s="1185"/>
      <c r="P5" s="1186"/>
      <c r="Q5" s="1186"/>
      <c r="R5" s="1186"/>
      <c r="S5" s="1185"/>
      <c r="T5" s="1185"/>
      <c r="U5" s="1185"/>
      <c r="V5" s="1185"/>
      <c r="W5" s="1185"/>
      <c r="X5" s="1185"/>
      <c r="Y5" s="1185"/>
      <c r="Z5" s="1185"/>
      <c r="AA5" s="1185"/>
      <c r="AB5" s="1185"/>
      <c r="AC5" s="1185"/>
      <c r="AD5" s="1185"/>
      <c r="AE5" s="1185"/>
      <c r="AF5" s="1185"/>
      <c r="AG5" s="1185"/>
      <c r="AH5" s="1185"/>
      <c r="AI5" s="1185"/>
    </row>
    <row r="6" spans="1:37" hidden="1">
      <c r="A6" s="1187"/>
      <c r="B6" s="1188"/>
      <c r="C6" s="1188"/>
      <c r="D6" s="1189"/>
      <c r="E6" s="1189"/>
      <c r="F6" s="1188"/>
      <c r="G6" s="1189"/>
      <c r="H6" s="1189"/>
      <c r="I6" s="1188"/>
      <c r="J6" s="1189"/>
      <c r="K6" s="1188"/>
      <c r="L6" s="1188"/>
      <c r="N6" s="1185"/>
      <c r="O6" s="1185"/>
      <c r="P6" s="1186"/>
      <c r="Q6" s="1186"/>
      <c r="R6" s="1186"/>
      <c r="S6" s="1186"/>
      <c r="T6" s="1185"/>
      <c r="U6" s="1185"/>
      <c r="V6" s="1185"/>
      <c r="W6" s="1185"/>
      <c r="X6" s="1185"/>
      <c r="Y6" s="1185"/>
      <c r="Z6" s="1185"/>
      <c r="AA6" s="1185"/>
      <c r="AB6" s="1185"/>
      <c r="AC6" s="1185"/>
      <c r="AD6" s="1185"/>
      <c r="AE6" s="1185"/>
      <c r="AF6" s="1185"/>
      <c r="AG6" s="1185"/>
      <c r="AH6" s="1185"/>
      <c r="AI6" s="1185"/>
    </row>
    <row r="7" spans="1:37" hidden="1">
      <c r="A7" s="1188"/>
      <c r="B7" s="1188"/>
      <c r="C7" s="1188"/>
      <c r="D7" s="1189"/>
      <c r="E7" s="1189"/>
      <c r="F7" s="1188"/>
      <c r="G7" s="1189"/>
      <c r="H7" s="1189"/>
      <c r="I7" s="1188"/>
      <c r="J7" s="1189"/>
      <c r="K7" s="1188"/>
      <c r="L7" s="1188"/>
      <c r="N7" s="1185"/>
      <c r="O7" s="1185"/>
      <c r="P7" s="1186"/>
      <c r="Q7" s="1186"/>
      <c r="S7" s="1185"/>
      <c r="T7" s="1185"/>
      <c r="U7" s="1185"/>
      <c r="V7" s="1185"/>
      <c r="W7" s="1185"/>
      <c r="X7" s="1185"/>
      <c r="Y7" s="1185"/>
      <c r="Z7" s="1185"/>
      <c r="AA7" s="1185"/>
      <c r="AB7" s="1185"/>
      <c r="AC7" s="1185"/>
      <c r="AD7" s="1185"/>
      <c r="AE7" s="1185"/>
      <c r="AF7" s="1185"/>
      <c r="AG7" s="1185"/>
      <c r="AH7" s="1185"/>
      <c r="AI7" s="1185"/>
    </row>
    <row r="8" spans="1:37">
      <c r="A8" s="1191"/>
      <c r="B8" s="1191"/>
      <c r="C8" s="1192"/>
      <c r="D8" s="1193"/>
      <c r="E8" s="1193"/>
      <c r="F8" s="1194" t="s">
        <v>588</v>
      </c>
      <c r="G8" s="1193"/>
      <c r="H8" s="1193"/>
      <c r="I8" s="1195" t="s">
        <v>197</v>
      </c>
      <c r="J8" s="1193"/>
      <c r="K8" s="1194"/>
      <c r="L8" s="1194"/>
      <c r="N8" s="1185"/>
      <c r="O8" s="1185"/>
      <c r="P8" s="1186"/>
      <c r="Q8" s="1186"/>
      <c r="R8" s="1186"/>
      <c r="S8" s="1185"/>
      <c r="T8" s="1185"/>
      <c r="U8" s="1185"/>
      <c r="V8" s="1185"/>
      <c r="W8" s="1185"/>
      <c r="X8" s="1185"/>
      <c r="Y8" s="1185"/>
      <c r="Z8" s="1185"/>
      <c r="AA8" s="1185"/>
      <c r="AB8" s="1185"/>
      <c r="AC8" s="1185"/>
      <c r="AD8" s="1185"/>
      <c r="AE8" s="1185"/>
      <c r="AF8" s="1185"/>
      <c r="AG8" s="1185"/>
      <c r="AH8" s="1185"/>
      <c r="AI8" s="1185"/>
    </row>
    <row r="9" spans="1:37">
      <c r="A9" s="1191"/>
      <c r="B9" s="1191"/>
      <c r="C9" s="1192" t="s">
        <v>348</v>
      </c>
      <c r="D9" s="1194" t="s">
        <v>637</v>
      </c>
      <c r="E9" s="1193"/>
      <c r="F9" s="1196" t="s">
        <v>349</v>
      </c>
      <c r="G9" s="1194" t="s">
        <v>197</v>
      </c>
      <c r="H9" s="1194"/>
      <c r="I9" s="1195" t="s">
        <v>349</v>
      </c>
      <c r="J9" s="1194" t="s">
        <v>305</v>
      </c>
      <c r="K9" s="1192"/>
      <c r="L9" s="1194" t="s">
        <v>305</v>
      </c>
      <c r="N9" s="1185"/>
      <c r="O9" s="1185"/>
      <c r="P9" s="1186"/>
      <c r="Q9" s="1186"/>
      <c r="R9" s="1186"/>
      <c r="S9" s="1185"/>
      <c r="T9" s="1185"/>
      <c r="U9" s="1185"/>
      <c r="V9" s="1185"/>
      <c r="W9" s="1185"/>
      <c r="X9" s="1185"/>
      <c r="Y9" s="1185"/>
      <c r="Z9" s="1185"/>
      <c r="AA9" s="1185"/>
      <c r="AB9" s="1185"/>
      <c r="AC9" s="1185"/>
      <c r="AD9" s="1185"/>
      <c r="AE9" s="1185"/>
      <c r="AF9" s="1185"/>
      <c r="AG9" s="1185"/>
      <c r="AH9" s="1185"/>
      <c r="AI9" s="1185"/>
    </row>
    <row r="10" spans="1:37">
      <c r="A10" s="1191"/>
      <c r="B10" s="1191"/>
      <c r="C10" s="1197" t="s">
        <v>304</v>
      </c>
      <c r="D10" s="1198" t="s">
        <v>13</v>
      </c>
      <c r="E10" s="1199"/>
      <c r="F10" s="1198" t="s">
        <v>304</v>
      </c>
      <c r="G10" s="1198" t="s">
        <v>13</v>
      </c>
      <c r="H10" s="1196"/>
      <c r="I10" s="1194" t="s">
        <v>304</v>
      </c>
      <c r="J10" s="1198" t="s">
        <v>13</v>
      </c>
      <c r="K10" s="1198"/>
      <c r="L10" s="1198" t="s">
        <v>349</v>
      </c>
      <c r="N10" s="1196"/>
      <c r="O10" s="1185"/>
      <c r="P10" s="1186"/>
      <c r="Q10" s="1186"/>
      <c r="R10" s="1186"/>
      <c r="S10" s="1185"/>
      <c r="T10" s="1185"/>
      <c r="U10" s="1185"/>
      <c r="V10" s="1185"/>
      <c r="W10" s="1185"/>
      <c r="X10" s="1185"/>
      <c r="Y10" s="1185"/>
      <c r="Z10" s="1185"/>
      <c r="AA10" s="1185"/>
      <c r="AB10" s="1185"/>
      <c r="AC10" s="1185"/>
      <c r="AD10" s="1185"/>
      <c r="AE10" s="1185"/>
      <c r="AF10" s="1185"/>
      <c r="AG10" s="1185"/>
      <c r="AH10" s="1185"/>
      <c r="AI10" s="1185"/>
    </row>
    <row r="11" spans="1:37">
      <c r="A11" s="1200" t="s">
        <v>351</v>
      </c>
      <c r="F11" s="1201"/>
      <c r="I11" s="1201"/>
      <c r="N11" s="1185"/>
      <c r="O11" s="1185"/>
      <c r="P11" s="1186"/>
      <c r="Q11" s="1186"/>
      <c r="R11" s="1186"/>
      <c r="S11" s="1185"/>
      <c r="T11" s="1185"/>
      <c r="U11" s="1185"/>
      <c r="V11" s="1185"/>
      <c r="W11" s="1185"/>
      <c r="X11" s="1185"/>
      <c r="Y11" s="1185"/>
      <c r="Z11" s="1185"/>
      <c r="AA11" s="1185"/>
      <c r="AB11" s="1185"/>
      <c r="AC11" s="1185"/>
      <c r="AD11" s="1185"/>
      <c r="AE11" s="1185"/>
      <c r="AF11" s="1185"/>
      <c r="AG11" s="1185"/>
      <c r="AH11" s="1185"/>
      <c r="AI11" s="1185"/>
    </row>
    <row r="12" spans="1:37">
      <c r="A12" s="1184" t="s">
        <v>352</v>
      </c>
      <c r="F12" s="1201"/>
      <c r="I12" s="1201"/>
      <c r="N12" s="1185"/>
      <c r="O12" s="1185"/>
      <c r="P12" s="1186"/>
      <c r="Q12" s="1186"/>
      <c r="R12" s="1186"/>
      <c r="S12" s="1185"/>
      <c r="T12" s="1185"/>
      <c r="U12" s="1185"/>
      <c r="V12" s="1185"/>
      <c r="W12" s="1185"/>
      <c r="X12" s="1185"/>
      <c r="Y12" s="1185"/>
      <c r="Z12" s="1185"/>
      <c r="AA12" s="1185"/>
      <c r="AB12" s="1185"/>
      <c r="AC12" s="1185"/>
      <c r="AD12" s="1185"/>
      <c r="AE12" s="1185"/>
      <c r="AF12" s="1185"/>
      <c r="AG12" s="1185"/>
      <c r="AH12" s="1185"/>
      <c r="AI12" s="1185"/>
    </row>
    <row r="13" spans="1:37">
      <c r="F13" s="1201"/>
      <c r="I13" s="1201"/>
      <c r="N13" s="1185"/>
      <c r="O13" s="1185"/>
      <c r="P13" s="1186"/>
      <c r="Q13" s="1186"/>
      <c r="R13" s="1186"/>
      <c r="S13" s="1185"/>
      <c r="T13" s="1185"/>
      <c r="U13" s="1185"/>
      <c r="V13" s="1185"/>
      <c r="W13" s="1185"/>
      <c r="X13" s="1185"/>
      <c r="Y13" s="1185"/>
      <c r="Z13" s="1185"/>
      <c r="AA13" s="1185"/>
      <c r="AB13" s="1185"/>
      <c r="AC13" s="1185"/>
      <c r="AD13" s="1185"/>
      <c r="AE13" s="1185"/>
      <c r="AF13" s="1185"/>
      <c r="AG13" s="1185"/>
      <c r="AH13" s="1185"/>
      <c r="AI13" s="1185"/>
    </row>
    <row r="14" spans="1:37">
      <c r="A14" s="1184" t="s">
        <v>353</v>
      </c>
      <c r="F14" s="1201"/>
      <c r="I14" s="1201"/>
      <c r="N14" s="1185"/>
      <c r="O14" s="1185"/>
      <c r="P14" s="1186"/>
      <c r="Q14" s="1186"/>
      <c r="R14" s="1186"/>
      <c r="S14" s="1185"/>
      <c r="T14" s="1185"/>
      <c r="U14" s="1185"/>
      <c r="V14" s="1185"/>
      <c r="W14" s="1185"/>
      <c r="X14" s="1185"/>
      <c r="Y14" s="1185"/>
      <c r="Z14" s="1185"/>
      <c r="AA14" s="1185"/>
      <c r="AB14" s="1185"/>
      <c r="AC14" s="1185"/>
      <c r="AD14" s="1185"/>
      <c r="AE14" s="1185"/>
      <c r="AF14" s="1185"/>
      <c r="AG14" s="1185"/>
      <c r="AH14" s="1185"/>
      <c r="AI14" s="1185"/>
    </row>
    <row r="15" spans="1:37">
      <c r="A15" s="1184" t="s">
        <v>354</v>
      </c>
      <c r="C15" s="1202">
        <f>C32+C49+C66</f>
        <v>28072</v>
      </c>
      <c r="D15" s="265">
        <v>10.119999999999999</v>
      </c>
      <c r="F15" s="1203">
        <f>F32+F49+F66</f>
        <v>284088</v>
      </c>
      <c r="G15" s="265">
        <v>10.63</v>
      </c>
      <c r="I15" s="1203">
        <f>I32+I49+I66</f>
        <v>298405.36000000004</v>
      </c>
      <c r="J15" s="265">
        <f>ROUND((G15+G15*$Q$26)*(1+$Q$27),2)</f>
        <v>10.63</v>
      </c>
      <c r="L15" s="1203">
        <f>L32+L49+L66</f>
        <v>298405.36000000004</v>
      </c>
      <c r="N15" s="1204" t="e">
        <f>J15*#REF!</f>
        <v>#REF!</v>
      </c>
      <c r="P15" s="815" t="s">
        <v>31</v>
      </c>
      <c r="Q15" s="1205"/>
      <c r="R15" s="1205"/>
      <c r="S15" s="1205"/>
      <c r="T15" s="1205"/>
      <c r="U15" s="1206"/>
      <c r="V15" s="1206"/>
      <c r="W15" s="1206"/>
      <c r="X15" s="1206"/>
      <c r="Y15" s="1185"/>
      <c r="Z15" s="1185"/>
      <c r="AA15" s="1185"/>
      <c r="AB15" s="1185"/>
      <c r="AC15" s="1185"/>
      <c r="AD15" s="1185"/>
      <c r="AE15" s="1185"/>
      <c r="AF15" s="1185"/>
      <c r="AG15" s="1185"/>
      <c r="AH15" s="1185"/>
      <c r="AI15" s="1185"/>
      <c r="AK15" s="1204"/>
    </row>
    <row r="16" spans="1:37">
      <c r="A16" s="1184" t="s">
        <v>355</v>
      </c>
      <c r="C16" s="1202">
        <f>C33+C50+C67</f>
        <v>4572</v>
      </c>
      <c r="D16" s="265">
        <v>19.25</v>
      </c>
      <c r="F16" s="1203">
        <f>F33+F50+F67</f>
        <v>88012</v>
      </c>
      <c r="G16" s="265">
        <v>20.23</v>
      </c>
      <c r="I16" s="1203">
        <f>I33+I50+I67</f>
        <v>92491.56</v>
      </c>
      <c r="J16" s="265">
        <f>ROUND((G16+G16*$Q$26)*(1+$Q$27),2)</f>
        <v>20.23</v>
      </c>
      <c r="L16" s="1203">
        <f>L33+L50+L67</f>
        <v>92491.56</v>
      </c>
      <c r="N16" s="1204" t="e">
        <f>J16*#REF!</f>
        <v>#REF!</v>
      </c>
      <c r="P16" s="815"/>
      <c r="Q16" s="1205"/>
      <c r="R16" s="1205"/>
      <c r="S16" s="1205"/>
      <c r="T16" s="1205"/>
      <c r="U16" s="1206"/>
      <c r="V16" s="1206"/>
      <c r="W16" s="1206"/>
      <c r="X16" s="1206"/>
      <c r="Y16" s="1185"/>
      <c r="Z16" s="1185"/>
      <c r="AA16" s="1185"/>
      <c r="AB16" s="1185"/>
      <c r="AC16" s="1185"/>
      <c r="AD16" s="1185"/>
      <c r="AE16" s="1185"/>
      <c r="AF16" s="1185"/>
      <c r="AG16" s="1185"/>
      <c r="AH16" s="1185"/>
      <c r="AI16" s="1185"/>
      <c r="AK16" s="1204"/>
    </row>
    <row r="17" spans="1:37">
      <c r="A17" s="1184" t="s">
        <v>356</v>
      </c>
      <c r="C17" s="1202">
        <f>C34+C51+C68</f>
        <v>600</v>
      </c>
      <c r="D17" s="265">
        <v>39.840000000000003</v>
      </c>
      <c r="F17" s="1203">
        <f>F34+F51+F68</f>
        <v>23904</v>
      </c>
      <c r="G17" s="265">
        <v>41.86</v>
      </c>
      <c r="I17" s="1203">
        <f>I34+I51+I68</f>
        <v>25116</v>
      </c>
      <c r="J17" s="265">
        <f>ROUND((G17+G17*$Q$26)*(1+$Q$27),2)</f>
        <v>41.86</v>
      </c>
      <c r="L17" s="1203">
        <f>L34+L51+L68</f>
        <v>25116</v>
      </c>
      <c r="N17" s="1204" t="e">
        <f>J17*#REF!</f>
        <v>#REF!</v>
      </c>
      <c r="P17" s="815"/>
      <c r="Q17" s="1205"/>
      <c r="R17" s="1205"/>
      <c r="S17" s="1205"/>
      <c r="T17" s="1205"/>
      <c r="U17" s="1206"/>
      <c r="V17" s="1206"/>
      <c r="W17" s="1206"/>
      <c r="X17" s="1206"/>
      <c r="Y17" s="1185"/>
      <c r="Z17" s="1185"/>
      <c r="AA17" s="1185"/>
      <c r="AB17" s="1185"/>
      <c r="AC17" s="1185"/>
      <c r="AD17" s="1185"/>
      <c r="AE17" s="1185"/>
      <c r="AF17" s="1185"/>
      <c r="AG17" s="1185"/>
      <c r="AH17" s="1185"/>
      <c r="AI17" s="1185"/>
      <c r="AK17" s="1204"/>
    </row>
    <row r="18" spans="1:37">
      <c r="A18" s="1184" t="s">
        <v>357</v>
      </c>
      <c r="C18" s="1202"/>
      <c r="D18" s="265"/>
      <c r="F18" s="1203"/>
      <c r="G18" s="727"/>
      <c r="I18" s="1203"/>
      <c r="J18" s="727"/>
      <c r="L18" s="1203"/>
      <c r="N18" s="1204"/>
      <c r="P18" s="1184"/>
      <c r="Q18" s="1205"/>
      <c r="R18" s="1205"/>
      <c r="S18" s="1205"/>
      <c r="T18" s="1205"/>
      <c r="U18" s="1207"/>
      <c r="V18" s="1207"/>
      <c r="W18" s="1207"/>
      <c r="X18" s="1207"/>
      <c r="Y18" s="1185"/>
      <c r="Z18" s="1185"/>
      <c r="AA18" s="1185"/>
      <c r="AB18" s="1185"/>
      <c r="AC18" s="1185"/>
      <c r="AD18" s="1185"/>
      <c r="AE18" s="1185"/>
      <c r="AF18" s="1185"/>
      <c r="AG18" s="1185"/>
      <c r="AH18" s="1185"/>
      <c r="AI18" s="1185"/>
      <c r="AK18" s="1204"/>
    </row>
    <row r="19" spans="1:37">
      <c r="A19" s="1184" t="s">
        <v>358</v>
      </c>
      <c r="C19" s="1202">
        <f t="shared" ref="C19:C25" si="0">C36+C53+C70</f>
        <v>1930</v>
      </c>
      <c r="D19" s="265">
        <v>11.51</v>
      </c>
      <c r="F19" s="1203">
        <f>F36+F53+F70</f>
        <v>22214</v>
      </c>
      <c r="G19" s="265">
        <v>12.09</v>
      </c>
      <c r="I19" s="1203">
        <f>I36+I53+I70</f>
        <v>23333.700000000004</v>
      </c>
      <c r="J19" s="265">
        <f>ROUND((G19+G19*$Q$26)*(1+$Q$27),2)</f>
        <v>12.09</v>
      </c>
      <c r="L19" s="1203">
        <f>L36+L53+L70</f>
        <v>23333.700000000004</v>
      </c>
      <c r="N19" s="1204" t="e">
        <f>J19*#REF!</f>
        <v>#REF!</v>
      </c>
      <c r="P19" s="815"/>
      <c r="Q19" s="1205"/>
      <c r="R19" s="1205"/>
      <c r="S19" s="1205"/>
      <c r="T19" s="1205"/>
      <c r="U19" s="1206"/>
      <c r="V19" s="1206"/>
      <c r="W19" s="1206"/>
      <c r="X19" s="1206"/>
      <c r="Y19" s="1185"/>
      <c r="Z19" s="1185"/>
      <c r="AA19" s="1185"/>
      <c r="AB19" s="1185"/>
      <c r="AC19" s="1185"/>
      <c r="AD19" s="1185"/>
      <c r="AE19" s="1185"/>
      <c r="AF19" s="1185"/>
      <c r="AG19" s="1185"/>
      <c r="AH19" s="1185"/>
      <c r="AI19" s="1185"/>
      <c r="AK19" s="1204"/>
    </row>
    <row r="20" spans="1:37">
      <c r="A20" s="1184" t="s">
        <v>359</v>
      </c>
      <c r="C20" s="1202">
        <f t="shared" si="0"/>
        <v>1764</v>
      </c>
      <c r="D20" s="265">
        <v>16.900000000000002</v>
      </c>
      <c r="F20" s="1203">
        <f>F37+F54+F71</f>
        <v>29811</v>
      </c>
      <c r="G20" s="265">
        <v>17.760000000000002</v>
      </c>
      <c r="I20" s="1203">
        <f>I37+I54+I71</f>
        <v>31328.640000000003</v>
      </c>
      <c r="J20" s="265">
        <f>ROUND((G20+G20*$Q$26)*(1+$Q$27),2)</f>
        <v>17.760000000000002</v>
      </c>
      <c r="L20" s="1203">
        <f>L37+L54+L71</f>
        <v>31328.640000000003</v>
      </c>
      <c r="N20" s="1204" t="e">
        <f>J20*#REF!</f>
        <v>#REF!</v>
      </c>
      <c r="P20" s="815"/>
      <c r="Q20" s="1205"/>
      <c r="R20" s="1205"/>
      <c r="S20" s="1205"/>
      <c r="T20" s="1205"/>
      <c r="U20" s="1206"/>
      <c r="V20" s="1206"/>
      <c r="W20" s="1206"/>
      <c r="X20" s="1206"/>
      <c r="Y20" s="1185"/>
      <c r="Z20" s="1185"/>
      <c r="AA20" s="1185"/>
      <c r="AB20" s="1185"/>
      <c r="AC20" s="1185"/>
      <c r="AD20" s="1185"/>
      <c r="AE20" s="1185"/>
      <c r="AF20" s="1185"/>
      <c r="AG20" s="1185"/>
      <c r="AH20" s="1185"/>
      <c r="AI20" s="1185"/>
      <c r="AK20" s="1204"/>
    </row>
    <row r="21" spans="1:37">
      <c r="A21" s="1184" t="s">
        <v>360</v>
      </c>
      <c r="C21" s="1202">
        <f t="shared" si="0"/>
        <v>456</v>
      </c>
      <c r="D21" s="265">
        <v>27.26</v>
      </c>
      <c r="F21" s="1203">
        <f>F38+F55+F72</f>
        <v>12430</v>
      </c>
      <c r="G21" s="265">
        <v>28.64</v>
      </c>
      <c r="I21" s="1203">
        <f>I38+I55+I72</f>
        <v>13059.840000000002</v>
      </c>
      <c r="J21" s="265">
        <f>ROUND((G21+G21*$Q$26)*(1+$Q$27),2)</f>
        <v>28.64</v>
      </c>
      <c r="L21" s="1203">
        <f>L38+L55+L72</f>
        <v>13059.840000000002</v>
      </c>
      <c r="N21" s="1204" t="e">
        <f>J21*#REF!</f>
        <v>#REF!</v>
      </c>
      <c r="P21" s="815"/>
      <c r="Q21" s="1205"/>
      <c r="R21" s="1205"/>
      <c r="S21" s="1205"/>
      <c r="T21" s="1205"/>
      <c r="U21" s="1206"/>
      <c r="V21" s="1206"/>
      <c r="W21" s="1206"/>
      <c r="X21" s="1206"/>
      <c r="Y21" s="1185"/>
      <c r="Z21" s="1185"/>
      <c r="AA21" s="1185"/>
      <c r="AB21" s="1185"/>
      <c r="AC21" s="1185"/>
      <c r="AD21" s="1185"/>
      <c r="AE21" s="1185"/>
      <c r="AF21" s="1185"/>
      <c r="AG21" s="1185"/>
      <c r="AH21" s="1185"/>
      <c r="AI21" s="1185"/>
      <c r="AK21" s="1204"/>
    </row>
    <row r="22" spans="1:37">
      <c r="A22" s="1184" t="s">
        <v>361</v>
      </c>
      <c r="C22" s="1202">
        <f t="shared" si="0"/>
        <v>625</v>
      </c>
      <c r="D22" s="269">
        <v>1</v>
      </c>
      <c r="E22" s="1185"/>
      <c r="F22" s="1203">
        <f>F39+F56+F73</f>
        <v>625</v>
      </c>
      <c r="G22" s="269">
        <v>1</v>
      </c>
      <c r="H22" s="1185"/>
      <c r="I22" s="1203">
        <f>I39+I56+I73</f>
        <v>625</v>
      </c>
      <c r="J22" s="265">
        <f>G22</f>
        <v>1</v>
      </c>
      <c r="K22" s="1185"/>
      <c r="L22" s="1203">
        <f>L39+L56+L73</f>
        <v>625</v>
      </c>
      <c r="N22" s="1204" t="e">
        <f>J22*#REF!</f>
        <v>#REF!</v>
      </c>
      <c r="P22" s="815"/>
      <c r="Q22" s="1005" t="s">
        <v>31</v>
      </c>
      <c r="R22" s="1184"/>
      <c r="S22" s="1205"/>
      <c r="T22" s="1205"/>
      <c r="Y22" s="1185"/>
      <c r="Z22" s="1185"/>
      <c r="AA22" s="1185"/>
      <c r="AB22" s="1185"/>
      <c r="AC22" s="1185"/>
      <c r="AD22" s="1185"/>
      <c r="AE22" s="1185"/>
      <c r="AF22" s="1185"/>
      <c r="AG22" s="1185"/>
      <c r="AH22" s="1185"/>
      <c r="AI22" s="1185"/>
      <c r="AK22" s="1204"/>
    </row>
    <row r="23" spans="1:37">
      <c r="A23" s="1184" t="s">
        <v>362</v>
      </c>
      <c r="C23" s="1202">
        <f t="shared" si="0"/>
        <v>31190</v>
      </c>
      <c r="D23" s="265"/>
      <c r="F23" s="1203"/>
      <c r="G23" s="265"/>
      <c r="I23" s="1203"/>
      <c r="J23" s="265"/>
      <c r="L23" s="1203"/>
      <c r="N23" s="1204"/>
      <c r="P23" s="1204"/>
      <c r="Q23" s="1184"/>
      <c r="R23" s="1184"/>
      <c r="Y23" s="1185"/>
      <c r="Z23" s="1185"/>
      <c r="AA23" s="1185"/>
      <c r="AB23" s="1185"/>
      <c r="AC23" s="1185"/>
      <c r="AD23" s="1185"/>
      <c r="AE23" s="1185"/>
      <c r="AF23" s="1185"/>
      <c r="AG23" s="1185"/>
      <c r="AH23" s="1185"/>
      <c r="AI23" s="1185"/>
      <c r="AK23" s="1204"/>
    </row>
    <row r="24" spans="1:37">
      <c r="A24" s="1184" t="s">
        <v>35</v>
      </c>
      <c r="C24" s="1202">
        <f t="shared" si="0"/>
        <v>3455498</v>
      </c>
      <c r="D24" s="269"/>
      <c r="E24" s="1185"/>
      <c r="F24" s="1203">
        <f>F41+F58+F75</f>
        <v>461084</v>
      </c>
      <c r="G24" s="269"/>
      <c r="H24" s="1185"/>
      <c r="I24" s="1203">
        <f>I41+I58+I75</f>
        <v>484360.10000000003</v>
      </c>
      <c r="J24" s="269"/>
      <c r="K24" s="1185"/>
      <c r="L24" s="1208">
        <f>L41+L58+L75</f>
        <v>484360.10000000003</v>
      </c>
      <c r="N24" s="1204" t="e">
        <f>SUM(N15:N23)</f>
        <v>#REF!</v>
      </c>
      <c r="P24" s="1209"/>
      <c r="Q24" s="1184"/>
      <c r="R24" s="1184"/>
      <c r="Y24" s="1185"/>
      <c r="Z24" s="1185"/>
      <c r="AA24" s="1185"/>
      <c r="AB24" s="1185"/>
      <c r="AC24" s="1185"/>
      <c r="AD24" s="1185"/>
      <c r="AE24" s="1185"/>
      <c r="AF24" s="1185"/>
      <c r="AG24" s="1185"/>
      <c r="AH24" s="1185"/>
      <c r="AI24" s="1185"/>
      <c r="AK24" s="1204"/>
    </row>
    <row r="25" spans="1:37">
      <c r="A25" s="1184" t="s">
        <v>363</v>
      </c>
      <c r="C25" s="1202">
        <f t="shared" si="0"/>
        <v>-3768.1420658745119</v>
      </c>
      <c r="D25" s="269"/>
      <c r="E25" s="1185"/>
      <c r="F25" s="1210" t="e">
        <f>F42+F59+F76</f>
        <v>#REF!</v>
      </c>
      <c r="G25" s="269"/>
      <c r="H25" s="1185"/>
      <c r="I25" s="1210">
        <f>I42+I59+I76</f>
        <v>-572.02550248989303</v>
      </c>
      <c r="J25" s="269"/>
      <c r="K25" s="1185"/>
      <c r="L25" s="1210">
        <f>I25</f>
        <v>-572.02550248989303</v>
      </c>
      <c r="Q25" s="1211" t="s">
        <v>31</v>
      </c>
      <c r="R25" s="1211"/>
      <c r="Y25" s="1185"/>
      <c r="Z25" s="1185"/>
      <c r="AA25" s="1185"/>
      <c r="AB25" s="1185"/>
      <c r="AC25" s="1185"/>
      <c r="AD25" s="1185"/>
      <c r="AE25" s="1185"/>
      <c r="AF25" s="1185"/>
      <c r="AG25" s="1185"/>
      <c r="AH25" s="1185"/>
      <c r="AI25" s="1185"/>
      <c r="AK25" s="1204"/>
    </row>
    <row r="26" spans="1:37" ht="16.5" thickBot="1">
      <c r="A26" s="1184" t="s">
        <v>9</v>
      </c>
      <c r="C26" s="1212">
        <f>C24+C25</f>
        <v>3451729.8579341257</v>
      </c>
      <c r="D26" s="1213"/>
      <c r="E26" s="1213"/>
      <c r="F26" s="1213" t="e">
        <f>F24+F25</f>
        <v>#REF!</v>
      </c>
      <c r="G26" s="1214"/>
      <c r="H26" s="1213"/>
      <c r="I26" s="1213">
        <f>I24+I25</f>
        <v>483788.07449751016</v>
      </c>
      <c r="J26" s="1214"/>
      <c r="K26" s="1213"/>
      <c r="L26" s="1213">
        <f>L24+L25</f>
        <v>483788.07449751016</v>
      </c>
      <c r="O26" s="1215" t="s">
        <v>364</v>
      </c>
      <c r="P26" s="1216">
        <f>'[97]Rate Spread targets'!Q35*1000</f>
        <v>483788.07449751016</v>
      </c>
      <c r="Q26" s="818">
        <f>'[97]Rate Spread targets'!V35</f>
        <v>0</v>
      </c>
      <c r="R26" s="777"/>
      <c r="S26" s="55"/>
      <c r="T26" s="55"/>
      <c r="Y26" s="1185"/>
      <c r="Z26" s="1185"/>
      <c r="AA26" s="1185"/>
      <c r="AB26" s="1185"/>
      <c r="AC26" s="1185"/>
      <c r="AD26" s="1185"/>
      <c r="AE26" s="1185"/>
      <c r="AF26" s="1185"/>
      <c r="AG26" s="1185"/>
      <c r="AH26" s="1185"/>
      <c r="AI26" s="1185"/>
      <c r="AK26" s="1204"/>
    </row>
    <row r="27" spans="1:37" ht="16.5" thickTop="1">
      <c r="C27" s="1217"/>
      <c r="D27" s="1217"/>
      <c r="E27" s="1217"/>
      <c r="F27" s="1201"/>
      <c r="G27" s="1218" t="s">
        <v>31</v>
      </c>
      <c r="H27" s="1217"/>
      <c r="I27" s="1201"/>
      <c r="J27" s="1219" t="s">
        <v>31</v>
      </c>
      <c r="K27" s="1217"/>
      <c r="L27" s="1203" t="s">
        <v>31</v>
      </c>
      <c r="O27" s="1220" t="s">
        <v>263</v>
      </c>
      <c r="P27" s="1221">
        <f>P26-L26</f>
        <v>0</v>
      </c>
      <c r="Q27" s="1222">
        <v>0</v>
      </c>
      <c r="R27" s="826"/>
      <c r="S27" s="55"/>
      <c r="T27" s="55"/>
      <c r="Y27" s="1185"/>
      <c r="Z27" s="1185"/>
      <c r="AA27" s="1185"/>
      <c r="AB27" s="1185"/>
      <c r="AC27" s="1185"/>
      <c r="AD27" s="1185"/>
      <c r="AE27" s="1185"/>
      <c r="AF27" s="1185"/>
      <c r="AG27" s="1185"/>
      <c r="AH27" s="1185"/>
      <c r="AI27" s="1185"/>
      <c r="AK27" s="1204"/>
    </row>
    <row r="28" spans="1:37">
      <c r="A28" s="1200" t="s">
        <v>351</v>
      </c>
      <c r="F28" s="1201"/>
      <c r="I28" s="1201"/>
      <c r="P28" s="1223" t="s">
        <v>31</v>
      </c>
      <c r="Q28" s="1184"/>
      <c r="R28" s="1184"/>
      <c r="Y28" s="1185"/>
      <c r="Z28" s="1185"/>
      <c r="AA28" s="1185"/>
      <c r="AB28" s="1185"/>
      <c r="AC28" s="1185"/>
      <c r="AD28" s="1185"/>
      <c r="AE28" s="1185"/>
      <c r="AF28" s="1185"/>
      <c r="AG28" s="1185"/>
      <c r="AH28" s="1185"/>
      <c r="AI28" s="1185"/>
      <c r="AK28" s="1204"/>
    </row>
    <row r="29" spans="1:37">
      <c r="A29" s="1184" t="s">
        <v>365</v>
      </c>
      <c r="F29" s="1201"/>
      <c r="I29" s="1201"/>
      <c r="N29" s="278"/>
      <c r="O29" s="278"/>
      <c r="P29" s="278"/>
      <c r="Q29" s="278"/>
      <c r="R29" s="278"/>
      <c r="S29" s="278"/>
      <c r="T29" s="278"/>
      <c r="U29" s="278"/>
      <c r="V29" s="278"/>
      <c r="W29" s="278"/>
      <c r="X29" s="278"/>
      <c r="Y29" s="278"/>
      <c r="Z29" s="278"/>
      <c r="AA29" s="278"/>
      <c r="AB29" s="278"/>
      <c r="AC29" s="278"/>
      <c r="AD29" s="278"/>
      <c r="AE29" s="1185"/>
      <c r="AF29" s="1185"/>
      <c r="AG29" s="1185"/>
      <c r="AH29" s="1185"/>
      <c r="AI29" s="1185"/>
      <c r="AK29" s="1204"/>
    </row>
    <row r="30" spans="1:37">
      <c r="D30" s="1202"/>
      <c r="F30" s="1201"/>
      <c r="I30" s="1201"/>
      <c r="N30" s="278"/>
      <c r="O30" s="278"/>
      <c r="P30" s="278"/>
      <c r="Q30" s="278"/>
      <c r="R30" s="278"/>
      <c r="S30" s="278"/>
      <c r="T30" s="278"/>
      <c r="U30" s="278"/>
      <c r="V30" s="278"/>
      <c r="W30" s="278"/>
      <c r="X30" s="278"/>
      <c r="Y30" s="278"/>
      <c r="Z30" s="278"/>
      <c r="AA30" s="278"/>
      <c r="AB30" s="278"/>
      <c r="AC30" s="278"/>
      <c r="AD30" s="278"/>
      <c r="AE30" s="1185"/>
      <c r="AF30" s="1185"/>
      <c r="AG30" s="1185"/>
      <c r="AH30" s="1185"/>
      <c r="AI30" s="1185"/>
      <c r="AK30" s="1204"/>
    </row>
    <row r="31" spans="1:37">
      <c r="A31" s="1184" t="s">
        <v>353</v>
      </c>
      <c r="F31" s="1201"/>
      <c r="I31" s="1201"/>
      <c r="N31" s="278"/>
      <c r="O31" s="278"/>
      <c r="P31" s="278"/>
      <c r="Q31" s="1186"/>
      <c r="R31" s="1186"/>
      <c r="S31" s="279"/>
      <c r="T31" s="279"/>
      <c r="U31" s="280"/>
      <c r="V31" s="280"/>
      <c r="W31" s="280"/>
      <c r="X31" s="280"/>
      <c r="Y31" s="281"/>
      <c r="Z31" s="282"/>
      <c r="AA31" s="278"/>
      <c r="AB31" s="278"/>
      <c r="AC31" s="278"/>
      <c r="AD31" s="278"/>
      <c r="AE31" s="1185"/>
      <c r="AF31" s="1185"/>
      <c r="AG31" s="1185"/>
      <c r="AH31" s="1185"/>
      <c r="AI31" s="1185"/>
      <c r="AK31" s="1204"/>
    </row>
    <row r="32" spans="1:37">
      <c r="A32" s="1184" t="s">
        <v>354</v>
      </c>
      <c r="C32" s="1202">
        <f>12787+107</f>
        <v>12894</v>
      </c>
      <c r="D32" s="265">
        <v>10.119999999999999</v>
      </c>
      <c r="F32" s="1203">
        <f>ROUND(D32*$C32,0)</f>
        <v>130487</v>
      </c>
      <c r="G32" s="265">
        <v>10.63</v>
      </c>
      <c r="I32" s="1203">
        <f>G32*C32</f>
        <v>137063.22</v>
      </c>
      <c r="J32" s="265">
        <f>$J$15</f>
        <v>10.63</v>
      </c>
      <c r="L32" s="1203">
        <f>(J32*$C32)</f>
        <v>137063.22</v>
      </c>
      <c r="N32" s="1185"/>
      <c r="O32" s="1185"/>
      <c r="P32" s="281"/>
      <c r="Q32" s="1186"/>
      <c r="R32" s="1186"/>
      <c r="S32" s="278"/>
      <c r="T32" s="278"/>
      <c r="U32" s="283"/>
      <c r="V32" s="283"/>
      <c r="W32" s="283"/>
      <c r="X32" s="283"/>
      <c r="Y32" s="284"/>
      <c r="Z32" s="278"/>
      <c r="AA32" s="281"/>
      <c r="AB32" s="281"/>
      <c r="AC32" s="285"/>
      <c r="AD32" s="281"/>
      <c r="AE32" s="1185"/>
      <c r="AF32" s="1185"/>
      <c r="AG32" s="1185"/>
      <c r="AH32" s="1185"/>
      <c r="AI32" s="1185"/>
      <c r="AK32" s="1204"/>
    </row>
    <row r="33" spans="1:37">
      <c r="A33" s="1184" t="s">
        <v>355</v>
      </c>
      <c r="C33" s="1202">
        <f>264+12</f>
        <v>276</v>
      </c>
      <c r="D33" s="265">
        <v>19.25</v>
      </c>
      <c r="F33" s="1203">
        <f>ROUND(D33*$C33,0)</f>
        <v>5313</v>
      </c>
      <c r="G33" s="265">
        <v>20.23</v>
      </c>
      <c r="I33" s="1203">
        <f t="shared" ref="I33:I34" si="1">G33*C33</f>
        <v>5583.4800000000005</v>
      </c>
      <c r="J33" s="265">
        <f>$J$16</f>
        <v>20.23</v>
      </c>
      <c r="L33" s="1203">
        <f>(J33*$C33)</f>
        <v>5583.4800000000005</v>
      </c>
      <c r="N33" s="1185"/>
      <c r="O33" s="1185"/>
      <c r="P33" s="281"/>
      <c r="Q33" s="1186"/>
      <c r="R33" s="1186"/>
      <c r="S33" s="1185"/>
      <c r="T33" s="1185"/>
      <c r="U33" s="287"/>
      <c r="V33" s="287"/>
      <c r="W33" s="287"/>
      <c r="X33" s="287"/>
      <c r="Y33" s="278"/>
      <c r="Z33" s="278"/>
      <c r="AA33" s="281"/>
      <c r="AB33" s="281"/>
      <c r="AC33" s="285"/>
      <c r="AD33" s="281"/>
      <c r="AE33" s="1185"/>
      <c r="AF33" s="1185"/>
      <c r="AG33" s="1185"/>
      <c r="AH33" s="1185"/>
      <c r="AI33" s="1185"/>
      <c r="AK33" s="1204"/>
    </row>
    <row r="34" spans="1:37">
      <c r="A34" s="1184" t="s">
        <v>356</v>
      </c>
      <c r="C34" s="1202">
        <v>2</v>
      </c>
      <c r="D34" s="265">
        <v>39.840000000000003</v>
      </c>
      <c r="F34" s="1203">
        <f>ROUND(D34*$C34,0)</f>
        <v>80</v>
      </c>
      <c r="G34" s="265">
        <v>41.86</v>
      </c>
      <c r="I34" s="1203">
        <f t="shared" si="1"/>
        <v>83.72</v>
      </c>
      <c r="J34" s="265">
        <f>$J$17</f>
        <v>41.86</v>
      </c>
      <c r="L34" s="1203">
        <f>(J34*$C34)</f>
        <v>83.72</v>
      </c>
      <c r="N34" s="1185"/>
      <c r="O34" s="1185"/>
      <c r="P34" s="281"/>
      <c r="Q34" s="1186"/>
      <c r="R34" s="1186"/>
      <c r="S34" s="1185"/>
      <c r="T34" s="1185"/>
      <c r="U34" s="287"/>
      <c r="V34" s="287"/>
      <c r="W34" s="287"/>
      <c r="X34" s="287"/>
      <c r="Y34" s="278"/>
      <c r="Z34" s="278"/>
      <c r="AA34" s="281"/>
      <c r="AB34" s="281"/>
      <c r="AC34" s="285"/>
      <c r="AD34" s="281"/>
      <c r="AE34" s="1185"/>
      <c r="AF34" s="1185"/>
      <c r="AG34" s="1185"/>
      <c r="AH34" s="1185"/>
      <c r="AI34" s="1185"/>
      <c r="AK34" s="1204"/>
    </row>
    <row r="35" spans="1:37">
      <c r="A35" s="1184" t="s">
        <v>357</v>
      </c>
      <c r="C35" s="1202"/>
      <c r="D35" s="265"/>
      <c r="F35" s="1203"/>
      <c r="G35" s="265"/>
      <c r="I35" s="1203"/>
      <c r="J35" s="265"/>
      <c r="L35" s="1203"/>
      <c r="N35" s="1185"/>
      <c r="O35" s="1185"/>
      <c r="P35" s="281"/>
      <c r="Q35" s="1186"/>
      <c r="R35" s="1186"/>
      <c r="S35" s="1185"/>
      <c r="T35" s="1185"/>
      <c r="U35" s="287"/>
      <c r="V35" s="287"/>
      <c r="W35" s="287"/>
      <c r="X35" s="287"/>
      <c r="Y35" s="278"/>
      <c r="Z35" s="278"/>
      <c r="AA35" s="281"/>
      <c r="AB35" s="281"/>
      <c r="AC35" s="285"/>
      <c r="AD35" s="281"/>
      <c r="AE35" s="1185"/>
      <c r="AF35" s="1185"/>
      <c r="AG35" s="1185"/>
      <c r="AH35" s="1185"/>
      <c r="AI35" s="1185"/>
      <c r="AK35" s="1204"/>
    </row>
    <row r="36" spans="1:37">
      <c r="A36" s="1184" t="s">
        <v>358</v>
      </c>
      <c r="C36" s="1202">
        <f>814</f>
        <v>814</v>
      </c>
      <c r="D36" s="265">
        <v>11.51</v>
      </c>
      <c r="F36" s="1203">
        <f>ROUND(D36*$C36,0)</f>
        <v>9369</v>
      </c>
      <c r="G36" s="265">
        <v>12.09</v>
      </c>
      <c r="I36" s="1203">
        <f t="shared" ref="I36:I39" si="2">G36*C36</f>
        <v>9841.26</v>
      </c>
      <c r="J36" s="265">
        <f>$J$19</f>
        <v>12.09</v>
      </c>
      <c r="L36" s="1203">
        <f t="shared" ref="L36:L39" si="3">(J36*$C36)</f>
        <v>9841.26</v>
      </c>
      <c r="N36" s="1185"/>
      <c r="O36" s="1185"/>
      <c r="P36" s="281"/>
      <c r="Q36" s="1186"/>
      <c r="R36" s="1186"/>
      <c r="S36" s="1185"/>
      <c r="T36" s="1185"/>
      <c r="U36" s="287"/>
      <c r="V36" s="287"/>
      <c r="W36" s="287"/>
      <c r="X36" s="287"/>
      <c r="Y36" s="278"/>
      <c r="Z36" s="278"/>
      <c r="AA36" s="281"/>
      <c r="AB36" s="281"/>
      <c r="AC36" s="285"/>
      <c r="AD36" s="281"/>
      <c r="AE36" s="1185"/>
      <c r="AF36" s="1185"/>
      <c r="AG36" s="1185"/>
      <c r="AH36" s="1185"/>
      <c r="AI36" s="1185"/>
      <c r="AK36" s="1204"/>
    </row>
    <row r="37" spans="1:37">
      <c r="A37" s="1184" t="s">
        <v>359</v>
      </c>
      <c r="C37" s="1202">
        <f>216</f>
        <v>216</v>
      </c>
      <c r="D37" s="265">
        <v>16.900000000000002</v>
      </c>
      <c r="F37" s="1203">
        <f>ROUND(D37*$C37,0)</f>
        <v>3650</v>
      </c>
      <c r="G37" s="265">
        <v>17.760000000000002</v>
      </c>
      <c r="I37" s="1203">
        <f t="shared" si="2"/>
        <v>3836.1600000000003</v>
      </c>
      <c r="J37" s="265">
        <f>$J$20</f>
        <v>17.760000000000002</v>
      </c>
      <c r="L37" s="1203">
        <f t="shared" si="3"/>
        <v>3836.1600000000003</v>
      </c>
      <c r="N37" s="1185"/>
      <c r="O37" s="1185"/>
      <c r="P37" s="281"/>
      <c r="Q37" s="1186"/>
      <c r="R37" s="1186"/>
      <c r="S37" s="1185"/>
      <c r="T37" s="1185"/>
      <c r="U37" s="287"/>
      <c r="V37" s="287"/>
      <c r="W37" s="287"/>
      <c r="X37" s="287"/>
      <c r="Y37" s="278"/>
      <c r="Z37" s="278"/>
      <c r="AA37" s="281"/>
      <c r="AB37" s="281"/>
      <c r="AC37" s="285"/>
      <c r="AD37" s="281"/>
      <c r="AE37" s="1185"/>
      <c r="AF37" s="1185"/>
      <c r="AG37" s="1185"/>
      <c r="AH37" s="1185"/>
      <c r="AI37" s="1185"/>
      <c r="AK37" s="1204"/>
    </row>
    <row r="38" spans="1:37">
      <c r="A38" s="1184" t="s">
        <v>360</v>
      </c>
      <c r="C38" s="1202">
        <f>12</f>
        <v>12</v>
      </c>
      <c r="D38" s="265">
        <v>27.26</v>
      </c>
      <c r="F38" s="1203">
        <f>ROUND(D38*$C38,0)</f>
        <v>327</v>
      </c>
      <c r="G38" s="265">
        <v>28.64</v>
      </c>
      <c r="I38" s="1203">
        <f t="shared" si="2"/>
        <v>343.68</v>
      </c>
      <c r="J38" s="265">
        <f>$J$21</f>
        <v>28.64</v>
      </c>
      <c r="L38" s="1203">
        <f t="shared" si="3"/>
        <v>343.68</v>
      </c>
      <c r="N38" s="1185"/>
      <c r="O38" s="1185"/>
      <c r="P38" s="281"/>
      <c r="Q38" s="1186"/>
      <c r="R38" s="1186"/>
      <c r="S38" s="1185"/>
      <c r="T38" s="1185"/>
      <c r="U38" s="287"/>
      <c r="V38" s="287"/>
      <c r="W38" s="287"/>
      <c r="X38" s="287"/>
      <c r="Y38" s="278"/>
      <c r="Z38" s="278"/>
      <c r="AA38" s="281"/>
      <c r="AB38" s="281"/>
      <c r="AC38" s="285"/>
      <c r="AD38" s="281"/>
      <c r="AE38" s="1185"/>
      <c r="AF38" s="1185"/>
      <c r="AG38" s="1185"/>
      <c r="AH38" s="1185"/>
      <c r="AI38" s="1185"/>
      <c r="AK38" s="1204"/>
    </row>
    <row r="39" spans="1:37">
      <c r="A39" s="1184" t="s">
        <v>361</v>
      </c>
      <c r="C39" s="1202">
        <f>107+12+2</f>
        <v>121</v>
      </c>
      <c r="D39" s="265">
        <v>1</v>
      </c>
      <c r="E39" s="1185"/>
      <c r="F39" s="1210">
        <f>ROUND(D39*$C39,0)</f>
        <v>121</v>
      </c>
      <c r="G39" s="265">
        <v>1</v>
      </c>
      <c r="H39" s="1185"/>
      <c r="I39" s="1203">
        <f t="shared" si="2"/>
        <v>121</v>
      </c>
      <c r="J39" s="269">
        <f>$J$22</f>
        <v>1</v>
      </c>
      <c r="K39" s="1185"/>
      <c r="L39" s="1203">
        <f t="shared" si="3"/>
        <v>121</v>
      </c>
      <c r="N39" s="278"/>
      <c r="O39" s="278"/>
      <c r="P39" s="281"/>
      <c r="Q39" s="1186"/>
      <c r="R39" s="1186"/>
      <c r="S39" s="1185"/>
      <c r="T39" s="1185"/>
      <c r="U39" s="278"/>
      <c r="V39" s="278"/>
      <c r="W39" s="278"/>
      <c r="X39" s="278"/>
      <c r="Y39" s="278"/>
      <c r="Z39" s="278"/>
      <c r="AA39" s="281"/>
      <c r="AB39" s="281"/>
      <c r="AC39" s="281"/>
      <c r="AD39" s="281"/>
      <c r="AE39" s="1185"/>
      <c r="AF39" s="1185"/>
      <c r="AG39" s="1185"/>
      <c r="AH39" s="1185"/>
      <c r="AI39" s="1185"/>
      <c r="AK39" s="1204"/>
    </row>
    <row r="40" spans="1:37">
      <c r="A40" s="1184" t="s">
        <v>362</v>
      </c>
      <c r="C40" s="1202">
        <f>13970</f>
        <v>13970</v>
      </c>
      <c r="D40" s="265"/>
      <c r="F40" s="1203"/>
      <c r="G40" s="265"/>
      <c r="I40" s="1203"/>
      <c r="J40" s="265"/>
      <c r="L40" s="1203"/>
      <c r="N40" s="278"/>
      <c r="O40" s="278"/>
      <c r="P40" s="278"/>
      <c r="Q40" s="278"/>
      <c r="R40" s="278"/>
      <c r="S40" s="278"/>
      <c r="T40" s="278"/>
      <c r="U40" s="278"/>
      <c r="V40" s="278"/>
      <c r="W40" s="278"/>
      <c r="X40" s="278"/>
      <c r="Y40" s="278"/>
      <c r="Z40" s="278"/>
      <c r="AA40" s="288"/>
      <c r="AB40" s="278"/>
      <c r="AC40" s="278"/>
      <c r="AD40" s="278"/>
      <c r="AE40" s="1185"/>
      <c r="AF40" s="1185"/>
      <c r="AG40" s="1185"/>
      <c r="AH40" s="1185"/>
      <c r="AI40" s="1185"/>
      <c r="AK40" s="1204"/>
    </row>
    <row r="41" spans="1:37">
      <c r="A41" s="1184" t="s">
        <v>35</v>
      </c>
      <c r="C41" s="1202">
        <f>1072028</f>
        <v>1072028</v>
      </c>
      <c r="D41" s="269"/>
      <c r="E41" s="1185"/>
      <c r="F41" s="1210">
        <f>SUM(F32:F39)</f>
        <v>149347</v>
      </c>
      <c r="G41" s="269"/>
      <c r="H41" s="1185"/>
      <c r="I41" s="1210">
        <f>SUM(I32:I39)</f>
        <v>156872.52000000002</v>
      </c>
      <c r="J41" s="269"/>
      <c r="K41" s="1185"/>
      <c r="L41" s="1210">
        <f>SUM(L32:L39)</f>
        <v>156872.52000000002</v>
      </c>
      <c r="N41" s="278"/>
      <c r="O41" s="278"/>
      <c r="P41" s="287"/>
      <c r="Q41" s="278"/>
      <c r="R41" s="278"/>
      <c r="S41" s="1185"/>
      <c r="T41" s="1185"/>
      <c r="U41" s="1185"/>
      <c r="V41" s="1185"/>
      <c r="W41" s="1185"/>
      <c r="X41" s="1185"/>
      <c r="Y41" s="1185"/>
      <c r="Z41" s="278"/>
      <c r="AA41" s="278"/>
      <c r="AB41" s="278"/>
      <c r="AC41" s="278"/>
      <c r="AD41" s="278"/>
      <c r="AE41" s="1185"/>
      <c r="AF41" s="1185"/>
      <c r="AG41" s="1185"/>
      <c r="AH41" s="1185"/>
      <c r="AI41" s="1185"/>
      <c r="AK41" s="1204"/>
    </row>
    <row r="42" spans="1:37">
      <c r="A42" s="1184" t="s">
        <v>363</v>
      </c>
      <c r="C42" s="1202">
        <f>'[97]Table 2'!H21</f>
        <v>-68.662768611323841</v>
      </c>
      <c r="D42" s="269"/>
      <c r="E42" s="1185"/>
      <c r="F42" s="1210" t="e">
        <f>#REF!</f>
        <v>#REF!</v>
      </c>
      <c r="G42" s="269"/>
      <c r="H42" s="1185"/>
      <c r="I42" s="1210">
        <f>'[97]Table 3'!E21</f>
        <v>15.339848949801738</v>
      </c>
      <c r="J42" s="269"/>
      <c r="K42" s="1185"/>
      <c r="L42" s="1210">
        <f>I42</f>
        <v>15.339848949801738</v>
      </c>
      <c r="N42" s="444"/>
      <c r="O42" s="444"/>
      <c r="P42" s="287"/>
      <c r="Q42" s="278"/>
      <c r="R42" s="278"/>
      <c r="S42" s="278"/>
      <c r="T42" s="278"/>
      <c r="U42" s="283"/>
      <c r="V42" s="283"/>
      <c r="W42" s="283"/>
      <c r="X42" s="283"/>
      <c r="Y42" s="281"/>
      <c r="Z42" s="278"/>
      <c r="AA42" s="278"/>
      <c r="AB42" s="278"/>
      <c r="AC42" s="278"/>
      <c r="AD42" s="278"/>
      <c r="AE42" s="1185"/>
      <c r="AF42" s="1185"/>
      <c r="AG42" s="1185"/>
      <c r="AH42" s="1185"/>
      <c r="AI42" s="1185"/>
      <c r="AK42" s="1204"/>
    </row>
    <row r="43" spans="1:37" ht="16.5" thickBot="1">
      <c r="A43" s="1184" t="s">
        <v>9</v>
      </c>
      <c r="C43" s="1212">
        <f>C41+C42</f>
        <v>1071959.3372313888</v>
      </c>
      <c r="D43" s="1213"/>
      <c r="E43" s="1213"/>
      <c r="F43" s="1213" t="e">
        <f>F41+F42</f>
        <v>#REF!</v>
      </c>
      <c r="G43" s="1214"/>
      <c r="H43" s="1213"/>
      <c r="I43" s="1213">
        <f>I41+I42</f>
        <v>156887.85984894983</v>
      </c>
      <c r="J43" s="1214"/>
      <c r="K43" s="1213"/>
      <c r="L43" s="1213">
        <f>L41+L42</f>
        <v>156887.85984894983</v>
      </c>
      <c r="N43" s="411"/>
      <c r="O43" s="411"/>
      <c r="P43" s="470"/>
      <c r="Q43" s="278"/>
      <c r="R43" s="278"/>
      <c r="S43" s="278"/>
      <c r="T43" s="278"/>
      <c r="U43" s="278"/>
      <c r="V43" s="278"/>
      <c r="W43" s="278"/>
      <c r="X43" s="278"/>
      <c r="Y43" s="278"/>
      <c r="Z43" s="278"/>
      <c r="AA43" s="278"/>
      <c r="AB43" s="278"/>
      <c r="AC43" s="278"/>
      <c r="AD43" s="278"/>
      <c r="AE43" s="1185"/>
      <c r="AF43" s="1185"/>
      <c r="AG43" s="1185"/>
      <c r="AH43" s="1185"/>
      <c r="AI43" s="1185"/>
      <c r="AK43" s="1204"/>
    </row>
    <row r="44" spans="1:37" ht="16.5" thickTop="1">
      <c r="C44" s="1217"/>
      <c r="D44" s="1217"/>
      <c r="E44" s="1217"/>
      <c r="F44" s="1201"/>
      <c r="G44" s="1218" t="s">
        <v>31</v>
      </c>
      <c r="H44" s="1217"/>
      <c r="I44" s="1201"/>
      <c r="J44" s="1219" t="s">
        <v>31</v>
      </c>
      <c r="K44" s="1217"/>
      <c r="L44" s="1203" t="s">
        <v>31</v>
      </c>
      <c r="N44" s="1185"/>
      <c r="O44" s="1185"/>
      <c r="P44" s="1186"/>
      <c r="Q44" s="1186"/>
      <c r="R44" s="1186"/>
      <c r="S44" s="1185"/>
      <c r="T44" s="1185"/>
      <c r="U44" s="1185"/>
      <c r="V44" s="1185"/>
      <c r="W44" s="1185"/>
      <c r="X44" s="1185"/>
      <c r="Y44" s="1185"/>
      <c r="Z44" s="278"/>
      <c r="AA44" s="278"/>
      <c r="AB44" s="278"/>
      <c r="AC44" s="278"/>
      <c r="AD44" s="278"/>
      <c r="AE44" s="1185"/>
      <c r="AF44" s="1185"/>
      <c r="AG44" s="1185"/>
      <c r="AH44" s="1185"/>
      <c r="AI44" s="1185"/>
      <c r="AK44" s="1204"/>
    </row>
    <row r="45" spans="1:37">
      <c r="A45" s="1200" t="s">
        <v>351</v>
      </c>
      <c r="F45" s="1201"/>
      <c r="I45" s="1201"/>
      <c r="N45" s="1185"/>
      <c r="O45" s="1185"/>
      <c r="P45" s="1186"/>
      <c r="Q45" s="1186"/>
      <c r="R45" s="1186"/>
      <c r="S45" s="1185"/>
      <c r="T45" s="1185"/>
      <c r="U45" s="1185"/>
      <c r="V45" s="1185"/>
      <c r="W45" s="1185"/>
      <c r="X45" s="1185"/>
      <c r="Y45" s="1185"/>
      <c r="Z45" s="278"/>
      <c r="AA45" s="278"/>
      <c r="AB45" s="278"/>
      <c r="AC45" s="278"/>
      <c r="AD45" s="278"/>
      <c r="AE45" s="1185"/>
      <c r="AF45" s="1185"/>
      <c r="AG45" s="1185"/>
      <c r="AH45" s="1185"/>
      <c r="AI45" s="1185"/>
      <c r="AK45" s="1204"/>
    </row>
    <row r="46" spans="1:37">
      <c r="A46" s="1184" t="s">
        <v>366</v>
      </c>
      <c r="F46" s="1201"/>
      <c r="I46" s="1201"/>
      <c r="N46" s="278"/>
      <c r="O46" s="278"/>
      <c r="P46" s="278"/>
      <c r="Q46" s="278"/>
      <c r="R46" s="278"/>
      <c r="S46" s="278"/>
      <c r="T46" s="278"/>
      <c r="U46" s="278"/>
      <c r="V46" s="278"/>
      <c r="W46" s="278"/>
      <c r="X46" s="278"/>
      <c r="Y46" s="278"/>
      <c r="Z46" s="278"/>
      <c r="AA46" s="278"/>
      <c r="AB46" s="278"/>
      <c r="AC46" s="278"/>
      <c r="AD46" s="278"/>
      <c r="AE46" s="1185"/>
      <c r="AF46" s="1185"/>
      <c r="AG46" s="1185"/>
      <c r="AH46" s="1185"/>
      <c r="AI46" s="1185"/>
      <c r="AK46" s="1204"/>
    </row>
    <row r="47" spans="1:37">
      <c r="F47" s="1201"/>
      <c r="I47" s="1201"/>
      <c r="N47" s="278"/>
      <c r="O47" s="278"/>
      <c r="P47" s="278"/>
      <c r="Q47" s="278"/>
      <c r="R47" s="278"/>
      <c r="S47" s="278"/>
      <c r="T47" s="278"/>
      <c r="U47" s="278"/>
      <c r="V47" s="278"/>
      <c r="W47" s="278"/>
      <c r="X47" s="278"/>
      <c r="Y47" s="278"/>
      <c r="Z47" s="278"/>
      <c r="AA47" s="278"/>
      <c r="AB47" s="278"/>
      <c r="AC47" s="278"/>
      <c r="AD47" s="278"/>
      <c r="AE47" s="1185"/>
      <c r="AF47" s="1185"/>
      <c r="AG47" s="1185"/>
      <c r="AH47" s="1185"/>
      <c r="AI47" s="1185"/>
      <c r="AK47" s="1204"/>
    </row>
    <row r="48" spans="1:37">
      <c r="A48" s="1184" t="s">
        <v>353</v>
      </c>
      <c r="F48" s="1201"/>
      <c r="I48" s="1201"/>
      <c r="N48" s="278"/>
      <c r="O48" s="278"/>
      <c r="P48" s="278"/>
      <c r="Q48" s="1186"/>
      <c r="R48" s="1186"/>
      <c r="S48" s="279"/>
      <c r="T48" s="279"/>
      <c r="U48" s="280"/>
      <c r="V48" s="280"/>
      <c r="W48" s="280"/>
      <c r="X48" s="280"/>
      <c r="Y48" s="281"/>
      <c r="Z48" s="282"/>
      <c r="AA48" s="278"/>
      <c r="AB48" s="278"/>
      <c r="AC48" s="278"/>
      <c r="AD48" s="278"/>
      <c r="AE48" s="1185"/>
      <c r="AF48" s="1185"/>
      <c r="AG48" s="1185"/>
      <c r="AH48" s="1185"/>
      <c r="AI48" s="1185"/>
      <c r="AK48" s="1204"/>
    </row>
    <row r="49" spans="1:37">
      <c r="A49" s="1184" t="s">
        <v>354</v>
      </c>
      <c r="C49" s="1202">
        <f>14482+60</f>
        <v>14542</v>
      </c>
      <c r="D49" s="265">
        <v>10.119999999999999</v>
      </c>
      <c r="F49" s="1203">
        <f>ROUND(D49*$C49,0)</f>
        <v>147165</v>
      </c>
      <c r="G49" s="265">
        <v>10.63</v>
      </c>
      <c r="I49" s="1203">
        <f t="shared" ref="I49:I51" si="4">G49*C49</f>
        <v>154581.46000000002</v>
      </c>
      <c r="J49" s="265">
        <f>$J$15</f>
        <v>10.63</v>
      </c>
      <c r="L49" s="1203">
        <f t="shared" ref="L49:L51" si="5">(J49*$C49)</f>
        <v>154581.46000000002</v>
      </c>
      <c r="N49" s="1185"/>
      <c r="O49" s="1185"/>
      <c r="P49" s="281"/>
      <c r="Q49" s="1186"/>
      <c r="R49" s="1186"/>
      <c r="S49" s="278"/>
      <c r="T49" s="278"/>
      <c r="U49" s="283"/>
      <c r="V49" s="283"/>
      <c r="W49" s="283"/>
      <c r="X49" s="283"/>
      <c r="Y49" s="284"/>
      <c r="Z49" s="278"/>
      <c r="AA49" s="281"/>
      <c r="AB49" s="281"/>
      <c r="AC49" s="285"/>
      <c r="AD49" s="281"/>
      <c r="AE49" s="1185"/>
      <c r="AF49" s="1185"/>
      <c r="AG49" s="1185"/>
      <c r="AH49" s="1185"/>
      <c r="AI49" s="1185"/>
      <c r="AK49" s="1204"/>
    </row>
    <row r="50" spans="1:37">
      <c r="A50" s="1184" t="s">
        <v>355</v>
      </c>
      <c r="C50" s="1202">
        <f>3634+252</f>
        <v>3886</v>
      </c>
      <c r="D50" s="265">
        <v>19.25</v>
      </c>
      <c r="F50" s="1203">
        <f>ROUND(D50*$C50,0)</f>
        <v>74806</v>
      </c>
      <c r="G50" s="265">
        <v>20.23</v>
      </c>
      <c r="I50" s="1203">
        <f t="shared" si="4"/>
        <v>78613.78</v>
      </c>
      <c r="J50" s="265">
        <f>$J$16</f>
        <v>20.23</v>
      </c>
      <c r="L50" s="1203">
        <f t="shared" si="5"/>
        <v>78613.78</v>
      </c>
      <c r="N50" s="1185"/>
      <c r="O50" s="1185"/>
      <c r="P50" s="281"/>
      <c r="Q50" s="1186"/>
      <c r="R50" s="1186"/>
      <c r="S50" s="1185"/>
      <c r="T50" s="1185"/>
      <c r="U50" s="287"/>
      <c r="V50" s="287"/>
      <c r="W50" s="287"/>
      <c r="X50" s="287"/>
      <c r="Y50" s="278"/>
      <c r="Z50" s="278"/>
      <c r="AA50" s="281"/>
      <c r="AB50" s="281"/>
      <c r="AC50" s="285"/>
      <c r="AD50" s="281"/>
      <c r="AE50" s="1185"/>
      <c r="AF50" s="1185"/>
      <c r="AG50" s="1185"/>
      <c r="AH50" s="1185"/>
      <c r="AI50" s="1185"/>
      <c r="AK50" s="1204"/>
    </row>
    <row r="51" spans="1:37">
      <c r="A51" s="1184" t="s">
        <v>356</v>
      </c>
      <c r="C51" s="1202">
        <f>502+48</f>
        <v>550</v>
      </c>
      <c r="D51" s="265">
        <v>39.840000000000003</v>
      </c>
      <c r="F51" s="1203">
        <f>ROUND(D51*$C51,0)</f>
        <v>21912</v>
      </c>
      <c r="G51" s="265">
        <v>41.86</v>
      </c>
      <c r="I51" s="1203">
        <f t="shared" si="4"/>
        <v>23023</v>
      </c>
      <c r="J51" s="265">
        <f>$J$17</f>
        <v>41.86</v>
      </c>
      <c r="L51" s="1203">
        <f t="shared" si="5"/>
        <v>23023</v>
      </c>
      <c r="N51" s="1185"/>
      <c r="O51" s="1185"/>
      <c r="P51" s="281"/>
      <c r="Q51" s="1186"/>
      <c r="R51" s="1186"/>
      <c r="S51" s="1185"/>
      <c r="T51" s="1185"/>
      <c r="U51" s="287"/>
      <c r="V51" s="287"/>
      <c r="W51" s="287"/>
      <c r="X51" s="287"/>
      <c r="Y51" s="278"/>
      <c r="Z51" s="278"/>
      <c r="AA51" s="281"/>
      <c r="AB51" s="281"/>
      <c r="AC51" s="285"/>
      <c r="AD51" s="281"/>
      <c r="AE51" s="1185"/>
      <c r="AF51" s="1185"/>
      <c r="AG51" s="1185"/>
      <c r="AH51" s="1185"/>
      <c r="AI51" s="1185"/>
      <c r="AK51" s="1204"/>
    </row>
    <row r="52" spans="1:37">
      <c r="A52" s="1184" t="s">
        <v>357</v>
      </c>
      <c r="C52" s="1202"/>
      <c r="D52" s="265"/>
      <c r="F52" s="1203"/>
      <c r="G52" s="265"/>
      <c r="I52" s="1203"/>
      <c r="J52" s="265"/>
      <c r="L52" s="1203"/>
      <c r="N52" s="1185"/>
      <c r="O52" s="1185"/>
      <c r="P52" s="281"/>
      <c r="Q52" s="1186"/>
      <c r="R52" s="1186"/>
      <c r="S52" s="1185"/>
      <c r="T52" s="1185"/>
      <c r="U52" s="287"/>
      <c r="V52" s="287"/>
      <c r="W52" s="287"/>
      <c r="X52" s="287"/>
      <c r="Y52" s="278"/>
      <c r="Z52" s="278"/>
      <c r="AA52" s="281"/>
      <c r="AB52" s="281"/>
      <c r="AC52" s="285"/>
      <c r="AD52" s="281"/>
      <c r="AE52" s="1185"/>
      <c r="AF52" s="1185"/>
      <c r="AG52" s="1185"/>
      <c r="AH52" s="1185"/>
      <c r="AI52" s="1185"/>
      <c r="AK52" s="1204"/>
    </row>
    <row r="53" spans="1:37">
      <c r="A53" s="1184" t="s">
        <v>358</v>
      </c>
      <c r="C53" s="1202">
        <f>1092+12</f>
        <v>1104</v>
      </c>
      <c r="D53" s="265">
        <v>11.51</v>
      </c>
      <c r="F53" s="1203">
        <f>ROUND(D53*$C53,0)</f>
        <v>12707</v>
      </c>
      <c r="G53" s="265">
        <v>12.09</v>
      </c>
      <c r="I53" s="1203">
        <f t="shared" ref="I53:I56" si="6">G53*C53</f>
        <v>13347.36</v>
      </c>
      <c r="J53" s="265">
        <f>$J$19</f>
        <v>12.09</v>
      </c>
      <c r="L53" s="1203">
        <f t="shared" ref="L53:L56" si="7">(J53*$C53)</f>
        <v>13347.36</v>
      </c>
      <c r="N53" s="1185"/>
      <c r="O53" s="1185"/>
      <c r="P53" s="281"/>
      <c r="Q53" s="1186"/>
      <c r="R53" s="1186"/>
      <c r="S53" s="1185"/>
      <c r="T53" s="1185"/>
      <c r="U53" s="287"/>
      <c r="V53" s="287"/>
      <c r="W53" s="287"/>
      <c r="X53" s="287"/>
      <c r="Y53" s="278"/>
      <c r="Z53" s="278"/>
      <c r="AA53" s="281"/>
      <c r="AB53" s="281"/>
      <c r="AC53" s="285"/>
      <c r="AD53" s="281"/>
      <c r="AE53" s="1185"/>
      <c r="AF53" s="1185"/>
      <c r="AG53" s="1185"/>
      <c r="AH53" s="1185"/>
      <c r="AI53" s="1185"/>
      <c r="AK53" s="1204"/>
    </row>
    <row r="54" spans="1:37">
      <c r="A54" s="1184" t="s">
        <v>359</v>
      </c>
      <c r="C54" s="1202">
        <f>1452</f>
        <v>1452</v>
      </c>
      <c r="D54" s="265">
        <v>16.900000000000002</v>
      </c>
      <c r="F54" s="1203">
        <f>ROUND(D54*$C54,0)</f>
        <v>24539</v>
      </c>
      <c r="G54" s="265">
        <v>17.760000000000002</v>
      </c>
      <c r="I54" s="1203">
        <f t="shared" si="6"/>
        <v>25787.520000000004</v>
      </c>
      <c r="J54" s="265">
        <f>$J$20</f>
        <v>17.760000000000002</v>
      </c>
      <c r="L54" s="1203">
        <f t="shared" si="7"/>
        <v>25787.520000000004</v>
      </c>
      <c r="N54" s="1185"/>
      <c r="O54" s="1185"/>
      <c r="P54" s="281"/>
      <c r="Q54" s="1186"/>
      <c r="R54" s="1186"/>
      <c r="S54" s="1185"/>
      <c r="T54" s="1185"/>
      <c r="U54" s="287"/>
      <c r="V54" s="287"/>
      <c r="W54" s="287"/>
      <c r="X54" s="287"/>
      <c r="Y54" s="278"/>
      <c r="Z54" s="278"/>
      <c r="AA54" s="281"/>
      <c r="AB54" s="281"/>
      <c r="AC54" s="285"/>
      <c r="AD54" s="281"/>
      <c r="AE54" s="1185"/>
      <c r="AF54" s="1185"/>
      <c r="AG54" s="1185"/>
      <c r="AH54" s="1185"/>
      <c r="AI54" s="1185"/>
      <c r="AK54" s="1204"/>
    </row>
    <row r="55" spans="1:37">
      <c r="A55" s="1184" t="s">
        <v>360</v>
      </c>
      <c r="C55" s="1202">
        <f>420</f>
        <v>420</v>
      </c>
      <c r="D55" s="265">
        <v>27.26</v>
      </c>
      <c r="F55" s="1203">
        <f>ROUND(D55*$C55,0)</f>
        <v>11449</v>
      </c>
      <c r="G55" s="265">
        <v>28.64</v>
      </c>
      <c r="I55" s="1203">
        <f t="shared" si="6"/>
        <v>12028.800000000001</v>
      </c>
      <c r="J55" s="265">
        <f>$J$21</f>
        <v>28.64</v>
      </c>
      <c r="L55" s="1203">
        <f t="shared" si="7"/>
        <v>12028.800000000001</v>
      </c>
      <c r="N55" s="1185"/>
      <c r="O55" s="1185"/>
      <c r="P55" s="281"/>
      <c r="Q55" s="1186"/>
      <c r="R55" s="1186"/>
      <c r="S55" s="1185"/>
      <c r="T55" s="1185"/>
      <c r="U55" s="287"/>
      <c r="V55" s="287"/>
      <c r="W55" s="287"/>
      <c r="X55" s="287"/>
      <c r="Y55" s="278"/>
      <c r="Z55" s="278"/>
      <c r="AA55" s="281"/>
      <c r="AB55" s="281"/>
      <c r="AC55" s="285"/>
      <c r="AD55" s="281"/>
      <c r="AE55" s="1185"/>
      <c r="AF55" s="1185"/>
      <c r="AG55" s="1185"/>
      <c r="AH55" s="1185"/>
      <c r="AI55" s="1185"/>
      <c r="AK55" s="1204"/>
    </row>
    <row r="56" spans="1:37">
      <c r="A56" s="1184" t="s">
        <v>361</v>
      </c>
      <c r="C56" s="1202">
        <f>60+252+60</f>
        <v>372</v>
      </c>
      <c r="D56" s="265">
        <v>1</v>
      </c>
      <c r="E56" s="1185"/>
      <c r="F56" s="1210">
        <f>ROUND(D56*$C56,0)</f>
        <v>372</v>
      </c>
      <c r="G56" s="265">
        <v>1</v>
      </c>
      <c r="H56" s="1185"/>
      <c r="I56" s="1203">
        <f t="shared" si="6"/>
        <v>372</v>
      </c>
      <c r="J56" s="269">
        <f>$J$22</f>
        <v>1</v>
      </c>
      <c r="K56" s="1185"/>
      <c r="L56" s="1203">
        <f t="shared" si="7"/>
        <v>372</v>
      </c>
      <c r="N56" s="278"/>
      <c r="O56" s="278"/>
      <c r="P56" s="281"/>
      <c r="Q56" s="1186"/>
      <c r="R56" s="1186"/>
      <c r="S56" s="1185"/>
      <c r="T56" s="1185"/>
      <c r="U56" s="278"/>
      <c r="V56" s="278"/>
      <c r="W56" s="278"/>
      <c r="X56" s="278"/>
      <c r="Y56" s="278"/>
      <c r="Z56" s="278"/>
      <c r="AA56" s="281"/>
      <c r="AB56" s="281"/>
      <c r="AC56" s="281"/>
      <c r="AD56" s="281"/>
      <c r="AE56" s="1185"/>
      <c r="AF56" s="1185"/>
      <c r="AG56" s="1185"/>
      <c r="AH56" s="1185"/>
      <c r="AI56" s="1185"/>
      <c r="AK56" s="1204"/>
    </row>
    <row r="57" spans="1:37">
      <c r="A57" s="1184" t="s">
        <v>362</v>
      </c>
      <c r="C57" s="1202">
        <f>10262+6261</f>
        <v>16523</v>
      </c>
      <c r="D57" s="265"/>
      <c r="F57" s="1203"/>
      <c r="G57" s="265"/>
      <c r="I57" s="1203"/>
      <c r="J57" s="265"/>
      <c r="L57" s="1203"/>
      <c r="N57" s="278"/>
      <c r="O57" s="278"/>
      <c r="P57" s="278"/>
      <c r="Q57" s="278"/>
      <c r="R57" s="278"/>
      <c r="S57" s="278"/>
      <c r="T57" s="278"/>
      <c r="U57" s="278"/>
      <c r="V57" s="278"/>
      <c r="W57" s="278"/>
      <c r="X57" s="278"/>
      <c r="Y57" s="278"/>
      <c r="Z57" s="278"/>
      <c r="AA57" s="288"/>
      <c r="AB57" s="278"/>
      <c r="AC57" s="278"/>
      <c r="AD57" s="278"/>
      <c r="AE57" s="1185"/>
      <c r="AF57" s="1185"/>
      <c r="AG57" s="1185"/>
      <c r="AH57" s="1185"/>
      <c r="AI57" s="1185"/>
      <c r="AK57" s="1204"/>
    </row>
    <row r="58" spans="1:37">
      <c r="A58" s="1184" t="s">
        <v>35</v>
      </c>
      <c r="C58" s="1202">
        <f>1643386+590032</f>
        <v>2233418</v>
      </c>
      <c r="D58" s="269"/>
      <c r="E58" s="1185"/>
      <c r="F58" s="1210">
        <f>SUM(F49:F56)</f>
        <v>292950</v>
      </c>
      <c r="G58" s="269"/>
      <c r="H58" s="1185"/>
      <c r="I58" s="1210">
        <f>SUM(I49:I56)</f>
        <v>307753.92000000004</v>
      </c>
      <c r="J58" s="269"/>
      <c r="K58" s="1185"/>
      <c r="L58" s="1210">
        <f>SUM(L49:L56)</f>
        <v>307753.92000000004</v>
      </c>
      <c r="N58" s="278"/>
      <c r="O58" s="278"/>
      <c r="P58" s="287"/>
      <c r="Q58" s="278"/>
      <c r="R58" s="278"/>
      <c r="S58" s="1185"/>
      <c r="T58" s="1185"/>
      <c r="U58" s="1185"/>
      <c r="V58" s="1185"/>
      <c r="W58" s="1185"/>
      <c r="X58" s="1185"/>
      <c r="Y58" s="1185"/>
      <c r="Z58" s="278"/>
      <c r="AA58" s="278"/>
      <c r="AB58" s="278"/>
      <c r="AC58" s="278"/>
      <c r="AD58" s="278"/>
      <c r="AE58" s="1185"/>
      <c r="AF58" s="1185"/>
      <c r="AG58" s="1185"/>
      <c r="AH58" s="1185"/>
      <c r="AI58" s="1185"/>
      <c r="AK58" s="1204"/>
    </row>
    <row r="59" spans="1:37">
      <c r="A59" s="1184" t="s">
        <v>363</v>
      </c>
      <c r="C59" s="1202">
        <f>'[97]Table 2'!H52</f>
        <v>-5758.1427362705708</v>
      </c>
      <c r="D59" s="269"/>
      <c r="E59" s="1185"/>
      <c r="F59" s="1210" t="e">
        <f>#REF!</f>
        <v>#REF!</v>
      </c>
      <c r="G59" s="269"/>
      <c r="H59" s="1185"/>
      <c r="I59" s="1210">
        <f>'[97]Table 3'!E52</f>
        <v>-910.80858255895487</v>
      </c>
      <c r="J59" s="269"/>
      <c r="K59" s="1185"/>
      <c r="L59" s="1210">
        <f>I59</f>
        <v>-910.80858255895487</v>
      </c>
      <c r="N59" s="444"/>
      <c r="O59" s="444"/>
      <c r="P59" s="287"/>
      <c r="Q59" s="278"/>
      <c r="R59" s="278"/>
      <c r="S59" s="278"/>
      <c r="T59" s="278"/>
      <c r="U59" s="283"/>
      <c r="V59" s="283"/>
      <c r="W59" s="283"/>
      <c r="X59" s="283"/>
      <c r="Y59" s="281"/>
      <c r="Z59" s="278"/>
      <c r="AA59" s="278"/>
      <c r="AB59" s="278"/>
      <c r="AC59" s="278"/>
      <c r="AD59" s="278"/>
      <c r="AE59" s="1185"/>
      <c r="AF59" s="1185"/>
      <c r="AG59" s="1185"/>
      <c r="AH59" s="1185"/>
      <c r="AI59" s="1185"/>
      <c r="AK59" s="1204"/>
    </row>
    <row r="60" spans="1:37" ht="16.5" thickBot="1">
      <c r="A60" s="1184" t="s">
        <v>9</v>
      </c>
      <c r="C60" s="1212">
        <f>C58+C59</f>
        <v>2227659.8572637294</v>
      </c>
      <c r="D60" s="1213"/>
      <c r="E60" s="1213"/>
      <c r="F60" s="1213" t="e">
        <f>F58+F59</f>
        <v>#REF!</v>
      </c>
      <c r="G60" s="1214"/>
      <c r="H60" s="1213"/>
      <c r="I60" s="1213">
        <f>I58+I59</f>
        <v>306843.11141744111</v>
      </c>
      <c r="J60" s="1214"/>
      <c r="K60" s="1213"/>
      <c r="L60" s="1213">
        <f>L58+L59</f>
        <v>306843.11141744111</v>
      </c>
      <c r="N60" s="411"/>
      <c r="O60" s="411"/>
      <c r="P60" s="470"/>
      <c r="Q60" s="278"/>
      <c r="R60" s="278"/>
      <c r="S60" s="278"/>
      <c r="T60" s="278"/>
      <c r="U60" s="278"/>
      <c r="V60" s="278"/>
      <c r="W60" s="278"/>
      <c r="X60" s="278"/>
      <c r="Y60" s="278"/>
      <c r="Z60" s="278"/>
      <c r="AA60" s="278"/>
      <c r="AB60" s="278"/>
      <c r="AC60" s="278"/>
      <c r="AD60" s="278"/>
      <c r="AE60" s="1185"/>
      <c r="AF60" s="1185"/>
      <c r="AG60" s="1185"/>
      <c r="AH60" s="1185"/>
      <c r="AI60" s="1185"/>
      <c r="AK60" s="1204"/>
    </row>
    <row r="61" spans="1:37" ht="16.5" thickTop="1">
      <c r="C61" s="1217"/>
      <c r="D61" s="1217"/>
      <c r="E61" s="1217"/>
      <c r="F61" s="1201"/>
      <c r="G61" s="1218" t="s">
        <v>31</v>
      </c>
      <c r="H61" s="1217"/>
      <c r="I61" s="1201"/>
      <c r="J61" s="1219" t="s">
        <v>31</v>
      </c>
      <c r="K61" s="1217"/>
      <c r="L61" s="1203" t="s">
        <v>31</v>
      </c>
      <c r="N61" s="1185"/>
      <c r="O61" s="1185"/>
      <c r="P61" s="1186"/>
      <c r="Q61" s="1186"/>
      <c r="R61" s="1186"/>
      <c r="S61" s="1185"/>
      <c r="T61" s="1185"/>
      <c r="U61" s="1185"/>
      <c r="V61" s="1185"/>
      <c r="W61" s="1185"/>
      <c r="X61" s="1185"/>
      <c r="Y61" s="1185"/>
      <c r="Z61" s="1185"/>
      <c r="AA61" s="1185"/>
      <c r="AB61" s="1185"/>
      <c r="AC61" s="1185"/>
      <c r="AD61" s="1185"/>
      <c r="AE61" s="1185"/>
      <c r="AF61" s="1185"/>
      <c r="AG61" s="1185"/>
      <c r="AH61" s="1185"/>
      <c r="AI61" s="1185"/>
      <c r="AK61" s="1204"/>
    </row>
    <row r="62" spans="1:37">
      <c r="A62" s="1200" t="s">
        <v>351</v>
      </c>
      <c r="F62" s="1201"/>
      <c r="I62" s="1201"/>
      <c r="N62" s="1185"/>
      <c r="O62" s="1185"/>
      <c r="P62" s="1186"/>
      <c r="Q62" s="1186"/>
      <c r="R62" s="1186"/>
      <c r="S62" s="1185"/>
      <c r="T62" s="1185"/>
      <c r="U62" s="1185"/>
      <c r="V62" s="1185"/>
      <c r="W62" s="1185"/>
      <c r="X62" s="1185"/>
      <c r="Y62" s="1185"/>
      <c r="Z62" s="1185"/>
      <c r="AA62" s="1185"/>
      <c r="AB62" s="1185"/>
      <c r="AC62" s="1185"/>
      <c r="AD62" s="1185"/>
      <c r="AE62" s="1185"/>
      <c r="AF62" s="1185"/>
      <c r="AG62" s="1185"/>
      <c r="AH62" s="1185"/>
      <c r="AI62" s="1185"/>
      <c r="AK62" s="1204"/>
    </row>
    <row r="63" spans="1:37">
      <c r="A63" s="1184" t="s">
        <v>367</v>
      </c>
      <c r="F63" s="1201"/>
      <c r="I63" s="1201"/>
      <c r="N63" s="278"/>
      <c r="O63" s="278"/>
      <c r="P63" s="278"/>
      <c r="Q63" s="278"/>
      <c r="R63" s="278"/>
      <c r="S63" s="278"/>
      <c r="T63" s="278"/>
      <c r="U63" s="278"/>
      <c r="V63" s="278"/>
      <c r="W63" s="278"/>
      <c r="X63" s="278"/>
      <c r="Y63" s="278"/>
      <c r="Z63" s="278"/>
      <c r="AA63" s="278"/>
      <c r="AB63" s="278"/>
      <c r="AC63" s="278"/>
      <c r="AD63" s="278"/>
      <c r="AE63" s="1185"/>
      <c r="AF63" s="1185"/>
      <c r="AG63" s="1185"/>
      <c r="AH63" s="1185"/>
      <c r="AI63" s="1185"/>
      <c r="AK63" s="1204"/>
    </row>
    <row r="64" spans="1:37">
      <c r="F64" s="1201"/>
      <c r="I64" s="1201"/>
      <c r="N64" s="278"/>
      <c r="O64" s="278"/>
      <c r="P64" s="278"/>
      <c r="Q64" s="278"/>
      <c r="R64" s="278"/>
      <c r="S64" s="278"/>
      <c r="T64" s="278"/>
      <c r="U64" s="278"/>
      <c r="V64" s="278"/>
      <c r="W64" s="278"/>
      <c r="X64" s="278"/>
      <c r="Y64" s="278"/>
      <c r="Z64" s="278"/>
      <c r="AA64" s="278"/>
      <c r="AB64" s="278"/>
      <c r="AC64" s="278"/>
      <c r="AD64" s="278"/>
      <c r="AE64" s="1185"/>
      <c r="AF64" s="1185"/>
      <c r="AG64" s="1185"/>
      <c r="AH64" s="1185"/>
      <c r="AI64" s="1185"/>
      <c r="AK64" s="1204"/>
    </row>
    <row r="65" spans="1:37">
      <c r="A65" s="1184" t="s">
        <v>353</v>
      </c>
      <c r="F65" s="1201"/>
      <c r="I65" s="1201"/>
      <c r="N65" s="278"/>
      <c r="O65" s="278"/>
      <c r="P65" s="278"/>
      <c r="Q65" s="1186"/>
      <c r="R65" s="1186"/>
      <c r="S65" s="279"/>
      <c r="T65" s="279"/>
      <c r="U65" s="280"/>
      <c r="V65" s="280"/>
      <c r="W65" s="280"/>
      <c r="X65" s="280"/>
      <c r="Y65" s="281"/>
      <c r="Z65" s="282"/>
      <c r="AA65" s="278"/>
      <c r="AB65" s="278"/>
      <c r="AC65" s="278"/>
      <c r="AD65" s="278"/>
      <c r="AE65" s="1185"/>
      <c r="AF65" s="1185"/>
      <c r="AG65" s="1185"/>
      <c r="AH65" s="1185"/>
      <c r="AI65" s="1185"/>
      <c r="AK65" s="1204"/>
    </row>
    <row r="66" spans="1:37">
      <c r="A66" s="1184" t="s">
        <v>354</v>
      </c>
      <c r="C66" s="1202">
        <f>504+132</f>
        <v>636</v>
      </c>
      <c r="D66" s="265">
        <v>10.119999999999999</v>
      </c>
      <c r="F66" s="1203">
        <f>ROUND(D66*$C66,0)</f>
        <v>6436</v>
      </c>
      <c r="G66" s="265">
        <v>10.63</v>
      </c>
      <c r="I66" s="1203">
        <f t="shared" ref="I66:I68" si="8">G66*C66</f>
        <v>6760.68</v>
      </c>
      <c r="J66" s="265">
        <f>$J$15</f>
        <v>10.63</v>
      </c>
      <c r="L66" s="1203">
        <f t="shared" ref="L66:L68" si="9">(J66*$C66)</f>
        <v>6760.68</v>
      </c>
      <c r="N66" s="1185"/>
      <c r="O66" s="1185"/>
      <c r="P66" s="281"/>
      <c r="Q66" s="1186"/>
      <c r="R66" s="1186"/>
      <c r="S66" s="278"/>
      <c r="T66" s="278"/>
      <c r="U66" s="283"/>
      <c r="V66" s="283"/>
      <c r="W66" s="283"/>
      <c r="X66" s="283"/>
      <c r="Y66" s="284"/>
      <c r="Z66" s="278"/>
      <c r="AA66" s="281"/>
      <c r="AB66" s="281"/>
      <c r="AC66" s="285"/>
      <c r="AD66" s="281"/>
      <c r="AE66" s="1185"/>
      <c r="AF66" s="1185"/>
      <c r="AG66" s="1185"/>
      <c r="AH66" s="1185"/>
      <c r="AI66" s="1185"/>
      <c r="AK66" s="1204"/>
    </row>
    <row r="67" spans="1:37">
      <c r="A67" s="1184" t="s">
        <v>355</v>
      </c>
      <c r="C67" s="1202">
        <f>410</f>
        <v>410</v>
      </c>
      <c r="D67" s="265">
        <v>19.25</v>
      </c>
      <c r="F67" s="1203">
        <f>ROUND(D67*$C67,0)</f>
        <v>7893</v>
      </c>
      <c r="G67" s="265">
        <v>20.23</v>
      </c>
      <c r="I67" s="1203">
        <f t="shared" si="8"/>
        <v>8294.2999999999993</v>
      </c>
      <c r="J67" s="265">
        <f>$J$16</f>
        <v>20.23</v>
      </c>
      <c r="L67" s="1203">
        <f t="shared" si="9"/>
        <v>8294.2999999999993</v>
      </c>
      <c r="N67" s="1185"/>
      <c r="O67" s="1185"/>
      <c r="P67" s="281"/>
      <c r="Q67" s="1186"/>
      <c r="R67" s="1186"/>
      <c r="S67" s="1185"/>
      <c r="T67" s="1185"/>
      <c r="U67" s="287"/>
      <c r="V67" s="287"/>
      <c r="W67" s="287"/>
      <c r="X67" s="287"/>
      <c r="Y67" s="278"/>
      <c r="Z67" s="278"/>
      <c r="AA67" s="281"/>
      <c r="AB67" s="281"/>
      <c r="AC67" s="285"/>
      <c r="AD67" s="281"/>
      <c r="AE67" s="1185"/>
      <c r="AF67" s="1185"/>
      <c r="AG67" s="1185"/>
      <c r="AH67" s="1185"/>
      <c r="AI67" s="1185"/>
      <c r="AK67" s="1204"/>
    </row>
    <row r="68" spans="1:37">
      <c r="A68" s="1184" t="s">
        <v>356</v>
      </c>
      <c r="C68" s="1202">
        <f>48</f>
        <v>48</v>
      </c>
      <c r="D68" s="265">
        <v>39.840000000000003</v>
      </c>
      <c r="F68" s="1203">
        <f>ROUND(D68*$C68,0)</f>
        <v>1912</v>
      </c>
      <c r="G68" s="265">
        <v>41.86</v>
      </c>
      <c r="I68" s="1203">
        <f t="shared" si="8"/>
        <v>2009.28</v>
      </c>
      <c r="J68" s="265">
        <f>$J$17</f>
        <v>41.86</v>
      </c>
      <c r="L68" s="1203">
        <f t="shared" si="9"/>
        <v>2009.28</v>
      </c>
      <c r="N68" s="1185"/>
      <c r="O68" s="1185"/>
      <c r="P68" s="281"/>
      <c r="Q68" s="1186"/>
      <c r="R68" s="1186"/>
      <c r="S68" s="1185"/>
      <c r="T68" s="1185"/>
      <c r="U68" s="287"/>
      <c r="V68" s="287"/>
      <c r="W68" s="287"/>
      <c r="X68" s="287"/>
      <c r="Y68" s="278"/>
      <c r="Z68" s="278"/>
      <c r="AA68" s="281"/>
      <c r="AB68" s="281"/>
      <c r="AC68" s="285"/>
      <c r="AD68" s="281"/>
      <c r="AE68" s="1185"/>
      <c r="AF68" s="1185"/>
      <c r="AG68" s="1185"/>
      <c r="AH68" s="1185"/>
      <c r="AI68" s="1185"/>
      <c r="AK68" s="1204"/>
    </row>
    <row r="69" spans="1:37">
      <c r="A69" s="1184" t="s">
        <v>357</v>
      </c>
      <c r="C69" s="1202"/>
      <c r="D69" s="265"/>
      <c r="F69" s="1203"/>
      <c r="G69" s="265"/>
      <c r="I69" s="1203"/>
      <c r="J69" s="265"/>
      <c r="L69" s="1203"/>
      <c r="N69" s="1185"/>
      <c r="O69" s="1185"/>
      <c r="P69" s="281"/>
      <c r="Q69" s="1186"/>
      <c r="R69" s="1186"/>
      <c r="S69" s="1185"/>
      <c r="T69" s="1185"/>
      <c r="U69" s="287"/>
      <c r="V69" s="287"/>
      <c r="W69" s="287"/>
      <c r="X69" s="287"/>
      <c r="Y69" s="278"/>
      <c r="Z69" s="278"/>
      <c r="AA69" s="281"/>
      <c r="AB69" s="281"/>
      <c r="AC69" s="285"/>
      <c r="AD69" s="281"/>
      <c r="AE69" s="1185"/>
      <c r="AF69" s="1185"/>
      <c r="AG69" s="1185"/>
      <c r="AH69" s="1185"/>
      <c r="AI69" s="1185"/>
      <c r="AK69" s="1204"/>
    </row>
    <row r="70" spans="1:37">
      <c r="A70" s="1184" t="s">
        <v>358</v>
      </c>
      <c r="C70" s="1202">
        <f>12</f>
        <v>12</v>
      </c>
      <c r="D70" s="265">
        <v>11.51</v>
      </c>
      <c r="F70" s="1203">
        <f>ROUND(D70*$C70,0)</f>
        <v>138</v>
      </c>
      <c r="G70" s="265">
        <v>12.09</v>
      </c>
      <c r="I70" s="1203">
        <f t="shared" ref="I70:I73" si="10">G70*C70</f>
        <v>145.07999999999998</v>
      </c>
      <c r="J70" s="265">
        <f>$J$19</f>
        <v>12.09</v>
      </c>
      <c r="L70" s="1203">
        <f t="shared" ref="L70:L73" si="11">(J70*$C70)</f>
        <v>145.07999999999998</v>
      </c>
      <c r="N70" s="1185"/>
      <c r="O70" s="1185"/>
      <c r="P70" s="281"/>
      <c r="Q70" s="1186"/>
      <c r="R70" s="1186"/>
      <c r="S70" s="1185"/>
      <c r="T70" s="1185"/>
      <c r="U70" s="287"/>
      <c r="V70" s="287"/>
      <c r="W70" s="287"/>
      <c r="X70" s="287"/>
      <c r="Y70" s="278"/>
      <c r="Z70" s="278"/>
      <c r="AA70" s="281"/>
      <c r="AB70" s="281"/>
      <c r="AC70" s="285"/>
      <c r="AD70" s="281"/>
      <c r="AE70" s="1185"/>
      <c r="AF70" s="1185"/>
      <c r="AG70" s="1185"/>
      <c r="AH70" s="1185"/>
      <c r="AI70" s="1185"/>
      <c r="AK70" s="1204"/>
    </row>
    <row r="71" spans="1:37">
      <c r="A71" s="1184" t="s">
        <v>359</v>
      </c>
      <c r="C71" s="1202">
        <f>96</f>
        <v>96</v>
      </c>
      <c r="D71" s="265">
        <v>16.900000000000002</v>
      </c>
      <c r="F71" s="1203">
        <f>ROUND(D71*$C71,0)</f>
        <v>1622</v>
      </c>
      <c r="G71" s="265">
        <v>17.760000000000002</v>
      </c>
      <c r="I71" s="1203">
        <f t="shared" si="10"/>
        <v>1704.96</v>
      </c>
      <c r="J71" s="265">
        <f>$J$20</f>
        <v>17.760000000000002</v>
      </c>
      <c r="L71" s="1203">
        <f t="shared" si="11"/>
        <v>1704.96</v>
      </c>
      <c r="N71" s="1185"/>
      <c r="O71" s="1185"/>
      <c r="P71" s="281"/>
      <c r="Q71" s="1186"/>
      <c r="R71" s="1186"/>
      <c r="S71" s="1185"/>
      <c r="T71" s="1185"/>
      <c r="U71" s="287"/>
      <c r="V71" s="287"/>
      <c r="W71" s="287"/>
      <c r="X71" s="287"/>
      <c r="Y71" s="278"/>
      <c r="Z71" s="278"/>
      <c r="AA71" s="281"/>
      <c r="AB71" s="281"/>
      <c r="AC71" s="285"/>
      <c r="AD71" s="281"/>
      <c r="AE71" s="1185"/>
      <c r="AF71" s="1185"/>
      <c r="AG71" s="1185"/>
      <c r="AH71" s="1185"/>
      <c r="AI71" s="1185"/>
      <c r="AK71" s="1204"/>
    </row>
    <row r="72" spans="1:37">
      <c r="A72" s="1184" t="s">
        <v>360</v>
      </c>
      <c r="C72" s="1202">
        <f>24</f>
        <v>24</v>
      </c>
      <c r="D72" s="265">
        <v>27.26</v>
      </c>
      <c r="F72" s="1203">
        <f>ROUND(D72*$C72,0)</f>
        <v>654</v>
      </c>
      <c r="G72" s="265">
        <v>28.64</v>
      </c>
      <c r="I72" s="1203">
        <f t="shared" si="10"/>
        <v>687.36</v>
      </c>
      <c r="J72" s="265">
        <f>$J$21</f>
        <v>28.64</v>
      </c>
      <c r="L72" s="1203">
        <f t="shared" si="11"/>
        <v>687.36</v>
      </c>
      <c r="N72" s="1185"/>
      <c r="O72" s="1185"/>
      <c r="P72" s="281"/>
      <c r="Q72" s="1186"/>
      <c r="R72" s="1186"/>
      <c r="S72" s="1185"/>
      <c r="T72" s="1185"/>
      <c r="U72" s="287"/>
      <c r="V72" s="287"/>
      <c r="W72" s="287"/>
      <c r="X72" s="287"/>
      <c r="Y72" s="278"/>
      <c r="Z72" s="278"/>
      <c r="AA72" s="281"/>
      <c r="AB72" s="281"/>
      <c r="AC72" s="285"/>
      <c r="AD72" s="281"/>
      <c r="AE72" s="1185"/>
      <c r="AF72" s="1185"/>
      <c r="AG72" s="1185"/>
      <c r="AH72" s="1185"/>
      <c r="AI72" s="1185"/>
      <c r="AK72" s="1204"/>
    </row>
    <row r="73" spans="1:37">
      <c r="A73" s="1184" t="s">
        <v>361</v>
      </c>
      <c r="C73" s="1202">
        <f>132</f>
        <v>132</v>
      </c>
      <c r="D73" s="265">
        <v>1</v>
      </c>
      <c r="E73" s="1185"/>
      <c r="F73" s="1210">
        <f>ROUND(D73*$C73,0)</f>
        <v>132</v>
      </c>
      <c r="G73" s="265">
        <v>1</v>
      </c>
      <c r="H73" s="1185"/>
      <c r="I73" s="1203">
        <f t="shared" si="10"/>
        <v>132</v>
      </c>
      <c r="J73" s="269">
        <f>$J$22</f>
        <v>1</v>
      </c>
      <c r="K73" s="1185"/>
      <c r="L73" s="1203">
        <f t="shared" si="11"/>
        <v>132</v>
      </c>
      <c r="N73" s="278"/>
      <c r="O73" s="278"/>
      <c r="P73" s="281"/>
      <c r="Q73" s="1186"/>
      <c r="R73" s="1186"/>
      <c r="S73" s="1185"/>
      <c r="T73" s="1185"/>
      <c r="U73" s="278"/>
      <c r="V73" s="278"/>
      <c r="W73" s="278"/>
      <c r="X73" s="278"/>
      <c r="Y73" s="278"/>
      <c r="Z73" s="278"/>
      <c r="AA73" s="281"/>
      <c r="AB73" s="281"/>
      <c r="AC73" s="281"/>
      <c r="AD73" s="281"/>
      <c r="AE73" s="1185"/>
      <c r="AF73" s="1185"/>
      <c r="AG73" s="1185"/>
      <c r="AH73" s="1185"/>
      <c r="AI73" s="1185"/>
      <c r="AK73" s="1204"/>
    </row>
    <row r="74" spans="1:37">
      <c r="A74" s="1184" t="s">
        <v>362</v>
      </c>
      <c r="C74" s="1202">
        <f>505+192</f>
        <v>697</v>
      </c>
      <c r="D74" s="265"/>
      <c r="F74" s="1203"/>
      <c r="G74" s="265"/>
      <c r="I74" s="1203"/>
      <c r="J74" s="265"/>
      <c r="L74" s="1203"/>
      <c r="N74" s="278"/>
      <c r="O74" s="278"/>
      <c r="P74" s="278"/>
      <c r="Q74" s="278"/>
      <c r="R74" s="278"/>
      <c r="S74" s="278"/>
      <c r="T74" s="278"/>
      <c r="U74" s="278"/>
      <c r="V74" s="278"/>
      <c r="W74" s="278"/>
      <c r="X74" s="278"/>
      <c r="Y74" s="278"/>
      <c r="Z74" s="278"/>
      <c r="AA74" s="288"/>
      <c r="AB74" s="278"/>
      <c r="AC74" s="278"/>
      <c r="AD74" s="278"/>
      <c r="AE74" s="1185"/>
      <c r="AF74" s="1185"/>
      <c r="AG74" s="1185"/>
      <c r="AH74" s="1185"/>
      <c r="AI74" s="1185"/>
      <c r="AK74" s="1204"/>
    </row>
    <row r="75" spans="1:37">
      <c r="A75" s="1184" t="s">
        <v>35</v>
      </c>
      <c r="C75" s="1202">
        <f>120664+29388</f>
        <v>150052</v>
      </c>
      <c r="D75" s="269"/>
      <c r="E75" s="1185"/>
      <c r="F75" s="1210">
        <f>SUM(F66:F73)</f>
        <v>18787</v>
      </c>
      <c r="G75" s="269"/>
      <c r="H75" s="1185"/>
      <c r="I75" s="1210">
        <f>SUM(I66:I73)</f>
        <v>19733.66</v>
      </c>
      <c r="J75" s="269"/>
      <c r="K75" s="1185"/>
      <c r="L75" s="1210">
        <f>SUM(L66:L73)</f>
        <v>19733.66</v>
      </c>
      <c r="N75" s="278"/>
      <c r="O75" s="278"/>
      <c r="P75" s="287"/>
      <c r="Q75" s="278"/>
      <c r="R75" s="278"/>
      <c r="S75" s="1185"/>
      <c r="T75" s="1185"/>
      <c r="U75" s="1185"/>
      <c r="V75" s="1185"/>
      <c r="W75" s="1185"/>
      <c r="X75" s="1185"/>
      <c r="Y75" s="1185"/>
      <c r="Z75" s="278"/>
      <c r="AA75" s="278"/>
      <c r="AB75" s="278"/>
      <c r="AC75" s="278"/>
      <c r="AD75" s="278"/>
      <c r="AE75" s="1185"/>
      <c r="AF75" s="1185"/>
      <c r="AG75" s="1185"/>
      <c r="AH75" s="1185"/>
      <c r="AI75" s="1185"/>
      <c r="AK75" s="1204"/>
    </row>
    <row r="76" spans="1:37">
      <c r="A76" s="1184" t="s">
        <v>363</v>
      </c>
      <c r="C76" s="1202">
        <f>'[97]Table 2'!H84</f>
        <v>2058.6634390073832</v>
      </c>
      <c r="D76" s="269"/>
      <c r="E76" s="1185"/>
      <c r="F76" s="1210" t="e">
        <f>#REF!</f>
        <v>#REF!</v>
      </c>
      <c r="G76" s="269"/>
      <c r="H76" s="1185"/>
      <c r="I76" s="1210">
        <f>'[97]Table 3'!E84</f>
        <v>323.44323111926008</v>
      </c>
      <c r="J76" s="269"/>
      <c r="K76" s="1185"/>
      <c r="L76" s="1210">
        <f>I76</f>
        <v>323.44323111926008</v>
      </c>
      <c r="N76" s="444"/>
      <c r="O76" s="444"/>
      <c r="P76" s="287"/>
      <c r="Q76" s="278"/>
      <c r="R76" s="278"/>
      <c r="S76" s="278"/>
      <c r="T76" s="278"/>
      <c r="U76" s="283"/>
      <c r="V76" s="283"/>
      <c r="W76" s="283"/>
      <c r="X76" s="283"/>
      <c r="Y76" s="281"/>
      <c r="Z76" s="278"/>
      <c r="AA76" s="278"/>
      <c r="AB76" s="278"/>
      <c r="AC76" s="278"/>
      <c r="AD76" s="278"/>
      <c r="AE76" s="1185"/>
      <c r="AF76" s="1185"/>
      <c r="AG76" s="1185"/>
      <c r="AH76" s="1185"/>
      <c r="AI76" s="1185"/>
      <c r="AK76" s="1204"/>
    </row>
    <row r="77" spans="1:37" ht="16.5" thickBot="1">
      <c r="A77" s="1184" t="s">
        <v>9</v>
      </c>
      <c r="C77" s="1212">
        <f>C75+C76</f>
        <v>152110.66343900739</v>
      </c>
      <c r="D77" s="1213"/>
      <c r="E77" s="1213"/>
      <c r="F77" s="1213" t="e">
        <f>F75+F76</f>
        <v>#REF!</v>
      </c>
      <c r="G77" s="1214"/>
      <c r="H77" s="1213"/>
      <c r="I77" s="1213">
        <f>I75+I76</f>
        <v>20057.103231119261</v>
      </c>
      <c r="J77" s="1214"/>
      <c r="K77" s="1213"/>
      <c r="L77" s="1213">
        <f>L75+L76</f>
        <v>20057.103231119261</v>
      </c>
      <c r="N77" s="411"/>
      <c r="O77" s="411"/>
      <c r="P77" s="470"/>
      <c r="Q77" s="278"/>
      <c r="R77" s="278"/>
      <c r="S77" s="278"/>
      <c r="T77" s="278"/>
      <c r="U77" s="278"/>
      <c r="V77" s="278"/>
      <c r="W77" s="278"/>
      <c r="X77" s="278"/>
      <c r="Y77" s="278"/>
      <c r="Z77" s="278"/>
      <c r="AA77" s="278"/>
      <c r="AB77" s="278"/>
      <c r="AC77" s="278"/>
      <c r="AD77" s="278"/>
      <c r="AE77" s="1185"/>
      <c r="AF77" s="1185"/>
      <c r="AG77" s="1185"/>
      <c r="AH77" s="1185"/>
      <c r="AI77" s="1185"/>
      <c r="AK77" s="1204"/>
    </row>
    <row r="78" spans="1:37" ht="16.5" thickTop="1">
      <c r="C78" s="1217"/>
      <c r="D78" s="1217"/>
      <c r="E78" s="1217"/>
      <c r="F78" s="1201"/>
      <c r="G78" s="1218" t="s">
        <v>31</v>
      </c>
      <c r="H78" s="1217"/>
      <c r="I78" s="1201"/>
      <c r="J78" s="1219" t="s">
        <v>31</v>
      </c>
      <c r="K78" s="1217"/>
      <c r="L78" s="1203" t="s">
        <v>31</v>
      </c>
      <c r="N78" s="1185"/>
      <c r="O78" s="1185"/>
      <c r="P78" s="1186"/>
      <c r="Q78" s="1186"/>
      <c r="R78" s="1186"/>
      <c r="S78" s="1185"/>
      <c r="T78" s="1185"/>
      <c r="U78" s="1185"/>
      <c r="V78" s="1185"/>
      <c r="W78" s="1185"/>
      <c r="X78" s="1185"/>
      <c r="Y78" s="1185"/>
      <c r="Z78" s="1185"/>
      <c r="AA78" s="1185"/>
      <c r="AB78" s="1185"/>
      <c r="AC78" s="1185"/>
      <c r="AD78" s="1185"/>
      <c r="AE78" s="1185"/>
      <c r="AF78" s="1185"/>
      <c r="AG78" s="1185"/>
      <c r="AH78" s="1185"/>
      <c r="AI78" s="1185"/>
      <c r="AK78" s="1204"/>
    </row>
    <row r="79" spans="1:37">
      <c r="A79" s="1224" t="s">
        <v>368</v>
      </c>
      <c r="B79" s="1219"/>
      <c r="C79" s="1219"/>
      <c r="D79" s="1225"/>
      <c r="E79" s="1225"/>
      <c r="F79" s="1219"/>
      <c r="G79" s="1225"/>
      <c r="H79" s="1219"/>
      <c r="I79" s="1219"/>
      <c r="J79" s="1225"/>
      <c r="K79" s="1219"/>
      <c r="L79" s="1219"/>
      <c r="N79" s="1185"/>
      <c r="O79" s="1185"/>
      <c r="P79" s="1186"/>
      <c r="Q79" s="1186"/>
      <c r="R79" s="1186"/>
      <c r="S79" s="1185"/>
      <c r="T79" s="1185"/>
      <c r="U79" s="1185"/>
      <c r="V79" s="1185"/>
      <c r="W79" s="1185"/>
      <c r="X79" s="1185"/>
      <c r="Y79" s="1185"/>
      <c r="Z79" s="1185"/>
      <c r="AA79" s="1185"/>
      <c r="AB79" s="1185"/>
      <c r="AC79" s="1185"/>
      <c r="AD79" s="1185"/>
      <c r="AE79" s="1185"/>
      <c r="AF79" s="1185"/>
      <c r="AG79" s="1185"/>
      <c r="AH79" s="1185"/>
      <c r="AI79" s="1185"/>
      <c r="AK79" s="1204"/>
    </row>
    <row r="80" spans="1:37">
      <c r="A80" s="1219" t="s">
        <v>369</v>
      </c>
      <c r="B80" s="1219"/>
      <c r="C80" s="1219"/>
      <c r="D80" s="1225"/>
      <c r="E80" s="1225"/>
      <c r="F80" s="1219"/>
      <c r="G80" s="1225"/>
      <c r="H80" s="1219"/>
      <c r="I80" s="1219"/>
      <c r="J80" s="1225"/>
      <c r="K80" s="1219"/>
      <c r="L80" s="1219"/>
      <c r="N80" s="1226"/>
      <c r="O80" s="1226"/>
      <c r="P80" s="1186"/>
      <c r="Q80" s="1186"/>
      <c r="R80" s="1186"/>
      <c r="S80" s="1185"/>
      <c r="T80" s="1185"/>
      <c r="U80" s="1185"/>
      <c r="V80" s="1185"/>
      <c r="W80" s="1185"/>
      <c r="X80" s="1185"/>
      <c r="Y80" s="1185"/>
      <c r="Z80" s="1185"/>
      <c r="AA80" s="1185"/>
      <c r="AB80" s="1185"/>
      <c r="AC80" s="1185"/>
      <c r="AD80" s="1185"/>
      <c r="AE80" s="1185"/>
      <c r="AF80" s="1185"/>
      <c r="AG80" s="1185"/>
      <c r="AH80" s="1185"/>
      <c r="AI80" s="1185"/>
      <c r="AK80" s="1204"/>
    </row>
    <row r="81" spans="1:37">
      <c r="A81" s="1227"/>
      <c r="B81" s="1219"/>
      <c r="C81" s="1219"/>
      <c r="D81" s="1225"/>
      <c r="E81" s="1225"/>
      <c r="F81" s="1219"/>
      <c r="G81" s="1225"/>
      <c r="H81" s="1219"/>
      <c r="I81" s="1219"/>
      <c r="J81" s="1225"/>
      <c r="K81" s="1219"/>
      <c r="L81" s="1219"/>
      <c r="N81" s="1185"/>
      <c r="O81" s="1185"/>
      <c r="P81" s="1186"/>
      <c r="Q81" s="1228" t="s">
        <v>643</v>
      </c>
      <c r="R81" s="1228"/>
      <c r="S81" s="1185"/>
      <c r="T81" s="1185"/>
      <c r="U81" s="1185"/>
      <c r="V81" s="1185"/>
      <c r="W81" s="1185"/>
      <c r="X81" s="1185"/>
      <c r="Y81" s="1185"/>
      <c r="Z81" s="1185"/>
      <c r="AA81" s="1185"/>
      <c r="AB81" s="1185"/>
      <c r="AC81" s="1185"/>
      <c r="AD81" s="1185"/>
      <c r="AE81" s="1185"/>
      <c r="AF81" s="1185"/>
      <c r="AG81" s="1185"/>
      <c r="AH81" s="1185"/>
      <c r="AI81" s="1185"/>
      <c r="AK81" s="1204"/>
    </row>
    <row r="82" spans="1:37">
      <c r="A82" s="1219" t="s">
        <v>370</v>
      </c>
      <c r="B82" s="1219"/>
      <c r="C82" s="1225">
        <f t="shared" ref="C82:C89" si="12">C95+C108+C121+C134</f>
        <v>1251563.7333333334</v>
      </c>
      <c r="D82" s="1229">
        <v>6</v>
      </c>
      <c r="E82" s="1219"/>
      <c r="F82" s="1203">
        <f t="shared" ref="F82:F89" si="13">F95+F108+F121+F134</f>
        <v>7509382</v>
      </c>
      <c r="G82" s="1229">
        <v>6</v>
      </c>
      <c r="H82" s="1219"/>
      <c r="I82" s="1203">
        <f t="shared" ref="I82:I89" si="14">I95+I108+I121+I134</f>
        <v>7509382</v>
      </c>
      <c r="J82" s="1229">
        <v>7.75</v>
      </c>
      <c r="K82" s="1219"/>
      <c r="L82" s="1203">
        <f t="shared" ref="L82:L88" si="15">L95+L108+L121+L134</f>
        <v>9699619</v>
      </c>
      <c r="N82" s="1204" t="e">
        <f>J82*#REF!</f>
        <v>#REF!</v>
      </c>
      <c r="R82" s="55">
        <f t="shared" ref="R82:R87" si="16">(J82-G82)/G82</f>
        <v>0.29166666666666669</v>
      </c>
      <c r="S82" s="736" t="s">
        <v>31</v>
      </c>
      <c r="AD82" s="1185"/>
      <c r="AE82" s="1185"/>
      <c r="AF82" s="1185"/>
      <c r="AG82" s="1185"/>
      <c r="AH82" s="1185"/>
      <c r="AI82" s="1185"/>
      <c r="AK82" s="1204"/>
    </row>
    <row r="83" spans="1:37">
      <c r="A83" s="1219" t="s">
        <v>373</v>
      </c>
      <c r="B83" s="1219"/>
      <c r="C83" s="1225">
        <f t="shared" si="12"/>
        <v>686427244.71970081</v>
      </c>
      <c r="D83" s="1230">
        <v>5.1929999999999996</v>
      </c>
      <c r="E83" s="1219" t="s">
        <v>374</v>
      </c>
      <c r="F83" s="1203">
        <f t="shared" si="13"/>
        <v>35646167</v>
      </c>
      <c r="G83" s="1230">
        <v>5.9489999999999998</v>
      </c>
      <c r="H83" s="1219" t="s">
        <v>374</v>
      </c>
      <c r="I83" s="1203">
        <f t="shared" si="14"/>
        <v>40835558</v>
      </c>
      <c r="J83" s="1230">
        <f>ROUND(G83*(1+$Q$91),2)-0.001</f>
        <v>6.1989999999999998</v>
      </c>
      <c r="K83" s="1219" t="s">
        <v>374</v>
      </c>
      <c r="L83" s="1203">
        <f t="shared" si="15"/>
        <v>42551625</v>
      </c>
      <c r="N83" s="1204" t="e">
        <f>(J83/100)*#REF!</f>
        <v>#REF!</v>
      </c>
      <c r="P83" s="1231" t="s">
        <v>31</v>
      </c>
      <c r="Q83" s="55">
        <f>(J83-G83)/G83</f>
        <v>4.2023869557908891E-2</v>
      </c>
      <c r="R83" s="55">
        <f t="shared" si="16"/>
        <v>4.2023869557908891E-2</v>
      </c>
      <c r="S83" s="801">
        <f>(G84-G83)/G83</f>
        <v>0.58278702302908036</v>
      </c>
      <c r="T83" s="801"/>
      <c r="U83" s="801"/>
      <c r="W83" s="1204"/>
      <c r="X83" s="1204"/>
      <c r="Y83" s="801"/>
      <c r="AD83" s="1185"/>
      <c r="AE83" s="1185"/>
      <c r="AF83" s="1185"/>
      <c r="AG83" s="1185"/>
      <c r="AH83" s="1185"/>
      <c r="AI83" s="1185"/>
      <c r="AK83" s="1204"/>
    </row>
    <row r="84" spans="1:37">
      <c r="A84" s="1219" t="s">
        <v>375</v>
      </c>
      <c r="B84" s="1219"/>
      <c r="C84" s="1225">
        <f t="shared" si="12"/>
        <v>915483323.92636359</v>
      </c>
      <c r="D84" s="1230">
        <v>8.1929999999999996</v>
      </c>
      <c r="E84" s="1219" t="s">
        <v>374</v>
      </c>
      <c r="F84" s="1203">
        <f t="shared" si="13"/>
        <v>75005549</v>
      </c>
      <c r="G84" s="1230">
        <v>9.4159999999999986</v>
      </c>
      <c r="H84" s="1219" t="s">
        <v>374</v>
      </c>
      <c r="I84" s="1203">
        <f t="shared" si="14"/>
        <v>86201910</v>
      </c>
      <c r="J84" s="1230">
        <f>ROUND(G84*(1+$Q$91),2)-0.003</f>
        <v>9.8170000000000002</v>
      </c>
      <c r="K84" s="1219" t="s">
        <v>374</v>
      </c>
      <c r="L84" s="1203">
        <f t="shared" si="15"/>
        <v>89872999</v>
      </c>
      <c r="N84" s="1204" t="e">
        <f>(J84/100)*#REF!</f>
        <v>#REF!</v>
      </c>
      <c r="O84" s="1232"/>
      <c r="Q84" s="55">
        <f>(J84-G84)/G84</f>
        <v>4.2587085811385053E-2</v>
      </c>
      <c r="R84" s="55">
        <f t="shared" si="16"/>
        <v>4.2587085811385053E-2</v>
      </c>
      <c r="S84" s="801">
        <f>(J84-J83)/J83</f>
        <v>0.58364252298757868</v>
      </c>
      <c r="T84" s="801">
        <v>0.72450000000000003</v>
      </c>
      <c r="U84" s="801"/>
      <c r="W84" s="977"/>
      <c r="X84" s="977"/>
      <c r="Y84" s="801"/>
      <c r="AD84" s="1185"/>
      <c r="AE84" s="1185"/>
      <c r="AF84" s="1185"/>
      <c r="AG84" s="1185"/>
      <c r="AH84" s="1185"/>
      <c r="AI84" s="1185"/>
      <c r="AK84" s="1204"/>
    </row>
    <row r="85" spans="1:37">
      <c r="A85" s="1219" t="s">
        <v>377</v>
      </c>
      <c r="B85" s="1219"/>
      <c r="C85" s="1225">
        <f t="shared" si="12"/>
        <v>5557</v>
      </c>
      <c r="D85" s="1229">
        <v>1.6</v>
      </c>
      <c r="E85" s="1219"/>
      <c r="F85" s="1203">
        <f t="shared" si="13"/>
        <v>8891</v>
      </c>
      <c r="G85" s="1229">
        <v>1.65</v>
      </c>
      <c r="H85" s="1219"/>
      <c r="I85" s="1203">
        <f t="shared" si="14"/>
        <v>9169</v>
      </c>
      <c r="J85" s="1229">
        <v>1.65</v>
      </c>
      <c r="K85" s="1219"/>
      <c r="L85" s="1203">
        <f t="shared" si="15"/>
        <v>9169</v>
      </c>
      <c r="N85" s="1204" t="e">
        <f>J85*#REF!</f>
        <v>#REF!</v>
      </c>
      <c r="Q85" s="55" t="s">
        <v>31</v>
      </c>
      <c r="R85" s="55">
        <f t="shared" si="16"/>
        <v>0</v>
      </c>
      <c r="S85" s="1190"/>
      <c r="W85" s="1204"/>
      <c r="X85" s="1204"/>
      <c r="Y85" s="801"/>
      <c r="AD85" s="1185"/>
      <c r="AE85" s="1185"/>
      <c r="AF85" s="1185"/>
      <c r="AG85" s="1185"/>
      <c r="AH85" s="1185"/>
      <c r="AI85" s="1185"/>
      <c r="AK85" s="1204"/>
    </row>
    <row r="86" spans="1:37">
      <c r="A86" s="1233" t="s">
        <v>379</v>
      </c>
      <c r="B86" s="1233"/>
      <c r="C86" s="1225">
        <f t="shared" si="12"/>
        <v>752</v>
      </c>
      <c r="D86" s="1229">
        <v>3.1</v>
      </c>
      <c r="E86" s="1233"/>
      <c r="F86" s="1203">
        <f t="shared" si="13"/>
        <v>2331</v>
      </c>
      <c r="G86" s="1229">
        <v>3.2</v>
      </c>
      <c r="H86" s="1233"/>
      <c r="I86" s="1203">
        <f t="shared" si="14"/>
        <v>2407</v>
      </c>
      <c r="J86" s="1229">
        <f>ROUND(J85/G85*G86,2)</f>
        <v>3.2</v>
      </c>
      <c r="K86" s="1233"/>
      <c r="L86" s="1203">
        <f t="shared" si="15"/>
        <v>2407</v>
      </c>
      <c r="N86" s="1204" t="e">
        <f>J86*#REF!</f>
        <v>#REF!</v>
      </c>
      <c r="R86" s="55">
        <f t="shared" si="16"/>
        <v>0</v>
      </c>
      <c r="S86" s="1190"/>
      <c r="AD86" s="1185"/>
      <c r="AE86" s="1185"/>
      <c r="AF86" s="1185"/>
      <c r="AG86" s="1185"/>
      <c r="AH86" s="1185"/>
      <c r="AI86" s="1185"/>
      <c r="AK86" s="1204"/>
    </row>
    <row r="87" spans="1:37">
      <c r="A87" s="1233" t="s">
        <v>380</v>
      </c>
      <c r="B87" s="1233"/>
      <c r="C87" s="1225">
        <f t="shared" si="12"/>
        <v>68</v>
      </c>
      <c r="D87" s="1234">
        <v>-1.6</v>
      </c>
      <c r="E87" s="1233"/>
      <c r="F87" s="1203">
        <f t="shared" si="13"/>
        <v>-109</v>
      </c>
      <c r="G87" s="1234">
        <v>-1.65</v>
      </c>
      <c r="H87" s="1233"/>
      <c r="I87" s="1203">
        <f t="shared" si="14"/>
        <v>-112</v>
      </c>
      <c r="J87" s="1234">
        <f>-J85</f>
        <v>-1.65</v>
      </c>
      <c r="K87" s="1233"/>
      <c r="L87" s="1203">
        <f t="shared" si="15"/>
        <v>-112</v>
      </c>
      <c r="N87" s="1204" t="e">
        <f>J87*#REF!</f>
        <v>#REF!</v>
      </c>
      <c r="R87" s="55">
        <f t="shared" si="16"/>
        <v>0</v>
      </c>
      <c r="S87" s="1190"/>
      <c r="AD87" s="1185"/>
      <c r="AE87" s="1185"/>
      <c r="AF87" s="1185"/>
      <c r="AG87" s="1185"/>
      <c r="AH87" s="1185"/>
      <c r="AI87" s="1185"/>
      <c r="AK87" s="1204"/>
    </row>
    <row r="88" spans="1:37">
      <c r="A88" s="1219" t="s">
        <v>381</v>
      </c>
      <c r="B88" s="1235"/>
      <c r="C88" s="1225">
        <f t="shared" si="12"/>
        <v>1601910568.6460643</v>
      </c>
      <c r="D88" s="1236"/>
      <c r="E88" s="1203"/>
      <c r="F88" s="1203">
        <f t="shared" si="13"/>
        <v>118172211</v>
      </c>
      <c r="G88" s="1237"/>
      <c r="H88" s="1203"/>
      <c r="I88" s="1203">
        <f t="shared" si="14"/>
        <v>134558314</v>
      </c>
      <c r="J88" s="1203"/>
      <c r="K88" s="1203"/>
      <c r="L88" s="1203">
        <f t="shared" si="15"/>
        <v>142135707</v>
      </c>
      <c r="N88" s="1204" t="e">
        <f>SUM(N82:N87)</f>
        <v>#REF!</v>
      </c>
      <c r="P88" s="55"/>
      <c r="AD88" s="1185"/>
      <c r="AE88" s="1185"/>
      <c r="AF88" s="1185"/>
      <c r="AG88" s="1185"/>
      <c r="AH88" s="1185"/>
      <c r="AI88" s="1185"/>
      <c r="AK88" s="1204"/>
    </row>
    <row r="89" spans="1:37">
      <c r="A89" s="1219" t="s">
        <v>363</v>
      </c>
      <c r="B89" s="307"/>
      <c r="C89" s="1238">
        <f t="shared" si="12"/>
        <v>-102779.74541931186</v>
      </c>
      <c r="D89" s="1218"/>
      <c r="E89" s="1218"/>
      <c r="F89" s="1239" t="e">
        <f t="shared" si="13"/>
        <v>#REF!</v>
      </c>
      <c r="G89" s="1218"/>
      <c r="H89" s="1218"/>
      <c r="I89" s="1238">
        <f t="shared" si="14"/>
        <v>12973.103934514973</v>
      </c>
      <c r="J89" s="1218"/>
      <c r="K89" s="1218"/>
      <c r="L89" s="1239">
        <f>I89</f>
        <v>12973.103934514973</v>
      </c>
      <c r="AD89" s="1185"/>
      <c r="AE89" s="1185"/>
      <c r="AF89" s="1185"/>
      <c r="AG89" s="1185"/>
      <c r="AH89" s="1185"/>
      <c r="AI89" s="1185"/>
      <c r="AK89" s="1204"/>
    </row>
    <row r="90" spans="1:37" ht="16.5" thickBot="1">
      <c r="A90" s="1219" t="s">
        <v>382</v>
      </c>
      <c r="B90" s="1219"/>
      <c r="C90" s="1240">
        <f>C88+C89</f>
        <v>1601807788.900645</v>
      </c>
      <c r="D90" s="1214"/>
      <c r="E90" s="1214"/>
      <c r="F90" s="1214" t="e">
        <f>F88+F89</f>
        <v>#REF!</v>
      </c>
      <c r="G90" s="1214"/>
      <c r="H90" s="1214"/>
      <c r="I90" s="1214">
        <f>I88+I89</f>
        <v>134571287.10393453</v>
      </c>
      <c r="J90" s="1214"/>
      <c r="K90" s="1214"/>
      <c r="L90" s="1214">
        <f>L88+L89</f>
        <v>142148680.10393453</v>
      </c>
      <c r="O90" s="1215" t="s">
        <v>364</v>
      </c>
      <c r="P90" s="1241">
        <f>'[97]Rate Spread targets'!Q16*1000</f>
        <v>142148908.09270567</v>
      </c>
      <c r="Q90" s="818">
        <f>'[97]Rate Spread targets'!V16</f>
        <v>5.6309344674088324E-2</v>
      </c>
      <c r="R90" s="777"/>
      <c r="S90" s="1005" t="s">
        <v>31</v>
      </c>
      <c r="T90" s="1005" t="s">
        <v>31</v>
      </c>
      <c r="AD90" s="1185"/>
      <c r="AE90" s="1185"/>
      <c r="AF90" s="1185"/>
      <c r="AG90" s="1185"/>
      <c r="AH90" s="1185"/>
      <c r="AI90" s="1185"/>
      <c r="AK90" s="1204"/>
    </row>
    <row r="91" spans="1:37" ht="16.5" thickTop="1">
      <c r="A91" s="1219"/>
      <c r="B91" s="1242"/>
      <c r="C91" s="1225"/>
      <c r="D91" s="1225"/>
      <c r="E91" s="1225"/>
      <c r="G91" s="1219" t="s">
        <v>31</v>
      </c>
      <c r="H91" s="1219"/>
      <c r="J91" s="1219" t="s">
        <v>31</v>
      </c>
      <c r="K91" s="1219"/>
      <c r="L91" s="1203" t="s">
        <v>31</v>
      </c>
      <c r="O91" s="1220" t="s">
        <v>263</v>
      </c>
      <c r="P91" s="812">
        <f>P90-L90</f>
        <v>227.98877114057541</v>
      </c>
      <c r="Q91" s="1222">
        <v>4.24E-2</v>
      </c>
      <c r="R91" s="941"/>
      <c r="AD91" s="1185"/>
      <c r="AE91" s="1185"/>
      <c r="AF91" s="1185"/>
      <c r="AG91" s="1185"/>
      <c r="AH91" s="1185"/>
      <c r="AI91" s="1185"/>
      <c r="AK91" s="1204"/>
    </row>
    <row r="92" spans="1:37">
      <c r="A92" s="1224" t="s">
        <v>383</v>
      </c>
      <c r="B92" s="1219"/>
      <c r="C92" s="1219" t="s">
        <v>31</v>
      </c>
      <c r="D92" s="1225" t="s">
        <v>31</v>
      </c>
      <c r="E92" s="1225"/>
      <c r="F92" s="1219"/>
      <c r="G92" s="1225"/>
      <c r="H92" s="1219"/>
      <c r="I92" s="1219"/>
      <c r="J92" s="1225"/>
      <c r="K92" s="1219"/>
      <c r="L92" s="1219"/>
      <c r="N92" s="1185"/>
      <c r="O92" s="1185"/>
      <c r="P92" s="826"/>
      <c r="Q92" s="1186"/>
      <c r="R92" s="1186"/>
      <c r="S92" s="1185"/>
      <c r="T92" s="1185"/>
      <c r="U92" s="1185"/>
      <c r="V92" s="1185"/>
      <c r="W92" s="1185"/>
      <c r="X92" s="1185"/>
      <c r="Y92" s="1185"/>
      <c r="Z92" s="1185"/>
      <c r="AA92" s="1185"/>
      <c r="AB92" s="1185"/>
      <c r="AC92" s="1185"/>
      <c r="AD92" s="1185"/>
      <c r="AE92" s="1185"/>
      <c r="AF92" s="1185"/>
      <c r="AG92" s="1185"/>
      <c r="AH92" s="1185"/>
      <c r="AI92" s="1185"/>
      <c r="AK92" s="1204"/>
    </row>
    <row r="93" spans="1:37">
      <c r="A93" s="1219" t="s">
        <v>330</v>
      </c>
      <c r="B93" s="1219"/>
      <c r="C93" s="1219" t="s">
        <v>31</v>
      </c>
      <c r="D93" s="1225"/>
      <c r="E93" s="1225"/>
      <c r="F93" s="1219"/>
      <c r="G93" s="1225"/>
      <c r="H93" s="1219"/>
      <c r="I93" s="1219"/>
      <c r="J93" s="1225"/>
      <c r="K93" s="1219"/>
      <c r="L93" s="1219"/>
      <c r="N93" s="1185"/>
      <c r="O93" s="1185"/>
      <c r="P93" s="1186"/>
      <c r="Q93" s="1186"/>
      <c r="R93" s="1186"/>
      <c r="S93" s="1185"/>
      <c r="T93" s="1185"/>
      <c r="U93" s="1185"/>
      <c r="V93" s="1185"/>
      <c r="W93" s="1185"/>
      <c r="X93" s="1185"/>
      <c r="Y93" s="1185"/>
      <c r="Z93" s="1185"/>
      <c r="AA93" s="1185"/>
      <c r="AB93" s="1185"/>
      <c r="AC93" s="1185"/>
      <c r="AD93" s="1185"/>
      <c r="AE93" s="1185"/>
      <c r="AF93" s="1185"/>
      <c r="AG93" s="1185"/>
      <c r="AH93" s="1185"/>
      <c r="AI93" s="1185"/>
      <c r="AK93" s="1204"/>
    </row>
    <row r="94" spans="1:37">
      <c r="A94" s="1243" t="s">
        <v>693</v>
      </c>
      <c r="B94" s="1219"/>
      <c r="C94" s="1219"/>
      <c r="D94" s="1225"/>
      <c r="E94" s="1225"/>
      <c r="F94" s="1219"/>
      <c r="G94" s="1225"/>
      <c r="H94" s="1219"/>
      <c r="I94" s="1219"/>
      <c r="J94" s="1225"/>
      <c r="K94" s="1219"/>
      <c r="L94" s="1219"/>
      <c r="N94" s="1185"/>
      <c r="O94" s="1185"/>
      <c r="P94" s="1186"/>
      <c r="Q94" s="1186"/>
      <c r="R94" s="1186"/>
      <c r="S94" s="1065" t="s">
        <v>31</v>
      </c>
      <c r="T94" s="1185"/>
      <c r="U94" s="1185"/>
      <c r="V94" s="1185"/>
      <c r="W94" s="1185"/>
      <c r="X94" s="1185"/>
      <c r="Y94" s="1185"/>
      <c r="Z94" s="1185"/>
      <c r="AA94" s="1185"/>
      <c r="AB94" s="1185"/>
      <c r="AC94" s="1185"/>
      <c r="AD94" s="1185"/>
      <c r="AE94" s="1185"/>
      <c r="AF94" s="1185"/>
      <c r="AG94" s="1185"/>
      <c r="AH94" s="1185"/>
      <c r="AI94" s="1185"/>
      <c r="AK94" s="1204"/>
    </row>
    <row r="95" spans="1:37">
      <c r="A95" s="1219" t="s">
        <v>370</v>
      </c>
      <c r="B95" s="1219"/>
      <c r="C95" s="1225">
        <f>1200879+2+446</f>
        <v>1201327</v>
      </c>
      <c r="D95" s="1229">
        <v>6</v>
      </c>
      <c r="E95" s="1219"/>
      <c r="F95" s="1203">
        <f>ROUND(D95*$C95,0)</f>
        <v>7207962</v>
      </c>
      <c r="G95" s="1229">
        <v>6</v>
      </c>
      <c r="H95" s="1219"/>
      <c r="I95" s="1203">
        <f>ROUND(G95*C95,0)</f>
        <v>7207962</v>
      </c>
      <c r="J95" s="1229">
        <f>$J$82</f>
        <v>7.75</v>
      </c>
      <c r="K95" s="1219"/>
      <c r="L95" s="1203">
        <f>ROUND(J95*$C95,0)</f>
        <v>9310284</v>
      </c>
      <c r="N95" s="1185"/>
      <c r="O95" s="1185"/>
      <c r="P95" s="1186"/>
      <c r="Q95" s="1186"/>
      <c r="R95" s="1186"/>
      <c r="S95" s="1185"/>
      <c r="T95" s="1185"/>
      <c r="U95" s="1185"/>
      <c r="V95" s="1185"/>
      <c r="W95" s="1185"/>
      <c r="X95" s="1185"/>
      <c r="Y95" s="1185"/>
      <c r="Z95" s="1185"/>
      <c r="AA95" s="1185"/>
      <c r="AB95" s="1185"/>
      <c r="AC95" s="1185"/>
      <c r="AD95" s="1185"/>
      <c r="AE95" s="1185"/>
      <c r="AF95" s="1185"/>
      <c r="AG95" s="1185"/>
      <c r="AH95" s="1185"/>
      <c r="AI95" s="1185"/>
      <c r="AK95" s="1204"/>
    </row>
    <row r="96" spans="1:37">
      <c r="A96" s="1219" t="s">
        <v>373</v>
      </c>
      <c r="B96" s="1219"/>
      <c r="C96" s="1225">
        <f>658941587+302+170643+[97]Temperature!C22*1000</f>
        <v>657951885.40579605</v>
      </c>
      <c r="D96" s="1230">
        <v>5.1929999999999996</v>
      </c>
      <c r="E96" s="1219" t="s">
        <v>374</v>
      </c>
      <c r="F96" s="1203">
        <f>ROUND(D96*$C96/100,0)</f>
        <v>34167441</v>
      </c>
      <c r="G96" s="1230">
        <v>5.9489999999999998</v>
      </c>
      <c r="H96" s="1219" t="s">
        <v>374</v>
      </c>
      <c r="I96" s="1203">
        <f>ROUND(C96*G96/100,0)</f>
        <v>39141558</v>
      </c>
      <c r="J96" s="1230">
        <f>$J$83</f>
        <v>6.1989999999999998</v>
      </c>
      <c r="K96" s="1219" t="s">
        <v>374</v>
      </c>
      <c r="L96" s="1203">
        <f>ROUND(J96*$C96/100,0)</f>
        <v>40786437</v>
      </c>
      <c r="N96" s="1185"/>
      <c r="O96" s="1185"/>
      <c r="P96" s="1186"/>
      <c r="Q96" s="1186"/>
      <c r="R96" s="1186"/>
      <c r="S96" s="1185"/>
      <c r="T96" s="1185"/>
      <c r="U96" s="1185"/>
      <c r="V96" s="1185"/>
      <c r="W96" s="1185"/>
      <c r="X96" s="1185"/>
      <c r="Y96" s="1185"/>
      <c r="Z96" s="1185"/>
      <c r="AA96" s="1185"/>
      <c r="AB96" s="1185"/>
      <c r="AC96" s="1185"/>
      <c r="AD96" s="1185"/>
      <c r="AE96" s="1185"/>
      <c r="AF96" s="1185"/>
      <c r="AG96" s="1185"/>
      <c r="AH96" s="1185"/>
      <c r="AI96" s="1185"/>
      <c r="AK96" s="1204"/>
    </row>
    <row r="97" spans="1:37">
      <c r="A97" s="1219" t="s">
        <v>375</v>
      </c>
      <c r="B97" s="1225"/>
      <c r="C97" s="1225">
        <f>1538177431+302+633914-C96+[97]Temperature!B22*1000</f>
        <v>878150032.35905731</v>
      </c>
      <c r="D97" s="1230">
        <v>8.1929999999999996</v>
      </c>
      <c r="E97" s="1219" t="s">
        <v>374</v>
      </c>
      <c r="F97" s="1203">
        <f>ROUND(D97*$C97/100,0)</f>
        <v>71946832</v>
      </c>
      <c r="G97" s="1230">
        <v>9.4159999999999986</v>
      </c>
      <c r="H97" s="1219" t="s">
        <v>374</v>
      </c>
      <c r="I97" s="1203">
        <f>ROUND(C97*G97/100,0)</f>
        <v>82686607</v>
      </c>
      <c r="J97" s="1230">
        <f>$J$84</f>
        <v>9.8170000000000002</v>
      </c>
      <c r="K97" s="1219" t="s">
        <v>374</v>
      </c>
      <c r="L97" s="1203">
        <f>ROUND(J97*$C97/100,0)</f>
        <v>86207989</v>
      </c>
      <c r="N97" s="1185"/>
      <c r="O97" s="1185"/>
      <c r="P97" s="1186"/>
      <c r="Q97" s="1186"/>
      <c r="R97" s="1186"/>
      <c r="S97" s="1185"/>
      <c r="T97" s="1185"/>
      <c r="U97" s="1185"/>
      <c r="V97" s="1185"/>
      <c r="W97" s="1185"/>
      <c r="X97" s="1185"/>
      <c r="Y97" s="1185"/>
      <c r="Z97" s="1185"/>
      <c r="AA97" s="1185"/>
      <c r="AB97" s="1185"/>
      <c r="AC97" s="1185"/>
      <c r="AD97" s="1185"/>
      <c r="AE97" s="1185"/>
      <c r="AF97" s="1185"/>
      <c r="AG97" s="1185"/>
      <c r="AH97" s="1185"/>
      <c r="AI97" s="1185"/>
      <c r="AK97" s="1204"/>
    </row>
    <row r="98" spans="1:37">
      <c r="A98" s="1219" t="s">
        <v>377</v>
      </c>
      <c r="B98" s="1219"/>
      <c r="C98" s="1225">
        <v>0</v>
      </c>
      <c r="D98" s="1229">
        <v>1.6</v>
      </c>
      <c r="E98" s="1219"/>
      <c r="F98" s="1203">
        <f>ROUND(D98*$C98,0)</f>
        <v>0</v>
      </c>
      <c r="G98" s="1229">
        <v>1.65</v>
      </c>
      <c r="H98" s="1219"/>
      <c r="I98" s="1203">
        <v>0</v>
      </c>
      <c r="J98" s="1229">
        <f>$J$85</f>
        <v>1.65</v>
      </c>
      <c r="K98" s="1219"/>
      <c r="L98" s="1203">
        <f>ROUND(J98*$C98,0)</f>
        <v>0</v>
      </c>
      <c r="N98" s="1185"/>
      <c r="O98" s="1185"/>
      <c r="P98" s="1186"/>
      <c r="Q98" s="1186"/>
      <c r="R98" s="1186"/>
      <c r="S98" s="1185"/>
      <c r="T98" s="1185"/>
      <c r="U98" s="1185"/>
      <c r="V98" s="1185"/>
      <c r="W98" s="1185"/>
      <c r="X98" s="1185"/>
      <c r="Y98" s="1185"/>
      <c r="Z98" s="1185"/>
      <c r="AA98" s="1185"/>
      <c r="AB98" s="1185"/>
      <c r="AC98" s="1185"/>
      <c r="AD98" s="1185"/>
      <c r="AE98" s="1185"/>
      <c r="AF98" s="1185"/>
      <c r="AG98" s="1185"/>
      <c r="AH98" s="1185"/>
      <c r="AI98" s="1185"/>
      <c r="AK98" s="1204"/>
    </row>
    <row r="99" spans="1:37">
      <c r="A99" s="1233" t="s">
        <v>379</v>
      </c>
      <c r="B99" s="1233"/>
      <c r="C99" s="1225">
        <v>0</v>
      </c>
      <c r="D99" s="1229">
        <v>3.1</v>
      </c>
      <c r="E99" s="1233"/>
      <c r="F99" s="1203">
        <f>ROUND(D99*$C99,0)</f>
        <v>0</v>
      </c>
      <c r="G99" s="1229">
        <v>3.2</v>
      </c>
      <c r="H99" s="1233"/>
      <c r="I99" s="1203">
        <v>0</v>
      </c>
      <c r="J99" s="1229">
        <f>$J$86</f>
        <v>3.2</v>
      </c>
      <c r="K99" s="1233"/>
      <c r="L99" s="1203">
        <f>ROUND(J99*$C99,0)</f>
        <v>0</v>
      </c>
      <c r="N99" s="1185"/>
      <c r="O99" s="1185"/>
      <c r="P99" s="1186"/>
      <c r="Q99" s="1186"/>
      <c r="R99" s="1186"/>
      <c r="S99" s="1185"/>
      <c r="T99" s="1185"/>
      <c r="U99" s="1185"/>
      <c r="V99" s="1185"/>
      <c r="W99" s="1185"/>
      <c r="X99" s="1185"/>
      <c r="Y99" s="1185"/>
      <c r="Z99" s="1185"/>
      <c r="AA99" s="1185"/>
      <c r="AB99" s="1185"/>
      <c r="AC99" s="1185"/>
      <c r="AD99" s="1185"/>
      <c r="AE99" s="1185"/>
      <c r="AF99" s="1185"/>
      <c r="AG99" s="1185"/>
      <c r="AH99" s="1185"/>
      <c r="AI99" s="1185"/>
      <c r="AK99" s="1204"/>
    </row>
    <row r="100" spans="1:37">
      <c r="A100" s="1233" t="s">
        <v>380</v>
      </c>
      <c r="B100" s="1233"/>
      <c r="C100" s="1225">
        <v>0</v>
      </c>
      <c r="D100" s="1234">
        <v>-1.6</v>
      </c>
      <c r="E100" s="1233"/>
      <c r="F100" s="1203">
        <f>ROUND(D100*$C100,0)</f>
        <v>0</v>
      </c>
      <c r="G100" s="1234">
        <v>-1.65</v>
      </c>
      <c r="H100" s="1233"/>
      <c r="I100" s="1203">
        <v>0</v>
      </c>
      <c r="J100" s="1234">
        <f>-J98</f>
        <v>-1.65</v>
      </c>
      <c r="K100" s="1233"/>
      <c r="L100" s="1203">
        <f>ROUND(J100*$C100,0)</f>
        <v>0</v>
      </c>
      <c r="N100" s="1185"/>
      <c r="O100" s="1185"/>
      <c r="P100" s="1186"/>
      <c r="Q100" s="1186"/>
      <c r="R100" s="1186"/>
      <c r="S100" s="1185"/>
      <c r="T100" s="1185"/>
      <c r="U100" s="1185"/>
      <c r="V100" s="1185"/>
      <c r="W100" s="1185"/>
      <c r="X100" s="1185"/>
      <c r="Y100" s="1185"/>
      <c r="Z100" s="1185"/>
      <c r="AA100" s="1185"/>
      <c r="AB100" s="1185"/>
      <c r="AC100" s="1185"/>
      <c r="AD100" s="1185"/>
      <c r="AE100" s="1185"/>
      <c r="AF100" s="1185"/>
      <c r="AG100" s="1185"/>
      <c r="AH100" s="1185"/>
      <c r="AI100" s="1185"/>
      <c r="AK100" s="1204"/>
    </row>
    <row r="101" spans="1:37">
      <c r="A101" s="1219" t="s">
        <v>381</v>
      </c>
      <c r="B101" s="1235"/>
      <c r="C101" s="1225">
        <f>SUM(C96:C97)</f>
        <v>1536101917.7648535</v>
      </c>
      <c r="D101" s="1236"/>
      <c r="E101" s="1203"/>
      <c r="F101" s="1203">
        <f>SUM(F95:F100)</f>
        <v>113322235</v>
      </c>
      <c r="G101" s="1237"/>
      <c r="H101" s="1203"/>
      <c r="I101" s="1203">
        <f>SUM(I95:I100)</f>
        <v>129036127</v>
      </c>
      <c r="J101" s="1203"/>
      <c r="K101" s="1203"/>
      <c r="L101" s="1203">
        <f>SUM(L95:L100)</f>
        <v>136304710</v>
      </c>
      <c r="N101" s="1185"/>
      <c r="O101" s="1185"/>
      <c r="P101" s="1244"/>
      <c r="Q101" s="1186"/>
      <c r="R101" s="1186"/>
      <c r="S101" s="1185"/>
      <c r="T101" s="1185"/>
      <c r="U101" s="1185"/>
      <c r="V101" s="1185"/>
      <c r="W101" s="1185"/>
      <c r="X101" s="1185"/>
      <c r="Y101" s="1185"/>
      <c r="Z101" s="1185"/>
      <c r="AA101" s="1185"/>
      <c r="AB101" s="1185"/>
      <c r="AC101" s="1185"/>
      <c r="AD101" s="1185"/>
      <c r="AE101" s="1185"/>
      <c r="AF101" s="1185"/>
      <c r="AG101" s="1185"/>
      <c r="AH101" s="1185"/>
      <c r="AI101" s="1185"/>
      <c r="AK101" s="1204"/>
    </row>
    <row r="102" spans="1:37">
      <c r="A102" s="1219" t="s">
        <v>363</v>
      </c>
      <c r="B102" s="307"/>
      <c r="C102" s="1245">
        <f>'[97]Table 2'!H13+'[97]Table 2'!H17</f>
        <v>-98559.970767906168</v>
      </c>
      <c r="D102" s="1218"/>
      <c r="E102" s="1218"/>
      <c r="F102" s="1239" t="e">
        <f>#REF!</f>
        <v>#REF!</v>
      </c>
      <c r="G102" s="1218"/>
      <c r="H102" s="1218"/>
      <c r="I102" s="1238">
        <f>'[97]Table 3'!E13+'[97]Table 3'!E17</f>
        <v>12440.360107517636</v>
      </c>
      <c r="J102" s="1218"/>
      <c r="K102" s="1218"/>
      <c r="L102" s="1239">
        <f>I102</f>
        <v>12440.360107517636</v>
      </c>
      <c r="N102" s="444"/>
      <c r="O102" s="444"/>
      <c r="P102" s="287"/>
      <c r="Q102" s="1186"/>
      <c r="R102" s="1186"/>
      <c r="S102" s="1185"/>
      <c r="T102" s="1185"/>
      <c r="U102" s="1185"/>
      <c r="V102" s="1185"/>
      <c r="W102" s="1185"/>
      <c r="X102" s="1185"/>
      <c r="Y102" s="1185"/>
      <c r="Z102" s="1185"/>
      <c r="AA102" s="1185"/>
      <c r="AB102" s="1185"/>
      <c r="AC102" s="1185"/>
      <c r="AD102" s="1185"/>
      <c r="AE102" s="1185"/>
      <c r="AF102" s="1185"/>
      <c r="AG102" s="1185"/>
      <c r="AH102" s="1185"/>
      <c r="AI102" s="1185"/>
      <c r="AK102" s="1204"/>
    </row>
    <row r="103" spans="1:37" ht="16.5" thickBot="1">
      <c r="A103" s="1219" t="s">
        <v>382</v>
      </c>
      <c r="B103" s="1219"/>
      <c r="C103" s="1240">
        <f>C101+C102</f>
        <v>1536003357.7940855</v>
      </c>
      <c r="D103" s="1214"/>
      <c r="E103" s="1214"/>
      <c r="F103" s="1214" t="e">
        <f>F101+F102</f>
        <v>#REF!</v>
      </c>
      <c r="G103" s="1214"/>
      <c r="H103" s="1214"/>
      <c r="I103" s="1214">
        <f>SUM(I101:I102)</f>
        <v>129048567.36010751</v>
      </c>
      <c r="J103" s="1214"/>
      <c r="K103" s="1214"/>
      <c r="L103" s="1214">
        <f>L101+L102</f>
        <v>136317150.36010751</v>
      </c>
      <c r="N103" s="411"/>
      <c r="O103" s="411"/>
      <c r="P103" s="470"/>
      <c r="Q103" s="1186"/>
      <c r="R103" s="1186"/>
      <c r="S103" s="1185"/>
      <c r="T103" s="1185"/>
      <c r="U103" s="1185"/>
      <c r="V103" s="1185"/>
      <c r="W103" s="1185"/>
      <c r="X103" s="1185"/>
      <c r="Y103" s="1185"/>
      <c r="Z103" s="1185"/>
      <c r="AA103" s="1185"/>
      <c r="AB103" s="1185"/>
      <c r="AC103" s="1185"/>
      <c r="AD103" s="1185"/>
      <c r="AE103" s="1185"/>
      <c r="AF103" s="1185"/>
      <c r="AG103" s="1185"/>
      <c r="AH103" s="1185"/>
      <c r="AI103" s="1185"/>
      <c r="AK103" s="1204"/>
    </row>
    <row r="104" spans="1:37" ht="16.5" thickTop="1">
      <c r="A104" s="1219"/>
      <c r="B104" s="1242"/>
      <c r="C104" s="1225"/>
      <c r="D104" s="1225"/>
      <c r="E104" s="1225"/>
      <c r="G104" s="1219" t="s">
        <v>31</v>
      </c>
      <c r="H104" s="1219"/>
      <c r="I104" s="1204" t="s">
        <v>31</v>
      </c>
      <c r="J104" s="1219" t="s">
        <v>31</v>
      </c>
      <c r="K104" s="1219"/>
      <c r="L104" s="1203" t="s">
        <v>31</v>
      </c>
      <c r="N104" s="1185"/>
      <c r="O104" s="1185"/>
      <c r="P104" s="1186"/>
      <c r="Q104" s="1186"/>
      <c r="R104" s="1186"/>
      <c r="S104" s="1185"/>
      <c r="T104" s="1185"/>
      <c r="U104" s="1185"/>
      <c r="V104" s="1185"/>
      <c r="W104" s="1185"/>
      <c r="X104" s="1185"/>
      <c r="Y104" s="1185"/>
      <c r="Z104" s="1185"/>
      <c r="AA104" s="1185"/>
      <c r="AB104" s="1185"/>
      <c r="AC104" s="1185"/>
      <c r="AD104" s="1185"/>
      <c r="AE104" s="1185"/>
      <c r="AF104" s="1185"/>
      <c r="AG104" s="1185"/>
      <c r="AH104" s="1185"/>
      <c r="AI104" s="1185"/>
      <c r="AK104" s="1204"/>
    </row>
    <row r="105" spans="1:37">
      <c r="A105" s="1224" t="s">
        <v>384</v>
      </c>
      <c r="B105" s="1219"/>
      <c r="C105" s="1219" t="s">
        <v>31</v>
      </c>
      <c r="D105" s="1225"/>
      <c r="E105" s="1225"/>
      <c r="F105" s="1219"/>
      <c r="G105" s="1225"/>
      <c r="H105" s="1219"/>
      <c r="I105" s="1219"/>
      <c r="J105" s="1225"/>
      <c r="K105" s="1219"/>
      <c r="L105" s="1219"/>
      <c r="N105" s="1185"/>
      <c r="O105" s="1185"/>
      <c r="P105" s="1186"/>
      <c r="Q105" s="1186"/>
      <c r="R105" s="1186"/>
      <c r="S105" s="1185"/>
      <c r="T105" s="1185"/>
      <c r="U105" s="1185"/>
      <c r="V105" s="1185"/>
      <c r="W105" s="1185"/>
      <c r="X105" s="1185"/>
      <c r="Y105" s="1185"/>
      <c r="Z105" s="1185"/>
      <c r="AA105" s="1185"/>
      <c r="AB105" s="1185"/>
      <c r="AC105" s="1185"/>
      <c r="AD105" s="1185"/>
      <c r="AE105" s="1185"/>
      <c r="AF105" s="1185"/>
      <c r="AG105" s="1185"/>
      <c r="AH105" s="1185"/>
      <c r="AI105" s="1185"/>
      <c r="AK105" s="1204"/>
    </row>
    <row r="106" spans="1:37">
      <c r="A106" s="1219" t="s">
        <v>330</v>
      </c>
      <c r="B106" s="1219"/>
      <c r="C106" s="1219"/>
      <c r="D106" s="1225"/>
      <c r="E106" s="1225"/>
      <c r="F106" s="1219"/>
      <c r="G106" s="1225"/>
      <c r="H106" s="1219"/>
      <c r="I106" s="1219"/>
      <c r="J106" s="1225"/>
      <c r="K106" s="1219"/>
      <c r="L106" s="1219"/>
      <c r="N106" s="1185"/>
      <c r="O106" s="1185"/>
      <c r="P106" s="1186"/>
      <c r="Q106" s="1186"/>
      <c r="R106" s="1186"/>
      <c r="S106" s="1185"/>
      <c r="T106" s="1185"/>
      <c r="U106" s="1185"/>
      <c r="V106" s="1185"/>
      <c r="W106" s="1185"/>
      <c r="X106" s="1185"/>
      <c r="Y106" s="1185"/>
      <c r="Z106" s="1185"/>
      <c r="AA106" s="1185"/>
      <c r="AB106" s="1185"/>
      <c r="AC106" s="1185"/>
      <c r="AD106" s="1185"/>
      <c r="AE106" s="1185"/>
      <c r="AF106" s="1185"/>
      <c r="AG106" s="1185"/>
      <c r="AH106" s="1185"/>
      <c r="AI106" s="1185"/>
      <c r="AK106" s="1204"/>
    </row>
    <row r="107" spans="1:37">
      <c r="A107" s="1227"/>
      <c r="B107" s="1219"/>
      <c r="C107" s="1219"/>
      <c r="D107" s="1225"/>
      <c r="E107" s="1225"/>
      <c r="F107" s="1219"/>
      <c r="G107" s="1225"/>
      <c r="H107" s="1219"/>
      <c r="I107" s="1219"/>
      <c r="J107" s="1225"/>
      <c r="K107" s="1219"/>
      <c r="L107" s="1219"/>
      <c r="N107" s="1185"/>
      <c r="O107" s="1185"/>
      <c r="P107" s="1186"/>
      <c r="Q107" s="1186"/>
      <c r="R107" s="1186"/>
      <c r="S107" s="1185"/>
      <c r="T107" s="1185"/>
      <c r="U107" s="1185"/>
      <c r="V107" s="1185"/>
      <c r="W107" s="1185"/>
      <c r="X107" s="1185"/>
      <c r="Y107" s="1185"/>
      <c r="Z107" s="1185"/>
      <c r="AA107" s="1185"/>
      <c r="AB107" s="1185"/>
      <c r="AC107" s="1185"/>
      <c r="AD107" s="1185"/>
      <c r="AE107" s="1185"/>
      <c r="AF107" s="1185"/>
      <c r="AG107" s="1185"/>
      <c r="AH107" s="1185"/>
      <c r="AI107" s="1185"/>
      <c r="AK107" s="1204"/>
    </row>
    <row r="108" spans="1:37">
      <c r="A108" s="1219" t="s">
        <v>370</v>
      </c>
      <c r="B108" s="1219"/>
      <c r="C108" s="1225">
        <v>48990.733333333301</v>
      </c>
      <c r="D108" s="1229">
        <v>6</v>
      </c>
      <c r="E108" s="1219"/>
      <c r="F108" s="1203">
        <f>ROUND(D108*$C108,0)</f>
        <v>293944</v>
      </c>
      <c r="G108" s="1229">
        <v>6</v>
      </c>
      <c r="H108" s="1219"/>
      <c r="I108" s="1203">
        <f>ROUND(G108*C108,0)</f>
        <v>293944</v>
      </c>
      <c r="J108" s="1229">
        <f>$J$82</f>
        <v>7.75</v>
      </c>
      <c r="K108" s="1219"/>
      <c r="L108" s="1203">
        <f>ROUND(J108*$C108,0)</f>
        <v>379678</v>
      </c>
      <c r="N108" s="1185"/>
      <c r="O108" s="1185"/>
      <c r="P108" s="1186"/>
      <c r="Q108" s="1186"/>
      <c r="R108" s="1186"/>
      <c r="S108" s="1185"/>
      <c r="T108" s="1185"/>
      <c r="U108" s="1185"/>
      <c r="V108" s="1185"/>
      <c r="W108" s="1185"/>
      <c r="X108" s="1185"/>
      <c r="Y108" s="1185"/>
      <c r="Z108" s="1185"/>
      <c r="AA108" s="1185"/>
      <c r="AB108" s="1185"/>
      <c r="AC108" s="1185"/>
      <c r="AD108" s="1185"/>
      <c r="AE108" s="1185"/>
      <c r="AF108" s="1185"/>
      <c r="AG108" s="1185"/>
      <c r="AH108" s="1185"/>
      <c r="AI108" s="1185"/>
      <c r="AK108" s="1204"/>
    </row>
    <row r="109" spans="1:37">
      <c r="A109" s="1219" t="s">
        <v>373</v>
      </c>
      <c r="B109" s="1219"/>
      <c r="C109" s="1225">
        <f>27802912+[97]Temperature!C40*1000</f>
        <v>27771554.146252096</v>
      </c>
      <c r="D109" s="1230">
        <v>5.1929999999999996</v>
      </c>
      <c r="E109" s="1219" t="s">
        <v>374</v>
      </c>
      <c r="F109" s="1203">
        <f>ROUND(D109*$C109/100,0)</f>
        <v>1442177</v>
      </c>
      <c r="G109" s="1230">
        <v>5.9489999999999998</v>
      </c>
      <c r="H109" s="1219" t="s">
        <v>374</v>
      </c>
      <c r="I109" s="1203">
        <f>ROUND(C109*G109/100,0)</f>
        <v>1652130</v>
      </c>
      <c r="J109" s="1230">
        <f>$J$83</f>
        <v>6.1989999999999998</v>
      </c>
      <c r="K109" s="1219" t="s">
        <v>374</v>
      </c>
      <c r="L109" s="1203">
        <f>ROUND(J109*$C109/100,0)</f>
        <v>1721559</v>
      </c>
      <c r="N109" s="1185"/>
      <c r="O109" s="1185"/>
      <c r="P109" s="1186"/>
      <c r="Q109" s="1186"/>
      <c r="R109" s="1186"/>
      <c r="S109" s="1185"/>
      <c r="T109" s="1185"/>
      <c r="U109" s="1185"/>
      <c r="V109" s="1185"/>
      <c r="W109" s="1185"/>
      <c r="X109" s="1185"/>
      <c r="Y109" s="1185"/>
      <c r="Z109" s="1185"/>
      <c r="AA109" s="1185"/>
      <c r="AB109" s="1185"/>
      <c r="AC109" s="1185"/>
      <c r="AD109" s="1185"/>
      <c r="AE109" s="1185"/>
      <c r="AF109" s="1185"/>
      <c r="AG109" s="1185"/>
      <c r="AH109" s="1185"/>
      <c r="AI109" s="1185"/>
      <c r="AK109" s="1204"/>
    </row>
    <row r="110" spans="1:37">
      <c r="A110" s="1219" t="s">
        <v>375</v>
      </c>
      <c r="B110" s="1219"/>
      <c r="C110" s="1225">
        <f>63233481-C109+[97]Temperature!C40*1000+[97]Temperature!D40*1000</f>
        <v>35390608.200177774</v>
      </c>
      <c r="D110" s="1230">
        <v>8.1929999999999996</v>
      </c>
      <c r="E110" s="1219" t="s">
        <v>374</v>
      </c>
      <c r="F110" s="1203">
        <f>ROUND(D110*$C110/100,0)</f>
        <v>2899553</v>
      </c>
      <c r="G110" s="1230">
        <v>9.4159999999999986</v>
      </c>
      <c r="H110" s="1219" t="s">
        <v>374</v>
      </c>
      <c r="I110" s="1203">
        <f>ROUND(C110*G110/100,0)</f>
        <v>3332380</v>
      </c>
      <c r="J110" s="1230">
        <f>$J$84</f>
        <v>9.8170000000000002</v>
      </c>
      <c r="K110" s="1219" t="s">
        <v>374</v>
      </c>
      <c r="L110" s="1203">
        <f>ROUND(J110*$C110/100,0)</f>
        <v>3474296</v>
      </c>
      <c r="N110" s="1185"/>
      <c r="O110" s="1185"/>
      <c r="P110" s="1186"/>
      <c r="Q110" s="1186"/>
      <c r="R110" s="1186"/>
      <c r="S110" s="1185"/>
      <c r="T110" s="1185"/>
      <c r="U110" s="1185"/>
      <c r="V110" s="1185"/>
      <c r="W110" s="1185"/>
      <c r="X110" s="1185"/>
      <c r="Y110" s="1185"/>
      <c r="Z110" s="1185"/>
      <c r="AA110" s="1185"/>
      <c r="AB110" s="1185"/>
      <c r="AC110" s="1185"/>
      <c r="AD110" s="1185"/>
      <c r="AE110" s="1185"/>
      <c r="AF110" s="1185"/>
      <c r="AG110" s="1185"/>
      <c r="AH110" s="1185"/>
      <c r="AI110" s="1185"/>
      <c r="AK110" s="1204"/>
    </row>
    <row r="111" spans="1:37">
      <c r="A111" s="1219" t="s">
        <v>377</v>
      </c>
      <c r="B111" s="1219"/>
      <c r="C111" s="1225">
        <v>0</v>
      </c>
      <c r="D111" s="1229">
        <v>1.6</v>
      </c>
      <c r="E111" s="1219"/>
      <c r="F111" s="1203">
        <f>ROUND(D111*$C111,0)</f>
        <v>0</v>
      </c>
      <c r="G111" s="1229">
        <v>1.65</v>
      </c>
      <c r="H111" s="1219"/>
      <c r="I111" s="1203">
        <v>0</v>
      </c>
      <c r="J111" s="1229">
        <f>$J$85</f>
        <v>1.65</v>
      </c>
      <c r="K111" s="1219"/>
      <c r="L111" s="1203">
        <f>ROUND(J111*$C111,0)</f>
        <v>0</v>
      </c>
      <c r="N111" s="1185"/>
      <c r="O111" s="1185"/>
      <c r="P111" s="1186"/>
      <c r="Q111" s="1186"/>
      <c r="R111" s="1186"/>
      <c r="S111" s="1185"/>
      <c r="T111" s="1185"/>
      <c r="U111" s="1185"/>
      <c r="V111" s="1185"/>
      <c r="W111" s="1185"/>
      <c r="X111" s="1185"/>
      <c r="Y111" s="1185"/>
      <c r="Z111" s="1185"/>
      <c r="AA111" s="1185"/>
      <c r="AB111" s="1185"/>
      <c r="AC111" s="1185"/>
      <c r="AD111" s="1185"/>
      <c r="AE111" s="1185"/>
      <c r="AF111" s="1185"/>
      <c r="AG111" s="1185"/>
      <c r="AH111" s="1185"/>
      <c r="AI111" s="1185"/>
      <c r="AK111" s="1204"/>
    </row>
    <row r="112" spans="1:37">
      <c r="A112" s="1233" t="s">
        <v>379</v>
      </c>
      <c r="B112" s="1233"/>
      <c r="C112" s="1225">
        <v>0</v>
      </c>
      <c r="D112" s="1229">
        <v>3.1</v>
      </c>
      <c r="E112" s="1233"/>
      <c r="F112" s="1203">
        <f>ROUND(D112*$C112,0)</f>
        <v>0</v>
      </c>
      <c r="G112" s="1229">
        <v>3.2</v>
      </c>
      <c r="H112" s="1233"/>
      <c r="I112" s="1203">
        <v>0</v>
      </c>
      <c r="J112" s="1229">
        <f>$J$86</f>
        <v>3.2</v>
      </c>
      <c r="K112" s="1233"/>
      <c r="L112" s="1203">
        <f>ROUND(J112*$C112,0)</f>
        <v>0</v>
      </c>
      <c r="N112" s="1185"/>
      <c r="O112" s="1185"/>
      <c r="P112" s="1186"/>
      <c r="Q112" s="1186"/>
      <c r="R112" s="1186"/>
      <c r="S112" s="1185"/>
      <c r="T112" s="1185"/>
      <c r="U112" s="1185"/>
      <c r="V112" s="1185"/>
      <c r="W112" s="1185"/>
      <c r="X112" s="1185"/>
      <c r="Y112" s="1185"/>
      <c r="Z112" s="1185"/>
      <c r="AA112" s="1185"/>
      <c r="AB112" s="1185"/>
      <c r="AC112" s="1185"/>
      <c r="AD112" s="1185"/>
      <c r="AE112" s="1185"/>
      <c r="AF112" s="1185"/>
      <c r="AG112" s="1185"/>
      <c r="AH112" s="1185"/>
      <c r="AI112" s="1185"/>
      <c r="AK112" s="1204"/>
    </row>
    <row r="113" spans="1:37">
      <c r="A113" s="1233" t="s">
        <v>380</v>
      </c>
      <c r="B113" s="1233"/>
      <c r="C113" s="1225">
        <v>0</v>
      </c>
      <c r="D113" s="1234">
        <v>-1.6</v>
      </c>
      <c r="E113" s="1233"/>
      <c r="F113" s="1203">
        <f>ROUND(D113*$C113,0)</f>
        <v>0</v>
      </c>
      <c r="G113" s="1234">
        <v>-1.65</v>
      </c>
      <c r="H113" s="1233"/>
      <c r="I113" s="1203">
        <v>0</v>
      </c>
      <c r="J113" s="1234">
        <f>-J111</f>
        <v>-1.65</v>
      </c>
      <c r="K113" s="1233"/>
      <c r="L113" s="1203">
        <f>ROUND(J113*$C113,0)</f>
        <v>0</v>
      </c>
      <c r="N113" s="1185"/>
      <c r="O113" s="1185"/>
      <c r="P113" s="1186"/>
      <c r="Q113" s="1186"/>
      <c r="R113" s="1186"/>
      <c r="S113" s="1185"/>
      <c r="T113" s="1185"/>
      <c r="U113" s="1185"/>
      <c r="V113" s="1185"/>
      <c r="W113" s="1185"/>
      <c r="X113" s="1185"/>
      <c r="Y113" s="1185"/>
      <c r="Z113" s="1185"/>
      <c r="AA113" s="1185"/>
      <c r="AB113" s="1185"/>
      <c r="AC113" s="1185"/>
      <c r="AD113" s="1185"/>
      <c r="AE113" s="1185"/>
      <c r="AF113" s="1185"/>
      <c r="AG113" s="1185"/>
      <c r="AH113" s="1185"/>
      <c r="AI113" s="1185"/>
      <c r="AK113" s="1204"/>
    </row>
    <row r="114" spans="1:37">
      <c r="A114" s="1219" t="s">
        <v>381</v>
      </c>
      <c r="B114" s="1219"/>
      <c r="C114" s="1225">
        <f>SUM(C109:C110)</f>
        <v>63162162.34642987</v>
      </c>
      <c r="D114" s="1236"/>
      <c r="E114" s="1203"/>
      <c r="F114" s="1203">
        <f>SUM(F108:F113)</f>
        <v>4635674</v>
      </c>
      <c r="G114" s="1237"/>
      <c r="H114" s="1203"/>
      <c r="I114" s="1203">
        <f>SUM(I108:I113)</f>
        <v>5278454</v>
      </c>
      <c r="J114" s="1203"/>
      <c r="K114" s="1203"/>
      <c r="L114" s="1203">
        <f>SUM(L108:L113)</f>
        <v>5575533</v>
      </c>
      <c r="N114" s="1185"/>
      <c r="O114" s="1185"/>
      <c r="P114" s="1186"/>
      <c r="Q114" s="1186"/>
      <c r="R114" s="1186"/>
      <c r="S114" s="1185"/>
      <c r="T114" s="1185"/>
      <c r="U114" s="1185"/>
      <c r="V114" s="1185"/>
      <c r="W114" s="1185"/>
      <c r="X114" s="1185"/>
      <c r="Y114" s="1185"/>
      <c r="Z114" s="1185"/>
      <c r="AA114" s="1185"/>
      <c r="AB114" s="1185"/>
      <c r="AC114" s="1185"/>
      <c r="AD114" s="1185"/>
      <c r="AE114" s="1185"/>
      <c r="AF114" s="1185"/>
      <c r="AG114" s="1185"/>
      <c r="AH114" s="1185"/>
      <c r="AI114" s="1185"/>
      <c r="AK114" s="1204"/>
    </row>
    <row r="115" spans="1:37">
      <c r="A115" s="1219" t="s">
        <v>363</v>
      </c>
      <c r="B115" s="1219"/>
      <c r="C115" s="1245">
        <f>'[97]Table 2'!H14</f>
        <v>-4050.066849352972</v>
      </c>
      <c r="D115" s="1218"/>
      <c r="E115" s="1218"/>
      <c r="F115" s="1239" t="e">
        <f>#REF!</f>
        <v>#REF!</v>
      </c>
      <c r="G115" s="1218"/>
      <c r="H115" s="1218"/>
      <c r="I115" s="1238">
        <f>'[97]Table 3'!E14</f>
        <v>509.23332391723989</v>
      </c>
      <c r="J115" s="1218"/>
      <c r="K115" s="1218"/>
      <c r="L115" s="1239">
        <f>I115</f>
        <v>509.23332391723989</v>
      </c>
      <c r="N115" s="444"/>
      <c r="O115" s="444"/>
      <c r="P115" s="287"/>
      <c r="Q115" s="1186"/>
      <c r="R115" s="1186"/>
      <c r="S115" s="1185"/>
      <c r="T115" s="1185"/>
      <c r="U115" s="1185"/>
      <c r="V115" s="1185"/>
      <c r="W115" s="1185"/>
      <c r="X115" s="1185"/>
      <c r="Y115" s="1185"/>
      <c r="Z115" s="1185"/>
      <c r="AA115" s="1185"/>
      <c r="AB115" s="1185"/>
      <c r="AC115" s="1185"/>
      <c r="AD115" s="1185"/>
      <c r="AE115" s="1185"/>
      <c r="AF115" s="1185"/>
      <c r="AG115" s="1185"/>
      <c r="AH115" s="1185"/>
      <c r="AI115" s="1185"/>
      <c r="AK115" s="1204"/>
    </row>
    <row r="116" spans="1:37" ht="16.5" thickBot="1">
      <c r="A116" s="1219" t="s">
        <v>382</v>
      </c>
      <c r="B116" s="1219"/>
      <c r="C116" s="1240">
        <f>C114+C115</f>
        <v>63158112.279580519</v>
      </c>
      <c r="D116" s="1214"/>
      <c r="E116" s="1214"/>
      <c r="F116" s="1214" t="e">
        <f>F114+F115</f>
        <v>#REF!</v>
      </c>
      <c r="G116" s="1214"/>
      <c r="H116" s="1214"/>
      <c r="I116" s="1214">
        <f>SUM(I114:I115)</f>
        <v>5278963.2333239168</v>
      </c>
      <c r="J116" s="1214"/>
      <c r="K116" s="1214"/>
      <c r="L116" s="1214">
        <f>L114+L115</f>
        <v>5576042.2333239168</v>
      </c>
      <c r="N116" s="411"/>
      <c r="O116" s="411"/>
      <c r="P116" s="470"/>
      <c r="Q116" s="1186"/>
      <c r="R116" s="1186"/>
      <c r="S116" s="1185"/>
      <c r="T116" s="1185"/>
      <c r="U116" s="1185"/>
      <c r="V116" s="1185"/>
      <c r="W116" s="1185"/>
      <c r="X116" s="1185"/>
      <c r="Y116" s="1185"/>
      <c r="Z116" s="1185"/>
      <c r="AA116" s="1185"/>
      <c r="AB116" s="1185"/>
      <c r="AC116" s="1185"/>
      <c r="AD116" s="1185"/>
      <c r="AE116" s="1185"/>
      <c r="AF116" s="1185"/>
      <c r="AG116" s="1185"/>
      <c r="AH116" s="1185"/>
      <c r="AI116" s="1185"/>
      <c r="AK116" s="1204"/>
    </row>
    <row r="117" spans="1:37" ht="16.5" thickTop="1">
      <c r="A117" s="1219"/>
      <c r="B117" s="1242"/>
      <c r="C117" s="1225"/>
      <c r="D117" s="1225"/>
      <c r="E117" s="1225"/>
      <c r="G117" s="1219" t="s">
        <v>31</v>
      </c>
      <c r="H117" s="1219"/>
      <c r="J117" s="1219" t="s">
        <v>31</v>
      </c>
      <c r="K117" s="1219"/>
      <c r="L117" s="1203" t="s">
        <v>31</v>
      </c>
      <c r="N117" s="1185"/>
      <c r="O117" s="1185"/>
      <c r="P117" s="1186"/>
      <c r="Q117" s="1186"/>
      <c r="R117" s="1186"/>
      <c r="S117" s="1185"/>
      <c r="T117" s="1185"/>
      <c r="U117" s="1185"/>
      <c r="V117" s="1185"/>
      <c r="W117" s="1185"/>
      <c r="X117" s="1185"/>
      <c r="Y117" s="1185"/>
      <c r="Z117" s="1185"/>
      <c r="AA117" s="1185"/>
      <c r="AB117" s="1185"/>
      <c r="AC117" s="1185"/>
      <c r="AD117" s="1185"/>
      <c r="AE117" s="1185"/>
      <c r="AF117" s="1185"/>
      <c r="AG117" s="1185"/>
      <c r="AH117" s="1185"/>
      <c r="AI117" s="1185"/>
      <c r="AK117" s="1204"/>
    </row>
    <row r="118" spans="1:37">
      <c r="A118" s="1224" t="s">
        <v>385</v>
      </c>
      <c r="B118" s="1219"/>
      <c r="C118" s="1219"/>
      <c r="D118" s="1225"/>
      <c r="E118" s="1225"/>
      <c r="F118" s="1219"/>
      <c r="G118" s="1225"/>
      <c r="H118" s="1219"/>
      <c r="I118" s="1219"/>
      <c r="J118" s="1225"/>
      <c r="K118" s="1219"/>
      <c r="L118" s="1219"/>
      <c r="N118" s="1185"/>
      <c r="O118" s="1185"/>
      <c r="P118" s="1186"/>
      <c r="Q118" s="1186"/>
      <c r="R118" s="1186"/>
      <c r="S118" s="1185"/>
      <c r="T118" s="1185"/>
      <c r="U118" s="1185"/>
      <c r="V118" s="1185"/>
      <c r="W118" s="1185"/>
      <c r="X118" s="1185"/>
      <c r="Y118" s="1185"/>
      <c r="Z118" s="1185"/>
      <c r="AA118" s="1185"/>
      <c r="AB118" s="1185"/>
      <c r="AC118" s="1185"/>
      <c r="AD118" s="1185"/>
      <c r="AE118" s="1185"/>
      <c r="AF118" s="1185"/>
      <c r="AG118" s="1185"/>
      <c r="AH118" s="1185"/>
      <c r="AI118" s="1185"/>
      <c r="AK118" s="1204"/>
    </row>
    <row r="119" spans="1:37">
      <c r="A119" s="1219" t="s">
        <v>330</v>
      </c>
      <c r="B119" s="1219"/>
      <c r="C119" s="1219"/>
      <c r="D119" s="1225"/>
      <c r="E119" s="1225"/>
      <c r="F119" s="1219"/>
      <c r="G119" s="1225"/>
      <c r="H119" s="1219"/>
      <c r="I119" s="1219"/>
      <c r="J119" s="1225"/>
      <c r="K119" s="1219"/>
      <c r="L119" s="1219"/>
      <c r="N119" s="1185"/>
      <c r="O119" s="1185"/>
      <c r="P119" s="1186"/>
      <c r="Q119" s="1186"/>
      <c r="R119" s="1186"/>
      <c r="S119" s="1185"/>
      <c r="T119" s="1185"/>
      <c r="U119" s="1185"/>
      <c r="V119" s="1185"/>
      <c r="W119" s="1185"/>
      <c r="X119" s="1185"/>
      <c r="Y119" s="1185"/>
      <c r="Z119" s="1185"/>
      <c r="AA119" s="1185"/>
      <c r="AB119" s="1185"/>
      <c r="AC119" s="1185"/>
      <c r="AD119" s="1185"/>
      <c r="AE119" s="1185"/>
      <c r="AF119" s="1185"/>
      <c r="AG119" s="1185"/>
      <c r="AH119" s="1185"/>
      <c r="AI119" s="1185"/>
      <c r="AK119" s="1204"/>
    </row>
    <row r="120" spans="1:37">
      <c r="A120" s="1227"/>
      <c r="B120" s="1219"/>
      <c r="C120" s="1219"/>
      <c r="D120" s="1225"/>
      <c r="E120" s="1225"/>
      <c r="F120" s="1219"/>
      <c r="G120" s="1225"/>
      <c r="H120" s="1219"/>
      <c r="I120" s="1219"/>
      <c r="J120" s="1225"/>
      <c r="K120" s="1219"/>
      <c r="L120" s="1219"/>
      <c r="N120" s="1185"/>
      <c r="O120" s="1185"/>
      <c r="P120" s="1186"/>
      <c r="Q120" s="1186"/>
      <c r="R120" s="1186"/>
      <c r="S120" s="1185"/>
      <c r="T120" s="1185"/>
      <c r="U120" s="1185"/>
      <c r="V120" s="1185"/>
      <c r="W120" s="1185"/>
      <c r="X120" s="1185"/>
      <c r="Y120" s="1185"/>
      <c r="Z120" s="1185"/>
      <c r="AA120" s="1185"/>
      <c r="AB120" s="1185"/>
      <c r="AC120" s="1185"/>
      <c r="AD120" s="1185"/>
      <c r="AE120" s="1185"/>
      <c r="AF120" s="1185"/>
      <c r="AG120" s="1185"/>
      <c r="AH120" s="1185"/>
      <c r="AI120" s="1185"/>
      <c r="AK120" s="1204"/>
    </row>
    <row r="121" spans="1:37">
      <c r="A121" s="1219" t="s">
        <v>370</v>
      </c>
      <c r="B121" s="1219"/>
      <c r="C121" s="1225">
        <f>1028</f>
        <v>1028</v>
      </c>
      <c r="D121" s="1229">
        <v>6</v>
      </c>
      <c r="E121" s="1219"/>
      <c r="F121" s="1203">
        <f>ROUND(D121*$C121,0)</f>
        <v>6168</v>
      </c>
      <c r="G121" s="1229">
        <v>6</v>
      </c>
      <c r="H121" s="1219"/>
      <c r="I121" s="1203">
        <f>ROUND(G121*C121,0)</f>
        <v>6168</v>
      </c>
      <c r="J121" s="1229">
        <f>$J$82</f>
        <v>7.75</v>
      </c>
      <c r="K121" s="1219"/>
      <c r="L121" s="1203">
        <f>ROUND(J121*$C121,0)</f>
        <v>7967</v>
      </c>
      <c r="N121" s="1185"/>
      <c r="O121" s="1185"/>
      <c r="P121" s="1186"/>
      <c r="Q121" s="1186"/>
      <c r="R121" s="1186"/>
      <c r="S121" s="1185"/>
      <c r="T121" s="1185"/>
      <c r="U121" s="1185"/>
      <c r="V121" s="1185"/>
      <c r="W121" s="1185"/>
      <c r="X121" s="1185"/>
      <c r="Y121" s="1185"/>
      <c r="Z121" s="1185"/>
      <c r="AA121" s="1185"/>
      <c r="AB121" s="1185"/>
      <c r="AC121" s="1185"/>
      <c r="AD121" s="1185"/>
      <c r="AE121" s="1185"/>
      <c r="AF121" s="1185"/>
      <c r="AG121" s="1185"/>
      <c r="AH121" s="1185"/>
      <c r="AI121" s="1185"/>
      <c r="AK121" s="1204"/>
    </row>
    <row r="122" spans="1:37">
      <c r="A122" s="1219" t="s">
        <v>373</v>
      </c>
      <c r="B122" s="1219"/>
      <c r="C122" s="1225">
        <f>574494+[97]Temperature!C58*1000</f>
        <v>573656.16765255562</v>
      </c>
      <c r="D122" s="1230">
        <v>5.1929999999999996</v>
      </c>
      <c r="E122" s="1219" t="s">
        <v>374</v>
      </c>
      <c r="F122" s="1203">
        <f>ROUND(D122*$C122/100,0)</f>
        <v>29790</v>
      </c>
      <c r="G122" s="1230">
        <v>5.9489999999999998</v>
      </c>
      <c r="H122" s="1219" t="s">
        <v>374</v>
      </c>
      <c r="I122" s="1203">
        <f>ROUND(C122*G122/100,0)</f>
        <v>34127</v>
      </c>
      <c r="J122" s="1230">
        <f>$J$83</f>
        <v>6.1989999999999998</v>
      </c>
      <c r="K122" s="1219" t="s">
        <v>374</v>
      </c>
      <c r="L122" s="1203">
        <f>ROUND(J122*$C122/100,0)</f>
        <v>35561</v>
      </c>
      <c r="N122" s="1185"/>
      <c r="O122" s="1185"/>
      <c r="P122" s="1186"/>
      <c r="Q122" s="1186"/>
      <c r="R122" s="1186"/>
      <c r="S122" s="1185"/>
      <c r="T122" s="1185"/>
      <c r="U122" s="1185"/>
      <c r="V122" s="1185"/>
      <c r="W122" s="1185"/>
      <c r="X122" s="1185"/>
      <c r="Y122" s="1185"/>
      <c r="Z122" s="1185"/>
      <c r="AA122" s="1185"/>
      <c r="AB122" s="1185"/>
      <c r="AC122" s="1185"/>
      <c r="AD122" s="1185"/>
      <c r="AE122" s="1185"/>
      <c r="AF122" s="1185"/>
      <c r="AG122" s="1185"/>
      <c r="AH122" s="1185"/>
      <c r="AI122" s="1185"/>
      <c r="AK122" s="1204"/>
    </row>
    <row r="123" spans="1:37">
      <c r="A123" s="1219" t="s">
        <v>375</v>
      </c>
      <c r="B123" s="1219"/>
      <c r="C123" s="1225">
        <f>2216254-C122+[97]Temperature!C58*1000+[97]Temperature!D58*1000</f>
        <v>1639447.3671285319</v>
      </c>
      <c r="D123" s="1230">
        <v>8.1929999999999996</v>
      </c>
      <c r="E123" s="1219" t="s">
        <v>374</v>
      </c>
      <c r="F123" s="1203">
        <f>ROUND(D123*$C123/100,0)</f>
        <v>134320</v>
      </c>
      <c r="G123" s="1230">
        <v>9.4159999999999986</v>
      </c>
      <c r="H123" s="1219" t="s">
        <v>374</v>
      </c>
      <c r="I123" s="1203">
        <f>ROUND(C123*G123/100,0)</f>
        <v>154370</v>
      </c>
      <c r="J123" s="1230">
        <f>$J$84</f>
        <v>9.8170000000000002</v>
      </c>
      <c r="K123" s="1219" t="s">
        <v>374</v>
      </c>
      <c r="L123" s="1203">
        <f>ROUND(J123*$C123/100,0)</f>
        <v>160945</v>
      </c>
      <c r="N123" s="1185"/>
      <c r="O123" s="1185"/>
      <c r="P123" s="1186"/>
      <c r="Q123" s="1186"/>
      <c r="R123" s="1186"/>
      <c r="S123" s="1185"/>
      <c r="T123" s="1185"/>
      <c r="U123" s="1185"/>
      <c r="V123" s="1185"/>
      <c r="W123" s="1185"/>
      <c r="X123" s="1185"/>
      <c r="Y123" s="1185"/>
      <c r="Z123" s="1185"/>
      <c r="AA123" s="1185"/>
      <c r="AB123" s="1185"/>
      <c r="AC123" s="1185"/>
      <c r="AD123" s="1185"/>
      <c r="AE123" s="1185"/>
      <c r="AF123" s="1185"/>
      <c r="AG123" s="1185"/>
      <c r="AH123" s="1185"/>
      <c r="AI123" s="1185"/>
      <c r="AK123" s="1204"/>
    </row>
    <row r="124" spans="1:37">
      <c r="A124" s="1219" t="s">
        <v>377</v>
      </c>
      <c r="B124" s="1219"/>
      <c r="C124" s="1225">
        <f>4742</f>
        <v>4742</v>
      </c>
      <c r="D124" s="1229">
        <v>1.6</v>
      </c>
      <c r="E124" s="1219"/>
      <c r="F124" s="1203">
        <f>ROUND(D124*$C124,0)</f>
        <v>7587</v>
      </c>
      <c r="G124" s="1229">
        <v>1.65</v>
      </c>
      <c r="H124" s="1219"/>
      <c r="I124" s="1203">
        <f t="shared" ref="I124:I125" si="17">ROUND(G124*C124,0)</f>
        <v>7824</v>
      </c>
      <c r="J124" s="1229">
        <f>$J$85</f>
        <v>1.65</v>
      </c>
      <c r="K124" s="1219"/>
      <c r="L124" s="1203">
        <f>ROUND(J124*$C124,0)</f>
        <v>7824</v>
      </c>
      <c r="N124" s="1185"/>
      <c r="O124" s="1185"/>
      <c r="P124" s="1186"/>
      <c r="Q124" s="1186"/>
      <c r="R124" s="1186"/>
      <c r="S124" s="1185"/>
      <c r="T124" s="1185"/>
      <c r="U124" s="1185"/>
      <c r="V124" s="1185"/>
      <c r="W124" s="1185"/>
      <c r="X124" s="1185"/>
      <c r="Y124" s="1185"/>
      <c r="Z124" s="1185"/>
      <c r="AA124" s="1185"/>
      <c r="AB124" s="1185"/>
      <c r="AC124" s="1185"/>
      <c r="AD124" s="1185"/>
      <c r="AE124" s="1185"/>
      <c r="AF124" s="1185"/>
      <c r="AG124" s="1185"/>
      <c r="AH124" s="1185"/>
      <c r="AI124" s="1185"/>
      <c r="AK124" s="1204"/>
    </row>
    <row r="125" spans="1:37">
      <c r="A125" s="1233" t="s">
        <v>379</v>
      </c>
      <c r="B125" s="1233"/>
      <c r="C125" s="1225">
        <f>638</f>
        <v>638</v>
      </c>
      <c r="D125" s="1229">
        <v>3.1</v>
      </c>
      <c r="E125" s="1233"/>
      <c r="F125" s="1203">
        <f>ROUND(D125*$C125,0)</f>
        <v>1978</v>
      </c>
      <c r="G125" s="1229">
        <v>3.2</v>
      </c>
      <c r="H125" s="1233"/>
      <c r="I125" s="1203">
        <f t="shared" si="17"/>
        <v>2042</v>
      </c>
      <c r="J125" s="1229">
        <f>$J$86</f>
        <v>3.2</v>
      </c>
      <c r="K125" s="1233"/>
      <c r="L125" s="1203">
        <f>ROUND(J125*$C125,0)</f>
        <v>2042</v>
      </c>
      <c r="N125" s="1185"/>
      <c r="O125" s="1185"/>
      <c r="P125" s="1186"/>
      <c r="Q125" s="1186"/>
      <c r="R125" s="1186"/>
      <c r="S125" s="1185"/>
      <c r="T125" s="1185"/>
      <c r="U125" s="1185"/>
      <c r="V125" s="1185"/>
      <c r="W125" s="1185"/>
      <c r="X125" s="1185"/>
      <c r="Y125" s="1185"/>
      <c r="Z125" s="1185"/>
      <c r="AA125" s="1185"/>
      <c r="AB125" s="1185"/>
      <c r="AC125" s="1185"/>
      <c r="AD125" s="1185"/>
      <c r="AE125" s="1185"/>
      <c r="AF125" s="1185"/>
      <c r="AG125" s="1185"/>
      <c r="AH125" s="1185"/>
      <c r="AI125" s="1185"/>
      <c r="AK125" s="1204"/>
    </row>
    <row r="126" spans="1:37">
      <c r="A126" s="1233" t="s">
        <v>380</v>
      </c>
      <c r="B126" s="1233"/>
      <c r="C126" s="1225">
        <v>52</v>
      </c>
      <c r="D126" s="1234">
        <v>-1.6</v>
      </c>
      <c r="E126" s="1233"/>
      <c r="F126" s="1203">
        <f>ROUND(D126*$C126,0)</f>
        <v>-83</v>
      </c>
      <c r="G126" s="1234">
        <v>-1.65</v>
      </c>
      <c r="H126" s="1233"/>
      <c r="I126" s="1203">
        <f>ROUND(G126*C126,0)</f>
        <v>-86</v>
      </c>
      <c r="J126" s="1234">
        <f>-J124</f>
        <v>-1.65</v>
      </c>
      <c r="K126" s="1233"/>
      <c r="L126" s="1203">
        <f>ROUND(J126*$C126,0)</f>
        <v>-86</v>
      </c>
      <c r="N126" s="1185"/>
      <c r="O126" s="1185"/>
      <c r="P126" s="1186"/>
      <c r="Q126" s="1186"/>
      <c r="R126" s="1186"/>
      <c r="S126" s="1185"/>
      <c r="T126" s="1185"/>
      <c r="U126" s="1185"/>
      <c r="V126" s="1185"/>
      <c r="W126" s="1185"/>
      <c r="X126" s="1185"/>
      <c r="Y126" s="1185"/>
      <c r="Z126" s="1185"/>
      <c r="AA126" s="1185"/>
      <c r="AB126" s="1185"/>
      <c r="AC126" s="1185"/>
      <c r="AD126" s="1185"/>
      <c r="AE126" s="1185"/>
      <c r="AF126" s="1185"/>
      <c r="AG126" s="1185"/>
      <c r="AH126" s="1185"/>
      <c r="AI126" s="1185"/>
      <c r="AK126" s="1204"/>
    </row>
    <row r="127" spans="1:37">
      <c r="A127" s="1219" t="s">
        <v>381</v>
      </c>
      <c r="B127" s="1235"/>
      <c r="C127" s="1225">
        <f>SUM(C122:C123)</f>
        <v>2213103.5347810877</v>
      </c>
      <c r="D127" s="1236"/>
      <c r="E127" s="1203"/>
      <c r="F127" s="1203">
        <f>SUM(F121:F126)</f>
        <v>179760</v>
      </c>
      <c r="G127" s="1237"/>
      <c r="H127" s="1203"/>
      <c r="I127" s="1203">
        <f>SUM(I121:I126)</f>
        <v>204445</v>
      </c>
      <c r="J127" s="1203"/>
      <c r="K127" s="1203"/>
      <c r="L127" s="1203">
        <f>SUM(L121:L126)</f>
        <v>214253</v>
      </c>
      <c r="N127" s="1185"/>
      <c r="O127" s="1185"/>
      <c r="P127" s="1186"/>
      <c r="Q127" s="1186"/>
      <c r="R127" s="1186"/>
      <c r="S127" s="1185"/>
      <c r="T127" s="1185"/>
      <c r="U127" s="1185"/>
      <c r="V127" s="1185"/>
      <c r="W127" s="1185"/>
      <c r="X127" s="1185"/>
      <c r="Y127" s="1185"/>
      <c r="Z127" s="1185"/>
      <c r="AA127" s="1185"/>
      <c r="AB127" s="1185"/>
      <c r="AC127" s="1185"/>
      <c r="AD127" s="1185"/>
      <c r="AE127" s="1185"/>
      <c r="AF127" s="1185"/>
      <c r="AG127" s="1185"/>
      <c r="AH127" s="1185"/>
      <c r="AI127" s="1185"/>
      <c r="AK127" s="1204"/>
    </row>
    <row r="128" spans="1:37">
      <c r="A128" s="1219" t="s">
        <v>363</v>
      </c>
      <c r="B128" s="25"/>
      <c r="C128" s="1245">
        <f>'[97]Table 2'!H15</f>
        <v>-141.94975056245792</v>
      </c>
      <c r="D128" s="1218"/>
      <c r="E128" s="1218"/>
      <c r="F128" s="1239" t="e">
        <f>#REF!</f>
        <v>#REF!</v>
      </c>
      <c r="G128" s="1218"/>
      <c r="H128" s="1218"/>
      <c r="I128" s="1239">
        <f>'[97]Table 3'!E15</f>
        <v>19.723602875558147</v>
      </c>
      <c r="J128" s="1218"/>
      <c r="K128" s="1218"/>
      <c r="L128" s="1239">
        <f>I128</f>
        <v>19.723602875558147</v>
      </c>
      <c r="N128" s="444"/>
      <c r="O128" s="444"/>
      <c r="P128" s="287"/>
      <c r="Q128" s="1186"/>
      <c r="R128" s="1186"/>
      <c r="S128" s="1185"/>
      <c r="T128" s="1185"/>
      <c r="U128" s="1185"/>
      <c r="V128" s="1185"/>
      <c r="W128" s="1185"/>
      <c r="X128" s="1185"/>
      <c r="Y128" s="1185"/>
      <c r="Z128" s="1185"/>
      <c r="AA128" s="1185"/>
      <c r="AB128" s="1185"/>
      <c r="AC128" s="1185"/>
      <c r="AD128" s="1185"/>
      <c r="AE128" s="1185"/>
      <c r="AF128" s="1185"/>
      <c r="AG128" s="1185"/>
      <c r="AH128" s="1185"/>
      <c r="AI128" s="1185"/>
      <c r="AK128" s="1204"/>
    </row>
    <row r="129" spans="1:37" ht="16.5" thickBot="1">
      <c r="A129" s="1219" t="s">
        <v>382</v>
      </c>
      <c r="B129" s="1219"/>
      <c r="C129" s="1240">
        <f>C127+C128</f>
        <v>2212961.585030525</v>
      </c>
      <c r="D129" s="1214"/>
      <c r="E129" s="1214"/>
      <c r="F129" s="1214" t="e">
        <f>F127+F128</f>
        <v>#REF!</v>
      </c>
      <c r="G129" s="1214"/>
      <c r="H129" s="1214"/>
      <c r="I129" s="1214">
        <f>I127+I128</f>
        <v>204464.72360287557</v>
      </c>
      <c r="J129" s="1214"/>
      <c r="K129" s="1214"/>
      <c r="L129" s="1214">
        <f>L127+L128</f>
        <v>214272.72360287557</v>
      </c>
      <c r="N129" s="411"/>
      <c r="O129" s="411"/>
      <c r="P129" s="470"/>
      <c r="Q129" s="1186"/>
      <c r="R129" s="1186"/>
      <c r="S129" s="1185"/>
      <c r="T129" s="1185"/>
      <c r="U129" s="1185"/>
      <c r="V129" s="1185"/>
      <c r="W129" s="1185"/>
      <c r="X129" s="1185"/>
      <c r="Y129" s="1185"/>
      <c r="Z129" s="1185"/>
      <c r="AA129" s="1185"/>
      <c r="AB129" s="1185"/>
      <c r="AC129" s="1185"/>
      <c r="AD129" s="1185"/>
      <c r="AE129" s="1185"/>
      <c r="AF129" s="1185"/>
      <c r="AG129" s="1185"/>
      <c r="AH129" s="1185"/>
      <c r="AI129" s="1185"/>
      <c r="AK129" s="1204"/>
    </row>
    <row r="130" spans="1:37" ht="16.5" thickTop="1">
      <c r="A130" s="1219"/>
      <c r="B130" s="1242"/>
      <c r="C130" s="1225"/>
      <c r="D130" s="1225"/>
      <c r="E130" s="1225"/>
      <c r="G130" s="1219" t="s">
        <v>31</v>
      </c>
      <c r="H130" s="1219"/>
      <c r="J130" s="1219" t="s">
        <v>31</v>
      </c>
      <c r="K130" s="1219"/>
      <c r="L130" s="1203" t="s">
        <v>31</v>
      </c>
      <c r="N130" s="1185"/>
      <c r="O130" s="1185"/>
      <c r="P130" s="1186"/>
      <c r="Q130" s="1186"/>
      <c r="R130" s="1186"/>
      <c r="S130" s="1185"/>
      <c r="T130" s="1185"/>
      <c r="U130" s="1185"/>
      <c r="V130" s="1185"/>
      <c r="W130" s="1185"/>
      <c r="X130" s="1185"/>
      <c r="Y130" s="1185"/>
      <c r="Z130" s="1185"/>
      <c r="AA130" s="1185"/>
      <c r="AB130" s="1185"/>
      <c r="AC130" s="1185"/>
      <c r="AD130" s="1185"/>
      <c r="AE130" s="1185"/>
      <c r="AF130" s="1185"/>
      <c r="AG130" s="1185"/>
      <c r="AH130" s="1185"/>
      <c r="AI130" s="1185"/>
      <c r="AK130" s="1204"/>
    </row>
    <row r="131" spans="1:37">
      <c r="A131" s="1224" t="s">
        <v>386</v>
      </c>
      <c r="B131" s="1219"/>
      <c r="C131" s="1219"/>
      <c r="D131" s="1225"/>
      <c r="E131" s="1225"/>
      <c r="F131" s="1219"/>
      <c r="G131" s="1225"/>
      <c r="H131" s="1219"/>
      <c r="I131" s="1219"/>
      <c r="J131" s="1225"/>
      <c r="K131" s="1219"/>
      <c r="L131" s="1219"/>
      <c r="N131" s="1185"/>
      <c r="O131" s="1185"/>
      <c r="P131" s="1186"/>
      <c r="Q131" s="1186"/>
      <c r="R131" s="1186"/>
      <c r="S131" s="1185"/>
      <c r="T131" s="1185"/>
      <c r="U131" s="1185"/>
      <c r="V131" s="1185"/>
      <c r="W131" s="1185"/>
      <c r="X131" s="1185"/>
      <c r="Y131" s="1185"/>
      <c r="Z131" s="1185"/>
      <c r="AA131" s="1185"/>
      <c r="AB131" s="1185"/>
      <c r="AC131" s="1185"/>
      <c r="AD131" s="1185"/>
      <c r="AE131" s="1185"/>
      <c r="AF131" s="1185"/>
      <c r="AG131" s="1185"/>
      <c r="AH131" s="1185"/>
      <c r="AI131" s="1185"/>
      <c r="AK131" s="1204"/>
    </row>
    <row r="132" spans="1:37">
      <c r="A132" s="1219" t="s">
        <v>330</v>
      </c>
      <c r="B132" s="1219"/>
      <c r="C132" s="1219"/>
      <c r="D132" s="1225"/>
      <c r="E132" s="1225"/>
      <c r="F132" s="1219"/>
      <c r="G132" s="1225"/>
      <c r="H132" s="1219"/>
      <c r="I132" s="1219"/>
      <c r="J132" s="1225"/>
      <c r="K132" s="1219"/>
      <c r="L132" s="1219"/>
      <c r="N132" s="1185"/>
      <c r="O132" s="1185"/>
      <c r="P132" s="1186"/>
      <c r="Q132" s="1186"/>
      <c r="R132" s="1186"/>
      <c r="S132" s="1185"/>
      <c r="T132" s="1185"/>
      <c r="U132" s="1185"/>
      <c r="V132" s="1185"/>
      <c r="W132" s="1185"/>
      <c r="X132" s="1185"/>
      <c r="Y132" s="1185"/>
      <c r="Z132" s="1185"/>
      <c r="AA132" s="1185"/>
      <c r="AB132" s="1185"/>
      <c r="AC132" s="1185"/>
      <c r="AD132" s="1185"/>
      <c r="AE132" s="1185"/>
      <c r="AF132" s="1185"/>
      <c r="AG132" s="1185"/>
      <c r="AH132" s="1185"/>
      <c r="AI132" s="1185"/>
      <c r="AK132" s="1204"/>
    </row>
    <row r="133" spans="1:37">
      <c r="A133" s="1227"/>
      <c r="B133" s="1219"/>
      <c r="C133" s="1219"/>
      <c r="D133" s="1225"/>
      <c r="E133" s="1225"/>
      <c r="F133" s="1219"/>
      <c r="G133" s="1225"/>
      <c r="H133" s="1219"/>
      <c r="I133" s="1219"/>
      <c r="J133" s="1225"/>
      <c r="K133" s="1219"/>
      <c r="L133" s="1219"/>
      <c r="N133" s="1185"/>
      <c r="O133" s="1185"/>
      <c r="P133" s="1186"/>
      <c r="Q133" s="1186"/>
      <c r="R133" s="1186"/>
      <c r="S133" s="1185"/>
      <c r="T133" s="1185"/>
      <c r="U133" s="1185"/>
      <c r="V133" s="1185"/>
      <c r="W133" s="1185"/>
      <c r="X133" s="1185"/>
      <c r="Y133" s="1185"/>
      <c r="Z133" s="1185"/>
      <c r="AA133" s="1185"/>
      <c r="AB133" s="1185"/>
      <c r="AC133" s="1185"/>
      <c r="AD133" s="1185"/>
      <c r="AE133" s="1185"/>
      <c r="AF133" s="1185"/>
      <c r="AG133" s="1185"/>
      <c r="AH133" s="1185"/>
      <c r="AI133" s="1185"/>
      <c r="AK133" s="1204"/>
    </row>
    <row r="134" spans="1:37">
      <c r="A134" s="1219" t="s">
        <v>370</v>
      </c>
      <c r="B134" s="1219"/>
      <c r="C134" s="1225">
        <v>218</v>
      </c>
      <c r="D134" s="1229">
        <v>6</v>
      </c>
      <c r="E134" s="1219"/>
      <c r="F134" s="1203">
        <f>ROUND(D134*$C134,0)</f>
        <v>1308</v>
      </c>
      <c r="G134" s="1229">
        <v>6</v>
      </c>
      <c r="H134" s="1219"/>
      <c r="I134" s="1203">
        <f>ROUND(G134*C134,0)</f>
        <v>1308</v>
      </c>
      <c r="J134" s="1229">
        <f>$J$82</f>
        <v>7.75</v>
      </c>
      <c r="K134" s="1219"/>
      <c r="L134" s="1203">
        <f>ROUND(J134*$C134,0)</f>
        <v>1690</v>
      </c>
      <c r="N134" s="1185"/>
      <c r="O134" s="1185"/>
      <c r="P134" s="1186"/>
      <c r="Q134" s="1186"/>
      <c r="R134" s="1186"/>
      <c r="S134" s="1185"/>
      <c r="T134" s="1185"/>
      <c r="U134" s="1185"/>
      <c r="V134" s="1185"/>
      <c r="W134" s="1185"/>
      <c r="X134" s="1185"/>
      <c r="Y134" s="1185"/>
      <c r="Z134" s="1185"/>
      <c r="AA134" s="1185"/>
      <c r="AB134" s="1185"/>
      <c r="AC134" s="1185"/>
      <c r="AD134" s="1185"/>
      <c r="AE134" s="1185"/>
      <c r="AF134" s="1185"/>
      <c r="AG134" s="1185"/>
      <c r="AH134" s="1185"/>
      <c r="AI134" s="1185"/>
      <c r="AK134" s="1204"/>
    </row>
    <row r="135" spans="1:37">
      <c r="A135" s="1219" t="s">
        <v>373</v>
      </c>
      <c r="B135" s="1219"/>
      <c r="C135" s="1225">
        <v>130149</v>
      </c>
      <c r="D135" s="1230">
        <v>5.1929999999999996</v>
      </c>
      <c r="E135" s="1219" t="s">
        <v>374</v>
      </c>
      <c r="F135" s="1203">
        <f>ROUND(D135*$C135/100,0)</f>
        <v>6759</v>
      </c>
      <c r="G135" s="1230">
        <v>5.9489999999999998</v>
      </c>
      <c r="H135" s="1219" t="s">
        <v>374</v>
      </c>
      <c r="I135" s="1203">
        <f>ROUND(C135*G135/100,0)</f>
        <v>7743</v>
      </c>
      <c r="J135" s="1230">
        <f>$J$83</f>
        <v>6.1989999999999998</v>
      </c>
      <c r="K135" s="1219" t="s">
        <v>374</v>
      </c>
      <c r="L135" s="1203">
        <f>ROUND(J135*$C135/100,0)</f>
        <v>8068</v>
      </c>
      <c r="N135" s="1185"/>
      <c r="O135" s="1185"/>
      <c r="P135" s="1186"/>
      <c r="Q135" s="1186"/>
      <c r="R135" s="1186"/>
      <c r="S135" s="1185"/>
      <c r="T135" s="1185"/>
      <c r="U135" s="1185"/>
      <c r="V135" s="1185"/>
      <c r="W135" s="1185"/>
      <c r="X135" s="1185"/>
      <c r="Y135" s="1185"/>
      <c r="Z135" s="1185"/>
      <c r="AA135" s="1185"/>
      <c r="AB135" s="1185"/>
      <c r="AC135" s="1185"/>
      <c r="AD135" s="1185"/>
      <c r="AE135" s="1185"/>
      <c r="AF135" s="1185"/>
      <c r="AG135" s="1185"/>
      <c r="AH135" s="1185"/>
      <c r="AI135" s="1185"/>
      <c r="AK135" s="1204"/>
    </row>
    <row r="136" spans="1:37">
      <c r="A136" s="1219" t="s">
        <v>375</v>
      </c>
      <c r="B136" s="1219"/>
      <c r="C136" s="1225">
        <f>433385-C135</f>
        <v>303236</v>
      </c>
      <c r="D136" s="1230">
        <v>8.1929999999999996</v>
      </c>
      <c r="E136" s="1219" t="s">
        <v>374</v>
      </c>
      <c r="F136" s="1203">
        <f>ROUND(D136*$C136/100,0)</f>
        <v>24844</v>
      </c>
      <c r="G136" s="1230">
        <v>9.4159999999999986</v>
      </c>
      <c r="H136" s="1219" t="s">
        <v>374</v>
      </c>
      <c r="I136" s="1203">
        <f>ROUND(C136*G136/100,0)</f>
        <v>28553</v>
      </c>
      <c r="J136" s="1230">
        <f>$J$84</f>
        <v>9.8170000000000002</v>
      </c>
      <c r="K136" s="1219" t="s">
        <v>374</v>
      </c>
      <c r="L136" s="1203">
        <f>ROUND(J136*$C136/100,0)</f>
        <v>29769</v>
      </c>
      <c r="N136" s="1185"/>
      <c r="O136" s="1185"/>
      <c r="P136" s="1186"/>
      <c r="Q136" s="1186"/>
      <c r="R136" s="1186"/>
      <c r="S136" s="1185"/>
      <c r="T136" s="1185"/>
      <c r="U136" s="1185"/>
      <c r="V136" s="1185"/>
      <c r="W136" s="1185"/>
      <c r="X136" s="1185"/>
      <c r="Y136" s="1185"/>
      <c r="Z136" s="1185"/>
      <c r="AA136" s="1185"/>
      <c r="AB136" s="1185"/>
      <c r="AC136" s="1185"/>
      <c r="AD136" s="1185"/>
      <c r="AE136" s="1185"/>
      <c r="AF136" s="1185"/>
      <c r="AG136" s="1185"/>
      <c r="AH136" s="1185"/>
      <c r="AI136" s="1185"/>
      <c r="AK136" s="1204"/>
    </row>
    <row r="137" spans="1:37">
      <c r="A137" s="1219" t="s">
        <v>377</v>
      </c>
      <c r="B137" s="1219"/>
      <c r="C137" s="1225">
        <v>815</v>
      </c>
      <c r="D137" s="1229">
        <v>1.6</v>
      </c>
      <c r="E137" s="1219"/>
      <c r="F137" s="1203">
        <f>ROUND(D137*$C137,0)</f>
        <v>1304</v>
      </c>
      <c r="G137" s="1229">
        <v>1.65</v>
      </c>
      <c r="H137" s="1219"/>
      <c r="I137" s="1203">
        <f t="shared" ref="I137:I138" si="18">ROUND(G137*C137,0)</f>
        <v>1345</v>
      </c>
      <c r="J137" s="1229">
        <f>$J$85</f>
        <v>1.65</v>
      </c>
      <c r="K137" s="1219"/>
      <c r="L137" s="1203">
        <f>ROUND(J137*$C137,0)</f>
        <v>1345</v>
      </c>
      <c r="N137" s="1185"/>
      <c r="O137" s="1185"/>
      <c r="P137" s="1186"/>
      <c r="Q137" s="1186"/>
      <c r="R137" s="1186"/>
      <c r="S137" s="1185"/>
      <c r="T137" s="1185"/>
      <c r="U137" s="1185"/>
      <c r="V137" s="1185"/>
      <c r="W137" s="1185"/>
      <c r="X137" s="1185"/>
      <c r="Y137" s="1185"/>
      <c r="Z137" s="1185"/>
      <c r="AA137" s="1185"/>
      <c r="AB137" s="1185"/>
      <c r="AC137" s="1185"/>
      <c r="AD137" s="1185"/>
      <c r="AE137" s="1185"/>
      <c r="AF137" s="1185"/>
      <c r="AG137" s="1185"/>
      <c r="AH137" s="1185"/>
      <c r="AI137" s="1185"/>
      <c r="AK137" s="1204"/>
    </row>
    <row r="138" spans="1:37">
      <c r="A138" s="1233" t="s">
        <v>379</v>
      </c>
      <c r="B138" s="1233"/>
      <c r="C138" s="1225">
        <v>114</v>
      </c>
      <c r="D138" s="1229">
        <v>3.1</v>
      </c>
      <c r="E138" s="1233"/>
      <c r="F138" s="1203">
        <f>ROUND(D138*$C138,0)</f>
        <v>353</v>
      </c>
      <c r="G138" s="1229">
        <v>3.2</v>
      </c>
      <c r="H138" s="1233"/>
      <c r="I138" s="1203">
        <f t="shared" si="18"/>
        <v>365</v>
      </c>
      <c r="J138" s="1229">
        <f>$J$86</f>
        <v>3.2</v>
      </c>
      <c r="K138" s="1233"/>
      <c r="L138" s="1203">
        <f>ROUND(J138*$C138,0)</f>
        <v>365</v>
      </c>
      <c r="N138" s="1185"/>
      <c r="O138" s="1185"/>
      <c r="P138" s="1186"/>
      <c r="Q138" s="1186"/>
      <c r="R138" s="1186"/>
      <c r="S138" s="1185"/>
      <c r="T138" s="1185"/>
      <c r="U138" s="1185"/>
      <c r="V138" s="1185"/>
      <c r="W138" s="1185"/>
      <c r="X138" s="1185"/>
      <c r="Y138" s="1185"/>
      <c r="Z138" s="1185"/>
      <c r="AA138" s="1185"/>
      <c r="AB138" s="1185"/>
      <c r="AC138" s="1185"/>
      <c r="AD138" s="1185"/>
      <c r="AE138" s="1185"/>
      <c r="AF138" s="1185"/>
      <c r="AG138" s="1185"/>
      <c r="AH138" s="1185"/>
      <c r="AI138" s="1185"/>
      <c r="AK138" s="1204"/>
    </row>
    <row r="139" spans="1:37">
      <c r="A139" s="1233" t="s">
        <v>380</v>
      </c>
      <c r="B139" s="1233"/>
      <c r="C139" s="1225">
        <v>16</v>
      </c>
      <c r="D139" s="1234">
        <v>-1.6</v>
      </c>
      <c r="E139" s="1233"/>
      <c r="F139" s="1203">
        <f>ROUND(D139*$C139,0)</f>
        <v>-26</v>
      </c>
      <c r="G139" s="1234">
        <v>-1.65</v>
      </c>
      <c r="H139" s="1233"/>
      <c r="I139" s="1203">
        <f>ROUND(G139*C139,0)</f>
        <v>-26</v>
      </c>
      <c r="J139" s="1234">
        <f>-J137</f>
        <v>-1.65</v>
      </c>
      <c r="K139" s="1233"/>
      <c r="L139" s="1203">
        <f>ROUND(J139*$C139,0)</f>
        <v>-26</v>
      </c>
      <c r="N139" s="1185"/>
      <c r="O139" s="1185"/>
      <c r="P139" s="1186"/>
      <c r="Q139" s="1186"/>
      <c r="R139" s="1186"/>
      <c r="S139" s="1185"/>
      <c r="T139" s="1185"/>
      <c r="U139" s="1185"/>
      <c r="V139" s="1185"/>
      <c r="W139" s="1185"/>
      <c r="X139" s="1185"/>
      <c r="Y139" s="1185"/>
      <c r="Z139" s="1185"/>
      <c r="AA139" s="1185"/>
      <c r="AB139" s="1185"/>
      <c r="AC139" s="1185"/>
      <c r="AD139" s="1185"/>
      <c r="AE139" s="1185"/>
      <c r="AF139" s="1185"/>
      <c r="AG139" s="1185"/>
      <c r="AH139" s="1185"/>
      <c r="AI139" s="1185"/>
      <c r="AK139" s="1204"/>
    </row>
    <row r="140" spans="1:37">
      <c r="A140" s="1219" t="s">
        <v>381</v>
      </c>
      <c r="B140" s="1219"/>
      <c r="C140" s="1225">
        <f>SUM(C135:C136)</f>
        <v>433385</v>
      </c>
      <c r="D140" s="1236"/>
      <c r="E140" s="1203"/>
      <c r="F140" s="1203">
        <f>SUM(F134:F139)</f>
        <v>34542</v>
      </c>
      <c r="G140" s="1237"/>
      <c r="H140" s="1203"/>
      <c r="I140" s="1203">
        <f>SUM(I134:I139)</f>
        <v>39288</v>
      </c>
      <c r="J140" s="1203"/>
      <c r="K140" s="1203"/>
      <c r="L140" s="1203">
        <f>SUM(L134:L139)</f>
        <v>41211</v>
      </c>
      <c r="N140" s="1185"/>
      <c r="O140" s="1185"/>
      <c r="P140" s="1186"/>
      <c r="Q140" s="1186"/>
      <c r="R140" s="1186"/>
      <c r="S140" s="1185"/>
      <c r="T140" s="1185"/>
      <c r="U140" s="1185"/>
      <c r="V140" s="1185"/>
      <c r="W140" s="1185"/>
      <c r="X140" s="1185"/>
      <c r="Y140" s="1185"/>
      <c r="Z140" s="1185"/>
      <c r="AA140" s="1185"/>
      <c r="AB140" s="1185"/>
      <c r="AC140" s="1185"/>
      <c r="AD140" s="1185"/>
      <c r="AE140" s="1185"/>
      <c r="AF140" s="1185"/>
      <c r="AG140" s="1185"/>
      <c r="AH140" s="1185"/>
      <c r="AI140" s="1185"/>
      <c r="AK140" s="1204"/>
    </row>
    <row r="141" spans="1:37">
      <c r="A141" s="1219" t="s">
        <v>363</v>
      </c>
      <c r="B141" s="1219"/>
      <c r="C141" s="1245">
        <f>'[97]Table 2'!H16</f>
        <v>-27.758051490267285</v>
      </c>
      <c r="D141" s="1218"/>
      <c r="E141" s="1218"/>
      <c r="F141" s="1239" t="e">
        <f>#REF!</f>
        <v>#REF!</v>
      </c>
      <c r="G141" s="1218"/>
      <c r="H141" s="1218"/>
      <c r="I141" s="1239">
        <f>'[97]Table 3'!E16</f>
        <v>3.7869002045382243</v>
      </c>
      <c r="J141" s="1218"/>
      <c r="K141" s="1218"/>
      <c r="L141" s="1239">
        <f>I141</f>
        <v>3.7869002045382243</v>
      </c>
      <c r="N141" s="444"/>
      <c r="O141" s="444"/>
      <c r="P141" s="287"/>
      <c r="Q141" s="1186"/>
      <c r="R141" s="1186"/>
      <c r="S141" s="1185"/>
      <c r="T141" s="1185"/>
      <c r="U141" s="1185"/>
      <c r="V141" s="1185"/>
      <c r="W141" s="1185"/>
      <c r="X141" s="1185"/>
      <c r="Y141" s="1185"/>
      <c r="Z141" s="1185"/>
      <c r="AA141" s="1185"/>
      <c r="AB141" s="1185"/>
      <c r="AC141" s="1185"/>
      <c r="AD141" s="1185"/>
      <c r="AE141" s="1185"/>
      <c r="AF141" s="1185"/>
      <c r="AG141" s="1185"/>
      <c r="AH141" s="1185"/>
      <c r="AI141" s="1185"/>
      <c r="AK141" s="1204"/>
    </row>
    <row r="142" spans="1:37" ht="16.5" thickBot="1">
      <c r="A142" s="1219" t="s">
        <v>382</v>
      </c>
      <c r="B142" s="1219"/>
      <c r="C142" s="1240">
        <f>C140+C141</f>
        <v>433357.24194850971</v>
      </c>
      <c r="D142" s="1214"/>
      <c r="E142" s="1214"/>
      <c r="F142" s="1214" t="e">
        <f>F140+F141</f>
        <v>#REF!</v>
      </c>
      <c r="G142" s="1214"/>
      <c r="H142" s="1214"/>
      <c r="I142" s="1214">
        <f>I140+I141</f>
        <v>39291.786900204541</v>
      </c>
      <c r="J142" s="1214"/>
      <c r="K142" s="1214"/>
      <c r="L142" s="1214">
        <f>L140+L141</f>
        <v>41214.786900204541</v>
      </c>
      <c r="N142" s="411"/>
      <c r="O142" s="411"/>
      <c r="P142" s="470"/>
      <c r="Q142" s="1186"/>
      <c r="R142" s="1186"/>
      <c r="S142" s="1185"/>
      <c r="T142" s="1185"/>
      <c r="U142" s="1185"/>
      <c r="V142" s="1185"/>
      <c r="W142" s="1185"/>
      <c r="X142" s="1185"/>
      <c r="Y142" s="1185"/>
      <c r="Z142" s="1185"/>
      <c r="AA142" s="1185"/>
      <c r="AB142" s="1185"/>
      <c r="AC142" s="1185"/>
      <c r="AD142" s="1185"/>
      <c r="AE142" s="1185"/>
      <c r="AF142" s="1185"/>
      <c r="AG142" s="1185"/>
      <c r="AH142" s="1185"/>
      <c r="AI142" s="1185"/>
      <c r="AK142" s="1204"/>
    </row>
    <row r="143" spans="1:37" ht="16.5" thickTop="1">
      <c r="A143" s="1219"/>
      <c r="B143" s="1242"/>
      <c r="C143" s="1225"/>
      <c r="D143" s="1225"/>
      <c r="E143" s="1225"/>
      <c r="G143" s="1219" t="s">
        <v>31</v>
      </c>
      <c r="H143" s="1219"/>
      <c r="J143" s="1219" t="s">
        <v>31</v>
      </c>
      <c r="K143" s="1219"/>
      <c r="L143" s="1203" t="s">
        <v>31</v>
      </c>
      <c r="N143" s="1185"/>
      <c r="O143" s="1185"/>
      <c r="P143" s="1186"/>
      <c r="Q143" s="1186"/>
      <c r="R143" s="1186"/>
      <c r="S143" s="1185"/>
      <c r="T143" s="1185"/>
      <c r="U143" s="1185"/>
      <c r="V143" s="1185"/>
      <c r="W143" s="1185"/>
      <c r="X143" s="1185"/>
      <c r="Y143" s="1185"/>
      <c r="Z143" s="1185"/>
      <c r="AA143" s="1185"/>
      <c r="AB143" s="1185"/>
      <c r="AC143" s="1185"/>
      <c r="AD143" s="1185"/>
      <c r="AE143" s="1185"/>
      <c r="AF143" s="1185"/>
      <c r="AG143" s="1185"/>
      <c r="AH143" s="1185"/>
      <c r="AI143" s="1185"/>
      <c r="AK143" s="1204"/>
    </row>
    <row r="144" spans="1:37">
      <c r="A144" s="1224" t="s">
        <v>387</v>
      </c>
      <c r="B144" s="1219"/>
      <c r="C144" s="1219" t="s">
        <v>31</v>
      </c>
      <c r="D144" s="1203" t="s">
        <v>31</v>
      </c>
      <c r="E144" s="1203"/>
      <c r="F144" s="1219" t="s">
        <v>31</v>
      </c>
      <c r="G144" s="1203"/>
      <c r="H144" s="1219"/>
      <c r="I144" s="1219"/>
      <c r="J144" s="1203"/>
      <c r="K144" s="1219"/>
      <c r="L144" s="1219"/>
      <c r="N144" s="1185"/>
      <c r="O144" s="1185"/>
      <c r="P144" s="1186"/>
      <c r="Q144" s="1186"/>
      <c r="R144" s="1186"/>
      <c r="S144" s="1185"/>
      <c r="T144" s="1185"/>
      <c r="U144" s="1185"/>
      <c r="V144" s="1185"/>
      <c r="W144" s="1185"/>
      <c r="X144" s="1185"/>
      <c r="Y144" s="1185"/>
      <c r="Z144" s="1185"/>
      <c r="AA144" s="1185"/>
      <c r="AB144" s="1185"/>
      <c r="AC144" s="1185"/>
      <c r="AD144" s="1185"/>
      <c r="AE144" s="1185"/>
      <c r="AF144" s="1185"/>
      <c r="AG144" s="1185"/>
      <c r="AH144" s="1185"/>
      <c r="AI144" s="1185"/>
      <c r="AK144" s="1204"/>
    </row>
    <row r="145" spans="1:44">
      <c r="A145" s="1219" t="s">
        <v>388</v>
      </c>
      <c r="B145" s="1219"/>
      <c r="C145" s="1219"/>
      <c r="D145" s="1203"/>
      <c r="E145" s="1203"/>
      <c r="F145" s="1219"/>
      <c r="G145" s="1203"/>
      <c r="H145" s="1219"/>
      <c r="I145" s="1219"/>
      <c r="J145" s="1203"/>
      <c r="K145" s="1219"/>
      <c r="L145" s="1219"/>
      <c r="N145" s="1185"/>
      <c r="O145" s="1185"/>
      <c r="P145" s="1186"/>
      <c r="Q145" s="1186"/>
      <c r="R145" s="1186"/>
      <c r="S145" s="1185"/>
      <c r="T145" s="1185"/>
      <c r="U145" s="1185"/>
      <c r="V145" s="1185"/>
      <c r="W145" s="1185"/>
      <c r="X145" s="1185"/>
      <c r="Y145" s="1185"/>
      <c r="Z145" s="1185"/>
      <c r="AA145" s="1185"/>
      <c r="AB145" s="1185"/>
      <c r="AC145" s="1185"/>
      <c r="AD145" s="1185"/>
      <c r="AE145" s="1185"/>
      <c r="AF145" s="1185"/>
      <c r="AG145" s="1185"/>
      <c r="AH145" s="1185"/>
      <c r="AI145" s="1185"/>
      <c r="AK145" s="1204"/>
    </row>
    <row r="146" spans="1:44">
      <c r="A146" s="1219"/>
      <c r="B146" s="1219"/>
      <c r="C146" s="1219"/>
      <c r="D146" s="1203"/>
      <c r="E146" s="1203"/>
      <c r="F146" s="1219"/>
      <c r="G146" s="1203"/>
      <c r="H146" s="1219"/>
      <c r="I146" s="1219"/>
      <c r="J146" s="1203"/>
      <c r="K146" s="1219"/>
      <c r="L146" s="1219"/>
      <c r="N146" s="1185"/>
      <c r="O146" s="1185"/>
      <c r="Q146" s="1186"/>
      <c r="R146" s="1186"/>
      <c r="S146" s="1185"/>
      <c r="T146" s="1185"/>
      <c r="U146" s="1185"/>
      <c r="V146" s="1185"/>
      <c r="W146" s="1185"/>
      <c r="X146" s="1185"/>
      <c r="Y146" s="1185"/>
      <c r="Z146" s="1185"/>
      <c r="AA146" s="1185"/>
      <c r="AB146" s="1185"/>
      <c r="AC146" s="1185"/>
      <c r="AD146" s="1185"/>
      <c r="AE146" s="1185"/>
      <c r="AF146" s="1185"/>
      <c r="AG146" s="1185"/>
      <c r="AH146" s="1185"/>
      <c r="AI146" s="1185"/>
      <c r="AK146" s="1204"/>
    </row>
    <row r="147" spans="1:44">
      <c r="A147" s="1219" t="s">
        <v>389</v>
      </c>
      <c r="B147" s="1219"/>
      <c r="C147" s="1219"/>
      <c r="D147" s="1203"/>
      <c r="E147" s="1203"/>
      <c r="F147" s="1219"/>
      <c r="G147" s="1203"/>
      <c r="H147" s="1219"/>
      <c r="I147" s="1219"/>
      <c r="J147" s="1203"/>
      <c r="K147" s="1219"/>
      <c r="L147" s="1219"/>
      <c r="N147" s="1185"/>
      <c r="O147" s="1185"/>
      <c r="P147" s="1186"/>
      <c r="Q147" s="1228" t="s">
        <v>643</v>
      </c>
      <c r="R147" s="1228"/>
      <c r="S147" s="1185"/>
      <c r="T147" s="1185"/>
      <c r="U147" s="1185"/>
      <c r="V147" s="1185"/>
      <c r="W147" s="1185"/>
      <c r="X147" s="1185"/>
      <c r="Y147" s="1185"/>
      <c r="Z147" s="1185"/>
      <c r="AA147" s="1185"/>
      <c r="AB147" s="1185"/>
      <c r="AC147" s="1185"/>
      <c r="AD147" s="1185"/>
      <c r="AE147" s="1185"/>
      <c r="AF147" s="1185"/>
      <c r="AG147" s="1185"/>
      <c r="AH147" s="1185"/>
      <c r="AI147" s="1185"/>
      <c r="AK147" s="1204"/>
    </row>
    <row r="148" spans="1:44">
      <c r="A148" s="1219" t="s">
        <v>390</v>
      </c>
      <c r="B148" s="1219"/>
      <c r="C148" s="1225">
        <f>C412</f>
        <v>1</v>
      </c>
      <c r="D148" s="1229">
        <v>91.679999999999993</v>
      </c>
      <c r="E148" s="1203"/>
      <c r="F148" s="1203">
        <f t="shared" ref="F148:I150" si="19">F383</f>
        <v>92</v>
      </c>
      <c r="G148" s="1229">
        <v>104.52000000000001</v>
      </c>
      <c r="H148" s="1219"/>
      <c r="I148" s="1203">
        <f t="shared" si="19"/>
        <v>105</v>
      </c>
      <c r="J148" s="1229">
        <f>J152*12</f>
        <v>104.52000000000001</v>
      </c>
      <c r="K148" s="1219"/>
      <c r="L148" s="1203">
        <f>L383</f>
        <v>105</v>
      </c>
      <c r="N148" s="1204" t="e">
        <f>J148*#REF!</f>
        <v>#REF!</v>
      </c>
      <c r="Q148" s="55">
        <f>(J148-G148)/G148</f>
        <v>0</v>
      </c>
      <c r="R148" s="55"/>
      <c r="U148" s="1246"/>
      <c r="W148" s="1246"/>
      <c r="Y148" s="1246"/>
      <c r="Z148" s="1246"/>
      <c r="AK148" s="1185"/>
      <c r="AL148" s="1185"/>
      <c r="AM148" s="1185"/>
      <c r="AN148" s="1185"/>
      <c r="AO148" s="1185"/>
      <c r="AP148" s="1185"/>
      <c r="AR148" s="1204"/>
    </row>
    <row r="149" spans="1:44">
      <c r="A149" s="1219" t="s">
        <v>391</v>
      </c>
      <c r="B149" s="1219"/>
      <c r="C149" s="1225">
        <f>C384</f>
        <v>88.747945205479496</v>
      </c>
      <c r="D149" s="1229">
        <v>136.32</v>
      </c>
      <c r="E149" s="1203"/>
      <c r="F149" s="1203">
        <f t="shared" si="19"/>
        <v>12098</v>
      </c>
      <c r="G149" s="1229">
        <v>155.76</v>
      </c>
      <c r="H149" s="1219"/>
      <c r="I149" s="1203">
        <f t="shared" si="19"/>
        <v>13824</v>
      </c>
      <c r="J149" s="1229">
        <f>J153*12</f>
        <v>155.76</v>
      </c>
      <c r="K149" s="1219"/>
      <c r="L149" s="1203">
        <f>L384</f>
        <v>13824</v>
      </c>
      <c r="N149" s="1204" t="e">
        <f>J149*#REF!</f>
        <v>#REF!</v>
      </c>
      <c r="O149" s="1204"/>
      <c r="Q149" s="55">
        <f>(J149-G149)/G149</f>
        <v>0</v>
      </c>
      <c r="R149" s="55"/>
      <c r="T149" s="1204"/>
      <c r="U149" s="1247"/>
      <c r="V149" s="1204"/>
      <c r="W149" s="1247"/>
      <c r="X149" s="1204"/>
      <c r="Y149" s="1204"/>
      <c r="Z149" s="1247"/>
      <c r="AA149" s="801"/>
      <c r="AB149" s="1204"/>
      <c r="AC149" s="1204"/>
      <c r="AK149" s="1185"/>
      <c r="AL149" s="1185"/>
      <c r="AM149" s="1185"/>
      <c r="AN149" s="1185"/>
      <c r="AO149" s="1185"/>
      <c r="AP149" s="1185"/>
      <c r="AR149" s="1204"/>
    </row>
    <row r="150" spans="1:44">
      <c r="A150" s="1219" t="s">
        <v>392</v>
      </c>
      <c r="B150" s="1219"/>
      <c r="C150" s="1225">
        <f>C385</f>
        <v>3368.9150684931501</v>
      </c>
      <c r="D150" s="1229">
        <v>9.66</v>
      </c>
      <c r="E150" s="1203"/>
      <c r="F150" s="1203">
        <f t="shared" si="19"/>
        <v>32544</v>
      </c>
      <c r="G150" s="1229">
        <v>11.040000000000001</v>
      </c>
      <c r="H150" s="1219"/>
      <c r="I150" s="1203">
        <f t="shared" si="19"/>
        <v>37193</v>
      </c>
      <c r="J150" s="1229">
        <f>J154*12</f>
        <v>11.040000000000001</v>
      </c>
      <c r="K150" s="1219"/>
      <c r="L150" s="1203">
        <f>L385</f>
        <v>37193</v>
      </c>
      <c r="N150" s="1204" t="e">
        <f>J150*#REF!</f>
        <v>#REF!</v>
      </c>
      <c r="Q150" s="55">
        <f>(J150-G150)/G150</f>
        <v>0</v>
      </c>
      <c r="R150" s="55"/>
      <c r="T150" s="1204"/>
      <c r="U150" s="1247"/>
      <c r="V150" s="1204"/>
      <c r="W150" s="1247"/>
      <c r="X150" s="1204"/>
      <c r="Y150" s="1204"/>
      <c r="Z150" s="1247"/>
      <c r="AA150" s="801"/>
      <c r="AB150" s="1204"/>
      <c r="AC150" s="1204"/>
      <c r="AK150" s="1185"/>
      <c r="AL150" s="1185"/>
      <c r="AM150" s="1185"/>
      <c r="AN150" s="1185"/>
      <c r="AO150" s="1185"/>
      <c r="AP150" s="1185"/>
      <c r="AR150" s="1204"/>
    </row>
    <row r="151" spans="1:44">
      <c r="A151" s="1219" t="s">
        <v>393</v>
      </c>
      <c r="B151" s="1219"/>
      <c r="C151" s="1026"/>
      <c r="D151" s="1203"/>
      <c r="E151" s="1203"/>
      <c r="F151" s="1219"/>
      <c r="G151" s="1203"/>
      <c r="H151" s="1219"/>
      <c r="I151" s="1219"/>
      <c r="J151" s="1203"/>
      <c r="K151" s="1219"/>
      <c r="L151" s="1219"/>
      <c r="Q151" s="1248"/>
      <c r="R151" s="1248"/>
      <c r="T151" s="1204"/>
      <c r="U151" s="1247"/>
      <c r="V151" s="1204"/>
      <c r="W151" s="1247"/>
      <c r="X151" s="1204"/>
      <c r="Y151" s="1204"/>
      <c r="Z151" s="1247"/>
      <c r="AA151" s="801"/>
      <c r="AB151" s="1204"/>
      <c r="AC151" s="1204"/>
      <c r="AK151" s="1185"/>
      <c r="AL151" s="1185"/>
      <c r="AM151" s="1185"/>
      <c r="AN151" s="1185"/>
      <c r="AO151" s="1185"/>
      <c r="AP151" s="1185"/>
      <c r="AR151" s="1204"/>
    </row>
    <row r="152" spans="1:44">
      <c r="A152" s="1219" t="s">
        <v>390</v>
      </c>
      <c r="B152" s="1219"/>
      <c r="C152" s="1026">
        <f>C182+C295</f>
        <v>163154.29999999361</v>
      </c>
      <c r="D152" s="1229">
        <v>7.64</v>
      </c>
      <c r="E152" s="1041"/>
      <c r="F152" s="1040">
        <f>F182+F295</f>
        <v>1202713</v>
      </c>
      <c r="G152" s="1229">
        <v>8.7100000000000009</v>
      </c>
      <c r="H152" s="1009"/>
      <c r="I152" s="1040">
        <f>I182+I295</f>
        <v>1421074</v>
      </c>
      <c r="J152" s="1229">
        <f>G152</f>
        <v>8.7100000000000009</v>
      </c>
      <c r="K152" s="1009"/>
      <c r="L152" s="1040">
        <f>L182+L295</f>
        <v>1421073</v>
      </c>
      <c r="N152" s="1204" t="e">
        <f>J152*#REF!</f>
        <v>#REF!</v>
      </c>
      <c r="Q152" s="55">
        <f>(J152-G152)/G152</f>
        <v>0</v>
      </c>
      <c r="R152" s="55"/>
      <c r="T152" s="1204"/>
      <c r="U152" s="1247"/>
      <c r="V152" s="1204"/>
      <c r="W152" s="1247"/>
      <c r="X152" s="1204"/>
      <c r="Y152" s="1204"/>
      <c r="Z152" s="1247"/>
      <c r="AA152" s="801"/>
      <c r="AB152" s="1204"/>
      <c r="AC152" s="1204"/>
      <c r="AK152" s="1185"/>
      <c r="AL152" s="1185"/>
      <c r="AM152" s="1185"/>
      <c r="AN152" s="1185"/>
      <c r="AO152" s="1185"/>
      <c r="AP152" s="1185"/>
      <c r="AR152" s="1204"/>
    </row>
    <row r="153" spans="1:44">
      <c r="A153" s="1219" t="s">
        <v>391</v>
      </c>
      <c r="B153" s="1219"/>
      <c r="C153" s="1026">
        <f>C183+C296</f>
        <v>62611.199999999109</v>
      </c>
      <c r="D153" s="1229">
        <v>11.36</v>
      </c>
      <c r="E153" s="1249"/>
      <c r="F153" s="1040">
        <f>F183+F296</f>
        <v>707158</v>
      </c>
      <c r="G153" s="1229">
        <v>12.98</v>
      </c>
      <c r="H153" s="1250"/>
      <c r="I153" s="1040">
        <f>I183+I296</f>
        <v>812693</v>
      </c>
      <c r="J153" s="1229">
        <f>G153</f>
        <v>12.98</v>
      </c>
      <c r="K153" s="1250"/>
      <c r="L153" s="1040">
        <f>L183+L296</f>
        <v>812693</v>
      </c>
      <c r="N153" s="1204" t="e">
        <f>J153*#REF!</f>
        <v>#REF!</v>
      </c>
      <c r="Q153" s="55">
        <f>(J153-G153)/G153</f>
        <v>0</v>
      </c>
      <c r="R153" s="55"/>
      <c r="S153" s="1190"/>
      <c r="T153" s="1204"/>
      <c r="U153" s="1247"/>
      <c r="V153" s="1204"/>
      <c r="W153" s="1251"/>
      <c r="X153" s="1204"/>
      <c r="Y153" s="1204"/>
      <c r="Z153" s="1251"/>
      <c r="AB153" s="1185"/>
      <c r="AC153" s="1185"/>
      <c r="AD153" s="1185"/>
      <c r="AE153" s="1185"/>
      <c r="AF153" s="1185"/>
      <c r="AG153" s="1185"/>
      <c r="AH153" s="1185"/>
      <c r="AI153" s="1185"/>
      <c r="AK153" s="1204"/>
    </row>
    <row r="154" spans="1:44">
      <c r="A154" s="1219" t="s">
        <v>392</v>
      </c>
      <c r="B154" s="1219"/>
      <c r="C154" s="1026">
        <f>C184+C297</f>
        <v>1220817.5</v>
      </c>
      <c r="D154" s="1229">
        <v>0.81</v>
      </c>
      <c r="E154" s="1249"/>
      <c r="F154" s="1040">
        <f>F184+F297</f>
        <v>988060</v>
      </c>
      <c r="G154" s="1229">
        <v>0.92</v>
      </c>
      <c r="H154" s="1250"/>
      <c r="I154" s="1040">
        <f>I184+I297</f>
        <v>1123153</v>
      </c>
      <c r="J154" s="1229">
        <f>G154</f>
        <v>0.92</v>
      </c>
      <c r="K154" s="1250"/>
      <c r="L154" s="1040">
        <f>L184+L297</f>
        <v>1123153</v>
      </c>
      <c r="N154" s="1204" t="e">
        <f>J154*#REF!</f>
        <v>#REF!</v>
      </c>
      <c r="Q154" s="55">
        <f>(J154-G154)/G154</f>
        <v>0</v>
      </c>
      <c r="R154" s="55"/>
      <c r="S154" s="1190"/>
      <c r="V154" s="1252"/>
      <c r="W154" s="1252"/>
      <c r="X154" s="1252"/>
      <c r="Y154" s="1252"/>
      <c r="Z154" s="1252"/>
      <c r="AB154" s="1185"/>
      <c r="AC154" s="1185"/>
      <c r="AD154" s="1185"/>
      <c r="AE154" s="1185"/>
      <c r="AF154" s="1185"/>
      <c r="AG154" s="1185"/>
      <c r="AH154" s="1185"/>
      <c r="AI154" s="1185"/>
      <c r="AK154" s="1204"/>
    </row>
    <row r="155" spans="1:44">
      <c r="A155" s="1219" t="s">
        <v>394</v>
      </c>
      <c r="B155" s="1219"/>
      <c r="C155" s="1026">
        <f>SUM(C152:C153)</f>
        <v>225765.49999999272</v>
      </c>
      <c r="D155" s="1229"/>
      <c r="E155" s="1041"/>
      <c r="F155" s="1040"/>
      <c r="G155" s="1229"/>
      <c r="H155" s="1009"/>
      <c r="I155" s="1040"/>
      <c r="J155" s="1229"/>
      <c r="K155" s="1009"/>
      <c r="L155" s="1040"/>
      <c r="Q155" s="1248"/>
      <c r="R155" s="1248"/>
      <c r="S155" s="1190"/>
      <c r="AB155" s="1185"/>
      <c r="AC155" s="1185"/>
      <c r="AD155" s="1185"/>
      <c r="AE155" s="1185"/>
      <c r="AF155" s="1185"/>
      <c r="AG155" s="1185"/>
      <c r="AH155" s="1185"/>
      <c r="AI155" s="1185"/>
      <c r="AK155" s="1204"/>
    </row>
    <row r="156" spans="1:44">
      <c r="A156" s="1219" t="s">
        <v>362</v>
      </c>
      <c r="B156" s="1219"/>
      <c r="C156" s="1026">
        <f t="shared" ref="C156:C161" si="20">C185+C299+C387</f>
        <v>223761.49999999272</v>
      </c>
      <c r="D156" s="1229"/>
      <c r="E156" s="1041"/>
      <c r="F156" s="1040"/>
      <c r="G156" s="1229"/>
      <c r="H156" s="1009"/>
      <c r="I156" s="1040"/>
      <c r="J156" s="1229"/>
      <c r="K156" s="1009"/>
      <c r="L156" s="1040"/>
      <c r="Q156" s="1248"/>
      <c r="R156" s="1248"/>
      <c r="S156" s="1190"/>
      <c r="AB156" s="1185"/>
      <c r="AC156" s="1185"/>
      <c r="AD156" s="1185"/>
      <c r="AE156" s="1185"/>
      <c r="AF156" s="1185"/>
      <c r="AG156" s="1185"/>
      <c r="AH156" s="1185"/>
      <c r="AI156" s="1185"/>
      <c r="AK156" s="1204"/>
    </row>
    <row r="157" spans="1:44">
      <c r="A157" s="1219" t="s">
        <v>395</v>
      </c>
      <c r="B157" s="1219"/>
      <c r="C157" s="1026">
        <f t="shared" si="20"/>
        <v>794203.5</v>
      </c>
      <c r="D157" s="1229">
        <v>2.98</v>
      </c>
      <c r="E157" s="1009"/>
      <c r="F157" s="1040">
        <f>F186+F300+F388</f>
        <v>2365218</v>
      </c>
      <c r="G157" s="1229">
        <v>3.4</v>
      </c>
      <c r="H157" s="1009"/>
      <c r="I157" s="1040">
        <f>I186+I300+I388</f>
        <v>2700291</v>
      </c>
      <c r="J157" s="1229">
        <f>ROUND(G157*(1+$Q$175),2)</f>
        <v>3.61</v>
      </c>
      <c r="K157" s="1009"/>
      <c r="L157" s="1040">
        <f>L186+L300+L388</f>
        <v>2867074</v>
      </c>
      <c r="N157" s="1204" t="e">
        <f>J157*#REF!</f>
        <v>#REF!</v>
      </c>
      <c r="Q157" s="55">
        <f>(J157-G157)/G157</f>
        <v>6.176470588235293E-2</v>
      </c>
      <c r="R157" s="55"/>
      <c r="S157" s="1190"/>
      <c r="AB157" s="1185"/>
      <c r="AC157" s="1185"/>
      <c r="AD157" s="1185"/>
      <c r="AE157" s="1185"/>
      <c r="AF157" s="1185"/>
      <c r="AG157" s="1185"/>
      <c r="AH157" s="1185"/>
      <c r="AI157" s="1185"/>
      <c r="AK157" s="1204"/>
    </row>
    <row r="158" spans="1:44">
      <c r="A158" s="1219" t="s">
        <v>397</v>
      </c>
      <c r="B158" s="1219"/>
      <c r="C158" s="1026">
        <f t="shared" si="20"/>
        <v>131920471.98392698</v>
      </c>
      <c r="D158" s="1230">
        <v>8.5489999999999995</v>
      </c>
      <c r="E158" s="1009" t="s">
        <v>374</v>
      </c>
      <c r="F158" s="1040">
        <f>F187+F301+F389</f>
        <v>11121071</v>
      </c>
      <c r="G158" s="1230">
        <v>9.766</v>
      </c>
      <c r="H158" s="1009" t="s">
        <v>374</v>
      </c>
      <c r="I158" s="1040">
        <f>I187+I301+I389</f>
        <v>12883355</v>
      </c>
      <c r="J158" s="1230">
        <f>ROUND((G158)*(1+$Q$175),3)</f>
        <v>10.359</v>
      </c>
      <c r="K158" s="1009" t="s">
        <v>374</v>
      </c>
      <c r="L158" s="1040">
        <f>L187+L301+L389</f>
        <v>13665643</v>
      </c>
      <c r="N158" s="1204" t="e">
        <f>(J158/100)*#REF!</f>
        <v>#REF!</v>
      </c>
      <c r="Q158" s="55">
        <f>(J158-G158)/G158</f>
        <v>6.0720868318656564E-2</v>
      </c>
      <c r="R158" s="55"/>
      <c r="S158" s="1190"/>
      <c r="T158" s="1253"/>
      <c r="U158" s="1253"/>
      <c r="V158" s="1253"/>
      <c r="W158" s="1253"/>
      <c r="X158" s="1253"/>
      <c r="Y158" s="1253"/>
      <c r="AB158" s="1185"/>
      <c r="AC158" s="1185"/>
      <c r="AD158" s="1185"/>
      <c r="AE158" s="1185"/>
      <c r="AF158" s="1185"/>
      <c r="AG158" s="1185"/>
      <c r="AH158" s="1185"/>
      <c r="AI158" s="1185"/>
      <c r="AK158" s="1204"/>
    </row>
    <row r="159" spans="1:44">
      <c r="A159" s="1219" t="s">
        <v>398</v>
      </c>
      <c r="B159" s="1219"/>
      <c r="C159" s="1026">
        <f t="shared" si="20"/>
        <v>286256333.21862602</v>
      </c>
      <c r="D159" s="1230">
        <v>5.9020000000000001</v>
      </c>
      <c r="E159" s="1009" t="s">
        <v>374</v>
      </c>
      <c r="F159" s="1040">
        <f>F188+F302+F390</f>
        <v>16863945</v>
      </c>
      <c r="G159" s="1230">
        <v>6.7460000000000004</v>
      </c>
      <c r="H159" s="1009" t="s">
        <v>374</v>
      </c>
      <c r="I159" s="1040">
        <f>I188+I302+I390</f>
        <v>19310851</v>
      </c>
      <c r="J159" s="1230">
        <f>ROUND((G159)*(1+$Q$175),3)</f>
        <v>7.1559999999999997</v>
      </c>
      <c r="K159" s="1009" t="s">
        <v>374</v>
      </c>
      <c r="L159" s="1040">
        <f>L188+L302+L390</f>
        <v>20484503</v>
      </c>
      <c r="N159" s="1204" t="e">
        <f>(J159/100)*#REF!</f>
        <v>#REF!</v>
      </c>
      <c r="O159" s="1254"/>
      <c r="Q159" s="55">
        <f>(J159-G159)/G159</f>
        <v>6.0776756596501516E-2</v>
      </c>
      <c r="R159" s="55"/>
      <c r="S159" s="1190"/>
      <c r="AB159" s="1185"/>
      <c r="AC159" s="1185"/>
      <c r="AD159" s="1185"/>
      <c r="AE159" s="1185"/>
      <c r="AF159" s="1185"/>
      <c r="AG159" s="1185"/>
      <c r="AH159" s="1185"/>
      <c r="AI159" s="1185"/>
      <c r="AK159" s="1204"/>
    </row>
    <row r="160" spans="1:44">
      <c r="A160" s="1219" t="s">
        <v>399</v>
      </c>
      <c r="B160" s="1219"/>
      <c r="C160" s="1026">
        <f t="shared" si="20"/>
        <v>120328651.26156484</v>
      </c>
      <c r="D160" s="1230">
        <v>5.0839999999999996</v>
      </c>
      <c r="E160" s="1009" t="s">
        <v>374</v>
      </c>
      <c r="F160" s="1040">
        <f>F189+F303+F391</f>
        <v>6117509</v>
      </c>
      <c r="G160" s="1230">
        <v>5.8120000000000003</v>
      </c>
      <c r="H160" s="1009" t="s">
        <v>374</v>
      </c>
      <c r="I160" s="1040">
        <f>I189+I303+I391</f>
        <v>6993501</v>
      </c>
      <c r="J160" s="1230">
        <f>ROUND((G160)*(1+$Q$175),3)+0.001</f>
        <v>6.1660000000000004</v>
      </c>
      <c r="K160" s="1009" t="s">
        <v>374</v>
      </c>
      <c r="L160" s="1040">
        <f>L189+L303+L391</f>
        <v>7419465</v>
      </c>
      <c r="N160" s="1204" t="e">
        <f>(J160/100)*#REF!</f>
        <v>#REF!</v>
      </c>
      <c r="O160" s="1232"/>
      <c r="Q160" s="55">
        <f>(J160-G160)/G160</f>
        <v>6.0908465244322106E-2</v>
      </c>
      <c r="R160" s="55"/>
      <c r="S160" s="1190"/>
      <c r="T160" s="1204"/>
      <c r="U160" s="1204"/>
      <c r="AB160" s="1185"/>
      <c r="AC160" s="1185"/>
      <c r="AD160" s="1185"/>
      <c r="AE160" s="1185"/>
      <c r="AF160" s="1185"/>
      <c r="AG160" s="1185"/>
      <c r="AH160" s="1185"/>
      <c r="AI160" s="1185"/>
      <c r="AK160" s="1204"/>
    </row>
    <row r="161" spans="1:37">
      <c r="A161" s="1219" t="s">
        <v>400</v>
      </c>
      <c r="B161" s="1219"/>
      <c r="C161" s="1026">
        <f t="shared" si="20"/>
        <v>111858.08888888868</v>
      </c>
      <c r="D161" s="1255">
        <v>50</v>
      </c>
      <c r="E161" s="1041" t="s">
        <v>374</v>
      </c>
      <c r="F161" s="1040">
        <f>F190+F304+F392</f>
        <v>55928</v>
      </c>
      <c r="G161" s="1255">
        <v>56</v>
      </c>
      <c r="H161" s="1009" t="s">
        <v>374</v>
      </c>
      <c r="I161" s="1040">
        <f>I190+I304+I392</f>
        <v>62641</v>
      </c>
      <c r="J161" s="1255">
        <f>G161</f>
        <v>56</v>
      </c>
      <c r="K161" s="1009" t="s">
        <v>374</v>
      </c>
      <c r="L161" s="1040">
        <f>L190+L304+L392</f>
        <v>62641</v>
      </c>
      <c r="N161" s="1204" t="e">
        <f>(J161/100)*#REF!</f>
        <v>#REF!</v>
      </c>
      <c r="Q161" s="55">
        <f>(J161-G161)/G161</f>
        <v>0</v>
      </c>
      <c r="R161" s="55"/>
      <c r="S161" s="1190"/>
      <c r="AB161" s="1185"/>
      <c r="AC161" s="1185"/>
      <c r="AD161" s="1185"/>
      <c r="AE161" s="1185"/>
      <c r="AF161" s="1185"/>
      <c r="AG161" s="1185"/>
      <c r="AH161" s="1185"/>
      <c r="AI161" s="1185"/>
      <c r="AK161" s="1204"/>
    </row>
    <row r="162" spans="1:37">
      <c r="A162" s="1256" t="s">
        <v>401</v>
      </c>
      <c r="B162" s="1219"/>
      <c r="C162" s="1026"/>
      <c r="D162" s="1257">
        <v>-0.01</v>
      </c>
      <c r="E162" s="1041"/>
      <c r="F162" s="1040"/>
      <c r="G162" s="1257">
        <v>-0.01</v>
      </c>
      <c r="H162" s="1009"/>
      <c r="I162" s="1040"/>
      <c r="J162" s="1257">
        <v>-0.01</v>
      </c>
      <c r="K162" s="1009"/>
      <c r="L162" s="1040"/>
      <c r="P162" s="1258"/>
      <c r="AB162" s="1185"/>
      <c r="AC162" s="1185"/>
      <c r="AD162" s="1185"/>
      <c r="AE162" s="1185"/>
      <c r="AF162" s="1185"/>
      <c r="AG162" s="1185"/>
      <c r="AH162" s="1185"/>
      <c r="AI162" s="1185"/>
      <c r="AK162" s="1204"/>
    </row>
    <row r="163" spans="1:37">
      <c r="A163" s="1219" t="s">
        <v>390</v>
      </c>
      <c r="B163" s="1219"/>
      <c r="C163" s="1026">
        <f t="shared" ref="C163:C174" si="21">C192+C306+C394</f>
        <v>72.066666666666706</v>
      </c>
      <c r="D163" s="1259">
        <v>7.64</v>
      </c>
      <c r="E163" s="1041"/>
      <c r="F163" s="1040">
        <f t="shared" ref="F163:F174" si="22">F192+F306+F394</f>
        <v>-6</v>
      </c>
      <c r="G163" s="1259">
        <v>8.7100000000000009</v>
      </c>
      <c r="H163" s="1041"/>
      <c r="I163" s="1040">
        <f t="shared" ref="I163:I174" si="23">I192+I306+I394</f>
        <v>-6</v>
      </c>
      <c r="J163" s="1259">
        <f>J152</f>
        <v>8.7100000000000009</v>
      </c>
      <c r="K163" s="1041"/>
      <c r="L163" s="1040">
        <f t="shared" ref="L163:L173" si="24">L192+L306+L394</f>
        <v>-6</v>
      </c>
      <c r="N163" s="1204" t="e">
        <f>-(J163/100)*#REF!</f>
        <v>#REF!</v>
      </c>
      <c r="AB163" s="1185"/>
      <c r="AC163" s="1185"/>
      <c r="AD163" s="1185"/>
      <c r="AE163" s="1185"/>
      <c r="AF163" s="1185"/>
      <c r="AG163" s="1185"/>
      <c r="AH163" s="1185"/>
      <c r="AI163" s="1185"/>
      <c r="AK163" s="1204"/>
    </row>
    <row r="164" spans="1:37">
      <c r="A164" s="1219" t="s">
        <v>391</v>
      </c>
      <c r="B164" s="1219"/>
      <c r="C164" s="1026">
        <f t="shared" si="21"/>
        <v>138.7000000000001</v>
      </c>
      <c r="D164" s="1259">
        <v>11.36</v>
      </c>
      <c r="E164" s="1041"/>
      <c r="F164" s="1040">
        <f t="shared" si="22"/>
        <v>-14</v>
      </c>
      <c r="G164" s="1259">
        <v>12.98</v>
      </c>
      <c r="H164" s="1041"/>
      <c r="I164" s="1040">
        <f t="shared" si="23"/>
        <v>-17</v>
      </c>
      <c r="J164" s="1259">
        <f>J153</f>
        <v>12.98</v>
      </c>
      <c r="K164" s="1041"/>
      <c r="L164" s="1040">
        <f t="shared" si="24"/>
        <v>-17</v>
      </c>
      <c r="N164" s="1204" t="e">
        <f>-(J164/100)*#REF!</f>
        <v>#REF!</v>
      </c>
      <c r="P164" s="1231" t="s">
        <v>31</v>
      </c>
      <c r="AD164" s="1185"/>
      <c r="AE164" s="1185"/>
      <c r="AF164" s="1185"/>
      <c r="AG164" s="1185"/>
      <c r="AH164" s="1185"/>
      <c r="AI164" s="1185"/>
      <c r="AK164" s="1204"/>
    </row>
    <row r="165" spans="1:37">
      <c r="A165" s="1219" t="s">
        <v>402</v>
      </c>
      <c r="B165" s="1219"/>
      <c r="C165" s="1026">
        <f t="shared" si="21"/>
        <v>2126</v>
      </c>
      <c r="D165" s="1259">
        <v>0.81</v>
      </c>
      <c r="E165" s="1041"/>
      <c r="F165" s="1040">
        <f t="shared" si="22"/>
        <v>-17</v>
      </c>
      <c r="G165" s="1259">
        <v>0.92</v>
      </c>
      <c r="H165" s="1041"/>
      <c r="I165" s="1040">
        <f t="shared" si="23"/>
        <v>-19</v>
      </c>
      <c r="J165" s="1259">
        <f>J154</f>
        <v>0.92</v>
      </c>
      <c r="K165" s="1041"/>
      <c r="L165" s="1040">
        <f t="shared" si="24"/>
        <v>-19</v>
      </c>
      <c r="N165" s="1204" t="e">
        <f>-(J165/100)*#REF!</f>
        <v>#REF!</v>
      </c>
      <c r="Q165" s="1231" t="s">
        <v>31</v>
      </c>
      <c r="S165" s="1005" t="s">
        <v>31</v>
      </c>
      <c r="AD165" s="1185"/>
      <c r="AE165" s="1185"/>
      <c r="AF165" s="1185"/>
      <c r="AG165" s="1185"/>
      <c r="AH165" s="1185"/>
      <c r="AI165" s="1185"/>
      <c r="AK165" s="1204"/>
    </row>
    <row r="166" spans="1:37">
      <c r="A166" s="1219" t="s">
        <v>403</v>
      </c>
      <c r="B166" s="1219"/>
      <c r="C166" s="1026">
        <f t="shared" si="21"/>
        <v>844.5</v>
      </c>
      <c r="D166" s="1259">
        <v>2.98</v>
      </c>
      <c r="E166" s="1009"/>
      <c r="F166" s="1040">
        <f t="shared" si="22"/>
        <v>-25</v>
      </c>
      <c r="G166" s="1259">
        <v>3.4</v>
      </c>
      <c r="H166" s="1009"/>
      <c r="I166" s="1040">
        <f t="shared" si="23"/>
        <v>-28</v>
      </c>
      <c r="J166" s="1259">
        <f>J157</f>
        <v>3.61</v>
      </c>
      <c r="K166" s="1009"/>
      <c r="L166" s="1040">
        <f t="shared" si="24"/>
        <v>-31</v>
      </c>
      <c r="N166" s="1204" t="e">
        <f>-(J166/100)*#REF!</f>
        <v>#REF!</v>
      </c>
      <c r="R166" s="1231" t="s">
        <v>31</v>
      </c>
      <c r="AD166" s="1185"/>
      <c r="AE166" s="1185"/>
      <c r="AF166" s="1185"/>
      <c r="AG166" s="1185"/>
      <c r="AH166" s="1185"/>
      <c r="AI166" s="1185"/>
      <c r="AK166" s="1204"/>
    </row>
    <row r="167" spans="1:37">
      <c r="A167" s="1219" t="s">
        <v>405</v>
      </c>
      <c r="B167" s="1219"/>
      <c r="C167" s="1026">
        <f t="shared" si="21"/>
        <v>153019.66666666669</v>
      </c>
      <c r="D167" s="1070">
        <v>8.5489999999999995</v>
      </c>
      <c r="E167" s="1009" t="s">
        <v>374</v>
      </c>
      <c r="F167" s="1040">
        <f t="shared" si="22"/>
        <v>-130</v>
      </c>
      <c r="G167" s="1070">
        <v>9.766</v>
      </c>
      <c r="H167" s="1009" t="s">
        <v>374</v>
      </c>
      <c r="I167" s="1040">
        <f t="shared" si="23"/>
        <v>-150</v>
      </c>
      <c r="J167" s="1070">
        <f>J158</f>
        <v>10.359</v>
      </c>
      <c r="K167" s="1009" t="s">
        <v>374</v>
      </c>
      <c r="L167" s="1040">
        <f t="shared" si="24"/>
        <v>-158</v>
      </c>
      <c r="N167" s="1204" t="e">
        <f>-((J167/100)*#REF!)/100</f>
        <v>#REF!</v>
      </c>
      <c r="AD167" s="1185"/>
      <c r="AE167" s="1185"/>
      <c r="AF167" s="1185"/>
      <c r="AG167" s="1185"/>
      <c r="AH167" s="1185"/>
      <c r="AI167" s="1185"/>
      <c r="AK167" s="1204"/>
    </row>
    <row r="168" spans="1:37">
      <c r="A168" s="1219" t="s">
        <v>398</v>
      </c>
      <c r="B168" s="1219"/>
      <c r="C168" s="1026">
        <f t="shared" si="21"/>
        <v>574098.33333333279</v>
      </c>
      <c r="D168" s="1070">
        <v>5.9020000000000001</v>
      </c>
      <c r="E168" s="1009" t="s">
        <v>374</v>
      </c>
      <c r="F168" s="1040">
        <f t="shared" si="22"/>
        <v>-339</v>
      </c>
      <c r="G168" s="1070">
        <v>6.7460000000000004</v>
      </c>
      <c r="H168" s="1009" t="s">
        <v>374</v>
      </c>
      <c r="I168" s="1040">
        <f t="shared" si="23"/>
        <v>-387</v>
      </c>
      <c r="J168" s="1070">
        <f>J159</f>
        <v>7.1559999999999997</v>
      </c>
      <c r="K168" s="1009" t="s">
        <v>374</v>
      </c>
      <c r="L168" s="1040">
        <f t="shared" si="24"/>
        <v>-411</v>
      </c>
      <c r="N168" s="1204" t="e">
        <f>-((J168/100)*#REF!)/100</f>
        <v>#REF!</v>
      </c>
      <c r="AD168" s="1185"/>
      <c r="AE168" s="1185"/>
      <c r="AF168" s="1185"/>
      <c r="AG168" s="1185"/>
      <c r="AH168" s="1185"/>
      <c r="AI168" s="1185"/>
      <c r="AK168" s="1204"/>
    </row>
    <row r="169" spans="1:37">
      <c r="A169" s="1219" t="s">
        <v>399</v>
      </c>
      <c r="B169" s="1219"/>
      <c r="C169" s="1026">
        <f t="shared" si="21"/>
        <v>124578.00000000047</v>
      </c>
      <c r="D169" s="1070">
        <v>5.0839999999999996</v>
      </c>
      <c r="E169" s="1009" t="s">
        <v>374</v>
      </c>
      <c r="F169" s="1040">
        <f t="shared" si="22"/>
        <v>-63</v>
      </c>
      <c r="G169" s="1070">
        <v>5.8120000000000003</v>
      </c>
      <c r="H169" s="1009" t="s">
        <v>374</v>
      </c>
      <c r="I169" s="1040">
        <f t="shared" si="23"/>
        <v>-72</v>
      </c>
      <c r="J169" s="1070">
        <f>J160</f>
        <v>6.1660000000000004</v>
      </c>
      <c r="K169" s="1009" t="s">
        <v>374</v>
      </c>
      <c r="L169" s="1040">
        <f t="shared" si="24"/>
        <v>-77</v>
      </c>
      <c r="N169" s="1204" t="e">
        <f>-((J169/100)*#REF!)/100</f>
        <v>#REF!</v>
      </c>
      <c r="AB169" s="1185"/>
      <c r="AC169" s="1185"/>
      <c r="AD169" s="1185"/>
      <c r="AE169" s="1185"/>
      <c r="AF169" s="1185"/>
      <c r="AG169" s="1185"/>
      <c r="AH169" s="1185"/>
      <c r="AI169" s="1185"/>
      <c r="AK169" s="1204"/>
    </row>
    <row r="170" spans="1:37">
      <c r="A170" s="1219" t="s">
        <v>400</v>
      </c>
      <c r="B170" s="1219"/>
      <c r="C170" s="1026">
        <f t="shared" si="21"/>
        <v>2643.7</v>
      </c>
      <c r="D170" s="1260">
        <v>50</v>
      </c>
      <c r="E170" s="1009" t="s">
        <v>374</v>
      </c>
      <c r="F170" s="1040">
        <f t="shared" si="22"/>
        <v>-13</v>
      </c>
      <c r="G170" s="1260">
        <v>56</v>
      </c>
      <c r="H170" s="1009" t="s">
        <v>374</v>
      </c>
      <c r="I170" s="1040">
        <f t="shared" si="23"/>
        <v>-15</v>
      </c>
      <c r="J170" s="1260">
        <f>J161</f>
        <v>56</v>
      </c>
      <c r="K170" s="1009" t="s">
        <v>374</v>
      </c>
      <c r="L170" s="1040">
        <f t="shared" si="24"/>
        <v>-15</v>
      </c>
      <c r="N170" s="1204" t="e">
        <f>-((J170/100)*#REF!)/100</f>
        <v>#REF!</v>
      </c>
      <c r="AB170" s="1185"/>
      <c r="AC170" s="1185"/>
      <c r="AD170" s="1185"/>
      <c r="AE170" s="1185"/>
      <c r="AF170" s="1185"/>
      <c r="AG170" s="1185"/>
      <c r="AH170" s="1185"/>
      <c r="AI170" s="1185"/>
      <c r="AK170" s="1204"/>
    </row>
    <row r="171" spans="1:37">
      <c r="A171" s="1219" t="s">
        <v>407</v>
      </c>
      <c r="B171" s="1219"/>
      <c r="C171" s="1026">
        <f t="shared" si="21"/>
        <v>135.13333333333341</v>
      </c>
      <c r="D171" s="1261">
        <v>60</v>
      </c>
      <c r="E171" s="1041"/>
      <c r="F171" s="1040">
        <f t="shared" si="22"/>
        <v>8108</v>
      </c>
      <c r="G171" s="1261">
        <v>60</v>
      </c>
      <c r="H171" s="1009"/>
      <c r="I171" s="1040">
        <f t="shared" si="23"/>
        <v>8108</v>
      </c>
      <c r="J171" s="1261">
        <f>'[97]Blocking - detail'!$I$172</f>
        <v>60</v>
      </c>
      <c r="K171" s="1009"/>
      <c r="L171" s="1040">
        <f t="shared" si="24"/>
        <v>8108</v>
      </c>
      <c r="N171" s="1204" t="e">
        <f>J171*#REF!</f>
        <v>#REF!</v>
      </c>
      <c r="Q171" s="1231" t="s">
        <v>31</v>
      </c>
      <c r="AB171" s="1185"/>
      <c r="AC171" s="1185"/>
      <c r="AD171" s="1185"/>
      <c r="AE171" s="1185"/>
      <c r="AF171" s="1185"/>
      <c r="AG171" s="1185"/>
      <c r="AH171" s="1185"/>
      <c r="AI171" s="1185"/>
      <c r="AK171" s="1204"/>
    </row>
    <row r="172" spans="1:37">
      <c r="A172" s="1219" t="s">
        <v>408</v>
      </c>
      <c r="B172" s="1219"/>
      <c r="C172" s="1026">
        <f t="shared" si="21"/>
        <v>2126</v>
      </c>
      <c r="D172" s="1262">
        <v>-30</v>
      </c>
      <c r="E172" s="1041" t="s">
        <v>374</v>
      </c>
      <c r="F172" s="1040">
        <f t="shared" si="22"/>
        <v>-638</v>
      </c>
      <c r="G172" s="1262">
        <v>-30</v>
      </c>
      <c r="H172" s="1009" t="s">
        <v>374</v>
      </c>
      <c r="I172" s="1040">
        <f t="shared" si="23"/>
        <v>-638</v>
      </c>
      <c r="J172" s="1262">
        <f>'[97]Blocking - detail'!$I$173</f>
        <v>-30</v>
      </c>
      <c r="K172" s="1009" t="s">
        <v>374</v>
      </c>
      <c r="L172" s="1040">
        <f t="shared" si="24"/>
        <v>-638</v>
      </c>
      <c r="N172" s="1204" t="e">
        <f>(J172/100)*#REF!</f>
        <v>#REF!</v>
      </c>
      <c r="S172" s="1263"/>
      <c r="T172" s="1263"/>
      <c r="AB172" s="1185"/>
      <c r="AC172" s="1185"/>
      <c r="AD172" s="1185"/>
      <c r="AE172" s="1185"/>
      <c r="AF172" s="1185"/>
      <c r="AG172" s="1185"/>
      <c r="AH172" s="1185"/>
      <c r="AI172" s="1185"/>
      <c r="AK172" s="1204"/>
    </row>
    <row r="173" spans="1:37">
      <c r="A173" s="1219" t="s">
        <v>381</v>
      </c>
      <c r="B173" s="1202"/>
      <c r="C173" s="1026">
        <f t="shared" si="21"/>
        <v>538505456.464118</v>
      </c>
      <c r="D173" s="1255"/>
      <c r="E173" s="1203"/>
      <c r="F173" s="1040">
        <f t="shared" si="22"/>
        <v>39473199</v>
      </c>
      <c r="G173" s="1255"/>
      <c r="H173" s="1009"/>
      <c r="I173" s="1040">
        <f t="shared" si="23"/>
        <v>45365456</v>
      </c>
      <c r="J173" s="1255"/>
      <c r="K173" s="1009"/>
      <c r="L173" s="1040">
        <f t="shared" si="24"/>
        <v>47914103</v>
      </c>
      <c r="N173" s="1204" t="e">
        <f>SUM(N148:N172)</f>
        <v>#REF!</v>
      </c>
      <c r="AB173" s="1185"/>
      <c r="AC173" s="1185"/>
      <c r="AD173" s="1185"/>
      <c r="AE173" s="1185"/>
      <c r="AF173" s="1185"/>
      <c r="AG173" s="1185"/>
      <c r="AH173" s="1185"/>
      <c r="AI173" s="1185"/>
      <c r="AK173" s="1204"/>
    </row>
    <row r="174" spans="1:37">
      <c r="A174" s="1219" t="s">
        <v>363</v>
      </c>
      <c r="B174" s="25"/>
      <c r="C174" s="1028">
        <f t="shared" si="21"/>
        <v>-1109664.9810797435</v>
      </c>
      <c r="D174" s="1218"/>
      <c r="E174" s="1218"/>
      <c r="F174" s="1264" t="e">
        <f t="shared" si="22"/>
        <v>#REF!</v>
      </c>
      <c r="G174" s="1218"/>
      <c r="H174" s="1218"/>
      <c r="I174" s="1264">
        <f t="shared" si="23"/>
        <v>-104118.6695298296</v>
      </c>
      <c r="J174" s="1218"/>
      <c r="K174" s="1218"/>
      <c r="L174" s="1264">
        <f>I174</f>
        <v>-104118.6695298296</v>
      </c>
      <c r="N174" s="289"/>
      <c r="Q174" s="801"/>
      <c r="R174" s="801"/>
      <c r="AB174" s="1185"/>
      <c r="AC174" s="1185"/>
      <c r="AD174" s="1185"/>
      <c r="AE174" s="1185"/>
      <c r="AF174" s="1185"/>
      <c r="AG174" s="1185"/>
      <c r="AH174" s="1185"/>
      <c r="AI174" s="1185"/>
      <c r="AK174" s="1204"/>
    </row>
    <row r="175" spans="1:37" ht="16.5" thickBot="1">
      <c r="A175" s="1219" t="s">
        <v>382</v>
      </c>
      <c r="B175" s="1219"/>
      <c r="C175" s="1240">
        <f>SUM(C173:C174)</f>
        <v>537395791.48303831</v>
      </c>
      <c r="D175" s="1265"/>
      <c r="E175" s="1266"/>
      <c r="F175" s="1267" t="e">
        <f>F173+F174</f>
        <v>#REF!</v>
      </c>
      <c r="G175" s="1268"/>
      <c r="H175" s="1269"/>
      <c r="I175" s="1267">
        <f>I173+I174</f>
        <v>45261337.330470167</v>
      </c>
      <c r="J175" s="1270"/>
      <c r="K175" s="1269"/>
      <c r="L175" s="1267">
        <f>L173+L174</f>
        <v>47809984.330470167</v>
      </c>
      <c r="N175" s="291"/>
      <c r="O175" s="1215" t="s">
        <v>409</v>
      </c>
      <c r="P175" s="1216">
        <f>'[97]Rate Spread targets'!Q22*1000</f>
        <v>47809973.574621789</v>
      </c>
      <c r="Q175" s="828">
        <f>'[97]Rate Spread targets'!V22+0.0044</f>
        <v>6.0709344674088325E-2</v>
      </c>
      <c r="R175" s="824"/>
      <c r="S175" s="55" t="s">
        <v>31</v>
      </c>
      <c r="AB175" s="1185"/>
      <c r="AC175" s="1185"/>
      <c r="AD175" s="1185"/>
      <c r="AE175" s="1185"/>
      <c r="AF175" s="1185"/>
      <c r="AG175" s="1185"/>
      <c r="AH175" s="1185"/>
      <c r="AI175" s="1185"/>
      <c r="AK175" s="1204"/>
    </row>
    <row r="176" spans="1:37" ht="16.5" thickTop="1">
      <c r="A176" s="1219"/>
      <c r="B176" s="1219"/>
      <c r="C176" s="1225"/>
      <c r="D176" s="1261"/>
      <c r="E176" s="1203"/>
      <c r="F176" s="1203"/>
      <c r="G176" s="1261"/>
      <c r="H176" s="1219"/>
      <c r="I176" s="1203" t="s">
        <v>31</v>
      </c>
      <c r="J176" s="1261"/>
      <c r="K176" s="1219"/>
      <c r="L176" s="1203" t="s">
        <v>31</v>
      </c>
      <c r="O176" s="1220" t="s">
        <v>263</v>
      </c>
      <c r="P176" s="1221">
        <f>P175-L175</f>
        <v>-10.755848377943039</v>
      </c>
      <c r="Q176" s="1271" t="s">
        <v>31</v>
      </c>
      <c r="R176" s="1272"/>
      <c r="AB176" s="1185"/>
      <c r="AC176" s="1185"/>
      <c r="AD176" s="1185"/>
      <c r="AE176" s="1185"/>
      <c r="AF176" s="1185"/>
      <c r="AG176" s="1185"/>
      <c r="AH176" s="1185"/>
      <c r="AI176" s="1185"/>
      <c r="AK176" s="1204"/>
    </row>
    <row r="177" spans="1:37">
      <c r="A177" s="1219"/>
      <c r="B177" s="1219"/>
      <c r="C177" s="1225"/>
      <c r="D177" s="1261"/>
      <c r="E177" s="1203"/>
      <c r="F177" s="1203"/>
      <c r="G177" s="1261"/>
      <c r="H177" s="1219"/>
      <c r="I177" s="1203"/>
      <c r="J177" s="1261"/>
      <c r="K177" s="1219"/>
      <c r="AB177" s="1185"/>
      <c r="AC177" s="1185"/>
      <c r="AD177" s="1185"/>
      <c r="AE177" s="1185"/>
      <c r="AF177" s="1185"/>
      <c r="AG177" s="1185"/>
      <c r="AH177" s="1185"/>
      <c r="AI177" s="1185"/>
      <c r="AK177" s="1204"/>
    </row>
    <row r="178" spans="1:37">
      <c r="A178" s="1224" t="s">
        <v>387</v>
      </c>
      <c r="B178" s="1219"/>
      <c r="C178" s="1219"/>
      <c r="D178" s="1203"/>
      <c r="E178" s="1203"/>
      <c r="F178" s="1219" t="s">
        <v>31</v>
      </c>
      <c r="G178" s="1203"/>
      <c r="H178" s="1219"/>
      <c r="I178" s="1219"/>
      <c r="J178" s="1203"/>
      <c r="K178" s="1219"/>
      <c r="L178" s="1219"/>
      <c r="P178" s="1273" t="s">
        <v>31</v>
      </c>
      <c r="Q178" s="55"/>
      <c r="R178" s="55"/>
      <c r="AB178" s="1185"/>
      <c r="AC178" s="1185"/>
      <c r="AD178" s="1185"/>
      <c r="AE178" s="1185"/>
      <c r="AF178" s="1185"/>
      <c r="AG178" s="1185"/>
      <c r="AH178" s="1185"/>
      <c r="AI178" s="1185"/>
      <c r="AK178" s="1204"/>
    </row>
    <row r="179" spans="1:37">
      <c r="A179" s="1219" t="s">
        <v>410</v>
      </c>
      <c r="B179" s="1219"/>
      <c r="C179" s="1219"/>
      <c r="D179" s="1203"/>
      <c r="E179" s="1203"/>
      <c r="F179" s="1219"/>
      <c r="G179" s="1203"/>
      <c r="H179" s="1219"/>
      <c r="I179" s="1219"/>
      <c r="J179" s="1203"/>
      <c r="K179" s="1219"/>
      <c r="L179" s="1219"/>
      <c r="N179" s="1274"/>
      <c r="O179" s="1274"/>
      <c r="P179" s="1186"/>
      <c r="Q179" s="1186"/>
      <c r="R179" s="1186"/>
      <c r="S179" s="1185"/>
      <c r="T179" s="1185"/>
      <c r="U179" s="1185"/>
      <c r="V179" s="1185"/>
      <c r="W179" s="1185"/>
      <c r="X179" s="1185"/>
      <c r="Y179" s="1185"/>
      <c r="Z179" s="1185"/>
      <c r="AA179" s="1185"/>
      <c r="AB179" s="1185"/>
      <c r="AC179" s="1185"/>
      <c r="AD179" s="1185"/>
      <c r="AE179" s="1185"/>
      <c r="AF179" s="1185"/>
      <c r="AG179" s="1185"/>
      <c r="AH179" s="1185"/>
      <c r="AI179" s="1185"/>
      <c r="AK179" s="1204"/>
    </row>
    <row r="180" spans="1:37">
      <c r="A180" s="1219"/>
      <c r="B180" s="1219"/>
      <c r="C180" s="1219"/>
      <c r="D180" s="1203"/>
      <c r="E180" s="1203"/>
      <c r="F180" s="1219"/>
      <c r="G180" s="1203"/>
      <c r="H180" s="1219"/>
      <c r="I180" s="1219"/>
      <c r="J180" s="1203"/>
      <c r="K180" s="1219"/>
      <c r="L180" s="1219"/>
      <c r="N180" s="1274"/>
      <c r="O180" s="1274"/>
      <c r="P180" s="1186"/>
      <c r="Q180" s="1186"/>
      <c r="R180" s="1186"/>
      <c r="S180" s="1185"/>
      <c r="T180" s="1185"/>
      <c r="U180" s="1185"/>
      <c r="V180" s="1185"/>
      <c r="W180" s="1185"/>
      <c r="X180" s="1185"/>
      <c r="Y180" s="1185"/>
      <c r="Z180" s="1185"/>
      <c r="AA180" s="1185"/>
      <c r="AB180" s="1185"/>
      <c r="AC180" s="1185"/>
      <c r="AD180" s="1185"/>
      <c r="AE180" s="1185"/>
      <c r="AF180" s="1185"/>
      <c r="AG180" s="1185"/>
      <c r="AH180" s="1185"/>
      <c r="AI180" s="1185"/>
      <c r="AK180" s="1204"/>
    </row>
    <row r="181" spans="1:37">
      <c r="A181" s="1219" t="s">
        <v>393</v>
      </c>
      <c r="B181" s="1219"/>
      <c r="C181" s="1026"/>
      <c r="D181" s="1203"/>
      <c r="E181" s="1203"/>
      <c r="F181" s="1219"/>
      <c r="G181" s="1203"/>
      <c r="H181" s="1219"/>
      <c r="I181" s="1219"/>
      <c r="J181" s="1203"/>
      <c r="K181" s="1219"/>
      <c r="L181" s="1219"/>
      <c r="N181" s="1185"/>
      <c r="O181" s="1185"/>
      <c r="P181" s="1186"/>
      <c r="Q181" s="1186"/>
      <c r="R181" s="1186"/>
      <c r="S181" s="1185"/>
      <c r="T181" s="1185"/>
      <c r="U181" s="1185"/>
      <c r="V181" s="1185"/>
      <c r="W181" s="1185"/>
      <c r="X181" s="1185"/>
      <c r="Y181" s="1185"/>
      <c r="Z181" s="1185"/>
      <c r="AA181" s="1185"/>
      <c r="AB181" s="1185"/>
      <c r="AC181" s="1185"/>
      <c r="AD181" s="1185"/>
      <c r="AE181" s="1185"/>
      <c r="AF181" s="1185"/>
      <c r="AG181" s="1185"/>
      <c r="AH181" s="1185"/>
      <c r="AI181" s="1185"/>
      <c r="AK181" s="1204"/>
    </row>
    <row r="182" spans="1:37">
      <c r="A182" s="1219" t="s">
        <v>390</v>
      </c>
      <c r="B182" s="1219"/>
      <c r="C182" s="1026">
        <f>C239+C267+C210</f>
        <v>158636.29999999361</v>
      </c>
      <c r="D182" s="1229">
        <v>7.64</v>
      </c>
      <c r="E182" s="1041"/>
      <c r="F182" s="1203">
        <f>F239+F267</f>
        <v>1168196</v>
      </c>
      <c r="G182" s="1229">
        <v>8.7100000000000009</v>
      </c>
      <c r="H182" s="1009"/>
      <c r="I182" s="1203">
        <f>I239+I267+I210</f>
        <v>1381722</v>
      </c>
      <c r="J182" s="1229">
        <f>$J$152</f>
        <v>8.7100000000000009</v>
      </c>
      <c r="K182" s="1009"/>
      <c r="L182" s="1203">
        <f>L239+L267+L210</f>
        <v>1381722</v>
      </c>
      <c r="N182" s="1185"/>
      <c r="O182" s="1185"/>
      <c r="P182" s="1186"/>
      <c r="Q182" s="1186"/>
      <c r="R182" s="1186"/>
      <c r="S182" s="1185"/>
      <c r="T182" s="1185"/>
      <c r="U182" s="1185"/>
      <c r="V182" s="1185"/>
      <c r="W182" s="1185"/>
      <c r="X182" s="1185"/>
      <c r="Y182" s="1185"/>
      <c r="Z182" s="1185"/>
      <c r="AA182" s="1185"/>
      <c r="AB182" s="1185"/>
      <c r="AC182" s="1185"/>
      <c r="AD182" s="1185"/>
      <c r="AE182" s="1185"/>
      <c r="AF182" s="1185"/>
      <c r="AG182" s="1185"/>
      <c r="AH182" s="1185"/>
      <c r="AI182" s="1185"/>
      <c r="AK182" s="1204"/>
    </row>
    <row r="183" spans="1:37">
      <c r="A183" s="1219" t="s">
        <v>391</v>
      </c>
      <c r="B183" s="1219"/>
      <c r="C183" s="1026">
        <f>C240+C268+C211</f>
        <v>62611.199999999109</v>
      </c>
      <c r="D183" s="1229">
        <v>11.36</v>
      </c>
      <c r="E183" s="1249"/>
      <c r="F183" s="1203">
        <f>F240+F268</f>
        <v>707158</v>
      </c>
      <c r="G183" s="1229">
        <v>12.98</v>
      </c>
      <c r="H183" s="1250"/>
      <c r="I183" s="1203">
        <f>I240+I268+I211</f>
        <v>812693</v>
      </c>
      <c r="J183" s="1229">
        <f>$J$153</f>
        <v>12.98</v>
      </c>
      <c r="K183" s="1250"/>
      <c r="L183" s="1203">
        <f>L240+L268+L211</f>
        <v>812693</v>
      </c>
      <c r="N183" s="1185"/>
      <c r="O183" s="1185"/>
      <c r="P183" s="1186"/>
      <c r="Q183" s="1186"/>
      <c r="R183" s="1186"/>
      <c r="S183" s="1185"/>
      <c r="T183" s="1185"/>
      <c r="U183" s="1185"/>
      <c r="V183" s="1185"/>
      <c r="W183" s="1185"/>
      <c r="X183" s="1185"/>
      <c r="Y183" s="1185"/>
      <c r="Z183" s="1185"/>
      <c r="AA183" s="1185"/>
      <c r="AB183" s="1185"/>
      <c r="AC183" s="1185"/>
      <c r="AD183" s="1185"/>
      <c r="AE183" s="1185"/>
      <c r="AF183" s="1185"/>
      <c r="AG183" s="1185"/>
      <c r="AH183" s="1185"/>
      <c r="AI183" s="1185"/>
      <c r="AK183" s="1204"/>
    </row>
    <row r="184" spans="1:37">
      <c r="A184" s="1219" t="s">
        <v>392</v>
      </c>
      <c r="B184" s="1219"/>
      <c r="C184" s="1026">
        <f>C241+C269+C212</f>
        <v>1220817.5</v>
      </c>
      <c r="D184" s="1229">
        <v>0.81</v>
      </c>
      <c r="E184" s="1249"/>
      <c r="F184" s="1203">
        <f>F241+F269</f>
        <v>988060</v>
      </c>
      <c r="G184" s="1229">
        <v>0.92</v>
      </c>
      <c r="H184" s="1250"/>
      <c r="I184" s="1203">
        <f>I241+I269+I212</f>
        <v>1123153</v>
      </c>
      <c r="J184" s="1229">
        <f>$J$154</f>
        <v>0.92</v>
      </c>
      <c r="K184" s="1250"/>
      <c r="L184" s="1203">
        <f>L241+L269+L212</f>
        <v>1123153</v>
      </c>
      <c r="N184" s="1185"/>
      <c r="O184" s="1185"/>
      <c r="P184" s="1186"/>
      <c r="Q184" s="1186"/>
      <c r="R184" s="1186"/>
      <c r="S184" s="1185"/>
      <c r="T184" s="1185"/>
      <c r="U184" s="1185"/>
      <c r="V184" s="1185"/>
      <c r="W184" s="1185"/>
      <c r="X184" s="1185"/>
      <c r="Y184" s="1185"/>
      <c r="Z184" s="1185"/>
      <c r="AA184" s="1185"/>
      <c r="AB184" s="1185"/>
      <c r="AC184" s="1185"/>
      <c r="AD184" s="1185"/>
      <c r="AE184" s="1185"/>
      <c r="AF184" s="1185"/>
      <c r="AG184" s="1185"/>
      <c r="AH184" s="1185"/>
      <c r="AI184" s="1185"/>
      <c r="AK184" s="1204"/>
    </row>
    <row r="185" spans="1:37">
      <c r="A185" s="1219" t="s">
        <v>394</v>
      </c>
      <c r="B185" s="1219"/>
      <c r="C185" s="1026">
        <f>SUM(C182:C183)</f>
        <v>221247.49999999272</v>
      </c>
      <c r="D185" s="1229"/>
      <c r="E185" s="1041"/>
      <c r="F185" s="1203"/>
      <c r="G185" s="1229"/>
      <c r="H185" s="1009"/>
      <c r="I185" s="1203"/>
      <c r="J185" s="1229"/>
      <c r="K185" s="1009"/>
      <c r="L185" s="1203"/>
      <c r="N185" s="1185"/>
      <c r="O185" s="1185"/>
      <c r="P185" s="1186"/>
      <c r="Q185" s="1186"/>
      <c r="R185" s="1186"/>
      <c r="S185" s="1185"/>
      <c r="T185" s="1185"/>
      <c r="U185" s="1185"/>
      <c r="V185" s="1185"/>
      <c r="W185" s="1185"/>
      <c r="X185" s="1185"/>
      <c r="Y185" s="1185"/>
      <c r="Z185" s="1185"/>
      <c r="AA185" s="1185"/>
      <c r="AB185" s="1185"/>
      <c r="AC185" s="1185"/>
      <c r="AD185" s="1185"/>
      <c r="AE185" s="1185"/>
      <c r="AF185" s="1185"/>
      <c r="AG185" s="1185"/>
      <c r="AH185" s="1185"/>
      <c r="AI185" s="1185"/>
      <c r="AK185" s="1204"/>
    </row>
    <row r="186" spans="1:37">
      <c r="A186" s="1219" t="s">
        <v>395</v>
      </c>
      <c r="B186" s="1219"/>
      <c r="C186" s="1026">
        <f>C243+C271+C214</f>
        <v>781307.5</v>
      </c>
      <c r="D186" s="1261">
        <v>2.98</v>
      </c>
      <c r="E186" s="1009"/>
      <c r="F186" s="1203">
        <f>F243+F271</f>
        <v>2326788</v>
      </c>
      <c r="G186" s="1261">
        <v>3.4</v>
      </c>
      <c r="H186" s="1009"/>
      <c r="I186" s="1203">
        <f>I243+I271+I214</f>
        <v>2656445</v>
      </c>
      <c r="J186" s="1261">
        <f>$J$157</f>
        <v>3.61</v>
      </c>
      <c r="K186" s="1009"/>
      <c r="L186" s="1203">
        <f>L243+L271+L214</f>
        <v>2820520</v>
      </c>
      <c r="N186" s="1185"/>
      <c r="O186" s="1185"/>
      <c r="P186" s="1186"/>
      <c r="Q186" s="1186"/>
      <c r="R186" s="1186"/>
      <c r="S186" s="1185"/>
      <c r="T186" s="1185"/>
      <c r="U186" s="1185"/>
      <c r="V186" s="1185"/>
      <c r="W186" s="1185"/>
      <c r="X186" s="1185"/>
      <c r="Y186" s="1185"/>
      <c r="Z186" s="1185"/>
      <c r="AA186" s="1185"/>
      <c r="AB186" s="1185"/>
      <c r="AC186" s="1185"/>
      <c r="AD186" s="1185"/>
      <c r="AE186" s="1185"/>
      <c r="AF186" s="1185"/>
      <c r="AG186" s="1185"/>
      <c r="AH186" s="1185"/>
      <c r="AI186" s="1185"/>
      <c r="AK186" s="1204"/>
    </row>
    <row r="187" spans="1:37">
      <c r="A187" s="1219" t="s">
        <v>397</v>
      </c>
      <c r="B187" s="1219"/>
      <c r="C187" s="1026">
        <f>C244+C272+C215</f>
        <v>130571195.98392698</v>
      </c>
      <c r="D187" s="1230">
        <v>8.5489999999999995</v>
      </c>
      <c r="E187" s="1009" t="s">
        <v>374</v>
      </c>
      <c r="F187" s="1203">
        <f>F244+F272</f>
        <v>11005721</v>
      </c>
      <c r="G187" s="1230">
        <v>9.766</v>
      </c>
      <c r="H187" s="1009" t="s">
        <v>374</v>
      </c>
      <c r="I187" s="1203">
        <f>I244+I272+I215</f>
        <v>12751584</v>
      </c>
      <c r="J187" s="1230">
        <f>$J$158</f>
        <v>10.359</v>
      </c>
      <c r="K187" s="1009" t="s">
        <v>374</v>
      </c>
      <c r="L187" s="1203">
        <f>L244+L272+L215</f>
        <v>13525871</v>
      </c>
      <c r="N187" s="1185"/>
      <c r="O187" s="1185"/>
      <c r="P187" s="1186"/>
      <c r="Q187" s="1186"/>
      <c r="R187" s="1186"/>
      <c r="S187" s="1185"/>
      <c r="T187" s="1185"/>
      <c r="U187" s="1185"/>
      <c r="V187" s="1185"/>
      <c r="W187" s="1185"/>
      <c r="X187" s="1185"/>
      <c r="Y187" s="1185"/>
      <c r="Z187" s="1185"/>
      <c r="AA187" s="1185"/>
      <c r="AB187" s="1185"/>
      <c r="AC187" s="1185"/>
      <c r="AD187" s="1185"/>
      <c r="AE187" s="1185"/>
      <c r="AF187" s="1185"/>
      <c r="AG187" s="1185"/>
      <c r="AH187" s="1185"/>
      <c r="AI187" s="1185"/>
      <c r="AK187" s="1204"/>
    </row>
    <row r="188" spans="1:37">
      <c r="A188" s="1219" t="s">
        <v>398</v>
      </c>
      <c r="B188" s="1219"/>
      <c r="C188" s="1026">
        <f>C245+C273+C216</f>
        <v>286080284.21862602</v>
      </c>
      <c r="D188" s="1230">
        <v>5.9020000000000001</v>
      </c>
      <c r="E188" s="1009" t="s">
        <v>374</v>
      </c>
      <c r="F188" s="1203">
        <f>F245+F273</f>
        <v>16853555</v>
      </c>
      <c r="G188" s="1230">
        <v>6.7460000000000004</v>
      </c>
      <c r="H188" s="1009" t="s">
        <v>374</v>
      </c>
      <c r="I188" s="1203">
        <f>I245+I273+I216</f>
        <v>19298975</v>
      </c>
      <c r="J188" s="1230">
        <f>$J$159</f>
        <v>7.1559999999999997</v>
      </c>
      <c r="K188" s="1009" t="s">
        <v>374</v>
      </c>
      <c r="L188" s="1203">
        <f>L245+L273+L216</f>
        <v>20471905</v>
      </c>
      <c r="N188" s="1185"/>
      <c r="O188" s="1185"/>
      <c r="P188" s="1186"/>
      <c r="Q188" s="1186"/>
      <c r="R188" s="1186"/>
      <c r="S188" s="1185"/>
      <c r="T188" s="1185"/>
      <c r="U188" s="1185"/>
      <c r="V188" s="1185"/>
      <c r="W188" s="1185"/>
      <c r="X188" s="1185"/>
      <c r="Y188" s="1185"/>
      <c r="Z188" s="1185"/>
      <c r="AA188" s="1185"/>
      <c r="AB188" s="1185"/>
      <c r="AC188" s="1185"/>
      <c r="AD188" s="1185"/>
      <c r="AE188" s="1185"/>
      <c r="AF188" s="1185"/>
      <c r="AG188" s="1185"/>
      <c r="AH188" s="1185"/>
      <c r="AI188" s="1185"/>
      <c r="AK188" s="1204"/>
    </row>
    <row r="189" spans="1:37">
      <c r="A189" s="1219" t="s">
        <v>399</v>
      </c>
      <c r="B189" s="1219"/>
      <c r="C189" s="1026">
        <f>C246+C274+C217</f>
        <v>120193838.26156484</v>
      </c>
      <c r="D189" s="1230">
        <v>5.0839999999999996</v>
      </c>
      <c r="E189" s="1009" t="s">
        <v>374</v>
      </c>
      <c r="F189" s="1203">
        <f>F246+F274</f>
        <v>6110655</v>
      </c>
      <c r="G189" s="1230">
        <v>5.8120000000000003</v>
      </c>
      <c r="H189" s="1009" t="s">
        <v>374</v>
      </c>
      <c r="I189" s="1203">
        <f>I246+I274+I217</f>
        <v>6985666</v>
      </c>
      <c r="J189" s="1230">
        <f>$J$160</f>
        <v>6.1660000000000004</v>
      </c>
      <c r="K189" s="1009" t="s">
        <v>374</v>
      </c>
      <c r="L189" s="1203">
        <f>L246+L274+L217</f>
        <v>7411152</v>
      </c>
      <c r="N189" s="1185"/>
      <c r="O189" s="1185"/>
      <c r="P189" s="1186"/>
      <c r="Q189" s="1186"/>
      <c r="R189" s="1186"/>
      <c r="S189" s="1185"/>
      <c r="T189" s="1185"/>
      <c r="U189" s="1185"/>
      <c r="V189" s="1185"/>
      <c r="W189" s="1185"/>
      <c r="X189" s="1185"/>
      <c r="Y189" s="1185"/>
      <c r="Z189" s="1185"/>
      <c r="AA189" s="1185"/>
      <c r="AB189" s="1185"/>
      <c r="AC189" s="1185"/>
      <c r="AD189" s="1185"/>
      <c r="AE189" s="1185"/>
      <c r="AF189" s="1185"/>
      <c r="AG189" s="1185"/>
      <c r="AH189" s="1185"/>
      <c r="AI189" s="1185"/>
      <c r="AK189" s="1204"/>
    </row>
    <row r="190" spans="1:37">
      <c r="A190" s="1219" t="s">
        <v>400</v>
      </c>
      <c r="B190" s="1219"/>
      <c r="C190" s="1026">
        <f>C247+C275+C218</f>
        <v>110441.09999999979</v>
      </c>
      <c r="D190" s="1255">
        <v>50</v>
      </c>
      <c r="E190" s="1041" t="s">
        <v>374</v>
      </c>
      <c r="F190" s="1203">
        <f>F247+F275</f>
        <v>55220</v>
      </c>
      <c r="G190" s="1255">
        <v>56</v>
      </c>
      <c r="H190" s="1009" t="s">
        <v>374</v>
      </c>
      <c r="I190" s="1203">
        <f>I247+I275+I218</f>
        <v>61847</v>
      </c>
      <c r="J190" s="1255">
        <f>$J$161</f>
        <v>56</v>
      </c>
      <c r="K190" s="1009" t="s">
        <v>374</v>
      </c>
      <c r="L190" s="1203">
        <f>L247+L275+L218</f>
        <v>61847</v>
      </c>
      <c r="N190" s="1185"/>
      <c r="O190" s="1185"/>
      <c r="P190" s="1186"/>
      <c r="Q190" s="1186"/>
      <c r="R190" s="1186"/>
      <c r="S190" s="1185"/>
      <c r="T190" s="1185"/>
      <c r="U190" s="1185"/>
      <c r="V190" s="1185"/>
      <c r="W190" s="1185"/>
      <c r="X190" s="1185"/>
      <c r="Y190" s="1185"/>
      <c r="Z190" s="1185"/>
      <c r="AA190" s="1185"/>
      <c r="AB190" s="1185"/>
      <c r="AC190" s="1185"/>
      <c r="AD190" s="1185"/>
      <c r="AE190" s="1185"/>
      <c r="AF190" s="1185"/>
      <c r="AG190" s="1185"/>
      <c r="AH190" s="1185"/>
      <c r="AI190" s="1185"/>
      <c r="AK190" s="1204"/>
    </row>
    <row r="191" spans="1:37">
      <c r="A191" s="1256" t="s">
        <v>401</v>
      </c>
      <c r="B191" s="1219"/>
      <c r="C191" s="1026"/>
      <c r="D191" s="1257">
        <v>-0.01</v>
      </c>
      <c r="E191" s="1041"/>
      <c r="F191" s="1203"/>
      <c r="G191" s="1257">
        <v>-0.01</v>
      </c>
      <c r="H191" s="1009"/>
      <c r="I191" s="1203"/>
      <c r="J191" s="1257">
        <v>-0.01</v>
      </c>
      <c r="K191" s="1009"/>
      <c r="L191" s="1203"/>
      <c r="N191" s="1185"/>
      <c r="O191" s="1185"/>
      <c r="P191" s="1186"/>
      <c r="Q191" s="1186"/>
      <c r="R191" s="1186"/>
      <c r="S191" s="1185"/>
      <c r="T191" s="1185"/>
      <c r="U191" s="1185"/>
      <c r="V191" s="1185"/>
      <c r="W191" s="1185"/>
      <c r="X191" s="1185"/>
      <c r="Y191" s="1185"/>
      <c r="Z191" s="1185"/>
      <c r="AA191" s="1185"/>
      <c r="AB191" s="1185"/>
      <c r="AC191" s="1185"/>
      <c r="AD191" s="1185"/>
      <c r="AE191" s="1185"/>
      <c r="AF191" s="1185"/>
      <c r="AG191" s="1185"/>
      <c r="AH191" s="1185"/>
      <c r="AI191" s="1185"/>
      <c r="AK191" s="1204"/>
    </row>
    <row r="192" spans="1:37">
      <c r="A192" s="1219" t="s">
        <v>390</v>
      </c>
      <c r="B192" s="1219"/>
      <c r="C192" s="1026">
        <f t="shared" ref="C192:C202" si="25">C249+C277+C220</f>
        <v>72.066666666666706</v>
      </c>
      <c r="D192" s="1259">
        <v>7.64</v>
      </c>
      <c r="E192" s="1041"/>
      <c r="F192" s="1203">
        <f t="shared" ref="F192:F203" si="26">F249+F277</f>
        <v>-6</v>
      </c>
      <c r="G192" s="1259">
        <v>8.7100000000000009</v>
      </c>
      <c r="H192" s="1041"/>
      <c r="I192" s="1203">
        <f t="shared" ref="I192:I202" si="27">I249+I277+I220</f>
        <v>-6</v>
      </c>
      <c r="J192" s="1259">
        <f>J182</f>
        <v>8.7100000000000009</v>
      </c>
      <c r="K192" s="1041"/>
      <c r="L192" s="1203">
        <f t="shared" ref="L192:L202" si="28">L249+L277+L220</f>
        <v>-6</v>
      </c>
      <c r="N192" s="1185"/>
      <c r="O192" s="1185"/>
      <c r="P192" s="1186"/>
      <c r="Q192" s="1186"/>
      <c r="R192" s="1186"/>
      <c r="S192" s="1185"/>
      <c r="T192" s="1185"/>
      <c r="U192" s="1185"/>
      <c r="V192" s="1185"/>
      <c r="W192" s="1185"/>
      <c r="X192" s="1185"/>
      <c r="Y192" s="1185"/>
      <c r="Z192" s="1185"/>
      <c r="AA192" s="1185"/>
      <c r="AB192" s="1185"/>
      <c r="AC192" s="1185"/>
      <c r="AD192" s="1185"/>
      <c r="AE192" s="1185"/>
      <c r="AF192" s="1185"/>
      <c r="AG192" s="1185"/>
      <c r="AH192" s="1185"/>
      <c r="AI192" s="1185"/>
      <c r="AK192" s="1204"/>
    </row>
    <row r="193" spans="1:37">
      <c r="A193" s="1219" t="s">
        <v>391</v>
      </c>
      <c r="B193" s="1219"/>
      <c r="C193" s="1026">
        <f t="shared" si="25"/>
        <v>138.7000000000001</v>
      </c>
      <c r="D193" s="1259">
        <v>11.36</v>
      </c>
      <c r="E193" s="1041"/>
      <c r="F193" s="1203">
        <f t="shared" si="26"/>
        <v>-14</v>
      </c>
      <c r="G193" s="1259">
        <v>12.98</v>
      </c>
      <c r="H193" s="1041"/>
      <c r="I193" s="1203">
        <f t="shared" si="27"/>
        <v>-17</v>
      </c>
      <c r="J193" s="1259">
        <f>J183</f>
        <v>12.98</v>
      </c>
      <c r="K193" s="1041"/>
      <c r="L193" s="1203">
        <f t="shared" si="28"/>
        <v>-17</v>
      </c>
      <c r="N193" s="1185"/>
      <c r="O193" s="1185"/>
      <c r="P193" s="1186"/>
      <c r="Q193" s="1186"/>
      <c r="R193" s="1186"/>
      <c r="S193" s="1185"/>
      <c r="T193" s="1185"/>
      <c r="U193" s="1185"/>
      <c r="V193" s="1185"/>
      <c r="W193" s="1185"/>
      <c r="X193" s="1185"/>
      <c r="Y193" s="1185"/>
      <c r="Z193" s="1185"/>
      <c r="AA193" s="1185"/>
      <c r="AB193" s="1185"/>
      <c r="AC193" s="1185"/>
      <c r="AD193" s="1185"/>
      <c r="AE193" s="1185"/>
      <c r="AF193" s="1185"/>
      <c r="AG193" s="1185"/>
      <c r="AH193" s="1185"/>
      <c r="AI193" s="1185"/>
      <c r="AK193" s="1204"/>
    </row>
    <row r="194" spans="1:37">
      <c r="A194" s="1219" t="s">
        <v>402</v>
      </c>
      <c r="B194" s="1219"/>
      <c r="C194" s="1026">
        <f t="shared" si="25"/>
        <v>2126</v>
      </c>
      <c r="D194" s="1259">
        <v>0.81</v>
      </c>
      <c r="E194" s="1041"/>
      <c r="F194" s="1203">
        <f t="shared" si="26"/>
        <v>-17</v>
      </c>
      <c r="G194" s="1259">
        <v>0.92</v>
      </c>
      <c r="H194" s="1041"/>
      <c r="I194" s="1203">
        <f t="shared" si="27"/>
        <v>-19</v>
      </c>
      <c r="J194" s="1259">
        <f>J184</f>
        <v>0.92</v>
      </c>
      <c r="K194" s="1041"/>
      <c r="L194" s="1203">
        <f t="shared" si="28"/>
        <v>-19</v>
      </c>
      <c r="N194" s="1185"/>
      <c r="O194" s="1185"/>
      <c r="P194" s="1186"/>
      <c r="Q194" s="1186"/>
      <c r="R194" s="1186"/>
      <c r="S194" s="1185"/>
      <c r="T194" s="1185"/>
      <c r="U194" s="1185"/>
      <c r="V194" s="1185"/>
      <c r="W194" s="1185"/>
      <c r="X194" s="1185"/>
      <c r="Y194" s="1185"/>
      <c r="Z194" s="1185"/>
      <c r="AA194" s="1185"/>
      <c r="AB194" s="1185"/>
      <c r="AC194" s="1185"/>
      <c r="AD194" s="1185"/>
      <c r="AE194" s="1185"/>
      <c r="AF194" s="1185"/>
      <c r="AG194" s="1185"/>
      <c r="AH194" s="1185"/>
      <c r="AI194" s="1185"/>
      <c r="AK194" s="1204"/>
    </row>
    <row r="195" spans="1:37">
      <c r="A195" s="1219" t="s">
        <v>403</v>
      </c>
      <c r="B195" s="1219"/>
      <c r="C195" s="1026">
        <f t="shared" si="25"/>
        <v>844.5</v>
      </c>
      <c r="D195" s="1259">
        <v>2.98</v>
      </c>
      <c r="E195" s="1009"/>
      <c r="F195" s="1203">
        <f t="shared" si="26"/>
        <v>-25</v>
      </c>
      <c r="G195" s="1259">
        <v>3.4</v>
      </c>
      <c r="H195" s="1009"/>
      <c r="I195" s="1203">
        <f t="shared" si="27"/>
        <v>-28</v>
      </c>
      <c r="J195" s="1259">
        <f>J186</f>
        <v>3.61</v>
      </c>
      <c r="K195" s="1009"/>
      <c r="L195" s="1203">
        <f t="shared" si="28"/>
        <v>-31</v>
      </c>
      <c r="N195" s="1185"/>
      <c r="O195" s="1185"/>
      <c r="P195" s="1186"/>
      <c r="Q195" s="1186"/>
      <c r="R195" s="1186"/>
      <c r="S195" s="1185"/>
      <c r="T195" s="1185"/>
      <c r="U195" s="1185"/>
      <c r="V195" s="1185"/>
      <c r="W195" s="1185"/>
      <c r="X195" s="1185"/>
      <c r="Y195" s="1185"/>
      <c r="Z195" s="1185"/>
      <c r="AA195" s="1185"/>
      <c r="AB195" s="1185"/>
      <c r="AC195" s="1185"/>
      <c r="AD195" s="1185"/>
      <c r="AE195" s="1185"/>
      <c r="AF195" s="1185"/>
      <c r="AG195" s="1185"/>
      <c r="AH195" s="1185"/>
      <c r="AI195" s="1185"/>
      <c r="AK195" s="1204"/>
    </row>
    <row r="196" spans="1:37">
      <c r="A196" s="1219" t="s">
        <v>405</v>
      </c>
      <c r="B196" s="1219"/>
      <c r="C196" s="1026">
        <f t="shared" si="25"/>
        <v>153019.66666666669</v>
      </c>
      <c r="D196" s="1070">
        <v>8.5489999999999995</v>
      </c>
      <c r="E196" s="1009" t="s">
        <v>374</v>
      </c>
      <c r="F196" s="1203">
        <f t="shared" si="26"/>
        <v>-130</v>
      </c>
      <c r="G196" s="1070">
        <v>9.766</v>
      </c>
      <c r="H196" s="1009" t="s">
        <v>374</v>
      </c>
      <c r="I196" s="1203">
        <f t="shared" si="27"/>
        <v>-150</v>
      </c>
      <c r="J196" s="1070">
        <f>J187</f>
        <v>10.359</v>
      </c>
      <c r="K196" s="1009" t="s">
        <v>374</v>
      </c>
      <c r="L196" s="1203">
        <f t="shared" si="28"/>
        <v>-158</v>
      </c>
      <c r="N196" s="1185"/>
      <c r="O196" s="1185"/>
      <c r="P196" s="1186"/>
      <c r="Q196" s="1186"/>
      <c r="R196" s="1186"/>
      <c r="S196" s="1185"/>
      <c r="T196" s="1185"/>
      <c r="U196" s="1185"/>
      <c r="V196" s="1185"/>
      <c r="W196" s="1185"/>
      <c r="X196" s="1185"/>
      <c r="Y196" s="1185"/>
      <c r="Z196" s="1185"/>
      <c r="AA196" s="1185"/>
      <c r="AB196" s="1185"/>
      <c r="AC196" s="1185"/>
      <c r="AD196" s="1185"/>
      <c r="AE196" s="1185"/>
      <c r="AF196" s="1185"/>
      <c r="AG196" s="1185"/>
      <c r="AH196" s="1185"/>
      <c r="AI196" s="1185"/>
      <c r="AK196" s="1204"/>
    </row>
    <row r="197" spans="1:37">
      <c r="A197" s="1219" t="s">
        <v>398</v>
      </c>
      <c r="B197" s="1219"/>
      <c r="C197" s="1026">
        <f t="shared" si="25"/>
        <v>574098.33333333279</v>
      </c>
      <c r="D197" s="1070">
        <v>5.9020000000000001</v>
      </c>
      <c r="E197" s="1009" t="s">
        <v>374</v>
      </c>
      <c r="F197" s="1203">
        <f t="shared" si="26"/>
        <v>-339</v>
      </c>
      <c r="G197" s="1070">
        <v>6.7460000000000004</v>
      </c>
      <c r="H197" s="1009" t="s">
        <v>374</v>
      </c>
      <c r="I197" s="1203">
        <f t="shared" si="27"/>
        <v>-387</v>
      </c>
      <c r="J197" s="1070">
        <f>J188</f>
        <v>7.1559999999999997</v>
      </c>
      <c r="K197" s="1009" t="s">
        <v>374</v>
      </c>
      <c r="L197" s="1203">
        <f t="shared" si="28"/>
        <v>-411</v>
      </c>
      <c r="N197" s="1185"/>
      <c r="O197" s="1185"/>
      <c r="P197" s="1186"/>
      <c r="Q197" s="1186"/>
      <c r="R197" s="1186"/>
      <c r="S197" s="1185"/>
      <c r="T197" s="1185"/>
      <c r="U197" s="1185"/>
      <c r="V197" s="1185"/>
      <c r="W197" s="1185"/>
      <c r="X197" s="1185"/>
      <c r="Y197" s="1185"/>
      <c r="Z197" s="1185"/>
      <c r="AA197" s="1185"/>
      <c r="AB197" s="1185"/>
      <c r="AC197" s="1185"/>
      <c r="AD197" s="1185"/>
      <c r="AE197" s="1185"/>
      <c r="AF197" s="1185"/>
      <c r="AG197" s="1185"/>
      <c r="AH197" s="1185"/>
      <c r="AI197" s="1185"/>
      <c r="AK197" s="1204"/>
    </row>
    <row r="198" spans="1:37">
      <c r="A198" s="1219" t="s">
        <v>399</v>
      </c>
      <c r="B198" s="1219"/>
      <c r="C198" s="1026">
        <f t="shared" si="25"/>
        <v>124578.00000000047</v>
      </c>
      <c r="D198" s="1070">
        <v>5.0839999999999996</v>
      </c>
      <c r="E198" s="1009" t="s">
        <v>374</v>
      </c>
      <c r="F198" s="1203">
        <f t="shared" si="26"/>
        <v>-63</v>
      </c>
      <c r="G198" s="1070">
        <v>5.8120000000000003</v>
      </c>
      <c r="H198" s="1009" t="s">
        <v>374</v>
      </c>
      <c r="I198" s="1203">
        <f t="shared" si="27"/>
        <v>-72</v>
      </c>
      <c r="J198" s="1070">
        <f>J189</f>
        <v>6.1660000000000004</v>
      </c>
      <c r="K198" s="1009" t="s">
        <v>374</v>
      </c>
      <c r="L198" s="1203">
        <f t="shared" si="28"/>
        <v>-77</v>
      </c>
      <c r="N198" s="1185"/>
      <c r="O198" s="1185"/>
      <c r="P198" s="1186"/>
      <c r="Q198" s="1186"/>
      <c r="R198" s="1186"/>
      <c r="S198" s="1185"/>
      <c r="T198" s="1185"/>
      <c r="U198" s="1185"/>
      <c r="V198" s="1185"/>
      <c r="W198" s="1185"/>
      <c r="X198" s="1185"/>
      <c r="Y198" s="1185"/>
      <c r="Z198" s="1185"/>
      <c r="AA198" s="1185"/>
      <c r="AB198" s="1185"/>
      <c r="AC198" s="1185"/>
      <c r="AD198" s="1185"/>
      <c r="AE198" s="1185"/>
      <c r="AF198" s="1185"/>
      <c r="AG198" s="1185"/>
      <c r="AH198" s="1185"/>
      <c r="AI198" s="1185"/>
      <c r="AK198" s="1204"/>
    </row>
    <row r="199" spans="1:37">
      <c r="A199" s="1219" t="s">
        <v>400</v>
      </c>
      <c r="B199" s="1219"/>
      <c r="C199" s="1026">
        <f t="shared" si="25"/>
        <v>2643.7</v>
      </c>
      <c r="D199" s="1260">
        <v>50</v>
      </c>
      <c r="E199" s="1009" t="s">
        <v>374</v>
      </c>
      <c r="F199" s="1203">
        <f t="shared" si="26"/>
        <v>-13</v>
      </c>
      <c r="G199" s="1260">
        <v>56</v>
      </c>
      <c r="H199" s="1009" t="s">
        <v>374</v>
      </c>
      <c r="I199" s="1203">
        <f t="shared" si="27"/>
        <v>-15</v>
      </c>
      <c r="J199" s="1260">
        <f>J190</f>
        <v>56</v>
      </c>
      <c r="K199" s="1009" t="s">
        <v>374</v>
      </c>
      <c r="L199" s="1203">
        <f t="shared" si="28"/>
        <v>-15</v>
      </c>
      <c r="N199" s="1185"/>
      <c r="O199" s="1185"/>
      <c r="P199" s="1186"/>
      <c r="Q199" s="1186"/>
      <c r="R199" s="1186"/>
      <c r="S199" s="1185"/>
      <c r="T199" s="1185"/>
      <c r="U199" s="1185"/>
      <c r="V199" s="1185"/>
      <c r="W199" s="1185"/>
      <c r="X199" s="1185"/>
      <c r="Y199" s="1185"/>
      <c r="Z199" s="1185"/>
      <c r="AA199" s="1185"/>
      <c r="AB199" s="1185"/>
      <c r="AC199" s="1185"/>
      <c r="AD199" s="1185"/>
      <c r="AE199" s="1185"/>
      <c r="AF199" s="1185"/>
      <c r="AG199" s="1185"/>
      <c r="AH199" s="1185"/>
      <c r="AI199" s="1185"/>
      <c r="AK199" s="1204"/>
    </row>
    <row r="200" spans="1:37">
      <c r="A200" s="1219" t="s">
        <v>407</v>
      </c>
      <c r="B200" s="1219"/>
      <c r="C200" s="1026">
        <f t="shared" si="25"/>
        <v>135.13333333333341</v>
      </c>
      <c r="D200" s="1261">
        <v>60</v>
      </c>
      <c r="E200" s="1041"/>
      <c r="F200" s="1203">
        <f t="shared" si="26"/>
        <v>8108</v>
      </c>
      <c r="G200" s="1261">
        <v>60</v>
      </c>
      <c r="H200" s="1009"/>
      <c r="I200" s="1203">
        <f t="shared" si="27"/>
        <v>8108</v>
      </c>
      <c r="J200" s="1261">
        <f>$J$171</f>
        <v>60</v>
      </c>
      <c r="K200" s="1009"/>
      <c r="L200" s="1203">
        <f t="shared" si="28"/>
        <v>8108</v>
      </c>
      <c r="N200" s="1185"/>
      <c r="O200" s="1185"/>
      <c r="P200" s="1186"/>
      <c r="Q200" s="1186"/>
      <c r="R200" s="1186"/>
      <c r="S200" s="1185"/>
      <c r="T200" s="1185"/>
      <c r="U200" s="1185"/>
      <c r="V200" s="1185"/>
      <c r="W200" s="1185"/>
      <c r="X200" s="1185"/>
      <c r="Y200" s="1185"/>
      <c r="Z200" s="1185"/>
      <c r="AA200" s="1185"/>
      <c r="AB200" s="1185"/>
      <c r="AC200" s="1185"/>
      <c r="AD200" s="1185"/>
      <c r="AE200" s="1185"/>
      <c r="AF200" s="1185"/>
      <c r="AG200" s="1185"/>
      <c r="AH200" s="1185"/>
      <c r="AI200" s="1185"/>
      <c r="AK200" s="1204"/>
    </row>
    <row r="201" spans="1:37">
      <c r="A201" s="1219" t="s">
        <v>408</v>
      </c>
      <c r="B201" s="1219"/>
      <c r="C201" s="1026">
        <f t="shared" si="25"/>
        <v>2126</v>
      </c>
      <c r="D201" s="1262">
        <v>-30</v>
      </c>
      <c r="E201" s="1041" t="s">
        <v>374</v>
      </c>
      <c r="F201" s="1203">
        <f t="shared" si="26"/>
        <v>-638</v>
      </c>
      <c r="G201" s="1262">
        <v>-30</v>
      </c>
      <c r="H201" s="1009" t="s">
        <v>374</v>
      </c>
      <c r="I201" s="1203">
        <f t="shared" si="27"/>
        <v>-638</v>
      </c>
      <c r="J201" s="1262">
        <f>$J$172</f>
        <v>-30</v>
      </c>
      <c r="K201" s="1009" t="s">
        <v>374</v>
      </c>
      <c r="L201" s="1203">
        <f t="shared" si="28"/>
        <v>-638</v>
      </c>
      <c r="N201" s="1185"/>
      <c r="O201" s="1185"/>
      <c r="P201" s="1186"/>
      <c r="Q201" s="1186"/>
      <c r="R201" s="1186"/>
      <c r="S201" s="1185"/>
      <c r="T201" s="1185"/>
      <c r="U201" s="1185"/>
      <c r="V201" s="1185"/>
      <c r="W201" s="1185"/>
      <c r="X201" s="1185"/>
      <c r="Y201" s="1185"/>
      <c r="Z201" s="1185"/>
      <c r="AA201" s="1185"/>
      <c r="AB201" s="1185"/>
      <c r="AC201" s="1185"/>
      <c r="AD201" s="1185"/>
      <c r="AE201" s="1185"/>
      <c r="AF201" s="1185"/>
      <c r="AG201" s="1185"/>
      <c r="AH201" s="1185"/>
      <c r="AI201" s="1185"/>
      <c r="AK201" s="1204"/>
    </row>
    <row r="202" spans="1:37">
      <c r="A202" s="1219" t="s">
        <v>381</v>
      </c>
      <c r="B202" s="1202"/>
      <c r="C202" s="1026">
        <f t="shared" si="25"/>
        <v>536845318.46411794</v>
      </c>
      <c r="D202" s="1255"/>
      <c r="E202" s="1203"/>
      <c r="F202" s="1203">
        <f t="shared" si="26"/>
        <v>39222216</v>
      </c>
      <c r="G202" s="1255"/>
      <c r="H202" s="1009"/>
      <c r="I202" s="1203">
        <f t="shared" si="27"/>
        <v>45078861</v>
      </c>
      <c r="J202" s="1255"/>
      <c r="K202" s="1009"/>
      <c r="L202" s="1203">
        <f t="shared" si="28"/>
        <v>47615599</v>
      </c>
      <c r="N202" s="1185"/>
      <c r="O202" s="1185"/>
      <c r="P202" s="1186"/>
      <c r="Q202" s="1186"/>
      <c r="R202" s="1186"/>
      <c r="S202" s="1185"/>
      <c r="T202" s="1185"/>
      <c r="U202" s="1185"/>
      <c r="V202" s="1185"/>
      <c r="W202" s="1185"/>
      <c r="X202" s="1185"/>
      <c r="Y202" s="1185"/>
      <c r="Z202" s="1185"/>
      <c r="AA202" s="1185"/>
      <c r="AB202" s="1185"/>
      <c r="AC202" s="1185"/>
      <c r="AD202" s="1185"/>
      <c r="AE202" s="1185"/>
      <c r="AF202" s="1185"/>
      <c r="AG202" s="1185"/>
      <c r="AH202" s="1185"/>
      <c r="AI202" s="1185"/>
      <c r="AK202" s="1204"/>
    </row>
    <row r="203" spans="1:37">
      <c r="A203" s="1219" t="s">
        <v>363</v>
      </c>
      <c r="B203" s="347"/>
      <c r="C203" s="1028">
        <f>C231+C260+C288</f>
        <v>-1106026.6645171219</v>
      </c>
      <c r="D203" s="1218"/>
      <c r="E203" s="1218"/>
      <c r="F203" s="1264" t="e">
        <f t="shared" si="26"/>
        <v>#REF!</v>
      </c>
      <c r="G203" s="1218"/>
      <c r="H203" s="1218"/>
      <c r="I203" s="1264">
        <f>I231+I260+I288</f>
        <v>-103523.14773000471</v>
      </c>
      <c r="J203" s="1218"/>
      <c r="K203" s="1218"/>
      <c r="L203" s="1264">
        <f>I203</f>
        <v>-103523.14773000471</v>
      </c>
      <c r="N203" s="444"/>
      <c r="O203" s="444"/>
      <c r="P203" s="287"/>
      <c r="Q203" s="1186"/>
      <c r="R203" s="1186"/>
      <c r="S203" s="1185"/>
      <c r="T203" s="1185"/>
      <c r="U203" s="1185"/>
      <c r="V203" s="1185"/>
      <c r="W203" s="1185"/>
      <c r="X203" s="1185"/>
      <c r="Y203" s="1185"/>
      <c r="Z203" s="1185"/>
      <c r="AA203" s="1185"/>
      <c r="AB203" s="1185"/>
      <c r="AC203" s="1185"/>
      <c r="AD203" s="1185"/>
      <c r="AE203" s="1185"/>
      <c r="AF203" s="1185"/>
      <c r="AG203" s="1185"/>
      <c r="AH203" s="1185"/>
      <c r="AI203" s="1185"/>
      <c r="AK203" s="1204"/>
    </row>
    <row r="204" spans="1:37" ht="16.5" thickBot="1">
      <c r="A204" s="1219" t="s">
        <v>382</v>
      </c>
      <c r="B204" s="1219"/>
      <c r="C204" s="1240">
        <f>SUM(C202:C203)</f>
        <v>535739291.79960084</v>
      </c>
      <c r="D204" s="1265"/>
      <c r="E204" s="1266"/>
      <c r="F204" s="1267" t="e">
        <f>F202+F203</f>
        <v>#REF!</v>
      </c>
      <c r="G204" s="1265"/>
      <c r="H204" s="1269"/>
      <c r="I204" s="1267">
        <f>I202+I203</f>
        <v>44975337.852269992</v>
      </c>
      <c r="J204" s="1265"/>
      <c r="K204" s="1269"/>
      <c r="L204" s="1267">
        <f>L202+L203</f>
        <v>47512075.852269992</v>
      </c>
      <c r="N204" s="411"/>
      <c r="O204" s="411"/>
      <c r="P204" s="470"/>
      <c r="Q204" s="1186"/>
      <c r="R204" s="1186"/>
      <c r="S204" s="1185"/>
      <c r="T204" s="1185"/>
      <c r="U204" s="1185"/>
      <c r="V204" s="1185"/>
      <c r="W204" s="1185"/>
      <c r="X204" s="1185"/>
      <c r="Y204" s="1185"/>
      <c r="Z204" s="1185"/>
      <c r="AA204" s="1185"/>
      <c r="AB204" s="1185"/>
      <c r="AC204" s="1185"/>
      <c r="AD204" s="1185"/>
      <c r="AE204" s="1185"/>
      <c r="AF204" s="1185"/>
      <c r="AG204" s="1185"/>
      <c r="AH204" s="1185"/>
      <c r="AI204" s="1185"/>
      <c r="AK204" s="1204"/>
    </row>
    <row r="205" spans="1:37" ht="16.5" thickTop="1">
      <c r="A205" s="1219"/>
      <c r="B205" s="1219"/>
      <c r="C205" s="1225"/>
      <c r="D205" s="1261"/>
      <c r="E205" s="1203"/>
      <c r="F205" s="1203"/>
      <c r="G205" s="1261"/>
      <c r="H205" s="1219"/>
      <c r="I205" s="1203"/>
      <c r="J205" s="1261"/>
      <c r="K205" s="1219"/>
      <c r="L205" s="1203" t="s">
        <v>31</v>
      </c>
      <c r="N205" s="1185"/>
      <c r="O205" s="1185"/>
      <c r="P205" s="1186"/>
      <c r="Q205" s="1186"/>
      <c r="R205" s="1186"/>
      <c r="S205" s="1185"/>
      <c r="T205" s="1185"/>
      <c r="U205" s="1185"/>
      <c r="V205" s="1185"/>
      <c r="W205" s="1185"/>
      <c r="X205" s="1185"/>
      <c r="Y205" s="1185"/>
      <c r="Z205" s="1185"/>
      <c r="AA205" s="1185"/>
      <c r="AB205" s="1185"/>
      <c r="AC205" s="1185"/>
      <c r="AD205" s="1185"/>
      <c r="AE205" s="1185"/>
      <c r="AF205" s="1185"/>
      <c r="AG205" s="1185"/>
      <c r="AH205" s="1185"/>
      <c r="AI205" s="1185"/>
      <c r="AK205" s="1204"/>
    </row>
    <row r="206" spans="1:37">
      <c r="A206" s="1224" t="s">
        <v>387</v>
      </c>
      <c r="B206" s="1219"/>
      <c r="C206" s="1219"/>
      <c r="D206" s="1203"/>
      <c r="E206" s="1203"/>
      <c r="F206" s="1219" t="s">
        <v>31</v>
      </c>
      <c r="G206" s="1203"/>
      <c r="H206" s="1219"/>
      <c r="I206" s="1219"/>
      <c r="J206" s="1203"/>
      <c r="K206" s="1219"/>
      <c r="L206" s="1219"/>
      <c r="N206" s="1185"/>
      <c r="O206" s="1185"/>
      <c r="P206" s="1186"/>
      <c r="Q206" s="1186"/>
      <c r="R206" s="1186"/>
      <c r="S206" s="1185"/>
      <c r="T206" s="1185"/>
      <c r="U206" s="1185"/>
      <c r="V206" s="1185"/>
      <c r="W206" s="1185"/>
      <c r="X206" s="1185"/>
      <c r="Y206" s="1185"/>
      <c r="Z206" s="1185"/>
      <c r="AA206" s="1185"/>
      <c r="AB206" s="1185"/>
      <c r="AC206" s="1185"/>
      <c r="AD206" s="1185"/>
      <c r="AE206" s="1185"/>
      <c r="AF206" s="1185"/>
      <c r="AG206" s="1185"/>
      <c r="AH206" s="1185"/>
      <c r="AI206" s="1185"/>
      <c r="AK206" s="1204"/>
    </row>
    <row r="207" spans="1:37">
      <c r="A207" s="1219" t="s">
        <v>782</v>
      </c>
      <c r="B207" s="1219"/>
      <c r="C207" s="1219"/>
      <c r="D207" s="1203"/>
      <c r="E207" s="1203"/>
      <c r="F207" s="1219"/>
      <c r="G207" s="1203"/>
      <c r="H207" s="1219"/>
      <c r="I207" s="1219"/>
      <c r="J207" s="1203"/>
      <c r="K207" s="1219"/>
      <c r="L207" s="1219"/>
      <c r="N207" s="1185"/>
      <c r="O207" s="1185"/>
      <c r="P207" s="1186"/>
      <c r="Q207" s="1186"/>
      <c r="R207" s="1186"/>
      <c r="S207" s="1185"/>
      <c r="T207" s="1185"/>
      <c r="U207" s="1185"/>
      <c r="V207" s="1185"/>
      <c r="W207" s="1185"/>
      <c r="X207" s="1185"/>
      <c r="Y207" s="1185"/>
      <c r="Z207" s="1185"/>
      <c r="AA207" s="1185"/>
      <c r="AB207" s="1185"/>
      <c r="AC207" s="1185"/>
      <c r="AD207" s="1185"/>
      <c r="AE207" s="1185"/>
      <c r="AF207" s="1185"/>
      <c r="AG207" s="1185"/>
      <c r="AH207" s="1185"/>
      <c r="AI207" s="1185"/>
      <c r="AK207" s="1204"/>
    </row>
    <row r="208" spans="1:37">
      <c r="A208" s="1243" t="s">
        <v>31</v>
      </c>
      <c r="B208" s="1219"/>
      <c r="C208" s="1225"/>
      <c r="D208" s="1203"/>
      <c r="E208" s="1203"/>
      <c r="F208" s="1219"/>
      <c r="G208" s="1203"/>
      <c r="H208" s="1219"/>
      <c r="I208" s="1219"/>
      <c r="J208" s="1203"/>
      <c r="K208" s="1219"/>
      <c r="L208" s="1219"/>
      <c r="N208" s="1185"/>
      <c r="O208" s="1185"/>
      <c r="P208" s="1186"/>
      <c r="Q208" s="1186"/>
      <c r="R208" s="1186"/>
      <c r="S208" s="1185"/>
      <c r="T208" s="1185"/>
      <c r="U208" s="1185"/>
      <c r="V208" s="1185"/>
      <c r="W208" s="1185"/>
      <c r="X208" s="1185"/>
      <c r="Y208" s="1185"/>
      <c r="Z208" s="1185"/>
      <c r="AA208" s="1185"/>
      <c r="AB208" s="1185"/>
      <c r="AC208" s="1185"/>
      <c r="AD208" s="1185"/>
      <c r="AE208" s="1185"/>
      <c r="AF208" s="1185"/>
      <c r="AG208" s="1185"/>
      <c r="AH208" s="1185"/>
      <c r="AI208" s="1185"/>
      <c r="AK208" s="1204"/>
    </row>
    <row r="209" spans="1:37">
      <c r="A209" s="1219" t="s">
        <v>393</v>
      </c>
      <c r="B209" s="1219"/>
      <c r="C209" s="1026"/>
      <c r="D209" s="1203"/>
      <c r="E209" s="1203"/>
      <c r="F209" s="1219"/>
      <c r="G209" s="1203"/>
      <c r="H209" s="1219"/>
      <c r="I209" s="1219"/>
      <c r="J209" s="1203"/>
      <c r="K209" s="1219"/>
      <c r="L209" s="1219"/>
      <c r="N209" s="1185"/>
      <c r="O209" s="1185"/>
      <c r="P209" s="1186"/>
      <c r="Q209" s="1186"/>
      <c r="R209" s="1186"/>
      <c r="S209" s="1185"/>
      <c r="T209" s="1185"/>
      <c r="U209" s="1185"/>
      <c r="V209" s="1185"/>
      <c r="W209" s="1185"/>
      <c r="X209" s="1185"/>
      <c r="Y209" s="1185"/>
      <c r="Z209" s="1185"/>
      <c r="AA209" s="1185"/>
      <c r="AB209" s="1185"/>
      <c r="AC209" s="1185"/>
      <c r="AD209" s="1185"/>
      <c r="AE209" s="1185"/>
      <c r="AF209" s="1185"/>
      <c r="AG209" s="1185"/>
      <c r="AH209" s="1185"/>
      <c r="AI209" s="1185"/>
      <c r="AK209" s="1204"/>
    </row>
    <row r="210" spans="1:37">
      <c r="A210" s="1219" t="s">
        <v>390</v>
      </c>
      <c r="B210" s="1219"/>
      <c r="C210" s="1026">
        <v>5731.1333333333296</v>
      </c>
      <c r="D210" s="1229">
        <v>7.64</v>
      </c>
      <c r="E210" s="1041"/>
      <c r="F210" s="1203">
        <f>ROUND(D210*$C210,0)</f>
        <v>43786</v>
      </c>
      <c r="G210" s="1229">
        <v>8.7100000000000009</v>
      </c>
      <c r="H210" s="1009"/>
      <c r="I210" s="1203">
        <f>ROUND(G210*$C210,0)</f>
        <v>49918</v>
      </c>
      <c r="J210" s="1229">
        <f>$J$152</f>
        <v>8.7100000000000009</v>
      </c>
      <c r="K210" s="1009"/>
      <c r="L210" s="1203">
        <f>ROUND(J210*$C210,0)</f>
        <v>49918</v>
      </c>
      <c r="N210" s="1185"/>
      <c r="O210" s="1185"/>
      <c r="P210" s="1186"/>
      <c r="Q210" s="1186"/>
      <c r="R210" s="1186"/>
      <c r="S210" s="1185"/>
      <c r="T210" s="1185"/>
      <c r="U210" s="1185"/>
      <c r="V210" s="1185"/>
      <c r="W210" s="1185"/>
      <c r="X210" s="1185"/>
      <c r="Y210" s="1185"/>
      <c r="Z210" s="1185"/>
      <c r="AA210" s="1185"/>
      <c r="AB210" s="1185"/>
      <c r="AC210" s="1185"/>
      <c r="AD210" s="1185"/>
      <c r="AE210" s="1185"/>
      <c r="AF210" s="1185"/>
      <c r="AG210" s="1185"/>
      <c r="AH210" s="1185"/>
      <c r="AI210" s="1185"/>
      <c r="AK210" s="1204"/>
    </row>
    <row r="211" spans="1:37">
      <c r="A211" s="1219" t="s">
        <v>391</v>
      </c>
      <c r="B211" s="1219"/>
      <c r="C211" s="1026">
        <v>361.36666666666633</v>
      </c>
      <c r="D211" s="1229">
        <v>11.36</v>
      </c>
      <c r="E211" s="1249"/>
      <c r="F211" s="1203">
        <f>ROUND(D211*$C211,0)</f>
        <v>4105</v>
      </c>
      <c r="G211" s="1229">
        <v>12.98</v>
      </c>
      <c r="H211" s="1250"/>
      <c r="I211" s="1203">
        <f t="shared" ref="I211:I212" si="29">ROUND(G211*$C211,0)</f>
        <v>4691</v>
      </c>
      <c r="J211" s="1229">
        <f>$J$153</f>
        <v>12.98</v>
      </c>
      <c r="K211" s="1250"/>
      <c r="L211" s="1203">
        <f>ROUND(J211*$C211,0)</f>
        <v>4691</v>
      </c>
      <c r="N211" s="1185"/>
      <c r="O211" s="1185"/>
      <c r="P211" s="1186"/>
      <c r="Q211" s="1186"/>
      <c r="R211" s="1186"/>
      <c r="S211" s="1185"/>
      <c r="T211" s="1185"/>
      <c r="U211" s="1185"/>
      <c r="V211" s="1185"/>
      <c r="W211" s="1185"/>
      <c r="X211" s="1185"/>
      <c r="Y211" s="1185"/>
      <c r="Z211" s="1185"/>
      <c r="AA211" s="1185"/>
      <c r="AB211" s="1185"/>
      <c r="AC211" s="1185"/>
      <c r="AD211" s="1185"/>
      <c r="AE211" s="1185"/>
      <c r="AF211" s="1185"/>
      <c r="AG211" s="1185"/>
      <c r="AH211" s="1185"/>
      <c r="AI211" s="1185"/>
      <c r="AK211" s="1204"/>
    </row>
    <row r="212" spans="1:37">
      <c r="A212" s="1219" t="s">
        <v>392</v>
      </c>
      <c r="B212" s="1219"/>
      <c r="C212" s="1026">
        <v>991</v>
      </c>
      <c r="D212" s="1229">
        <v>0.81</v>
      </c>
      <c r="E212" s="1249"/>
      <c r="F212" s="1203">
        <f>ROUND(D212*$C212,0)</f>
        <v>803</v>
      </c>
      <c r="G212" s="1229">
        <v>0.92</v>
      </c>
      <c r="H212" s="1250"/>
      <c r="I212" s="1203">
        <f t="shared" si="29"/>
        <v>912</v>
      </c>
      <c r="J212" s="1229">
        <f>$J$154</f>
        <v>0.92</v>
      </c>
      <c r="K212" s="1250"/>
      <c r="L212" s="1203">
        <f>ROUND(J212*$C212,0)</f>
        <v>912</v>
      </c>
      <c r="N212" s="1185"/>
      <c r="O212" s="1185"/>
      <c r="P212" s="1186"/>
      <c r="Q212" s="1186"/>
      <c r="R212" s="1186"/>
      <c r="S212" s="1185"/>
      <c r="T212" s="1185"/>
      <c r="U212" s="1185"/>
      <c r="V212" s="1185"/>
      <c r="W212" s="1185"/>
      <c r="X212" s="1185"/>
      <c r="Y212" s="1185"/>
      <c r="Z212" s="1185"/>
      <c r="AA212" s="1185"/>
      <c r="AB212" s="1185"/>
      <c r="AC212" s="1185"/>
      <c r="AD212" s="1185"/>
      <c r="AE212" s="1185"/>
      <c r="AF212" s="1185"/>
      <c r="AG212" s="1185"/>
      <c r="AH212" s="1185"/>
      <c r="AI212" s="1185"/>
      <c r="AK212" s="1204"/>
    </row>
    <row r="213" spans="1:37">
      <c r="A213" s="1219" t="s">
        <v>394</v>
      </c>
      <c r="B213" s="1219"/>
      <c r="C213" s="1026">
        <f>SUM(C210:C211)</f>
        <v>6092.4999999999964</v>
      </c>
      <c r="D213" s="1229"/>
      <c r="E213" s="1041"/>
      <c r="F213" s="1203"/>
      <c r="G213" s="1229"/>
      <c r="H213" s="1009"/>
      <c r="I213" s="1203"/>
      <c r="J213" s="1229"/>
      <c r="K213" s="1009"/>
      <c r="L213" s="1203"/>
      <c r="N213" s="1185"/>
      <c r="O213" s="1185"/>
      <c r="P213" s="1186"/>
      <c r="Q213" s="1186"/>
      <c r="R213" s="1186"/>
      <c r="S213" s="1185"/>
      <c r="T213" s="1185"/>
      <c r="U213" s="1185"/>
      <c r="V213" s="1185"/>
      <c r="W213" s="1185"/>
      <c r="X213" s="1185"/>
      <c r="Y213" s="1185"/>
      <c r="Z213" s="1185"/>
      <c r="AA213" s="1185"/>
      <c r="AB213" s="1185"/>
      <c r="AC213" s="1185"/>
      <c r="AD213" s="1185"/>
      <c r="AE213" s="1185"/>
      <c r="AF213" s="1185"/>
      <c r="AG213" s="1185"/>
      <c r="AH213" s="1185"/>
      <c r="AI213" s="1185"/>
      <c r="AK213" s="1204"/>
    </row>
    <row r="214" spans="1:37">
      <c r="A214" s="1219" t="s">
        <v>395</v>
      </c>
      <c r="B214" s="1219"/>
      <c r="C214" s="1026">
        <v>506</v>
      </c>
      <c r="D214" s="1261">
        <v>2.98</v>
      </c>
      <c r="E214" s="1009"/>
      <c r="F214" s="1203">
        <f>ROUND(D214*$C214,0)</f>
        <v>1508</v>
      </c>
      <c r="G214" s="1261">
        <v>3.4</v>
      </c>
      <c r="H214" s="1009"/>
      <c r="I214" s="1203">
        <f>ROUND(G214*C214,0)</f>
        <v>1720</v>
      </c>
      <c r="J214" s="1261">
        <f>$J$157</f>
        <v>3.61</v>
      </c>
      <c r="K214" s="1009"/>
      <c r="L214" s="1203">
        <f>ROUND(J214*$C214,0)</f>
        <v>1827</v>
      </c>
      <c r="N214" s="1185"/>
      <c r="O214" s="1185"/>
      <c r="P214" s="1186"/>
      <c r="Q214" s="1186"/>
      <c r="R214" s="1186"/>
      <c r="S214" s="1185"/>
      <c r="T214" s="1185"/>
      <c r="U214" s="1185"/>
      <c r="V214" s="1185"/>
      <c r="W214" s="1185"/>
      <c r="X214" s="1185"/>
      <c r="Y214" s="1185"/>
      <c r="Z214" s="1185"/>
      <c r="AA214" s="1185"/>
      <c r="AB214" s="1185"/>
      <c r="AC214" s="1185"/>
      <c r="AD214" s="1185"/>
      <c r="AE214" s="1185"/>
      <c r="AF214" s="1185"/>
      <c r="AG214" s="1185"/>
      <c r="AH214" s="1185"/>
      <c r="AI214" s="1185"/>
      <c r="AK214" s="1204"/>
    </row>
    <row r="215" spans="1:37">
      <c r="A215" s="1219" t="s">
        <v>397</v>
      </c>
      <c r="B215" s="1026"/>
      <c r="C215" s="1026">
        <v>1834258.206482322</v>
      </c>
      <c r="D215" s="1230">
        <v>8.5489999999999995</v>
      </c>
      <c r="E215" s="1009" t="s">
        <v>374</v>
      </c>
      <c r="F215" s="1203">
        <f>ROUND(D215*$C215/100,0)</f>
        <v>156811</v>
      </c>
      <c r="G215" s="1230">
        <v>9.766</v>
      </c>
      <c r="H215" s="1009" t="s">
        <v>374</v>
      </c>
      <c r="I215" s="1203">
        <f>ROUND(G215*C215/100,0)</f>
        <v>179134</v>
      </c>
      <c r="J215" s="1230">
        <f>$J$158</f>
        <v>10.359</v>
      </c>
      <c r="K215" s="1009" t="s">
        <v>374</v>
      </c>
      <c r="L215" s="1203">
        <f>ROUND(J215*$C215/100,0)</f>
        <v>190011</v>
      </c>
      <c r="N215" s="452"/>
      <c r="O215" s="452"/>
      <c r="P215" s="1186"/>
      <c r="Q215" s="1186"/>
      <c r="R215" s="1186"/>
      <c r="S215" s="1185"/>
      <c r="T215" s="1185"/>
      <c r="U215" s="1185"/>
      <c r="V215" s="1185"/>
      <c r="W215" s="1185"/>
      <c r="X215" s="1185"/>
      <c r="Y215" s="1185"/>
      <c r="Z215" s="1185"/>
      <c r="AA215" s="1185"/>
      <c r="AB215" s="1185"/>
      <c r="AC215" s="1185"/>
      <c r="AD215" s="1185"/>
      <c r="AE215" s="1185"/>
      <c r="AF215" s="1185"/>
      <c r="AG215" s="1185"/>
      <c r="AH215" s="1185"/>
      <c r="AI215" s="1185"/>
      <c r="AK215" s="1204"/>
    </row>
    <row r="216" spans="1:37">
      <c r="A216" s="1219" t="s">
        <v>398</v>
      </c>
      <c r="B216" s="1026"/>
      <c r="C216" s="1026">
        <v>523605.44908201875</v>
      </c>
      <c r="D216" s="1230">
        <v>5.9020000000000001</v>
      </c>
      <c r="E216" s="1009" t="s">
        <v>374</v>
      </c>
      <c r="F216" s="1203">
        <f>ROUND(D216*$C216/100,0)</f>
        <v>30903</v>
      </c>
      <c r="G216" s="1230">
        <v>6.7460000000000004</v>
      </c>
      <c r="H216" s="1009" t="s">
        <v>374</v>
      </c>
      <c r="I216" s="1203">
        <f t="shared" ref="I216:I218" si="30">ROUND(G216*C216/100,0)</f>
        <v>35322</v>
      </c>
      <c r="J216" s="1230">
        <f>$J$159</f>
        <v>7.1559999999999997</v>
      </c>
      <c r="K216" s="1009" t="s">
        <v>374</v>
      </c>
      <c r="L216" s="1203">
        <f>ROUND(J216*$C216/100,0)</f>
        <v>37469</v>
      </c>
      <c r="N216" s="452"/>
      <c r="O216" s="452"/>
      <c r="P216" s="1186"/>
      <c r="Q216" s="1186"/>
      <c r="R216" s="1186"/>
      <c r="S216" s="1185"/>
      <c r="T216" s="1185"/>
      <c r="U216" s="1185"/>
      <c r="V216" s="1185"/>
      <c r="W216" s="1185"/>
      <c r="X216" s="1185"/>
      <c r="Y216" s="1185"/>
      <c r="Z216" s="1185"/>
      <c r="AA216" s="1185"/>
      <c r="AB216" s="1185"/>
      <c r="AC216" s="1185"/>
      <c r="AD216" s="1185"/>
      <c r="AE216" s="1185"/>
      <c r="AF216" s="1185"/>
      <c r="AG216" s="1185"/>
      <c r="AH216" s="1185"/>
      <c r="AI216" s="1185"/>
      <c r="AK216" s="1204"/>
    </row>
    <row r="217" spans="1:37">
      <c r="A217" s="1219" t="s">
        <v>399</v>
      </c>
      <c r="B217" s="1026"/>
      <c r="C217" s="1026">
        <f>0+[97]Temperature!R75*1000</f>
        <v>0</v>
      </c>
      <c r="D217" s="1230">
        <v>5.0839999999999996</v>
      </c>
      <c r="E217" s="1009" t="s">
        <v>374</v>
      </c>
      <c r="F217" s="1203">
        <f>ROUND(D217*$C217/100,0)</f>
        <v>0</v>
      </c>
      <c r="G217" s="1230">
        <v>5.8120000000000003</v>
      </c>
      <c r="H217" s="1009" t="s">
        <v>374</v>
      </c>
      <c r="I217" s="1203">
        <f t="shared" si="30"/>
        <v>0</v>
      </c>
      <c r="J217" s="1230">
        <f>$J$160</f>
        <v>6.1660000000000004</v>
      </c>
      <c r="K217" s="1009" t="s">
        <v>374</v>
      </c>
      <c r="L217" s="1203">
        <f>ROUND(J217*$C217/100,0)</f>
        <v>0</v>
      </c>
      <c r="N217" s="452"/>
      <c r="O217" s="452"/>
      <c r="P217" s="1186"/>
      <c r="Q217" s="1186"/>
      <c r="R217" s="1186"/>
      <c r="S217" s="1185"/>
      <c r="T217" s="1185"/>
      <c r="U217" s="1185"/>
      <c r="V217" s="1185"/>
      <c r="W217" s="1185"/>
      <c r="X217" s="1185"/>
      <c r="Y217" s="1185"/>
      <c r="Z217" s="1185"/>
      <c r="AA217" s="1185"/>
      <c r="AB217" s="1185"/>
      <c r="AC217" s="1185"/>
      <c r="AD217" s="1185"/>
      <c r="AE217" s="1185"/>
      <c r="AF217" s="1185"/>
      <c r="AG217" s="1185"/>
      <c r="AH217" s="1185"/>
      <c r="AI217" s="1185"/>
      <c r="AK217" s="1204"/>
    </row>
    <row r="218" spans="1:37">
      <c r="A218" s="1219" t="s">
        <v>400</v>
      </c>
      <c r="B218" s="1225"/>
      <c r="C218" s="1026">
        <f>0</f>
        <v>0</v>
      </c>
      <c r="D218" s="1255">
        <v>50</v>
      </c>
      <c r="E218" s="1041" t="s">
        <v>374</v>
      </c>
      <c r="F218" s="1203">
        <f>ROUND(D218*$C218/100,0)</f>
        <v>0</v>
      </c>
      <c r="G218" s="1255">
        <v>56</v>
      </c>
      <c r="H218" s="1009" t="s">
        <v>374</v>
      </c>
      <c r="I218" s="1203">
        <f t="shared" si="30"/>
        <v>0</v>
      </c>
      <c r="J218" s="1255">
        <f>$J$161</f>
        <v>56</v>
      </c>
      <c r="K218" s="1009" t="s">
        <v>374</v>
      </c>
      <c r="L218" s="1203">
        <f>ROUND(J218*$C218/100,0)</f>
        <v>0</v>
      </c>
      <c r="N218" s="1185"/>
      <c r="O218" s="1185"/>
      <c r="P218" s="1186"/>
      <c r="Q218" s="1186"/>
      <c r="R218" s="1186"/>
      <c r="S218" s="1185"/>
      <c r="T218" s="1185"/>
      <c r="U218" s="1185"/>
      <c r="V218" s="1185"/>
      <c r="W218" s="1185"/>
      <c r="X218" s="1185"/>
      <c r="Y218" s="1185"/>
      <c r="Z218" s="1185"/>
      <c r="AA218" s="1185"/>
      <c r="AB218" s="1185"/>
      <c r="AC218" s="1185"/>
      <c r="AD218" s="1185"/>
      <c r="AE218" s="1185"/>
      <c r="AF218" s="1185"/>
      <c r="AG218" s="1185"/>
      <c r="AH218" s="1185"/>
      <c r="AI218" s="1185"/>
      <c r="AK218" s="1204"/>
    </row>
    <row r="219" spans="1:37">
      <c r="A219" s="1256" t="s">
        <v>401</v>
      </c>
      <c r="B219" s="1225"/>
      <c r="C219" s="1026">
        <f>C224+C225+C226</f>
        <v>1940</v>
      </c>
      <c r="D219" s="1257">
        <v>-0.01</v>
      </c>
      <c r="E219" s="1041"/>
      <c r="F219" s="1203"/>
      <c r="G219" s="1257">
        <v>-0.01</v>
      </c>
      <c r="H219" s="1009"/>
      <c r="I219" s="1203"/>
      <c r="J219" s="1257">
        <v>-0.01</v>
      </c>
      <c r="K219" s="1009"/>
      <c r="L219" s="1203"/>
      <c r="N219" s="1185"/>
      <c r="O219" s="1185"/>
      <c r="P219" s="1186"/>
      <c r="Q219" s="1186"/>
      <c r="R219" s="1186"/>
      <c r="S219" s="1185"/>
      <c r="T219" s="1185"/>
      <c r="U219" s="1185"/>
      <c r="V219" s="1185"/>
      <c r="W219" s="1185"/>
      <c r="X219" s="1185"/>
      <c r="Y219" s="1185"/>
      <c r="Z219" s="1185"/>
      <c r="AA219" s="1185"/>
      <c r="AB219" s="1185"/>
      <c r="AC219" s="1185"/>
      <c r="AD219" s="1185"/>
      <c r="AE219" s="1185"/>
      <c r="AF219" s="1185"/>
      <c r="AG219" s="1185"/>
      <c r="AH219" s="1185"/>
      <c r="AI219" s="1185"/>
      <c r="AK219" s="1204"/>
    </row>
    <row r="220" spans="1:37">
      <c r="A220" s="1219" t="s">
        <v>390</v>
      </c>
      <c r="B220" s="1219"/>
      <c r="C220" s="1026">
        <v>0</v>
      </c>
      <c r="D220" s="1259">
        <v>7.64</v>
      </c>
      <c r="E220" s="1041"/>
      <c r="F220" s="1203">
        <f>-ROUND(D220*$C220/100,0)</f>
        <v>0</v>
      </c>
      <c r="G220" s="1259">
        <v>8.7100000000000009</v>
      </c>
      <c r="H220" s="1041"/>
      <c r="I220" s="1203">
        <f>-ROUND(G220*$C220/100,0)</f>
        <v>0</v>
      </c>
      <c r="J220" s="1259">
        <f>J210</f>
        <v>8.7100000000000009</v>
      </c>
      <c r="K220" s="1041"/>
      <c r="L220" s="1203">
        <f>-ROUND(J220*$C220/100,0)</f>
        <v>0</v>
      </c>
      <c r="N220" s="1185"/>
      <c r="O220" s="1185"/>
      <c r="P220" s="1186"/>
      <c r="Q220" s="1186"/>
      <c r="R220" s="1186"/>
      <c r="S220" s="1185"/>
      <c r="T220" s="1185"/>
      <c r="U220" s="1185"/>
      <c r="V220" s="1185"/>
      <c r="W220" s="1185"/>
      <c r="X220" s="1185"/>
      <c r="Y220" s="1185"/>
      <c r="Z220" s="1185"/>
      <c r="AA220" s="1185"/>
      <c r="AB220" s="1185"/>
      <c r="AC220" s="1185"/>
      <c r="AD220" s="1185"/>
      <c r="AE220" s="1185"/>
      <c r="AF220" s="1185"/>
      <c r="AG220" s="1185"/>
      <c r="AH220" s="1185"/>
      <c r="AI220" s="1185"/>
      <c r="AK220" s="1204"/>
    </row>
    <row r="221" spans="1:37">
      <c r="A221" s="1219" t="s">
        <v>391</v>
      </c>
      <c r="B221" s="1219"/>
      <c r="C221" s="1026">
        <v>9</v>
      </c>
      <c r="D221" s="1259">
        <v>11.36</v>
      </c>
      <c r="E221" s="1041"/>
      <c r="F221" s="1203">
        <f>-ROUND(D221*$C221/100,0)</f>
        <v>-1</v>
      </c>
      <c r="G221" s="1259">
        <v>12.98</v>
      </c>
      <c r="H221" s="1041"/>
      <c r="I221" s="1203">
        <f t="shared" ref="I221:I223" si="31">-ROUND(G221*$C221/100,0)</f>
        <v>-1</v>
      </c>
      <c r="J221" s="1259">
        <f>J211</f>
        <v>12.98</v>
      </c>
      <c r="K221" s="1041"/>
      <c r="L221" s="1203">
        <f>-ROUND(J221*$C221/100,0)</f>
        <v>-1</v>
      </c>
      <c r="N221" s="1185"/>
      <c r="O221" s="1185"/>
      <c r="P221" s="1186"/>
      <c r="Q221" s="1186"/>
      <c r="R221" s="1186"/>
      <c r="S221" s="1185"/>
      <c r="T221" s="1185"/>
      <c r="U221" s="1185"/>
      <c r="V221" s="1185"/>
      <c r="W221" s="1185"/>
      <c r="X221" s="1185"/>
      <c r="Y221" s="1185"/>
      <c r="Z221" s="1185"/>
      <c r="AA221" s="1185"/>
      <c r="AB221" s="1185"/>
      <c r="AC221" s="1185"/>
      <c r="AD221" s="1185"/>
      <c r="AE221" s="1185"/>
      <c r="AF221" s="1185"/>
      <c r="AG221" s="1185"/>
      <c r="AH221" s="1185"/>
      <c r="AI221" s="1185"/>
      <c r="AK221" s="1204"/>
    </row>
    <row r="222" spans="1:37">
      <c r="A222" s="1219" t="s">
        <v>402</v>
      </c>
      <c r="B222" s="1219"/>
      <c r="C222" s="1026">
        <v>0</v>
      </c>
      <c r="D222" s="1259">
        <v>0.81</v>
      </c>
      <c r="E222" s="1041"/>
      <c r="F222" s="1203">
        <f>-ROUND(D222*$C222/100,0)</f>
        <v>0</v>
      </c>
      <c r="G222" s="1259">
        <v>0.92</v>
      </c>
      <c r="H222" s="1041"/>
      <c r="I222" s="1203">
        <f t="shared" si="31"/>
        <v>0</v>
      </c>
      <c r="J222" s="1259">
        <f>J212</f>
        <v>0.92</v>
      </c>
      <c r="K222" s="1041"/>
      <c r="L222" s="1203">
        <f>-ROUND(J222*$C222/100,0)</f>
        <v>0</v>
      </c>
      <c r="N222" s="1185"/>
      <c r="O222" s="1185"/>
      <c r="P222" s="1186"/>
      <c r="Q222" s="1186"/>
      <c r="R222" s="1186"/>
      <c r="S222" s="1185"/>
      <c r="T222" s="1185"/>
      <c r="U222" s="1185"/>
      <c r="V222" s="1185"/>
      <c r="W222" s="1185"/>
      <c r="X222" s="1185"/>
      <c r="Y222" s="1185"/>
      <c r="Z222" s="1185"/>
      <c r="AA222" s="1185"/>
      <c r="AB222" s="1185"/>
      <c r="AC222" s="1185"/>
      <c r="AD222" s="1185"/>
      <c r="AE222" s="1185"/>
      <c r="AF222" s="1185"/>
      <c r="AG222" s="1185"/>
      <c r="AH222" s="1185"/>
      <c r="AI222" s="1185"/>
      <c r="AK222" s="1204"/>
    </row>
    <row r="223" spans="1:37">
      <c r="A223" s="1219" t="s">
        <v>413</v>
      </c>
      <c r="B223" s="1219"/>
      <c r="C223" s="1026">
        <f>0</f>
        <v>0</v>
      </c>
      <c r="D223" s="1259">
        <v>2.98</v>
      </c>
      <c r="E223" s="1009"/>
      <c r="F223" s="1203">
        <f>-ROUND(D223*$C223/100,0)</f>
        <v>0</v>
      </c>
      <c r="G223" s="1259">
        <v>3.4</v>
      </c>
      <c r="H223" s="1009"/>
      <c r="I223" s="1203">
        <f t="shared" si="31"/>
        <v>0</v>
      </c>
      <c r="J223" s="1259">
        <f>J214</f>
        <v>3.61</v>
      </c>
      <c r="K223" s="1009"/>
      <c r="L223" s="1203">
        <f>-ROUND(J223*$C223/100,0)</f>
        <v>0</v>
      </c>
      <c r="N223" s="1185"/>
      <c r="O223" s="1185"/>
      <c r="P223" s="1186"/>
      <c r="Q223" s="1186"/>
      <c r="R223" s="1186"/>
      <c r="S223" s="1185"/>
      <c r="T223" s="1185"/>
      <c r="U223" s="1185"/>
      <c r="V223" s="1185"/>
      <c r="W223" s="1185"/>
      <c r="X223" s="1185"/>
      <c r="Y223" s="1185"/>
      <c r="Z223" s="1185"/>
      <c r="AA223" s="1185"/>
      <c r="AB223" s="1185"/>
      <c r="AC223" s="1185"/>
      <c r="AD223" s="1185"/>
      <c r="AE223" s="1185"/>
      <c r="AF223" s="1185"/>
      <c r="AG223" s="1185"/>
      <c r="AH223" s="1185"/>
      <c r="AI223" s="1185"/>
      <c r="AK223" s="1204"/>
    </row>
    <row r="224" spans="1:37">
      <c r="A224" s="1219" t="s">
        <v>405</v>
      </c>
      <c r="B224" s="1219"/>
      <c r="C224" s="1026">
        <v>1940</v>
      </c>
      <c r="D224" s="1070">
        <v>8.5489999999999995</v>
      </c>
      <c r="E224" s="1009" t="s">
        <v>374</v>
      </c>
      <c r="F224" s="1203">
        <f>ROUND(D224*$C224/100*D219,0)</f>
        <v>-2</v>
      </c>
      <c r="G224" s="1070">
        <v>9.766</v>
      </c>
      <c r="H224" s="1009" t="s">
        <v>374</v>
      </c>
      <c r="I224" s="1203">
        <f>ROUND(G224*$C224/100*G219,0)</f>
        <v>-2</v>
      </c>
      <c r="J224" s="1070">
        <f>J215</f>
        <v>10.359</v>
      </c>
      <c r="K224" s="1009" t="s">
        <v>374</v>
      </c>
      <c r="L224" s="1203">
        <f>ROUND(J224*$C224/100*J219,0)</f>
        <v>-2</v>
      </c>
      <c r="N224" s="1185"/>
      <c r="O224" s="1185"/>
      <c r="P224" s="1186"/>
      <c r="Q224" s="1186"/>
      <c r="R224" s="1186"/>
      <c r="S224" s="1185"/>
      <c r="T224" s="1185"/>
      <c r="U224" s="1185"/>
      <c r="V224" s="1185"/>
      <c r="W224" s="1185"/>
      <c r="X224" s="1185"/>
      <c r="Y224" s="1185"/>
      <c r="Z224" s="1185"/>
      <c r="AA224" s="1185"/>
      <c r="AB224" s="1185"/>
      <c r="AC224" s="1185"/>
      <c r="AD224" s="1185"/>
      <c r="AE224" s="1185"/>
      <c r="AF224" s="1185"/>
      <c r="AG224" s="1185"/>
      <c r="AH224" s="1185"/>
      <c r="AI224" s="1185"/>
      <c r="AK224" s="1204"/>
    </row>
    <row r="225" spans="1:37">
      <c r="A225" s="1219" t="s">
        <v>398</v>
      </c>
      <c r="B225" s="1219"/>
      <c r="C225" s="1026">
        <v>0</v>
      </c>
      <c r="D225" s="1070">
        <v>5.9020000000000001</v>
      </c>
      <c r="E225" s="1009" t="s">
        <v>374</v>
      </c>
      <c r="F225" s="1203">
        <f>ROUND(D225*$C225/100*D219,0)</f>
        <v>0</v>
      </c>
      <c r="G225" s="1070">
        <v>6.7460000000000004</v>
      </c>
      <c r="H225" s="1009" t="s">
        <v>374</v>
      </c>
      <c r="I225" s="1203">
        <f>ROUND(G225*$C225/100*G219,0)</f>
        <v>0</v>
      </c>
      <c r="J225" s="1070">
        <f>J216</f>
        <v>7.1559999999999997</v>
      </c>
      <c r="K225" s="1009" t="s">
        <v>374</v>
      </c>
      <c r="L225" s="1203">
        <f>ROUND(J225*$C225/100*J219,0)</f>
        <v>0</v>
      </c>
      <c r="N225" s="1185"/>
      <c r="O225" s="1185"/>
      <c r="P225" s="1186"/>
      <c r="Q225" s="1186"/>
      <c r="R225" s="1186"/>
      <c r="S225" s="1185"/>
      <c r="T225" s="1185"/>
      <c r="U225" s="1185"/>
      <c r="V225" s="1185"/>
      <c r="W225" s="1185"/>
      <c r="X225" s="1185"/>
      <c r="Y225" s="1185"/>
      <c r="Z225" s="1185"/>
      <c r="AA225" s="1185"/>
      <c r="AB225" s="1185"/>
      <c r="AC225" s="1185"/>
      <c r="AD225" s="1185"/>
      <c r="AE225" s="1185"/>
      <c r="AF225" s="1185"/>
      <c r="AG225" s="1185"/>
      <c r="AH225" s="1185"/>
      <c r="AI225" s="1185"/>
      <c r="AK225" s="1204"/>
    </row>
    <row r="226" spans="1:37">
      <c r="A226" s="1219" t="s">
        <v>399</v>
      </c>
      <c r="B226" s="1219"/>
      <c r="C226" s="1026">
        <v>0</v>
      </c>
      <c r="D226" s="1070">
        <v>5.0839999999999996</v>
      </c>
      <c r="E226" s="1009" t="s">
        <v>374</v>
      </c>
      <c r="F226" s="1203">
        <f>ROUND(D226*$C226/100*D219,0)</f>
        <v>0</v>
      </c>
      <c r="G226" s="1070">
        <v>5.8120000000000003</v>
      </c>
      <c r="H226" s="1009" t="s">
        <v>374</v>
      </c>
      <c r="I226" s="1203">
        <f>ROUND(G226*$C226/100*G219,0)</f>
        <v>0</v>
      </c>
      <c r="J226" s="1070">
        <f>J217</f>
        <v>6.1660000000000004</v>
      </c>
      <c r="K226" s="1009" t="s">
        <v>374</v>
      </c>
      <c r="L226" s="1203">
        <f>ROUND(J226*$C226/100*J219,0)</f>
        <v>0</v>
      </c>
      <c r="N226" s="1185"/>
      <c r="O226" s="1185"/>
      <c r="P226" s="1186"/>
      <c r="Q226" s="1186"/>
      <c r="R226" s="1186"/>
      <c r="S226" s="1185"/>
      <c r="T226" s="1185"/>
      <c r="U226" s="1185"/>
      <c r="V226" s="1185"/>
      <c r="W226" s="1185"/>
      <c r="X226" s="1185"/>
      <c r="Y226" s="1185"/>
      <c r="Z226" s="1185"/>
      <c r="AA226" s="1185"/>
      <c r="AB226" s="1185"/>
      <c r="AC226" s="1185"/>
      <c r="AD226" s="1185"/>
      <c r="AE226" s="1185"/>
      <c r="AF226" s="1185"/>
      <c r="AG226" s="1185"/>
      <c r="AH226" s="1185"/>
      <c r="AI226" s="1185"/>
      <c r="AK226" s="1204"/>
    </row>
    <row r="227" spans="1:37">
      <c r="A227" s="1219" t="s">
        <v>400</v>
      </c>
      <c r="B227" s="1219"/>
      <c r="C227" s="1026">
        <v>0</v>
      </c>
      <c r="D227" s="1260">
        <v>50</v>
      </c>
      <c r="E227" s="1009" t="s">
        <v>374</v>
      </c>
      <c r="F227" s="1203">
        <f>ROUND(D227*$C227/100*D219,0)</f>
        <v>0</v>
      </c>
      <c r="G227" s="1260">
        <v>56</v>
      </c>
      <c r="H227" s="1009" t="s">
        <v>374</v>
      </c>
      <c r="I227" s="1203">
        <f>ROUND(G227*$C227/100*G219,0)</f>
        <v>0</v>
      </c>
      <c r="J227" s="1260">
        <f>J218</f>
        <v>56</v>
      </c>
      <c r="K227" s="1009" t="s">
        <v>374</v>
      </c>
      <c r="L227" s="1203">
        <f>ROUND(J227*$C227/100*J219,0)</f>
        <v>0</v>
      </c>
      <c r="N227" s="1185"/>
      <c r="O227" s="1185"/>
      <c r="P227" s="1186"/>
      <c r="Q227" s="1186"/>
      <c r="R227" s="1186"/>
      <c r="S227" s="1185"/>
      <c r="T227" s="1185"/>
      <c r="U227" s="1185"/>
      <c r="V227" s="1185"/>
      <c r="W227" s="1185"/>
      <c r="X227" s="1185"/>
      <c r="Y227" s="1185"/>
      <c r="Z227" s="1185"/>
      <c r="AA227" s="1185"/>
      <c r="AB227" s="1185"/>
      <c r="AC227" s="1185"/>
      <c r="AD227" s="1185"/>
      <c r="AE227" s="1185"/>
      <c r="AF227" s="1185"/>
      <c r="AG227" s="1185"/>
      <c r="AH227" s="1185"/>
      <c r="AI227" s="1185"/>
      <c r="AK227" s="1204"/>
    </row>
    <row r="228" spans="1:37">
      <c r="A228" s="1219" t="s">
        <v>407</v>
      </c>
      <c r="B228" s="1219"/>
      <c r="C228" s="1026">
        <v>0</v>
      </c>
      <c r="D228" s="1261">
        <v>60</v>
      </c>
      <c r="E228" s="1041"/>
      <c r="F228" s="1203">
        <f>ROUND(D228*$C228,0)</f>
        <v>0</v>
      </c>
      <c r="G228" s="1261">
        <v>60</v>
      </c>
      <c r="H228" s="1009"/>
      <c r="I228" s="1203">
        <f>ROUND(G228*C228,0)</f>
        <v>0</v>
      </c>
      <c r="J228" s="1261">
        <f>$J$171</f>
        <v>60</v>
      </c>
      <c r="K228" s="1009"/>
      <c r="L228" s="1203">
        <f>ROUND(J228*$C228,0)</f>
        <v>0</v>
      </c>
      <c r="N228" s="1185"/>
      <c r="O228" s="1185"/>
      <c r="P228" s="1186"/>
      <c r="Q228" s="1186"/>
      <c r="R228" s="1186"/>
      <c r="S228" s="1185"/>
      <c r="T228" s="1185"/>
      <c r="U228" s="1185"/>
      <c r="V228" s="1185"/>
      <c r="W228" s="1185"/>
      <c r="X228" s="1185"/>
      <c r="Y228" s="1185"/>
      <c r="Z228" s="1185"/>
      <c r="AA228" s="1185"/>
      <c r="AB228" s="1185"/>
      <c r="AC228" s="1185"/>
      <c r="AD228" s="1185"/>
      <c r="AE228" s="1185"/>
      <c r="AF228" s="1185"/>
      <c r="AG228" s="1185"/>
      <c r="AH228" s="1185"/>
      <c r="AI228" s="1185"/>
      <c r="AK228" s="1204"/>
    </row>
    <row r="229" spans="1:37">
      <c r="A229" s="1219" t="s">
        <v>408</v>
      </c>
      <c r="B229" s="1219"/>
      <c r="C229" s="1026">
        <v>0</v>
      </c>
      <c r="D229" s="1262">
        <v>-30</v>
      </c>
      <c r="E229" s="1041" t="s">
        <v>374</v>
      </c>
      <c r="F229" s="1203">
        <f>ROUND(D229*$C229/100,0)</f>
        <v>0</v>
      </c>
      <c r="G229" s="1262">
        <v>-30</v>
      </c>
      <c r="H229" s="1009" t="s">
        <v>374</v>
      </c>
      <c r="I229" s="1203">
        <f>ROUND(G229*C229/100,0)</f>
        <v>0</v>
      </c>
      <c r="J229" s="1262">
        <f>$J$172</f>
        <v>-30</v>
      </c>
      <c r="K229" s="1009" t="s">
        <v>374</v>
      </c>
      <c r="L229" s="1203">
        <f>ROUND(J229*$C229/100,0)</f>
        <v>0</v>
      </c>
      <c r="N229" s="1185"/>
      <c r="O229" s="1185"/>
      <c r="P229" s="1186"/>
      <c r="Q229" s="1186"/>
      <c r="R229" s="1186"/>
      <c r="S229" s="1185"/>
      <c r="T229" s="1185"/>
      <c r="U229" s="1185"/>
      <c r="V229" s="1185"/>
      <c r="W229" s="1185"/>
      <c r="X229" s="1185"/>
      <c r="Y229" s="1185"/>
      <c r="Z229" s="1185"/>
      <c r="AA229" s="1185"/>
      <c r="AB229" s="1185"/>
      <c r="AC229" s="1185"/>
      <c r="AD229" s="1185"/>
      <c r="AE229" s="1185"/>
      <c r="AF229" s="1185"/>
      <c r="AG229" s="1185"/>
      <c r="AH229" s="1185"/>
      <c r="AI229" s="1185"/>
      <c r="AK229" s="1204"/>
    </row>
    <row r="230" spans="1:37">
      <c r="A230" s="1219" t="s">
        <v>381</v>
      </c>
      <c r="B230" s="307"/>
      <c r="C230" s="1026">
        <f>SUM(C215:C217)</f>
        <v>2357863.6555643408</v>
      </c>
      <c r="D230" s="1255"/>
      <c r="E230" s="1203"/>
      <c r="F230" s="1203">
        <f>SUM(F210:F229)</f>
        <v>237913</v>
      </c>
      <c r="G230" s="1255"/>
      <c r="H230" s="1009"/>
      <c r="I230" s="1203">
        <f>SUM(I210:I229)</f>
        <v>271694</v>
      </c>
      <c r="J230" s="1255"/>
      <c r="K230" s="1009"/>
      <c r="L230" s="1203">
        <f>SUM(L210:L229)</f>
        <v>284825</v>
      </c>
      <c r="N230" s="1274"/>
      <c r="O230" s="1274"/>
      <c r="P230" s="1186"/>
      <c r="Q230" s="1186"/>
      <c r="R230" s="1186"/>
      <c r="S230" s="1185"/>
      <c r="T230" s="1185"/>
      <c r="U230" s="1185"/>
      <c r="V230" s="1185"/>
      <c r="W230" s="1185"/>
      <c r="X230" s="1185"/>
      <c r="Y230" s="1185"/>
      <c r="Z230" s="1185"/>
      <c r="AA230" s="1185"/>
      <c r="AB230" s="1185"/>
      <c r="AC230" s="1185"/>
      <c r="AD230" s="1185"/>
      <c r="AE230" s="1185"/>
      <c r="AF230" s="1185"/>
      <c r="AG230" s="1185"/>
      <c r="AH230" s="1185"/>
      <c r="AI230" s="1185"/>
      <c r="AK230" s="1204"/>
    </row>
    <row r="231" spans="1:37">
      <c r="A231" s="1219" t="s">
        <v>363</v>
      </c>
      <c r="B231" s="1219"/>
      <c r="C231" s="1032">
        <f>'[97]Table 2'!H18</f>
        <v>-151.59181207680737</v>
      </c>
      <c r="D231" s="1218"/>
      <c r="E231" s="1218"/>
      <c r="F231" s="1264" t="e">
        <f>#REF!</f>
        <v>#REF!</v>
      </c>
      <c r="G231" s="1218"/>
      <c r="H231" s="1218"/>
      <c r="I231" s="1264">
        <f>'[97]Table 3'!E18</f>
        <v>11.556216535227565</v>
      </c>
      <c r="J231" s="1218"/>
      <c r="K231" s="1218"/>
      <c r="L231" s="1264">
        <f>I231</f>
        <v>11.556216535227565</v>
      </c>
      <c r="N231" s="444"/>
      <c r="O231" s="444"/>
      <c r="P231" s="287"/>
      <c r="Q231" s="1186"/>
      <c r="R231" s="1186"/>
      <c r="S231" s="1185"/>
      <c r="T231" s="1185"/>
      <c r="U231" s="1185"/>
      <c r="V231" s="1185"/>
      <c r="W231" s="1185"/>
      <c r="X231" s="1185"/>
      <c r="Y231" s="1185"/>
      <c r="Z231" s="1185"/>
      <c r="AA231" s="1185"/>
      <c r="AB231" s="1185"/>
      <c r="AC231" s="1185"/>
      <c r="AD231" s="1185"/>
      <c r="AE231" s="1185"/>
      <c r="AF231" s="1185"/>
      <c r="AG231" s="1185"/>
      <c r="AH231" s="1185"/>
      <c r="AI231" s="1185"/>
      <c r="AK231" s="1204"/>
    </row>
    <row r="232" spans="1:37" ht="16.5" thickBot="1">
      <c r="A232" s="1219" t="s">
        <v>382</v>
      </c>
      <c r="B232" s="1219"/>
      <c r="C232" s="1240">
        <f>SUM(C230:C231)</f>
        <v>2357712.0637522638</v>
      </c>
      <c r="D232" s="1265"/>
      <c r="E232" s="1266"/>
      <c r="F232" s="1267" t="e">
        <f>F230+F231</f>
        <v>#REF!</v>
      </c>
      <c r="G232" s="1265"/>
      <c r="H232" s="1269"/>
      <c r="I232" s="1267">
        <f>I230+I231</f>
        <v>271705.55621653522</v>
      </c>
      <c r="J232" s="1265"/>
      <c r="K232" s="1269"/>
      <c r="L232" s="1267">
        <f>L230+L231</f>
        <v>284836.55621653522</v>
      </c>
      <c r="N232" s="411"/>
      <c r="O232" s="411"/>
      <c r="P232" s="470"/>
      <c r="Q232" s="1186"/>
      <c r="R232" s="1186"/>
      <c r="S232" s="1185"/>
      <c r="T232" s="1185"/>
      <c r="U232" s="1185"/>
      <c r="V232" s="1185"/>
      <c r="W232" s="1185"/>
      <c r="X232" s="1185"/>
      <c r="Y232" s="1185"/>
      <c r="Z232" s="1185"/>
      <c r="AA232" s="1185"/>
      <c r="AB232" s="1185"/>
      <c r="AC232" s="1185"/>
      <c r="AD232" s="1185"/>
      <c r="AE232" s="1185"/>
      <c r="AF232" s="1185"/>
      <c r="AG232" s="1185"/>
      <c r="AH232" s="1185"/>
      <c r="AI232" s="1185"/>
      <c r="AK232" s="1204"/>
    </row>
    <row r="233" spans="1:37" ht="16.5" thickTop="1">
      <c r="A233" s="1219"/>
      <c r="B233" s="1219"/>
      <c r="C233" s="1225"/>
      <c r="D233" s="1261"/>
      <c r="E233" s="1203"/>
      <c r="F233" s="1203"/>
      <c r="G233" s="1261"/>
      <c r="H233" s="1219"/>
      <c r="I233" s="1203"/>
      <c r="J233" s="1261"/>
      <c r="K233" s="1219"/>
      <c r="L233" s="1203" t="s">
        <v>31</v>
      </c>
      <c r="N233" s="1185"/>
      <c r="O233" s="1185"/>
      <c r="P233" s="1186"/>
      <c r="Q233" s="1186"/>
      <c r="R233" s="1186"/>
      <c r="S233" s="1185"/>
      <c r="T233" s="1185"/>
      <c r="U233" s="1185"/>
      <c r="V233" s="1185"/>
      <c r="W233" s="1185"/>
      <c r="X233" s="1185"/>
      <c r="Y233" s="1185"/>
      <c r="Z233" s="1185"/>
      <c r="AA233" s="1185"/>
      <c r="AB233" s="1185"/>
      <c r="AC233" s="1185"/>
      <c r="AD233" s="1185"/>
      <c r="AE233" s="1185"/>
      <c r="AF233" s="1185"/>
      <c r="AG233" s="1185"/>
      <c r="AH233" s="1185"/>
      <c r="AI233" s="1185"/>
      <c r="AK233" s="1204"/>
    </row>
    <row r="234" spans="1:37">
      <c r="A234" s="1219"/>
      <c r="B234" s="1219"/>
      <c r="C234" s="1225"/>
      <c r="D234" s="1261"/>
      <c r="E234" s="1203"/>
      <c r="F234" s="1203"/>
      <c r="G234" s="1261"/>
      <c r="H234" s="1219"/>
      <c r="I234" s="1203"/>
      <c r="J234" s="1261"/>
      <c r="K234" s="1219"/>
      <c r="L234" s="1203" t="s">
        <v>31</v>
      </c>
      <c r="N234" s="1185"/>
      <c r="O234" s="1185"/>
      <c r="P234" s="1186"/>
      <c r="Q234" s="1186"/>
      <c r="R234" s="1186"/>
      <c r="S234" s="1185"/>
      <c r="T234" s="1185"/>
      <c r="U234" s="1185"/>
      <c r="V234" s="1185"/>
      <c r="W234" s="1185"/>
      <c r="X234" s="1185"/>
      <c r="Y234" s="1185"/>
      <c r="Z234" s="1185"/>
      <c r="AA234" s="1185"/>
      <c r="AB234" s="1185"/>
      <c r="AC234" s="1185"/>
      <c r="AD234" s="1185"/>
      <c r="AE234" s="1185"/>
      <c r="AF234" s="1185"/>
      <c r="AG234" s="1185"/>
      <c r="AH234" s="1185"/>
      <c r="AI234" s="1185"/>
      <c r="AK234" s="1204"/>
    </row>
    <row r="235" spans="1:37">
      <c r="A235" s="1224" t="s">
        <v>387</v>
      </c>
      <c r="B235" s="1219"/>
      <c r="C235" s="1219"/>
      <c r="D235" s="1203"/>
      <c r="E235" s="1203"/>
      <c r="F235" s="1219" t="s">
        <v>31</v>
      </c>
      <c r="G235" s="1203"/>
      <c r="H235" s="1219"/>
      <c r="I235" s="1219"/>
      <c r="J235" s="1203"/>
      <c r="K235" s="1219"/>
      <c r="L235" s="1219"/>
      <c r="N235" s="1185"/>
      <c r="O235" s="1185"/>
      <c r="P235" s="1186"/>
      <c r="Q235" s="1186"/>
      <c r="R235" s="1186"/>
      <c r="S235" s="1185"/>
      <c r="T235" s="1185"/>
      <c r="U235" s="1185"/>
      <c r="V235" s="1185"/>
      <c r="W235" s="1185"/>
      <c r="X235" s="1185"/>
      <c r="Y235" s="1185"/>
      <c r="Z235" s="1185"/>
      <c r="AA235" s="1185"/>
      <c r="AB235" s="1185"/>
      <c r="AC235" s="1185"/>
      <c r="AD235" s="1185"/>
      <c r="AE235" s="1185"/>
      <c r="AF235" s="1185"/>
      <c r="AG235" s="1185"/>
      <c r="AH235" s="1185"/>
      <c r="AI235" s="1185"/>
      <c r="AK235" s="1204"/>
    </row>
    <row r="236" spans="1:37">
      <c r="A236" s="1219" t="s">
        <v>411</v>
      </c>
      <c r="B236" s="1219"/>
      <c r="C236" s="1219"/>
      <c r="D236" s="1203"/>
      <c r="E236" s="1203"/>
      <c r="F236" s="1219"/>
      <c r="G236" s="1203"/>
      <c r="H236" s="1219"/>
      <c r="I236" s="1219"/>
      <c r="J236" s="1203"/>
      <c r="K236" s="1219"/>
      <c r="L236" s="1219"/>
      <c r="N236" s="1185"/>
      <c r="O236" s="1185"/>
      <c r="P236" s="1186"/>
      <c r="Q236" s="1186"/>
      <c r="R236" s="1186"/>
      <c r="S236" s="1185"/>
      <c r="T236" s="1185"/>
      <c r="U236" s="1185"/>
      <c r="V236" s="1185"/>
      <c r="W236" s="1185"/>
      <c r="X236" s="1185"/>
      <c r="Y236" s="1185"/>
      <c r="Z236" s="1185"/>
      <c r="AA236" s="1185"/>
      <c r="AB236" s="1185"/>
      <c r="AC236" s="1185"/>
      <c r="AD236" s="1185"/>
      <c r="AE236" s="1185"/>
      <c r="AF236" s="1185"/>
      <c r="AG236" s="1185"/>
      <c r="AH236" s="1185"/>
      <c r="AI236" s="1185"/>
      <c r="AK236" s="1204"/>
    </row>
    <row r="237" spans="1:37">
      <c r="A237" s="1243" t="s">
        <v>412</v>
      </c>
      <c r="B237" s="1219"/>
      <c r="C237" s="1225"/>
      <c r="D237" s="1203"/>
      <c r="E237" s="1203"/>
      <c r="F237" s="1219"/>
      <c r="G237" s="1203"/>
      <c r="H237" s="1219"/>
      <c r="I237" s="1219"/>
      <c r="J237" s="1203"/>
      <c r="K237" s="1219"/>
      <c r="L237" s="1219"/>
      <c r="N237" s="1185"/>
      <c r="O237" s="1185"/>
      <c r="P237" s="1186"/>
      <c r="Q237" s="1186"/>
      <c r="R237" s="1186"/>
      <c r="S237" s="1185"/>
      <c r="T237" s="1185"/>
      <c r="U237" s="1185"/>
      <c r="V237" s="1185"/>
      <c r="W237" s="1185"/>
      <c r="X237" s="1185"/>
      <c r="Y237" s="1185"/>
      <c r="Z237" s="1185"/>
      <c r="AA237" s="1185"/>
      <c r="AB237" s="1185"/>
      <c r="AC237" s="1185"/>
      <c r="AD237" s="1185"/>
      <c r="AE237" s="1185"/>
      <c r="AF237" s="1185"/>
      <c r="AG237" s="1185"/>
      <c r="AH237" s="1185"/>
      <c r="AI237" s="1185"/>
      <c r="AK237" s="1204"/>
    </row>
    <row r="238" spans="1:37">
      <c r="A238" s="1219" t="s">
        <v>393</v>
      </c>
      <c r="B238" s="1219"/>
      <c r="C238" s="1026"/>
      <c r="D238" s="1203"/>
      <c r="E238" s="1203"/>
      <c r="F238" s="1219"/>
      <c r="G238" s="1203"/>
      <c r="H238" s="1219"/>
      <c r="I238" s="1219"/>
      <c r="J238" s="1203"/>
      <c r="K238" s="1219"/>
      <c r="L238" s="1219"/>
      <c r="N238" s="1185"/>
      <c r="O238" s="1185"/>
      <c r="P238" s="1186"/>
      <c r="Q238" s="1186"/>
      <c r="R238" s="1186"/>
      <c r="S238" s="1185"/>
      <c r="T238" s="1185"/>
      <c r="U238" s="1185"/>
      <c r="V238" s="1185"/>
      <c r="W238" s="1185"/>
      <c r="X238" s="1185"/>
      <c r="Y238" s="1185"/>
      <c r="Z238" s="1185"/>
      <c r="AA238" s="1185"/>
      <c r="AB238" s="1185"/>
      <c r="AC238" s="1185"/>
      <c r="AD238" s="1185"/>
      <c r="AE238" s="1185"/>
      <c r="AF238" s="1185"/>
      <c r="AG238" s="1185"/>
      <c r="AH238" s="1185"/>
      <c r="AI238" s="1185"/>
      <c r="AK238" s="1204"/>
    </row>
    <row r="239" spans="1:37">
      <c r="A239" s="1219" t="s">
        <v>390</v>
      </c>
      <c r="B239" s="1219"/>
      <c r="C239" s="1026">
        <v>150737.03333332695</v>
      </c>
      <c r="D239" s="1229">
        <v>7.64</v>
      </c>
      <c r="E239" s="1041"/>
      <c r="F239" s="1203">
        <f>ROUND(D239*$C239,0)</f>
        <v>1151631</v>
      </c>
      <c r="G239" s="1229">
        <v>8.7100000000000009</v>
      </c>
      <c r="H239" s="1009"/>
      <c r="I239" s="1203">
        <f>ROUND(G239*$C239,0)</f>
        <v>1312920</v>
      </c>
      <c r="J239" s="1229">
        <f>$J$152</f>
        <v>8.7100000000000009</v>
      </c>
      <c r="K239" s="1009"/>
      <c r="L239" s="1203">
        <f>ROUND(J239*$C239,0)</f>
        <v>1312920</v>
      </c>
      <c r="N239" s="1185"/>
      <c r="O239" s="1185"/>
      <c r="P239" s="1186"/>
      <c r="Q239" s="1186"/>
      <c r="R239" s="1186"/>
      <c r="S239" s="1185"/>
      <c r="T239" s="1185"/>
      <c r="U239" s="1185"/>
      <c r="V239" s="1185"/>
      <c r="W239" s="1185"/>
      <c r="X239" s="1185"/>
      <c r="Y239" s="1185"/>
      <c r="Z239" s="1185"/>
      <c r="AA239" s="1185"/>
      <c r="AB239" s="1185"/>
      <c r="AC239" s="1185"/>
      <c r="AD239" s="1185"/>
      <c r="AE239" s="1185"/>
      <c r="AF239" s="1185"/>
      <c r="AG239" s="1185"/>
      <c r="AH239" s="1185"/>
      <c r="AI239" s="1185"/>
      <c r="AK239" s="1204"/>
    </row>
    <row r="240" spans="1:37">
      <c r="A240" s="1219" t="s">
        <v>391</v>
      </c>
      <c r="B240" s="1219"/>
      <c r="C240" s="1026">
        <v>58978.533333332438</v>
      </c>
      <c r="D240" s="1229">
        <v>11.36</v>
      </c>
      <c r="E240" s="1249"/>
      <c r="F240" s="1203">
        <f>ROUND(D240*$C240,0)</f>
        <v>669996</v>
      </c>
      <c r="G240" s="1229">
        <v>12.98</v>
      </c>
      <c r="H240" s="1250"/>
      <c r="I240" s="1203">
        <f t="shared" ref="I240:I241" si="32">ROUND(G240*$C240,0)</f>
        <v>765541</v>
      </c>
      <c r="J240" s="1229">
        <f>$J$153</f>
        <v>12.98</v>
      </c>
      <c r="K240" s="1250"/>
      <c r="L240" s="1203">
        <f>ROUND(J240*$C240,0)</f>
        <v>765541</v>
      </c>
      <c r="N240" s="1185"/>
      <c r="O240" s="1185"/>
      <c r="P240" s="1186"/>
      <c r="Q240" s="1186"/>
      <c r="R240" s="1186"/>
      <c r="S240" s="1185"/>
      <c r="T240" s="1185"/>
      <c r="U240" s="1185"/>
      <c r="V240" s="1185"/>
      <c r="W240" s="1185"/>
      <c r="X240" s="1185"/>
      <c r="Y240" s="1185"/>
      <c r="Z240" s="1185"/>
      <c r="AA240" s="1185"/>
      <c r="AB240" s="1185"/>
      <c r="AC240" s="1185"/>
      <c r="AD240" s="1185"/>
      <c r="AE240" s="1185"/>
      <c r="AF240" s="1185"/>
      <c r="AG240" s="1185"/>
      <c r="AH240" s="1185"/>
      <c r="AI240" s="1185"/>
      <c r="AK240" s="1204"/>
    </row>
    <row r="241" spans="1:37">
      <c r="A241" s="1219" t="s">
        <v>392</v>
      </c>
      <c r="B241" s="1219"/>
      <c r="C241" s="1026">
        <v>1157061.5</v>
      </c>
      <c r="D241" s="1229">
        <v>0.81</v>
      </c>
      <c r="E241" s="1249"/>
      <c r="F241" s="1203">
        <f>ROUND(D241*$C241,0)</f>
        <v>937220</v>
      </c>
      <c r="G241" s="1229">
        <v>0.92</v>
      </c>
      <c r="H241" s="1250"/>
      <c r="I241" s="1203">
        <f t="shared" si="32"/>
        <v>1064497</v>
      </c>
      <c r="J241" s="1229">
        <f>$J$154</f>
        <v>0.92</v>
      </c>
      <c r="K241" s="1250"/>
      <c r="L241" s="1203">
        <f>ROUND(J241*$C241,0)</f>
        <v>1064497</v>
      </c>
      <c r="N241" s="1185"/>
      <c r="O241" s="1185"/>
      <c r="P241" s="1186"/>
      <c r="Q241" s="1186"/>
      <c r="R241" s="1186"/>
      <c r="S241" s="1185"/>
      <c r="T241" s="1185"/>
      <c r="U241" s="1185"/>
      <c r="V241" s="1185"/>
      <c r="W241" s="1185"/>
      <c r="X241" s="1185"/>
      <c r="Y241" s="1185"/>
      <c r="Z241" s="1185"/>
      <c r="AA241" s="1185"/>
      <c r="AB241" s="1185"/>
      <c r="AC241" s="1185"/>
      <c r="AD241" s="1185"/>
      <c r="AE241" s="1185"/>
      <c r="AF241" s="1185"/>
      <c r="AG241" s="1185"/>
      <c r="AH241" s="1185"/>
      <c r="AI241" s="1185"/>
      <c r="AK241" s="1204"/>
    </row>
    <row r="242" spans="1:37">
      <c r="A242" s="1219" t="s">
        <v>394</v>
      </c>
      <c r="B242" s="1219"/>
      <c r="C242" s="1026">
        <f>SUM(C239:C240)</f>
        <v>209715.56666665938</v>
      </c>
      <c r="D242" s="1229"/>
      <c r="E242" s="1041"/>
      <c r="F242" s="1203"/>
      <c r="G242" s="1229"/>
      <c r="H242" s="1009"/>
      <c r="I242" s="1203"/>
      <c r="J242" s="1229"/>
      <c r="K242" s="1009"/>
      <c r="L242" s="1203"/>
      <c r="N242" s="1185"/>
      <c r="O242" s="1185"/>
      <c r="P242" s="1186"/>
      <c r="Q242" s="1186"/>
      <c r="R242" s="1186"/>
      <c r="S242" s="1185"/>
      <c r="T242" s="1185"/>
      <c r="U242" s="1185"/>
      <c r="V242" s="1185"/>
      <c r="W242" s="1185"/>
      <c r="X242" s="1185"/>
      <c r="Y242" s="1185"/>
      <c r="Z242" s="1185"/>
      <c r="AA242" s="1185"/>
      <c r="AB242" s="1185"/>
      <c r="AC242" s="1185"/>
      <c r="AD242" s="1185"/>
      <c r="AE242" s="1185"/>
      <c r="AF242" s="1185"/>
      <c r="AG242" s="1185"/>
      <c r="AH242" s="1185"/>
      <c r="AI242" s="1185"/>
      <c r="AK242" s="1204"/>
    </row>
    <row r="243" spans="1:37">
      <c r="A243" s="1219" t="s">
        <v>395</v>
      </c>
      <c r="B243" s="1219"/>
      <c r="C243" s="1026">
        <v>743582</v>
      </c>
      <c r="D243" s="1261">
        <v>2.98</v>
      </c>
      <c r="E243" s="1009"/>
      <c r="F243" s="1203">
        <f>ROUND(D243*$C243,0)</f>
        <v>2215874</v>
      </c>
      <c r="G243" s="1261">
        <v>3.4</v>
      </c>
      <c r="H243" s="1009"/>
      <c r="I243" s="1203">
        <f>ROUND(G243*C243,0)</f>
        <v>2528179</v>
      </c>
      <c r="J243" s="1261">
        <f>$J$157</f>
        <v>3.61</v>
      </c>
      <c r="K243" s="1009"/>
      <c r="L243" s="1203">
        <f>ROUND(J243*$C243,0)</f>
        <v>2684331</v>
      </c>
      <c r="N243" s="1185"/>
      <c r="O243" s="1185"/>
      <c r="P243" s="1186"/>
      <c r="Q243" s="1186"/>
      <c r="R243" s="1186"/>
      <c r="S243" s="1185"/>
      <c r="T243" s="1185"/>
      <c r="U243" s="1185"/>
      <c r="V243" s="1185"/>
      <c r="W243" s="1185"/>
      <c r="X243" s="1185"/>
      <c r="Y243" s="1185"/>
      <c r="Z243" s="1185"/>
      <c r="AA243" s="1185"/>
      <c r="AB243" s="1185"/>
      <c r="AC243" s="1185"/>
      <c r="AD243" s="1185"/>
      <c r="AE243" s="1185"/>
      <c r="AF243" s="1185"/>
      <c r="AG243" s="1185"/>
      <c r="AH243" s="1185"/>
      <c r="AI243" s="1185"/>
      <c r="AK243" s="1204"/>
    </row>
    <row r="244" spans="1:37">
      <c r="A244" s="1219" t="s">
        <v>397</v>
      </c>
      <c r="B244" s="1026"/>
      <c r="C244" s="1026">
        <v>125208946.110778</v>
      </c>
      <c r="D244" s="1230">
        <v>8.5489999999999995</v>
      </c>
      <c r="E244" s="1009" t="s">
        <v>374</v>
      </c>
      <c r="F244" s="1203">
        <f>ROUND(D244*$C244/100,0)</f>
        <v>10704113</v>
      </c>
      <c r="G244" s="1230">
        <v>9.766</v>
      </c>
      <c r="H244" s="1009" t="s">
        <v>374</v>
      </c>
      <c r="I244" s="1203">
        <f>ROUND(G244*C244/100,0)</f>
        <v>12227906</v>
      </c>
      <c r="J244" s="1230">
        <f>$J$158</f>
        <v>10.359</v>
      </c>
      <c r="K244" s="1009" t="s">
        <v>374</v>
      </c>
      <c r="L244" s="1203">
        <f>ROUND(J244*$C244/100,0)</f>
        <v>12970395</v>
      </c>
      <c r="N244" s="452"/>
      <c r="O244" s="452"/>
      <c r="P244" s="1186"/>
      <c r="Q244" s="1186"/>
      <c r="R244" s="1186"/>
      <c r="S244" s="1185"/>
      <c r="T244" s="1185"/>
      <c r="U244" s="1185"/>
      <c r="V244" s="1185"/>
      <c r="W244" s="1185"/>
      <c r="X244" s="1185"/>
      <c r="Y244" s="1185"/>
      <c r="Z244" s="1185"/>
      <c r="AA244" s="1185"/>
      <c r="AB244" s="1185"/>
      <c r="AC244" s="1185"/>
      <c r="AD244" s="1185"/>
      <c r="AE244" s="1185"/>
      <c r="AF244" s="1185"/>
      <c r="AG244" s="1185"/>
      <c r="AH244" s="1185"/>
      <c r="AI244" s="1185"/>
      <c r="AK244" s="1204"/>
    </row>
    <row r="245" spans="1:37">
      <c r="A245" s="1219" t="s">
        <v>398</v>
      </c>
      <c r="B245" s="1026"/>
      <c r="C245" s="1026">
        <v>275854333.43621069</v>
      </c>
      <c r="D245" s="1230">
        <v>5.9020000000000001</v>
      </c>
      <c r="E245" s="1009" t="s">
        <v>374</v>
      </c>
      <c r="F245" s="1203">
        <f>ROUND(D245*$C245/100,0)</f>
        <v>16280923</v>
      </c>
      <c r="G245" s="1230">
        <v>6.7460000000000004</v>
      </c>
      <c r="H245" s="1009" t="s">
        <v>374</v>
      </c>
      <c r="I245" s="1203">
        <f t="shared" ref="I245:I247" si="33">ROUND(G245*C245/100,0)</f>
        <v>18609133</v>
      </c>
      <c r="J245" s="1230">
        <f>$J$159</f>
        <v>7.1559999999999997</v>
      </c>
      <c r="K245" s="1009" t="s">
        <v>374</v>
      </c>
      <c r="L245" s="1203">
        <f>ROUND(J245*$C245/100,0)</f>
        <v>19740136</v>
      </c>
      <c r="N245" s="452"/>
      <c r="O245" s="452"/>
      <c r="P245" s="1186"/>
      <c r="Q245" s="1186"/>
      <c r="R245" s="1186"/>
      <c r="S245" s="1185"/>
      <c r="T245" s="1185"/>
      <c r="U245" s="1185"/>
      <c r="V245" s="1185"/>
      <c r="W245" s="1185"/>
      <c r="X245" s="1185"/>
      <c r="Y245" s="1185"/>
      <c r="Z245" s="1185"/>
      <c r="AA245" s="1185"/>
      <c r="AB245" s="1185"/>
      <c r="AC245" s="1185"/>
      <c r="AD245" s="1185"/>
      <c r="AE245" s="1185"/>
      <c r="AF245" s="1185"/>
      <c r="AG245" s="1185"/>
      <c r="AH245" s="1185"/>
      <c r="AI245" s="1185"/>
      <c r="AK245" s="1204"/>
    </row>
    <row r="246" spans="1:37">
      <c r="A246" s="1219" t="s">
        <v>399</v>
      </c>
      <c r="B246" s="1026"/>
      <c r="C246" s="1026">
        <v>116004075.26156482</v>
      </c>
      <c r="D246" s="1230">
        <v>5.0839999999999996</v>
      </c>
      <c r="E246" s="1009" t="s">
        <v>374</v>
      </c>
      <c r="F246" s="1203">
        <f>ROUND(D246*$C246/100,0)</f>
        <v>5897647</v>
      </c>
      <c r="G246" s="1230">
        <v>5.8120000000000003</v>
      </c>
      <c r="H246" s="1009" t="s">
        <v>374</v>
      </c>
      <c r="I246" s="1203">
        <f t="shared" si="33"/>
        <v>6742157</v>
      </c>
      <c r="J246" s="1230">
        <f>$J$160</f>
        <v>6.1660000000000004</v>
      </c>
      <c r="K246" s="1009" t="s">
        <v>374</v>
      </c>
      <c r="L246" s="1203">
        <f>ROUND(J246*$C246/100,0)</f>
        <v>7152811</v>
      </c>
      <c r="N246" s="452"/>
      <c r="O246" s="452"/>
      <c r="P246" s="1186"/>
      <c r="Q246" s="1186"/>
      <c r="R246" s="1186"/>
      <c r="S246" s="1185"/>
      <c r="T246" s="1185"/>
      <c r="U246" s="1185"/>
      <c r="V246" s="1185"/>
      <c r="W246" s="1185"/>
      <c r="X246" s="1185"/>
      <c r="Y246" s="1185"/>
      <c r="Z246" s="1185"/>
      <c r="AA246" s="1185"/>
      <c r="AB246" s="1185"/>
      <c r="AC246" s="1185"/>
      <c r="AD246" s="1185"/>
      <c r="AE246" s="1185"/>
      <c r="AF246" s="1185"/>
      <c r="AG246" s="1185"/>
      <c r="AH246" s="1185"/>
      <c r="AI246" s="1185"/>
      <c r="AK246" s="1204"/>
    </row>
    <row r="247" spans="1:37">
      <c r="A247" s="1219" t="s">
        <v>400</v>
      </c>
      <c r="B247" s="1225"/>
      <c r="C247" s="1026">
        <v>95706.733333333119</v>
      </c>
      <c r="D247" s="1255">
        <v>50</v>
      </c>
      <c r="E247" s="1041" t="s">
        <v>374</v>
      </c>
      <c r="F247" s="1203">
        <f>ROUND(D247*$C247/100,0)</f>
        <v>47853</v>
      </c>
      <c r="G247" s="1255">
        <v>56</v>
      </c>
      <c r="H247" s="1009" t="s">
        <v>374</v>
      </c>
      <c r="I247" s="1203">
        <f t="shared" si="33"/>
        <v>53596</v>
      </c>
      <c r="J247" s="1255">
        <f>$J$161</f>
        <v>56</v>
      </c>
      <c r="K247" s="1009" t="s">
        <v>374</v>
      </c>
      <c r="L247" s="1203">
        <f>ROUND(J247*$C247/100,0)</f>
        <v>53596</v>
      </c>
      <c r="N247" s="1185"/>
      <c r="O247" s="1185"/>
      <c r="P247" s="1186"/>
      <c r="Q247" s="1186"/>
      <c r="R247" s="1186"/>
      <c r="S247" s="1185"/>
      <c r="T247" s="1185"/>
      <c r="U247" s="1185"/>
      <c r="V247" s="1185"/>
      <c r="W247" s="1185"/>
      <c r="X247" s="1185"/>
      <c r="Y247" s="1185"/>
      <c r="Z247" s="1185"/>
      <c r="AA247" s="1185"/>
      <c r="AB247" s="1185"/>
      <c r="AC247" s="1185"/>
      <c r="AD247" s="1185"/>
      <c r="AE247" s="1185"/>
      <c r="AF247" s="1185"/>
      <c r="AG247" s="1185"/>
      <c r="AH247" s="1185"/>
      <c r="AI247" s="1185"/>
      <c r="AK247" s="1204"/>
    </row>
    <row r="248" spans="1:37">
      <c r="A248" s="1256" t="s">
        <v>401</v>
      </c>
      <c r="B248" s="1225"/>
      <c r="C248" s="1026"/>
      <c r="D248" s="1257">
        <v>-0.01</v>
      </c>
      <c r="E248" s="1041"/>
      <c r="F248" s="1203"/>
      <c r="G248" s="1257">
        <v>-0.01</v>
      </c>
      <c r="H248" s="1009"/>
      <c r="I248" s="1203"/>
      <c r="J248" s="1257">
        <v>-0.01</v>
      </c>
      <c r="K248" s="1009"/>
      <c r="L248" s="1203"/>
      <c r="N248" s="1185"/>
      <c r="O248" s="1185"/>
      <c r="P248" s="1186"/>
      <c r="Q248" s="1186"/>
      <c r="R248" s="1186"/>
      <c r="S248" s="1185"/>
      <c r="T248" s="1185"/>
      <c r="U248" s="1185"/>
      <c r="V248" s="1185"/>
      <c r="W248" s="1185"/>
      <c r="X248" s="1185"/>
      <c r="Y248" s="1185"/>
      <c r="Z248" s="1185"/>
      <c r="AA248" s="1185"/>
      <c r="AB248" s="1185"/>
      <c r="AC248" s="1185"/>
      <c r="AD248" s="1185"/>
      <c r="AE248" s="1185"/>
      <c r="AF248" s="1185"/>
      <c r="AG248" s="1185"/>
      <c r="AH248" s="1185"/>
      <c r="AI248" s="1185"/>
      <c r="AK248" s="1204"/>
    </row>
    <row r="249" spans="1:37">
      <c r="A249" s="1219" t="s">
        <v>390</v>
      </c>
      <c r="B249" s="1219"/>
      <c r="C249" s="1026">
        <v>72.066666666666706</v>
      </c>
      <c r="D249" s="1259">
        <v>7.64</v>
      </c>
      <c r="E249" s="1041"/>
      <c r="F249" s="1203">
        <f>-ROUND(D249*$C249/100,0)</f>
        <v>-6</v>
      </c>
      <c r="G249" s="1259">
        <v>8.7100000000000009</v>
      </c>
      <c r="H249" s="1041"/>
      <c r="I249" s="1203">
        <f>-ROUND(G249*$C249/100,0)</f>
        <v>-6</v>
      </c>
      <c r="J249" s="1259">
        <f>J239</f>
        <v>8.7100000000000009</v>
      </c>
      <c r="K249" s="1041"/>
      <c r="L249" s="1203">
        <f>-ROUND(J249*$C249/100,0)</f>
        <v>-6</v>
      </c>
      <c r="N249" s="1185"/>
      <c r="O249" s="1185"/>
      <c r="P249" s="1186"/>
      <c r="Q249" s="1186"/>
      <c r="R249" s="1186"/>
      <c r="S249" s="1185"/>
      <c r="T249" s="1185"/>
      <c r="U249" s="1185"/>
      <c r="V249" s="1185"/>
      <c r="W249" s="1185"/>
      <c r="X249" s="1185"/>
      <c r="Y249" s="1185"/>
      <c r="Z249" s="1185"/>
      <c r="AA249" s="1185"/>
      <c r="AB249" s="1185"/>
      <c r="AC249" s="1185"/>
      <c r="AD249" s="1185"/>
      <c r="AE249" s="1185"/>
      <c r="AF249" s="1185"/>
      <c r="AG249" s="1185"/>
      <c r="AH249" s="1185"/>
      <c r="AI249" s="1185"/>
      <c r="AK249" s="1204"/>
    </row>
    <row r="250" spans="1:37">
      <c r="A250" s="1219" t="s">
        <v>391</v>
      </c>
      <c r="B250" s="1219"/>
      <c r="C250" s="1026">
        <v>126.7000000000001</v>
      </c>
      <c r="D250" s="1259">
        <v>11.36</v>
      </c>
      <c r="E250" s="1041"/>
      <c r="F250" s="1203">
        <f>-ROUND(D250*$C250/100,0)</f>
        <v>-14</v>
      </c>
      <c r="G250" s="1259">
        <v>12.98</v>
      </c>
      <c r="H250" s="1041"/>
      <c r="I250" s="1203">
        <f t="shared" ref="I250:I252" si="34">-ROUND(G250*$C250/100,0)</f>
        <v>-16</v>
      </c>
      <c r="J250" s="1259">
        <f>J240</f>
        <v>12.98</v>
      </c>
      <c r="K250" s="1041"/>
      <c r="L250" s="1203">
        <f>-ROUND(J250*$C250/100,0)</f>
        <v>-16</v>
      </c>
      <c r="N250" s="1185"/>
      <c r="O250" s="1185"/>
      <c r="P250" s="1186"/>
      <c r="Q250" s="1186"/>
      <c r="R250" s="1186"/>
      <c r="S250" s="1185"/>
      <c r="T250" s="1185"/>
      <c r="U250" s="1185"/>
      <c r="V250" s="1185"/>
      <c r="W250" s="1185"/>
      <c r="X250" s="1185"/>
      <c r="Y250" s="1185"/>
      <c r="Z250" s="1185"/>
      <c r="AA250" s="1185"/>
      <c r="AB250" s="1185"/>
      <c r="AC250" s="1185"/>
      <c r="AD250" s="1185"/>
      <c r="AE250" s="1185"/>
      <c r="AF250" s="1185"/>
      <c r="AG250" s="1185"/>
      <c r="AH250" s="1185"/>
      <c r="AI250" s="1185"/>
      <c r="AK250" s="1204"/>
    </row>
    <row r="251" spans="1:37">
      <c r="A251" s="1219" t="s">
        <v>402</v>
      </c>
      <c r="B251" s="1219"/>
      <c r="C251" s="1026">
        <v>1862</v>
      </c>
      <c r="D251" s="1259">
        <v>0.81</v>
      </c>
      <c r="E251" s="1041"/>
      <c r="F251" s="1203">
        <f>-ROUND(D251*$C251/100,0)</f>
        <v>-15</v>
      </c>
      <c r="G251" s="1259">
        <v>0.92</v>
      </c>
      <c r="H251" s="1041"/>
      <c r="I251" s="1203">
        <f t="shared" si="34"/>
        <v>-17</v>
      </c>
      <c r="J251" s="1259">
        <f>J241</f>
        <v>0.92</v>
      </c>
      <c r="K251" s="1041"/>
      <c r="L251" s="1203">
        <f>-ROUND(J251*$C251/100,0)</f>
        <v>-17</v>
      </c>
      <c r="N251" s="1185"/>
      <c r="O251" s="1185"/>
      <c r="P251" s="1186"/>
      <c r="Q251" s="1186"/>
      <c r="R251" s="1186"/>
      <c r="S251" s="1185"/>
      <c r="T251" s="1185"/>
      <c r="U251" s="1185"/>
      <c r="V251" s="1185"/>
      <c r="W251" s="1185"/>
      <c r="X251" s="1185"/>
      <c r="Y251" s="1185"/>
      <c r="Z251" s="1185"/>
      <c r="AA251" s="1185"/>
      <c r="AB251" s="1185"/>
      <c r="AC251" s="1185"/>
      <c r="AD251" s="1185"/>
      <c r="AE251" s="1185"/>
      <c r="AF251" s="1185"/>
      <c r="AG251" s="1185"/>
      <c r="AH251" s="1185"/>
      <c r="AI251" s="1185"/>
      <c r="AK251" s="1204"/>
    </row>
    <row r="252" spans="1:37">
      <c r="A252" s="1219" t="s">
        <v>413</v>
      </c>
      <c r="B252" s="1219"/>
      <c r="C252" s="1026">
        <v>712.5</v>
      </c>
      <c r="D252" s="1259">
        <v>2.98</v>
      </c>
      <c r="E252" s="1009"/>
      <c r="F252" s="1203">
        <f>-ROUND(D252*$C252/100,0)</f>
        <v>-21</v>
      </c>
      <c r="G252" s="1259">
        <v>3.4</v>
      </c>
      <c r="H252" s="1009"/>
      <c r="I252" s="1203">
        <f t="shared" si="34"/>
        <v>-24</v>
      </c>
      <c r="J252" s="1259">
        <f>J243</f>
        <v>3.61</v>
      </c>
      <c r="K252" s="1009"/>
      <c r="L252" s="1203">
        <f>-ROUND(J252*$C252/100,0)</f>
        <v>-26</v>
      </c>
      <c r="N252" s="1185"/>
      <c r="O252" s="1185"/>
      <c r="P252" s="1186"/>
      <c r="Q252" s="1186"/>
      <c r="R252" s="1186"/>
      <c r="S252" s="1185"/>
      <c r="T252" s="1185"/>
      <c r="U252" s="1185"/>
      <c r="V252" s="1185"/>
      <c r="W252" s="1185"/>
      <c r="X252" s="1185"/>
      <c r="Y252" s="1185"/>
      <c r="Z252" s="1185"/>
      <c r="AA252" s="1185"/>
      <c r="AB252" s="1185"/>
      <c r="AC252" s="1185"/>
      <c r="AD252" s="1185"/>
      <c r="AE252" s="1185"/>
      <c r="AF252" s="1185"/>
      <c r="AG252" s="1185"/>
      <c r="AH252" s="1185"/>
      <c r="AI252" s="1185"/>
      <c r="AK252" s="1204"/>
    </row>
    <row r="253" spans="1:37">
      <c r="A253" s="1219" t="s">
        <v>405</v>
      </c>
      <c r="B253" s="1219"/>
      <c r="C253" s="1026">
        <v>148079.66666666669</v>
      </c>
      <c r="D253" s="1070">
        <v>8.5489999999999995</v>
      </c>
      <c r="E253" s="1009" t="s">
        <v>374</v>
      </c>
      <c r="F253" s="1203">
        <f>ROUND(D253*$C253/100*D248,0)</f>
        <v>-127</v>
      </c>
      <c r="G253" s="1070">
        <v>9.766</v>
      </c>
      <c r="H253" s="1009" t="s">
        <v>374</v>
      </c>
      <c r="I253" s="1203">
        <f>ROUND(G253*$C253/100*G248,0)</f>
        <v>-145</v>
      </c>
      <c r="J253" s="1070">
        <f>J244</f>
        <v>10.359</v>
      </c>
      <c r="K253" s="1009" t="s">
        <v>374</v>
      </c>
      <c r="L253" s="1203">
        <f>ROUND(J253*$C253/100*J248,0)</f>
        <v>-153</v>
      </c>
      <c r="N253" s="1185"/>
      <c r="O253" s="1185"/>
      <c r="P253" s="1186"/>
      <c r="Q253" s="1186"/>
      <c r="R253" s="1186"/>
      <c r="S253" s="1185"/>
      <c r="T253" s="1185"/>
      <c r="U253" s="1185"/>
      <c r="V253" s="1185"/>
      <c r="W253" s="1185"/>
      <c r="X253" s="1185"/>
      <c r="Y253" s="1185"/>
      <c r="Z253" s="1185"/>
      <c r="AA253" s="1185"/>
      <c r="AB253" s="1185"/>
      <c r="AC253" s="1185"/>
      <c r="AD253" s="1185"/>
      <c r="AE253" s="1185"/>
      <c r="AF253" s="1185"/>
      <c r="AG253" s="1185"/>
      <c r="AH253" s="1185"/>
      <c r="AI253" s="1185"/>
      <c r="AK253" s="1204"/>
    </row>
    <row r="254" spans="1:37">
      <c r="A254" s="1219" t="s">
        <v>398</v>
      </c>
      <c r="B254" s="1219"/>
      <c r="C254" s="1026">
        <v>550098.33333333279</v>
      </c>
      <c r="D254" s="1070">
        <v>5.9020000000000001</v>
      </c>
      <c r="E254" s="1009" t="s">
        <v>374</v>
      </c>
      <c r="F254" s="1203">
        <f>ROUND(D254*$C254/100*D248,0)</f>
        <v>-325</v>
      </c>
      <c r="G254" s="1070">
        <v>6.7460000000000004</v>
      </c>
      <c r="H254" s="1009" t="s">
        <v>374</v>
      </c>
      <c r="I254" s="1203">
        <f>ROUND(G254*$C254/100*G248,0)</f>
        <v>-371</v>
      </c>
      <c r="J254" s="1070">
        <f>J245</f>
        <v>7.1559999999999997</v>
      </c>
      <c r="K254" s="1009" t="s">
        <v>374</v>
      </c>
      <c r="L254" s="1203">
        <f>ROUND(J254*$C254/100*J248,0)</f>
        <v>-394</v>
      </c>
      <c r="N254" s="1185"/>
      <c r="O254" s="1185"/>
      <c r="P254" s="1186"/>
      <c r="Q254" s="1186"/>
      <c r="R254" s="1186"/>
      <c r="S254" s="1185"/>
      <c r="T254" s="1185"/>
      <c r="U254" s="1185"/>
      <c r="V254" s="1185"/>
      <c r="W254" s="1185"/>
      <c r="X254" s="1185"/>
      <c r="Y254" s="1185"/>
      <c r="Z254" s="1185"/>
      <c r="AA254" s="1185"/>
      <c r="AB254" s="1185"/>
      <c r="AC254" s="1185"/>
      <c r="AD254" s="1185"/>
      <c r="AE254" s="1185"/>
      <c r="AF254" s="1185"/>
      <c r="AG254" s="1185"/>
      <c r="AH254" s="1185"/>
      <c r="AI254" s="1185"/>
      <c r="AK254" s="1204"/>
    </row>
    <row r="255" spans="1:37">
      <c r="A255" s="1219" t="s">
        <v>399</v>
      </c>
      <c r="B255" s="1219"/>
      <c r="C255" s="1026">
        <v>84378.000000000466</v>
      </c>
      <c r="D255" s="1070">
        <v>5.0839999999999996</v>
      </c>
      <c r="E255" s="1009" t="s">
        <v>374</v>
      </c>
      <c r="F255" s="1203">
        <f>ROUND(D255*$C255/100*D248,0)</f>
        <v>-43</v>
      </c>
      <c r="G255" s="1070">
        <v>5.8120000000000003</v>
      </c>
      <c r="H255" s="1009" t="s">
        <v>374</v>
      </c>
      <c r="I255" s="1203">
        <f>ROUND(G255*$C255/100*G248,0)</f>
        <v>-49</v>
      </c>
      <c r="J255" s="1070">
        <f>J246</f>
        <v>6.1660000000000004</v>
      </c>
      <c r="K255" s="1009" t="s">
        <v>374</v>
      </c>
      <c r="L255" s="1203">
        <f>ROUND(J255*$C255/100*J248,0)</f>
        <v>-52</v>
      </c>
      <c r="N255" s="1185"/>
      <c r="O255" s="1185"/>
      <c r="P255" s="1186"/>
      <c r="Q255" s="1186"/>
      <c r="R255" s="1186"/>
      <c r="S255" s="1185"/>
      <c r="T255" s="1185"/>
      <c r="U255" s="1185"/>
      <c r="V255" s="1185"/>
      <c r="W255" s="1185"/>
      <c r="X255" s="1185"/>
      <c r="Y255" s="1185"/>
      <c r="Z255" s="1185"/>
      <c r="AA255" s="1185"/>
      <c r="AB255" s="1185"/>
      <c r="AC255" s="1185"/>
      <c r="AD255" s="1185"/>
      <c r="AE255" s="1185"/>
      <c r="AF255" s="1185"/>
      <c r="AG255" s="1185"/>
      <c r="AH255" s="1185"/>
      <c r="AI255" s="1185"/>
      <c r="AK255" s="1204"/>
    </row>
    <row r="256" spans="1:37">
      <c r="A256" s="1219" t="s">
        <v>400</v>
      </c>
      <c r="B256" s="1219"/>
      <c r="C256" s="1026">
        <v>2643.7</v>
      </c>
      <c r="D256" s="1260">
        <v>50</v>
      </c>
      <c r="E256" s="1009" t="s">
        <v>374</v>
      </c>
      <c r="F256" s="1203">
        <f>ROUND(D256*$C256/100*D248,0)</f>
        <v>-13</v>
      </c>
      <c r="G256" s="1260">
        <v>56</v>
      </c>
      <c r="H256" s="1009" t="s">
        <v>374</v>
      </c>
      <c r="I256" s="1203">
        <f>ROUND(G256*$C256/100*G248,0)</f>
        <v>-15</v>
      </c>
      <c r="J256" s="1260">
        <f>J247</f>
        <v>56</v>
      </c>
      <c r="K256" s="1009" t="s">
        <v>374</v>
      </c>
      <c r="L256" s="1203">
        <f>ROUND(J256*$C256/100*J248,0)</f>
        <v>-15</v>
      </c>
      <c r="N256" s="1185"/>
      <c r="O256" s="1185"/>
      <c r="P256" s="1186"/>
      <c r="Q256" s="1186"/>
      <c r="R256" s="1186"/>
      <c r="S256" s="1185"/>
      <c r="T256" s="1185"/>
      <c r="U256" s="1185"/>
      <c r="V256" s="1185"/>
      <c r="W256" s="1185"/>
      <c r="X256" s="1185"/>
      <c r="Y256" s="1185"/>
      <c r="Z256" s="1185"/>
      <c r="AA256" s="1185"/>
      <c r="AB256" s="1185"/>
      <c r="AC256" s="1185"/>
      <c r="AD256" s="1185"/>
      <c r="AE256" s="1185"/>
      <c r="AF256" s="1185"/>
      <c r="AG256" s="1185"/>
      <c r="AH256" s="1185"/>
      <c r="AI256" s="1185"/>
      <c r="AK256" s="1204"/>
    </row>
    <row r="257" spans="1:37">
      <c r="A257" s="1219" t="s">
        <v>407</v>
      </c>
      <c r="B257" s="1219"/>
      <c r="C257" s="1026">
        <v>132.13333333333341</v>
      </c>
      <c r="D257" s="1261">
        <v>60</v>
      </c>
      <c r="E257" s="1041"/>
      <c r="F257" s="1203">
        <f>ROUND(D257*$C257,0)</f>
        <v>7928</v>
      </c>
      <c r="G257" s="1261">
        <v>60</v>
      </c>
      <c r="H257" s="1009"/>
      <c r="I257" s="1203">
        <f>ROUND(G257*C257,0)</f>
        <v>7928</v>
      </c>
      <c r="J257" s="1261">
        <f>$J$171</f>
        <v>60</v>
      </c>
      <c r="K257" s="1009"/>
      <c r="L257" s="1203">
        <f>ROUND(J257*$C257,0)</f>
        <v>7928</v>
      </c>
      <c r="N257" s="1185"/>
      <c r="O257" s="1185"/>
      <c r="P257" s="1186"/>
      <c r="Q257" s="1186"/>
      <c r="R257" s="1186"/>
      <c r="S257" s="1185"/>
      <c r="T257" s="1185"/>
      <c r="U257" s="1185"/>
      <c r="V257" s="1185"/>
      <c r="W257" s="1185"/>
      <c r="X257" s="1185"/>
      <c r="Y257" s="1185"/>
      <c r="Z257" s="1185"/>
      <c r="AA257" s="1185"/>
      <c r="AB257" s="1185"/>
      <c r="AC257" s="1185"/>
      <c r="AD257" s="1185"/>
      <c r="AE257" s="1185"/>
      <c r="AF257" s="1185"/>
      <c r="AG257" s="1185"/>
      <c r="AH257" s="1185"/>
      <c r="AI257" s="1185"/>
      <c r="AK257" s="1204"/>
    </row>
    <row r="258" spans="1:37">
      <c r="A258" s="1219" t="s">
        <v>408</v>
      </c>
      <c r="B258" s="1219"/>
      <c r="C258" s="1026">
        <f>C251</f>
        <v>1862</v>
      </c>
      <c r="D258" s="1262">
        <v>-30</v>
      </c>
      <c r="E258" s="1041" t="s">
        <v>374</v>
      </c>
      <c r="F258" s="1203">
        <f>ROUND(D258*$C258/100,0)</f>
        <v>-559</v>
      </c>
      <c r="G258" s="1262">
        <v>-30</v>
      </c>
      <c r="H258" s="1009" t="s">
        <v>374</v>
      </c>
      <c r="I258" s="1203">
        <f>ROUND(G258*C258/100,0)</f>
        <v>-559</v>
      </c>
      <c r="J258" s="1262">
        <f>$J$172</f>
        <v>-30</v>
      </c>
      <c r="K258" s="1009" t="s">
        <v>374</v>
      </c>
      <c r="L258" s="1203">
        <f>ROUND(J258*$C258/100,0)</f>
        <v>-559</v>
      </c>
      <c r="N258" s="1185"/>
      <c r="O258" s="1185"/>
      <c r="P258" s="1186"/>
      <c r="Q258" s="1186"/>
      <c r="R258" s="1186"/>
      <c r="S258" s="1185"/>
      <c r="T258" s="1185"/>
      <c r="U258" s="1185"/>
      <c r="V258" s="1185"/>
      <c r="W258" s="1185"/>
      <c r="X258" s="1185"/>
      <c r="Y258" s="1185"/>
      <c r="Z258" s="1185"/>
      <c r="AA258" s="1185"/>
      <c r="AB258" s="1185"/>
      <c r="AC258" s="1185"/>
      <c r="AD258" s="1185"/>
      <c r="AE258" s="1185"/>
      <c r="AF258" s="1185"/>
      <c r="AG258" s="1185"/>
      <c r="AH258" s="1185"/>
      <c r="AI258" s="1185"/>
      <c r="AK258" s="1204"/>
    </row>
    <row r="259" spans="1:37">
      <c r="A259" s="1219" t="s">
        <v>381</v>
      </c>
      <c r="B259" s="307"/>
      <c r="C259" s="1026">
        <f>SUM(C244:C246)</f>
        <v>517067354.80855358</v>
      </c>
      <c r="D259" s="1255"/>
      <c r="E259" s="1203"/>
      <c r="F259" s="1203">
        <f>SUM(F239:F258)</f>
        <v>37912062</v>
      </c>
      <c r="G259" s="1255"/>
      <c r="H259" s="1009"/>
      <c r="I259" s="1203">
        <f>SUM(I239:I258)</f>
        <v>43310655</v>
      </c>
      <c r="J259" s="1255"/>
      <c r="K259" s="1009"/>
      <c r="L259" s="1203">
        <f>SUM(L239:L258)</f>
        <v>45750917</v>
      </c>
      <c r="N259" s="1274"/>
      <c r="O259" s="1274"/>
      <c r="P259" s="1186"/>
      <c r="Q259" s="1186"/>
      <c r="R259" s="1186"/>
      <c r="S259" s="1185"/>
      <c r="T259" s="1185"/>
      <c r="U259" s="1185"/>
      <c r="V259" s="1185"/>
      <c r="W259" s="1185"/>
      <c r="X259" s="1185"/>
      <c r="Y259" s="1185"/>
      <c r="Z259" s="1185"/>
      <c r="AA259" s="1185"/>
      <c r="AB259" s="1185"/>
      <c r="AC259" s="1185"/>
      <c r="AD259" s="1185"/>
      <c r="AE259" s="1185"/>
      <c r="AF259" s="1185"/>
      <c r="AG259" s="1185"/>
      <c r="AH259" s="1185"/>
      <c r="AI259" s="1185"/>
      <c r="AK259" s="1204"/>
    </row>
    <row r="260" spans="1:37">
      <c r="A260" s="1219" t="s">
        <v>363</v>
      </c>
      <c r="B260" s="1219"/>
      <c r="C260" s="1032">
        <f>'[97]Table 2'!H41</f>
        <v>-1344873.1991789686</v>
      </c>
      <c r="D260" s="1218"/>
      <c r="E260" s="1218"/>
      <c r="F260" s="1264" t="e">
        <f>#REF!</f>
        <v>#REF!</v>
      </c>
      <c r="G260" s="1218"/>
      <c r="H260" s="1218"/>
      <c r="I260" s="1264">
        <f>'[97]Table 3'!E41</f>
        <v>-127697.18695907027</v>
      </c>
      <c r="J260" s="1218"/>
      <c r="K260" s="1218"/>
      <c r="L260" s="1264">
        <f>I260</f>
        <v>-127697.18695907027</v>
      </c>
      <c r="N260" s="444"/>
      <c r="O260" s="444"/>
      <c r="P260" s="287"/>
      <c r="Q260" s="1186"/>
      <c r="R260" s="1186"/>
      <c r="S260" s="1185"/>
      <c r="T260" s="1185"/>
      <c r="U260" s="1185"/>
      <c r="V260" s="1185"/>
      <c r="W260" s="1185"/>
      <c r="X260" s="1185"/>
      <c r="Y260" s="1185"/>
      <c r="Z260" s="1185"/>
      <c r="AA260" s="1185"/>
      <c r="AB260" s="1185"/>
      <c r="AC260" s="1185"/>
      <c r="AD260" s="1185"/>
      <c r="AE260" s="1185"/>
      <c r="AF260" s="1185"/>
      <c r="AG260" s="1185"/>
      <c r="AH260" s="1185"/>
      <c r="AI260" s="1185"/>
      <c r="AK260" s="1204"/>
    </row>
    <row r="261" spans="1:37" ht="16.5" thickBot="1">
      <c r="A261" s="1219" t="s">
        <v>382</v>
      </c>
      <c r="B261" s="1219"/>
      <c r="C261" s="1240">
        <f>SUM(C259:C260)</f>
        <v>515722481.60937458</v>
      </c>
      <c r="D261" s="1265"/>
      <c r="E261" s="1266"/>
      <c r="F261" s="1267" t="e">
        <f>F259+F260</f>
        <v>#REF!</v>
      </c>
      <c r="G261" s="1265"/>
      <c r="H261" s="1269"/>
      <c r="I261" s="1267">
        <f>I259+I260</f>
        <v>43182957.813040927</v>
      </c>
      <c r="J261" s="1265"/>
      <c r="K261" s="1269"/>
      <c r="L261" s="1267">
        <f>L259+L260</f>
        <v>45623219.813040927</v>
      </c>
      <c r="N261" s="411"/>
      <c r="O261" s="411"/>
      <c r="P261" s="470"/>
      <c r="Q261" s="1186"/>
      <c r="R261" s="1186"/>
      <c r="S261" s="1185"/>
      <c r="T261" s="1185"/>
      <c r="U261" s="1185"/>
      <c r="V261" s="1185"/>
      <c r="W261" s="1185"/>
      <c r="X261" s="1185"/>
      <c r="Y261" s="1185"/>
      <c r="Z261" s="1185"/>
      <c r="AA261" s="1185"/>
      <c r="AB261" s="1185"/>
      <c r="AC261" s="1185"/>
      <c r="AD261" s="1185"/>
      <c r="AE261" s="1185"/>
      <c r="AF261" s="1185"/>
      <c r="AG261" s="1185"/>
      <c r="AH261" s="1185"/>
      <c r="AI261" s="1185"/>
      <c r="AK261" s="1204"/>
    </row>
    <row r="262" spans="1:37" ht="16.5" thickTop="1">
      <c r="A262" s="1219"/>
      <c r="B262" s="1219"/>
      <c r="C262" s="1225"/>
      <c r="D262" s="1261"/>
      <c r="E262" s="1203"/>
      <c r="F262" s="1203"/>
      <c r="G262" s="1261"/>
      <c r="H262" s="1219"/>
      <c r="I262" s="1203"/>
      <c r="J262" s="1261"/>
      <c r="K262" s="1219"/>
      <c r="L262" s="1203" t="s">
        <v>31</v>
      </c>
      <c r="N262" s="1185"/>
      <c r="O262" s="1185"/>
      <c r="P262" s="1186"/>
      <c r="Q262" s="1186"/>
      <c r="R262" s="1186"/>
      <c r="S262" s="1185"/>
      <c r="T262" s="1185"/>
      <c r="U262" s="1185"/>
      <c r="V262" s="1185"/>
      <c r="W262" s="1185"/>
      <c r="X262" s="1185"/>
      <c r="Y262" s="1185"/>
      <c r="Z262" s="1185"/>
      <c r="AA262" s="1185"/>
      <c r="AB262" s="1185"/>
      <c r="AC262" s="1185"/>
      <c r="AD262" s="1185"/>
      <c r="AE262" s="1185"/>
      <c r="AF262" s="1185"/>
      <c r="AG262" s="1185"/>
      <c r="AH262" s="1185"/>
      <c r="AI262" s="1185"/>
      <c r="AK262" s="1204"/>
    </row>
    <row r="263" spans="1:37">
      <c r="A263" s="1224" t="s">
        <v>387</v>
      </c>
      <c r="B263" s="1219"/>
      <c r="C263" s="1219"/>
      <c r="D263" s="1203"/>
      <c r="E263" s="1203"/>
      <c r="F263" s="1219" t="s">
        <v>31</v>
      </c>
      <c r="G263" s="1203"/>
      <c r="H263" s="1219"/>
      <c r="I263" s="1219"/>
      <c r="J263" s="1203"/>
      <c r="K263" s="1219"/>
      <c r="L263" s="1219"/>
      <c r="N263" s="1185"/>
      <c r="O263" s="1185"/>
      <c r="P263" s="1186"/>
      <c r="Q263" s="1186"/>
      <c r="R263" s="1186"/>
      <c r="S263" s="1185"/>
      <c r="T263" s="1185"/>
      <c r="U263" s="1185"/>
      <c r="V263" s="1185"/>
      <c r="W263" s="1185"/>
      <c r="X263" s="1185"/>
      <c r="Y263" s="1185"/>
      <c r="Z263" s="1185"/>
      <c r="AA263" s="1185"/>
      <c r="AB263" s="1185"/>
      <c r="AC263" s="1185"/>
      <c r="AD263" s="1185"/>
      <c r="AE263" s="1185"/>
      <c r="AF263" s="1185"/>
      <c r="AG263" s="1185"/>
      <c r="AH263" s="1185"/>
      <c r="AI263" s="1185"/>
      <c r="AK263" s="1204"/>
    </row>
    <row r="264" spans="1:37">
      <c r="A264" s="1219" t="s">
        <v>414</v>
      </c>
      <c r="B264" s="1219"/>
      <c r="C264" s="1225"/>
      <c r="D264" s="1203"/>
      <c r="E264" s="1203"/>
      <c r="F264" s="1219"/>
      <c r="G264" s="1203"/>
      <c r="H264" s="1219"/>
      <c r="I264" s="1219"/>
      <c r="J264" s="1203"/>
      <c r="K264" s="1219"/>
      <c r="L264" s="1219"/>
      <c r="N264" s="1185"/>
      <c r="O264" s="1185"/>
      <c r="P264" s="1186"/>
      <c r="Q264" s="1186"/>
      <c r="R264" s="1186"/>
      <c r="S264" s="1185"/>
      <c r="T264" s="1185"/>
      <c r="U264" s="1185"/>
      <c r="V264" s="1185"/>
      <c r="W264" s="1185"/>
      <c r="X264" s="1185"/>
      <c r="Y264" s="1185"/>
      <c r="Z264" s="1185"/>
      <c r="AA264" s="1185"/>
      <c r="AB264" s="1185"/>
      <c r="AC264" s="1185"/>
      <c r="AD264" s="1185"/>
      <c r="AE264" s="1185"/>
      <c r="AF264" s="1185"/>
      <c r="AG264" s="1185"/>
      <c r="AH264" s="1185"/>
      <c r="AI264" s="1185"/>
      <c r="AK264" s="1204"/>
    </row>
    <row r="265" spans="1:37">
      <c r="A265" s="1219"/>
      <c r="B265" s="1219"/>
      <c r="C265" s="1219"/>
      <c r="D265" s="1203"/>
      <c r="E265" s="1203"/>
      <c r="F265" s="1219"/>
      <c r="G265" s="1203"/>
      <c r="H265" s="1219"/>
      <c r="I265" s="1219"/>
      <c r="J265" s="1203"/>
      <c r="K265" s="1219"/>
      <c r="L265" s="1219"/>
      <c r="N265" s="1185"/>
      <c r="O265" s="1185"/>
      <c r="P265" s="1186"/>
      <c r="Q265" s="1186"/>
      <c r="R265" s="1186"/>
      <c r="S265" s="1185"/>
      <c r="T265" s="1185"/>
      <c r="U265" s="1185"/>
      <c r="V265" s="1185"/>
      <c r="W265" s="1185"/>
      <c r="X265" s="1185"/>
      <c r="Y265" s="1185"/>
      <c r="Z265" s="1185"/>
      <c r="AA265" s="1185"/>
      <c r="AB265" s="1185"/>
      <c r="AC265" s="1185"/>
      <c r="AD265" s="1185"/>
      <c r="AE265" s="1185"/>
      <c r="AF265" s="1185"/>
      <c r="AG265" s="1185"/>
      <c r="AH265" s="1185"/>
      <c r="AI265" s="1185"/>
      <c r="AK265" s="1204"/>
    </row>
    <row r="266" spans="1:37">
      <c r="A266" s="1219" t="s">
        <v>393</v>
      </c>
      <c r="B266" s="1219"/>
      <c r="C266" s="1026"/>
      <c r="D266" s="1203"/>
      <c r="E266" s="1203"/>
      <c r="F266" s="1219"/>
      <c r="G266" s="1203"/>
      <c r="H266" s="1219"/>
      <c r="I266" s="1219"/>
      <c r="J266" s="1203"/>
      <c r="K266" s="1219"/>
      <c r="L266" s="1219"/>
      <c r="N266" s="1185"/>
      <c r="O266" s="1185"/>
      <c r="P266" s="1186"/>
      <c r="Q266" s="1186"/>
      <c r="R266" s="1186"/>
      <c r="S266" s="1185"/>
      <c r="T266" s="1185"/>
      <c r="U266" s="1185"/>
      <c r="V266" s="1185"/>
      <c r="W266" s="1185"/>
      <c r="X266" s="1185"/>
      <c r="Y266" s="1185"/>
      <c r="Z266" s="1185"/>
      <c r="AA266" s="1185"/>
      <c r="AB266" s="1185"/>
      <c r="AC266" s="1185"/>
      <c r="AD266" s="1185"/>
      <c r="AE266" s="1185"/>
      <c r="AF266" s="1185"/>
      <c r="AG266" s="1185"/>
      <c r="AH266" s="1185"/>
      <c r="AI266" s="1185"/>
      <c r="AK266" s="1204"/>
    </row>
    <row r="267" spans="1:37">
      <c r="A267" s="1219" t="s">
        <v>390</v>
      </c>
      <c r="B267" s="1219"/>
      <c r="C267" s="1026">
        <v>2168.1333333333332</v>
      </c>
      <c r="D267" s="1229">
        <v>7.64</v>
      </c>
      <c r="E267" s="1041"/>
      <c r="F267" s="1203">
        <f>ROUND(D267*$C267,0)</f>
        <v>16565</v>
      </c>
      <c r="G267" s="1229">
        <v>8.7100000000000009</v>
      </c>
      <c r="H267" s="1009"/>
      <c r="I267" s="1203">
        <f>ROUND(G267*$C267,0)</f>
        <v>18884</v>
      </c>
      <c r="J267" s="1229">
        <f>$J$152</f>
        <v>8.7100000000000009</v>
      </c>
      <c r="K267" s="1009"/>
      <c r="L267" s="1203">
        <f>ROUND(J267*$C267,0)</f>
        <v>18884</v>
      </c>
      <c r="N267" s="1185"/>
      <c r="O267" s="1185"/>
      <c r="P267" s="1186"/>
      <c r="Q267" s="1186"/>
      <c r="R267" s="1186"/>
      <c r="S267" s="1185"/>
      <c r="T267" s="1185"/>
      <c r="U267" s="1185"/>
      <c r="V267" s="1185"/>
      <c r="W267" s="1185"/>
      <c r="X267" s="1185"/>
      <c r="Y267" s="1185"/>
      <c r="Z267" s="1185"/>
      <c r="AA267" s="1185"/>
      <c r="AB267" s="1185"/>
      <c r="AC267" s="1185"/>
      <c r="AD267" s="1185"/>
      <c r="AE267" s="1185"/>
      <c r="AF267" s="1185"/>
      <c r="AG267" s="1185"/>
      <c r="AH267" s="1185"/>
      <c r="AI267" s="1185"/>
      <c r="AK267" s="1204"/>
    </row>
    <row r="268" spans="1:37">
      <c r="A268" s="1219" t="s">
        <v>391</v>
      </c>
      <c r="B268" s="1219"/>
      <c r="C268" s="1026">
        <v>3271.3</v>
      </c>
      <c r="D268" s="1229">
        <v>11.36</v>
      </c>
      <c r="E268" s="1249"/>
      <c r="F268" s="1203">
        <f>ROUND(D268*$C268,0)</f>
        <v>37162</v>
      </c>
      <c r="G268" s="1229">
        <v>12.98</v>
      </c>
      <c r="H268" s="1250"/>
      <c r="I268" s="1203">
        <f t="shared" ref="I268:I269" si="35">ROUND(G268*$C268,0)</f>
        <v>42461</v>
      </c>
      <c r="J268" s="1229">
        <f>$J$153</f>
        <v>12.98</v>
      </c>
      <c r="K268" s="1250"/>
      <c r="L268" s="1203">
        <f>ROUND(J268*$C268,0)</f>
        <v>42461</v>
      </c>
      <c r="N268" s="1185"/>
      <c r="O268" s="1185"/>
      <c r="P268" s="1186"/>
      <c r="Q268" s="1186"/>
      <c r="R268" s="1186"/>
      <c r="S268" s="1185"/>
      <c r="T268" s="1185"/>
      <c r="U268" s="1185"/>
      <c r="V268" s="1185"/>
      <c r="W268" s="1185"/>
      <c r="X268" s="1185"/>
      <c r="Y268" s="1185"/>
      <c r="Z268" s="1185"/>
      <c r="AA268" s="1185"/>
      <c r="AB268" s="1185"/>
      <c r="AC268" s="1185"/>
      <c r="AD268" s="1185"/>
      <c r="AE268" s="1185"/>
      <c r="AF268" s="1185"/>
      <c r="AG268" s="1185"/>
      <c r="AH268" s="1185"/>
      <c r="AI268" s="1185"/>
      <c r="AK268" s="1204"/>
    </row>
    <row r="269" spans="1:37">
      <c r="A269" s="1219" t="s">
        <v>392</v>
      </c>
      <c r="B269" s="1219"/>
      <c r="C269" s="1026">
        <v>62765</v>
      </c>
      <c r="D269" s="1229">
        <v>0.81</v>
      </c>
      <c r="E269" s="1249"/>
      <c r="F269" s="1203">
        <f>ROUND(D269*$C269,0)</f>
        <v>50840</v>
      </c>
      <c r="G269" s="1229">
        <v>0.92</v>
      </c>
      <c r="H269" s="1250"/>
      <c r="I269" s="1203">
        <f t="shared" si="35"/>
        <v>57744</v>
      </c>
      <c r="J269" s="1229">
        <f>$J$154</f>
        <v>0.92</v>
      </c>
      <c r="K269" s="1250"/>
      <c r="L269" s="1203">
        <f>ROUND(J269*$C269,0)</f>
        <v>57744</v>
      </c>
      <c r="N269" s="1185"/>
      <c r="O269" s="1185"/>
      <c r="P269" s="1186"/>
      <c r="Q269" s="1186"/>
      <c r="R269" s="1186"/>
      <c r="S269" s="1185"/>
      <c r="T269" s="1185"/>
      <c r="U269" s="1185"/>
      <c r="V269" s="1185"/>
      <c r="W269" s="1185"/>
      <c r="X269" s="1185"/>
      <c r="Y269" s="1185"/>
      <c r="Z269" s="1185"/>
      <c r="AA269" s="1185"/>
      <c r="AB269" s="1185"/>
      <c r="AC269" s="1185"/>
      <c r="AD269" s="1185"/>
      <c r="AE269" s="1185"/>
      <c r="AF269" s="1185"/>
      <c r="AG269" s="1185"/>
      <c r="AH269" s="1185"/>
      <c r="AI269" s="1185"/>
      <c r="AK269" s="1204"/>
    </row>
    <row r="270" spans="1:37">
      <c r="A270" s="1219" t="s">
        <v>394</v>
      </c>
      <c r="B270" s="1219"/>
      <c r="C270" s="1026">
        <f>SUM(C267:C268)</f>
        <v>5439.4333333333334</v>
      </c>
      <c r="D270" s="1229"/>
      <c r="E270" s="1041"/>
      <c r="F270" s="1203"/>
      <c r="G270" s="1229"/>
      <c r="H270" s="1009"/>
      <c r="I270" s="1203"/>
      <c r="J270" s="1229"/>
      <c r="K270" s="1009"/>
      <c r="L270" s="1203"/>
      <c r="N270" s="1185"/>
      <c r="O270" s="1185"/>
      <c r="P270" s="1186"/>
      <c r="Q270" s="1186"/>
      <c r="R270" s="1186"/>
      <c r="S270" s="1185"/>
      <c r="T270" s="1185"/>
      <c r="U270" s="1185"/>
      <c r="V270" s="1185"/>
      <c r="W270" s="1185"/>
      <c r="X270" s="1185"/>
      <c r="Y270" s="1185"/>
      <c r="Z270" s="1185"/>
      <c r="AA270" s="1185"/>
      <c r="AB270" s="1185"/>
      <c r="AC270" s="1185"/>
      <c r="AD270" s="1185"/>
      <c r="AE270" s="1185"/>
      <c r="AF270" s="1185"/>
      <c r="AG270" s="1185"/>
      <c r="AH270" s="1185"/>
      <c r="AI270" s="1185"/>
      <c r="AK270" s="1204"/>
    </row>
    <row r="271" spans="1:37">
      <c r="A271" s="1219" t="s">
        <v>395</v>
      </c>
      <c r="B271" s="1219"/>
      <c r="C271" s="1026">
        <v>37219.5</v>
      </c>
      <c r="D271" s="1261">
        <v>2.98</v>
      </c>
      <c r="E271" s="1009"/>
      <c r="F271" s="1203">
        <f>ROUND(D271*$C271,0)</f>
        <v>110914</v>
      </c>
      <c r="G271" s="1261">
        <v>3.4</v>
      </c>
      <c r="H271" s="1009"/>
      <c r="I271" s="1203">
        <f>ROUND(G271*C271,0)</f>
        <v>126546</v>
      </c>
      <c r="J271" s="1261">
        <f>$J$157</f>
        <v>3.61</v>
      </c>
      <c r="K271" s="1009"/>
      <c r="L271" s="1203">
        <f>ROUND(J271*$C271,0)</f>
        <v>134362</v>
      </c>
      <c r="N271" s="1185"/>
      <c r="O271" s="1185"/>
      <c r="P271" s="1186"/>
      <c r="Q271" s="1186"/>
      <c r="R271" s="1186"/>
      <c r="S271" s="1185"/>
      <c r="T271" s="1185"/>
      <c r="U271" s="1185"/>
      <c r="V271" s="1185"/>
      <c r="W271" s="1185"/>
      <c r="X271" s="1185"/>
      <c r="Y271" s="1185"/>
      <c r="Z271" s="1185"/>
      <c r="AA271" s="1185"/>
      <c r="AB271" s="1185"/>
      <c r="AC271" s="1185"/>
      <c r="AD271" s="1185"/>
      <c r="AE271" s="1185"/>
      <c r="AF271" s="1185"/>
      <c r="AG271" s="1185"/>
      <c r="AH271" s="1185"/>
      <c r="AI271" s="1185"/>
      <c r="AK271" s="1204"/>
    </row>
    <row r="272" spans="1:37">
      <c r="A272" s="1219" t="s">
        <v>397</v>
      </c>
      <c r="B272" s="1219"/>
      <c r="C272" s="1026">
        <v>3527991.6666666633</v>
      </c>
      <c r="D272" s="1230">
        <v>8.5489999999999995</v>
      </c>
      <c r="E272" s="1009" t="s">
        <v>374</v>
      </c>
      <c r="F272" s="1203">
        <f>ROUND(D272*$C272/100,0)</f>
        <v>301608</v>
      </c>
      <c r="G272" s="1230">
        <v>9.766</v>
      </c>
      <c r="H272" s="1009" t="s">
        <v>374</v>
      </c>
      <c r="I272" s="1203">
        <f>ROUND(G272*C272/100,0)</f>
        <v>344544</v>
      </c>
      <c r="J272" s="1230">
        <f>$J$158</f>
        <v>10.359</v>
      </c>
      <c r="K272" s="1009" t="s">
        <v>374</v>
      </c>
      <c r="L272" s="1203">
        <f>ROUND(J272*$C272/100,0)</f>
        <v>365465</v>
      </c>
      <c r="N272" s="1185"/>
      <c r="O272" s="1185"/>
      <c r="P272" s="1186"/>
      <c r="Q272" s="1186"/>
      <c r="R272" s="1186"/>
      <c r="S272" s="1185"/>
      <c r="T272" s="1185"/>
      <c r="U272" s="1185"/>
      <c r="V272" s="1185"/>
      <c r="W272" s="1185"/>
      <c r="X272" s="1185"/>
      <c r="Y272" s="1185"/>
      <c r="Z272" s="1185"/>
      <c r="AA272" s="1185"/>
      <c r="AB272" s="1185"/>
      <c r="AC272" s="1185"/>
      <c r="AD272" s="1185"/>
      <c r="AE272" s="1185"/>
      <c r="AF272" s="1185"/>
      <c r="AG272" s="1185"/>
      <c r="AH272" s="1185"/>
      <c r="AI272" s="1185"/>
      <c r="AK272" s="1204"/>
    </row>
    <row r="273" spans="1:37">
      <c r="A273" s="1219" t="s">
        <v>398</v>
      </c>
      <c r="B273" s="1219"/>
      <c r="C273" s="1026">
        <v>9702345.3333333246</v>
      </c>
      <c r="D273" s="1230">
        <v>5.9020000000000001</v>
      </c>
      <c r="E273" s="1009" t="s">
        <v>374</v>
      </c>
      <c r="F273" s="1203">
        <f>ROUND(D273*$C273/100,0)</f>
        <v>572632</v>
      </c>
      <c r="G273" s="1230">
        <v>6.7460000000000004</v>
      </c>
      <c r="H273" s="1009" t="s">
        <v>374</v>
      </c>
      <c r="I273" s="1203">
        <f t="shared" ref="I273:I275" si="36">ROUND(G273*C273/100,0)</f>
        <v>654520</v>
      </c>
      <c r="J273" s="1230">
        <f>$J$159</f>
        <v>7.1559999999999997</v>
      </c>
      <c r="K273" s="1009" t="s">
        <v>374</v>
      </c>
      <c r="L273" s="1203">
        <f>ROUND(J273*$C273/100,0)</f>
        <v>694300</v>
      </c>
      <c r="N273" s="1185"/>
      <c r="O273" s="1185"/>
      <c r="P273" s="1186"/>
      <c r="Q273" s="1186"/>
      <c r="R273" s="1186"/>
      <c r="S273" s="1185"/>
      <c r="T273" s="1185"/>
      <c r="U273" s="1185"/>
      <c r="V273" s="1185"/>
      <c r="W273" s="1185"/>
      <c r="X273" s="1185"/>
      <c r="Y273" s="1185"/>
      <c r="Z273" s="1185"/>
      <c r="AA273" s="1185"/>
      <c r="AB273" s="1185"/>
      <c r="AC273" s="1185"/>
      <c r="AD273" s="1185"/>
      <c r="AE273" s="1185"/>
      <c r="AF273" s="1185"/>
      <c r="AG273" s="1185"/>
      <c r="AH273" s="1185"/>
      <c r="AI273" s="1185"/>
      <c r="AK273" s="1204"/>
    </row>
    <row r="274" spans="1:37">
      <c r="A274" s="1219" t="s">
        <v>399</v>
      </c>
      <c r="B274" s="1219"/>
      <c r="C274" s="1026">
        <v>4189763.0000000121</v>
      </c>
      <c r="D274" s="1230">
        <v>5.0839999999999996</v>
      </c>
      <c r="E274" s="1009" t="s">
        <v>374</v>
      </c>
      <c r="F274" s="1203">
        <f>ROUND(D274*$C274/100,0)</f>
        <v>213008</v>
      </c>
      <c r="G274" s="1230">
        <v>5.8120000000000003</v>
      </c>
      <c r="H274" s="1009" t="s">
        <v>374</v>
      </c>
      <c r="I274" s="1203">
        <f t="shared" si="36"/>
        <v>243509</v>
      </c>
      <c r="J274" s="1230">
        <f>$J$160</f>
        <v>6.1660000000000004</v>
      </c>
      <c r="K274" s="1009" t="s">
        <v>374</v>
      </c>
      <c r="L274" s="1203">
        <f>ROUND(J274*$C274/100,0)</f>
        <v>258341</v>
      </c>
      <c r="N274" s="1185"/>
      <c r="O274" s="1185"/>
      <c r="P274" s="1186"/>
      <c r="Q274" s="1186"/>
      <c r="R274" s="1186"/>
      <c r="S274" s="1185"/>
      <c r="T274" s="1185"/>
      <c r="U274" s="1185"/>
      <c r="V274" s="1185"/>
      <c r="W274" s="1185"/>
      <c r="X274" s="1185"/>
      <c r="Y274" s="1185"/>
      <c r="Z274" s="1185"/>
      <c r="AA274" s="1185"/>
      <c r="AB274" s="1185"/>
      <c r="AC274" s="1185"/>
      <c r="AD274" s="1185"/>
      <c r="AE274" s="1185"/>
      <c r="AF274" s="1185"/>
      <c r="AG274" s="1185"/>
      <c r="AH274" s="1185"/>
      <c r="AI274" s="1185"/>
      <c r="AK274" s="1204"/>
    </row>
    <row r="275" spans="1:37">
      <c r="A275" s="1219" t="s">
        <v>400</v>
      </c>
      <c r="B275" s="1219"/>
      <c r="C275" s="1026">
        <v>14734.36666666667</v>
      </c>
      <c r="D275" s="1255">
        <v>50</v>
      </c>
      <c r="E275" s="1041" t="s">
        <v>374</v>
      </c>
      <c r="F275" s="1203">
        <f>ROUND(D275*$C275/100,0)</f>
        <v>7367</v>
      </c>
      <c r="G275" s="1255">
        <v>56</v>
      </c>
      <c r="H275" s="1009" t="s">
        <v>374</v>
      </c>
      <c r="I275" s="1203">
        <f t="shared" si="36"/>
        <v>8251</v>
      </c>
      <c r="J275" s="1255">
        <f>$J$161</f>
        <v>56</v>
      </c>
      <c r="K275" s="1009" t="s">
        <v>374</v>
      </c>
      <c r="L275" s="1203">
        <f>ROUND(J275*$C275/100,0)</f>
        <v>8251</v>
      </c>
      <c r="N275" s="1185"/>
      <c r="O275" s="1185"/>
      <c r="P275" s="1186"/>
      <c r="Q275" s="1186"/>
      <c r="R275" s="1186"/>
      <c r="S275" s="1185"/>
      <c r="T275" s="1185"/>
      <c r="U275" s="1185"/>
      <c r="V275" s="1185"/>
      <c r="W275" s="1185"/>
      <c r="X275" s="1185"/>
      <c r="Y275" s="1185"/>
      <c r="Z275" s="1185"/>
      <c r="AA275" s="1185"/>
      <c r="AB275" s="1185"/>
      <c r="AC275" s="1185"/>
      <c r="AD275" s="1185"/>
      <c r="AE275" s="1185"/>
      <c r="AF275" s="1185"/>
      <c r="AG275" s="1185"/>
      <c r="AH275" s="1185"/>
      <c r="AI275" s="1185"/>
      <c r="AK275" s="1204"/>
    </row>
    <row r="276" spans="1:37">
      <c r="A276" s="1256" t="s">
        <v>401</v>
      </c>
      <c r="B276" s="1219"/>
      <c r="C276" s="1026"/>
      <c r="D276" s="1257">
        <v>-0.01</v>
      </c>
      <c r="E276" s="1041"/>
      <c r="F276" s="1203"/>
      <c r="G276" s="1257">
        <v>-0.01</v>
      </c>
      <c r="H276" s="1009"/>
      <c r="I276" s="1203"/>
      <c r="J276" s="1257">
        <v>-0.01</v>
      </c>
      <c r="K276" s="1009"/>
      <c r="L276" s="1203"/>
      <c r="N276" s="1185"/>
      <c r="O276" s="1185"/>
      <c r="P276" s="1186"/>
      <c r="Q276" s="1186"/>
      <c r="R276" s="1186"/>
      <c r="S276" s="1185"/>
      <c r="T276" s="1185"/>
      <c r="U276" s="1185"/>
      <c r="V276" s="1185"/>
      <c r="W276" s="1185"/>
      <c r="X276" s="1185"/>
      <c r="Y276" s="1185"/>
      <c r="Z276" s="1185"/>
      <c r="AA276" s="1185"/>
      <c r="AB276" s="1185"/>
      <c r="AC276" s="1185"/>
      <c r="AD276" s="1185"/>
      <c r="AE276" s="1185"/>
      <c r="AF276" s="1185"/>
      <c r="AG276" s="1185"/>
      <c r="AH276" s="1185"/>
      <c r="AI276" s="1185"/>
      <c r="AK276" s="1204"/>
    </row>
    <row r="277" spans="1:37">
      <c r="A277" s="1219" t="s">
        <v>390</v>
      </c>
      <c r="B277" s="1219"/>
      <c r="C277" s="1026">
        <v>0</v>
      </c>
      <c r="D277" s="1259">
        <v>7.64</v>
      </c>
      <c r="E277" s="1041"/>
      <c r="F277" s="1203">
        <f>-ROUND(D277*$C277/100,0)</f>
        <v>0</v>
      </c>
      <c r="G277" s="1259">
        <v>8.7100000000000009</v>
      </c>
      <c r="H277" s="1041"/>
      <c r="I277" s="1203">
        <f>-ROUND(G277*$C277/100,0)</f>
        <v>0</v>
      </c>
      <c r="J277" s="1259">
        <f>J267</f>
        <v>8.7100000000000009</v>
      </c>
      <c r="K277" s="1041"/>
      <c r="L277" s="1203">
        <f>-ROUND(J277*$C277/100,0)</f>
        <v>0</v>
      </c>
      <c r="N277" s="1185"/>
      <c r="O277" s="1185"/>
      <c r="P277" s="1186"/>
      <c r="Q277" s="1186"/>
      <c r="R277" s="1186"/>
      <c r="S277" s="1185"/>
      <c r="T277" s="1185"/>
      <c r="U277" s="1185"/>
      <c r="V277" s="1185"/>
      <c r="W277" s="1185"/>
      <c r="X277" s="1185"/>
      <c r="Y277" s="1185"/>
      <c r="Z277" s="1185"/>
      <c r="AA277" s="1185"/>
      <c r="AB277" s="1185"/>
      <c r="AC277" s="1185"/>
      <c r="AD277" s="1185"/>
      <c r="AE277" s="1185"/>
      <c r="AF277" s="1185"/>
      <c r="AG277" s="1185"/>
      <c r="AH277" s="1185"/>
      <c r="AI277" s="1185"/>
      <c r="AK277" s="1204"/>
    </row>
    <row r="278" spans="1:37">
      <c r="A278" s="1219" t="s">
        <v>391</v>
      </c>
      <c r="B278" s="1219"/>
      <c r="C278" s="1026">
        <v>3</v>
      </c>
      <c r="D278" s="1259">
        <v>11.36</v>
      </c>
      <c r="E278" s="1041"/>
      <c r="F278" s="1203">
        <f>-ROUND(D278*$C278/100,0)</f>
        <v>0</v>
      </c>
      <c r="G278" s="1259">
        <v>12.98</v>
      </c>
      <c r="H278" s="1041"/>
      <c r="I278" s="1203">
        <f t="shared" ref="I278:I280" si="37">-ROUND(G278*$C278/100,0)</f>
        <v>0</v>
      </c>
      <c r="J278" s="1259">
        <f>J268</f>
        <v>12.98</v>
      </c>
      <c r="K278" s="1041"/>
      <c r="L278" s="1203">
        <f>-ROUND(J278*$C278/100,0)</f>
        <v>0</v>
      </c>
      <c r="N278" s="1185"/>
      <c r="O278" s="1185"/>
      <c r="P278" s="1186"/>
      <c r="Q278" s="1186"/>
      <c r="R278" s="1186"/>
      <c r="S278" s="1185"/>
      <c r="T278" s="1185"/>
      <c r="U278" s="1185"/>
      <c r="V278" s="1185"/>
      <c r="W278" s="1185"/>
      <c r="X278" s="1185"/>
      <c r="Y278" s="1185"/>
      <c r="Z278" s="1185"/>
      <c r="AA278" s="1185"/>
      <c r="AB278" s="1185"/>
      <c r="AC278" s="1185"/>
      <c r="AD278" s="1185"/>
      <c r="AE278" s="1185"/>
      <c r="AF278" s="1185"/>
      <c r="AG278" s="1185"/>
      <c r="AH278" s="1185"/>
      <c r="AI278" s="1185"/>
      <c r="AK278" s="1204"/>
    </row>
    <row r="279" spans="1:37">
      <c r="A279" s="1219" t="s">
        <v>402</v>
      </c>
      <c r="B279" s="1219"/>
      <c r="C279" s="1026">
        <v>264</v>
      </c>
      <c r="D279" s="1259">
        <v>0.81</v>
      </c>
      <c r="E279" s="1041"/>
      <c r="F279" s="1203">
        <f>-ROUND(D279*$C279/100,0)</f>
        <v>-2</v>
      </c>
      <c r="G279" s="1259">
        <v>0.92</v>
      </c>
      <c r="H279" s="1041"/>
      <c r="I279" s="1203">
        <f t="shared" si="37"/>
        <v>-2</v>
      </c>
      <c r="J279" s="1259">
        <f>J269</f>
        <v>0.92</v>
      </c>
      <c r="K279" s="1041"/>
      <c r="L279" s="1203">
        <f>-ROUND(J279*$C279/100,0)</f>
        <v>-2</v>
      </c>
      <c r="N279" s="1185"/>
      <c r="O279" s="1185"/>
      <c r="P279" s="1186"/>
      <c r="Q279" s="1186"/>
      <c r="R279" s="1186"/>
      <c r="S279" s="1185"/>
      <c r="T279" s="1185"/>
      <c r="U279" s="1185"/>
      <c r="V279" s="1185"/>
      <c r="W279" s="1185"/>
      <c r="X279" s="1185"/>
      <c r="Y279" s="1185"/>
      <c r="Z279" s="1185"/>
      <c r="AA279" s="1185"/>
      <c r="AB279" s="1185"/>
      <c r="AC279" s="1185"/>
      <c r="AD279" s="1185"/>
      <c r="AE279" s="1185"/>
      <c r="AF279" s="1185"/>
      <c r="AG279" s="1185"/>
      <c r="AH279" s="1185"/>
      <c r="AI279" s="1185"/>
      <c r="AK279" s="1204"/>
    </row>
    <row r="280" spans="1:37">
      <c r="A280" s="1219" t="s">
        <v>403</v>
      </c>
      <c r="B280" s="1219"/>
      <c r="C280" s="1026">
        <v>132</v>
      </c>
      <c r="D280" s="1259">
        <v>2.98</v>
      </c>
      <c r="E280" s="1009"/>
      <c r="F280" s="1203">
        <f>-ROUND(D280*$C280/100,0)</f>
        <v>-4</v>
      </c>
      <c r="G280" s="1259">
        <v>3.4</v>
      </c>
      <c r="H280" s="1009"/>
      <c r="I280" s="1203">
        <f t="shared" si="37"/>
        <v>-4</v>
      </c>
      <c r="J280" s="1259">
        <f>J271</f>
        <v>3.61</v>
      </c>
      <c r="K280" s="1009"/>
      <c r="L280" s="1203">
        <f>-ROUND(J280*$C280/100,0)</f>
        <v>-5</v>
      </c>
      <c r="N280" s="1185"/>
      <c r="O280" s="1185"/>
      <c r="P280" s="1186"/>
      <c r="Q280" s="1186"/>
      <c r="R280" s="1186"/>
      <c r="S280" s="1185"/>
      <c r="T280" s="1185"/>
      <c r="U280" s="1185"/>
      <c r="V280" s="1185"/>
      <c r="W280" s="1185"/>
      <c r="X280" s="1185"/>
      <c r="Y280" s="1185"/>
      <c r="Z280" s="1185"/>
      <c r="AA280" s="1185"/>
      <c r="AB280" s="1185"/>
      <c r="AC280" s="1185"/>
      <c r="AD280" s="1185"/>
      <c r="AE280" s="1185"/>
      <c r="AF280" s="1185"/>
      <c r="AG280" s="1185"/>
      <c r="AH280" s="1185"/>
      <c r="AI280" s="1185"/>
      <c r="AK280" s="1204"/>
    </row>
    <row r="281" spans="1:37">
      <c r="A281" s="1219" t="s">
        <v>405</v>
      </c>
      <c r="B281" s="1219"/>
      <c r="C281" s="1026">
        <v>3000</v>
      </c>
      <c r="D281" s="1070">
        <v>8.5489999999999995</v>
      </c>
      <c r="E281" s="1009" t="s">
        <v>374</v>
      </c>
      <c r="F281" s="1203">
        <f>ROUND(D281*$C281/100*D276,0)</f>
        <v>-3</v>
      </c>
      <c r="G281" s="1070">
        <v>9.766</v>
      </c>
      <c r="H281" s="1009" t="s">
        <v>374</v>
      </c>
      <c r="I281" s="1203">
        <f>ROUND(G281*$C281/100*G276,0)</f>
        <v>-3</v>
      </c>
      <c r="J281" s="1070">
        <f>J272</f>
        <v>10.359</v>
      </c>
      <c r="K281" s="1009" t="s">
        <v>374</v>
      </c>
      <c r="L281" s="1203">
        <f>ROUND(J281*$C281/100*J276,0)</f>
        <v>-3</v>
      </c>
      <c r="N281" s="1185"/>
      <c r="O281" s="1185"/>
      <c r="P281" s="1186"/>
      <c r="Q281" s="1186"/>
      <c r="R281" s="1186"/>
      <c r="S281" s="1185"/>
      <c r="T281" s="1185"/>
      <c r="U281" s="1185"/>
      <c r="V281" s="1185"/>
      <c r="W281" s="1185"/>
      <c r="X281" s="1185"/>
      <c r="Y281" s="1185"/>
      <c r="Z281" s="1185"/>
      <c r="AA281" s="1185"/>
      <c r="AB281" s="1185"/>
      <c r="AC281" s="1185"/>
      <c r="AD281" s="1185"/>
      <c r="AE281" s="1185"/>
      <c r="AF281" s="1185"/>
      <c r="AG281" s="1185"/>
      <c r="AH281" s="1185"/>
      <c r="AI281" s="1185"/>
      <c r="AK281" s="1204"/>
    </row>
    <row r="282" spans="1:37">
      <c r="A282" s="1219" t="s">
        <v>398</v>
      </c>
      <c r="B282" s="1219"/>
      <c r="C282" s="1026">
        <v>24000</v>
      </c>
      <c r="D282" s="1070">
        <v>5.9020000000000001</v>
      </c>
      <c r="E282" s="1009" t="s">
        <v>374</v>
      </c>
      <c r="F282" s="1203">
        <f>ROUND(D282*$C282/100*D276,0)</f>
        <v>-14</v>
      </c>
      <c r="G282" s="1070">
        <v>6.7460000000000004</v>
      </c>
      <c r="H282" s="1009" t="s">
        <v>374</v>
      </c>
      <c r="I282" s="1203">
        <f>ROUND(G282*$C282/100*G276,0)</f>
        <v>-16</v>
      </c>
      <c r="J282" s="1070">
        <f>J273</f>
        <v>7.1559999999999997</v>
      </c>
      <c r="K282" s="1009" t="s">
        <v>374</v>
      </c>
      <c r="L282" s="1203">
        <f>ROUND(J282*$C282/100*J276,0)</f>
        <v>-17</v>
      </c>
      <c r="N282" s="1185"/>
      <c r="O282" s="1185"/>
      <c r="P282" s="1186"/>
      <c r="Q282" s="1186"/>
      <c r="R282" s="1186"/>
      <c r="S282" s="1185"/>
      <c r="T282" s="1185"/>
      <c r="U282" s="1185"/>
      <c r="V282" s="1185"/>
      <c r="W282" s="1185"/>
      <c r="X282" s="1185"/>
      <c r="Y282" s="1185"/>
      <c r="Z282" s="1185"/>
      <c r="AA282" s="1185"/>
      <c r="AB282" s="1185"/>
      <c r="AC282" s="1185"/>
      <c r="AD282" s="1185"/>
      <c r="AE282" s="1185"/>
      <c r="AF282" s="1185"/>
      <c r="AG282" s="1185"/>
      <c r="AH282" s="1185"/>
      <c r="AI282" s="1185"/>
      <c r="AK282" s="1204"/>
    </row>
    <row r="283" spans="1:37">
      <c r="A283" s="1219" t="s">
        <v>399</v>
      </c>
      <c r="B283" s="1219"/>
      <c r="C283" s="1026">
        <v>40200</v>
      </c>
      <c r="D283" s="1070">
        <v>5.0839999999999996</v>
      </c>
      <c r="E283" s="1009" t="s">
        <v>374</v>
      </c>
      <c r="F283" s="1203">
        <f>ROUND(D283*$C283/100*D276,0)</f>
        <v>-20</v>
      </c>
      <c r="G283" s="1070">
        <v>5.8120000000000003</v>
      </c>
      <c r="H283" s="1009" t="s">
        <v>374</v>
      </c>
      <c r="I283" s="1203">
        <f>ROUND(G283*$C283/100*G276,0)</f>
        <v>-23</v>
      </c>
      <c r="J283" s="1070">
        <f>J274</f>
        <v>6.1660000000000004</v>
      </c>
      <c r="K283" s="1009" t="s">
        <v>374</v>
      </c>
      <c r="L283" s="1203">
        <f>ROUND(J283*$C283/100*J276,0)</f>
        <v>-25</v>
      </c>
      <c r="N283" s="1185"/>
      <c r="O283" s="1185"/>
      <c r="P283" s="1186"/>
      <c r="Q283" s="1186"/>
      <c r="R283" s="1186"/>
      <c r="S283" s="1185"/>
      <c r="T283" s="1185"/>
      <c r="U283" s="1185"/>
      <c r="V283" s="1185"/>
      <c r="W283" s="1185"/>
      <c r="X283" s="1185"/>
      <c r="Y283" s="1185"/>
      <c r="Z283" s="1185"/>
      <c r="AA283" s="1185"/>
      <c r="AB283" s="1185"/>
      <c r="AC283" s="1185"/>
      <c r="AD283" s="1185"/>
      <c r="AE283" s="1185"/>
      <c r="AF283" s="1185"/>
      <c r="AG283" s="1185"/>
      <c r="AH283" s="1185"/>
      <c r="AI283" s="1185"/>
      <c r="AK283" s="1204"/>
    </row>
    <row r="284" spans="1:37">
      <c r="A284" s="1219" t="s">
        <v>400</v>
      </c>
      <c r="B284" s="1219"/>
      <c r="C284" s="1026">
        <v>0</v>
      </c>
      <c r="D284" s="1260">
        <v>50</v>
      </c>
      <c r="E284" s="1009" t="s">
        <v>374</v>
      </c>
      <c r="F284" s="1203">
        <f>ROUND(D284*$C284/100*D276,0)</f>
        <v>0</v>
      </c>
      <c r="G284" s="1260">
        <v>56</v>
      </c>
      <c r="H284" s="1009" t="s">
        <v>374</v>
      </c>
      <c r="I284" s="1203">
        <f>ROUND(G284*$C284/100*G276,0)</f>
        <v>0</v>
      </c>
      <c r="J284" s="1260">
        <f>J275</f>
        <v>56</v>
      </c>
      <c r="K284" s="1009" t="s">
        <v>374</v>
      </c>
      <c r="L284" s="1203">
        <f>ROUND(J284*$C284/100*J276,0)</f>
        <v>0</v>
      </c>
      <c r="N284" s="1185"/>
      <c r="O284" s="1185"/>
      <c r="P284" s="1186"/>
      <c r="Q284" s="1186"/>
      <c r="R284" s="1186"/>
      <c r="S284" s="1185"/>
      <c r="T284" s="1185"/>
      <c r="U284" s="1185"/>
      <c r="V284" s="1185"/>
      <c r="W284" s="1185"/>
      <c r="X284" s="1185"/>
      <c r="Y284" s="1185"/>
      <c r="Z284" s="1185"/>
      <c r="AA284" s="1185"/>
      <c r="AB284" s="1185"/>
      <c r="AC284" s="1185"/>
      <c r="AD284" s="1185"/>
      <c r="AE284" s="1185"/>
      <c r="AF284" s="1185"/>
      <c r="AG284" s="1185"/>
      <c r="AH284" s="1185"/>
      <c r="AI284" s="1185"/>
      <c r="AK284" s="1204"/>
    </row>
    <row r="285" spans="1:37">
      <c r="A285" s="1219" t="s">
        <v>407</v>
      </c>
      <c r="B285" s="1219"/>
      <c r="C285" s="1026">
        <f>3</f>
        <v>3</v>
      </c>
      <c r="D285" s="1261">
        <v>60</v>
      </c>
      <c r="E285" s="1041"/>
      <c r="F285" s="1203">
        <f>ROUND(D285*$C285,0)</f>
        <v>180</v>
      </c>
      <c r="G285" s="1261">
        <v>60</v>
      </c>
      <c r="H285" s="1009"/>
      <c r="I285" s="1203">
        <f>ROUND(G285*C285,0)</f>
        <v>180</v>
      </c>
      <c r="J285" s="1261">
        <f>$J$171</f>
        <v>60</v>
      </c>
      <c r="K285" s="1009"/>
      <c r="L285" s="1203">
        <f>ROUND(J285*$C285,0)</f>
        <v>180</v>
      </c>
      <c r="N285" s="1185"/>
      <c r="O285" s="1185"/>
      <c r="P285" s="1186"/>
      <c r="Q285" s="1186"/>
      <c r="R285" s="1186"/>
      <c r="S285" s="1185"/>
      <c r="T285" s="1185"/>
      <c r="U285" s="1185"/>
      <c r="V285" s="1185"/>
      <c r="W285" s="1185"/>
      <c r="X285" s="1185"/>
      <c r="Y285" s="1185"/>
      <c r="Z285" s="1185"/>
      <c r="AA285" s="1185"/>
      <c r="AB285" s="1185"/>
      <c r="AC285" s="1185"/>
      <c r="AD285" s="1185"/>
      <c r="AE285" s="1185"/>
      <c r="AF285" s="1185"/>
      <c r="AG285" s="1185"/>
      <c r="AH285" s="1185"/>
      <c r="AI285" s="1185"/>
      <c r="AK285" s="1204"/>
    </row>
    <row r="286" spans="1:37">
      <c r="A286" s="1219" t="s">
        <v>408</v>
      </c>
      <c r="B286" s="1219"/>
      <c r="C286" s="1026">
        <f>C279</f>
        <v>264</v>
      </c>
      <c r="D286" s="1262">
        <v>-30</v>
      </c>
      <c r="E286" s="1041" t="s">
        <v>374</v>
      </c>
      <c r="F286" s="1203">
        <f>ROUND(D286*$C286/100,0)</f>
        <v>-79</v>
      </c>
      <c r="G286" s="1262">
        <v>-30</v>
      </c>
      <c r="H286" s="1009" t="s">
        <v>374</v>
      </c>
      <c r="I286" s="1203">
        <f>ROUND(G286*C286/100,0)</f>
        <v>-79</v>
      </c>
      <c r="J286" s="1262">
        <f>$J$172</f>
        <v>-30</v>
      </c>
      <c r="K286" s="1009" t="s">
        <v>374</v>
      </c>
      <c r="L286" s="1203">
        <f>ROUND(J286*$C286/100,0)</f>
        <v>-79</v>
      </c>
      <c r="N286" s="1185"/>
      <c r="O286" s="1185"/>
      <c r="P286" s="1186"/>
      <c r="Q286" s="1186"/>
      <c r="R286" s="1186"/>
      <c r="S286" s="1185"/>
      <c r="T286" s="1185"/>
      <c r="U286" s="1185"/>
      <c r="V286" s="1185"/>
      <c r="W286" s="1185"/>
      <c r="X286" s="1185"/>
      <c r="Y286" s="1185"/>
      <c r="Z286" s="1185"/>
      <c r="AA286" s="1185"/>
      <c r="AB286" s="1185"/>
      <c r="AC286" s="1185"/>
      <c r="AD286" s="1185"/>
      <c r="AE286" s="1185"/>
      <c r="AF286" s="1185"/>
      <c r="AG286" s="1185"/>
      <c r="AH286" s="1185"/>
      <c r="AI286" s="1185"/>
      <c r="AK286" s="1204"/>
    </row>
    <row r="287" spans="1:37">
      <c r="A287" s="1219" t="s">
        <v>381</v>
      </c>
      <c r="B287" s="1219"/>
      <c r="C287" s="1026">
        <f>SUM(C272:C274)</f>
        <v>17420100</v>
      </c>
      <c r="D287" s="1255"/>
      <c r="E287" s="1203"/>
      <c r="F287" s="1203">
        <f>SUM(F267:F286)</f>
        <v>1310154</v>
      </c>
      <c r="G287" s="1255"/>
      <c r="H287" s="1009"/>
      <c r="I287" s="1203">
        <f>SUM(I267:I286)</f>
        <v>1496512</v>
      </c>
      <c r="J287" s="1255"/>
      <c r="K287" s="1009"/>
      <c r="L287" s="1203">
        <f>SUM(L267:L286)</f>
        <v>1579857</v>
      </c>
      <c r="N287" s="1185"/>
      <c r="O287" s="1185"/>
      <c r="P287" s="1186"/>
      <c r="Q287" s="1186"/>
      <c r="R287" s="1186"/>
      <c r="S287" s="1185"/>
      <c r="T287" s="1185"/>
      <c r="U287" s="1185"/>
      <c r="V287" s="1185"/>
      <c r="W287" s="1185"/>
      <c r="X287" s="1185"/>
      <c r="Y287" s="1185"/>
      <c r="Z287" s="1185"/>
      <c r="AA287" s="1185"/>
      <c r="AB287" s="1185"/>
      <c r="AC287" s="1185"/>
      <c r="AD287" s="1185"/>
      <c r="AE287" s="1185"/>
      <c r="AF287" s="1185"/>
      <c r="AG287" s="1185"/>
      <c r="AH287" s="1185"/>
      <c r="AI287" s="1185"/>
      <c r="AK287" s="1204"/>
    </row>
    <row r="288" spans="1:37">
      <c r="A288" s="1219" t="s">
        <v>363</v>
      </c>
      <c r="B288" s="1219"/>
      <c r="C288" s="1032">
        <f>'[97]Table 2'!H71</f>
        <v>238998.12647392348</v>
      </c>
      <c r="D288" s="1218"/>
      <c r="E288" s="1218"/>
      <c r="F288" s="1264" t="e">
        <f>#REF!</f>
        <v>#REF!</v>
      </c>
      <c r="G288" s="1218"/>
      <c r="H288" s="1218"/>
      <c r="I288" s="1264">
        <f>'[97]Table 3'!E71</f>
        <v>24162.483012530323</v>
      </c>
      <c r="J288" s="1218"/>
      <c r="K288" s="1218"/>
      <c r="L288" s="1264">
        <f>I288</f>
        <v>24162.483012530323</v>
      </c>
      <c r="N288" s="444"/>
      <c r="O288" s="444"/>
      <c r="P288" s="287"/>
      <c r="Q288" s="1186"/>
      <c r="R288" s="1186"/>
      <c r="S288" s="1185"/>
      <c r="T288" s="1185"/>
      <c r="U288" s="1185"/>
      <c r="V288" s="1185"/>
      <c r="W288" s="1185"/>
      <c r="X288" s="1185"/>
      <c r="Y288" s="1185"/>
      <c r="Z288" s="1185"/>
      <c r="AA288" s="1185"/>
      <c r="AB288" s="1185"/>
      <c r="AC288" s="1185"/>
      <c r="AD288" s="1185"/>
      <c r="AE288" s="1185"/>
      <c r="AF288" s="1185"/>
      <c r="AG288" s="1185"/>
      <c r="AH288" s="1185"/>
      <c r="AI288" s="1185"/>
      <c r="AK288" s="1204"/>
    </row>
    <row r="289" spans="1:37" ht="16.5" thickBot="1">
      <c r="A289" s="1219" t="s">
        <v>382</v>
      </c>
      <c r="B289" s="1219"/>
      <c r="C289" s="1240">
        <f>SUM(C287:C288)</f>
        <v>17659098.126473922</v>
      </c>
      <c r="D289" s="1265"/>
      <c r="E289" s="1266"/>
      <c r="F289" s="1267" t="e">
        <f>F287+F288</f>
        <v>#REF!</v>
      </c>
      <c r="G289" s="1265"/>
      <c r="H289" s="1269"/>
      <c r="I289" s="1267">
        <f>I287+I288</f>
        <v>1520674.4830125303</v>
      </c>
      <c r="J289" s="1265"/>
      <c r="K289" s="1269"/>
      <c r="L289" s="1267">
        <f>L287+L288</f>
        <v>1604019.4830125303</v>
      </c>
      <c r="N289" s="411"/>
      <c r="O289" s="411"/>
      <c r="P289" s="470"/>
      <c r="Q289" s="1186"/>
      <c r="R289" s="1186"/>
      <c r="S289" s="1185"/>
      <c r="T289" s="1185"/>
      <c r="U289" s="1185"/>
      <c r="V289" s="1185"/>
      <c r="W289" s="1185"/>
      <c r="X289" s="1185"/>
      <c r="Y289" s="1185"/>
      <c r="Z289" s="1185"/>
      <c r="AA289" s="1185"/>
      <c r="AB289" s="1185"/>
      <c r="AC289" s="1185"/>
      <c r="AD289" s="1185"/>
      <c r="AE289" s="1185"/>
      <c r="AF289" s="1185"/>
      <c r="AG289" s="1185"/>
      <c r="AH289" s="1185"/>
      <c r="AI289" s="1185"/>
      <c r="AK289" s="1204"/>
    </row>
    <row r="290" spans="1:37" ht="16.5" thickTop="1">
      <c r="A290" s="1219"/>
      <c r="B290" s="1219"/>
      <c r="C290" s="1018"/>
      <c r="D290" s="1275"/>
      <c r="E290" s="1276"/>
      <c r="F290" s="1040"/>
      <c r="G290" s="1275"/>
      <c r="H290" s="1277"/>
      <c r="I290" s="1040"/>
      <c r="J290" s="1275"/>
      <c r="K290" s="1277"/>
      <c r="L290" s="1040"/>
      <c r="N290" s="1185"/>
      <c r="O290" s="1185"/>
      <c r="P290" s="1186"/>
      <c r="Q290" s="1186"/>
      <c r="R290" s="1186"/>
      <c r="S290" s="1185"/>
      <c r="T290" s="1185"/>
      <c r="U290" s="1185"/>
      <c r="V290" s="1185"/>
      <c r="W290" s="1185"/>
      <c r="X290" s="1185"/>
      <c r="Y290" s="1185"/>
      <c r="Z290" s="1185"/>
      <c r="AA290" s="1185"/>
      <c r="AB290" s="1185"/>
      <c r="AC290" s="1185"/>
      <c r="AD290" s="1185"/>
      <c r="AE290" s="1185"/>
      <c r="AF290" s="1185"/>
      <c r="AG290" s="1185"/>
      <c r="AH290" s="1185"/>
      <c r="AI290" s="1185"/>
      <c r="AK290" s="1204"/>
    </row>
    <row r="291" spans="1:37">
      <c r="A291" s="1224" t="s">
        <v>415</v>
      </c>
      <c r="B291" s="1219"/>
      <c r="C291" s="1219"/>
      <c r="D291" s="1203"/>
      <c r="E291" s="1203"/>
      <c r="F291" s="1219" t="s">
        <v>31</v>
      </c>
      <c r="G291" s="1203"/>
      <c r="H291" s="1219"/>
      <c r="I291" s="1219"/>
      <c r="J291" s="1203"/>
      <c r="K291" s="1219"/>
      <c r="L291" s="1219"/>
      <c r="N291" s="1185"/>
      <c r="O291" s="1185"/>
      <c r="P291" s="1186"/>
      <c r="Q291" s="1186"/>
      <c r="R291" s="1186"/>
      <c r="S291" s="1185"/>
      <c r="T291" s="1185"/>
      <c r="U291" s="1185"/>
      <c r="V291" s="1185"/>
      <c r="W291" s="1185"/>
      <c r="X291" s="1185"/>
      <c r="Y291" s="1185"/>
      <c r="Z291" s="1185"/>
      <c r="AA291" s="1185"/>
      <c r="AB291" s="1185"/>
      <c r="AC291" s="1185"/>
      <c r="AD291" s="1185"/>
      <c r="AE291" s="1185"/>
      <c r="AF291" s="1185"/>
      <c r="AG291" s="1185"/>
      <c r="AH291" s="1185"/>
      <c r="AI291" s="1185"/>
      <c r="AK291" s="1204"/>
    </row>
    <row r="292" spans="1:37">
      <c r="A292" s="1219" t="s">
        <v>410</v>
      </c>
      <c r="B292" s="1219"/>
      <c r="C292" s="1219"/>
      <c r="D292" s="1203"/>
      <c r="E292" s="1203"/>
      <c r="F292" s="1219"/>
      <c r="G292" s="1203"/>
      <c r="H292" s="1219"/>
      <c r="I292" s="1219"/>
      <c r="J292" s="1203"/>
      <c r="K292" s="1219"/>
      <c r="L292" s="1219"/>
      <c r="N292" s="1185"/>
      <c r="O292" s="1185"/>
      <c r="P292" s="1186"/>
      <c r="Q292" s="1186"/>
      <c r="R292" s="1186"/>
      <c r="S292" s="1185"/>
      <c r="T292" s="1185"/>
      <c r="U292" s="1185"/>
      <c r="V292" s="1185"/>
      <c r="W292" s="1185"/>
      <c r="X292" s="1185"/>
      <c r="Y292" s="1185"/>
      <c r="Z292" s="1185"/>
      <c r="AA292" s="1185"/>
      <c r="AB292" s="1185"/>
      <c r="AC292" s="1185"/>
      <c r="AD292" s="1185"/>
      <c r="AE292" s="1185"/>
      <c r="AF292" s="1185"/>
      <c r="AG292" s="1185"/>
      <c r="AH292" s="1185"/>
      <c r="AI292" s="1185"/>
      <c r="AK292" s="1204"/>
    </row>
    <row r="293" spans="1:37">
      <c r="A293" s="1219"/>
      <c r="B293" s="1219"/>
      <c r="C293" s="1219"/>
      <c r="D293" s="1203"/>
      <c r="E293" s="1203"/>
      <c r="F293" s="1219"/>
      <c r="G293" s="1203"/>
      <c r="H293" s="1219"/>
      <c r="I293" s="1219"/>
      <c r="J293" s="1203"/>
      <c r="K293" s="1219"/>
      <c r="L293" s="1219"/>
      <c r="N293" s="1185"/>
      <c r="O293" s="1185"/>
      <c r="P293" s="1186"/>
      <c r="Q293" s="1186"/>
      <c r="R293" s="1186"/>
      <c r="S293" s="1185"/>
      <c r="T293" s="1185"/>
      <c r="U293" s="1185"/>
      <c r="V293" s="1185"/>
      <c r="W293" s="1185"/>
      <c r="X293" s="1185"/>
      <c r="Y293" s="1185"/>
      <c r="Z293" s="1185"/>
      <c r="AA293" s="1185"/>
      <c r="AB293" s="1185"/>
      <c r="AC293" s="1185"/>
      <c r="AD293" s="1185"/>
      <c r="AE293" s="1185"/>
      <c r="AF293" s="1185"/>
      <c r="AG293" s="1185"/>
      <c r="AH293" s="1185"/>
      <c r="AI293" s="1185"/>
      <c r="AK293" s="1204"/>
    </row>
    <row r="294" spans="1:37">
      <c r="A294" s="1219" t="s">
        <v>393</v>
      </c>
      <c r="B294" s="1219"/>
      <c r="C294" s="1026"/>
      <c r="D294" s="1203"/>
      <c r="E294" s="1203"/>
      <c r="F294" s="1219"/>
      <c r="G294" s="1203"/>
      <c r="H294" s="1219"/>
      <c r="I294" s="1219"/>
      <c r="J294" s="1203"/>
      <c r="K294" s="1219"/>
      <c r="L294" s="1219"/>
      <c r="N294" s="1185"/>
      <c r="O294" s="1185"/>
      <c r="P294" s="1186"/>
      <c r="Q294" s="1186"/>
      <c r="R294" s="1186"/>
      <c r="S294" s="1185"/>
      <c r="T294" s="1185"/>
      <c r="U294" s="1185"/>
      <c r="V294" s="1185"/>
      <c r="W294" s="1185"/>
      <c r="X294" s="1185"/>
      <c r="Y294" s="1185"/>
      <c r="Z294" s="1185"/>
      <c r="AA294" s="1185"/>
      <c r="AB294" s="1185"/>
      <c r="AC294" s="1185"/>
      <c r="AD294" s="1185"/>
      <c r="AE294" s="1185"/>
      <c r="AF294" s="1185"/>
      <c r="AG294" s="1185"/>
      <c r="AH294" s="1185"/>
      <c r="AI294" s="1185"/>
      <c r="AK294" s="1204"/>
    </row>
    <row r="295" spans="1:37">
      <c r="A295" s="1219" t="s">
        <v>416</v>
      </c>
      <c r="B295" s="1219"/>
      <c r="C295" s="1026">
        <f>C324+C353</f>
        <v>4518</v>
      </c>
      <c r="D295" s="1229">
        <v>7.64</v>
      </c>
      <c r="E295" s="1041"/>
      <c r="F295" s="1203">
        <f>F324+F353</f>
        <v>34517</v>
      </c>
      <c r="G295" s="1229">
        <v>8.7100000000000009</v>
      </c>
      <c r="H295" s="1009"/>
      <c r="I295" s="1203">
        <f>ROUND(G295*$C295,0)</f>
        <v>39352</v>
      </c>
      <c r="J295" s="1229">
        <f>$J$152</f>
        <v>8.7100000000000009</v>
      </c>
      <c r="K295" s="1009"/>
      <c r="L295" s="1203">
        <f>L324+L353</f>
        <v>39351</v>
      </c>
      <c r="N295" s="1185"/>
      <c r="O295" s="1185"/>
      <c r="P295" s="1186"/>
      <c r="Q295" s="1186"/>
      <c r="R295" s="1186"/>
      <c r="S295" s="1185"/>
      <c r="T295" s="1185"/>
      <c r="U295" s="1185"/>
      <c r="V295" s="1185"/>
      <c r="W295" s="1185"/>
      <c r="X295" s="1185"/>
      <c r="Y295" s="1185"/>
      <c r="Z295" s="1185"/>
      <c r="AA295" s="1185"/>
      <c r="AB295" s="1185"/>
      <c r="AC295" s="1185"/>
      <c r="AD295" s="1185"/>
      <c r="AE295" s="1185"/>
      <c r="AF295" s="1185"/>
      <c r="AG295" s="1185"/>
      <c r="AH295" s="1185"/>
      <c r="AI295" s="1185"/>
      <c r="AK295" s="1204"/>
    </row>
    <row r="296" spans="1:37">
      <c r="A296" s="1219" t="s">
        <v>391</v>
      </c>
      <c r="B296" s="1219"/>
      <c r="C296" s="1026">
        <f>C325+C354</f>
        <v>0</v>
      </c>
      <c r="D296" s="1229">
        <v>11.36</v>
      </c>
      <c r="E296" s="1249"/>
      <c r="F296" s="1203">
        <f>F325+F354</f>
        <v>0</v>
      </c>
      <c r="G296" s="1229">
        <v>12.98</v>
      </c>
      <c r="H296" s="1250"/>
      <c r="I296" s="1203">
        <f t="shared" ref="I296:I297" si="38">ROUND(G296*$C296,0)</f>
        <v>0</v>
      </c>
      <c r="J296" s="1229">
        <f>$J$153</f>
        <v>12.98</v>
      </c>
      <c r="K296" s="1250"/>
      <c r="L296" s="1203">
        <f>L325+L354</f>
        <v>0</v>
      </c>
      <c r="N296" s="1185"/>
      <c r="O296" s="1185"/>
      <c r="P296" s="1186"/>
      <c r="Q296" s="1186"/>
      <c r="R296" s="1186"/>
      <c r="S296" s="1185"/>
      <c r="T296" s="1185"/>
      <c r="U296" s="1185"/>
      <c r="V296" s="1185"/>
      <c r="W296" s="1185"/>
      <c r="X296" s="1185"/>
      <c r="Y296" s="1185"/>
      <c r="Z296" s="1185"/>
      <c r="AA296" s="1185"/>
      <c r="AB296" s="1185"/>
      <c r="AC296" s="1185"/>
      <c r="AD296" s="1185"/>
      <c r="AE296" s="1185"/>
      <c r="AF296" s="1185"/>
      <c r="AG296" s="1185"/>
      <c r="AH296" s="1185"/>
      <c r="AI296" s="1185"/>
      <c r="AK296" s="1204"/>
    </row>
    <row r="297" spans="1:37">
      <c r="A297" s="1219" t="s">
        <v>392</v>
      </c>
      <c r="B297" s="1219"/>
      <c r="C297" s="1026">
        <f>C326+C355</f>
        <v>0</v>
      </c>
      <c r="D297" s="1229">
        <v>0.81</v>
      </c>
      <c r="E297" s="1249"/>
      <c r="F297" s="1203">
        <f>F326+F355</f>
        <v>0</v>
      </c>
      <c r="G297" s="1229">
        <v>0.92</v>
      </c>
      <c r="H297" s="1250"/>
      <c r="I297" s="1203">
        <f t="shared" si="38"/>
        <v>0</v>
      </c>
      <c r="J297" s="1229">
        <f>$J$154</f>
        <v>0.92</v>
      </c>
      <c r="K297" s="1250"/>
      <c r="L297" s="1203">
        <f>L326+L355</f>
        <v>0</v>
      </c>
      <c r="N297" s="1185"/>
      <c r="O297" s="1185"/>
      <c r="P297" s="1186"/>
      <c r="Q297" s="1186"/>
      <c r="R297" s="1186"/>
      <c r="S297" s="1185"/>
      <c r="T297" s="1185"/>
      <c r="U297" s="1185"/>
      <c r="V297" s="1185"/>
      <c r="W297" s="1185"/>
      <c r="X297" s="1185"/>
      <c r="Y297" s="1185"/>
      <c r="Z297" s="1185"/>
      <c r="AA297" s="1185"/>
      <c r="AB297" s="1185"/>
      <c r="AC297" s="1185"/>
      <c r="AD297" s="1185"/>
      <c r="AE297" s="1185"/>
      <c r="AF297" s="1185"/>
      <c r="AG297" s="1185"/>
      <c r="AH297" s="1185"/>
      <c r="AI297" s="1185"/>
      <c r="AK297" s="1204"/>
    </row>
    <row r="298" spans="1:37">
      <c r="A298" s="1219" t="s">
        <v>394</v>
      </c>
      <c r="B298" s="1219"/>
      <c r="C298" s="1026">
        <f>SUM(C295:C296)</f>
        <v>4518</v>
      </c>
      <c r="D298" s="1229"/>
      <c r="E298" s="1041"/>
      <c r="F298" s="1203"/>
      <c r="G298" s="1229"/>
      <c r="H298" s="1009"/>
      <c r="I298" s="1203"/>
      <c r="J298" s="1229"/>
      <c r="K298" s="1009"/>
      <c r="L298" s="1203"/>
      <c r="N298" s="1185"/>
      <c r="O298" s="1185"/>
      <c r="P298" s="1186"/>
      <c r="Q298" s="1186"/>
      <c r="R298" s="1186"/>
      <c r="S298" s="1185"/>
      <c r="T298" s="1185"/>
      <c r="U298" s="1185"/>
      <c r="V298" s="1185"/>
      <c r="W298" s="1185"/>
      <c r="X298" s="1185"/>
      <c r="Y298" s="1185"/>
      <c r="Z298" s="1185"/>
      <c r="AA298" s="1185"/>
      <c r="AB298" s="1185"/>
      <c r="AC298" s="1185"/>
      <c r="AD298" s="1185"/>
      <c r="AE298" s="1185"/>
      <c r="AF298" s="1185"/>
      <c r="AG298" s="1185"/>
      <c r="AH298" s="1185"/>
      <c r="AI298" s="1185"/>
      <c r="AK298" s="1204"/>
    </row>
    <row r="299" spans="1:37">
      <c r="A299" s="1219" t="s">
        <v>362</v>
      </c>
      <c r="B299" s="1219"/>
      <c r="C299" s="1026">
        <f t="shared" ref="C299:C304" si="39">C328+C357</f>
        <v>1459</v>
      </c>
      <c r="D299" s="1229"/>
      <c r="E299" s="1041"/>
      <c r="F299" s="1203"/>
      <c r="G299" s="1229"/>
      <c r="H299" s="1009"/>
      <c r="I299" s="1203"/>
      <c r="J299" s="1229"/>
      <c r="K299" s="1009"/>
      <c r="L299" s="1203"/>
      <c r="N299" s="1185"/>
      <c r="O299" s="1185"/>
      <c r="P299" s="1186"/>
      <c r="Q299" s="1186"/>
      <c r="R299" s="1186"/>
      <c r="S299" s="1185"/>
      <c r="T299" s="1185"/>
      <c r="U299" s="1185"/>
      <c r="V299" s="1185"/>
      <c r="W299" s="1185"/>
      <c r="X299" s="1185"/>
      <c r="Y299" s="1185"/>
      <c r="Z299" s="1185"/>
      <c r="AA299" s="1185"/>
      <c r="AB299" s="1185"/>
      <c r="AC299" s="1185"/>
      <c r="AD299" s="1185"/>
      <c r="AE299" s="1185"/>
      <c r="AF299" s="1185"/>
      <c r="AG299" s="1185"/>
      <c r="AH299" s="1185"/>
      <c r="AI299" s="1185"/>
      <c r="AK299" s="1204"/>
    </row>
    <row r="300" spans="1:37">
      <c r="A300" s="1219" t="s">
        <v>395</v>
      </c>
      <c r="B300" s="1219"/>
      <c r="C300" s="1026">
        <f t="shared" si="39"/>
        <v>0</v>
      </c>
      <c r="D300" s="1261">
        <v>2.98</v>
      </c>
      <c r="E300" s="1009"/>
      <c r="F300" s="1203">
        <f>F329+F358</f>
        <v>0</v>
      </c>
      <c r="G300" s="1261">
        <v>3.4</v>
      </c>
      <c r="H300" s="1009"/>
      <c r="I300" s="1203">
        <f>ROUND(G300*C300,0)</f>
        <v>0</v>
      </c>
      <c r="J300" s="1261">
        <f>$J$157</f>
        <v>3.61</v>
      </c>
      <c r="K300" s="1009"/>
      <c r="L300" s="1203">
        <f>L329+L358</f>
        <v>0</v>
      </c>
      <c r="N300" s="1185"/>
      <c r="O300" s="1185"/>
      <c r="P300" s="1186"/>
      <c r="Q300" s="1186"/>
      <c r="R300" s="1186"/>
      <c r="S300" s="1185"/>
      <c r="T300" s="1185"/>
      <c r="U300" s="1185"/>
      <c r="V300" s="1185"/>
      <c r="W300" s="1185"/>
      <c r="X300" s="1185"/>
      <c r="Y300" s="1185"/>
      <c r="Z300" s="1185"/>
      <c r="AA300" s="1185"/>
      <c r="AB300" s="1185"/>
      <c r="AC300" s="1185"/>
      <c r="AD300" s="1185"/>
      <c r="AE300" s="1185"/>
      <c r="AF300" s="1185"/>
      <c r="AG300" s="1185"/>
      <c r="AH300" s="1185"/>
      <c r="AI300" s="1185"/>
      <c r="AK300" s="1204"/>
    </row>
    <row r="301" spans="1:37">
      <c r="A301" s="1219" t="s">
        <v>397</v>
      </c>
      <c r="B301" s="1219"/>
      <c r="C301" s="1026">
        <f t="shared" si="39"/>
        <v>1237847</v>
      </c>
      <c r="D301" s="1230">
        <v>8.5489999999999995</v>
      </c>
      <c r="E301" s="1009" t="s">
        <v>374</v>
      </c>
      <c r="F301" s="1203">
        <f>F330+F359</f>
        <v>105824</v>
      </c>
      <c r="G301" s="1230">
        <v>9.766</v>
      </c>
      <c r="H301" s="1009" t="s">
        <v>374</v>
      </c>
      <c r="I301" s="1203">
        <f>ROUND(G301*C301/100,0)</f>
        <v>120888</v>
      </c>
      <c r="J301" s="1230">
        <f>$J$158</f>
        <v>10.359</v>
      </c>
      <c r="K301" s="1009" t="s">
        <v>374</v>
      </c>
      <c r="L301" s="1203">
        <f>L330+L359</f>
        <v>128229</v>
      </c>
      <c r="N301" s="1185"/>
      <c r="O301" s="1185"/>
      <c r="P301" s="1186"/>
      <c r="Q301" s="1186"/>
      <c r="R301" s="1186"/>
      <c r="S301" s="1185"/>
      <c r="T301" s="1185"/>
      <c r="U301" s="1185"/>
      <c r="V301" s="1185"/>
      <c r="W301" s="1185"/>
      <c r="X301" s="1185"/>
      <c r="Y301" s="1185"/>
      <c r="Z301" s="1185"/>
      <c r="AA301" s="1185"/>
      <c r="AB301" s="1185"/>
      <c r="AC301" s="1185"/>
      <c r="AD301" s="1185"/>
      <c r="AE301" s="1185"/>
      <c r="AF301" s="1185"/>
      <c r="AG301" s="1185"/>
      <c r="AH301" s="1185"/>
      <c r="AI301" s="1185"/>
      <c r="AK301" s="1204"/>
    </row>
    <row r="302" spans="1:37">
      <c r="A302" s="1219" t="s">
        <v>398</v>
      </c>
      <c r="B302" s="1219"/>
      <c r="C302" s="1026">
        <f t="shared" si="39"/>
        <v>64813</v>
      </c>
      <c r="D302" s="1230">
        <v>5.9020000000000001</v>
      </c>
      <c r="E302" s="1009" t="s">
        <v>374</v>
      </c>
      <c r="F302" s="1203">
        <f>F331+F360</f>
        <v>3825</v>
      </c>
      <c r="G302" s="1230">
        <v>6.7460000000000004</v>
      </c>
      <c r="H302" s="1009" t="s">
        <v>374</v>
      </c>
      <c r="I302" s="1203">
        <f t="shared" ref="I302:I304" si="40">ROUND(G302*C302/100,0)</f>
        <v>4372</v>
      </c>
      <c r="J302" s="1230">
        <f>$J$159</f>
        <v>7.1559999999999997</v>
      </c>
      <c r="K302" s="1009" t="s">
        <v>374</v>
      </c>
      <c r="L302" s="1203">
        <f>L331+L360</f>
        <v>4638</v>
      </c>
      <c r="N302" s="1185"/>
      <c r="O302" s="1185"/>
      <c r="P302" s="1186"/>
      <c r="Q302" s="1186"/>
      <c r="R302" s="1186"/>
      <c r="S302" s="1185"/>
      <c r="T302" s="1185"/>
      <c r="U302" s="1185"/>
      <c r="V302" s="1185"/>
      <c r="W302" s="1185"/>
      <c r="X302" s="1185"/>
      <c r="Y302" s="1185"/>
      <c r="Z302" s="1185"/>
      <c r="AA302" s="1185"/>
      <c r="AB302" s="1185"/>
      <c r="AC302" s="1185"/>
      <c r="AD302" s="1185"/>
      <c r="AE302" s="1185"/>
      <c r="AF302" s="1185"/>
      <c r="AG302" s="1185"/>
      <c r="AH302" s="1185"/>
      <c r="AI302" s="1185"/>
      <c r="AK302" s="1204"/>
    </row>
    <row r="303" spans="1:37">
      <c r="A303" s="1219" t="s">
        <v>399</v>
      </c>
      <c r="B303" s="1219"/>
      <c r="C303" s="1026">
        <f t="shared" si="39"/>
        <v>0</v>
      </c>
      <c r="D303" s="1230">
        <v>5.0839999999999996</v>
      </c>
      <c r="E303" s="1009" t="s">
        <v>374</v>
      </c>
      <c r="F303" s="1203">
        <f>F332+F361</f>
        <v>0</v>
      </c>
      <c r="G303" s="1230">
        <v>5.8120000000000003</v>
      </c>
      <c r="H303" s="1009" t="s">
        <v>374</v>
      </c>
      <c r="I303" s="1203">
        <f t="shared" si="40"/>
        <v>0</v>
      </c>
      <c r="J303" s="1230">
        <f>$J$160</f>
        <v>6.1660000000000004</v>
      </c>
      <c r="K303" s="1009" t="s">
        <v>374</v>
      </c>
      <c r="L303" s="1203">
        <f>L332+L361</f>
        <v>0</v>
      </c>
      <c r="N303" s="1185"/>
      <c r="O303" s="1185"/>
      <c r="P303" s="1186"/>
      <c r="Q303" s="1186"/>
      <c r="R303" s="1186"/>
      <c r="S303" s="1185"/>
      <c r="T303" s="1185"/>
      <c r="U303" s="1185"/>
      <c r="V303" s="1185"/>
      <c r="W303" s="1185"/>
      <c r="X303" s="1185"/>
      <c r="Y303" s="1185"/>
      <c r="Z303" s="1185"/>
      <c r="AA303" s="1185"/>
      <c r="AB303" s="1185"/>
      <c r="AC303" s="1185"/>
      <c r="AD303" s="1185"/>
      <c r="AE303" s="1185"/>
      <c r="AF303" s="1185"/>
      <c r="AG303" s="1185"/>
      <c r="AH303" s="1185"/>
      <c r="AI303" s="1185"/>
      <c r="AK303" s="1204"/>
    </row>
    <row r="304" spans="1:37">
      <c r="A304" s="1219" t="s">
        <v>400</v>
      </c>
      <c r="B304" s="1219"/>
      <c r="C304" s="1026">
        <f t="shared" si="39"/>
        <v>0</v>
      </c>
      <c r="D304" s="1255">
        <v>50</v>
      </c>
      <c r="E304" s="1041" t="s">
        <v>374</v>
      </c>
      <c r="F304" s="1203">
        <f>F333+F362</f>
        <v>0</v>
      </c>
      <c r="G304" s="1255">
        <v>56</v>
      </c>
      <c r="H304" s="1009" t="s">
        <v>374</v>
      </c>
      <c r="I304" s="1203">
        <f t="shared" si="40"/>
        <v>0</v>
      </c>
      <c r="J304" s="1255">
        <f>$J$161</f>
        <v>56</v>
      </c>
      <c r="K304" s="1009" t="s">
        <v>374</v>
      </c>
      <c r="L304" s="1203">
        <f>L333+L362</f>
        <v>0</v>
      </c>
      <c r="N304" s="1185"/>
      <c r="O304" s="1185"/>
      <c r="P304" s="1186"/>
      <c r="Q304" s="1186"/>
      <c r="R304" s="1186"/>
      <c r="S304" s="1185"/>
      <c r="T304" s="1185"/>
      <c r="U304" s="1185"/>
      <c r="V304" s="1185"/>
      <c r="W304" s="1185"/>
      <c r="X304" s="1185"/>
      <c r="Y304" s="1185"/>
      <c r="Z304" s="1185"/>
      <c r="AA304" s="1185"/>
      <c r="AB304" s="1185"/>
      <c r="AC304" s="1185"/>
      <c r="AD304" s="1185"/>
      <c r="AE304" s="1185"/>
      <c r="AF304" s="1185"/>
      <c r="AG304" s="1185"/>
      <c r="AH304" s="1185"/>
      <c r="AI304" s="1185"/>
      <c r="AK304" s="1204"/>
    </row>
    <row r="305" spans="1:37">
      <c r="A305" s="1256" t="s">
        <v>401</v>
      </c>
      <c r="B305" s="1219"/>
      <c r="C305" s="1026"/>
      <c r="D305" s="1257">
        <v>-0.01</v>
      </c>
      <c r="E305" s="1041"/>
      <c r="F305" s="1203"/>
      <c r="G305" s="1257">
        <v>-0.01</v>
      </c>
      <c r="H305" s="1009"/>
      <c r="I305" s="1203"/>
      <c r="J305" s="1257">
        <v>-0.01</v>
      </c>
      <c r="K305" s="1009"/>
      <c r="L305" s="1203"/>
      <c r="N305" s="1185"/>
      <c r="O305" s="1185"/>
      <c r="P305" s="1186"/>
      <c r="Q305" s="1186"/>
      <c r="R305" s="1186"/>
      <c r="S305" s="1185"/>
      <c r="T305" s="1185"/>
      <c r="U305" s="1185"/>
      <c r="V305" s="1185"/>
      <c r="W305" s="1185"/>
      <c r="X305" s="1185"/>
      <c r="Y305" s="1185"/>
      <c r="Z305" s="1185"/>
      <c r="AA305" s="1185"/>
      <c r="AB305" s="1185"/>
      <c r="AC305" s="1185"/>
      <c r="AD305" s="1185"/>
      <c r="AE305" s="1185"/>
      <c r="AF305" s="1185"/>
      <c r="AG305" s="1185"/>
      <c r="AH305" s="1185"/>
      <c r="AI305" s="1185"/>
      <c r="AK305" s="1204"/>
    </row>
    <row r="306" spans="1:37">
      <c r="A306" s="1219" t="s">
        <v>390</v>
      </c>
      <c r="B306" s="1219"/>
      <c r="C306" s="1026">
        <v>0</v>
      </c>
      <c r="D306" s="1259">
        <v>7.64</v>
      </c>
      <c r="E306" s="1041"/>
      <c r="F306" s="1203">
        <f t="shared" ref="F306:F317" si="41">F335+F364</f>
        <v>0</v>
      </c>
      <c r="G306" s="1259">
        <v>8.7100000000000009</v>
      </c>
      <c r="H306" s="1041"/>
      <c r="I306" s="1203">
        <f>-ROUND(G306*$C306/100,0)</f>
        <v>0</v>
      </c>
      <c r="J306" s="1259">
        <f>J295</f>
        <v>8.7100000000000009</v>
      </c>
      <c r="K306" s="1041"/>
      <c r="L306" s="1203">
        <f t="shared" ref="L306:L316" si="42">L335+L364</f>
        <v>0</v>
      </c>
      <c r="N306" s="1185"/>
      <c r="O306" s="1185"/>
      <c r="P306" s="1186"/>
      <c r="Q306" s="1186"/>
      <c r="R306" s="1186"/>
      <c r="S306" s="1185"/>
      <c r="T306" s="1185"/>
      <c r="U306" s="1185"/>
      <c r="V306" s="1185"/>
      <c r="W306" s="1185"/>
      <c r="X306" s="1185"/>
      <c r="Y306" s="1185"/>
      <c r="Z306" s="1185"/>
      <c r="AA306" s="1185"/>
      <c r="AB306" s="1185"/>
      <c r="AC306" s="1185"/>
      <c r="AD306" s="1185"/>
      <c r="AE306" s="1185"/>
      <c r="AF306" s="1185"/>
      <c r="AG306" s="1185"/>
      <c r="AH306" s="1185"/>
      <c r="AI306" s="1185"/>
      <c r="AK306" s="1204"/>
    </row>
    <row r="307" spans="1:37">
      <c r="A307" s="1219" t="s">
        <v>391</v>
      </c>
      <c r="B307" s="1219"/>
      <c r="C307" s="1026">
        <v>0</v>
      </c>
      <c r="D307" s="1259">
        <v>11.36</v>
      </c>
      <c r="E307" s="1041"/>
      <c r="F307" s="1203">
        <f t="shared" si="41"/>
        <v>0</v>
      </c>
      <c r="G307" s="1259">
        <v>12.98</v>
      </c>
      <c r="H307" s="1041"/>
      <c r="I307" s="1203">
        <f t="shared" ref="I307:I309" si="43">-ROUND(G307*$C307/100,0)</f>
        <v>0</v>
      </c>
      <c r="J307" s="1259">
        <f>J296</f>
        <v>12.98</v>
      </c>
      <c r="K307" s="1041"/>
      <c r="L307" s="1203">
        <f t="shared" si="42"/>
        <v>0</v>
      </c>
      <c r="N307" s="1185"/>
      <c r="O307" s="1185"/>
      <c r="P307" s="1186"/>
      <c r="Q307" s="1186"/>
      <c r="R307" s="1186"/>
      <c r="S307" s="1185"/>
      <c r="T307" s="1185"/>
      <c r="U307" s="1185"/>
      <c r="V307" s="1185"/>
      <c r="W307" s="1185"/>
      <c r="X307" s="1185"/>
      <c r="Y307" s="1185"/>
      <c r="Z307" s="1185"/>
      <c r="AA307" s="1185"/>
      <c r="AB307" s="1185"/>
      <c r="AC307" s="1185"/>
      <c r="AD307" s="1185"/>
      <c r="AE307" s="1185"/>
      <c r="AF307" s="1185"/>
      <c r="AG307" s="1185"/>
      <c r="AH307" s="1185"/>
      <c r="AI307" s="1185"/>
      <c r="AK307" s="1204"/>
    </row>
    <row r="308" spans="1:37">
      <c r="A308" s="1219" t="s">
        <v>402</v>
      </c>
      <c r="B308" s="1219"/>
      <c r="C308" s="1026">
        <v>0</v>
      </c>
      <c r="D308" s="1259">
        <v>0.81</v>
      </c>
      <c r="E308" s="1041"/>
      <c r="F308" s="1203">
        <f t="shared" si="41"/>
        <v>0</v>
      </c>
      <c r="G308" s="1259">
        <v>0.92</v>
      </c>
      <c r="H308" s="1041"/>
      <c r="I308" s="1203">
        <f t="shared" si="43"/>
        <v>0</v>
      </c>
      <c r="J308" s="1259">
        <f>J297</f>
        <v>0.92</v>
      </c>
      <c r="K308" s="1041"/>
      <c r="L308" s="1203">
        <f t="shared" si="42"/>
        <v>0</v>
      </c>
      <c r="N308" s="1185"/>
      <c r="O308" s="1185"/>
      <c r="P308" s="1186"/>
      <c r="Q308" s="1186"/>
      <c r="R308" s="1186"/>
      <c r="S308" s="1185"/>
      <c r="T308" s="1185"/>
      <c r="U308" s="1185"/>
      <c r="V308" s="1185"/>
      <c r="W308" s="1185"/>
      <c r="X308" s="1185"/>
      <c r="Y308" s="1185"/>
      <c r="Z308" s="1185"/>
      <c r="AA308" s="1185"/>
      <c r="AB308" s="1185"/>
      <c r="AC308" s="1185"/>
      <c r="AD308" s="1185"/>
      <c r="AE308" s="1185"/>
      <c r="AF308" s="1185"/>
      <c r="AG308" s="1185"/>
      <c r="AH308" s="1185"/>
      <c r="AI308" s="1185"/>
      <c r="AK308" s="1204"/>
    </row>
    <row r="309" spans="1:37">
      <c r="A309" s="1219" t="s">
        <v>403</v>
      </c>
      <c r="B309" s="1219"/>
      <c r="C309" s="1026">
        <v>0</v>
      </c>
      <c r="D309" s="1259">
        <v>2.98</v>
      </c>
      <c r="E309" s="1009"/>
      <c r="F309" s="1203">
        <f t="shared" si="41"/>
        <v>0</v>
      </c>
      <c r="G309" s="1259">
        <v>3.4</v>
      </c>
      <c r="H309" s="1009"/>
      <c r="I309" s="1203">
        <f t="shared" si="43"/>
        <v>0</v>
      </c>
      <c r="J309" s="1259">
        <f>J300</f>
        <v>3.61</v>
      </c>
      <c r="K309" s="1009"/>
      <c r="L309" s="1203">
        <f t="shared" si="42"/>
        <v>0</v>
      </c>
      <c r="N309" s="1185"/>
      <c r="O309" s="1185"/>
      <c r="P309" s="1186"/>
      <c r="Q309" s="1186"/>
      <c r="R309" s="1186"/>
      <c r="S309" s="1185"/>
      <c r="T309" s="1185"/>
      <c r="U309" s="1185"/>
      <c r="V309" s="1185"/>
      <c r="W309" s="1185"/>
      <c r="X309" s="1185"/>
      <c r="Y309" s="1185"/>
      <c r="Z309" s="1185"/>
      <c r="AA309" s="1185"/>
      <c r="AB309" s="1185"/>
      <c r="AC309" s="1185"/>
      <c r="AD309" s="1185"/>
      <c r="AE309" s="1185"/>
      <c r="AF309" s="1185"/>
      <c r="AG309" s="1185"/>
      <c r="AH309" s="1185"/>
      <c r="AI309" s="1185"/>
      <c r="AK309" s="1204"/>
    </row>
    <row r="310" spans="1:37">
      <c r="A310" s="1219" t="s">
        <v>405</v>
      </c>
      <c r="B310" s="1219"/>
      <c r="C310" s="1026">
        <v>0</v>
      </c>
      <c r="D310" s="1070">
        <v>8.5489999999999995</v>
      </c>
      <c r="E310" s="1009" t="s">
        <v>374</v>
      </c>
      <c r="F310" s="1203">
        <f t="shared" si="41"/>
        <v>0</v>
      </c>
      <c r="G310" s="1070">
        <v>9.766</v>
      </c>
      <c r="H310" s="1009" t="s">
        <v>374</v>
      </c>
      <c r="I310" s="1203">
        <f>ROUND(G310*$C310/100*G305,0)</f>
        <v>0</v>
      </c>
      <c r="J310" s="1070">
        <f>J301</f>
        <v>10.359</v>
      </c>
      <c r="K310" s="1009" t="s">
        <v>374</v>
      </c>
      <c r="L310" s="1203">
        <f t="shared" si="42"/>
        <v>0</v>
      </c>
      <c r="N310" s="1185"/>
      <c r="O310" s="1185"/>
      <c r="P310" s="1186"/>
      <c r="Q310" s="1186"/>
      <c r="R310" s="1186"/>
      <c r="S310" s="1185"/>
      <c r="T310" s="1185"/>
      <c r="U310" s="1185"/>
      <c r="V310" s="1185"/>
      <c r="W310" s="1185"/>
      <c r="X310" s="1185"/>
      <c r="Y310" s="1185"/>
      <c r="Z310" s="1185"/>
      <c r="AA310" s="1185"/>
      <c r="AB310" s="1185"/>
      <c r="AC310" s="1185"/>
      <c r="AD310" s="1185"/>
      <c r="AE310" s="1185"/>
      <c r="AF310" s="1185"/>
      <c r="AG310" s="1185"/>
      <c r="AH310" s="1185"/>
      <c r="AI310" s="1185"/>
      <c r="AK310" s="1204"/>
    </row>
    <row r="311" spans="1:37">
      <c r="A311" s="1219" t="s">
        <v>398</v>
      </c>
      <c r="B311" s="1219"/>
      <c r="C311" s="1026">
        <v>0</v>
      </c>
      <c r="D311" s="1070">
        <v>5.9020000000000001</v>
      </c>
      <c r="E311" s="1009" t="s">
        <v>374</v>
      </c>
      <c r="F311" s="1203">
        <f t="shared" si="41"/>
        <v>0</v>
      </c>
      <c r="G311" s="1070">
        <v>6.7460000000000004</v>
      </c>
      <c r="H311" s="1009" t="s">
        <v>374</v>
      </c>
      <c r="I311" s="1203">
        <f>ROUND(G311*$C311/100*G305,0)</f>
        <v>0</v>
      </c>
      <c r="J311" s="1070">
        <f>J302</f>
        <v>7.1559999999999997</v>
      </c>
      <c r="K311" s="1009" t="s">
        <v>374</v>
      </c>
      <c r="L311" s="1203">
        <f t="shared" si="42"/>
        <v>0</v>
      </c>
      <c r="N311" s="1185"/>
      <c r="O311" s="1185"/>
      <c r="P311" s="1186"/>
      <c r="Q311" s="1186"/>
      <c r="R311" s="1186"/>
      <c r="S311" s="1185"/>
      <c r="T311" s="1185"/>
      <c r="U311" s="1185"/>
      <c r="V311" s="1185"/>
      <c r="W311" s="1185"/>
      <c r="X311" s="1185"/>
      <c r="Y311" s="1185"/>
      <c r="Z311" s="1185"/>
      <c r="AA311" s="1185"/>
      <c r="AB311" s="1185"/>
      <c r="AC311" s="1185"/>
      <c r="AD311" s="1185"/>
      <c r="AE311" s="1185"/>
      <c r="AF311" s="1185"/>
      <c r="AG311" s="1185"/>
      <c r="AH311" s="1185"/>
      <c r="AI311" s="1185"/>
      <c r="AK311" s="1204"/>
    </row>
    <row r="312" spans="1:37">
      <c r="A312" s="1219" t="s">
        <v>399</v>
      </c>
      <c r="B312" s="1219"/>
      <c r="C312" s="1026">
        <v>0</v>
      </c>
      <c r="D312" s="1070">
        <v>5.0839999999999996</v>
      </c>
      <c r="E312" s="1009" t="s">
        <v>374</v>
      </c>
      <c r="F312" s="1203">
        <f t="shared" si="41"/>
        <v>0</v>
      </c>
      <c r="G312" s="1070">
        <v>5.8120000000000003</v>
      </c>
      <c r="H312" s="1009" t="s">
        <v>374</v>
      </c>
      <c r="I312" s="1203">
        <f>ROUND(G312*$C312/100*G305,0)</f>
        <v>0</v>
      </c>
      <c r="J312" s="1070">
        <f>J303</f>
        <v>6.1660000000000004</v>
      </c>
      <c r="K312" s="1009" t="s">
        <v>374</v>
      </c>
      <c r="L312" s="1203">
        <f t="shared" si="42"/>
        <v>0</v>
      </c>
      <c r="N312" s="1185"/>
      <c r="O312" s="1185"/>
      <c r="P312" s="1186"/>
      <c r="Q312" s="1186"/>
      <c r="R312" s="1186"/>
      <c r="S312" s="1185"/>
      <c r="T312" s="1185"/>
      <c r="U312" s="1185"/>
      <c r="V312" s="1185"/>
      <c r="W312" s="1185"/>
      <c r="X312" s="1185"/>
      <c r="Y312" s="1185"/>
      <c r="Z312" s="1185"/>
      <c r="AA312" s="1185"/>
      <c r="AB312" s="1185"/>
      <c r="AC312" s="1185"/>
      <c r="AD312" s="1185"/>
      <c r="AE312" s="1185"/>
      <c r="AF312" s="1185"/>
      <c r="AG312" s="1185"/>
      <c r="AH312" s="1185"/>
      <c r="AI312" s="1185"/>
      <c r="AK312" s="1204"/>
    </row>
    <row r="313" spans="1:37">
      <c r="A313" s="1219" t="s">
        <v>400</v>
      </c>
      <c r="B313" s="1219"/>
      <c r="C313" s="1026">
        <v>0</v>
      </c>
      <c r="D313" s="1260">
        <v>50</v>
      </c>
      <c r="E313" s="1009" t="s">
        <v>374</v>
      </c>
      <c r="F313" s="1203">
        <f t="shared" si="41"/>
        <v>0</v>
      </c>
      <c r="G313" s="1260">
        <v>56</v>
      </c>
      <c r="H313" s="1009" t="s">
        <v>374</v>
      </c>
      <c r="I313" s="1203">
        <f>ROUND(G313*$C313/100*G305,0)</f>
        <v>0</v>
      </c>
      <c r="J313" s="1260">
        <f>J304</f>
        <v>56</v>
      </c>
      <c r="K313" s="1009" t="s">
        <v>374</v>
      </c>
      <c r="L313" s="1203">
        <f t="shared" si="42"/>
        <v>0</v>
      </c>
      <c r="N313" s="1185"/>
      <c r="O313" s="1185"/>
      <c r="P313" s="1186"/>
      <c r="Q313" s="1186"/>
      <c r="R313" s="1186"/>
      <c r="S313" s="1185"/>
      <c r="T313" s="1185"/>
      <c r="U313" s="1185"/>
      <c r="V313" s="1185"/>
      <c r="W313" s="1185"/>
      <c r="X313" s="1185"/>
      <c r="Y313" s="1185"/>
      <c r="Z313" s="1185"/>
      <c r="AA313" s="1185"/>
      <c r="AB313" s="1185"/>
      <c r="AC313" s="1185"/>
      <c r="AD313" s="1185"/>
      <c r="AE313" s="1185"/>
      <c r="AF313" s="1185"/>
      <c r="AG313" s="1185"/>
      <c r="AH313" s="1185"/>
      <c r="AI313" s="1185"/>
      <c r="AK313" s="1204"/>
    </row>
    <row r="314" spans="1:37">
      <c r="A314" s="1219" t="s">
        <v>407</v>
      </c>
      <c r="B314" s="1219"/>
      <c r="C314" s="1026">
        <v>0</v>
      </c>
      <c r="D314" s="1261">
        <v>60</v>
      </c>
      <c r="E314" s="1041"/>
      <c r="F314" s="1203">
        <f t="shared" si="41"/>
        <v>0</v>
      </c>
      <c r="G314" s="1261">
        <v>60</v>
      </c>
      <c r="H314" s="1009"/>
      <c r="I314" s="1203">
        <f>ROUND(G314*C314,0)</f>
        <v>0</v>
      </c>
      <c r="J314" s="1261">
        <f>$J$171</f>
        <v>60</v>
      </c>
      <c r="K314" s="1009"/>
      <c r="L314" s="1203">
        <f t="shared" si="42"/>
        <v>0</v>
      </c>
      <c r="N314" s="1185"/>
      <c r="O314" s="1185"/>
      <c r="P314" s="1186"/>
      <c r="Q314" s="1186"/>
      <c r="R314" s="1186"/>
      <c r="S314" s="1185"/>
      <c r="T314" s="1185"/>
      <c r="U314" s="1185"/>
      <c r="V314" s="1185"/>
      <c r="W314" s="1185"/>
      <c r="X314" s="1185"/>
      <c r="Y314" s="1185"/>
      <c r="Z314" s="1185"/>
      <c r="AA314" s="1185"/>
      <c r="AB314" s="1185"/>
      <c r="AC314" s="1185"/>
      <c r="AD314" s="1185"/>
      <c r="AE314" s="1185"/>
      <c r="AF314" s="1185"/>
      <c r="AG314" s="1185"/>
      <c r="AH314" s="1185"/>
      <c r="AI314" s="1185"/>
      <c r="AK314" s="1204"/>
    </row>
    <row r="315" spans="1:37">
      <c r="A315" s="1219" t="s">
        <v>408</v>
      </c>
      <c r="B315" s="1219"/>
      <c r="C315" s="1026">
        <v>0</v>
      </c>
      <c r="D315" s="1262">
        <v>-30</v>
      </c>
      <c r="E315" s="1041" t="s">
        <v>374</v>
      </c>
      <c r="F315" s="1203">
        <f t="shared" si="41"/>
        <v>0</v>
      </c>
      <c r="G315" s="1262">
        <v>-30</v>
      </c>
      <c r="H315" s="1009" t="s">
        <v>374</v>
      </c>
      <c r="I315" s="1203">
        <f>ROUND(G315*C315/100,0)</f>
        <v>0</v>
      </c>
      <c r="J315" s="1262">
        <f>$J$172</f>
        <v>-30</v>
      </c>
      <c r="K315" s="1009" t="s">
        <v>374</v>
      </c>
      <c r="L315" s="1203">
        <f t="shared" si="42"/>
        <v>0</v>
      </c>
      <c r="N315" s="1185"/>
      <c r="O315" s="1185"/>
      <c r="P315" s="1186"/>
      <c r="Q315" s="1186"/>
      <c r="R315" s="1186"/>
      <c r="S315" s="1185"/>
      <c r="T315" s="1185"/>
      <c r="U315" s="1185"/>
      <c r="V315" s="1185"/>
      <c r="W315" s="1185"/>
      <c r="X315" s="1185"/>
      <c r="Y315" s="1185"/>
      <c r="Z315" s="1185"/>
      <c r="AA315" s="1185"/>
      <c r="AB315" s="1185"/>
      <c r="AC315" s="1185"/>
      <c r="AD315" s="1185"/>
      <c r="AE315" s="1185"/>
      <c r="AF315" s="1185"/>
      <c r="AG315" s="1185"/>
      <c r="AH315" s="1185"/>
      <c r="AI315" s="1185"/>
      <c r="AK315" s="1204"/>
    </row>
    <row r="316" spans="1:37">
      <c r="A316" s="1219" t="s">
        <v>381</v>
      </c>
      <c r="B316" s="1219"/>
      <c r="C316" s="1026">
        <f>C345+C374</f>
        <v>1302660</v>
      </c>
      <c r="D316" s="1255"/>
      <c r="E316" s="1203"/>
      <c r="F316" s="1203">
        <f t="shared" si="41"/>
        <v>144166</v>
      </c>
      <c r="G316" s="1255"/>
      <c r="H316" s="1009"/>
      <c r="I316" s="1203">
        <f>I345+I374</f>
        <v>164611</v>
      </c>
      <c r="J316" s="1255"/>
      <c r="K316" s="1009"/>
      <c r="L316" s="1203">
        <f t="shared" si="42"/>
        <v>172218</v>
      </c>
      <c r="N316" s="1185"/>
      <c r="O316" s="1185"/>
      <c r="P316" s="1186"/>
      <c r="Q316" s="1186"/>
      <c r="R316" s="1186"/>
      <c r="S316" s="1185"/>
      <c r="T316" s="1185"/>
      <c r="U316" s="1185"/>
      <c r="V316" s="1185"/>
      <c r="W316" s="1185"/>
      <c r="X316" s="1185"/>
      <c r="Y316" s="1185"/>
      <c r="Z316" s="1185"/>
      <c r="AA316" s="1185"/>
      <c r="AB316" s="1185"/>
      <c r="AC316" s="1185"/>
      <c r="AD316" s="1185"/>
      <c r="AE316" s="1185"/>
      <c r="AF316" s="1185"/>
      <c r="AG316" s="1185"/>
      <c r="AH316" s="1185"/>
      <c r="AI316" s="1185"/>
      <c r="AK316" s="1204"/>
    </row>
    <row r="317" spans="1:37">
      <c r="A317" s="1219" t="s">
        <v>363</v>
      </c>
      <c r="B317" s="1219"/>
      <c r="C317" s="1028">
        <f>C346+C375</f>
        <v>-2815.5547367919953</v>
      </c>
      <c r="D317" s="1218"/>
      <c r="E317" s="1218"/>
      <c r="F317" s="1264" t="e">
        <f t="shared" si="41"/>
        <v>#REF!</v>
      </c>
      <c r="G317" s="1218"/>
      <c r="H317" s="1218"/>
      <c r="I317" s="1264">
        <f>I346+I375</f>
        <v>-332.36765943366282</v>
      </c>
      <c r="J317" s="1218"/>
      <c r="K317" s="1218"/>
      <c r="L317" s="1264">
        <f>I317</f>
        <v>-332.36765943366282</v>
      </c>
      <c r="N317" s="444"/>
      <c r="O317" s="444"/>
      <c r="P317" s="287"/>
      <c r="Q317" s="1186"/>
      <c r="R317" s="1186"/>
      <c r="S317" s="1185"/>
      <c r="T317" s="1185"/>
      <c r="U317" s="1185"/>
      <c r="V317" s="1185"/>
      <c r="W317" s="1185"/>
      <c r="X317" s="1185"/>
      <c r="Y317" s="1185"/>
      <c r="Z317" s="1185"/>
      <c r="AA317" s="1185"/>
      <c r="AB317" s="1185"/>
      <c r="AC317" s="1185"/>
      <c r="AD317" s="1185"/>
      <c r="AE317" s="1185"/>
      <c r="AF317" s="1185"/>
      <c r="AG317" s="1185"/>
      <c r="AH317" s="1185"/>
      <c r="AI317" s="1185"/>
      <c r="AK317" s="1204"/>
    </row>
    <row r="318" spans="1:37" ht="16.5" thickBot="1">
      <c r="A318" s="1219" t="s">
        <v>382</v>
      </c>
      <c r="B318" s="1219"/>
      <c r="C318" s="1240">
        <f>SUM(C316:C317)</f>
        <v>1299844.4452632079</v>
      </c>
      <c r="D318" s="1265"/>
      <c r="E318" s="1266"/>
      <c r="F318" s="1267" t="e">
        <f>F316+F317</f>
        <v>#REF!</v>
      </c>
      <c r="G318" s="1265"/>
      <c r="H318" s="1269"/>
      <c r="I318" s="1267">
        <f>I316+I317</f>
        <v>164278.63234056634</v>
      </c>
      <c r="J318" s="1265"/>
      <c r="K318" s="1269"/>
      <c r="L318" s="1267">
        <f>L316+L317</f>
        <v>171885.63234056634</v>
      </c>
      <c r="N318" s="411"/>
      <c r="O318" s="411"/>
      <c r="P318" s="470"/>
      <c r="Q318" s="1186"/>
      <c r="R318" s="1186"/>
      <c r="S318" s="1185"/>
      <c r="T318" s="1185"/>
      <c r="U318" s="1185"/>
      <c r="V318" s="1185"/>
      <c r="W318" s="1185"/>
      <c r="X318" s="1185"/>
      <c r="Y318" s="1185"/>
      <c r="Z318" s="1185"/>
      <c r="AA318" s="1185"/>
      <c r="AB318" s="1185"/>
      <c r="AC318" s="1185"/>
      <c r="AD318" s="1185"/>
      <c r="AE318" s="1185"/>
      <c r="AF318" s="1185"/>
      <c r="AG318" s="1185"/>
      <c r="AH318" s="1185"/>
      <c r="AI318" s="1185"/>
      <c r="AK318" s="1204"/>
    </row>
    <row r="319" spans="1:37" ht="16.5" thickTop="1">
      <c r="A319" s="1219"/>
      <c r="B319" s="1219"/>
      <c r="C319" s="1225"/>
      <c r="D319" s="1261"/>
      <c r="E319" s="1203"/>
      <c r="F319" s="1203"/>
      <c r="G319" s="1261"/>
      <c r="H319" s="1219"/>
      <c r="I319" s="1203"/>
      <c r="J319" s="1261"/>
      <c r="K319" s="1219"/>
      <c r="L319" s="1203" t="s">
        <v>31</v>
      </c>
      <c r="N319" s="1185"/>
      <c r="O319" s="1185"/>
      <c r="P319" s="1186"/>
      <c r="Q319" s="1186"/>
      <c r="R319" s="1186"/>
      <c r="S319" s="1185"/>
      <c r="T319" s="1185"/>
      <c r="U319" s="1185"/>
      <c r="V319" s="1185"/>
      <c r="W319" s="1185"/>
      <c r="X319" s="1185"/>
      <c r="Y319" s="1185"/>
      <c r="Z319" s="1185"/>
      <c r="AA319" s="1185"/>
      <c r="AB319" s="1185"/>
      <c r="AC319" s="1185"/>
      <c r="AD319" s="1185"/>
      <c r="AE319" s="1185"/>
      <c r="AF319" s="1185"/>
      <c r="AG319" s="1185"/>
      <c r="AH319" s="1185"/>
      <c r="AI319" s="1185"/>
      <c r="AK319" s="1204"/>
    </row>
    <row r="320" spans="1:37">
      <c r="A320" s="1224" t="s">
        <v>415</v>
      </c>
      <c r="B320" s="1219"/>
      <c r="C320" s="1219"/>
      <c r="D320" s="1203"/>
      <c r="E320" s="1203"/>
      <c r="F320" s="1219" t="s">
        <v>31</v>
      </c>
      <c r="G320" s="1203"/>
      <c r="H320" s="1219"/>
      <c r="I320" s="1219"/>
      <c r="J320" s="1203"/>
      <c r="K320" s="1219"/>
      <c r="L320" s="1219"/>
      <c r="N320" s="1185"/>
      <c r="O320" s="1185"/>
      <c r="P320" s="1186"/>
      <c r="Q320" s="1186"/>
      <c r="R320" s="1186"/>
      <c r="S320" s="1185"/>
      <c r="T320" s="1185"/>
      <c r="U320" s="1185"/>
      <c r="V320" s="1185"/>
      <c r="W320" s="1185"/>
      <c r="X320" s="1185"/>
      <c r="Y320" s="1185"/>
      <c r="Z320" s="1185"/>
      <c r="AA320" s="1185"/>
      <c r="AB320" s="1185"/>
      <c r="AC320" s="1185"/>
      <c r="AD320" s="1185"/>
      <c r="AE320" s="1185"/>
      <c r="AF320" s="1185"/>
      <c r="AG320" s="1185"/>
      <c r="AH320" s="1185"/>
      <c r="AI320" s="1185"/>
      <c r="AK320" s="1204"/>
    </row>
    <row r="321" spans="1:37">
      <c r="A321" s="1219" t="s">
        <v>411</v>
      </c>
      <c r="B321" s="1219"/>
      <c r="C321" s="1219"/>
      <c r="D321" s="1203"/>
      <c r="E321" s="1203"/>
      <c r="F321" s="1219"/>
      <c r="G321" s="1203"/>
      <c r="H321" s="1219"/>
      <c r="I321" s="1219"/>
      <c r="J321" s="1203"/>
      <c r="K321" s="1219"/>
      <c r="L321" s="1219"/>
      <c r="N321" s="1185"/>
      <c r="O321" s="1185"/>
      <c r="P321" s="1186"/>
      <c r="Q321" s="1186"/>
      <c r="R321" s="1186"/>
      <c r="S321" s="1185"/>
      <c r="T321" s="1185"/>
      <c r="U321" s="1185"/>
      <c r="V321" s="1185"/>
      <c r="W321" s="1185"/>
      <c r="X321" s="1185"/>
      <c r="Y321" s="1185"/>
      <c r="Z321" s="1185"/>
      <c r="AA321" s="1185"/>
      <c r="AB321" s="1185"/>
      <c r="AC321" s="1185"/>
      <c r="AD321" s="1185"/>
      <c r="AE321" s="1185"/>
      <c r="AF321" s="1185"/>
      <c r="AG321" s="1185"/>
      <c r="AH321" s="1185"/>
      <c r="AI321" s="1185"/>
      <c r="AK321" s="1204"/>
    </row>
    <row r="322" spans="1:37">
      <c r="A322" s="1219"/>
      <c r="B322" s="1219"/>
      <c r="C322" s="1219"/>
      <c r="D322" s="1203"/>
      <c r="E322" s="1203"/>
      <c r="F322" s="1219"/>
      <c r="G322" s="1203"/>
      <c r="H322" s="1219"/>
      <c r="I322" s="1219"/>
      <c r="J322" s="1203"/>
      <c r="K322" s="1219"/>
      <c r="L322" s="1219"/>
      <c r="N322" s="1185"/>
      <c r="O322" s="1185"/>
      <c r="P322" s="1186"/>
      <c r="Q322" s="1186"/>
      <c r="R322" s="1186"/>
      <c r="S322" s="1185"/>
      <c r="T322" s="1185"/>
      <c r="U322" s="1185"/>
      <c r="V322" s="1185"/>
      <c r="W322" s="1185"/>
      <c r="X322" s="1185"/>
      <c r="Y322" s="1185"/>
      <c r="Z322" s="1185"/>
      <c r="AA322" s="1185"/>
      <c r="AB322" s="1185"/>
      <c r="AC322" s="1185"/>
      <c r="AD322" s="1185"/>
      <c r="AE322" s="1185"/>
      <c r="AF322" s="1185"/>
      <c r="AG322" s="1185"/>
      <c r="AH322" s="1185"/>
      <c r="AI322" s="1185"/>
      <c r="AK322" s="1204"/>
    </row>
    <row r="323" spans="1:37">
      <c r="A323" s="1219" t="s">
        <v>393</v>
      </c>
      <c r="B323" s="1219"/>
      <c r="C323" s="1026"/>
      <c r="D323" s="1203"/>
      <c r="E323" s="1203"/>
      <c r="F323" s="1219"/>
      <c r="G323" s="1203"/>
      <c r="H323" s="1219"/>
      <c r="I323" s="1219"/>
      <c r="J323" s="1203"/>
      <c r="K323" s="1219"/>
      <c r="L323" s="1219"/>
      <c r="N323" s="1185"/>
      <c r="O323" s="1185"/>
      <c r="P323" s="1186"/>
      <c r="Q323" s="1186"/>
      <c r="R323" s="1186"/>
      <c r="S323" s="1185"/>
      <c r="T323" s="1185"/>
      <c r="U323" s="1185"/>
      <c r="V323" s="1185"/>
      <c r="W323" s="1185"/>
      <c r="X323" s="1185"/>
      <c r="Y323" s="1185"/>
      <c r="Z323" s="1185"/>
      <c r="AA323" s="1185"/>
      <c r="AB323" s="1185"/>
      <c r="AC323" s="1185"/>
      <c r="AD323" s="1185"/>
      <c r="AE323" s="1185"/>
      <c r="AF323" s="1185"/>
      <c r="AG323" s="1185"/>
      <c r="AH323" s="1185"/>
      <c r="AI323" s="1185"/>
      <c r="AK323" s="1204"/>
    </row>
    <row r="324" spans="1:37">
      <c r="A324" s="1219" t="s">
        <v>416</v>
      </c>
      <c r="B324" s="1219"/>
      <c r="C324" s="1026">
        <f>324+3678</f>
        <v>4002</v>
      </c>
      <c r="D324" s="1229">
        <v>7.64</v>
      </c>
      <c r="E324" s="1041"/>
      <c r="F324" s="1203">
        <f>ROUND(D324*$C324,0)</f>
        <v>30575</v>
      </c>
      <c r="G324" s="1229">
        <v>8.7100000000000009</v>
      </c>
      <c r="H324" s="1009"/>
      <c r="I324" s="1203">
        <f>ROUND(G324*$C324,0)</f>
        <v>34857</v>
      </c>
      <c r="J324" s="1229">
        <f>$J$152</f>
        <v>8.7100000000000009</v>
      </c>
      <c r="K324" s="1009"/>
      <c r="L324" s="1203">
        <f>ROUND(J324*$C324,0)</f>
        <v>34857</v>
      </c>
      <c r="N324" s="1185"/>
      <c r="O324" s="1185"/>
      <c r="P324" s="1186"/>
      <c r="Q324" s="1186"/>
      <c r="R324" s="1186"/>
      <c r="S324" s="1185"/>
      <c r="T324" s="1185"/>
      <c r="U324" s="1185"/>
      <c r="V324" s="1185"/>
      <c r="W324" s="1185"/>
      <c r="X324" s="1185"/>
      <c r="Y324" s="1185"/>
      <c r="Z324" s="1185"/>
      <c r="AA324" s="1185"/>
      <c r="AB324" s="1185"/>
      <c r="AC324" s="1185"/>
      <c r="AD324" s="1185"/>
      <c r="AE324" s="1185"/>
      <c r="AF324" s="1185"/>
      <c r="AG324" s="1185"/>
      <c r="AH324" s="1185"/>
      <c r="AI324" s="1185"/>
      <c r="AK324" s="1204"/>
    </row>
    <row r="325" spans="1:37">
      <c r="A325" s="1219" t="s">
        <v>391</v>
      </c>
      <c r="B325" s="1219"/>
      <c r="C325" s="1026">
        <v>0</v>
      </c>
      <c r="D325" s="1229">
        <v>11.36</v>
      </c>
      <c r="E325" s="1249"/>
      <c r="F325" s="1203">
        <f>ROUND(D325*$C325,0)</f>
        <v>0</v>
      </c>
      <c r="G325" s="1229">
        <v>12.98</v>
      </c>
      <c r="H325" s="1250"/>
      <c r="I325" s="1203">
        <f t="shared" ref="I325:I326" si="44">ROUND(G325*$C325,0)</f>
        <v>0</v>
      </c>
      <c r="J325" s="1229">
        <f>$J$153</f>
        <v>12.98</v>
      </c>
      <c r="K325" s="1250"/>
      <c r="L325" s="1203">
        <f>ROUND(J325*$C325,0)</f>
        <v>0</v>
      </c>
      <c r="N325" s="1185"/>
      <c r="O325" s="1185"/>
      <c r="P325" s="1186"/>
      <c r="Q325" s="1186"/>
      <c r="R325" s="1186"/>
      <c r="S325" s="1185"/>
      <c r="T325" s="1185"/>
      <c r="U325" s="1185"/>
      <c r="V325" s="1185"/>
      <c r="W325" s="1185"/>
      <c r="X325" s="1185"/>
      <c r="Y325" s="1185"/>
      <c r="Z325" s="1185"/>
      <c r="AA325" s="1185"/>
      <c r="AB325" s="1185"/>
      <c r="AC325" s="1185"/>
      <c r="AD325" s="1185"/>
      <c r="AE325" s="1185"/>
      <c r="AF325" s="1185"/>
      <c r="AG325" s="1185"/>
      <c r="AH325" s="1185"/>
      <c r="AI325" s="1185"/>
      <c r="AK325" s="1204"/>
    </row>
    <row r="326" spans="1:37">
      <c r="A326" s="1219" t="s">
        <v>392</v>
      </c>
      <c r="B326" s="1219"/>
      <c r="C326" s="1026">
        <v>0</v>
      </c>
      <c r="D326" s="1229">
        <v>0.81</v>
      </c>
      <c r="E326" s="1249"/>
      <c r="F326" s="1203">
        <f>ROUND(D326*$C326,0)</f>
        <v>0</v>
      </c>
      <c r="G326" s="1229">
        <v>0.92</v>
      </c>
      <c r="H326" s="1250"/>
      <c r="I326" s="1203">
        <f t="shared" si="44"/>
        <v>0</v>
      </c>
      <c r="J326" s="1229">
        <f>$J$154</f>
        <v>0.92</v>
      </c>
      <c r="K326" s="1250"/>
      <c r="L326" s="1203">
        <f>ROUND(J326*$C326,0)</f>
        <v>0</v>
      </c>
      <c r="N326" s="1185"/>
      <c r="O326" s="1185"/>
      <c r="P326" s="1186"/>
      <c r="Q326" s="1186"/>
      <c r="R326" s="1186"/>
      <c r="S326" s="1185"/>
      <c r="T326" s="1185"/>
      <c r="U326" s="1185"/>
      <c r="V326" s="1185"/>
      <c r="W326" s="1185"/>
      <c r="X326" s="1185"/>
      <c r="Y326" s="1185"/>
      <c r="Z326" s="1185"/>
      <c r="AA326" s="1185"/>
      <c r="AB326" s="1185"/>
      <c r="AC326" s="1185"/>
      <c r="AD326" s="1185"/>
      <c r="AE326" s="1185"/>
      <c r="AF326" s="1185"/>
      <c r="AG326" s="1185"/>
      <c r="AH326" s="1185"/>
      <c r="AI326" s="1185"/>
      <c r="AK326" s="1204"/>
    </row>
    <row r="327" spans="1:37">
      <c r="A327" s="1219" t="s">
        <v>394</v>
      </c>
      <c r="B327" s="1219"/>
      <c r="C327" s="1026">
        <f>SUM(C324:C325)</f>
        <v>4002</v>
      </c>
      <c r="D327" s="1229"/>
      <c r="E327" s="1041"/>
      <c r="F327" s="1203"/>
      <c r="G327" s="1229"/>
      <c r="H327" s="1009"/>
      <c r="I327" s="1203"/>
      <c r="J327" s="1229"/>
      <c r="K327" s="1009"/>
      <c r="L327" s="1203"/>
      <c r="N327" s="1185"/>
      <c r="O327" s="1185"/>
      <c r="P327" s="1186"/>
      <c r="Q327" s="1186"/>
      <c r="R327" s="1186"/>
      <c r="S327" s="1185"/>
      <c r="T327" s="1185"/>
      <c r="U327" s="1185"/>
      <c r="V327" s="1185"/>
      <c r="W327" s="1185"/>
      <c r="X327" s="1185"/>
      <c r="Y327" s="1185"/>
      <c r="Z327" s="1185"/>
      <c r="AA327" s="1185"/>
      <c r="AB327" s="1185"/>
      <c r="AC327" s="1185"/>
      <c r="AD327" s="1185"/>
      <c r="AE327" s="1185"/>
      <c r="AF327" s="1185"/>
      <c r="AG327" s="1185"/>
      <c r="AH327" s="1185"/>
      <c r="AI327" s="1185"/>
      <c r="AK327" s="1204"/>
    </row>
    <row r="328" spans="1:37">
      <c r="A328" s="1219" t="s">
        <v>362</v>
      </c>
      <c r="B328" s="1219"/>
      <c r="C328" s="1026">
        <f>72+1339</f>
        <v>1411</v>
      </c>
      <c r="D328" s="1229"/>
      <c r="E328" s="1041"/>
      <c r="F328" s="1203"/>
      <c r="G328" s="1229"/>
      <c r="H328" s="1009"/>
      <c r="I328" s="1203"/>
      <c r="J328" s="1229"/>
      <c r="K328" s="1009"/>
      <c r="L328" s="1203"/>
      <c r="N328" s="1185"/>
      <c r="O328" s="1185"/>
      <c r="P328" s="1186"/>
      <c r="Q328" s="1186"/>
      <c r="R328" s="1186"/>
      <c r="S328" s="1185"/>
      <c r="T328" s="1185"/>
      <c r="U328" s="1185"/>
      <c r="V328" s="1185"/>
      <c r="W328" s="1185"/>
      <c r="X328" s="1185"/>
      <c r="Y328" s="1185"/>
      <c r="Z328" s="1185"/>
      <c r="AA328" s="1185"/>
      <c r="AB328" s="1185"/>
      <c r="AC328" s="1185"/>
      <c r="AD328" s="1185"/>
      <c r="AE328" s="1185"/>
      <c r="AF328" s="1185"/>
      <c r="AG328" s="1185"/>
      <c r="AH328" s="1185"/>
      <c r="AI328" s="1185"/>
      <c r="AK328" s="1204"/>
    </row>
    <row r="329" spans="1:37">
      <c r="A329" s="1219" t="s">
        <v>395</v>
      </c>
      <c r="B329" s="1219"/>
      <c r="C329" s="1026">
        <v>0</v>
      </c>
      <c r="D329" s="1261">
        <v>2.98</v>
      </c>
      <c r="E329" s="1009"/>
      <c r="F329" s="1203">
        <f>ROUND(D329*$C329,0)</f>
        <v>0</v>
      </c>
      <c r="G329" s="1261">
        <v>3.4</v>
      </c>
      <c r="H329" s="1009"/>
      <c r="I329" s="1203">
        <f>ROUND(G329*C329,0)</f>
        <v>0</v>
      </c>
      <c r="J329" s="1261">
        <f>$J$157</f>
        <v>3.61</v>
      </c>
      <c r="K329" s="1009"/>
      <c r="L329" s="1203">
        <f>ROUND(J329*$C329,0)</f>
        <v>0</v>
      </c>
      <c r="N329" s="1185"/>
      <c r="O329" s="1185"/>
      <c r="P329" s="1186"/>
      <c r="Q329" s="1186"/>
      <c r="R329" s="1186"/>
      <c r="S329" s="1185"/>
      <c r="T329" s="1185"/>
      <c r="U329" s="1185"/>
      <c r="V329" s="1185"/>
      <c r="W329" s="1185"/>
      <c r="X329" s="1185"/>
      <c r="Y329" s="1185"/>
      <c r="Z329" s="1185"/>
      <c r="AA329" s="1185"/>
      <c r="AB329" s="1185"/>
      <c r="AC329" s="1185"/>
      <c r="AD329" s="1185"/>
      <c r="AE329" s="1185"/>
      <c r="AF329" s="1185"/>
      <c r="AG329" s="1185"/>
      <c r="AH329" s="1185"/>
      <c r="AI329" s="1185"/>
      <c r="AK329" s="1204"/>
    </row>
    <row r="330" spans="1:37">
      <c r="A330" s="1219" t="s">
        <v>397</v>
      </c>
      <c r="B330" s="1219"/>
      <c r="C330" s="1026">
        <f>864+153420+1050250</f>
        <v>1204534</v>
      </c>
      <c r="D330" s="1230">
        <v>8.5489999999999995</v>
      </c>
      <c r="E330" s="1009" t="s">
        <v>374</v>
      </c>
      <c r="F330" s="1203">
        <f>ROUND(D330*$C330/100,0)</f>
        <v>102976</v>
      </c>
      <c r="G330" s="1230">
        <v>9.766</v>
      </c>
      <c r="H330" s="1009" t="s">
        <v>374</v>
      </c>
      <c r="I330" s="1203">
        <f>ROUND(G330*C330/100,0)</f>
        <v>117635</v>
      </c>
      <c r="J330" s="1230">
        <f>$J$158</f>
        <v>10.359</v>
      </c>
      <c r="K330" s="1009" t="s">
        <v>374</v>
      </c>
      <c r="L330" s="1203">
        <f>ROUND(J330*$C330/100,0)</f>
        <v>124778</v>
      </c>
      <c r="N330" s="1185"/>
      <c r="O330" s="1185"/>
      <c r="P330" s="1186"/>
      <c r="Q330" s="1186"/>
      <c r="R330" s="1186"/>
      <c r="S330" s="1185"/>
      <c r="T330" s="1185"/>
      <c r="U330" s="1185"/>
      <c r="V330" s="1185"/>
      <c r="W330" s="1185"/>
      <c r="X330" s="1185"/>
      <c r="Y330" s="1185"/>
      <c r="Z330" s="1185"/>
      <c r="AA330" s="1185"/>
      <c r="AB330" s="1185"/>
      <c r="AC330" s="1185"/>
      <c r="AD330" s="1185"/>
      <c r="AE330" s="1185"/>
      <c r="AF330" s="1185"/>
      <c r="AG330" s="1185"/>
      <c r="AH330" s="1185"/>
      <c r="AI330" s="1185"/>
      <c r="AK330" s="1204"/>
    </row>
    <row r="331" spans="1:37">
      <c r="A331" s="1219" t="s">
        <v>398</v>
      </c>
      <c r="B331" s="1225"/>
      <c r="C331" s="1026">
        <f>64813</f>
        <v>64813</v>
      </c>
      <c r="D331" s="1230">
        <v>5.9020000000000001</v>
      </c>
      <c r="E331" s="1009" t="s">
        <v>374</v>
      </c>
      <c r="F331" s="1203">
        <f>ROUND(D331*$C331/100,0)</f>
        <v>3825</v>
      </c>
      <c r="G331" s="1230">
        <v>6.7460000000000004</v>
      </c>
      <c r="H331" s="1009" t="s">
        <v>374</v>
      </c>
      <c r="I331" s="1203">
        <f t="shared" ref="I331:I333" si="45">ROUND(G331*C331/100,0)</f>
        <v>4372</v>
      </c>
      <c r="J331" s="1230">
        <f>$J$159</f>
        <v>7.1559999999999997</v>
      </c>
      <c r="K331" s="1009" t="s">
        <v>374</v>
      </c>
      <c r="L331" s="1203">
        <f>ROUND(J331*$C331/100,0)</f>
        <v>4638</v>
      </c>
      <c r="N331" s="1185"/>
      <c r="O331" s="1185"/>
      <c r="P331" s="1186"/>
      <c r="Q331" s="1186"/>
      <c r="R331" s="1186"/>
      <c r="S331" s="1185"/>
      <c r="T331" s="1185"/>
      <c r="U331" s="1185"/>
      <c r="V331" s="1185"/>
      <c r="W331" s="1185"/>
      <c r="X331" s="1185"/>
      <c r="Y331" s="1185"/>
      <c r="Z331" s="1185"/>
      <c r="AA331" s="1185"/>
      <c r="AB331" s="1185"/>
      <c r="AC331" s="1185"/>
      <c r="AD331" s="1185"/>
      <c r="AE331" s="1185"/>
      <c r="AF331" s="1185"/>
      <c r="AG331" s="1185"/>
      <c r="AH331" s="1185"/>
      <c r="AI331" s="1185"/>
      <c r="AK331" s="1204"/>
    </row>
    <row r="332" spans="1:37">
      <c r="A332" s="1219" t="s">
        <v>399</v>
      </c>
      <c r="B332" s="1219"/>
      <c r="C332" s="1026">
        <f>0</f>
        <v>0</v>
      </c>
      <c r="D332" s="1230">
        <v>5.0839999999999996</v>
      </c>
      <c r="E332" s="1009" t="s">
        <v>374</v>
      </c>
      <c r="F332" s="1203">
        <f>ROUND(D332*$C332/100,0)</f>
        <v>0</v>
      </c>
      <c r="G332" s="1230">
        <v>5.8120000000000003</v>
      </c>
      <c r="H332" s="1009" t="s">
        <v>374</v>
      </c>
      <c r="I332" s="1203">
        <f t="shared" si="45"/>
        <v>0</v>
      </c>
      <c r="J332" s="1230">
        <f>$J$160</f>
        <v>6.1660000000000004</v>
      </c>
      <c r="K332" s="1009" t="s">
        <v>374</v>
      </c>
      <c r="L332" s="1203">
        <f>ROUND(J332*$C332/100,0)</f>
        <v>0</v>
      </c>
      <c r="N332" s="1185"/>
      <c r="O332" s="1185"/>
      <c r="P332" s="1186"/>
      <c r="Q332" s="1186"/>
      <c r="R332" s="1186"/>
      <c r="S332" s="1185"/>
      <c r="T332" s="1185"/>
      <c r="U332" s="1185"/>
      <c r="V332" s="1185"/>
      <c r="W332" s="1185"/>
      <c r="X332" s="1185"/>
      <c r="Y332" s="1185"/>
      <c r="Z332" s="1185"/>
      <c r="AA332" s="1185"/>
      <c r="AB332" s="1185"/>
      <c r="AC332" s="1185"/>
      <c r="AD332" s="1185"/>
      <c r="AE332" s="1185"/>
      <c r="AF332" s="1185"/>
      <c r="AG332" s="1185"/>
      <c r="AH332" s="1185"/>
      <c r="AI332" s="1185"/>
      <c r="AK332" s="1204"/>
    </row>
    <row r="333" spans="1:37">
      <c r="A333" s="1219" t="s">
        <v>400</v>
      </c>
      <c r="B333" s="1219"/>
      <c r="C333" s="1026">
        <v>0</v>
      </c>
      <c r="D333" s="1255">
        <v>50</v>
      </c>
      <c r="E333" s="1041" t="s">
        <v>374</v>
      </c>
      <c r="F333" s="1203">
        <f>ROUND(D333*$C333/100,0)</f>
        <v>0</v>
      </c>
      <c r="G333" s="1255">
        <v>56</v>
      </c>
      <c r="H333" s="1009" t="s">
        <v>374</v>
      </c>
      <c r="I333" s="1203">
        <f t="shared" si="45"/>
        <v>0</v>
      </c>
      <c r="J333" s="1255">
        <f>$J$161</f>
        <v>56</v>
      </c>
      <c r="K333" s="1009" t="s">
        <v>374</v>
      </c>
      <c r="L333" s="1203">
        <f>ROUND(J333*$C333/100,0)</f>
        <v>0</v>
      </c>
      <c r="N333" s="1185"/>
      <c r="O333" s="1185"/>
      <c r="P333" s="1186"/>
      <c r="Q333" s="1186"/>
      <c r="R333" s="1186"/>
      <c r="S333" s="1185"/>
      <c r="T333" s="1185"/>
      <c r="U333" s="1185"/>
      <c r="V333" s="1185"/>
      <c r="W333" s="1185"/>
      <c r="X333" s="1185"/>
      <c r="Y333" s="1185"/>
      <c r="Z333" s="1185"/>
      <c r="AA333" s="1185"/>
      <c r="AB333" s="1185"/>
      <c r="AC333" s="1185"/>
      <c r="AD333" s="1185"/>
      <c r="AE333" s="1185"/>
      <c r="AF333" s="1185"/>
      <c r="AG333" s="1185"/>
      <c r="AH333" s="1185"/>
      <c r="AI333" s="1185"/>
      <c r="AK333" s="1204"/>
    </row>
    <row r="334" spans="1:37">
      <c r="A334" s="1256" t="s">
        <v>401</v>
      </c>
      <c r="B334" s="1219"/>
      <c r="C334" s="1026"/>
      <c r="D334" s="1257">
        <v>-0.01</v>
      </c>
      <c r="E334" s="1041"/>
      <c r="F334" s="1203"/>
      <c r="G334" s="1257">
        <v>-0.01</v>
      </c>
      <c r="H334" s="1009"/>
      <c r="I334" s="1203"/>
      <c r="J334" s="1257">
        <v>-0.01</v>
      </c>
      <c r="K334" s="1009"/>
      <c r="L334" s="1203"/>
      <c r="N334" s="1185"/>
      <c r="O334" s="1185"/>
      <c r="P334" s="1186"/>
      <c r="Q334" s="1186"/>
      <c r="R334" s="1186"/>
      <c r="S334" s="1185"/>
      <c r="T334" s="1185"/>
      <c r="U334" s="1185"/>
      <c r="V334" s="1185"/>
      <c r="W334" s="1185"/>
      <c r="X334" s="1185"/>
      <c r="Y334" s="1185"/>
      <c r="Z334" s="1185"/>
      <c r="AA334" s="1185"/>
      <c r="AB334" s="1185"/>
      <c r="AC334" s="1185"/>
      <c r="AD334" s="1185"/>
      <c r="AE334" s="1185"/>
      <c r="AF334" s="1185"/>
      <c r="AG334" s="1185"/>
      <c r="AH334" s="1185"/>
      <c r="AI334" s="1185"/>
      <c r="AK334" s="1204"/>
    </row>
    <row r="335" spans="1:37">
      <c r="A335" s="1219" t="s">
        <v>390</v>
      </c>
      <c r="B335" s="1219"/>
      <c r="C335" s="1026">
        <v>0</v>
      </c>
      <c r="D335" s="1259">
        <v>7.64</v>
      </c>
      <c r="E335" s="1041"/>
      <c r="F335" s="1203">
        <f>-ROUND(D335*$C335/100,0)</f>
        <v>0</v>
      </c>
      <c r="G335" s="1259">
        <v>8.7100000000000009</v>
      </c>
      <c r="H335" s="1041"/>
      <c r="I335" s="1203">
        <f>-ROUND(G335*$C335/100,0)</f>
        <v>0</v>
      </c>
      <c r="J335" s="1259">
        <f>J324</f>
        <v>8.7100000000000009</v>
      </c>
      <c r="K335" s="1041"/>
      <c r="L335" s="1203">
        <f>-ROUND(J335*$C335/100,0)</f>
        <v>0</v>
      </c>
      <c r="N335" s="1185"/>
      <c r="O335" s="1185"/>
      <c r="P335" s="1186"/>
      <c r="Q335" s="1186"/>
      <c r="R335" s="1186"/>
      <c r="S335" s="1185"/>
      <c r="T335" s="1185"/>
      <c r="U335" s="1185"/>
      <c r="V335" s="1185"/>
      <c r="W335" s="1185"/>
      <c r="X335" s="1185"/>
      <c r="Y335" s="1185"/>
      <c r="Z335" s="1185"/>
      <c r="AA335" s="1185"/>
      <c r="AB335" s="1185"/>
      <c r="AC335" s="1185"/>
      <c r="AD335" s="1185"/>
      <c r="AE335" s="1185"/>
      <c r="AF335" s="1185"/>
      <c r="AG335" s="1185"/>
      <c r="AH335" s="1185"/>
      <c r="AI335" s="1185"/>
      <c r="AK335" s="1204"/>
    </row>
    <row r="336" spans="1:37">
      <c r="A336" s="1219" t="s">
        <v>391</v>
      </c>
      <c r="B336" s="1219"/>
      <c r="C336" s="1026">
        <v>0</v>
      </c>
      <c r="D336" s="1259">
        <v>11.36</v>
      </c>
      <c r="E336" s="1041"/>
      <c r="F336" s="1203">
        <f>-ROUND(D336*$C336/100,0)</f>
        <v>0</v>
      </c>
      <c r="G336" s="1259">
        <v>12.98</v>
      </c>
      <c r="H336" s="1041"/>
      <c r="I336" s="1203">
        <f t="shared" ref="I336:I338" si="46">-ROUND(G336*$C336/100,0)</f>
        <v>0</v>
      </c>
      <c r="J336" s="1259">
        <f>J325</f>
        <v>12.98</v>
      </c>
      <c r="K336" s="1041"/>
      <c r="L336" s="1203">
        <f>-ROUND(J336*$C336/100,0)</f>
        <v>0</v>
      </c>
      <c r="N336" s="1185"/>
      <c r="O336" s="1185"/>
      <c r="P336" s="1186"/>
      <c r="Q336" s="1186"/>
      <c r="R336" s="1186"/>
      <c r="S336" s="1185"/>
      <c r="T336" s="1185"/>
      <c r="U336" s="1185"/>
      <c r="V336" s="1185"/>
      <c r="W336" s="1185"/>
      <c r="X336" s="1185"/>
      <c r="Y336" s="1185"/>
      <c r="Z336" s="1185"/>
      <c r="AA336" s="1185"/>
      <c r="AB336" s="1185"/>
      <c r="AC336" s="1185"/>
      <c r="AD336" s="1185"/>
      <c r="AE336" s="1185"/>
      <c r="AF336" s="1185"/>
      <c r="AG336" s="1185"/>
      <c r="AH336" s="1185"/>
      <c r="AI336" s="1185"/>
      <c r="AK336" s="1204"/>
    </row>
    <row r="337" spans="1:37">
      <c r="A337" s="1219" t="s">
        <v>402</v>
      </c>
      <c r="B337" s="1219"/>
      <c r="C337" s="1026">
        <v>0</v>
      </c>
      <c r="D337" s="1259">
        <v>0.81</v>
      </c>
      <c r="E337" s="1041"/>
      <c r="F337" s="1203">
        <f>-ROUND(D337*$C337/100,0)</f>
        <v>0</v>
      </c>
      <c r="G337" s="1259">
        <v>0.92</v>
      </c>
      <c r="H337" s="1041"/>
      <c r="I337" s="1203">
        <f t="shared" si="46"/>
        <v>0</v>
      </c>
      <c r="J337" s="1259">
        <f>J326</f>
        <v>0.92</v>
      </c>
      <c r="K337" s="1041"/>
      <c r="L337" s="1203">
        <f>-ROUND(J337*$C337/100,0)</f>
        <v>0</v>
      </c>
      <c r="N337" s="1185"/>
      <c r="O337" s="1185"/>
      <c r="P337" s="1186"/>
      <c r="Q337" s="1186"/>
      <c r="R337" s="1186"/>
      <c r="S337" s="1185"/>
      <c r="T337" s="1185"/>
      <c r="U337" s="1185"/>
      <c r="V337" s="1185"/>
      <c r="W337" s="1185"/>
      <c r="X337" s="1185"/>
      <c r="Y337" s="1185"/>
      <c r="Z337" s="1185"/>
      <c r="AA337" s="1185"/>
      <c r="AB337" s="1185"/>
      <c r="AC337" s="1185"/>
      <c r="AD337" s="1185"/>
      <c r="AE337" s="1185"/>
      <c r="AF337" s="1185"/>
      <c r="AG337" s="1185"/>
      <c r="AH337" s="1185"/>
      <c r="AI337" s="1185"/>
      <c r="AK337" s="1204"/>
    </row>
    <row r="338" spans="1:37">
      <c r="A338" s="1219" t="s">
        <v>403</v>
      </c>
      <c r="B338" s="1219"/>
      <c r="C338" s="1026">
        <v>0</v>
      </c>
      <c r="D338" s="1259">
        <v>2.98</v>
      </c>
      <c r="E338" s="1009"/>
      <c r="F338" s="1203">
        <f>-ROUND(D338*$C338/100,0)</f>
        <v>0</v>
      </c>
      <c r="G338" s="1259">
        <v>3.4</v>
      </c>
      <c r="H338" s="1009"/>
      <c r="I338" s="1203">
        <f t="shared" si="46"/>
        <v>0</v>
      </c>
      <c r="J338" s="1259">
        <f>J329</f>
        <v>3.61</v>
      </c>
      <c r="K338" s="1009"/>
      <c r="L338" s="1203">
        <f>-ROUND(J338*$C338/100,0)</f>
        <v>0</v>
      </c>
      <c r="N338" s="1185"/>
      <c r="O338" s="1185"/>
      <c r="P338" s="1186"/>
      <c r="Q338" s="1186"/>
      <c r="R338" s="1186"/>
      <c r="S338" s="1185"/>
      <c r="T338" s="1185"/>
      <c r="U338" s="1185"/>
      <c r="V338" s="1185"/>
      <c r="W338" s="1185"/>
      <c r="X338" s="1185"/>
      <c r="Y338" s="1185"/>
      <c r="Z338" s="1185"/>
      <c r="AA338" s="1185"/>
      <c r="AB338" s="1185"/>
      <c r="AC338" s="1185"/>
      <c r="AD338" s="1185"/>
      <c r="AE338" s="1185"/>
      <c r="AF338" s="1185"/>
      <c r="AG338" s="1185"/>
      <c r="AH338" s="1185"/>
      <c r="AI338" s="1185"/>
      <c r="AK338" s="1204"/>
    </row>
    <row r="339" spans="1:37">
      <c r="A339" s="1219" t="s">
        <v>405</v>
      </c>
      <c r="B339" s="1219"/>
      <c r="C339" s="1026">
        <v>0</v>
      </c>
      <c r="D339" s="1070">
        <v>8.5489999999999995</v>
      </c>
      <c r="E339" s="1009" t="s">
        <v>374</v>
      </c>
      <c r="F339" s="1203">
        <f>ROUND(D339*$C339/100*D334,0)</f>
        <v>0</v>
      </c>
      <c r="G339" s="1070">
        <v>9.766</v>
      </c>
      <c r="H339" s="1009" t="s">
        <v>374</v>
      </c>
      <c r="I339" s="1203">
        <f>ROUND(G339*$C339/100*G334,0)</f>
        <v>0</v>
      </c>
      <c r="J339" s="1070">
        <f>J330</f>
        <v>10.359</v>
      </c>
      <c r="K339" s="1009" t="s">
        <v>374</v>
      </c>
      <c r="L339" s="1203">
        <f>ROUND(J339*$C339/100*J334,0)</f>
        <v>0</v>
      </c>
      <c r="N339" s="1185"/>
      <c r="O339" s="1185"/>
      <c r="P339" s="1186"/>
      <c r="Q339" s="1186"/>
      <c r="R339" s="1186"/>
      <c r="S339" s="1185"/>
      <c r="T339" s="1185"/>
      <c r="U339" s="1185"/>
      <c r="V339" s="1185"/>
      <c r="W339" s="1185"/>
      <c r="X339" s="1185"/>
      <c r="Y339" s="1185"/>
      <c r="Z339" s="1185"/>
      <c r="AA339" s="1185"/>
      <c r="AB339" s="1185"/>
      <c r="AC339" s="1185"/>
      <c r="AD339" s="1185"/>
      <c r="AE339" s="1185"/>
      <c r="AF339" s="1185"/>
      <c r="AG339" s="1185"/>
      <c r="AH339" s="1185"/>
      <c r="AI339" s="1185"/>
      <c r="AK339" s="1204"/>
    </row>
    <row r="340" spans="1:37">
      <c r="A340" s="1219" t="s">
        <v>398</v>
      </c>
      <c r="B340" s="1219"/>
      <c r="C340" s="1026">
        <v>0</v>
      </c>
      <c r="D340" s="1070">
        <v>5.9020000000000001</v>
      </c>
      <c r="E340" s="1009" t="s">
        <v>374</v>
      </c>
      <c r="F340" s="1203">
        <f>ROUND(D340*$C340/100*D334,0)</f>
        <v>0</v>
      </c>
      <c r="G340" s="1070">
        <v>6.7460000000000004</v>
      </c>
      <c r="H340" s="1009" t="s">
        <v>374</v>
      </c>
      <c r="I340" s="1203">
        <f>ROUND(G340*$C340/100*G334,0)</f>
        <v>0</v>
      </c>
      <c r="J340" s="1070">
        <f>J331</f>
        <v>7.1559999999999997</v>
      </c>
      <c r="K340" s="1009" t="s">
        <v>374</v>
      </c>
      <c r="L340" s="1203">
        <f>ROUND(J340*$C340/100*J334,0)</f>
        <v>0</v>
      </c>
      <c r="N340" s="1185"/>
      <c r="O340" s="1185"/>
      <c r="P340" s="1186"/>
      <c r="Q340" s="1186"/>
      <c r="R340" s="1186"/>
      <c r="S340" s="1185"/>
      <c r="T340" s="1185"/>
      <c r="U340" s="1185"/>
      <c r="V340" s="1185"/>
      <c r="W340" s="1185"/>
      <c r="X340" s="1185"/>
      <c r="Y340" s="1185"/>
      <c r="Z340" s="1185"/>
      <c r="AA340" s="1185"/>
      <c r="AB340" s="1185"/>
      <c r="AC340" s="1185"/>
      <c r="AD340" s="1185"/>
      <c r="AE340" s="1185"/>
      <c r="AF340" s="1185"/>
      <c r="AG340" s="1185"/>
      <c r="AH340" s="1185"/>
      <c r="AI340" s="1185"/>
      <c r="AK340" s="1204"/>
    </row>
    <row r="341" spans="1:37">
      <c r="A341" s="1219" t="s">
        <v>399</v>
      </c>
      <c r="B341" s="1219"/>
      <c r="C341" s="1026">
        <v>0</v>
      </c>
      <c r="D341" s="1070">
        <v>5.0839999999999996</v>
      </c>
      <c r="E341" s="1009" t="s">
        <v>374</v>
      </c>
      <c r="F341" s="1203">
        <f>ROUND(D341*$C341/100*D334,0)</f>
        <v>0</v>
      </c>
      <c r="G341" s="1070">
        <v>5.8120000000000003</v>
      </c>
      <c r="H341" s="1009" t="s">
        <v>374</v>
      </c>
      <c r="I341" s="1203">
        <f>ROUND(G341*$C341/100*G334,0)</f>
        <v>0</v>
      </c>
      <c r="J341" s="1070">
        <f>J332</f>
        <v>6.1660000000000004</v>
      </c>
      <c r="K341" s="1009" t="s">
        <v>374</v>
      </c>
      <c r="L341" s="1203">
        <f>ROUND(J341*$C341/100*J334,0)</f>
        <v>0</v>
      </c>
      <c r="N341" s="1185"/>
      <c r="O341" s="1185"/>
      <c r="P341" s="1186"/>
      <c r="Q341" s="1186"/>
      <c r="R341" s="1186"/>
      <c r="S341" s="1185"/>
      <c r="T341" s="1185"/>
      <c r="U341" s="1185"/>
      <c r="V341" s="1185"/>
      <c r="W341" s="1185"/>
      <c r="X341" s="1185"/>
      <c r="Y341" s="1185"/>
      <c r="Z341" s="1185"/>
      <c r="AA341" s="1185"/>
      <c r="AB341" s="1185"/>
      <c r="AC341" s="1185"/>
      <c r="AD341" s="1185"/>
      <c r="AE341" s="1185"/>
      <c r="AF341" s="1185"/>
      <c r="AG341" s="1185"/>
      <c r="AH341" s="1185"/>
      <c r="AI341" s="1185"/>
      <c r="AK341" s="1204"/>
    </row>
    <row r="342" spans="1:37">
      <c r="A342" s="1219" t="s">
        <v>400</v>
      </c>
      <c r="B342" s="1219"/>
      <c r="C342" s="1026">
        <v>0</v>
      </c>
      <c r="D342" s="1260">
        <v>50</v>
      </c>
      <c r="E342" s="1009" t="s">
        <v>374</v>
      </c>
      <c r="F342" s="1203">
        <f>ROUND(D342*$C342/100*D334,0)</f>
        <v>0</v>
      </c>
      <c r="G342" s="1260">
        <v>56</v>
      </c>
      <c r="H342" s="1009" t="s">
        <v>374</v>
      </c>
      <c r="I342" s="1203">
        <f>ROUND(G342*$C342/100*G334,0)</f>
        <v>0</v>
      </c>
      <c r="J342" s="1260">
        <f>J333</f>
        <v>56</v>
      </c>
      <c r="K342" s="1009" t="s">
        <v>374</v>
      </c>
      <c r="L342" s="1203">
        <f>ROUND(J342*$C342/100*J334,0)</f>
        <v>0</v>
      </c>
      <c r="N342" s="1185"/>
      <c r="O342" s="1185"/>
      <c r="P342" s="1186"/>
      <c r="Q342" s="1186"/>
      <c r="R342" s="1186"/>
      <c r="S342" s="1185"/>
      <c r="T342" s="1185"/>
      <c r="U342" s="1185"/>
      <c r="V342" s="1185"/>
      <c r="W342" s="1185"/>
      <c r="X342" s="1185"/>
      <c r="Y342" s="1185"/>
      <c r="Z342" s="1185"/>
      <c r="AA342" s="1185"/>
      <c r="AB342" s="1185"/>
      <c r="AC342" s="1185"/>
      <c r="AD342" s="1185"/>
      <c r="AE342" s="1185"/>
      <c r="AF342" s="1185"/>
      <c r="AG342" s="1185"/>
      <c r="AH342" s="1185"/>
      <c r="AI342" s="1185"/>
      <c r="AK342" s="1204"/>
    </row>
    <row r="343" spans="1:37">
      <c r="A343" s="1219" t="s">
        <v>407</v>
      </c>
      <c r="B343" s="1219"/>
      <c r="C343" s="1026">
        <v>0</v>
      </c>
      <c r="D343" s="1261">
        <v>60</v>
      </c>
      <c r="E343" s="1041"/>
      <c r="F343" s="1203">
        <f>ROUND(D343*$C343,0)</f>
        <v>0</v>
      </c>
      <c r="G343" s="1261">
        <v>60</v>
      </c>
      <c r="H343" s="1009"/>
      <c r="I343" s="1203">
        <f>ROUND(G343*C343,0)</f>
        <v>0</v>
      </c>
      <c r="J343" s="1261">
        <f>$J$171</f>
        <v>60</v>
      </c>
      <c r="K343" s="1009"/>
      <c r="L343" s="1203">
        <f>ROUND(J343*$C343,0)</f>
        <v>0</v>
      </c>
      <c r="N343" s="1185"/>
      <c r="O343" s="1185"/>
      <c r="P343" s="1186"/>
      <c r="Q343" s="1186"/>
      <c r="R343" s="1186"/>
      <c r="S343" s="1185"/>
      <c r="T343" s="1185"/>
      <c r="U343" s="1185"/>
      <c r="V343" s="1185"/>
      <c r="W343" s="1185"/>
      <c r="X343" s="1185"/>
      <c r="Y343" s="1185"/>
      <c r="Z343" s="1185"/>
      <c r="AA343" s="1185"/>
      <c r="AB343" s="1185"/>
      <c r="AC343" s="1185"/>
      <c r="AD343" s="1185"/>
      <c r="AE343" s="1185"/>
      <c r="AF343" s="1185"/>
      <c r="AG343" s="1185"/>
      <c r="AH343" s="1185"/>
      <c r="AI343" s="1185"/>
      <c r="AK343" s="1204"/>
    </row>
    <row r="344" spans="1:37">
      <c r="A344" s="1219" t="s">
        <v>408</v>
      </c>
      <c r="B344" s="1219"/>
      <c r="C344" s="1026">
        <v>0</v>
      </c>
      <c r="D344" s="1262">
        <v>-30</v>
      </c>
      <c r="E344" s="1041" t="s">
        <v>374</v>
      </c>
      <c r="F344" s="1203">
        <f>ROUND(D344*$C344/100,0)</f>
        <v>0</v>
      </c>
      <c r="G344" s="1262">
        <v>-30</v>
      </c>
      <c r="H344" s="1009" t="s">
        <v>374</v>
      </c>
      <c r="I344" s="1203">
        <f>ROUND(G344*C344/100,0)</f>
        <v>0</v>
      </c>
      <c r="J344" s="1262">
        <f>$J$172</f>
        <v>-30</v>
      </c>
      <c r="K344" s="1009" t="s">
        <v>374</v>
      </c>
      <c r="L344" s="1203">
        <f>ROUND(J344*$C344/100,0)</f>
        <v>0</v>
      </c>
      <c r="N344" s="1185"/>
      <c r="O344" s="1185"/>
      <c r="P344" s="1186"/>
      <c r="Q344" s="1186"/>
      <c r="R344" s="1186"/>
      <c r="S344" s="1185"/>
      <c r="T344" s="1185"/>
      <c r="U344" s="1185"/>
      <c r="V344" s="1185"/>
      <c r="W344" s="1185"/>
      <c r="X344" s="1185"/>
      <c r="Y344" s="1185"/>
      <c r="Z344" s="1185"/>
      <c r="AA344" s="1185"/>
      <c r="AB344" s="1185"/>
      <c r="AC344" s="1185"/>
      <c r="AD344" s="1185"/>
      <c r="AE344" s="1185"/>
      <c r="AF344" s="1185"/>
      <c r="AG344" s="1185"/>
      <c r="AH344" s="1185"/>
      <c r="AI344" s="1185"/>
      <c r="AK344" s="1204"/>
    </row>
    <row r="345" spans="1:37">
      <c r="A345" s="1219" t="s">
        <v>381</v>
      </c>
      <c r="B345" s="1219"/>
      <c r="C345" s="1026">
        <f>SUM(C330:C332)</f>
        <v>1269347</v>
      </c>
      <c r="D345" s="1255"/>
      <c r="E345" s="1203"/>
      <c r="F345" s="1203">
        <f>SUM(F324:F344)</f>
        <v>137376</v>
      </c>
      <c r="G345" s="1255"/>
      <c r="H345" s="1009"/>
      <c r="I345" s="1203">
        <f>SUM(I324:I344)</f>
        <v>156864</v>
      </c>
      <c r="J345" s="1255"/>
      <c r="K345" s="1009"/>
      <c r="L345" s="1203">
        <f>SUM(L324:L344)</f>
        <v>164273</v>
      </c>
      <c r="N345" s="1185"/>
      <c r="O345" s="1185"/>
      <c r="P345" s="1186"/>
      <c r="Q345" s="1186"/>
      <c r="R345" s="1186"/>
      <c r="S345" s="1185"/>
      <c r="T345" s="1185"/>
      <c r="U345" s="1185"/>
      <c r="V345" s="1185"/>
      <c r="W345" s="1185"/>
      <c r="X345" s="1185"/>
      <c r="Y345" s="1185"/>
      <c r="Z345" s="1185"/>
      <c r="AA345" s="1185"/>
      <c r="AB345" s="1185"/>
      <c r="AC345" s="1185"/>
      <c r="AD345" s="1185"/>
      <c r="AE345" s="1185"/>
      <c r="AF345" s="1185"/>
      <c r="AG345" s="1185"/>
      <c r="AH345" s="1185"/>
      <c r="AI345" s="1185"/>
      <c r="AK345" s="1204"/>
    </row>
    <row r="346" spans="1:37">
      <c r="A346" s="1219" t="s">
        <v>363</v>
      </c>
      <c r="B346" s="1219"/>
      <c r="C346" s="1032">
        <f>'[97]Table 2'!H42</f>
        <v>-3272.5983006765778</v>
      </c>
      <c r="D346" s="1218"/>
      <c r="E346" s="1218"/>
      <c r="F346" s="1264" t="e">
        <f>#REF!</f>
        <v>#REF!</v>
      </c>
      <c r="G346" s="1218"/>
      <c r="H346" s="1218"/>
      <c r="I346" s="1264">
        <f>'[97]Table 3'!E42</f>
        <v>-457.64161025595331</v>
      </c>
      <c r="J346" s="1218"/>
      <c r="K346" s="1218"/>
      <c r="L346" s="1264">
        <f>I346</f>
        <v>-457.64161025595331</v>
      </c>
      <c r="N346" s="444"/>
      <c r="O346" s="444"/>
      <c r="P346" s="287"/>
      <c r="Q346" s="1186"/>
      <c r="R346" s="1186"/>
      <c r="S346" s="1185"/>
      <c r="T346" s="1185"/>
      <c r="U346" s="1185"/>
      <c r="V346" s="1185"/>
      <c r="W346" s="1185"/>
      <c r="X346" s="1185"/>
      <c r="Y346" s="1185"/>
      <c r="Z346" s="1185"/>
      <c r="AA346" s="1185"/>
      <c r="AB346" s="1185"/>
      <c r="AC346" s="1185"/>
      <c r="AD346" s="1185"/>
      <c r="AE346" s="1185"/>
      <c r="AF346" s="1185"/>
      <c r="AG346" s="1185"/>
      <c r="AH346" s="1185"/>
      <c r="AI346" s="1185"/>
      <c r="AK346" s="1204"/>
    </row>
    <row r="347" spans="1:37" ht="16.5" thickBot="1">
      <c r="A347" s="1219" t="s">
        <v>382</v>
      </c>
      <c r="B347" s="1219"/>
      <c r="C347" s="1240">
        <f>SUM(C345:C346)</f>
        <v>1266074.4016993234</v>
      </c>
      <c r="D347" s="1265"/>
      <c r="E347" s="1266"/>
      <c r="F347" s="1267" t="e">
        <f>F345+F346</f>
        <v>#REF!</v>
      </c>
      <c r="G347" s="1265"/>
      <c r="H347" s="1269"/>
      <c r="I347" s="1267">
        <f>I345+I346</f>
        <v>156406.35838974404</v>
      </c>
      <c r="J347" s="1265"/>
      <c r="K347" s="1269"/>
      <c r="L347" s="1267">
        <f>L345+L346</f>
        <v>163815.35838974404</v>
      </c>
      <c r="N347" s="411"/>
      <c r="O347" s="411"/>
      <c r="P347" s="470"/>
      <c r="Q347" s="1186"/>
      <c r="R347" s="1186"/>
      <c r="S347" s="1185"/>
      <c r="T347" s="1185"/>
      <c r="U347" s="1185"/>
      <c r="V347" s="1185"/>
      <c r="W347" s="1185"/>
      <c r="X347" s="1185"/>
      <c r="Y347" s="1185"/>
      <c r="Z347" s="1185"/>
      <c r="AA347" s="1185"/>
      <c r="AB347" s="1185"/>
      <c r="AC347" s="1185"/>
      <c r="AD347" s="1185"/>
      <c r="AE347" s="1185"/>
      <c r="AF347" s="1185"/>
      <c r="AG347" s="1185"/>
      <c r="AH347" s="1185"/>
      <c r="AI347" s="1185"/>
      <c r="AK347" s="1204"/>
    </row>
    <row r="348" spans="1:37" ht="16.5" thickTop="1">
      <c r="A348" s="1219"/>
      <c r="B348" s="1219"/>
      <c r="C348" s="1225"/>
      <c r="D348" s="1261"/>
      <c r="E348" s="1203"/>
      <c r="F348" s="1203"/>
      <c r="G348" s="1261"/>
      <c r="H348" s="1219"/>
      <c r="I348" s="1203"/>
      <c r="J348" s="1261"/>
      <c r="K348" s="1219"/>
      <c r="L348" s="1203" t="s">
        <v>31</v>
      </c>
      <c r="N348" s="1185"/>
      <c r="O348" s="1185"/>
      <c r="P348" s="1186"/>
      <c r="Q348" s="1186"/>
      <c r="R348" s="1186"/>
      <c r="S348" s="1185"/>
      <c r="T348" s="1185"/>
      <c r="U348" s="1185"/>
      <c r="V348" s="1185"/>
      <c r="W348" s="1185"/>
      <c r="X348" s="1185"/>
      <c r="Y348" s="1185"/>
      <c r="Z348" s="1185"/>
      <c r="AA348" s="1185"/>
      <c r="AB348" s="1185"/>
      <c r="AC348" s="1185"/>
      <c r="AD348" s="1185"/>
      <c r="AE348" s="1185"/>
      <c r="AF348" s="1185"/>
      <c r="AG348" s="1185"/>
      <c r="AH348" s="1185"/>
      <c r="AI348" s="1185"/>
      <c r="AK348" s="1204"/>
    </row>
    <row r="349" spans="1:37">
      <c r="A349" s="1224" t="s">
        <v>415</v>
      </c>
      <c r="B349" s="1219"/>
      <c r="C349" s="1219"/>
      <c r="D349" s="1203"/>
      <c r="E349" s="1203"/>
      <c r="F349" s="1219" t="s">
        <v>31</v>
      </c>
      <c r="G349" s="1203"/>
      <c r="H349" s="1219"/>
      <c r="I349" s="1219"/>
      <c r="J349" s="1203"/>
      <c r="K349" s="1219"/>
      <c r="L349" s="1219"/>
      <c r="N349" s="1185"/>
      <c r="O349" s="1185"/>
      <c r="P349" s="1186"/>
      <c r="Q349" s="1186"/>
      <c r="R349" s="1186"/>
      <c r="S349" s="1185"/>
      <c r="T349" s="1185"/>
      <c r="U349" s="1185"/>
      <c r="V349" s="1185"/>
      <c r="W349" s="1185"/>
      <c r="X349" s="1185"/>
      <c r="Y349" s="1185"/>
      <c r="Z349" s="1185"/>
      <c r="AA349" s="1185"/>
      <c r="AB349" s="1185"/>
      <c r="AC349" s="1185"/>
      <c r="AD349" s="1185"/>
      <c r="AE349" s="1185"/>
      <c r="AF349" s="1185"/>
      <c r="AG349" s="1185"/>
      <c r="AH349" s="1185"/>
      <c r="AI349" s="1185"/>
      <c r="AK349" s="1204"/>
    </row>
    <row r="350" spans="1:37">
      <c r="A350" s="1219" t="s">
        <v>414</v>
      </c>
      <c r="B350" s="1219"/>
      <c r="C350" s="1219"/>
      <c r="D350" s="1203"/>
      <c r="E350" s="1203"/>
      <c r="F350" s="1219"/>
      <c r="G350" s="1203"/>
      <c r="H350" s="1219"/>
      <c r="I350" s="1219"/>
      <c r="J350" s="1203"/>
      <c r="K350" s="1219"/>
      <c r="L350" s="1219"/>
      <c r="N350" s="1185"/>
      <c r="O350" s="1185"/>
      <c r="P350" s="1186"/>
      <c r="Q350" s="1186"/>
      <c r="R350" s="1186"/>
      <c r="S350" s="1185"/>
      <c r="T350" s="1185"/>
      <c r="U350" s="1185"/>
      <c r="V350" s="1185"/>
      <c r="W350" s="1185"/>
      <c r="X350" s="1185"/>
      <c r="Y350" s="1185"/>
      <c r="Z350" s="1185"/>
      <c r="AA350" s="1185"/>
      <c r="AB350" s="1185"/>
      <c r="AC350" s="1185"/>
      <c r="AD350" s="1185"/>
      <c r="AE350" s="1185"/>
      <c r="AF350" s="1185"/>
      <c r="AG350" s="1185"/>
      <c r="AH350" s="1185"/>
      <c r="AI350" s="1185"/>
      <c r="AK350" s="1204"/>
    </row>
    <row r="351" spans="1:37">
      <c r="A351" s="1219"/>
      <c r="B351" s="1219"/>
      <c r="C351" s="1219"/>
      <c r="D351" s="1203"/>
      <c r="E351" s="1203"/>
      <c r="F351" s="1219"/>
      <c r="G351" s="1203"/>
      <c r="H351" s="1219"/>
      <c r="I351" s="1219"/>
      <c r="J351" s="1203"/>
      <c r="K351" s="1219"/>
      <c r="L351" s="1219"/>
      <c r="N351" s="1185"/>
      <c r="O351" s="1185"/>
      <c r="P351" s="1186"/>
      <c r="Q351" s="1186"/>
      <c r="R351" s="1186"/>
      <c r="S351" s="1185"/>
      <c r="T351" s="1185"/>
      <c r="U351" s="1185"/>
      <c r="V351" s="1185"/>
      <c r="W351" s="1185"/>
      <c r="X351" s="1185"/>
      <c r="Y351" s="1185"/>
      <c r="Z351" s="1185"/>
      <c r="AA351" s="1185"/>
      <c r="AB351" s="1185"/>
      <c r="AC351" s="1185"/>
      <c r="AD351" s="1185"/>
      <c r="AE351" s="1185"/>
      <c r="AF351" s="1185"/>
      <c r="AG351" s="1185"/>
      <c r="AH351" s="1185"/>
      <c r="AI351" s="1185"/>
      <c r="AK351" s="1204"/>
    </row>
    <row r="352" spans="1:37">
      <c r="A352" s="1219" t="s">
        <v>393</v>
      </c>
      <c r="B352" s="1219"/>
      <c r="C352" s="1026"/>
      <c r="D352" s="1203"/>
      <c r="E352" s="1203"/>
      <c r="F352" s="1219"/>
      <c r="G352" s="1203"/>
      <c r="H352" s="1219"/>
      <c r="I352" s="1219"/>
      <c r="J352" s="1203"/>
      <c r="K352" s="1219"/>
      <c r="L352" s="1219"/>
      <c r="N352" s="1185"/>
      <c r="O352" s="1185"/>
      <c r="P352" s="1186"/>
      <c r="Q352" s="1186"/>
      <c r="R352" s="1186"/>
      <c r="S352" s="1185"/>
      <c r="T352" s="1185"/>
      <c r="U352" s="1185"/>
      <c r="V352" s="1185"/>
      <c r="W352" s="1185"/>
      <c r="X352" s="1185"/>
      <c r="Y352" s="1185"/>
      <c r="Z352" s="1185"/>
      <c r="AA352" s="1185"/>
      <c r="AB352" s="1185"/>
      <c r="AC352" s="1185"/>
      <c r="AD352" s="1185"/>
      <c r="AE352" s="1185"/>
      <c r="AF352" s="1185"/>
      <c r="AG352" s="1185"/>
      <c r="AH352" s="1185"/>
      <c r="AI352" s="1185"/>
      <c r="AK352" s="1204"/>
    </row>
    <row r="353" spans="1:37">
      <c r="A353" s="1219" t="s">
        <v>416</v>
      </c>
      <c r="B353" s="1219"/>
      <c r="C353" s="1026">
        <v>516</v>
      </c>
      <c r="D353" s="1229">
        <v>7.64</v>
      </c>
      <c r="E353" s="1041"/>
      <c r="F353" s="1203">
        <f>ROUND(D353*$C353,0)</f>
        <v>3942</v>
      </c>
      <c r="G353" s="1229">
        <v>8.7100000000000009</v>
      </c>
      <c r="H353" s="1009"/>
      <c r="I353" s="1203">
        <f>ROUND(G353*$C353,0)</f>
        <v>4494</v>
      </c>
      <c r="J353" s="1229">
        <f>$J$152</f>
        <v>8.7100000000000009</v>
      </c>
      <c r="K353" s="1009"/>
      <c r="L353" s="1203">
        <f>ROUND(J353*$C353,0)</f>
        <v>4494</v>
      </c>
      <c r="N353" s="1185"/>
      <c r="O353" s="1185"/>
      <c r="P353" s="1186"/>
      <c r="Q353" s="1186"/>
      <c r="R353" s="1186"/>
      <c r="S353" s="1185"/>
      <c r="T353" s="1185"/>
      <c r="U353" s="1185"/>
      <c r="V353" s="1185"/>
      <c r="W353" s="1185"/>
      <c r="X353" s="1185"/>
      <c r="Y353" s="1185"/>
      <c r="Z353" s="1185"/>
      <c r="AA353" s="1185"/>
      <c r="AB353" s="1185"/>
      <c r="AC353" s="1185"/>
      <c r="AD353" s="1185"/>
      <c r="AE353" s="1185"/>
      <c r="AF353" s="1185"/>
      <c r="AG353" s="1185"/>
      <c r="AH353" s="1185"/>
      <c r="AI353" s="1185"/>
      <c r="AK353" s="1204"/>
    </row>
    <row r="354" spans="1:37">
      <c r="A354" s="1219" t="s">
        <v>391</v>
      </c>
      <c r="B354" s="1219"/>
      <c r="C354" s="1026">
        <v>0</v>
      </c>
      <c r="D354" s="1229">
        <v>11.36</v>
      </c>
      <c r="E354" s="1249"/>
      <c r="F354" s="1203">
        <f>ROUND(D354*$C354,0)</f>
        <v>0</v>
      </c>
      <c r="G354" s="1229">
        <v>12.98</v>
      </c>
      <c r="H354" s="1250"/>
      <c r="I354" s="1203">
        <f t="shared" ref="I354:I355" si="47">ROUND(G354*$C354,0)</f>
        <v>0</v>
      </c>
      <c r="J354" s="1229">
        <f>$J$153</f>
        <v>12.98</v>
      </c>
      <c r="K354" s="1250"/>
      <c r="L354" s="1203">
        <f>ROUND(J354*$C354,0)</f>
        <v>0</v>
      </c>
      <c r="N354" s="1185"/>
      <c r="O354" s="1185"/>
      <c r="P354" s="1186"/>
      <c r="Q354" s="1186"/>
      <c r="R354" s="1186"/>
      <c r="S354" s="1185"/>
      <c r="T354" s="1185"/>
      <c r="U354" s="1185"/>
      <c r="V354" s="1185"/>
      <c r="W354" s="1185"/>
      <c r="X354" s="1185"/>
      <c r="Y354" s="1185"/>
      <c r="Z354" s="1185"/>
      <c r="AA354" s="1185"/>
      <c r="AB354" s="1185"/>
      <c r="AC354" s="1185"/>
      <c r="AD354" s="1185"/>
      <c r="AE354" s="1185"/>
      <c r="AF354" s="1185"/>
      <c r="AG354" s="1185"/>
      <c r="AH354" s="1185"/>
      <c r="AI354" s="1185"/>
      <c r="AK354" s="1204"/>
    </row>
    <row r="355" spans="1:37">
      <c r="A355" s="1219" t="s">
        <v>392</v>
      </c>
      <c r="B355" s="1219"/>
      <c r="C355" s="1026">
        <v>0</v>
      </c>
      <c r="D355" s="1229">
        <v>0.81</v>
      </c>
      <c r="E355" s="1249"/>
      <c r="F355" s="1203">
        <f>ROUND(D355*$C355,0)</f>
        <v>0</v>
      </c>
      <c r="G355" s="1229">
        <v>0.92</v>
      </c>
      <c r="H355" s="1250"/>
      <c r="I355" s="1203">
        <f t="shared" si="47"/>
        <v>0</v>
      </c>
      <c r="J355" s="1229">
        <f>$J$154</f>
        <v>0.92</v>
      </c>
      <c r="K355" s="1250"/>
      <c r="L355" s="1203">
        <f>ROUND(J355*$C355,0)</f>
        <v>0</v>
      </c>
      <c r="N355" s="1185"/>
      <c r="O355" s="1185"/>
      <c r="P355" s="1186"/>
      <c r="Q355" s="1186"/>
      <c r="R355" s="1186"/>
      <c r="S355" s="1185"/>
      <c r="T355" s="1185"/>
      <c r="U355" s="1185"/>
      <c r="V355" s="1185"/>
      <c r="W355" s="1185"/>
      <c r="X355" s="1185"/>
      <c r="Y355" s="1185"/>
      <c r="Z355" s="1185"/>
      <c r="AA355" s="1185"/>
      <c r="AB355" s="1185"/>
      <c r="AC355" s="1185"/>
      <c r="AD355" s="1185"/>
      <c r="AE355" s="1185"/>
      <c r="AF355" s="1185"/>
      <c r="AG355" s="1185"/>
      <c r="AH355" s="1185"/>
      <c r="AI355" s="1185"/>
      <c r="AK355" s="1204"/>
    </row>
    <row r="356" spans="1:37">
      <c r="A356" s="1219" t="s">
        <v>394</v>
      </c>
      <c r="B356" s="1219"/>
      <c r="C356" s="1026">
        <f>SUM(C353:C354)</f>
        <v>516</v>
      </c>
      <c r="D356" s="1229"/>
      <c r="E356" s="1041"/>
      <c r="F356" s="1203"/>
      <c r="G356" s="1229"/>
      <c r="H356" s="1009"/>
      <c r="I356" s="1203"/>
      <c r="J356" s="1229"/>
      <c r="K356" s="1009"/>
      <c r="L356" s="1203"/>
      <c r="N356" s="1185"/>
      <c r="O356" s="1185"/>
      <c r="P356" s="1186"/>
      <c r="Q356" s="1186"/>
      <c r="R356" s="1186"/>
      <c r="S356" s="1185"/>
      <c r="T356" s="1185"/>
      <c r="U356" s="1185"/>
      <c r="V356" s="1185"/>
      <c r="W356" s="1185"/>
      <c r="X356" s="1185"/>
      <c r="Y356" s="1185"/>
      <c r="Z356" s="1185"/>
      <c r="AA356" s="1185"/>
      <c r="AB356" s="1185"/>
      <c r="AC356" s="1185"/>
      <c r="AD356" s="1185"/>
      <c r="AE356" s="1185"/>
      <c r="AF356" s="1185"/>
      <c r="AG356" s="1185"/>
      <c r="AH356" s="1185"/>
      <c r="AI356" s="1185"/>
      <c r="AK356" s="1204"/>
    </row>
    <row r="357" spans="1:37">
      <c r="A357" s="1219" t="s">
        <v>362</v>
      </c>
      <c r="B357" s="1219"/>
      <c r="C357" s="1026">
        <v>48</v>
      </c>
      <c r="D357" s="1229"/>
      <c r="E357" s="1041"/>
      <c r="F357" s="1203"/>
      <c r="G357" s="1229"/>
      <c r="H357" s="1009"/>
      <c r="I357" s="1203"/>
      <c r="J357" s="1229"/>
      <c r="K357" s="1009"/>
      <c r="L357" s="1203"/>
      <c r="N357" s="1185"/>
      <c r="O357" s="1185"/>
      <c r="P357" s="1186"/>
      <c r="Q357" s="1186"/>
      <c r="R357" s="1186"/>
      <c r="S357" s="1185"/>
      <c r="T357" s="1185"/>
      <c r="U357" s="1185"/>
      <c r="V357" s="1185"/>
      <c r="W357" s="1185"/>
      <c r="X357" s="1185"/>
      <c r="Y357" s="1185"/>
      <c r="Z357" s="1185"/>
      <c r="AA357" s="1185"/>
      <c r="AB357" s="1185"/>
      <c r="AC357" s="1185"/>
      <c r="AD357" s="1185"/>
      <c r="AE357" s="1185"/>
      <c r="AF357" s="1185"/>
      <c r="AG357" s="1185"/>
      <c r="AH357" s="1185"/>
      <c r="AI357" s="1185"/>
      <c r="AK357" s="1204"/>
    </row>
    <row r="358" spans="1:37">
      <c r="A358" s="1219" t="s">
        <v>395</v>
      </c>
      <c r="B358" s="1219"/>
      <c r="C358" s="1026">
        <v>0</v>
      </c>
      <c r="D358" s="1261">
        <v>2.98</v>
      </c>
      <c r="E358" s="1009"/>
      <c r="F358" s="1203">
        <f>ROUND(D358*$C358,0)</f>
        <v>0</v>
      </c>
      <c r="G358" s="1261">
        <v>3.4</v>
      </c>
      <c r="H358" s="1009"/>
      <c r="I358" s="1203">
        <f>ROUND(G358*C358,0)</f>
        <v>0</v>
      </c>
      <c r="J358" s="1261">
        <f>$J$157</f>
        <v>3.61</v>
      </c>
      <c r="K358" s="1009"/>
      <c r="L358" s="1203">
        <f>ROUND(J358*$C358,0)</f>
        <v>0</v>
      </c>
      <c r="N358" s="1185"/>
      <c r="O358" s="1185"/>
      <c r="P358" s="1186"/>
      <c r="Q358" s="1186"/>
      <c r="R358" s="1186"/>
      <c r="S358" s="1185"/>
      <c r="T358" s="1185"/>
      <c r="U358" s="1185"/>
      <c r="V358" s="1185"/>
      <c r="W358" s="1185"/>
      <c r="X358" s="1185"/>
      <c r="Y358" s="1185"/>
      <c r="Z358" s="1185"/>
      <c r="AA358" s="1185"/>
      <c r="AB358" s="1185"/>
      <c r="AC358" s="1185"/>
      <c r="AD358" s="1185"/>
      <c r="AE358" s="1185"/>
      <c r="AF358" s="1185"/>
      <c r="AG358" s="1185"/>
      <c r="AH358" s="1185"/>
      <c r="AI358" s="1185"/>
      <c r="AK358" s="1204"/>
    </row>
    <row r="359" spans="1:37">
      <c r="A359" s="1219" t="s">
        <v>397</v>
      </c>
      <c r="B359" s="1219"/>
      <c r="C359" s="1026">
        <f>33313</f>
        <v>33313</v>
      </c>
      <c r="D359" s="1230">
        <v>8.5489999999999995</v>
      </c>
      <c r="E359" s="1009" t="s">
        <v>374</v>
      </c>
      <c r="F359" s="1203">
        <f>ROUND(D359*$C359/100,0)</f>
        <v>2848</v>
      </c>
      <c r="G359" s="1230">
        <v>9.766</v>
      </c>
      <c r="H359" s="1009" t="s">
        <v>374</v>
      </c>
      <c r="I359" s="1203">
        <f>ROUND(G359*C359/100,0)</f>
        <v>3253</v>
      </c>
      <c r="J359" s="1230">
        <f>$J$158</f>
        <v>10.359</v>
      </c>
      <c r="K359" s="1009" t="s">
        <v>374</v>
      </c>
      <c r="L359" s="1203">
        <f>ROUND(J359*$C359/100,0)</f>
        <v>3451</v>
      </c>
      <c r="N359" s="1185"/>
      <c r="O359" s="1185"/>
      <c r="P359" s="1186"/>
      <c r="Q359" s="1186"/>
      <c r="R359" s="1186"/>
      <c r="S359" s="1185"/>
      <c r="T359" s="1185"/>
      <c r="U359" s="1185"/>
      <c r="V359" s="1185"/>
      <c r="W359" s="1185"/>
      <c r="X359" s="1185"/>
      <c r="Y359" s="1185"/>
      <c r="Z359" s="1185"/>
      <c r="AA359" s="1185"/>
      <c r="AB359" s="1185"/>
      <c r="AC359" s="1185"/>
      <c r="AD359" s="1185"/>
      <c r="AE359" s="1185"/>
      <c r="AF359" s="1185"/>
      <c r="AG359" s="1185"/>
      <c r="AH359" s="1185"/>
      <c r="AI359" s="1185"/>
      <c r="AK359" s="1204"/>
    </row>
    <row r="360" spans="1:37">
      <c r="A360" s="1219" t="s">
        <v>398</v>
      </c>
      <c r="B360" s="1219"/>
      <c r="C360" s="1026">
        <v>0</v>
      </c>
      <c r="D360" s="1230">
        <v>5.9020000000000001</v>
      </c>
      <c r="E360" s="1009" t="s">
        <v>374</v>
      </c>
      <c r="F360" s="1203">
        <f>ROUND(D360*$C360/100,0)</f>
        <v>0</v>
      </c>
      <c r="G360" s="1230">
        <v>6.7460000000000004</v>
      </c>
      <c r="H360" s="1009" t="s">
        <v>374</v>
      </c>
      <c r="I360" s="1203">
        <f t="shared" ref="I360:I362" si="48">ROUND(G360*C360/100,0)</f>
        <v>0</v>
      </c>
      <c r="J360" s="1230">
        <f>$J$159</f>
        <v>7.1559999999999997</v>
      </c>
      <c r="K360" s="1009" t="s">
        <v>374</v>
      </c>
      <c r="L360" s="1203">
        <f>ROUND(J360*$C360/100,0)</f>
        <v>0</v>
      </c>
      <c r="N360" s="1185"/>
      <c r="O360" s="1185"/>
      <c r="P360" s="1186"/>
      <c r="Q360" s="1186"/>
      <c r="R360" s="1186"/>
      <c r="S360" s="1185"/>
      <c r="T360" s="1185"/>
      <c r="U360" s="1185"/>
      <c r="V360" s="1185"/>
      <c r="W360" s="1185"/>
      <c r="X360" s="1185"/>
      <c r="Y360" s="1185"/>
      <c r="Z360" s="1185"/>
      <c r="AA360" s="1185"/>
      <c r="AB360" s="1185"/>
      <c r="AC360" s="1185"/>
      <c r="AD360" s="1185"/>
      <c r="AE360" s="1185"/>
      <c r="AF360" s="1185"/>
      <c r="AG360" s="1185"/>
      <c r="AH360" s="1185"/>
      <c r="AI360" s="1185"/>
      <c r="AK360" s="1204"/>
    </row>
    <row r="361" spans="1:37">
      <c r="A361" s="1219" t="s">
        <v>399</v>
      </c>
      <c r="B361" s="1219"/>
      <c r="C361" s="1026">
        <v>0</v>
      </c>
      <c r="D361" s="1230">
        <v>5.0839999999999996</v>
      </c>
      <c r="E361" s="1009" t="s">
        <v>374</v>
      </c>
      <c r="F361" s="1203">
        <f>ROUND(D361*$C361/100,0)</f>
        <v>0</v>
      </c>
      <c r="G361" s="1230">
        <v>5.8120000000000003</v>
      </c>
      <c r="H361" s="1009" t="s">
        <v>374</v>
      </c>
      <c r="I361" s="1203">
        <f t="shared" si="48"/>
        <v>0</v>
      </c>
      <c r="J361" s="1230">
        <f>$J$160</f>
        <v>6.1660000000000004</v>
      </c>
      <c r="K361" s="1009" t="s">
        <v>374</v>
      </c>
      <c r="L361" s="1203">
        <f>ROUND(J361*$C361/100,0)</f>
        <v>0</v>
      </c>
      <c r="N361" s="1185"/>
      <c r="O361" s="1185"/>
      <c r="P361" s="1186"/>
      <c r="Q361" s="1186"/>
      <c r="R361" s="1186"/>
      <c r="S361" s="1185"/>
      <c r="T361" s="1185"/>
      <c r="U361" s="1185"/>
      <c r="V361" s="1185"/>
      <c r="W361" s="1185"/>
      <c r="X361" s="1185"/>
      <c r="Y361" s="1185"/>
      <c r="Z361" s="1185"/>
      <c r="AA361" s="1185"/>
      <c r="AB361" s="1185"/>
      <c r="AC361" s="1185"/>
      <c r="AD361" s="1185"/>
      <c r="AE361" s="1185"/>
      <c r="AF361" s="1185"/>
      <c r="AG361" s="1185"/>
      <c r="AH361" s="1185"/>
      <c r="AI361" s="1185"/>
      <c r="AK361" s="1204"/>
    </row>
    <row r="362" spans="1:37">
      <c r="A362" s="1219" t="s">
        <v>400</v>
      </c>
      <c r="B362" s="1219"/>
      <c r="C362" s="1026">
        <v>0</v>
      </c>
      <c r="D362" s="1255">
        <v>50</v>
      </c>
      <c r="E362" s="1041" t="s">
        <v>374</v>
      </c>
      <c r="F362" s="1203">
        <f>ROUND(D362*$C362/100,0)</f>
        <v>0</v>
      </c>
      <c r="G362" s="1255">
        <v>56</v>
      </c>
      <c r="H362" s="1009" t="s">
        <v>374</v>
      </c>
      <c r="I362" s="1203">
        <f t="shared" si="48"/>
        <v>0</v>
      </c>
      <c r="J362" s="1255">
        <f>$J$161</f>
        <v>56</v>
      </c>
      <c r="K362" s="1009" t="s">
        <v>374</v>
      </c>
      <c r="L362" s="1203">
        <f>ROUND(J362*$C362/100,0)</f>
        <v>0</v>
      </c>
      <c r="N362" s="1185"/>
      <c r="O362" s="1185"/>
      <c r="P362" s="1186"/>
      <c r="Q362" s="1186"/>
      <c r="R362" s="1186"/>
      <c r="S362" s="1185"/>
      <c r="T362" s="1185"/>
      <c r="U362" s="1185"/>
      <c r="V362" s="1185"/>
      <c r="W362" s="1185"/>
      <c r="X362" s="1185"/>
      <c r="Y362" s="1185"/>
      <c r="Z362" s="1185"/>
      <c r="AA362" s="1185"/>
      <c r="AB362" s="1185"/>
      <c r="AC362" s="1185"/>
      <c r="AD362" s="1185"/>
      <c r="AE362" s="1185"/>
      <c r="AF362" s="1185"/>
      <c r="AG362" s="1185"/>
      <c r="AH362" s="1185"/>
      <c r="AI362" s="1185"/>
      <c r="AK362" s="1204"/>
    </row>
    <row r="363" spans="1:37">
      <c r="A363" s="1256" t="s">
        <v>401</v>
      </c>
      <c r="B363" s="1219"/>
      <c r="C363" s="1026"/>
      <c r="D363" s="1257">
        <v>-0.01</v>
      </c>
      <c r="E363" s="1041"/>
      <c r="F363" s="1203"/>
      <c r="G363" s="1257">
        <v>-0.01</v>
      </c>
      <c r="H363" s="1009"/>
      <c r="I363" s="1203"/>
      <c r="J363" s="1257">
        <v>-0.01</v>
      </c>
      <c r="K363" s="1009"/>
      <c r="L363" s="1203"/>
      <c r="N363" s="1185"/>
      <c r="O363" s="1185"/>
      <c r="P363" s="1186"/>
      <c r="Q363" s="1186"/>
      <c r="R363" s="1186"/>
      <c r="S363" s="1185"/>
      <c r="T363" s="1185"/>
      <c r="U363" s="1185"/>
      <c r="V363" s="1185"/>
      <c r="W363" s="1185"/>
      <c r="X363" s="1185"/>
      <c r="Y363" s="1185"/>
      <c r="Z363" s="1185"/>
      <c r="AA363" s="1185"/>
      <c r="AB363" s="1185"/>
      <c r="AC363" s="1185"/>
      <c r="AD363" s="1185"/>
      <c r="AE363" s="1185"/>
      <c r="AF363" s="1185"/>
      <c r="AG363" s="1185"/>
      <c r="AH363" s="1185"/>
      <c r="AI363" s="1185"/>
      <c r="AK363" s="1204"/>
    </row>
    <row r="364" spans="1:37">
      <c r="A364" s="1219" t="s">
        <v>390</v>
      </c>
      <c r="B364" s="1219"/>
      <c r="C364" s="1026">
        <v>0</v>
      </c>
      <c r="D364" s="1259">
        <v>7.64</v>
      </c>
      <c r="E364" s="1041"/>
      <c r="F364" s="1203">
        <f>-ROUND(D364*$C364/100,0)</f>
        <v>0</v>
      </c>
      <c r="G364" s="1259">
        <v>8.7100000000000009</v>
      </c>
      <c r="H364" s="1041"/>
      <c r="I364" s="1203">
        <f>-ROUND(G364*$C364/100,0)</f>
        <v>0</v>
      </c>
      <c r="J364" s="1259">
        <f>J353</f>
        <v>8.7100000000000009</v>
      </c>
      <c r="K364" s="1041"/>
      <c r="L364" s="1203">
        <f>-ROUND(J364*$C364/100,0)</f>
        <v>0</v>
      </c>
      <c r="N364" s="1185"/>
      <c r="O364" s="1185"/>
      <c r="P364" s="1186"/>
      <c r="Q364" s="1186"/>
      <c r="R364" s="1186"/>
      <c r="S364" s="1185"/>
      <c r="T364" s="1185"/>
      <c r="U364" s="1185"/>
      <c r="V364" s="1185"/>
      <c r="W364" s="1185"/>
      <c r="X364" s="1185"/>
      <c r="Y364" s="1185"/>
      <c r="Z364" s="1185"/>
      <c r="AA364" s="1185"/>
      <c r="AB364" s="1185"/>
      <c r="AC364" s="1185"/>
      <c r="AD364" s="1185"/>
      <c r="AE364" s="1185"/>
      <c r="AF364" s="1185"/>
      <c r="AG364" s="1185"/>
      <c r="AH364" s="1185"/>
      <c r="AI364" s="1185"/>
      <c r="AK364" s="1204"/>
    </row>
    <row r="365" spans="1:37">
      <c r="A365" s="1219" t="s">
        <v>391</v>
      </c>
      <c r="B365" s="1219"/>
      <c r="C365" s="1026">
        <v>0</v>
      </c>
      <c r="D365" s="1259">
        <v>11.36</v>
      </c>
      <c r="E365" s="1041"/>
      <c r="F365" s="1203">
        <f>-ROUND(D365*$C365/100,0)</f>
        <v>0</v>
      </c>
      <c r="G365" s="1259">
        <v>12.98</v>
      </c>
      <c r="H365" s="1041"/>
      <c r="I365" s="1203">
        <f t="shared" ref="I365:I367" si="49">-ROUND(G365*$C365/100,0)</f>
        <v>0</v>
      </c>
      <c r="J365" s="1259">
        <f>J354</f>
        <v>12.98</v>
      </c>
      <c r="K365" s="1041"/>
      <c r="L365" s="1203">
        <f>-ROUND(J365*$C365/100,0)</f>
        <v>0</v>
      </c>
      <c r="N365" s="1185"/>
      <c r="O365" s="1185"/>
      <c r="P365" s="1186"/>
      <c r="Q365" s="1186"/>
      <c r="R365" s="1186"/>
      <c r="S365" s="1185"/>
      <c r="T365" s="1185"/>
      <c r="U365" s="1185"/>
      <c r="V365" s="1185"/>
      <c r="W365" s="1185"/>
      <c r="X365" s="1185"/>
      <c r="Y365" s="1185"/>
      <c r="Z365" s="1185"/>
      <c r="AA365" s="1185"/>
      <c r="AB365" s="1185"/>
      <c r="AC365" s="1185"/>
      <c r="AD365" s="1185"/>
      <c r="AE365" s="1185"/>
      <c r="AF365" s="1185"/>
      <c r="AG365" s="1185"/>
      <c r="AH365" s="1185"/>
      <c r="AI365" s="1185"/>
      <c r="AK365" s="1204"/>
    </row>
    <row r="366" spans="1:37">
      <c r="A366" s="1219" t="s">
        <v>402</v>
      </c>
      <c r="B366" s="1219"/>
      <c r="C366" s="1026">
        <v>0</v>
      </c>
      <c r="D366" s="1259">
        <v>0.81</v>
      </c>
      <c r="E366" s="1041"/>
      <c r="F366" s="1203">
        <f>-ROUND(D366*$C366/100,0)</f>
        <v>0</v>
      </c>
      <c r="G366" s="1259">
        <v>0.92</v>
      </c>
      <c r="H366" s="1041"/>
      <c r="I366" s="1203">
        <f t="shared" si="49"/>
        <v>0</v>
      </c>
      <c r="J366" s="1259">
        <f>J355</f>
        <v>0.92</v>
      </c>
      <c r="K366" s="1041"/>
      <c r="L366" s="1203">
        <f>-ROUND(J366*$C366/100,0)</f>
        <v>0</v>
      </c>
      <c r="N366" s="1185"/>
      <c r="O366" s="1185"/>
      <c r="P366" s="1186"/>
      <c r="Q366" s="1186"/>
      <c r="R366" s="1186"/>
      <c r="S366" s="1185"/>
      <c r="T366" s="1185"/>
      <c r="U366" s="1185"/>
      <c r="V366" s="1185"/>
      <c r="W366" s="1185"/>
      <c r="X366" s="1185"/>
      <c r="Y366" s="1185"/>
      <c r="Z366" s="1185"/>
      <c r="AA366" s="1185"/>
      <c r="AB366" s="1185"/>
      <c r="AC366" s="1185"/>
      <c r="AD366" s="1185"/>
      <c r="AE366" s="1185"/>
      <c r="AF366" s="1185"/>
      <c r="AG366" s="1185"/>
      <c r="AH366" s="1185"/>
      <c r="AI366" s="1185"/>
      <c r="AK366" s="1204"/>
    </row>
    <row r="367" spans="1:37">
      <c r="A367" s="1219" t="s">
        <v>403</v>
      </c>
      <c r="B367" s="1219"/>
      <c r="C367" s="1026">
        <v>0</v>
      </c>
      <c r="D367" s="1259">
        <v>2.98</v>
      </c>
      <c r="E367" s="1009"/>
      <c r="F367" s="1203">
        <f>-ROUND(D367*$C367/100,0)</f>
        <v>0</v>
      </c>
      <c r="G367" s="1259">
        <v>3.4</v>
      </c>
      <c r="H367" s="1009"/>
      <c r="I367" s="1203">
        <f t="shared" si="49"/>
        <v>0</v>
      </c>
      <c r="J367" s="1259">
        <f>J358</f>
        <v>3.61</v>
      </c>
      <c r="K367" s="1009"/>
      <c r="L367" s="1203">
        <f>-ROUND(J367*$C367/100,0)</f>
        <v>0</v>
      </c>
      <c r="N367" s="1185"/>
      <c r="O367" s="1185"/>
      <c r="P367" s="1186"/>
      <c r="Q367" s="1186"/>
      <c r="R367" s="1186"/>
      <c r="S367" s="1185"/>
      <c r="T367" s="1185"/>
      <c r="U367" s="1185"/>
      <c r="V367" s="1185"/>
      <c r="W367" s="1185"/>
      <c r="X367" s="1185"/>
      <c r="Y367" s="1185"/>
      <c r="Z367" s="1185"/>
      <c r="AA367" s="1185"/>
      <c r="AB367" s="1185"/>
      <c r="AC367" s="1185"/>
      <c r="AD367" s="1185"/>
      <c r="AE367" s="1185"/>
      <c r="AF367" s="1185"/>
      <c r="AG367" s="1185"/>
      <c r="AH367" s="1185"/>
      <c r="AI367" s="1185"/>
      <c r="AK367" s="1204"/>
    </row>
    <row r="368" spans="1:37">
      <c r="A368" s="1219" t="s">
        <v>405</v>
      </c>
      <c r="B368" s="1219"/>
      <c r="C368" s="1026">
        <v>0</v>
      </c>
      <c r="D368" s="1070">
        <v>8.5489999999999995</v>
      </c>
      <c r="E368" s="1009" t="s">
        <v>374</v>
      </c>
      <c r="F368" s="1203">
        <f>ROUND(D368*$C368/100*D363,0)</f>
        <v>0</v>
      </c>
      <c r="G368" s="1070">
        <v>9.766</v>
      </c>
      <c r="H368" s="1009" t="s">
        <v>374</v>
      </c>
      <c r="I368" s="1203">
        <f>ROUND(G368*$C368/100*G363,0)</f>
        <v>0</v>
      </c>
      <c r="J368" s="1070">
        <f>J359</f>
        <v>10.359</v>
      </c>
      <c r="K368" s="1009" t="s">
        <v>374</v>
      </c>
      <c r="L368" s="1203">
        <f>ROUND(J368*$C368/100*J363,0)</f>
        <v>0</v>
      </c>
      <c r="N368" s="1185"/>
      <c r="O368" s="1185"/>
      <c r="P368" s="1186"/>
      <c r="Q368" s="1186"/>
      <c r="R368" s="1186"/>
      <c r="S368" s="1185"/>
      <c r="T368" s="1185"/>
      <c r="U368" s="1185"/>
      <c r="V368" s="1185"/>
      <c r="W368" s="1185"/>
      <c r="X368" s="1185"/>
      <c r="Y368" s="1185"/>
      <c r="Z368" s="1185"/>
      <c r="AA368" s="1185"/>
      <c r="AB368" s="1185"/>
      <c r="AC368" s="1185"/>
      <c r="AD368" s="1185"/>
      <c r="AE368" s="1185"/>
      <c r="AF368" s="1185"/>
      <c r="AG368" s="1185"/>
      <c r="AH368" s="1185"/>
      <c r="AI368" s="1185"/>
      <c r="AK368" s="1204"/>
    </row>
    <row r="369" spans="1:37">
      <c r="A369" s="1219" t="s">
        <v>398</v>
      </c>
      <c r="B369" s="1219"/>
      <c r="C369" s="1026">
        <v>0</v>
      </c>
      <c r="D369" s="1070">
        <v>5.9020000000000001</v>
      </c>
      <c r="E369" s="1009" t="s">
        <v>374</v>
      </c>
      <c r="F369" s="1203">
        <f>ROUND(D369*$C369/100*D363,0)</f>
        <v>0</v>
      </c>
      <c r="G369" s="1070">
        <v>6.7460000000000004</v>
      </c>
      <c r="H369" s="1009" t="s">
        <v>374</v>
      </c>
      <c r="I369" s="1203">
        <f>ROUND(G369*$C369/100*G363,0)</f>
        <v>0</v>
      </c>
      <c r="J369" s="1070">
        <f>J360</f>
        <v>7.1559999999999997</v>
      </c>
      <c r="K369" s="1009" t="s">
        <v>374</v>
      </c>
      <c r="L369" s="1203">
        <f>ROUND(J369*$C369/100*J363,0)</f>
        <v>0</v>
      </c>
      <c r="N369" s="1185"/>
      <c r="O369" s="1185"/>
      <c r="P369" s="1186"/>
      <c r="Q369" s="1186"/>
      <c r="R369" s="1186"/>
      <c r="S369" s="1185"/>
      <c r="T369" s="1185"/>
      <c r="U369" s="1185"/>
      <c r="V369" s="1185"/>
      <c r="W369" s="1185"/>
      <c r="X369" s="1185"/>
      <c r="Y369" s="1185"/>
      <c r="Z369" s="1185"/>
      <c r="AA369" s="1185"/>
      <c r="AB369" s="1185"/>
      <c r="AC369" s="1185"/>
      <c r="AD369" s="1185"/>
      <c r="AE369" s="1185"/>
      <c r="AF369" s="1185"/>
      <c r="AG369" s="1185"/>
      <c r="AH369" s="1185"/>
      <c r="AI369" s="1185"/>
      <c r="AK369" s="1204"/>
    </row>
    <row r="370" spans="1:37">
      <c r="A370" s="1219" t="s">
        <v>399</v>
      </c>
      <c r="B370" s="1219"/>
      <c r="C370" s="1026">
        <v>0</v>
      </c>
      <c r="D370" s="1070">
        <v>5.0839999999999996</v>
      </c>
      <c r="E370" s="1009" t="s">
        <v>374</v>
      </c>
      <c r="F370" s="1203">
        <f>ROUND(D370*$C370/100*D363,0)</f>
        <v>0</v>
      </c>
      <c r="G370" s="1070">
        <v>5.8120000000000003</v>
      </c>
      <c r="H370" s="1009" t="s">
        <v>374</v>
      </c>
      <c r="I370" s="1203">
        <f>ROUND(G370*$C370/100*G363,0)</f>
        <v>0</v>
      </c>
      <c r="J370" s="1070">
        <f>J361</f>
        <v>6.1660000000000004</v>
      </c>
      <c r="K370" s="1009" t="s">
        <v>374</v>
      </c>
      <c r="L370" s="1203">
        <f>ROUND(J370*$C370/100*J363,0)</f>
        <v>0</v>
      </c>
      <c r="N370" s="1185"/>
      <c r="O370" s="1185"/>
      <c r="P370" s="1186"/>
      <c r="Q370" s="1186"/>
      <c r="R370" s="1186"/>
      <c r="S370" s="1185"/>
      <c r="T370" s="1185"/>
      <c r="U370" s="1185"/>
      <c r="V370" s="1185"/>
      <c r="W370" s="1185"/>
      <c r="X370" s="1185"/>
      <c r="Y370" s="1185"/>
      <c r="Z370" s="1185"/>
      <c r="AA370" s="1185"/>
      <c r="AB370" s="1185"/>
      <c r="AC370" s="1185"/>
      <c r="AD370" s="1185"/>
      <c r="AE370" s="1185"/>
      <c r="AF370" s="1185"/>
      <c r="AG370" s="1185"/>
      <c r="AH370" s="1185"/>
      <c r="AI370" s="1185"/>
      <c r="AK370" s="1204"/>
    </row>
    <row r="371" spans="1:37">
      <c r="A371" s="1219" t="s">
        <v>400</v>
      </c>
      <c r="B371" s="1219"/>
      <c r="C371" s="1026">
        <v>0</v>
      </c>
      <c r="D371" s="1260">
        <v>50</v>
      </c>
      <c r="E371" s="1009" t="s">
        <v>374</v>
      </c>
      <c r="F371" s="1203">
        <f>ROUND(D371*$C371/100*D363,0)</f>
        <v>0</v>
      </c>
      <c r="G371" s="1260">
        <v>56</v>
      </c>
      <c r="H371" s="1009" t="s">
        <v>374</v>
      </c>
      <c r="I371" s="1203">
        <f>ROUND(G371*$C371/100*G363,0)</f>
        <v>0</v>
      </c>
      <c r="J371" s="1260">
        <f>J362</f>
        <v>56</v>
      </c>
      <c r="K371" s="1009" t="s">
        <v>374</v>
      </c>
      <c r="L371" s="1203">
        <f>ROUND(J371*$C371/100*J363,0)</f>
        <v>0</v>
      </c>
      <c r="N371" s="1185"/>
      <c r="O371" s="1185"/>
      <c r="P371" s="1186"/>
      <c r="Q371" s="1186"/>
      <c r="R371" s="1186"/>
      <c r="S371" s="1185"/>
      <c r="T371" s="1185"/>
      <c r="U371" s="1185"/>
      <c r="V371" s="1185"/>
      <c r="W371" s="1185"/>
      <c r="X371" s="1185"/>
      <c r="Y371" s="1185"/>
      <c r="Z371" s="1185"/>
      <c r="AA371" s="1185"/>
      <c r="AB371" s="1185"/>
      <c r="AC371" s="1185"/>
      <c r="AD371" s="1185"/>
      <c r="AE371" s="1185"/>
      <c r="AF371" s="1185"/>
      <c r="AG371" s="1185"/>
      <c r="AH371" s="1185"/>
      <c r="AI371" s="1185"/>
      <c r="AK371" s="1204"/>
    </row>
    <row r="372" spans="1:37">
      <c r="A372" s="1219" t="s">
        <v>407</v>
      </c>
      <c r="B372" s="1219"/>
      <c r="C372" s="1026">
        <v>0</v>
      </c>
      <c r="D372" s="1261">
        <v>60</v>
      </c>
      <c r="E372" s="1041"/>
      <c r="F372" s="1203">
        <f>ROUND(D372*$C372,0)</f>
        <v>0</v>
      </c>
      <c r="G372" s="1261">
        <v>60</v>
      </c>
      <c r="H372" s="1009"/>
      <c r="I372" s="1203">
        <f>ROUND(G372*C372,0)</f>
        <v>0</v>
      </c>
      <c r="J372" s="1261">
        <f>$J$171</f>
        <v>60</v>
      </c>
      <c r="K372" s="1009"/>
      <c r="L372" s="1203">
        <f>ROUND(J372*$C372,0)</f>
        <v>0</v>
      </c>
      <c r="N372" s="1185"/>
      <c r="O372" s="1185"/>
      <c r="P372" s="1186"/>
      <c r="Q372" s="1186"/>
      <c r="R372" s="1186"/>
      <c r="S372" s="1185"/>
      <c r="T372" s="1185"/>
      <c r="U372" s="1185"/>
      <c r="V372" s="1185"/>
      <c r="W372" s="1185"/>
      <c r="X372" s="1185"/>
      <c r="Y372" s="1185"/>
      <c r="Z372" s="1185"/>
      <c r="AA372" s="1185"/>
      <c r="AB372" s="1185"/>
      <c r="AC372" s="1185"/>
      <c r="AD372" s="1185"/>
      <c r="AE372" s="1185"/>
      <c r="AF372" s="1185"/>
      <c r="AG372" s="1185"/>
      <c r="AH372" s="1185"/>
      <c r="AI372" s="1185"/>
      <c r="AK372" s="1204"/>
    </row>
    <row r="373" spans="1:37">
      <c r="A373" s="1219" t="s">
        <v>408</v>
      </c>
      <c r="B373" s="1219"/>
      <c r="C373" s="1026">
        <v>0</v>
      </c>
      <c r="D373" s="1262">
        <v>-30</v>
      </c>
      <c r="E373" s="1041" t="s">
        <v>374</v>
      </c>
      <c r="F373" s="1203">
        <f>ROUND(D373*$C373/100,0)</f>
        <v>0</v>
      </c>
      <c r="G373" s="1262">
        <v>-30</v>
      </c>
      <c r="H373" s="1009" t="s">
        <v>374</v>
      </c>
      <c r="I373" s="1203">
        <f>ROUND(G373*C373/100,0)</f>
        <v>0</v>
      </c>
      <c r="J373" s="1262">
        <f>$J$172</f>
        <v>-30</v>
      </c>
      <c r="K373" s="1009" t="s">
        <v>374</v>
      </c>
      <c r="L373" s="1203">
        <f>ROUND(J373*$C373/100,0)</f>
        <v>0</v>
      </c>
      <c r="N373" s="1185"/>
      <c r="O373" s="1185"/>
      <c r="P373" s="1186"/>
      <c r="Q373" s="1186"/>
      <c r="R373" s="1186"/>
      <c r="S373" s="1185"/>
      <c r="T373" s="1185"/>
      <c r="U373" s="1185"/>
      <c r="V373" s="1185"/>
      <c r="W373" s="1185"/>
      <c r="X373" s="1185"/>
      <c r="Y373" s="1185"/>
      <c r="Z373" s="1185"/>
      <c r="AA373" s="1185"/>
      <c r="AB373" s="1185"/>
      <c r="AC373" s="1185"/>
      <c r="AD373" s="1185"/>
      <c r="AE373" s="1185"/>
      <c r="AF373" s="1185"/>
      <c r="AG373" s="1185"/>
      <c r="AH373" s="1185"/>
      <c r="AI373" s="1185"/>
      <c r="AK373" s="1204"/>
    </row>
    <row r="374" spans="1:37">
      <c r="A374" s="1219" t="s">
        <v>381</v>
      </c>
      <c r="B374" s="1219"/>
      <c r="C374" s="1026">
        <f>SUM(C359:C361)</f>
        <v>33313</v>
      </c>
      <c r="D374" s="1255"/>
      <c r="E374" s="1203"/>
      <c r="F374" s="1203">
        <f>SUM(F353:F373)</f>
        <v>6790</v>
      </c>
      <c r="G374" s="1255"/>
      <c r="H374" s="1009"/>
      <c r="I374" s="1203">
        <f>SUM(I353:I373)</f>
        <v>7747</v>
      </c>
      <c r="J374" s="1255"/>
      <c r="K374" s="1009"/>
      <c r="L374" s="1203">
        <f>SUM(L353:L373)</f>
        <v>7945</v>
      </c>
      <c r="N374" s="1185"/>
      <c r="O374" s="1185"/>
      <c r="P374" s="1186"/>
      <c r="Q374" s="1186"/>
      <c r="R374" s="1186"/>
      <c r="S374" s="1185"/>
      <c r="T374" s="1185"/>
      <c r="U374" s="1185"/>
      <c r="V374" s="1185"/>
      <c r="W374" s="1185"/>
      <c r="X374" s="1185"/>
      <c r="Y374" s="1185"/>
      <c r="Z374" s="1185"/>
      <c r="AA374" s="1185"/>
      <c r="AB374" s="1185"/>
      <c r="AC374" s="1185"/>
      <c r="AD374" s="1185"/>
      <c r="AE374" s="1185"/>
      <c r="AF374" s="1185"/>
      <c r="AG374" s="1185"/>
      <c r="AH374" s="1185"/>
      <c r="AI374" s="1185"/>
      <c r="AK374" s="1204"/>
    </row>
    <row r="375" spans="1:37">
      <c r="A375" s="1219" t="s">
        <v>363</v>
      </c>
      <c r="B375" s="1219"/>
      <c r="C375" s="1032">
        <f>'[97]Table 2'!H72</f>
        <v>457.04356388458245</v>
      </c>
      <c r="D375" s="1218"/>
      <c r="E375" s="1218"/>
      <c r="F375" s="1264" t="e">
        <f>#REF!</f>
        <v>#REF!</v>
      </c>
      <c r="G375" s="1218"/>
      <c r="H375" s="1218"/>
      <c r="I375" s="1264">
        <f>'[97]Table 3'!E72</f>
        <v>125.2739508222905</v>
      </c>
      <c r="J375" s="1218"/>
      <c r="K375" s="1218"/>
      <c r="L375" s="1264">
        <f>I375</f>
        <v>125.2739508222905</v>
      </c>
      <c r="N375" s="444"/>
      <c r="O375" s="444"/>
      <c r="P375" s="287"/>
      <c r="Q375" s="1186"/>
      <c r="R375" s="1186"/>
      <c r="S375" s="1185"/>
      <c r="T375" s="1185"/>
      <c r="U375" s="1185"/>
      <c r="V375" s="1185"/>
      <c r="W375" s="1185"/>
      <c r="X375" s="1185"/>
      <c r="Y375" s="1185"/>
      <c r="Z375" s="1185"/>
      <c r="AA375" s="1185"/>
      <c r="AB375" s="1185"/>
      <c r="AC375" s="1185"/>
      <c r="AD375" s="1185"/>
      <c r="AE375" s="1185"/>
      <c r="AF375" s="1185"/>
      <c r="AG375" s="1185"/>
      <c r="AH375" s="1185"/>
      <c r="AI375" s="1185"/>
      <c r="AK375" s="1204"/>
    </row>
    <row r="376" spans="1:37" ht="16.5" thickBot="1">
      <c r="A376" s="1219" t="s">
        <v>382</v>
      </c>
      <c r="B376" s="1219"/>
      <c r="C376" s="1240">
        <f>SUM(C374:C375)</f>
        <v>33770.043563884581</v>
      </c>
      <c r="D376" s="1265"/>
      <c r="E376" s="1266"/>
      <c r="F376" s="1267" t="e">
        <f>F374+F375</f>
        <v>#REF!</v>
      </c>
      <c r="G376" s="1265"/>
      <c r="H376" s="1269"/>
      <c r="I376" s="1267">
        <f>I374+I375</f>
        <v>7872.2739508222903</v>
      </c>
      <c r="J376" s="1265"/>
      <c r="K376" s="1269"/>
      <c r="L376" s="1267">
        <f>L374+L375</f>
        <v>8070.2739508222903</v>
      </c>
      <c r="N376" s="411"/>
      <c r="O376" s="411"/>
      <c r="P376" s="470"/>
      <c r="Q376" s="1186"/>
      <c r="R376" s="1186"/>
      <c r="S376" s="1185"/>
      <c r="T376" s="1185"/>
      <c r="U376" s="1185"/>
      <c r="V376" s="1185"/>
      <c r="W376" s="1185"/>
      <c r="X376" s="1185"/>
      <c r="Y376" s="1185"/>
      <c r="Z376" s="1185"/>
      <c r="AA376" s="1185"/>
      <c r="AB376" s="1185"/>
      <c r="AC376" s="1185"/>
      <c r="AD376" s="1185"/>
      <c r="AE376" s="1185"/>
      <c r="AF376" s="1185"/>
      <c r="AG376" s="1185"/>
      <c r="AH376" s="1185"/>
      <c r="AI376" s="1185"/>
      <c r="AK376" s="1204"/>
    </row>
    <row r="377" spans="1:37" ht="16.5" thickTop="1">
      <c r="A377" s="1219"/>
      <c r="B377" s="1219"/>
      <c r="C377" s="1225"/>
      <c r="D377" s="1261"/>
      <c r="E377" s="1203"/>
      <c r="F377" s="1203"/>
      <c r="G377" s="1261" t="s">
        <v>31</v>
      </c>
      <c r="H377" s="1219"/>
      <c r="I377" s="1203"/>
      <c r="J377" s="1259" t="s">
        <v>31</v>
      </c>
      <c r="K377" s="1219"/>
      <c r="L377" s="1203" t="s">
        <v>31</v>
      </c>
      <c r="N377" s="1185"/>
      <c r="O377" s="1185"/>
      <c r="P377" s="1186"/>
      <c r="Q377" s="1186"/>
      <c r="R377" s="1186"/>
      <c r="S377" s="1185"/>
      <c r="T377" s="1185"/>
      <c r="U377" s="1185"/>
      <c r="V377" s="1185"/>
      <c r="W377" s="1185"/>
      <c r="X377" s="1185"/>
      <c r="Y377" s="1185"/>
      <c r="Z377" s="1185"/>
      <c r="AA377" s="1185"/>
      <c r="AB377" s="1185"/>
      <c r="AC377" s="1185"/>
      <c r="AD377" s="1185"/>
      <c r="AE377" s="1185"/>
      <c r="AF377" s="1185"/>
      <c r="AG377" s="1185"/>
      <c r="AH377" s="1185"/>
      <c r="AI377" s="1185"/>
      <c r="AK377" s="1204"/>
    </row>
    <row r="378" spans="1:37">
      <c r="A378" s="1219"/>
      <c r="B378" s="1219"/>
      <c r="C378" s="1225"/>
      <c r="D378" s="1261"/>
      <c r="E378" s="1203"/>
      <c r="F378" s="1203"/>
      <c r="G378" s="1261" t="s">
        <v>31</v>
      </c>
      <c r="H378" s="1219"/>
      <c r="I378" s="1203"/>
      <c r="J378" s="1259" t="s">
        <v>31</v>
      </c>
      <c r="K378" s="1219"/>
      <c r="L378" s="1203" t="s">
        <v>31</v>
      </c>
      <c r="N378" s="1185"/>
      <c r="O378" s="1185"/>
      <c r="P378" s="1186"/>
      <c r="Q378" s="1186"/>
      <c r="R378" s="1186"/>
      <c r="S378" s="1185"/>
      <c r="T378" s="1185"/>
      <c r="U378" s="1185"/>
      <c r="V378" s="1185"/>
      <c r="W378" s="1185"/>
      <c r="X378" s="1185"/>
      <c r="Y378" s="1185"/>
      <c r="Z378" s="1185"/>
      <c r="AA378" s="1185"/>
      <c r="AB378" s="1185"/>
      <c r="AC378" s="1185"/>
      <c r="AD378" s="1185"/>
      <c r="AE378" s="1185"/>
      <c r="AF378" s="1185"/>
      <c r="AG378" s="1185"/>
      <c r="AH378" s="1185"/>
      <c r="AI378" s="1185"/>
      <c r="AK378" s="1204"/>
    </row>
    <row r="379" spans="1:37">
      <c r="A379" s="1224" t="s">
        <v>417</v>
      </c>
      <c r="B379" s="1219"/>
      <c r="C379" s="1219"/>
      <c r="D379" s="1203"/>
      <c r="E379" s="1203"/>
      <c r="F379" s="1219" t="s">
        <v>31</v>
      </c>
      <c r="G379" s="1203"/>
      <c r="H379" s="1219"/>
      <c r="I379" s="1219"/>
      <c r="J379" s="1203"/>
      <c r="K379" s="1219"/>
      <c r="L379" s="1219"/>
      <c r="N379" s="1185"/>
      <c r="O379" s="1185"/>
      <c r="P379" s="1186"/>
      <c r="Q379" s="1186"/>
      <c r="R379" s="1186"/>
      <c r="S379" s="1185"/>
      <c r="T379" s="1185"/>
      <c r="U379" s="1185"/>
      <c r="V379" s="1185"/>
      <c r="W379" s="1185"/>
      <c r="X379" s="1185"/>
      <c r="Y379" s="1185"/>
      <c r="Z379" s="1185"/>
      <c r="AA379" s="1185"/>
      <c r="AB379" s="1185"/>
      <c r="AC379" s="1185"/>
      <c r="AD379" s="1185"/>
      <c r="AE379" s="1185"/>
      <c r="AF379" s="1185"/>
      <c r="AG379" s="1185"/>
      <c r="AH379" s="1185"/>
      <c r="AI379" s="1185"/>
      <c r="AK379" s="1204"/>
    </row>
    <row r="380" spans="1:37">
      <c r="A380" s="1219" t="s">
        <v>410</v>
      </c>
      <c r="B380" s="1219"/>
      <c r="C380" s="1219"/>
      <c r="D380" s="1203"/>
      <c r="E380" s="1203"/>
      <c r="F380" s="1219"/>
      <c r="G380" s="1203"/>
      <c r="H380" s="1219"/>
      <c r="I380" s="1219"/>
      <c r="J380" s="1203"/>
      <c r="K380" s="1219"/>
      <c r="L380" s="1219"/>
      <c r="N380" s="1185"/>
      <c r="O380" s="1185"/>
      <c r="P380" s="1186"/>
      <c r="Q380" s="1186"/>
      <c r="R380" s="1186"/>
      <c r="S380" s="1185"/>
      <c r="T380" s="1185"/>
      <c r="U380" s="1185"/>
      <c r="V380" s="1185"/>
      <c r="W380" s="1185"/>
      <c r="X380" s="1185"/>
      <c r="Y380" s="1185"/>
      <c r="Z380" s="1185"/>
      <c r="AA380" s="1185"/>
      <c r="AB380" s="1185"/>
      <c r="AC380" s="1185"/>
      <c r="AD380" s="1185"/>
      <c r="AE380" s="1185"/>
      <c r="AF380" s="1185"/>
      <c r="AG380" s="1185"/>
      <c r="AH380" s="1185"/>
      <c r="AI380" s="1185"/>
    </row>
    <row r="381" spans="1:37">
      <c r="A381" s="1219" t="s">
        <v>418</v>
      </c>
      <c r="B381" s="1219"/>
      <c r="C381" s="1219"/>
      <c r="D381" s="1203"/>
      <c r="E381" s="1203"/>
      <c r="F381" s="1219"/>
      <c r="G381" s="1203"/>
      <c r="H381" s="1219"/>
      <c r="I381" s="1219"/>
      <c r="J381" s="1203"/>
      <c r="K381" s="1219"/>
      <c r="L381" s="1219"/>
      <c r="N381" s="1185"/>
      <c r="O381" s="1185"/>
      <c r="P381" s="1186"/>
      <c r="Q381" s="1186"/>
      <c r="R381" s="1186"/>
      <c r="S381" s="1185"/>
      <c r="T381" s="1185"/>
      <c r="U381" s="1185"/>
      <c r="V381" s="1185"/>
      <c r="W381" s="1185"/>
      <c r="X381" s="1185"/>
      <c r="Y381" s="1185"/>
      <c r="Z381" s="1185"/>
      <c r="AA381" s="1185"/>
      <c r="AB381" s="1185"/>
      <c r="AC381" s="1185"/>
      <c r="AD381" s="1185"/>
      <c r="AE381" s="1185"/>
      <c r="AF381" s="1185"/>
      <c r="AG381" s="1185"/>
      <c r="AH381" s="1185"/>
      <c r="AI381" s="1185"/>
    </row>
    <row r="382" spans="1:37">
      <c r="A382" s="1219" t="s">
        <v>393</v>
      </c>
      <c r="B382" s="1219"/>
      <c r="C382" s="1026"/>
      <c r="D382" s="1203"/>
      <c r="E382" s="1203"/>
      <c r="F382" s="1219"/>
      <c r="G382" s="1203"/>
      <c r="H382" s="1219"/>
      <c r="I382" s="1219"/>
      <c r="J382" s="1203"/>
      <c r="K382" s="1219"/>
      <c r="L382" s="1219"/>
      <c r="N382" s="1185"/>
      <c r="O382" s="1185"/>
      <c r="P382" s="1186"/>
      <c r="Q382" s="1186"/>
      <c r="R382" s="1186"/>
      <c r="S382" s="1185"/>
      <c r="T382" s="1185"/>
      <c r="U382" s="1185"/>
      <c r="V382" s="1185"/>
      <c r="W382" s="1185"/>
      <c r="X382" s="1185"/>
      <c r="Y382" s="1185"/>
      <c r="Z382" s="1185"/>
      <c r="AA382" s="1185"/>
      <c r="AB382" s="1185"/>
      <c r="AC382" s="1185"/>
      <c r="AD382" s="1185"/>
      <c r="AE382" s="1185"/>
      <c r="AF382" s="1185"/>
      <c r="AG382" s="1185"/>
      <c r="AH382" s="1185"/>
      <c r="AI382" s="1185"/>
    </row>
    <row r="383" spans="1:37">
      <c r="A383" s="1219" t="s">
        <v>390</v>
      </c>
      <c r="B383" s="1219"/>
      <c r="C383" s="1026">
        <f t="shared" ref="C383:C392" si="50">C412+C441</f>
        <v>1</v>
      </c>
      <c r="D383" s="1229">
        <v>91.679999999999993</v>
      </c>
      <c r="E383" s="1041"/>
      <c r="F383" s="1203">
        <f>F412+F441</f>
        <v>92</v>
      </c>
      <c r="G383" s="1229">
        <v>104.52000000000001</v>
      </c>
      <c r="H383" s="1009"/>
      <c r="I383" s="1203">
        <f>I412+I441</f>
        <v>105</v>
      </c>
      <c r="J383" s="1229">
        <f>$J$148</f>
        <v>104.52000000000001</v>
      </c>
      <c r="K383" s="1009"/>
      <c r="L383" s="1203">
        <f>L412+L441</f>
        <v>105</v>
      </c>
      <c r="N383" s="1185"/>
      <c r="O383" s="1185"/>
      <c r="P383" s="1186"/>
      <c r="Q383" s="1186"/>
      <c r="R383" s="1186"/>
      <c r="S383" s="1185"/>
      <c r="T383" s="1185"/>
      <c r="U383" s="1185"/>
      <c r="V383" s="1185"/>
      <c r="W383" s="1185"/>
      <c r="X383" s="1185"/>
      <c r="Y383" s="1185"/>
      <c r="Z383" s="1185"/>
      <c r="AA383" s="1185"/>
      <c r="AB383" s="1185"/>
      <c r="AC383" s="1185"/>
      <c r="AD383" s="1185"/>
      <c r="AE383" s="1185"/>
      <c r="AF383" s="1185"/>
      <c r="AG383" s="1185"/>
      <c r="AH383" s="1185"/>
      <c r="AI383" s="1185"/>
    </row>
    <row r="384" spans="1:37">
      <c r="A384" s="1219" t="s">
        <v>391</v>
      </c>
      <c r="B384" s="1219"/>
      <c r="C384" s="1026">
        <f t="shared" si="50"/>
        <v>88.747945205479496</v>
      </c>
      <c r="D384" s="1229">
        <v>136.32</v>
      </c>
      <c r="E384" s="1249"/>
      <c r="F384" s="1203">
        <f>F413+F442</f>
        <v>12098</v>
      </c>
      <c r="G384" s="1229">
        <v>155.76</v>
      </c>
      <c r="H384" s="1250"/>
      <c r="I384" s="1203">
        <f>I413+I442</f>
        <v>13824</v>
      </c>
      <c r="J384" s="1229">
        <f>$J$149</f>
        <v>155.76</v>
      </c>
      <c r="K384" s="1250"/>
      <c r="L384" s="1203">
        <f>L413+L442</f>
        <v>13824</v>
      </c>
      <c r="N384" s="1185"/>
      <c r="O384" s="1185"/>
      <c r="P384" s="1186"/>
      <c r="Q384" s="1186"/>
      <c r="R384" s="1186"/>
      <c r="S384" s="1185"/>
      <c r="T384" s="1185"/>
      <c r="U384" s="1185"/>
      <c r="V384" s="1185"/>
      <c r="W384" s="1185"/>
      <c r="X384" s="1185"/>
      <c r="Y384" s="1185"/>
      <c r="Z384" s="1185"/>
      <c r="AA384" s="1185"/>
      <c r="AB384" s="1185"/>
      <c r="AC384" s="1185"/>
      <c r="AD384" s="1185"/>
      <c r="AE384" s="1185"/>
      <c r="AF384" s="1185"/>
      <c r="AG384" s="1185"/>
      <c r="AH384" s="1185"/>
      <c r="AI384" s="1185"/>
    </row>
    <row r="385" spans="1:35">
      <c r="A385" s="1219" t="s">
        <v>392</v>
      </c>
      <c r="B385" s="1219"/>
      <c r="C385" s="1026">
        <f t="shared" si="50"/>
        <v>3368.9150684931501</v>
      </c>
      <c r="D385" s="1229">
        <v>9.66</v>
      </c>
      <c r="E385" s="1249"/>
      <c r="F385" s="1203">
        <f>F414+F443</f>
        <v>32544</v>
      </c>
      <c r="G385" s="1229">
        <v>11.040000000000001</v>
      </c>
      <c r="H385" s="1250"/>
      <c r="I385" s="1203">
        <f>I414+I443</f>
        <v>37193</v>
      </c>
      <c r="J385" s="1229">
        <f>$J$150</f>
        <v>11.040000000000001</v>
      </c>
      <c r="K385" s="1250"/>
      <c r="L385" s="1203">
        <f>L414+L443</f>
        <v>37193</v>
      </c>
      <c r="N385" s="1185"/>
      <c r="O385" s="1185"/>
      <c r="P385" s="1186"/>
      <c r="Q385" s="1186"/>
      <c r="R385" s="1186"/>
      <c r="S385" s="1185"/>
      <c r="T385" s="1185"/>
      <c r="U385" s="1185"/>
      <c r="V385" s="1185"/>
      <c r="W385" s="1185"/>
      <c r="X385" s="1185"/>
      <c r="Y385" s="1185"/>
      <c r="Z385" s="1185"/>
      <c r="AA385" s="1185"/>
      <c r="AB385" s="1185"/>
      <c r="AC385" s="1185"/>
      <c r="AD385" s="1185"/>
      <c r="AE385" s="1185"/>
      <c r="AF385" s="1185"/>
      <c r="AG385" s="1185"/>
      <c r="AH385" s="1185"/>
      <c r="AI385" s="1185"/>
    </row>
    <row r="386" spans="1:35">
      <c r="A386" s="1219" t="s">
        <v>394</v>
      </c>
      <c r="B386" s="1219"/>
      <c r="C386" s="1026">
        <f t="shared" si="50"/>
        <v>89.747945205479496</v>
      </c>
      <c r="D386" s="1229"/>
      <c r="E386" s="1041"/>
      <c r="F386" s="1203"/>
      <c r="G386" s="1229"/>
      <c r="H386" s="1009"/>
      <c r="I386" s="1203"/>
      <c r="J386" s="1229"/>
      <c r="K386" s="1009"/>
      <c r="L386" s="1203"/>
      <c r="N386" s="1185"/>
      <c r="O386" s="1185"/>
      <c r="P386" s="1186"/>
      <c r="Q386" s="1186"/>
      <c r="R386" s="1186"/>
      <c r="S386" s="1185"/>
      <c r="T386" s="1185"/>
      <c r="U386" s="1185"/>
      <c r="V386" s="1185"/>
      <c r="W386" s="1185"/>
      <c r="X386" s="1185"/>
      <c r="Y386" s="1185"/>
      <c r="Z386" s="1185"/>
      <c r="AA386" s="1185"/>
      <c r="AB386" s="1185"/>
      <c r="AC386" s="1185"/>
      <c r="AD386" s="1185"/>
      <c r="AE386" s="1185"/>
      <c r="AF386" s="1185"/>
      <c r="AG386" s="1185"/>
      <c r="AH386" s="1185"/>
      <c r="AI386" s="1185"/>
    </row>
    <row r="387" spans="1:35">
      <c r="A387" s="1219" t="s">
        <v>419</v>
      </c>
      <c r="B387" s="1219"/>
      <c r="C387" s="1026">
        <f t="shared" si="50"/>
        <v>1055</v>
      </c>
      <c r="D387" s="1229"/>
      <c r="E387" s="1041"/>
      <c r="F387" s="1203"/>
      <c r="G387" s="1229"/>
      <c r="H387" s="1009"/>
      <c r="I387" s="1203"/>
      <c r="J387" s="1229"/>
      <c r="K387" s="1009"/>
      <c r="L387" s="1203"/>
      <c r="N387" s="1185"/>
      <c r="O387" s="1185"/>
      <c r="P387" s="1186"/>
      <c r="Q387" s="1186"/>
      <c r="R387" s="1186"/>
      <c r="S387" s="1185"/>
      <c r="T387" s="1185"/>
      <c r="U387" s="1185"/>
      <c r="V387" s="1185"/>
      <c r="W387" s="1185"/>
      <c r="X387" s="1185"/>
      <c r="Y387" s="1185"/>
      <c r="Z387" s="1185"/>
      <c r="AA387" s="1185"/>
      <c r="AB387" s="1185"/>
      <c r="AC387" s="1185"/>
      <c r="AD387" s="1185"/>
      <c r="AE387" s="1185"/>
      <c r="AF387" s="1185"/>
      <c r="AG387" s="1185"/>
      <c r="AH387" s="1185"/>
      <c r="AI387" s="1185"/>
    </row>
    <row r="388" spans="1:35">
      <c r="A388" s="1219" t="s">
        <v>395</v>
      </c>
      <c r="B388" s="1219"/>
      <c r="C388" s="1026">
        <f t="shared" si="50"/>
        <v>12896</v>
      </c>
      <c r="D388" s="1261">
        <v>2.98</v>
      </c>
      <c r="E388" s="1009"/>
      <c r="F388" s="1203">
        <f>F417+F446</f>
        <v>38430</v>
      </c>
      <c r="G388" s="1261">
        <v>3.4</v>
      </c>
      <c r="H388" s="1009"/>
      <c r="I388" s="1203">
        <f>I417+I446</f>
        <v>43846</v>
      </c>
      <c r="J388" s="1261">
        <f>$J$157</f>
        <v>3.61</v>
      </c>
      <c r="K388" s="1009"/>
      <c r="L388" s="1203">
        <f>L417+L446</f>
        <v>46554</v>
      </c>
      <c r="N388" s="1185"/>
      <c r="O388" s="1185"/>
      <c r="P388" s="1186"/>
      <c r="Q388" s="1186"/>
      <c r="R388" s="1186"/>
      <c r="S388" s="1185"/>
      <c r="T388" s="1185"/>
      <c r="U388" s="1185"/>
      <c r="V388" s="1185"/>
      <c r="W388" s="1185"/>
      <c r="X388" s="1185"/>
      <c r="Y388" s="1185"/>
      <c r="Z388" s="1185"/>
      <c r="AA388" s="1185"/>
      <c r="AB388" s="1185"/>
      <c r="AC388" s="1185"/>
      <c r="AD388" s="1185"/>
      <c r="AE388" s="1185"/>
      <c r="AF388" s="1185"/>
      <c r="AG388" s="1185"/>
      <c r="AH388" s="1185"/>
      <c r="AI388" s="1185"/>
    </row>
    <row r="389" spans="1:35">
      <c r="A389" s="1219" t="s">
        <v>397</v>
      </c>
      <c r="B389" s="1219"/>
      <c r="C389" s="1026">
        <f t="shared" si="50"/>
        <v>111429</v>
      </c>
      <c r="D389" s="1230">
        <v>8.5489999999999995</v>
      </c>
      <c r="E389" s="1009" t="s">
        <v>374</v>
      </c>
      <c r="F389" s="1203">
        <f>F418+F447</f>
        <v>9526</v>
      </c>
      <c r="G389" s="1230">
        <v>9.766</v>
      </c>
      <c r="H389" s="1009" t="s">
        <v>374</v>
      </c>
      <c r="I389" s="1203">
        <f>I418+I447</f>
        <v>10883</v>
      </c>
      <c r="J389" s="1230">
        <f>$J$158</f>
        <v>10.359</v>
      </c>
      <c r="K389" s="1009" t="s">
        <v>374</v>
      </c>
      <c r="L389" s="1203">
        <f>L418+L447</f>
        <v>11543</v>
      </c>
      <c r="N389" s="1185"/>
      <c r="O389" s="1185"/>
      <c r="P389" s="1186"/>
      <c r="Q389" s="1186"/>
      <c r="R389" s="1186"/>
      <c r="S389" s="1185"/>
      <c r="T389" s="1185"/>
      <c r="U389" s="1185"/>
      <c r="V389" s="1185"/>
      <c r="W389" s="1185"/>
      <c r="X389" s="1185"/>
      <c r="Y389" s="1185"/>
      <c r="Z389" s="1185"/>
      <c r="AA389" s="1185"/>
      <c r="AB389" s="1185"/>
      <c r="AC389" s="1185"/>
      <c r="AD389" s="1185"/>
      <c r="AE389" s="1185"/>
      <c r="AF389" s="1185"/>
      <c r="AG389" s="1185"/>
      <c r="AH389" s="1185"/>
      <c r="AI389" s="1185"/>
    </row>
    <row r="390" spans="1:35">
      <c r="A390" s="1219" t="s">
        <v>398</v>
      </c>
      <c r="B390" s="1219"/>
      <c r="C390" s="1026">
        <f t="shared" si="50"/>
        <v>111236</v>
      </c>
      <c r="D390" s="1230">
        <v>5.9020000000000001</v>
      </c>
      <c r="E390" s="1009" t="s">
        <v>374</v>
      </c>
      <c r="F390" s="1203">
        <f>F419+F448</f>
        <v>6565</v>
      </c>
      <c r="G390" s="1230">
        <v>6.7460000000000004</v>
      </c>
      <c r="H390" s="1009" t="s">
        <v>374</v>
      </c>
      <c r="I390" s="1203">
        <f>I419+I448</f>
        <v>7504</v>
      </c>
      <c r="J390" s="1230">
        <f>$J$159</f>
        <v>7.1559999999999997</v>
      </c>
      <c r="K390" s="1009" t="s">
        <v>374</v>
      </c>
      <c r="L390" s="1203">
        <f>L419+L448</f>
        <v>7960</v>
      </c>
      <c r="N390" s="1185"/>
      <c r="O390" s="1185"/>
      <c r="P390" s="1186"/>
      <c r="Q390" s="1186"/>
      <c r="R390" s="1186"/>
      <c r="S390" s="1185"/>
      <c r="T390" s="1185"/>
      <c r="U390" s="1185"/>
      <c r="V390" s="1185"/>
      <c r="W390" s="1185"/>
      <c r="X390" s="1185"/>
      <c r="Y390" s="1185"/>
      <c r="Z390" s="1185"/>
      <c r="AA390" s="1185"/>
      <c r="AB390" s="1185"/>
      <c r="AC390" s="1185"/>
      <c r="AD390" s="1185"/>
      <c r="AE390" s="1185"/>
      <c r="AF390" s="1185"/>
      <c r="AG390" s="1185"/>
      <c r="AH390" s="1185"/>
      <c r="AI390" s="1185"/>
    </row>
    <row r="391" spans="1:35">
      <c r="A391" s="1219" t="s">
        <v>399</v>
      </c>
      <c r="B391" s="1219"/>
      <c r="C391" s="1026">
        <f t="shared" si="50"/>
        <v>134813</v>
      </c>
      <c r="D391" s="1230">
        <v>5.0839999999999996</v>
      </c>
      <c r="E391" s="1009" t="s">
        <v>374</v>
      </c>
      <c r="F391" s="1203">
        <f>F420+F449</f>
        <v>6854</v>
      </c>
      <c r="G391" s="1230">
        <v>5.8120000000000003</v>
      </c>
      <c r="H391" s="1009" t="s">
        <v>374</v>
      </c>
      <c r="I391" s="1203">
        <f>I420+I449</f>
        <v>7835</v>
      </c>
      <c r="J391" s="1230">
        <f>$J$160</f>
        <v>6.1660000000000004</v>
      </c>
      <c r="K391" s="1009" t="s">
        <v>374</v>
      </c>
      <c r="L391" s="1203">
        <f>L420+L449</f>
        <v>8313</v>
      </c>
      <c r="N391" s="1185"/>
      <c r="O391" s="1185"/>
      <c r="P391" s="1186"/>
      <c r="Q391" s="1186"/>
      <c r="R391" s="1186"/>
      <c r="S391" s="1185"/>
      <c r="T391" s="1185"/>
      <c r="U391" s="1185"/>
      <c r="V391" s="1185"/>
      <c r="W391" s="1185"/>
      <c r="X391" s="1185"/>
      <c r="Y391" s="1185"/>
      <c r="Z391" s="1185"/>
      <c r="AA391" s="1185"/>
      <c r="AB391" s="1185"/>
      <c r="AC391" s="1185"/>
      <c r="AD391" s="1185"/>
      <c r="AE391" s="1185"/>
      <c r="AF391" s="1185"/>
      <c r="AG391" s="1185"/>
      <c r="AH391" s="1185"/>
      <c r="AI391" s="1185"/>
    </row>
    <row r="392" spans="1:35">
      <c r="A392" s="1219" t="s">
        <v>400</v>
      </c>
      <c r="B392" s="1219"/>
      <c r="C392" s="1026">
        <f t="shared" si="50"/>
        <v>1416.98888888889</v>
      </c>
      <c r="D392" s="1255">
        <v>50</v>
      </c>
      <c r="E392" s="1041" t="s">
        <v>374</v>
      </c>
      <c r="F392" s="1203">
        <f>F421+F450</f>
        <v>708</v>
      </c>
      <c r="G392" s="1255">
        <v>56</v>
      </c>
      <c r="H392" s="1009" t="s">
        <v>374</v>
      </c>
      <c r="I392" s="1203">
        <f>I421+I450</f>
        <v>794</v>
      </c>
      <c r="J392" s="1255">
        <f>$J$161</f>
        <v>56</v>
      </c>
      <c r="K392" s="1009" t="s">
        <v>374</v>
      </c>
      <c r="L392" s="1203">
        <f>L421+L450</f>
        <v>794</v>
      </c>
      <c r="N392" s="1185"/>
      <c r="O392" s="1185"/>
      <c r="P392" s="1186"/>
      <c r="Q392" s="1186"/>
      <c r="R392" s="1186"/>
      <c r="S392" s="1185"/>
      <c r="T392" s="1185"/>
      <c r="U392" s="1185"/>
      <c r="V392" s="1185"/>
      <c r="W392" s="1185"/>
      <c r="X392" s="1185"/>
      <c r="Y392" s="1185"/>
      <c r="Z392" s="1185"/>
      <c r="AA392" s="1185"/>
      <c r="AB392" s="1185"/>
      <c r="AC392" s="1185"/>
      <c r="AD392" s="1185"/>
      <c r="AE392" s="1185"/>
      <c r="AF392" s="1185"/>
      <c r="AG392" s="1185"/>
      <c r="AH392" s="1185"/>
      <c r="AI392" s="1185"/>
    </row>
    <row r="393" spans="1:35">
      <c r="A393" s="1256" t="s">
        <v>401</v>
      </c>
      <c r="B393" s="1219"/>
      <c r="C393" s="1026"/>
      <c r="D393" s="1257">
        <v>-0.01</v>
      </c>
      <c r="E393" s="1041"/>
      <c r="F393" s="1203"/>
      <c r="G393" s="1257">
        <v>-0.01</v>
      </c>
      <c r="H393" s="1009"/>
      <c r="I393" s="1203"/>
      <c r="J393" s="1257">
        <v>-0.01</v>
      </c>
      <c r="K393" s="1009"/>
      <c r="L393" s="1203"/>
      <c r="N393" s="1185"/>
      <c r="O393" s="1185"/>
      <c r="P393" s="1186"/>
      <c r="Q393" s="1186"/>
      <c r="R393" s="1186"/>
      <c r="S393" s="1185"/>
      <c r="T393" s="1185"/>
      <c r="U393" s="1185"/>
      <c r="V393" s="1185"/>
      <c r="W393" s="1185"/>
      <c r="X393" s="1185"/>
      <c r="Y393" s="1185"/>
      <c r="Z393" s="1185"/>
      <c r="AA393" s="1185"/>
      <c r="AB393" s="1185"/>
      <c r="AC393" s="1185"/>
      <c r="AD393" s="1185"/>
      <c r="AE393" s="1185"/>
      <c r="AF393" s="1185"/>
      <c r="AG393" s="1185"/>
      <c r="AH393" s="1185"/>
      <c r="AI393" s="1185"/>
    </row>
    <row r="394" spans="1:35">
      <c r="A394" s="1219" t="s">
        <v>390</v>
      </c>
      <c r="B394" s="1219"/>
      <c r="C394" s="1026">
        <v>0</v>
      </c>
      <c r="D394" s="1259">
        <v>91.679999999999993</v>
      </c>
      <c r="E394" s="1041"/>
      <c r="F394" s="1203">
        <f t="shared" ref="F394:F405" si="51">F423+F452</f>
        <v>0</v>
      </c>
      <c r="G394" s="1259">
        <v>104.52000000000001</v>
      </c>
      <c r="H394" s="1041"/>
      <c r="I394" s="1203">
        <f t="shared" ref="I394:I405" si="52">I423+I452</f>
        <v>0</v>
      </c>
      <c r="J394" s="1259">
        <f>J383</f>
        <v>104.52000000000001</v>
      </c>
      <c r="K394" s="1041"/>
      <c r="L394" s="1203">
        <f t="shared" ref="L394:L404" si="53">L423+L452</f>
        <v>0</v>
      </c>
      <c r="N394" s="1185"/>
      <c r="O394" s="1185"/>
      <c r="P394" s="1186"/>
      <c r="Q394" s="1186"/>
      <c r="R394" s="1186"/>
      <c r="S394" s="1185"/>
      <c r="T394" s="1185"/>
      <c r="U394" s="1185"/>
      <c r="V394" s="1185"/>
      <c r="W394" s="1185"/>
      <c r="X394" s="1185"/>
      <c r="Y394" s="1185"/>
      <c r="Z394" s="1185"/>
      <c r="AA394" s="1185"/>
      <c r="AB394" s="1185"/>
      <c r="AC394" s="1185"/>
      <c r="AD394" s="1185"/>
      <c r="AE394" s="1185"/>
      <c r="AF394" s="1185"/>
      <c r="AG394" s="1185"/>
      <c r="AH394" s="1185"/>
      <c r="AI394" s="1185"/>
    </row>
    <row r="395" spans="1:35">
      <c r="A395" s="1219" t="s">
        <v>391</v>
      </c>
      <c r="B395" s="1219"/>
      <c r="C395" s="1026">
        <v>0</v>
      </c>
      <c r="D395" s="1259">
        <v>136.32</v>
      </c>
      <c r="E395" s="1041"/>
      <c r="F395" s="1203">
        <f t="shared" si="51"/>
        <v>0</v>
      </c>
      <c r="G395" s="1259">
        <v>155.76</v>
      </c>
      <c r="H395" s="1041"/>
      <c r="I395" s="1203">
        <f t="shared" si="52"/>
        <v>0</v>
      </c>
      <c r="J395" s="1259">
        <f>J384</f>
        <v>155.76</v>
      </c>
      <c r="K395" s="1041"/>
      <c r="L395" s="1203">
        <f t="shared" si="53"/>
        <v>0</v>
      </c>
      <c r="N395" s="1185"/>
      <c r="O395" s="1185"/>
      <c r="P395" s="1186"/>
      <c r="Q395" s="1186"/>
      <c r="R395" s="1186"/>
      <c r="S395" s="1185"/>
      <c r="T395" s="1185"/>
      <c r="U395" s="1185"/>
      <c r="V395" s="1185"/>
      <c r="W395" s="1185"/>
      <c r="X395" s="1185"/>
      <c r="Y395" s="1185"/>
      <c r="Z395" s="1185"/>
      <c r="AA395" s="1185"/>
      <c r="AB395" s="1185"/>
      <c r="AC395" s="1185"/>
      <c r="AD395" s="1185"/>
      <c r="AE395" s="1185"/>
      <c r="AF395" s="1185"/>
      <c r="AG395" s="1185"/>
      <c r="AH395" s="1185"/>
      <c r="AI395" s="1185"/>
    </row>
    <row r="396" spans="1:35">
      <c r="A396" s="1219" t="s">
        <v>402</v>
      </c>
      <c r="B396" s="1219"/>
      <c r="C396" s="1026">
        <v>0</v>
      </c>
      <c r="D396" s="1259">
        <v>9.66</v>
      </c>
      <c r="E396" s="1041"/>
      <c r="F396" s="1203">
        <f t="shared" si="51"/>
        <v>0</v>
      </c>
      <c r="G396" s="1259">
        <v>11.040000000000001</v>
      </c>
      <c r="H396" s="1041"/>
      <c r="I396" s="1203">
        <f t="shared" si="52"/>
        <v>0</v>
      </c>
      <c r="J396" s="1259">
        <f>J385</f>
        <v>11.040000000000001</v>
      </c>
      <c r="K396" s="1041"/>
      <c r="L396" s="1203">
        <f t="shared" si="53"/>
        <v>0</v>
      </c>
      <c r="N396" s="1185"/>
      <c r="O396" s="1185"/>
      <c r="P396" s="1186"/>
      <c r="Q396" s="1186"/>
      <c r="R396" s="1186"/>
      <c r="S396" s="1185"/>
      <c r="T396" s="1185"/>
      <c r="U396" s="1185"/>
      <c r="V396" s="1185"/>
      <c r="W396" s="1185"/>
      <c r="X396" s="1185"/>
      <c r="Y396" s="1185"/>
      <c r="Z396" s="1185"/>
      <c r="AA396" s="1185"/>
      <c r="AB396" s="1185"/>
      <c r="AC396" s="1185"/>
      <c r="AD396" s="1185"/>
      <c r="AE396" s="1185"/>
      <c r="AF396" s="1185"/>
      <c r="AG396" s="1185"/>
      <c r="AH396" s="1185"/>
      <c r="AI396" s="1185"/>
    </row>
    <row r="397" spans="1:35">
      <c r="A397" s="1219" t="s">
        <v>403</v>
      </c>
      <c r="B397" s="1219"/>
      <c r="C397" s="1026">
        <v>0</v>
      </c>
      <c r="D397" s="1259">
        <v>2.98</v>
      </c>
      <c r="E397" s="1009"/>
      <c r="F397" s="1203">
        <f t="shared" si="51"/>
        <v>0</v>
      </c>
      <c r="G397" s="1259">
        <v>3.4</v>
      </c>
      <c r="H397" s="1009"/>
      <c r="I397" s="1203">
        <f t="shared" si="52"/>
        <v>0</v>
      </c>
      <c r="J397" s="1259">
        <f>J388</f>
        <v>3.61</v>
      </c>
      <c r="K397" s="1009"/>
      <c r="L397" s="1203">
        <f t="shared" si="53"/>
        <v>0</v>
      </c>
      <c r="N397" s="1185"/>
      <c r="O397" s="1185"/>
      <c r="P397" s="1186"/>
      <c r="Q397" s="1186"/>
      <c r="R397" s="1186"/>
      <c r="S397" s="1185"/>
      <c r="T397" s="1185"/>
      <c r="U397" s="1185"/>
      <c r="V397" s="1185"/>
      <c r="W397" s="1185"/>
      <c r="X397" s="1185"/>
      <c r="Y397" s="1185"/>
      <c r="Z397" s="1185"/>
      <c r="AA397" s="1185"/>
      <c r="AB397" s="1185"/>
      <c r="AC397" s="1185"/>
      <c r="AD397" s="1185"/>
      <c r="AE397" s="1185"/>
      <c r="AF397" s="1185"/>
      <c r="AG397" s="1185"/>
      <c r="AH397" s="1185"/>
      <c r="AI397" s="1185"/>
    </row>
    <row r="398" spans="1:35">
      <c r="A398" s="1219" t="s">
        <v>405</v>
      </c>
      <c r="B398" s="1219"/>
      <c r="C398" s="1026">
        <v>0</v>
      </c>
      <c r="D398" s="1070">
        <v>8.5489999999999995</v>
      </c>
      <c r="E398" s="1009" t="s">
        <v>374</v>
      </c>
      <c r="F398" s="1203">
        <f t="shared" si="51"/>
        <v>0</v>
      </c>
      <c r="G398" s="1070">
        <v>9.766</v>
      </c>
      <c r="H398" s="1009" t="s">
        <v>374</v>
      </c>
      <c r="I398" s="1203">
        <f t="shared" si="52"/>
        <v>0</v>
      </c>
      <c r="J398" s="1070">
        <f>J389</f>
        <v>10.359</v>
      </c>
      <c r="K398" s="1009" t="s">
        <v>374</v>
      </c>
      <c r="L398" s="1203">
        <f t="shared" si="53"/>
        <v>0</v>
      </c>
      <c r="N398" s="1185"/>
      <c r="O398" s="1185"/>
      <c r="P398" s="1186"/>
      <c r="Q398" s="1186"/>
      <c r="R398" s="1186"/>
      <c r="S398" s="1185"/>
      <c r="T398" s="1185"/>
      <c r="U398" s="1185"/>
      <c r="V398" s="1185"/>
      <c r="W398" s="1185"/>
      <c r="X398" s="1185"/>
      <c r="Y398" s="1185"/>
      <c r="Z398" s="1185"/>
      <c r="AA398" s="1185"/>
      <c r="AB398" s="1185"/>
      <c r="AC398" s="1185"/>
      <c r="AD398" s="1185"/>
      <c r="AE398" s="1185"/>
      <c r="AF398" s="1185"/>
      <c r="AG398" s="1185"/>
      <c r="AH398" s="1185"/>
      <c r="AI398" s="1185"/>
    </row>
    <row r="399" spans="1:35">
      <c r="A399" s="1219" t="s">
        <v>398</v>
      </c>
      <c r="B399" s="1219"/>
      <c r="C399" s="1026">
        <v>0</v>
      </c>
      <c r="D399" s="1070">
        <v>5.9020000000000001</v>
      </c>
      <c r="E399" s="1009" t="s">
        <v>374</v>
      </c>
      <c r="F399" s="1203">
        <f t="shared" si="51"/>
        <v>0</v>
      </c>
      <c r="G399" s="1070">
        <v>6.7460000000000004</v>
      </c>
      <c r="H399" s="1009" t="s">
        <v>374</v>
      </c>
      <c r="I399" s="1203">
        <f t="shared" si="52"/>
        <v>0</v>
      </c>
      <c r="J399" s="1070">
        <f>J390</f>
        <v>7.1559999999999997</v>
      </c>
      <c r="K399" s="1009" t="s">
        <v>374</v>
      </c>
      <c r="L399" s="1203">
        <f t="shared" si="53"/>
        <v>0</v>
      </c>
      <c r="N399" s="1185"/>
      <c r="O399" s="1185"/>
      <c r="P399" s="1186"/>
      <c r="Q399" s="1186"/>
      <c r="R399" s="1186"/>
      <c r="S399" s="1185"/>
      <c r="T399" s="1185"/>
      <c r="U399" s="1185"/>
      <c r="V399" s="1185"/>
      <c r="W399" s="1185"/>
      <c r="X399" s="1185"/>
      <c r="Y399" s="1185"/>
      <c r="Z399" s="1185"/>
      <c r="AA399" s="1185"/>
      <c r="AB399" s="1185"/>
      <c r="AC399" s="1185"/>
      <c r="AD399" s="1185"/>
      <c r="AE399" s="1185"/>
      <c r="AF399" s="1185"/>
      <c r="AG399" s="1185"/>
      <c r="AH399" s="1185"/>
      <c r="AI399" s="1185"/>
    </row>
    <row r="400" spans="1:35">
      <c r="A400" s="1219" t="s">
        <v>399</v>
      </c>
      <c r="B400" s="1219"/>
      <c r="C400" s="1026">
        <v>0</v>
      </c>
      <c r="D400" s="1070">
        <v>5.0839999999999996</v>
      </c>
      <c r="E400" s="1009" t="s">
        <v>374</v>
      </c>
      <c r="F400" s="1203">
        <f t="shared" si="51"/>
        <v>0</v>
      </c>
      <c r="G400" s="1070">
        <v>5.8120000000000003</v>
      </c>
      <c r="H400" s="1009" t="s">
        <v>374</v>
      </c>
      <c r="I400" s="1203">
        <f t="shared" si="52"/>
        <v>0</v>
      </c>
      <c r="J400" s="1070">
        <f>J391</f>
        <v>6.1660000000000004</v>
      </c>
      <c r="K400" s="1009" t="s">
        <v>374</v>
      </c>
      <c r="L400" s="1203">
        <f t="shared" si="53"/>
        <v>0</v>
      </c>
      <c r="N400" s="1185"/>
      <c r="O400" s="1185"/>
      <c r="P400" s="1186"/>
      <c r="Q400" s="1186"/>
      <c r="R400" s="1186"/>
      <c r="S400" s="1185"/>
      <c r="T400" s="1185"/>
      <c r="U400" s="1185"/>
      <c r="V400" s="1185"/>
      <c r="W400" s="1185"/>
      <c r="X400" s="1185"/>
      <c r="Y400" s="1185"/>
      <c r="Z400" s="1185"/>
      <c r="AA400" s="1185"/>
      <c r="AB400" s="1185"/>
      <c r="AC400" s="1185"/>
      <c r="AD400" s="1185"/>
      <c r="AE400" s="1185"/>
      <c r="AF400" s="1185"/>
      <c r="AG400" s="1185"/>
      <c r="AH400" s="1185"/>
      <c r="AI400" s="1185"/>
    </row>
    <row r="401" spans="1:35">
      <c r="A401" s="1219" t="s">
        <v>400</v>
      </c>
      <c r="B401" s="1219"/>
      <c r="C401" s="1026">
        <v>0</v>
      </c>
      <c r="D401" s="1260">
        <v>50</v>
      </c>
      <c r="E401" s="1009" t="s">
        <v>374</v>
      </c>
      <c r="F401" s="1203">
        <f t="shared" si="51"/>
        <v>0</v>
      </c>
      <c r="G401" s="1260">
        <v>56</v>
      </c>
      <c r="H401" s="1009" t="s">
        <v>374</v>
      </c>
      <c r="I401" s="1203">
        <f t="shared" si="52"/>
        <v>0</v>
      </c>
      <c r="J401" s="1260">
        <f>J392</f>
        <v>56</v>
      </c>
      <c r="K401" s="1009" t="s">
        <v>374</v>
      </c>
      <c r="L401" s="1203">
        <f t="shared" si="53"/>
        <v>0</v>
      </c>
      <c r="N401" s="1185"/>
      <c r="O401" s="1185"/>
      <c r="P401" s="1186"/>
      <c r="Q401" s="1186"/>
      <c r="R401" s="1186"/>
      <c r="S401" s="1185"/>
      <c r="T401" s="1185"/>
      <c r="U401" s="1185"/>
      <c r="V401" s="1185"/>
      <c r="W401" s="1185"/>
      <c r="X401" s="1185"/>
      <c r="Y401" s="1185"/>
      <c r="Z401" s="1185"/>
      <c r="AA401" s="1185"/>
      <c r="AB401" s="1185"/>
      <c r="AC401" s="1185"/>
      <c r="AD401" s="1185"/>
      <c r="AE401" s="1185"/>
      <c r="AF401" s="1185"/>
      <c r="AG401" s="1185"/>
      <c r="AH401" s="1185"/>
      <c r="AI401" s="1185"/>
    </row>
    <row r="402" spans="1:35">
      <c r="A402" s="1219" t="s">
        <v>407</v>
      </c>
      <c r="B402" s="1219"/>
      <c r="C402" s="1026">
        <v>0</v>
      </c>
      <c r="D402" s="1261">
        <v>60</v>
      </c>
      <c r="E402" s="1041"/>
      <c r="F402" s="1203">
        <f t="shared" si="51"/>
        <v>0</v>
      </c>
      <c r="G402" s="1261">
        <v>60</v>
      </c>
      <c r="H402" s="1009"/>
      <c r="I402" s="1203">
        <f t="shared" si="52"/>
        <v>0</v>
      </c>
      <c r="J402" s="1261">
        <f>$J$171</f>
        <v>60</v>
      </c>
      <c r="K402" s="1009"/>
      <c r="L402" s="1203">
        <f t="shared" si="53"/>
        <v>0</v>
      </c>
      <c r="N402" s="1185"/>
      <c r="O402" s="1185"/>
      <c r="P402" s="1186"/>
      <c r="Q402" s="1186"/>
      <c r="R402" s="1186"/>
      <c r="S402" s="1185"/>
      <c r="T402" s="1185"/>
      <c r="U402" s="1185"/>
      <c r="V402" s="1185"/>
      <c r="W402" s="1185"/>
      <c r="X402" s="1185"/>
      <c r="Y402" s="1185"/>
      <c r="Z402" s="1185"/>
      <c r="AA402" s="1185"/>
      <c r="AB402" s="1185"/>
      <c r="AC402" s="1185"/>
      <c r="AD402" s="1185"/>
      <c r="AE402" s="1185"/>
      <c r="AF402" s="1185"/>
      <c r="AG402" s="1185"/>
      <c r="AH402" s="1185"/>
      <c r="AI402" s="1185"/>
    </row>
    <row r="403" spans="1:35">
      <c r="A403" s="1219" t="s">
        <v>408</v>
      </c>
      <c r="B403" s="1219"/>
      <c r="C403" s="1026">
        <v>0</v>
      </c>
      <c r="D403" s="1262">
        <v>-30</v>
      </c>
      <c r="E403" s="1041" t="s">
        <v>374</v>
      </c>
      <c r="F403" s="1203">
        <f t="shared" si="51"/>
        <v>0</v>
      </c>
      <c r="G403" s="1262">
        <v>-30</v>
      </c>
      <c r="H403" s="1009" t="s">
        <v>374</v>
      </c>
      <c r="I403" s="1203">
        <f t="shared" si="52"/>
        <v>0</v>
      </c>
      <c r="J403" s="1262">
        <f>$J$172</f>
        <v>-30</v>
      </c>
      <c r="K403" s="1009" t="s">
        <v>374</v>
      </c>
      <c r="L403" s="1203">
        <f t="shared" si="53"/>
        <v>0</v>
      </c>
      <c r="N403" s="1185"/>
      <c r="O403" s="1185"/>
      <c r="P403" s="1186"/>
      <c r="Q403" s="1186"/>
      <c r="R403" s="1186"/>
      <c r="S403" s="1185"/>
      <c r="T403" s="1185"/>
      <c r="U403" s="1185"/>
      <c r="V403" s="1185"/>
      <c r="W403" s="1185"/>
      <c r="X403" s="1185"/>
      <c r="Y403" s="1185"/>
      <c r="Z403" s="1185"/>
      <c r="AA403" s="1185"/>
      <c r="AB403" s="1185"/>
      <c r="AC403" s="1185"/>
      <c r="AD403" s="1185"/>
      <c r="AE403" s="1185"/>
      <c r="AF403" s="1185"/>
      <c r="AG403" s="1185"/>
      <c r="AH403" s="1185"/>
      <c r="AI403" s="1185"/>
    </row>
    <row r="404" spans="1:35">
      <c r="A404" s="1219" t="s">
        <v>381</v>
      </c>
      <c r="B404" s="1219"/>
      <c r="C404" s="1026">
        <f>C433+C462</f>
        <v>357478</v>
      </c>
      <c r="D404" s="1255"/>
      <c r="E404" s="1203"/>
      <c r="F404" s="1203">
        <f t="shared" si="51"/>
        <v>106817</v>
      </c>
      <c r="G404" s="1249"/>
      <c r="H404" s="1009"/>
      <c r="I404" s="1203">
        <f t="shared" si="52"/>
        <v>121984</v>
      </c>
      <c r="J404" s="1203"/>
      <c r="K404" s="1009"/>
      <c r="L404" s="1203">
        <f t="shared" si="53"/>
        <v>126286</v>
      </c>
      <c r="N404" s="1185"/>
      <c r="O404" s="1185"/>
      <c r="P404" s="1186"/>
      <c r="Q404" s="1186"/>
      <c r="R404" s="1186"/>
      <c r="S404" s="1185"/>
      <c r="T404" s="1185"/>
      <c r="U404" s="1185"/>
      <c r="V404" s="1185"/>
      <c r="W404" s="1185"/>
      <c r="X404" s="1185"/>
      <c r="Y404" s="1185"/>
      <c r="Z404" s="1185"/>
      <c r="AA404" s="1185"/>
      <c r="AB404" s="1185"/>
      <c r="AC404" s="1185"/>
      <c r="AD404" s="1185"/>
      <c r="AE404" s="1185"/>
      <c r="AF404" s="1185"/>
      <c r="AG404" s="1185"/>
      <c r="AH404" s="1185"/>
      <c r="AI404" s="1185"/>
    </row>
    <row r="405" spans="1:35">
      <c r="A405" s="1219" t="s">
        <v>363</v>
      </c>
      <c r="B405" s="1219"/>
      <c r="C405" s="1028">
        <f>C434+C463</f>
        <v>-822.76182582951765</v>
      </c>
      <c r="D405" s="1218"/>
      <c r="E405" s="1218"/>
      <c r="F405" s="1264" t="e">
        <f t="shared" si="51"/>
        <v>#REF!</v>
      </c>
      <c r="G405" s="1218"/>
      <c r="H405" s="1218"/>
      <c r="I405" s="1264">
        <f t="shared" si="52"/>
        <v>-263.15414039122498</v>
      </c>
      <c r="J405" s="1218"/>
      <c r="K405" s="1218"/>
      <c r="L405" s="1264">
        <f>I405</f>
        <v>-263.15414039122498</v>
      </c>
      <c r="N405" s="444"/>
      <c r="O405" s="444"/>
      <c r="P405" s="287"/>
      <c r="Q405" s="1186"/>
      <c r="R405" s="1186"/>
      <c r="S405" s="1185"/>
      <c r="T405" s="1185"/>
      <c r="U405" s="1185"/>
      <c r="V405" s="1185"/>
      <c r="W405" s="1185"/>
      <c r="X405" s="1185"/>
      <c r="Y405" s="1185"/>
      <c r="Z405" s="1185"/>
      <c r="AA405" s="1185"/>
      <c r="AB405" s="1185"/>
      <c r="AC405" s="1185"/>
      <c r="AD405" s="1185"/>
      <c r="AE405" s="1185"/>
      <c r="AF405" s="1185"/>
      <c r="AG405" s="1185"/>
      <c r="AH405" s="1185"/>
      <c r="AI405" s="1185"/>
    </row>
    <row r="406" spans="1:35" ht="16.5" thickBot="1">
      <c r="A406" s="1219" t="s">
        <v>382</v>
      </c>
      <c r="B406" s="1219"/>
      <c r="C406" s="1240">
        <f>SUM(C404:C405)</f>
        <v>356655.23817417049</v>
      </c>
      <c r="D406" s="1265"/>
      <c r="E406" s="1266"/>
      <c r="F406" s="1267" t="e">
        <f>F404+F405</f>
        <v>#REF!</v>
      </c>
      <c r="G406" s="1265"/>
      <c r="H406" s="1269"/>
      <c r="I406" s="1267">
        <f>I404+I405</f>
        <v>121720.84585960877</v>
      </c>
      <c r="J406" s="1265"/>
      <c r="K406" s="1269"/>
      <c r="L406" s="1267">
        <f>L404+L405</f>
        <v>126022.84585960877</v>
      </c>
      <c r="N406" s="411"/>
      <c r="O406" s="411"/>
      <c r="P406" s="470"/>
      <c r="Q406" s="1186"/>
      <c r="R406" s="1186"/>
      <c r="S406" s="1185"/>
      <c r="T406" s="1185"/>
      <c r="U406" s="1185"/>
      <c r="V406" s="1185"/>
      <c r="W406" s="1185"/>
      <c r="X406" s="1185"/>
      <c r="Y406" s="1185"/>
      <c r="Z406" s="1185"/>
      <c r="AA406" s="1185"/>
      <c r="AB406" s="1185"/>
      <c r="AC406" s="1185"/>
      <c r="AD406" s="1185"/>
      <c r="AE406" s="1185"/>
      <c r="AF406" s="1185"/>
      <c r="AG406" s="1185"/>
      <c r="AH406" s="1185"/>
      <c r="AI406" s="1185"/>
    </row>
    <row r="407" spans="1:35" ht="16.5" thickTop="1">
      <c r="A407" s="1219"/>
      <c r="B407" s="1219"/>
      <c r="C407" s="1225"/>
      <c r="D407" s="1261"/>
      <c r="E407" s="1203"/>
      <c r="F407" s="1203"/>
      <c r="G407" s="1261" t="s">
        <v>31</v>
      </c>
      <c r="H407" s="1219"/>
      <c r="I407" s="1203"/>
      <c r="J407" s="1259" t="s">
        <v>31</v>
      </c>
      <c r="K407" s="1219"/>
      <c r="L407" s="1203" t="s">
        <v>31</v>
      </c>
      <c r="N407" s="1185"/>
      <c r="O407" s="1185"/>
      <c r="P407" s="1186"/>
      <c r="Q407" s="1186"/>
      <c r="R407" s="1186"/>
      <c r="S407" s="1185"/>
      <c r="T407" s="1185"/>
      <c r="U407" s="1185"/>
      <c r="V407" s="1185"/>
      <c r="W407" s="1185"/>
      <c r="X407" s="1185"/>
      <c r="Y407" s="1185"/>
      <c r="Z407" s="1185"/>
      <c r="AA407" s="1185"/>
      <c r="AB407" s="1185"/>
      <c r="AC407" s="1185"/>
      <c r="AD407" s="1185"/>
      <c r="AE407" s="1185"/>
      <c r="AF407" s="1185"/>
      <c r="AG407" s="1185"/>
      <c r="AH407" s="1185"/>
      <c r="AI407" s="1185"/>
    </row>
    <row r="408" spans="1:35">
      <c r="A408" s="1224" t="s">
        <v>417</v>
      </c>
      <c r="B408" s="1219"/>
      <c r="C408" s="1219"/>
      <c r="D408" s="1203"/>
      <c r="E408" s="1203"/>
      <c r="F408" s="1219" t="s">
        <v>31</v>
      </c>
      <c r="G408" s="1203"/>
      <c r="H408" s="1219"/>
      <c r="I408" s="1219"/>
      <c r="J408" s="1203"/>
      <c r="K408" s="1219"/>
      <c r="L408" s="1219"/>
      <c r="N408" s="1185"/>
      <c r="O408" s="1185"/>
      <c r="P408" s="1186"/>
      <c r="Q408" s="1186"/>
      <c r="R408" s="1186"/>
      <c r="S408" s="1185"/>
      <c r="T408" s="1185"/>
      <c r="U408" s="1185"/>
      <c r="V408" s="1185"/>
      <c r="W408" s="1185"/>
      <c r="X408" s="1185"/>
      <c r="Y408" s="1185"/>
      <c r="Z408" s="1185"/>
      <c r="AA408" s="1185"/>
      <c r="AB408" s="1185"/>
      <c r="AC408" s="1185"/>
      <c r="AD408" s="1185"/>
      <c r="AE408" s="1185"/>
      <c r="AF408" s="1185"/>
      <c r="AG408" s="1185"/>
      <c r="AH408" s="1185"/>
      <c r="AI408" s="1185"/>
    </row>
    <row r="409" spans="1:35">
      <c r="A409" s="1219" t="s">
        <v>411</v>
      </c>
      <c r="B409" s="1219"/>
      <c r="C409" s="1219"/>
      <c r="D409" s="1203"/>
      <c r="E409" s="1203"/>
      <c r="F409" s="1219"/>
      <c r="G409" s="1203"/>
      <c r="H409" s="1219"/>
      <c r="I409" s="1219"/>
      <c r="J409" s="1203"/>
      <c r="K409" s="1219"/>
      <c r="L409" s="1219"/>
      <c r="N409" s="1185"/>
      <c r="O409" s="1185"/>
      <c r="P409" s="1186"/>
      <c r="Q409" s="1186"/>
      <c r="R409" s="1186"/>
      <c r="S409" s="1185"/>
      <c r="T409" s="1185"/>
      <c r="U409" s="1185"/>
      <c r="V409" s="1185"/>
      <c r="W409" s="1185"/>
      <c r="X409" s="1185"/>
      <c r="Y409" s="1185"/>
      <c r="Z409" s="1185"/>
      <c r="AA409" s="1185"/>
      <c r="AB409" s="1185"/>
      <c r="AC409" s="1185"/>
      <c r="AD409" s="1185"/>
      <c r="AE409" s="1185"/>
      <c r="AF409" s="1185"/>
      <c r="AG409" s="1185"/>
      <c r="AH409" s="1185"/>
      <c r="AI409" s="1185"/>
    </row>
    <row r="410" spans="1:35">
      <c r="A410" s="1219" t="s">
        <v>418</v>
      </c>
      <c r="B410" s="1219"/>
      <c r="C410" s="1219"/>
      <c r="D410" s="1203"/>
      <c r="E410" s="1203"/>
      <c r="F410" s="1219"/>
      <c r="G410" s="1203"/>
      <c r="H410" s="1219"/>
      <c r="I410" s="1219"/>
      <c r="J410" s="1203"/>
      <c r="K410" s="1219"/>
      <c r="L410" s="1219"/>
      <c r="N410" s="1185"/>
      <c r="O410" s="1185"/>
      <c r="P410" s="1186"/>
      <c r="Q410" s="1186"/>
      <c r="R410" s="1186"/>
      <c r="S410" s="1185"/>
      <c r="T410" s="1185"/>
      <c r="U410" s="1185"/>
      <c r="V410" s="1185"/>
      <c r="W410" s="1185"/>
      <c r="X410" s="1185"/>
      <c r="Y410" s="1185"/>
      <c r="Z410" s="1185"/>
      <c r="AA410" s="1185"/>
      <c r="AB410" s="1185"/>
      <c r="AC410" s="1185"/>
      <c r="AD410" s="1185"/>
      <c r="AE410" s="1185"/>
      <c r="AF410" s="1185"/>
      <c r="AG410" s="1185"/>
      <c r="AH410" s="1185"/>
      <c r="AI410" s="1185"/>
    </row>
    <row r="411" spans="1:35">
      <c r="A411" s="1219" t="s">
        <v>393</v>
      </c>
      <c r="B411" s="1219"/>
      <c r="C411" s="1026"/>
      <c r="D411" s="1203"/>
      <c r="E411" s="1203"/>
      <c r="F411" s="1219"/>
      <c r="G411" s="1203"/>
      <c r="H411" s="1219"/>
      <c r="I411" s="1219"/>
      <c r="J411" s="1203"/>
      <c r="K411" s="1219"/>
      <c r="L411" s="1219"/>
      <c r="N411" s="1185"/>
      <c r="O411" s="1185"/>
      <c r="P411" s="1186"/>
      <c r="Q411" s="1186"/>
      <c r="R411" s="1186"/>
      <c r="S411" s="1185"/>
      <c r="T411" s="1185"/>
      <c r="U411" s="1185"/>
      <c r="V411" s="1185"/>
      <c r="W411" s="1185"/>
      <c r="X411" s="1185"/>
      <c r="Y411" s="1185"/>
      <c r="Z411" s="1185"/>
      <c r="AA411" s="1185"/>
      <c r="AB411" s="1185"/>
      <c r="AC411" s="1185"/>
      <c r="AD411" s="1185"/>
      <c r="AE411" s="1185"/>
      <c r="AF411" s="1185"/>
      <c r="AG411" s="1185"/>
      <c r="AH411" s="1185"/>
      <c r="AI411" s="1185"/>
    </row>
    <row r="412" spans="1:35">
      <c r="A412" s="1219" t="s">
        <v>390</v>
      </c>
      <c r="B412" s="1219"/>
      <c r="C412" s="1026">
        <v>1</v>
      </c>
      <c r="D412" s="1229">
        <v>91.679999999999993</v>
      </c>
      <c r="E412" s="1041"/>
      <c r="F412" s="1203">
        <f>ROUND(D412*$C412,0)</f>
        <v>92</v>
      </c>
      <c r="G412" s="1229">
        <v>104.52000000000001</v>
      </c>
      <c r="H412" s="1009"/>
      <c r="I412" s="1203">
        <f>ROUND(G412*$C412,0)</f>
        <v>105</v>
      </c>
      <c r="J412" s="1229">
        <f>$J$148</f>
        <v>104.52000000000001</v>
      </c>
      <c r="K412" s="1009"/>
      <c r="L412" s="1203">
        <f>ROUND(J412*$C412,0)</f>
        <v>105</v>
      </c>
      <c r="N412" s="1185"/>
      <c r="O412" s="1185"/>
      <c r="P412" s="1186"/>
      <c r="Q412" s="1186"/>
      <c r="R412" s="1186"/>
      <c r="S412" s="1185"/>
      <c r="T412" s="1185"/>
      <c r="U412" s="1185"/>
      <c r="V412" s="1185"/>
      <c r="W412" s="1185"/>
      <c r="X412" s="1185"/>
      <c r="Y412" s="1185"/>
      <c r="Z412" s="1185"/>
      <c r="AA412" s="1185"/>
      <c r="AB412" s="1185"/>
      <c r="AC412" s="1185"/>
      <c r="AD412" s="1185"/>
      <c r="AE412" s="1185"/>
      <c r="AF412" s="1185"/>
      <c r="AG412" s="1185"/>
      <c r="AH412" s="1185"/>
      <c r="AI412" s="1185"/>
    </row>
    <row r="413" spans="1:35">
      <c r="A413" s="1219" t="s">
        <v>391</v>
      </c>
      <c r="B413" s="1219"/>
      <c r="C413" s="1026">
        <v>87.747945205479496</v>
      </c>
      <c r="D413" s="1229">
        <v>136.32</v>
      </c>
      <c r="E413" s="1249"/>
      <c r="F413" s="1203">
        <f>ROUND(D413*$C413,0)</f>
        <v>11962</v>
      </c>
      <c r="G413" s="1229">
        <v>155.76</v>
      </c>
      <c r="H413" s="1250"/>
      <c r="I413" s="1203">
        <f t="shared" ref="I413:I414" si="54">ROUND(G413*$C413,0)</f>
        <v>13668</v>
      </c>
      <c r="J413" s="1229">
        <f>$J$149</f>
        <v>155.76</v>
      </c>
      <c r="K413" s="1250"/>
      <c r="L413" s="1203">
        <f>ROUND(J413*$C413,0)</f>
        <v>13668</v>
      </c>
      <c r="N413" s="1185"/>
      <c r="O413" s="1185"/>
      <c r="P413" s="1186"/>
      <c r="Q413" s="1186"/>
      <c r="R413" s="1186"/>
      <c r="S413" s="1185"/>
      <c r="T413" s="1185"/>
      <c r="U413" s="1185"/>
      <c r="V413" s="1185"/>
      <c r="W413" s="1185"/>
      <c r="X413" s="1185"/>
      <c r="Y413" s="1185"/>
      <c r="Z413" s="1185"/>
      <c r="AA413" s="1185"/>
      <c r="AB413" s="1185"/>
      <c r="AC413" s="1185"/>
      <c r="AD413" s="1185"/>
      <c r="AE413" s="1185"/>
      <c r="AF413" s="1185"/>
      <c r="AG413" s="1185"/>
      <c r="AH413" s="1185"/>
      <c r="AI413" s="1185"/>
    </row>
    <row r="414" spans="1:35">
      <c r="A414" s="1219" t="s">
        <v>392</v>
      </c>
      <c r="B414" s="1219"/>
      <c r="C414" s="1026">
        <v>3293.9150684931501</v>
      </c>
      <c r="D414" s="1229">
        <v>9.66</v>
      </c>
      <c r="E414" s="1249"/>
      <c r="F414" s="1203">
        <f>ROUND(D414*$C414,0)</f>
        <v>31819</v>
      </c>
      <c r="G414" s="1229">
        <v>11.040000000000001</v>
      </c>
      <c r="H414" s="1250"/>
      <c r="I414" s="1203">
        <f t="shared" si="54"/>
        <v>36365</v>
      </c>
      <c r="J414" s="1229">
        <f>$J$150</f>
        <v>11.040000000000001</v>
      </c>
      <c r="K414" s="1250"/>
      <c r="L414" s="1203">
        <f>ROUND(J414*$C414,0)</f>
        <v>36365</v>
      </c>
      <c r="N414" s="1185"/>
      <c r="O414" s="1185"/>
      <c r="P414" s="1186"/>
      <c r="Q414" s="1186"/>
      <c r="R414" s="1186"/>
      <c r="S414" s="1185"/>
      <c r="T414" s="1185"/>
      <c r="U414" s="1185"/>
      <c r="V414" s="1185"/>
      <c r="W414" s="1185"/>
      <c r="X414" s="1185"/>
      <c r="Y414" s="1185"/>
      <c r="Z414" s="1185"/>
      <c r="AA414" s="1185"/>
      <c r="AB414" s="1185"/>
      <c r="AC414" s="1185"/>
      <c r="AD414" s="1185"/>
      <c r="AE414" s="1185"/>
      <c r="AF414" s="1185"/>
      <c r="AG414" s="1185"/>
      <c r="AH414" s="1185"/>
      <c r="AI414" s="1185"/>
    </row>
    <row r="415" spans="1:35">
      <c r="A415" s="1219" t="s">
        <v>394</v>
      </c>
      <c r="B415" s="1219"/>
      <c r="C415" s="1026">
        <f>SUM(C412:C413)</f>
        <v>88.747945205479496</v>
      </c>
      <c r="D415" s="1229"/>
      <c r="E415" s="1041"/>
      <c r="F415" s="1203"/>
      <c r="G415" s="1229"/>
      <c r="H415" s="1009"/>
      <c r="I415" s="1203"/>
      <c r="J415" s="1229"/>
      <c r="K415" s="1009"/>
      <c r="L415" s="1203"/>
      <c r="N415" s="1185"/>
      <c r="O415" s="1185"/>
      <c r="P415" s="1186"/>
      <c r="Q415" s="1186"/>
      <c r="R415" s="1186"/>
      <c r="S415" s="1185"/>
      <c r="T415" s="1185"/>
      <c r="U415" s="1185"/>
      <c r="V415" s="1185"/>
      <c r="W415" s="1185"/>
      <c r="X415" s="1185"/>
      <c r="Y415" s="1185"/>
      <c r="Z415" s="1185"/>
      <c r="AA415" s="1185"/>
      <c r="AB415" s="1185"/>
      <c r="AC415" s="1185"/>
      <c r="AD415" s="1185"/>
      <c r="AE415" s="1185"/>
      <c r="AF415" s="1185"/>
      <c r="AG415" s="1185"/>
      <c r="AH415" s="1185"/>
      <c r="AI415" s="1185"/>
    </row>
    <row r="416" spans="1:35">
      <c r="A416" s="1219" t="s">
        <v>419</v>
      </c>
      <c r="B416" s="1219"/>
      <c r="C416" s="1026">
        <f>12+1031</f>
        <v>1043</v>
      </c>
      <c r="D416" s="1229"/>
      <c r="E416" s="1041"/>
      <c r="F416" s="1203"/>
      <c r="G416" s="1229"/>
      <c r="H416" s="1009"/>
      <c r="I416" s="1203"/>
      <c r="J416" s="1229"/>
      <c r="K416" s="1009"/>
      <c r="L416" s="1203"/>
      <c r="N416" s="1185"/>
      <c r="O416" s="1185"/>
      <c r="P416" s="1186"/>
      <c r="Q416" s="1186"/>
      <c r="R416" s="1186"/>
      <c r="S416" s="1185"/>
      <c r="T416" s="1185"/>
      <c r="U416" s="1185"/>
      <c r="V416" s="1185"/>
      <c r="W416" s="1185"/>
      <c r="X416" s="1185"/>
      <c r="Y416" s="1185"/>
      <c r="Z416" s="1185"/>
      <c r="AA416" s="1185"/>
      <c r="AB416" s="1185"/>
      <c r="AC416" s="1185"/>
      <c r="AD416" s="1185"/>
      <c r="AE416" s="1185"/>
      <c r="AF416" s="1185"/>
      <c r="AG416" s="1185"/>
      <c r="AH416" s="1185"/>
      <c r="AI416" s="1185"/>
    </row>
    <row r="417" spans="1:35">
      <c r="A417" s="1219" t="s">
        <v>395</v>
      </c>
      <c r="B417" s="1219"/>
      <c r="C417" s="1026">
        <v>12658</v>
      </c>
      <c r="D417" s="1261">
        <v>2.98</v>
      </c>
      <c r="E417" s="1009"/>
      <c r="F417" s="1203">
        <f>ROUND(D417*$C417,0)</f>
        <v>37721</v>
      </c>
      <c r="G417" s="1261">
        <v>3.4</v>
      </c>
      <c r="H417" s="1009"/>
      <c r="I417" s="1203">
        <f>ROUND(G417*C417,0)</f>
        <v>43037</v>
      </c>
      <c r="J417" s="1261">
        <f>$J$157</f>
        <v>3.61</v>
      </c>
      <c r="K417" s="1009"/>
      <c r="L417" s="1203">
        <f>ROUND(J417*$C417,0)</f>
        <v>45695</v>
      </c>
      <c r="N417" s="1185"/>
      <c r="O417" s="1185"/>
      <c r="P417" s="1186"/>
      <c r="Q417" s="1186"/>
      <c r="R417" s="1186"/>
      <c r="S417" s="1185"/>
      <c r="T417" s="1185"/>
      <c r="U417" s="1185"/>
      <c r="V417" s="1185"/>
      <c r="W417" s="1185"/>
      <c r="X417" s="1185"/>
      <c r="Y417" s="1185"/>
      <c r="Z417" s="1185"/>
      <c r="AA417" s="1185"/>
      <c r="AB417" s="1185"/>
      <c r="AC417" s="1185"/>
      <c r="AD417" s="1185"/>
      <c r="AE417" s="1185"/>
      <c r="AF417" s="1185"/>
      <c r="AG417" s="1185"/>
      <c r="AH417" s="1185"/>
      <c r="AI417" s="1185"/>
    </row>
    <row r="418" spans="1:35">
      <c r="A418" s="1219" t="s">
        <v>397</v>
      </c>
      <c r="B418" s="1219"/>
      <c r="C418" s="1026">
        <f>4094+101902</f>
        <v>105996</v>
      </c>
      <c r="D418" s="1230">
        <v>8.5489999999999995</v>
      </c>
      <c r="E418" s="1009" t="s">
        <v>374</v>
      </c>
      <c r="F418" s="1203">
        <f>ROUND(D418*$C418/100,0)</f>
        <v>9062</v>
      </c>
      <c r="G418" s="1230">
        <v>9.766</v>
      </c>
      <c r="H418" s="1009" t="s">
        <v>374</v>
      </c>
      <c r="I418" s="1203">
        <f>ROUND(G418*C418/100,0)</f>
        <v>10352</v>
      </c>
      <c r="J418" s="1230">
        <f>$J$158</f>
        <v>10.359</v>
      </c>
      <c r="K418" s="1009" t="s">
        <v>374</v>
      </c>
      <c r="L418" s="1203">
        <f>ROUND(J418*$C418/100,0)</f>
        <v>10980</v>
      </c>
      <c r="N418" s="1185"/>
      <c r="O418" s="1185"/>
      <c r="P418" s="1186"/>
      <c r="Q418" s="1186"/>
      <c r="R418" s="1186"/>
      <c r="S418" s="1185"/>
      <c r="T418" s="1185"/>
      <c r="U418" s="1185"/>
      <c r="V418" s="1185"/>
      <c r="W418" s="1185"/>
      <c r="X418" s="1185"/>
      <c r="Y418" s="1185"/>
      <c r="Z418" s="1185"/>
      <c r="AA418" s="1185"/>
      <c r="AB418" s="1185"/>
      <c r="AC418" s="1185"/>
      <c r="AD418" s="1185"/>
      <c r="AE418" s="1185"/>
      <c r="AF418" s="1185"/>
      <c r="AG418" s="1185"/>
      <c r="AH418" s="1185"/>
      <c r="AI418" s="1185"/>
    </row>
    <row r="419" spans="1:35">
      <c r="A419" s="1219" t="s">
        <v>398</v>
      </c>
      <c r="B419" s="1219"/>
      <c r="C419" s="1026">
        <f>308+110294</f>
        <v>110602</v>
      </c>
      <c r="D419" s="1230">
        <v>5.9020000000000001</v>
      </c>
      <c r="E419" s="1009" t="s">
        <v>374</v>
      </c>
      <c r="F419" s="1203">
        <f>ROUND(D419*$C419/100,0)</f>
        <v>6528</v>
      </c>
      <c r="G419" s="1230">
        <v>6.7460000000000004</v>
      </c>
      <c r="H419" s="1009" t="s">
        <v>374</v>
      </c>
      <c r="I419" s="1203">
        <f t="shared" ref="I419:I421" si="55">ROUND(G419*C419/100,0)</f>
        <v>7461</v>
      </c>
      <c r="J419" s="1230">
        <f>$J$159</f>
        <v>7.1559999999999997</v>
      </c>
      <c r="K419" s="1009" t="s">
        <v>374</v>
      </c>
      <c r="L419" s="1203">
        <f>ROUND(J419*$C419/100,0)</f>
        <v>7915</v>
      </c>
      <c r="N419" s="1185"/>
      <c r="O419" s="1185"/>
      <c r="P419" s="1186"/>
      <c r="Q419" s="1186"/>
      <c r="R419" s="1186"/>
      <c r="S419" s="1185"/>
      <c r="T419" s="1185"/>
      <c r="U419" s="1185"/>
      <c r="V419" s="1185"/>
      <c r="W419" s="1185"/>
      <c r="X419" s="1185"/>
      <c r="Y419" s="1185"/>
      <c r="Z419" s="1185"/>
      <c r="AA419" s="1185"/>
      <c r="AB419" s="1185"/>
      <c r="AC419" s="1185"/>
      <c r="AD419" s="1185"/>
      <c r="AE419" s="1185"/>
      <c r="AF419" s="1185"/>
      <c r="AG419" s="1185"/>
      <c r="AH419" s="1185"/>
      <c r="AI419" s="1185"/>
    </row>
    <row r="420" spans="1:35">
      <c r="A420" s="1219" t="s">
        <v>399</v>
      </c>
      <c r="B420" s="1219"/>
      <c r="C420" s="1026">
        <v>134813</v>
      </c>
      <c r="D420" s="1230">
        <v>5.0839999999999996</v>
      </c>
      <c r="E420" s="1009" t="s">
        <v>374</v>
      </c>
      <c r="F420" s="1203">
        <f>ROUND(D420*$C420/100,0)</f>
        <v>6854</v>
      </c>
      <c r="G420" s="1230">
        <v>5.8120000000000003</v>
      </c>
      <c r="H420" s="1009" t="s">
        <v>374</v>
      </c>
      <c r="I420" s="1203">
        <f t="shared" si="55"/>
        <v>7835</v>
      </c>
      <c r="J420" s="1230">
        <f>$J$160</f>
        <v>6.1660000000000004</v>
      </c>
      <c r="K420" s="1009" t="s">
        <v>374</v>
      </c>
      <c r="L420" s="1203">
        <f>ROUND(J420*$C420/100,0)</f>
        <v>8313</v>
      </c>
      <c r="N420" s="1185"/>
      <c r="O420" s="1185"/>
      <c r="P420" s="1186"/>
      <c r="Q420" s="1186"/>
      <c r="R420" s="1186"/>
      <c r="S420" s="1185"/>
      <c r="T420" s="1185"/>
      <c r="U420" s="1185"/>
      <c r="V420" s="1185"/>
      <c r="W420" s="1185"/>
      <c r="X420" s="1185"/>
      <c r="Y420" s="1185"/>
      <c r="Z420" s="1185"/>
      <c r="AA420" s="1185"/>
      <c r="AB420" s="1185"/>
      <c r="AC420" s="1185"/>
      <c r="AD420" s="1185"/>
      <c r="AE420" s="1185"/>
      <c r="AF420" s="1185"/>
      <c r="AG420" s="1185"/>
      <c r="AH420" s="1185"/>
      <c r="AI420" s="1185"/>
    </row>
    <row r="421" spans="1:35">
      <c r="A421" s="1219" t="s">
        <v>400</v>
      </c>
      <c r="B421" s="1219"/>
      <c r="C421" s="1026">
        <v>1416.98888888889</v>
      </c>
      <c r="D421" s="1255">
        <v>50</v>
      </c>
      <c r="E421" s="1041" t="s">
        <v>374</v>
      </c>
      <c r="F421" s="1203">
        <f>ROUND(D421*$C421/100,0)</f>
        <v>708</v>
      </c>
      <c r="G421" s="1255">
        <v>56</v>
      </c>
      <c r="H421" s="1009" t="s">
        <v>374</v>
      </c>
      <c r="I421" s="1203">
        <f t="shared" si="55"/>
        <v>794</v>
      </c>
      <c r="J421" s="1255">
        <f>$J$161</f>
        <v>56</v>
      </c>
      <c r="K421" s="1009" t="s">
        <v>374</v>
      </c>
      <c r="L421" s="1203">
        <f>ROUND(J421*$C421/100,0)</f>
        <v>794</v>
      </c>
      <c r="N421" s="1185"/>
      <c r="O421" s="1185"/>
      <c r="P421" s="1186"/>
      <c r="Q421" s="1186"/>
      <c r="R421" s="1186"/>
      <c r="S421" s="1185"/>
      <c r="T421" s="1185"/>
      <c r="U421" s="1185"/>
      <c r="V421" s="1185"/>
      <c r="W421" s="1185"/>
      <c r="X421" s="1185"/>
      <c r="Y421" s="1185"/>
      <c r="Z421" s="1185"/>
      <c r="AA421" s="1185"/>
      <c r="AB421" s="1185"/>
      <c r="AC421" s="1185"/>
      <c r="AD421" s="1185"/>
      <c r="AE421" s="1185"/>
      <c r="AF421" s="1185"/>
      <c r="AG421" s="1185"/>
      <c r="AH421" s="1185"/>
      <c r="AI421" s="1185"/>
    </row>
    <row r="422" spans="1:35">
      <c r="A422" s="1256" t="s">
        <v>401</v>
      </c>
      <c r="B422" s="1219"/>
      <c r="C422" s="1026"/>
      <c r="D422" s="1257">
        <v>-0.01</v>
      </c>
      <c r="E422" s="1041"/>
      <c r="F422" s="1203"/>
      <c r="G422" s="1257">
        <v>-0.01</v>
      </c>
      <c r="H422" s="1009"/>
      <c r="I422" s="1203"/>
      <c r="J422" s="1257">
        <v>-0.01</v>
      </c>
      <c r="K422" s="1009"/>
      <c r="L422" s="1203"/>
      <c r="N422" s="1185"/>
      <c r="O422" s="1185"/>
      <c r="P422" s="1186"/>
      <c r="Q422" s="1186"/>
      <c r="R422" s="1186"/>
      <c r="S422" s="1185"/>
      <c r="T422" s="1185"/>
      <c r="U422" s="1185"/>
      <c r="V422" s="1185"/>
      <c r="W422" s="1185"/>
      <c r="X422" s="1185"/>
      <c r="Y422" s="1185"/>
      <c r="Z422" s="1185"/>
      <c r="AA422" s="1185"/>
      <c r="AB422" s="1185"/>
      <c r="AC422" s="1185"/>
      <c r="AD422" s="1185"/>
      <c r="AE422" s="1185"/>
      <c r="AF422" s="1185"/>
      <c r="AG422" s="1185"/>
      <c r="AH422" s="1185"/>
      <c r="AI422" s="1185"/>
    </row>
    <row r="423" spans="1:35">
      <c r="A423" s="1219" t="s">
        <v>390</v>
      </c>
      <c r="B423" s="1219"/>
      <c r="C423" s="1026">
        <v>0</v>
      </c>
      <c r="D423" s="1259">
        <v>91.679999999999993</v>
      </c>
      <c r="E423" s="1041"/>
      <c r="F423" s="1203">
        <f>-ROUND(D423*$C423/100,0)</f>
        <v>0</v>
      </c>
      <c r="G423" s="1259">
        <v>104.52000000000001</v>
      </c>
      <c r="H423" s="1041"/>
      <c r="I423" s="1203">
        <f>-ROUND(G423*$C423/100,0)</f>
        <v>0</v>
      </c>
      <c r="J423" s="1259">
        <f>J412</f>
        <v>104.52000000000001</v>
      </c>
      <c r="K423" s="1041"/>
      <c r="L423" s="1203">
        <f>-ROUND(J423*$C423/100,0)</f>
        <v>0</v>
      </c>
      <c r="N423" s="1185"/>
      <c r="O423" s="1185"/>
      <c r="P423" s="1186"/>
      <c r="Q423" s="1186"/>
      <c r="R423" s="1186"/>
      <c r="S423" s="1185"/>
      <c r="T423" s="1185"/>
      <c r="U423" s="1185"/>
      <c r="V423" s="1185"/>
      <c r="W423" s="1185"/>
      <c r="X423" s="1185"/>
      <c r="Y423" s="1185"/>
      <c r="Z423" s="1185"/>
      <c r="AA423" s="1185"/>
      <c r="AB423" s="1185"/>
      <c r="AC423" s="1185"/>
      <c r="AD423" s="1185"/>
      <c r="AE423" s="1185"/>
      <c r="AF423" s="1185"/>
      <c r="AG423" s="1185"/>
      <c r="AH423" s="1185"/>
      <c r="AI423" s="1185"/>
    </row>
    <row r="424" spans="1:35">
      <c r="A424" s="1219" t="s">
        <v>391</v>
      </c>
      <c r="B424" s="1219"/>
      <c r="C424" s="1026">
        <v>0</v>
      </c>
      <c r="D424" s="1259">
        <v>136.32</v>
      </c>
      <c r="E424" s="1041"/>
      <c r="F424" s="1203">
        <f>-ROUND(D424*$C424/100,0)</f>
        <v>0</v>
      </c>
      <c r="G424" s="1259">
        <v>155.76</v>
      </c>
      <c r="H424" s="1041"/>
      <c r="I424" s="1203">
        <f t="shared" ref="I424:I426" si="56">-ROUND(G424*$C424/100,0)</f>
        <v>0</v>
      </c>
      <c r="J424" s="1259">
        <f>J413</f>
        <v>155.76</v>
      </c>
      <c r="K424" s="1041"/>
      <c r="L424" s="1203">
        <f>-ROUND(J424*$C424/100,0)</f>
        <v>0</v>
      </c>
      <c r="N424" s="1185"/>
      <c r="O424" s="1185"/>
      <c r="P424" s="1186"/>
      <c r="Q424" s="1186"/>
      <c r="R424" s="1186"/>
      <c r="S424" s="1185"/>
      <c r="T424" s="1185"/>
      <c r="U424" s="1185"/>
      <c r="V424" s="1185"/>
      <c r="W424" s="1185"/>
      <c r="X424" s="1185"/>
      <c r="Y424" s="1185"/>
      <c r="Z424" s="1185"/>
      <c r="AA424" s="1185"/>
      <c r="AB424" s="1185"/>
      <c r="AC424" s="1185"/>
      <c r="AD424" s="1185"/>
      <c r="AE424" s="1185"/>
      <c r="AF424" s="1185"/>
      <c r="AG424" s="1185"/>
      <c r="AH424" s="1185"/>
      <c r="AI424" s="1185"/>
    </row>
    <row r="425" spans="1:35">
      <c r="A425" s="1219" t="s">
        <v>402</v>
      </c>
      <c r="B425" s="1219"/>
      <c r="C425" s="1026">
        <v>0</v>
      </c>
      <c r="D425" s="1259">
        <v>9.66</v>
      </c>
      <c r="E425" s="1041"/>
      <c r="F425" s="1203">
        <f>-ROUND(D425*$C425/100,0)</f>
        <v>0</v>
      </c>
      <c r="G425" s="1259">
        <v>11.040000000000001</v>
      </c>
      <c r="H425" s="1041"/>
      <c r="I425" s="1203">
        <f t="shared" si="56"/>
        <v>0</v>
      </c>
      <c r="J425" s="1259">
        <f>J414</f>
        <v>11.040000000000001</v>
      </c>
      <c r="K425" s="1041"/>
      <c r="L425" s="1203">
        <f>-ROUND(J425*$C425/100,0)</f>
        <v>0</v>
      </c>
      <c r="N425" s="1185"/>
      <c r="O425" s="1185"/>
      <c r="P425" s="1186"/>
      <c r="Q425" s="1186"/>
      <c r="R425" s="1186"/>
      <c r="S425" s="1185"/>
      <c r="T425" s="1185"/>
      <c r="U425" s="1185"/>
      <c r="V425" s="1185"/>
      <c r="W425" s="1185"/>
      <c r="X425" s="1185"/>
      <c r="Y425" s="1185"/>
      <c r="Z425" s="1185"/>
      <c r="AA425" s="1185"/>
      <c r="AB425" s="1185"/>
      <c r="AC425" s="1185"/>
      <c r="AD425" s="1185"/>
      <c r="AE425" s="1185"/>
      <c r="AF425" s="1185"/>
      <c r="AG425" s="1185"/>
      <c r="AH425" s="1185"/>
      <c r="AI425" s="1185"/>
    </row>
    <row r="426" spans="1:35">
      <c r="A426" s="1219" t="s">
        <v>403</v>
      </c>
      <c r="B426" s="1219"/>
      <c r="C426" s="1026">
        <v>0</v>
      </c>
      <c r="D426" s="1259">
        <v>2.98</v>
      </c>
      <c r="E426" s="1009"/>
      <c r="F426" s="1203">
        <f>-ROUND(D426*$C426/100,0)</f>
        <v>0</v>
      </c>
      <c r="G426" s="1259">
        <v>3.4</v>
      </c>
      <c r="H426" s="1009"/>
      <c r="I426" s="1203">
        <f t="shared" si="56"/>
        <v>0</v>
      </c>
      <c r="J426" s="1259">
        <f>J417</f>
        <v>3.61</v>
      </c>
      <c r="K426" s="1009"/>
      <c r="L426" s="1203">
        <f>-ROUND(J426*$C426/100,0)</f>
        <v>0</v>
      </c>
      <c r="N426" s="1185"/>
      <c r="O426" s="1185"/>
      <c r="P426" s="1186"/>
      <c r="Q426" s="1186"/>
      <c r="R426" s="1186"/>
      <c r="S426" s="1185"/>
      <c r="T426" s="1185"/>
      <c r="U426" s="1185"/>
      <c r="V426" s="1185"/>
      <c r="W426" s="1185"/>
      <c r="X426" s="1185"/>
      <c r="Y426" s="1185"/>
      <c r="Z426" s="1185"/>
      <c r="AA426" s="1185"/>
      <c r="AB426" s="1185"/>
      <c r="AC426" s="1185"/>
      <c r="AD426" s="1185"/>
      <c r="AE426" s="1185"/>
      <c r="AF426" s="1185"/>
      <c r="AG426" s="1185"/>
      <c r="AH426" s="1185"/>
      <c r="AI426" s="1185"/>
    </row>
    <row r="427" spans="1:35">
      <c r="A427" s="1219" t="s">
        <v>405</v>
      </c>
      <c r="B427" s="1219"/>
      <c r="C427" s="1026">
        <v>0</v>
      </c>
      <c r="D427" s="1070">
        <v>8.5489999999999995</v>
      </c>
      <c r="E427" s="1009" t="s">
        <v>374</v>
      </c>
      <c r="F427" s="1203">
        <f>ROUND(D427*$C427/100*D422,0)</f>
        <v>0</v>
      </c>
      <c r="G427" s="1070">
        <v>9.766</v>
      </c>
      <c r="H427" s="1009" t="s">
        <v>374</v>
      </c>
      <c r="I427" s="1203">
        <f>ROUND(G427*$C427/100*G422,0)</f>
        <v>0</v>
      </c>
      <c r="J427" s="1070">
        <f>J418</f>
        <v>10.359</v>
      </c>
      <c r="K427" s="1009" t="s">
        <v>374</v>
      </c>
      <c r="L427" s="1203">
        <f>ROUND(J427*$C427/100*J422,0)</f>
        <v>0</v>
      </c>
      <c r="N427" s="1185"/>
      <c r="O427" s="1185"/>
      <c r="P427" s="1186"/>
      <c r="Q427" s="1186"/>
      <c r="R427" s="1186"/>
      <c r="S427" s="1185"/>
      <c r="T427" s="1185"/>
      <c r="U427" s="1185"/>
      <c r="V427" s="1185"/>
      <c r="W427" s="1185"/>
      <c r="X427" s="1185"/>
      <c r="Y427" s="1185"/>
      <c r="Z427" s="1185"/>
      <c r="AA427" s="1185"/>
      <c r="AB427" s="1185"/>
      <c r="AC427" s="1185"/>
      <c r="AD427" s="1185"/>
      <c r="AE427" s="1185"/>
      <c r="AF427" s="1185"/>
      <c r="AG427" s="1185"/>
      <c r="AH427" s="1185"/>
      <c r="AI427" s="1185"/>
    </row>
    <row r="428" spans="1:35">
      <c r="A428" s="1219" t="s">
        <v>398</v>
      </c>
      <c r="B428" s="1219"/>
      <c r="C428" s="1026">
        <v>0</v>
      </c>
      <c r="D428" s="1070">
        <v>5.9020000000000001</v>
      </c>
      <c r="E428" s="1009" t="s">
        <v>374</v>
      </c>
      <c r="F428" s="1203">
        <f>ROUND(D428*$C428/100*D422,0)</f>
        <v>0</v>
      </c>
      <c r="G428" s="1070">
        <v>6.7460000000000004</v>
      </c>
      <c r="H428" s="1009" t="s">
        <v>374</v>
      </c>
      <c r="I428" s="1203">
        <f>ROUND(G428*$C428/100*G422,0)</f>
        <v>0</v>
      </c>
      <c r="J428" s="1070">
        <f>J419</f>
        <v>7.1559999999999997</v>
      </c>
      <c r="K428" s="1009" t="s">
        <v>374</v>
      </c>
      <c r="L428" s="1203">
        <f>ROUND(J428*$C428/100*J422,0)</f>
        <v>0</v>
      </c>
      <c r="N428" s="1185"/>
      <c r="O428" s="1185"/>
      <c r="P428" s="1186"/>
      <c r="Q428" s="1186"/>
      <c r="R428" s="1186"/>
      <c r="S428" s="1185"/>
      <c r="T428" s="1185"/>
      <c r="U428" s="1185"/>
      <c r="V428" s="1185"/>
      <c r="W428" s="1185"/>
      <c r="X428" s="1185"/>
      <c r="Y428" s="1185"/>
      <c r="Z428" s="1185"/>
      <c r="AA428" s="1185"/>
      <c r="AB428" s="1185"/>
      <c r="AC428" s="1185"/>
      <c r="AD428" s="1185"/>
      <c r="AE428" s="1185"/>
      <c r="AF428" s="1185"/>
      <c r="AG428" s="1185"/>
      <c r="AH428" s="1185"/>
      <c r="AI428" s="1185"/>
    </row>
    <row r="429" spans="1:35">
      <c r="A429" s="1219" t="s">
        <v>399</v>
      </c>
      <c r="B429" s="1219"/>
      <c r="C429" s="1026">
        <v>0</v>
      </c>
      <c r="D429" s="1070">
        <v>5.0839999999999996</v>
      </c>
      <c r="E429" s="1009" t="s">
        <v>374</v>
      </c>
      <c r="F429" s="1203">
        <f>ROUND(D429*$C429/100*D422,0)</f>
        <v>0</v>
      </c>
      <c r="G429" s="1070">
        <v>5.8120000000000003</v>
      </c>
      <c r="H429" s="1009" t="s">
        <v>374</v>
      </c>
      <c r="I429" s="1203">
        <f>ROUND(G429*$C429/100*G422,0)</f>
        <v>0</v>
      </c>
      <c r="J429" s="1070">
        <f>J420</f>
        <v>6.1660000000000004</v>
      </c>
      <c r="K429" s="1009" t="s">
        <v>374</v>
      </c>
      <c r="L429" s="1203">
        <f>ROUND(J429*$C429/100*J422,0)</f>
        <v>0</v>
      </c>
      <c r="N429" s="1185"/>
      <c r="O429" s="1185"/>
      <c r="P429" s="1186"/>
      <c r="Q429" s="1186"/>
      <c r="R429" s="1186"/>
      <c r="S429" s="1185"/>
      <c r="T429" s="1185"/>
      <c r="U429" s="1185"/>
      <c r="V429" s="1185"/>
      <c r="W429" s="1185"/>
      <c r="X429" s="1185"/>
      <c r="Y429" s="1185"/>
      <c r="Z429" s="1185"/>
      <c r="AA429" s="1185"/>
      <c r="AB429" s="1185"/>
      <c r="AC429" s="1185"/>
      <c r="AD429" s="1185"/>
      <c r="AE429" s="1185"/>
      <c r="AF429" s="1185"/>
      <c r="AG429" s="1185"/>
      <c r="AH429" s="1185"/>
      <c r="AI429" s="1185"/>
    </row>
    <row r="430" spans="1:35">
      <c r="A430" s="1219" t="s">
        <v>400</v>
      </c>
      <c r="B430" s="1219"/>
      <c r="C430" s="1026">
        <v>0</v>
      </c>
      <c r="D430" s="1260">
        <v>50</v>
      </c>
      <c r="E430" s="1009" t="s">
        <v>374</v>
      </c>
      <c r="F430" s="1203">
        <f>ROUND(D430*$C430/100*D422,0)</f>
        <v>0</v>
      </c>
      <c r="G430" s="1260">
        <v>56</v>
      </c>
      <c r="H430" s="1009" t="s">
        <v>374</v>
      </c>
      <c r="I430" s="1203">
        <f>ROUND(G430*$C430/100*G422,0)</f>
        <v>0</v>
      </c>
      <c r="J430" s="1260">
        <f>J421</f>
        <v>56</v>
      </c>
      <c r="K430" s="1009" t="s">
        <v>374</v>
      </c>
      <c r="L430" s="1203">
        <f>ROUND(J430*$C430/100*J422,0)</f>
        <v>0</v>
      </c>
      <c r="N430" s="1185"/>
      <c r="O430" s="1185"/>
      <c r="P430" s="1186"/>
      <c r="Q430" s="1186"/>
      <c r="R430" s="1186"/>
      <c r="S430" s="1185"/>
      <c r="T430" s="1185"/>
      <c r="U430" s="1185"/>
      <c r="V430" s="1185"/>
      <c r="W430" s="1185"/>
      <c r="X430" s="1185"/>
      <c r="Y430" s="1185"/>
      <c r="Z430" s="1185"/>
      <c r="AA430" s="1185"/>
      <c r="AB430" s="1185"/>
      <c r="AC430" s="1185"/>
      <c r="AD430" s="1185"/>
      <c r="AE430" s="1185"/>
      <c r="AF430" s="1185"/>
      <c r="AG430" s="1185"/>
      <c r="AH430" s="1185"/>
      <c r="AI430" s="1185"/>
    </row>
    <row r="431" spans="1:35">
      <c r="A431" s="1219" t="s">
        <v>407</v>
      </c>
      <c r="B431" s="1219"/>
      <c r="C431" s="1026">
        <v>0</v>
      </c>
      <c r="D431" s="1261">
        <v>60</v>
      </c>
      <c r="E431" s="1041"/>
      <c r="F431" s="1203">
        <f>ROUND(D431*$C431,0)</f>
        <v>0</v>
      </c>
      <c r="G431" s="1261">
        <v>60</v>
      </c>
      <c r="H431" s="1009"/>
      <c r="I431" s="1203">
        <f>ROUND(G431*C431,0)</f>
        <v>0</v>
      </c>
      <c r="J431" s="1261">
        <f>$J$171</f>
        <v>60</v>
      </c>
      <c r="K431" s="1009"/>
      <c r="L431" s="1203">
        <f>ROUND(J431*$C431,0)</f>
        <v>0</v>
      </c>
      <c r="N431" s="1185"/>
      <c r="O431" s="1185"/>
      <c r="P431" s="1186"/>
      <c r="Q431" s="1186"/>
      <c r="R431" s="1186"/>
      <c r="S431" s="1185"/>
      <c r="T431" s="1185"/>
      <c r="U431" s="1185"/>
      <c r="V431" s="1185"/>
      <c r="W431" s="1185"/>
      <c r="X431" s="1185"/>
      <c r="Y431" s="1185"/>
      <c r="Z431" s="1185"/>
      <c r="AA431" s="1185"/>
      <c r="AB431" s="1185"/>
      <c r="AC431" s="1185"/>
      <c r="AD431" s="1185"/>
      <c r="AE431" s="1185"/>
      <c r="AF431" s="1185"/>
      <c r="AG431" s="1185"/>
      <c r="AH431" s="1185"/>
      <c r="AI431" s="1185"/>
    </row>
    <row r="432" spans="1:35">
      <c r="A432" s="1219" t="s">
        <v>408</v>
      </c>
      <c r="B432" s="1219"/>
      <c r="C432" s="1026">
        <v>0</v>
      </c>
      <c r="D432" s="1262">
        <v>-30</v>
      </c>
      <c r="E432" s="1041" t="s">
        <v>374</v>
      </c>
      <c r="F432" s="1203">
        <f>ROUND(D432*$C432/100,0)</f>
        <v>0</v>
      </c>
      <c r="G432" s="1262">
        <v>-30</v>
      </c>
      <c r="H432" s="1009" t="s">
        <v>374</v>
      </c>
      <c r="I432" s="1203">
        <f>ROUND(G432*C432/100,0)</f>
        <v>0</v>
      </c>
      <c r="J432" s="1262">
        <f>$J$172</f>
        <v>-30</v>
      </c>
      <c r="K432" s="1009" t="s">
        <v>374</v>
      </c>
      <c r="L432" s="1203">
        <f>ROUND(J432*$C432/100,0)</f>
        <v>0</v>
      </c>
      <c r="N432" s="1185"/>
      <c r="O432" s="1185"/>
      <c r="P432" s="1186"/>
      <c r="Q432" s="1186"/>
      <c r="R432" s="1186"/>
      <c r="S432" s="1185"/>
      <c r="T432" s="1185"/>
      <c r="U432" s="1185"/>
      <c r="V432" s="1185"/>
      <c r="W432" s="1185"/>
      <c r="X432" s="1185"/>
      <c r="Y432" s="1185"/>
      <c r="Z432" s="1185"/>
      <c r="AA432" s="1185"/>
      <c r="AB432" s="1185"/>
      <c r="AC432" s="1185"/>
      <c r="AD432" s="1185"/>
      <c r="AE432" s="1185"/>
      <c r="AF432" s="1185"/>
      <c r="AG432" s="1185"/>
      <c r="AH432" s="1185"/>
      <c r="AI432" s="1185"/>
    </row>
    <row r="433" spans="1:35">
      <c r="A433" s="1219" t="s">
        <v>381</v>
      </c>
      <c r="B433" s="1219"/>
      <c r="C433" s="1026">
        <f>SUM(C418:C420)</f>
        <v>351411</v>
      </c>
      <c r="D433" s="1255"/>
      <c r="E433" s="1203"/>
      <c r="F433" s="1203">
        <f>SUM(F412:F432)</f>
        <v>104746</v>
      </c>
      <c r="G433" s="1255"/>
      <c r="H433" s="1009"/>
      <c r="I433" s="1203">
        <f>SUM(I412:I432)</f>
        <v>119617</v>
      </c>
      <c r="J433" s="1255"/>
      <c r="K433" s="1009"/>
      <c r="L433" s="1203">
        <f>SUM(L412:L432)</f>
        <v>123835</v>
      </c>
      <c r="N433" s="1185"/>
      <c r="O433" s="1185"/>
      <c r="P433" s="1186"/>
      <c r="Q433" s="1186"/>
      <c r="R433" s="1186"/>
      <c r="S433" s="1185"/>
      <c r="T433" s="1185"/>
      <c r="U433" s="1185"/>
      <c r="V433" s="1185"/>
      <c r="W433" s="1185"/>
      <c r="X433" s="1185"/>
      <c r="Y433" s="1185"/>
      <c r="Z433" s="1185"/>
      <c r="AA433" s="1185"/>
      <c r="AB433" s="1185"/>
      <c r="AC433" s="1185"/>
      <c r="AD433" s="1185"/>
      <c r="AE433" s="1185"/>
      <c r="AF433" s="1185"/>
      <c r="AG433" s="1185"/>
      <c r="AH433" s="1185"/>
      <c r="AI433" s="1185"/>
    </row>
    <row r="434" spans="1:35">
      <c r="A434" s="1219" t="s">
        <v>363</v>
      </c>
      <c r="B434" s="1219"/>
      <c r="C434" s="1032">
        <f>'[97]Table 2'!H43</f>
        <v>-905.99909962916831</v>
      </c>
      <c r="D434" s="1218"/>
      <c r="E434" s="1218"/>
      <c r="F434" s="1264" t="e">
        <f>#REF!</f>
        <v>#REF!</v>
      </c>
      <c r="G434" s="1218"/>
      <c r="H434" s="1218"/>
      <c r="I434" s="1264">
        <f>'[97]Table 3'!E43</f>
        <v>-300.81745054377819</v>
      </c>
      <c r="J434" s="1218"/>
      <c r="K434" s="1218"/>
      <c r="L434" s="1264">
        <f>I434</f>
        <v>-300.81745054377819</v>
      </c>
      <c r="N434" s="444"/>
      <c r="O434" s="444"/>
      <c r="P434" s="287"/>
      <c r="Q434" s="1186"/>
      <c r="R434" s="1186"/>
      <c r="S434" s="1185"/>
      <c r="T434" s="1185"/>
      <c r="U434" s="1185"/>
      <c r="V434" s="1185"/>
      <c r="W434" s="1185"/>
      <c r="X434" s="1185"/>
      <c r="Y434" s="1185"/>
      <c r="Z434" s="1185"/>
      <c r="AA434" s="1185"/>
      <c r="AB434" s="1185"/>
      <c r="AC434" s="1185"/>
      <c r="AD434" s="1185"/>
      <c r="AE434" s="1185"/>
      <c r="AF434" s="1185"/>
      <c r="AG434" s="1185"/>
      <c r="AH434" s="1185"/>
      <c r="AI434" s="1185"/>
    </row>
    <row r="435" spans="1:35" ht="16.5" thickBot="1">
      <c r="A435" s="1219" t="s">
        <v>382</v>
      </c>
      <c r="B435" s="1219"/>
      <c r="C435" s="1240">
        <f>SUM(C433:C434)</f>
        <v>350505.00090037083</v>
      </c>
      <c r="D435" s="1265"/>
      <c r="E435" s="1266"/>
      <c r="F435" s="1267" t="e">
        <f>F433+F434</f>
        <v>#REF!</v>
      </c>
      <c r="G435" s="1265"/>
      <c r="H435" s="1269"/>
      <c r="I435" s="1267">
        <f>I433+I434</f>
        <v>119316.18254945622</v>
      </c>
      <c r="J435" s="1265"/>
      <c r="K435" s="1269"/>
      <c r="L435" s="1267">
        <f>L433+L434</f>
        <v>123534.18254945622</v>
      </c>
      <c r="N435" s="411"/>
      <c r="O435" s="411"/>
      <c r="P435" s="470"/>
      <c r="Q435" s="1186"/>
      <c r="R435" s="1186"/>
      <c r="S435" s="1185"/>
      <c r="T435" s="1185"/>
      <c r="U435" s="1185"/>
      <c r="V435" s="1185"/>
      <c r="W435" s="1185"/>
      <c r="X435" s="1185"/>
      <c r="Y435" s="1185"/>
      <c r="Z435" s="1185"/>
      <c r="AA435" s="1185"/>
      <c r="AB435" s="1185"/>
      <c r="AC435" s="1185"/>
      <c r="AD435" s="1185"/>
      <c r="AE435" s="1185"/>
      <c r="AF435" s="1185"/>
      <c r="AG435" s="1185"/>
      <c r="AH435" s="1185"/>
      <c r="AI435" s="1185"/>
    </row>
    <row r="436" spans="1:35" ht="16.5" thickTop="1">
      <c r="A436" s="1219"/>
      <c r="B436" s="1219"/>
      <c r="C436" s="1225"/>
      <c r="D436" s="1261"/>
      <c r="E436" s="1203"/>
      <c r="F436" s="1203"/>
      <c r="G436" s="1261" t="s">
        <v>31</v>
      </c>
      <c r="H436" s="1219"/>
      <c r="I436" s="1203"/>
      <c r="J436" s="1259" t="s">
        <v>31</v>
      </c>
      <c r="K436" s="1219"/>
      <c r="L436" s="1203" t="s">
        <v>31</v>
      </c>
      <c r="N436" s="1185"/>
      <c r="O436" s="1185"/>
      <c r="P436" s="1186"/>
      <c r="Q436" s="1186"/>
      <c r="R436" s="1186"/>
      <c r="S436" s="1185"/>
      <c r="T436" s="1185"/>
      <c r="U436" s="1185"/>
      <c r="V436" s="1185"/>
      <c r="W436" s="1185"/>
      <c r="X436" s="1185"/>
      <c r="Y436" s="1185"/>
      <c r="Z436" s="1185"/>
      <c r="AA436" s="1185"/>
      <c r="AB436" s="1185"/>
      <c r="AC436" s="1185"/>
      <c r="AD436" s="1185"/>
      <c r="AE436" s="1185"/>
      <c r="AF436" s="1185"/>
      <c r="AG436" s="1185"/>
      <c r="AH436" s="1185"/>
      <c r="AI436" s="1185"/>
    </row>
    <row r="437" spans="1:35">
      <c r="A437" s="1224" t="s">
        <v>417</v>
      </c>
      <c r="B437" s="1219"/>
      <c r="C437" s="1219"/>
      <c r="D437" s="1203"/>
      <c r="E437" s="1203"/>
      <c r="F437" s="1219" t="s">
        <v>31</v>
      </c>
      <c r="G437" s="1203"/>
      <c r="H437" s="1219"/>
      <c r="I437" s="1219"/>
      <c r="J437" s="1203"/>
      <c r="K437" s="1219"/>
      <c r="L437" s="1219"/>
      <c r="N437" s="1185"/>
      <c r="O437" s="1185"/>
      <c r="P437" s="1186"/>
      <c r="Q437" s="1186"/>
      <c r="R437" s="1186"/>
      <c r="S437" s="1185"/>
      <c r="T437" s="1185"/>
      <c r="U437" s="1185"/>
      <c r="V437" s="1185"/>
      <c r="W437" s="1185"/>
      <c r="X437" s="1185"/>
      <c r="Y437" s="1185"/>
      <c r="Z437" s="1185"/>
      <c r="AA437" s="1185"/>
      <c r="AB437" s="1185"/>
      <c r="AC437" s="1185"/>
      <c r="AD437" s="1185"/>
      <c r="AE437" s="1185"/>
      <c r="AF437" s="1185"/>
      <c r="AG437" s="1185"/>
      <c r="AH437" s="1185"/>
      <c r="AI437" s="1185"/>
    </row>
    <row r="438" spans="1:35">
      <c r="A438" s="1219" t="s">
        <v>414</v>
      </c>
      <c r="B438" s="1219"/>
      <c r="C438" s="1219"/>
      <c r="D438" s="1203"/>
      <c r="E438" s="1203"/>
      <c r="F438" s="1219"/>
      <c r="G438" s="1203"/>
      <c r="H438" s="1219"/>
      <c r="I438" s="1219"/>
      <c r="J438" s="1203"/>
      <c r="K438" s="1219"/>
      <c r="L438" s="1219"/>
      <c r="N438" s="1185"/>
      <c r="O438" s="1185"/>
      <c r="P438" s="1186"/>
      <c r="Q438" s="1186"/>
      <c r="R438" s="1186"/>
      <c r="S438" s="1185"/>
      <c r="T438" s="1185"/>
      <c r="U438" s="1185"/>
      <c r="V438" s="1185"/>
      <c r="W438" s="1185"/>
      <c r="X438" s="1185"/>
      <c r="Y438" s="1185"/>
      <c r="Z438" s="1185"/>
      <c r="AA438" s="1185"/>
      <c r="AB438" s="1185"/>
      <c r="AC438" s="1185"/>
      <c r="AD438" s="1185"/>
      <c r="AE438" s="1185"/>
      <c r="AF438" s="1185"/>
      <c r="AG438" s="1185"/>
      <c r="AH438" s="1185"/>
      <c r="AI438" s="1185"/>
    </row>
    <row r="439" spans="1:35">
      <c r="A439" s="1219" t="s">
        <v>418</v>
      </c>
      <c r="B439" s="1219"/>
      <c r="C439" s="1219"/>
      <c r="D439" s="1203"/>
      <c r="E439" s="1203"/>
      <c r="F439" s="1219"/>
      <c r="G439" s="1203"/>
      <c r="H439" s="1219"/>
      <c r="I439" s="1219"/>
      <c r="J439" s="1203"/>
      <c r="K439" s="1219"/>
      <c r="L439" s="1219"/>
      <c r="N439" s="1185"/>
      <c r="O439" s="1185"/>
      <c r="P439" s="1186"/>
      <c r="Q439" s="1186"/>
      <c r="R439" s="1186"/>
      <c r="S439" s="1185"/>
      <c r="T439" s="1185"/>
      <c r="U439" s="1185"/>
      <c r="V439" s="1185"/>
      <c r="W439" s="1185"/>
      <c r="X439" s="1185"/>
      <c r="Y439" s="1185"/>
      <c r="Z439" s="1185"/>
      <c r="AA439" s="1185"/>
      <c r="AB439" s="1185"/>
      <c r="AC439" s="1185"/>
      <c r="AD439" s="1185"/>
      <c r="AE439" s="1185"/>
      <c r="AF439" s="1185"/>
      <c r="AG439" s="1185"/>
      <c r="AH439" s="1185"/>
      <c r="AI439" s="1185"/>
    </row>
    <row r="440" spans="1:35">
      <c r="A440" s="1219" t="s">
        <v>393</v>
      </c>
      <c r="B440" s="1219"/>
      <c r="C440" s="1026"/>
      <c r="D440" s="1203"/>
      <c r="E440" s="1203"/>
      <c r="F440" s="1219"/>
      <c r="G440" s="1203"/>
      <c r="H440" s="1219"/>
      <c r="I440" s="1219"/>
      <c r="J440" s="1203"/>
      <c r="K440" s="1219"/>
      <c r="L440" s="1219"/>
      <c r="N440" s="1185"/>
      <c r="O440" s="1185"/>
      <c r="P440" s="1186"/>
      <c r="Q440" s="1186"/>
      <c r="R440" s="1186"/>
      <c r="S440" s="1185"/>
      <c r="T440" s="1185"/>
      <c r="U440" s="1185"/>
      <c r="V440" s="1185"/>
      <c r="W440" s="1185"/>
      <c r="X440" s="1185"/>
      <c r="Y440" s="1185"/>
      <c r="Z440" s="1185"/>
      <c r="AA440" s="1185"/>
      <c r="AB440" s="1185"/>
      <c r="AC440" s="1185"/>
      <c r="AD440" s="1185"/>
      <c r="AE440" s="1185"/>
      <c r="AF440" s="1185"/>
      <c r="AG440" s="1185"/>
      <c r="AH440" s="1185"/>
      <c r="AI440" s="1185"/>
    </row>
    <row r="441" spans="1:35">
      <c r="A441" s="1219" t="s">
        <v>390</v>
      </c>
      <c r="B441" s="1219"/>
      <c r="C441" s="1026">
        <v>0</v>
      </c>
      <c r="D441" s="1229">
        <v>91.679999999999993</v>
      </c>
      <c r="E441" s="1041"/>
      <c r="F441" s="1203">
        <f>ROUND(D441*$C441,0)</f>
        <v>0</v>
      </c>
      <c r="G441" s="1229">
        <v>104.52000000000001</v>
      </c>
      <c r="H441" s="1009"/>
      <c r="I441" s="1203">
        <f>ROUND(G441*$C441,0)</f>
        <v>0</v>
      </c>
      <c r="J441" s="1229">
        <f>$J$148</f>
        <v>104.52000000000001</v>
      </c>
      <c r="K441" s="1009"/>
      <c r="L441" s="1203">
        <f>ROUND(J441*$C441,0)</f>
        <v>0</v>
      </c>
      <c r="N441" s="1185"/>
      <c r="O441" s="1185"/>
      <c r="P441" s="1186"/>
      <c r="Q441" s="1186"/>
      <c r="R441" s="1186"/>
      <c r="S441" s="1185"/>
      <c r="T441" s="1185"/>
      <c r="U441" s="1185"/>
      <c r="V441" s="1185"/>
      <c r="W441" s="1185"/>
      <c r="X441" s="1185"/>
      <c r="Y441" s="1185"/>
      <c r="Z441" s="1185"/>
      <c r="AA441" s="1185"/>
      <c r="AB441" s="1185"/>
      <c r="AC441" s="1185"/>
      <c r="AD441" s="1185"/>
      <c r="AE441" s="1185"/>
      <c r="AF441" s="1185"/>
      <c r="AG441" s="1185"/>
      <c r="AH441" s="1185"/>
      <c r="AI441" s="1185"/>
    </row>
    <row r="442" spans="1:35">
      <c r="A442" s="1219" t="s">
        <v>391</v>
      </c>
      <c r="B442" s="1219"/>
      <c r="C442" s="1026">
        <v>1</v>
      </c>
      <c r="D442" s="1229">
        <v>136.32</v>
      </c>
      <c r="E442" s="1249"/>
      <c r="F442" s="1203">
        <f>ROUND(D442*$C442,0)</f>
        <v>136</v>
      </c>
      <c r="G442" s="1229">
        <v>155.76</v>
      </c>
      <c r="H442" s="1250"/>
      <c r="I442" s="1203">
        <f t="shared" ref="I442:I443" si="57">ROUND(G442*$C442,0)</f>
        <v>156</v>
      </c>
      <c r="J442" s="1229">
        <f>$J$149</f>
        <v>155.76</v>
      </c>
      <c r="K442" s="1250"/>
      <c r="L442" s="1203">
        <f>ROUND(J442*$C442,0)</f>
        <v>156</v>
      </c>
      <c r="N442" s="1185"/>
      <c r="O442" s="1185"/>
      <c r="P442" s="1186"/>
      <c r="Q442" s="1186"/>
      <c r="R442" s="1186"/>
      <c r="S442" s="1185"/>
      <c r="T442" s="1185"/>
      <c r="U442" s="1185"/>
      <c r="V442" s="1185"/>
      <c r="W442" s="1185"/>
      <c r="X442" s="1185"/>
      <c r="Y442" s="1185"/>
      <c r="Z442" s="1185"/>
      <c r="AA442" s="1185"/>
      <c r="AB442" s="1185"/>
      <c r="AC442" s="1185"/>
      <c r="AD442" s="1185"/>
      <c r="AE442" s="1185"/>
      <c r="AF442" s="1185"/>
      <c r="AG442" s="1185"/>
      <c r="AH442" s="1185"/>
      <c r="AI442" s="1185"/>
    </row>
    <row r="443" spans="1:35">
      <c r="A443" s="1219" t="s">
        <v>392</v>
      </c>
      <c r="B443" s="1219"/>
      <c r="C443" s="1026">
        <v>75</v>
      </c>
      <c r="D443" s="1229">
        <v>9.66</v>
      </c>
      <c r="E443" s="1249"/>
      <c r="F443" s="1203">
        <f>ROUND(D443*$C443,0)</f>
        <v>725</v>
      </c>
      <c r="G443" s="1229">
        <v>11.040000000000001</v>
      </c>
      <c r="H443" s="1250"/>
      <c r="I443" s="1203">
        <f t="shared" si="57"/>
        <v>828</v>
      </c>
      <c r="J443" s="1229">
        <f>$J$150</f>
        <v>11.040000000000001</v>
      </c>
      <c r="K443" s="1250"/>
      <c r="L443" s="1203">
        <f>ROUND(J443*$C443,0)</f>
        <v>828</v>
      </c>
      <c r="N443" s="1185"/>
      <c r="O443" s="1185"/>
      <c r="P443" s="1186"/>
      <c r="Q443" s="1186"/>
      <c r="R443" s="1186"/>
      <c r="S443" s="1185"/>
      <c r="T443" s="1185"/>
      <c r="U443" s="1185"/>
      <c r="V443" s="1185"/>
      <c r="W443" s="1185"/>
      <c r="X443" s="1185"/>
      <c r="Y443" s="1185"/>
      <c r="Z443" s="1185"/>
      <c r="AA443" s="1185"/>
      <c r="AB443" s="1185"/>
      <c r="AC443" s="1185"/>
      <c r="AD443" s="1185"/>
      <c r="AE443" s="1185"/>
      <c r="AF443" s="1185"/>
      <c r="AG443" s="1185"/>
      <c r="AH443" s="1185"/>
      <c r="AI443" s="1185"/>
    </row>
    <row r="444" spans="1:35">
      <c r="A444" s="1219" t="s">
        <v>394</v>
      </c>
      <c r="B444" s="1219"/>
      <c r="C444" s="1026">
        <f>SUM(C441:C442)</f>
        <v>1</v>
      </c>
      <c r="D444" s="1229"/>
      <c r="E444" s="1041"/>
      <c r="F444" s="1203"/>
      <c r="G444" s="1229"/>
      <c r="H444" s="1009"/>
      <c r="I444" s="1203"/>
      <c r="J444" s="1229"/>
      <c r="K444" s="1009"/>
      <c r="L444" s="1203"/>
      <c r="N444" s="1185"/>
      <c r="O444" s="1185"/>
      <c r="P444" s="1186"/>
      <c r="Q444" s="1186"/>
      <c r="R444" s="1186"/>
      <c r="S444" s="1185"/>
      <c r="T444" s="1185"/>
      <c r="U444" s="1185"/>
      <c r="V444" s="1185"/>
      <c r="W444" s="1185"/>
      <c r="X444" s="1185"/>
      <c r="Y444" s="1185"/>
      <c r="Z444" s="1185"/>
      <c r="AA444" s="1185"/>
      <c r="AB444" s="1185"/>
      <c r="AC444" s="1185"/>
      <c r="AD444" s="1185"/>
      <c r="AE444" s="1185"/>
      <c r="AF444" s="1185"/>
      <c r="AG444" s="1185"/>
      <c r="AH444" s="1185"/>
      <c r="AI444" s="1185"/>
    </row>
    <row r="445" spans="1:35">
      <c r="A445" s="1219" t="s">
        <v>419</v>
      </c>
      <c r="B445" s="1219"/>
      <c r="C445" s="1026">
        <v>12</v>
      </c>
      <c r="D445" s="1229"/>
      <c r="E445" s="1041"/>
      <c r="F445" s="1203"/>
      <c r="G445" s="1229"/>
      <c r="H445" s="1009"/>
      <c r="I445" s="1203"/>
      <c r="J445" s="1229"/>
      <c r="K445" s="1009"/>
      <c r="L445" s="1203"/>
      <c r="N445" s="1185"/>
      <c r="O445" s="1185"/>
      <c r="P445" s="1186"/>
      <c r="Q445" s="1186"/>
      <c r="R445" s="1186"/>
      <c r="S445" s="1185"/>
      <c r="T445" s="1185"/>
      <c r="U445" s="1185"/>
      <c r="V445" s="1185"/>
      <c r="W445" s="1185"/>
      <c r="X445" s="1185"/>
      <c r="Y445" s="1185"/>
      <c r="Z445" s="1185"/>
      <c r="AA445" s="1185"/>
      <c r="AB445" s="1185"/>
      <c r="AC445" s="1185"/>
      <c r="AD445" s="1185"/>
      <c r="AE445" s="1185"/>
      <c r="AF445" s="1185"/>
      <c r="AG445" s="1185"/>
      <c r="AH445" s="1185"/>
      <c r="AI445" s="1185"/>
    </row>
    <row r="446" spans="1:35">
      <c r="A446" s="1219" t="s">
        <v>395</v>
      </c>
      <c r="B446" s="1219"/>
      <c r="C446" s="1026">
        <v>238</v>
      </c>
      <c r="D446" s="1261">
        <v>2.98</v>
      </c>
      <c r="E446" s="1009"/>
      <c r="F446" s="1203">
        <f>ROUND(D446*$C446,0)</f>
        <v>709</v>
      </c>
      <c r="G446" s="1261">
        <v>3.4</v>
      </c>
      <c r="H446" s="1009"/>
      <c r="I446" s="1203">
        <f>ROUND(G446*C446,0)</f>
        <v>809</v>
      </c>
      <c r="J446" s="1261">
        <f>$J$157</f>
        <v>3.61</v>
      </c>
      <c r="K446" s="1009"/>
      <c r="L446" s="1203">
        <f>ROUND(J446*$C446,0)</f>
        <v>859</v>
      </c>
      <c r="N446" s="1185"/>
      <c r="O446" s="1185"/>
      <c r="P446" s="1186"/>
      <c r="Q446" s="1186"/>
      <c r="R446" s="1186"/>
      <c r="S446" s="1185"/>
      <c r="T446" s="1185"/>
      <c r="U446" s="1185"/>
      <c r="V446" s="1185"/>
      <c r="W446" s="1185"/>
      <c r="X446" s="1185"/>
      <c r="Y446" s="1185"/>
      <c r="Z446" s="1185"/>
      <c r="AA446" s="1185"/>
      <c r="AB446" s="1185"/>
      <c r="AC446" s="1185"/>
      <c r="AD446" s="1185"/>
      <c r="AE446" s="1185"/>
      <c r="AF446" s="1185"/>
      <c r="AG446" s="1185"/>
      <c r="AH446" s="1185"/>
      <c r="AI446" s="1185"/>
    </row>
    <row r="447" spans="1:35">
      <c r="A447" s="1219" t="s">
        <v>397</v>
      </c>
      <c r="B447" s="1219"/>
      <c r="C447" s="1026">
        <v>5433</v>
      </c>
      <c r="D447" s="1230">
        <v>8.5489999999999995</v>
      </c>
      <c r="E447" s="1009" t="s">
        <v>374</v>
      </c>
      <c r="F447" s="1203">
        <f>ROUND(D447*$C447/100,0)</f>
        <v>464</v>
      </c>
      <c r="G447" s="1230">
        <v>9.766</v>
      </c>
      <c r="H447" s="1009" t="s">
        <v>374</v>
      </c>
      <c r="I447" s="1203">
        <f>ROUND(G447*C447/100,0)</f>
        <v>531</v>
      </c>
      <c r="J447" s="1230">
        <f>$J$158</f>
        <v>10.359</v>
      </c>
      <c r="K447" s="1009" t="s">
        <v>374</v>
      </c>
      <c r="L447" s="1203">
        <f>ROUND(J447*$C447/100,0)</f>
        <v>563</v>
      </c>
      <c r="N447" s="1185"/>
      <c r="O447" s="1185"/>
      <c r="P447" s="1186"/>
      <c r="Q447" s="1186"/>
      <c r="R447" s="1186"/>
      <c r="S447" s="1185"/>
      <c r="T447" s="1185"/>
      <c r="U447" s="1185"/>
      <c r="V447" s="1185"/>
      <c r="W447" s="1185"/>
      <c r="X447" s="1185"/>
      <c r="Y447" s="1185"/>
      <c r="Z447" s="1185"/>
      <c r="AA447" s="1185"/>
      <c r="AB447" s="1185"/>
      <c r="AC447" s="1185"/>
      <c r="AD447" s="1185"/>
      <c r="AE447" s="1185"/>
      <c r="AF447" s="1185"/>
      <c r="AG447" s="1185"/>
      <c r="AH447" s="1185"/>
      <c r="AI447" s="1185"/>
    </row>
    <row r="448" spans="1:35">
      <c r="A448" s="1219" t="s">
        <v>398</v>
      </c>
      <c r="B448" s="1219"/>
      <c r="C448" s="1026">
        <v>634</v>
      </c>
      <c r="D448" s="1230">
        <v>5.9020000000000001</v>
      </c>
      <c r="E448" s="1009" t="s">
        <v>374</v>
      </c>
      <c r="F448" s="1203">
        <f>ROUND(D448*$C448/100,0)</f>
        <v>37</v>
      </c>
      <c r="G448" s="1230">
        <v>6.7460000000000004</v>
      </c>
      <c r="H448" s="1009" t="s">
        <v>374</v>
      </c>
      <c r="I448" s="1203">
        <f t="shared" ref="I448:I450" si="58">ROUND(G448*C448/100,0)</f>
        <v>43</v>
      </c>
      <c r="J448" s="1230">
        <f>$J$159</f>
        <v>7.1559999999999997</v>
      </c>
      <c r="K448" s="1009" t="s">
        <v>374</v>
      </c>
      <c r="L448" s="1203">
        <f>ROUND(J448*$C448/100,0)</f>
        <v>45</v>
      </c>
      <c r="N448" s="1185"/>
      <c r="O448" s="1185"/>
      <c r="P448" s="1186"/>
      <c r="Q448" s="1186"/>
      <c r="R448" s="1186"/>
      <c r="S448" s="1185"/>
      <c r="T448" s="1185"/>
      <c r="U448" s="1185"/>
      <c r="V448" s="1185"/>
      <c r="W448" s="1185"/>
      <c r="X448" s="1185"/>
      <c r="Y448" s="1185"/>
      <c r="Z448" s="1185"/>
      <c r="AA448" s="1185"/>
      <c r="AB448" s="1185"/>
      <c r="AC448" s="1185"/>
      <c r="AD448" s="1185"/>
      <c r="AE448" s="1185"/>
      <c r="AF448" s="1185"/>
      <c r="AG448" s="1185"/>
      <c r="AH448" s="1185"/>
      <c r="AI448" s="1185"/>
    </row>
    <row r="449" spans="1:35">
      <c r="A449" s="1219" t="s">
        <v>399</v>
      </c>
      <c r="B449" s="1219"/>
      <c r="C449" s="1026">
        <v>0</v>
      </c>
      <c r="D449" s="1230">
        <v>5.0839999999999996</v>
      </c>
      <c r="E449" s="1009" t="s">
        <v>374</v>
      </c>
      <c r="F449" s="1203">
        <f>ROUND(D449*$C449/100,0)</f>
        <v>0</v>
      </c>
      <c r="G449" s="1230">
        <v>5.8120000000000003</v>
      </c>
      <c r="H449" s="1009" t="s">
        <v>374</v>
      </c>
      <c r="I449" s="1203">
        <f t="shared" si="58"/>
        <v>0</v>
      </c>
      <c r="J449" s="1230">
        <f>$J$160</f>
        <v>6.1660000000000004</v>
      </c>
      <c r="K449" s="1009" t="s">
        <v>374</v>
      </c>
      <c r="L449" s="1203">
        <f>ROUND(J449*$C449/100,0)</f>
        <v>0</v>
      </c>
      <c r="N449" s="1185"/>
      <c r="O449" s="1185"/>
      <c r="P449" s="1186"/>
      <c r="Q449" s="1186"/>
      <c r="R449" s="1186"/>
      <c r="S449" s="1185"/>
      <c r="T449" s="1185"/>
      <c r="U449" s="1185"/>
      <c r="V449" s="1185"/>
      <c r="W449" s="1185"/>
      <c r="X449" s="1185"/>
      <c r="Y449" s="1185"/>
      <c r="Z449" s="1185"/>
      <c r="AA449" s="1185"/>
      <c r="AB449" s="1185"/>
      <c r="AC449" s="1185"/>
      <c r="AD449" s="1185"/>
      <c r="AE449" s="1185"/>
      <c r="AF449" s="1185"/>
      <c r="AG449" s="1185"/>
      <c r="AH449" s="1185"/>
      <c r="AI449" s="1185"/>
    </row>
    <row r="450" spans="1:35">
      <c r="A450" s="1219" t="s">
        <v>400</v>
      </c>
      <c r="B450" s="1219"/>
      <c r="C450" s="1026">
        <v>0</v>
      </c>
      <c r="D450" s="1255">
        <v>50</v>
      </c>
      <c r="E450" s="1041" t="s">
        <v>374</v>
      </c>
      <c r="F450" s="1203">
        <f>ROUND(D450*$C450/100,0)</f>
        <v>0</v>
      </c>
      <c r="G450" s="1255">
        <v>56</v>
      </c>
      <c r="H450" s="1009" t="s">
        <v>374</v>
      </c>
      <c r="I450" s="1203">
        <f t="shared" si="58"/>
        <v>0</v>
      </c>
      <c r="J450" s="1255">
        <f>$J$161</f>
        <v>56</v>
      </c>
      <c r="K450" s="1009" t="s">
        <v>374</v>
      </c>
      <c r="L450" s="1203">
        <f>ROUND(J450*$C450/100,0)</f>
        <v>0</v>
      </c>
      <c r="N450" s="1185"/>
      <c r="O450" s="1185"/>
      <c r="P450" s="1186"/>
      <c r="Q450" s="1186"/>
      <c r="R450" s="1186"/>
      <c r="S450" s="1185"/>
      <c r="T450" s="1185"/>
      <c r="U450" s="1185"/>
      <c r="V450" s="1185"/>
      <c r="W450" s="1185"/>
      <c r="X450" s="1185"/>
      <c r="Y450" s="1185"/>
      <c r="Z450" s="1185"/>
      <c r="AA450" s="1185"/>
      <c r="AB450" s="1185"/>
      <c r="AC450" s="1185"/>
      <c r="AD450" s="1185"/>
      <c r="AE450" s="1185"/>
      <c r="AF450" s="1185"/>
      <c r="AG450" s="1185"/>
      <c r="AH450" s="1185"/>
      <c r="AI450" s="1185"/>
    </row>
    <row r="451" spans="1:35">
      <c r="A451" s="1256" t="s">
        <v>401</v>
      </c>
      <c r="B451" s="1219"/>
      <c r="C451" s="1026"/>
      <c r="D451" s="1257">
        <v>-0.01</v>
      </c>
      <c r="E451" s="1041"/>
      <c r="F451" s="1203"/>
      <c r="G451" s="1257">
        <v>-0.01</v>
      </c>
      <c r="H451" s="1009"/>
      <c r="I451" s="1203"/>
      <c r="J451" s="1257">
        <v>-0.01</v>
      </c>
      <c r="K451" s="1009"/>
      <c r="L451" s="1203"/>
      <c r="N451" s="1185"/>
      <c r="O451" s="1185"/>
      <c r="P451" s="1186"/>
      <c r="Q451" s="1186"/>
      <c r="R451" s="1186"/>
      <c r="S451" s="1185"/>
      <c r="T451" s="1185"/>
      <c r="U451" s="1185"/>
      <c r="V451" s="1185"/>
      <c r="W451" s="1185"/>
      <c r="X451" s="1185"/>
      <c r="Y451" s="1185"/>
      <c r="Z451" s="1185"/>
      <c r="AA451" s="1185"/>
      <c r="AB451" s="1185"/>
      <c r="AC451" s="1185"/>
      <c r="AD451" s="1185"/>
      <c r="AE451" s="1185"/>
      <c r="AF451" s="1185"/>
      <c r="AG451" s="1185"/>
      <c r="AH451" s="1185"/>
      <c r="AI451" s="1185"/>
    </row>
    <row r="452" spans="1:35">
      <c r="A452" s="1219" t="s">
        <v>390</v>
      </c>
      <c r="B452" s="1219"/>
      <c r="C452" s="1026">
        <v>0</v>
      </c>
      <c r="D452" s="1259">
        <v>91.679999999999993</v>
      </c>
      <c r="E452" s="1041"/>
      <c r="F452" s="1203">
        <f>-ROUND(D452*$C452/100,0)</f>
        <v>0</v>
      </c>
      <c r="G452" s="1259">
        <v>104.52000000000001</v>
      </c>
      <c r="H452" s="1041"/>
      <c r="I452" s="1203">
        <f>-ROUND(G452*$C452/100,0)</f>
        <v>0</v>
      </c>
      <c r="J452" s="1259">
        <f>J441</f>
        <v>104.52000000000001</v>
      </c>
      <c r="K452" s="1041"/>
      <c r="L452" s="1203">
        <f>-ROUND(J452*$C452/100,0)</f>
        <v>0</v>
      </c>
      <c r="N452" s="1185"/>
      <c r="O452" s="1185"/>
      <c r="P452" s="1186"/>
      <c r="Q452" s="1186"/>
      <c r="R452" s="1186"/>
      <c r="S452" s="1185"/>
      <c r="T452" s="1185"/>
      <c r="U452" s="1185"/>
      <c r="V452" s="1185"/>
      <c r="W452" s="1185"/>
      <c r="X452" s="1185"/>
      <c r="Y452" s="1185"/>
      <c r="Z452" s="1185"/>
      <c r="AA452" s="1185"/>
      <c r="AB452" s="1185"/>
      <c r="AC452" s="1185"/>
      <c r="AD452" s="1185"/>
      <c r="AE452" s="1185"/>
      <c r="AF452" s="1185"/>
      <c r="AG452" s="1185"/>
      <c r="AH452" s="1185"/>
      <c r="AI452" s="1185"/>
    </row>
    <row r="453" spans="1:35">
      <c r="A453" s="1219" t="s">
        <v>391</v>
      </c>
      <c r="B453" s="1219"/>
      <c r="C453" s="1026">
        <v>0</v>
      </c>
      <c r="D453" s="1259">
        <v>136.32</v>
      </c>
      <c r="E453" s="1041"/>
      <c r="F453" s="1203">
        <f>-ROUND(D453*$C453/100,0)</f>
        <v>0</v>
      </c>
      <c r="G453" s="1259">
        <v>155.76</v>
      </c>
      <c r="H453" s="1041"/>
      <c r="I453" s="1203">
        <f t="shared" ref="I453:I455" si="59">-ROUND(G453*$C453/100,0)</f>
        <v>0</v>
      </c>
      <c r="J453" s="1259">
        <f>J442</f>
        <v>155.76</v>
      </c>
      <c r="K453" s="1041"/>
      <c r="L453" s="1203">
        <f>-ROUND(J453*$C453/100,0)</f>
        <v>0</v>
      </c>
      <c r="N453" s="1185"/>
      <c r="O453" s="1185"/>
      <c r="P453" s="1186"/>
      <c r="Q453" s="1186"/>
      <c r="R453" s="1186"/>
      <c r="S453" s="1185"/>
      <c r="T453" s="1185"/>
      <c r="U453" s="1185"/>
      <c r="V453" s="1185"/>
      <c r="W453" s="1185"/>
      <c r="X453" s="1185"/>
      <c r="Y453" s="1185"/>
      <c r="Z453" s="1185"/>
      <c r="AA453" s="1185"/>
      <c r="AB453" s="1185"/>
      <c r="AC453" s="1185"/>
      <c r="AD453" s="1185"/>
      <c r="AE453" s="1185"/>
      <c r="AF453" s="1185"/>
      <c r="AG453" s="1185"/>
      <c r="AH453" s="1185"/>
      <c r="AI453" s="1185"/>
    </row>
    <row r="454" spans="1:35">
      <c r="A454" s="1219" t="s">
        <v>402</v>
      </c>
      <c r="B454" s="1219"/>
      <c r="C454" s="1026">
        <v>0</v>
      </c>
      <c r="D454" s="1259">
        <v>9.66</v>
      </c>
      <c r="E454" s="1041"/>
      <c r="F454" s="1203">
        <f>-ROUND(D454*$C454/100,0)</f>
        <v>0</v>
      </c>
      <c r="G454" s="1259">
        <v>11.040000000000001</v>
      </c>
      <c r="H454" s="1041"/>
      <c r="I454" s="1203">
        <f t="shared" si="59"/>
        <v>0</v>
      </c>
      <c r="J454" s="1259">
        <f>J443</f>
        <v>11.040000000000001</v>
      </c>
      <c r="K454" s="1041"/>
      <c r="L454" s="1203">
        <f>-ROUND(J454*$C454/100,0)</f>
        <v>0</v>
      </c>
      <c r="N454" s="1185"/>
      <c r="O454" s="1185"/>
      <c r="P454" s="1186"/>
      <c r="Q454" s="1186"/>
      <c r="R454" s="1186"/>
      <c r="S454" s="1185"/>
      <c r="T454" s="1185"/>
      <c r="U454" s="1185"/>
      <c r="V454" s="1185"/>
      <c r="W454" s="1185"/>
      <c r="X454" s="1185"/>
      <c r="Y454" s="1185"/>
      <c r="Z454" s="1185"/>
      <c r="AA454" s="1185"/>
      <c r="AB454" s="1185"/>
      <c r="AC454" s="1185"/>
      <c r="AD454" s="1185"/>
      <c r="AE454" s="1185"/>
      <c r="AF454" s="1185"/>
      <c r="AG454" s="1185"/>
      <c r="AH454" s="1185"/>
      <c r="AI454" s="1185"/>
    </row>
    <row r="455" spans="1:35">
      <c r="A455" s="1219" t="s">
        <v>403</v>
      </c>
      <c r="B455" s="1219"/>
      <c r="C455" s="1026">
        <v>0</v>
      </c>
      <c r="D455" s="1259">
        <v>2.98</v>
      </c>
      <c r="E455" s="1009"/>
      <c r="F455" s="1203">
        <f>-ROUND(D455*$C455/100,0)</f>
        <v>0</v>
      </c>
      <c r="G455" s="1259">
        <v>3.4</v>
      </c>
      <c r="H455" s="1009"/>
      <c r="I455" s="1203">
        <f t="shared" si="59"/>
        <v>0</v>
      </c>
      <c r="J455" s="1259">
        <f>J446</f>
        <v>3.61</v>
      </c>
      <c r="K455" s="1009"/>
      <c r="L455" s="1203">
        <f>-ROUND(J455*$C455/100,0)</f>
        <v>0</v>
      </c>
      <c r="N455" s="1185"/>
      <c r="O455" s="1185"/>
      <c r="P455" s="1186"/>
      <c r="Q455" s="1186"/>
      <c r="R455" s="1186"/>
      <c r="S455" s="1185"/>
      <c r="T455" s="1185"/>
      <c r="U455" s="1185"/>
      <c r="V455" s="1185"/>
      <c r="W455" s="1185"/>
      <c r="X455" s="1185"/>
      <c r="Y455" s="1185"/>
      <c r="Z455" s="1185"/>
      <c r="AA455" s="1185"/>
      <c r="AB455" s="1185"/>
      <c r="AC455" s="1185"/>
      <c r="AD455" s="1185"/>
      <c r="AE455" s="1185"/>
      <c r="AF455" s="1185"/>
      <c r="AG455" s="1185"/>
      <c r="AH455" s="1185"/>
      <c r="AI455" s="1185"/>
    </row>
    <row r="456" spans="1:35">
      <c r="A456" s="1219" t="s">
        <v>405</v>
      </c>
      <c r="B456" s="1219"/>
      <c r="C456" s="1026">
        <v>0</v>
      </c>
      <c r="D456" s="1070">
        <v>8.5489999999999995</v>
      </c>
      <c r="E456" s="1009" t="s">
        <v>374</v>
      </c>
      <c r="F456" s="1203">
        <f>ROUND(D456*$C456/100*D451,0)</f>
        <v>0</v>
      </c>
      <c r="G456" s="1070">
        <v>9.766</v>
      </c>
      <c r="H456" s="1009" t="s">
        <v>374</v>
      </c>
      <c r="I456" s="1203">
        <f>ROUND(G456*$C456/100*G451,0)</f>
        <v>0</v>
      </c>
      <c r="J456" s="1070">
        <f>J447</f>
        <v>10.359</v>
      </c>
      <c r="K456" s="1009" t="s">
        <v>374</v>
      </c>
      <c r="L456" s="1203">
        <f>ROUND(J456*$C456/100*J451,0)</f>
        <v>0</v>
      </c>
      <c r="N456" s="1185"/>
      <c r="O456" s="1185"/>
      <c r="P456" s="1186"/>
      <c r="Q456" s="1186"/>
      <c r="R456" s="1186"/>
      <c r="S456" s="1185"/>
      <c r="T456" s="1185"/>
      <c r="U456" s="1185"/>
      <c r="V456" s="1185"/>
      <c r="W456" s="1185"/>
      <c r="X456" s="1185"/>
      <c r="Y456" s="1185"/>
      <c r="Z456" s="1185"/>
      <c r="AA456" s="1185"/>
      <c r="AB456" s="1185"/>
      <c r="AC456" s="1185"/>
      <c r="AD456" s="1185"/>
      <c r="AE456" s="1185"/>
      <c r="AF456" s="1185"/>
      <c r="AG456" s="1185"/>
      <c r="AH456" s="1185"/>
      <c r="AI456" s="1185"/>
    </row>
    <row r="457" spans="1:35">
      <c r="A457" s="1219" t="s">
        <v>398</v>
      </c>
      <c r="B457" s="1219"/>
      <c r="C457" s="1026">
        <v>0</v>
      </c>
      <c r="D457" s="1070">
        <v>5.9020000000000001</v>
      </c>
      <c r="E457" s="1009" t="s">
        <v>374</v>
      </c>
      <c r="F457" s="1203">
        <f>ROUND(D457*$C457/100*D451,0)</f>
        <v>0</v>
      </c>
      <c r="G457" s="1070">
        <v>6.7460000000000004</v>
      </c>
      <c r="H457" s="1009" t="s">
        <v>374</v>
      </c>
      <c r="I457" s="1203">
        <f>ROUND(G457*$C457/100*G451,0)</f>
        <v>0</v>
      </c>
      <c r="J457" s="1070">
        <f>J448</f>
        <v>7.1559999999999997</v>
      </c>
      <c r="K457" s="1009" t="s">
        <v>374</v>
      </c>
      <c r="L457" s="1203">
        <f>ROUND(J457*$C457/100*J451,0)</f>
        <v>0</v>
      </c>
      <c r="N457" s="1185"/>
      <c r="O457" s="1185"/>
      <c r="P457" s="1186"/>
      <c r="Q457" s="1186"/>
      <c r="R457" s="1186"/>
      <c r="S457" s="1185"/>
      <c r="T457" s="1185"/>
      <c r="U457" s="1185"/>
      <c r="V457" s="1185"/>
      <c r="W457" s="1185"/>
      <c r="X457" s="1185"/>
      <c r="Y457" s="1185"/>
      <c r="Z457" s="1185"/>
      <c r="AA457" s="1185"/>
      <c r="AB457" s="1185"/>
      <c r="AC457" s="1185"/>
      <c r="AD457" s="1185"/>
      <c r="AE457" s="1185"/>
      <c r="AF457" s="1185"/>
      <c r="AG457" s="1185"/>
      <c r="AH457" s="1185"/>
      <c r="AI457" s="1185"/>
    </row>
    <row r="458" spans="1:35">
      <c r="A458" s="1219" t="s">
        <v>399</v>
      </c>
      <c r="B458" s="1219"/>
      <c r="C458" s="1026">
        <v>0</v>
      </c>
      <c r="D458" s="1070">
        <v>5.0839999999999996</v>
      </c>
      <c r="E458" s="1009" t="s">
        <v>374</v>
      </c>
      <c r="F458" s="1203">
        <f>ROUND(D458*$C458/100*D451,0)</f>
        <v>0</v>
      </c>
      <c r="G458" s="1070">
        <v>5.8120000000000003</v>
      </c>
      <c r="H458" s="1009" t="s">
        <v>374</v>
      </c>
      <c r="I458" s="1203">
        <f>ROUND(G458*$C458/100*G451,0)</f>
        <v>0</v>
      </c>
      <c r="J458" s="1070">
        <f>J449</f>
        <v>6.1660000000000004</v>
      </c>
      <c r="K458" s="1009" t="s">
        <v>374</v>
      </c>
      <c r="L458" s="1203">
        <f>ROUND(J458*$C458/100*J451,0)</f>
        <v>0</v>
      </c>
      <c r="N458" s="1185"/>
      <c r="O458" s="1185"/>
      <c r="P458" s="1186"/>
      <c r="Q458" s="1186"/>
      <c r="R458" s="1186"/>
      <c r="S458" s="1185"/>
      <c r="T458" s="1185"/>
      <c r="U458" s="1185"/>
      <c r="V458" s="1185"/>
      <c r="W458" s="1185"/>
      <c r="X458" s="1185"/>
      <c r="Y458" s="1185"/>
      <c r="Z458" s="1185"/>
      <c r="AA458" s="1185"/>
      <c r="AB458" s="1185"/>
      <c r="AC458" s="1185"/>
      <c r="AD458" s="1185"/>
      <c r="AE458" s="1185"/>
      <c r="AF458" s="1185"/>
      <c r="AG458" s="1185"/>
      <c r="AH458" s="1185"/>
      <c r="AI458" s="1185"/>
    </row>
    <row r="459" spans="1:35">
      <c r="A459" s="1219" t="s">
        <v>400</v>
      </c>
      <c r="B459" s="1219"/>
      <c r="C459" s="1026">
        <v>0</v>
      </c>
      <c r="D459" s="1260">
        <v>50</v>
      </c>
      <c r="E459" s="1009" t="s">
        <v>374</v>
      </c>
      <c r="F459" s="1203">
        <f>ROUND(D459*$C459/100*D451,0)</f>
        <v>0</v>
      </c>
      <c r="G459" s="1260">
        <v>56</v>
      </c>
      <c r="H459" s="1009" t="s">
        <v>374</v>
      </c>
      <c r="I459" s="1203">
        <f>ROUND(G459*$C459/100*G451,0)</f>
        <v>0</v>
      </c>
      <c r="J459" s="1260">
        <f>J450</f>
        <v>56</v>
      </c>
      <c r="K459" s="1009" t="s">
        <v>374</v>
      </c>
      <c r="L459" s="1203">
        <f>ROUND(J459*$C459/100*J451,0)</f>
        <v>0</v>
      </c>
      <c r="N459" s="1185"/>
      <c r="O459" s="1185"/>
      <c r="P459" s="1186"/>
      <c r="Q459" s="1186"/>
      <c r="R459" s="1186"/>
      <c r="S459" s="1185"/>
      <c r="T459" s="1185"/>
      <c r="U459" s="1185"/>
      <c r="V459" s="1185"/>
      <c r="W459" s="1185"/>
      <c r="X459" s="1185"/>
      <c r="Y459" s="1185"/>
      <c r="Z459" s="1185"/>
      <c r="AA459" s="1185"/>
      <c r="AB459" s="1185"/>
      <c r="AC459" s="1185"/>
      <c r="AD459" s="1185"/>
      <c r="AE459" s="1185"/>
      <c r="AF459" s="1185"/>
      <c r="AG459" s="1185"/>
      <c r="AH459" s="1185"/>
      <c r="AI459" s="1185"/>
    </row>
    <row r="460" spans="1:35">
      <c r="A460" s="1219" t="s">
        <v>407</v>
      </c>
      <c r="B460" s="1219"/>
      <c r="C460" s="1026">
        <v>0</v>
      </c>
      <c r="D460" s="1261">
        <v>60</v>
      </c>
      <c r="E460" s="1041"/>
      <c r="F460" s="1203">
        <f>ROUND(D460*$C460,0)</f>
        <v>0</v>
      </c>
      <c r="G460" s="1261">
        <v>60</v>
      </c>
      <c r="H460" s="1009"/>
      <c r="I460" s="1203">
        <f>ROUND(G460*C460,0)</f>
        <v>0</v>
      </c>
      <c r="J460" s="1261">
        <f>$J$171</f>
        <v>60</v>
      </c>
      <c r="K460" s="1009"/>
      <c r="L460" s="1203">
        <f>ROUND(J460*$C460,0)</f>
        <v>0</v>
      </c>
      <c r="N460" s="1185"/>
      <c r="O460" s="1185"/>
      <c r="P460" s="1186"/>
      <c r="Q460" s="1186"/>
      <c r="R460" s="1186"/>
      <c r="S460" s="1185"/>
      <c r="T460" s="1185"/>
      <c r="U460" s="1185"/>
      <c r="V460" s="1185"/>
      <c r="W460" s="1185"/>
      <c r="X460" s="1185"/>
      <c r="Y460" s="1185"/>
      <c r="Z460" s="1185"/>
      <c r="AA460" s="1185"/>
      <c r="AB460" s="1185"/>
      <c r="AC460" s="1185"/>
      <c r="AD460" s="1185"/>
      <c r="AE460" s="1185"/>
      <c r="AF460" s="1185"/>
      <c r="AG460" s="1185"/>
      <c r="AH460" s="1185"/>
      <c r="AI460" s="1185"/>
    </row>
    <row r="461" spans="1:35">
      <c r="A461" s="1219" t="s">
        <v>408</v>
      </c>
      <c r="B461" s="1219"/>
      <c r="C461" s="1026">
        <v>0</v>
      </c>
      <c r="D461" s="1262">
        <v>-30</v>
      </c>
      <c r="E461" s="1041" t="s">
        <v>374</v>
      </c>
      <c r="F461" s="1203">
        <f>ROUND(D461*$C461/100,0)</f>
        <v>0</v>
      </c>
      <c r="G461" s="1262">
        <v>-30</v>
      </c>
      <c r="H461" s="1009" t="s">
        <v>374</v>
      </c>
      <c r="I461" s="1203">
        <f>ROUND(G461*C461/100,0)</f>
        <v>0</v>
      </c>
      <c r="J461" s="1262">
        <f>$J$172</f>
        <v>-30</v>
      </c>
      <c r="K461" s="1009" t="s">
        <v>374</v>
      </c>
      <c r="L461" s="1203">
        <f>ROUND(J461*$C461/100,0)</f>
        <v>0</v>
      </c>
      <c r="N461" s="1185"/>
      <c r="O461" s="1185"/>
      <c r="P461" s="1186"/>
      <c r="Q461" s="1186"/>
      <c r="R461" s="1186"/>
      <c r="S461" s="1185"/>
      <c r="T461" s="1185"/>
      <c r="U461" s="1185"/>
      <c r="V461" s="1185"/>
      <c r="W461" s="1185"/>
      <c r="X461" s="1185"/>
      <c r="Y461" s="1185"/>
      <c r="Z461" s="1185"/>
      <c r="AA461" s="1185"/>
      <c r="AB461" s="1185"/>
      <c r="AC461" s="1185"/>
      <c r="AD461" s="1185"/>
      <c r="AE461" s="1185"/>
      <c r="AF461" s="1185"/>
      <c r="AG461" s="1185"/>
      <c r="AH461" s="1185"/>
      <c r="AI461" s="1185"/>
    </row>
    <row r="462" spans="1:35">
      <c r="A462" s="1219" t="s">
        <v>381</v>
      </c>
      <c r="B462" s="1219"/>
      <c r="C462" s="1026">
        <f>SUM(C447:C449)</f>
        <v>6067</v>
      </c>
      <c r="D462" s="1255"/>
      <c r="E462" s="1203"/>
      <c r="F462" s="1203">
        <f>SUM(F441:F461)</f>
        <v>2071</v>
      </c>
      <c r="G462" s="1255"/>
      <c r="H462" s="1009"/>
      <c r="I462" s="1203">
        <f>SUM(I441:I461)</f>
        <v>2367</v>
      </c>
      <c r="J462" s="1255"/>
      <c r="K462" s="1009"/>
      <c r="L462" s="1203">
        <f>SUM(L441:L461)</f>
        <v>2451</v>
      </c>
      <c r="N462" s="1185"/>
      <c r="O462" s="1185"/>
      <c r="P462" s="1186"/>
      <c r="Q462" s="1186"/>
      <c r="R462" s="1186"/>
      <c r="S462" s="1185"/>
      <c r="T462" s="1185"/>
      <c r="U462" s="1185"/>
      <c r="V462" s="1185"/>
      <c r="W462" s="1185"/>
      <c r="X462" s="1185"/>
      <c r="Y462" s="1185"/>
      <c r="Z462" s="1185"/>
      <c r="AA462" s="1185"/>
      <c r="AB462" s="1185"/>
      <c r="AC462" s="1185"/>
      <c r="AD462" s="1185"/>
      <c r="AE462" s="1185"/>
      <c r="AF462" s="1185"/>
      <c r="AG462" s="1185"/>
      <c r="AH462" s="1185"/>
      <c r="AI462" s="1185"/>
    </row>
    <row r="463" spans="1:35">
      <c r="A463" s="1219" t="s">
        <v>363</v>
      </c>
      <c r="B463" s="1219"/>
      <c r="C463" s="1032">
        <f>'[97]Table 2'!H73</f>
        <v>83.237273799650609</v>
      </c>
      <c r="D463" s="1218"/>
      <c r="E463" s="1218"/>
      <c r="F463" s="1264" t="e">
        <f>#REF!</f>
        <v>#REF!</v>
      </c>
      <c r="G463" s="1218"/>
      <c r="H463" s="1218"/>
      <c r="I463" s="1264">
        <f>'[97]Table 3'!E73</f>
        <v>37.66331015255323</v>
      </c>
      <c r="J463" s="1218"/>
      <c r="K463" s="1218"/>
      <c r="L463" s="1264">
        <f>I463</f>
        <v>37.66331015255323</v>
      </c>
      <c r="N463" s="444"/>
      <c r="O463" s="444"/>
      <c r="P463" s="287"/>
      <c r="Q463" s="1186"/>
      <c r="R463" s="1186"/>
      <c r="S463" s="1185"/>
      <c r="T463" s="1185"/>
      <c r="U463" s="1185"/>
      <c r="V463" s="1185"/>
      <c r="W463" s="1185"/>
      <c r="X463" s="1185"/>
      <c r="Y463" s="1185"/>
      <c r="Z463" s="1185"/>
      <c r="AA463" s="1185"/>
      <c r="AB463" s="1185"/>
      <c r="AC463" s="1185"/>
      <c r="AD463" s="1185"/>
      <c r="AE463" s="1185"/>
      <c r="AF463" s="1185"/>
      <c r="AG463" s="1185"/>
      <c r="AH463" s="1185"/>
      <c r="AI463" s="1185"/>
    </row>
    <row r="464" spans="1:35" ht="16.5" thickBot="1">
      <c r="A464" s="1219" t="s">
        <v>382</v>
      </c>
      <c r="B464" s="1219"/>
      <c r="C464" s="1240">
        <f>SUM(C462:C463)</f>
        <v>6150.2372737996502</v>
      </c>
      <c r="D464" s="1265"/>
      <c r="E464" s="1266"/>
      <c r="F464" s="1267" t="e">
        <f>F462+F463</f>
        <v>#REF!</v>
      </c>
      <c r="G464" s="1265"/>
      <c r="H464" s="1269"/>
      <c r="I464" s="1267">
        <f>I462+I463</f>
        <v>2404.6633101525531</v>
      </c>
      <c r="J464" s="1265"/>
      <c r="K464" s="1269"/>
      <c r="L464" s="1267">
        <f>L462+L463</f>
        <v>2488.6633101525531</v>
      </c>
      <c r="N464" s="411"/>
      <c r="O464" s="411"/>
      <c r="P464" s="470"/>
      <c r="Q464" s="1186"/>
      <c r="R464" s="1186"/>
      <c r="S464" s="1185"/>
      <c r="T464" s="1185"/>
      <c r="U464" s="1185"/>
      <c r="V464" s="1185"/>
      <c r="W464" s="1185"/>
      <c r="X464" s="1185"/>
      <c r="Y464" s="1185"/>
      <c r="Z464" s="1185"/>
      <c r="AA464" s="1185"/>
      <c r="AB464" s="1185"/>
      <c r="AC464" s="1185"/>
      <c r="AD464" s="1185"/>
      <c r="AE464" s="1185"/>
      <c r="AF464" s="1185"/>
      <c r="AG464" s="1185"/>
      <c r="AH464" s="1185"/>
      <c r="AI464" s="1185"/>
    </row>
    <row r="465" spans="1:35" ht="16.5" thickTop="1">
      <c r="A465" s="1219"/>
      <c r="B465" s="1219"/>
      <c r="C465" s="1225"/>
      <c r="D465" s="1261"/>
      <c r="E465" s="1203"/>
      <c r="F465" s="1203"/>
      <c r="G465" s="1261" t="s">
        <v>31</v>
      </c>
      <c r="H465" s="1219"/>
      <c r="I465" s="1203"/>
      <c r="J465" s="1259" t="s">
        <v>31</v>
      </c>
      <c r="K465" s="1219"/>
      <c r="L465" s="1203" t="s">
        <v>31</v>
      </c>
      <c r="N465" s="1185"/>
      <c r="O465" s="1185"/>
      <c r="P465" s="1186"/>
      <c r="Q465" s="1186"/>
      <c r="R465" s="1186"/>
      <c r="S465" s="1185"/>
      <c r="T465" s="1185"/>
      <c r="U465" s="1185"/>
      <c r="V465" s="1185"/>
      <c r="W465" s="1185"/>
      <c r="X465" s="1185"/>
      <c r="Y465" s="1185"/>
      <c r="Z465" s="1185"/>
      <c r="AA465" s="1185"/>
      <c r="AB465" s="1185"/>
      <c r="AC465" s="1185"/>
      <c r="AD465" s="1185"/>
      <c r="AE465" s="1185"/>
      <c r="AF465" s="1185"/>
      <c r="AG465" s="1185"/>
      <c r="AH465" s="1185"/>
      <c r="AI465" s="1185"/>
    </row>
    <row r="466" spans="1:35">
      <c r="A466" s="1219"/>
      <c r="B466" s="1219"/>
      <c r="C466" s="1225"/>
      <c r="D466" s="1261"/>
      <c r="E466" s="1203"/>
      <c r="F466" s="1203"/>
      <c r="G466" s="1261" t="s">
        <v>31</v>
      </c>
      <c r="H466" s="1219"/>
      <c r="I466" s="1203"/>
      <c r="J466" s="1259" t="s">
        <v>31</v>
      </c>
      <c r="K466" s="1219"/>
      <c r="L466" s="1203" t="s">
        <v>31</v>
      </c>
      <c r="N466" s="1185"/>
      <c r="O466" s="1185"/>
      <c r="P466" s="1186"/>
      <c r="Q466" s="1186"/>
      <c r="R466" s="1186"/>
      <c r="S466" s="1185"/>
      <c r="T466" s="1185"/>
      <c r="U466" s="1185"/>
      <c r="V466" s="1185"/>
      <c r="W466" s="1185"/>
      <c r="X466" s="1185"/>
      <c r="Y466" s="1185"/>
      <c r="Z466" s="1185"/>
      <c r="AA466" s="1185"/>
      <c r="AB466" s="1185"/>
      <c r="AC466" s="1185"/>
      <c r="AD466" s="1185"/>
      <c r="AE466" s="1185"/>
      <c r="AF466" s="1185"/>
      <c r="AG466" s="1185"/>
      <c r="AH466" s="1185"/>
      <c r="AI466" s="1185"/>
    </row>
    <row r="467" spans="1:35">
      <c r="A467" s="1224" t="s">
        <v>420</v>
      </c>
      <c r="B467" s="1219"/>
      <c r="C467" s="1278"/>
      <c r="D467" s="1203"/>
      <c r="E467" s="1203"/>
      <c r="F467" s="1219"/>
      <c r="G467" s="1203"/>
      <c r="H467" s="1219"/>
      <c r="I467" s="1219"/>
      <c r="J467" s="1203"/>
      <c r="K467" s="1219"/>
      <c r="L467" s="1203" t="s">
        <v>31</v>
      </c>
      <c r="N467" s="1185"/>
      <c r="O467" s="1185"/>
      <c r="P467" s="1186"/>
      <c r="Q467" s="1186"/>
      <c r="R467" s="1186"/>
      <c r="S467" s="1185"/>
      <c r="T467" s="1185"/>
      <c r="U467" s="1185"/>
      <c r="V467" s="1185"/>
      <c r="W467" s="1185"/>
      <c r="X467" s="1185"/>
      <c r="Y467" s="1185"/>
      <c r="Z467" s="1185"/>
      <c r="AA467" s="1185"/>
      <c r="AB467" s="1185"/>
      <c r="AC467" s="1185"/>
      <c r="AD467" s="1185"/>
      <c r="AE467" s="1185"/>
      <c r="AF467" s="1185"/>
      <c r="AG467" s="1185"/>
      <c r="AH467" s="1185"/>
      <c r="AI467" s="1185"/>
    </row>
    <row r="468" spans="1:35">
      <c r="A468" s="1009" t="s">
        <v>335</v>
      </c>
      <c r="B468" s="1219"/>
      <c r="C468" s="1219" t="s">
        <v>31</v>
      </c>
      <c r="D468" s="1203"/>
      <c r="E468" s="1203"/>
      <c r="F468" s="1219"/>
      <c r="G468" s="1203"/>
      <c r="H468" s="1219"/>
      <c r="I468" s="1219"/>
      <c r="J468" s="1203"/>
      <c r="K468" s="1219"/>
      <c r="L468" s="1219"/>
      <c r="N468" s="1185"/>
      <c r="O468" s="1185"/>
      <c r="P468" s="1186"/>
      <c r="Q468" s="1186"/>
      <c r="R468" s="1186"/>
      <c r="S468" s="1185"/>
      <c r="T468" s="1185"/>
      <c r="U468" s="1185"/>
      <c r="V468" s="1185"/>
      <c r="W468" s="1185"/>
      <c r="X468" s="1185"/>
      <c r="Y468" s="1185"/>
      <c r="Z468" s="1185"/>
      <c r="AA468" s="1185"/>
      <c r="AB468" s="1185"/>
      <c r="AC468" s="1185"/>
      <c r="AD468" s="1185"/>
      <c r="AE468" s="1185"/>
      <c r="AF468" s="1185"/>
      <c r="AG468" s="1185"/>
      <c r="AH468" s="1185"/>
      <c r="AI468" s="1185"/>
    </row>
    <row r="469" spans="1:35">
      <c r="A469" s="1009"/>
      <c r="B469" s="1219"/>
      <c r="C469" s="1219"/>
      <c r="D469" s="1203"/>
      <c r="E469" s="1203"/>
      <c r="F469" s="1219"/>
      <c r="G469" s="1203"/>
      <c r="H469" s="1219"/>
      <c r="I469" s="1219"/>
      <c r="J469" s="1203"/>
      <c r="K469" s="1219"/>
      <c r="L469" s="1219"/>
      <c r="N469" s="1185"/>
      <c r="O469" s="1185"/>
      <c r="P469" s="1186"/>
      <c r="Q469" s="1186"/>
      <c r="R469" s="1186"/>
      <c r="S469" s="1185"/>
      <c r="T469" s="1185"/>
      <c r="U469" s="1185"/>
      <c r="V469" s="1185"/>
      <c r="W469" s="1185"/>
      <c r="X469" s="1185"/>
      <c r="Y469" s="1185"/>
      <c r="Z469" s="1185"/>
      <c r="AA469" s="1185"/>
      <c r="AB469" s="1185"/>
      <c r="AC469" s="1185"/>
      <c r="AD469" s="1185"/>
      <c r="AE469" s="1185"/>
      <c r="AF469" s="1185"/>
      <c r="AG469" s="1185"/>
      <c r="AH469" s="1185"/>
      <c r="AI469" s="1185"/>
    </row>
    <row r="470" spans="1:35">
      <c r="A470" s="1009" t="s">
        <v>393</v>
      </c>
      <c r="B470" s="1219"/>
      <c r="C470" s="1026"/>
      <c r="D470" s="1203"/>
      <c r="E470" s="1203"/>
      <c r="F470" s="1219"/>
      <c r="G470" s="1203"/>
      <c r="H470" s="1219"/>
      <c r="I470" s="1219"/>
      <c r="J470" s="1203"/>
      <c r="K470" s="1219"/>
      <c r="L470" s="1219"/>
      <c r="N470" s="1185"/>
      <c r="O470" s="1185"/>
      <c r="P470" s="1186"/>
      <c r="Q470" s="1186"/>
      <c r="R470" s="1186"/>
      <c r="S470" s="1185"/>
      <c r="T470" s="1185"/>
      <c r="U470" s="1185"/>
      <c r="V470" s="1185"/>
      <c r="W470" s="1185"/>
      <c r="X470" s="1185"/>
      <c r="Y470" s="1185"/>
      <c r="Z470" s="1185"/>
      <c r="AA470" s="1185"/>
      <c r="AB470" s="1185"/>
      <c r="AC470" s="1185"/>
      <c r="AD470" s="1185"/>
      <c r="AE470" s="1185"/>
      <c r="AF470" s="1185"/>
      <c r="AG470" s="1185"/>
      <c r="AH470" s="1185"/>
      <c r="AI470" s="1185"/>
    </row>
    <row r="471" spans="1:35">
      <c r="A471" s="1009" t="s">
        <v>421</v>
      </c>
      <c r="B471" s="1219"/>
      <c r="C471" s="1026">
        <v>0</v>
      </c>
      <c r="D471" s="1234">
        <v>227</v>
      </c>
      <c r="E471" s="1009"/>
      <c r="F471" s="1041">
        <f t="shared" ref="F471:F473" si="60">ROUND(D471*$C471,0)</f>
        <v>0</v>
      </c>
      <c r="G471" s="1234">
        <v>259</v>
      </c>
      <c r="H471" s="1009"/>
      <c r="I471" s="1041">
        <f>ROUND(E471*$C471,0)</f>
        <v>0</v>
      </c>
      <c r="J471" s="1234">
        <f>J508</f>
        <v>259</v>
      </c>
      <c r="K471" s="1009"/>
      <c r="L471" s="1041">
        <f>ROUND(J471*$C471,0)</f>
        <v>0</v>
      </c>
      <c r="N471" s="1185"/>
      <c r="O471" s="1185"/>
      <c r="P471" s="1186"/>
      <c r="Q471" s="1186"/>
      <c r="R471" s="1186"/>
      <c r="S471" s="1185"/>
      <c r="T471" s="1185"/>
      <c r="U471" s="1185"/>
      <c r="V471" s="1185"/>
      <c r="W471" s="1185"/>
      <c r="X471" s="1185"/>
      <c r="Y471" s="1185"/>
      <c r="Z471" s="1185"/>
      <c r="AA471" s="1185"/>
      <c r="AB471" s="1185"/>
      <c r="AC471" s="1185"/>
      <c r="AD471" s="1185"/>
      <c r="AE471" s="1185"/>
      <c r="AF471" s="1185"/>
      <c r="AG471" s="1185"/>
      <c r="AH471" s="1185"/>
      <c r="AI471" s="1185"/>
    </row>
    <row r="472" spans="1:35">
      <c r="A472" s="1009" t="s">
        <v>422</v>
      </c>
      <c r="B472" s="1219"/>
      <c r="C472" s="1026">
        <v>0</v>
      </c>
      <c r="D472" s="1234">
        <v>84</v>
      </c>
      <c r="E472" s="1009"/>
      <c r="F472" s="1041">
        <f t="shared" si="60"/>
        <v>0</v>
      </c>
      <c r="G472" s="1234">
        <v>96</v>
      </c>
      <c r="H472" s="1009"/>
      <c r="I472" s="1041">
        <f>ROUND(E472*$C472,0)</f>
        <v>0</v>
      </c>
      <c r="J472" s="1234">
        <f t="shared" ref="J472:J478" si="61">J509</f>
        <v>96</v>
      </c>
      <c r="K472" s="1009"/>
      <c r="L472" s="1041">
        <f>ROUND(J472*$C472,0)</f>
        <v>0</v>
      </c>
      <c r="N472" s="1185"/>
      <c r="O472" s="1185"/>
      <c r="P472" s="1186"/>
      <c r="Q472" s="1186"/>
      <c r="R472" s="1186"/>
      <c r="S472" s="1185"/>
      <c r="T472" s="1185"/>
      <c r="U472" s="1185"/>
      <c r="V472" s="1185"/>
      <c r="W472" s="1185"/>
      <c r="X472" s="1185"/>
      <c r="Y472" s="1185"/>
      <c r="Z472" s="1185"/>
      <c r="AA472" s="1185"/>
      <c r="AB472" s="1185"/>
      <c r="AC472" s="1185"/>
      <c r="AD472" s="1185"/>
      <c r="AE472" s="1185"/>
      <c r="AF472" s="1185"/>
      <c r="AG472" s="1185"/>
      <c r="AH472" s="1185"/>
      <c r="AI472" s="1185"/>
    </row>
    <row r="473" spans="1:35">
      <c r="A473" s="1009" t="s">
        <v>423</v>
      </c>
      <c r="B473" s="1219"/>
      <c r="C473" s="1026">
        <v>0</v>
      </c>
      <c r="D473" s="1234">
        <v>168</v>
      </c>
      <c r="E473" s="1250"/>
      <c r="F473" s="1041">
        <f t="shared" si="60"/>
        <v>0</v>
      </c>
      <c r="G473" s="1234">
        <v>192</v>
      </c>
      <c r="H473" s="1250"/>
      <c r="I473" s="1041">
        <f>ROUND(E473*$C473,0)</f>
        <v>0</v>
      </c>
      <c r="J473" s="1234">
        <f t="shared" si="61"/>
        <v>192</v>
      </c>
      <c r="K473" s="1250"/>
      <c r="L473" s="1041">
        <f>ROUND(J473*$C473,0)</f>
        <v>0</v>
      </c>
      <c r="N473" s="1185"/>
      <c r="O473" s="1185"/>
      <c r="P473" s="1186"/>
      <c r="Q473" s="1186"/>
      <c r="R473" s="1186"/>
      <c r="S473" s="1185"/>
      <c r="T473" s="1185"/>
      <c r="U473" s="1185"/>
      <c r="V473" s="1185"/>
      <c r="W473" s="1185"/>
      <c r="X473" s="1185"/>
      <c r="Y473" s="1185"/>
      <c r="Z473" s="1185"/>
      <c r="AA473" s="1185"/>
      <c r="AB473" s="1185"/>
      <c r="AC473" s="1185"/>
      <c r="AD473" s="1185"/>
      <c r="AE473" s="1185"/>
      <c r="AF473" s="1185"/>
      <c r="AG473" s="1185"/>
      <c r="AH473" s="1185"/>
      <c r="AI473" s="1185"/>
    </row>
    <row r="474" spans="1:35">
      <c r="A474" s="1009" t="s">
        <v>394</v>
      </c>
      <c r="B474" s="1219"/>
      <c r="C474" s="1026">
        <f>SUM(C471:C473)</f>
        <v>0</v>
      </c>
      <c r="D474" s="1234"/>
      <c r="E474" s="1009"/>
      <c r="F474" s="1041"/>
      <c r="G474" s="1234"/>
      <c r="H474" s="1009"/>
      <c r="I474" s="1041"/>
      <c r="J474" s="1234"/>
      <c r="K474" s="1009"/>
      <c r="L474" s="1041"/>
      <c r="N474" s="1185"/>
      <c r="O474" s="1185"/>
      <c r="P474" s="1186"/>
      <c r="Q474" s="1186"/>
      <c r="R474" s="1186"/>
      <c r="S474" s="1185"/>
      <c r="T474" s="1185"/>
      <c r="U474" s="1185"/>
      <c r="V474" s="1185"/>
      <c r="W474" s="1185"/>
      <c r="X474" s="1185"/>
      <c r="Y474" s="1185"/>
      <c r="Z474" s="1185"/>
      <c r="AA474" s="1185"/>
      <c r="AB474" s="1185"/>
      <c r="AC474" s="1185"/>
      <c r="AD474" s="1185"/>
      <c r="AE474" s="1185"/>
      <c r="AF474" s="1185"/>
      <c r="AG474" s="1185"/>
      <c r="AH474" s="1185"/>
      <c r="AI474" s="1185"/>
    </row>
    <row r="475" spans="1:35">
      <c r="A475" s="1009" t="s">
        <v>422</v>
      </c>
      <c r="B475" s="1219"/>
      <c r="C475" s="1026">
        <v>0</v>
      </c>
      <c r="D475" s="1234">
        <v>1.48</v>
      </c>
      <c r="E475" s="1009" t="s">
        <v>31</v>
      </c>
      <c r="F475" s="1041">
        <f>ROUND(D475*$C475,0)</f>
        <v>0</v>
      </c>
      <c r="G475" s="1234">
        <v>1.7</v>
      </c>
      <c r="H475" s="1009" t="s">
        <v>31</v>
      </c>
      <c r="I475" s="1041">
        <f>ROUND(E475*$C475,0)</f>
        <v>0</v>
      </c>
      <c r="J475" s="1234">
        <f t="shared" si="61"/>
        <v>1.7</v>
      </c>
      <c r="K475" s="1009" t="s">
        <v>31</v>
      </c>
      <c r="L475" s="1041">
        <f>ROUND(J475*$C475,0)</f>
        <v>0</v>
      </c>
      <c r="N475" s="1185"/>
      <c r="O475" s="1185"/>
      <c r="P475" s="1186"/>
      <c r="Q475" s="1186"/>
      <c r="R475" s="1186"/>
      <c r="S475" s="1185"/>
      <c r="T475" s="1185"/>
      <c r="U475" s="1185"/>
      <c r="V475" s="1185"/>
      <c r="W475" s="1185"/>
      <c r="X475" s="1185"/>
      <c r="Y475" s="1185"/>
      <c r="Z475" s="1185"/>
      <c r="AA475" s="1185"/>
      <c r="AB475" s="1185"/>
      <c r="AC475" s="1185"/>
      <c r="AD475" s="1185"/>
      <c r="AE475" s="1185"/>
      <c r="AF475" s="1185"/>
      <c r="AG475" s="1185"/>
      <c r="AH475" s="1185"/>
      <c r="AI475" s="1185"/>
    </row>
    <row r="476" spans="1:35">
      <c r="A476" s="1009" t="s">
        <v>423</v>
      </c>
      <c r="B476" s="1219"/>
      <c r="C476" s="1026">
        <v>0</v>
      </c>
      <c r="D476" s="1234">
        <v>1.22</v>
      </c>
      <c r="E476" s="1009" t="s">
        <v>31</v>
      </c>
      <c r="F476" s="1041">
        <f>ROUND(D476*$C476,0)</f>
        <v>0</v>
      </c>
      <c r="G476" s="1234">
        <v>1.39</v>
      </c>
      <c r="H476" s="1009" t="s">
        <v>31</v>
      </c>
      <c r="I476" s="1041">
        <f>ROUND(E476*$C476,0)</f>
        <v>0</v>
      </c>
      <c r="J476" s="1234">
        <f t="shared" si="61"/>
        <v>1.39</v>
      </c>
      <c r="K476" s="1009" t="s">
        <v>31</v>
      </c>
      <c r="L476" s="1041">
        <f>ROUND(J476*$C476,0)</f>
        <v>0</v>
      </c>
      <c r="N476" s="1185"/>
      <c r="O476" s="1185"/>
      <c r="P476" s="1186"/>
      <c r="Q476" s="1186"/>
      <c r="R476" s="1186"/>
      <c r="S476" s="1185"/>
      <c r="T476" s="1185"/>
      <c r="U476" s="1185"/>
      <c r="V476" s="1185"/>
      <c r="W476" s="1185"/>
      <c r="X476" s="1185"/>
      <c r="Y476" s="1185"/>
      <c r="Z476" s="1185"/>
      <c r="AA476" s="1185"/>
      <c r="AB476" s="1185"/>
      <c r="AC476" s="1185"/>
      <c r="AD476" s="1185"/>
      <c r="AE476" s="1185"/>
      <c r="AF476" s="1185"/>
      <c r="AG476" s="1185"/>
      <c r="AH476" s="1185"/>
      <c r="AI476" s="1185"/>
    </row>
    <row r="477" spans="1:35">
      <c r="A477" s="1218" t="s">
        <v>424</v>
      </c>
      <c r="B477" s="1219"/>
      <c r="C477" s="1026"/>
      <c r="D477" s="1234"/>
      <c r="E477" s="1009"/>
      <c r="F477" s="1041"/>
      <c r="G477" s="1234"/>
      <c r="H477" s="1009"/>
      <c r="I477" s="1041"/>
      <c r="J477" s="1234"/>
      <c r="K477" s="1009"/>
      <c r="L477" s="1041"/>
      <c r="N477" s="1185"/>
      <c r="O477" s="1185"/>
      <c r="P477" s="1186"/>
      <c r="Q477" s="1186"/>
      <c r="R477" s="1186"/>
      <c r="S477" s="1185"/>
      <c r="T477" s="1185"/>
      <c r="U477" s="1185"/>
      <c r="V477" s="1185"/>
      <c r="W477" s="1185"/>
      <c r="X477" s="1185"/>
      <c r="Y477" s="1185"/>
      <c r="Z477" s="1185"/>
      <c r="AA477" s="1185"/>
      <c r="AB477" s="1185"/>
      <c r="AC477" s="1185"/>
      <c r="AD477" s="1185"/>
      <c r="AE477" s="1185"/>
      <c r="AF477" s="1185"/>
      <c r="AG477" s="1185"/>
      <c r="AH477" s="1185"/>
      <c r="AI477" s="1185"/>
    </row>
    <row r="478" spans="1:35">
      <c r="A478" s="1218" t="s">
        <v>425</v>
      </c>
      <c r="B478" s="1219"/>
      <c r="C478" s="1026">
        <v>0</v>
      </c>
      <c r="D478" s="1234">
        <v>3.88</v>
      </c>
      <c r="E478" s="1009"/>
      <c r="F478" s="1041">
        <f>ROUND(D478*$C478,0)</f>
        <v>0</v>
      </c>
      <c r="G478" s="1234">
        <v>4.4400000000000004</v>
      </c>
      <c r="H478" s="1009"/>
      <c r="I478" s="1041">
        <f>ROUND(E478*$C478,0)</f>
        <v>0</v>
      </c>
      <c r="J478" s="1234">
        <f t="shared" si="61"/>
        <v>4.72</v>
      </c>
      <c r="K478" s="1009"/>
      <c r="L478" s="1041">
        <f>ROUND(J478*$C478,0)</f>
        <v>0</v>
      </c>
      <c r="N478" s="1185"/>
      <c r="O478" s="1185"/>
      <c r="P478" s="1186"/>
      <c r="Q478" s="1186"/>
      <c r="R478" s="1186"/>
      <c r="S478" s="1185"/>
      <c r="T478" s="1185"/>
      <c r="U478" s="1185"/>
      <c r="V478" s="1185"/>
      <c r="W478" s="1185"/>
      <c r="X478" s="1185"/>
      <c r="Y478" s="1185"/>
      <c r="Z478" s="1185"/>
      <c r="AA478" s="1185"/>
      <c r="AB478" s="1185"/>
      <c r="AC478" s="1185"/>
      <c r="AD478" s="1185"/>
      <c r="AE478" s="1185"/>
      <c r="AF478" s="1185"/>
      <c r="AG478" s="1185"/>
      <c r="AH478" s="1185"/>
      <c r="AI478" s="1185"/>
    </row>
    <row r="479" spans="1:35">
      <c r="A479" s="1009" t="s">
        <v>426</v>
      </c>
      <c r="B479" s="1219"/>
      <c r="C479" s="1026"/>
      <c r="D479" s="1279"/>
      <c r="E479" s="1041"/>
      <c r="F479" s="1041"/>
      <c r="G479" s="1279"/>
      <c r="H479" s="1041"/>
      <c r="I479" s="1041"/>
      <c r="J479" s="1279"/>
      <c r="K479" s="1041"/>
      <c r="L479" s="1041"/>
      <c r="N479" s="1185"/>
      <c r="O479" s="1185"/>
      <c r="P479" s="1186"/>
      <c r="Q479" s="1186"/>
      <c r="R479" s="1186"/>
      <c r="S479" s="1185"/>
      <c r="T479" s="1185"/>
      <c r="U479" s="1185"/>
      <c r="V479" s="1185"/>
      <c r="W479" s="1185"/>
      <c r="X479" s="1185"/>
      <c r="Y479" s="1185"/>
      <c r="Z479" s="1185"/>
      <c r="AA479" s="1185"/>
      <c r="AB479" s="1185"/>
      <c r="AC479" s="1185"/>
      <c r="AD479" s="1185"/>
      <c r="AE479" s="1185"/>
      <c r="AF479" s="1185"/>
      <c r="AG479" s="1185"/>
      <c r="AH479" s="1185"/>
      <c r="AI479" s="1185"/>
    </row>
    <row r="480" spans="1:35">
      <c r="A480" s="1009" t="s">
        <v>427</v>
      </c>
      <c r="B480" s="1219"/>
      <c r="C480" s="1026">
        <v>0</v>
      </c>
      <c r="D480" s="1070">
        <v>4.6340000000000003</v>
      </c>
      <c r="E480" s="1041" t="s">
        <v>374</v>
      </c>
      <c r="F480" s="1041">
        <f>ROUND($C480*D480/100,0)</f>
        <v>0</v>
      </c>
      <c r="G480" s="1070">
        <v>5.2939999999999996</v>
      </c>
      <c r="H480" s="1041" t="s">
        <v>374</v>
      </c>
      <c r="I480" s="1041">
        <f>ROUND($C480*E480/100,0)</f>
        <v>0</v>
      </c>
      <c r="J480" s="1070">
        <f>J518</f>
        <v>5.6289999999999996</v>
      </c>
      <c r="K480" s="1041" t="s">
        <v>374</v>
      </c>
      <c r="L480" s="1041">
        <f>ROUND($C480*J480/100,0)</f>
        <v>0</v>
      </c>
      <c r="N480" s="1185"/>
      <c r="O480" s="1185"/>
      <c r="P480" s="1186"/>
      <c r="Q480" s="1186"/>
      <c r="R480" s="1186"/>
      <c r="S480" s="1185"/>
      <c r="T480" s="1185"/>
      <c r="U480" s="1185"/>
      <c r="V480" s="1185"/>
      <c r="W480" s="1185"/>
      <c r="X480" s="1185"/>
      <c r="Y480" s="1185"/>
      <c r="Z480" s="1185"/>
      <c r="AA480" s="1185"/>
      <c r="AB480" s="1185"/>
      <c r="AC480" s="1185"/>
      <c r="AD480" s="1185"/>
      <c r="AE480" s="1185"/>
      <c r="AF480" s="1185"/>
      <c r="AG480" s="1185"/>
      <c r="AH480" s="1185"/>
      <c r="AI480" s="1185"/>
    </row>
    <row r="481" spans="1:35">
      <c r="A481" s="1009" t="s">
        <v>399</v>
      </c>
      <c r="B481" s="1219"/>
      <c r="C481" s="1026">
        <v>0</v>
      </c>
      <c r="D481" s="1070">
        <v>4.2469999999999999</v>
      </c>
      <c r="E481" s="1041" t="s">
        <v>374</v>
      </c>
      <c r="F481" s="1041">
        <f>ROUND($C481*D481/100,0)</f>
        <v>0</v>
      </c>
      <c r="G481" s="1070">
        <v>4.8520000000000003</v>
      </c>
      <c r="H481" s="1041" t="s">
        <v>374</v>
      </c>
      <c r="I481" s="1041">
        <f>ROUND($C481*E481/100,0)</f>
        <v>0</v>
      </c>
      <c r="J481" s="1070">
        <f>J519</f>
        <v>5.157</v>
      </c>
      <c r="K481" s="1041" t="s">
        <v>374</v>
      </c>
      <c r="L481" s="1041">
        <f>ROUND($C481*J481/100,0)</f>
        <v>0</v>
      </c>
      <c r="N481" s="1185"/>
      <c r="O481" s="1185"/>
      <c r="P481" s="1186"/>
      <c r="Q481" s="1186"/>
      <c r="R481" s="1186"/>
      <c r="S481" s="1185"/>
      <c r="T481" s="1185"/>
      <c r="U481" s="1185"/>
      <c r="V481" s="1185"/>
      <c r="W481" s="1185"/>
      <c r="X481" s="1185"/>
      <c r="Y481" s="1185"/>
      <c r="Z481" s="1185"/>
      <c r="AA481" s="1185"/>
      <c r="AB481" s="1185"/>
      <c r="AC481" s="1185"/>
      <c r="AD481" s="1185"/>
      <c r="AE481" s="1185"/>
      <c r="AF481" s="1185"/>
      <c r="AG481" s="1185"/>
      <c r="AH481" s="1185"/>
      <c r="AI481" s="1185"/>
    </row>
    <row r="482" spans="1:35">
      <c r="A482" s="1009" t="s">
        <v>400</v>
      </c>
      <c r="B482" s="1219"/>
      <c r="C482" s="1026">
        <v>0</v>
      </c>
      <c r="D482" s="1280">
        <v>0</v>
      </c>
      <c r="E482" s="1041" t="s">
        <v>374</v>
      </c>
      <c r="F482" s="1041">
        <f>ROUND(D482*$C482/100,0)</f>
        <v>0</v>
      </c>
      <c r="G482" s="1260">
        <v>56</v>
      </c>
      <c r="H482" s="1041" t="s">
        <v>374</v>
      </c>
      <c r="I482" s="1041">
        <f>ROUND(E482*$C482/100,0)</f>
        <v>0</v>
      </c>
      <c r="J482" s="1280">
        <f>J520</f>
        <v>56</v>
      </c>
      <c r="K482" s="1041" t="s">
        <v>374</v>
      </c>
      <c r="L482" s="1041">
        <f>ROUND(J482*$C482,0)</f>
        <v>0</v>
      </c>
      <c r="N482" s="1185"/>
      <c r="O482" s="1185"/>
      <c r="P482" s="1186"/>
      <c r="Q482" s="1186"/>
      <c r="R482" s="1186"/>
      <c r="S482" s="1185"/>
      <c r="T482" s="1185"/>
      <c r="U482" s="1185"/>
      <c r="V482" s="1185"/>
      <c r="W482" s="1185"/>
      <c r="X482" s="1185"/>
      <c r="Y482" s="1185"/>
      <c r="Z482" s="1185"/>
      <c r="AA482" s="1185"/>
      <c r="AB482" s="1185"/>
      <c r="AC482" s="1185"/>
      <c r="AD482" s="1185"/>
      <c r="AE482" s="1185"/>
      <c r="AF482" s="1185"/>
      <c r="AG482" s="1185"/>
      <c r="AH482" s="1185"/>
      <c r="AI482" s="1185"/>
    </row>
    <row r="483" spans="1:35">
      <c r="A483" s="1009" t="s">
        <v>428</v>
      </c>
      <c r="B483" s="1219"/>
      <c r="C483" s="1026">
        <v>0</v>
      </c>
      <c r="D483" s="1281">
        <v>0.06</v>
      </c>
      <c r="E483" s="1041"/>
      <c r="F483" s="1041">
        <f>ROUND($C483*D483/100,0)</f>
        <v>0</v>
      </c>
      <c r="G483" s="1282">
        <v>56</v>
      </c>
      <c r="H483" s="1041" t="s">
        <v>374</v>
      </c>
      <c r="I483" s="1041">
        <f>ROUND($C483*E483/100,0)</f>
        <v>0</v>
      </c>
      <c r="J483" s="1282">
        <f>J520</f>
        <v>56</v>
      </c>
      <c r="K483" s="1041" t="s">
        <v>374</v>
      </c>
      <c r="L483" s="1041">
        <f>ROUND($C483*J483/100,0)</f>
        <v>0</v>
      </c>
      <c r="N483" s="1185"/>
      <c r="O483" s="1185"/>
      <c r="P483" s="1186"/>
      <c r="Q483" s="1186"/>
      <c r="R483" s="1186"/>
      <c r="S483" s="1185"/>
      <c r="T483" s="1185"/>
      <c r="U483" s="1185"/>
      <c r="V483" s="1185"/>
      <c r="W483" s="1185"/>
      <c r="X483" s="1185"/>
      <c r="Y483" s="1185"/>
      <c r="Z483" s="1185"/>
      <c r="AA483" s="1185"/>
      <c r="AB483" s="1185"/>
      <c r="AC483" s="1185"/>
      <c r="AD483" s="1185"/>
      <c r="AE483" s="1185"/>
      <c r="AF483" s="1185"/>
      <c r="AG483" s="1185"/>
      <c r="AH483" s="1185"/>
      <c r="AI483" s="1185"/>
    </row>
    <row r="484" spans="1:35">
      <c r="A484" s="1283" t="s">
        <v>401</v>
      </c>
      <c r="B484" s="1219" t="s">
        <v>31</v>
      </c>
      <c r="C484" s="1026"/>
      <c r="D484" s="1257">
        <v>-0.01</v>
      </c>
      <c r="E484" s="1284"/>
      <c r="F484" s="1284"/>
      <c r="G484" s="1257">
        <v>-0.01</v>
      </c>
      <c r="H484" s="1284"/>
      <c r="I484" s="1284"/>
      <c r="J484" s="1257">
        <v>-0.01</v>
      </c>
      <c r="K484" s="1284"/>
      <c r="L484" s="1203"/>
      <c r="N484" s="1185"/>
      <c r="O484" s="1185"/>
      <c r="P484" s="1186"/>
      <c r="Q484" s="1186"/>
      <c r="R484" s="1186"/>
      <c r="S484" s="1185"/>
      <c r="T484" s="1185"/>
      <c r="U484" s="1185"/>
      <c r="V484" s="1185"/>
      <c r="W484" s="1185"/>
      <c r="X484" s="1185"/>
      <c r="Y484" s="1185"/>
      <c r="Z484" s="1185"/>
      <c r="AA484" s="1185"/>
      <c r="AB484" s="1185"/>
      <c r="AC484" s="1185"/>
      <c r="AD484" s="1185"/>
      <c r="AE484" s="1185"/>
      <c r="AF484" s="1185"/>
      <c r="AG484" s="1185"/>
      <c r="AH484" s="1185"/>
      <c r="AI484" s="1185"/>
    </row>
    <row r="485" spans="1:35">
      <c r="A485" s="1009" t="s">
        <v>421</v>
      </c>
      <c r="B485" s="1219"/>
      <c r="C485" s="1026">
        <v>0</v>
      </c>
      <c r="D485" s="1234">
        <v>227</v>
      </c>
      <c r="E485" s="1009"/>
      <c r="F485" s="1041">
        <f t="shared" ref="F485:F490" si="62">ROUND(D485*$C485*$D$484,0)</f>
        <v>0</v>
      </c>
      <c r="G485" s="1234">
        <v>259</v>
      </c>
      <c r="H485" s="1009"/>
      <c r="I485" s="1041">
        <f t="shared" ref="I485:I490" si="63">ROUND(E485*$C485*$D$484,0)</f>
        <v>0</v>
      </c>
      <c r="J485" s="1234">
        <f>J471</f>
        <v>259</v>
      </c>
      <c r="K485" s="1009"/>
      <c r="L485" s="1041">
        <f t="shared" ref="L485:L490" si="64">ROUND(J485*$C485*$D$484,0)</f>
        <v>0</v>
      </c>
      <c r="N485" s="1185"/>
      <c r="O485" s="1185"/>
      <c r="P485" s="1186"/>
      <c r="Q485" s="1186"/>
      <c r="R485" s="1186"/>
      <c r="S485" s="1185"/>
      <c r="T485" s="1185"/>
      <c r="U485" s="1185"/>
      <c r="V485" s="1185"/>
      <c r="W485" s="1185"/>
      <c r="X485" s="1185"/>
      <c r="Y485" s="1185"/>
      <c r="Z485" s="1185"/>
      <c r="AA485" s="1185"/>
      <c r="AB485" s="1185"/>
      <c r="AC485" s="1185"/>
      <c r="AD485" s="1185"/>
      <c r="AE485" s="1185"/>
      <c r="AF485" s="1185"/>
      <c r="AG485" s="1185"/>
      <c r="AH485" s="1185"/>
      <c r="AI485" s="1185"/>
    </row>
    <row r="486" spans="1:35">
      <c r="A486" s="1009" t="s">
        <v>422</v>
      </c>
      <c r="B486" s="1219"/>
      <c r="C486" s="1026">
        <v>0</v>
      </c>
      <c r="D486" s="1234">
        <v>84</v>
      </c>
      <c r="E486" s="1009"/>
      <c r="F486" s="1041">
        <f t="shared" si="62"/>
        <v>0</v>
      </c>
      <c r="G486" s="1234">
        <v>96</v>
      </c>
      <c r="H486" s="1009"/>
      <c r="I486" s="1041">
        <f t="shared" si="63"/>
        <v>0</v>
      </c>
      <c r="J486" s="1234">
        <f>J472</f>
        <v>96</v>
      </c>
      <c r="K486" s="1009"/>
      <c r="L486" s="1041">
        <f t="shared" si="64"/>
        <v>0</v>
      </c>
      <c r="N486" s="1185"/>
      <c r="O486" s="1185"/>
      <c r="P486" s="1186"/>
      <c r="Q486" s="1186"/>
      <c r="R486" s="1186"/>
      <c r="S486" s="1185"/>
      <c r="T486" s="1185"/>
      <c r="U486" s="1185"/>
      <c r="V486" s="1185"/>
      <c r="W486" s="1185"/>
      <c r="X486" s="1185"/>
      <c r="Y486" s="1185"/>
      <c r="Z486" s="1185"/>
      <c r="AA486" s="1185"/>
      <c r="AB486" s="1185"/>
      <c r="AC486" s="1185"/>
      <c r="AD486" s="1185"/>
      <c r="AE486" s="1185"/>
      <c r="AF486" s="1185"/>
      <c r="AG486" s="1185"/>
      <c r="AH486" s="1185"/>
      <c r="AI486" s="1185"/>
    </row>
    <row r="487" spans="1:35">
      <c r="A487" s="1009" t="s">
        <v>423</v>
      </c>
      <c r="B487" s="1219"/>
      <c r="C487" s="1026">
        <v>0</v>
      </c>
      <c r="D487" s="1234">
        <v>168</v>
      </c>
      <c r="E487" s="1250"/>
      <c r="F487" s="1041">
        <f t="shared" si="62"/>
        <v>0</v>
      </c>
      <c r="G487" s="1234">
        <v>192</v>
      </c>
      <c r="H487" s="1250"/>
      <c r="I487" s="1041">
        <f t="shared" si="63"/>
        <v>0</v>
      </c>
      <c r="J487" s="1234">
        <f>J473</f>
        <v>192</v>
      </c>
      <c r="K487" s="1250"/>
      <c r="L487" s="1041">
        <f t="shared" si="64"/>
        <v>0</v>
      </c>
      <c r="N487" s="1185"/>
      <c r="O487" s="1185"/>
      <c r="P487" s="1186"/>
      <c r="Q487" s="1186"/>
      <c r="R487" s="1186"/>
      <c r="S487" s="1185"/>
      <c r="T487" s="1185"/>
      <c r="U487" s="1185"/>
      <c r="V487" s="1185"/>
      <c r="W487" s="1185"/>
      <c r="X487" s="1185"/>
      <c r="Y487" s="1185"/>
      <c r="Z487" s="1185"/>
      <c r="AA487" s="1185"/>
      <c r="AB487" s="1185"/>
      <c r="AC487" s="1185"/>
      <c r="AD487" s="1185"/>
      <c r="AE487" s="1185"/>
      <c r="AF487" s="1185"/>
      <c r="AG487" s="1185"/>
      <c r="AH487" s="1185"/>
      <c r="AI487" s="1185"/>
    </row>
    <row r="488" spans="1:35">
      <c r="A488" s="1009" t="s">
        <v>422</v>
      </c>
      <c r="B488" s="1219"/>
      <c r="C488" s="1026">
        <v>0</v>
      </c>
      <c r="D488" s="1234">
        <v>1.48</v>
      </c>
      <c r="E488" s="1009" t="s">
        <v>31</v>
      </c>
      <c r="F488" s="1041">
        <f t="shared" si="62"/>
        <v>0</v>
      </c>
      <c r="G488" s="1234">
        <v>1.7</v>
      </c>
      <c r="H488" s="1009" t="s">
        <v>31</v>
      </c>
      <c r="I488" s="1041">
        <f t="shared" si="63"/>
        <v>0</v>
      </c>
      <c r="J488" s="1234">
        <f>J475</f>
        <v>1.7</v>
      </c>
      <c r="K488" s="1009" t="s">
        <v>31</v>
      </c>
      <c r="L488" s="1041">
        <f t="shared" si="64"/>
        <v>0</v>
      </c>
      <c r="N488" s="1185"/>
      <c r="O488" s="1185"/>
      <c r="P488" s="1186"/>
      <c r="Q488" s="1186"/>
      <c r="R488" s="1186"/>
      <c r="S488" s="1185"/>
      <c r="T488" s="1185"/>
      <c r="U488" s="1185"/>
      <c r="V488" s="1185"/>
      <c r="W488" s="1185"/>
      <c r="X488" s="1185"/>
      <c r="Y488" s="1185"/>
      <c r="Z488" s="1185"/>
      <c r="AA488" s="1185"/>
      <c r="AB488" s="1185"/>
      <c r="AC488" s="1185"/>
      <c r="AD488" s="1185"/>
      <c r="AE488" s="1185"/>
      <c r="AF488" s="1185"/>
      <c r="AG488" s="1185"/>
      <c r="AH488" s="1185"/>
      <c r="AI488" s="1185"/>
    </row>
    <row r="489" spans="1:35">
      <c r="A489" s="1009" t="s">
        <v>423</v>
      </c>
      <c r="B489" s="1219"/>
      <c r="C489" s="1026">
        <v>0</v>
      </c>
      <c r="D489" s="1234">
        <v>1.22</v>
      </c>
      <c r="E489" s="1009" t="s">
        <v>31</v>
      </c>
      <c r="F489" s="1041">
        <f t="shared" si="62"/>
        <v>0</v>
      </c>
      <c r="G489" s="1234">
        <v>1.39</v>
      </c>
      <c r="H489" s="1009" t="s">
        <v>31</v>
      </c>
      <c r="I489" s="1041">
        <f t="shared" si="63"/>
        <v>0</v>
      </c>
      <c r="J489" s="1234">
        <f>J476</f>
        <v>1.39</v>
      </c>
      <c r="K489" s="1009" t="s">
        <v>31</v>
      </c>
      <c r="L489" s="1041">
        <f t="shared" si="64"/>
        <v>0</v>
      </c>
      <c r="N489" s="1185"/>
      <c r="O489" s="1185"/>
      <c r="P489" s="1186"/>
      <c r="Q489" s="1186"/>
      <c r="R489" s="1186"/>
      <c r="S489" s="1185"/>
      <c r="T489" s="1185"/>
      <c r="U489" s="1185"/>
      <c r="V489" s="1185"/>
      <c r="W489" s="1185"/>
      <c r="X489" s="1185"/>
      <c r="Y489" s="1185"/>
      <c r="Z489" s="1185"/>
      <c r="AA489" s="1185"/>
      <c r="AB489" s="1185"/>
      <c r="AC489" s="1185"/>
      <c r="AD489" s="1185"/>
      <c r="AE489" s="1185"/>
      <c r="AF489" s="1185"/>
      <c r="AG489" s="1185"/>
      <c r="AH489" s="1185"/>
      <c r="AI489" s="1185"/>
    </row>
    <row r="490" spans="1:35">
      <c r="A490" s="1218" t="s">
        <v>425</v>
      </c>
      <c r="B490" s="1219"/>
      <c r="C490" s="1026">
        <v>0</v>
      </c>
      <c r="D490" s="1234">
        <v>3.88</v>
      </c>
      <c r="E490" s="1009"/>
      <c r="F490" s="1041">
        <f t="shared" si="62"/>
        <v>0</v>
      </c>
      <c r="G490" s="1234">
        <v>4.4400000000000004</v>
      </c>
      <c r="H490" s="1009"/>
      <c r="I490" s="1041">
        <f t="shared" si="63"/>
        <v>0</v>
      </c>
      <c r="J490" s="1234">
        <f>J478</f>
        <v>4.72</v>
      </c>
      <c r="K490" s="1009"/>
      <c r="L490" s="1041">
        <f t="shared" si="64"/>
        <v>0</v>
      </c>
      <c r="N490" s="1185"/>
      <c r="O490" s="1185"/>
      <c r="P490" s="1186"/>
      <c r="Q490" s="1186"/>
      <c r="R490" s="1186"/>
      <c r="S490" s="1185"/>
      <c r="T490" s="1185"/>
      <c r="U490" s="1185"/>
      <c r="V490" s="1185"/>
      <c r="W490" s="1185"/>
      <c r="X490" s="1185"/>
      <c r="Y490" s="1185"/>
      <c r="Z490" s="1185"/>
      <c r="AA490" s="1185"/>
      <c r="AB490" s="1185"/>
      <c r="AC490" s="1185"/>
      <c r="AD490" s="1185"/>
      <c r="AE490" s="1185"/>
      <c r="AF490" s="1185"/>
      <c r="AG490" s="1185"/>
      <c r="AH490" s="1185"/>
      <c r="AI490" s="1185"/>
    </row>
    <row r="491" spans="1:35">
      <c r="A491" s="1009" t="s">
        <v>427</v>
      </c>
      <c r="B491" s="1219"/>
      <c r="C491" s="1026">
        <v>0</v>
      </c>
      <c r="D491" s="1070">
        <v>4.6340000000000003</v>
      </c>
      <c r="E491" s="1041" t="s">
        <v>374</v>
      </c>
      <c r="F491" s="1041">
        <f>ROUND(D491/100*$C491*D484,0)</f>
        <v>0</v>
      </c>
      <c r="G491" s="1259">
        <v>0</v>
      </c>
      <c r="H491" s="1041" t="s">
        <v>374</v>
      </c>
      <c r="I491" s="1041">
        <f>ROUND(E491/100*$C491*E484,0)</f>
        <v>0</v>
      </c>
      <c r="J491" s="1234">
        <f>J479</f>
        <v>0</v>
      </c>
      <c r="K491" s="1041" t="s">
        <v>374</v>
      </c>
      <c r="L491" s="1041">
        <f>ROUND(J491/100*$C491*D484,0)</f>
        <v>0</v>
      </c>
      <c r="N491" s="1185"/>
      <c r="O491" s="1185"/>
      <c r="P491" s="1186"/>
      <c r="Q491" s="1186"/>
      <c r="R491" s="1186"/>
      <c r="S491" s="1185"/>
      <c r="T491" s="1185"/>
      <c r="U491" s="1185"/>
      <c r="V491" s="1185"/>
      <c r="W491" s="1185"/>
      <c r="X491" s="1185"/>
      <c r="Y491" s="1185"/>
      <c r="Z491" s="1185"/>
      <c r="AA491" s="1185"/>
      <c r="AB491" s="1185"/>
      <c r="AC491" s="1185"/>
      <c r="AD491" s="1185"/>
      <c r="AE491" s="1185"/>
      <c r="AF491" s="1185"/>
      <c r="AG491" s="1185"/>
      <c r="AH491" s="1185"/>
      <c r="AI491" s="1185"/>
    </row>
    <row r="492" spans="1:35">
      <c r="A492" s="1009" t="s">
        <v>399</v>
      </c>
      <c r="B492" s="1219"/>
      <c r="C492" s="1026">
        <v>0</v>
      </c>
      <c r="D492" s="1070">
        <v>4.2469999999999999</v>
      </c>
      <c r="E492" s="1041" t="s">
        <v>374</v>
      </c>
      <c r="F492" s="1041">
        <f>ROUND(D492/100*$C492*D484,0)</f>
        <v>0</v>
      </c>
      <c r="G492" s="1285">
        <v>4.8520000000000003</v>
      </c>
      <c r="H492" s="1041" t="s">
        <v>374</v>
      </c>
      <c r="I492" s="1041">
        <f>ROUND(E492/100*$C492*E484,0)</f>
        <v>0</v>
      </c>
      <c r="J492" s="1236">
        <f>J481</f>
        <v>5.157</v>
      </c>
      <c r="K492" s="1041" t="s">
        <v>374</v>
      </c>
      <c r="L492" s="1041">
        <f>ROUND(J492/100*$C492*D484,0)</f>
        <v>0</v>
      </c>
      <c r="N492" s="1185"/>
      <c r="O492" s="1185"/>
      <c r="P492" s="1186"/>
      <c r="Q492" s="1186"/>
      <c r="R492" s="1186"/>
      <c r="S492" s="1185"/>
      <c r="T492" s="1185"/>
      <c r="U492" s="1185"/>
      <c r="V492" s="1185"/>
      <c r="W492" s="1185"/>
      <c r="X492" s="1185"/>
      <c r="Y492" s="1185"/>
      <c r="Z492" s="1185"/>
      <c r="AA492" s="1185"/>
      <c r="AB492" s="1185"/>
      <c r="AC492" s="1185"/>
      <c r="AD492" s="1185"/>
      <c r="AE492" s="1185"/>
      <c r="AF492" s="1185"/>
      <c r="AG492" s="1185"/>
      <c r="AH492" s="1185"/>
      <c r="AI492" s="1185"/>
    </row>
    <row r="493" spans="1:35">
      <c r="A493" s="1218" t="s">
        <v>429</v>
      </c>
      <c r="B493" s="1219"/>
      <c r="C493" s="1026">
        <v>0</v>
      </c>
      <c r="D493" s="1280">
        <v>50</v>
      </c>
      <c r="E493" s="1041" t="s">
        <v>374</v>
      </c>
      <c r="F493" s="1041">
        <f>ROUND(D493*$C493*$D$484,0)</f>
        <v>0</v>
      </c>
      <c r="G493" s="1260">
        <v>56</v>
      </c>
      <c r="H493" s="1041" t="s">
        <v>374</v>
      </c>
      <c r="I493" s="1041">
        <f>ROUND(E493*$C493*$D$484,0)</f>
        <v>0</v>
      </c>
      <c r="J493" s="1286">
        <f>J482</f>
        <v>56</v>
      </c>
      <c r="K493" s="1041" t="s">
        <v>374</v>
      </c>
      <c r="L493" s="1041">
        <f>ROUND(J493*$C493*$D$484,0)</f>
        <v>0</v>
      </c>
      <c r="N493" s="1185"/>
      <c r="O493" s="1185"/>
      <c r="P493" s="1186"/>
      <c r="Q493" s="1186"/>
      <c r="R493" s="1186"/>
      <c r="S493" s="1185"/>
      <c r="T493" s="1185"/>
      <c r="U493" s="1185"/>
      <c r="V493" s="1185"/>
      <c r="W493" s="1185"/>
      <c r="X493" s="1185"/>
      <c r="Y493" s="1185"/>
      <c r="Z493" s="1185"/>
      <c r="AA493" s="1185"/>
      <c r="AB493" s="1185"/>
      <c r="AC493" s="1185"/>
      <c r="AD493" s="1185"/>
      <c r="AE493" s="1185"/>
      <c r="AF493" s="1185"/>
      <c r="AG493" s="1185"/>
      <c r="AH493" s="1185"/>
      <c r="AI493" s="1185"/>
    </row>
    <row r="494" spans="1:35">
      <c r="A494" s="1218" t="s">
        <v>430</v>
      </c>
      <c r="B494" s="1219"/>
      <c r="C494" s="1026">
        <v>0</v>
      </c>
      <c r="D494" s="1287">
        <v>0.06</v>
      </c>
      <c r="E494" s="1041" t="s">
        <v>374</v>
      </c>
      <c r="F494" s="1041">
        <f>ROUND(D494/100*$C494*D484,0)</f>
        <v>0</v>
      </c>
      <c r="G494" s="1287">
        <v>0.06</v>
      </c>
      <c r="H494" s="1041" t="s">
        <v>374</v>
      </c>
      <c r="I494" s="1041">
        <f>ROUND(E494/100*$C494*E484,0)</f>
        <v>0</v>
      </c>
      <c r="J494" s="1282">
        <f>J483</f>
        <v>56</v>
      </c>
      <c r="K494" s="1041" t="s">
        <v>374</v>
      </c>
      <c r="L494" s="1041">
        <f>ROUND(J494/100*$C494*J484,0)</f>
        <v>0</v>
      </c>
      <c r="N494" s="1185"/>
      <c r="O494" s="1185"/>
      <c r="P494" s="1186"/>
      <c r="Q494" s="1186"/>
      <c r="R494" s="1186"/>
      <c r="S494" s="1185"/>
      <c r="T494" s="1185"/>
      <c r="U494" s="1185"/>
      <c r="V494" s="1185"/>
      <c r="W494" s="1185"/>
      <c r="X494" s="1185"/>
      <c r="Y494" s="1185"/>
      <c r="Z494" s="1185"/>
      <c r="AA494" s="1185"/>
      <c r="AB494" s="1185"/>
      <c r="AC494" s="1185"/>
      <c r="AD494" s="1185"/>
      <c r="AE494" s="1185"/>
      <c r="AF494" s="1185"/>
      <c r="AG494" s="1185"/>
      <c r="AH494" s="1185"/>
      <c r="AI494" s="1185"/>
    </row>
    <row r="495" spans="1:35">
      <c r="A495" s="1009" t="s">
        <v>431</v>
      </c>
      <c r="B495" s="1219"/>
      <c r="C495" s="1026">
        <v>0</v>
      </c>
      <c r="D495" s="1259">
        <v>60</v>
      </c>
      <c r="E495" s="1284" t="s">
        <v>31</v>
      </c>
      <c r="F495" s="1041">
        <f>ROUND(D495*$C495,0)</f>
        <v>0</v>
      </c>
      <c r="G495" s="1259">
        <v>60</v>
      </c>
      <c r="H495" s="1288" t="s">
        <v>31</v>
      </c>
      <c r="I495" s="1041">
        <f>ROUND(E495*$C495,0)</f>
        <v>0</v>
      </c>
      <c r="J495" s="1259">
        <v>60</v>
      </c>
      <c r="K495" s="1288" t="s">
        <v>31</v>
      </c>
      <c r="L495" s="1041">
        <f>ROUND(J495*$C495,0)</f>
        <v>0</v>
      </c>
      <c r="N495" s="1185"/>
      <c r="O495" s="1185"/>
      <c r="P495" s="1186"/>
      <c r="Q495" s="1186"/>
      <c r="R495" s="1186"/>
      <c r="S495" s="1185"/>
      <c r="T495" s="1185"/>
      <c r="U495" s="1185"/>
      <c r="V495" s="1185"/>
      <c r="W495" s="1185"/>
      <c r="X495" s="1185"/>
      <c r="Y495" s="1185"/>
      <c r="Z495" s="1185"/>
      <c r="AA495" s="1185"/>
      <c r="AB495" s="1185"/>
      <c r="AC495" s="1185"/>
      <c r="AD495" s="1185"/>
      <c r="AE495" s="1185"/>
      <c r="AF495" s="1185"/>
      <c r="AG495" s="1185"/>
      <c r="AH495" s="1185"/>
      <c r="AI495" s="1185"/>
    </row>
    <row r="496" spans="1:35">
      <c r="A496" s="1009" t="s">
        <v>432</v>
      </c>
      <c r="B496" s="1219"/>
      <c r="C496" s="1026">
        <v>0</v>
      </c>
      <c r="D496" s="1260">
        <v>-30</v>
      </c>
      <c r="E496" s="1041" t="s">
        <v>374</v>
      </c>
      <c r="F496" s="1041">
        <f>ROUND(D496*$C496*$D$484,0)</f>
        <v>0</v>
      </c>
      <c r="G496" s="1260">
        <v>-30</v>
      </c>
      <c r="H496" s="1041" t="s">
        <v>374</v>
      </c>
      <c r="I496" s="1041">
        <f>ROUND(E496*$C496*$D$484,0)</f>
        <v>0</v>
      </c>
      <c r="J496" s="1260">
        <v>-30</v>
      </c>
      <c r="K496" s="1041" t="s">
        <v>374</v>
      </c>
      <c r="L496" s="1041">
        <f>ROUND(J496*$C496*$D$484,0)</f>
        <v>0</v>
      </c>
      <c r="N496" s="1185"/>
      <c r="O496" s="1185"/>
      <c r="P496" s="1186"/>
      <c r="Q496" s="1186"/>
      <c r="R496" s="1186"/>
      <c r="S496" s="1185"/>
      <c r="T496" s="1185"/>
      <c r="U496" s="1185"/>
      <c r="V496" s="1185"/>
      <c r="W496" s="1185"/>
      <c r="X496" s="1185"/>
      <c r="Y496" s="1185"/>
      <c r="Z496" s="1185"/>
      <c r="AA496" s="1185"/>
      <c r="AB496" s="1185"/>
      <c r="AC496" s="1185"/>
      <c r="AD496" s="1185"/>
      <c r="AE496" s="1185"/>
      <c r="AF496" s="1185"/>
      <c r="AG496" s="1185"/>
      <c r="AH496" s="1185"/>
      <c r="AI496" s="1185"/>
    </row>
    <row r="497" spans="1:35">
      <c r="A497" s="1218" t="s">
        <v>433</v>
      </c>
      <c r="B497" s="1219"/>
      <c r="C497" s="1026">
        <v>0</v>
      </c>
      <c r="D497" s="1259">
        <v>1.94</v>
      </c>
      <c r="E497" s="1041"/>
      <c r="F497" s="1041"/>
      <c r="G497" s="1259">
        <v>2.2200000000000002</v>
      </c>
      <c r="H497" s="1041"/>
      <c r="I497" s="1041"/>
      <c r="J497" s="1234">
        <f>J490/2</f>
        <v>2.36</v>
      </c>
      <c r="K497" s="1041"/>
      <c r="L497" s="1041">
        <f>ROUND($C497*J497,0)</f>
        <v>0</v>
      </c>
      <c r="N497" s="1185"/>
      <c r="O497" s="1185"/>
      <c r="P497" s="1186"/>
      <c r="Q497" s="1186"/>
      <c r="R497" s="1186"/>
      <c r="S497" s="1185"/>
      <c r="T497" s="1185"/>
      <c r="U497" s="1185"/>
      <c r="V497" s="1185"/>
      <c r="W497" s="1185"/>
      <c r="X497" s="1185"/>
      <c r="Y497" s="1185"/>
      <c r="Z497" s="1185"/>
      <c r="AA497" s="1185"/>
      <c r="AB497" s="1185"/>
      <c r="AC497" s="1185"/>
      <c r="AD497" s="1185"/>
      <c r="AE497" s="1185"/>
      <c r="AF497" s="1185"/>
      <c r="AG497" s="1185"/>
      <c r="AH497" s="1185"/>
      <c r="AI497" s="1185"/>
    </row>
    <row r="498" spans="1:35">
      <c r="A498" s="1218" t="s">
        <v>434</v>
      </c>
      <c r="B498" s="1219"/>
      <c r="C498" s="1026">
        <v>0</v>
      </c>
      <c r="D498" s="1259">
        <v>15.52</v>
      </c>
      <c r="E498" s="1041"/>
      <c r="F498" s="1041"/>
      <c r="G498" s="1259">
        <v>17.760000000000002</v>
      </c>
      <c r="H498" s="1041"/>
      <c r="I498" s="1041"/>
      <c r="J498" s="1234">
        <f>J490*4</f>
        <v>18.88</v>
      </c>
      <c r="K498" s="1041"/>
      <c r="L498" s="1041">
        <f>ROUND($C498*J498,0)</f>
        <v>0</v>
      </c>
      <c r="N498" s="1185"/>
      <c r="O498" s="1185"/>
      <c r="P498" s="1186"/>
      <c r="Q498" s="1186"/>
      <c r="R498" s="1186"/>
      <c r="S498" s="1185"/>
      <c r="T498" s="1185"/>
      <c r="U498" s="1185"/>
      <c r="V498" s="1185"/>
      <c r="W498" s="1185"/>
      <c r="X498" s="1185"/>
      <c r="Y498" s="1185"/>
      <c r="Z498" s="1185"/>
      <c r="AA498" s="1185"/>
      <c r="AB498" s="1185"/>
      <c r="AC498" s="1185"/>
      <c r="AD498" s="1185"/>
      <c r="AE498" s="1185"/>
      <c r="AF498" s="1185"/>
      <c r="AG498" s="1185"/>
      <c r="AH498" s="1185"/>
      <c r="AI498" s="1185"/>
    </row>
    <row r="499" spans="1:35">
      <c r="A499" s="1184" t="s">
        <v>435</v>
      </c>
      <c r="B499" s="1233"/>
      <c r="C499" s="1026">
        <v>0</v>
      </c>
      <c r="D499" s="1070">
        <v>16.988</v>
      </c>
      <c r="E499" s="1041" t="s">
        <v>374</v>
      </c>
      <c r="F499" s="1041">
        <f>ROUND($C499*D499/100,0)</f>
        <v>0</v>
      </c>
      <c r="G499" s="1070">
        <v>19.408000000000001</v>
      </c>
      <c r="H499" s="1041" t="s">
        <v>374</v>
      </c>
      <c r="I499" s="1041">
        <f>ROUND($C499*E499/100,0)</f>
        <v>0</v>
      </c>
      <c r="J499" s="1070">
        <f>(J481)*4</f>
        <v>20.628</v>
      </c>
      <c r="K499" s="1041" t="s">
        <v>374</v>
      </c>
      <c r="L499" s="1041">
        <f>ROUND($C499*J499/100,0)</f>
        <v>0</v>
      </c>
      <c r="N499" s="1185"/>
      <c r="O499" s="1065" t="s">
        <v>74</v>
      </c>
      <c r="P499" s="1186"/>
      <c r="Q499" s="1186"/>
      <c r="R499" s="1186"/>
      <c r="S499" s="1185"/>
      <c r="T499" s="1185"/>
      <c r="U499" s="1185"/>
      <c r="V499" s="1185"/>
      <c r="W499" s="1185"/>
      <c r="X499" s="1185"/>
      <c r="Y499" s="1185"/>
      <c r="Z499" s="1185"/>
      <c r="AA499" s="1185"/>
      <c r="AB499" s="1185"/>
      <c r="AC499" s="1185"/>
      <c r="AD499" s="1185"/>
      <c r="AE499" s="1185"/>
      <c r="AF499" s="1185"/>
      <c r="AG499" s="1185"/>
      <c r="AH499" s="1185"/>
      <c r="AI499" s="1185"/>
    </row>
    <row r="500" spans="1:35">
      <c r="A500" s="1219" t="s">
        <v>381</v>
      </c>
      <c r="B500" s="1219"/>
      <c r="C500" s="1026">
        <f>SUM(C480:C481)</f>
        <v>0</v>
      </c>
      <c r="D500" s="1255"/>
      <c r="E500" s="1203"/>
      <c r="F500" s="1203">
        <f>SUM(F471:F499)</f>
        <v>0</v>
      </c>
      <c r="G500" s="1255"/>
      <c r="H500" s="1009"/>
      <c r="I500" s="1203">
        <f>SUM(I471:I499)</f>
        <v>0</v>
      </c>
      <c r="J500" s="1255"/>
      <c r="K500" s="1009"/>
      <c r="L500" s="1203">
        <f>SUM(L471:L499)</f>
        <v>0</v>
      </c>
      <c r="N500" s="1185"/>
      <c r="O500" s="1185"/>
      <c r="P500" s="1186"/>
      <c r="Q500" s="1186"/>
      <c r="R500" s="1186"/>
      <c r="S500" s="1185"/>
      <c r="T500" s="1185"/>
      <c r="U500" s="1185"/>
      <c r="V500" s="1185"/>
      <c r="W500" s="1185"/>
      <c r="X500" s="1185"/>
      <c r="Y500" s="1185"/>
      <c r="Z500" s="1185"/>
      <c r="AA500" s="1185"/>
      <c r="AB500" s="1185"/>
      <c r="AC500" s="1185"/>
      <c r="AD500" s="1185"/>
      <c r="AE500" s="1185"/>
      <c r="AF500" s="1185"/>
      <c r="AG500" s="1185"/>
      <c r="AH500" s="1185"/>
      <c r="AI500" s="1185"/>
    </row>
    <row r="501" spans="1:35">
      <c r="A501" s="1219" t="s">
        <v>363</v>
      </c>
      <c r="B501" s="1219"/>
      <c r="C501" s="1032">
        <v>0</v>
      </c>
      <c r="D501" s="1218"/>
      <c r="E501" s="1218"/>
      <c r="F501" s="1239">
        <v>0</v>
      </c>
      <c r="G501" s="1218"/>
      <c r="H501" s="1218"/>
      <c r="I501" s="1239">
        <v>0</v>
      </c>
      <c r="J501" s="1218"/>
      <c r="K501" s="1218"/>
      <c r="L501" s="1239">
        <v>0</v>
      </c>
      <c r="N501" s="444"/>
      <c r="O501" s="444"/>
      <c r="P501" s="287"/>
      <c r="Q501" s="1186"/>
      <c r="R501" s="1186"/>
      <c r="S501" s="1185"/>
      <c r="T501" s="1185"/>
      <c r="U501" s="1185"/>
      <c r="V501" s="1185"/>
      <c r="W501" s="1185"/>
      <c r="X501" s="1185"/>
      <c r="Y501" s="1185"/>
      <c r="Z501" s="1185"/>
      <c r="AA501" s="1185"/>
      <c r="AB501" s="1185"/>
      <c r="AC501" s="1185"/>
      <c r="AD501" s="1185"/>
      <c r="AE501" s="1185"/>
      <c r="AF501" s="1185"/>
      <c r="AG501" s="1185"/>
      <c r="AH501" s="1185"/>
      <c r="AI501" s="1185"/>
    </row>
    <row r="502" spans="1:35" ht="16.5" thickBot="1">
      <c r="A502" s="1219" t="s">
        <v>382</v>
      </c>
      <c r="B502" s="1219"/>
      <c r="C502" s="1289">
        <f>SUM(C500:C501)</f>
        <v>0</v>
      </c>
      <c r="D502" s="1265"/>
      <c r="E502" s="1266"/>
      <c r="F502" s="1267">
        <f>SUM(F500:F501)</f>
        <v>0</v>
      </c>
      <c r="G502" s="1265"/>
      <c r="H502" s="1269"/>
      <c r="I502" s="1267">
        <f>SUM(I500:I501)</f>
        <v>0</v>
      </c>
      <c r="J502" s="1265"/>
      <c r="K502" s="1269"/>
      <c r="L502" s="1267">
        <f>SUM(L500:L501)</f>
        <v>0</v>
      </c>
      <c r="N502" s="411"/>
      <c r="O502" s="411"/>
      <c r="P502" s="470"/>
      <c r="Q502" s="1186"/>
      <c r="R502" s="1186"/>
      <c r="S502" s="1185"/>
      <c r="T502" s="1185"/>
      <c r="U502" s="1185"/>
      <c r="V502" s="1185"/>
      <c r="W502" s="1185"/>
      <c r="X502" s="1185"/>
      <c r="Y502" s="1185"/>
      <c r="Z502" s="1185"/>
      <c r="AA502" s="1185"/>
      <c r="AB502" s="1185"/>
      <c r="AC502" s="1185"/>
      <c r="AD502" s="1185"/>
      <c r="AE502" s="1185"/>
      <c r="AF502" s="1185"/>
      <c r="AG502" s="1185"/>
      <c r="AH502" s="1185"/>
      <c r="AI502" s="1185"/>
    </row>
    <row r="503" spans="1:35" ht="16.5" thickTop="1">
      <c r="A503" s="1219"/>
      <c r="B503" s="1290"/>
      <c r="C503" s="1225"/>
      <c r="D503" s="1261"/>
      <c r="E503" s="1203"/>
      <c r="F503" s="1203"/>
      <c r="G503" s="1261"/>
      <c r="H503" s="1219"/>
      <c r="I503" s="1203"/>
      <c r="J503" s="1261"/>
      <c r="K503" s="1219"/>
      <c r="L503" s="1203"/>
      <c r="N503" s="1185"/>
      <c r="O503" s="1185"/>
      <c r="P503" s="1186"/>
      <c r="Q503" s="1186"/>
      <c r="R503" s="1186"/>
      <c r="S503" s="1185"/>
      <c r="T503" s="1185"/>
      <c r="U503" s="1185"/>
      <c r="V503" s="1185"/>
      <c r="W503" s="1185"/>
      <c r="X503" s="1185"/>
      <c r="Y503" s="1185"/>
      <c r="Z503" s="1185"/>
      <c r="AA503" s="1185"/>
      <c r="AB503" s="1185"/>
      <c r="AC503" s="1185"/>
      <c r="AD503" s="1185"/>
      <c r="AE503" s="1185"/>
      <c r="AF503" s="1185"/>
      <c r="AG503" s="1185"/>
      <c r="AH503" s="1185"/>
      <c r="AI503" s="1185"/>
    </row>
    <row r="504" spans="1:35">
      <c r="A504" s="1224" t="s">
        <v>436</v>
      </c>
      <c r="B504" s="1219"/>
      <c r="C504" s="1219"/>
      <c r="D504" s="1203"/>
      <c r="E504" s="1203"/>
      <c r="F504" s="1219" t="s">
        <v>31</v>
      </c>
      <c r="G504" s="1203"/>
      <c r="H504" s="1219"/>
      <c r="I504" s="1219"/>
      <c r="J504" s="1203"/>
      <c r="K504" s="1219"/>
      <c r="L504" s="1219"/>
      <c r="N504" s="1185"/>
      <c r="O504" s="1185"/>
      <c r="P504" s="1186"/>
      <c r="Q504" s="1186"/>
      <c r="R504" s="1186"/>
      <c r="S504" s="1185"/>
      <c r="T504" s="1185"/>
      <c r="U504" s="1185"/>
      <c r="V504" s="1185"/>
      <c r="W504" s="1185"/>
      <c r="X504" s="1185"/>
      <c r="Y504" s="1185"/>
      <c r="Z504" s="1185"/>
      <c r="AA504" s="1185"/>
      <c r="AB504" s="1185"/>
      <c r="AC504" s="1185"/>
      <c r="AD504" s="1185"/>
      <c r="AE504" s="1185"/>
      <c r="AF504" s="1185"/>
      <c r="AG504" s="1185"/>
      <c r="AH504" s="1185"/>
      <c r="AI504" s="1185"/>
    </row>
    <row r="505" spans="1:35">
      <c r="A505" s="1218" t="s">
        <v>437</v>
      </c>
      <c r="B505" s="1219"/>
      <c r="C505" s="1219"/>
      <c r="D505" s="1203"/>
      <c r="E505" s="1203"/>
      <c r="F505" s="1219"/>
      <c r="G505" s="1203"/>
      <c r="H505" s="1219"/>
      <c r="I505" s="1219"/>
      <c r="J505" s="1203"/>
      <c r="K505" s="1219"/>
      <c r="L505" s="1219"/>
      <c r="N505" s="1185"/>
      <c r="O505" s="1185"/>
      <c r="P505" s="1186"/>
      <c r="Q505" s="1186"/>
      <c r="R505" s="1186"/>
      <c r="S505" s="1185"/>
      <c r="T505" s="1185"/>
      <c r="U505" s="1185"/>
      <c r="V505" s="1185"/>
      <c r="W505" s="1185"/>
      <c r="X505" s="1185"/>
      <c r="Y505" s="1185"/>
      <c r="Z505" s="1185"/>
      <c r="AA505" s="1185"/>
      <c r="AB505" s="1185"/>
      <c r="AC505" s="1185"/>
      <c r="AD505" s="1185"/>
      <c r="AE505" s="1185"/>
      <c r="AF505" s="1185"/>
      <c r="AG505" s="1185"/>
      <c r="AH505" s="1185"/>
      <c r="AI505" s="1185"/>
    </row>
    <row r="506" spans="1:35">
      <c r="A506" s="1009"/>
      <c r="B506" s="1219"/>
      <c r="C506" s="1219"/>
      <c r="D506" s="1203"/>
      <c r="E506" s="1203"/>
      <c r="F506" s="1219"/>
      <c r="G506" s="1203"/>
      <c r="H506" s="1219"/>
      <c r="I506" s="1219"/>
      <c r="J506" s="1203"/>
      <c r="K506" s="1219"/>
      <c r="L506" s="1219"/>
      <c r="N506" s="1185"/>
      <c r="O506" s="1185"/>
      <c r="Q506" s="1186"/>
      <c r="R506" s="1186"/>
      <c r="S506" s="1185"/>
      <c r="T506" s="1185"/>
      <c r="U506" s="1185"/>
      <c r="V506" s="1185"/>
      <c r="W506" s="1185"/>
      <c r="X506" s="1185"/>
      <c r="Y506" s="1185"/>
      <c r="Z506" s="1185"/>
      <c r="AA506" s="1185"/>
      <c r="AB506" s="1185"/>
      <c r="AC506" s="1185"/>
      <c r="AD506" s="1185"/>
      <c r="AE506" s="1185"/>
      <c r="AF506" s="1185"/>
      <c r="AG506" s="1185"/>
      <c r="AH506" s="1185"/>
      <c r="AI506" s="1185"/>
    </row>
    <row r="507" spans="1:35">
      <c r="A507" s="1009" t="s">
        <v>393</v>
      </c>
      <c r="B507" s="1219"/>
      <c r="C507" s="1026"/>
      <c r="D507" s="1203"/>
      <c r="E507" s="1203"/>
      <c r="F507" s="1219"/>
      <c r="G507" s="1203"/>
      <c r="H507" s="1219"/>
      <c r="I507" s="1219"/>
      <c r="J507" s="1203"/>
      <c r="K507" s="1219"/>
      <c r="L507" s="1219"/>
      <c r="N507" s="1185"/>
      <c r="O507" s="1185"/>
      <c r="P507" s="1186"/>
      <c r="Q507" s="1291" t="s">
        <v>252</v>
      </c>
      <c r="R507" s="1291"/>
      <c r="S507" s="1185"/>
      <c r="T507" s="1185"/>
      <c r="U507" s="1185"/>
      <c r="V507" s="1185"/>
      <c r="W507" s="1185"/>
      <c r="X507" s="1185"/>
      <c r="Y507" s="1185"/>
      <c r="AA507" s="1185"/>
      <c r="AB507" s="1185"/>
      <c r="AC507" s="1185"/>
      <c r="AD507" s="1185"/>
      <c r="AE507" s="1185"/>
      <c r="AF507" s="1185"/>
      <c r="AG507" s="1185"/>
      <c r="AH507" s="1185"/>
      <c r="AI507" s="1185"/>
    </row>
    <row r="508" spans="1:35">
      <c r="A508" s="1009" t="s">
        <v>421</v>
      </c>
      <c r="B508" s="1219"/>
      <c r="C508" s="1026">
        <f>C542+C576</f>
        <v>332</v>
      </c>
      <c r="D508" s="1229">
        <v>227</v>
      </c>
      <c r="E508" s="1009"/>
      <c r="F508" s="1041">
        <f>F542+F576</f>
        <v>75364</v>
      </c>
      <c r="G508" s="1229">
        <v>259</v>
      </c>
      <c r="H508" s="1009"/>
      <c r="I508" s="1041">
        <f>I542+I576</f>
        <v>85988</v>
      </c>
      <c r="J508" s="1229">
        <f>G508</f>
        <v>259</v>
      </c>
      <c r="K508" s="1009"/>
      <c r="L508" s="1041">
        <f>L542+L576</f>
        <v>85988</v>
      </c>
      <c r="N508" s="1204" t="e">
        <f>J508*#REF!</f>
        <v>#REF!</v>
      </c>
      <c r="Q508" s="55">
        <f>(J508-G508)/G508</f>
        <v>0</v>
      </c>
      <c r="R508" s="55"/>
      <c r="Z508" s="1246"/>
      <c r="AA508" s="1246"/>
      <c r="AD508" s="1185"/>
      <c r="AE508" s="1185"/>
      <c r="AF508" s="1185"/>
      <c r="AG508" s="1185"/>
      <c r="AH508" s="1185"/>
      <c r="AI508" s="1185"/>
    </row>
    <row r="509" spans="1:35">
      <c r="A509" s="1009" t="s">
        <v>422</v>
      </c>
      <c r="B509" s="1219"/>
      <c r="C509" s="1026">
        <f>C543+C577</f>
        <v>8660</v>
      </c>
      <c r="D509" s="1229">
        <v>84</v>
      </c>
      <c r="E509" s="1009"/>
      <c r="F509" s="1041">
        <f>F543+F577</f>
        <v>727440</v>
      </c>
      <c r="G509" s="1229">
        <v>96</v>
      </c>
      <c r="H509" s="1009"/>
      <c r="I509" s="1041">
        <f>I543+I577</f>
        <v>831360</v>
      </c>
      <c r="J509" s="1229">
        <f>G509</f>
        <v>96</v>
      </c>
      <c r="K509" s="1009"/>
      <c r="L509" s="1041">
        <f>L543+L577</f>
        <v>831360</v>
      </c>
      <c r="N509" s="1204" t="e">
        <f>J509*#REF!</f>
        <v>#REF!</v>
      </c>
      <c r="Q509" s="55">
        <f>(J509-G509)/G509</f>
        <v>0</v>
      </c>
      <c r="R509" s="55"/>
      <c r="T509" s="1204"/>
      <c r="U509" s="736"/>
      <c r="V509" s="1204"/>
      <c r="W509" s="736"/>
      <c r="X509" s="1204"/>
      <c r="Y509" s="1204"/>
      <c r="Z509" s="736"/>
      <c r="AA509" s="736"/>
      <c r="AC509" s="801"/>
      <c r="AD509" s="1185"/>
      <c r="AE509" s="1185"/>
      <c r="AF509" s="1185"/>
      <c r="AG509" s="1185"/>
      <c r="AH509" s="1185"/>
      <c r="AI509" s="1185"/>
    </row>
    <row r="510" spans="1:35">
      <c r="A510" s="1009" t="s">
        <v>423</v>
      </c>
      <c r="B510" s="1219"/>
      <c r="C510" s="1026">
        <f>C544+C578</f>
        <v>3541.9333333333334</v>
      </c>
      <c r="D510" s="1229">
        <v>168</v>
      </c>
      <c r="E510" s="1250"/>
      <c r="F510" s="1041">
        <f>F544+F578</f>
        <v>595045</v>
      </c>
      <c r="G510" s="1229">
        <v>192</v>
      </c>
      <c r="H510" s="1250"/>
      <c r="I510" s="1041">
        <f>I544+I578</f>
        <v>680051</v>
      </c>
      <c r="J510" s="1229">
        <f>G510</f>
        <v>192</v>
      </c>
      <c r="K510" s="1250"/>
      <c r="L510" s="1041">
        <f>L544+L578</f>
        <v>680051</v>
      </c>
      <c r="N510" s="1204" t="e">
        <f>J510*#REF!</f>
        <v>#REF!</v>
      </c>
      <c r="Q510" s="55">
        <f>(J510-G510)/G510</f>
        <v>0</v>
      </c>
      <c r="R510" s="55"/>
      <c r="T510" s="1204"/>
      <c r="U510" s="736"/>
      <c r="V510" s="1204"/>
      <c r="W510" s="736"/>
      <c r="X510" s="1204"/>
      <c r="Y510" s="1204"/>
      <c r="Z510" s="736"/>
      <c r="AA510" s="736"/>
      <c r="AC510" s="801"/>
      <c r="AD510" s="1185"/>
      <c r="AE510" s="1185"/>
      <c r="AF510" s="1185"/>
      <c r="AG510" s="1185"/>
      <c r="AH510" s="1185"/>
      <c r="AI510" s="1185"/>
    </row>
    <row r="511" spans="1:35">
      <c r="A511" s="1009" t="s">
        <v>394</v>
      </c>
      <c r="B511" s="1219"/>
      <c r="C511" s="1026">
        <f>SUM(C508:C510)</f>
        <v>12533.933333333334</v>
      </c>
      <c r="D511" s="1229"/>
      <c r="E511" s="1009"/>
      <c r="F511" s="1041"/>
      <c r="G511" s="1229"/>
      <c r="H511" s="1009"/>
      <c r="I511" s="1041"/>
      <c r="J511" s="1229"/>
      <c r="K511" s="1009"/>
      <c r="L511" s="1041"/>
      <c r="T511" s="1204"/>
      <c r="U511" s="736"/>
      <c r="V511" s="1204"/>
      <c r="W511" s="736"/>
      <c r="X511" s="1204"/>
      <c r="Y511" s="1204"/>
      <c r="Z511" s="736"/>
      <c r="AA511" s="736"/>
      <c r="AC511" s="801"/>
      <c r="AD511" s="1185"/>
      <c r="AE511" s="1185"/>
      <c r="AF511" s="1185"/>
      <c r="AG511" s="1185"/>
      <c r="AH511" s="1185"/>
      <c r="AI511" s="1185"/>
    </row>
    <row r="512" spans="1:35">
      <c r="A512" s="1009" t="s">
        <v>422</v>
      </c>
      <c r="B512" s="1219"/>
      <c r="C512" s="1026">
        <f>C546+C580</f>
        <v>1493044</v>
      </c>
      <c r="D512" s="1229">
        <v>1.48</v>
      </c>
      <c r="E512" s="1009" t="s">
        <v>31</v>
      </c>
      <c r="F512" s="1041">
        <f>F546+F580</f>
        <v>2209706</v>
      </c>
      <c r="G512" s="1229">
        <v>1.7</v>
      </c>
      <c r="H512" s="1009" t="s">
        <v>31</v>
      </c>
      <c r="I512" s="1041">
        <f>I546+I580</f>
        <v>2538175</v>
      </c>
      <c r="J512" s="1229">
        <f>G512</f>
        <v>1.7</v>
      </c>
      <c r="K512" s="1009" t="s">
        <v>31</v>
      </c>
      <c r="L512" s="1041">
        <f>L546+L580</f>
        <v>2538175</v>
      </c>
      <c r="N512" s="1204" t="e">
        <f>J512*#REF!</f>
        <v>#REF!</v>
      </c>
      <c r="P512" s="1231" t="s">
        <v>31</v>
      </c>
      <c r="Q512" s="55">
        <f>(J512-G512)/G512</f>
        <v>0</v>
      </c>
      <c r="R512" s="55"/>
      <c r="T512" s="1204"/>
      <c r="U512" s="1251"/>
      <c r="V512" s="1204"/>
      <c r="W512" s="1251"/>
      <c r="X512" s="1204"/>
      <c r="Y512" s="1204"/>
      <c r="Z512" s="1251"/>
      <c r="AA512" s="1251"/>
      <c r="AC512" s="1185"/>
      <c r="AD512" s="1185"/>
      <c r="AE512" s="1185"/>
      <c r="AF512" s="1185"/>
      <c r="AG512" s="1185"/>
      <c r="AH512" s="1185"/>
      <c r="AI512" s="1185"/>
    </row>
    <row r="513" spans="1:35">
      <c r="A513" s="1009" t="s">
        <v>423</v>
      </c>
      <c r="B513" s="1219"/>
      <c r="C513" s="1026">
        <f>C547+C581</f>
        <v>1779104</v>
      </c>
      <c r="D513" s="1229">
        <v>1.22</v>
      </c>
      <c r="E513" s="1009" t="s">
        <v>31</v>
      </c>
      <c r="F513" s="1041">
        <f>F547+F581</f>
        <v>2170507</v>
      </c>
      <c r="G513" s="1229">
        <v>1.39</v>
      </c>
      <c r="H513" s="1009" t="s">
        <v>31</v>
      </c>
      <c r="I513" s="1041">
        <f>I547+I581</f>
        <v>2472955</v>
      </c>
      <c r="J513" s="1229">
        <f>G513</f>
        <v>1.39</v>
      </c>
      <c r="K513" s="1009" t="s">
        <v>31</v>
      </c>
      <c r="L513" s="1041">
        <f>L547+L581</f>
        <v>2472955</v>
      </c>
      <c r="N513" s="1204" t="e">
        <f>J513*#REF!</f>
        <v>#REF!</v>
      </c>
      <c r="Q513" s="55">
        <f>(J513-G513)/G513</f>
        <v>0</v>
      </c>
      <c r="R513" s="55"/>
      <c r="T513" s="1204"/>
      <c r="U513" s="1204"/>
      <c r="AC513" s="1185"/>
      <c r="AD513" s="1185"/>
      <c r="AE513" s="1185"/>
      <c r="AF513" s="1185"/>
      <c r="AG513" s="1185"/>
      <c r="AH513" s="1185"/>
      <c r="AI513" s="1185"/>
    </row>
    <row r="514" spans="1:35">
      <c r="A514" s="1218" t="s">
        <v>424</v>
      </c>
      <c r="B514" s="1219"/>
      <c r="C514" s="1026"/>
      <c r="D514" s="1234"/>
      <c r="E514" s="1009"/>
      <c r="F514" s="1041"/>
      <c r="G514" s="1234"/>
      <c r="H514" s="1009"/>
      <c r="I514" s="1041"/>
      <c r="J514" s="1234"/>
      <c r="K514" s="1009"/>
      <c r="L514" s="1041"/>
      <c r="S514" s="1190"/>
      <c r="AC514" s="1185"/>
      <c r="AD514" s="1185"/>
      <c r="AE514" s="1185"/>
      <c r="AF514" s="1185"/>
      <c r="AG514" s="1185"/>
      <c r="AH514" s="1185"/>
      <c r="AI514" s="1185"/>
    </row>
    <row r="515" spans="1:35">
      <c r="A515" s="1218" t="s">
        <v>425</v>
      </c>
      <c r="B515" s="1219"/>
      <c r="C515" s="1026">
        <f>C549+C583</f>
        <v>2464015</v>
      </c>
      <c r="D515" s="1229">
        <v>3.88</v>
      </c>
      <c r="E515" s="1009"/>
      <c r="F515" s="1041">
        <f>F549+F583</f>
        <v>9560378</v>
      </c>
      <c r="G515" s="1229">
        <v>4.4400000000000004</v>
      </c>
      <c r="H515" s="1009"/>
      <c r="I515" s="1041">
        <f>I549+I583</f>
        <v>10940227</v>
      </c>
      <c r="J515" s="1229">
        <f>ROUND(G515*(1+$Q$536),2)</f>
        <v>4.72</v>
      </c>
      <c r="K515" s="1009"/>
      <c r="L515" s="1041">
        <f>L549+L583</f>
        <v>11630151</v>
      </c>
      <c r="N515" s="1204" t="e">
        <f>J515*#REF!</f>
        <v>#REF!</v>
      </c>
      <c r="Q515" s="55">
        <f>(J515-G515)/G515</f>
        <v>6.3063063063062919E-2</v>
      </c>
      <c r="R515" s="55"/>
      <c r="S515" s="1190"/>
      <c r="AC515" s="1185"/>
      <c r="AD515" s="1185"/>
      <c r="AE515" s="1185"/>
      <c r="AF515" s="1185"/>
      <c r="AG515" s="1185"/>
      <c r="AH515" s="1185"/>
      <c r="AI515" s="1185"/>
    </row>
    <row r="516" spans="1:35">
      <c r="A516" s="1218" t="s">
        <v>441</v>
      </c>
      <c r="B516" s="1219"/>
      <c r="C516" s="1026">
        <f>C550+C584</f>
        <v>3552</v>
      </c>
      <c r="D516" s="1292">
        <v>3.88</v>
      </c>
      <c r="E516" s="1009"/>
      <c r="F516" s="1041">
        <f>F550+F584</f>
        <v>13782</v>
      </c>
      <c r="G516" s="1292">
        <v>4.4400000000000004</v>
      </c>
      <c r="H516" s="1009"/>
      <c r="I516" s="1041">
        <f>I550+I584</f>
        <v>15771</v>
      </c>
      <c r="J516" s="1292">
        <f>J515</f>
        <v>4.72</v>
      </c>
      <c r="K516" s="1009"/>
      <c r="L516" s="1041">
        <f>L550+L584</f>
        <v>16765</v>
      </c>
      <c r="N516" s="1204" t="e">
        <f>J516*#REF!</f>
        <v>#REF!</v>
      </c>
      <c r="Q516" s="55">
        <f>(J516-G516)/G516</f>
        <v>6.3063063063062919E-2</v>
      </c>
      <c r="R516" s="55"/>
      <c r="S516" s="1190"/>
      <c r="AC516" s="1185"/>
      <c r="AD516" s="1185"/>
      <c r="AE516" s="1185"/>
      <c r="AF516" s="1185"/>
      <c r="AG516" s="1185"/>
      <c r="AH516" s="1185"/>
      <c r="AI516" s="1185"/>
    </row>
    <row r="517" spans="1:35">
      <c r="A517" s="1009" t="s">
        <v>426</v>
      </c>
      <c r="B517" s="1219"/>
      <c r="C517" s="1026"/>
      <c r="D517" s="1229"/>
      <c r="E517" s="1009"/>
      <c r="F517" s="1041"/>
      <c r="G517" s="1229"/>
      <c r="H517" s="1009"/>
      <c r="I517" s="1041"/>
      <c r="J517" s="1229"/>
      <c r="K517" s="1009"/>
      <c r="L517" s="1041"/>
      <c r="S517" s="1231" t="s">
        <v>31</v>
      </c>
      <c r="AC517" s="1185"/>
      <c r="AD517" s="1185"/>
      <c r="AE517" s="1185"/>
      <c r="AF517" s="1185"/>
      <c r="AG517" s="1185"/>
      <c r="AH517" s="1185"/>
      <c r="AI517" s="1185"/>
    </row>
    <row r="518" spans="1:35">
      <c r="A518" s="1009" t="s">
        <v>427</v>
      </c>
      <c r="B518" s="1026"/>
      <c r="C518" s="1026">
        <f>C552+C586</f>
        <v>392463948.33333331</v>
      </c>
      <c r="D518" s="806">
        <v>4.6340000000000003</v>
      </c>
      <c r="E518" s="1009" t="s">
        <v>374</v>
      </c>
      <c r="F518" s="1041">
        <f>F552+F586</f>
        <v>18186780</v>
      </c>
      <c r="G518" s="806">
        <v>5.2919999999999998</v>
      </c>
      <c r="H518" s="1009" t="s">
        <v>374</v>
      </c>
      <c r="I518" s="1041">
        <f>I552+I586</f>
        <v>20769192</v>
      </c>
      <c r="J518" s="806">
        <f>ROUND(G518*(1+Q536),3)+0.002</f>
        <v>5.6289999999999996</v>
      </c>
      <c r="K518" s="1009" t="s">
        <v>374</v>
      </c>
      <c r="L518" s="1041">
        <f>L552+L586</f>
        <v>22091796</v>
      </c>
      <c r="N518" s="1204" t="e">
        <f>(J518/100)*#REF!</f>
        <v>#REF!</v>
      </c>
      <c r="Q518" s="55">
        <f>(J518-G518)/G518</f>
        <v>6.3681027966742201E-2</v>
      </c>
      <c r="R518" s="55"/>
      <c r="S518" s="1190"/>
      <c r="AC518" s="1185"/>
      <c r="AD518" s="1185"/>
      <c r="AE518" s="1185"/>
      <c r="AF518" s="1185"/>
      <c r="AG518" s="1185"/>
      <c r="AH518" s="1185"/>
      <c r="AI518" s="1185"/>
    </row>
    <row r="519" spans="1:35">
      <c r="A519" s="1009" t="s">
        <v>399</v>
      </c>
      <c r="B519" s="1026"/>
      <c r="C519" s="1026">
        <f>C553+C587</f>
        <v>468674490.66666669</v>
      </c>
      <c r="D519" s="806">
        <v>4.2469999999999999</v>
      </c>
      <c r="E519" s="1009" t="s">
        <v>374</v>
      </c>
      <c r="F519" s="1041">
        <f>F553+F587</f>
        <v>19904606</v>
      </c>
      <c r="G519" s="806">
        <v>4.8499999999999996</v>
      </c>
      <c r="H519" s="1009" t="s">
        <v>374</v>
      </c>
      <c r="I519" s="1041">
        <f>I553+I587</f>
        <v>22730713</v>
      </c>
      <c r="J519" s="806">
        <f>ROUND(J518/G518*G519,3)-0.002</f>
        <v>5.157</v>
      </c>
      <c r="K519" s="1009" t="s">
        <v>374</v>
      </c>
      <c r="L519" s="1041">
        <f>L553+L587</f>
        <v>24169543</v>
      </c>
      <c r="N519" s="1204" t="e">
        <f>(J519/100)*#REF!</f>
        <v>#REF!</v>
      </c>
      <c r="Q519" s="55">
        <f>(J519-G519)/G519</f>
        <v>6.3298969072165034E-2</v>
      </c>
      <c r="R519" s="55"/>
      <c r="S519" s="1190"/>
      <c r="AD519" s="1185"/>
      <c r="AE519" s="1185"/>
      <c r="AF519" s="1185"/>
      <c r="AG519" s="1185"/>
      <c r="AH519" s="1185"/>
      <c r="AI519" s="1185"/>
    </row>
    <row r="520" spans="1:35">
      <c r="A520" s="1009" t="s">
        <v>400</v>
      </c>
      <c r="B520" s="1219"/>
      <c r="C520" s="1026">
        <f>C554+C588</f>
        <v>496293.6</v>
      </c>
      <c r="D520" s="1282">
        <v>50</v>
      </c>
      <c r="E520" s="1009" t="s">
        <v>374</v>
      </c>
      <c r="F520" s="1041">
        <f>F554+F588</f>
        <v>248147</v>
      </c>
      <c r="G520" s="1282">
        <v>56</v>
      </c>
      <c r="H520" s="1009" t="s">
        <v>374</v>
      </c>
      <c r="I520" s="1041">
        <f>I554+I588</f>
        <v>277924</v>
      </c>
      <c r="J520" s="1282">
        <f>G520</f>
        <v>56</v>
      </c>
      <c r="K520" s="1009" t="s">
        <v>374</v>
      </c>
      <c r="L520" s="1041">
        <f>L554+L588</f>
        <v>277924</v>
      </c>
      <c r="N520" s="1204" t="e">
        <f>(J520/100)*#REF!</f>
        <v>#REF!</v>
      </c>
      <c r="Q520" s="55">
        <f>(J520-G520)/G520</f>
        <v>0</v>
      </c>
      <c r="R520" s="55"/>
      <c r="S520" s="1190"/>
      <c r="AD520" s="1185"/>
      <c r="AE520" s="1185"/>
      <c r="AF520" s="1185"/>
      <c r="AG520" s="1185"/>
      <c r="AH520" s="1185"/>
      <c r="AI520" s="1185"/>
    </row>
    <row r="521" spans="1:35">
      <c r="A521" s="1283" t="s">
        <v>401</v>
      </c>
      <c r="B521" s="1219"/>
      <c r="C521" s="1026"/>
      <c r="D521" s="1257">
        <v>-0.01</v>
      </c>
      <c r="E521" s="1203"/>
      <c r="F521" s="1041"/>
      <c r="G521" s="1257">
        <v>-0.01</v>
      </c>
      <c r="H521" s="1219"/>
      <c r="I521" s="1041"/>
      <c r="J521" s="1257">
        <v>-0.01</v>
      </c>
      <c r="K521" s="1219"/>
      <c r="L521" s="1041"/>
      <c r="AD521" s="1185"/>
      <c r="AE521" s="1185"/>
      <c r="AF521" s="1185"/>
      <c r="AG521" s="1185"/>
      <c r="AH521" s="1185"/>
      <c r="AI521" s="1185"/>
    </row>
    <row r="522" spans="1:35">
      <c r="A522" s="1009" t="s">
        <v>421</v>
      </c>
      <c r="B522" s="1219"/>
      <c r="C522" s="1026">
        <f t="shared" ref="C522:C535" si="65">C556+C590</f>
        <v>0</v>
      </c>
      <c r="D522" s="1234">
        <v>227</v>
      </c>
      <c r="E522" s="1288"/>
      <c r="F522" s="1041">
        <f t="shared" ref="F522:F535" si="66">F556+F590</f>
        <v>0</v>
      </c>
      <c r="G522" s="1234">
        <v>259</v>
      </c>
      <c r="H522" s="1224"/>
      <c r="I522" s="1041">
        <f t="shared" ref="I522:I535" si="67">I556+I590</f>
        <v>0</v>
      </c>
      <c r="J522" s="1234">
        <f>J508</f>
        <v>259</v>
      </c>
      <c r="K522" s="1224"/>
      <c r="L522" s="1041">
        <f t="shared" ref="L522:L534" si="68">L556+L590</f>
        <v>0</v>
      </c>
      <c r="N522" s="1204" t="e">
        <f>-(J522*#REF!)/100</f>
        <v>#REF!</v>
      </c>
      <c r="P522" s="1231" t="s">
        <v>31</v>
      </c>
      <c r="AD522" s="1185"/>
      <c r="AE522" s="1185"/>
      <c r="AF522" s="1185"/>
      <c r="AG522" s="1185"/>
      <c r="AH522" s="1185"/>
      <c r="AI522" s="1185"/>
    </row>
    <row r="523" spans="1:35">
      <c r="A523" s="1009" t="s">
        <v>422</v>
      </c>
      <c r="B523" s="1219"/>
      <c r="C523" s="1026">
        <f t="shared" si="65"/>
        <v>66</v>
      </c>
      <c r="D523" s="1234">
        <v>84</v>
      </c>
      <c r="E523" s="1288"/>
      <c r="F523" s="1041">
        <f t="shared" si="66"/>
        <v>-56</v>
      </c>
      <c r="G523" s="1234">
        <v>96</v>
      </c>
      <c r="H523" s="1224"/>
      <c r="I523" s="1041">
        <f t="shared" si="67"/>
        <v>-64</v>
      </c>
      <c r="J523" s="1234">
        <f>J509</f>
        <v>96</v>
      </c>
      <c r="K523" s="1224"/>
      <c r="L523" s="1041">
        <f t="shared" si="68"/>
        <v>-64</v>
      </c>
      <c r="N523" s="1204" t="e">
        <f>-(J523*#REF!)/100</f>
        <v>#REF!</v>
      </c>
      <c r="P523" s="1293"/>
      <c r="AC523" s="1185"/>
      <c r="AD523" s="1185"/>
      <c r="AE523" s="1185"/>
      <c r="AF523" s="1185"/>
      <c r="AG523" s="1185"/>
      <c r="AH523" s="1185"/>
      <c r="AI523" s="1185"/>
    </row>
    <row r="524" spans="1:35">
      <c r="A524" s="1009" t="s">
        <v>423</v>
      </c>
      <c r="B524" s="1219"/>
      <c r="C524" s="1026">
        <f t="shared" si="65"/>
        <v>76.933333333333294</v>
      </c>
      <c r="D524" s="1234">
        <v>168</v>
      </c>
      <c r="E524" s="1294"/>
      <c r="F524" s="1041">
        <f t="shared" si="66"/>
        <v>-130</v>
      </c>
      <c r="G524" s="1234">
        <v>192</v>
      </c>
      <c r="H524" s="1295"/>
      <c r="I524" s="1041">
        <f t="shared" si="67"/>
        <v>-148</v>
      </c>
      <c r="J524" s="1234">
        <f>J510</f>
        <v>192</v>
      </c>
      <c r="K524" s="1295"/>
      <c r="L524" s="1041">
        <f t="shared" si="68"/>
        <v>-148</v>
      </c>
      <c r="N524" s="1204" t="e">
        <f>-(J524*#REF!)/100</f>
        <v>#REF!</v>
      </c>
      <c r="P524" s="1293"/>
      <c r="AC524" s="1185"/>
      <c r="AD524" s="1185"/>
      <c r="AE524" s="1185"/>
      <c r="AF524" s="1185"/>
      <c r="AG524" s="1185"/>
      <c r="AH524" s="1185"/>
      <c r="AI524" s="1185"/>
    </row>
    <row r="525" spans="1:35">
      <c r="A525" s="1009" t="s">
        <v>422</v>
      </c>
      <c r="B525" s="1219"/>
      <c r="C525" s="1026">
        <f t="shared" si="65"/>
        <v>13175</v>
      </c>
      <c r="D525" s="1234">
        <v>1.48</v>
      </c>
      <c r="E525" s="1288"/>
      <c r="F525" s="1041">
        <f t="shared" si="66"/>
        <v>-195</v>
      </c>
      <c r="G525" s="1234">
        <v>1.7</v>
      </c>
      <c r="H525" s="1224"/>
      <c r="I525" s="1041">
        <f t="shared" si="67"/>
        <v>-224</v>
      </c>
      <c r="J525" s="1234">
        <f>J512</f>
        <v>1.7</v>
      </c>
      <c r="K525" s="1224"/>
      <c r="L525" s="1041">
        <f t="shared" si="68"/>
        <v>-224</v>
      </c>
      <c r="N525" s="1204" t="e">
        <f>-(J525*#REF!)/100</f>
        <v>#REF!</v>
      </c>
      <c r="AC525" s="1185"/>
      <c r="AD525" s="1185"/>
      <c r="AE525" s="1185"/>
      <c r="AF525" s="1185"/>
      <c r="AG525" s="1185"/>
      <c r="AH525" s="1185"/>
      <c r="AI525" s="1185"/>
    </row>
    <row r="526" spans="1:35">
      <c r="A526" s="1009" t="s">
        <v>423</v>
      </c>
      <c r="B526" s="1219"/>
      <c r="C526" s="1026">
        <f t="shared" si="65"/>
        <v>51278</v>
      </c>
      <c r="D526" s="1234">
        <v>1.22</v>
      </c>
      <c r="E526" s="1288" t="s">
        <v>31</v>
      </c>
      <c r="F526" s="1041">
        <f t="shared" si="66"/>
        <v>-626</v>
      </c>
      <c r="G526" s="1234">
        <v>1.39</v>
      </c>
      <c r="H526" s="1224"/>
      <c r="I526" s="1041">
        <f t="shared" si="67"/>
        <v>-713</v>
      </c>
      <c r="J526" s="1234">
        <f>J513</f>
        <v>1.39</v>
      </c>
      <c r="K526" s="1224"/>
      <c r="L526" s="1041">
        <f t="shared" si="68"/>
        <v>-713</v>
      </c>
      <c r="N526" s="1204" t="e">
        <f>-(J526*#REF!)/100</f>
        <v>#REF!</v>
      </c>
      <c r="P526" s="1231" t="s">
        <v>31</v>
      </c>
      <c r="AC526" s="1185"/>
      <c r="AD526" s="1185"/>
      <c r="AE526" s="1185"/>
      <c r="AF526" s="1185"/>
      <c r="AG526" s="1185"/>
      <c r="AH526" s="1185"/>
      <c r="AI526" s="1185"/>
    </row>
    <row r="527" spans="1:35">
      <c r="A527" s="1218" t="s">
        <v>425</v>
      </c>
      <c r="B527" s="1219"/>
      <c r="C527" s="1026">
        <f t="shared" si="65"/>
        <v>46548</v>
      </c>
      <c r="D527" s="1234">
        <v>3.88</v>
      </c>
      <c r="E527" s="1288" t="s">
        <v>31</v>
      </c>
      <c r="F527" s="1041">
        <f t="shared" si="66"/>
        <v>-1806</v>
      </c>
      <c r="G527" s="1234">
        <v>4.4400000000000004</v>
      </c>
      <c r="H527" s="1224"/>
      <c r="I527" s="1041">
        <f t="shared" si="67"/>
        <v>-2067</v>
      </c>
      <c r="J527" s="1234">
        <f>J515</f>
        <v>4.72</v>
      </c>
      <c r="K527" s="1224"/>
      <c r="L527" s="1041">
        <f t="shared" si="68"/>
        <v>-2197</v>
      </c>
      <c r="N527" s="1204" t="e">
        <f>-(J527*#REF!)/100</f>
        <v>#REF!</v>
      </c>
      <c r="AC527" s="1185"/>
      <c r="AD527" s="1185"/>
      <c r="AE527" s="1185"/>
      <c r="AF527" s="1185"/>
      <c r="AG527" s="1185"/>
      <c r="AH527" s="1185"/>
      <c r="AI527" s="1185"/>
    </row>
    <row r="528" spans="1:35">
      <c r="A528" s="1218" t="s">
        <v>441</v>
      </c>
      <c r="B528" s="1219"/>
      <c r="C528" s="1026">
        <f t="shared" si="65"/>
        <v>181</v>
      </c>
      <c r="D528" s="1234">
        <v>3.88</v>
      </c>
      <c r="E528" s="1288" t="s">
        <v>31</v>
      </c>
      <c r="F528" s="1041">
        <f t="shared" si="66"/>
        <v>-7</v>
      </c>
      <c r="G528" s="1234">
        <v>4.4400000000000004</v>
      </c>
      <c r="H528" s="1224"/>
      <c r="I528" s="1041">
        <f t="shared" si="67"/>
        <v>-8</v>
      </c>
      <c r="J528" s="1234">
        <f>J516</f>
        <v>4.72</v>
      </c>
      <c r="K528" s="1224"/>
      <c r="L528" s="1041">
        <f t="shared" si="68"/>
        <v>-9</v>
      </c>
      <c r="N528" s="1204" t="e">
        <f>-(J528*#REF!)/100</f>
        <v>#REF!</v>
      </c>
      <c r="AC528" s="1185"/>
      <c r="AD528" s="1185"/>
      <c r="AE528" s="1185"/>
      <c r="AF528" s="1185"/>
      <c r="AG528" s="1185"/>
      <c r="AH528" s="1185"/>
      <c r="AI528" s="1185"/>
    </row>
    <row r="529" spans="1:35">
      <c r="A529" s="1009" t="s">
        <v>427</v>
      </c>
      <c r="B529" s="1219"/>
      <c r="C529" s="1026">
        <f t="shared" si="65"/>
        <v>5105859.333333333</v>
      </c>
      <c r="D529" s="1236">
        <v>4.6340000000000003</v>
      </c>
      <c r="E529" s="1041" t="s">
        <v>374</v>
      </c>
      <c r="F529" s="1041">
        <f t="shared" si="66"/>
        <v>-2366</v>
      </c>
      <c r="G529" s="1236">
        <v>5.2919999999999998</v>
      </c>
      <c r="H529" s="1009" t="s">
        <v>374</v>
      </c>
      <c r="I529" s="1041">
        <f t="shared" si="67"/>
        <v>-2703</v>
      </c>
      <c r="J529" s="1236">
        <f>J518</f>
        <v>5.6289999999999996</v>
      </c>
      <c r="K529" s="1009" t="s">
        <v>374</v>
      </c>
      <c r="L529" s="1041">
        <f t="shared" si="68"/>
        <v>-2874</v>
      </c>
      <c r="N529" s="1204" t="e">
        <f>-((J529*#REF!)/100)/100</f>
        <v>#REF!</v>
      </c>
      <c r="AC529" s="1185"/>
      <c r="AD529" s="1185"/>
      <c r="AE529" s="1185"/>
      <c r="AF529" s="1185"/>
      <c r="AG529" s="1185"/>
      <c r="AH529" s="1185"/>
      <c r="AI529" s="1185"/>
    </row>
    <row r="530" spans="1:35">
      <c r="A530" s="1009" t="s">
        <v>399</v>
      </c>
      <c r="B530" s="1219"/>
      <c r="C530" s="1026">
        <f t="shared" si="65"/>
        <v>11112061.666666668</v>
      </c>
      <c r="D530" s="1236">
        <v>4.2469999999999999</v>
      </c>
      <c r="E530" s="1041" t="s">
        <v>374</v>
      </c>
      <c r="F530" s="1041">
        <f t="shared" si="66"/>
        <v>-4719</v>
      </c>
      <c r="G530" s="1236">
        <v>4.8499999999999996</v>
      </c>
      <c r="H530" s="1009" t="s">
        <v>374</v>
      </c>
      <c r="I530" s="1041">
        <f t="shared" si="67"/>
        <v>-5392</v>
      </c>
      <c r="J530" s="1236">
        <f>J519</f>
        <v>5.157</v>
      </c>
      <c r="K530" s="1009" t="s">
        <v>374</v>
      </c>
      <c r="L530" s="1041">
        <f t="shared" si="68"/>
        <v>-5730</v>
      </c>
      <c r="N530" s="1204" t="e">
        <f>-((J530*#REF!)/100)/100</f>
        <v>#REF!</v>
      </c>
      <c r="AC530" s="1185"/>
      <c r="AD530" s="1185"/>
      <c r="AE530" s="1185"/>
      <c r="AF530" s="1185"/>
      <c r="AG530" s="1185"/>
      <c r="AH530" s="1185"/>
      <c r="AI530" s="1185"/>
    </row>
    <row r="531" spans="1:35">
      <c r="A531" s="1009" t="s">
        <v>400</v>
      </c>
      <c r="B531" s="1219"/>
      <c r="C531" s="1026">
        <f t="shared" si="65"/>
        <v>8803.6</v>
      </c>
      <c r="D531" s="1286">
        <v>50</v>
      </c>
      <c r="E531" s="1041" t="s">
        <v>374</v>
      </c>
      <c r="F531" s="1041">
        <f t="shared" si="66"/>
        <v>-44</v>
      </c>
      <c r="G531" s="1286">
        <v>56</v>
      </c>
      <c r="H531" s="1009" t="s">
        <v>374</v>
      </c>
      <c r="I531" s="1041">
        <f t="shared" si="67"/>
        <v>-49</v>
      </c>
      <c r="J531" s="1286">
        <f>J520</f>
        <v>56</v>
      </c>
      <c r="K531" s="1009" t="s">
        <v>374</v>
      </c>
      <c r="L531" s="1041">
        <f t="shared" si="68"/>
        <v>-49</v>
      </c>
      <c r="N531" s="1204" t="e">
        <f>-((J531*#REF!)/100)/100</f>
        <v>#REF!</v>
      </c>
      <c r="AC531" s="1185"/>
      <c r="AD531" s="1185"/>
      <c r="AE531" s="1185"/>
      <c r="AF531" s="1185"/>
      <c r="AG531" s="1185"/>
      <c r="AH531" s="1185"/>
      <c r="AI531" s="1185"/>
    </row>
    <row r="532" spans="1:35">
      <c r="A532" s="1009" t="s">
        <v>443</v>
      </c>
      <c r="B532" s="1219"/>
      <c r="C532" s="1026">
        <f t="shared" si="65"/>
        <v>143</v>
      </c>
      <c r="D532" s="1229">
        <v>60</v>
      </c>
      <c r="E532" s="1288" t="s">
        <v>31</v>
      </c>
      <c r="F532" s="1041">
        <f t="shared" si="66"/>
        <v>8580</v>
      </c>
      <c r="G532" s="1229">
        <v>60</v>
      </c>
      <c r="H532" s="1219"/>
      <c r="I532" s="1041">
        <f t="shared" si="67"/>
        <v>8580</v>
      </c>
      <c r="J532" s="1229">
        <f>'[97]Blocking - detail'!I504</f>
        <v>60</v>
      </c>
      <c r="K532" s="1219"/>
      <c r="L532" s="1041">
        <f t="shared" si="68"/>
        <v>8580</v>
      </c>
      <c r="N532" s="1204" t="e">
        <f>J532*#REF!</f>
        <v>#REF!</v>
      </c>
      <c r="AC532" s="1185"/>
      <c r="AD532" s="1185"/>
      <c r="AE532" s="1185"/>
      <c r="AF532" s="1185"/>
      <c r="AG532" s="1185"/>
      <c r="AH532" s="1185"/>
      <c r="AI532" s="1185"/>
    </row>
    <row r="533" spans="1:35">
      <c r="A533" s="1009" t="s">
        <v>444</v>
      </c>
      <c r="B533" s="1219"/>
      <c r="C533" s="1026">
        <f t="shared" si="65"/>
        <v>64453</v>
      </c>
      <c r="D533" s="1262">
        <v>-30</v>
      </c>
      <c r="E533" s="1041" t="s">
        <v>374</v>
      </c>
      <c r="F533" s="1041">
        <f t="shared" si="66"/>
        <v>-19336</v>
      </c>
      <c r="G533" s="1262">
        <v>-30</v>
      </c>
      <c r="H533" s="1041" t="s">
        <v>374</v>
      </c>
      <c r="I533" s="1041">
        <f t="shared" si="67"/>
        <v>-19336</v>
      </c>
      <c r="J533" s="1262">
        <f>'[97]Blocking - detail'!I505</f>
        <v>-30</v>
      </c>
      <c r="K533" s="1041" t="s">
        <v>374</v>
      </c>
      <c r="L533" s="1041">
        <f t="shared" si="68"/>
        <v>-19336</v>
      </c>
      <c r="N533" s="1204" t="e">
        <f>(J533/100)*#REF!</f>
        <v>#REF!</v>
      </c>
      <c r="AC533" s="1185"/>
      <c r="AD533" s="1185"/>
      <c r="AE533" s="1185"/>
      <c r="AF533" s="1185"/>
      <c r="AG533" s="1185"/>
      <c r="AH533" s="1185"/>
      <c r="AI533" s="1185"/>
    </row>
    <row r="534" spans="1:35">
      <c r="A534" s="1219" t="s">
        <v>381</v>
      </c>
      <c r="B534" s="1296"/>
      <c r="C534" s="1026">
        <f t="shared" si="65"/>
        <v>861138439</v>
      </c>
      <c r="D534" s="1255"/>
      <c r="E534" s="1203"/>
      <c r="F534" s="1203">
        <f t="shared" si="66"/>
        <v>53671050</v>
      </c>
      <c r="G534" s="1249"/>
      <c r="H534" s="1219"/>
      <c r="I534" s="1203">
        <f t="shared" si="67"/>
        <v>61320232</v>
      </c>
      <c r="J534" s="1203"/>
      <c r="K534" s="1219"/>
      <c r="L534" s="1203">
        <f t="shared" si="68"/>
        <v>64771944</v>
      </c>
      <c r="N534" s="1204" t="e">
        <f>SUM(N508:N533)</f>
        <v>#REF!</v>
      </c>
      <c r="Q534" s="804"/>
      <c r="R534" s="804"/>
      <c r="AC534" s="1185"/>
      <c r="AD534" s="1185"/>
      <c r="AE534" s="1185"/>
      <c r="AF534" s="1185"/>
      <c r="AG534" s="1185"/>
      <c r="AH534" s="1185"/>
      <c r="AI534" s="1185"/>
    </row>
    <row r="535" spans="1:35">
      <c r="A535" s="1219" t="s">
        <v>363</v>
      </c>
      <c r="B535" s="25"/>
      <c r="C535" s="1028">
        <f t="shared" si="65"/>
        <v>-434048.61387258163</v>
      </c>
      <c r="D535" s="1218"/>
      <c r="E535" s="1218"/>
      <c r="F535" s="1239" t="e">
        <f t="shared" si="66"/>
        <v>#REF!</v>
      </c>
      <c r="G535" s="1218"/>
      <c r="H535" s="1218"/>
      <c r="I535" s="1239">
        <f t="shared" si="67"/>
        <v>-22821.496526031377</v>
      </c>
      <c r="J535" s="1218"/>
      <c r="K535" s="1218"/>
      <c r="L535" s="1239">
        <f>I535</f>
        <v>-22821.496526031377</v>
      </c>
      <c r="N535" s="289"/>
      <c r="O535" s="289"/>
      <c r="P535" s="290"/>
      <c r="AC535" s="1185"/>
      <c r="AD535" s="1185"/>
      <c r="AE535" s="1185"/>
      <c r="AF535" s="1185"/>
      <c r="AG535" s="1185"/>
      <c r="AH535" s="1185"/>
      <c r="AI535" s="1185"/>
    </row>
    <row r="536" spans="1:35" ht="16.5" thickBot="1">
      <c r="A536" s="1219" t="s">
        <v>382</v>
      </c>
      <c r="B536" s="1219"/>
      <c r="C536" s="1289">
        <f>SUM(C534)+C535</f>
        <v>860704390.38612747</v>
      </c>
      <c r="D536" s="1265"/>
      <c r="E536" s="1266"/>
      <c r="F536" s="1267" t="e">
        <f>F534+F535</f>
        <v>#REF!</v>
      </c>
      <c r="G536" s="1265"/>
      <c r="H536" s="1269"/>
      <c r="I536" s="1267">
        <f>I534+I535</f>
        <v>61297410.503473967</v>
      </c>
      <c r="J536" s="1265"/>
      <c r="K536" s="1269"/>
      <c r="L536" s="1267">
        <f>L534+L535</f>
        <v>64749122.503473967</v>
      </c>
      <c r="N536" s="291"/>
      <c r="O536" s="1215" t="s">
        <v>409</v>
      </c>
      <c r="P536" s="1241">
        <f>'[97]Rate Spread targets'!Q24*1000</f>
        <v>64749027.519143164</v>
      </c>
      <c r="Q536" s="818">
        <f>'[97]Rate Spread targets'!V24+0.007</f>
        <v>6.330934467408833E-2</v>
      </c>
      <c r="R536" s="777"/>
      <c r="S536" s="55" t="s">
        <v>31</v>
      </c>
      <c r="AC536" s="1185"/>
      <c r="AD536" s="1185"/>
      <c r="AE536" s="1185"/>
      <c r="AF536" s="1185"/>
      <c r="AG536" s="1185"/>
      <c r="AH536" s="1185"/>
      <c r="AI536" s="1185"/>
    </row>
    <row r="537" spans="1:35" ht="16.5" thickTop="1">
      <c r="A537" s="1219"/>
      <c r="B537" s="1219"/>
      <c r="C537" s="1225"/>
      <c r="D537" s="1261"/>
      <c r="E537" s="1203"/>
      <c r="F537" s="1203"/>
      <c r="G537" s="1261" t="s">
        <v>31</v>
      </c>
      <c r="H537" s="1219"/>
      <c r="I537" s="1203" t="s">
        <v>31</v>
      </c>
      <c r="J537" s="1259" t="s">
        <v>31</v>
      </c>
      <c r="K537" s="1219"/>
      <c r="L537" s="1203" t="s">
        <v>31</v>
      </c>
      <c r="O537" s="1220" t="s">
        <v>263</v>
      </c>
      <c r="P537" s="1221">
        <f>P536-L536</f>
        <v>-94.984330803155899</v>
      </c>
      <c r="Q537" s="1271" t="s">
        <v>31</v>
      </c>
      <c r="R537" s="1272"/>
      <c r="AC537" s="1185"/>
      <c r="AD537" s="1185"/>
      <c r="AE537" s="1185"/>
      <c r="AF537" s="1185"/>
      <c r="AG537" s="1185"/>
      <c r="AH537" s="1185"/>
      <c r="AI537" s="1185"/>
    </row>
    <row r="538" spans="1:35">
      <c r="A538" s="1224" t="s">
        <v>436</v>
      </c>
      <c r="B538" s="1219"/>
      <c r="C538" s="1219"/>
      <c r="D538" s="1203"/>
      <c r="E538" s="1203"/>
      <c r="F538" s="1219" t="s">
        <v>31</v>
      </c>
      <c r="G538" s="1203"/>
      <c r="H538" s="1219"/>
      <c r="I538" s="1219"/>
      <c r="J538" s="1203"/>
      <c r="K538" s="1219"/>
      <c r="L538" s="1219"/>
      <c r="AC538" s="1185"/>
      <c r="AD538" s="1185"/>
      <c r="AE538" s="1185"/>
      <c r="AF538" s="1185"/>
      <c r="AG538" s="1185"/>
      <c r="AH538" s="1185"/>
      <c r="AI538" s="1185"/>
    </row>
    <row r="539" spans="1:35">
      <c r="A539" s="1218" t="s">
        <v>445</v>
      </c>
      <c r="B539" s="1219"/>
      <c r="C539" s="1219"/>
      <c r="D539" s="1203"/>
      <c r="E539" s="1203"/>
      <c r="F539" s="1219"/>
      <c r="G539" s="1203"/>
      <c r="H539" s="1219"/>
      <c r="I539" s="1219"/>
      <c r="J539" s="1203"/>
      <c r="K539" s="1219"/>
      <c r="L539" s="1219"/>
      <c r="P539" s="1223" t="s">
        <v>31</v>
      </c>
      <c r="AC539" s="1185"/>
      <c r="AD539" s="1185"/>
      <c r="AE539" s="1185"/>
      <c r="AF539" s="1185"/>
      <c r="AG539" s="1185"/>
      <c r="AH539" s="1185"/>
      <c r="AI539" s="1185"/>
    </row>
    <row r="540" spans="1:35">
      <c r="A540" s="1009"/>
      <c r="B540" s="1219"/>
      <c r="C540" s="1219"/>
      <c r="D540" s="1203"/>
      <c r="E540" s="1203"/>
      <c r="F540" s="1219"/>
      <c r="G540" s="1203"/>
      <c r="H540" s="1219"/>
      <c r="I540" s="1219"/>
      <c r="J540" s="1203"/>
      <c r="K540" s="1219"/>
      <c r="L540" s="1219"/>
      <c r="N540" s="1185"/>
      <c r="O540" s="1185"/>
      <c r="P540" s="1186"/>
      <c r="Q540" s="1186"/>
      <c r="R540" s="1186"/>
      <c r="S540" s="1185"/>
      <c r="T540" s="1185"/>
      <c r="U540" s="1185"/>
      <c r="V540" s="1185"/>
      <c r="W540" s="1185"/>
      <c r="X540" s="1185"/>
      <c r="Y540" s="1185"/>
      <c r="Z540" s="1185"/>
      <c r="AA540" s="1185"/>
      <c r="AB540" s="1185"/>
      <c r="AC540" s="1185"/>
      <c r="AD540" s="1185"/>
      <c r="AE540" s="1185"/>
      <c r="AF540" s="1185"/>
      <c r="AG540" s="1185"/>
      <c r="AH540" s="1185"/>
      <c r="AI540" s="1185"/>
    </row>
    <row r="541" spans="1:35">
      <c r="A541" s="1009" t="s">
        <v>393</v>
      </c>
      <c r="B541" s="1219"/>
      <c r="C541" s="1026"/>
      <c r="D541" s="1203"/>
      <c r="E541" s="1203"/>
      <c r="F541" s="1219"/>
      <c r="G541" s="1203"/>
      <c r="H541" s="1219"/>
      <c r="I541" s="1219"/>
      <c r="J541" s="1203"/>
      <c r="K541" s="1219"/>
      <c r="L541" s="1219"/>
      <c r="N541" s="1185"/>
      <c r="O541" s="1185"/>
      <c r="P541" s="1186"/>
      <c r="Q541" s="1186"/>
      <c r="R541" s="1186"/>
      <c r="S541" s="1185"/>
      <c r="T541" s="1185"/>
      <c r="U541" s="1185"/>
      <c r="V541" s="1185"/>
      <c r="W541" s="1185"/>
      <c r="X541" s="1185"/>
      <c r="Y541" s="1185"/>
      <c r="Z541" s="1185"/>
      <c r="AA541" s="1185"/>
      <c r="AB541" s="1185"/>
      <c r="AC541" s="1185"/>
      <c r="AD541" s="1185"/>
      <c r="AE541" s="1185"/>
      <c r="AF541" s="1185"/>
      <c r="AG541" s="1185"/>
      <c r="AH541" s="1185"/>
      <c r="AI541" s="1185"/>
    </row>
    <row r="542" spans="1:35">
      <c r="A542" s="1009" t="s">
        <v>421</v>
      </c>
      <c r="B542" s="1219"/>
      <c r="C542" s="1026">
        <f>281</f>
        <v>281</v>
      </c>
      <c r="D542" s="1229">
        <v>227</v>
      </c>
      <c r="E542" s="1009"/>
      <c r="F542" s="1041">
        <f>ROUND(D542*$C542,0)</f>
        <v>63787</v>
      </c>
      <c r="G542" s="1229">
        <v>259</v>
      </c>
      <c r="H542" s="1009"/>
      <c r="I542" s="1041">
        <f>ROUND(G542*C542,0)</f>
        <v>72779</v>
      </c>
      <c r="J542" s="1229">
        <f>$J$508</f>
        <v>259</v>
      </c>
      <c r="K542" s="1009"/>
      <c r="L542" s="1041">
        <f>ROUND(J542*$C542,0)</f>
        <v>72779</v>
      </c>
      <c r="N542" s="1185"/>
      <c r="Q542" s="1186"/>
      <c r="R542" s="1186"/>
      <c r="S542" s="1185"/>
      <c r="T542" s="1185"/>
      <c r="U542" s="1185"/>
      <c r="V542" s="1185"/>
      <c r="W542" s="1185"/>
      <c r="X542" s="1185"/>
      <c r="Y542" s="1185"/>
      <c r="Z542" s="1185"/>
      <c r="AA542" s="1185"/>
      <c r="AB542" s="1185"/>
      <c r="AC542" s="1185"/>
      <c r="AD542" s="1185"/>
      <c r="AE542" s="1185"/>
      <c r="AF542" s="1185"/>
      <c r="AG542" s="1185"/>
      <c r="AH542" s="1185"/>
      <c r="AI542" s="1185"/>
    </row>
    <row r="543" spans="1:35">
      <c r="A543" s="1009" t="s">
        <v>422</v>
      </c>
      <c r="B543" s="1219"/>
      <c r="C543" s="1026">
        <f>57+7534</f>
        <v>7591</v>
      </c>
      <c r="D543" s="1229">
        <v>84</v>
      </c>
      <c r="E543" s="1009"/>
      <c r="F543" s="1041">
        <f>ROUND(D543*$C543,0)</f>
        <v>637644</v>
      </c>
      <c r="G543" s="1229">
        <v>96</v>
      </c>
      <c r="H543" s="1009"/>
      <c r="I543" s="1041">
        <f>ROUND(G543*C543,0)</f>
        <v>728736</v>
      </c>
      <c r="J543" s="1229">
        <f>$J$509</f>
        <v>96</v>
      </c>
      <c r="K543" s="1009"/>
      <c r="L543" s="1041">
        <f>ROUND(J543*$C543,0)</f>
        <v>728736</v>
      </c>
      <c r="N543" s="1185"/>
      <c r="Q543" s="1186"/>
      <c r="R543" s="1186"/>
      <c r="S543" s="1185"/>
      <c r="T543" s="1185"/>
      <c r="U543" s="1185"/>
      <c r="V543" s="1185"/>
      <c r="W543" s="1185"/>
      <c r="X543" s="1185"/>
      <c r="Y543" s="1185"/>
      <c r="Z543" s="1185"/>
      <c r="AA543" s="1185"/>
      <c r="AB543" s="1185"/>
      <c r="AC543" s="1185"/>
      <c r="AD543" s="1185"/>
      <c r="AE543" s="1185"/>
      <c r="AF543" s="1185"/>
      <c r="AG543" s="1185"/>
      <c r="AH543" s="1185"/>
      <c r="AI543" s="1185"/>
    </row>
    <row r="544" spans="1:35">
      <c r="A544" s="1009" t="s">
        <v>423</v>
      </c>
      <c r="B544" s="1219"/>
      <c r="C544" s="1026">
        <f>85+2926-'[97]Load Loss'!C11</f>
        <v>2998.9333333333334</v>
      </c>
      <c r="D544" s="1229">
        <v>168</v>
      </c>
      <c r="E544" s="1250"/>
      <c r="F544" s="1041">
        <f>ROUND(D544*$C544,0)</f>
        <v>503821</v>
      </c>
      <c r="G544" s="1229">
        <v>192</v>
      </c>
      <c r="H544" s="1250"/>
      <c r="I544" s="1041">
        <f>ROUND(G544*C544,0)</f>
        <v>575795</v>
      </c>
      <c r="J544" s="1229">
        <f>$J$510</f>
        <v>192</v>
      </c>
      <c r="K544" s="1250"/>
      <c r="L544" s="1041">
        <f>ROUND(J544*$C544,0)</f>
        <v>575795</v>
      </c>
      <c r="N544" s="1185"/>
      <c r="Q544" s="1186"/>
      <c r="R544" s="1186"/>
      <c r="S544" s="1185"/>
      <c r="T544" s="1185"/>
      <c r="U544" s="1185"/>
      <c r="V544" s="1185"/>
      <c r="W544" s="1185"/>
      <c r="X544" s="1185"/>
      <c r="Y544" s="1185"/>
      <c r="Z544" s="1185"/>
      <c r="AA544" s="1185"/>
      <c r="AB544" s="1185"/>
      <c r="AC544" s="1185"/>
      <c r="AD544" s="1185"/>
      <c r="AE544" s="1185"/>
      <c r="AF544" s="1185"/>
      <c r="AG544" s="1185"/>
      <c r="AH544" s="1185"/>
      <c r="AI544" s="1185"/>
    </row>
    <row r="545" spans="1:35">
      <c r="A545" s="1009" t="s">
        <v>394</v>
      </c>
      <c r="B545" s="1219"/>
      <c r="C545" s="1026">
        <f>SUM(C542:C544)</f>
        <v>10870.933333333334</v>
      </c>
      <c r="D545" s="1229"/>
      <c r="E545" s="1009"/>
      <c r="F545" s="1041"/>
      <c r="G545" s="1229"/>
      <c r="H545" s="1009"/>
      <c r="I545" s="1041"/>
      <c r="J545" s="1229"/>
      <c r="K545" s="1009"/>
      <c r="L545" s="1041"/>
      <c r="N545" s="1185"/>
      <c r="Q545" s="1186"/>
      <c r="R545" s="1186"/>
      <c r="S545" s="1185"/>
      <c r="T545" s="1185"/>
      <c r="U545" s="1185"/>
      <c r="V545" s="1185"/>
      <c r="W545" s="1185"/>
      <c r="X545" s="1185"/>
      <c r="Y545" s="1185"/>
      <c r="Z545" s="1185"/>
      <c r="AA545" s="1185"/>
      <c r="AB545" s="1185"/>
      <c r="AC545" s="1185"/>
      <c r="AD545" s="1185"/>
      <c r="AE545" s="1185"/>
      <c r="AF545" s="1185"/>
      <c r="AG545" s="1185"/>
      <c r="AH545" s="1185"/>
      <c r="AI545" s="1185"/>
    </row>
    <row r="546" spans="1:35">
      <c r="A546" s="1009" t="s">
        <v>422</v>
      </c>
      <c r="B546" s="1219"/>
      <c r="C546" s="1026">
        <f>11751+1300323</f>
        <v>1312074</v>
      </c>
      <c r="D546" s="1229">
        <v>1.48</v>
      </c>
      <c r="E546" s="1009" t="s">
        <v>31</v>
      </c>
      <c r="F546" s="1041">
        <f>ROUND(D546*$C546,0)</f>
        <v>1941870</v>
      </c>
      <c r="G546" s="1229">
        <v>1.7</v>
      </c>
      <c r="H546" s="1009" t="s">
        <v>31</v>
      </c>
      <c r="I546" s="1041">
        <f t="shared" ref="I546:I547" si="69">ROUND(G546*C546,0)</f>
        <v>2230526</v>
      </c>
      <c r="J546" s="1229">
        <f>$J$512</f>
        <v>1.7</v>
      </c>
      <c r="K546" s="1009" t="s">
        <v>31</v>
      </c>
      <c r="L546" s="1041">
        <f>ROUND(J546*$C546,0)</f>
        <v>2230526</v>
      </c>
      <c r="N546" s="1185"/>
      <c r="Q546" s="1186"/>
      <c r="R546" s="1186"/>
      <c r="S546" s="1185"/>
      <c r="T546" s="1185"/>
      <c r="U546" s="1185"/>
      <c r="V546" s="1185"/>
      <c r="W546" s="1185"/>
      <c r="X546" s="1185"/>
      <c r="Y546" s="1185"/>
      <c r="Z546" s="1185"/>
      <c r="AA546" s="1185"/>
      <c r="AB546" s="1185"/>
      <c r="AC546" s="1185"/>
      <c r="AD546" s="1185"/>
      <c r="AE546" s="1185"/>
      <c r="AF546" s="1185"/>
      <c r="AG546" s="1185"/>
      <c r="AH546" s="1185"/>
      <c r="AI546" s="1185"/>
    </row>
    <row r="547" spans="1:35">
      <c r="A547" s="1009" t="s">
        <v>423</v>
      </c>
      <c r="B547" s="1219"/>
      <c r="C547" s="1026">
        <f>55486+1424492-'[97]Load Loss'!C14</f>
        <v>1471768</v>
      </c>
      <c r="D547" s="1229">
        <v>1.22</v>
      </c>
      <c r="E547" s="1009" t="s">
        <v>31</v>
      </c>
      <c r="F547" s="1041">
        <f>ROUND(D547*$C547,0)</f>
        <v>1795557</v>
      </c>
      <c r="G547" s="1229">
        <v>1.39</v>
      </c>
      <c r="H547" s="1009" t="s">
        <v>31</v>
      </c>
      <c r="I547" s="1041">
        <f t="shared" si="69"/>
        <v>2045758</v>
      </c>
      <c r="J547" s="1229">
        <f>$J$513</f>
        <v>1.39</v>
      </c>
      <c r="K547" s="1009" t="s">
        <v>31</v>
      </c>
      <c r="L547" s="1041">
        <f>ROUND(J547*$C547,0)</f>
        <v>2045758</v>
      </c>
      <c r="N547" s="1185"/>
      <c r="Q547" s="1186"/>
      <c r="R547" s="1186"/>
      <c r="S547" s="1185"/>
      <c r="T547" s="1185"/>
      <c r="U547" s="1185"/>
      <c r="V547" s="1185"/>
      <c r="W547" s="1185"/>
      <c r="X547" s="1185"/>
      <c r="Y547" s="1185"/>
      <c r="Z547" s="1185"/>
      <c r="AA547" s="1185"/>
      <c r="AB547" s="1185"/>
      <c r="AC547" s="1185"/>
      <c r="AD547" s="1185"/>
      <c r="AE547" s="1185"/>
      <c r="AF547" s="1185"/>
      <c r="AG547" s="1185"/>
      <c r="AH547" s="1185"/>
      <c r="AI547" s="1185"/>
    </row>
    <row r="548" spans="1:35">
      <c r="A548" s="1218" t="s">
        <v>424</v>
      </c>
      <c r="B548" s="1219"/>
      <c r="C548" s="1026"/>
      <c r="D548" s="1234"/>
      <c r="E548" s="1009"/>
      <c r="F548" s="1041"/>
      <c r="G548" s="1234"/>
      <c r="H548" s="1009"/>
      <c r="I548" s="1041"/>
      <c r="J548" s="1234"/>
      <c r="K548" s="1009"/>
      <c r="L548" s="1041"/>
      <c r="N548" s="1185"/>
      <c r="Q548" s="1186"/>
      <c r="R548" s="1186"/>
      <c r="S548" s="1185"/>
      <c r="T548" s="1185"/>
      <c r="U548" s="1185"/>
      <c r="V548" s="1185"/>
      <c r="W548" s="1185"/>
      <c r="X548" s="1185"/>
      <c r="Y548" s="1185"/>
      <c r="Z548" s="1185"/>
      <c r="AA548" s="1185"/>
      <c r="AB548" s="1185"/>
      <c r="AC548" s="1185"/>
      <c r="AD548" s="1185"/>
      <c r="AE548" s="1185"/>
      <c r="AF548" s="1185"/>
      <c r="AG548" s="1185"/>
      <c r="AH548" s="1185"/>
      <c r="AI548" s="1185"/>
    </row>
    <row r="549" spans="1:35">
      <c r="A549" s="1218" t="s">
        <v>425</v>
      </c>
      <c r="B549" s="1219"/>
      <c r="C549" s="1026">
        <f>9322+39219+17535+972195+1060315-'[97]Load Loss'!C16</f>
        <v>2091816</v>
      </c>
      <c r="D549" s="1229">
        <v>3.88</v>
      </c>
      <c r="E549" s="1009"/>
      <c r="F549" s="1041">
        <f>ROUND(D549*$C549,0)</f>
        <v>8116246</v>
      </c>
      <c r="G549" s="1229">
        <v>4.4400000000000004</v>
      </c>
      <c r="H549" s="1009"/>
      <c r="I549" s="1041">
        <f t="shared" ref="I549:I550" si="70">ROUND(G549*C549,0)</f>
        <v>9287663</v>
      </c>
      <c r="J549" s="1229">
        <f>$J$515</f>
        <v>4.72</v>
      </c>
      <c r="K549" s="1009"/>
      <c r="L549" s="1041">
        <f>ROUND(J549*$C549,0)</f>
        <v>9873372</v>
      </c>
      <c r="N549" s="1185"/>
      <c r="Q549" s="1186"/>
      <c r="R549" s="1186"/>
      <c r="S549" s="1185"/>
      <c r="T549" s="1185"/>
      <c r="U549" s="1185"/>
      <c r="V549" s="1185"/>
      <c r="W549" s="1185"/>
      <c r="X549" s="1185"/>
      <c r="Y549" s="1185"/>
      <c r="Z549" s="1185"/>
      <c r="AA549" s="1185"/>
      <c r="AB549" s="1185"/>
      <c r="AC549" s="1185"/>
      <c r="AD549" s="1185"/>
      <c r="AE549" s="1185"/>
      <c r="AF549" s="1185"/>
      <c r="AG549" s="1185"/>
      <c r="AH549" s="1185"/>
      <c r="AI549" s="1185"/>
    </row>
    <row r="550" spans="1:35">
      <c r="A550" s="1218" t="s">
        <v>441</v>
      </c>
      <c r="B550" s="1219"/>
      <c r="C550" s="1026">
        <f>250+210+1624+950</f>
        <v>3034</v>
      </c>
      <c r="D550" s="1292">
        <v>3.88</v>
      </c>
      <c r="E550" s="1009"/>
      <c r="F550" s="1041">
        <f>ROUND(D550*$C550,0)</f>
        <v>11772</v>
      </c>
      <c r="G550" s="1292">
        <v>4.4400000000000004</v>
      </c>
      <c r="H550" s="1009"/>
      <c r="I550" s="1041">
        <f t="shared" si="70"/>
        <v>13471</v>
      </c>
      <c r="J550" s="1292">
        <f>J549</f>
        <v>4.72</v>
      </c>
      <c r="K550" s="1009"/>
      <c r="L550" s="1041">
        <f>ROUND(J550*$C550,0)</f>
        <v>14320</v>
      </c>
      <c r="N550" s="1185"/>
      <c r="Q550" s="1186"/>
      <c r="R550" s="1186"/>
      <c r="S550" s="1185"/>
      <c r="T550" s="1185"/>
      <c r="U550" s="1185"/>
      <c r="V550" s="1185"/>
      <c r="W550" s="1185"/>
      <c r="X550" s="1185"/>
      <c r="Y550" s="1185"/>
      <c r="Z550" s="1185"/>
      <c r="AA550" s="1185"/>
      <c r="AB550" s="1185"/>
      <c r="AC550" s="1185"/>
      <c r="AD550" s="1185"/>
      <c r="AE550" s="1185"/>
      <c r="AF550" s="1185"/>
      <c r="AG550" s="1185"/>
      <c r="AH550" s="1185"/>
      <c r="AI550" s="1185"/>
    </row>
    <row r="551" spans="1:35">
      <c r="A551" s="1009" t="s">
        <v>426</v>
      </c>
      <c r="B551" s="1219"/>
      <c r="C551" s="1026"/>
      <c r="D551" s="1229"/>
      <c r="E551" s="1009"/>
      <c r="F551" s="1041"/>
      <c r="G551" s="1229"/>
      <c r="H551" s="1009"/>
      <c r="I551" s="1041"/>
      <c r="J551" s="1229"/>
      <c r="K551" s="1009"/>
      <c r="L551" s="1041"/>
      <c r="N551" s="1185"/>
      <c r="Q551" s="1186"/>
      <c r="R551" s="1186"/>
      <c r="S551" s="1185"/>
      <c r="T551" s="1185"/>
      <c r="U551" s="1185"/>
      <c r="V551" s="1185"/>
      <c r="W551" s="1185"/>
      <c r="X551" s="1185"/>
      <c r="Y551" s="1185"/>
      <c r="Z551" s="1185"/>
      <c r="AA551" s="1185"/>
      <c r="AB551" s="1185"/>
      <c r="AC551" s="1185"/>
      <c r="AD551" s="1185"/>
      <c r="AE551" s="1185"/>
      <c r="AF551" s="1185"/>
      <c r="AG551" s="1185"/>
      <c r="AH551" s="1185"/>
      <c r="AI551" s="1185"/>
    </row>
    <row r="552" spans="1:35">
      <c r="A552" s="1009" t="s">
        <v>427</v>
      </c>
      <c r="B552" s="1026"/>
      <c r="C552" s="1026">
        <f>2056393+3072400+4257539+226577685+110054142-'[97]Load Loss'!C19</f>
        <v>345535492.33333331</v>
      </c>
      <c r="D552" s="1297">
        <v>4.6340000000000003</v>
      </c>
      <c r="E552" s="1009" t="s">
        <v>374</v>
      </c>
      <c r="F552" s="1041">
        <f>ROUND(D552*$C552/100,0)</f>
        <v>16012115</v>
      </c>
      <c r="G552" s="1298">
        <v>5.2919999999999998</v>
      </c>
      <c r="H552" s="1009" t="s">
        <v>374</v>
      </c>
      <c r="I552" s="1041">
        <f>ROUND(G552*C552/100,0)</f>
        <v>18285738</v>
      </c>
      <c r="J552" s="806">
        <f>$J$518</f>
        <v>5.6289999999999996</v>
      </c>
      <c r="K552" s="1009" t="s">
        <v>374</v>
      </c>
      <c r="L552" s="1041">
        <f>ROUND(J552*$C552/100,0)</f>
        <v>19450193</v>
      </c>
      <c r="N552" s="1185"/>
      <c r="Q552" s="1186"/>
      <c r="R552" s="1186"/>
      <c r="S552" s="1185"/>
      <c r="T552" s="1185"/>
      <c r="U552" s="1185"/>
      <c r="V552" s="1185"/>
      <c r="W552" s="1185"/>
      <c r="X552" s="1185"/>
      <c r="Y552" s="1185"/>
      <c r="Z552" s="1185"/>
      <c r="AA552" s="1185"/>
      <c r="AB552" s="1185"/>
      <c r="AC552" s="1185"/>
      <c r="AD552" s="1185"/>
      <c r="AE552" s="1185"/>
      <c r="AF552" s="1185"/>
      <c r="AG552" s="1185"/>
      <c r="AH552" s="1185"/>
      <c r="AI552" s="1185"/>
    </row>
    <row r="553" spans="1:35">
      <c r="A553" s="1009" t="s">
        <v>399</v>
      </c>
      <c r="B553" s="1026"/>
      <c r="C553" s="1026">
        <f>3686800+12483521+4350426+318933808+413712700-'[97]Load Loss'!C19-'[97]Load Loss'!C20-C552</f>
        <v>406010762.66666669</v>
      </c>
      <c r="D553" s="1297">
        <v>4.2469999999999999</v>
      </c>
      <c r="E553" s="1009" t="s">
        <v>374</v>
      </c>
      <c r="F553" s="1041">
        <f>ROUND(D553*$C553/100,0)</f>
        <v>17243277</v>
      </c>
      <c r="G553" s="1298">
        <v>4.8499999999999996</v>
      </c>
      <c r="H553" s="1009" t="s">
        <v>374</v>
      </c>
      <c r="I553" s="1041">
        <f t="shared" ref="I553:I554" si="71">ROUND(G553*C553/100,0)</f>
        <v>19691522</v>
      </c>
      <c r="J553" s="806">
        <f>$J$519</f>
        <v>5.157</v>
      </c>
      <c r="K553" s="1009" t="s">
        <v>374</v>
      </c>
      <c r="L553" s="1041">
        <f>ROUND(J553*$C553/100,0)</f>
        <v>20937975</v>
      </c>
      <c r="N553" s="1185"/>
      <c r="Q553" s="1186"/>
      <c r="R553" s="1186"/>
      <c r="S553" s="1185"/>
      <c r="T553" s="1185"/>
      <c r="U553" s="1185"/>
      <c r="V553" s="1185"/>
      <c r="W553" s="1185"/>
      <c r="X553" s="1185"/>
      <c r="Y553" s="1185"/>
      <c r="Z553" s="1185"/>
      <c r="AA553" s="1185"/>
      <c r="AB553" s="1185"/>
      <c r="AC553" s="1185"/>
      <c r="AD553" s="1185"/>
      <c r="AE553" s="1185"/>
      <c r="AF553" s="1185"/>
      <c r="AG553" s="1185"/>
      <c r="AH553" s="1185"/>
      <c r="AI553" s="1185"/>
    </row>
    <row r="554" spans="1:35">
      <c r="A554" s="1009" t="s">
        <v>400</v>
      </c>
      <c r="B554" s="1219"/>
      <c r="C554" s="1026">
        <f>590+10691+1905+174527+195017-'[97]Load Loss'!C21</f>
        <v>379182.6</v>
      </c>
      <c r="D554" s="1262">
        <v>50</v>
      </c>
      <c r="E554" s="1009" t="s">
        <v>374</v>
      </c>
      <c r="F554" s="1041">
        <f>ROUND(D554*$C554/100,0)</f>
        <v>189591</v>
      </c>
      <c r="G554" s="1299">
        <v>56</v>
      </c>
      <c r="H554" s="1009" t="s">
        <v>374</v>
      </c>
      <c r="I554" s="1041">
        <f t="shared" si="71"/>
        <v>212342</v>
      </c>
      <c r="J554" s="1300">
        <f>$J$520</f>
        <v>56</v>
      </c>
      <c r="K554" s="1009" t="s">
        <v>374</v>
      </c>
      <c r="L554" s="1041">
        <f>ROUND(J554*$C554/100,0)</f>
        <v>212342</v>
      </c>
      <c r="N554" s="1185"/>
      <c r="Q554" s="1186"/>
      <c r="R554" s="1186"/>
      <c r="S554" s="1065" t="s">
        <v>31</v>
      </c>
      <c r="T554" s="1185"/>
      <c r="U554" s="1185"/>
      <c r="V554" s="1185"/>
      <c r="W554" s="1185"/>
      <c r="X554" s="1185"/>
      <c r="Y554" s="1185"/>
      <c r="Z554" s="1185"/>
      <c r="AA554" s="1185"/>
      <c r="AB554" s="1185"/>
      <c r="AC554" s="1185"/>
      <c r="AD554" s="1185"/>
      <c r="AE554" s="1185"/>
      <c r="AF554" s="1185"/>
      <c r="AG554" s="1185"/>
      <c r="AH554" s="1185"/>
      <c r="AI554" s="1185"/>
    </row>
    <row r="555" spans="1:35">
      <c r="A555" s="1283" t="s">
        <v>401</v>
      </c>
      <c r="B555" s="1219"/>
      <c r="C555" s="1026"/>
      <c r="D555" s="1257">
        <v>-0.01</v>
      </c>
      <c r="E555" s="1203"/>
      <c r="F555" s="1041"/>
      <c r="G555" s="1257">
        <v>-0.01</v>
      </c>
      <c r="H555" s="1219"/>
      <c r="I555" s="1041"/>
      <c r="J555" s="1257">
        <v>-0.01</v>
      </c>
      <c r="K555" s="1219"/>
      <c r="L555" s="1041"/>
      <c r="N555" s="1185"/>
      <c r="Q555" s="1274"/>
      <c r="R555" s="1186"/>
      <c r="S555" s="1185"/>
      <c r="T555" s="1185"/>
      <c r="U555" s="1185"/>
      <c r="V555" s="1185"/>
      <c r="W555" s="1185"/>
      <c r="X555" s="1185"/>
      <c r="Y555" s="1185"/>
      <c r="Z555" s="1185"/>
      <c r="AA555" s="1185"/>
      <c r="AB555" s="1185"/>
      <c r="AC555" s="1185"/>
      <c r="AD555" s="1185"/>
      <c r="AE555" s="1185"/>
      <c r="AF555" s="1185"/>
      <c r="AG555" s="1185"/>
      <c r="AH555" s="1185"/>
      <c r="AI555" s="1185"/>
    </row>
    <row r="556" spans="1:35">
      <c r="A556" s="1009" t="s">
        <v>421</v>
      </c>
      <c r="B556" s="1225"/>
      <c r="C556" s="1026">
        <v>0</v>
      </c>
      <c r="D556" s="1234">
        <v>227</v>
      </c>
      <c r="E556" s="1288"/>
      <c r="F556" s="1041">
        <f>ROUND(D556*$C556*D555,0)</f>
        <v>0</v>
      </c>
      <c r="G556" s="1234">
        <v>259</v>
      </c>
      <c r="H556" s="1224"/>
      <c r="I556" s="1041">
        <f>ROUND(G556*C556*$G$555,0)</f>
        <v>0</v>
      </c>
      <c r="J556" s="1234">
        <f>J542</f>
        <v>259</v>
      </c>
      <c r="K556" s="1224"/>
      <c r="L556" s="1041">
        <f>ROUND(J556*$C556*J555,0)</f>
        <v>0</v>
      </c>
      <c r="N556" s="1185"/>
      <c r="Q556" s="1274"/>
      <c r="R556" s="1186"/>
      <c r="S556" s="1185"/>
      <c r="T556" s="1185"/>
      <c r="U556" s="1185"/>
      <c r="V556" s="1185"/>
      <c r="W556" s="1185"/>
      <c r="X556" s="1185"/>
      <c r="Y556" s="1185"/>
      <c r="Z556" s="1185"/>
      <c r="AA556" s="1185"/>
      <c r="AB556" s="1185"/>
      <c r="AC556" s="1185"/>
      <c r="AD556" s="1185"/>
      <c r="AE556" s="1185"/>
      <c r="AF556" s="1185"/>
      <c r="AG556" s="1185"/>
      <c r="AH556" s="1185"/>
      <c r="AI556" s="1185"/>
    </row>
    <row r="557" spans="1:35">
      <c r="A557" s="1009" t="s">
        <v>422</v>
      </c>
      <c r="B557" s="1219"/>
      <c r="C557" s="1026">
        <f>57</f>
        <v>57</v>
      </c>
      <c r="D557" s="1234">
        <v>84</v>
      </c>
      <c r="E557" s="1288"/>
      <c r="F557" s="1041">
        <f>ROUND(D557*$C557*D555,0)</f>
        <v>-48</v>
      </c>
      <c r="G557" s="1234">
        <v>96</v>
      </c>
      <c r="H557" s="1224"/>
      <c r="I557" s="1041">
        <f t="shared" ref="I557:I562" si="72">ROUND(G557*C557*$G$555,0)</f>
        <v>-55</v>
      </c>
      <c r="J557" s="1234">
        <f>J543</f>
        <v>96</v>
      </c>
      <c r="K557" s="1224"/>
      <c r="L557" s="1041">
        <f>ROUND(J557*$C557*J555,0)</f>
        <v>-55</v>
      </c>
      <c r="N557" s="1185"/>
      <c r="Q557" s="1274"/>
      <c r="R557" s="1186"/>
      <c r="S557" s="1185"/>
      <c r="T557" s="1185"/>
      <c r="U557" s="1185"/>
      <c r="V557" s="1185"/>
      <c r="W557" s="1185"/>
      <c r="X557" s="1185"/>
      <c r="Y557" s="1185"/>
      <c r="Z557" s="1185"/>
      <c r="AA557" s="1185"/>
      <c r="AB557" s="1185"/>
      <c r="AC557" s="1185"/>
      <c r="AD557" s="1185"/>
      <c r="AE557" s="1185"/>
      <c r="AF557" s="1185"/>
      <c r="AG557" s="1185"/>
      <c r="AH557" s="1185"/>
      <c r="AI557" s="1185"/>
    </row>
    <row r="558" spans="1:35">
      <c r="A558" s="1009" t="s">
        <v>423</v>
      </c>
      <c r="B558" s="1219"/>
      <c r="C558" s="1026">
        <f>85-'[97]Load Loss'!C25</f>
        <v>72.933333333333294</v>
      </c>
      <c r="D558" s="1234">
        <v>168</v>
      </c>
      <c r="E558" s="1294"/>
      <c r="F558" s="1041">
        <f>ROUND(D558*$C558*D555,0)</f>
        <v>-123</v>
      </c>
      <c r="G558" s="1234">
        <v>192</v>
      </c>
      <c r="H558" s="1295"/>
      <c r="I558" s="1041">
        <f t="shared" si="72"/>
        <v>-140</v>
      </c>
      <c r="J558" s="1234">
        <f>J544</f>
        <v>192</v>
      </c>
      <c r="K558" s="1295"/>
      <c r="L558" s="1041">
        <f>ROUND(J558*$C558*J555,0)</f>
        <v>-140</v>
      </c>
      <c r="N558" s="1185"/>
      <c r="Q558" s="1274"/>
      <c r="R558" s="1186"/>
      <c r="S558" s="1185"/>
      <c r="T558" s="1185"/>
      <c r="U558" s="1185"/>
      <c r="V558" s="1185"/>
      <c r="W558" s="1185"/>
      <c r="X558" s="1185"/>
      <c r="Y558" s="1185"/>
      <c r="Z558" s="1185"/>
      <c r="AA558" s="1185"/>
      <c r="AB558" s="1185"/>
      <c r="AC558" s="1185"/>
      <c r="AD558" s="1185"/>
      <c r="AE558" s="1185"/>
      <c r="AF558" s="1185"/>
      <c r="AG558" s="1185"/>
      <c r="AH558" s="1185"/>
      <c r="AI558" s="1185"/>
    </row>
    <row r="559" spans="1:35">
      <c r="A559" s="1009" t="s">
        <v>422</v>
      </c>
      <c r="B559" s="1219"/>
      <c r="C559" s="1026">
        <f>11751</f>
        <v>11751</v>
      </c>
      <c r="D559" s="1234">
        <v>1.48</v>
      </c>
      <c r="E559" s="1288"/>
      <c r="F559" s="1041">
        <f>ROUND(D559*$C559*D555,0)</f>
        <v>-174</v>
      </c>
      <c r="G559" s="1234">
        <v>1.7</v>
      </c>
      <c r="H559" s="1224"/>
      <c r="I559" s="1041">
        <f t="shared" si="72"/>
        <v>-200</v>
      </c>
      <c r="J559" s="1234">
        <f>J546</f>
        <v>1.7</v>
      </c>
      <c r="K559" s="1224"/>
      <c r="L559" s="1041">
        <f>ROUND(J559*$C559*J555,0)</f>
        <v>-200</v>
      </c>
      <c r="N559" s="1185"/>
      <c r="Q559" s="1274"/>
      <c r="R559" s="1186"/>
      <c r="S559" s="1185"/>
      <c r="T559" s="1185"/>
      <c r="U559" s="1185"/>
      <c r="V559" s="1185"/>
      <c r="W559" s="1185"/>
      <c r="X559" s="1185"/>
      <c r="Y559" s="1185"/>
      <c r="Z559" s="1185"/>
      <c r="AA559" s="1185"/>
      <c r="AB559" s="1185"/>
      <c r="AC559" s="1185"/>
      <c r="AD559" s="1185"/>
      <c r="AE559" s="1185"/>
      <c r="AF559" s="1185"/>
      <c r="AG559" s="1185"/>
      <c r="AH559" s="1185"/>
      <c r="AI559" s="1185"/>
    </row>
    <row r="560" spans="1:35">
      <c r="A560" s="1009" t="s">
        <v>423</v>
      </c>
      <c r="B560" s="1219"/>
      <c r="C560" s="1026">
        <f>55486-'[97]Load Loss'!C27</f>
        <v>47276</v>
      </c>
      <c r="D560" s="1234">
        <v>1.22</v>
      </c>
      <c r="E560" s="1288" t="s">
        <v>31</v>
      </c>
      <c r="F560" s="1041">
        <f>ROUND(D560*$C560*D555,0)</f>
        <v>-577</v>
      </c>
      <c r="G560" s="1234">
        <v>1.39</v>
      </c>
      <c r="H560" s="1224"/>
      <c r="I560" s="1041">
        <f t="shared" si="72"/>
        <v>-657</v>
      </c>
      <c r="J560" s="1234">
        <f>J547</f>
        <v>1.39</v>
      </c>
      <c r="K560" s="1224"/>
      <c r="L560" s="1041">
        <f>ROUND(J560*$C560*J555,0)</f>
        <v>-657</v>
      </c>
      <c r="N560" s="1185"/>
      <c r="Q560" s="1274"/>
      <c r="R560" s="1186"/>
      <c r="S560" s="1185"/>
      <c r="T560" s="1185"/>
      <c r="U560" s="1185"/>
      <c r="V560" s="1185"/>
      <c r="W560" s="1185"/>
      <c r="X560" s="1185"/>
      <c r="Y560" s="1185"/>
      <c r="Z560" s="1185"/>
      <c r="AA560" s="1185"/>
      <c r="AB560" s="1185"/>
      <c r="AC560" s="1185"/>
      <c r="AD560" s="1185"/>
      <c r="AE560" s="1185"/>
      <c r="AF560" s="1185"/>
      <c r="AG560" s="1185"/>
      <c r="AH560" s="1185"/>
      <c r="AI560" s="1185"/>
    </row>
    <row r="561" spans="1:35">
      <c r="A561" s="1218" t="s">
        <v>425</v>
      </c>
      <c r="B561" s="1219"/>
      <c r="C561" s="1026">
        <f>9322+39219-'[97]Load Loss'!C28</f>
        <v>41771</v>
      </c>
      <c r="D561" s="1234">
        <v>3.88</v>
      </c>
      <c r="E561" s="1288" t="s">
        <v>31</v>
      </c>
      <c r="F561" s="1041">
        <f>ROUND(D561*$C561*D555,0)</f>
        <v>-1621</v>
      </c>
      <c r="G561" s="1234">
        <v>4.4400000000000004</v>
      </c>
      <c r="H561" s="1224"/>
      <c r="I561" s="1041">
        <f t="shared" si="72"/>
        <v>-1855</v>
      </c>
      <c r="J561" s="1234">
        <f>J549</f>
        <v>4.72</v>
      </c>
      <c r="K561" s="1224"/>
      <c r="L561" s="1041">
        <f>ROUND(J561*$C561*J555,0)</f>
        <v>-1972</v>
      </c>
      <c r="N561" s="1185"/>
      <c r="Q561" s="1274"/>
      <c r="R561" s="1186"/>
      <c r="S561" s="1185"/>
      <c r="T561" s="1185"/>
      <c r="U561" s="1185"/>
      <c r="V561" s="1185"/>
      <c r="W561" s="1185"/>
      <c r="X561" s="1185"/>
      <c r="Y561" s="1185"/>
      <c r="Z561" s="1185"/>
      <c r="AA561" s="1185"/>
      <c r="AB561" s="1185"/>
      <c r="AC561" s="1185"/>
      <c r="AD561" s="1185"/>
      <c r="AE561" s="1185"/>
      <c r="AF561" s="1185"/>
      <c r="AG561" s="1185"/>
      <c r="AH561" s="1185"/>
      <c r="AI561" s="1185"/>
    </row>
    <row r="562" spans="1:35">
      <c r="A562" s="1218" t="s">
        <v>441</v>
      </c>
      <c r="B562" s="1219"/>
      <c r="C562" s="1026">
        <f>250</f>
        <v>250</v>
      </c>
      <c r="D562" s="1234">
        <v>3.88</v>
      </c>
      <c r="E562" s="1288" t="s">
        <v>31</v>
      </c>
      <c r="F562" s="1041">
        <f>ROUND(D562*$C562*D555,0)</f>
        <v>-10</v>
      </c>
      <c r="G562" s="1234">
        <v>4.4400000000000004</v>
      </c>
      <c r="H562" s="1224"/>
      <c r="I562" s="1041">
        <f t="shared" si="72"/>
        <v>-11</v>
      </c>
      <c r="J562" s="1234">
        <f>J550</f>
        <v>4.72</v>
      </c>
      <c r="K562" s="1224"/>
      <c r="L562" s="1041">
        <f>ROUND(J562*$C562*J555,0)</f>
        <v>-12</v>
      </c>
      <c r="N562" s="1185"/>
      <c r="Q562" s="1274"/>
      <c r="R562" s="1186"/>
      <c r="S562" s="1185"/>
      <c r="T562" s="1185"/>
      <c r="U562" s="1185"/>
      <c r="V562" s="1185"/>
      <c r="W562" s="1185"/>
      <c r="X562" s="1185"/>
      <c r="Y562" s="1185"/>
      <c r="Z562" s="1185"/>
      <c r="AA562" s="1185"/>
      <c r="AB562" s="1185"/>
      <c r="AC562" s="1185"/>
      <c r="AD562" s="1185"/>
      <c r="AE562" s="1185"/>
      <c r="AF562" s="1185"/>
      <c r="AG562" s="1185"/>
      <c r="AH562" s="1185"/>
      <c r="AI562" s="1185"/>
    </row>
    <row r="563" spans="1:35">
      <c r="A563" s="1009" t="s">
        <v>427</v>
      </c>
      <c r="B563" s="1219"/>
      <c r="C563" s="1026">
        <f>2056393+3072400-'[97]Load Loss'!C30</f>
        <v>4646126.333333333</v>
      </c>
      <c r="D563" s="1236">
        <v>4.6340000000000003</v>
      </c>
      <c r="E563" s="1041" t="s">
        <v>374</v>
      </c>
      <c r="F563" s="1041">
        <f>ROUND(D563*$C563/100*D555,0)</f>
        <v>-2153</v>
      </c>
      <c r="G563" s="1236">
        <v>5.2939999999999996</v>
      </c>
      <c r="H563" s="1009" t="s">
        <v>374</v>
      </c>
      <c r="I563" s="1041">
        <f>ROUND(G563*C563/100*$G$555,0)</f>
        <v>-2460</v>
      </c>
      <c r="J563" s="1236">
        <f>J552</f>
        <v>5.6289999999999996</v>
      </c>
      <c r="K563" s="1009" t="s">
        <v>374</v>
      </c>
      <c r="L563" s="1041">
        <f>ROUND(J563*$C563/100*J555,0)</f>
        <v>-2615</v>
      </c>
      <c r="N563" s="1274"/>
      <c r="Q563" s="1274"/>
      <c r="R563" s="1186"/>
      <c r="S563" s="1185"/>
      <c r="T563" s="1185"/>
      <c r="U563" s="1185"/>
      <c r="V563" s="1185"/>
      <c r="W563" s="1185"/>
      <c r="X563" s="1185"/>
      <c r="Y563" s="1185"/>
      <c r="Z563" s="1185"/>
      <c r="AA563" s="1185"/>
      <c r="AB563" s="1185"/>
      <c r="AC563" s="1185"/>
      <c r="AD563" s="1185"/>
      <c r="AE563" s="1185"/>
      <c r="AF563" s="1185"/>
      <c r="AG563" s="1185"/>
      <c r="AH563" s="1185"/>
      <c r="AI563" s="1185"/>
    </row>
    <row r="564" spans="1:35">
      <c r="A564" s="1009" t="s">
        <v>399</v>
      </c>
      <c r="B564" s="1219"/>
      <c r="C564" s="1026">
        <f>3686800+12483521-'[97]Load Loss'!C31-'[97]Load Loss'!C30-C563</f>
        <v>9903194.6666666679</v>
      </c>
      <c r="D564" s="1236">
        <v>4.2469999999999999</v>
      </c>
      <c r="E564" s="1041" t="s">
        <v>374</v>
      </c>
      <c r="F564" s="1041">
        <f>ROUND(D564*$C564/100*D555,0)</f>
        <v>-4206</v>
      </c>
      <c r="G564" s="1236">
        <v>4.8520000000000003</v>
      </c>
      <c r="H564" s="1009" t="s">
        <v>374</v>
      </c>
      <c r="I564" s="1041">
        <f>ROUND(G564*C564/100*$G$555,0)</f>
        <v>-4805</v>
      </c>
      <c r="J564" s="1236">
        <f>J553</f>
        <v>5.157</v>
      </c>
      <c r="K564" s="1009" t="s">
        <v>374</v>
      </c>
      <c r="L564" s="1041">
        <f>ROUND(J564*$C564/100*J555,0)</f>
        <v>-5107</v>
      </c>
      <c r="N564" s="1185"/>
      <c r="Q564" s="1274"/>
      <c r="R564" s="1186"/>
      <c r="S564" s="1185"/>
      <c r="T564" s="1185"/>
      <c r="U564" s="1185"/>
      <c r="V564" s="1185"/>
      <c r="W564" s="1185"/>
      <c r="X564" s="1185"/>
      <c r="Y564" s="1185"/>
      <c r="Z564" s="1185"/>
      <c r="AA564" s="1185"/>
      <c r="AB564" s="1185"/>
      <c r="AC564" s="1185"/>
      <c r="AD564" s="1185"/>
      <c r="AE564" s="1185"/>
      <c r="AF564" s="1185"/>
      <c r="AG564" s="1185"/>
      <c r="AH564" s="1185"/>
      <c r="AI564" s="1185"/>
    </row>
    <row r="565" spans="1:35">
      <c r="A565" s="1009" t="s">
        <v>400</v>
      </c>
      <c r="B565" s="1219"/>
      <c r="C565" s="1026">
        <f>590+10691-'[97]Load Loss'!C32</f>
        <v>7733.6</v>
      </c>
      <c r="D565" s="1286">
        <v>50</v>
      </c>
      <c r="E565" s="1041" t="s">
        <v>374</v>
      </c>
      <c r="F565" s="1041">
        <f>ROUND(D565*$C565/100*D555,0)</f>
        <v>-39</v>
      </c>
      <c r="G565" s="1286">
        <v>56</v>
      </c>
      <c r="H565" s="1009" t="s">
        <v>374</v>
      </c>
      <c r="I565" s="1041">
        <f>ROUND(G565*C565/100*$G$555,0)</f>
        <v>-43</v>
      </c>
      <c r="J565" s="1286">
        <f>J554</f>
        <v>56</v>
      </c>
      <c r="K565" s="1009" t="s">
        <v>374</v>
      </c>
      <c r="L565" s="1041">
        <f>ROUND(J565*$C565/100*J555,0)</f>
        <v>-43</v>
      </c>
      <c r="N565" s="1185"/>
      <c r="Q565" s="1274"/>
      <c r="R565" s="1186"/>
      <c r="S565" s="1185"/>
      <c r="T565" s="1185"/>
      <c r="U565" s="1185"/>
      <c r="V565" s="1185"/>
      <c r="W565" s="1185"/>
      <c r="X565" s="1185"/>
      <c r="Y565" s="1185"/>
      <c r="Z565" s="1185"/>
      <c r="AA565" s="1185"/>
      <c r="AB565" s="1185"/>
      <c r="AC565" s="1185"/>
      <c r="AD565" s="1185"/>
      <c r="AE565" s="1185"/>
      <c r="AF565" s="1185"/>
      <c r="AG565" s="1185"/>
      <c r="AH565" s="1185"/>
      <c r="AI565" s="1185"/>
    </row>
    <row r="566" spans="1:35">
      <c r="A566" s="1009" t="s">
        <v>443</v>
      </c>
      <c r="B566" s="1219"/>
      <c r="C566" s="1026">
        <f>57+85-'[97]Load Loss'!C33</f>
        <v>130</v>
      </c>
      <c r="D566" s="1229">
        <v>60</v>
      </c>
      <c r="E566" s="1288" t="s">
        <v>31</v>
      </c>
      <c r="F566" s="1041">
        <f>ROUND(D566*$C566,0)</f>
        <v>7800</v>
      </c>
      <c r="G566" s="1229">
        <v>60</v>
      </c>
      <c r="H566" s="1219"/>
      <c r="I566" s="1041">
        <f>ROUND(G566*C566,0)</f>
        <v>7800</v>
      </c>
      <c r="J566" s="1229">
        <f>$J$532</f>
        <v>60</v>
      </c>
      <c r="K566" s="1219"/>
      <c r="L566" s="1041">
        <f>ROUND(J566*$C566,0)</f>
        <v>7800</v>
      </c>
      <c r="N566" s="1185"/>
      <c r="Q566" s="1184"/>
      <c r="R566" s="815"/>
      <c r="S566" s="1185"/>
      <c r="T566" s="1185"/>
      <c r="U566" s="1185"/>
      <c r="V566" s="1185"/>
      <c r="W566" s="1185"/>
      <c r="X566" s="1185"/>
      <c r="Y566" s="1185"/>
      <c r="Z566" s="1185"/>
      <c r="AA566" s="1185"/>
      <c r="AB566" s="1185"/>
      <c r="AC566" s="1185"/>
      <c r="AD566" s="1185"/>
      <c r="AE566" s="1185"/>
      <c r="AF566" s="1185"/>
      <c r="AG566" s="1185"/>
      <c r="AH566" s="1185"/>
      <c r="AI566" s="1185"/>
    </row>
    <row r="567" spans="1:35">
      <c r="A567" s="1009" t="s">
        <v>444</v>
      </c>
      <c r="B567" s="1235"/>
      <c r="C567" s="1026">
        <f>11751+55486-'[97]Load Loss'!C34</f>
        <v>59027</v>
      </c>
      <c r="D567" s="1262">
        <v>-30</v>
      </c>
      <c r="E567" s="1041" t="s">
        <v>374</v>
      </c>
      <c r="F567" s="1041">
        <f>ROUND(D567*$C567/100,0)</f>
        <v>-17708</v>
      </c>
      <c r="G567" s="1262">
        <v>-30</v>
      </c>
      <c r="H567" s="1041" t="s">
        <v>374</v>
      </c>
      <c r="I567" s="1041">
        <f>-ROUND(G567*C567*$G$555,0)</f>
        <v>-17708</v>
      </c>
      <c r="J567" s="1262">
        <f>$J$533</f>
        <v>-30</v>
      </c>
      <c r="K567" s="1041" t="s">
        <v>374</v>
      </c>
      <c r="L567" s="1041">
        <f>ROUND(J567*$C567/100,0)</f>
        <v>-17708</v>
      </c>
      <c r="N567" s="1185"/>
      <c r="Q567" s="1184"/>
      <c r="R567" s="815"/>
      <c r="S567" s="1065" t="s">
        <v>31</v>
      </c>
      <c r="T567" s="1185"/>
      <c r="U567" s="1185"/>
      <c r="V567" s="1185"/>
      <c r="W567" s="1185"/>
      <c r="X567" s="1185"/>
      <c r="Y567" s="1185"/>
      <c r="Z567" s="1185"/>
      <c r="AA567" s="1185"/>
      <c r="AB567" s="1185"/>
      <c r="AC567" s="1185"/>
      <c r="AD567" s="1185"/>
      <c r="AE567" s="1185"/>
      <c r="AF567" s="1185"/>
      <c r="AG567" s="1185"/>
      <c r="AH567" s="1185"/>
      <c r="AI567" s="1185"/>
    </row>
    <row r="568" spans="1:35">
      <c r="A568" s="1219" t="s">
        <v>381</v>
      </c>
      <c r="B568" s="307"/>
      <c r="C568" s="1026">
        <f>SUM(C552:C553)</f>
        <v>751546255</v>
      </c>
      <c r="D568" s="1255"/>
      <c r="E568" s="1203"/>
      <c r="F568" s="1203">
        <f>SUM(F542:F567)</f>
        <v>46496821</v>
      </c>
      <c r="G568" s="1255"/>
      <c r="H568" s="1219"/>
      <c r="I568" s="1203">
        <f>SUM(I542:I567)</f>
        <v>53124196</v>
      </c>
      <c r="J568" s="1255"/>
      <c r="K568" s="1219"/>
      <c r="L568" s="1203">
        <f>SUM(L542:L567)</f>
        <v>56121087</v>
      </c>
      <c r="N568" s="1185"/>
      <c r="Q568" s="1274"/>
      <c r="R568" s="1186"/>
      <c r="S568" s="1185"/>
      <c r="T568" s="1185"/>
      <c r="U568" s="1185"/>
      <c r="V568" s="1185"/>
      <c r="W568" s="1185"/>
      <c r="X568" s="1185"/>
      <c r="Y568" s="1185"/>
      <c r="Z568" s="1185"/>
      <c r="AA568" s="1185"/>
      <c r="AB568" s="1185"/>
      <c r="AC568" s="1185"/>
      <c r="AD568" s="1185"/>
      <c r="AE568" s="1185"/>
      <c r="AF568" s="1185"/>
      <c r="AG568" s="1185"/>
      <c r="AH568" s="1185"/>
      <c r="AI568" s="1185"/>
    </row>
    <row r="569" spans="1:35">
      <c r="A569" s="1219" t="s">
        <v>363</v>
      </c>
      <c r="B569" s="1219"/>
      <c r="C569" s="1032">
        <f>'[97]Table 2'!H46</f>
        <v>-1937617.861591337</v>
      </c>
      <c r="D569" s="1218"/>
      <c r="E569" s="1218"/>
      <c r="F569" s="1239" t="e">
        <f>#REF!</f>
        <v>#REF!</v>
      </c>
      <c r="G569" s="1218"/>
      <c r="H569" s="1218"/>
      <c r="I569" s="1239">
        <f>'[97]Table 3'!E46</f>
        <v>-154956.56153473366</v>
      </c>
      <c r="J569" s="1218"/>
      <c r="K569" s="1218"/>
      <c r="L569" s="1239">
        <f>I569</f>
        <v>-154956.56153473366</v>
      </c>
      <c r="N569" s="444"/>
      <c r="O569" s="444"/>
      <c r="P569" s="287"/>
      <c r="Q569" s="1274"/>
      <c r="R569" s="1186"/>
      <c r="S569" s="1185"/>
      <c r="T569" s="1185"/>
      <c r="U569" s="1185"/>
      <c r="V569" s="1185"/>
      <c r="W569" s="1185"/>
      <c r="X569" s="1185"/>
      <c r="Y569" s="1185"/>
      <c r="Z569" s="1185"/>
      <c r="AA569" s="1185"/>
      <c r="AB569" s="1185"/>
      <c r="AC569" s="1185"/>
      <c r="AD569" s="1185"/>
      <c r="AE569" s="1185"/>
      <c r="AF569" s="1185"/>
      <c r="AG569" s="1185"/>
      <c r="AH569" s="1185"/>
      <c r="AI569" s="1185"/>
    </row>
    <row r="570" spans="1:35" ht="16.5" thickBot="1">
      <c r="A570" s="1219" t="s">
        <v>382</v>
      </c>
      <c r="B570" s="1219"/>
      <c r="C570" s="1289">
        <f>SUM(C568)+C569</f>
        <v>749608637.13840866</v>
      </c>
      <c r="D570" s="1265"/>
      <c r="E570" s="1266"/>
      <c r="F570" s="1267" t="e">
        <f>F568+F569</f>
        <v>#REF!</v>
      </c>
      <c r="G570" s="1265"/>
      <c r="H570" s="1269"/>
      <c r="I570" s="1267">
        <f>I568+I569</f>
        <v>52969239.438465267</v>
      </c>
      <c r="J570" s="1265"/>
      <c r="K570" s="1269"/>
      <c r="L570" s="1267">
        <f>L568+L569</f>
        <v>55966130.438465267</v>
      </c>
      <c r="N570" s="411"/>
      <c r="O570" s="411"/>
      <c r="P570" s="470"/>
      <c r="Q570" s="1274"/>
      <c r="R570" s="1186"/>
      <c r="S570" s="1185"/>
      <c r="T570" s="1185"/>
      <c r="U570" s="1185"/>
      <c r="V570" s="1185"/>
      <c r="W570" s="1185"/>
      <c r="X570" s="1185"/>
      <c r="Y570" s="1185"/>
      <c r="Z570" s="1185"/>
      <c r="AA570" s="1185"/>
      <c r="AB570" s="1185"/>
      <c r="AC570" s="1185"/>
      <c r="AD570" s="1185"/>
      <c r="AE570" s="1185"/>
      <c r="AF570" s="1185"/>
      <c r="AG570" s="1185"/>
      <c r="AH570" s="1185"/>
      <c r="AI570" s="1185"/>
    </row>
    <row r="571" spans="1:35" ht="16.5" thickTop="1">
      <c r="A571" s="1219"/>
      <c r="B571" s="1219"/>
      <c r="C571" s="1225"/>
      <c r="D571" s="1261"/>
      <c r="E571" s="1203"/>
      <c r="F571" s="1203"/>
      <c r="G571" s="1261" t="s">
        <v>31</v>
      </c>
      <c r="H571" s="1219"/>
      <c r="I571" s="1203"/>
      <c r="J571" s="1259" t="s">
        <v>31</v>
      </c>
      <c r="K571" s="1219"/>
      <c r="L571" s="1203" t="s">
        <v>31</v>
      </c>
      <c r="N571" s="1185"/>
      <c r="O571" s="1185"/>
      <c r="P571" s="1186"/>
      <c r="Q571" s="1274"/>
      <c r="R571" s="1186"/>
      <c r="S571" s="1185"/>
      <c r="T571" s="1185"/>
      <c r="U571" s="1185"/>
      <c r="V571" s="1185"/>
      <c r="W571" s="1185"/>
      <c r="X571" s="1185"/>
      <c r="Y571" s="1185"/>
      <c r="Z571" s="1185"/>
      <c r="AA571" s="1185"/>
      <c r="AB571" s="1185"/>
      <c r="AC571" s="1185"/>
      <c r="AD571" s="1185"/>
      <c r="AE571" s="1185"/>
      <c r="AF571" s="1185"/>
      <c r="AG571" s="1185"/>
      <c r="AH571" s="1185"/>
      <c r="AI571" s="1185"/>
    </row>
    <row r="572" spans="1:35">
      <c r="A572" s="1224" t="s">
        <v>436</v>
      </c>
      <c r="B572" s="1219"/>
      <c r="C572" s="1219"/>
      <c r="D572" s="1203"/>
      <c r="E572" s="1203"/>
      <c r="F572" s="1219" t="s">
        <v>31</v>
      </c>
      <c r="G572" s="1203"/>
      <c r="H572" s="1219"/>
      <c r="I572" s="1219"/>
      <c r="J572" s="1203"/>
      <c r="K572" s="1219"/>
      <c r="L572" s="1219"/>
      <c r="N572" s="1185"/>
      <c r="O572" s="1185"/>
      <c r="P572" s="1186"/>
      <c r="Q572" s="1274"/>
      <c r="R572" s="1186"/>
      <c r="S572" s="1185"/>
      <c r="T572" s="1185"/>
      <c r="U572" s="1185"/>
      <c r="V572" s="1185"/>
      <c r="W572" s="1185"/>
      <c r="X572" s="1185"/>
      <c r="Y572" s="1185"/>
      <c r="Z572" s="1185"/>
      <c r="AA572" s="1185"/>
      <c r="AB572" s="1185"/>
      <c r="AC572" s="1185"/>
      <c r="AD572" s="1185"/>
      <c r="AE572" s="1185"/>
      <c r="AF572" s="1185"/>
      <c r="AG572" s="1185"/>
      <c r="AH572" s="1185"/>
      <c r="AI572" s="1185"/>
    </row>
    <row r="573" spans="1:35">
      <c r="A573" s="1218" t="s">
        <v>446</v>
      </c>
      <c r="B573" s="1219"/>
      <c r="C573" s="1219"/>
      <c r="D573" s="1203"/>
      <c r="E573" s="1203"/>
      <c r="F573" s="1219"/>
      <c r="G573" s="1203"/>
      <c r="H573" s="1219"/>
      <c r="I573" s="1219"/>
      <c r="J573" s="1203"/>
      <c r="K573" s="1219"/>
      <c r="L573" s="1219"/>
      <c r="N573" s="1185"/>
      <c r="O573" s="1185"/>
      <c r="P573" s="1186"/>
      <c r="Q573" s="1274"/>
      <c r="R573" s="1186"/>
      <c r="S573" s="1185"/>
      <c r="T573" s="1185"/>
      <c r="U573" s="1185"/>
      <c r="V573" s="1185"/>
      <c r="W573" s="1185"/>
      <c r="X573" s="1185"/>
      <c r="Y573" s="1185"/>
      <c r="Z573" s="1185"/>
      <c r="AA573" s="1185"/>
      <c r="AB573" s="1185"/>
      <c r="AC573" s="1185"/>
      <c r="AD573" s="1185"/>
      <c r="AE573" s="1185"/>
      <c r="AF573" s="1185"/>
      <c r="AG573" s="1185"/>
      <c r="AH573" s="1185"/>
      <c r="AI573" s="1185"/>
    </row>
    <row r="574" spans="1:35">
      <c r="A574" s="1009"/>
      <c r="B574" s="1219"/>
      <c r="C574" s="1219"/>
      <c r="D574" s="1203"/>
      <c r="E574" s="1203"/>
      <c r="F574" s="1219"/>
      <c r="G574" s="1203"/>
      <c r="H574" s="1219"/>
      <c r="I574" s="1219"/>
      <c r="J574" s="1203"/>
      <c r="K574" s="1219"/>
      <c r="L574" s="1219"/>
      <c r="N574" s="1185"/>
      <c r="O574" s="1185"/>
      <c r="P574" s="1186"/>
      <c r="Q574" s="1274"/>
      <c r="R574" s="1186"/>
      <c r="S574" s="1185"/>
      <c r="T574" s="1185"/>
      <c r="U574" s="1185"/>
      <c r="V574" s="1185"/>
      <c r="W574" s="1185"/>
      <c r="X574" s="1185"/>
      <c r="Y574" s="1185"/>
      <c r="Z574" s="1185"/>
      <c r="AA574" s="1185"/>
      <c r="AB574" s="1185"/>
      <c r="AC574" s="1185"/>
      <c r="AD574" s="1185"/>
      <c r="AE574" s="1185"/>
      <c r="AF574" s="1185"/>
      <c r="AG574" s="1185"/>
      <c r="AH574" s="1185"/>
      <c r="AI574" s="1185"/>
    </row>
    <row r="575" spans="1:35">
      <c r="A575" s="1009" t="s">
        <v>393</v>
      </c>
      <c r="B575" s="1225"/>
      <c r="C575" s="1026"/>
      <c r="D575" s="1203"/>
      <c r="E575" s="1203"/>
      <c r="F575" s="1219"/>
      <c r="G575" s="1203"/>
      <c r="H575" s="1219"/>
      <c r="I575" s="1219"/>
      <c r="J575" s="1203"/>
      <c r="K575" s="1219"/>
      <c r="L575" s="1219"/>
      <c r="N575" s="1185"/>
      <c r="O575" s="1185"/>
      <c r="P575" s="1186"/>
      <c r="Q575" s="1274"/>
      <c r="R575" s="1186"/>
      <c r="S575" s="1185"/>
      <c r="T575" s="1185"/>
      <c r="U575" s="1185"/>
      <c r="V575" s="1185"/>
      <c r="W575" s="1185"/>
      <c r="X575" s="1185"/>
      <c r="Y575" s="1185"/>
      <c r="Z575" s="1185"/>
      <c r="AA575" s="1185"/>
      <c r="AB575" s="1185"/>
      <c r="AC575" s="1185"/>
      <c r="AD575" s="1185"/>
      <c r="AE575" s="1185"/>
      <c r="AF575" s="1185"/>
      <c r="AG575" s="1185"/>
      <c r="AH575" s="1185"/>
      <c r="AI575" s="1185"/>
    </row>
    <row r="576" spans="1:35">
      <c r="A576" s="1009" t="s">
        <v>421</v>
      </c>
      <c r="B576" s="1219"/>
      <c r="C576" s="1026">
        <f>51</f>
        <v>51</v>
      </c>
      <c r="D576" s="1229">
        <v>227</v>
      </c>
      <c r="E576" s="1009"/>
      <c r="F576" s="1041">
        <f>ROUND(D576*$C576,0)</f>
        <v>11577</v>
      </c>
      <c r="G576" s="1229">
        <v>259</v>
      </c>
      <c r="H576" s="1009"/>
      <c r="I576" s="1041">
        <f>ROUND(G576*C576,0)</f>
        <v>13209</v>
      </c>
      <c r="J576" s="1229">
        <f>$J$508</f>
        <v>259</v>
      </c>
      <c r="K576" s="1009"/>
      <c r="L576" s="1041">
        <f>ROUND(J576*$C576,0)</f>
        <v>13209</v>
      </c>
      <c r="N576" s="1185"/>
      <c r="O576" s="1185"/>
      <c r="P576" s="1186"/>
      <c r="Q576" s="1274"/>
      <c r="R576" s="1186"/>
      <c r="S576" s="1185"/>
      <c r="T576" s="1185"/>
      <c r="U576" s="1185"/>
      <c r="V576" s="1185"/>
      <c r="W576" s="1185"/>
      <c r="X576" s="1185"/>
      <c r="Y576" s="1185"/>
      <c r="Z576" s="1185"/>
      <c r="AA576" s="1185"/>
      <c r="AB576" s="1185"/>
      <c r="AC576" s="1185"/>
      <c r="AD576" s="1185"/>
      <c r="AE576" s="1185"/>
      <c r="AF576" s="1185"/>
      <c r="AG576" s="1185"/>
      <c r="AH576" s="1185"/>
      <c r="AI576" s="1185"/>
    </row>
    <row r="577" spans="1:35">
      <c r="A577" s="1009" t="s">
        <v>422</v>
      </c>
      <c r="B577" s="1219"/>
      <c r="C577" s="1026">
        <f>9+1060</f>
        <v>1069</v>
      </c>
      <c r="D577" s="1229">
        <v>84</v>
      </c>
      <c r="E577" s="1009"/>
      <c r="F577" s="1041">
        <f>ROUND(D577*$C577,0)</f>
        <v>89796</v>
      </c>
      <c r="G577" s="1229">
        <v>96</v>
      </c>
      <c r="H577" s="1009"/>
      <c r="I577" s="1041">
        <f>ROUND(G577*C577,0)</f>
        <v>102624</v>
      </c>
      <c r="J577" s="1229">
        <f>$J$509</f>
        <v>96</v>
      </c>
      <c r="K577" s="1009"/>
      <c r="L577" s="1041">
        <f>ROUND(J577*$C577,0)</f>
        <v>102624</v>
      </c>
      <c r="N577" s="1185"/>
      <c r="O577" s="1185"/>
      <c r="P577" s="1186"/>
      <c r="Q577" s="1274"/>
      <c r="R577" s="1186"/>
      <c r="S577" s="1185"/>
      <c r="T577" s="1185"/>
      <c r="U577" s="1185"/>
      <c r="V577" s="1185"/>
      <c r="W577" s="1185"/>
      <c r="X577" s="1185"/>
      <c r="Y577" s="1185"/>
      <c r="Z577" s="1185"/>
      <c r="AA577" s="1185"/>
      <c r="AB577" s="1185"/>
      <c r="AC577" s="1185"/>
      <c r="AD577" s="1185"/>
      <c r="AE577" s="1185"/>
      <c r="AF577" s="1185"/>
      <c r="AG577" s="1185"/>
      <c r="AH577" s="1185"/>
      <c r="AI577" s="1185"/>
    </row>
    <row r="578" spans="1:35">
      <c r="A578" s="1009" t="s">
        <v>423</v>
      </c>
      <c r="B578" s="1219"/>
      <c r="C578" s="1026">
        <f>4+539</f>
        <v>543</v>
      </c>
      <c r="D578" s="1229">
        <v>168</v>
      </c>
      <c r="E578" s="1250"/>
      <c r="F578" s="1041">
        <f>ROUND(D578*$C578,0)</f>
        <v>91224</v>
      </c>
      <c r="G578" s="1229">
        <v>192</v>
      </c>
      <c r="H578" s="1250"/>
      <c r="I578" s="1041">
        <f>ROUND(G578*C578,0)</f>
        <v>104256</v>
      </c>
      <c r="J578" s="1229">
        <f>$J$510</f>
        <v>192</v>
      </c>
      <c r="K578" s="1250"/>
      <c r="L578" s="1041">
        <f>ROUND(J578*$C578,0)</f>
        <v>104256</v>
      </c>
      <c r="N578" s="1185"/>
      <c r="O578" s="1185"/>
      <c r="P578" s="1186"/>
      <c r="Q578" s="1274"/>
      <c r="R578" s="1186"/>
      <c r="S578" s="1185"/>
      <c r="T578" s="1185"/>
      <c r="U578" s="1185"/>
      <c r="V578" s="1185"/>
      <c r="W578" s="1185"/>
      <c r="X578" s="1185"/>
      <c r="Y578" s="1185"/>
      <c r="Z578" s="1185"/>
      <c r="AA578" s="1185"/>
      <c r="AB578" s="1185"/>
      <c r="AC578" s="1185"/>
      <c r="AD578" s="1185"/>
      <c r="AE578" s="1185"/>
      <c r="AF578" s="1185"/>
      <c r="AG578" s="1185"/>
      <c r="AH578" s="1185"/>
      <c r="AI578" s="1185"/>
    </row>
    <row r="579" spans="1:35">
      <c r="A579" s="1009" t="s">
        <v>394</v>
      </c>
      <c r="B579" s="1219"/>
      <c r="C579" s="1026">
        <f>SUM(C576:C578)</f>
        <v>1663</v>
      </c>
      <c r="D579" s="1229"/>
      <c r="E579" s="1009"/>
      <c r="F579" s="1041"/>
      <c r="G579" s="1229"/>
      <c r="H579" s="1009"/>
      <c r="I579" s="1041"/>
      <c r="J579" s="1229"/>
      <c r="K579" s="1009"/>
      <c r="L579" s="1041"/>
      <c r="N579" s="1185"/>
      <c r="O579" s="1185"/>
      <c r="P579" s="1186"/>
      <c r="Q579" s="1184"/>
      <c r="R579" s="815"/>
      <c r="S579" s="1185"/>
      <c r="T579" s="1185"/>
      <c r="U579" s="1185"/>
      <c r="V579" s="1185"/>
      <c r="W579" s="1185"/>
      <c r="X579" s="1185"/>
      <c r="Y579" s="1185"/>
      <c r="Z579" s="1185"/>
      <c r="AA579" s="1185"/>
      <c r="AB579" s="1185"/>
      <c r="AC579" s="1185"/>
      <c r="AD579" s="1185"/>
      <c r="AE579" s="1185"/>
      <c r="AF579" s="1185"/>
      <c r="AG579" s="1185"/>
      <c r="AH579" s="1185"/>
      <c r="AI579" s="1185"/>
    </row>
    <row r="580" spans="1:35">
      <c r="A580" s="1009" t="s">
        <v>422</v>
      </c>
      <c r="B580" s="1219"/>
      <c r="C580" s="1026">
        <f>1424+179546</f>
        <v>180970</v>
      </c>
      <c r="D580" s="1229">
        <v>1.48</v>
      </c>
      <c r="E580" s="1009" t="s">
        <v>31</v>
      </c>
      <c r="F580" s="1041">
        <f>ROUND(D580*$C580,0)</f>
        <v>267836</v>
      </c>
      <c r="G580" s="1229">
        <v>1.7</v>
      </c>
      <c r="H580" s="1009" t="s">
        <v>31</v>
      </c>
      <c r="I580" s="1041">
        <f t="shared" ref="I580:I581" si="73">ROUND(G580*C580,0)</f>
        <v>307649</v>
      </c>
      <c r="J580" s="1229">
        <f>$J$512</f>
        <v>1.7</v>
      </c>
      <c r="K580" s="1009" t="s">
        <v>31</v>
      </c>
      <c r="L580" s="1041">
        <f>ROUND(J580*$C580,0)</f>
        <v>307649</v>
      </c>
      <c r="N580" s="1185"/>
      <c r="O580" s="1185"/>
      <c r="P580" s="1186"/>
      <c r="Q580" s="1184"/>
      <c r="R580" s="815"/>
      <c r="S580" s="1185"/>
      <c r="T580" s="1185"/>
      <c r="U580" s="1185"/>
      <c r="V580" s="1185"/>
      <c r="W580" s="1185"/>
      <c r="X580" s="1185"/>
      <c r="Y580" s="1185"/>
      <c r="Z580" s="1185"/>
      <c r="AA580" s="1185"/>
      <c r="AB580" s="1185"/>
      <c r="AC580" s="1185"/>
      <c r="AD580" s="1185"/>
      <c r="AE580" s="1185"/>
      <c r="AF580" s="1185"/>
      <c r="AG580" s="1185"/>
      <c r="AH580" s="1185"/>
      <c r="AI580" s="1185"/>
    </row>
    <row r="581" spans="1:35">
      <c r="A581" s="1009" t="s">
        <v>423</v>
      </c>
      <c r="B581" s="1219"/>
      <c r="C581" s="1026">
        <f>4002+303334</f>
        <v>307336</v>
      </c>
      <c r="D581" s="1229">
        <v>1.22</v>
      </c>
      <c r="E581" s="1009" t="s">
        <v>31</v>
      </c>
      <c r="F581" s="1041">
        <f>ROUND(D581*$C581,0)</f>
        <v>374950</v>
      </c>
      <c r="G581" s="1229">
        <v>1.39</v>
      </c>
      <c r="H581" s="1009" t="s">
        <v>31</v>
      </c>
      <c r="I581" s="1041">
        <f t="shared" si="73"/>
        <v>427197</v>
      </c>
      <c r="J581" s="1229">
        <f>$J$513</f>
        <v>1.39</v>
      </c>
      <c r="K581" s="1009" t="s">
        <v>31</v>
      </c>
      <c r="L581" s="1041">
        <f>ROUND(J581*$C581,0)</f>
        <v>427197</v>
      </c>
      <c r="N581" s="1185"/>
      <c r="O581" s="1185"/>
      <c r="P581" s="1186"/>
      <c r="Q581" s="1274"/>
      <c r="R581" s="1186"/>
      <c r="S581" s="1185"/>
      <c r="T581" s="1185"/>
      <c r="U581" s="1185"/>
      <c r="V581" s="1185"/>
      <c r="W581" s="1185"/>
      <c r="X581" s="1185"/>
      <c r="Y581" s="1185"/>
      <c r="Z581" s="1185"/>
      <c r="AA581" s="1185"/>
      <c r="AB581" s="1185"/>
      <c r="AC581" s="1185"/>
      <c r="AD581" s="1185"/>
      <c r="AE581" s="1185"/>
      <c r="AF581" s="1185"/>
      <c r="AG581" s="1185"/>
      <c r="AH581" s="1185"/>
      <c r="AI581" s="1185"/>
    </row>
    <row r="582" spans="1:35">
      <c r="A582" s="1218" t="s">
        <v>424</v>
      </c>
      <c r="B582" s="1219"/>
      <c r="C582" s="1026"/>
      <c r="D582" s="1234"/>
      <c r="E582" s="1009"/>
      <c r="F582" s="1041"/>
      <c r="G582" s="1234"/>
      <c r="H582" s="1009"/>
      <c r="I582" s="1041"/>
      <c r="J582" s="1234"/>
      <c r="K582" s="1009"/>
      <c r="L582" s="1041"/>
      <c r="N582" s="1185"/>
      <c r="O582" s="1185"/>
      <c r="P582" s="1186"/>
      <c r="Q582" s="1186"/>
      <c r="R582" s="1186"/>
      <c r="S582" s="1185"/>
      <c r="T582" s="1185"/>
      <c r="U582" s="1185"/>
      <c r="V582" s="1185"/>
      <c r="W582" s="1185"/>
      <c r="X582" s="1185"/>
      <c r="Y582" s="1185"/>
      <c r="Z582" s="1185"/>
      <c r="AA582" s="1185"/>
      <c r="AB582" s="1185"/>
      <c r="AC582" s="1185"/>
      <c r="AD582" s="1185"/>
      <c r="AE582" s="1185"/>
      <c r="AF582" s="1185"/>
      <c r="AG582" s="1185"/>
      <c r="AH582" s="1185"/>
      <c r="AI582" s="1185"/>
    </row>
    <row r="583" spans="1:35">
      <c r="A583" s="1218" t="s">
        <v>425</v>
      </c>
      <c r="B583" s="1219"/>
      <c r="C583" s="1026">
        <f>41+721+4015+3207+129389+234826</f>
        <v>372199</v>
      </c>
      <c r="D583" s="1229">
        <v>3.88</v>
      </c>
      <c r="E583" s="1009"/>
      <c r="F583" s="1041">
        <f>ROUND(D583*$C583,0)</f>
        <v>1444132</v>
      </c>
      <c r="G583" s="1229">
        <v>4.4400000000000004</v>
      </c>
      <c r="H583" s="1009"/>
      <c r="I583" s="1041">
        <f t="shared" ref="I583:I584" si="74">ROUND(G583*C583,0)</f>
        <v>1652564</v>
      </c>
      <c r="J583" s="1229">
        <f>$J$515</f>
        <v>4.72</v>
      </c>
      <c r="K583" s="1009"/>
      <c r="L583" s="1041">
        <f>ROUND(J583*$C583,0)</f>
        <v>1756779</v>
      </c>
      <c r="N583" s="1185"/>
      <c r="O583" s="1185"/>
      <c r="P583" s="1186"/>
      <c r="Q583" s="1186"/>
      <c r="R583" s="1186"/>
      <c r="S583" s="1185"/>
      <c r="T583" s="1185"/>
      <c r="U583" s="1185"/>
      <c r="V583" s="1185"/>
      <c r="W583" s="1185"/>
      <c r="X583" s="1185"/>
      <c r="Y583" s="1185"/>
      <c r="Z583" s="1185"/>
      <c r="AA583" s="1185"/>
      <c r="AB583" s="1185"/>
      <c r="AC583" s="1185"/>
      <c r="AD583" s="1185"/>
      <c r="AE583" s="1185"/>
      <c r="AF583" s="1185"/>
      <c r="AG583" s="1185"/>
      <c r="AH583" s="1185"/>
      <c r="AI583" s="1185"/>
    </row>
    <row r="584" spans="1:35">
      <c r="A584" s="1218" t="s">
        <v>441</v>
      </c>
      <c r="B584" s="1219"/>
      <c r="C584" s="1026">
        <f>-69+-51+638</f>
        <v>518</v>
      </c>
      <c r="D584" s="1292">
        <v>3.88</v>
      </c>
      <c r="E584" s="1009"/>
      <c r="F584" s="1041">
        <f>ROUND(D584*$C584,0)</f>
        <v>2010</v>
      </c>
      <c r="G584" s="1292">
        <v>4.4400000000000004</v>
      </c>
      <c r="H584" s="1009"/>
      <c r="I584" s="1041">
        <f t="shared" si="74"/>
        <v>2300</v>
      </c>
      <c r="J584" s="1292">
        <f>J583</f>
        <v>4.72</v>
      </c>
      <c r="K584" s="1009"/>
      <c r="L584" s="1041">
        <f>ROUND(J584*$C584,0)</f>
        <v>2445</v>
      </c>
      <c r="N584" s="1185"/>
      <c r="O584" s="1185"/>
      <c r="P584" s="1186"/>
      <c r="Q584" s="1186"/>
      <c r="R584" s="1186"/>
      <c r="S584" s="1185"/>
      <c r="T584" s="1185"/>
      <c r="U584" s="1185"/>
      <c r="V584" s="1185"/>
      <c r="W584" s="1185"/>
      <c r="X584" s="1185"/>
      <c r="Y584" s="1185"/>
      <c r="Z584" s="1185"/>
      <c r="AA584" s="1185"/>
      <c r="AB584" s="1185"/>
      <c r="AC584" s="1185"/>
      <c r="AD584" s="1185"/>
      <c r="AE584" s="1185"/>
      <c r="AF584" s="1185"/>
      <c r="AG584" s="1185"/>
      <c r="AH584" s="1185"/>
      <c r="AI584" s="1185"/>
    </row>
    <row r="585" spans="1:35">
      <c r="A585" s="1009" t="s">
        <v>426</v>
      </c>
      <c r="B585" s="1219"/>
      <c r="C585" s="1026"/>
      <c r="D585" s="1229"/>
      <c r="E585" s="1009"/>
      <c r="F585" s="1041"/>
      <c r="G585" s="1229"/>
      <c r="H585" s="1009"/>
      <c r="I585" s="1041"/>
      <c r="J585" s="1229"/>
      <c r="K585" s="1009"/>
      <c r="L585" s="1041"/>
      <c r="N585" s="1185"/>
      <c r="O585" s="1185"/>
      <c r="P585" s="1186"/>
      <c r="Q585" s="1186"/>
      <c r="R585" s="1186"/>
      <c r="S585" s="1185"/>
      <c r="T585" s="1185"/>
      <c r="U585" s="1185"/>
      <c r="V585" s="1185"/>
      <c r="W585" s="1185"/>
      <c r="X585" s="1185"/>
      <c r="Y585" s="1185"/>
      <c r="Z585" s="1185"/>
      <c r="AA585" s="1185"/>
      <c r="AB585" s="1185"/>
      <c r="AC585" s="1185"/>
      <c r="AD585" s="1185"/>
      <c r="AE585" s="1185"/>
      <c r="AF585" s="1185"/>
      <c r="AG585" s="1185"/>
      <c r="AH585" s="1185"/>
      <c r="AI585" s="1185"/>
    </row>
    <row r="586" spans="1:35">
      <c r="A586" s="1009" t="s">
        <v>427</v>
      </c>
      <c r="B586" s="1219"/>
      <c r="C586" s="1026">
        <f>9333+294400+156000+594867+25753476+20120380</f>
        <v>46928456</v>
      </c>
      <c r="D586" s="1297">
        <v>4.6340000000000003</v>
      </c>
      <c r="E586" s="1009" t="s">
        <v>374</v>
      </c>
      <c r="F586" s="1041">
        <f>ROUND(D586*$C586/100,0)</f>
        <v>2174665</v>
      </c>
      <c r="G586" s="1298">
        <v>5.2919999999999998</v>
      </c>
      <c r="H586" s="1009" t="s">
        <v>374</v>
      </c>
      <c r="I586" s="1041">
        <f>ROUND(G586*C586/100,0)</f>
        <v>2483454</v>
      </c>
      <c r="J586" s="806">
        <f>$J$518</f>
        <v>5.6289999999999996</v>
      </c>
      <c r="K586" s="1009" t="s">
        <v>374</v>
      </c>
      <c r="L586" s="1041">
        <f>ROUND(J586*$C586/100,0)</f>
        <v>2641603</v>
      </c>
      <c r="N586" s="1185"/>
      <c r="O586" s="1185"/>
      <c r="P586" s="1186"/>
      <c r="Q586" s="1186"/>
      <c r="R586" s="1186"/>
      <c r="S586" s="1185"/>
      <c r="T586" s="1185"/>
      <c r="U586" s="1185"/>
      <c r="V586" s="1185"/>
      <c r="W586" s="1185"/>
      <c r="X586" s="1185"/>
      <c r="Y586" s="1185"/>
      <c r="Z586" s="1185"/>
      <c r="AA586" s="1185"/>
      <c r="AB586" s="1185"/>
      <c r="AC586" s="1185"/>
      <c r="AD586" s="1185"/>
      <c r="AE586" s="1185"/>
      <c r="AF586" s="1185"/>
      <c r="AG586" s="1185"/>
      <c r="AH586" s="1185"/>
      <c r="AI586" s="1185"/>
    </row>
    <row r="587" spans="1:35">
      <c r="A587" s="1009" t="s">
        <v>399</v>
      </c>
      <c r="B587" s="1219"/>
      <c r="C587" s="1026">
        <f>12600+297600+1358400+747880+33430363+73745341-C586</f>
        <v>62663728</v>
      </c>
      <c r="D587" s="1297">
        <v>4.2469999999999999</v>
      </c>
      <c r="E587" s="1009" t="s">
        <v>374</v>
      </c>
      <c r="F587" s="1041">
        <f>ROUND(D587*$C587/100,0)</f>
        <v>2661329</v>
      </c>
      <c r="G587" s="1298">
        <v>4.8499999999999996</v>
      </c>
      <c r="H587" s="1009" t="s">
        <v>374</v>
      </c>
      <c r="I587" s="1041">
        <f t="shared" ref="I587:I588" si="75">ROUND(G587*C587/100,0)</f>
        <v>3039191</v>
      </c>
      <c r="J587" s="806">
        <f>$J$519</f>
        <v>5.157</v>
      </c>
      <c r="K587" s="1009" t="s">
        <v>374</v>
      </c>
      <c r="L587" s="1041">
        <f>ROUND(J587*$C587/100,0)</f>
        <v>3231568</v>
      </c>
      <c r="N587" s="1185"/>
      <c r="O587" s="1185"/>
      <c r="P587" s="1186"/>
      <c r="Q587" s="1186"/>
      <c r="R587" s="1186"/>
      <c r="S587" s="1185"/>
      <c r="T587" s="1185"/>
      <c r="U587" s="1185"/>
      <c r="V587" s="1185"/>
      <c r="W587" s="1185"/>
      <c r="X587" s="1185"/>
      <c r="Y587" s="1185"/>
      <c r="Z587" s="1185"/>
      <c r="AA587" s="1185"/>
      <c r="AB587" s="1185"/>
      <c r="AC587" s="1185"/>
      <c r="AD587" s="1185"/>
      <c r="AE587" s="1185"/>
      <c r="AF587" s="1185"/>
      <c r="AG587" s="1185"/>
      <c r="AH587" s="1185"/>
      <c r="AI587" s="1185"/>
    </row>
    <row r="588" spans="1:35">
      <c r="A588" s="1009" t="s">
        <v>400</v>
      </c>
      <c r="B588" s="1219"/>
      <c r="C588" s="1026">
        <f>28+1042+308+41191+74542</f>
        <v>117111</v>
      </c>
      <c r="D588" s="1262">
        <v>50</v>
      </c>
      <c r="E588" s="1009" t="s">
        <v>374</v>
      </c>
      <c r="F588" s="1041">
        <f>ROUND(D588*$C588/100,0)</f>
        <v>58556</v>
      </c>
      <c r="G588" s="1299">
        <v>56</v>
      </c>
      <c r="H588" s="1009" t="s">
        <v>374</v>
      </c>
      <c r="I588" s="1041">
        <f t="shared" si="75"/>
        <v>65582</v>
      </c>
      <c r="J588" s="1300">
        <f>$J$520</f>
        <v>56</v>
      </c>
      <c r="K588" s="1009" t="s">
        <v>374</v>
      </c>
      <c r="L588" s="1041">
        <f>ROUND(J588*$C588/100,0)</f>
        <v>65582</v>
      </c>
      <c r="N588" s="1185"/>
      <c r="O588" s="1185"/>
      <c r="P588" s="1186"/>
      <c r="Q588" s="1186"/>
      <c r="R588" s="1186"/>
      <c r="S588" s="1185"/>
      <c r="T588" s="1185"/>
      <c r="U588" s="1185"/>
      <c r="V588" s="1185"/>
      <c r="W588" s="1185"/>
      <c r="X588" s="1185"/>
      <c r="Y588" s="1185"/>
      <c r="Z588" s="1185"/>
      <c r="AA588" s="1185"/>
      <c r="AB588" s="1185"/>
      <c r="AC588" s="1185"/>
      <c r="AD588" s="1185"/>
      <c r="AE588" s="1185"/>
      <c r="AF588" s="1185"/>
      <c r="AG588" s="1185"/>
      <c r="AH588" s="1185"/>
      <c r="AI588" s="1185"/>
    </row>
    <row r="589" spans="1:35">
      <c r="A589" s="1283" t="s">
        <v>401</v>
      </c>
      <c r="B589" s="1219"/>
      <c r="C589" s="1026"/>
      <c r="D589" s="1257">
        <v>-0.01</v>
      </c>
      <c r="E589" s="1203"/>
      <c r="F589" s="1041"/>
      <c r="G589" s="1257">
        <v>-0.01</v>
      </c>
      <c r="H589" s="1219"/>
      <c r="I589" s="1041"/>
      <c r="J589" s="1257">
        <v>-0.01</v>
      </c>
      <c r="K589" s="1219"/>
      <c r="L589" s="1041"/>
      <c r="N589" s="1185"/>
      <c r="O589" s="1185"/>
      <c r="P589" s="1186"/>
      <c r="Q589" s="1186"/>
      <c r="R589" s="1186"/>
      <c r="S589" s="1185"/>
      <c r="T589" s="1185"/>
      <c r="U589" s="1185"/>
      <c r="V589" s="1185"/>
      <c r="W589" s="1185"/>
      <c r="X589" s="1185"/>
      <c r="Y589" s="1185"/>
      <c r="Z589" s="1185"/>
      <c r="AA589" s="1185"/>
      <c r="AB589" s="1185"/>
      <c r="AC589" s="1185"/>
      <c r="AD589" s="1185"/>
      <c r="AE589" s="1185"/>
      <c r="AF589" s="1185"/>
      <c r="AG589" s="1185"/>
      <c r="AH589" s="1185"/>
      <c r="AI589" s="1185"/>
    </row>
    <row r="590" spans="1:35">
      <c r="A590" s="1009" t="s">
        <v>421</v>
      </c>
      <c r="B590" s="1219"/>
      <c r="C590" s="1026">
        <v>0</v>
      </c>
      <c r="D590" s="1234">
        <v>227</v>
      </c>
      <c r="E590" s="1288"/>
      <c r="F590" s="1041">
        <f>ROUND(D590*$C590*D589,0)</f>
        <v>0</v>
      </c>
      <c r="G590" s="1234">
        <v>259</v>
      </c>
      <c r="H590" s="1224"/>
      <c r="I590" s="1041">
        <f>ROUND(G590*C590*$G$555,0)</f>
        <v>0</v>
      </c>
      <c r="J590" s="1234">
        <f>J576</f>
        <v>259</v>
      </c>
      <c r="K590" s="1224"/>
      <c r="L590" s="1041">
        <f>ROUND(J590*$C590*J589,0)</f>
        <v>0</v>
      </c>
      <c r="N590" s="1185"/>
      <c r="O590" s="1185"/>
      <c r="P590" s="1186"/>
      <c r="Q590" s="1186"/>
      <c r="R590" s="1186"/>
      <c r="S590" s="1185"/>
      <c r="T590" s="1185"/>
      <c r="U590" s="1185"/>
      <c r="V590" s="1185"/>
      <c r="W590" s="1185"/>
      <c r="X590" s="1185"/>
      <c r="Y590" s="1185"/>
      <c r="Z590" s="1185"/>
      <c r="AA590" s="1185"/>
      <c r="AB590" s="1185"/>
      <c r="AC590" s="1185"/>
      <c r="AD590" s="1185"/>
      <c r="AE590" s="1185"/>
      <c r="AF590" s="1185"/>
      <c r="AG590" s="1185"/>
      <c r="AH590" s="1185"/>
      <c r="AI590" s="1185"/>
    </row>
    <row r="591" spans="1:35">
      <c r="A591" s="1009" t="s">
        <v>422</v>
      </c>
      <c r="B591" s="1219"/>
      <c r="C591" s="1026">
        <f>9</f>
        <v>9</v>
      </c>
      <c r="D591" s="1234">
        <v>84</v>
      </c>
      <c r="E591" s="1288"/>
      <c r="F591" s="1041">
        <f>ROUND(D591*$C591*D589,0)</f>
        <v>-8</v>
      </c>
      <c r="G591" s="1234">
        <v>96</v>
      </c>
      <c r="H591" s="1224"/>
      <c r="I591" s="1041">
        <f t="shared" ref="I591:I596" si="76">ROUND(G591*C591*$G$555,0)</f>
        <v>-9</v>
      </c>
      <c r="J591" s="1234">
        <f>J577</f>
        <v>96</v>
      </c>
      <c r="K591" s="1224"/>
      <c r="L591" s="1041">
        <f>ROUND(J591*$C591*J589,0)</f>
        <v>-9</v>
      </c>
      <c r="N591" s="1185"/>
      <c r="O591" s="1185"/>
      <c r="P591" s="1186"/>
      <c r="Q591" s="1186"/>
      <c r="R591" s="1186"/>
      <c r="S591" s="1185"/>
      <c r="T591" s="1185"/>
      <c r="U591" s="1185"/>
      <c r="V591" s="1185"/>
      <c r="W591" s="1185"/>
      <c r="X591" s="1185"/>
      <c r="Y591" s="1185"/>
      <c r="Z591" s="1185"/>
      <c r="AA591" s="1185"/>
      <c r="AB591" s="1185"/>
      <c r="AC591" s="1185"/>
      <c r="AD591" s="1185"/>
      <c r="AE591" s="1185"/>
      <c r="AF591" s="1185"/>
      <c r="AG591" s="1185"/>
      <c r="AH591" s="1185"/>
      <c r="AI591" s="1185"/>
    </row>
    <row r="592" spans="1:35">
      <c r="A592" s="1009" t="s">
        <v>423</v>
      </c>
      <c r="B592" s="1219"/>
      <c r="C592" s="1026">
        <f>4</f>
        <v>4</v>
      </c>
      <c r="D592" s="1234">
        <v>168</v>
      </c>
      <c r="E592" s="1294"/>
      <c r="F592" s="1041">
        <f>ROUND(D592*$C592*D589,0)</f>
        <v>-7</v>
      </c>
      <c r="G592" s="1234">
        <v>192</v>
      </c>
      <c r="H592" s="1295"/>
      <c r="I592" s="1041">
        <f t="shared" si="76"/>
        <v>-8</v>
      </c>
      <c r="J592" s="1234">
        <f>J578</f>
        <v>192</v>
      </c>
      <c r="K592" s="1295"/>
      <c r="L592" s="1041">
        <f>ROUND(J592*$C592*J589,0)</f>
        <v>-8</v>
      </c>
      <c r="N592" s="1185"/>
      <c r="O592" s="1185"/>
      <c r="P592" s="1186"/>
      <c r="Q592" s="1186"/>
      <c r="R592" s="1186"/>
      <c r="S592" s="1185"/>
      <c r="T592" s="1185"/>
      <c r="U592" s="1185"/>
      <c r="V592" s="1185"/>
      <c r="W592" s="1185"/>
      <c r="X592" s="1185"/>
      <c r="Y592" s="1185"/>
      <c r="Z592" s="1185"/>
      <c r="AA592" s="1185"/>
      <c r="AB592" s="1185"/>
      <c r="AC592" s="1185"/>
      <c r="AD592" s="1185"/>
      <c r="AE592" s="1185"/>
      <c r="AF592" s="1185"/>
      <c r="AG592" s="1185"/>
      <c r="AH592" s="1185"/>
      <c r="AI592" s="1185"/>
    </row>
    <row r="593" spans="1:35">
      <c r="A593" s="1009" t="s">
        <v>422</v>
      </c>
      <c r="B593" s="1219"/>
      <c r="C593" s="1026">
        <f>1424</f>
        <v>1424</v>
      </c>
      <c r="D593" s="1234">
        <v>1.48</v>
      </c>
      <c r="E593" s="1288"/>
      <c r="F593" s="1041">
        <f>ROUND(D593*$C593*D589,0)</f>
        <v>-21</v>
      </c>
      <c r="G593" s="1234">
        <v>1.7</v>
      </c>
      <c r="H593" s="1224"/>
      <c r="I593" s="1041">
        <f t="shared" si="76"/>
        <v>-24</v>
      </c>
      <c r="J593" s="1234">
        <f>J580</f>
        <v>1.7</v>
      </c>
      <c r="K593" s="1224"/>
      <c r="L593" s="1041">
        <f>ROUND(J593*$C593*J589,0)</f>
        <v>-24</v>
      </c>
      <c r="N593" s="1185"/>
      <c r="O593" s="1185"/>
      <c r="P593" s="1186"/>
      <c r="Q593" s="1186"/>
      <c r="R593" s="1186"/>
      <c r="S593" s="1185"/>
      <c r="T593" s="1185"/>
      <c r="U593" s="1185"/>
      <c r="V593" s="1185"/>
      <c r="W593" s="1185"/>
      <c r="X593" s="1185"/>
      <c r="Y593" s="1185"/>
      <c r="Z593" s="1185"/>
      <c r="AA593" s="1185"/>
      <c r="AB593" s="1185"/>
      <c r="AC593" s="1185"/>
      <c r="AD593" s="1185"/>
      <c r="AE593" s="1185"/>
      <c r="AF593" s="1185"/>
      <c r="AG593" s="1185"/>
      <c r="AH593" s="1185"/>
      <c r="AI593" s="1185"/>
    </row>
    <row r="594" spans="1:35">
      <c r="A594" s="1009" t="s">
        <v>423</v>
      </c>
      <c r="B594" s="1219"/>
      <c r="C594" s="1026">
        <f>4002</f>
        <v>4002</v>
      </c>
      <c r="D594" s="1234">
        <v>1.22</v>
      </c>
      <c r="E594" s="1288" t="s">
        <v>31</v>
      </c>
      <c r="F594" s="1041">
        <f>ROUND(D594*$C594*D589,0)</f>
        <v>-49</v>
      </c>
      <c r="G594" s="1234">
        <v>1.39</v>
      </c>
      <c r="H594" s="1224"/>
      <c r="I594" s="1041">
        <f t="shared" si="76"/>
        <v>-56</v>
      </c>
      <c r="J594" s="1234">
        <f>J581</f>
        <v>1.39</v>
      </c>
      <c r="K594" s="1224"/>
      <c r="L594" s="1041">
        <f>ROUND(J594*$C594*J589,0)</f>
        <v>-56</v>
      </c>
      <c r="N594" s="1185"/>
      <c r="O594" s="1185"/>
      <c r="P594" s="1186"/>
      <c r="Q594" s="1186"/>
      <c r="R594" s="1186"/>
      <c r="S594" s="1185"/>
      <c r="T594" s="1185"/>
      <c r="U594" s="1185"/>
      <c r="V594" s="1185"/>
      <c r="W594" s="1185"/>
      <c r="X594" s="1185"/>
      <c r="Y594" s="1185"/>
      <c r="Z594" s="1185"/>
      <c r="AA594" s="1185"/>
      <c r="AB594" s="1185"/>
      <c r="AC594" s="1185"/>
      <c r="AD594" s="1185"/>
      <c r="AE594" s="1185"/>
      <c r="AF594" s="1185"/>
      <c r="AG594" s="1185"/>
      <c r="AH594" s="1185"/>
      <c r="AI594" s="1185"/>
    </row>
    <row r="595" spans="1:35">
      <c r="A595" s="1218" t="s">
        <v>425</v>
      </c>
      <c r="B595" s="1219"/>
      <c r="C595" s="1026">
        <f>41+721+4015</f>
        <v>4777</v>
      </c>
      <c r="D595" s="1234">
        <v>3.88</v>
      </c>
      <c r="E595" s="1288" t="s">
        <v>31</v>
      </c>
      <c r="F595" s="1041">
        <f>ROUND(D595*$C595*D589,0)</f>
        <v>-185</v>
      </c>
      <c r="G595" s="1234">
        <v>4.4400000000000004</v>
      </c>
      <c r="H595" s="1224"/>
      <c r="I595" s="1041">
        <f t="shared" si="76"/>
        <v>-212</v>
      </c>
      <c r="J595" s="1234">
        <f>J583</f>
        <v>4.72</v>
      </c>
      <c r="K595" s="1224"/>
      <c r="L595" s="1041">
        <f>ROUND(J595*$C595*J589,0)</f>
        <v>-225</v>
      </c>
      <c r="N595" s="1185"/>
      <c r="O595" s="1185"/>
      <c r="P595" s="1186"/>
      <c r="Q595" s="1186"/>
      <c r="R595" s="1186"/>
      <c r="S595" s="1185"/>
      <c r="T595" s="1185"/>
      <c r="U595" s="1185"/>
      <c r="V595" s="1185"/>
      <c r="W595" s="1185"/>
      <c r="X595" s="1185"/>
      <c r="Y595" s="1185"/>
      <c r="Z595" s="1185"/>
      <c r="AA595" s="1185"/>
      <c r="AB595" s="1185"/>
      <c r="AC595" s="1185"/>
      <c r="AD595" s="1185"/>
      <c r="AE595" s="1185"/>
      <c r="AF595" s="1185"/>
      <c r="AG595" s="1185"/>
      <c r="AH595" s="1185"/>
      <c r="AI595" s="1185"/>
    </row>
    <row r="596" spans="1:35">
      <c r="A596" s="1218" t="s">
        <v>441</v>
      </c>
      <c r="B596" s="1219"/>
      <c r="C596" s="1026">
        <f>-69</f>
        <v>-69</v>
      </c>
      <c r="D596" s="1234">
        <v>3.88</v>
      </c>
      <c r="E596" s="1288" t="s">
        <v>31</v>
      </c>
      <c r="F596" s="1041">
        <f>ROUND(D596*$C596*D589,0)</f>
        <v>3</v>
      </c>
      <c r="G596" s="1234">
        <v>4.4400000000000004</v>
      </c>
      <c r="H596" s="1224"/>
      <c r="I596" s="1041">
        <f t="shared" si="76"/>
        <v>3</v>
      </c>
      <c r="J596" s="1234">
        <f>J584</f>
        <v>4.72</v>
      </c>
      <c r="K596" s="1224"/>
      <c r="L596" s="1041">
        <f>ROUND(J596*$C596*J589,0)</f>
        <v>3</v>
      </c>
      <c r="N596" s="1185"/>
      <c r="O596" s="1185"/>
      <c r="P596" s="1186"/>
      <c r="Q596" s="1186"/>
      <c r="R596" s="1186"/>
      <c r="S596" s="1185"/>
      <c r="T596" s="1185"/>
      <c r="U596" s="1185"/>
      <c r="V596" s="1185"/>
      <c r="W596" s="1185"/>
      <c r="X596" s="1185"/>
      <c r="Y596" s="1185"/>
      <c r="Z596" s="1185"/>
      <c r="AA596" s="1185"/>
      <c r="AB596" s="1185"/>
      <c r="AC596" s="1185"/>
      <c r="AD596" s="1185"/>
      <c r="AE596" s="1185"/>
      <c r="AF596" s="1185"/>
      <c r="AG596" s="1185"/>
      <c r="AH596" s="1185"/>
      <c r="AI596" s="1185"/>
    </row>
    <row r="597" spans="1:35">
      <c r="A597" s="1009" t="s">
        <v>427</v>
      </c>
      <c r="B597" s="1219"/>
      <c r="C597" s="1026">
        <f>9333+294400+156000</f>
        <v>459733</v>
      </c>
      <c r="D597" s="1236">
        <v>4.6340000000000003</v>
      </c>
      <c r="E597" s="1041" t="s">
        <v>374</v>
      </c>
      <c r="F597" s="1041">
        <f>ROUND(D597*$C597/100*D589,0)</f>
        <v>-213</v>
      </c>
      <c r="G597" s="1236">
        <v>5.2939999999999996</v>
      </c>
      <c r="H597" s="1009" t="s">
        <v>374</v>
      </c>
      <c r="I597" s="1041">
        <f>ROUND(G597*C597/100*$G$555,0)</f>
        <v>-243</v>
      </c>
      <c r="J597" s="1236">
        <f>J586</f>
        <v>5.6289999999999996</v>
      </c>
      <c r="K597" s="1009" t="s">
        <v>374</v>
      </c>
      <c r="L597" s="1041">
        <f>ROUND(J597*$C597/100*J589,0)</f>
        <v>-259</v>
      </c>
      <c r="N597" s="1185"/>
      <c r="O597" s="1185"/>
      <c r="P597" s="1186"/>
      <c r="Q597" s="1186"/>
      <c r="R597" s="1186"/>
      <c r="S597" s="1185"/>
      <c r="T597" s="1185"/>
      <c r="U597" s="1185"/>
      <c r="V597" s="1185"/>
      <c r="W597" s="1185"/>
      <c r="X597" s="1185"/>
      <c r="Y597" s="1185"/>
      <c r="Z597" s="1185"/>
      <c r="AA597" s="1185"/>
      <c r="AB597" s="1185"/>
      <c r="AC597" s="1185"/>
      <c r="AD597" s="1185"/>
      <c r="AE597" s="1185"/>
      <c r="AF597" s="1185"/>
      <c r="AG597" s="1185"/>
      <c r="AH597" s="1185"/>
      <c r="AI597" s="1185"/>
    </row>
    <row r="598" spans="1:35">
      <c r="A598" s="1009" t="s">
        <v>399</v>
      </c>
      <c r="B598" s="1219"/>
      <c r="C598" s="1026">
        <f>12600+297600+1358400-C597</f>
        <v>1208867</v>
      </c>
      <c r="D598" s="1236">
        <v>4.2469999999999999</v>
      </c>
      <c r="E598" s="1041" t="s">
        <v>374</v>
      </c>
      <c r="F598" s="1041">
        <f>ROUND(D598*$C598/100*D589,0)</f>
        <v>-513</v>
      </c>
      <c r="G598" s="1236">
        <v>4.8520000000000003</v>
      </c>
      <c r="H598" s="1009" t="s">
        <v>374</v>
      </c>
      <c r="I598" s="1041">
        <f>ROUND(G598*C598/100*$G$555,0)</f>
        <v>-587</v>
      </c>
      <c r="J598" s="1236">
        <f>J587</f>
        <v>5.157</v>
      </c>
      <c r="K598" s="1009" t="s">
        <v>374</v>
      </c>
      <c r="L598" s="1041">
        <f>ROUND(J598*$C598/100*J589,0)</f>
        <v>-623</v>
      </c>
      <c r="N598" s="1185"/>
      <c r="O598" s="1185"/>
      <c r="P598" s="1186"/>
      <c r="Q598" s="1186"/>
      <c r="R598" s="1186"/>
      <c r="S598" s="1185"/>
      <c r="T598" s="1185"/>
      <c r="U598" s="1185"/>
      <c r="V598" s="1185"/>
      <c r="W598" s="1185"/>
      <c r="X598" s="1185"/>
      <c r="Y598" s="1185"/>
      <c r="Z598" s="1185"/>
      <c r="AA598" s="1185"/>
      <c r="AB598" s="1185"/>
      <c r="AC598" s="1185"/>
      <c r="AD598" s="1185"/>
      <c r="AE598" s="1185"/>
      <c r="AF598" s="1185"/>
      <c r="AG598" s="1185"/>
      <c r="AH598" s="1185"/>
      <c r="AI598" s="1185"/>
    </row>
    <row r="599" spans="1:35">
      <c r="A599" s="1009" t="s">
        <v>400</v>
      </c>
      <c r="B599" s="1219"/>
      <c r="C599" s="1026">
        <f>28+1042</f>
        <v>1070</v>
      </c>
      <c r="D599" s="1286">
        <v>50</v>
      </c>
      <c r="E599" s="1041" t="s">
        <v>374</v>
      </c>
      <c r="F599" s="1041">
        <f>ROUND(D599*$C599/100*D589,0)</f>
        <v>-5</v>
      </c>
      <c r="G599" s="1286">
        <v>56</v>
      </c>
      <c r="H599" s="1009" t="s">
        <v>374</v>
      </c>
      <c r="I599" s="1041">
        <f>ROUND(G599*C599/100*$G$555,0)</f>
        <v>-6</v>
      </c>
      <c r="J599" s="1286">
        <f>J588</f>
        <v>56</v>
      </c>
      <c r="K599" s="1009" t="s">
        <v>374</v>
      </c>
      <c r="L599" s="1041">
        <f>ROUND(J599*$C599/100*J589,0)</f>
        <v>-6</v>
      </c>
      <c r="N599" s="1185"/>
      <c r="O599" s="1185"/>
      <c r="P599" s="1186"/>
      <c r="Q599" s="1186"/>
      <c r="R599" s="1186"/>
      <c r="S599" s="1185"/>
      <c r="T599" s="1185"/>
      <c r="U599" s="1185"/>
      <c r="V599" s="1185"/>
      <c r="W599" s="1185"/>
      <c r="X599" s="1185"/>
      <c r="Y599" s="1185"/>
      <c r="Z599" s="1185"/>
      <c r="AA599" s="1185"/>
      <c r="AB599" s="1185"/>
      <c r="AC599" s="1185"/>
      <c r="AD599" s="1185"/>
      <c r="AE599" s="1185"/>
      <c r="AF599" s="1185"/>
      <c r="AG599" s="1185"/>
      <c r="AH599" s="1185"/>
      <c r="AI599" s="1185"/>
    </row>
    <row r="600" spans="1:35">
      <c r="A600" s="1009" t="s">
        <v>443</v>
      </c>
      <c r="B600" s="1219"/>
      <c r="C600" s="1026">
        <f>9+4</f>
        <v>13</v>
      </c>
      <c r="D600" s="1229">
        <v>60</v>
      </c>
      <c r="E600" s="1288" t="s">
        <v>31</v>
      </c>
      <c r="F600" s="1041">
        <f>ROUND(D600*$C600,0)</f>
        <v>780</v>
      </c>
      <c r="G600" s="1229">
        <v>60</v>
      </c>
      <c r="H600" s="1219"/>
      <c r="I600" s="1041">
        <f>ROUND(G600*C600,0)</f>
        <v>780</v>
      </c>
      <c r="J600" s="1229">
        <f>$J$532</f>
        <v>60</v>
      </c>
      <c r="K600" s="1219"/>
      <c r="L600" s="1041">
        <f>ROUND(J600*$C600,0)</f>
        <v>780</v>
      </c>
      <c r="N600" s="1185"/>
      <c r="O600" s="1185"/>
      <c r="P600" s="1186"/>
      <c r="Q600" s="1186"/>
      <c r="R600" s="1186"/>
      <c r="S600" s="1185"/>
      <c r="T600" s="1185"/>
      <c r="U600" s="1185"/>
      <c r="V600" s="1185"/>
      <c r="W600" s="1185"/>
      <c r="X600" s="1185"/>
      <c r="Y600" s="1185"/>
      <c r="Z600" s="1185"/>
      <c r="AA600" s="1185"/>
      <c r="AB600" s="1185"/>
      <c r="AC600" s="1185"/>
      <c r="AD600" s="1185"/>
      <c r="AE600" s="1185"/>
      <c r="AF600" s="1185"/>
      <c r="AG600" s="1185"/>
      <c r="AH600" s="1185"/>
      <c r="AI600" s="1185"/>
    </row>
    <row r="601" spans="1:35">
      <c r="A601" s="1009" t="s">
        <v>444</v>
      </c>
      <c r="B601" s="1219"/>
      <c r="C601" s="1026">
        <f>C593+C594</f>
        <v>5426</v>
      </c>
      <c r="D601" s="1262">
        <v>-30</v>
      </c>
      <c r="E601" s="1041" t="s">
        <v>374</v>
      </c>
      <c r="F601" s="1041">
        <f>ROUND(D601*$C601/100,0)</f>
        <v>-1628</v>
      </c>
      <c r="G601" s="1262">
        <v>-30</v>
      </c>
      <c r="H601" s="1041" t="s">
        <v>374</v>
      </c>
      <c r="I601" s="1041">
        <f>-ROUND(G601*C601*$G$555,0)</f>
        <v>-1628</v>
      </c>
      <c r="J601" s="1262">
        <f>$J$533</f>
        <v>-30</v>
      </c>
      <c r="K601" s="1041" t="s">
        <v>374</v>
      </c>
      <c r="L601" s="1041">
        <f>ROUND(J601*$C601/100,0)</f>
        <v>-1628</v>
      </c>
      <c r="N601" s="1185"/>
      <c r="O601" s="1185"/>
      <c r="P601" s="1186"/>
      <c r="Q601" s="1186"/>
      <c r="R601" s="1186"/>
      <c r="S601" s="1185"/>
      <c r="T601" s="1185"/>
      <c r="U601" s="1185"/>
      <c r="V601" s="1185"/>
      <c r="W601" s="1185"/>
      <c r="X601" s="1185"/>
      <c r="Y601" s="1185"/>
      <c r="Z601" s="1185"/>
      <c r="AA601" s="1185"/>
      <c r="AB601" s="1185"/>
      <c r="AC601" s="1185"/>
      <c r="AD601" s="1185"/>
      <c r="AE601" s="1185"/>
      <c r="AF601" s="1185"/>
      <c r="AG601" s="1185"/>
      <c r="AH601" s="1185"/>
      <c r="AI601" s="1185"/>
    </row>
    <row r="602" spans="1:35">
      <c r="A602" s="1219" t="s">
        <v>381</v>
      </c>
      <c r="B602" s="1219"/>
      <c r="C602" s="1026">
        <f>SUM(C586:C587)</f>
        <v>109592184</v>
      </c>
      <c r="D602" s="1255"/>
      <c r="E602" s="1203"/>
      <c r="F602" s="1203">
        <f>SUM(F576:F601)</f>
        <v>7174229</v>
      </c>
      <c r="G602" s="1255"/>
      <c r="H602" s="1219"/>
      <c r="I602" s="1203">
        <f>SUM(I576:I601)</f>
        <v>8196036</v>
      </c>
      <c r="J602" s="1255"/>
      <c r="K602" s="1219"/>
      <c r="L602" s="1203">
        <f>SUM(L576:L601)</f>
        <v>8650857</v>
      </c>
      <c r="N602" s="1185"/>
      <c r="O602" s="1185"/>
      <c r="P602" s="1186"/>
      <c r="Q602" s="1186"/>
      <c r="R602" s="1186"/>
      <c r="S602" s="1185"/>
      <c r="T602" s="1185"/>
      <c r="U602" s="1185"/>
      <c r="V602" s="1185"/>
      <c r="W602" s="1185"/>
      <c r="X602" s="1185"/>
      <c r="Y602" s="1185"/>
      <c r="Z602" s="1185"/>
      <c r="AA602" s="1185"/>
      <c r="AB602" s="1185"/>
      <c r="AC602" s="1185"/>
      <c r="AD602" s="1185"/>
      <c r="AE602" s="1185"/>
      <c r="AF602" s="1185"/>
      <c r="AG602" s="1185"/>
      <c r="AH602" s="1185"/>
      <c r="AI602" s="1185"/>
    </row>
    <row r="603" spans="1:35">
      <c r="A603" s="1219" t="s">
        <v>363</v>
      </c>
      <c r="B603" s="1219"/>
      <c r="C603" s="1032">
        <f>'[97]Table 2'!H76</f>
        <v>1503569.2477187554</v>
      </c>
      <c r="D603" s="1218"/>
      <c r="E603" s="1218"/>
      <c r="F603" s="1239" t="e">
        <f>#REF!</f>
        <v>#REF!</v>
      </c>
      <c r="G603" s="1218"/>
      <c r="H603" s="1218"/>
      <c r="I603" s="1239">
        <f>'[97]Table 3'!E76</f>
        <v>132135.06500870228</v>
      </c>
      <c r="J603" s="1218"/>
      <c r="K603" s="1218"/>
      <c r="L603" s="1239">
        <f>I603</f>
        <v>132135.06500870228</v>
      </c>
      <c r="N603" s="444"/>
      <c r="O603" s="444"/>
      <c r="P603" s="287"/>
      <c r="Q603" s="1186"/>
      <c r="R603" s="1186"/>
      <c r="S603" s="1185"/>
      <c r="T603" s="1185"/>
      <c r="U603" s="1185"/>
      <c r="V603" s="1185"/>
      <c r="W603" s="1185"/>
      <c r="X603" s="1185"/>
      <c r="Y603" s="1185"/>
      <c r="Z603" s="1185"/>
      <c r="AA603" s="1185"/>
      <c r="AB603" s="1185"/>
      <c r="AC603" s="1185"/>
      <c r="AD603" s="1185"/>
      <c r="AE603" s="1185"/>
      <c r="AF603" s="1185"/>
      <c r="AG603" s="1185"/>
      <c r="AH603" s="1185"/>
      <c r="AI603" s="1185"/>
    </row>
    <row r="604" spans="1:35" ht="16.5" thickBot="1">
      <c r="A604" s="1219" t="s">
        <v>382</v>
      </c>
      <c r="B604" s="1219"/>
      <c r="C604" s="1289">
        <f>SUM(C602)+C603</f>
        <v>111095753.24771875</v>
      </c>
      <c r="D604" s="1265"/>
      <c r="E604" s="1266"/>
      <c r="F604" s="1267" t="e">
        <f>F602+F603</f>
        <v>#REF!</v>
      </c>
      <c r="G604" s="1265"/>
      <c r="H604" s="1269"/>
      <c r="I604" s="1267">
        <f>I602+I603</f>
        <v>8328171.0650087027</v>
      </c>
      <c r="J604" s="1265"/>
      <c r="K604" s="1269"/>
      <c r="L604" s="1267">
        <f>L602+L603</f>
        <v>8782992.0650087018</v>
      </c>
      <c r="N604" s="411"/>
      <c r="O604" s="411"/>
      <c r="P604" s="470"/>
      <c r="Q604" s="1186"/>
      <c r="R604" s="1186"/>
      <c r="S604" s="1185"/>
      <c r="T604" s="1185"/>
      <c r="U604" s="1185"/>
      <c r="V604" s="1185"/>
      <c r="W604" s="1185"/>
      <c r="X604" s="1185"/>
      <c r="Y604" s="1185"/>
      <c r="Z604" s="1185"/>
      <c r="AA604" s="1185"/>
      <c r="AB604" s="1185"/>
      <c r="AC604" s="1185"/>
      <c r="AD604" s="1185"/>
      <c r="AE604" s="1185"/>
      <c r="AF604" s="1185"/>
      <c r="AG604" s="1185"/>
      <c r="AH604" s="1185"/>
      <c r="AI604" s="1185"/>
    </row>
    <row r="605" spans="1:35" ht="16.5" thickTop="1">
      <c r="A605" s="1233"/>
      <c r="B605" s="1301"/>
      <c r="C605" s="1233"/>
      <c r="D605" s="1225"/>
      <c r="E605" s="1225"/>
      <c r="F605" s="1302"/>
      <c r="G605" s="1219"/>
      <c r="H605" s="1233"/>
      <c r="I605" s="1302"/>
      <c r="J605" s="1233"/>
      <c r="K605" s="1233"/>
      <c r="L605" s="1233"/>
      <c r="N605" s="1185"/>
      <c r="O605" s="1185"/>
      <c r="P605" s="1186"/>
      <c r="Q605" s="1186"/>
      <c r="R605" s="1186"/>
      <c r="S605" s="1185"/>
      <c r="T605" s="1185"/>
      <c r="U605" s="1185"/>
      <c r="V605" s="1185"/>
      <c r="W605" s="1185"/>
      <c r="X605" s="1185"/>
      <c r="Y605" s="1185"/>
      <c r="Z605" s="1185"/>
      <c r="AA605" s="1185"/>
      <c r="AB605" s="1185"/>
      <c r="AC605" s="1185"/>
      <c r="AD605" s="1185"/>
      <c r="AE605" s="1185"/>
      <c r="AF605" s="1185"/>
      <c r="AG605" s="1185"/>
      <c r="AH605" s="1185"/>
      <c r="AI605" s="1185"/>
    </row>
    <row r="606" spans="1:35">
      <c r="A606" s="1224" t="s">
        <v>447</v>
      </c>
      <c r="B606" s="1219"/>
      <c r="C606" s="1225"/>
      <c r="D606" s="1261"/>
      <c r="E606" s="1203"/>
      <c r="F606" s="1203"/>
      <c r="G606" s="1261"/>
      <c r="H606" s="1219"/>
      <c r="I606" s="1203"/>
      <c r="J606" s="1261"/>
      <c r="K606" s="1219"/>
      <c r="L606" s="1203"/>
      <c r="N606" s="1185"/>
      <c r="O606" s="1185"/>
      <c r="P606" s="1186"/>
      <c r="Q606" s="1186"/>
      <c r="R606" s="1186"/>
      <c r="S606" s="1185"/>
      <c r="T606" s="1185"/>
      <c r="U606" s="1185"/>
      <c r="V606" s="1185"/>
      <c r="W606" s="1185"/>
      <c r="X606" s="1185"/>
      <c r="Y606" s="1185"/>
      <c r="Z606" s="1185"/>
      <c r="AA606" s="1185"/>
      <c r="AB606" s="1185"/>
      <c r="AC606" s="1185"/>
      <c r="AD606" s="1185"/>
      <c r="AE606" s="1185"/>
      <c r="AF606" s="1185"/>
      <c r="AG606" s="1185"/>
      <c r="AH606" s="1185"/>
      <c r="AI606" s="1185"/>
    </row>
    <row r="607" spans="1:35">
      <c r="A607" s="1218" t="s">
        <v>448</v>
      </c>
      <c r="B607" s="1219"/>
      <c r="C607" s="1225"/>
      <c r="D607" s="1261"/>
      <c r="E607" s="1203"/>
      <c r="F607" s="1203"/>
      <c r="G607" s="1261"/>
      <c r="H607" s="1219"/>
      <c r="I607" s="1203"/>
      <c r="J607" s="1261"/>
      <c r="K607" s="1219"/>
      <c r="L607" s="1203"/>
      <c r="N607" s="1185"/>
      <c r="O607" s="1185"/>
      <c r="P607" s="1186"/>
      <c r="Q607" s="1186"/>
      <c r="R607" s="1186"/>
      <c r="S607" s="1185"/>
      <c r="T607" s="1185"/>
      <c r="U607" s="1185"/>
      <c r="V607" s="1185"/>
      <c r="W607" s="1185"/>
      <c r="X607" s="1185"/>
      <c r="Y607" s="1185"/>
      <c r="Z607" s="1185"/>
      <c r="AA607" s="1185"/>
      <c r="AB607" s="1185"/>
      <c r="AC607" s="1185"/>
      <c r="AD607" s="1185"/>
      <c r="AE607" s="1185"/>
      <c r="AF607" s="1185"/>
      <c r="AG607" s="1185"/>
      <c r="AH607" s="1185"/>
      <c r="AI607" s="1185"/>
    </row>
    <row r="608" spans="1:35">
      <c r="A608" s="1009"/>
      <c r="B608" s="1219"/>
      <c r="C608" s="1225"/>
      <c r="D608" s="1261"/>
      <c r="E608" s="1203"/>
      <c r="F608" s="1303"/>
      <c r="G608" s="1261"/>
      <c r="H608" s="1219"/>
      <c r="I608" s="1303"/>
      <c r="J608" s="1261"/>
      <c r="K608" s="1219"/>
      <c r="L608" s="1304"/>
      <c r="N608" s="1185"/>
      <c r="O608" s="1185"/>
      <c r="P608" s="1186"/>
      <c r="Q608" s="1186"/>
      <c r="R608" s="1186"/>
      <c r="S608" s="1185"/>
      <c r="T608" s="1185"/>
      <c r="U608" s="1185"/>
      <c r="V608" s="1185"/>
      <c r="W608" s="1185"/>
      <c r="X608" s="1185"/>
      <c r="Y608" s="1185"/>
      <c r="Z608" s="1185"/>
      <c r="AA608" s="1185"/>
      <c r="AB608" s="1185"/>
      <c r="AC608" s="1185"/>
      <c r="AD608" s="1185"/>
      <c r="AE608" s="1185"/>
      <c r="AF608" s="1185"/>
      <c r="AG608" s="1185"/>
      <c r="AH608" s="1185"/>
      <c r="AI608" s="1185"/>
    </row>
    <row r="609" spans="1:35">
      <c r="A609" s="1218" t="s">
        <v>449</v>
      </c>
      <c r="B609" s="1219"/>
      <c r="C609" s="1026"/>
      <c r="D609" s="1203" t="s">
        <v>31</v>
      </c>
      <c r="E609" s="1203"/>
      <c r="F609" s="1219"/>
      <c r="G609" s="1203" t="s">
        <v>31</v>
      </c>
      <c r="H609" s="1219"/>
      <c r="I609" s="1219"/>
      <c r="J609" s="1203" t="s">
        <v>31</v>
      </c>
      <c r="K609" s="1219"/>
      <c r="L609" s="1219"/>
      <c r="N609" s="1185"/>
      <c r="O609" s="1185"/>
      <c r="P609" s="1186"/>
      <c r="Q609" s="1185"/>
      <c r="R609" s="1185"/>
      <c r="S609" s="1185"/>
      <c r="T609" s="1185"/>
      <c r="U609" s="1185"/>
      <c r="V609" s="1185"/>
      <c r="W609" s="1185"/>
      <c r="X609" s="1185"/>
      <c r="Y609" s="1185"/>
      <c r="AC609" s="1185"/>
      <c r="AD609" s="1185"/>
      <c r="AE609" s="1185"/>
      <c r="AF609" s="1185"/>
      <c r="AG609" s="1185"/>
      <c r="AH609" s="1185"/>
      <c r="AI609" s="1185"/>
    </row>
    <row r="610" spans="1:35">
      <c r="A610" s="1218" t="s">
        <v>450</v>
      </c>
      <c r="B610" s="1219"/>
      <c r="C610" s="1026">
        <f>C661+C712</f>
        <v>1049</v>
      </c>
      <c r="D610" s="1261">
        <v>0</v>
      </c>
      <c r="E610" s="1249"/>
      <c r="F610" s="1041">
        <f>F661+F712</f>
        <v>0</v>
      </c>
      <c r="G610" s="1261">
        <v>0</v>
      </c>
      <c r="H610" s="1249"/>
      <c r="I610" s="1041">
        <f>I661+I712</f>
        <v>0</v>
      </c>
      <c r="J610" s="1261">
        <f>G610</f>
        <v>0</v>
      </c>
      <c r="K610" s="1249"/>
      <c r="L610" s="1041">
        <f>L661+L712</f>
        <v>0</v>
      </c>
      <c r="N610" s="1204" t="e">
        <f>J610*#REF!</f>
        <v>#REF!</v>
      </c>
      <c r="Q610" s="55"/>
      <c r="R610" s="55"/>
      <c r="AD610" s="1185"/>
      <c r="AE610" s="1185"/>
      <c r="AF610" s="1185"/>
      <c r="AG610" s="1185"/>
      <c r="AH610" s="1185"/>
      <c r="AI610" s="1185"/>
    </row>
    <row r="611" spans="1:35">
      <c r="A611" s="1218" t="s">
        <v>451</v>
      </c>
      <c r="B611" s="1219"/>
      <c r="C611" s="1026"/>
      <c r="D611" s="1261"/>
      <c r="E611" s="1249"/>
      <c r="F611" s="1041"/>
      <c r="G611" s="1261"/>
      <c r="H611" s="1249"/>
      <c r="I611" s="1041"/>
      <c r="J611" s="1261"/>
      <c r="K611" s="1249"/>
      <c r="L611" s="1041"/>
      <c r="T611" s="1204"/>
      <c r="U611" s="666"/>
      <c r="V611" s="1204"/>
      <c r="W611" s="666"/>
      <c r="X611" s="1204"/>
      <c r="Y611" s="1204"/>
      <c r="Z611" s="801"/>
      <c r="AD611" s="1185"/>
      <c r="AE611" s="1185"/>
      <c r="AF611" s="1185"/>
      <c r="AG611" s="1185"/>
      <c r="AH611" s="1185"/>
      <c r="AI611" s="1185"/>
    </row>
    <row r="612" spans="1:35">
      <c r="A612" s="1218" t="s">
        <v>452</v>
      </c>
      <c r="B612" s="1219"/>
      <c r="C612" s="1026">
        <f t="shared" ref="C612:C617" si="77">C663+C714</f>
        <v>3806</v>
      </c>
      <c r="D612" s="1261">
        <v>0</v>
      </c>
      <c r="E612" s="1249"/>
      <c r="F612" s="1041">
        <f>F663+F714</f>
        <v>0</v>
      </c>
      <c r="G612" s="1261">
        <v>0</v>
      </c>
      <c r="H612" s="1249"/>
      <c r="I612" s="1041">
        <f>I663+I714</f>
        <v>0</v>
      </c>
      <c r="J612" s="1261">
        <v>0</v>
      </c>
      <c r="K612" s="1249"/>
      <c r="L612" s="1041">
        <f>L663+L714</f>
        <v>0</v>
      </c>
      <c r="N612" s="1204" t="e">
        <f>J612*#REF!</f>
        <v>#REF!</v>
      </c>
      <c r="O612" s="1246"/>
      <c r="Q612" s="1211" t="s">
        <v>643</v>
      </c>
      <c r="R612" s="1211"/>
      <c r="T612" s="1204"/>
      <c r="U612" s="666"/>
      <c r="V612" s="1204"/>
      <c r="W612" s="666"/>
      <c r="X612" s="1204"/>
      <c r="Y612" s="1204"/>
      <c r="Z612" s="801"/>
      <c r="AD612" s="1185"/>
      <c r="AE612" s="1185"/>
      <c r="AF612" s="1185"/>
      <c r="AG612" s="1185"/>
      <c r="AH612" s="1185"/>
      <c r="AI612" s="1185"/>
    </row>
    <row r="613" spans="1:35">
      <c r="A613" s="1218" t="s">
        <v>453</v>
      </c>
      <c r="B613" s="1219"/>
      <c r="C613" s="1026">
        <f t="shared" si="77"/>
        <v>405</v>
      </c>
      <c r="D613" s="1261">
        <v>312</v>
      </c>
      <c r="E613" s="1249"/>
      <c r="F613" s="1041">
        <f>F664+F715</f>
        <v>126360</v>
      </c>
      <c r="G613" s="1261">
        <v>357</v>
      </c>
      <c r="H613" s="1249"/>
      <c r="I613" s="1041">
        <f>I664+I715</f>
        <v>144585</v>
      </c>
      <c r="J613" s="1261">
        <f>G613</f>
        <v>357</v>
      </c>
      <c r="K613" s="1249"/>
      <c r="L613" s="1041">
        <f>L664+L715</f>
        <v>144585</v>
      </c>
      <c r="N613" s="1204" t="e">
        <f>J613*#REF!</f>
        <v>#REF!</v>
      </c>
      <c r="O613" s="1190"/>
      <c r="Q613" s="55">
        <f>(J613-G613)/G613</f>
        <v>0</v>
      </c>
      <c r="R613" s="55"/>
      <c r="S613" s="1254"/>
      <c r="T613" s="1204"/>
      <c r="U613" s="1248"/>
      <c r="V613" s="1204"/>
      <c r="W613" s="1248"/>
      <c r="X613" s="1204"/>
      <c r="Y613" s="1204"/>
      <c r="Z613" s="1305"/>
      <c r="AD613" s="1185"/>
      <c r="AE613" s="1185"/>
      <c r="AF613" s="1185"/>
      <c r="AG613" s="1185"/>
      <c r="AH613" s="1185"/>
      <c r="AI613" s="1185"/>
    </row>
    <row r="614" spans="1:35">
      <c r="A614" s="1218" t="s">
        <v>454</v>
      </c>
      <c r="B614" s="1219"/>
      <c r="C614" s="1026">
        <f t="shared" si="77"/>
        <v>0</v>
      </c>
      <c r="D614" s="1261">
        <v>1268</v>
      </c>
      <c r="E614" s="1249"/>
      <c r="F614" s="1041">
        <f>F665+F716</f>
        <v>0</v>
      </c>
      <c r="G614" s="1261">
        <v>1457</v>
      </c>
      <c r="H614" s="1249"/>
      <c r="I614" s="1041">
        <f>I665+I716</f>
        <v>0</v>
      </c>
      <c r="J614" s="1261">
        <f>G614</f>
        <v>1457</v>
      </c>
      <c r="K614" s="1249"/>
      <c r="L614" s="1041">
        <f>L665+L716</f>
        <v>0</v>
      </c>
      <c r="N614" s="1204" t="e">
        <f>J614*#REF!</f>
        <v>#REF!</v>
      </c>
      <c r="O614" s="1190"/>
      <c r="Q614" s="55">
        <f>(J614-G614)/G614</f>
        <v>0</v>
      </c>
      <c r="R614" s="55"/>
      <c r="T614" s="1204"/>
      <c r="U614" s="1204"/>
      <c r="Z614" s="1185"/>
      <c r="AC614" s="1185"/>
      <c r="AD614" s="1185"/>
      <c r="AE614" s="1185"/>
      <c r="AF614" s="1185"/>
      <c r="AG614" s="1185"/>
      <c r="AH614" s="1185"/>
      <c r="AI614" s="1185"/>
    </row>
    <row r="615" spans="1:35">
      <c r="A615" s="1218" t="s">
        <v>362</v>
      </c>
      <c r="B615" s="1219"/>
      <c r="C615" s="1026">
        <f t="shared" si="77"/>
        <v>5260</v>
      </c>
      <c r="D615" s="1261"/>
      <c r="E615" s="1249"/>
      <c r="F615" s="1041"/>
      <c r="G615" s="1261"/>
      <c r="H615" s="1249"/>
      <c r="I615" s="1041"/>
      <c r="J615" s="1261"/>
      <c r="K615" s="1249"/>
      <c r="L615" s="1041"/>
      <c r="N615" s="1190"/>
      <c r="O615" s="1190"/>
      <c r="Q615" s="1248"/>
      <c r="R615" s="1248"/>
      <c r="S615" s="1190"/>
      <c r="Z615" s="1254"/>
      <c r="AA615" s="1254"/>
      <c r="AB615" s="1185"/>
      <c r="AC615" s="1185"/>
      <c r="AD615" s="1185"/>
      <c r="AE615" s="1185"/>
      <c r="AF615" s="1185"/>
      <c r="AG615" s="1185"/>
      <c r="AH615" s="1185"/>
      <c r="AI615" s="1185"/>
    </row>
    <row r="616" spans="1:35">
      <c r="A616" s="1218" t="s">
        <v>455</v>
      </c>
      <c r="B616" s="1219"/>
      <c r="C616" s="1026">
        <f t="shared" si="77"/>
        <v>39861</v>
      </c>
      <c r="D616" s="1261"/>
      <c r="E616" s="1249"/>
      <c r="F616" s="1041"/>
      <c r="G616" s="1261"/>
      <c r="H616" s="1249"/>
      <c r="I616" s="1041"/>
      <c r="J616" s="1261"/>
      <c r="K616" s="1249"/>
      <c r="L616" s="1041"/>
      <c r="N616" s="1190"/>
      <c r="O616" s="1190"/>
      <c r="S616" s="1190"/>
      <c r="AB616" s="1185"/>
      <c r="AC616" s="1185"/>
      <c r="AD616" s="1185"/>
      <c r="AE616" s="1185"/>
      <c r="AF616" s="1185"/>
      <c r="AG616" s="1185"/>
      <c r="AH616" s="1185"/>
      <c r="AI616" s="1185"/>
    </row>
    <row r="617" spans="1:35">
      <c r="A617" s="1218" t="s">
        <v>104</v>
      </c>
      <c r="B617" s="1219"/>
      <c r="C617" s="1026">
        <f t="shared" si="77"/>
        <v>5907</v>
      </c>
      <c r="D617" s="1261"/>
      <c r="E617" s="1041"/>
      <c r="F617" s="1041"/>
      <c r="G617" s="1261"/>
      <c r="H617" s="1041"/>
      <c r="I617" s="1041"/>
      <c r="J617" s="1261"/>
      <c r="K617" s="1041"/>
      <c r="L617" s="1306" t="s">
        <v>31</v>
      </c>
      <c r="N617" s="1190"/>
      <c r="O617" s="1190"/>
      <c r="Q617" s="1248"/>
      <c r="R617" s="1248"/>
      <c r="S617" s="1263"/>
      <c r="AB617" s="1185"/>
      <c r="AC617" s="1185"/>
      <c r="AD617" s="1185"/>
      <c r="AE617" s="1185"/>
      <c r="AF617" s="1185"/>
      <c r="AG617" s="1185"/>
      <c r="AH617" s="1185"/>
      <c r="AI617" s="1185"/>
    </row>
    <row r="618" spans="1:35">
      <c r="A618" s="1218" t="s">
        <v>456</v>
      </c>
      <c r="B618" s="1219"/>
      <c r="C618" s="1026"/>
      <c r="D618" s="1261"/>
      <c r="E618" s="1249"/>
      <c r="F618" s="1041"/>
      <c r="G618" s="1261"/>
      <c r="H618" s="1249"/>
      <c r="I618" s="1041"/>
      <c r="J618" s="1261"/>
      <c r="K618" s="1249"/>
      <c r="L618" s="1041"/>
      <c r="N618" s="1190"/>
      <c r="O618" s="1190"/>
      <c r="Q618" s="1248"/>
      <c r="R618" s="1248"/>
      <c r="S618" s="1190"/>
      <c r="AB618" s="1185"/>
      <c r="AC618" s="1185"/>
      <c r="AD618" s="1185"/>
      <c r="AE618" s="1185"/>
      <c r="AF618" s="1185"/>
      <c r="AG618" s="1185"/>
      <c r="AH618" s="1185"/>
      <c r="AI618" s="1185"/>
    </row>
    <row r="619" spans="1:35">
      <c r="A619" s="1218" t="s">
        <v>457</v>
      </c>
      <c r="B619" s="1219"/>
      <c r="C619" s="1026">
        <f>C670+C721</f>
        <v>2990</v>
      </c>
      <c r="D619" s="1261">
        <v>20.86</v>
      </c>
      <c r="E619" s="1249"/>
      <c r="F619" s="1041">
        <f>F670+F721</f>
        <v>62371</v>
      </c>
      <c r="G619" s="1261">
        <v>23.87</v>
      </c>
      <c r="H619" s="1249"/>
      <c r="I619" s="1041">
        <f>I670+I721</f>
        <v>71371</v>
      </c>
      <c r="J619" s="1261">
        <f>G619*(1+$Q$655)</f>
        <v>25.265901957370488</v>
      </c>
      <c r="K619" s="1249"/>
      <c r="L619" s="1041">
        <f>L670+L721</f>
        <v>75545</v>
      </c>
      <c r="N619" s="1204" t="e">
        <f>J619*#REF!</f>
        <v>#REF!</v>
      </c>
      <c r="O619" s="1307"/>
      <c r="Q619" s="55">
        <f>(J619-G619)/G619</f>
        <v>5.8479344674088274E-2</v>
      </c>
      <c r="R619" s="55"/>
      <c r="S619" s="1190"/>
      <c r="AD619" s="1185"/>
      <c r="AE619" s="1185"/>
      <c r="AF619" s="1185"/>
      <c r="AG619" s="1185"/>
      <c r="AH619" s="1185"/>
      <c r="AI619" s="1185"/>
    </row>
    <row r="620" spans="1:35">
      <c r="A620" s="1218" t="s">
        <v>458</v>
      </c>
      <c r="B620" s="1219"/>
      <c r="C620" s="1026"/>
      <c r="D620" s="1261"/>
      <c r="E620" s="1249"/>
      <c r="F620" s="1041"/>
      <c r="G620" s="1261"/>
      <c r="H620" s="1249"/>
      <c r="I620" s="1041"/>
      <c r="J620" s="1261"/>
      <c r="K620" s="1249"/>
      <c r="L620" s="1041"/>
      <c r="N620" s="1307"/>
      <c r="O620" s="1307"/>
      <c r="Q620" s="1248"/>
      <c r="R620" s="1248"/>
      <c r="S620" s="1190"/>
      <c r="AD620" s="1185"/>
      <c r="AE620" s="1185"/>
      <c r="AF620" s="1185"/>
      <c r="AG620" s="1185"/>
      <c r="AH620" s="1185"/>
      <c r="AI620" s="1185"/>
    </row>
    <row r="621" spans="1:35">
      <c r="A621" s="1218" t="s">
        <v>452</v>
      </c>
      <c r="B621" s="1219"/>
      <c r="C621" s="1026">
        <f>C672+C723</f>
        <v>50496</v>
      </c>
      <c r="D621" s="1261">
        <v>20.860000000000003</v>
      </c>
      <c r="E621" s="1249"/>
      <c r="F621" s="1041">
        <f>F672+F723</f>
        <v>1053346</v>
      </c>
      <c r="G621" s="1261">
        <v>23.79</v>
      </c>
      <c r="H621" s="1249"/>
      <c r="I621" s="1041">
        <f>I672+I723</f>
        <v>1201300</v>
      </c>
      <c r="J621" s="1261">
        <f>G621*(1+$Q$655)-0.01</f>
        <v>25.171223609796559</v>
      </c>
      <c r="K621" s="1249"/>
      <c r="L621" s="1041">
        <f>L672+L723</f>
        <v>1271046</v>
      </c>
      <c r="N621" s="1204" t="e">
        <f>J621*#REF!</f>
        <v>#REF!</v>
      </c>
      <c r="O621" s="1307"/>
      <c r="Q621" s="55">
        <f>(J621-G621)/G621</f>
        <v>5.8058999991448521E-2</v>
      </c>
      <c r="R621" s="55"/>
      <c r="S621" s="1190"/>
      <c r="AD621" s="1185"/>
      <c r="AE621" s="1185"/>
      <c r="AF621" s="1185"/>
      <c r="AG621" s="1185"/>
      <c r="AH621" s="1185"/>
      <c r="AI621" s="1185"/>
    </row>
    <row r="622" spans="1:35">
      <c r="A622" s="1218" t="s">
        <v>453</v>
      </c>
      <c r="B622" s="1219"/>
      <c r="C622" s="1026">
        <f>C673+C724</f>
        <v>38906</v>
      </c>
      <c r="D622" s="1261">
        <v>14.53</v>
      </c>
      <c r="E622" s="1249"/>
      <c r="F622" s="1041">
        <f>F673+F724</f>
        <v>565305</v>
      </c>
      <c r="G622" s="1261">
        <v>16.559999999999999</v>
      </c>
      <c r="H622" s="1249"/>
      <c r="I622" s="1041">
        <f>I673+I724</f>
        <v>644284</v>
      </c>
      <c r="J622" s="1261">
        <f>G622*(1+$Q$655)</f>
        <v>17.5284179478029</v>
      </c>
      <c r="K622" s="1249"/>
      <c r="L622" s="1041">
        <f>L673+L724</f>
        <v>681960</v>
      </c>
      <c r="N622" s="1204" t="e">
        <f>J622*#REF!</f>
        <v>#REF!</v>
      </c>
      <c r="O622" s="1307"/>
      <c r="Q622" s="55">
        <f>(J622-G622)/G622</f>
        <v>5.8479344674088267E-2</v>
      </c>
      <c r="R622" s="55"/>
      <c r="S622" s="1190"/>
      <c r="V622" s="1204"/>
      <c r="W622" s="1204"/>
      <c r="X622" s="1204"/>
      <c r="Y622" s="1204"/>
      <c r="Z622" s="1204"/>
      <c r="AA622" s="801"/>
      <c r="AB622" s="1185" t="s">
        <v>31</v>
      </c>
      <c r="AC622" s="1185"/>
      <c r="AD622" s="1185"/>
      <c r="AE622" s="1185"/>
      <c r="AF622" s="1185"/>
      <c r="AG622" s="1185"/>
      <c r="AH622" s="1185"/>
      <c r="AI622" s="1185"/>
    </row>
    <row r="623" spans="1:35">
      <c r="A623" s="1218" t="s">
        <v>454</v>
      </c>
      <c r="B623" s="1219" t="s">
        <v>31</v>
      </c>
      <c r="C623" s="1026">
        <f>C674+C725</f>
        <v>0</v>
      </c>
      <c r="D623" s="1261">
        <v>11.340000000000002</v>
      </c>
      <c r="E623" s="1249"/>
      <c r="F623" s="1041">
        <f>F674+F725</f>
        <v>0</v>
      </c>
      <c r="G623" s="1261">
        <v>12.96</v>
      </c>
      <c r="H623" s="1249"/>
      <c r="I623" s="1041">
        <f>I674+I725</f>
        <v>0</v>
      </c>
      <c r="J623" s="1261">
        <f>G623*(1+$Q$655)</f>
        <v>13.717892306976186</v>
      </c>
      <c r="K623" s="1249"/>
      <c r="L623" s="1041">
        <f>L674+L725</f>
        <v>0</v>
      </c>
      <c r="N623" s="1204" t="e">
        <f>J623*#REF!</f>
        <v>#REF!</v>
      </c>
      <c r="O623" s="1307"/>
      <c r="Q623" s="55">
        <f>(J623-G623)/G623</f>
        <v>5.8479344674088336E-2</v>
      </c>
      <c r="R623" s="55"/>
      <c r="S623" s="1190"/>
      <c r="AB623" s="1185" t="s">
        <v>31</v>
      </c>
      <c r="AC623" s="1185"/>
      <c r="AD623" s="1185"/>
      <c r="AE623" s="1185"/>
      <c r="AF623" s="1185"/>
      <c r="AG623" s="1185"/>
      <c r="AH623" s="1185"/>
      <c r="AI623" s="1185"/>
    </row>
    <row r="624" spans="1:35">
      <c r="A624" s="1218" t="s">
        <v>460</v>
      </c>
      <c r="B624" s="1219"/>
      <c r="C624" s="1026">
        <f>C675+C726</f>
        <v>608</v>
      </c>
      <c r="D624" s="1261">
        <v>62.58</v>
      </c>
      <c r="E624" s="1249"/>
      <c r="F624" s="1041">
        <f>F675+F726</f>
        <v>38049</v>
      </c>
      <c r="G624" s="1261">
        <v>71.61</v>
      </c>
      <c r="H624" s="1249"/>
      <c r="I624" s="1041">
        <f>I675+I726</f>
        <v>43539</v>
      </c>
      <c r="J624" s="1261">
        <f>3*J619</f>
        <v>75.797705872111464</v>
      </c>
      <c r="K624" s="1249"/>
      <c r="L624" s="1041">
        <f>L675+L726</f>
        <v>46085</v>
      </c>
      <c r="N624" s="1204" t="e">
        <f>J624*#REF!</f>
        <v>#REF!</v>
      </c>
      <c r="O624" s="1190"/>
      <c r="Q624" s="55">
        <f>(J624-G624)/G624</f>
        <v>5.8479344674088329E-2</v>
      </c>
      <c r="R624" s="55"/>
      <c r="S624" s="1190"/>
      <c r="AB624" s="1185"/>
      <c r="AC624" s="1185"/>
      <c r="AD624" s="1185"/>
      <c r="AE624" s="1185"/>
      <c r="AF624" s="1185"/>
      <c r="AG624" s="1185"/>
      <c r="AH624" s="1185"/>
      <c r="AI624" s="1185"/>
    </row>
    <row r="625" spans="1:35">
      <c r="A625" s="1218" t="s">
        <v>461</v>
      </c>
      <c r="B625" s="1219"/>
      <c r="C625" s="1026">
        <f>C676+C727</f>
        <v>1116</v>
      </c>
      <c r="D625" s="1261">
        <v>125.16000000000003</v>
      </c>
      <c r="E625" s="1249"/>
      <c r="F625" s="1041">
        <f>F676+F727</f>
        <v>139679</v>
      </c>
      <c r="G625" s="1261">
        <v>142.74</v>
      </c>
      <c r="H625" s="1249"/>
      <c r="I625" s="1041">
        <f>I676+I727</f>
        <v>159298</v>
      </c>
      <c r="J625" s="1261">
        <f>6*J621</f>
        <v>151.02734165877936</v>
      </c>
      <c r="K625" s="1249"/>
      <c r="L625" s="1041">
        <f>L676+L727</f>
        <v>168547</v>
      </c>
      <c r="N625" s="1204" t="e">
        <f>J625*#REF!</f>
        <v>#REF!</v>
      </c>
      <c r="O625" s="1190"/>
      <c r="Q625" s="55">
        <f>(J625-G625)/G625</f>
        <v>5.8058999991448465E-2</v>
      </c>
      <c r="R625" s="55"/>
      <c r="S625" s="1190"/>
      <c r="AB625" s="1185"/>
      <c r="AC625" s="1185"/>
      <c r="AD625" s="1185"/>
      <c r="AE625" s="1185"/>
      <c r="AF625" s="1185"/>
      <c r="AG625" s="1185"/>
      <c r="AH625" s="1185"/>
      <c r="AI625" s="1185"/>
    </row>
    <row r="626" spans="1:35">
      <c r="A626" s="1218" t="s">
        <v>462</v>
      </c>
      <c r="B626" s="1219"/>
      <c r="C626" s="1026"/>
      <c r="D626" s="1261"/>
      <c r="E626" s="1249"/>
      <c r="F626" s="1041"/>
      <c r="G626" s="1261"/>
      <c r="H626" s="1249"/>
      <c r="I626" s="1041"/>
      <c r="J626" s="1261"/>
      <c r="K626" s="1249"/>
      <c r="L626" s="1041"/>
      <c r="N626" s="1190"/>
      <c r="O626" s="1190"/>
      <c r="Q626" s="1184"/>
      <c r="R626" s="1184"/>
      <c r="S626" s="1190"/>
      <c r="AB626" s="1185"/>
      <c r="AC626" s="1185"/>
      <c r="AD626" s="1185"/>
      <c r="AE626" s="1185"/>
      <c r="AF626" s="1185"/>
      <c r="AG626" s="1185"/>
      <c r="AH626" s="1185"/>
      <c r="AI626" s="1185"/>
    </row>
    <row r="627" spans="1:35">
      <c r="A627" s="1218" t="s">
        <v>457</v>
      </c>
      <c r="B627" s="1219"/>
      <c r="C627" s="1026">
        <f>C678+C729</f>
        <v>50</v>
      </c>
      <c r="D627" s="1259">
        <v>-20.86</v>
      </c>
      <c r="E627" s="1249"/>
      <c r="F627" s="1041">
        <f>F678+F729</f>
        <v>-1043</v>
      </c>
      <c r="G627" s="1259">
        <v>-23.87</v>
      </c>
      <c r="H627" s="1249"/>
      <c r="I627" s="1041">
        <f>I678+I729</f>
        <v>-1194</v>
      </c>
      <c r="J627" s="1259">
        <f>-J619</f>
        <v>-25.265901957370488</v>
      </c>
      <c r="K627" s="1249"/>
      <c r="L627" s="1041">
        <f>L678+L729</f>
        <v>-1264</v>
      </c>
      <c r="N627" s="1204" t="e">
        <f>J627*#REF!</f>
        <v>#REF!</v>
      </c>
      <c r="O627" s="1190"/>
      <c r="Q627" s="1184"/>
      <c r="R627" s="1184"/>
      <c r="S627" s="1190"/>
      <c r="AB627" s="1185"/>
      <c r="AC627" s="1185"/>
      <c r="AD627" s="1185"/>
      <c r="AE627" s="1185"/>
      <c r="AF627" s="1185"/>
      <c r="AG627" s="1185"/>
      <c r="AH627" s="1185"/>
      <c r="AI627" s="1185"/>
    </row>
    <row r="628" spans="1:35">
      <c r="A628" s="1218" t="s">
        <v>463</v>
      </c>
      <c r="B628" s="1219"/>
      <c r="C628" s="1026">
        <f>C679+C730</f>
        <v>574</v>
      </c>
      <c r="D628" s="1259">
        <v>-20.860000000000003</v>
      </c>
      <c r="E628" s="1249"/>
      <c r="F628" s="1041">
        <f>F679+F730</f>
        <v>-11973</v>
      </c>
      <c r="G628" s="1259">
        <v>-23.79</v>
      </c>
      <c r="H628" s="1249"/>
      <c r="I628" s="1041">
        <f>I679+I730</f>
        <v>-13655</v>
      </c>
      <c r="J628" s="1259">
        <f>-J621</f>
        <v>-25.171223609796559</v>
      </c>
      <c r="K628" s="1249"/>
      <c r="L628" s="1041">
        <f>L679+L730</f>
        <v>-14448</v>
      </c>
      <c r="N628" s="1204" t="e">
        <f>J628*#REF!</f>
        <v>#REF!</v>
      </c>
      <c r="O628" s="1190"/>
      <c r="Q628" s="1184"/>
      <c r="R628" s="1184"/>
      <c r="S628" s="1190"/>
      <c r="AB628" s="1185"/>
      <c r="AC628" s="1185"/>
      <c r="AD628" s="1185"/>
      <c r="AE628" s="1185"/>
      <c r="AF628" s="1185"/>
      <c r="AG628" s="1185"/>
      <c r="AH628" s="1185"/>
      <c r="AI628" s="1185"/>
    </row>
    <row r="629" spans="1:35">
      <c r="A629" s="1009" t="s">
        <v>426</v>
      </c>
      <c r="B629" s="1219"/>
      <c r="C629" s="1026">
        <f>C680+C731</f>
        <v>145798478.36433661</v>
      </c>
      <c r="D629" s="1261"/>
      <c r="E629" s="1041"/>
      <c r="F629" s="1041"/>
      <c r="G629" s="1261"/>
      <c r="H629" s="1041"/>
      <c r="I629" s="1041"/>
      <c r="J629" s="1261"/>
      <c r="K629" s="1041"/>
      <c r="L629" s="1041"/>
      <c r="N629" s="1190"/>
      <c r="O629" s="1190"/>
      <c r="Q629" s="1184"/>
      <c r="R629" s="1184"/>
      <c r="S629" s="1190"/>
      <c r="T629" s="1184" t="s">
        <v>31</v>
      </c>
      <c r="AB629" s="1185"/>
      <c r="AC629" s="1185"/>
      <c r="AD629" s="1185"/>
      <c r="AE629" s="1185"/>
      <c r="AF629" s="1185"/>
      <c r="AG629" s="1185"/>
      <c r="AH629" s="1185"/>
      <c r="AI629" s="1185"/>
    </row>
    <row r="630" spans="1:35">
      <c r="A630" s="1218" t="s">
        <v>464</v>
      </c>
      <c r="B630" s="1219"/>
      <c r="C630" s="1026">
        <f>C681+C732</f>
        <v>151200065.36433661</v>
      </c>
      <c r="D630" s="1308">
        <v>5.6469999999999994</v>
      </c>
      <c r="E630" s="1041" t="s">
        <v>374</v>
      </c>
      <c r="F630" s="1041">
        <f>F681+F732</f>
        <v>8538268</v>
      </c>
      <c r="G630" s="1308">
        <v>6.4390000000000001</v>
      </c>
      <c r="H630" s="1041" t="s">
        <v>374</v>
      </c>
      <c r="I630" s="1041">
        <f>I681+I732</f>
        <v>9735772</v>
      </c>
      <c r="J630" s="1308">
        <f>ROUND(G630+(G630*$Q$655),3)</f>
        <v>6.8159999999999998</v>
      </c>
      <c r="K630" s="1041" t="s">
        <v>374</v>
      </c>
      <c r="L630" s="1041">
        <f>L681+L732</f>
        <v>10305796</v>
      </c>
      <c r="N630" s="1204" t="e">
        <f>(J630/100)*#REF!</f>
        <v>#REF!</v>
      </c>
      <c r="O630" s="1309"/>
      <c r="Q630" s="55">
        <f>(J630-G630)/G630</f>
        <v>5.8549464202515882E-2</v>
      </c>
      <c r="R630" s="55"/>
      <c r="S630" s="1190"/>
      <c r="AB630" s="1185"/>
      <c r="AC630" s="1185"/>
      <c r="AD630" s="1185"/>
      <c r="AE630" s="1185"/>
      <c r="AF630" s="1185"/>
      <c r="AG630" s="1185"/>
      <c r="AH630" s="1185"/>
      <c r="AI630" s="1185"/>
    </row>
    <row r="631" spans="1:35">
      <c r="A631" s="1009" t="s">
        <v>400</v>
      </c>
      <c r="B631" s="1219"/>
      <c r="C631" s="1026">
        <f>C682+C733</f>
        <v>46531</v>
      </c>
      <c r="D631" s="1310">
        <v>50</v>
      </c>
      <c r="E631" s="1009" t="s">
        <v>374</v>
      </c>
      <c r="F631" s="1041">
        <f>F682+F733</f>
        <v>23266</v>
      </c>
      <c r="G631" s="1310">
        <v>56</v>
      </c>
      <c r="H631" s="1009" t="s">
        <v>374</v>
      </c>
      <c r="I631" s="1041">
        <f>I682+I733</f>
        <v>26057</v>
      </c>
      <c r="J631" s="1310">
        <f>G631</f>
        <v>56</v>
      </c>
      <c r="K631" s="1009" t="s">
        <v>374</v>
      </c>
      <c r="L631" s="1041">
        <f>L682+L733</f>
        <v>26057</v>
      </c>
      <c r="N631" s="1204" t="e">
        <f>(J631/100)*#REF!</f>
        <v>#REF!</v>
      </c>
      <c r="Q631" s="55">
        <f>(J631-G631)/G631</f>
        <v>0</v>
      </c>
      <c r="R631" s="55"/>
      <c r="S631" s="1190"/>
      <c r="AB631" s="1185"/>
      <c r="AC631" s="1185"/>
      <c r="AD631" s="1185"/>
      <c r="AE631" s="1185"/>
      <c r="AF631" s="1185"/>
      <c r="AG631" s="1185"/>
      <c r="AH631" s="1185"/>
      <c r="AI631" s="1185"/>
    </row>
    <row r="632" spans="1:35">
      <c r="A632" s="1283" t="s">
        <v>401</v>
      </c>
      <c r="B632" s="1219"/>
      <c r="C632" s="1026"/>
      <c r="D632" s="1257">
        <v>-0.01</v>
      </c>
      <c r="E632" s="1203"/>
      <c r="F632" s="1041"/>
      <c r="G632" s="1257">
        <v>-0.01</v>
      </c>
      <c r="H632" s="1219"/>
      <c r="I632" s="1041"/>
      <c r="J632" s="1257">
        <v>-0.01</v>
      </c>
      <c r="K632" s="1219"/>
      <c r="L632" s="1041"/>
      <c r="AB632" s="1185"/>
      <c r="AC632" s="1185"/>
      <c r="AD632" s="1185"/>
      <c r="AE632" s="1185"/>
      <c r="AF632" s="1185"/>
      <c r="AG632" s="1185"/>
      <c r="AH632" s="1185"/>
      <c r="AI632" s="1185"/>
    </row>
    <row r="633" spans="1:35">
      <c r="A633" s="1218" t="s">
        <v>390</v>
      </c>
      <c r="B633" s="1219"/>
      <c r="C633" s="1026">
        <f>C684+C735</f>
        <v>0</v>
      </c>
      <c r="D633" s="1303">
        <v>0</v>
      </c>
      <c r="E633" s="1249"/>
      <c r="F633" s="1041">
        <f>F684+F735</f>
        <v>0</v>
      </c>
      <c r="G633" s="1303">
        <v>0</v>
      </c>
      <c r="H633" s="1249"/>
      <c r="I633" s="1041">
        <f>I684+I735</f>
        <v>0</v>
      </c>
      <c r="J633" s="1303">
        <f>J610</f>
        <v>0</v>
      </c>
      <c r="K633" s="1249"/>
      <c r="L633" s="1041">
        <f>L684+L735</f>
        <v>0</v>
      </c>
      <c r="N633" s="1204" t="e">
        <f>-(J633/100)*#REF!</f>
        <v>#REF!</v>
      </c>
      <c r="AB633" s="1185"/>
      <c r="AC633" s="1185"/>
      <c r="AD633" s="1185"/>
      <c r="AE633" s="1185"/>
      <c r="AF633" s="1185"/>
      <c r="AG633" s="1185"/>
      <c r="AH633" s="1185"/>
      <c r="AI633" s="1185"/>
    </row>
    <row r="634" spans="1:35">
      <c r="A634" s="1218" t="s">
        <v>391</v>
      </c>
      <c r="B634" s="1219"/>
      <c r="C634" s="1026"/>
      <c r="D634" s="1303"/>
      <c r="E634" s="1249"/>
      <c r="F634" s="1041"/>
      <c r="G634" s="1303"/>
      <c r="H634" s="1249"/>
      <c r="I634" s="1041"/>
      <c r="J634" s="1303"/>
      <c r="K634" s="1249"/>
      <c r="L634" s="1041"/>
      <c r="AB634" s="1185"/>
      <c r="AC634" s="1185"/>
      <c r="AD634" s="1185"/>
      <c r="AE634" s="1185"/>
      <c r="AF634" s="1185"/>
      <c r="AG634" s="1185"/>
      <c r="AH634" s="1185"/>
      <c r="AI634" s="1185"/>
    </row>
    <row r="635" spans="1:35">
      <c r="A635" s="1218" t="s">
        <v>452</v>
      </c>
      <c r="B635" s="1219"/>
      <c r="C635" s="1026">
        <f>C686+C737</f>
        <v>0</v>
      </c>
      <c r="D635" s="1303">
        <v>0</v>
      </c>
      <c r="E635" s="1249"/>
      <c r="F635" s="1041">
        <f>F686+F737</f>
        <v>0</v>
      </c>
      <c r="G635" s="1303">
        <v>0</v>
      </c>
      <c r="H635" s="1249"/>
      <c r="I635" s="1041">
        <f>I686+I737</f>
        <v>0</v>
      </c>
      <c r="J635" s="1303">
        <f>J612</f>
        <v>0</v>
      </c>
      <c r="K635" s="1249"/>
      <c r="L635" s="1041">
        <f>L686+L737</f>
        <v>0</v>
      </c>
      <c r="N635" s="1204" t="e">
        <f>-(J635/100)*#REF!</f>
        <v>#REF!</v>
      </c>
      <c r="AB635" s="1185"/>
      <c r="AC635" s="1185"/>
      <c r="AD635" s="1185"/>
      <c r="AE635" s="1185"/>
      <c r="AF635" s="1185"/>
      <c r="AG635" s="1185"/>
      <c r="AH635" s="1185"/>
      <c r="AI635" s="1185"/>
    </row>
    <row r="636" spans="1:35">
      <c r="A636" s="1218" t="s">
        <v>453</v>
      </c>
      <c r="B636" s="1219"/>
      <c r="C636" s="1026">
        <f>C687+C738</f>
        <v>0</v>
      </c>
      <c r="D636" s="1303">
        <v>312</v>
      </c>
      <c r="E636" s="1249"/>
      <c r="F636" s="1041">
        <f>F687+F738</f>
        <v>0</v>
      </c>
      <c r="G636" s="1303">
        <v>357</v>
      </c>
      <c r="H636" s="1249"/>
      <c r="I636" s="1041">
        <f>I687+I738</f>
        <v>0</v>
      </c>
      <c r="J636" s="1303">
        <f>J613</f>
        <v>357</v>
      </c>
      <c r="K636" s="1249"/>
      <c r="L636" s="1041">
        <f>L687+L738</f>
        <v>0</v>
      </c>
      <c r="N636" s="1204" t="e">
        <f>-(J636/100)*#REF!</f>
        <v>#REF!</v>
      </c>
      <c r="AB636" s="1185"/>
      <c r="AC636" s="1185"/>
      <c r="AD636" s="1185"/>
      <c r="AE636" s="1185"/>
      <c r="AF636" s="1185"/>
      <c r="AG636" s="1185"/>
      <c r="AH636" s="1185"/>
      <c r="AI636" s="1185"/>
    </row>
    <row r="637" spans="1:35">
      <c r="A637" s="1218" t="s">
        <v>454</v>
      </c>
      <c r="B637" s="1219"/>
      <c r="C637" s="1026">
        <f>C688+C739</f>
        <v>0</v>
      </c>
      <c r="D637" s="1303">
        <v>1268</v>
      </c>
      <c r="E637" s="1249"/>
      <c r="F637" s="1041">
        <f>F688+F739</f>
        <v>0</v>
      </c>
      <c r="G637" s="1303">
        <v>1457</v>
      </c>
      <c r="H637" s="1249"/>
      <c r="I637" s="1041">
        <f>I688+I739</f>
        <v>0</v>
      </c>
      <c r="J637" s="1303">
        <f>J614</f>
        <v>1457</v>
      </c>
      <c r="K637" s="1249"/>
      <c r="L637" s="1041">
        <f>L688+L739</f>
        <v>0</v>
      </c>
      <c r="N637" s="1204" t="e">
        <f>-(J637/100)*#REF!</f>
        <v>#REF!</v>
      </c>
      <c r="AB637" s="1185"/>
      <c r="AC637" s="1185"/>
      <c r="AD637" s="1185"/>
      <c r="AE637" s="1185"/>
      <c r="AF637" s="1185"/>
      <c r="AG637" s="1185"/>
      <c r="AH637" s="1185"/>
      <c r="AI637" s="1185"/>
    </row>
    <row r="638" spans="1:35">
      <c r="A638" s="1218" t="s">
        <v>390</v>
      </c>
      <c r="B638" s="1219"/>
      <c r="C638" s="1026">
        <f>C689+C740</f>
        <v>0</v>
      </c>
      <c r="D638" s="1303">
        <v>20.86</v>
      </c>
      <c r="E638" s="1249"/>
      <c r="F638" s="1041">
        <f>F689+F740</f>
        <v>0</v>
      </c>
      <c r="G638" s="1303">
        <v>23.87</v>
      </c>
      <c r="H638" s="1249"/>
      <c r="I638" s="1041">
        <f>I689+I740</f>
        <v>0</v>
      </c>
      <c r="J638" s="1303">
        <f>J619</f>
        <v>25.265901957370488</v>
      </c>
      <c r="K638" s="1249"/>
      <c r="L638" s="1041">
        <f>L689+L740</f>
        <v>0</v>
      </c>
      <c r="N638" s="1204" t="e">
        <f>-(J638/100)*#REF!</f>
        <v>#REF!</v>
      </c>
      <c r="AB638" s="1185"/>
      <c r="AC638" s="1185"/>
      <c r="AD638" s="1185"/>
      <c r="AE638" s="1185"/>
      <c r="AF638" s="1185"/>
      <c r="AG638" s="1185"/>
      <c r="AH638" s="1185"/>
      <c r="AI638" s="1185"/>
    </row>
    <row r="639" spans="1:35">
      <c r="A639" s="1218" t="s">
        <v>391</v>
      </c>
      <c r="B639" s="1219"/>
      <c r="C639" s="1026"/>
      <c r="D639" s="1303"/>
      <c r="E639" s="1249"/>
      <c r="F639" s="1041"/>
      <c r="G639" s="1303"/>
      <c r="H639" s="1249"/>
      <c r="I639" s="1041"/>
      <c r="J639" s="1303"/>
      <c r="K639" s="1249"/>
      <c r="L639" s="1041"/>
      <c r="AB639" s="1185"/>
      <c r="AC639" s="1185"/>
      <c r="AD639" s="1185"/>
      <c r="AE639" s="1185"/>
      <c r="AF639" s="1185"/>
      <c r="AG639" s="1185"/>
      <c r="AH639" s="1185"/>
      <c r="AI639" s="1185"/>
    </row>
    <row r="640" spans="1:35">
      <c r="A640" s="1218" t="s">
        <v>452</v>
      </c>
      <c r="B640" s="1219"/>
      <c r="C640" s="1026">
        <f>C691+C742</f>
        <v>39</v>
      </c>
      <c r="D640" s="1303">
        <v>20.860000000000003</v>
      </c>
      <c r="E640" s="1249"/>
      <c r="F640" s="1041">
        <f>F691+F742</f>
        <v>-8</v>
      </c>
      <c r="G640" s="1303">
        <v>23.79</v>
      </c>
      <c r="H640" s="1249"/>
      <c r="I640" s="1041">
        <f>I691+I742</f>
        <v>-9</v>
      </c>
      <c r="J640" s="1303">
        <f>J621</f>
        <v>25.171223609796559</v>
      </c>
      <c r="K640" s="1249"/>
      <c r="L640" s="1041">
        <f>L691+L742</f>
        <v>-10</v>
      </c>
      <c r="N640" s="1204" t="e">
        <f>-(J640/100)*#REF!</f>
        <v>#REF!</v>
      </c>
      <c r="AB640" s="1185"/>
      <c r="AC640" s="1185"/>
      <c r="AD640" s="1185"/>
      <c r="AE640" s="1185"/>
      <c r="AF640" s="1185"/>
      <c r="AG640" s="1185"/>
      <c r="AH640" s="1185"/>
      <c r="AI640" s="1185"/>
    </row>
    <row r="641" spans="1:35">
      <c r="A641" s="1218" t="s">
        <v>453</v>
      </c>
      <c r="B641" s="1219"/>
      <c r="C641" s="1026">
        <f>C692+C743</f>
        <v>0</v>
      </c>
      <c r="D641" s="1303">
        <v>14.53</v>
      </c>
      <c r="E641" s="1249"/>
      <c r="F641" s="1041">
        <f>F692+F743</f>
        <v>0</v>
      </c>
      <c r="G641" s="1303">
        <v>16.559999999999999</v>
      </c>
      <c r="H641" s="1249"/>
      <c r="I641" s="1041">
        <f>I692+I743</f>
        <v>0</v>
      </c>
      <c r="J641" s="1303">
        <f>J622</f>
        <v>17.5284179478029</v>
      </c>
      <c r="K641" s="1249"/>
      <c r="L641" s="1041">
        <f>L692+L743</f>
        <v>0</v>
      </c>
      <c r="N641" s="1204" t="e">
        <f>-(J641/100)*#REF!</f>
        <v>#REF!</v>
      </c>
      <c r="AB641" s="1185"/>
      <c r="AC641" s="1185"/>
      <c r="AD641" s="1185"/>
      <c r="AE641" s="1185"/>
      <c r="AF641" s="1185"/>
      <c r="AG641" s="1185"/>
      <c r="AH641" s="1185"/>
      <c r="AI641" s="1185"/>
    </row>
    <row r="642" spans="1:35">
      <c r="A642" s="1218" t="s">
        <v>454</v>
      </c>
      <c r="B642" s="1219"/>
      <c r="C642" s="1026">
        <f>C693+C744</f>
        <v>0</v>
      </c>
      <c r="D642" s="1303">
        <v>11.340000000000002</v>
      </c>
      <c r="E642" s="1249"/>
      <c r="F642" s="1041">
        <f>F693+F744</f>
        <v>0</v>
      </c>
      <c r="G642" s="1303">
        <v>12.96</v>
      </c>
      <c r="H642" s="1249"/>
      <c r="I642" s="1041">
        <f>I693+I744</f>
        <v>0</v>
      </c>
      <c r="J642" s="1303">
        <f>J623</f>
        <v>13.717892306976186</v>
      </c>
      <c r="K642" s="1249"/>
      <c r="L642" s="1041">
        <f>L693+L744</f>
        <v>0</v>
      </c>
      <c r="N642" s="1204" t="e">
        <f>-(J642/100)*#REF!</f>
        <v>#REF!</v>
      </c>
      <c r="AB642" s="1185"/>
      <c r="AC642" s="1185"/>
      <c r="AD642" s="1185"/>
      <c r="AE642" s="1185"/>
      <c r="AF642" s="1185"/>
      <c r="AG642" s="1185"/>
      <c r="AH642" s="1185"/>
      <c r="AI642" s="1185"/>
    </row>
    <row r="643" spans="1:35">
      <c r="A643" s="1218" t="s">
        <v>465</v>
      </c>
      <c r="B643" s="1219"/>
      <c r="C643" s="1026">
        <f>C694+C745</f>
        <v>0</v>
      </c>
      <c r="D643" s="1259">
        <v>62.58</v>
      </c>
      <c r="E643" s="1249"/>
      <c r="F643" s="1041">
        <f>F694+F745</f>
        <v>0</v>
      </c>
      <c r="G643" s="1259">
        <v>71.61</v>
      </c>
      <c r="H643" s="1249"/>
      <c r="I643" s="1041">
        <f>I694+I745</f>
        <v>0</v>
      </c>
      <c r="J643" s="1259">
        <f>J624</f>
        <v>75.797705872111464</v>
      </c>
      <c r="K643" s="1249"/>
      <c r="L643" s="1041">
        <f>L694+L745</f>
        <v>0</v>
      </c>
      <c r="N643" s="1204" t="e">
        <f>-(J643/100)*#REF!</f>
        <v>#REF!</v>
      </c>
      <c r="AB643" s="1185"/>
      <c r="AC643" s="1185"/>
      <c r="AD643" s="1185"/>
      <c r="AE643" s="1185"/>
      <c r="AF643" s="1185"/>
      <c r="AG643" s="1185"/>
      <c r="AH643" s="1185"/>
      <c r="AI643" s="1185"/>
    </row>
    <row r="644" spans="1:35">
      <c r="A644" s="1218" t="s">
        <v>466</v>
      </c>
      <c r="B644" s="1219"/>
      <c r="C644" s="1026">
        <f>C695+C746</f>
        <v>0</v>
      </c>
      <c r="D644" s="1259">
        <v>125.16000000000003</v>
      </c>
      <c r="E644" s="1249"/>
      <c r="F644" s="1041">
        <f>F695+F746</f>
        <v>0</v>
      </c>
      <c r="G644" s="1259">
        <v>142.74</v>
      </c>
      <c r="H644" s="1249"/>
      <c r="I644" s="1041">
        <f>I695+I746</f>
        <v>0</v>
      </c>
      <c r="J644" s="1259">
        <f>J625</f>
        <v>151.02734165877936</v>
      </c>
      <c r="K644" s="1249"/>
      <c r="L644" s="1041">
        <f>L695+L746</f>
        <v>0</v>
      </c>
      <c r="N644" s="1204" t="e">
        <f>-(J644/100)*#REF!</f>
        <v>#REF!</v>
      </c>
      <c r="AB644" s="1185"/>
      <c r="AC644" s="1185"/>
      <c r="AD644" s="1185"/>
      <c r="AE644" s="1185"/>
      <c r="AF644" s="1185"/>
      <c r="AG644" s="1185"/>
      <c r="AH644" s="1185"/>
      <c r="AI644" s="1185"/>
    </row>
    <row r="645" spans="1:35">
      <c r="A645" s="1218" t="s">
        <v>462</v>
      </c>
      <c r="B645" s="1219"/>
      <c r="C645" s="1026"/>
      <c r="D645" s="1261"/>
      <c r="E645" s="1249"/>
      <c r="F645" s="1041"/>
      <c r="G645" s="1261"/>
      <c r="H645" s="1249"/>
      <c r="I645" s="1041"/>
      <c r="J645" s="1261"/>
      <c r="K645" s="1249"/>
      <c r="L645" s="1041"/>
      <c r="AB645" s="1185"/>
      <c r="AC645" s="1185"/>
      <c r="AD645" s="1185"/>
      <c r="AE645" s="1185"/>
      <c r="AF645" s="1185"/>
      <c r="AG645" s="1185"/>
      <c r="AH645" s="1185"/>
      <c r="AI645" s="1185"/>
    </row>
    <row r="646" spans="1:35">
      <c r="A646" s="1218" t="s">
        <v>457</v>
      </c>
      <c r="B646" s="1219"/>
      <c r="C646" s="1026">
        <f>C697+C748</f>
        <v>0</v>
      </c>
      <c r="D646" s="1259">
        <v>-20.86</v>
      </c>
      <c r="E646" s="1249"/>
      <c r="F646" s="1041">
        <f>F697+F748</f>
        <v>0</v>
      </c>
      <c r="G646" s="1259">
        <v>-23.87</v>
      </c>
      <c r="H646" s="1249"/>
      <c r="I646" s="1041">
        <f>I697+I748</f>
        <v>0</v>
      </c>
      <c r="J646" s="1259">
        <f>J627</f>
        <v>-25.265901957370488</v>
      </c>
      <c r="K646" s="1249"/>
      <c r="L646" s="1041">
        <f>L697+L748</f>
        <v>0</v>
      </c>
      <c r="N646" s="1204" t="e">
        <f>-(J646/100)*#REF!</f>
        <v>#REF!</v>
      </c>
      <c r="AB646" s="1185"/>
      <c r="AC646" s="1185"/>
      <c r="AD646" s="1185"/>
      <c r="AE646" s="1185"/>
      <c r="AF646" s="1185"/>
      <c r="AG646" s="1185"/>
      <c r="AH646" s="1185"/>
      <c r="AI646" s="1185"/>
    </row>
    <row r="647" spans="1:35">
      <c r="A647" s="1218" t="s">
        <v>463</v>
      </c>
      <c r="B647" s="1219"/>
      <c r="C647" s="1026">
        <f>C698+C749</f>
        <v>0</v>
      </c>
      <c r="D647" s="1259">
        <v>-20.860000000000003</v>
      </c>
      <c r="E647" s="1249"/>
      <c r="F647" s="1041">
        <f>F698+F749</f>
        <v>0</v>
      </c>
      <c r="G647" s="1259">
        <v>-23.79</v>
      </c>
      <c r="H647" s="1249"/>
      <c r="I647" s="1041">
        <f>I698+I749</f>
        <v>0</v>
      </c>
      <c r="J647" s="1259">
        <f>J628</f>
        <v>-25.171223609796559</v>
      </c>
      <c r="K647" s="1249"/>
      <c r="L647" s="1041">
        <f>L698+L749</f>
        <v>0</v>
      </c>
      <c r="N647" s="1204" t="e">
        <f>-(J647/100)*#REF!</f>
        <v>#REF!</v>
      </c>
      <c r="AB647" s="1185"/>
      <c r="AC647" s="1185"/>
      <c r="AD647" s="1185"/>
      <c r="AE647" s="1185"/>
      <c r="AF647" s="1185"/>
      <c r="AG647" s="1185"/>
      <c r="AH647" s="1185"/>
      <c r="AI647" s="1185"/>
    </row>
    <row r="648" spans="1:35">
      <c r="A648" s="1009" t="s">
        <v>426</v>
      </c>
      <c r="B648" s="1219"/>
      <c r="C648" s="1026"/>
      <c r="D648" s="1303"/>
      <c r="E648" s="1041"/>
      <c r="F648" s="1041"/>
      <c r="G648" s="1303"/>
      <c r="H648" s="1041"/>
      <c r="I648" s="1041"/>
      <c r="J648" s="1303"/>
      <c r="K648" s="1041"/>
      <c r="L648" s="1041"/>
      <c r="AB648" s="1185"/>
      <c r="AC648" s="1185"/>
      <c r="AD648" s="1185"/>
      <c r="AE648" s="1185"/>
      <c r="AF648" s="1185"/>
      <c r="AG648" s="1185"/>
      <c r="AH648" s="1185"/>
      <c r="AI648" s="1185"/>
    </row>
    <row r="649" spans="1:35">
      <c r="A649" s="1218" t="s">
        <v>464</v>
      </c>
      <c r="B649" s="1219"/>
      <c r="C649" s="1026">
        <f t="shared" ref="C649:C654" si="78">C700+C751</f>
        <v>0</v>
      </c>
      <c r="D649" s="1311">
        <v>5.6469999999999994</v>
      </c>
      <c r="E649" s="1041" t="s">
        <v>374</v>
      </c>
      <c r="F649" s="1041">
        <f t="shared" ref="F649:F654" si="79">F700+F751</f>
        <v>0</v>
      </c>
      <c r="G649" s="1311">
        <v>6.4390000000000001</v>
      </c>
      <c r="H649" s="1041" t="s">
        <v>374</v>
      </c>
      <c r="I649" s="1041">
        <f t="shared" ref="I649:I654" si="80">I700+I751</f>
        <v>0</v>
      </c>
      <c r="J649" s="1311">
        <f>J630</f>
        <v>6.8159999999999998</v>
      </c>
      <c r="K649" s="1041" t="s">
        <v>374</v>
      </c>
      <c r="L649" s="1041">
        <f>L700+L751</f>
        <v>0</v>
      </c>
      <c r="N649" s="1204" t="e">
        <f>-((J649/100)*#REF!)/100</f>
        <v>#REF!</v>
      </c>
      <c r="AB649" s="1185"/>
      <c r="AC649" s="1185"/>
      <c r="AD649" s="1185"/>
      <c r="AE649" s="1185"/>
      <c r="AF649" s="1185"/>
      <c r="AG649" s="1185"/>
      <c r="AH649" s="1185"/>
      <c r="AI649" s="1185"/>
    </row>
    <row r="650" spans="1:35">
      <c r="A650" s="1009" t="s">
        <v>400</v>
      </c>
      <c r="B650" s="1219"/>
      <c r="C650" s="1026">
        <f t="shared" si="78"/>
        <v>0</v>
      </c>
      <c r="D650" s="1286">
        <v>50</v>
      </c>
      <c r="E650" s="1041" t="s">
        <v>374</v>
      </c>
      <c r="F650" s="1041">
        <f t="shared" si="79"/>
        <v>0</v>
      </c>
      <c r="G650" s="1286">
        <v>56</v>
      </c>
      <c r="H650" s="1009" t="s">
        <v>374</v>
      </c>
      <c r="I650" s="1041">
        <f t="shared" si="80"/>
        <v>0</v>
      </c>
      <c r="J650" s="1286">
        <f>J631</f>
        <v>56</v>
      </c>
      <c r="K650" s="1009" t="s">
        <v>374</v>
      </c>
      <c r="L650" s="1041">
        <f>L701+L752</f>
        <v>0</v>
      </c>
      <c r="N650" s="1204" t="e">
        <f>-((J650/100)*#REF!)/100</f>
        <v>#REF!</v>
      </c>
      <c r="AB650" s="1185"/>
      <c r="AC650" s="1185"/>
      <c r="AD650" s="1185"/>
      <c r="AE650" s="1185"/>
      <c r="AF650" s="1185"/>
      <c r="AG650" s="1185"/>
      <c r="AH650" s="1185"/>
      <c r="AI650" s="1185"/>
    </row>
    <row r="651" spans="1:35">
      <c r="A651" s="1009" t="s">
        <v>443</v>
      </c>
      <c r="B651" s="1219"/>
      <c r="C651" s="1026">
        <f t="shared" si="78"/>
        <v>0</v>
      </c>
      <c r="D651" s="1261">
        <v>60</v>
      </c>
      <c r="E651" s="1288" t="s">
        <v>31</v>
      </c>
      <c r="F651" s="1041">
        <f t="shared" si="79"/>
        <v>0</v>
      </c>
      <c r="G651" s="1261">
        <v>60</v>
      </c>
      <c r="H651" s="1219"/>
      <c r="I651" s="1041">
        <f t="shared" si="80"/>
        <v>0</v>
      </c>
      <c r="J651" s="1261">
        <f>'[97]Blocking - detail'!I623</f>
        <v>60</v>
      </c>
      <c r="K651" s="1219"/>
      <c r="L651" s="1041">
        <f>L702+L753</f>
        <v>0</v>
      </c>
      <c r="N651" s="1204" t="e">
        <f>J651*#REF!</f>
        <v>#REF!</v>
      </c>
      <c r="AB651" s="1185"/>
      <c r="AC651" s="1185"/>
      <c r="AD651" s="1185"/>
      <c r="AE651" s="1185"/>
      <c r="AF651" s="1185"/>
      <c r="AG651" s="1185"/>
      <c r="AH651" s="1185"/>
      <c r="AI651" s="1185"/>
    </row>
    <row r="652" spans="1:35">
      <c r="A652" s="1009" t="s">
        <v>444</v>
      </c>
      <c r="B652" s="1219"/>
      <c r="C652" s="1026">
        <f t="shared" si="78"/>
        <v>0</v>
      </c>
      <c r="D652" s="1310">
        <v>-30</v>
      </c>
      <c r="E652" s="1041" t="s">
        <v>374</v>
      </c>
      <c r="F652" s="1041">
        <f t="shared" si="79"/>
        <v>0</v>
      </c>
      <c r="G652" s="1310">
        <v>-30</v>
      </c>
      <c r="H652" s="1041" t="s">
        <v>374</v>
      </c>
      <c r="I652" s="1041">
        <f t="shared" si="80"/>
        <v>0</v>
      </c>
      <c r="J652" s="1312">
        <f>'[97]Blocking - detail'!I624</f>
        <v>-30</v>
      </c>
      <c r="K652" s="1041" t="s">
        <v>374</v>
      </c>
      <c r="L652" s="1041">
        <f>L703+L754</f>
        <v>0</v>
      </c>
      <c r="N652" s="1204" t="e">
        <f>(J652/100)*#REF!</f>
        <v>#REF!</v>
      </c>
      <c r="AB652" s="1185"/>
      <c r="AC652" s="1185"/>
      <c r="AD652" s="1185"/>
      <c r="AE652" s="1185"/>
      <c r="AF652" s="1185"/>
      <c r="AG652" s="1185"/>
      <c r="AH652" s="1185"/>
      <c r="AI652" s="1185"/>
    </row>
    <row r="653" spans="1:35">
      <c r="A653" s="1219" t="s">
        <v>381</v>
      </c>
      <c r="B653" s="1219"/>
      <c r="C653" s="1026">
        <f t="shared" si="78"/>
        <v>151200065.36433661</v>
      </c>
      <c r="D653" s="1255"/>
      <c r="E653" s="1203"/>
      <c r="F653" s="1203">
        <f t="shared" si="79"/>
        <v>10533620</v>
      </c>
      <c r="G653" s="1249"/>
      <c r="H653" s="1009"/>
      <c r="I653" s="1203">
        <f t="shared" si="80"/>
        <v>12011348</v>
      </c>
      <c r="J653" s="1203"/>
      <c r="K653" s="1009"/>
      <c r="L653" s="1203">
        <f>L704+L755</f>
        <v>12703899</v>
      </c>
      <c r="N653" s="1204" t="e">
        <f>SUM(N610:N652)</f>
        <v>#REF!</v>
      </c>
      <c r="Q653" s="1223"/>
      <c r="R653" s="1223"/>
      <c r="AB653" s="1185"/>
      <c r="AC653" s="1185"/>
      <c r="AD653" s="1185"/>
      <c r="AE653" s="1185"/>
      <c r="AF653" s="1185"/>
      <c r="AG653" s="1185"/>
      <c r="AH653" s="1185"/>
      <c r="AI653" s="1185"/>
    </row>
    <row r="654" spans="1:35" ht="14.25" customHeight="1">
      <c r="A654" s="1219" t="s">
        <v>363</v>
      </c>
      <c r="B654" s="1219"/>
      <c r="C654" s="1028">
        <f t="shared" si="78"/>
        <v>2355000</v>
      </c>
      <c r="D654" s="1218"/>
      <c r="E654" s="1218"/>
      <c r="F654" s="1239" t="e">
        <f t="shared" si="79"/>
        <v>#REF!</v>
      </c>
      <c r="G654" s="1218"/>
      <c r="H654" s="1218"/>
      <c r="I654" s="1239">
        <f t="shared" si="80"/>
        <v>288000</v>
      </c>
      <c r="J654" s="1218"/>
      <c r="K654" s="1218"/>
      <c r="L654" s="1239">
        <f>I654</f>
        <v>288000</v>
      </c>
      <c r="AB654" s="1185"/>
      <c r="AC654" s="1185"/>
      <c r="AD654" s="1185"/>
      <c r="AE654" s="1185"/>
      <c r="AF654" s="1185"/>
      <c r="AG654" s="1185"/>
      <c r="AH654" s="1185"/>
      <c r="AI654" s="1185"/>
    </row>
    <row r="655" spans="1:35" ht="17.25" customHeight="1" thickBot="1">
      <c r="A655" s="1219" t="s">
        <v>382</v>
      </c>
      <c r="B655" s="1219"/>
      <c r="C655" s="1289">
        <f>SUM(C653:C654)</f>
        <v>153555065.36433661</v>
      </c>
      <c r="D655" s="1265"/>
      <c r="E655" s="1266"/>
      <c r="F655" s="1267" t="e">
        <f>F653+F654</f>
        <v>#REF!</v>
      </c>
      <c r="G655" s="1265"/>
      <c r="H655" s="1269"/>
      <c r="I655" s="1267">
        <f>I653+I654</f>
        <v>12299348</v>
      </c>
      <c r="J655" s="1265"/>
      <c r="K655" s="1269"/>
      <c r="L655" s="1267">
        <f>L653+L654</f>
        <v>12991899</v>
      </c>
      <c r="O655" s="1215" t="s">
        <v>364</v>
      </c>
      <c r="P655" s="1216">
        <f>'[97]Rate Spread targets'!Q25*1000</f>
        <v>12991916.225798558</v>
      </c>
      <c r="Q655" s="818">
        <f>'[97]Rate Spread targets'!V25+0.00217</f>
        <v>5.8479344674088322E-2</v>
      </c>
      <c r="R655" s="777"/>
      <c r="S655" s="1248" t="s">
        <v>31</v>
      </c>
      <c r="T655" s="1248"/>
      <c r="AB655" s="1185"/>
      <c r="AC655" s="1185"/>
      <c r="AD655" s="1185"/>
      <c r="AE655" s="1185"/>
      <c r="AF655" s="1185"/>
      <c r="AG655" s="1185"/>
      <c r="AH655" s="1185"/>
      <c r="AI655" s="1185"/>
    </row>
    <row r="656" spans="1:35" ht="16.5" thickTop="1">
      <c r="A656" s="1219"/>
      <c r="B656" s="1219"/>
      <c r="C656" s="1313"/>
      <c r="D656" s="1275"/>
      <c r="E656" s="1276"/>
      <c r="F656" s="1040"/>
      <c r="G656" s="1275" t="s">
        <v>31</v>
      </c>
      <c r="H656" s="1277"/>
      <c r="I656" s="1040"/>
      <c r="J656" s="1314" t="s">
        <v>31</v>
      </c>
      <c r="K656" s="1277"/>
      <c r="L656" s="1210" t="s">
        <v>31</v>
      </c>
      <c r="O656" s="1220" t="s">
        <v>263</v>
      </c>
      <c r="P656" s="1221">
        <f>P655-L655</f>
        <v>17.225798558443785</v>
      </c>
      <c r="Q656" s="1315" t="s">
        <v>31</v>
      </c>
      <c r="R656" s="941"/>
      <c r="AB656" s="1185"/>
      <c r="AC656" s="1185"/>
      <c r="AD656" s="1185"/>
      <c r="AE656" s="1185"/>
      <c r="AF656" s="1185"/>
      <c r="AG656" s="1185"/>
      <c r="AH656" s="1185"/>
      <c r="AI656" s="1185"/>
    </row>
    <row r="657" spans="1:35">
      <c r="A657" s="1224" t="s">
        <v>447</v>
      </c>
      <c r="B657" s="1219"/>
      <c r="C657" s="1225"/>
      <c r="D657" s="1261"/>
      <c r="E657" s="1203"/>
      <c r="F657" s="1203"/>
      <c r="G657" s="1261"/>
      <c r="H657" s="1219"/>
      <c r="I657" s="1203"/>
      <c r="J657" s="1261"/>
      <c r="K657" s="1219"/>
      <c r="L657" s="1203"/>
      <c r="AB657" s="1185"/>
      <c r="AC657" s="1185"/>
      <c r="AD657" s="1185"/>
      <c r="AE657" s="1185"/>
      <c r="AF657" s="1185"/>
      <c r="AG657" s="1185"/>
      <c r="AH657" s="1185"/>
      <c r="AI657" s="1185"/>
    </row>
    <row r="658" spans="1:35">
      <c r="A658" s="1218" t="s">
        <v>196</v>
      </c>
      <c r="B658" s="1219"/>
      <c r="C658" s="1225"/>
      <c r="D658" s="1261"/>
      <c r="E658" s="1203"/>
      <c r="F658" s="1203"/>
      <c r="G658" s="1261"/>
      <c r="H658" s="1219"/>
      <c r="I658" s="1203"/>
      <c r="J658" s="1261"/>
      <c r="K658" s="1219"/>
      <c r="L658" s="1203"/>
      <c r="N658" s="1204"/>
      <c r="O658" s="1204"/>
      <c r="P658" s="1273" t="s">
        <v>31</v>
      </c>
      <c r="Q658" s="801"/>
      <c r="R658" s="801"/>
      <c r="AB658" s="1185"/>
      <c r="AC658" s="1185"/>
      <c r="AD658" s="1185"/>
      <c r="AE658" s="1185"/>
      <c r="AF658" s="1185"/>
      <c r="AG658" s="1185"/>
      <c r="AH658" s="1185"/>
      <c r="AI658" s="1185"/>
    </row>
    <row r="659" spans="1:35">
      <c r="A659" s="1009"/>
      <c r="B659" s="1219"/>
      <c r="C659" s="1225"/>
      <c r="D659" s="1261"/>
      <c r="E659" s="1203"/>
      <c r="F659" s="1303"/>
      <c r="G659" s="1261"/>
      <c r="H659" s="1219"/>
      <c r="I659" s="1303"/>
      <c r="J659" s="1261"/>
      <c r="K659" s="1219"/>
      <c r="L659" s="1304"/>
      <c r="N659" s="1185"/>
      <c r="O659" s="1185"/>
      <c r="P659" s="1186"/>
      <c r="Q659" s="1186"/>
      <c r="R659" s="1186"/>
      <c r="S659" s="1185"/>
      <c r="T659" s="1185"/>
      <c r="U659" s="1185"/>
      <c r="V659" s="1185"/>
      <c r="W659" s="1185"/>
      <c r="X659" s="1185"/>
      <c r="Y659" s="1185"/>
      <c r="Z659" s="1185"/>
      <c r="AA659" s="1185"/>
      <c r="AB659" s="1185"/>
      <c r="AC659" s="1185"/>
      <c r="AD659" s="1185"/>
      <c r="AE659" s="1185"/>
      <c r="AF659" s="1185"/>
      <c r="AG659" s="1185"/>
      <c r="AH659" s="1185"/>
      <c r="AI659" s="1185"/>
    </row>
    <row r="660" spans="1:35">
      <c r="A660" s="1218" t="s">
        <v>449</v>
      </c>
      <c r="B660" s="1219"/>
      <c r="C660" s="1026"/>
      <c r="D660" s="1203" t="s">
        <v>31</v>
      </c>
      <c r="E660" s="1203"/>
      <c r="F660" s="1219"/>
      <c r="G660" s="1203" t="s">
        <v>31</v>
      </c>
      <c r="H660" s="1219"/>
      <c r="I660" s="1219"/>
      <c r="J660" s="1203" t="s">
        <v>31</v>
      </c>
      <c r="K660" s="1219"/>
      <c r="L660" s="1219"/>
      <c r="N660" s="1185"/>
      <c r="O660" s="1185"/>
      <c r="P660" s="1186"/>
      <c r="Q660" s="1186"/>
      <c r="R660" s="1186"/>
      <c r="S660" s="1185"/>
      <c r="T660" s="1185"/>
      <c r="U660" s="1185"/>
      <c r="V660" s="1185"/>
      <c r="W660" s="1185"/>
      <c r="X660" s="1185"/>
      <c r="Y660" s="1185"/>
      <c r="Z660" s="1185"/>
      <c r="AA660" s="1185"/>
      <c r="AB660" s="1185"/>
      <c r="AC660" s="1185"/>
      <c r="AD660" s="1185"/>
      <c r="AE660" s="1185"/>
      <c r="AF660" s="1185"/>
      <c r="AG660" s="1185"/>
      <c r="AH660" s="1185"/>
      <c r="AI660" s="1185"/>
    </row>
    <row r="661" spans="1:35">
      <c r="A661" s="1218" t="s">
        <v>450</v>
      </c>
      <c r="B661" s="1219"/>
      <c r="C661" s="1026">
        <f>985</f>
        <v>985</v>
      </c>
      <c r="D661" s="1261">
        <v>0</v>
      </c>
      <c r="E661" s="1249"/>
      <c r="F661" s="1041">
        <f>ROUND(D661*$C661,0)</f>
        <v>0</v>
      </c>
      <c r="G661" s="1261">
        <v>0</v>
      </c>
      <c r="H661" s="1249"/>
      <c r="I661" s="1041">
        <f>ROUND(G661*C661,0)</f>
        <v>0</v>
      </c>
      <c r="J661" s="1261">
        <f>$J$610</f>
        <v>0</v>
      </c>
      <c r="K661" s="1249"/>
      <c r="L661" s="1041">
        <f>ROUND(J661*$C661,0)</f>
        <v>0</v>
      </c>
      <c r="N661" s="1185"/>
      <c r="O661" s="1185"/>
      <c r="P661" s="1186"/>
      <c r="Q661" s="1186"/>
      <c r="R661" s="1186"/>
      <c r="S661" s="1185"/>
      <c r="T661" s="1185"/>
      <c r="U661" s="1185"/>
      <c r="V661" s="1185"/>
      <c r="W661" s="1185"/>
      <c r="X661" s="1185"/>
      <c r="Y661" s="1185"/>
      <c r="Z661" s="1185"/>
      <c r="AA661" s="1185"/>
      <c r="AB661" s="1185"/>
      <c r="AC661" s="1185"/>
      <c r="AD661" s="1185"/>
      <c r="AE661" s="1185"/>
      <c r="AF661" s="1185"/>
      <c r="AG661" s="1185"/>
      <c r="AH661" s="1185"/>
      <c r="AI661" s="1185"/>
    </row>
    <row r="662" spans="1:35">
      <c r="A662" s="1218" t="s">
        <v>451</v>
      </c>
      <c r="B662" s="1219"/>
      <c r="C662" s="1026"/>
      <c r="D662" s="1261"/>
      <c r="E662" s="1249"/>
      <c r="F662" s="1041"/>
      <c r="G662" s="1261"/>
      <c r="H662" s="1249"/>
      <c r="I662" s="1041"/>
      <c r="J662" s="1261"/>
      <c r="K662" s="1249"/>
      <c r="L662" s="1041"/>
      <c r="N662" s="1185"/>
      <c r="O662" s="1185"/>
      <c r="P662" s="1186"/>
      <c r="Q662" s="1186"/>
      <c r="R662" s="1186"/>
      <c r="S662" s="1185"/>
      <c r="T662" s="1185"/>
      <c r="U662" s="1185"/>
      <c r="V662" s="1185"/>
      <c r="W662" s="1185"/>
      <c r="X662" s="1185"/>
      <c r="Y662" s="1185"/>
      <c r="Z662" s="1185"/>
      <c r="AA662" s="1185"/>
      <c r="AB662" s="1185"/>
      <c r="AC662" s="1185"/>
      <c r="AD662" s="1185"/>
      <c r="AE662" s="1185"/>
      <c r="AF662" s="1185"/>
      <c r="AG662" s="1185"/>
      <c r="AH662" s="1185"/>
      <c r="AI662" s="1185"/>
    </row>
    <row r="663" spans="1:35">
      <c r="A663" s="1218" t="s">
        <v>452</v>
      </c>
      <c r="B663" s="1219"/>
      <c r="C663" s="1026">
        <f>1+3685</f>
        <v>3686</v>
      </c>
      <c r="D663" s="1261">
        <v>0</v>
      </c>
      <c r="E663" s="1249"/>
      <c r="F663" s="1041">
        <f>ROUND(D663*$C663,0)</f>
        <v>0</v>
      </c>
      <c r="G663" s="1261">
        <v>0</v>
      </c>
      <c r="H663" s="1249"/>
      <c r="I663" s="1041">
        <f t="shared" ref="I663:I665" si="81">ROUND(G663*C663,0)</f>
        <v>0</v>
      </c>
      <c r="J663" s="1261">
        <f>$J$612</f>
        <v>0</v>
      </c>
      <c r="K663" s="1249"/>
      <c r="L663" s="1041">
        <f>ROUND(J663*$C663,0)</f>
        <v>0</v>
      </c>
      <c r="N663" s="1185"/>
      <c r="O663" s="1185"/>
      <c r="P663" s="1186"/>
      <c r="Q663" s="1186"/>
      <c r="R663" s="1186"/>
      <c r="S663" s="1185"/>
      <c r="T663" s="1185"/>
      <c r="U663" s="1185"/>
      <c r="V663" s="1185"/>
      <c r="W663" s="1185"/>
      <c r="X663" s="1185"/>
      <c r="Y663" s="1185"/>
      <c r="Z663" s="1185"/>
      <c r="AA663" s="1185"/>
      <c r="AB663" s="1185"/>
      <c r="AC663" s="1185"/>
      <c r="AD663" s="1185"/>
      <c r="AE663" s="1185"/>
      <c r="AF663" s="1185"/>
      <c r="AG663" s="1185"/>
      <c r="AH663" s="1185"/>
      <c r="AI663" s="1185"/>
    </row>
    <row r="664" spans="1:35">
      <c r="A664" s="1218" t="s">
        <v>453</v>
      </c>
      <c r="B664" s="1219"/>
      <c r="C664" s="1026">
        <f>394</f>
        <v>394</v>
      </c>
      <c r="D664" s="1261">
        <v>312</v>
      </c>
      <c r="E664" s="1249"/>
      <c r="F664" s="1041">
        <f>ROUND(D664*$C664,0)</f>
        <v>122928</v>
      </c>
      <c r="G664" s="1261">
        <v>357</v>
      </c>
      <c r="H664" s="1249"/>
      <c r="I664" s="1041">
        <f t="shared" si="81"/>
        <v>140658</v>
      </c>
      <c r="J664" s="1261">
        <f>$J$613</f>
        <v>357</v>
      </c>
      <c r="K664" s="1249"/>
      <c r="L664" s="1041">
        <f>ROUND(J664*$C664,0)</f>
        <v>140658</v>
      </c>
      <c r="N664" s="1185"/>
      <c r="O664" s="1185"/>
      <c r="P664" s="1186"/>
      <c r="Q664" s="1186"/>
      <c r="R664" s="1186"/>
      <c r="S664" s="1185"/>
      <c r="T664" s="1185"/>
      <c r="U664" s="1185"/>
      <c r="V664" s="1185"/>
      <c r="W664" s="1185"/>
      <c r="X664" s="1185"/>
      <c r="Y664" s="1185"/>
      <c r="Z664" s="1185"/>
      <c r="AA664" s="1185"/>
      <c r="AB664" s="1185"/>
      <c r="AC664" s="1185"/>
      <c r="AD664" s="1185"/>
      <c r="AE664" s="1185"/>
      <c r="AF664" s="1185"/>
      <c r="AG664" s="1185"/>
      <c r="AH664" s="1185"/>
      <c r="AI664" s="1185"/>
    </row>
    <row r="665" spans="1:35">
      <c r="A665" s="1218" t="s">
        <v>454</v>
      </c>
      <c r="B665" s="1219"/>
      <c r="C665" s="1026">
        <v>0</v>
      </c>
      <c r="D665" s="1261">
        <v>1268</v>
      </c>
      <c r="E665" s="1249"/>
      <c r="F665" s="1041">
        <f>ROUND(D665*$C665,0)</f>
        <v>0</v>
      </c>
      <c r="G665" s="1261">
        <v>1457</v>
      </c>
      <c r="H665" s="1249"/>
      <c r="I665" s="1041">
        <f t="shared" si="81"/>
        <v>0</v>
      </c>
      <c r="J665" s="1261">
        <f>$J$614</f>
        <v>1457</v>
      </c>
      <c r="K665" s="1249"/>
      <c r="L665" s="1041">
        <f>ROUND(J665*$C665,0)</f>
        <v>0</v>
      </c>
      <c r="N665" s="1185"/>
      <c r="O665" s="1185"/>
      <c r="P665" s="1186"/>
      <c r="Q665" s="1186"/>
      <c r="R665" s="1186"/>
      <c r="S665" s="1185"/>
      <c r="T665" s="1185"/>
      <c r="U665" s="1185"/>
      <c r="V665" s="1185"/>
      <c r="W665" s="1185"/>
      <c r="X665" s="1185"/>
      <c r="Y665" s="1185"/>
      <c r="Z665" s="1185"/>
      <c r="AA665" s="1185"/>
      <c r="AB665" s="1185"/>
      <c r="AC665" s="1185"/>
      <c r="AD665" s="1185"/>
      <c r="AE665" s="1185"/>
      <c r="AF665" s="1185"/>
      <c r="AG665" s="1185"/>
      <c r="AH665" s="1185"/>
      <c r="AI665" s="1185"/>
    </row>
    <row r="666" spans="1:35">
      <c r="A666" s="1218" t="s">
        <v>362</v>
      </c>
      <c r="B666" s="1219"/>
      <c r="C666" s="1026">
        <f>SUM(C661:C665)</f>
        <v>5065</v>
      </c>
      <c r="D666" s="1261"/>
      <c r="E666" s="1249"/>
      <c r="F666" s="1041"/>
      <c r="G666" s="1261"/>
      <c r="H666" s="1249"/>
      <c r="I666" s="1041"/>
      <c r="J666" s="1261"/>
      <c r="K666" s="1249"/>
      <c r="L666" s="1041"/>
      <c r="N666" s="1185"/>
      <c r="O666" s="1185"/>
      <c r="P666" s="1186"/>
      <c r="Q666" s="1186"/>
      <c r="R666" s="1186"/>
      <c r="S666" s="1185"/>
      <c r="T666" s="1185"/>
      <c r="U666" s="1185"/>
      <c r="V666" s="1185"/>
      <c r="W666" s="1185"/>
      <c r="X666" s="1185"/>
      <c r="Y666" s="1185"/>
      <c r="Z666" s="1185"/>
      <c r="AA666" s="1185"/>
      <c r="AB666" s="1185"/>
      <c r="AC666" s="1185"/>
      <c r="AD666" s="1185"/>
      <c r="AE666" s="1185"/>
      <c r="AF666" s="1185"/>
      <c r="AG666" s="1185"/>
      <c r="AH666" s="1185"/>
      <c r="AI666" s="1185"/>
    </row>
    <row r="667" spans="1:35">
      <c r="A667" s="1218" t="s">
        <v>455</v>
      </c>
      <c r="B667" s="1219"/>
      <c r="C667" s="1026">
        <f>7280+27868+3039</f>
        <v>38187</v>
      </c>
      <c r="D667" s="1261"/>
      <c r="E667" s="1041"/>
      <c r="F667" s="1041"/>
      <c r="G667" s="1261"/>
      <c r="H667" s="1041"/>
      <c r="I667" s="1041"/>
      <c r="J667" s="1261"/>
      <c r="K667" s="1041"/>
      <c r="L667" s="1041"/>
      <c r="N667" s="1185"/>
      <c r="O667" s="1185"/>
      <c r="P667" s="1186"/>
      <c r="Q667" s="1186"/>
      <c r="R667" s="1186"/>
      <c r="S667" s="1185"/>
      <c r="T667" s="1185"/>
      <c r="U667" s="1185"/>
      <c r="V667" s="1185"/>
      <c r="W667" s="1185"/>
      <c r="X667" s="1185"/>
      <c r="Y667" s="1185"/>
      <c r="Z667" s="1185"/>
      <c r="AA667" s="1185"/>
      <c r="AB667" s="1185"/>
      <c r="AC667" s="1185"/>
      <c r="AD667" s="1185"/>
      <c r="AE667" s="1185"/>
      <c r="AF667" s="1185"/>
      <c r="AG667" s="1185"/>
      <c r="AH667" s="1185"/>
      <c r="AI667" s="1185"/>
    </row>
    <row r="668" spans="1:35">
      <c r="A668" s="1218" t="s">
        <v>104</v>
      </c>
      <c r="B668" s="1219"/>
      <c r="C668" s="1026">
        <f>1+1+1071+4201+407</f>
        <v>5681</v>
      </c>
      <c r="D668" s="1261"/>
      <c r="E668" s="1041"/>
      <c r="F668" s="1041"/>
      <c r="G668" s="1261"/>
      <c r="H668" s="1041"/>
      <c r="I668" s="1041"/>
      <c r="J668" s="1261"/>
      <c r="K668" s="1041"/>
      <c r="L668" s="1041"/>
      <c r="N668" s="1185"/>
      <c r="O668" s="1185"/>
      <c r="P668" s="1186"/>
      <c r="Q668" s="1186"/>
      <c r="R668" s="1186"/>
      <c r="S668" s="1185"/>
      <c r="T668" s="1185"/>
      <c r="U668" s="1185"/>
      <c r="V668" s="1185"/>
      <c r="W668" s="1185"/>
      <c r="X668" s="1185"/>
      <c r="Y668" s="1185"/>
      <c r="Z668" s="1185"/>
      <c r="AA668" s="1185"/>
      <c r="AB668" s="1185"/>
      <c r="AC668" s="1185"/>
      <c r="AD668" s="1185"/>
      <c r="AE668" s="1185"/>
      <c r="AF668" s="1185"/>
      <c r="AG668" s="1185"/>
      <c r="AH668" s="1185"/>
      <c r="AI668" s="1185"/>
    </row>
    <row r="669" spans="1:35">
      <c r="A669" s="1218" t="s">
        <v>456</v>
      </c>
      <c r="B669" s="1219"/>
      <c r="C669" s="1026"/>
      <c r="D669" s="1261"/>
      <c r="E669" s="1249"/>
      <c r="F669" s="1041"/>
      <c r="G669" s="1261"/>
      <c r="H669" s="1249"/>
      <c r="I669" s="1041"/>
      <c r="J669" s="1261"/>
      <c r="K669" s="1249"/>
      <c r="L669" s="1041"/>
      <c r="N669" s="1185"/>
      <c r="O669" s="1185"/>
      <c r="P669" s="1186"/>
      <c r="Q669" s="1186"/>
      <c r="R669" s="1186"/>
      <c r="S669" s="1185"/>
      <c r="T669" s="1185"/>
      <c r="U669" s="1185"/>
      <c r="V669" s="1185"/>
      <c r="W669" s="1185"/>
      <c r="X669" s="1185"/>
      <c r="Y669" s="1185"/>
      <c r="Z669" s="1185"/>
      <c r="AA669" s="1185"/>
      <c r="AB669" s="1185"/>
      <c r="AC669" s="1185"/>
      <c r="AD669" s="1185"/>
      <c r="AE669" s="1185"/>
      <c r="AF669" s="1185"/>
      <c r="AG669" s="1185"/>
      <c r="AH669" s="1185"/>
      <c r="AI669" s="1185"/>
    </row>
    <row r="670" spans="1:35">
      <c r="A670" s="1218" t="s">
        <v>457</v>
      </c>
      <c r="B670" s="1219"/>
      <c r="C670" s="1026">
        <f>2783</f>
        <v>2783</v>
      </c>
      <c r="D670" s="1261">
        <v>20.86</v>
      </c>
      <c r="E670" s="1249"/>
      <c r="F670" s="1041">
        <f>ROUND(D670*$C670,0)</f>
        <v>58053</v>
      </c>
      <c r="G670" s="1261">
        <v>23.87</v>
      </c>
      <c r="H670" s="1249"/>
      <c r="I670" s="1041">
        <f>ROUND(G670*C670,0)</f>
        <v>66430</v>
      </c>
      <c r="J670" s="1261">
        <f>$J$619</f>
        <v>25.265901957370488</v>
      </c>
      <c r="K670" s="1249"/>
      <c r="L670" s="1041">
        <f>ROUND(J670*$C670,0)</f>
        <v>70315</v>
      </c>
      <c r="N670" s="1185"/>
      <c r="O670" s="1185"/>
      <c r="P670" s="1186"/>
      <c r="Q670" s="1186"/>
      <c r="R670" s="1186"/>
      <c r="S670" s="1185"/>
      <c r="T670" s="1185"/>
      <c r="U670" s="1185"/>
      <c r="V670" s="1185"/>
      <c r="W670" s="1185"/>
      <c r="X670" s="1185"/>
      <c r="Y670" s="1185"/>
      <c r="Z670" s="1185"/>
      <c r="AA670" s="1185"/>
      <c r="AB670" s="1185"/>
      <c r="AC670" s="1185"/>
      <c r="AD670" s="1185"/>
      <c r="AE670" s="1185"/>
      <c r="AF670" s="1185"/>
      <c r="AG670" s="1185"/>
      <c r="AH670" s="1185"/>
      <c r="AI670" s="1185"/>
    </row>
    <row r="671" spans="1:35">
      <c r="A671" s="1218" t="s">
        <v>458</v>
      </c>
      <c r="B671" s="1219"/>
      <c r="C671" s="1026"/>
      <c r="D671" s="1261"/>
      <c r="E671" s="1249"/>
      <c r="F671" s="1041"/>
      <c r="G671" s="1261"/>
      <c r="H671" s="1249"/>
      <c r="I671" s="1041"/>
      <c r="J671" s="1261"/>
      <c r="K671" s="1249"/>
      <c r="L671" s="1041"/>
      <c r="N671" s="1185"/>
      <c r="O671" s="1185"/>
      <c r="P671" s="1186"/>
      <c r="Q671" s="1186"/>
      <c r="R671" s="1186"/>
      <c r="S671" s="1185"/>
      <c r="T671" s="1185"/>
      <c r="U671" s="1185"/>
      <c r="V671" s="1185"/>
      <c r="W671" s="1185"/>
      <c r="X671" s="1185"/>
      <c r="Y671" s="1185"/>
      <c r="Z671" s="1185"/>
      <c r="AA671" s="1185"/>
      <c r="AB671" s="1185"/>
      <c r="AC671" s="1185"/>
      <c r="AD671" s="1185"/>
      <c r="AE671" s="1185"/>
      <c r="AF671" s="1185"/>
      <c r="AG671" s="1185"/>
      <c r="AH671" s="1185"/>
      <c r="AI671" s="1185"/>
    </row>
    <row r="672" spans="1:35">
      <c r="A672" s="1218" t="s">
        <v>452</v>
      </c>
      <c r="B672" s="1219"/>
      <c r="C672" s="1026">
        <f>42+48776</f>
        <v>48818</v>
      </c>
      <c r="D672" s="1261">
        <v>20.860000000000003</v>
      </c>
      <c r="E672" s="1249"/>
      <c r="F672" s="1041">
        <f>ROUND(D672*$C672,0)</f>
        <v>1018343</v>
      </c>
      <c r="G672" s="1261">
        <v>23.79</v>
      </c>
      <c r="H672" s="1249"/>
      <c r="I672" s="1041">
        <f t="shared" ref="I672:I676" si="82">ROUND(G672*C672,0)</f>
        <v>1161380</v>
      </c>
      <c r="J672" s="1261">
        <f>$J$621</f>
        <v>25.171223609796559</v>
      </c>
      <c r="K672" s="1249"/>
      <c r="L672" s="1041">
        <f>ROUND(J672*$C672,0)</f>
        <v>1228809</v>
      </c>
      <c r="N672" s="1185"/>
      <c r="O672" s="1185"/>
      <c r="P672" s="1186"/>
      <c r="Q672" s="1186"/>
      <c r="R672" s="1186"/>
      <c r="S672" s="1185"/>
      <c r="T672" s="1185"/>
      <c r="U672" s="1185"/>
      <c r="V672" s="1185"/>
      <c r="W672" s="1185"/>
      <c r="X672" s="1185"/>
      <c r="Y672" s="1185"/>
      <c r="Z672" s="1185"/>
      <c r="AA672" s="1185"/>
      <c r="AB672" s="1185"/>
      <c r="AC672" s="1185"/>
      <c r="AD672" s="1185"/>
      <c r="AE672" s="1185"/>
      <c r="AF672" s="1185"/>
      <c r="AG672" s="1185"/>
      <c r="AH672" s="1185"/>
      <c r="AI672" s="1185"/>
    </row>
    <row r="673" spans="1:35">
      <c r="A673" s="1218" t="s">
        <v>453</v>
      </c>
      <c r="B673" s="1219"/>
      <c r="C673" s="1026">
        <f>37471</f>
        <v>37471</v>
      </c>
      <c r="D673" s="1261">
        <v>14.53</v>
      </c>
      <c r="E673" s="1249"/>
      <c r="F673" s="1041">
        <f>ROUND(D673*$C673,0)</f>
        <v>544454</v>
      </c>
      <c r="G673" s="1261">
        <v>16.559999999999999</v>
      </c>
      <c r="H673" s="1249"/>
      <c r="I673" s="1041">
        <f t="shared" si="82"/>
        <v>620520</v>
      </c>
      <c r="J673" s="1261">
        <f>$J$622</f>
        <v>17.5284179478029</v>
      </c>
      <c r="K673" s="1249"/>
      <c r="L673" s="1041">
        <f>ROUND(J673*$C673,0)</f>
        <v>656807</v>
      </c>
      <c r="N673" s="1185"/>
      <c r="O673" s="1185"/>
      <c r="P673" s="1186"/>
      <c r="Q673" s="1186"/>
      <c r="R673" s="1186"/>
      <c r="S673" s="1185"/>
      <c r="T673" s="1185"/>
      <c r="U673" s="1185"/>
      <c r="V673" s="1185"/>
      <c r="W673" s="1185"/>
      <c r="X673" s="1185"/>
      <c r="Y673" s="1185"/>
      <c r="Z673" s="1185"/>
      <c r="AA673" s="1185"/>
      <c r="AB673" s="1185"/>
      <c r="AC673" s="1185"/>
      <c r="AD673" s="1185"/>
      <c r="AE673" s="1185"/>
      <c r="AF673" s="1185"/>
      <c r="AG673" s="1185"/>
      <c r="AH673" s="1185"/>
      <c r="AI673" s="1185"/>
    </row>
    <row r="674" spans="1:35">
      <c r="A674" s="1218" t="s">
        <v>454</v>
      </c>
      <c r="B674" s="1219"/>
      <c r="C674" s="1026">
        <v>0</v>
      </c>
      <c r="D674" s="1261">
        <v>11.340000000000002</v>
      </c>
      <c r="E674" s="1249"/>
      <c r="F674" s="1041">
        <f>ROUND(D674*$C674,0)</f>
        <v>0</v>
      </c>
      <c r="G674" s="1261">
        <v>12.96</v>
      </c>
      <c r="H674" s="1249"/>
      <c r="I674" s="1041">
        <f t="shared" si="82"/>
        <v>0</v>
      </c>
      <c r="J674" s="1261">
        <f>$J$623</f>
        <v>13.717892306976186</v>
      </c>
      <c r="K674" s="1249"/>
      <c r="L674" s="1041">
        <f>ROUND(J674*$C674,0)</f>
        <v>0</v>
      </c>
      <c r="N674" s="1185"/>
      <c r="O674" s="1185"/>
      <c r="P674" s="1186"/>
      <c r="Q674" s="1186"/>
      <c r="R674" s="1186"/>
      <c r="S674" s="1185"/>
      <c r="T674" s="1185"/>
      <c r="U674" s="1185"/>
      <c r="V674" s="1185"/>
      <c r="W674" s="1185"/>
      <c r="X674" s="1185"/>
      <c r="Y674" s="1185"/>
      <c r="Z674" s="1185"/>
      <c r="AA674" s="1185"/>
      <c r="AB674" s="1185"/>
      <c r="AC674" s="1185"/>
      <c r="AD674" s="1185"/>
      <c r="AE674" s="1185"/>
      <c r="AF674" s="1185"/>
      <c r="AG674" s="1185"/>
      <c r="AH674" s="1185"/>
      <c r="AI674" s="1185"/>
    </row>
    <row r="675" spans="1:35">
      <c r="A675" s="1218" t="s">
        <v>460</v>
      </c>
      <c r="B675" s="1219"/>
      <c r="C675" s="1026">
        <f>570</f>
        <v>570</v>
      </c>
      <c r="D675" s="1261">
        <v>62.58</v>
      </c>
      <c r="E675" s="1249"/>
      <c r="F675" s="1041">
        <f>ROUND(D675*$C675,0)</f>
        <v>35671</v>
      </c>
      <c r="G675" s="1261">
        <v>71.61</v>
      </c>
      <c r="H675" s="1249"/>
      <c r="I675" s="1041">
        <f t="shared" si="82"/>
        <v>40818</v>
      </c>
      <c r="J675" s="1261">
        <f>$J$624</f>
        <v>75.797705872111464</v>
      </c>
      <c r="K675" s="1249"/>
      <c r="L675" s="1041">
        <f>ROUND(J675*$C675,0)</f>
        <v>43205</v>
      </c>
      <c r="N675" s="1185"/>
      <c r="O675" s="1185"/>
      <c r="P675" s="1186"/>
      <c r="Q675" s="1186"/>
      <c r="R675" s="1186"/>
      <c r="S675" s="1185"/>
      <c r="T675" s="1185"/>
      <c r="U675" s="1185"/>
      <c r="V675" s="1185"/>
      <c r="W675" s="1185"/>
      <c r="X675" s="1185"/>
      <c r="Y675" s="1185"/>
      <c r="Z675" s="1185"/>
      <c r="AA675" s="1185"/>
      <c r="AB675" s="1185"/>
      <c r="AC675" s="1185"/>
      <c r="AD675" s="1185"/>
      <c r="AE675" s="1185"/>
      <c r="AF675" s="1185"/>
      <c r="AG675" s="1185"/>
      <c r="AH675" s="1185"/>
      <c r="AI675" s="1185"/>
    </row>
    <row r="676" spans="1:35">
      <c r="A676" s="1218" t="s">
        <v>461</v>
      </c>
      <c r="B676" s="1219"/>
      <c r="C676" s="1026">
        <f>1085</f>
        <v>1085</v>
      </c>
      <c r="D676" s="1261">
        <v>125.16000000000003</v>
      </c>
      <c r="E676" s="1249"/>
      <c r="F676" s="1041">
        <f>ROUND(D676*$C676,0)</f>
        <v>135799</v>
      </c>
      <c r="G676" s="1261">
        <v>142.74</v>
      </c>
      <c r="H676" s="1249"/>
      <c r="I676" s="1041">
        <f t="shared" si="82"/>
        <v>154873</v>
      </c>
      <c r="J676" s="1261">
        <f>$J$625</f>
        <v>151.02734165877936</v>
      </c>
      <c r="K676" s="1249"/>
      <c r="L676" s="1041">
        <f>ROUND(J676*$C676,0)</f>
        <v>163865</v>
      </c>
      <c r="N676" s="1185"/>
      <c r="O676" s="1185"/>
      <c r="P676" s="1186"/>
      <c r="Q676" s="1186"/>
      <c r="R676" s="1186"/>
      <c r="S676" s="1185"/>
      <c r="T676" s="1185"/>
      <c r="U676" s="1185"/>
      <c r="V676" s="1185"/>
      <c r="W676" s="1185"/>
      <c r="X676" s="1185"/>
      <c r="Y676" s="1185"/>
      <c r="Z676" s="1185"/>
      <c r="AA676" s="1185"/>
      <c r="AB676" s="1185"/>
      <c r="AC676" s="1185"/>
      <c r="AD676" s="1185"/>
      <c r="AE676" s="1185"/>
      <c r="AF676" s="1185"/>
      <c r="AG676" s="1185"/>
      <c r="AH676" s="1185"/>
      <c r="AI676" s="1185"/>
    </row>
    <row r="677" spans="1:35">
      <c r="A677" s="1218" t="s">
        <v>462</v>
      </c>
      <c r="B677" s="1219"/>
      <c r="C677" s="1026"/>
      <c r="D677" s="1261"/>
      <c r="E677" s="1249"/>
      <c r="F677" s="1041"/>
      <c r="G677" s="1261"/>
      <c r="H677" s="1249"/>
      <c r="I677" s="1041"/>
      <c r="J677" s="1261"/>
      <c r="K677" s="1249"/>
      <c r="L677" s="1041"/>
      <c r="N677" s="1185"/>
      <c r="O677" s="1185"/>
      <c r="P677" s="1186"/>
      <c r="Q677" s="1186"/>
      <c r="R677" s="1186"/>
      <c r="S677" s="1185"/>
      <c r="T677" s="1185"/>
      <c r="U677" s="1185"/>
      <c r="V677" s="1185"/>
      <c r="W677" s="1185"/>
      <c r="X677" s="1185"/>
      <c r="Y677" s="1185"/>
      <c r="Z677" s="1185"/>
      <c r="AA677" s="1185"/>
      <c r="AB677" s="1185"/>
      <c r="AC677" s="1185"/>
      <c r="AD677" s="1185"/>
      <c r="AE677" s="1185"/>
      <c r="AF677" s="1185"/>
      <c r="AG677" s="1185"/>
      <c r="AH677" s="1185"/>
      <c r="AI677" s="1185"/>
    </row>
    <row r="678" spans="1:35">
      <c r="A678" s="1218" t="s">
        <v>457</v>
      </c>
      <c r="B678" s="1219"/>
      <c r="C678" s="1026">
        <f>48</f>
        <v>48</v>
      </c>
      <c r="D678" s="1259">
        <v>-20.86</v>
      </c>
      <c r="E678" s="1249"/>
      <c r="F678" s="1041">
        <f>ROUND(D678*$C678,0)</f>
        <v>-1001</v>
      </c>
      <c r="G678" s="1259">
        <v>-23.87</v>
      </c>
      <c r="H678" s="1249"/>
      <c r="I678" s="1041">
        <f t="shared" ref="I678:I679" si="83">ROUND(G678*C678,0)</f>
        <v>-1146</v>
      </c>
      <c r="J678" s="1259">
        <f>-J670</f>
        <v>-25.265901957370488</v>
      </c>
      <c r="K678" s="1249"/>
      <c r="L678" s="1041">
        <f>ROUND(J678*$C678,0)</f>
        <v>-1213</v>
      </c>
      <c r="N678" s="1185"/>
      <c r="O678" s="1185"/>
      <c r="P678" s="1186"/>
      <c r="Q678" s="1186"/>
      <c r="R678" s="1186"/>
      <c r="S678" s="1185"/>
      <c r="T678" s="1185"/>
      <c r="U678" s="1185"/>
      <c r="V678" s="1185"/>
      <c r="W678" s="1185"/>
      <c r="X678" s="1185"/>
      <c r="Y678" s="1185"/>
      <c r="Z678" s="1185"/>
      <c r="AA678" s="1185"/>
      <c r="AB678" s="1185"/>
      <c r="AC678" s="1185"/>
      <c r="AD678" s="1185"/>
      <c r="AE678" s="1185"/>
      <c r="AF678" s="1185"/>
      <c r="AG678" s="1185"/>
      <c r="AH678" s="1185"/>
      <c r="AI678" s="1185"/>
    </row>
    <row r="679" spans="1:35">
      <c r="A679" s="1218" t="s">
        <v>463</v>
      </c>
      <c r="B679" s="1219"/>
      <c r="C679" s="1026">
        <f>561</f>
        <v>561</v>
      </c>
      <c r="D679" s="1259">
        <v>-20.860000000000003</v>
      </c>
      <c r="E679" s="1249"/>
      <c r="F679" s="1041">
        <f>ROUND(D679*$C679,0)</f>
        <v>-11702</v>
      </c>
      <c r="G679" s="1259">
        <v>-23.79</v>
      </c>
      <c r="H679" s="1249"/>
      <c r="I679" s="1041">
        <f t="shared" si="83"/>
        <v>-13346</v>
      </c>
      <c r="J679" s="1259">
        <f>-J672</f>
        <v>-25.171223609796559</v>
      </c>
      <c r="K679" s="1249"/>
      <c r="L679" s="1041">
        <f>ROUND(J679*$C679,0)</f>
        <v>-14121</v>
      </c>
      <c r="N679" s="1185"/>
      <c r="O679" s="1185"/>
      <c r="P679" s="1186"/>
      <c r="Q679" s="1186"/>
      <c r="R679" s="1186"/>
      <c r="S679" s="1185"/>
      <c r="T679" s="1185"/>
      <c r="U679" s="1185"/>
      <c r="V679" s="1185"/>
      <c r="W679" s="1185"/>
      <c r="X679" s="1185"/>
      <c r="Y679" s="1185"/>
      <c r="Z679" s="1185"/>
      <c r="AA679" s="1185"/>
      <c r="AB679" s="1185"/>
      <c r="AC679" s="1185"/>
      <c r="AD679" s="1185"/>
      <c r="AE679" s="1185"/>
      <c r="AF679" s="1185"/>
      <c r="AG679" s="1185"/>
      <c r="AH679" s="1185"/>
      <c r="AI679" s="1185"/>
    </row>
    <row r="680" spans="1:35">
      <c r="A680" s="1009" t="s">
        <v>426</v>
      </c>
      <c r="B680" s="1219"/>
      <c r="C680" s="1026">
        <f>C681</f>
        <v>145798478.36433661</v>
      </c>
      <c r="D680" s="1261"/>
      <c r="E680" s="1041"/>
      <c r="F680" s="1041"/>
      <c r="G680" s="1261"/>
      <c r="H680" s="1041"/>
      <c r="I680" s="1041"/>
      <c r="J680" s="1261"/>
      <c r="K680" s="1041"/>
      <c r="L680" s="1041"/>
      <c r="N680" s="1185"/>
      <c r="O680" s="1185"/>
      <c r="P680" s="1186"/>
      <c r="Q680" s="1186"/>
      <c r="R680" s="1186"/>
      <c r="S680" s="1185"/>
      <c r="T680" s="1185"/>
      <c r="U680" s="1185"/>
      <c r="V680" s="1185"/>
      <c r="W680" s="1185"/>
      <c r="X680" s="1185"/>
      <c r="Y680" s="1185"/>
      <c r="Z680" s="1185"/>
      <c r="AA680" s="1185"/>
      <c r="AB680" s="1185"/>
      <c r="AC680" s="1185"/>
      <c r="AD680" s="1185"/>
      <c r="AE680" s="1185"/>
      <c r="AF680" s="1185"/>
      <c r="AG680" s="1185"/>
      <c r="AH680" s="1185"/>
      <c r="AI680" s="1185"/>
    </row>
    <row r="681" spans="1:35">
      <c r="A681" s="1218" t="s">
        <v>464</v>
      </c>
      <c r="B681" s="1219"/>
      <c r="C681" s="1026">
        <f>24408+5713553+88448788+53690217+[97]Temperature!B92*1000</f>
        <v>145798478.36433661</v>
      </c>
      <c r="D681" s="1316">
        <v>5.6469999999999994</v>
      </c>
      <c r="E681" s="1041" t="s">
        <v>374</v>
      </c>
      <c r="F681" s="1041">
        <f>ROUND(D681/100*$C681,0)</f>
        <v>8233240</v>
      </c>
      <c r="G681" s="1316">
        <v>6.4390000000000001</v>
      </c>
      <c r="H681" s="1041" t="s">
        <v>374</v>
      </c>
      <c r="I681" s="1041">
        <f>ROUND(G681/100*C681,0)</f>
        <v>9387964</v>
      </c>
      <c r="J681" s="1316">
        <f>$J$630</f>
        <v>6.8159999999999998</v>
      </c>
      <c r="K681" s="1041" t="s">
        <v>374</v>
      </c>
      <c r="L681" s="1041">
        <f>ROUND(J681/100*$C681,0)</f>
        <v>9937624</v>
      </c>
      <c r="N681" s="1185"/>
      <c r="O681" s="1185"/>
      <c r="P681" s="1186"/>
      <c r="Q681" s="1186"/>
      <c r="R681" s="1186"/>
      <c r="S681" s="1185"/>
      <c r="T681" s="1185"/>
      <c r="U681" s="1185"/>
      <c r="V681" s="1185"/>
      <c r="W681" s="1185"/>
      <c r="X681" s="1185"/>
      <c r="Y681" s="1185"/>
      <c r="Z681" s="1185"/>
      <c r="AA681" s="1185"/>
      <c r="AB681" s="1185"/>
      <c r="AC681" s="1185"/>
      <c r="AD681" s="1185"/>
      <c r="AE681" s="1185"/>
      <c r="AF681" s="1185"/>
      <c r="AG681" s="1185"/>
      <c r="AH681" s="1185"/>
      <c r="AI681" s="1185"/>
    </row>
    <row r="682" spans="1:35">
      <c r="A682" s="1009" t="s">
        <v>400</v>
      </c>
      <c r="B682" s="1219"/>
      <c r="C682" s="1217">
        <f>22+15618+29518</f>
        <v>45158</v>
      </c>
      <c r="D682" s="1262">
        <v>50</v>
      </c>
      <c r="E682" s="1009" t="s">
        <v>374</v>
      </c>
      <c r="F682" s="1041">
        <f>ROUND(D682*$C682/100,0)</f>
        <v>22579</v>
      </c>
      <c r="G682" s="1262">
        <v>56</v>
      </c>
      <c r="H682" s="1009" t="s">
        <v>374</v>
      </c>
      <c r="I682" s="1041">
        <f>ROUND(G682/100*C682,0)</f>
        <v>25288</v>
      </c>
      <c r="J682" s="1262">
        <f>$J$631</f>
        <v>56</v>
      </c>
      <c r="K682" s="1009" t="s">
        <v>374</v>
      </c>
      <c r="L682" s="1041">
        <f>ROUND(J682*$C682/100,0)</f>
        <v>25288</v>
      </c>
      <c r="N682" s="1185"/>
      <c r="O682" s="1185"/>
      <c r="P682" s="1186"/>
      <c r="Q682" s="1186"/>
      <c r="R682" s="1186"/>
      <c r="S682" s="1185"/>
      <c r="T682" s="1185"/>
      <c r="U682" s="1185"/>
      <c r="V682" s="1185"/>
      <c r="W682" s="1185"/>
      <c r="X682" s="1185"/>
      <c r="Y682" s="1185"/>
      <c r="Z682" s="1185"/>
      <c r="AA682" s="1185"/>
      <c r="AB682" s="1185"/>
      <c r="AC682" s="1185"/>
      <c r="AD682" s="1185"/>
      <c r="AE682" s="1185"/>
      <c r="AF682" s="1185"/>
      <c r="AG682" s="1185"/>
      <c r="AH682" s="1185"/>
      <c r="AI682" s="1185"/>
    </row>
    <row r="683" spans="1:35">
      <c r="A683" s="1283" t="s">
        <v>401</v>
      </c>
      <c r="B683" s="1219"/>
      <c r="C683" s="1026"/>
      <c r="D683" s="1257">
        <v>-0.01</v>
      </c>
      <c r="E683" s="1203"/>
      <c r="F683" s="1041"/>
      <c r="G683" s="1257">
        <v>-0.01</v>
      </c>
      <c r="H683" s="1219"/>
      <c r="I683" s="1041"/>
      <c r="J683" s="1257">
        <v>-0.01</v>
      </c>
      <c r="K683" s="1219"/>
      <c r="L683" s="1041"/>
      <c r="N683" s="1185"/>
      <c r="O683" s="1185"/>
      <c r="P683" s="1186"/>
      <c r="Q683" s="1186"/>
      <c r="R683" s="1186"/>
      <c r="S683" s="1185"/>
      <c r="T683" s="1185"/>
      <c r="U683" s="1185"/>
      <c r="V683" s="1185"/>
      <c r="W683" s="1185"/>
      <c r="X683" s="1185"/>
      <c r="Y683" s="1185"/>
      <c r="Z683" s="1185"/>
      <c r="AA683" s="1185"/>
      <c r="AB683" s="1185"/>
      <c r="AC683" s="1185"/>
      <c r="AD683" s="1185"/>
      <c r="AE683" s="1185"/>
      <c r="AF683" s="1185"/>
      <c r="AG683" s="1185"/>
      <c r="AH683" s="1185"/>
      <c r="AI683" s="1185"/>
    </row>
    <row r="684" spans="1:35">
      <c r="A684" s="1218" t="s">
        <v>390</v>
      </c>
      <c r="B684" s="1219"/>
      <c r="C684" s="1026">
        <v>0</v>
      </c>
      <c r="D684" s="1303">
        <v>0</v>
      </c>
      <c r="E684" s="1249"/>
      <c r="F684" s="1041">
        <f>ROUND(D684*$C684*$D$632,0)</f>
        <v>0</v>
      </c>
      <c r="G684" s="1303">
        <v>0</v>
      </c>
      <c r="H684" s="1249"/>
      <c r="I684" s="1041">
        <f>ROUND(G684*C684*$G$632,0)</f>
        <v>0</v>
      </c>
      <c r="J684" s="1303">
        <f>J661</f>
        <v>0</v>
      </c>
      <c r="K684" s="1249"/>
      <c r="L684" s="1041">
        <f>ROUND(J684*$C684*$D$632,0)</f>
        <v>0</v>
      </c>
      <c r="N684" s="1185"/>
      <c r="O684" s="1185"/>
      <c r="P684" s="1186"/>
      <c r="Q684" s="1186"/>
      <c r="R684" s="1186"/>
      <c r="S684" s="1185"/>
      <c r="T684" s="1185"/>
      <c r="U684" s="1185"/>
      <c r="V684" s="1185"/>
      <c r="W684" s="1185"/>
      <c r="X684" s="1185"/>
      <c r="Y684" s="1185"/>
      <c r="Z684" s="1185"/>
      <c r="AA684" s="1185"/>
      <c r="AB684" s="1185"/>
      <c r="AC684" s="1185"/>
      <c r="AD684" s="1185"/>
      <c r="AE684" s="1185"/>
      <c r="AF684" s="1185"/>
      <c r="AG684" s="1185"/>
      <c r="AH684" s="1185"/>
      <c r="AI684" s="1185"/>
    </row>
    <row r="685" spans="1:35">
      <c r="A685" s="1218" t="s">
        <v>391</v>
      </c>
      <c r="B685" s="1219"/>
      <c r="C685" s="1026"/>
      <c r="D685" s="1303"/>
      <c r="E685" s="1249"/>
      <c r="F685" s="1041"/>
      <c r="G685" s="1303"/>
      <c r="H685" s="1249"/>
      <c r="I685" s="1041"/>
      <c r="J685" s="1303"/>
      <c r="K685" s="1249"/>
      <c r="L685" s="1041"/>
      <c r="N685" s="1185"/>
      <c r="O685" s="1185"/>
      <c r="P685" s="1186"/>
      <c r="Q685" s="1186"/>
      <c r="R685" s="1186"/>
      <c r="S685" s="1185"/>
      <c r="T685" s="1185"/>
      <c r="U685" s="1185"/>
      <c r="V685" s="1185"/>
      <c r="W685" s="1185"/>
      <c r="X685" s="1185"/>
      <c r="Y685" s="1185"/>
      <c r="Z685" s="1185"/>
      <c r="AA685" s="1185"/>
      <c r="AB685" s="1185"/>
      <c r="AC685" s="1185"/>
      <c r="AD685" s="1185"/>
      <c r="AE685" s="1185"/>
      <c r="AF685" s="1185"/>
      <c r="AG685" s="1185"/>
      <c r="AH685" s="1185"/>
      <c r="AI685" s="1185"/>
    </row>
    <row r="686" spans="1:35">
      <c r="A686" s="1218" t="s">
        <v>452</v>
      </c>
      <c r="B686" s="1219"/>
      <c r="C686" s="1026">
        <v>0</v>
      </c>
      <c r="D686" s="1303">
        <v>0</v>
      </c>
      <c r="E686" s="1249"/>
      <c r="F686" s="1041">
        <f>ROUND(D686*$C686*$D$632,0)</f>
        <v>0</v>
      </c>
      <c r="G686" s="1303">
        <v>0</v>
      </c>
      <c r="H686" s="1249"/>
      <c r="I686" s="1041">
        <f t="shared" ref="I686:I689" si="84">ROUND(G686*C686*$G$632,0)</f>
        <v>0</v>
      </c>
      <c r="J686" s="1303">
        <f>J663</f>
        <v>0</v>
      </c>
      <c r="K686" s="1249"/>
      <c r="L686" s="1041">
        <f>ROUND(J686*$C686*$D$632,0)</f>
        <v>0</v>
      </c>
      <c r="N686" s="1185"/>
      <c r="O686" s="1185"/>
      <c r="P686" s="1186"/>
      <c r="Q686" s="1186"/>
      <c r="R686" s="1186"/>
      <c r="S686" s="1185"/>
      <c r="T686" s="1185"/>
      <c r="U686" s="1185"/>
      <c r="V686" s="1185"/>
      <c r="W686" s="1185"/>
      <c r="X686" s="1185"/>
      <c r="Y686" s="1185"/>
      <c r="Z686" s="1185"/>
      <c r="AA686" s="1185"/>
      <c r="AB686" s="1185"/>
      <c r="AC686" s="1185"/>
      <c r="AD686" s="1185"/>
      <c r="AE686" s="1185"/>
      <c r="AF686" s="1185"/>
      <c r="AG686" s="1185"/>
      <c r="AH686" s="1185"/>
      <c r="AI686" s="1185"/>
    </row>
    <row r="687" spans="1:35">
      <c r="A687" s="1218" t="s">
        <v>453</v>
      </c>
      <c r="B687" s="1219"/>
      <c r="C687" s="1026">
        <v>0</v>
      </c>
      <c r="D687" s="1303">
        <v>312</v>
      </c>
      <c r="E687" s="1249"/>
      <c r="F687" s="1041">
        <f>ROUND(D687*$C687*$D$632,0)</f>
        <v>0</v>
      </c>
      <c r="G687" s="1303">
        <v>357</v>
      </c>
      <c r="H687" s="1249"/>
      <c r="I687" s="1041">
        <f t="shared" si="84"/>
        <v>0</v>
      </c>
      <c r="J687" s="1303">
        <f>J664</f>
        <v>357</v>
      </c>
      <c r="K687" s="1249"/>
      <c r="L687" s="1041">
        <f>ROUND(J687*$C687*$D$632,0)</f>
        <v>0</v>
      </c>
      <c r="N687" s="1185"/>
      <c r="O687" s="1185"/>
      <c r="P687" s="1186"/>
      <c r="Q687" s="1186"/>
      <c r="R687" s="1186"/>
      <c r="S687" s="1185"/>
      <c r="T687" s="1185"/>
      <c r="U687" s="1185"/>
      <c r="V687" s="1185"/>
      <c r="W687" s="1185"/>
      <c r="X687" s="1185"/>
      <c r="Y687" s="1185"/>
      <c r="Z687" s="1185"/>
      <c r="AA687" s="1185"/>
      <c r="AB687" s="1185"/>
      <c r="AC687" s="1185"/>
      <c r="AD687" s="1185"/>
      <c r="AE687" s="1185"/>
      <c r="AF687" s="1185"/>
      <c r="AG687" s="1185"/>
      <c r="AH687" s="1185"/>
      <c r="AI687" s="1185"/>
    </row>
    <row r="688" spans="1:35">
      <c r="A688" s="1218" t="s">
        <v>454</v>
      </c>
      <c r="B688" s="1219"/>
      <c r="C688" s="1026">
        <v>0</v>
      </c>
      <c r="D688" s="1303">
        <v>1268</v>
      </c>
      <c r="E688" s="1249"/>
      <c r="F688" s="1041">
        <f>ROUND(D688*$C688*$D$632,0)</f>
        <v>0</v>
      </c>
      <c r="G688" s="1303">
        <v>1457</v>
      </c>
      <c r="H688" s="1249"/>
      <c r="I688" s="1041">
        <f t="shared" si="84"/>
        <v>0</v>
      </c>
      <c r="J688" s="1303">
        <f>J665</f>
        <v>1457</v>
      </c>
      <c r="K688" s="1249"/>
      <c r="L688" s="1041">
        <f>ROUND(J688*$C688*$D$632,0)</f>
        <v>0</v>
      </c>
      <c r="N688" s="1185"/>
      <c r="O688" s="1185"/>
      <c r="P688" s="1186"/>
      <c r="Q688" s="1186"/>
      <c r="R688" s="1186"/>
      <c r="S688" s="1185"/>
      <c r="T688" s="1185"/>
      <c r="U688" s="1185"/>
      <c r="V688" s="1185"/>
      <c r="W688" s="1185"/>
      <c r="X688" s="1185"/>
      <c r="Y688" s="1185"/>
      <c r="Z688" s="1185"/>
      <c r="AA688" s="1185"/>
      <c r="AB688" s="1185"/>
      <c r="AC688" s="1185"/>
      <c r="AD688" s="1185"/>
      <c r="AE688" s="1185"/>
      <c r="AF688" s="1185"/>
      <c r="AG688" s="1185"/>
      <c r="AH688" s="1185"/>
      <c r="AI688" s="1185"/>
    </row>
    <row r="689" spans="1:35">
      <c r="A689" s="1218" t="s">
        <v>390</v>
      </c>
      <c r="B689" s="1219"/>
      <c r="C689" s="1026">
        <v>0</v>
      </c>
      <c r="D689" s="1303">
        <v>20.86</v>
      </c>
      <c r="E689" s="1249"/>
      <c r="F689" s="1041">
        <f>ROUND(D689*$C689*$D$632,0)</f>
        <v>0</v>
      </c>
      <c r="G689" s="1303">
        <v>23.87</v>
      </c>
      <c r="H689" s="1249"/>
      <c r="I689" s="1041">
        <f t="shared" si="84"/>
        <v>0</v>
      </c>
      <c r="J689" s="1303">
        <f>J670</f>
        <v>25.265901957370488</v>
      </c>
      <c r="K689" s="1249"/>
      <c r="L689" s="1041">
        <f>ROUND(J689*$C689*$D$632,0)</f>
        <v>0</v>
      </c>
      <c r="N689" s="1185"/>
      <c r="O689" s="1185"/>
      <c r="P689" s="1186"/>
      <c r="Q689" s="1186"/>
      <c r="R689" s="1186"/>
      <c r="S689" s="1185"/>
      <c r="T689" s="1185"/>
      <c r="U689" s="1185"/>
      <c r="V689" s="1185"/>
      <c r="W689" s="1185"/>
      <c r="X689" s="1185"/>
      <c r="Y689" s="1185"/>
      <c r="Z689" s="1185"/>
      <c r="AA689" s="1185"/>
      <c r="AB689" s="1185"/>
      <c r="AC689" s="1185"/>
      <c r="AD689" s="1185"/>
      <c r="AE689" s="1185"/>
      <c r="AF689" s="1185"/>
      <c r="AG689" s="1185"/>
      <c r="AH689" s="1185"/>
      <c r="AI689" s="1185"/>
    </row>
    <row r="690" spans="1:35">
      <c r="A690" s="1218" t="s">
        <v>391</v>
      </c>
      <c r="B690" s="1219"/>
      <c r="C690" s="1026"/>
      <c r="D690" s="1303"/>
      <c r="E690" s="1249"/>
      <c r="F690" s="1041"/>
      <c r="G690" s="1303"/>
      <c r="H690" s="1249"/>
      <c r="I690" s="1041"/>
      <c r="J690" s="1303"/>
      <c r="K690" s="1249"/>
      <c r="L690" s="1041"/>
      <c r="N690" s="1185"/>
      <c r="O690" s="1185"/>
      <c r="P690" s="1186"/>
      <c r="Q690" s="1186"/>
      <c r="R690" s="1186"/>
      <c r="S690" s="1185"/>
      <c r="T690" s="1185"/>
      <c r="U690" s="1185"/>
      <c r="V690" s="1185"/>
      <c r="W690" s="1185"/>
      <c r="X690" s="1185"/>
      <c r="Y690" s="1185"/>
      <c r="Z690" s="1185"/>
      <c r="AA690" s="1185"/>
      <c r="AB690" s="1185"/>
      <c r="AC690" s="1185"/>
      <c r="AD690" s="1185"/>
      <c r="AE690" s="1185"/>
      <c r="AF690" s="1185"/>
      <c r="AG690" s="1185"/>
      <c r="AH690" s="1185"/>
      <c r="AI690" s="1185"/>
    </row>
    <row r="691" spans="1:35">
      <c r="A691" s="1218" t="s">
        <v>452</v>
      </c>
      <c r="B691" s="1219"/>
      <c r="C691" s="1026">
        <v>0</v>
      </c>
      <c r="D691" s="1303">
        <v>20.860000000000003</v>
      </c>
      <c r="E691" s="1249"/>
      <c r="F691" s="1041">
        <f>ROUND(D691*$C691*$D$632,0)</f>
        <v>0</v>
      </c>
      <c r="G691" s="1303">
        <v>23.79</v>
      </c>
      <c r="H691" s="1249"/>
      <c r="I691" s="1041">
        <f t="shared" ref="I691:I695" si="85">ROUND(G691*C691*$G$632,0)</f>
        <v>0</v>
      </c>
      <c r="J691" s="1303">
        <f>J672</f>
        <v>25.171223609796559</v>
      </c>
      <c r="K691" s="1249"/>
      <c r="L691" s="1041">
        <f>ROUND(J691*$C691*$D$632,0)</f>
        <v>0</v>
      </c>
      <c r="N691" s="1185"/>
      <c r="O691" s="1185"/>
      <c r="P691" s="1186"/>
      <c r="Q691" s="1186"/>
      <c r="R691" s="1186"/>
      <c r="S691" s="1185"/>
      <c r="T691" s="1185"/>
      <c r="U691" s="1185"/>
      <c r="V691" s="1185"/>
      <c r="W691" s="1185"/>
      <c r="X691" s="1185"/>
      <c r="Y691" s="1185"/>
      <c r="Z691" s="1185"/>
      <c r="AA691" s="1185"/>
      <c r="AB691" s="1185"/>
      <c r="AC691" s="1185"/>
      <c r="AD691" s="1185"/>
      <c r="AE691" s="1185"/>
      <c r="AF691" s="1185"/>
      <c r="AG691" s="1185"/>
      <c r="AH691" s="1185"/>
      <c r="AI691" s="1185"/>
    </row>
    <row r="692" spans="1:35">
      <c r="A692" s="1218" t="s">
        <v>453</v>
      </c>
      <c r="B692" s="1219"/>
      <c r="C692" s="1026">
        <v>0</v>
      </c>
      <c r="D692" s="1303">
        <v>14.53</v>
      </c>
      <c r="E692" s="1249"/>
      <c r="F692" s="1041">
        <f>ROUND(D692*$C692*$D$632,0)</f>
        <v>0</v>
      </c>
      <c r="G692" s="1303">
        <v>16.559999999999999</v>
      </c>
      <c r="H692" s="1249"/>
      <c r="I692" s="1041">
        <f t="shared" si="85"/>
        <v>0</v>
      </c>
      <c r="J692" s="1303">
        <f>J673</f>
        <v>17.5284179478029</v>
      </c>
      <c r="K692" s="1249"/>
      <c r="L692" s="1041">
        <f>ROUND(J692*$C692*$D$632,0)</f>
        <v>0</v>
      </c>
      <c r="N692" s="1185"/>
      <c r="O692" s="1185"/>
      <c r="P692" s="1186"/>
      <c r="Q692" s="1186"/>
      <c r="R692" s="1186"/>
      <c r="S692" s="1185"/>
      <c r="T692" s="1185"/>
      <c r="U692" s="1185"/>
      <c r="V692" s="1185"/>
      <c r="W692" s="1185"/>
      <c r="X692" s="1185"/>
      <c r="Y692" s="1185"/>
      <c r="Z692" s="1185"/>
      <c r="AA692" s="1185"/>
      <c r="AB692" s="1185"/>
      <c r="AC692" s="1185"/>
      <c r="AD692" s="1185"/>
      <c r="AE692" s="1185"/>
      <c r="AF692" s="1185"/>
      <c r="AG692" s="1185"/>
      <c r="AH692" s="1185"/>
      <c r="AI692" s="1185"/>
    </row>
    <row r="693" spans="1:35">
      <c r="A693" s="1218" t="s">
        <v>454</v>
      </c>
      <c r="B693" s="1219"/>
      <c r="C693" s="1026">
        <v>0</v>
      </c>
      <c r="D693" s="1303">
        <v>11.340000000000002</v>
      </c>
      <c r="E693" s="1249"/>
      <c r="F693" s="1041">
        <f>ROUND(D693*$C693*$D$632,0)</f>
        <v>0</v>
      </c>
      <c r="G693" s="1303">
        <v>12.96</v>
      </c>
      <c r="H693" s="1249"/>
      <c r="I693" s="1041">
        <f t="shared" si="85"/>
        <v>0</v>
      </c>
      <c r="J693" s="1303">
        <f>J674</f>
        <v>13.717892306976186</v>
      </c>
      <c r="K693" s="1249"/>
      <c r="L693" s="1041">
        <f>ROUND(J693*$C693*$D$632,0)</f>
        <v>0</v>
      </c>
      <c r="N693" s="1185"/>
      <c r="O693" s="1185"/>
      <c r="P693" s="1186"/>
      <c r="Q693" s="1186"/>
      <c r="R693" s="1186"/>
      <c r="S693" s="1185"/>
      <c r="T693" s="1185"/>
      <c r="U693" s="1185"/>
      <c r="V693" s="1185"/>
      <c r="W693" s="1185"/>
      <c r="X693" s="1185"/>
      <c r="Y693" s="1185"/>
      <c r="Z693" s="1185"/>
      <c r="AA693" s="1185"/>
      <c r="AB693" s="1185"/>
      <c r="AC693" s="1185"/>
      <c r="AD693" s="1185"/>
      <c r="AE693" s="1185"/>
      <c r="AF693" s="1185"/>
      <c r="AG693" s="1185"/>
      <c r="AH693" s="1185"/>
      <c r="AI693" s="1185"/>
    </row>
    <row r="694" spans="1:35">
      <c r="A694" s="1218" t="s">
        <v>465</v>
      </c>
      <c r="B694" s="1219"/>
      <c r="C694" s="1026">
        <v>0</v>
      </c>
      <c r="D694" s="1259">
        <v>62.58</v>
      </c>
      <c r="E694" s="1249"/>
      <c r="F694" s="1041">
        <f>ROUND(D694*$C694*$D$632,0)</f>
        <v>0</v>
      </c>
      <c r="G694" s="1259">
        <v>71.61</v>
      </c>
      <c r="H694" s="1249"/>
      <c r="I694" s="1041">
        <f t="shared" si="85"/>
        <v>0</v>
      </c>
      <c r="J694" s="1259">
        <f>J675</f>
        <v>75.797705872111464</v>
      </c>
      <c r="K694" s="1249"/>
      <c r="L694" s="1041">
        <f>ROUND(J694*$C694*$D$632,0)</f>
        <v>0</v>
      </c>
      <c r="N694" s="1185"/>
      <c r="O694" s="1185"/>
      <c r="P694" s="1186"/>
      <c r="Q694" s="1186"/>
      <c r="R694" s="1186"/>
      <c r="S694" s="1185"/>
      <c r="T694" s="1185"/>
      <c r="U694" s="1185"/>
      <c r="V694" s="1185"/>
      <c r="W694" s="1185"/>
      <c r="X694" s="1185"/>
      <c r="Y694" s="1185"/>
      <c r="Z694" s="1185"/>
      <c r="AA694" s="1185"/>
      <c r="AB694" s="1185"/>
      <c r="AC694" s="1185"/>
      <c r="AD694" s="1185"/>
      <c r="AE694" s="1185"/>
      <c r="AF694" s="1185"/>
      <c r="AG694" s="1185"/>
      <c r="AH694" s="1185"/>
      <c r="AI694" s="1185"/>
    </row>
    <row r="695" spans="1:35">
      <c r="A695" s="1218" t="s">
        <v>466</v>
      </c>
      <c r="B695" s="1219"/>
      <c r="C695" s="1026">
        <v>0</v>
      </c>
      <c r="D695" s="1259">
        <v>125.16000000000003</v>
      </c>
      <c r="E695" s="1249"/>
      <c r="F695" s="1041">
        <f>ROUND(D695*$C695*$D$632,0)</f>
        <v>0</v>
      </c>
      <c r="G695" s="1259">
        <v>142.74</v>
      </c>
      <c r="H695" s="1249"/>
      <c r="I695" s="1041">
        <f t="shared" si="85"/>
        <v>0</v>
      </c>
      <c r="J695" s="1259">
        <f>J676</f>
        <v>151.02734165877936</v>
      </c>
      <c r="K695" s="1249"/>
      <c r="L695" s="1041">
        <f>ROUND(J695*$C695*$D$632,0)</f>
        <v>0</v>
      </c>
      <c r="N695" s="1185"/>
      <c r="O695" s="1185"/>
      <c r="P695" s="1186"/>
      <c r="Q695" s="1186"/>
      <c r="R695" s="1186"/>
      <c r="S695" s="1185"/>
      <c r="T695" s="1185"/>
      <c r="U695" s="1185"/>
      <c r="V695" s="1185"/>
      <c r="W695" s="1185"/>
      <c r="X695" s="1185"/>
      <c r="Y695" s="1185"/>
      <c r="Z695" s="1185"/>
      <c r="AA695" s="1185"/>
      <c r="AB695" s="1185"/>
      <c r="AC695" s="1185"/>
      <c r="AD695" s="1185"/>
      <c r="AE695" s="1185"/>
      <c r="AF695" s="1185"/>
      <c r="AG695" s="1185"/>
      <c r="AH695" s="1185"/>
      <c r="AI695" s="1185"/>
    </row>
    <row r="696" spans="1:35">
      <c r="A696" s="1218" t="s">
        <v>462</v>
      </c>
      <c r="B696" s="1219"/>
      <c r="C696" s="1026"/>
      <c r="D696" s="1261"/>
      <c r="E696" s="1249"/>
      <c r="F696" s="1041"/>
      <c r="G696" s="1261"/>
      <c r="H696" s="1249"/>
      <c r="I696" s="1041"/>
      <c r="J696" s="1261"/>
      <c r="K696" s="1249"/>
      <c r="L696" s="1041"/>
      <c r="N696" s="1185"/>
      <c r="O696" s="1185"/>
      <c r="P696" s="1186"/>
      <c r="Q696" s="1186"/>
      <c r="R696" s="1186"/>
      <c r="S696" s="1185"/>
      <c r="T696" s="1185"/>
      <c r="U696" s="1185"/>
      <c r="V696" s="1185"/>
      <c r="W696" s="1185"/>
      <c r="X696" s="1185"/>
      <c r="Y696" s="1185"/>
      <c r="Z696" s="1185"/>
      <c r="AA696" s="1185"/>
      <c r="AB696" s="1185"/>
      <c r="AC696" s="1185"/>
      <c r="AD696" s="1185"/>
      <c r="AE696" s="1185"/>
      <c r="AF696" s="1185"/>
      <c r="AG696" s="1185"/>
      <c r="AH696" s="1185"/>
      <c r="AI696" s="1185"/>
    </row>
    <row r="697" spans="1:35">
      <c r="A697" s="1218" t="s">
        <v>457</v>
      </c>
      <c r="B697" s="1219"/>
      <c r="C697" s="1026">
        <v>0</v>
      </c>
      <c r="D697" s="1259">
        <v>-20.86</v>
      </c>
      <c r="E697" s="1249"/>
      <c r="F697" s="1041">
        <f>ROUND(D697*$C697*$D$632,0)</f>
        <v>0</v>
      </c>
      <c r="G697" s="1259">
        <v>-23.87</v>
      </c>
      <c r="H697" s="1249"/>
      <c r="I697" s="1041">
        <f t="shared" ref="I697:I698" si="86">ROUND(G697*C697*$G$632,0)</f>
        <v>0</v>
      </c>
      <c r="J697" s="1259">
        <f>J678</f>
        <v>-25.265901957370488</v>
      </c>
      <c r="K697" s="1249"/>
      <c r="L697" s="1041">
        <f>ROUND(J697*$C697*$D$632,0)</f>
        <v>0</v>
      </c>
      <c r="N697" s="1185"/>
      <c r="O697" s="1185"/>
      <c r="P697" s="1186"/>
      <c r="Q697" s="1186"/>
      <c r="R697" s="1186"/>
      <c r="S697" s="1185"/>
      <c r="T697" s="1185"/>
      <c r="U697" s="1185"/>
      <c r="V697" s="1185"/>
      <c r="W697" s="1185"/>
      <c r="X697" s="1185"/>
      <c r="Y697" s="1185"/>
      <c r="Z697" s="1185"/>
      <c r="AA697" s="1185"/>
      <c r="AB697" s="1185"/>
      <c r="AC697" s="1185"/>
      <c r="AD697" s="1185"/>
      <c r="AE697" s="1185"/>
      <c r="AF697" s="1185"/>
      <c r="AG697" s="1185"/>
      <c r="AH697" s="1185"/>
      <c r="AI697" s="1185"/>
    </row>
    <row r="698" spans="1:35">
      <c r="A698" s="1218" t="s">
        <v>463</v>
      </c>
      <c r="B698" s="1219"/>
      <c r="C698" s="1026">
        <v>0</v>
      </c>
      <c r="D698" s="1259">
        <v>-20.860000000000003</v>
      </c>
      <c r="E698" s="1249"/>
      <c r="F698" s="1041">
        <f>ROUND(D698*$C698*$D$632,0)</f>
        <v>0</v>
      </c>
      <c r="G698" s="1259">
        <v>-23.79</v>
      </c>
      <c r="H698" s="1249"/>
      <c r="I698" s="1041">
        <f t="shared" si="86"/>
        <v>0</v>
      </c>
      <c r="J698" s="1259">
        <f>J679</f>
        <v>-25.171223609796559</v>
      </c>
      <c r="K698" s="1249"/>
      <c r="L698" s="1041">
        <f>ROUND(J698*$C698*$D$632,0)</f>
        <v>0</v>
      </c>
      <c r="N698" s="1185"/>
      <c r="O698" s="1185"/>
      <c r="P698" s="1186"/>
      <c r="Q698" s="1186"/>
      <c r="R698" s="1186"/>
      <c r="S698" s="1185"/>
      <c r="T698" s="1185"/>
      <c r="U698" s="1185"/>
      <c r="V698" s="1185"/>
      <c r="W698" s="1185"/>
      <c r="X698" s="1185"/>
      <c r="Y698" s="1185"/>
      <c r="Z698" s="1185"/>
      <c r="AA698" s="1185"/>
      <c r="AB698" s="1185"/>
      <c r="AC698" s="1185"/>
      <c r="AD698" s="1185"/>
      <c r="AE698" s="1185"/>
      <c r="AF698" s="1185"/>
      <c r="AG698" s="1185"/>
      <c r="AH698" s="1185"/>
      <c r="AI698" s="1185"/>
    </row>
    <row r="699" spans="1:35">
      <c r="A699" s="1009" t="s">
        <v>426</v>
      </c>
      <c r="B699" s="1219"/>
      <c r="C699" s="1026"/>
      <c r="D699" s="1303"/>
      <c r="E699" s="1041"/>
      <c r="F699" s="1041"/>
      <c r="G699" s="1303"/>
      <c r="H699" s="1041"/>
      <c r="I699" s="1041"/>
      <c r="J699" s="1303"/>
      <c r="K699" s="1041"/>
      <c r="L699" s="1041"/>
      <c r="N699" s="1185"/>
      <c r="O699" s="1185"/>
      <c r="P699" s="1186"/>
      <c r="Q699" s="1186"/>
      <c r="R699" s="1186"/>
      <c r="S699" s="1185"/>
      <c r="T699" s="1185"/>
      <c r="U699" s="1185"/>
      <c r="V699" s="1185"/>
      <c r="W699" s="1185"/>
      <c r="X699" s="1185"/>
      <c r="Y699" s="1185"/>
      <c r="Z699" s="1185"/>
      <c r="AA699" s="1185"/>
      <c r="AB699" s="1185"/>
      <c r="AC699" s="1185"/>
      <c r="AD699" s="1185"/>
      <c r="AE699" s="1185"/>
      <c r="AF699" s="1185"/>
      <c r="AG699" s="1185"/>
      <c r="AH699" s="1185"/>
      <c r="AI699" s="1185"/>
    </row>
    <row r="700" spans="1:35">
      <c r="A700" s="1218" t="s">
        <v>464</v>
      </c>
      <c r="B700" s="1219"/>
      <c r="C700" s="1026">
        <v>0</v>
      </c>
      <c r="D700" s="1311">
        <v>5.6469999999999994</v>
      </c>
      <c r="E700" s="1041" t="s">
        <v>374</v>
      </c>
      <c r="F700" s="1041">
        <f>ROUND(D700/100*$C700*$D$632,0)</f>
        <v>0</v>
      </c>
      <c r="G700" s="1311">
        <v>6.4390000000000001</v>
      </c>
      <c r="H700" s="1041" t="s">
        <v>374</v>
      </c>
      <c r="I700" s="1041">
        <f t="shared" ref="I700:I701" si="87">ROUND(G700*C700,0)</f>
        <v>0</v>
      </c>
      <c r="J700" s="1311">
        <f>J681</f>
        <v>6.8159999999999998</v>
      </c>
      <c r="K700" s="1041" t="s">
        <v>374</v>
      </c>
      <c r="L700" s="1041">
        <f>ROUND(J700/100*$C700*$D$632,0)</f>
        <v>0</v>
      </c>
      <c r="N700" s="1185"/>
      <c r="O700" s="1185"/>
      <c r="P700" s="1186"/>
      <c r="Q700" s="1186"/>
      <c r="R700" s="1186"/>
      <c r="S700" s="1185"/>
      <c r="T700" s="1185"/>
      <c r="U700" s="1185"/>
      <c r="V700" s="1185"/>
      <c r="W700" s="1185"/>
      <c r="X700" s="1185"/>
      <c r="Y700" s="1185"/>
      <c r="Z700" s="1185"/>
      <c r="AA700" s="1185"/>
      <c r="AB700" s="1185"/>
      <c r="AC700" s="1185"/>
      <c r="AD700" s="1185"/>
      <c r="AE700" s="1185"/>
      <c r="AF700" s="1185"/>
      <c r="AG700" s="1185"/>
      <c r="AH700" s="1185"/>
      <c r="AI700" s="1185"/>
    </row>
    <row r="701" spans="1:35">
      <c r="A701" s="1009" t="s">
        <v>400</v>
      </c>
      <c r="B701" s="1219"/>
      <c r="C701" s="1026">
        <v>0</v>
      </c>
      <c r="D701" s="1286">
        <v>50</v>
      </c>
      <c r="E701" s="1041" t="s">
        <v>374</v>
      </c>
      <c r="F701" s="1041">
        <f>ROUND(D701/100*$C701*$D$632,0)</f>
        <v>0</v>
      </c>
      <c r="G701" s="1286">
        <v>56</v>
      </c>
      <c r="H701" s="1009" t="s">
        <v>374</v>
      </c>
      <c r="I701" s="1041">
        <f t="shared" si="87"/>
        <v>0</v>
      </c>
      <c r="J701" s="1286">
        <f>J682</f>
        <v>56</v>
      </c>
      <c r="K701" s="1009" t="s">
        <v>374</v>
      </c>
      <c r="L701" s="1041">
        <f>ROUND(J701/100*$C701*$D$632,0)</f>
        <v>0</v>
      </c>
      <c r="N701" s="1185"/>
      <c r="O701" s="1185"/>
      <c r="P701" s="1186"/>
      <c r="Q701" s="1186"/>
      <c r="R701" s="1186"/>
      <c r="S701" s="1185"/>
      <c r="T701" s="1185"/>
      <c r="U701" s="1185"/>
      <c r="V701" s="1185"/>
      <c r="W701" s="1185"/>
      <c r="X701" s="1185"/>
      <c r="Y701" s="1185"/>
      <c r="Z701" s="1185"/>
      <c r="AA701" s="1185"/>
      <c r="AB701" s="1185"/>
      <c r="AC701" s="1185"/>
      <c r="AD701" s="1185"/>
      <c r="AE701" s="1185"/>
      <c r="AF701" s="1185"/>
      <c r="AG701" s="1185"/>
      <c r="AH701" s="1185"/>
      <c r="AI701" s="1185"/>
    </row>
    <row r="702" spans="1:35">
      <c r="A702" s="1009" t="s">
        <v>443</v>
      </c>
      <c r="B702" s="1219"/>
      <c r="C702" s="1026">
        <v>0</v>
      </c>
      <c r="D702" s="1229">
        <v>60</v>
      </c>
      <c r="E702" s="1288" t="s">
        <v>31</v>
      </c>
      <c r="F702" s="1041">
        <f>ROUND(D702*$C702,0)</f>
        <v>0</v>
      </c>
      <c r="G702" s="1229">
        <v>60</v>
      </c>
      <c r="H702" s="1219"/>
      <c r="I702" s="1041">
        <f t="shared" ref="I702:I703" si="88">ROUND(G702/100*C702*$G$632,0)</f>
        <v>0</v>
      </c>
      <c r="J702" s="1229">
        <f>$J$651</f>
        <v>60</v>
      </c>
      <c r="K702" s="1219"/>
      <c r="L702" s="1041">
        <f>ROUND(J702*$C702,0)</f>
        <v>0</v>
      </c>
      <c r="N702" s="1185"/>
      <c r="O702" s="1185"/>
      <c r="P702" s="1186"/>
      <c r="Q702" s="1186"/>
      <c r="R702" s="1186"/>
      <c r="S702" s="1185"/>
      <c r="T702" s="1185"/>
      <c r="U702" s="1185"/>
      <c r="V702" s="1185"/>
      <c r="W702" s="1185"/>
      <c r="X702" s="1185"/>
      <c r="Y702" s="1185"/>
      <c r="Z702" s="1185"/>
      <c r="AA702" s="1185"/>
      <c r="AB702" s="1185"/>
      <c r="AC702" s="1185"/>
      <c r="AD702" s="1185"/>
      <c r="AE702" s="1185"/>
      <c r="AF702" s="1185"/>
      <c r="AG702" s="1185"/>
      <c r="AH702" s="1185"/>
      <c r="AI702" s="1185"/>
    </row>
    <row r="703" spans="1:35">
      <c r="A703" s="1009" t="s">
        <v>444</v>
      </c>
      <c r="B703" s="1219"/>
      <c r="C703" s="1026">
        <v>0</v>
      </c>
      <c r="D703" s="1262">
        <v>-30</v>
      </c>
      <c r="E703" s="1041" t="s">
        <v>374</v>
      </c>
      <c r="F703" s="1041">
        <f>ROUND(D703*$C703,0)</f>
        <v>0</v>
      </c>
      <c r="G703" s="1262">
        <v>-30</v>
      </c>
      <c r="H703" s="1041" t="s">
        <v>374</v>
      </c>
      <c r="I703" s="1041">
        <f t="shared" si="88"/>
        <v>0</v>
      </c>
      <c r="J703" s="1262">
        <f>$J$652</f>
        <v>-30</v>
      </c>
      <c r="K703" s="1041" t="s">
        <v>374</v>
      </c>
      <c r="L703" s="1041">
        <f>ROUND(J703*$C703,0)</f>
        <v>0</v>
      </c>
      <c r="N703" s="1185"/>
      <c r="O703" s="1185"/>
      <c r="P703" s="1186"/>
      <c r="Q703" s="1186"/>
      <c r="R703" s="1186"/>
      <c r="S703" s="1185"/>
      <c r="T703" s="1185"/>
      <c r="U703" s="1185"/>
      <c r="V703" s="1185"/>
      <c r="W703" s="1185"/>
      <c r="X703" s="1185"/>
      <c r="Y703" s="1185"/>
      <c r="Z703" s="1185"/>
      <c r="AA703" s="1185"/>
      <c r="AB703" s="1185"/>
      <c r="AC703" s="1185"/>
      <c r="AD703" s="1185"/>
      <c r="AE703" s="1185"/>
      <c r="AF703" s="1185"/>
      <c r="AG703" s="1185"/>
      <c r="AH703" s="1185"/>
      <c r="AI703" s="1185"/>
    </row>
    <row r="704" spans="1:35">
      <c r="A704" s="1219" t="s">
        <v>381</v>
      </c>
      <c r="B704" s="1219"/>
      <c r="C704" s="1026">
        <f>SUM(C681:C681)</f>
        <v>145798478.36433661</v>
      </c>
      <c r="D704" s="1255"/>
      <c r="E704" s="1203"/>
      <c r="F704" s="1203">
        <f>SUM(F661:F703)</f>
        <v>10158364</v>
      </c>
      <c r="G704" s="1255"/>
      <c r="H704" s="1009"/>
      <c r="I704" s="1203">
        <f>SUM(I661:I703)</f>
        <v>11583439</v>
      </c>
      <c r="J704" s="1255"/>
      <c r="K704" s="1009"/>
      <c r="L704" s="1203">
        <f>SUM(L661:L703)</f>
        <v>12251237</v>
      </c>
      <c r="N704" s="1185"/>
      <c r="O704" s="1185"/>
      <c r="P704" s="1186"/>
      <c r="Q704" s="1186"/>
      <c r="R704" s="1186"/>
      <c r="S704" s="1185"/>
      <c r="T704" s="1185"/>
      <c r="U704" s="1185"/>
      <c r="V704" s="1185"/>
      <c r="W704" s="1185"/>
      <c r="X704" s="1185"/>
      <c r="Y704" s="1185"/>
      <c r="Z704" s="1185"/>
      <c r="AA704" s="1185"/>
      <c r="AB704" s="1185"/>
      <c r="AC704" s="1185"/>
      <c r="AD704" s="1185"/>
      <c r="AE704" s="1185"/>
      <c r="AF704" s="1185"/>
      <c r="AG704" s="1185"/>
      <c r="AH704" s="1185"/>
      <c r="AI704" s="1185"/>
    </row>
    <row r="705" spans="1:35">
      <c r="A705" s="1219" t="s">
        <v>363</v>
      </c>
      <c r="B705" s="1219"/>
      <c r="C705" s="1032">
        <f>'[97]Table 2'!H101</f>
        <v>2272009.0196180283</v>
      </c>
      <c r="D705" s="1218"/>
      <c r="E705" s="1218"/>
      <c r="F705" s="1239" t="e">
        <f>#REF!</f>
        <v>#REF!</v>
      </c>
      <c r="G705" s="1218"/>
      <c r="H705" s="1218"/>
      <c r="I705" s="1239">
        <f>'[97]Table 3'!E101</f>
        <v>277909.20330886031</v>
      </c>
      <c r="J705" s="1218"/>
      <c r="K705" s="1218"/>
      <c r="L705" s="1239">
        <f>I705</f>
        <v>277909.20330886031</v>
      </c>
      <c r="N705" s="444"/>
      <c r="O705" s="444"/>
      <c r="P705" s="287"/>
      <c r="Q705" s="1186"/>
      <c r="R705" s="1186"/>
      <c r="S705" s="1185"/>
      <c r="T705" s="1185"/>
      <c r="U705" s="1185"/>
      <c r="V705" s="1185"/>
      <c r="W705" s="1185"/>
      <c r="X705" s="1185"/>
      <c r="Y705" s="1185"/>
      <c r="Z705" s="1185"/>
      <c r="AA705" s="1185"/>
      <c r="AB705" s="1185"/>
      <c r="AC705" s="1185"/>
      <c r="AD705" s="1185"/>
      <c r="AE705" s="1185"/>
      <c r="AF705" s="1185"/>
      <c r="AG705" s="1185"/>
      <c r="AH705" s="1185"/>
      <c r="AI705" s="1185"/>
    </row>
    <row r="706" spans="1:35" ht="16.5" thickBot="1">
      <c r="A706" s="1219" t="s">
        <v>382</v>
      </c>
      <c r="B706" s="1219"/>
      <c r="C706" s="1289">
        <f>SUM(C704:C705)</f>
        <v>148070487.38395464</v>
      </c>
      <c r="D706" s="1265"/>
      <c r="E706" s="1266"/>
      <c r="F706" s="1267" t="e">
        <f>F704+F705</f>
        <v>#REF!</v>
      </c>
      <c r="G706" s="1265"/>
      <c r="H706" s="1269"/>
      <c r="I706" s="1267">
        <f>I704+I705</f>
        <v>11861348.20330886</v>
      </c>
      <c r="J706" s="1265"/>
      <c r="K706" s="1269"/>
      <c r="L706" s="1267">
        <f>L704+L705</f>
        <v>12529146.20330886</v>
      </c>
      <c r="N706" s="411"/>
      <c r="O706" s="411"/>
      <c r="P706" s="470"/>
      <c r="Q706" s="1186"/>
      <c r="R706" s="1186"/>
      <c r="S706" s="1185"/>
      <c r="T706" s="1185"/>
      <c r="U706" s="1185"/>
      <c r="V706" s="1185"/>
      <c r="W706" s="1185"/>
      <c r="X706" s="1185"/>
      <c r="Y706" s="1185"/>
      <c r="Z706" s="1185"/>
      <c r="AA706" s="1185"/>
      <c r="AB706" s="1185"/>
      <c r="AC706" s="1185"/>
      <c r="AD706" s="1185"/>
      <c r="AE706" s="1185"/>
      <c r="AF706" s="1185"/>
      <c r="AG706" s="1185"/>
      <c r="AH706" s="1185"/>
      <c r="AI706" s="1185"/>
    </row>
    <row r="707" spans="1:35" ht="16.5" thickTop="1">
      <c r="A707" s="1219"/>
      <c r="B707" s="1219"/>
      <c r="C707" s="1313"/>
      <c r="D707" s="1275"/>
      <c r="E707" s="1276"/>
      <c r="F707" s="1040"/>
      <c r="G707" s="1275" t="s">
        <v>31</v>
      </c>
      <c r="H707" s="1277"/>
      <c r="I707" s="1040"/>
      <c r="J707" s="1314" t="s">
        <v>31</v>
      </c>
      <c r="K707" s="1277"/>
      <c r="L707" s="1210" t="s">
        <v>31</v>
      </c>
      <c r="N707" s="1185"/>
      <c r="O707" s="1185"/>
      <c r="P707" s="1186"/>
      <c r="Q707" s="1186"/>
      <c r="R707" s="1186"/>
      <c r="S707" s="1185"/>
      <c r="T707" s="1185"/>
      <c r="U707" s="1185"/>
      <c r="V707" s="1185"/>
      <c r="W707" s="1185"/>
      <c r="X707" s="1185"/>
      <c r="Y707" s="1185"/>
      <c r="Z707" s="1185"/>
      <c r="AA707" s="1185"/>
      <c r="AB707" s="1185"/>
      <c r="AC707" s="1185"/>
      <c r="AD707" s="1185"/>
      <c r="AE707" s="1185"/>
      <c r="AF707" s="1185"/>
      <c r="AG707" s="1185"/>
      <c r="AH707" s="1185"/>
      <c r="AI707" s="1185"/>
    </row>
    <row r="708" spans="1:35">
      <c r="A708" s="1224" t="s">
        <v>467</v>
      </c>
      <c r="B708" s="1219"/>
      <c r="C708" s="1225"/>
      <c r="D708" s="1261"/>
      <c r="E708" s="1203"/>
      <c r="F708" s="1203"/>
      <c r="G708" s="1261"/>
      <c r="H708" s="1219"/>
      <c r="I708" s="1203"/>
      <c r="J708" s="1261"/>
      <c r="K708" s="1219"/>
      <c r="L708" s="1203"/>
      <c r="N708" s="1185"/>
      <c r="O708" s="1185"/>
      <c r="P708" s="1186"/>
      <c r="Q708" s="1186"/>
      <c r="R708" s="1186"/>
      <c r="S708" s="1185"/>
      <c r="T708" s="1185"/>
      <c r="U708" s="1185"/>
      <c r="V708" s="1185"/>
      <c r="W708" s="1185"/>
      <c r="X708" s="1185"/>
      <c r="Y708" s="1185"/>
      <c r="Z708" s="1185"/>
      <c r="AA708" s="1185"/>
      <c r="AB708" s="1185"/>
      <c r="AC708" s="1185"/>
      <c r="AD708" s="1185"/>
      <c r="AE708" s="1185"/>
      <c r="AF708" s="1185"/>
      <c r="AG708" s="1185"/>
      <c r="AH708" s="1185"/>
      <c r="AI708" s="1185"/>
    </row>
    <row r="709" spans="1:35">
      <c r="A709" s="1218" t="s">
        <v>468</v>
      </c>
      <c r="B709" s="1219"/>
      <c r="C709" s="1225"/>
      <c r="D709" s="1261"/>
      <c r="E709" s="1203"/>
      <c r="F709" s="1203"/>
      <c r="G709" s="1261"/>
      <c r="H709" s="1219"/>
      <c r="I709" s="1203"/>
      <c r="J709" s="1261"/>
      <c r="K709" s="1219"/>
      <c r="L709" s="1203"/>
      <c r="N709" s="1185"/>
      <c r="O709" s="1185"/>
      <c r="P709" s="1186"/>
      <c r="Q709" s="1186"/>
      <c r="R709" s="1186"/>
      <c r="S709" s="1185"/>
      <c r="T709" s="1185"/>
      <c r="U709" s="1185"/>
      <c r="V709" s="1185"/>
      <c r="W709" s="1185"/>
      <c r="X709" s="1185"/>
      <c r="Y709" s="1185"/>
      <c r="Z709" s="1185"/>
      <c r="AA709" s="1185"/>
      <c r="AB709" s="1185"/>
      <c r="AC709" s="1185"/>
      <c r="AD709" s="1185"/>
      <c r="AE709" s="1185"/>
      <c r="AF709" s="1185"/>
      <c r="AG709" s="1185"/>
      <c r="AH709" s="1185"/>
      <c r="AI709" s="1185"/>
    </row>
    <row r="710" spans="1:35">
      <c r="A710" s="1009"/>
      <c r="B710" s="1219"/>
      <c r="C710" s="1225"/>
      <c r="D710" s="1261"/>
      <c r="E710" s="1203"/>
      <c r="F710" s="1303"/>
      <c r="G710" s="1261"/>
      <c r="H710" s="1219"/>
      <c r="I710" s="1303"/>
      <c r="J710" s="1261"/>
      <c r="K710" s="1219"/>
      <c r="L710" s="1304"/>
      <c r="N710" s="1185"/>
      <c r="O710" s="1185"/>
      <c r="P710" s="1186"/>
      <c r="Q710" s="1186"/>
      <c r="R710" s="1186"/>
      <c r="S710" s="1185"/>
      <c r="T710" s="1185"/>
      <c r="U710" s="1185"/>
      <c r="V710" s="1185"/>
      <c r="W710" s="1185"/>
      <c r="X710" s="1185"/>
      <c r="Y710" s="1185"/>
      <c r="Z710" s="1185"/>
      <c r="AA710" s="1185"/>
      <c r="AB710" s="1185"/>
      <c r="AC710" s="1185"/>
      <c r="AD710" s="1185"/>
      <c r="AE710" s="1185"/>
      <c r="AF710" s="1185"/>
      <c r="AG710" s="1185"/>
      <c r="AH710" s="1185"/>
      <c r="AI710" s="1185"/>
    </row>
    <row r="711" spans="1:35">
      <c r="A711" s="1218" t="s">
        <v>449</v>
      </c>
      <c r="B711" s="1219"/>
      <c r="C711" s="1026"/>
      <c r="D711" s="1203" t="s">
        <v>31</v>
      </c>
      <c r="E711" s="1203"/>
      <c r="F711" s="1219"/>
      <c r="G711" s="1203" t="s">
        <v>31</v>
      </c>
      <c r="H711" s="1219"/>
      <c r="I711" s="1219"/>
      <c r="J711" s="1203" t="s">
        <v>31</v>
      </c>
      <c r="K711" s="1219"/>
      <c r="L711" s="1219"/>
      <c r="N711" s="1185"/>
      <c r="O711" s="1185"/>
      <c r="P711" s="1186"/>
      <c r="Q711" s="1186"/>
      <c r="R711" s="1186"/>
      <c r="S711" s="1185"/>
      <c r="T711" s="1185"/>
      <c r="U711" s="1185"/>
      <c r="V711" s="1185"/>
      <c r="W711" s="1185"/>
      <c r="X711" s="1185"/>
      <c r="Y711" s="1185"/>
      <c r="Z711" s="1185"/>
      <c r="AA711" s="1185"/>
      <c r="AB711" s="1185"/>
      <c r="AC711" s="1185"/>
      <c r="AD711" s="1185"/>
      <c r="AE711" s="1185"/>
      <c r="AF711" s="1185"/>
      <c r="AG711" s="1185"/>
      <c r="AH711" s="1185"/>
      <c r="AI711" s="1185"/>
    </row>
    <row r="712" spans="1:35">
      <c r="A712" s="1218" t="s">
        <v>450</v>
      </c>
      <c r="B712" s="1219"/>
      <c r="C712" s="1026">
        <f>64</f>
        <v>64</v>
      </c>
      <c r="D712" s="1261">
        <v>0</v>
      </c>
      <c r="E712" s="1249"/>
      <c r="F712" s="1041">
        <f>ROUND(D712*$C712,0)</f>
        <v>0</v>
      </c>
      <c r="G712" s="1261">
        <v>0</v>
      </c>
      <c r="H712" s="1249"/>
      <c r="I712" s="1041">
        <f>ROUND(G712*C712,0)</f>
        <v>0</v>
      </c>
      <c r="J712" s="1261">
        <f>$J$610</f>
        <v>0</v>
      </c>
      <c r="K712" s="1249"/>
      <c r="L712" s="1041">
        <f>ROUND(J712*$C712,0)</f>
        <v>0</v>
      </c>
      <c r="N712" s="1185"/>
      <c r="O712" s="1185"/>
      <c r="P712" s="1186"/>
      <c r="Q712" s="1186"/>
      <c r="R712" s="1186"/>
      <c r="S712" s="1185"/>
      <c r="T712" s="1185"/>
      <c r="U712" s="1185"/>
      <c r="V712" s="1185"/>
      <c r="W712" s="1185"/>
      <c r="X712" s="1185"/>
      <c r="Y712" s="1185"/>
      <c r="Z712" s="1185"/>
      <c r="AA712" s="1185"/>
      <c r="AB712" s="1185"/>
      <c r="AC712" s="1185"/>
      <c r="AD712" s="1185"/>
      <c r="AE712" s="1185"/>
      <c r="AF712" s="1185"/>
      <c r="AG712" s="1185"/>
      <c r="AH712" s="1185"/>
      <c r="AI712" s="1185"/>
    </row>
    <row r="713" spans="1:35">
      <c r="A713" s="1218" t="s">
        <v>451</v>
      </c>
      <c r="B713" s="1219"/>
      <c r="C713" s="1026"/>
      <c r="D713" s="1261"/>
      <c r="E713" s="1249"/>
      <c r="F713" s="1041"/>
      <c r="G713" s="1261"/>
      <c r="H713" s="1249"/>
      <c r="I713" s="1041"/>
      <c r="J713" s="1261"/>
      <c r="K713" s="1249"/>
      <c r="L713" s="1041"/>
      <c r="N713" s="1185"/>
      <c r="O713" s="1185"/>
      <c r="P713" s="1186"/>
      <c r="Q713" s="1186"/>
      <c r="R713" s="1186"/>
      <c r="S713" s="1185"/>
      <c r="T713" s="1185"/>
      <c r="U713" s="1185"/>
      <c r="V713" s="1185"/>
      <c r="W713" s="1185"/>
      <c r="X713" s="1185"/>
      <c r="Y713" s="1185"/>
      <c r="Z713" s="1185"/>
      <c r="AA713" s="1185"/>
      <c r="AB713" s="1185"/>
      <c r="AC713" s="1185"/>
      <c r="AD713" s="1185"/>
      <c r="AE713" s="1185"/>
      <c r="AF713" s="1185"/>
      <c r="AG713" s="1185"/>
      <c r="AH713" s="1185"/>
      <c r="AI713" s="1185"/>
    </row>
    <row r="714" spans="1:35">
      <c r="A714" s="1218" t="s">
        <v>452</v>
      </c>
      <c r="B714" s="1219"/>
      <c r="C714" s="1026">
        <f>120</f>
        <v>120</v>
      </c>
      <c r="D714" s="1261">
        <v>0</v>
      </c>
      <c r="E714" s="1249"/>
      <c r="F714" s="1041">
        <f>ROUND(D714*$C714,0)</f>
        <v>0</v>
      </c>
      <c r="G714" s="1261">
        <v>0</v>
      </c>
      <c r="H714" s="1249"/>
      <c r="I714" s="1041">
        <f t="shared" ref="I714:I716" si="89">ROUND(G714*C714,0)</f>
        <v>0</v>
      </c>
      <c r="J714" s="1261">
        <f>$J$612</f>
        <v>0</v>
      </c>
      <c r="K714" s="1249"/>
      <c r="L714" s="1041">
        <f>ROUND(J714*$C714,0)</f>
        <v>0</v>
      </c>
      <c r="N714" s="1185"/>
      <c r="O714" s="1185"/>
      <c r="P714" s="1186"/>
      <c r="Q714" s="1186"/>
      <c r="R714" s="1186"/>
      <c r="S714" s="1185"/>
      <c r="T714" s="1185"/>
      <c r="U714" s="1185"/>
      <c r="V714" s="1185"/>
      <c r="W714" s="1185"/>
      <c r="X714" s="1185"/>
      <c r="Y714" s="1185"/>
      <c r="Z714" s="1185"/>
      <c r="AA714" s="1185"/>
      <c r="AB714" s="1185"/>
      <c r="AC714" s="1185"/>
      <c r="AD714" s="1185"/>
      <c r="AE714" s="1185"/>
      <c r="AF714" s="1185"/>
      <c r="AG714" s="1185"/>
      <c r="AH714" s="1185"/>
      <c r="AI714" s="1185"/>
    </row>
    <row r="715" spans="1:35">
      <c r="A715" s="1218" t="s">
        <v>453</v>
      </c>
      <c r="B715" s="1219"/>
      <c r="C715" s="1026">
        <f>11</f>
        <v>11</v>
      </c>
      <c r="D715" s="1261">
        <v>312</v>
      </c>
      <c r="E715" s="1249"/>
      <c r="F715" s="1041">
        <f>ROUND(D715*$C715,0)</f>
        <v>3432</v>
      </c>
      <c r="G715" s="1261">
        <v>357</v>
      </c>
      <c r="H715" s="1249"/>
      <c r="I715" s="1041">
        <f t="shared" si="89"/>
        <v>3927</v>
      </c>
      <c r="J715" s="1261">
        <f>$J$613</f>
        <v>357</v>
      </c>
      <c r="K715" s="1249"/>
      <c r="L715" s="1041">
        <f>ROUND(J715*$C715,0)</f>
        <v>3927</v>
      </c>
      <c r="N715" s="1185"/>
      <c r="O715" s="1185"/>
      <c r="P715" s="1186"/>
      <c r="Q715" s="1186"/>
      <c r="R715" s="1186"/>
      <c r="S715" s="1185"/>
      <c r="T715" s="1185"/>
      <c r="U715" s="1185"/>
      <c r="V715" s="1185"/>
      <c r="W715" s="1185"/>
      <c r="X715" s="1185"/>
      <c r="Y715" s="1185"/>
      <c r="Z715" s="1185"/>
      <c r="AA715" s="1185"/>
      <c r="AB715" s="1185"/>
      <c r="AC715" s="1185"/>
      <c r="AD715" s="1185"/>
      <c r="AE715" s="1185"/>
      <c r="AF715" s="1185"/>
      <c r="AG715" s="1185"/>
      <c r="AH715" s="1185"/>
      <c r="AI715" s="1185"/>
    </row>
    <row r="716" spans="1:35">
      <c r="A716" s="1218" t="s">
        <v>454</v>
      </c>
      <c r="B716" s="1219"/>
      <c r="C716" s="1026">
        <v>0</v>
      </c>
      <c r="D716" s="1261">
        <v>1268</v>
      </c>
      <c r="E716" s="1249"/>
      <c r="F716" s="1041">
        <f>ROUND(D716*$C716,0)</f>
        <v>0</v>
      </c>
      <c r="G716" s="1261">
        <v>1457</v>
      </c>
      <c r="H716" s="1249"/>
      <c r="I716" s="1041">
        <f t="shared" si="89"/>
        <v>0</v>
      </c>
      <c r="J716" s="1261">
        <f>$J$614</f>
        <v>1457</v>
      </c>
      <c r="K716" s="1249"/>
      <c r="L716" s="1041">
        <f>ROUND(J716*$C716,0)</f>
        <v>0</v>
      </c>
      <c r="N716" s="1185"/>
      <c r="O716" s="1185"/>
      <c r="P716" s="1186"/>
      <c r="Q716" s="1186"/>
      <c r="R716" s="1186"/>
      <c r="S716" s="1185"/>
      <c r="T716" s="1185"/>
      <c r="U716" s="1185"/>
      <c r="V716" s="1185"/>
      <c r="W716" s="1185"/>
      <c r="X716" s="1185"/>
      <c r="Y716" s="1185"/>
      <c r="Z716" s="1185"/>
      <c r="AA716" s="1185"/>
      <c r="AB716" s="1185"/>
      <c r="AC716" s="1185"/>
      <c r="AD716" s="1185"/>
      <c r="AE716" s="1185"/>
      <c r="AF716" s="1185"/>
      <c r="AG716" s="1185"/>
      <c r="AH716" s="1185"/>
      <c r="AI716" s="1185"/>
    </row>
    <row r="717" spans="1:35">
      <c r="A717" s="1218" t="s">
        <v>362</v>
      </c>
      <c r="B717" s="1219"/>
      <c r="C717" s="1026">
        <f>SUM(C712:C716)</f>
        <v>195</v>
      </c>
      <c r="D717" s="1261"/>
      <c r="E717" s="1249"/>
      <c r="F717" s="1041"/>
      <c r="G717" s="1261"/>
      <c r="H717" s="1249"/>
      <c r="I717" s="1041"/>
      <c r="J717" s="1261"/>
      <c r="K717" s="1249"/>
      <c r="L717" s="1041"/>
      <c r="N717" s="1185"/>
      <c r="O717" s="1185"/>
      <c r="P717" s="1186"/>
      <c r="Q717" s="1186"/>
      <c r="R717" s="1186"/>
      <c r="S717" s="1185"/>
      <c r="T717" s="1185"/>
      <c r="U717" s="1185"/>
      <c r="V717" s="1185"/>
      <c r="W717" s="1185"/>
      <c r="X717" s="1185"/>
      <c r="Y717" s="1185"/>
      <c r="Z717" s="1185"/>
      <c r="AA717" s="1185"/>
      <c r="AB717" s="1185"/>
      <c r="AC717" s="1185"/>
      <c r="AD717" s="1185"/>
      <c r="AE717" s="1185"/>
      <c r="AF717" s="1185"/>
      <c r="AG717" s="1185"/>
      <c r="AH717" s="1185"/>
      <c r="AI717" s="1185"/>
    </row>
    <row r="718" spans="1:35">
      <c r="A718" s="1218" t="s">
        <v>455</v>
      </c>
      <c r="B718" s="1219"/>
      <c r="C718" s="1026">
        <f>514+1058+102</f>
        <v>1674</v>
      </c>
      <c r="D718" s="1261"/>
      <c r="E718" s="1041"/>
      <c r="F718" s="1041"/>
      <c r="G718" s="1261"/>
      <c r="H718" s="1041"/>
      <c r="I718" s="1041"/>
      <c r="J718" s="1261"/>
      <c r="K718" s="1041"/>
      <c r="L718" s="1041"/>
      <c r="N718" s="1185"/>
      <c r="O718" s="1185"/>
      <c r="P718" s="1186"/>
      <c r="Q718" s="1186"/>
      <c r="R718" s="1186"/>
      <c r="S718" s="1185"/>
      <c r="T718" s="1185"/>
      <c r="U718" s="1185"/>
      <c r="V718" s="1185"/>
      <c r="W718" s="1185"/>
      <c r="X718" s="1185"/>
      <c r="Y718" s="1185"/>
      <c r="Z718" s="1185"/>
      <c r="AA718" s="1185"/>
      <c r="AB718" s="1185"/>
      <c r="AC718" s="1185"/>
      <c r="AD718" s="1185"/>
      <c r="AE718" s="1185"/>
      <c r="AF718" s="1185"/>
      <c r="AG718" s="1185"/>
      <c r="AH718" s="1185"/>
      <c r="AI718" s="1185"/>
    </row>
    <row r="719" spans="1:35">
      <c r="A719" s="1218" t="s">
        <v>104</v>
      </c>
      <c r="B719" s="1219"/>
      <c r="C719" s="1026">
        <f>71+142+13</f>
        <v>226</v>
      </c>
      <c r="D719" s="1261"/>
      <c r="E719" s="1041"/>
      <c r="F719" s="1041"/>
      <c r="G719" s="1261"/>
      <c r="H719" s="1041"/>
      <c r="I719" s="1041"/>
      <c r="J719" s="1261"/>
      <c r="K719" s="1041"/>
      <c r="L719" s="1041"/>
      <c r="N719" s="1185"/>
      <c r="O719" s="1185"/>
      <c r="P719" s="1186"/>
      <c r="Q719" s="1186"/>
      <c r="R719" s="1186"/>
      <c r="S719" s="1185"/>
      <c r="T719" s="1185"/>
      <c r="U719" s="1185"/>
      <c r="V719" s="1185"/>
      <c r="W719" s="1185"/>
      <c r="X719" s="1185"/>
      <c r="Y719" s="1185"/>
      <c r="Z719" s="1185"/>
      <c r="AA719" s="1185"/>
      <c r="AB719" s="1185"/>
      <c r="AC719" s="1185"/>
      <c r="AD719" s="1185"/>
      <c r="AE719" s="1185"/>
      <c r="AF719" s="1185"/>
      <c r="AG719" s="1185"/>
      <c r="AH719" s="1185"/>
      <c r="AI719" s="1185"/>
    </row>
    <row r="720" spans="1:35">
      <c r="A720" s="1218" t="s">
        <v>456</v>
      </c>
      <c r="B720" s="1219"/>
      <c r="C720" s="1026"/>
      <c r="D720" s="1261"/>
      <c r="E720" s="1249"/>
      <c r="F720" s="1041"/>
      <c r="G720" s="1261"/>
      <c r="H720" s="1249"/>
      <c r="I720" s="1041"/>
      <c r="J720" s="1261"/>
      <c r="K720" s="1249"/>
      <c r="L720" s="1041"/>
      <c r="N720" s="1185"/>
      <c r="O720" s="1185"/>
      <c r="P720" s="1186"/>
      <c r="Q720" s="1186"/>
      <c r="R720" s="1186"/>
      <c r="S720" s="1185"/>
      <c r="T720" s="1185"/>
      <c r="U720" s="1185"/>
      <c r="V720" s="1185"/>
      <c r="W720" s="1185"/>
      <c r="X720" s="1185"/>
      <c r="Y720" s="1185"/>
      <c r="Z720" s="1185"/>
      <c r="AA720" s="1185"/>
      <c r="AB720" s="1185"/>
      <c r="AC720" s="1185"/>
      <c r="AD720" s="1185"/>
      <c r="AE720" s="1185"/>
      <c r="AF720" s="1185"/>
      <c r="AG720" s="1185"/>
      <c r="AH720" s="1185"/>
      <c r="AI720" s="1185"/>
    </row>
    <row r="721" spans="1:35">
      <c r="A721" s="1218" t="s">
        <v>457</v>
      </c>
      <c r="B721" s="1219"/>
      <c r="C721" s="1026">
        <f>207</f>
        <v>207</v>
      </c>
      <c r="D721" s="1261">
        <v>20.86</v>
      </c>
      <c r="E721" s="1249"/>
      <c r="F721" s="1041">
        <f>ROUND(D721*$C721,0)</f>
        <v>4318</v>
      </c>
      <c r="G721" s="1261">
        <v>23.87</v>
      </c>
      <c r="H721" s="1249"/>
      <c r="I721" s="1041">
        <f>ROUND(G721*C721,0)</f>
        <v>4941</v>
      </c>
      <c r="J721" s="1261">
        <f>$J$619</f>
        <v>25.265901957370488</v>
      </c>
      <c r="K721" s="1249"/>
      <c r="L721" s="1041">
        <f>ROUND(J721*$C721,0)</f>
        <v>5230</v>
      </c>
      <c r="N721" s="1185"/>
      <c r="O721" s="1185"/>
      <c r="P721" s="1186"/>
      <c r="Q721" s="1186"/>
      <c r="R721" s="1186"/>
      <c r="S721" s="1185"/>
      <c r="T721" s="1185"/>
      <c r="U721" s="1185"/>
      <c r="V721" s="1185"/>
      <c r="W721" s="1185"/>
      <c r="X721" s="1185"/>
      <c r="Y721" s="1185"/>
      <c r="Z721" s="1185"/>
      <c r="AA721" s="1185"/>
      <c r="AB721" s="1185"/>
      <c r="AC721" s="1185"/>
      <c r="AD721" s="1185"/>
      <c r="AE721" s="1185"/>
      <c r="AF721" s="1185"/>
      <c r="AG721" s="1185"/>
      <c r="AH721" s="1185"/>
      <c r="AI721" s="1185"/>
    </row>
    <row r="722" spans="1:35">
      <c r="A722" s="1218" t="s">
        <v>458</v>
      </c>
      <c r="B722" s="1219"/>
      <c r="C722" s="1026"/>
      <c r="D722" s="1261"/>
      <c r="E722" s="1249"/>
      <c r="F722" s="1041"/>
      <c r="G722" s="1261"/>
      <c r="H722" s="1249"/>
      <c r="I722" s="1041"/>
      <c r="J722" s="1261"/>
      <c r="K722" s="1249"/>
      <c r="L722" s="1041"/>
      <c r="N722" s="1185"/>
      <c r="O722" s="1185"/>
      <c r="P722" s="1186"/>
      <c r="Q722" s="1186"/>
      <c r="R722" s="1186"/>
      <c r="S722" s="1185"/>
      <c r="T722" s="1185"/>
      <c r="U722" s="1185"/>
      <c r="V722" s="1185"/>
      <c r="W722" s="1185"/>
      <c r="X722" s="1185"/>
      <c r="Y722" s="1185"/>
      <c r="Z722" s="1185"/>
      <c r="AA722" s="1185"/>
      <c r="AB722" s="1185"/>
      <c r="AC722" s="1185"/>
      <c r="AD722" s="1185"/>
      <c r="AE722" s="1185"/>
      <c r="AF722" s="1185"/>
      <c r="AG722" s="1185"/>
      <c r="AH722" s="1185"/>
      <c r="AI722" s="1185"/>
    </row>
    <row r="723" spans="1:35">
      <c r="A723" s="1218" t="s">
        <v>452</v>
      </c>
      <c r="B723" s="1219"/>
      <c r="C723" s="1026">
        <f>1678</f>
        <v>1678</v>
      </c>
      <c r="D723" s="1261">
        <v>20.860000000000003</v>
      </c>
      <c r="E723" s="1249"/>
      <c r="F723" s="1041">
        <f>ROUND(D723*$C723,0)</f>
        <v>35003</v>
      </c>
      <c r="G723" s="1261">
        <v>23.79</v>
      </c>
      <c r="H723" s="1249"/>
      <c r="I723" s="1041">
        <f t="shared" ref="I723:I727" si="90">ROUND(G723*C723,0)</f>
        <v>39920</v>
      </c>
      <c r="J723" s="1261">
        <f>$J$621</f>
        <v>25.171223609796559</v>
      </c>
      <c r="K723" s="1249"/>
      <c r="L723" s="1041">
        <f>ROUND(J723*$C723,0)</f>
        <v>42237</v>
      </c>
      <c r="N723" s="1185"/>
      <c r="O723" s="1185"/>
      <c r="P723" s="1186"/>
      <c r="Q723" s="1186"/>
      <c r="R723" s="1186"/>
      <c r="S723" s="1185"/>
      <c r="T723" s="1185"/>
      <c r="U723" s="1185"/>
      <c r="V723" s="1185"/>
      <c r="W723" s="1185"/>
      <c r="X723" s="1185"/>
      <c r="Y723" s="1185"/>
      <c r="Z723" s="1185"/>
      <c r="AA723" s="1185"/>
      <c r="AB723" s="1185"/>
      <c r="AC723" s="1185"/>
      <c r="AD723" s="1185"/>
      <c r="AE723" s="1185"/>
      <c r="AF723" s="1185"/>
      <c r="AG723" s="1185"/>
      <c r="AH723" s="1185"/>
      <c r="AI723" s="1185"/>
    </row>
    <row r="724" spans="1:35">
      <c r="A724" s="1218" t="s">
        <v>453</v>
      </c>
      <c r="B724" s="1219"/>
      <c r="C724" s="1026">
        <f>1435</f>
        <v>1435</v>
      </c>
      <c r="D724" s="1261">
        <v>14.53</v>
      </c>
      <c r="E724" s="1249"/>
      <c r="F724" s="1041">
        <f>ROUND(D724*$C724,0)</f>
        <v>20851</v>
      </c>
      <c r="G724" s="1261">
        <v>16.559999999999999</v>
      </c>
      <c r="H724" s="1249"/>
      <c r="I724" s="1041">
        <f t="shared" si="90"/>
        <v>23764</v>
      </c>
      <c r="J724" s="1261">
        <f>$J$622</f>
        <v>17.5284179478029</v>
      </c>
      <c r="K724" s="1249"/>
      <c r="L724" s="1041">
        <f>ROUND(J724*$C724,0)</f>
        <v>25153</v>
      </c>
      <c r="N724" s="1185"/>
      <c r="O724" s="1185"/>
      <c r="P724" s="1186"/>
      <c r="Q724" s="1186"/>
      <c r="R724" s="1186"/>
      <c r="S724" s="1185"/>
      <c r="T724" s="1185"/>
      <c r="U724" s="1185"/>
      <c r="V724" s="1185"/>
      <c r="W724" s="1185"/>
      <c r="X724" s="1185"/>
      <c r="Y724" s="1185"/>
      <c r="Z724" s="1185"/>
      <c r="AA724" s="1185"/>
      <c r="AB724" s="1185"/>
      <c r="AC724" s="1185"/>
      <c r="AD724" s="1185"/>
      <c r="AE724" s="1185"/>
      <c r="AF724" s="1185"/>
      <c r="AG724" s="1185"/>
      <c r="AH724" s="1185"/>
      <c r="AI724" s="1185"/>
    </row>
    <row r="725" spans="1:35">
      <c r="A725" s="1218" t="s">
        <v>454</v>
      </c>
      <c r="B725" s="1219"/>
      <c r="C725" s="1026">
        <v>0</v>
      </c>
      <c r="D725" s="1261">
        <v>11.340000000000002</v>
      </c>
      <c r="E725" s="1249"/>
      <c r="F725" s="1041">
        <f>ROUND(D725*$C725,0)</f>
        <v>0</v>
      </c>
      <c r="G725" s="1261">
        <v>12.96</v>
      </c>
      <c r="H725" s="1249"/>
      <c r="I725" s="1041">
        <f t="shared" si="90"/>
        <v>0</v>
      </c>
      <c r="J725" s="1261">
        <f>$J$623</f>
        <v>13.717892306976186</v>
      </c>
      <c r="K725" s="1249"/>
      <c r="L725" s="1041">
        <f>ROUND(J725*$C725,0)</f>
        <v>0</v>
      </c>
      <c r="N725" s="1185"/>
      <c r="O725" s="1185"/>
      <c r="P725" s="1186"/>
      <c r="Q725" s="1186"/>
      <c r="R725" s="1186"/>
      <c r="S725" s="1185"/>
      <c r="T725" s="1185"/>
      <c r="U725" s="1185"/>
      <c r="V725" s="1185"/>
      <c r="W725" s="1185"/>
      <c r="X725" s="1185"/>
      <c r="Y725" s="1185"/>
      <c r="Z725" s="1185"/>
      <c r="AA725" s="1185"/>
      <c r="AB725" s="1185"/>
      <c r="AC725" s="1185"/>
      <c r="AD725" s="1185"/>
      <c r="AE725" s="1185"/>
      <c r="AF725" s="1185"/>
      <c r="AG725" s="1185"/>
      <c r="AH725" s="1185"/>
      <c r="AI725" s="1185"/>
    </row>
    <row r="726" spans="1:35">
      <c r="A726" s="1218" t="s">
        <v>460</v>
      </c>
      <c r="B726" s="1219"/>
      <c r="C726" s="1026">
        <f>38</f>
        <v>38</v>
      </c>
      <c r="D726" s="1261">
        <v>62.58</v>
      </c>
      <c r="E726" s="1249"/>
      <c r="F726" s="1041">
        <f>ROUND(D726*$C726,0)</f>
        <v>2378</v>
      </c>
      <c r="G726" s="1261">
        <v>71.61</v>
      </c>
      <c r="H726" s="1249"/>
      <c r="I726" s="1041">
        <f t="shared" si="90"/>
        <v>2721</v>
      </c>
      <c r="J726" s="1261">
        <f>$J$624</f>
        <v>75.797705872111464</v>
      </c>
      <c r="K726" s="1249"/>
      <c r="L726" s="1041">
        <f>ROUND(J726*$C726,0)</f>
        <v>2880</v>
      </c>
      <c r="N726" s="1185"/>
      <c r="O726" s="1185"/>
      <c r="P726" s="1186"/>
      <c r="Q726" s="1186"/>
      <c r="R726" s="1186"/>
      <c r="S726" s="1185"/>
      <c r="T726" s="1185"/>
      <c r="U726" s="1185"/>
      <c r="V726" s="1185"/>
      <c r="W726" s="1185"/>
      <c r="X726" s="1185"/>
      <c r="Y726" s="1185"/>
      <c r="Z726" s="1185"/>
      <c r="AA726" s="1185"/>
      <c r="AB726" s="1185"/>
      <c r="AC726" s="1185"/>
      <c r="AD726" s="1185"/>
      <c r="AE726" s="1185"/>
      <c r="AF726" s="1185"/>
      <c r="AG726" s="1185"/>
      <c r="AH726" s="1185"/>
      <c r="AI726" s="1185"/>
    </row>
    <row r="727" spans="1:35">
      <c r="A727" s="1218" t="s">
        <v>461</v>
      </c>
      <c r="B727" s="1219"/>
      <c r="C727" s="1026">
        <f>31</f>
        <v>31</v>
      </c>
      <c r="D727" s="1261">
        <v>125.16000000000003</v>
      </c>
      <c r="E727" s="1249"/>
      <c r="F727" s="1041">
        <f>ROUND(D727*$C727,0)</f>
        <v>3880</v>
      </c>
      <c r="G727" s="1261">
        <v>142.74</v>
      </c>
      <c r="H727" s="1249"/>
      <c r="I727" s="1041">
        <f t="shared" si="90"/>
        <v>4425</v>
      </c>
      <c r="J727" s="1261">
        <f>$J$625</f>
        <v>151.02734165877936</v>
      </c>
      <c r="K727" s="1249"/>
      <c r="L727" s="1041">
        <f>ROUND(J727*$C727,0)</f>
        <v>4682</v>
      </c>
      <c r="N727" s="1185"/>
      <c r="O727" s="1185"/>
      <c r="P727" s="1186"/>
      <c r="Q727" s="1186"/>
      <c r="R727" s="1186"/>
      <c r="S727" s="1185"/>
      <c r="T727" s="1185"/>
      <c r="U727" s="1185"/>
      <c r="V727" s="1185"/>
      <c r="W727" s="1185"/>
      <c r="X727" s="1185"/>
      <c r="Y727" s="1185"/>
      <c r="Z727" s="1185"/>
      <c r="AA727" s="1185"/>
      <c r="AB727" s="1185"/>
      <c r="AC727" s="1185"/>
      <c r="AD727" s="1185"/>
      <c r="AE727" s="1185"/>
      <c r="AF727" s="1185"/>
      <c r="AG727" s="1185"/>
      <c r="AH727" s="1185"/>
      <c r="AI727" s="1185"/>
    </row>
    <row r="728" spans="1:35">
      <c r="A728" s="1218" t="s">
        <v>462</v>
      </c>
      <c r="B728" s="1219"/>
      <c r="C728" s="1026"/>
      <c r="D728" s="1261"/>
      <c r="E728" s="1249"/>
      <c r="F728" s="1041"/>
      <c r="G728" s="1261"/>
      <c r="H728" s="1249"/>
      <c r="I728" s="1041"/>
      <c r="J728" s="1261"/>
      <c r="K728" s="1249"/>
      <c r="L728" s="1041"/>
      <c r="N728" s="1185"/>
      <c r="O728" s="1185"/>
      <c r="P728" s="1186"/>
      <c r="Q728" s="1186"/>
      <c r="R728" s="1186"/>
      <c r="S728" s="1185"/>
      <c r="T728" s="1185"/>
      <c r="U728" s="1185"/>
      <c r="V728" s="1185"/>
      <c r="W728" s="1185"/>
      <c r="X728" s="1185"/>
      <c r="Y728" s="1185"/>
      <c r="Z728" s="1185"/>
      <c r="AA728" s="1185"/>
      <c r="AB728" s="1185"/>
      <c r="AC728" s="1185"/>
      <c r="AD728" s="1185"/>
      <c r="AE728" s="1185"/>
      <c r="AF728" s="1185"/>
      <c r="AG728" s="1185"/>
      <c r="AH728" s="1185"/>
      <c r="AI728" s="1185"/>
    </row>
    <row r="729" spans="1:35">
      <c r="A729" s="1218" t="s">
        <v>457</v>
      </c>
      <c r="B729" s="1219"/>
      <c r="C729" s="1026">
        <f>2</f>
        <v>2</v>
      </c>
      <c r="D729" s="1259">
        <v>-20.86</v>
      </c>
      <c r="E729" s="1249"/>
      <c r="F729" s="1041">
        <f>ROUND(D729*$C729,0)</f>
        <v>-42</v>
      </c>
      <c r="G729" s="1259">
        <v>-23.87</v>
      </c>
      <c r="H729" s="1249"/>
      <c r="I729" s="1041">
        <f t="shared" ref="I729:I730" si="91">ROUND(G729*C729,0)</f>
        <v>-48</v>
      </c>
      <c r="J729" s="1259">
        <f>-J721</f>
        <v>-25.265901957370488</v>
      </c>
      <c r="K729" s="1249"/>
      <c r="L729" s="1041">
        <f>ROUND(J729*$C729,0)</f>
        <v>-51</v>
      </c>
      <c r="N729" s="1185"/>
      <c r="O729" s="1185"/>
      <c r="P729" s="1186"/>
      <c r="Q729" s="1186"/>
      <c r="R729" s="1186"/>
      <c r="S729" s="1185"/>
      <c r="T729" s="1185"/>
      <c r="U729" s="1185"/>
      <c r="V729" s="1185"/>
      <c r="W729" s="1185"/>
      <c r="X729" s="1185"/>
      <c r="Y729" s="1185"/>
      <c r="Z729" s="1185"/>
      <c r="AA729" s="1185"/>
      <c r="AB729" s="1185"/>
      <c r="AC729" s="1185"/>
      <c r="AD729" s="1185"/>
      <c r="AE729" s="1185"/>
      <c r="AF729" s="1185"/>
      <c r="AG729" s="1185"/>
      <c r="AH729" s="1185"/>
      <c r="AI729" s="1185"/>
    </row>
    <row r="730" spans="1:35">
      <c r="A730" s="1218" t="s">
        <v>463</v>
      </c>
      <c r="B730" s="1219"/>
      <c r="C730" s="1026">
        <f>13</f>
        <v>13</v>
      </c>
      <c r="D730" s="1259">
        <v>-20.860000000000003</v>
      </c>
      <c r="E730" s="1249"/>
      <c r="F730" s="1041">
        <f>ROUND(D730*$C730,0)</f>
        <v>-271</v>
      </c>
      <c r="G730" s="1259">
        <v>-23.79</v>
      </c>
      <c r="H730" s="1249"/>
      <c r="I730" s="1041">
        <f t="shared" si="91"/>
        <v>-309</v>
      </c>
      <c r="J730" s="1259">
        <f>-J723</f>
        <v>-25.171223609796559</v>
      </c>
      <c r="K730" s="1249"/>
      <c r="L730" s="1041">
        <f>ROUND(J730*$C730,0)</f>
        <v>-327</v>
      </c>
      <c r="N730" s="1185"/>
      <c r="O730" s="1185"/>
      <c r="P730" s="1186"/>
      <c r="Q730" s="1186"/>
      <c r="R730" s="1186"/>
      <c r="S730" s="1185"/>
      <c r="T730" s="1185"/>
      <c r="U730" s="1185"/>
      <c r="V730" s="1185"/>
      <c r="W730" s="1185"/>
      <c r="X730" s="1185"/>
      <c r="Y730" s="1185"/>
      <c r="Z730" s="1185"/>
      <c r="AA730" s="1185"/>
      <c r="AB730" s="1185"/>
      <c r="AC730" s="1185"/>
      <c r="AD730" s="1185"/>
      <c r="AE730" s="1185"/>
      <c r="AF730" s="1185"/>
      <c r="AG730" s="1185"/>
      <c r="AH730" s="1185"/>
      <c r="AI730" s="1185"/>
    </row>
    <row r="731" spans="1:35">
      <c r="A731" s="1009" t="s">
        <v>426</v>
      </c>
      <c r="B731" s="1219"/>
      <c r="C731" s="1026"/>
      <c r="D731" s="1261"/>
      <c r="E731" s="1041"/>
      <c r="F731" s="1041"/>
      <c r="G731" s="1261"/>
      <c r="H731" s="1041"/>
      <c r="I731" s="1041"/>
      <c r="J731" s="1261"/>
      <c r="K731" s="1041"/>
      <c r="L731" s="1041"/>
      <c r="N731" s="1185"/>
      <c r="O731" s="1185"/>
      <c r="P731" s="1186"/>
      <c r="Q731" s="1186"/>
      <c r="R731" s="1186"/>
      <c r="S731" s="1185"/>
      <c r="T731" s="1185"/>
      <c r="U731" s="1185"/>
      <c r="V731" s="1185"/>
      <c r="W731" s="1185"/>
      <c r="X731" s="1185"/>
      <c r="Y731" s="1185"/>
      <c r="Z731" s="1185"/>
      <c r="AA731" s="1185"/>
      <c r="AB731" s="1185"/>
      <c r="AC731" s="1185"/>
      <c r="AD731" s="1185"/>
      <c r="AE731" s="1185"/>
      <c r="AF731" s="1185"/>
      <c r="AG731" s="1185"/>
      <c r="AH731" s="1185"/>
      <c r="AI731" s="1185"/>
    </row>
    <row r="732" spans="1:35">
      <c r="A732" s="1218" t="s">
        <v>464</v>
      </c>
      <c r="B732" s="1219"/>
      <c r="C732" s="1026">
        <f>422494+3044200+1934893</f>
        <v>5401587</v>
      </c>
      <c r="D732" s="1316">
        <v>5.6469999999999994</v>
      </c>
      <c r="E732" s="1041" t="s">
        <v>374</v>
      </c>
      <c r="F732" s="1041">
        <f>ROUND(D732/100*$C732,0)</f>
        <v>305028</v>
      </c>
      <c r="G732" s="1316">
        <v>6.4390000000000001</v>
      </c>
      <c r="H732" s="1041" t="s">
        <v>374</v>
      </c>
      <c r="I732" s="1041">
        <f>ROUND(G732/100*C732,0)</f>
        <v>347808</v>
      </c>
      <c r="J732" s="1316">
        <f>$J$630</f>
        <v>6.8159999999999998</v>
      </c>
      <c r="K732" s="1041" t="s">
        <v>374</v>
      </c>
      <c r="L732" s="1041">
        <f>ROUND(J732/100*$C732,0)</f>
        <v>368172</v>
      </c>
      <c r="N732" s="1185"/>
      <c r="O732" s="1185"/>
      <c r="P732" s="1186"/>
      <c r="Q732" s="1186"/>
      <c r="R732" s="1186"/>
      <c r="S732" s="1185"/>
      <c r="T732" s="1185"/>
      <c r="U732" s="1185"/>
      <c r="V732" s="1185"/>
      <c r="W732" s="1185"/>
      <c r="X732" s="1185"/>
      <c r="Y732" s="1185"/>
      <c r="Z732" s="1185"/>
      <c r="AA732" s="1185"/>
      <c r="AB732" s="1185"/>
      <c r="AC732" s="1185"/>
      <c r="AD732" s="1185"/>
      <c r="AE732" s="1185"/>
      <c r="AF732" s="1185"/>
      <c r="AG732" s="1185"/>
      <c r="AH732" s="1185"/>
      <c r="AI732" s="1185"/>
    </row>
    <row r="733" spans="1:35">
      <c r="A733" s="1009" t="s">
        <v>400</v>
      </c>
      <c r="B733" s="1219"/>
      <c r="C733" s="1026">
        <f>643+730</f>
        <v>1373</v>
      </c>
      <c r="D733" s="1262">
        <v>50</v>
      </c>
      <c r="E733" s="1009" t="s">
        <v>374</v>
      </c>
      <c r="F733" s="1041">
        <f>ROUND(D733*$C733/100,0)</f>
        <v>687</v>
      </c>
      <c r="G733" s="1262">
        <v>56</v>
      </c>
      <c r="H733" s="1009" t="s">
        <v>374</v>
      </c>
      <c r="I733" s="1041">
        <f>ROUND(G733*C733/100,0)</f>
        <v>769</v>
      </c>
      <c r="J733" s="1262">
        <f>$J$631</f>
        <v>56</v>
      </c>
      <c r="K733" s="1009" t="s">
        <v>374</v>
      </c>
      <c r="L733" s="1041">
        <f>ROUND(J733*$C733/100,0)</f>
        <v>769</v>
      </c>
      <c r="N733" s="1185"/>
      <c r="O733" s="1185"/>
      <c r="P733" s="1186"/>
      <c r="Q733" s="1186"/>
      <c r="R733" s="1186"/>
      <c r="S733" s="1185"/>
      <c r="T733" s="1185"/>
      <c r="U733" s="1185"/>
      <c r="V733" s="1185"/>
      <c r="W733" s="1185"/>
      <c r="X733" s="1185"/>
      <c r="Y733" s="1185"/>
      <c r="Z733" s="1185"/>
      <c r="AA733" s="1185"/>
      <c r="AB733" s="1185"/>
      <c r="AC733" s="1185"/>
      <c r="AD733" s="1185"/>
      <c r="AE733" s="1185"/>
      <c r="AF733" s="1185"/>
      <c r="AG733" s="1185"/>
      <c r="AH733" s="1185"/>
      <c r="AI733" s="1185"/>
    </row>
    <row r="734" spans="1:35">
      <c r="A734" s="1283" t="s">
        <v>401</v>
      </c>
      <c r="B734" s="1219"/>
      <c r="C734" s="1026"/>
      <c r="D734" s="1257">
        <v>-0.01</v>
      </c>
      <c r="E734" s="1203"/>
      <c r="F734" s="1041"/>
      <c r="G734" s="1257">
        <v>-0.01</v>
      </c>
      <c r="H734" s="1219"/>
      <c r="I734" s="1041"/>
      <c r="J734" s="1257">
        <v>-0.01</v>
      </c>
      <c r="K734" s="1219"/>
      <c r="L734" s="1041"/>
      <c r="N734" s="1185"/>
      <c r="O734" s="1185"/>
      <c r="P734" s="1186"/>
      <c r="Q734" s="1186"/>
      <c r="R734" s="1186"/>
      <c r="S734" s="1185"/>
      <c r="T734" s="1185"/>
      <c r="U734" s="1185"/>
      <c r="V734" s="1185"/>
      <c r="W734" s="1185"/>
      <c r="X734" s="1185"/>
      <c r="Y734" s="1185"/>
      <c r="Z734" s="1185"/>
      <c r="AA734" s="1185"/>
      <c r="AB734" s="1185"/>
      <c r="AC734" s="1185"/>
      <c r="AD734" s="1185"/>
      <c r="AE734" s="1185"/>
      <c r="AF734" s="1185"/>
      <c r="AG734" s="1185"/>
      <c r="AH734" s="1185"/>
      <c r="AI734" s="1185"/>
    </row>
    <row r="735" spans="1:35">
      <c r="A735" s="1218" t="s">
        <v>390</v>
      </c>
      <c r="B735" s="1219"/>
      <c r="C735" s="1026">
        <v>0</v>
      </c>
      <c r="D735" s="1303">
        <v>0</v>
      </c>
      <c r="E735" s="1249"/>
      <c r="F735" s="1041">
        <f>ROUND(D735*$C735*$D$632,0)</f>
        <v>0</v>
      </c>
      <c r="G735" s="1303">
        <v>0</v>
      </c>
      <c r="H735" s="1249"/>
      <c r="I735" s="1041">
        <f>ROUND(G735*C735,0)</f>
        <v>0</v>
      </c>
      <c r="J735" s="1303">
        <f>J712</f>
        <v>0</v>
      </c>
      <c r="K735" s="1249"/>
      <c r="L735" s="1041">
        <f>ROUND(J735*$C735*$D$632,0)</f>
        <v>0</v>
      </c>
      <c r="N735" s="1185"/>
      <c r="O735" s="1185"/>
      <c r="P735" s="1186"/>
      <c r="Q735" s="1186"/>
      <c r="R735" s="1186"/>
      <c r="S735" s="1185"/>
      <c r="T735" s="1185"/>
      <c r="U735" s="1185"/>
      <c r="V735" s="1185"/>
      <c r="W735" s="1185"/>
      <c r="X735" s="1185"/>
      <c r="Y735" s="1185"/>
      <c r="Z735" s="1185"/>
      <c r="AA735" s="1185"/>
      <c r="AB735" s="1185"/>
      <c r="AC735" s="1185"/>
      <c r="AD735" s="1185"/>
      <c r="AE735" s="1185"/>
      <c r="AF735" s="1185"/>
      <c r="AG735" s="1185"/>
      <c r="AH735" s="1185"/>
      <c r="AI735" s="1185"/>
    </row>
    <row r="736" spans="1:35">
      <c r="A736" s="1218" t="s">
        <v>391</v>
      </c>
      <c r="B736" s="1219"/>
      <c r="C736" s="1026"/>
      <c r="D736" s="1303"/>
      <c r="E736" s="1249"/>
      <c r="F736" s="1041"/>
      <c r="G736" s="1303"/>
      <c r="H736" s="1249"/>
      <c r="I736" s="1041"/>
      <c r="J736" s="1303"/>
      <c r="K736" s="1249"/>
      <c r="L736" s="1041"/>
      <c r="N736" s="1185"/>
      <c r="O736" s="1185"/>
      <c r="P736" s="1186"/>
      <c r="Q736" s="1186"/>
      <c r="R736" s="1186"/>
      <c r="S736" s="1185"/>
      <c r="T736" s="1185"/>
      <c r="U736" s="1185"/>
      <c r="V736" s="1185"/>
      <c r="W736" s="1185"/>
      <c r="X736" s="1185"/>
      <c r="Y736" s="1185"/>
      <c r="Z736" s="1185"/>
      <c r="AA736" s="1185"/>
      <c r="AB736" s="1185"/>
      <c r="AC736" s="1185"/>
      <c r="AD736" s="1185"/>
      <c r="AE736" s="1185"/>
      <c r="AF736" s="1185"/>
      <c r="AG736" s="1185"/>
      <c r="AH736" s="1185"/>
      <c r="AI736" s="1185"/>
    </row>
    <row r="737" spans="1:35">
      <c r="A737" s="1218" t="s">
        <v>452</v>
      </c>
      <c r="B737" s="1219"/>
      <c r="C737" s="1026">
        <v>0</v>
      </c>
      <c r="D737" s="1303">
        <v>0</v>
      </c>
      <c r="E737" s="1249"/>
      <c r="F737" s="1041">
        <f>ROUND(D737*$C737*$D$632,0)</f>
        <v>0</v>
      </c>
      <c r="G737" s="1303">
        <v>0</v>
      </c>
      <c r="H737" s="1249"/>
      <c r="I737" s="1041">
        <f t="shared" ref="I737:I740" si="92">ROUND(G737*C737,0)</f>
        <v>0</v>
      </c>
      <c r="J737" s="1303">
        <f>J714</f>
        <v>0</v>
      </c>
      <c r="K737" s="1249"/>
      <c r="L737" s="1041">
        <f>ROUND(J737*$C737*$D$632,0)</f>
        <v>0</v>
      </c>
      <c r="N737" s="1185"/>
      <c r="O737" s="1185"/>
      <c r="P737" s="1186"/>
      <c r="Q737" s="1186"/>
      <c r="R737" s="1186"/>
      <c r="S737" s="1185"/>
      <c r="T737" s="1185"/>
      <c r="U737" s="1185"/>
      <c r="V737" s="1185"/>
      <c r="W737" s="1185"/>
      <c r="X737" s="1185"/>
      <c r="Y737" s="1185"/>
      <c r="Z737" s="1185"/>
      <c r="AA737" s="1185"/>
      <c r="AB737" s="1185"/>
      <c r="AC737" s="1185"/>
      <c r="AD737" s="1185"/>
      <c r="AE737" s="1185"/>
      <c r="AF737" s="1185"/>
      <c r="AG737" s="1185"/>
      <c r="AH737" s="1185"/>
      <c r="AI737" s="1185"/>
    </row>
    <row r="738" spans="1:35">
      <c r="A738" s="1218" t="s">
        <v>453</v>
      </c>
      <c r="B738" s="1219"/>
      <c r="C738" s="1026">
        <v>0</v>
      </c>
      <c r="D738" s="1303">
        <v>312</v>
      </c>
      <c r="E738" s="1249"/>
      <c r="F738" s="1041">
        <f>ROUND(D738*$C738*$D$632,0)</f>
        <v>0</v>
      </c>
      <c r="G738" s="1303">
        <v>357</v>
      </c>
      <c r="H738" s="1249"/>
      <c r="I738" s="1041">
        <f t="shared" si="92"/>
        <v>0</v>
      </c>
      <c r="J738" s="1303">
        <f>J715</f>
        <v>357</v>
      </c>
      <c r="K738" s="1249"/>
      <c r="L738" s="1041">
        <f>ROUND(J738*$C738*$D$632,0)</f>
        <v>0</v>
      </c>
      <c r="N738" s="1185"/>
      <c r="O738" s="1185"/>
      <c r="P738" s="1186"/>
      <c r="Q738" s="1186"/>
      <c r="R738" s="1186"/>
      <c r="S738" s="1185"/>
      <c r="T738" s="1185"/>
      <c r="U738" s="1185"/>
      <c r="V738" s="1185"/>
      <c r="W738" s="1185"/>
      <c r="X738" s="1185"/>
      <c r="Y738" s="1185"/>
      <c r="Z738" s="1185"/>
      <c r="AA738" s="1185"/>
      <c r="AB738" s="1185"/>
      <c r="AC738" s="1185"/>
      <c r="AD738" s="1185"/>
      <c r="AE738" s="1185"/>
      <c r="AF738" s="1185"/>
      <c r="AG738" s="1185"/>
      <c r="AH738" s="1185"/>
      <c r="AI738" s="1185"/>
    </row>
    <row r="739" spans="1:35">
      <c r="A739" s="1218" t="s">
        <v>454</v>
      </c>
      <c r="B739" s="1219"/>
      <c r="C739" s="1026">
        <v>0</v>
      </c>
      <c r="D739" s="1303">
        <v>1268</v>
      </c>
      <c r="E739" s="1249"/>
      <c r="F739" s="1041">
        <f>ROUND(D739*$C739*$D$632,0)</f>
        <v>0</v>
      </c>
      <c r="G739" s="1303">
        <v>1457</v>
      </c>
      <c r="H739" s="1249"/>
      <c r="I739" s="1041">
        <f t="shared" si="92"/>
        <v>0</v>
      </c>
      <c r="J739" s="1303">
        <f>J716</f>
        <v>1457</v>
      </c>
      <c r="K739" s="1249"/>
      <c r="L739" s="1041">
        <f>ROUND(J739*$C739*$D$632,0)</f>
        <v>0</v>
      </c>
      <c r="N739" s="1185"/>
      <c r="O739" s="1185"/>
      <c r="P739" s="1186"/>
      <c r="Q739" s="1186"/>
      <c r="R739" s="1186"/>
      <c r="S739" s="1185"/>
      <c r="T739" s="1185"/>
      <c r="U739" s="1185"/>
      <c r="V739" s="1185"/>
      <c r="W739" s="1185"/>
      <c r="X739" s="1185"/>
      <c r="Y739" s="1185"/>
      <c r="Z739" s="1185"/>
      <c r="AA739" s="1185"/>
      <c r="AB739" s="1185"/>
      <c r="AC739" s="1185"/>
      <c r="AD739" s="1185"/>
      <c r="AE739" s="1185"/>
      <c r="AF739" s="1185"/>
      <c r="AG739" s="1185"/>
      <c r="AH739" s="1185"/>
      <c r="AI739" s="1185"/>
    </row>
    <row r="740" spans="1:35">
      <c r="A740" s="1218" t="s">
        <v>390</v>
      </c>
      <c r="B740" s="1219"/>
      <c r="C740" s="1026">
        <v>0</v>
      </c>
      <c r="D740" s="1303">
        <v>20.86</v>
      </c>
      <c r="E740" s="1249"/>
      <c r="F740" s="1041">
        <f>ROUND(D740*$C740*$D$632,0)</f>
        <v>0</v>
      </c>
      <c r="G740" s="1303">
        <v>23.87</v>
      </c>
      <c r="H740" s="1249"/>
      <c r="I740" s="1041">
        <f t="shared" si="92"/>
        <v>0</v>
      </c>
      <c r="J740" s="1303">
        <f>J721</f>
        <v>25.265901957370488</v>
      </c>
      <c r="K740" s="1249"/>
      <c r="L740" s="1041">
        <f>ROUND(J740*$C740*$D$632,0)</f>
        <v>0</v>
      </c>
      <c r="N740" s="1185"/>
      <c r="O740" s="1185"/>
      <c r="P740" s="1186"/>
      <c r="Q740" s="1186"/>
      <c r="R740" s="1186"/>
      <c r="S740" s="1185"/>
      <c r="T740" s="1185"/>
      <c r="U740" s="1185"/>
      <c r="V740" s="1185"/>
      <c r="W740" s="1185"/>
      <c r="X740" s="1185"/>
      <c r="Y740" s="1185"/>
      <c r="Z740" s="1185"/>
      <c r="AA740" s="1185"/>
      <c r="AB740" s="1185"/>
      <c r="AC740" s="1185"/>
      <c r="AD740" s="1185"/>
      <c r="AE740" s="1185"/>
      <c r="AF740" s="1185"/>
      <c r="AG740" s="1185"/>
      <c r="AH740" s="1185"/>
      <c r="AI740" s="1185"/>
    </row>
    <row r="741" spans="1:35">
      <c r="A741" s="1218" t="s">
        <v>391</v>
      </c>
      <c r="B741" s="1219"/>
      <c r="C741" s="1026"/>
      <c r="D741" s="1303"/>
      <c r="E741" s="1249"/>
      <c r="F741" s="1041"/>
      <c r="G741" s="1303"/>
      <c r="H741" s="1249"/>
      <c r="I741" s="1041"/>
      <c r="J741" s="1303"/>
      <c r="K741" s="1249"/>
      <c r="L741" s="1041"/>
      <c r="N741" s="1185"/>
      <c r="O741" s="1185"/>
      <c r="P741" s="1186"/>
      <c r="Q741" s="1186"/>
      <c r="R741" s="1186"/>
      <c r="S741" s="1185"/>
      <c r="T741" s="1185"/>
      <c r="U741" s="1185"/>
      <c r="V741" s="1185"/>
      <c r="W741" s="1185"/>
      <c r="X741" s="1185"/>
      <c r="Y741" s="1185"/>
      <c r="Z741" s="1185"/>
      <c r="AA741" s="1185"/>
      <c r="AB741" s="1185"/>
      <c r="AC741" s="1185"/>
      <c r="AD741" s="1185"/>
      <c r="AE741" s="1185"/>
      <c r="AF741" s="1185"/>
      <c r="AG741" s="1185"/>
      <c r="AH741" s="1185"/>
      <c r="AI741" s="1185"/>
    </row>
    <row r="742" spans="1:35">
      <c r="A742" s="1218" t="s">
        <v>452</v>
      </c>
      <c r="B742" s="1219"/>
      <c r="C742" s="1026">
        <v>39</v>
      </c>
      <c r="D742" s="1303">
        <v>20.860000000000003</v>
      </c>
      <c r="E742" s="1249"/>
      <c r="F742" s="1041">
        <f>ROUND(D742*$C742*$D$632,0)</f>
        <v>-8</v>
      </c>
      <c r="G742" s="1303">
        <v>23.79</v>
      </c>
      <c r="H742" s="1249"/>
      <c r="I742" s="1041">
        <f>ROUND(G742*$C742*$G$632,0)</f>
        <v>-9</v>
      </c>
      <c r="J742" s="1303">
        <f>J723</f>
        <v>25.171223609796559</v>
      </c>
      <c r="K742" s="1249"/>
      <c r="L742" s="1041">
        <f>ROUND(J742*$C742*$D$632,0)</f>
        <v>-10</v>
      </c>
      <c r="N742" s="1185"/>
      <c r="O742" s="1185"/>
      <c r="P742" s="1186"/>
      <c r="Q742" s="1186"/>
      <c r="R742" s="1186"/>
      <c r="S742" s="1185"/>
      <c r="T742" s="1185"/>
      <c r="U742" s="1185"/>
      <c r="V742" s="1185"/>
      <c r="W742" s="1185"/>
      <c r="X742" s="1185"/>
      <c r="Y742" s="1185"/>
      <c r="Z742" s="1185"/>
      <c r="AA742" s="1185"/>
      <c r="AB742" s="1185"/>
      <c r="AC742" s="1185"/>
      <c r="AD742" s="1185"/>
      <c r="AE742" s="1185"/>
      <c r="AF742" s="1185"/>
      <c r="AG742" s="1185"/>
      <c r="AH742" s="1185"/>
      <c r="AI742" s="1185"/>
    </row>
    <row r="743" spans="1:35">
      <c r="A743" s="1218" t="s">
        <v>453</v>
      </c>
      <c r="B743" s="1219"/>
      <c r="C743" s="1026">
        <v>0</v>
      </c>
      <c r="D743" s="1303">
        <v>14.53</v>
      </c>
      <c r="E743" s="1249"/>
      <c r="F743" s="1041">
        <f>ROUND(D743*$C743*$D$632,0)</f>
        <v>0</v>
      </c>
      <c r="G743" s="1303">
        <v>16.559999999999999</v>
      </c>
      <c r="H743" s="1249"/>
      <c r="I743" s="1041">
        <f t="shared" ref="I743:I746" si="93">ROUND(G743*$C743*$G$632,0)</f>
        <v>0</v>
      </c>
      <c r="J743" s="1303">
        <f>J724</f>
        <v>17.5284179478029</v>
      </c>
      <c r="K743" s="1249"/>
      <c r="L743" s="1041">
        <f>ROUND(J743*$C743*$D$632,0)</f>
        <v>0</v>
      </c>
      <c r="N743" s="1185"/>
      <c r="O743" s="1185"/>
      <c r="P743" s="1186"/>
      <c r="Q743" s="1186"/>
      <c r="R743" s="1186"/>
      <c r="S743" s="1185"/>
      <c r="T743" s="1185"/>
      <c r="U743" s="1185"/>
      <c r="V743" s="1185"/>
      <c r="W743" s="1185"/>
      <c r="X743" s="1185"/>
      <c r="Y743" s="1185"/>
      <c r="Z743" s="1185"/>
      <c r="AA743" s="1185"/>
      <c r="AB743" s="1185"/>
      <c r="AC743" s="1185"/>
      <c r="AD743" s="1185"/>
      <c r="AE743" s="1185"/>
      <c r="AF743" s="1185"/>
      <c r="AG743" s="1185"/>
      <c r="AH743" s="1185"/>
      <c r="AI743" s="1185"/>
    </row>
    <row r="744" spans="1:35">
      <c r="A744" s="1218" t="s">
        <v>454</v>
      </c>
      <c r="B744" s="1219"/>
      <c r="C744" s="1026">
        <v>0</v>
      </c>
      <c r="D744" s="1303">
        <v>11.340000000000002</v>
      </c>
      <c r="E744" s="1249"/>
      <c r="F744" s="1041">
        <f>ROUND(D744*$C744*$D$632,0)</f>
        <v>0</v>
      </c>
      <c r="G744" s="1303">
        <v>12.96</v>
      </c>
      <c r="H744" s="1249"/>
      <c r="I744" s="1041">
        <f t="shared" si="93"/>
        <v>0</v>
      </c>
      <c r="J744" s="1303">
        <f>J725</f>
        <v>13.717892306976186</v>
      </c>
      <c r="K744" s="1249"/>
      <c r="L744" s="1041">
        <f>ROUND(J744*$C744*$D$632,0)</f>
        <v>0</v>
      </c>
      <c r="N744" s="1185"/>
      <c r="O744" s="1185"/>
      <c r="P744" s="1186"/>
      <c r="Q744" s="1186"/>
      <c r="R744" s="1186"/>
      <c r="S744" s="1185"/>
      <c r="T744" s="1185"/>
      <c r="U744" s="1185"/>
      <c r="V744" s="1185"/>
      <c r="W744" s="1185"/>
      <c r="X744" s="1185"/>
      <c r="Y744" s="1185"/>
      <c r="Z744" s="1185"/>
      <c r="AA744" s="1185"/>
      <c r="AB744" s="1185"/>
      <c r="AC744" s="1185"/>
      <c r="AD744" s="1185"/>
      <c r="AE744" s="1185"/>
      <c r="AF744" s="1185"/>
      <c r="AG744" s="1185"/>
      <c r="AH744" s="1185"/>
      <c r="AI744" s="1185"/>
    </row>
    <row r="745" spans="1:35">
      <c r="A745" s="1218" t="s">
        <v>465</v>
      </c>
      <c r="B745" s="1219"/>
      <c r="C745" s="1026">
        <v>0</v>
      </c>
      <c r="D745" s="1259">
        <v>62.58</v>
      </c>
      <c r="E745" s="1249"/>
      <c r="F745" s="1041">
        <f>ROUND(D745*$C745*$D$632,0)</f>
        <v>0</v>
      </c>
      <c r="G745" s="1259">
        <v>71.61</v>
      </c>
      <c r="H745" s="1249"/>
      <c r="I745" s="1041">
        <f t="shared" si="93"/>
        <v>0</v>
      </c>
      <c r="J745" s="1259">
        <f>J726</f>
        <v>75.797705872111464</v>
      </c>
      <c r="K745" s="1249"/>
      <c r="L745" s="1041">
        <f>ROUND(J745*$C745*$D$632,0)</f>
        <v>0</v>
      </c>
      <c r="N745" s="1185"/>
      <c r="O745" s="1185"/>
      <c r="P745" s="1186"/>
      <c r="Q745" s="1186"/>
      <c r="R745" s="1186"/>
      <c r="S745" s="1185"/>
      <c r="T745" s="1185"/>
      <c r="U745" s="1185"/>
      <c r="V745" s="1185"/>
      <c r="W745" s="1185"/>
      <c r="X745" s="1185"/>
      <c r="Y745" s="1185"/>
      <c r="Z745" s="1185"/>
      <c r="AA745" s="1185"/>
      <c r="AB745" s="1185"/>
      <c r="AC745" s="1185"/>
      <c r="AD745" s="1185"/>
      <c r="AE745" s="1185"/>
      <c r="AF745" s="1185"/>
      <c r="AG745" s="1185"/>
      <c r="AH745" s="1185"/>
      <c r="AI745" s="1185"/>
    </row>
    <row r="746" spans="1:35">
      <c r="A746" s="1218" t="s">
        <v>466</v>
      </c>
      <c r="B746" s="1219"/>
      <c r="C746" s="1026">
        <v>0</v>
      </c>
      <c r="D746" s="1259">
        <v>125.16000000000003</v>
      </c>
      <c r="E746" s="1249"/>
      <c r="F746" s="1041">
        <f>ROUND(D746*$C746*$D$632,0)</f>
        <v>0</v>
      </c>
      <c r="G746" s="1259">
        <v>142.74</v>
      </c>
      <c r="H746" s="1249"/>
      <c r="I746" s="1041">
        <f t="shared" si="93"/>
        <v>0</v>
      </c>
      <c r="J746" s="1259">
        <f>J727</f>
        <v>151.02734165877936</v>
      </c>
      <c r="K746" s="1249"/>
      <c r="L746" s="1041">
        <f>ROUND(J746*$C746*$D$632,0)</f>
        <v>0</v>
      </c>
      <c r="N746" s="1185"/>
      <c r="O746" s="1185"/>
      <c r="P746" s="1186"/>
      <c r="Q746" s="1186"/>
      <c r="R746" s="1186"/>
      <c r="S746" s="1185"/>
      <c r="T746" s="1185"/>
      <c r="U746" s="1185"/>
      <c r="V746" s="1185"/>
      <c r="W746" s="1185"/>
      <c r="X746" s="1185"/>
      <c r="Y746" s="1185"/>
      <c r="Z746" s="1185"/>
      <c r="AA746" s="1185"/>
      <c r="AB746" s="1185"/>
      <c r="AC746" s="1185"/>
      <c r="AD746" s="1185"/>
      <c r="AE746" s="1185"/>
      <c r="AF746" s="1185"/>
      <c r="AG746" s="1185"/>
      <c r="AH746" s="1185"/>
      <c r="AI746" s="1185"/>
    </row>
    <row r="747" spans="1:35">
      <c r="A747" s="1218" t="s">
        <v>462</v>
      </c>
      <c r="B747" s="1219"/>
      <c r="C747" s="1026"/>
      <c r="D747" s="1261"/>
      <c r="E747" s="1249"/>
      <c r="F747" s="1041"/>
      <c r="G747" s="1261"/>
      <c r="H747" s="1249"/>
      <c r="I747" s="1041"/>
      <c r="J747" s="1261"/>
      <c r="K747" s="1249"/>
      <c r="L747" s="1041"/>
      <c r="N747" s="1185"/>
      <c r="O747" s="1185"/>
      <c r="P747" s="1186"/>
      <c r="Q747" s="1186"/>
      <c r="R747" s="1186"/>
      <c r="S747" s="1185"/>
      <c r="T747" s="1185"/>
      <c r="U747" s="1185"/>
      <c r="V747" s="1185"/>
      <c r="W747" s="1185"/>
      <c r="X747" s="1185"/>
      <c r="Y747" s="1185"/>
      <c r="Z747" s="1185"/>
      <c r="AA747" s="1185"/>
      <c r="AB747" s="1185"/>
      <c r="AC747" s="1185"/>
      <c r="AD747" s="1185"/>
      <c r="AE747" s="1185"/>
      <c r="AF747" s="1185"/>
      <c r="AG747" s="1185"/>
      <c r="AH747" s="1185"/>
      <c r="AI747" s="1185"/>
    </row>
    <row r="748" spans="1:35">
      <c r="A748" s="1218" t="s">
        <v>457</v>
      </c>
      <c r="B748" s="1219"/>
      <c r="C748" s="1026">
        <v>0</v>
      </c>
      <c r="D748" s="1259">
        <v>-20.86</v>
      </c>
      <c r="E748" s="1249"/>
      <c r="F748" s="1041">
        <f>ROUND(D748*$C748*$D$632,0)</f>
        <v>0</v>
      </c>
      <c r="G748" s="1259">
        <v>-23.87</v>
      </c>
      <c r="H748" s="1249"/>
      <c r="I748" s="1041">
        <f t="shared" ref="I748:I749" si="94">ROUND(G748*$C748*$G$632,0)</f>
        <v>0</v>
      </c>
      <c r="J748" s="1259">
        <f>J729</f>
        <v>-25.265901957370488</v>
      </c>
      <c r="K748" s="1249"/>
      <c r="L748" s="1041">
        <f>ROUND(J748*$C748*$D$632,0)</f>
        <v>0</v>
      </c>
      <c r="N748" s="1185"/>
      <c r="O748" s="1185"/>
      <c r="P748" s="1186"/>
      <c r="Q748" s="1186"/>
      <c r="R748" s="1186"/>
      <c r="S748" s="1185"/>
      <c r="T748" s="1185"/>
      <c r="U748" s="1185"/>
      <c r="V748" s="1185"/>
      <c r="W748" s="1185"/>
      <c r="X748" s="1185"/>
      <c r="Y748" s="1185"/>
      <c r="Z748" s="1185"/>
      <c r="AA748" s="1185"/>
      <c r="AB748" s="1185"/>
      <c r="AC748" s="1185"/>
      <c r="AD748" s="1185"/>
      <c r="AE748" s="1185"/>
      <c r="AF748" s="1185"/>
      <c r="AG748" s="1185"/>
      <c r="AH748" s="1185"/>
      <c r="AI748" s="1185"/>
    </row>
    <row r="749" spans="1:35">
      <c r="A749" s="1218" t="s">
        <v>463</v>
      </c>
      <c r="B749" s="1219"/>
      <c r="C749" s="1026">
        <v>0</v>
      </c>
      <c r="D749" s="1259">
        <v>-20.860000000000003</v>
      </c>
      <c r="E749" s="1249"/>
      <c r="F749" s="1041">
        <f>ROUND(D749*$C749*$D$632,0)</f>
        <v>0</v>
      </c>
      <c r="G749" s="1259">
        <v>-23.79</v>
      </c>
      <c r="H749" s="1249"/>
      <c r="I749" s="1041">
        <f t="shared" si="94"/>
        <v>0</v>
      </c>
      <c r="J749" s="1259">
        <f>J730</f>
        <v>-25.171223609796559</v>
      </c>
      <c r="K749" s="1249"/>
      <c r="L749" s="1041">
        <f>ROUND(J749*$C749*$D$632,0)</f>
        <v>0</v>
      </c>
      <c r="N749" s="1185"/>
      <c r="O749" s="1185"/>
      <c r="P749" s="1186"/>
      <c r="Q749" s="1186"/>
      <c r="R749" s="1186"/>
      <c r="S749" s="1185"/>
      <c r="T749" s="1185"/>
      <c r="U749" s="1185"/>
      <c r="V749" s="1185"/>
      <c r="W749" s="1185"/>
      <c r="X749" s="1185"/>
      <c r="Y749" s="1185"/>
      <c r="Z749" s="1185"/>
      <c r="AA749" s="1185"/>
      <c r="AB749" s="1185"/>
      <c r="AC749" s="1185"/>
      <c r="AD749" s="1185"/>
      <c r="AE749" s="1185"/>
      <c r="AF749" s="1185"/>
      <c r="AG749" s="1185"/>
      <c r="AH749" s="1185"/>
      <c r="AI749" s="1185"/>
    </row>
    <row r="750" spans="1:35">
      <c r="A750" s="1009" t="s">
        <v>426</v>
      </c>
      <c r="B750" s="1219"/>
      <c r="C750" s="1026"/>
      <c r="D750" s="1303"/>
      <c r="E750" s="1041"/>
      <c r="F750" s="1041"/>
      <c r="G750" s="1303"/>
      <c r="H750" s="1041"/>
      <c r="I750" s="1041"/>
      <c r="J750" s="1303"/>
      <c r="K750" s="1041"/>
      <c r="L750" s="1041"/>
      <c r="N750" s="1185"/>
      <c r="O750" s="1185"/>
      <c r="P750" s="1186"/>
      <c r="Q750" s="1186"/>
      <c r="R750" s="1186"/>
      <c r="S750" s="1185"/>
      <c r="T750" s="1185"/>
      <c r="U750" s="1185"/>
      <c r="V750" s="1185"/>
      <c r="W750" s="1185"/>
      <c r="X750" s="1185"/>
      <c r="Y750" s="1185"/>
      <c r="Z750" s="1185"/>
      <c r="AA750" s="1185"/>
      <c r="AB750" s="1185"/>
      <c r="AC750" s="1185"/>
      <c r="AD750" s="1185"/>
      <c r="AE750" s="1185"/>
      <c r="AF750" s="1185"/>
      <c r="AG750" s="1185"/>
      <c r="AH750" s="1185"/>
      <c r="AI750" s="1185"/>
    </row>
    <row r="751" spans="1:35">
      <c r="A751" s="1218" t="s">
        <v>464</v>
      </c>
      <c r="B751" s="1219"/>
      <c r="C751" s="1026">
        <v>0</v>
      </c>
      <c r="D751" s="1311">
        <v>5.6469999999999994</v>
      </c>
      <c r="E751" s="1041" t="s">
        <v>374</v>
      </c>
      <c r="F751" s="1041">
        <f>ROUND(D751/100*$C751*$D$632,0)</f>
        <v>0</v>
      </c>
      <c r="G751" s="1311">
        <v>6.4390000000000001</v>
      </c>
      <c r="H751" s="1041" t="s">
        <v>374</v>
      </c>
      <c r="I751" s="1041">
        <f>ROUND(G751/100*C751*$G$632,0)</f>
        <v>0</v>
      </c>
      <c r="J751" s="1311">
        <f>J732</f>
        <v>6.8159999999999998</v>
      </c>
      <c r="K751" s="1041" t="s">
        <v>374</v>
      </c>
      <c r="L751" s="1041">
        <f>ROUND(J751/100*$C751*$D$632,0)</f>
        <v>0</v>
      </c>
      <c r="N751" s="1185"/>
      <c r="O751" s="1185"/>
      <c r="P751" s="1186"/>
      <c r="Q751" s="1186"/>
      <c r="R751" s="1186"/>
      <c r="S751" s="1185"/>
      <c r="T751" s="1185"/>
      <c r="U751" s="1185"/>
      <c r="V751" s="1185"/>
      <c r="W751" s="1185"/>
      <c r="X751" s="1185"/>
      <c r="Y751" s="1185"/>
      <c r="Z751" s="1185"/>
      <c r="AA751" s="1185"/>
      <c r="AB751" s="1185"/>
      <c r="AC751" s="1185"/>
      <c r="AD751" s="1185"/>
      <c r="AE751" s="1185"/>
      <c r="AF751" s="1185"/>
      <c r="AG751" s="1185"/>
      <c r="AH751" s="1185"/>
      <c r="AI751" s="1185"/>
    </row>
    <row r="752" spans="1:35">
      <c r="A752" s="1009" t="s">
        <v>400</v>
      </c>
      <c r="B752" s="1219"/>
      <c r="C752" s="1026">
        <v>0</v>
      </c>
      <c r="D752" s="1286">
        <v>50</v>
      </c>
      <c r="E752" s="1041" t="s">
        <v>374</v>
      </c>
      <c r="F752" s="1041">
        <f>ROUND(D752/100*$C752*$D$632,0)</f>
        <v>0</v>
      </c>
      <c r="G752" s="1286">
        <v>56</v>
      </c>
      <c r="H752" s="1009" t="s">
        <v>374</v>
      </c>
      <c r="I752" s="1041">
        <f>ROUND(G752/100*C752*$G$632,0)</f>
        <v>0</v>
      </c>
      <c r="J752" s="1286">
        <f>J733</f>
        <v>56</v>
      </c>
      <c r="K752" s="1009" t="s">
        <v>374</v>
      </c>
      <c r="L752" s="1041">
        <f>ROUND(J752/100*$C752*$D$632,0)</f>
        <v>0</v>
      </c>
      <c r="N752" s="1185"/>
      <c r="O752" s="1185"/>
      <c r="P752" s="1186"/>
      <c r="Q752" s="1186"/>
      <c r="R752" s="1186"/>
      <c r="S752" s="1185"/>
      <c r="T752" s="1185"/>
      <c r="U752" s="1185"/>
      <c r="V752" s="1185"/>
      <c r="W752" s="1185"/>
      <c r="X752" s="1185"/>
      <c r="Y752" s="1185"/>
      <c r="Z752" s="1185"/>
      <c r="AA752" s="1185"/>
      <c r="AB752" s="1185"/>
      <c r="AC752" s="1185"/>
      <c r="AD752" s="1185"/>
      <c r="AE752" s="1185"/>
      <c r="AF752" s="1185"/>
      <c r="AG752" s="1185"/>
      <c r="AH752" s="1185"/>
      <c r="AI752" s="1185"/>
    </row>
    <row r="753" spans="1:35">
      <c r="A753" s="1009" t="s">
        <v>443</v>
      </c>
      <c r="B753" s="1219"/>
      <c r="C753" s="1026">
        <v>0</v>
      </c>
      <c r="D753" s="1229">
        <v>60</v>
      </c>
      <c r="E753" s="1288" t="s">
        <v>31</v>
      </c>
      <c r="F753" s="1041">
        <f>ROUND(D753*$C753,0)</f>
        <v>0</v>
      </c>
      <c r="G753" s="1229">
        <v>60</v>
      </c>
      <c r="H753" s="1219"/>
      <c r="I753" s="1041">
        <f>ROUND(G753*$C753,0)</f>
        <v>0</v>
      </c>
      <c r="J753" s="1229">
        <f>$J$651</f>
        <v>60</v>
      </c>
      <c r="K753" s="1219"/>
      <c r="L753" s="1041">
        <f>ROUND(J753*$C753,0)</f>
        <v>0</v>
      </c>
      <c r="N753" s="1185"/>
      <c r="O753" s="1185"/>
      <c r="P753" s="1186"/>
      <c r="Q753" s="1186"/>
      <c r="R753" s="1186"/>
      <c r="S753" s="1185"/>
      <c r="T753" s="1185"/>
      <c r="U753" s="1185"/>
      <c r="V753" s="1185"/>
      <c r="W753" s="1185"/>
      <c r="X753" s="1185"/>
      <c r="Y753" s="1185"/>
      <c r="Z753" s="1185"/>
      <c r="AA753" s="1185"/>
      <c r="AB753" s="1185"/>
      <c r="AC753" s="1185"/>
      <c r="AD753" s="1185"/>
      <c r="AE753" s="1185"/>
      <c r="AF753" s="1185"/>
      <c r="AG753" s="1185"/>
      <c r="AH753" s="1185"/>
      <c r="AI753" s="1185"/>
    </row>
    <row r="754" spans="1:35">
      <c r="A754" s="1009" t="s">
        <v>444</v>
      </c>
      <c r="B754" s="1219"/>
      <c r="C754" s="1026">
        <v>0</v>
      </c>
      <c r="D754" s="1262">
        <v>-30</v>
      </c>
      <c r="E754" s="1041" t="s">
        <v>374</v>
      </c>
      <c r="F754" s="1041">
        <f>ROUND(D754*$C754/100,0)</f>
        <v>0</v>
      </c>
      <c r="G754" s="1262">
        <v>-30</v>
      </c>
      <c r="H754" s="1041" t="s">
        <v>374</v>
      </c>
      <c r="I754" s="1041">
        <f>ROUND(G754*$C754/100,0)</f>
        <v>0</v>
      </c>
      <c r="J754" s="1262">
        <f>$J$652</f>
        <v>-30</v>
      </c>
      <c r="K754" s="1041" t="s">
        <v>374</v>
      </c>
      <c r="L754" s="1041">
        <f>ROUND(J754*$C754/100,0)</f>
        <v>0</v>
      </c>
      <c r="N754" s="1185"/>
      <c r="O754" s="1185"/>
      <c r="P754" s="1186"/>
      <c r="Q754" s="1186"/>
      <c r="R754" s="1186"/>
      <c r="S754" s="1185"/>
      <c r="T754" s="1185"/>
      <c r="U754" s="1185"/>
      <c r="V754" s="1185"/>
      <c r="W754" s="1185"/>
      <c r="X754" s="1185"/>
      <c r="Y754" s="1185"/>
      <c r="Z754" s="1185"/>
      <c r="AA754" s="1185"/>
      <c r="AB754" s="1185"/>
      <c r="AC754" s="1185"/>
      <c r="AD754" s="1185"/>
      <c r="AE754" s="1185"/>
      <c r="AF754" s="1185"/>
      <c r="AG754" s="1185"/>
      <c r="AH754" s="1185"/>
      <c r="AI754" s="1185"/>
    </row>
    <row r="755" spans="1:35">
      <c r="A755" s="1219" t="s">
        <v>381</v>
      </c>
      <c r="B755" s="1219"/>
      <c r="C755" s="1026">
        <f>SUM(C732:C732)</f>
        <v>5401587</v>
      </c>
      <c r="D755" s="1255"/>
      <c r="E755" s="1203"/>
      <c r="F755" s="1203">
        <f>SUM(F712:F754)</f>
        <v>375256</v>
      </c>
      <c r="G755" s="1255"/>
      <c r="H755" s="1009"/>
      <c r="I755" s="1203">
        <f>SUM(I712:I754)</f>
        <v>427909</v>
      </c>
      <c r="J755" s="1255"/>
      <c r="K755" s="1009"/>
      <c r="L755" s="1203">
        <f>SUM(L712:L754)</f>
        <v>452662</v>
      </c>
      <c r="N755" s="1185"/>
      <c r="O755" s="1185"/>
      <c r="P755" s="1186"/>
      <c r="Q755" s="1186"/>
      <c r="R755" s="1186"/>
      <c r="S755" s="1185"/>
      <c r="T755" s="1185"/>
      <c r="U755" s="1185"/>
      <c r="V755" s="1185"/>
      <c r="W755" s="1185"/>
      <c r="X755" s="1185"/>
      <c r="Y755" s="1185"/>
      <c r="Z755" s="1185"/>
      <c r="AA755" s="1185"/>
      <c r="AB755" s="1185"/>
      <c r="AC755" s="1185"/>
      <c r="AD755" s="1185"/>
      <c r="AE755" s="1185"/>
      <c r="AF755" s="1185"/>
      <c r="AG755" s="1185"/>
      <c r="AH755" s="1185"/>
      <c r="AI755" s="1185"/>
    </row>
    <row r="756" spans="1:35">
      <c r="A756" s="1219" t="s">
        <v>363</v>
      </c>
      <c r="B756" s="1219"/>
      <c r="C756" s="1032">
        <f>'[97]Table 2'!H102</f>
        <v>82990.980381971647</v>
      </c>
      <c r="D756" s="1218"/>
      <c r="E756" s="1218"/>
      <c r="F756" s="1239" t="e">
        <f>#REF!</f>
        <v>#REF!</v>
      </c>
      <c r="G756" s="1218"/>
      <c r="H756" s="1218"/>
      <c r="I756" s="1239">
        <f>'[97]Table 3'!E102</f>
        <v>10090.79669113968</v>
      </c>
      <c r="J756" s="1218"/>
      <c r="K756" s="1218"/>
      <c r="L756" s="1239">
        <f>I756</f>
        <v>10090.79669113968</v>
      </c>
      <c r="N756" s="444"/>
      <c r="O756" s="444"/>
      <c r="P756" s="287"/>
      <c r="Q756" s="1186"/>
      <c r="R756" s="1186"/>
      <c r="S756" s="1185"/>
      <c r="T756" s="1185"/>
      <c r="U756" s="1185"/>
      <c r="V756" s="1185"/>
      <c r="W756" s="1185"/>
      <c r="X756" s="1185"/>
      <c r="Y756" s="1185"/>
      <c r="Z756" s="1185"/>
      <c r="AA756" s="1185"/>
      <c r="AB756" s="1185"/>
      <c r="AC756" s="1185"/>
      <c r="AD756" s="1185"/>
      <c r="AE756" s="1185"/>
      <c r="AF756" s="1185"/>
      <c r="AG756" s="1185"/>
      <c r="AH756" s="1185"/>
      <c r="AI756" s="1185"/>
    </row>
    <row r="757" spans="1:35" ht="16.5" thickBot="1">
      <c r="A757" s="1219" t="s">
        <v>382</v>
      </c>
      <c r="B757" s="1219"/>
      <c r="C757" s="1289">
        <f>SUM(C755:C756)</f>
        <v>5484577.9803819712</v>
      </c>
      <c r="D757" s="1265"/>
      <c r="E757" s="1266"/>
      <c r="F757" s="1267" t="e">
        <f>F755+F756</f>
        <v>#REF!</v>
      </c>
      <c r="G757" s="1265"/>
      <c r="H757" s="1269"/>
      <c r="I757" s="1267">
        <f>I755+I756</f>
        <v>437999.79669113969</v>
      </c>
      <c r="J757" s="1265"/>
      <c r="K757" s="1269"/>
      <c r="L757" s="1267">
        <f>L755+L756</f>
        <v>462752.79669113969</v>
      </c>
      <c r="N757" s="411"/>
      <c r="O757" s="411"/>
      <c r="P757" s="470"/>
      <c r="Q757" s="1186"/>
      <c r="R757" s="1186"/>
      <c r="S757" s="1185"/>
      <c r="T757" s="1185"/>
      <c r="U757" s="1185"/>
      <c r="V757" s="1185"/>
      <c r="W757" s="1185"/>
      <c r="X757" s="1185"/>
      <c r="Y757" s="1185"/>
      <c r="Z757" s="1185"/>
      <c r="AA757" s="1185"/>
      <c r="AB757" s="1185"/>
      <c r="AC757" s="1185"/>
      <c r="AD757" s="1185"/>
      <c r="AE757" s="1185"/>
      <c r="AF757" s="1185"/>
      <c r="AG757" s="1185"/>
      <c r="AH757" s="1185"/>
      <c r="AI757" s="1185"/>
    </row>
    <row r="758" spans="1:35" ht="16.5" thickTop="1">
      <c r="A758" s="1233"/>
      <c r="B758" s="1301"/>
      <c r="C758" s="1233"/>
      <c r="D758" s="1225"/>
      <c r="E758" s="1225"/>
      <c r="F758" s="1302"/>
      <c r="G758" s="1219"/>
      <c r="H758" s="1233"/>
      <c r="I758" s="1302" t="s">
        <v>31</v>
      </c>
      <c r="J758" s="1233"/>
      <c r="K758" s="1233"/>
      <c r="L758" s="1233"/>
      <c r="N758" s="1185"/>
      <c r="O758" s="1185"/>
      <c r="P758" s="1186"/>
      <c r="Q758" s="1186"/>
      <c r="R758" s="1186"/>
      <c r="S758" s="1185"/>
      <c r="T758" s="1185"/>
      <c r="U758" s="1185"/>
      <c r="V758" s="1185"/>
      <c r="W758" s="1185"/>
      <c r="X758" s="1185"/>
      <c r="Y758" s="1185"/>
      <c r="Z758" s="1185"/>
      <c r="AA758" s="1185"/>
      <c r="AB758" s="1185"/>
      <c r="AC758" s="1185"/>
      <c r="AD758" s="1185"/>
      <c r="AE758" s="1185"/>
      <c r="AF758" s="1185"/>
      <c r="AG758" s="1185"/>
      <c r="AH758" s="1185"/>
      <c r="AI758" s="1185"/>
    </row>
    <row r="759" spans="1:35">
      <c r="A759" s="1224" t="s">
        <v>469</v>
      </c>
      <c r="B759" s="1219"/>
      <c r="C759" s="1219"/>
      <c r="D759" s="1203"/>
      <c r="E759" s="1203"/>
      <c r="F759" s="1219"/>
      <c r="G759" s="1203"/>
      <c r="H759" s="1219"/>
      <c r="I759" s="1219"/>
      <c r="J759" s="1203"/>
      <c r="K759" s="1219"/>
      <c r="L759" s="1219"/>
      <c r="N759" s="1185"/>
      <c r="O759" s="1185"/>
      <c r="P759" s="1186"/>
      <c r="Q759" s="1186"/>
      <c r="R759" s="1186"/>
      <c r="S759" s="1185"/>
      <c r="T759" s="1185"/>
      <c r="U759" s="1185"/>
      <c r="V759" s="1185"/>
      <c r="W759" s="1185"/>
      <c r="X759" s="1185"/>
      <c r="Y759" s="1185"/>
      <c r="Z759" s="1185"/>
      <c r="AA759" s="1185"/>
      <c r="AB759" s="1185"/>
      <c r="AC759" s="1185"/>
      <c r="AD759" s="1185"/>
      <c r="AE759" s="1185"/>
      <c r="AF759" s="1185"/>
      <c r="AG759" s="1185"/>
      <c r="AH759" s="1185"/>
      <c r="AI759" s="1185"/>
    </row>
    <row r="760" spans="1:35">
      <c r="A760" s="1218" t="s">
        <v>470</v>
      </c>
      <c r="B760" s="1219"/>
      <c r="C760" s="1219"/>
      <c r="D760" s="1203"/>
      <c r="E760" s="1203"/>
      <c r="F760" s="1219"/>
      <c r="G760" s="1203"/>
      <c r="H760" s="1219"/>
      <c r="I760" s="1219"/>
      <c r="J760" s="1203"/>
      <c r="K760" s="1219"/>
      <c r="L760" s="1219"/>
      <c r="N760" s="1185"/>
      <c r="O760" s="1185"/>
      <c r="P760" s="1186"/>
      <c r="Q760" s="1186"/>
      <c r="R760" s="1186"/>
      <c r="S760" s="1185"/>
      <c r="T760" s="1185"/>
      <c r="U760" s="1185"/>
      <c r="V760" s="1185"/>
      <c r="W760" s="1185"/>
      <c r="X760" s="1185"/>
      <c r="Y760" s="1185"/>
      <c r="Z760" s="1185"/>
      <c r="AA760" s="1185"/>
      <c r="AB760" s="1185"/>
      <c r="AC760" s="1185"/>
      <c r="AD760" s="1185"/>
      <c r="AE760" s="1185"/>
      <c r="AF760" s="1185"/>
      <c r="AG760" s="1185"/>
      <c r="AH760" s="1185"/>
      <c r="AI760" s="1185"/>
    </row>
    <row r="761" spans="1:35">
      <c r="A761" s="1009"/>
      <c r="B761" s="1219"/>
      <c r="C761" s="1219"/>
      <c r="D761" s="1203"/>
      <c r="E761" s="1203"/>
      <c r="F761" s="1219"/>
      <c r="G761" s="1203"/>
      <c r="H761" s="1219"/>
      <c r="I761" s="1219"/>
      <c r="J761" s="1203"/>
      <c r="K761" s="1219"/>
      <c r="L761" s="1219"/>
      <c r="N761" s="1185"/>
      <c r="O761" s="1185"/>
      <c r="P761" s="1186"/>
      <c r="Q761" s="1186"/>
      <c r="R761" s="1186"/>
      <c r="S761" s="1185"/>
      <c r="T761" s="1185"/>
      <c r="U761" s="1185"/>
      <c r="V761" s="1185"/>
      <c r="W761" s="1185"/>
      <c r="X761" s="1185"/>
      <c r="Y761" s="1185"/>
      <c r="Z761" s="1185"/>
      <c r="AA761" s="1185"/>
      <c r="AB761" s="1185"/>
      <c r="AC761" s="1185"/>
      <c r="AD761" s="1185"/>
      <c r="AE761" s="1185"/>
      <c r="AF761" s="1185"/>
      <c r="AG761" s="1185"/>
      <c r="AH761" s="1185"/>
      <c r="AI761" s="1185"/>
    </row>
    <row r="762" spans="1:35">
      <c r="A762" s="1009" t="s">
        <v>393</v>
      </c>
      <c r="B762" s="1219"/>
      <c r="C762" s="1026"/>
      <c r="D762" s="1203"/>
      <c r="E762" s="1203"/>
      <c r="F762" s="1219"/>
      <c r="G762" s="1203"/>
      <c r="H762" s="1219"/>
      <c r="I762" s="1219"/>
      <c r="J762" s="1203"/>
      <c r="K762" s="1219"/>
      <c r="L762" s="1219"/>
      <c r="N762" s="1185"/>
      <c r="O762" s="1185"/>
      <c r="P762" s="1186"/>
      <c r="Q762" s="1186"/>
      <c r="R762" s="1186"/>
      <c r="S762" s="1185"/>
      <c r="T762" s="1185"/>
      <c r="U762" s="1185"/>
      <c r="V762" s="1185"/>
      <c r="W762" s="1185"/>
      <c r="X762" s="1185"/>
      <c r="Y762" s="1185"/>
      <c r="Z762" s="1185"/>
      <c r="AA762" s="1185"/>
      <c r="AB762" s="1185"/>
      <c r="AC762" s="1185"/>
      <c r="AD762" s="1185"/>
      <c r="AE762" s="1185"/>
      <c r="AF762" s="1185"/>
      <c r="AG762" s="1185"/>
      <c r="AH762" s="1185"/>
      <c r="AI762" s="1185"/>
    </row>
    <row r="763" spans="1:35">
      <c r="A763" s="1009" t="s">
        <v>471</v>
      </c>
      <c r="B763" s="1219"/>
      <c r="C763" s="1026">
        <v>12</v>
      </c>
      <c r="D763" s="1303">
        <v>1215</v>
      </c>
      <c r="E763" s="1261"/>
      <c r="F763" s="1203">
        <f>ROUND(D763*$C763,0)</f>
        <v>14580</v>
      </c>
      <c r="G763" s="1303">
        <v>1386</v>
      </c>
      <c r="H763" s="1041"/>
      <c r="I763" s="1203">
        <f>ROUND(G763*C763,0)</f>
        <v>16632</v>
      </c>
      <c r="J763" s="1303">
        <f>J837</f>
        <v>1386</v>
      </c>
      <c r="K763" s="1041"/>
      <c r="L763" s="1203">
        <f>ROUND(J763*$C763,0)</f>
        <v>16632</v>
      </c>
      <c r="N763" s="1204" t="e">
        <f>J763*#REF!</f>
        <v>#REF!</v>
      </c>
      <c r="P763" s="55"/>
      <c r="S763" s="1185"/>
      <c r="T763" s="1185"/>
      <c r="U763" s="1185"/>
      <c r="V763" s="1185"/>
      <c r="W763" s="1185"/>
      <c r="X763" s="1185"/>
      <c r="Y763" s="1185"/>
      <c r="Z763" s="1185"/>
      <c r="AA763" s="1185"/>
      <c r="AB763" s="1185"/>
      <c r="AC763" s="1185"/>
      <c r="AD763" s="1185"/>
      <c r="AE763" s="1185"/>
      <c r="AF763" s="1185"/>
      <c r="AG763" s="1185"/>
      <c r="AH763" s="1185"/>
      <c r="AI763" s="1185"/>
    </row>
    <row r="764" spans="1:35">
      <c r="A764" s="1009" t="s">
        <v>472</v>
      </c>
      <c r="B764" s="1219"/>
      <c r="C764" s="1026">
        <v>0</v>
      </c>
      <c r="D764" s="1303">
        <v>1465</v>
      </c>
      <c r="E764" s="1261"/>
      <c r="F764" s="1203">
        <f>ROUND(D764*$C764,0)</f>
        <v>0</v>
      </c>
      <c r="G764" s="1303">
        <v>1675</v>
      </c>
      <c r="H764" s="1249"/>
      <c r="I764" s="1203">
        <f>ROUND(G764*C764,0)</f>
        <v>0</v>
      </c>
      <c r="J764" s="1303">
        <f>J838</f>
        <v>1675</v>
      </c>
      <c r="K764" s="1249"/>
      <c r="L764" s="1203">
        <f>ROUND(J764*$C764,0)</f>
        <v>0</v>
      </c>
      <c r="N764" s="1204" t="e">
        <f>J764*#REF!</f>
        <v>#REF!</v>
      </c>
      <c r="P764" s="55"/>
      <c r="S764" s="1185"/>
      <c r="T764" s="1185"/>
      <c r="U764" s="1185"/>
      <c r="V764" s="1185"/>
      <c r="W764" s="1185"/>
      <c r="X764" s="1185"/>
      <c r="Y764" s="1185"/>
      <c r="Z764" s="1185"/>
      <c r="AA764" s="1185"/>
      <c r="AB764" s="1185"/>
      <c r="AC764" s="1185"/>
      <c r="AD764" s="1185"/>
      <c r="AE764" s="1185"/>
      <c r="AF764" s="1185"/>
      <c r="AG764" s="1185"/>
      <c r="AH764" s="1185"/>
      <c r="AI764" s="1185"/>
    </row>
    <row r="765" spans="1:35">
      <c r="A765" s="1009" t="s">
        <v>394</v>
      </c>
      <c r="B765" s="1219"/>
      <c r="C765" s="1026">
        <f>SUM(C763:C764)</f>
        <v>12</v>
      </c>
      <c r="D765" s="1303" t="s">
        <v>31</v>
      </c>
      <c r="E765" s="1261"/>
      <c r="F765" s="1203" t="s">
        <v>31</v>
      </c>
      <c r="G765" s="1303" t="s">
        <v>31</v>
      </c>
      <c r="H765" s="1041"/>
      <c r="I765" s="1203" t="s">
        <v>31</v>
      </c>
      <c r="J765" s="1303" t="str">
        <f>P804</f>
        <v xml:space="preserve"> </v>
      </c>
      <c r="K765" s="1041"/>
      <c r="L765" s="1203" t="s">
        <v>31</v>
      </c>
      <c r="S765" s="1185"/>
      <c r="T765" s="1185"/>
      <c r="U765" s="1185"/>
      <c r="V765" s="1185"/>
      <c r="W765" s="1185"/>
      <c r="X765" s="1185"/>
      <c r="Y765" s="1185"/>
      <c r="Z765" s="1185"/>
      <c r="AA765" s="1185"/>
      <c r="AB765" s="1185"/>
      <c r="AC765" s="1185"/>
      <c r="AD765" s="1185"/>
      <c r="AE765" s="1185"/>
      <c r="AF765" s="1185"/>
      <c r="AG765" s="1185"/>
      <c r="AH765" s="1185"/>
      <c r="AI765" s="1185"/>
    </row>
    <row r="766" spans="1:35">
      <c r="A766" s="1009" t="s">
        <v>473</v>
      </c>
      <c r="B766" s="1219"/>
      <c r="C766" s="1026">
        <f>24891</f>
        <v>24891</v>
      </c>
      <c r="D766" s="1303">
        <v>0.92</v>
      </c>
      <c r="E766" s="1261"/>
      <c r="F766" s="1203">
        <f>ROUND(D766*$C766,0)</f>
        <v>22900</v>
      </c>
      <c r="G766" s="1303">
        <v>1.06</v>
      </c>
      <c r="H766" s="1041"/>
      <c r="I766" s="1203">
        <f t="shared" ref="I766:I768" si="95">ROUND(G766*C766,0)</f>
        <v>26384</v>
      </c>
      <c r="J766" s="1303">
        <f>J840</f>
        <v>1.06</v>
      </c>
      <c r="K766" s="1041"/>
      <c r="L766" s="1203">
        <f>ROUND(J766*$C766,0)</f>
        <v>26384</v>
      </c>
      <c r="N766" s="1204" t="e">
        <f>J766*#REF!</f>
        <v>#REF!</v>
      </c>
      <c r="P766" s="55"/>
      <c r="S766" s="1185"/>
      <c r="T766" s="1185"/>
      <c r="U766" s="1185"/>
      <c r="V766" s="1185"/>
      <c r="W766" s="1185"/>
      <c r="X766" s="1185"/>
      <c r="Y766" s="1185"/>
      <c r="Z766" s="1185"/>
      <c r="AA766" s="1185"/>
      <c r="AB766" s="1185"/>
      <c r="AC766" s="1185"/>
      <c r="AD766" s="1185"/>
      <c r="AE766" s="1185"/>
      <c r="AF766" s="1185"/>
      <c r="AG766" s="1185"/>
      <c r="AH766" s="1185"/>
      <c r="AI766" s="1185"/>
    </row>
    <row r="767" spans="1:35">
      <c r="A767" s="1009" t="s">
        <v>474</v>
      </c>
      <c r="B767" s="1219"/>
      <c r="C767" s="1026">
        <v>0</v>
      </c>
      <c r="D767" s="1303">
        <v>0.84</v>
      </c>
      <c r="E767" s="1261"/>
      <c r="F767" s="1203">
        <f>ROUND(D767*$C767,0)</f>
        <v>0</v>
      </c>
      <c r="G767" s="1303">
        <v>0.96</v>
      </c>
      <c r="H767" s="1041"/>
      <c r="I767" s="1203">
        <f t="shared" si="95"/>
        <v>0</v>
      </c>
      <c r="J767" s="1303">
        <f>J841</f>
        <v>0.96</v>
      </c>
      <c r="K767" s="1041"/>
      <c r="L767" s="1203">
        <f>ROUND(J767*$C767,0)</f>
        <v>0</v>
      </c>
      <c r="N767" s="1204" t="e">
        <f>J767*#REF!</f>
        <v>#REF!</v>
      </c>
      <c r="S767" s="1185"/>
      <c r="T767" s="1185"/>
      <c r="U767" s="1185"/>
      <c r="V767" s="1185"/>
      <c r="W767" s="1185"/>
      <c r="X767" s="1185"/>
      <c r="Y767" s="1185"/>
      <c r="Z767" s="1185"/>
      <c r="AA767" s="1185"/>
      <c r="AB767" s="1185"/>
      <c r="AC767" s="1185"/>
      <c r="AD767" s="1185"/>
      <c r="AE767" s="1185"/>
      <c r="AF767" s="1185"/>
      <c r="AG767" s="1185"/>
      <c r="AH767" s="1185"/>
      <c r="AI767" s="1185"/>
    </row>
    <row r="768" spans="1:35">
      <c r="A768" s="1218" t="s">
        <v>403</v>
      </c>
      <c r="B768" s="1219"/>
      <c r="C768" s="1026">
        <f>18680</f>
        <v>18680</v>
      </c>
      <c r="D768" s="1303">
        <v>6.22</v>
      </c>
      <c r="E768" s="1261"/>
      <c r="F768" s="1203">
        <f>ROUND(D768*$C768,0)</f>
        <v>116190</v>
      </c>
      <c r="G768" s="1303">
        <v>7.12</v>
      </c>
      <c r="H768" s="1041"/>
      <c r="I768" s="1203">
        <f t="shared" si="95"/>
        <v>133002</v>
      </c>
      <c r="J768" s="1303">
        <f>J842</f>
        <v>7.55</v>
      </c>
      <c r="K768" s="1041"/>
      <c r="L768" s="1203">
        <f>ROUND(J768*$C768,0)</f>
        <v>141034</v>
      </c>
      <c r="N768" s="1204" t="e">
        <f>J768*#REF!</f>
        <v>#REF!</v>
      </c>
      <c r="S768" s="1185"/>
      <c r="T768" s="1185"/>
      <c r="U768" s="1185"/>
      <c r="V768" s="1185"/>
      <c r="W768" s="1185"/>
      <c r="X768" s="1185"/>
      <c r="Y768" s="1185"/>
      <c r="Z768" s="1185"/>
      <c r="AA768" s="1185"/>
      <c r="AB768" s="1185"/>
      <c r="AC768" s="1185"/>
      <c r="AD768" s="1185"/>
      <c r="AE768" s="1185"/>
      <c r="AF768" s="1185"/>
      <c r="AG768" s="1185"/>
      <c r="AH768" s="1185"/>
      <c r="AI768" s="1185"/>
    </row>
    <row r="769" spans="1:38">
      <c r="A769" s="1009" t="s">
        <v>426</v>
      </c>
      <c r="B769" s="1219"/>
      <c r="C769" s="1026"/>
      <c r="D769" s="1303"/>
      <c r="E769" s="1261"/>
      <c r="F769" s="1203"/>
      <c r="G769" s="1303"/>
      <c r="H769" s="1041"/>
      <c r="I769" s="1203"/>
      <c r="J769" s="1303"/>
      <c r="K769" s="1041"/>
      <c r="L769" s="1203"/>
      <c r="S769" s="1185"/>
      <c r="T769" s="1185"/>
      <c r="U769" s="1185"/>
      <c r="V769" s="1185"/>
      <c r="W769" s="1185"/>
      <c r="X769" s="1185"/>
      <c r="Y769" s="1185"/>
      <c r="Z769" s="1185"/>
      <c r="AA769" s="1185"/>
      <c r="AB769" s="1185"/>
      <c r="AC769" s="1185"/>
      <c r="AD769" s="1185"/>
      <c r="AE769" s="1185"/>
      <c r="AF769" s="1185"/>
      <c r="AG769" s="1185"/>
      <c r="AH769" s="1185"/>
      <c r="AI769" s="1185"/>
    </row>
    <row r="770" spans="1:38">
      <c r="A770" s="1009" t="s">
        <v>464</v>
      </c>
      <c r="B770" s="1219"/>
      <c r="C770" s="1026">
        <f>1699425</f>
        <v>1699425</v>
      </c>
      <c r="D770" s="1317">
        <v>3.718</v>
      </c>
      <c r="E770" s="1041" t="s">
        <v>374</v>
      </c>
      <c r="F770" s="1203">
        <f>ROUND(D770/100*$C770,0)</f>
        <v>63185</v>
      </c>
      <c r="G770" s="1317">
        <v>4.2460000000000004</v>
      </c>
      <c r="H770" s="1041" t="s">
        <v>374</v>
      </c>
      <c r="I770" s="1203">
        <f>ROUND(G770/100*C770,0)</f>
        <v>72158</v>
      </c>
      <c r="J770" s="1317">
        <f>J844</f>
        <v>4.5140000000000002</v>
      </c>
      <c r="K770" s="1041" t="s">
        <v>374</v>
      </c>
      <c r="L770" s="1203">
        <f>ROUND(J770/100*$C770,0)</f>
        <v>76712</v>
      </c>
      <c r="N770" s="1204" t="e">
        <f>(J770/100)*#REF!</f>
        <v>#REF!</v>
      </c>
      <c r="S770" s="1185"/>
      <c r="T770" s="1185"/>
      <c r="U770" s="1185"/>
      <c r="V770" s="1185"/>
      <c r="W770" s="1185"/>
      <c r="X770" s="1185"/>
      <c r="Y770" s="1185"/>
      <c r="Z770" s="1185"/>
      <c r="AA770" s="1185"/>
      <c r="AB770" s="1185"/>
      <c r="AC770" s="1185"/>
      <c r="AD770" s="1185"/>
      <c r="AE770" s="1185"/>
      <c r="AF770" s="1185"/>
      <c r="AG770" s="1185"/>
      <c r="AH770" s="1185"/>
      <c r="AI770" s="1185"/>
    </row>
    <row r="771" spans="1:38">
      <c r="A771" s="1009" t="s">
        <v>400</v>
      </c>
      <c r="B771" s="1219"/>
      <c r="C771" s="1026">
        <v>0</v>
      </c>
      <c r="D771" s="1303">
        <v>0.48</v>
      </c>
      <c r="E771" s="1041"/>
      <c r="F771" s="1203">
        <f>ROUND(D771*$C771,0)</f>
        <v>0</v>
      </c>
      <c r="G771" s="1303">
        <v>0.55000000000000004</v>
      </c>
      <c r="H771" s="1041"/>
      <c r="I771" s="1203">
        <f>ROUND(G771*C771,0)</f>
        <v>0</v>
      </c>
      <c r="J771" s="1303">
        <f>J845</f>
        <v>0.55000000000000004</v>
      </c>
      <c r="K771" s="1041"/>
      <c r="L771" s="1203">
        <f>ROUND(J771*$C771,0)</f>
        <v>0</v>
      </c>
      <c r="N771" s="1204" t="e">
        <f>J771*#REF!</f>
        <v>#REF!</v>
      </c>
      <c r="O771" s="1026"/>
      <c r="S771" s="1185"/>
      <c r="T771" s="1185"/>
      <c r="U771" s="1185"/>
      <c r="V771" s="1185"/>
      <c r="W771" s="1185"/>
      <c r="X771" s="1185"/>
      <c r="Y771" s="1185"/>
      <c r="Z771" s="1185"/>
      <c r="AA771" s="1185"/>
      <c r="AB771" s="1185"/>
      <c r="AC771" s="1185"/>
      <c r="AD771" s="1185"/>
      <c r="AE771" s="1185"/>
      <c r="AF771" s="1185"/>
      <c r="AG771" s="1185"/>
      <c r="AH771" s="1185"/>
      <c r="AI771" s="1185"/>
    </row>
    <row r="772" spans="1:38">
      <c r="A772" s="1218" t="s">
        <v>428</v>
      </c>
      <c r="B772" s="1219"/>
      <c r="C772" s="1026">
        <v>0</v>
      </c>
      <c r="D772" s="1318">
        <v>5.9999999999999995E-4</v>
      </c>
      <c r="E772" s="1041"/>
      <c r="F772" s="1203">
        <f>ROUND(D772*$C772,0)</f>
        <v>0</v>
      </c>
      <c r="G772" s="1318">
        <v>5.9999999999999995E-4</v>
      </c>
      <c r="H772" s="1041"/>
      <c r="I772" s="1203">
        <f>ROUND(G772*C772,0)</f>
        <v>0</v>
      </c>
      <c r="J772" s="1318">
        <v>5.9999999999999995E-4</v>
      </c>
      <c r="K772" s="1041"/>
      <c r="L772" s="1203">
        <f>ROUND(J772*$C772,0)</f>
        <v>0</v>
      </c>
      <c r="N772" s="1204" t="e">
        <f>J772*#REF!</f>
        <v>#REF!</v>
      </c>
      <c r="O772" s="1026"/>
      <c r="S772" s="1185"/>
      <c r="T772" s="1185"/>
      <c r="U772" s="1185"/>
      <c r="V772" s="1185"/>
      <c r="W772" s="1185"/>
      <c r="X772" s="1185"/>
      <c r="Y772" s="1185"/>
      <c r="Z772" s="1185"/>
      <c r="AA772" s="1185"/>
      <c r="AB772" s="1185"/>
      <c r="AC772" s="1185"/>
      <c r="AD772" s="1185"/>
      <c r="AE772" s="1185"/>
      <c r="AF772" s="1185"/>
      <c r="AG772" s="1185"/>
      <c r="AH772" s="1185"/>
      <c r="AI772" s="1185"/>
    </row>
    <row r="773" spans="1:38">
      <c r="A773" s="1218" t="s">
        <v>433</v>
      </c>
      <c r="B773" s="1219"/>
      <c r="C773" s="1026">
        <f>5320</f>
        <v>5320</v>
      </c>
      <c r="D773" s="1319">
        <v>3.11</v>
      </c>
      <c r="E773" s="1041"/>
      <c r="F773" s="1041">
        <f>ROUND(D773*$C773,0)</f>
        <v>16545</v>
      </c>
      <c r="G773" s="1259">
        <v>3.56</v>
      </c>
      <c r="H773" s="1041"/>
      <c r="I773" s="1041">
        <f>ROUND(G773*$C773,0)</f>
        <v>18939</v>
      </c>
      <c r="J773" s="1259">
        <f>ROUND(J768/2,3)</f>
        <v>3.7749999999999999</v>
      </c>
      <c r="K773" s="1041"/>
      <c r="L773" s="1041">
        <f>ROUND($C773*J773,0)</f>
        <v>20083</v>
      </c>
      <c r="N773" s="1204" t="e">
        <f>J773*#REF!</f>
        <v>#REF!</v>
      </c>
      <c r="S773" s="1185"/>
      <c r="T773" s="1185"/>
      <c r="U773" s="1185"/>
      <c r="V773" s="1185"/>
      <c r="W773" s="1185"/>
      <c r="X773" s="1185"/>
      <c r="Y773" s="1185"/>
      <c r="Z773" s="1185"/>
      <c r="AA773" s="1185"/>
      <c r="AB773" s="1185"/>
      <c r="AC773" s="1185"/>
      <c r="AD773" s="1185"/>
      <c r="AE773" s="1185"/>
      <c r="AF773" s="1185"/>
      <c r="AG773" s="1185"/>
      <c r="AH773" s="1185"/>
      <c r="AI773" s="1185"/>
    </row>
    <row r="774" spans="1:38">
      <c r="A774" s="1218" t="s">
        <v>434</v>
      </c>
      <c r="B774" s="1219"/>
      <c r="C774" s="1026">
        <f>592</f>
        <v>592</v>
      </c>
      <c r="D774" s="1259">
        <v>24.88</v>
      </c>
      <c r="E774" s="1041"/>
      <c r="F774" s="1041">
        <f>ROUND(D774*$C774,0)</f>
        <v>14729</v>
      </c>
      <c r="G774" s="1259">
        <v>28.48</v>
      </c>
      <c r="H774" s="1041"/>
      <c r="I774" s="1041">
        <f>ROUND(G774*$C774,0)</f>
        <v>16860</v>
      </c>
      <c r="J774" s="1259">
        <f>J768*4</f>
        <v>30.2</v>
      </c>
      <c r="K774" s="1041"/>
      <c r="L774" s="1041">
        <f>ROUND($C774*J774,0)</f>
        <v>17878</v>
      </c>
      <c r="N774" s="1204" t="e">
        <f>J774*#REF!</f>
        <v>#REF!</v>
      </c>
      <c r="S774" s="1185"/>
      <c r="T774" s="1185"/>
      <c r="U774" s="1185"/>
      <c r="V774" s="1185"/>
      <c r="W774" s="1185"/>
      <c r="X774" s="1185"/>
      <c r="Y774" s="1185"/>
      <c r="Z774" s="1185"/>
      <c r="AA774" s="1185"/>
      <c r="AB774" s="1185"/>
      <c r="AC774" s="1185"/>
      <c r="AD774" s="1185"/>
      <c r="AE774" s="1185"/>
      <c r="AF774" s="1185"/>
      <c r="AG774" s="1185"/>
      <c r="AH774" s="1185"/>
      <c r="AI774" s="1185"/>
    </row>
    <row r="775" spans="1:38">
      <c r="A775" s="1184" t="s">
        <v>435</v>
      </c>
      <c r="B775" s="1233"/>
      <c r="C775" s="1026">
        <f>11575</f>
        <v>11575</v>
      </c>
      <c r="D775" s="1320">
        <v>14.872</v>
      </c>
      <c r="E775" s="1041" t="s">
        <v>374</v>
      </c>
      <c r="F775" s="1041">
        <f>ROUND($C775*D775/100,0)</f>
        <v>1721</v>
      </c>
      <c r="G775" s="1320">
        <v>16.984000000000002</v>
      </c>
      <c r="H775" s="1041" t="s">
        <v>374</v>
      </c>
      <c r="I775" s="1041">
        <f>ROUND($C775*G775/100,0)</f>
        <v>1966</v>
      </c>
      <c r="J775" s="1320">
        <f>(J770)*4</f>
        <v>18.056000000000001</v>
      </c>
      <c r="K775" s="1041" t="s">
        <v>374</v>
      </c>
      <c r="L775" s="1041">
        <f>ROUND($C775*J775/100,0)</f>
        <v>2090</v>
      </c>
      <c r="N775" s="1204" t="e">
        <f>(J775/100)*#REF!</f>
        <v>#REF!</v>
      </c>
      <c r="S775" s="1185"/>
      <c r="T775" s="1185"/>
      <c r="U775" s="1185"/>
      <c r="V775" s="1185"/>
      <c r="W775" s="1185"/>
      <c r="X775" s="1185"/>
      <c r="Y775" s="1185"/>
      <c r="Z775" s="1185"/>
      <c r="AA775" s="1185"/>
      <c r="AB775" s="1185"/>
      <c r="AC775" s="1185"/>
      <c r="AD775" s="1185"/>
      <c r="AE775" s="1185"/>
      <c r="AF775" s="1185"/>
      <c r="AG775" s="1185"/>
      <c r="AH775" s="1185"/>
      <c r="AI775" s="1185"/>
    </row>
    <row r="776" spans="1:38">
      <c r="A776" s="1219" t="s">
        <v>381</v>
      </c>
      <c r="B776" s="1219"/>
      <c r="C776" s="1026">
        <f>C770+C775</f>
        <v>1711000</v>
      </c>
      <c r="D776" s="1255"/>
      <c r="E776" s="1203"/>
      <c r="F776" s="1203">
        <f>SUM(F763:F775)</f>
        <v>249850</v>
      </c>
      <c r="G776" s="1255"/>
      <c r="H776" s="1219"/>
      <c r="I776" s="1203">
        <f>SUM(I763:I775)</f>
        <v>285941</v>
      </c>
      <c r="J776" s="1255"/>
      <c r="K776" s="1219"/>
      <c r="L776" s="1203">
        <f>SUM(L763:L775)</f>
        <v>300813</v>
      </c>
      <c r="N776" s="1204" t="e">
        <f>SUM(N763:N775)</f>
        <v>#REF!</v>
      </c>
      <c r="S776" s="1185"/>
      <c r="T776" s="1185"/>
      <c r="U776" s="1185"/>
      <c r="V776" s="1185"/>
      <c r="W776" s="1185"/>
      <c r="X776" s="1185"/>
      <c r="Y776" s="1185"/>
      <c r="Z776" s="1185"/>
      <c r="AA776" s="1185"/>
      <c r="AB776" s="1185"/>
      <c r="AC776" s="1185"/>
      <c r="AD776" s="1185"/>
      <c r="AE776" s="1185"/>
      <c r="AF776" s="1185"/>
      <c r="AG776" s="1185"/>
      <c r="AH776" s="1185"/>
      <c r="AI776" s="1185"/>
    </row>
    <row r="777" spans="1:38">
      <c r="A777" s="1219" t="s">
        <v>363</v>
      </c>
      <c r="B777" s="1219"/>
      <c r="C777" s="1026">
        <f>'[97]Table 2'!H79</f>
        <v>23474.365497148876</v>
      </c>
      <c r="D777" s="1218"/>
      <c r="E777" s="1218"/>
      <c r="F777" s="1264" t="e">
        <f>#REF!</f>
        <v>#REF!</v>
      </c>
      <c r="G777" s="1218"/>
      <c r="H777" s="1218"/>
      <c r="I777" s="1264">
        <f>'[97]Table 3'!E79</f>
        <v>4619.5116938615674</v>
      </c>
      <c r="J777" s="1218"/>
      <c r="K777" s="1218"/>
      <c r="L777" s="1264">
        <f>I777</f>
        <v>4619.5116938615674</v>
      </c>
      <c r="S777" s="1185"/>
      <c r="T777" s="1185"/>
      <c r="U777" s="1185"/>
      <c r="V777" s="1185"/>
      <c r="W777" s="1185"/>
      <c r="X777" s="1185"/>
      <c r="Y777" s="1185"/>
      <c r="Z777" s="1185"/>
      <c r="AA777" s="1185"/>
      <c r="AB777" s="1185"/>
      <c r="AC777" s="1185"/>
      <c r="AD777" s="1185"/>
      <c r="AE777" s="1185"/>
      <c r="AF777" s="1185"/>
      <c r="AG777" s="1185"/>
      <c r="AH777" s="1185"/>
      <c r="AI777" s="1185"/>
    </row>
    <row r="778" spans="1:38" ht="16.5" thickBot="1">
      <c r="A778" s="1219" t="s">
        <v>382</v>
      </c>
      <c r="B778" s="1219"/>
      <c r="C778" s="1321">
        <f>SUM(C776)+C777</f>
        <v>1734474.3654971488</v>
      </c>
      <c r="D778" s="1265"/>
      <c r="E778" s="1266"/>
      <c r="F778" s="1267" t="e">
        <f>F776+F777</f>
        <v>#REF!</v>
      </c>
      <c r="G778" s="1265"/>
      <c r="H778" s="1269"/>
      <c r="I778" s="1267">
        <f>I776+I777</f>
        <v>290560.51169386157</v>
      </c>
      <c r="J778" s="1265"/>
      <c r="K778" s="1269"/>
      <c r="L778" s="1267">
        <f>L776+L777</f>
        <v>305432.51169386157</v>
      </c>
      <c r="O778" s="1215" t="s">
        <v>364</v>
      </c>
      <c r="P778" s="1216">
        <f>'[97]Rate Spread targets'!Q26*1000</f>
        <v>306921.78369551065</v>
      </c>
      <c r="Q778" s="818">
        <f>'[97]Rate Spread targets'!V26</f>
        <v>5.6309344674088324E-2</v>
      </c>
      <c r="R778" s="777"/>
      <c r="S778" s="1185"/>
      <c r="T778" s="1185"/>
      <c r="U778" s="1185"/>
      <c r="V778" s="1185"/>
      <c r="W778" s="1185"/>
      <c r="X778" s="1185"/>
      <c r="Y778" s="1185"/>
      <c r="Z778" s="1185"/>
      <c r="AA778" s="1185"/>
      <c r="AB778" s="1185"/>
      <c r="AC778" s="1185"/>
      <c r="AD778" s="1185"/>
      <c r="AE778" s="1185"/>
      <c r="AF778" s="1185"/>
      <c r="AG778" s="1185"/>
      <c r="AH778" s="1185"/>
      <c r="AI778" s="1185"/>
    </row>
    <row r="779" spans="1:38" ht="16.5" thickTop="1">
      <c r="A779" s="1219"/>
      <c r="B779" s="1219"/>
      <c r="C779" s="1225"/>
      <c r="D779" s="1261"/>
      <c r="E779" s="1203"/>
      <c r="F779" s="1203"/>
      <c r="G779" s="1261"/>
      <c r="H779" s="1219"/>
      <c r="I779" s="1203"/>
      <c r="J779" s="1261"/>
      <c r="K779" s="1219"/>
      <c r="L779" s="1303"/>
      <c r="O779" s="1220" t="s">
        <v>263</v>
      </c>
      <c r="P779" s="1221">
        <f>P778-L778</f>
        <v>1489.2720016490784</v>
      </c>
      <c r="Q779" s="816" t="s">
        <v>31</v>
      </c>
      <c r="R779" s="826"/>
      <c r="S779" s="1185"/>
      <c r="T779" s="1185"/>
      <c r="U779" s="1185"/>
      <c r="V779" s="1185"/>
      <c r="W779" s="1185"/>
      <c r="X779" s="1185"/>
      <c r="Y779" s="1185"/>
      <c r="Z779" s="1185"/>
      <c r="AA779" s="1185"/>
      <c r="AB779" s="1185"/>
      <c r="AC779" s="1185"/>
      <c r="AD779" s="1185"/>
      <c r="AE779" s="1185"/>
      <c r="AF779" s="1185"/>
      <c r="AG779" s="1185"/>
      <c r="AH779" s="1185"/>
      <c r="AI779" s="1185"/>
    </row>
    <row r="780" spans="1:38">
      <c r="A780" s="1224" t="s">
        <v>476</v>
      </c>
      <c r="B780" s="1219"/>
      <c r="C780" s="1219"/>
      <c r="D780" s="1203"/>
      <c r="E780" s="1203"/>
      <c r="F780" s="1219"/>
      <c r="G780" s="1203"/>
      <c r="H780" s="1219"/>
      <c r="I780" s="1219"/>
      <c r="J780" s="1203"/>
      <c r="K780" s="1219"/>
      <c r="L780" s="1219"/>
      <c r="N780" s="1185"/>
      <c r="O780" s="1185"/>
      <c r="P780" s="1186"/>
      <c r="Q780" s="1186"/>
      <c r="R780" s="1186"/>
      <c r="S780" s="1185"/>
      <c r="T780" s="1185"/>
      <c r="U780" s="1185"/>
      <c r="V780" s="1185"/>
      <c r="W780" s="1185"/>
      <c r="X780" s="1185"/>
      <c r="Y780" s="1185"/>
      <c r="Z780" s="1185"/>
      <c r="AA780" s="1185"/>
      <c r="AB780" s="1185"/>
      <c r="AC780" s="1185"/>
      <c r="AD780" s="1185"/>
      <c r="AE780" s="1185"/>
      <c r="AF780" s="1185"/>
      <c r="AG780" s="1185"/>
      <c r="AH780" s="1185"/>
      <c r="AI780" s="1185"/>
    </row>
    <row r="781" spans="1:38">
      <c r="A781" s="1218" t="s">
        <v>477</v>
      </c>
      <c r="B781" s="1219"/>
      <c r="C781" s="1219"/>
      <c r="D781" s="1203"/>
      <c r="E781" s="1203"/>
      <c r="F781" s="1219"/>
      <c r="G781" s="1203"/>
      <c r="H781" s="1219"/>
      <c r="I781" s="1219"/>
      <c r="J781" s="1203"/>
      <c r="K781" s="1219"/>
      <c r="L781" s="1219"/>
      <c r="N781" s="1185"/>
      <c r="O781" s="1185"/>
      <c r="P781" s="1186"/>
      <c r="Q781" s="1186"/>
      <c r="R781" s="1186"/>
      <c r="S781" s="1185"/>
      <c r="T781" s="1185"/>
      <c r="U781" s="1185"/>
      <c r="V781" s="1185"/>
      <c r="W781" s="1185"/>
      <c r="X781" s="1185"/>
      <c r="Y781" s="1185"/>
      <c r="Z781" s="1185"/>
      <c r="AA781" s="1185"/>
      <c r="AB781" s="1185"/>
      <c r="AC781" s="1185"/>
      <c r="AD781" s="1185"/>
      <c r="AE781" s="1185"/>
      <c r="AF781" s="1185"/>
      <c r="AG781" s="1185"/>
      <c r="AH781" s="1185"/>
      <c r="AI781" s="1185"/>
    </row>
    <row r="782" spans="1:38">
      <c r="A782" s="1009"/>
      <c r="B782" s="1219"/>
      <c r="C782" s="1219"/>
      <c r="D782" s="1203"/>
      <c r="E782" s="1203"/>
      <c r="F782" s="1219"/>
      <c r="G782" s="1203"/>
      <c r="H782" s="1219"/>
      <c r="I782" s="1219"/>
      <c r="J782" s="1203"/>
      <c r="K782" s="1219"/>
      <c r="L782" s="1219"/>
      <c r="N782" s="1185"/>
      <c r="O782" s="1185"/>
      <c r="P782" s="1186"/>
      <c r="Q782" s="1186"/>
      <c r="R782" s="1186"/>
      <c r="S782" s="1185"/>
      <c r="T782" s="1185"/>
      <c r="U782" s="1185"/>
      <c r="V782" s="1185"/>
      <c r="W782" s="1185"/>
      <c r="X782" s="1185"/>
      <c r="Y782" s="1185"/>
      <c r="Z782" s="1185"/>
      <c r="AA782" s="1185"/>
      <c r="AB782" s="1185"/>
      <c r="AC782" s="1185"/>
      <c r="AD782" s="1185"/>
      <c r="AE782" s="1185"/>
      <c r="AF782" s="1185"/>
      <c r="AG782" s="1185"/>
      <c r="AH782" s="1185"/>
      <c r="AI782" s="1185"/>
    </row>
    <row r="783" spans="1:38">
      <c r="A783" s="1009" t="s">
        <v>393</v>
      </c>
      <c r="B783" s="1219"/>
      <c r="C783" s="1026"/>
      <c r="D783" s="1203"/>
      <c r="E783" s="1203"/>
      <c r="F783" s="1219"/>
      <c r="G783" s="1203"/>
      <c r="H783" s="1219"/>
      <c r="I783" s="1219"/>
      <c r="J783" s="1203"/>
      <c r="K783" s="1219"/>
      <c r="L783" s="1219"/>
      <c r="N783" s="1185"/>
      <c r="O783" s="1185"/>
      <c r="P783" s="1186"/>
      <c r="Q783" s="1186"/>
      <c r="R783" s="1186"/>
      <c r="S783" s="1185"/>
      <c r="T783" s="1185"/>
      <c r="U783" s="1185"/>
      <c r="V783" s="1185"/>
      <c r="W783" s="1185"/>
      <c r="X783" s="1185"/>
      <c r="Y783" s="1185"/>
      <c r="Z783" s="1185"/>
      <c r="AA783" s="1185"/>
      <c r="AB783" s="1185"/>
      <c r="AC783" s="1185"/>
      <c r="AD783" s="1185"/>
      <c r="AE783" s="1185"/>
      <c r="AF783" s="1185"/>
      <c r="AG783" s="1185"/>
      <c r="AH783" s="1185"/>
      <c r="AI783" s="1185"/>
    </row>
    <row r="784" spans="1:38">
      <c r="A784" s="1009" t="s">
        <v>471</v>
      </c>
      <c r="B784" s="1219"/>
      <c r="C784" s="1026">
        <f t="shared" ref="C784:C789" si="96">C802+C959</f>
        <v>695</v>
      </c>
      <c r="D784" s="1261"/>
      <c r="E784" s="1261"/>
      <c r="F784" s="1203">
        <f>F802+F959</f>
        <v>848355</v>
      </c>
      <c r="G784" s="1261"/>
      <c r="H784" s="1041"/>
      <c r="I784" s="1203">
        <f>I802+I959</f>
        <v>967593</v>
      </c>
      <c r="J784" s="1261"/>
      <c r="K784" s="1041"/>
      <c r="L784" s="1203">
        <f>L802+L959</f>
        <v>967593</v>
      </c>
      <c r="N784" s="1204" t="e">
        <f>J784*#REF!</f>
        <v>#REF!</v>
      </c>
      <c r="P784" s="55" t="s">
        <v>31</v>
      </c>
      <c r="Q784" s="1184"/>
      <c r="R784" s="1184"/>
      <c r="Z784" s="1254"/>
      <c r="AA784" s="1254"/>
      <c r="AG784" s="1185"/>
      <c r="AH784" s="1185"/>
      <c r="AI784" s="1185"/>
      <c r="AJ784" s="1185"/>
      <c r="AK784" s="1185"/>
      <c r="AL784" s="1185"/>
    </row>
    <row r="785" spans="1:38">
      <c r="A785" s="1009" t="s">
        <v>472</v>
      </c>
      <c r="B785" s="1219"/>
      <c r="C785" s="1026">
        <f t="shared" si="96"/>
        <v>12</v>
      </c>
      <c r="D785" s="1261"/>
      <c r="E785" s="1261"/>
      <c r="F785" s="1203">
        <f>F803+F960</f>
        <v>25200</v>
      </c>
      <c r="G785" s="1261"/>
      <c r="H785" s="1249"/>
      <c r="I785" s="1203">
        <f>I803+I960</f>
        <v>30336</v>
      </c>
      <c r="J785" s="1261"/>
      <c r="K785" s="1249"/>
      <c r="L785" s="1203">
        <f>L803+L960</f>
        <v>30336</v>
      </c>
      <c r="N785" s="1204" t="e">
        <f>J785*#REF!</f>
        <v>#REF!</v>
      </c>
      <c r="P785" s="55" t="s">
        <v>31</v>
      </c>
      <c r="Q785" s="1184"/>
      <c r="R785" s="1184"/>
      <c r="S785" s="977"/>
      <c r="T785" s="977"/>
      <c r="U785" s="977"/>
      <c r="V785" s="977"/>
      <c r="W785" s="977"/>
      <c r="X785" s="977"/>
      <c r="Y785" s="801"/>
      <c r="Z785" s="1254"/>
      <c r="AA785" s="1254"/>
      <c r="AG785" s="1185"/>
      <c r="AH785" s="1185"/>
      <c r="AI785" s="1185"/>
      <c r="AJ785" s="1185"/>
      <c r="AK785" s="1185"/>
      <c r="AL785" s="1185"/>
    </row>
    <row r="786" spans="1:38">
      <c r="A786" s="1009" t="s">
        <v>394</v>
      </c>
      <c r="B786" s="1219"/>
      <c r="C786" s="1026">
        <f t="shared" si="96"/>
        <v>707</v>
      </c>
      <c r="D786" s="1261"/>
      <c r="E786" s="1261"/>
      <c r="F786" s="1203"/>
      <c r="G786" s="1261"/>
      <c r="H786" s="1041"/>
      <c r="I786" s="1203"/>
      <c r="J786" s="1261"/>
      <c r="K786" s="1041"/>
      <c r="L786" s="1203"/>
      <c r="P786" s="1248"/>
      <c r="Q786" s="1184"/>
      <c r="R786" s="1184"/>
      <c r="S786" s="977"/>
      <c r="T786" s="977"/>
      <c r="U786" s="977"/>
      <c r="V786" s="977"/>
      <c r="W786" s="977"/>
      <c r="X786" s="977"/>
      <c r="Y786" s="801"/>
      <c r="AG786" s="1185"/>
      <c r="AH786" s="1185"/>
      <c r="AI786" s="1185"/>
      <c r="AJ786" s="1185"/>
      <c r="AK786" s="1185"/>
      <c r="AL786" s="1185"/>
    </row>
    <row r="787" spans="1:38">
      <c r="A787" s="1009" t="s">
        <v>473</v>
      </c>
      <c r="B787" s="1219"/>
      <c r="C787" s="1026">
        <f t="shared" si="96"/>
        <v>993653</v>
      </c>
      <c r="D787" s="1261"/>
      <c r="E787" s="1261"/>
      <c r="F787" s="1203">
        <f>F805+F962</f>
        <v>819275</v>
      </c>
      <c r="G787" s="1261"/>
      <c r="H787" s="1041"/>
      <c r="I787" s="1203">
        <f>I805+I962</f>
        <v>946273</v>
      </c>
      <c r="J787" s="1261"/>
      <c r="K787" s="1041"/>
      <c r="L787" s="1203">
        <f>L805+L962</f>
        <v>946273</v>
      </c>
      <c r="N787" s="1204" t="e">
        <f>J787*#REF!</f>
        <v>#REF!</v>
      </c>
      <c r="P787" s="55" t="s">
        <v>31</v>
      </c>
      <c r="Q787" s="1184"/>
      <c r="R787" s="1184"/>
      <c r="S787" s="977"/>
      <c r="T787" s="977"/>
      <c r="U787" s="977"/>
      <c r="V787" s="977"/>
      <c r="W787" s="977"/>
      <c r="X787" s="977"/>
      <c r="Y787" s="801"/>
      <c r="AG787" s="1185"/>
      <c r="AH787" s="1185"/>
      <c r="AI787" s="1185"/>
      <c r="AJ787" s="1185"/>
      <c r="AK787" s="1185"/>
      <c r="AL787" s="1185"/>
    </row>
    <row r="788" spans="1:38">
      <c r="A788" s="1009" t="s">
        <v>474</v>
      </c>
      <c r="B788" s="1219"/>
      <c r="C788" s="1026">
        <f t="shared" si="96"/>
        <v>699156</v>
      </c>
      <c r="D788" s="1261"/>
      <c r="E788" s="1261"/>
      <c r="F788" s="1203">
        <f>F806+F963</f>
        <v>139831</v>
      </c>
      <c r="G788" s="1261"/>
      <c r="H788" s="1041"/>
      <c r="I788" s="1203">
        <f>I806+I963</f>
        <v>160806</v>
      </c>
      <c r="J788" s="1261"/>
      <c r="K788" s="1041"/>
      <c r="L788" s="1203">
        <f>L806+L963</f>
        <v>160806</v>
      </c>
      <c r="N788" s="1204" t="e">
        <f>J788*#REF!</f>
        <v>#REF!</v>
      </c>
      <c r="P788" s="55" t="s">
        <v>31</v>
      </c>
      <c r="Q788" s="1184"/>
      <c r="R788" s="1184"/>
      <c r="S788" s="977"/>
      <c r="T788" s="977"/>
      <c r="U788" s="977"/>
      <c r="V788" s="977"/>
      <c r="W788" s="977"/>
      <c r="X788" s="977"/>
      <c r="Y788" s="801"/>
      <c r="AG788" s="1185"/>
      <c r="AH788" s="1185"/>
      <c r="AI788" s="1185"/>
      <c r="AJ788" s="1185"/>
      <c r="AK788" s="1185"/>
      <c r="AL788" s="1185"/>
    </row>
    <row r="789" spans="1:38">
      <c r="A789" s="1218" t="s">
        <v>403</v>
      </c>
      <c r="B789" s="1219"/>
      <c r="C789" s="1026">
        <f t="shared" si="96"/>
        <v>1504967</v>
      </c>
      <c r="D789" s="1261"/>
      <c r="E789" s="1261"/>
      <c r="F789" s="1203">
        <f>F807+F964</f>
        <v>9254556</v>
      </c>
      <c r="G789" s="1261"/>
      <c r="H789" s="1041"/>
      <c r="I789" s="1203">
        <f>I807+I964</f>
        <v>10576435</v>
      </c>
      <c r="J789" s="1261"/>
      <c r="K789" s="1041"/>
      <c r="L789" s="1203">
        <f>L807+L964</f>
        <v>11199542</v>
      </c>
      <c r="N789" s="1204" t="e">
        <f>J789*#REF!</f>
        <v>#REF!</v>
      </c>
      <c r="P789" s="55" t="s">
        <v>31</v>
      </c>
      <c r="Q789" s="1184"/>
      <c r="R789" s="1184"/>
      <c r="S789" s="977"/>
      <c r="T789" s="977"/>
      <c r="U789" s="977"/>
      <c r="V789" s="977"/>
      <c r="W789" s="977"/>
      <c r="X789" s="977"/>
      <c r="Y789" s="801"/>
      <c r="AG789" s="1185"/>
      <c r="AH789" s="1185"/>
      <c r="AI789" s="1185"/>
      <c r="AJ789" s="1185"/>
      <c r="AK789" s="1185"/>
      <c r="AL789" s="1185"/>
    </row>
    <row r="790" spans="1:38">
      <c r="A790" s="1009" t="s">
        <v>426</v>
      </c>
      <c r="B790" s="1219"/>
      <c r="C790" s="1026"/>
      <c r="D790" s="1261"/>
      <c r="E790" s="1261"/>
      <c r="F790" s="1203"/>
      <c r="G790" s="1261"/>
      <c r="H790" s="1041"/>
      <c r="I790" s="1203"/>
      <c r="J790" s="1261"/>
      <c r="K790" s="1041"/>
      <c r="L790" s="1203"/>
      <c r="P790" s="1248"/>
      <c r="AB790" s="1185"/>
      <c r="AC790" s="1185"/>
      <c r="AD790" s="1185"/>
      <c r="AE790" s="1185"/>
      <c r="AF790" s="1185"/>
      <c r="AG790" s="1185"/>
      <c r="AH790" s="1185"/>
      <c r="AI790" s="1185"/>
    </row>
    <row r="791" spans="1:38">
      <c r="A791" s="1009" t="s">
        <v>464</v>
      </c>
      <c r="B791" s="1219"/>
      <c r="C791" s="1026">
        <f>C809+C966</f>
        <v>823306393</v>
      </c>
      <c r="D791" s="1308"/>
      <c r="E791" s="1041"/>
      <c r="F791" s="1203">
        <f>F809+F966</f>
        <v>30306995</v>
      </c>
      <c r="G791" s="1322"/>
      <c r="H791" s="1041"/>
      <c r="I791" s="1203">
        <f>I809+I966</f>
        <v>34647474</v>
      </c>
      <c r="J791" s="1323"/>
      <c r="K791" s="1041"/>
      <c r="L791" s="1203">
        <f>L809+L966</f>
        <v>36736422</v>
      </c>
      <c r="N791" s="1204" t="e">
        <f>(J791/100)*#REF!</f>
        <v>#REF!</v>
      </c>
      <c r="P791" s="55" t="s">
        <v>31</v>
      </c>
      <c r="AB791" s="1185"/>
      <c r="AC791" s="1185"/>
      <c r="AD791" s="1185"/>
      <c r="AE791" s="1185"/>
      <c r="AF791" s="1185"/>
      <c r="AG791" s="1185"/>
      <c r="AH791" s="1185"/>
      <c r="AI791" s="1185"/>
    </row>
    <row r="792" spans="1:38">
      <c r="A792" s="1009" t="s">
        <v>400</v>
      </c>
      <c r="B792" s="1219"/>
      <c r="C792" s="1026">
        <f>C810+C967</f>
        <v>379226</v>
      </c>
      <c r="D792" s="1261"/>
      <c r="E792" s="1041"/>
      <c r="F792" s="1203">
        <f>F810+F967</f>
        <v>178280</v>
      </c>
      <c r="G792" s="1261"/>
      <c r="H792" s="1041"/>
      <c r="I792" s="1203">
        <f>I810+I967</f>
        <v>204826</v>
      </c>
      <c r="J792" s="1261"/>
      <c r="K792" s="1041"/>
      <c r="L792" s="1203">
        <f>L810+L967</f>
        <v>204826</v>
      </c>
      <c r="N792" s="1204" t="e">
        <f>J792*#REF!</f>
        <v>#REF!</v>
      </c>
      <c r="O792" s="1248"/>
      <c r="P792" s="55" t="s">
        <v>31</v>
      </c>
      <c r="AB792" s="1185"/>
      <c r="AC792" s="1185"/>
      <c r="AD792" s="1185"/>
      <c r="AE792" s="1185"/>
      <c r="AF792" s="1185"/>
      <c r="AG792" s="1185"/>
      <c r="AH792" s="1185"/>
      <c r="AI792" s="1185"/>
    </row>
    <row r="793" spans="1:38">
      <c r="A793" s="1219" t="s">
        <v>381</v>
      </c>
      <c r="B793" s="1219"/>
      <c r="C793" s="1026">
        <f>C811+C968</f>
        <v>823306393</v>
      </c>
      <c r="D793" s="1255"/>
      <c r="E793" s="1203"/>
      <c r="F793" s="1203">
        <f>F811+F968</f>
        <v>41572492</v>
      </c>
      <c r="G793" s="1249"/>
      <c r="H793" s="1219"/>
      <c r="I793" s="1203">
        <f>I811+I968</f>
        <v>47533743</v>
      </c>
      <c r="J793" s="1203"/>
      <c r="K793" s="1219"/>
      <c r="L793" s="1203">
        <f>L811+L968</f>
        <v>50245798</v>
      </c>
      <c r="N793" s="1204" t="e">
        <f>SUM(N784:N792)</f>
        <v>#REF!</v>
      </c>
      <c r="AB793" s="1185"/>
      <c r="AC793" s="1185"/>
      <c r="AD793" s="1185"/>
      <c r="AE793" s="1185"/>
      <c r="AF793" s="1185"/>
      <c r="AG793" s="1185"/>
      <c r="AH793" s="1185"/>
      <c r="AI793" s="1185"/>
    </row>
    <row r="794" spans="1:38">
      <c r="A794" s="1219" t="s">
        <v>363</v>
      </c>
      <c r="B794" s="1219"/>
      <c r="C794" s="1028">
        <f>C812+C969</f>
        <v>8976517.3747324422</v>
      </c>
      <c r="D794" s="1218"/>
      <c r="E794" s="1218"/>
      <c r="F794" s="1324" t="e">
        <f>F812+F969</f>
        <v>#REF!</v>
      </c>
      <c r="G794" s="1218"/>
      <c r="H794" s="1218"/>
      <c r="I794" s="1324">
        <f>'[98]Rate Design'!$I$794</f>
        <v>593992.38596668234</v>
      </c>
      <c r="J794" s="1218"/>
      <c r="K794" s="1218"/>
      <c r="L794" s="1324">
        <f>'[98]Rate Design'!$L$794</f>
        <v>593992.38596668234</v>
      </c>
      <c r="S794" s="1223"/>
      <c r="T794" s="1223"/>
      <c r="AB794" s="1185"/>
      <c r="AC794" s="1185"/>
      <c r="AD794" s="1185"/>
      <c r="AE794" s="1185"/>
      <c r="AF794" s="1185"/>
      <c r="AG794" s="1185"/>
      <c r="AH794" s="1185"/>
      <c r="AI794" s="1185"/>
    </row>
    <row r="795" spans="1:38" ht="16.5" thickBot="1">
      <c r="A795" s="1219" t="s">
        <v>382</v>
      </c>
      <c r="B795" s="1219"/>
      <c r="C795" s="1325">
        <f>SUM(C793:C794)</f>
        <v>832282910.37473249</v>
      </c>
      <c r="D795" s="1265"/>
      <c r="E795" s="1266"/>
      <c r="F795" s="1326" t="e">
        <f>F793+F794</f>
        <v>#REF!</v>
      </c>
      <c r="G795" s="1265"/>
      <c r="H795" s="1269"/>
      <c r="I795" s="1326">
        <f>I793+I794</f>
        <v>48127735.385966681</v>
      </c>
      <c r="J795" s="1265"/>
      <c r="K795" s="1269"/>
      <c r="L795" s="1326">
        <f>L793+L794</f>
        <v>50839790.385966681</v>
      </c>
      <c r="O795" s="1215" t="s">
        <v>364</v>
      </c>
      <c r="P795" s="1216">
        <f>('[97]Rate Spread targets'!Q26+'[97]Rate Spread targets'!Q27+'[97]Rate Spread targets'!Q28)*1000</f>
        <v>51113955.971307211</v>
      </c>
      <c r="Q795" s="818">
        <f>'[97]Rate Spread targets'!V27</f>
        <v>5.6309344674088324E-2</v>
      </c>
      <c r="R795" s="777"/>
      <c r="AB795" s="1185"/>
      <c r="AC795" s="1185"/>
      <c r="AD795" s="1185"/>
      <c r="AE795" s="1185"/>
      <c r="AF795" s="1185"/>
      <c r="AG795" s="1185"/>
      <c r="AH795" s="1185"/>
      <c r="AI795" s="1185"/>
    </row>
    <row r="796" spans="1:38" ht="16.5" thickTop="1">
      <c r="A796" s="1219"/>
      <c r="B796" s="1219"/>
      <c r="C796" s="1225"/>
      <c r="D796" s="1261"/>
      <c r="E796" s="1203"/>
      <c r="F796" s="1203"/>
      <c r="G796" s="1261" t="s">
        <v>31</v>
      </c>
      <c r="H796" s="1219"/>
      <c r="I796" s="1203"/>
      <c r="J796" s="1259" t="s">
        <v>31</v>
      </c>
      <c r="K796" s="1219"/>
      <c r="L796" s="1203" t="s">
        <v>31</v>
      </c>
      <c r="O796" s="1220" t="s">
        <v>263</v>
      </c>
      <c r="P796" s="1221">
        <f>P795-L795-L778</f>
        <v>-31266.926353331888</v>
      </c>
      <c r="Q796" s="1271" t="s">
        <v>31</v>
      </c>
      <c r="R796" s="1272"/>
      <c r="AB796" s="1185"/>
      <c r="AC796" s="1185"/>
      <c r="AD796" s="1185"/>
      <c r="AE796" s="1185"/>
      <c r="AF796" s="1185"/>
      <c r="AG796" s="1185"/>
      <c r="AH796" s="1185"/>
      <c r="AI796" s="1185"/>
    </row>
    <row r="797" spans="1:38">
      <c r="A797" s="1219"/>
      <c r="B797" s="1219"/>
      <c r="C797" s="1225"/>
      <c r="D797" s="1261"/>
      <c r="E797" s="1203"/>
      <c r="F797" s="1203"/>
      <c r="G797" s="1261"/>
      <c r="H797" s="1219"/>
      <c r="I797" s="1203" t="s">
        <v>31</v>
      </c>
      <c r="J797" s="1261"/>
      <c r="K797" s="1219"/>
      <c r="L797" s="1303"/>
      <c r="N797" s="1185"/>
      <c r="Q797" s="1186"/>
      <c r="R797" s="1186"/>
      <c r="S797" s="1185"/>
      <c r="T797" s="1185"/>
      <c r="U797" s="1185"/>
      <c r="V797" s="1185"/>
      <c r="W797" s="1185"/>
      <c r="X797" s="1185"/>
      <c r="Y797" s="1185"/>
      <c r="Z797" s="1185"/>
      <c r="AA797" s="1185"/>
      <c r="AB797" s="1185"/>
      <c r="AC797" s="1185"/>
      <c r="AD797" s="1185"/>
      <c r="AE797" s="1185"/>
      <c r="AF797" s="1185"/>
      <c r="AG797" s="1185"/>
      <c r="AH797" s="1185"/>
      <c r="AI797" s="1185"/>
    </row>
    <row r="798" spans="1:38">
      <c r="A798" s="1224" t="s">
        <v>476</v>
      </c>
      <c r="B798" s="1219"/>
      <c r="C798" s="1219"/>
      <c r="D798" s="1203"/>
      <c r="E798" s="1203"/>
      <c r="F798" s="1219"/>
      <c r="G798" s="1203"/>
      <c r="H798" s="1219"/>
      <c r="I798" s="1219"/>
      <c r="J798" s="1203"/>
      <c r="K798" s="1219"/>
      <c r="L798" s="1219"/>
      <c r="N798" s="1274"/>
      <c r="O798" s="1274"/>
      <c r="P798" s="1186"/>
      <c r="Q798" s="1186"/>
      <c r="R798" s="1186"/>
      <c r="S798" s="1185"/>
      <c r="T798" s="1185"/>
      <c r="U798" s="1185"/>
      <c r="V798" s="1185"/>
      <c r="W798" s="1185"/>
      <c r="X798" s="1185"/>
      <c r="Y798" s="1185"/>
      <c r="Z798" s="1185"/>
      <c r="AA798" s="1185"/>
      <c r="AB798" s="1185"/>
      <c r="AC798" s="1185"/>
      <c r="AD798" s="1185"/>
      <c r="AE798" s="1185"/>
      <c r="AF798" s="1185"/>
      <c r="AG798" s="1185"/>
      <c r="AH798" s="1185"/>
      <c r="AI798" s="1185"/>
    </row>
    <row r="799" spans="1:38">
      <c r="A799" s="1218" t="s">
        <v>478</v>
      </c>
      <c r="B799" s="1219"/>
      <c r="C799" s="1219"/>
      <c r="D799" s="1203"/>
      <c r="E799" s="1203"/>
      <c r="F799" s="1219"/>
      <c r="G799" s="1203"/>
      <c r="H799" s="1219"/>
      <c r="I799" s="1219"/>
      <c r="J799" s="1203"/>
      <c r="K799" s="1219"/>
      <c r="L799" s="1219"/>
      <c r="N799" s="1185"/>
      <c r="O799" s="1185"/>
      <c r="Q799" s="1186"/>
      <c r="R799" s="1186"/>
      <c r="S799" s="1185"/>
      <c r="T799" s="1185"/>
      <c r="U799" s="1185"/>
      <c r="V799" s="1185"/>
      <c r="W799" s="1185"/>
      <c r="X799" s="1185"/>
      <c r="Y799" s="1185"/>
      <c r="Z799" s="1185"/>
      <c r="AA799" s="1185"/>
      <c r="AB799" s="1185"/>
      <c r="AC799" s="1185"/>
      <c r="AD799" s="1185"/>
      <c r="AE799" s="1185"/>
      <c r="AF799" s="1185"/>
      <c r="AG799" s="1185"/>
      <c r="AH799" s="1185"/>
      <c r="AI799" s="1185"/>
    </row>
    <row r="800" spans="1:38">
      <c r="A800" s="1009"/>
      <c r="B800" s="1219"/>
      <c r="C800" s="1219"/>
      <c r="D800" s="1203"/>
      <c r="E800" s="1203"/>
      <c r="F800" s="1219"/>
      <c r="G800" s="1203"/>
      <c r="H800" s="1219"/>
      <c r="I800" s="1219"/>
      <c r="J800" s="1203"/>
      <c r="K800" s="1219"/>
      <c r="L800" s="1219"/>
      <c r="N800" s="1185"/>
      <c r="O800" s="1185"/>
      <c r="P800" s="1186"/>
      <c r="Q800" s="1186"/>
      <c r="R800" s="1186"/>
      <c r="S800" s="1185"/>
      <c r="T800" s="1185"/>
      <c r="U800" s="1185"/>
      <c r="V800" s="1185"/>
      <c r="W800" s="1185"/>
      <c r="X800" s="1185"/>
      <c r="Y800" s="1185"/>
      <c r="Z800" s="1185"/>
      <c r="AA800" s="1185"/>
      <c r="AB800" s="1185"/>
      <c r="AC800" s="1185"/>
      <c r="AD800" s="1185"/>
      <c r="AE800" s="1185"/>
      <c r="AF800" s="1185"/>
      <c r="AG800" s="1185"/>
      <c r="AH800" s="1185"/>
      <c r="AI800" s="1185"/>
    </row>
    <row r="801" spans="1:37">
      <c r="A801" s="1009" t="s">
        <v>393</v>
      </c>
      <c r="B801" s="1219"/>
      <c r="C801" s="1026"/>
      <c r="D801" s="1203"/>
      <c r="E801" s="1203"/>
      <c r="F801" s="1219"/>
      <c r="G801" s="1203"/>
      <c r="H801" s="1219"/>
      <c r="I801" s="1219"/>
      <c r="J801" s="1203"/>
      <c r="K801" s="1219"/>
      <c r="L801" s="1219"/>
      <c r="N801" s="1185"/>
      <c r="Q801" s="1185"/>
      <c r="R801" s="1185"/>
      <c r="S801" s="1190" t="s">
        <v>31</v>
      </c>
      <c r="AA801" s="1327"/>
      <c r="AB801" s="1185"/>
      <c r="AC801" s="1185"/>
      <c r="AD801" s="1185"/>
      <c r="AE801" s="1185"/>
      <c r="AF801" s="1185"/>
      <c r="AG801" s="1185"/>
      <c r="AH801" s="1185"/>
      <c r="AI801" s="1185"/>
      <c r="AJ801" s="1185"/>
      <c r="AK801" s="1185"/>
    </row>
    <row r="802" spans="1:37">
      <c r="A802" s="1009" t="s">
        <v>471</v>
      </c>
      <c r="B802" s="1219"/>
      <c r="C802" s="1026">
        <f t="shared" ref="C802:C810" si="97">C924+C942</f>
        <v>695</v>
      </c>
      <c r="D802" s="1261"/>
      <c r="E802" s="1261"/>
      <c r="F802" s="1203">
        <f>F924+F942</f>
        <v>848355</v>
      </c>
      <c r="G802" s="1328"/>
      <c r="H802" s="1041"/>
      <c r="I802" s="1203">
        <f>I924+I942</f>
        <v>967593</v>
      </c>
      <c r="K802" s="1041"/>
      <c r="L802" s="1203">
        <f>L924+L942</f>
        <v>967593</v>
      </c>
      <c r="N802" s="1185"/>
      <c r="P802" s="1261">
        <f>J837</f>
        <v>1386</v>
      </c>
      <c r="Q802" s="55">
        <f>(P802-G819)/G819</f>
        <v>0</v>
      </c>
      <c r="R802" s="55"/>
      <c r="U802" s="977"/>
      <c r="V802" s="801"/>
      <c r="W802" s="977"/>
      <c r="X802" s="801"/>
      <c r="Y802" s="977"/>
      <c r="Z802" s="977"/>
      <c r="AA802" s="1329"/>
      <c r="AB802" s="1185"/>
      <c r="AC802" s="1185"/>
      <c r="AD802" s="1185"/>
      <c r="AE802" s="1185"/>
      <c r="AF802" s="1185"/>
      <c r="AG802" s="1185"/>
      <c r="AH802" s="1185"/>
      <c r="AI802" s="1185"/>
      <c r="AJ802" s="1185"/>
      <c r="AK802" s="1185"/>
    </row>
    <row r="803" spans="1:37">
      <c r="A803" s="1009" t="s">
        <v>472</v>
      </c>
      <c r="B803" s="1219"/>
      <c r="C803" s="1026">
        <f t="shared" si="97"/>
        <v>0</v>
      </c>
      <c r="D803" s="1261"/>
      <c r="E803" s="1261"/>
      <c r="F803" s="1203">
        <f>F925+F943</f>
        <v>0</v>
      </c>
      <c r="G803" s="1328"/>
      <c r="H803" s="1249"/>
      <c r="I803" s="1203">
        <f>I925+I943</f>
        <v>0</v>
      </c>
      <c r="K803" s="1249"/>
      <c r="L803" s="1203">
        <f>L925+L943</f>
        <v>0</v>
      </c>
      <c r="N803" s="1185"/>
      <c r="P803" s="1261">
        <f>J838</f>
        <v>1675</v>
      </c>
      <c r="Q803" s="55">
        <f>(P803-G820)/G820</f>
        <v>0</v>
      </c>
      <c r="R803" s="55"/>
      <c r="U803" s="977"/>
      <c r="V803" s="801"/>
      <c r="W803" s="977"/>
      <c r="X803" s="801"/>
      <c r="Y803" s="977"/>
      <c r="Z803" s="977"/>
      <c r="AA803" s="1329"/>
      <c r="AB803" s="1185"/>
      <c r="AC803" s="1185"/>
      <c r="AD803" s="1185"/>
      <c r="AE803" s="1185"/>
      <c r="AF803" s="1185"/>
      <c r="AG803" s="1185"/>
      <c r="AH803" s="1185"/>
      <c r="AI803" s="1185"/>
      <c r="AJ803" s="1185"/>
      <c r="AK803" s="1185"/>
    </row>
    <row r="804" spans="1:37">
      <c r="A804" s="1009" t="s">
        <v>394</v>
      </c>
      <c r="B804" s="1219"/>
      <c r="C804" s="1026">
        <f t="shared" si="97"/>
        <v>695</v>
      </c>
      <c r="D804" s="1261"/>
      <c r="E804" s="1261"/>
      <c r="F804" s="1203"/>
      <c r="G804" s="1328"/>
      <c r="H804" s="1041"/>
      <c r="I804" s="1203"/>
      <c r="K804" s="1041"/>
      <c r="L804" s="1203"/>
      <c r="N804" s="1185"/>
      <c r="P804" s="1261" t="s">
        <v>31</v>
      </c>
      <c r="Q804" s="1248"/>
      <c r="R804" s="1248"/>
      <c r="U804" s="977"/>
      <c r="V804" s="801"/>
      <c r="W804" s="977"/>
      <c r="X804" s="801"/>
      <c r="Y804" s="977"/>
      <c r="Z804" s="977"/>
      <c r="AA804" s="1329"/>
      <c r="AB804" s="1185"/>
      <c r="AC804" s="1185"/>
      <c r="AD804" s="1185"/>
      <c r="AE804" s="1185"/>
      <c r="AF804" s="1185"/>
      <c r="AG804" s="1185"/>
      <c r="AH804" s="1185"/>
      <c r="AI804" s="1185"/>
      <c r="AJ804" s="1185"/>
      <c r="AK804" s="1185"/>
    </row>
    <row r="805" spans="1:37">
      <c r="A805" s="1009" t="s">
        <v>473</v>
      </c>
      <c r="B805" s="1219"/>
      <c r="C805" s="1026">
        <f t="shared" si="97"/>
        <v>993653</v>
      </c>
      <c r="D805" s="1261"/>
      <c r="E805" s="1261"/>
      <c r="F805" s="1203">
        <f>F927+F945</f>
        <v>819275</v>
      </c>
      <c r="G805" s="1328"/>
      <c r="H805" s="1041"/>
      <c r="I805" s="1203">
        <f>I927+I945</f>
        <v>946273</v>
      </c>
      <c r="K805" s="1041"/>
      <c r="L805" s="1203">
        <f>L927+L945</f>
        <v>946273</v>
      </c>
      <c r="N805" s="1185"/>
      <c r="P805" s="1261">
        <f>J840</f>
        <v>1.06</v>
      </c>
      <c r="Q805" s="55">
        <f>(P805-G822)/G822</f>
        <v>0</v>
      </c>
      <c r="R805" s="55"/>
      <c r="U805" s="977"/>
      <c r="V805" s="801"/>
      <c r="W805" s="977"/>
      <c r="X805" s="801"/>
      <c r="Y805" s="977"/>
      <c r="Z805" s="977"/>
      <c r="AA805" s="1329"/>
      <c r="AB805" s="1185"/>
      <c r="AC805" s="1185"/>
      <c r="AD805" s="1185"/>
      <c r="AE805" s="1185"/>
      <c r="AF805" s="1185"/>
      <c r="AG805" s="1185"/>
      <c r="AH805" s="1185"/>
      <c r="AI805" s="1185"/>
      <c r="AJ805" s="1185"/>
      <c r="AK805" s="1185"/>
    </row>
    <row r="806" spans="1:37">
      <c r="A806" s="1009" t="s">
        <v>474</v>
      </c>
      <c r="B806" s="1219"/>
      <c r="C806" s="1026">
        <f t="shared" si="97"/>
        <v>0</v>
      </c>
      <c r="D806" s="1261"/>
      <c r="E806" s="1261"/>
      <c r="F806" s="1203">
        <f>F928+F946</f>
        <v>0</v>
      </c>
      <c r="G806" s="1328"/>
      <c r="H806" s="1041"/>
      <c r="I806" s="1203">
        <f>I928+I946</f>
        <v>0</v>
      </c>
      <c r="K806" s="1041"/>
      <c r="L806" s="1203">
        <f>L928+L946</f>
        <v>0</v>
      </c>
      <c r="N806" s="1185"/>
      <c r="P806" s="1261">
        <f>J841</f>
        <v>0.96</v>
      </c>
      <c r="Q806" s="55">
        <f>(P806-G823)/G823</f>
        <v>0</v>
      </c>
      <c r="R806" s="55"/>
      <c r="U806" s="977"/>
      <c r="V806" s="801"/>
      <c r="W806" s="977"/>
      <c r="X806" s="801"/>
      <c r="Y806" s="977"/>
      <c r="Z806" s="977"/>
      <c r="AA806" s="1329"/>
      <c r="AB806" s="1185"/>
      <c r="AC806" s="1185"/>
      <c r="AD806" s="1185"/>
      <c r="AE806" s="1185"/>
      <c r="AF806" s="1185"/>
      <c r="AG806" s="1185"/>
      <c r="AH806" s="1185"/>
      <c r="AI806" s="1185"/>
      <c r="AJ806" s="1185"/>
      <c r="AK806" s="1185"/>
    </row>
    <row r="807" spans="1:37">
      <c r="A807" s="1218" t="s">
        <v>403</v>
      </c>
      <c r="B807" s="1219"/>
      <c r="C807" s="1026">
        <f t="shared" si="97"/>
        <v>814415</v>
      </c>
      <c r="D807" s="1026">
        <f>D929+D947</f>
        <v>0</v>
      </c>
      <c r="E807" s="1026">
        <f>E929+E947</f>
        <v>0</v>
      </c>
      <c r="F807" s="1026">
        <f>F929+F947</f>
        <v>5049094</v>
      </c>
      <c r="G807" s="1328"/>
      <c r="H807" s="1041"/>
      <c r="I807" s="1203">
        <f>I929+I947</f>
        <v>5777099</v>
      </c>
      <c r="K807" s="1041"/>
      <c r="L807" s="1203">
        <f>L929+L947</f>
        <v>6123985</v>
      </c>
      <c r="N807" s="1185"/>
      <c r="P807" s="1261">
        <f>J842</f>
        <v>7.55</v>
      </c>
      <c r="Q807" s="55">
        <f>(P807-G824)/G824</f>
        <v>6.0393258426966252E-2</v>
      </c>
      <c r="R807" s="55"/>
      <c r="T807" s="1186"/>
      <c r="U807" s="1330"/>
      <c r="V807" s="1329"/>
      <c r="W807" s="1330"/>
      <c r="X807" s="1329"/>
      <c r="Y807" s="1330"/>
      <c r="Z807" s="1186"/>
      <c r="AA807" s="1329"/>
      <c r="AB807" s="1185"/>
      <c r="AC807" s="1185"/>
      <c r="AD807" s="1185"/>
      <c r="AE807" s="1185"/>
      <c r="AF807" s="1185"/>
      <c r="AG807" s="1185"/>
      <c r="AH807" s="1185"/>
      <c r="AI807" s="1185"/>
    </row>
    <row r="808" spans="1:37">
      <c r="A808" s="1009" t="s">
        <v>426</v>
      </c>
      <c r="B808" s="1219"/>
      <c r="C808" s="1026">
        <f t="shared" si="97"/>
        <v>0</v>
      </c>
      <c r="D808" s="1261"/>
      <c r="E808" s="1261"/>
      <c r="F808" s="1203"/>
      <c r="G808" s="1328"/>
      <c r="H808" s="1041"/>
      <c r="I808" s="1203"/>
      <c r="K808" s="1041"/>
      <c r="L808" s="1203"/>
      <c r="N808" s="1185"/>
      <c r="P808" s="1261" t="s">
        <v>31</v>
      </c>
      <c r="Q808" s="1248"/>
      <c r="R808" s="1248"/>
      <c r="T808" s="1186"/>
      <c r="U808" s="1185"/>
      <c r="V808" s="1185"/>
      <c r="W808" s="1274"/>
      <c r="X808" s="1185"/>
      <c r="Y808" s="1185"/>
      <c r="Z808" s="1185"/>
      <c r="AA808" s="1185"/>
      <c r="AB808" s="1185"/>
      <c r="AC808" s="1185"/>
      <c r="AD808" s="1185"/>
      <c r="AE808" s="1185"/>
      <c r="AF808" s="1185"/>
      <c r="AG808" s="1185"/>
      <c r="AH808" s="1185"/>
      <c r="AI808" s="1185"/>
    </row>
    <row r="809" spans="1:37">
      <c r="A809" s="1009" t="s">
        <v>464</v>
      </c>
      <c r="B809" s="1219"/>
      <c r="C809" s="1026">
        <f t="shared" si="97"/>
        <v>355792393</v>
      </c>
      <c r="D809" s="1323"/>
      <c r="E809" s="1041"/>
      <c r="F809" s="1203">
        <f>F931+F949</f>
        <v>13195983</v>
      </c>
      <c r="G809" s="1328"/>
      <c r="H809" s="1041"/>
      <c r="I809" s="1203">
        <f>I931+I949</f>
        <v>15072663</v>
      </c>
      <c r="K809" s="1041"/>
      <c r="L809" s="1203">
        <f>L931+L949</f>
        <v>16025552</v>
      </c>
      <c r="N809" s="1185"/>
      <c r="P809" s="1323" t="s">
        <v>31</v>
      </c>
      <c r="Q809" s="55" t="s">
        <v>31</v>
      </c>
      <c r="R809" s="55"/>
      <c r="T809" s="1186"/>
      <c r="U809" s="1185"/>
      <c r="V809" s="1185"/>
      <c r="W809" s="1330"/>
      <c r="X809" s="1185"/>
      <c r="Y809" s="1185"/>
      <c r="Z809" s="1185"/>
      <c r="AA809" s="1185"/>
      <c r="AB809" s="1185"/>
      <c r="AC809" s="1185"/>
      <c r="AD809" s="1185"/>
      <c r="AE809" s="1185"/>
      <c r="AF809" s="1185"/>
      <c r="AG809" s="1185"/>
      <c r="AH809" s="1185"/>
      <c r="AI809" s="1185"/>
    </row>
    <row r="810" spans="1:37">
      <c r="A810" s="1009" t="s">
        <v>400</v>
      </c>
      <c r="B810" s="1219"/>
      <c r="C810" s="1026">
        <f t="shared" si="97"/>
        <v>199998</v>
      </c>
      <c r="D810" s="1261"/>
      <c r="E810" s="1041"/>
      <c r="F810" s="1203">
        <f>F932+F950</f>
        <v>95835</v>
      </c>
      <c r="G810" s="1328"/>
      <c r="H810" s="1041"/>
      <c r="I810" s="1203">
        <f>I932+I950</f>
        <v>109835</v>
      </c>
      <c r="K810" s="1041"/>
      <c r="L810" s="1203">
        <f>L932+L950</f>
        <v>109835</v>
      </c>
      <c r="N810" s="1185"/>
      <c r="P810" s="1261">
        <f>J827</f>
        <v>0.55000000000000004</v>
      </c>
      <c r="Q810" s="55">
        <f>(P810-G827)/G827</f>
        <v>0</v>
      </c>
      <c r="R810" s="55"/>
      <c r="T810" s="1186"/>
      <c r="U810" s="1185"/>
      <c r="V810" s="1185"/>
      <c r="W810" s="1185"/>
      <c r="X810" s="1185"/>
      <c r="Y810" s="1185"/>
      <c r="Z810" s="1185"/>
      <c r="AA810" s="1185"/>
      <c r="AB810" s="1185"/>
      <c r="AC810" s="1185"/>
      <c r="AD810" s="1185"/>
      <c r="AE810" s="1185"/>
      <c r="AF810" s="1185"/>
      <c r="AG810" s="1185"/>
      <c r="AH810" s="1185"/>
      <c r="AI810" s="1185"/>
    </row>
    <row r="811" spans="1:37">
      <c r="A811" s="1219" t="s">
        <v>381</v>
      </c>
      <c r="B811" s="1219"/>
      <c r="C811" s="1026">
        <f>C933+C951</f>
        <v>355792393</v>
      </c>
      <c r="D811" s="1255"/>
      <c r="E811" s="1203"/>
      <c r="F811" s="1203">
        <f>F933+F951</f>
        <v>20008542</v>
      </c>
      <c r="G811" s="1249"/>
      <c r="H811" s="1219"/>
      <c r="I811" s="1203">
        <f>I933+I951</f>
        <v>22873463</v>
      </c>
      <c r="J811" s="1203"/>
      <c r="K811" s="1219"/>
      <c r="L811" s="1203">
        <f>L933+L951</f>
        <v>24173238</v>
      </c>
      <c r="N811" s="1185"/>
      <c r="O811" s="1185"/>
      <c r="Q811" s="1186"/>
      <c r="R811" s="1186"/>
      <c r="S811" s="1185"/>
      <c r="T811" s="1185"/>
      <c r="U811" s="1185"/>
      <c r="V811" s="1185"/>
      <c r="W811" s="1185"/>
      <c r="X811" s="1185"/>
      <c r="Y811" s="1185"/>
      <c r="Z811" s="1185"/>
      <c r="AA811" s="1185"/>
      <c r="AB811" s="1185"/>
      <c r="AC811" s="1185"/>
      <c r="AD811" s="1185"/>
      <c r="AE811" s="1185"/>
      <c r="AF811" s="1185"/>
      <c r="AG811" s="1185"/>
      <c r="AH811" s="1185"/>
      <c r="AI811" s="1185"/>
    </row>
    <row r="812" spans="1:37">
      <c r="A812" s="1219" t="s">
        <v>363</v>
      </c>
      <c r="B812" s="1219"/>
      <c r="C812" s="1028">
        <f>C934+C952</f>
        <v>2562376.8072081548</v>
      </c>
      <c r="D812" s="1218"/>
      <c r="E812" s="1218"/>
      <c r="F812" s="1324" t="e">
        <f>F934+F952</f>
        <v>#REF!</v>
      </c>
      <c r="G812" s="1218"/>
      <c r="H812" s="1218"/>
      <c r="I812" s="1324">
        <f>I934+I952</f>
        <v>165397.88614520934</v>
      </c>
      <c r="J812" s="1218"/>
      <c r="K812" s="1218"/>
      <c r="L812" s="1324">
        <f>L934+L952</f>
        <v>165397.88614520934</v>
      </c>
      <c r="N812" s="444"/>
      <c r="O812" s="444"/>
      <c r="P812" s="287"/>
      <c r="Q812" s="1186"/>
      <c r="R812" s="1186"/>
      <c r="S812" s="1185"/>
      <c r="T812" s="1185"/>
      <c r="U812" s="1185"/>
      <c r="V812" s="1185"/>
      <c r="W812" s="1185"/>
      <c r="X812" s="1185"/>
      <c r="Y812" s="1185"/>
      <c r="Z812" s="1185"/>
      <c r="AA812" s="1185"/>
      <c r="AB812" s="1185"/>
      <c r="AC812" s="1185"/>
      <c r="AD812" s="1185"/>
      <c r="AE812" s="1185"/>
      <c r="AF812" s="1185"/>
      <c r="AG812" s="1185"/>
      <c r="AH812" s="1185"/>
      <c r="AI812" s="1185"/>
    </row>
    <row r="813" spans="1:37" ht="16.5" thickBot="1">
      <c r="A813" s="1219" t="s">
        <v>382</v>
      </c>
      <c r="B813" s="1219"/>
      <c r="C813" s="1331">
        <f>C935+C953</f>
        <v>358354769.80720818</v>
      </c>
      <c r="D813" s="1265"/>
      <c r="E813" s="1266"/>
      <c r="F813" s="1332" t="e">
        <f>F935+F953</f>
        <v>#REF!</v>
      </c>
      <c r="G813" s="1265"/>
      <c r="H813" s="1269"/>
      <c r="I813" s="1332">
        <f>I935+I953</f>
        <v>23038860.886145208</v>
      </c>
      <c r="J813" s="1265"/>
      <c r="K813" s="1269"/>
      <c r="L813" s="1332">
        <f>L935+L953</f>
        <v>24338635.886145208</v>
      </c>
      <c r="N813" s="411"/>
      <c r="O813" s="1215" t="s">
        <v>364</v>
      </c>
      <c r="P813" s="1216">
        <f>('[97]Rate Spread targets'!Q27+'[97]Rate Spread targets'!Q26)*1000</f>
        <v>24643085.828377042</v>
      </c>
      <c r="Q813" s="818">
        <f>'[97]Rate Spread targets'!V27+0.0057</f>
        <v>6.2009344674088321E-2</v>
      </c>
      <c r="R813" s="777"/>
      <c r="S813" s="1190" t="s">
        <v>721</v>
      </c>
      <c r="T813" s="1185"/>
      <c r="U813" s="1185"/>
      <c r="V813" s="1185"/>
      <c r="W813" s="1185"/>
      <c r="X813" s="1185"/>
      <c r="Y813" s="1185"/>
      <c r="Z813" s="1185"/>
      <c r="AA813" s="1185"/>
      <c r="AB813" s="1185"/>
      <c r="AC813" s="1185"/>
      <c r="AD813" s="1185"/>
      <c r="AE813" s="1185"/>
      <c r="AF813" s="1185"/>
      <c r="AG813" s="1185"/>
      <c r="AH813" s="1185"/>
      <c r="AI813" s="1185"/>
    </row>
    <row r="814" spans="1:37" ht="16.5" thickTop="1">
      <c r="A814" s="1219"/>
      <c r="B814" s="1219"/>
      <c r="C814" s="1018"/>
      <c r="D814" s="1275"/>
      <c r="E814" s="1276"/>
      <c r="F814" s="1244"/>
      <c r="G814" s="1275"/>
      <c r="H814" s="1277"/>
      <c r="I814" s="1244"/>
      <c r="J814" s="1275"/>
      <c r="K814" s="1277"/>
      <c r="L814" s="1244"/>
      <c r="N814" s="411"/>
      <c r="O814" s="787" t="s">
        <v>263</v>
      </c>
      <c r="P814" s="812">
        <f>P813-O816</f>
        <v>-982.56946202740073</v>
      </c>
      <c r="Q814" s="1333"/>
      <c r="R814" s="1186"/>
      <c r="S814" s="1185"/>
      <c r="T814" s="1185"/>
      <c r="U814" s="1185"/>
      <c r="V814" s="1185"/>
      <c r="W814" s="1185"/>
      <c r="X814" s="1185"/>
      <c r="Y814" s="1185"/>
      <c r="Z814" s="1185"/>
      <c r="AA814" s="1185"/>
      <c r="AB814" s="1185"/>
      <c r="AC814" s="1185"/>
      <c r="AD814" s="1185"/>
      <c r="AE814" s="1185"/>
      <c r="AF814" s="1185"/>
      <c r="AG814" s="1185"/>
      <c r="AH814" s="1185"/>
      <c r="AI814" s="1185"/>
    </row>
    <row r="815" spans="1:37">
      <c r="A815" s="1224" t="s">
        <v>476</v>
      </c>
      <c r="B815" s="1219"/>
      <c r="C815" s="1219"/>
      <c r="D815" s="1203"/>
      <c r="E815" s="1203"/>
      <c r="F815" s="1219"/>
      <c r="G815" s="1203"/>
      <c r="H815" s="1219"/>
      <c r="I815" s="1219"/>
      <c r="J815" s="1203"/>
      <c r="K815" s="1219"/>
      <c r="N815" s="1185"/>
      <c r="Q815" s="1186"/>
      <c r="R815" s="1186"/>
      <c r="S815" s="1185"/>
      <c r="T815" s="1185"/>
      <c r="U815" s="1185"/>
      <c r="V815" s="1185"/>
      <c r="W815" s="1185"/>
      <c r="X815" s="1185"/>
      <c r="Y815" s="1185"/>
      <c r="Z815" s="1185"/>
      <c r="AA815" s="1185"/>
      <c r="AB815" s="1185"/>
      <c r="AC815" s="1185"/>
      <c r="AD815" s="1185"/>
      <c r="AE815" s="1185"/>
      <c r="AF815" s="1185"/>
      <c r="AG815" s="1185"/>
      <c r="AH815" s="1185"/>
      <c r="AI815" s="1185"/>
    </row>
    <row r="816" spans="1:37">
      <c r="A816" s="1218" t="s">
        <v>698</v>
      </c>
      <c r="B816" s="1219"/>
      <c r="C816" s="1219"/>
      <c r="D816" s="1203"/>
      <c r="E816" s="1203"/>
      <c r="F816" s="1219"/>
      <c r="G816" s="1203"/>
      <c r="H816" s="1219"/>
      <c r="I816" s="1219"/>
      <c r="J816" s="1203"/>
      <c r="K816" s="1219"/>
      <c r="L816" s="1219"/>
      <c r="N816" s="1185"/>
      <c r="O816" s="1203">
        <f>L778+L813</f>
        <v>24644068.397839069</v>
      </c>
      <c r="P816" s="1334" t="s">
        <v>721</v>
      </c>
      <c r="Q816" s="827">
        <f>(O816-(I813+I778))/(I813+I778)</f>
        <v>5.6351461855019325E-2</v>
      </c>
      <c r="R816" s="1186"/>
      <c r="S816" s="1185"/>
      <c r="T816" s="1185"/>
      <c r="U816" s="1185"/>
      <c r="V816" s="1185"/>
      <c r="W816" s="1185"/>
      <c r="X816" s="1185"/>
      <c r="Y816" s="1185"/>
      <c r="Z816" s="1185"/>
      <c r="AA816" s="1185"/>
      <c r="AB816" s="1185"/>
      <c r="AC816" s="1185"/>
      <c r="AD816" s="1185"/>
      <c r="AE816" s="1185"/>
      <c r="AF816" s="1185"/>
      <c r="AG816" s="1185"/>
      <c r="AH816" s="1185"/>
      <c r="AI816" s="1185"/>
    </row>
    <row r="817" spans="1:35">
      <c r="A817" s="1009"/>
      <c r="B817" s="1219"/>
      <c r="C817" s="1219"/>
      <c r="D817" s="1203"/>
      <c r="E817" s="1203"/>
      <c r="F817" s="1219"/>
      <c r="G817" s="1203"/>
      <c r="H817" s="1219"/>
      <c r="I817" s="1219"/>
      <c r="J817" s="1203"/>
      <c r="K817" s="1219"/>
      <c r="L817" s="1219"/>
      <c r="N817" s="1185"/>
      <c r="O817" s="1185"/>
      <c r="P817" s="1186"/>
      <c r="Q817" s="1186"/>
      <c r="R817" s="1186"/>
      <c r="S817" s="1185"/>
      <c r="T817" s="1185"/>
      <c r="U817" s="1185"/>
      <c r="V817" s="1185"/>
      <c r="W817" s="1185"/>
      <c r="X817" s="1185"/>
      <c r="Y817" s="1185"/>
      <c r="Z817" s="1185"/>
      <c r="AA817" s="1185"/>
      <c r="AB817" s="1185"/>
      <c r="AC817" s="1185"/>
      <c r="AD817" s="1185"/>
      <c r="AE817" s="1185"/>
      <c r="AF817" s="1185"/>
      <c r="AG817" s="1185"/>
      <c r="AH817" s="1185"/>
      <c r="AI817" s="1185"/>
    </row>
    <row r="818" spans="1:35">
      <c r="A818" s="1009" t="s">
        <v>393</v>
      </c>
      <c r="B818" s="1219"/>
      <c r="C818" s="1026"/>
      <c r="D818" s="1203"/>
      <c r="E818" s="1203"/>
      <c r="F818" s="1219"/>
      <c r="G818" s="1203"/>
      <c r="H818" s="1219"/>
      <c r="I818" s="1219"/>
      <c r="J818" s="1203"/>
      <c r="K818" s="1219"/>
      <c r="L818" s="1219"/>
      <c r="N818" s="1185"/>
      <c r="O818" s="1185"/>
      <c r="P818" s="1186"/>
      <c r="Q818" s="1186"/>
      <c r="R818" s="1186"/>
      <c r="S818" s="1185"/>
      <c r="T818" s="1185"/>
      <c r="U818" s="1185"/>
      <c r="V818" s="1185"/>
      <c r="W818" s="1185"/>
      <c r="X818" s="1185"/>
      <c r="Y818" s="1185"/>
      <c r="Z818" s="1185"/>
      <c r="AA818" s="1185"/>
      <c r="AB818" s="1185"/>
      <c r="AC818" s="1185"/>
      <c r="AD818" s="1185"/>
      <c r="AE818" s="1185"/>
      <c r="AF818" s="1185"/>
      <c r="AG818" s="1185"/>
      <c r="AH818" s="1185"/>
      <c r="AI818" s="1185"/>
    </row>
    <row r="819" spans="1:35">
      <c r="A819" s="1009" t="s">
        <v>471</v>
      </c>
      <c r="B819" s="1219"/>
      <c r="C819" s="1026">
        <f t="shared" ref="C819:C824" si="98">C837+C854</f>
        <v>564</v>
      </c>
      <c r="D819" s="1261">
        <v>1215</v>
      </c>
      <c r="E819" s="1261"/>
      <c r="F819" s="1203">
        <f>ROUND(D819*$C819,0)</f>
        <v>685260</v>
      </c>
      <c r="G819" s="1261">
        <v>1386</v>
      </c>
      <c r="H819" s="1041"/>
      <c r="I819" s="1203">
        <f>ROUND(G819*C819,0)</f>
        <v>781704</v>
      </c>
      <c r="J819" s="1261">
        <f>G819</f>
        <v>1386</v>
      </c>
      <c r="K819" s="1041"/>
      <c r="L819" s="1203">
        <f>ROUND(J819*$C819,0)</f>
        <v>781704</v>
      </c>
      <c r="N819" s="1185"/>
      <c r="O819" s="1185"/>
      <c r="Q819" s="827">
        <f>(J819-G819)/G819</f>
        <v>0</v>
      </c>
      <c r="R819" s="777"/>
      <c r="S819" s="1185"/>
      <c r="T819" s="1185"/>
      <c r="U819" s="1185"/>
      <c r="V819" s="1185"/>
      <c r="W819" s="1185"/>
      <c r="X819" s="1185"/>
      <c r="Y819" s="1185"/>
      <c r="Z819" s="1185"/>
      <c r="AA819" s="1185"/>
      <c r="AB819" s="1185"/>
      <c r="AC819" s="1185"/>
      <c r="AD819" s="1185"/>
      <c r="AE819" s="1185"/>
      <c r="AF819" s="1185"/>
      <c r="AG819" s="1185"/>
      <c r="AH819" s="1185"/>
      <c r="AI819" s="1185"/>
    </row>
    <row r="820" spans="1:35">
      <c r="A820" s="1009" t="s">
        <v>472</v>
      </c>
      <c r="B820" s="1219"/>
      <c r="C820" s="1026">
        <f t="shared" si="98"/>
        <v>0</v>
      </c>
      <c r="D820" s="1261">
        <v>1465</v>
      </c>
      <c r="E820" s="1261"/>
      <c r="F820" s="1203">
        <f>ROUND(D820*$C820,0)</f>
        <v>0</v>
      </c>
      <c r="G820" s="1261">
        <v>1675</v>
      </c>
      <c r="H820" s="1249"/>
      <c r="I820" s="1203">
        <f>ROUND(G820*C820,0)</f>
        <v>0</v>
      </c>
      <c r="J820" s="1261">
        <f>G820</f>
        <v>1675</v>
      </c>
      <c r="K820" s="1249"/>
      <c r="L820" s="1203">
        <f>ROUND(J820*$C820,0)</f>
        <v>0</v>
      </c>
      <c r="N820" s="1185"/>
      <c r="O820" s="1185"/>
      <c r="Q820" s="827">
        <f>(J820-G820)/G820</f>
        <v>0</v>
      </c>
      <c r="R820" s="777"/>
      <c r="S820" s="1185"/>
      <c r="T820" s="1185"/>
      <c r="U820" s="1185"/>
      <c r="V820" s="1185"/>
      <c r="W820" s="1185"/>
      <c r="X820" s="1185"/>
      <c r="Y820" s="1185"/>
      <c r="Z820" s="1185"/>
      <c r="AA820" s="1185"/>
      <c r="AB820" s="1185"/>
      <c r="AC820" s="1185"/>
      <c r="AD820" s="1185"/>
      <c r="AE820" s="1185"/>
      <c r="AF820" s="1185"/>
      <c r="AG820" s="1185"/>
      <c r="AH820" s="1185"/>
      <c r="AI820" s="1185"/>
    </row>
    <row r="821" spans="1:35">
      <c r="A821" s="1009" t="s">
        <v>394</v>
      </c>
      <c r="B821" s="1219"/>
      <c r="C821" s="1026">
        <f t="shared" si="98"/>
        <v>564</v>
      </c>
      <c r="D821" s="1261" t="s">
        <v>31</v>
      </c>
      <c r="E821" s="1261"/>
      <c r="F821" s="1203" t="s">
        <v>31</v>
      </c>
      <c r="G821" s="1261" t="s">
        <v>31</v>
      </c>
      <c r="H821" s="1041"/>
      <c r="I821" s="1203" t="s">
        <v>31</v>
      </c>
      <c r="J821" s="1261" t="s">
        <v>31</v>
      </c>
      <c r="K821" s="1041"/>
      <c r="L821" s="1203" t="s">
        <v>31</v>
      </c>
      <c r="N821" s="1185"/>
      <c r="O821" s="1185"/>
      <c r="Q821" s="1335"/>
      <c r="R821" s="1186"/>
      <c r="S821" s="1185"/>
      <c r="T821" s="1185"/>
      <c r="U821" s="1185"/>
      <c r="V821" s="1185"/>
      <c r="W821" s="1185"/>
      <c r="X821" s="1185"/>
      <c r="Y821" s="1185"/>
      <c r="Z821" s="1185"/>
      <c r="AA821" s="1185"/>
      <c r="AB821" s="1185"/>
      <c r="AC821" s="1185"/>
      <c r="AD821" s="1185"/>
      <c r="AE821" s="1185"/>
      <c r="AF821" s="1185"/>
      <c r="AG821" s="1185"/>
      <c r="AH821" s="1185"/>
      <c r="AI821" s="1185"/>
    </row>
    <row r="822" spans="1:35">
      <c r="A822" s="1009" t="s">
        <v>473</v>
      </c>
      <c r="B822" s="1219"/>
      <c r="C822" s="1026">
        <f t="shared" si="98"/>
        <v>791768</v>
      </c>
      <c r="D822" s="1261">
        <v>0.92</v>
      </c>
      <c r="E822" s="1261"/>
      <c r="F822" s="1203">
        <f>ROUND(D822*$C822,0)</f>
        <v>728427</v>
      </c>
      <c r="G822" s="1261">
        <v>1.06</v>
      </c>
      <c r="H822" s="1041"/>
      <c r="I822" s="1203">
        <f t="shared" ref="I822:I824" si="99">ROUND(G822*C822,0)</f>
        <v>839274</v>
      </c>
      <c r="J822" s="1261">
        <f>G822</f>
        <v>1.06</v>
      </c>
      <c r="K822" s="1041"/>
      <c r="L822" s="1203">
        <f>ROUND(J822*$C822,0)</f>
        <v>839274</v>
      </c>
      <c r="N822" s="1185"/>
      <c r="O822" s="1185"/>
      <c r="Q822" s="827">
        <f>(J822-G822)/G822</f>
        <v>0</v>
      </c>
      <c r="R822" s="777"/>
      <c r="S822" s="1185"/>
      <c r="T822" s="1185"/>
      <c r="U822" s="1185"/>
      <c r="V822" s="1185"/>
      <c r="W822" s="1185"/>
      <c r="X822" s="1185"/>
      <c r="Y822" s="1185"/>
      <c r="Z822" s="1185"/>
      <c r="AA822" s="1185"/>
      <c r="AB822" s="1185"/>
      <c r="AC822" s="1185"/>
      <c r="AD822" s="1185"/>
      <c r="AE822" s="1185"/>
      <c r="AF822" s="1185"/>
      <c r="AG822" s="1185"/>
      <c r="AH822" s="1185"/>
      <c r="AI822" s="1185"/>
    </row>
    <row r="823" spans="1:35">
      <c r="A823" s="1009" t="s">
        <v>474</v>
      </c>
      <c r="B823" s="1219"/>
      <c r="C823" s="1026">
        <f t="shared" si="98"/>
        <v>0</v>
      </c>
      <c r="D823" s="1261">
        <v>0.84</v>
      </c>
      <c r="E823" s="1261"/>
      <c r="F823" s="1203">
        <f>ROUND(D823*$C823,0)</f>
        <v>0</v>
      </c>
      <c r="G823" s="1261">
        <v>0.96</v>
      </c>
      <c r="H823" s="1041"/>
      <c r="I823" s="1203">
        <f t="shared" si="99"/>
        <v>0</v>
      </c>
      <c r="J823" s="1261">
        <f>G823</f>
        <v>0.96</v>
      </c>
      <c r="K823" s="1041"/>
      <c r="L823" s="1203">
        <f>ROUND(J823*$C823,0)</f>
        <v>0</v>
      </c>
      <c r="N823" s="1185"/>
      <c r="O823" s="1185"/>
      <c r="Q823" s="827">
        <f>(J823-G823)/G823</f>
        <v>0</v>
      </c>
      <c r="R823" s="777"/>
      <c r="S823" s="1185"/>
      <c r="T823" s="1185"/>
      <c r="U823" s="1185"/>
      <c r="V823" s="1185"/>
      <c r="W823" s="1185"/>
      <c r="X823" s="1185"/>
      <c r="Y823" s="1185"/>
      <c r="Z823" s="1185"/>
      <c r="AA823" s="1185"/>
      <c r="AB823" s="1185"/>
      <c r="AC823" s="1185"/>
      <c r="AD823" s="1185"/>
      <c r="AE823" s="1185"/>
      <c r="AF823" s="1185"/>
      <c r="AG823" s="1185"/>
      <c r="AH823" s="1185"/>
      <c r="AI823" s="1185"/>
    </row>
    <row r="824" spans="1:35">
      <c r="A824" s="1218" t="s">
        <v>403</v>
      </c>
      <c r="B824" s="1219"/>
      <c r="C824" s="1026">
        <f t="shared" si="98"/>
        <v>648754</v>
      </c>
      <c r="D824" s="1261">
        <v>6.22</v>
      </c>
      <c r="E824" s="1261"/>
      <c r="F824" s="1203">
        <f>ROUND(D824*$C824,0)</f>
        <v>4035250</v>
      </c>
      <c r="G824" s="1261">
        <v>7.12</v>
      </c>
      <c r="H824" s="1041"/>
      <c r="I824" s="1203">
        <f t="shared" si="99"/>
        <v>4619128</v>
      </c>
      <c r="J824" s="1261">
        <f>ROUND(G824*(1+$Q$813),2)-0.01</f>
        <v>7.55</v>
      </c>
      <c r="K824" s="1041"/>
      <c r="L824" s="1203">
        <f>ROUND(J824*$C824,0)</f>
        <v>4898093</v>
      </c>
      <c r="N824" s="1185"/>
      <c r="O824" s="1185"/>
      <c r="Q824" s="827">
        <f>(J824-G824)/G824</f>
        <v>6.0393258426966252E-2</v>
      </c>
      <c r="R824" s="777"/>
      <c r="S824" s="1185"/>
      <c r="T824" s="1185"/>
      <c r="U824" s="1185"/>
      <c r="V824" s="1185"/>
      <c r="W824" s="1185"/>
      <c r="X824" s="1185"/>
      <c r="Y824" s="1185"/>
      <c r="Z824" s="1185"/>
      <c r="AA824" s="1185"/>
      <c r="AB824" s="1185"/>
      <c r="AC824" s="1185"/>
      <c r="AD824" s="1185"/>
      <c r="AE824" s="1185"/>
      <c r="AF824" s="1185"/>
      <c r="AG824" s="1185"/>
      <c r="AH824" s="1185"/>
      <c r="AI824" s="1185"/>
    </row>
    <row r="825" spans="1:35">
      <c r="A825" s="1009" t="s">
        <v>426</v>
      </c>
      <c r="B825" s="1219"/>
      <c r="C825" s="1026"/>
      <c r="D825" s="1261" t="s">
        <v>31</v>
      </c>
      <c r="E825" s="1261"/>
      <c r="F825" s="1203"/>
      <c r="G825" s="1261" t="s">
        <v>31</v>
      </c>
      <c r="H825" s="1041"/>
      <c r="I825" s="1203"/>
      <c r="J825" s="1261" t="s">
        <v>31</v>
      </c>
      <c r="K825" s="1041"/>
      <c r="L825" s="1203"/>
      <c r="N825" s="1185"/>
      <c r="O825" s="1185"/>
      <c r="Q825" s="1335"/>
      <c r="R825" s="1186"/>
      <c r="S825" s="1185"/>
      <c r="T825" s="1185"/>
      <c r="U825" s="1185"/>
      <c r="V825" s="1185"/>
      <c r="W825" s="1185"/>
      <c r="X825" s="1185"/>
      <c r="Y825" s="1185"/>
      <c r="Z825" s="1185"/>
      <c r="AA825" s="1185"/>
      <c r="AB825" s="1185"/>
      <c r="AC825" s="1185"/>
      <c r="AD825" s="1185"/>
      <c r="AE825" s="1185"/>
      <c r="AF825" s="1185"/>
      <c r="AG825" s="1185"/>
      <c r="AH825" s="1185"/>
      <c r="AI825" s="1185"/>
    </row>
    <row r="826" spans="1:35">
      <c r="A826" s="1009" t="s">
        <v>464</v>
      </c>
      <c r="B826" s="1219"/>
      <c r="C826" s="1026">
        <f>C844+C861</f>
        <v>292306193</v>
      </c>
      <c r="D826" s="1323">
        <v>3.718</v>
      </c>
      <c r="E826" s="1041" t="s">
        <v>374</v>
      </c>
      <c r="F826" s="1203">
        <f>ROUND(D826/100*$C826,0)</f>
        <v>10867944</v>
      </c>
      <c r="G826" s="1323">
        <v>4.2460000000000004</v>
      </c>
      <c r="H826" s="1041" t="s">
        <v>374</v>
      </c>
      <c r="I826" s="1203">
        <f>ROUND(G826/100*C826,0)</f>
        <v>12411321</v>
      </c>
      <c r="J826" s="1323">
        <f>ROUND(G826*(1+$Q$813),3)+0.005</f>
        <v>4.5140000000000002</v>
      </c>
      <c r="K826" s="1041" t="s">
        <v>374</v>
      </c>
      <c r="L826" s="1203">
        <f>ROUND(J826/100*$C826,0)</f>
        <v>13194702</v>
      </c>
      <c r="N826" s="1185"/>
      <c r="O826" s="1185"/>
      <c r="Q826" s="827">
        <f>(J826-G826)/G826</f>
        <v>6.3118228921337671E-2</v>
      </c>
      <c r="R826" s="777"/>
      <c r="S826" s="1185"/>
      <c r="T826" s="1185"/>
      <c r="U826" s="1185"/>
      <c r="V826" s="1185"/>
      <c r="W826" s="1185"/>
      <c r="X826" s="1185"/>
      <c r="Y826" s="1185"/>
      <c r="Z826" s="1185"/>
      <c r="AA826" s="1185"/>
      <c r="AB826" s="1185"/>
      <c r="AC826" s="1185"/>
      <c r="AD826" s="1185"/>
      <c r="AE826" s="1185"/>
      <c r="AF826" s="1185"/>
      <c r="AG826" s="1185"/>
      <c r="AH826" s="1185"/>
      <c r="AI826" s="1185"/>
    </row>
    <row r="827" spans="1:35">
      <c r="A827" s="1009" t="s">
        <v>400</v>
      </c>
      <c r="B827" s="1219"/>
      <c r="C827" s="1026">
        <f>C845+C862</f>
        <v>183678</v>
      </c>
      <c r="D827" s="1261">
        <v>0.48</v>
      </c>
      <c r="E827" s="1041"/>
      <c r="F827" s="1203">
        <f>ROUND(D827*$C827,0)</f>
        <v>88165</v>
      </c>
      <c r="G827" s="1261">
        <v>0.55000000000000004</v>
      </c>
      <c r="H827" s="1041"/>
      <c r="I827" s="1203">
        <f>ROUND(G827*C827,0)</f>
        <v>101023</v>
      </c>
      <c r="J827" s="1261">
        <f>G827</f>
        <v>0.55000000000000004</v>
      </c>
      <c r="K827" s="1041"/>
      <c r="L827" s="1203">
        <f>ROUND(J827*$C827,0)</f>
        <v>101023</v>
      </c>
      <c r="N827" s="1185"/>
      <c r="O827" s="1185"/>
      <c r="Q827" s="827">
        <f>(J827-G827)/G827</f>
        <v>0</v>
      </c>
      <c r="R827" s="777"/>
      <c r="S827" s="1185"/>
      <c r="T827" s="1185"/>
      <c r="U827" s="1185"/>
      <c r="V827" s="1185"/>
      <c r="W827" s="1185"/>
      <c r="X827" s="1185"/>
      <c r="Y827" s="1185"/>
      <c r="Z827" s="1185"/>
      <c r="AA827" s="1185"/>
      <c r="AB827" s="1185"/>
      <c r="AC827" s="1185"/>
      <c r="AD827" s="1185"/>
      <c r="AE827" s="1185"/>
      <c r="AF827" s="1185"/>
      <c r="AG827" s="1185"/>
      <c r="AH827" s="1185"/>
      <c r="AI827" s="1185"/>
    </row>
    <row r="828" spans="1:35">
      <c r="A828" s="1219" t="s">
        <v>381</v>
      </c>
      <c r="B828" s="1219"/>
      <c r="C828" s="1026">
        <f>C826</f>
        <v>292306193</v>
      </c>
      <c r="D828" s="1255"/>
      <c r="E828" s="1203"/>
      <c r="F828" s="1203">
        <f>SUM(F819:F827)</f>
        <v>16405046</v>
      </c>
      <c r="G828" s="1255"/>
      <c r="H828" s="1219"/>
      <c r="I828" s="1203">
        <f>SUM(I819:I827)</f>
        <v>18752450</v>
      </c>
      <c r="J828" s="1255"/>
      <c r="K828" s="1219"/>
      <c r="L828" s="1203">
        <f>SUM(L819:L827)</f>
        <v>19814796</v>
      </c>
      <c r="N828" s="1185"/>
      <c r="O828" s="1185"/>
      <c r="P828" s="1186"/>
      <c r="Q828" s="1186"/>
      <c r="R828" s="1186"/>
      <c r="S828" s="1185"/>
      <c r="T828" s="1185"/>
      <c r="U828" s="1185"/>
      <c r="V828" s="1185"/>
      <c r="W828" s="1185"/>
      <c r="X828" s="1185"/>
      <c r="Y828" s="1185"/>
      <c r="Z828" s="1185"/>
      <c r="AA828" s="1185"/>
      <c r="AB828" s="1185"/>
      <c r="AC828" s="1185"/>
      <c r="AD828" s="1185"/>
      <c r="AE828" s="1185"/>
      <c r="AF828" s="1185"/>
      <c r="AG828" s="1185"/>
      <c r="AH828" s="1185"/>
      <c r="AI828" s="1185"/>
    </row>
    <row r="829" spans="1:35">
      <c r="A829" s="1219" t="s">
        <v>363</v>
      </c>
      <c r="B829" s="1219"/>
      <c r="C829" s="1026">
        <f>C847+C864</f>
        <v>2651326.442353046</v>
      </c>
      <c r="D829" s="1218"/>
      <c r="E829" s="1218"/>
      <c r="F829" s="1264" t="e">
        <f>F847+F864</f>
        <v>#REF!</v>
      </c>
      <c r="G829" s="1218"/>
      <c r="H829" s="1218"/>
      <c r="I829" s="1028">
        <f>I847+I864</f>
        <v>169058.49388907425</v>
      </c>
      <c r="J829" s="1218"/>
      <c r="K829" s="1218"/>
      <c r="L829" s="1264">
        <f>I829</f>
        <v>169058.49388907425</v>
      </c>
      <c r="N829" s="444"/>
      <c r="O829" s="444"/>
      <c r="P829" s="287"/>
      <c r="Q829" s="1186"/>
      <c r="R829" s="1186"/>
      <c r="S829" s="1185"/>
      <c r="T829" s="1185"/>
      <c r="U829" s="1185"/>
      <c r="V829" s="1185"/>
      <c r="W829" s="1185"/>
      <c r="X829" s="1185"/>
      <c r="Y829" s="1185"/>
      <c r="Z829" s="1185"/>
      <c r="AA829" s="1185"/>
      <c r="AB829" s="1185"/>
      <c r="AC829" s="1185"/>
      <c r="AD829" s="1185"/>
      <c r="AE829" s="1185"/>
      <c r="AF829" s="1185"/>
      <c r="AG829" s="1185"/>
      <c r="AH829" s="1185"/>
      <c r="AI829" s="1185"/>
    </row>
    <row r="830" spans="1:35" ht="18" customHeight="1" thickBot="1">
      <c r="A830" s="1219" t="s">
        <v>382</v>
      </c>
      <c r="B830" s="1219"/>
      <c r="C830" s="1321">
        <f>SUM(C828)+C829</f>
        <v>294957519.44235307</v>
      </c>
      <c r="D830" s="1265"/>
      <c r="E830" s="1266"/>
      <c r="F830" s="1267" t="e">
        <f>F828+F829</f>
        <v>#REF!</v>
      </c>
      <c r="G830" s="1265"/>
      <c r="H830" s="1269"/>
      <c r="I830" s="1267">
        <f>I828+I829</f>
        <v>18921508.493889075</v>
      </c>
      <c r="J830" s="1265"/>
      <c r="K830" s="1269"/>
      <c r="L830" s="1267">
        <f>L828+L829</f>
        <v>19983854.493889075</v>
      </c>
      <c r="N830" s="411"/>
      <c r="O830" s="1065" t="s">
        <v>31</v>
      </c>
      <c r="P830" s="1334" t="s">
        <v>31</v>
      </c>
      <c r="Q830" s="1186"/>
      <c r="R830" s="1186"/>
      <c r="S830" s="801" t="s">
        <v>31</v>
      </c>
      <c r="T830" s="1185"/>
      <c r="U830" s="1185"/>
      <c r="V830" s="1185"/>
      <c r="W830" s="1185"/>
      <c r="X830" s="1185"/>
      <c r="Y830" s="1185"/>
      <c r="Z830" s="1185"/>
      <c r="AA830" s="1185"/>
      <c r="AB830" s="1185"/>
      <c r="AC830" s="1185"/>
      <c r="AD830" s="1185"/>
      <c r="AE830" s="1185"/>
      <c r="AF830" s="1185"/>
      <c r="AG830" s="1185"/>
      <c r="AH830" s="1185"/>
      <c r="AI830" s="1185"/>
    </row>
    <row r="831" spans="1:35" ht="16.5" thickTop="1">
      <c r="A831" s="1219"/>
      <c r="B831" s="1219"/>
      <c r="C831" s="1225"/>
      <c r="D831" s="1261"/>
      <c r="E831" s="1203"/>
      <c r="F831" s="1203"/>
      <c r="G831" s="1261"/>
      <c r="H831" s="1219"/>
      <c r="I831" s="1203" t="s">
        <v>31</v>
      </c>
      <c r="J831" s="1261"/>
      <c r="K831" s="1219"/>
      <c r="L831" s="1303"/>
      <c r="N831" s="1185"/>
      <c r="O831" s="1185"/>
      <c r="P831" s="1186"/>
      <c r="Q831" s="1186"/>
      <c r="R831" s="1186"/>
      <c r="S831" s="1065" t="s">
        <v>31</v>
      </c>
      <c r="T831" s="1185"/>
      <c r="U831" s="1185"/>
      <c r="V831" s="1185"/>
      <c r="W831" s="1185"/>
      <c r="X831" s="1185"/>
      <c r="Y831" s="1185"/>
      <c r="Z831" s="1185"/>
      <c r="AA831" s="1185"/>
      <c r="AB831" s="1185"/>
      <c r="AC831" s="1185"/>
      <c r="AD831" s="1185"/>
      <c r="AE831" s="1185"/>
      <c r="AF831" s="1185"/>
      <c r="AG831" s="1185"/>
      <c r="AH831" s="1185"/>
      <c r="AI831" s="1185"/>
    </row>
    <row r="832" spans="1:35">
      <c r="A832" s="1219"/>
      <c r="B832" s="1219"/>
      <c r="C832" s="1225"/>
      <c r="D832" s="1261"/>
      <c r="E832" s="1203"/>
      <c r="F832" s="1203"/>
      <c r="G832" s="1261"/>
      <c r="H832" s="1219"/>
      <c r="I832" s="1203"/>
      <c r="J832" s="1261"/>
      <c r="K832" s="1219"/>
      <c r="L832" s="1303"/>
      <c r="N832" s="1185"/>
      <c r="Q832" s="1186"/>
      <c r="R832" s="1186"/>
      <c r="S832" s="1185"/>
      <c r="T832" s="1185"/>
      <c r="U832" s="1185"/>
      <c r="V832" s="1185"/>
      <c r="W832" s="1185"/>
      <c r="X832" s="1185"/>
      <c r="Y832" s="1185"/>
      <c r="Z832" s="1185"/>
      <c r="AA832" s="1185"/>
      <c r="AB832" s="1185"/>
      <c r="AC832" s="1185"/>
      <c r="AD832" s="1185"/>
      <c r="AE832" s="1185"/>
      <c r="AF832" s="1185"/>
      <c r="AG832" s="1185"/>
      <c r="AH832" s="1185"/>
      <c r="AI832" s="1185"/>
    </row>
    <row r="833" spans="1:35">
      <c r="A833" s="1224" t="s">
        <v>476</v>
      </c>
      <c r="B833" s="1219"/>
      <c r="C833" s="1219"/>
      <c r="D833" s="1203"/>
      <c r="E833" s="1203"/>
      <c r="F833" s="1219"/>
      <c r="G833" s="1203"/>
      <c r="H833" s="1219"/>
      <c r="I833" s="1219"/>
      <c r="J833" s="1203"/>
      <c r="K833" s="1219"/>
      <c r="L833" s="1219"/>
      <c r="N833" s="1185"/>
      <c r="O833" s="1185"/>
      <c r="P833" s="1186"/>
      <c r="Q833" s="1186"/>
      <c r="R833" s="1186"/>
      <c r="S833" s="1185"/>
      <c r="T833" s="1185"/>
      <c r="U833" s="1185"/>
      <c r="V833" s="1185"/>
      <c r="W833" s="1185"/>
      <c r="X833" s="1185"/>
      <c r="Y833" s="1185"/>
      <c r="Z833" s="1185"/>
      <c r="AA833" s="1185"/>
      <c r="AB833" s="1185"/>
      <c r="AC833" s="1185"/>
      <c r="AD833" s="1185"/>
      <c r="AE833" s="1185"/>
      <c r="AF833" s="1185"/>
      <c r="AG833" s="1185"/>
      <c r="AH833" s="1185"/>
      <c r="AI833" s="1185"/>
    </row>
    <row r="834" spans="1:35">
      <c r="A834" s="1218" t="s">
        <v>697</v>
      </c>
      <c r="B834" s="1219"/>
      <c r="C834" s="1219"/>
      <c r="D834" s="1203"/>
      <c r="E834" s="1203"/>
      <c r="F834" s="1219"/>
      <c r="G834" s="1203"/>
      <c r="H834" s="1219"/>
      <c r="I834" s="1219"/>
      <c r="J834" s="1203"/>
      <c r="K834" s="1219"/>
      <c r="L834" s="1219"/>
      <c r="N834" s="1185"/>
      <c r="O834" s="1185"/>
      <c r="P834" s="1186"/>
      <c r="Q834" s="1186"/>
      <c r="R834" s="1186"/>
      <c r="S834" s="1185"/>
      <c r="T834" s="1185"/>
      <c r="U834" s="1185"/>
      <c r="V834" s="1185"/>
      <c r="W834" s="1185"/>
      <c r="X834" s="1185"/>
      <c r="Y834" s="1185"/>
      <c r="Z834" s="1185"/>
      <c r="AA834" s="1185"/>
      <c r="AB834" s="1185"/>
      <c r="AC834" s="1185"/>
      <c r="AD834" s="1185"/>
      <c r="AE834" s="1185"/>
      <c r="AF834" s="1185"/>
      <c r="AG834" s="1185"/>
      <c r="AH834" s="1185"/>
      <c r="AI834" s="1185"/>
    </row>
    <row r="835" spans="1:35">
      <c r="A835" s="1009"/>
      <c r="B835" s="1219"/>
      <c r="C835" s="1219"/>
      <c r="D835" s="1203"/>
      <c r="E835" s="1203"/>
      <c r="F835" s="1219"/>
      <c r="G835" s="1203"/>
      <c r="H835" s="1219"/>
      <c r="I835" s="1219"/>
      <c r="J835" s="1203"/>
      <c r="K835" s="1219"/>
      <c r="L835" s="1219"/>
      <c r="N835" s="1185"/>
      <c r="O835" s="1185"/>
      <c r="P835" s="1186"/>
      <c r="Q835" s="1186"/>
      <c r="R835" s="1186"/>
      <c r="S835" s="1185"/>
      <c r="T835" s="1185"/>
      <c r="U835" s="1185"/>
      <c r="V835" s="1185"/>
      <c r="W835" s="1185"/>
      <c r="X835" s="1185"/>
      <c r="Y835" s="1185"/>
      <c r="Z835" s="1185"/>
      <c r="AA835" s="1185"/>
      <c r="AB835" s="1185"/>
      <c r="AC835" s="1185"/>
      <c r="AD835" s="1185"/>
      <c r="AE835" s="1185"/>
      <c r="AF835" s="1185"/>
      <c r="AG835" s="1185"/>
      <c r="AH835" s="1185"/>
      <c r="AI835" s="1185"/>
    </row>
    <row r="836" spans="1:35">
      <c r="A836" s="1009" t="s">
        <v>393</v>
      </c>
      <c r="B836" s="1219"/>
      <c r="C836" s="1026"/>
      <c r="D836" s="1203"/>
      <c r="E836" s="1203"/>
      <c r="F836" s="1219"/>
      <c r="G836" s="1203"/>
      <c r="H836" s="1219"/>
      <c r="I836" s="1219"/>
      <c r="J836" s="1203"/>
      <c r="K836" s="1219"/>
      <c r="L836" s="1219"/>
      <c r="N836" s="1185"/>
      <c r="O836" s="1185"/>
      <c r="P836" s="1186" t="s">
        <v>31</v>
      </c>
      <c r="Q836" s="1186"/>
      <c r="R836" s="1186"/>
      <c r="S836" s="1185"/>
      <c r="T836" s="1185"/>
      <c r="U836" s="1185"/>
      <c r="V836" s="1185"/>
      <c r="W836" s="1185"/>
      <c r="X836" s="1185"/>
      <c r="Y836" s="1185"/>
      <c r="Z836" s="1185"/>
      <c r="AA836" s="1185"/>
      <c r="AB836" s="1185"/>
      <c r="AC836" s="1185"/>
      <c r="AD836" s="1185"/>
      <c r="AE836" s="1185"/>
      <c r="AF836" s="1185"/>
      <c r="AG836" s="1185"/>
      <c r="AH836" s="1185"/>
      <c r="AI836" s="1185"/>
    </row>
    <row r="837" spans="1:35">
      <c r="A837" s="1009" t="s">
        <v>471</v>
      </c>
      <c r="B837" s="1219"/>
      <c r="C837" s="1026">
        <v>214</v>
      </c>
      <c r="D837" s="1261">
        <v>1215</v>
      </c>
      <c r="E837" s="1261"/>
      <c r="F837" s="1203">
        <f>ROUND(D837*$C837,0)</f>
        <v>260010</v>
      </c>
      <c r="G837" s="1261">
        <v>1386</v>
      </c>
      <c r="H837" s="1041"/>
      <c r="I837" s="1203">
        <f>ROUND(G837*C837,0)</f>
        <v>296604</v>
      </c>
      <c r="J837" s="1261">
        <f>J819</f>
        <v>1386</v>
      </c>
      <c r="K837" s="1041"/>
      <c r="L837" s="1203">
        <f>ROUND(J837*$C837,0)</f>
        <v>296604</v>
      </c>
      <c r="N837" s="1185"/>
      <c r="O837" s="1185"/>
      <c r="P837" s="1186"/>
      <c r="Q837" s="1186"/>
      <c r="R837" s="1186"/>
      <c r="S837" s="1185"/>
      <c r="T837" s="1185"/>
      <c r="U837" s="1185"/>
      <c r="V837" s="1185"/>
      <c r="W837" s="1185"/>
      <c r="X837" s="1185"/>
      <c r="Y837" s="1185"/>
      <c r="Z837" s="1185"/>
      <c r="AA837" s="1185"/>
      <c r="AB837" s="1185"/>
      <c r="AC837" s="1185"/>
      <c r="AD837" s="1185"/>
      <c r="AE837" s="1185"/>
      <c r="AF837" s="1185"/>
      <c r="AG837" s="1185"/>
      <c r="AH837" s="1185"/>
      <c r="AI837" s="1185"/>
    </row>
    <row r="838" spans="1:35">
      <c r="A838" s="1009" t="s">
        <v>472</v>
      </c>
      <c r="B838" s="1219"/>
      <c r="C838" s="1026">
        <v>0</v>
      </c>
      <c r="D838" s="1261">
        <v>1465</v>
      </c>
      <c r="E838" s="1261"/>
      <c r="F838" s="1203">
        <f>ROUND(D838*$C838,0)</f>
        <v>0</v>
      </c>
      <c r="G838" s="1261">
        <v>1675</v>
      </c>
      <c r="H838" s="1249"/>
      <c r="I838" s="1203">
        <f>ROUND(G838*C838,0)</f>
        <v>0</v>
      </c>
      <c r="J838" s="1261">
        <f>J820</f>
        <v>1675</v>
      </c>
      <c r="K838" s="1249"/>
      <c r="L838" s="1203">
        <f>ROUND(J838*$C838,0)</f>
        <v>0</v>
      </c>
      <c r="N838" s="1185"/>
      <c r="O838" s="1185"/>
      <c r="P838" s="1186"/>
      <c r="Q838" s="1186"/>
      <c r="R838" s="1186"/>
      <c r="S838" s="1185"/>
      <c r="T838" s="1185"/>
      <c r="U838" s="1185"/>
      <c r="V838" s="1185"/>
      <c r="W838" s="1185"/>
      <c r="X838" s="1185"/>
      <c r="Y838" s="1185"/>
      <c r="Z838" s="1185"/>
      <c r="AA838" s="1185"/>
      <c r="AB838" s="1185"/>
      <c r="AC838" s="1185"/>
      <c r="AD838" s="1185"/>
      <c r="AE838" s="1185"/>
      <c r="AF838" s="1185"/>
      <c r="AG838" s="1185"/>
      <c r="AH838" s="1185"/>
      <c r="AI838" s="1185"/>
    </row>
    <row r="839" spans="1:35">
      <c r="A839" s="1009" t="s">
        <v>394</v>
      </c>
      <c r="B839" s="1219"/>
      <c r="C839" s="1026">
        <f>SUM(C837:C838)</f>
        <v>214</v>
      </c>
      <c r="D839" s="1261" t="s">
        <v>31</v>
      </c>
      <c r="E839" s="1261"/>
      <c r="F839" s="1203" t="s">
        <v>31</v>
      </c>
      <c r="G839" s="1261" t="s">
        <v>31</v>
      </c>
      <c r="H839" s="1041"/>
      <c r="I839" s="1203" t="s">
        <v>31</v>
      </c>
      <c r="J839" s="1261" t="s">
        <v>31</v>
      </c>
      <c r="K839" s="1041"/>
      <c r="L839" s="1203" t="s">
        <v>31</v>
      </c>
      <c r="N839" s="1185"/>
      <c r="O839" s="1185"/>
      <c r="P839" s="1186"/>
      <c r="Q839" s="1186"/>
      <c r="R839" s="1186"/>
      <c r="S839" s="1185"/>
      <c r="T839" s="1185"/>
      <c r="U839" s="1185"/>
      <c r="V839" s="1185"/>
      <c r="W839" s="1185"/>
      <c r="X839" s="1185"/>
      <c r="Y839" s="1185"/>
      <c r="Z839" s="1185"/>
      <c r="AA839" s="1185"/>
      <c r="AB839" s="1185"/>
      <c r="AC839" s="1185"/>
      <c r="AD839" s="1185"/>
      <c r="AE839" s="1185"/>
      <c r="AF839" s="1185"/>
      <c r="AG839" s="1185"/>
      <c r="AH839" s="1185"/>
      <c r="AI839" s="1185"/>
    </row>
    <row r="840" spans="1:35">
      <c r="A840" s="1009" t="s">
        <v>473</v>
      </c>
      <c r="B840" s="1219"/>
      <c r="C840" s="1026">
        <f>252258</f>
        <v>252258</v>
      </c>
      <c r="D840" s="1261">
        <v>0.92</v>
      </c>
      <c r="E840" s="1261"/>
      <c r="F840" s="1203">
        <f>ROUND(D840*$C840,0)</f>
        <v>232077</v>
      </c>
      <c r="G840" s="1261">
        <v>1.06</v>
      </c>
      <c r="H840" s="1041"/>
      <c r="I840" s="1203">
        <f t="shared" ref="I840:I842" si="100">ROUND(G840*C840,0)</f>
        <v>267393</v>
      </c>
      <c r="J840" s="1261">
        <f>J822</f>
        <v>1.06</v>
      </c>
      <c r="K840" s="1041"/>
      <c r="L840" s="1203">
        <f>ROUND(J840*$C840,0)</f>
        <v>267393</v>
      </c>
      <c r="N840" s="1185"/>
      <c r="O840" s="1185"/>
      <c r="P840" s="1186"/>
      <c r="Q840" s="1186"/>
      <c r="R840" s="1186"/>
      <c r="S840" s="1185"/>
      <c r="T840" s="1185"/>
      <c r="U840" s="1185"/>
      <c r="V840" s="1185"/>
      <c r="W840" s="1185"/>
      <c r="X840" s="1185"/>
      <c r="Y840" s="1185"/>
      <c r="Z840" s="1185"/>
      <c r="AA840" s="1185"/>
      <c r="AB840" s="1185"/>
      <c r="AC840" s="1185"/>
      <c r="AD840" s="1185"/>
      <c r="AE840" s="1185"/>
      <c r="AF840" s="1185"/>
      <c r="AG840" s="1185"/>
      <c r="AH840" s="1185"/>
      <c r="AI840" s="1185"/>
    </row>
    <row r="841" spans="1:35">
      <c r="A841" s="1009" t="s">
        <v>474</v>
      </c>
      <c r="B841" s="1219"/>
      <c r="C841" s="1026">
        <v>0</v>
      </c>
      <c r="D841" s="1261">
        <v>0.84</v>
      </c>
      <c r="E841" s="1261"/>
      <c r="F841" s="1203">
        <f>ROUND(D841*$C841,0)</f>
        <v>0</v>
      </c>
      <c r="G841" s="1261">
        <v>0.96</v>
      </c>
      <c r="H841" s="1041"/>
      <c r="I841" s="1203">
        <f t="shared" si="100"/>
        <v>0</v>
      </c>
      <c r="J841" s="1261">
        <f>J823</f>
        <v>0.96</v>
      </c>
      <c r="K841" s="1041"/>
      <c r="L841" s="1203">
        <f>ROUND(J841*$C841,0)</f>
        <v>0</v>
      </c>
      <c r="N841" s="1185"/>
      <c r="O841" s="1185"/>
      <c r="P841" s="1186"/>
      <c r="Q841" s="1186"/>
      <c r="R841" s="1186"/>
      <c r="S841" s="1185"/>
      <c r="T841" s="1185"/>
      <c r="U841" s="1185"/>
      <c r="V841" s="1185"/>
      <c r="W841" s="1185"/>
      <c r="X841" s="1185"/>
      <c r="Y841" s="1185"/>
      <c r="Z841" s="1185"/>
      <c r="AA841" s="1185"/>
      <c r="AB841" s="1185"/>
      <c r="AC841" s="1185"/>
      <c r="AD841" s="1185"/>
      <c r="AE841" s="1185"/>
      <c r="AF841" s="1185"/>
      <c r="AG841" s="1185"/>
      <c r="AH841" s="1185"/>
      <c r="AI841" s="1185"/>
    </row>
    <row r="842" spans="1:35">
      <c r="A842" s="1218" t="s">
        <v>403</v>
      </c>
      <c r="B842" s="1219"/>
      <c r="C842" s="1026">
        <f>181843</f>
        <v>181843</v>
      </c>
      <c r="D842" s="1261">
        <v>6.22</v>
      </c>
      <c r="E842" s="1261"/>
      <c r="F842" s="1203">
        <f>ROUND(D842*$C842,0)</f>
        <v>1131063</v>
      </c>
      <c r="G842" s="1261">
        <v>7.12</v>
      </c>
      <c r="H842" s="1041"/>
      <c r="I842" s="1203">
        <f t="shared" si="100"/>
        <v>1294722</v>
      </c>
      <c r="J842" s="1261">
        <f>J824</f>
        <v>7.55</v>
      </c>
      <c r="K842" s="1041"/>
      <c r="L842" s="1203">
        <f>ROUND(J842*$C842,0)</f>
        <v>1372915</v>
      </c>
      <c r="N842" s="1185"/>
      <c r="O842" s="1185"/>
      <c r="P842" s="1186"/>
      <c r="Q842" s="1186"/>
      <c r="R842" s="1186"/>
      <c r="S842" s="1185"/>
      <c r="T842" s="1185"/>
      <c r="U842" s="1185"/>
      <c r="V842" s="1185"/>
      <c r="W842" s="1185"/>
      <c r="X842" s="1185"/>
      <c r="Y842" s="1185"/>
      <c r="Z842" s="1185"/>
      <c r="AA842" s="1185"/>
      <c r="AB842" s="1185"/>
      <c r="AC842" s="1185"/>
      <c r="AD842" s="1185"/>
      <c r="AE842" s="1185"/>
      <c r="AF842" s="1185"/>
      <c r="AG842" s="1185"/>
      <c r="AH842" s="1185"/>
      <c r="AI842" s="1185"/>
    </row>
    <row r="843" spans="1:35">
      <c r="A843" s="1009" t="s">
        <v>426</v>
      </c>
      <c r="B843" s="1219"/>
      <c r="C843" s="1026"/>
      <c r="D843" s="1261" t="s">
        <v>31</v>
      </c>
      <c r="E843" s="1261"/>
      <c r="F843" s="1203"/>
      <c r="G843" s="1261" t="s">
        <v>31</v>
      </c>
      <c r="H843" s="1041"/>
      <c r="I843" s="1203"/>
      <c r="J843" s="1261" t="s">
        <v>31</v>
      </c>
      <c r="K843" s="1041"/>
      <c r="L843" s="1203"/>
      <c r="N843" s="1185"/>
      <c r="O843" s="1185"/>
      <c r="P843" s="1186"/>
      <c r="Q843" s="1186"/>
      <c r="R843" s="1186"/>
      <c r="S843" s="1185"/>
      <c r="T843" s="1185"/>
      <c r="U843" s="1185"/>
      <c r="V843" s="1185"/>
      <c r="W843" s="1185"/>
      <c r="X843" s="1185"/>
      <c r="Y843" s="1185"/>
      <c r="Z843" s="1185"/>
      <c r="AA843" s="1185"/>
      <c r="AB843" s="1185"/>
      <c r="AC843" s="1185"/>
      <c r="AD843" s="1185"/>
      <c r="AE843" s="1185"/>
      <c r="AF843" s="1185"/>
      <c r="AG843" s="1185"/>
      <c r="AH843" s="1185"/>
      <c r="AI843" s="1185"/>
    </row>
    <row r="844" spans="1:35">
      <c r="A844" s="1009" t="s">
        <v>464</v>
      </c>
      <c r="B844" s="1219"/>
      <c r="C844" s="1026">
        <f>83386441</f>
        <v>83386441</v>
      </c>
      <c r="D844" s="1323">
        <v>3.718</v>
      </c>
      <c r="E844" s="1041" t="s">
        <v>374</v>
      </c>
      <c r="F844" s="1203">
        <f>ROUND(D844/100*$C844,0)</f>
        <v>3100308</v>
      </c>
      <c r="G844" s="1323">
        <v>4.2460000000000004</v>
      </c>
      <c r="H844" s="1041" t="s">
        <v>374</v>
      </c>
      <c r="I844" s="1203">
        <f>ROUND(G844/100*C844,0)</f>
        <v>3540588</v>
      </c>
      <c r="J844" s="1323">
        <f>J826</f>
        <v>4.5140000000000002</v>
      </c>
      <c r="K844" s="1041" t="s">
        <v>374</v>
      </c>
      <c r="L844" s="1203">
        <f>ROUND(J844/100*$C844,0)</f>
        <v>3764064</v>
      </c>
      <c r="N844" s="1185"/>
      <c r="O844" s="1185"/>
      <c r="P844" s="1186"/>
      <c r="Q844" s="1186"/>
      <c r="R844" s="1186"/>
      <c r="S844" s="1185"/>
      <c r="T844" s="1185"/>
      <c r="U844" s="1185"/>
      <c r="V844" s="1185"/>
      <c r="W844" s="1185"/>
      <c r="X844" s="1185"/>
      <c r="Y844" s="1185"/>
      <c r="Z844" s="1185"/>
      <c r="AA844" s="1185"/>
      <c r="AB844" s="1185"/>
      <c r="AC844" s="1185"/>
      <c r="AD844" s="1185"/>
      <c r="AE844" s="1185"/>
      <c r="AF844" s="1185"/>
      <c r="AG844" s="1185"/>
      <c r="AH844" s="1185"/>
      <c r="AI844" s="1185"/>
    </row>
    <row r="845" spans="1:35">
      <c r="A845" s="1009" t="s">
        <v>400</v>
      </c>
      <c r="B845" s="1219"/>
      <c r="C845" s="1026">
        <f>24759</f>
        <v>24759</v>
      </c>
      <c r="D845" s="1261">
        <v>0.48</v>
      </c>
      <c r="E845" s="1041"/>
      <c r="F845" s="1203">
        <f>ROUND(D845*$C845,0)</f>
        <v>11884</v>
      </c>
      <c r="G845" s="1261">
        <v>0.55000000000000004</v>
      </c>
      <c r="H845" s="1041"/>
      <c r="I845" s="1203">
        <f>ROUND(G845*C845,0)</f>
        <v>13617</v>
      </c>
      <c r="J845" s="1261">
        <f>J827</f>
        <v>0.55000000000000004</v>
      </c>
      <c r="K845" s="1041"/>
      <c r="L845" s="1203">
        <f>ROUND(J845*$C845,0)</f>
        <v>13617</v>
      </c>
      <c r="N845" s="1185"/>
      <c r="O845" s="1185"/>
      <c r="P845" s="1186"/>
      <c r="Q845" s="1186"/>
      <c r="R845" s="1186"/>
      <c r="S845" s="1185"/>
      <c r="T845" s="1185"/>
      <c r="U845" s="1185"/>
      <c r="V845" s="1185"/>
      <c r="W845" s="1185"/>
      <c r="X845" s="1185"/>
      <c r="Y845" s="1185"/>
      <c r="Z845" s="1185"/>
      <c r="AA845" s="1185"/>
      <c r="AB845" s="1185"/>
      <c r="AC845" s="1185"/>
      <c r="AD845" s="1185"/>
      <c r="AE845" s="1185"/>
      <c r="AF845" s="1185"/>
      <c r="AG845" s="1185"/>
      <c r="AH845" s="1185"/>
      <c r="AI845" s="1185"/>
    </row>
    <row r="846" spans="1:35">
      <c r="A846" s="1219" t="s">
        <v>381</v>
      </c>
      <c r="B846" s="1219"/>
      <c r="C846" s="1026">
        <f>C844</f>
        <v>83386441</v>
      </c>
      <c r="D846" s="1255"/>
      <c r="E846" s="1203"/>
      <c r="F846" s="1203">
        <f>SUM(F837:F845)</f>
        <v>4735342</v>
      </c>
      <c r="G846" s="1255"/>
      <c r="H846" s="1219"/>
      <c r="I846" s="1203">
        <f>SUM(I837:I845)</f>
        <v>5412924</v>
      </c>
      <c r="J846" s="1255"/>
      <c r="K846" s="1219"/>
      <c r="L846" s="1203">
        <f>SUM(L837:L845)</f>
        <v>5714593</v>
      </c>
      <c r="N846" s="1185"/>
      <c r="O846" s="1185"/>
      <c r="P846" s="1186"/>
      <c r="Q846" s="777"/>
      <c r="R846" s="777"/>
      <c r="S846" s="1185"/>
      <c r="T846" s="1185"/>
      <c r="U846" s="1185"/>
      <c r="V846" s="1185"/>
      <c r="W846" s="1185"/>
      <c r="X846" s="1185"/>
      <c r="Y846" s="1185"/>
      <c r="Z846" s="1185"/>
      <c r="AA846" s="1185"/>
      <c r="AB846" s="1185"/>
      <c r="AC846" s="1185"/>
      <c r="AD846" s="1185"/>
      <c r="AE846" s="1185"/>
      <c r="AF846" s="1185"/>
      <c r="AG846" s="1185"/>
      <c r="AH846" s="1185"/>
      <c r="AI846" s="1185"/>
    </row>
    <row r="847" spans="1:35">
      <c r="A847" s="1219" t="s">
        <v>363</v>
      </c>
      <c r="B847" s="1219"/>
      <c r="C847" s="1026">
        <f>C846/($C$846+$C$899)*$C$934</f>
        <v>-214984.84813304298</v>
      </c>
      <c r="D847" s="1218"/>
      <c r="E847" s="1218"/>
      <c r="F847" s="1324" t="e">
        <f>F846/($F$846+$F$899)*$F$934</f>
        <v>#REF!</v>
      </c>
      <c r="G847" s="1218"/>
      <c r="H847" s="1218"/>
      <c r="I847" s="1028">
        <f>I846/($C$846+$C$899)*$C$934</f>
        <v>-13955.466022296161</v>
      </c>
      <c r="J847" s="1218"/>
      <c r="K847" s="1218"/>
      <c r="L847" s="1264">
        <f>I847</f>
        <v>-13955.466022296161</v>
      </c>
      <c r="N847" s="444"/>
      <c r="O847" s="444"/>
      <c r="P847" s="777" t="s">
        <v>31</v>
      </c>
      <c r="S847" s="1185"/>
      <c r="T847" s="1185"/>
      <c r="U847" s="1185"/>
      <c r="V847" s="1185"/>
      <c r="W847" s="1185"/>
      <c r="X847" s="1185"/>
      <c r="Y847" s="1185"/>
      <c r="Z847" s="1185"/>
      <c r="AA847" s="1185"/>
      <c r="AB847" s="1185"/>
      <c r="AC847" s="1185"/>
      <c r="AD847" s="1185"/>
      <c r="AE847" s="1185"/>
      <c r="AF847" s="1185"/>
      <c r="AG847" s="1185"/>
      <c r="AH847" s="1185"/>
      <c r="AI847" s="1185"/>
    </row>
    <row r="848" spans="1:35" ht="16.5" thickBot="1">
      <c r="A848" s="1219" t="s">
        <v>382</v>
      </c>
      <c r="B848" s="1219"/>
      <c r="C848" s="1321">
        <f>SUM(C846)+C847</f>
        <v>83171456.151866958</v>
      </c>
      <c r="D848" s="1265"/>
      <c r="E848" s="1266"/>
      <c r="F848" s="1267" t="e">
        <f>F846+F847</f>
        <v>#REF!</v>
      </c>
      <c r="G848" s="1265"/>
      <c r="H848" s="1269"/>
      <c r="I848" s="1267">
        <f>I846+I847</f>
        <v>5398968.5339777041</v>
      </c>
      <c r="J848" s="1265"/>
      <c r="K848" s="1269"/>
      <c r="L848" s="1267">
        <f>L846+L847</f>
        <v>5700637.5339777041</v>
      </c>
      <c r="N848" s="411"/>
      <c r="O848" s="411"/>
      <c r="P848" s="777" t="s">
        <v>31</v>
      </c>
      <c r="Q848" s="1186"/>
      <c r="R848" s="1186"/>
      <c r="S848" s="801" t="s">
        <v>31</v>
      </c>
      <c r="T848" s="1185"/>
      <c r="U848" s="1185"/>
      <c r="V848" s="1185"/>
      <c r="W848" s="1185"/>
      <c r="X848" s="1185"/>
      <c r="Y848" s="1185"/>
      <c r="Z848" s="1185"/>
      <c r="AA848" s="1185"/>
      <c r="AB848" s="1185"/>
      <c r="AC848" s="1185"/>
      <c r="AD848" s="1185"/>
      <c r="AE848" s="1185"/>
      <c r="AF848" s="1185"/>
      <c r="AG848" s="1185"/>
      <c r="AH848" s="1185"/>
      <c r="AI848" s="1185"/>
    </row>
    <row r="849" spans="1:35" ht="16.5" thickTop="1">
      <c r="A849" s="1219"/>
      <c r="B849" s="1219"/>
      <c r="C849" s="1225"/>
      <c r="D849" s="1261"/>
      <c r="E849" s="1203"/>
      <c r="F849" s="1203"/>
      <c r="G849" s="1261"/>
      <c r="H849" s="1219"/>
      <c r="I849" s="1203"/>
      <c r="J849" s="1261"/>
      <c r="K849" s="1219"/>
      <c r="L849" s="1303"/>
      <c r="N849" s="1185"/>
      <c r="O849" s="1185"/>
      <c r="P849" s="1186"/>
      <c r="Q849" s="1186"/>
      <c r="R849" s="1186"/>
      <c r="S849" s="1185"/>
      <c r="T849" s="1185"/>
      <c r="U849" s="1185"/>
      <c r="V849" s="1185"/>
      <c r="W849" s="1185"/>
      <c r="X849" s="1185"/>
      <c r="Y849" s="1185"/>
      <c r="Z849" s="1185"/>
      <c r="AA849" s="1185"/>
      <c r="AB849" s="1185"/>
      <c r="AC849" s="1185"/>
      <c r="AD849" s="1185"/>
      <c r="AE849" s="1185"/>
      <c r="AF849" s="1185"/>
      <c r="AG849" s="1185"/>
      <c r="AH849" s="1185"/>
      <c r="AI849" s="1185"/>
    </row>
    <row r="850" spans="1:35">
      <c r="A850" s="1224" t="s">
        <v>476</v>
      </c>
      <c r="B850" s="1219"/>
      <c r="C850" s="1219"/>
      <c r="D850" s="1203"/>
      <c r="E850" s="1203"/>
      <c r="F850" s="1219"/>
      <c r="G850" s="1203"/>
      <c r="H850" s="1219"/>
      <c r="I850" s="1219"/>
      <c r="J850" s="1203"/>
      <c r="K850" s="1219"/>
      <c r="L850" s="1219"/>
      <c r="N850" s="1185"/>
      <c r="O850" s="1185"/>
      <c r="P850" s="1186"/>
      <c r="Q850" s="1186"/>
      <c r="R850" s="1186"/>
      <c r="S850" s="1185"/>
      <c r="T850" s="1185"/>
      <c r="U850" s="1185"/>
      <c r="V850" s="1185"/>
      <c r="W850" s="1185"/>
      <c r="X850" s="1185"/>
      <c r="Y850" s="1185"/>
      <c r="Z850" s="1185"/>
      <c r="AA850" s="1185"/>
      <c r="AB850" s="1185"/>
      <c r="AC850" s="1185"/>
      <c r="AD850" s="1185"/>
      <c r="AE850" s="1185"/>
      <c r="AF850" s="1185"/>
      <c r="AG850" s="1185"/>
      <c r="AH850" s="1185"/>
      <c r="AI850" s="1185"/>
    </row>
    <row r="851" spans="1:35">
      <c r="A851" s="1218" t="s">
        <v>696</v>
      </c>
      <c r="B851" s="1219"/>
      <c r="C851" s="1219"/>
      <c r="D851" s="1203"/>
      <c r="E851" s="1203"/>
      <c r="F851" s="1219"/>
      <c r="G851" s="1203"/>
      <c r="H851" s="1219"/>
      <c r="I851" s="1219"/>
      <c r="J851" s="1203"/>
      <c r="K851" s="1219"/>
      <c r="L851" s="1219"/>
      <c r="N851" s="1185"/>
      <c r="O851" s="1185"/>
      <c r="P851" s="1186"/>
      <c r="Q851" s="1186"/>
      <c r="R851" s="1186"/>
      <c r="S851" s="1185"/>
      <c r="T851" s="1185"/>
      <c r="U851" s="1185"/>
      <c r="V851" s="1185"/>
      <c r="W851" s="1185"/>
      <c r="X851" s="1185"/>
      <c r="Y851" s="1185"/>
      <c r="Z851" s="1185"/>
      <c r="AA851" s="1185"/>
      <c r="AB851" s="1185"/>
      <c r="AC851" s="1185"/>
      <c r="AD851" s="1185"/>
      <c r="AE851" s="1185"/>
      <c r="AF851" s="1185"/>
      <c r="AG851" s="1185"/>
      <c r="AH851" s="1185"/>
      <c r="AI851" s="1185"/>
    </row>
    <row r="852" spans="1:35">
      <c r="A852" s="1009"/>
      <c r="B852" s="1219"/>
      <c r="C852" s="1219"/>
      <c r="D852" s="1203"/>
      <c r="E852" s="1203"/>
      <c r="F852" s="1219"/>
      <c r="G852" s="1203"/>
      <c r="H852" s="1219"/>
      <c r="I852" s="1219"/>
      <c r="J852" s="1203"/>
      <c r="K852" s="1219"/>
      <c r="L852" s="1219"/>
      <c r="N852" s="1185"/>
      <c r="O852" s="1185"/>
      <c r="P852" s="1186"/>
      <c r="Q852" s="1186"/>
      <c r="R852" s="1186"/>
      <c r="S852" s="1185"/>
      <c r="T852" s="1185"/>
      <c r="U852" s="1185"/>
      <c r="V852" s="1185"/>
      <c r="W852" s="1185"/>
      <c r="X852" s="1185"/>
      <c r="Y852" s="1185"/>
      <c r="Z852" s="1185"/>
      <c r="AA852" s="1185"/>
      <c r="AB852" s="1185"/>
      <c r="AC852" s="1185"/>
      <c r="AD852" s="1185"/>
      <c r="AE852" s="1185"/>
      <c r="AF852" s="1185"/>
      <c r="AG852" s="1185"/>
      <c r="AH852" s="1185"/>
      <c r="AI852" s="1185"/>
    </row>
    <row r="853" spans="1:35">
      <c r="A853" s="1009" t="s">
        <v>393</v>
      </c>
      <c r="B853" s="1219"/>
      <c r="C853" s="1026"/>
      <c r="D853" s="1203"/>
      <c r="E853" s="1203"/>
      <c r="F853" s="1219"/>
      <c r="G853" s="1203"/>
      <c r="H853" s="1219"/>
      <c r="I853" s="1219"/>
      <c r="J853" s="1203"/>
      <c r="K853" s="1219"/>
      <c r="L853" s="1219"/>
      <c r="N853" s="1185"/>
      <c r="O853" s="1185"/>
      <c r="P853" s="1186"/>
      <c r="Q853" s="1186"/>
      <c r="R853" s="1186"/>
      <c r="S853" s="1185"/>
      <c r="T853" s="1185"/>
      <c r="U853" s="1185"/>
      <c r="V853" s="1185"/>
      <c r="W853" s="1185"/>
      <c r="X853" s="1185"/>
      <c r="Y853" s="1185"/>
      <c r="Z853" s="1185"/>
      <c r="AA853" s="1185"/>
      <c r="AB853" s="1185"/>
      <c r="AC853" s="1185"/>
      <c r="AD853" s="1185"/>
      <c r="AE853" s="1185"/>
      <c r="AF853" s="1185"/>
      <c r="AG853" s="1185"/>
      <c r="AH853" s="1185"/>
      <c r="AI853" s="1185"/>
    </row>
    <row r="854" spans="1:35">
      <c r="A854" s="1009" t="s">
        <v>471</v>
      </c>
      <c r="B854" s="1219"/>
      <c r="C854" s="1026">
        <f>350</f>
        <v>350</v>
      </c>
      <c r="D854" s="1261">
        <v>1215</v>
      </c>
      <c r="E854" s="1261"/>
      <c r="F854" s="1203">
        <f>ROUND(D854*$C854,0)</f>
        <v>425250</v>
      </c>
      <c r="G854" s="1261">
        <v>1386</v>
      </c>
      <c r="H854" s="1041"/>
      <c r="I854" s="1203">
        <f>ROUND(G854*C854,0)</f>
        <v>485100</v>
      </c>
      <c r="J854" s="1261">
        <f>J819</f>
        <v>1386</v>
      </c>
      <c r="K854" s="1041"/>
      <c r="L854" s="1203">
        <f>ROUND(J854*$C854,0)</f>
        <v>485100</v>
      </c>
      <c r="N854" s="1185"/>
      <c r="O854" s="1185"/>
      <c r="P854" s="1186"/>
      <c r="Q854" s="1186"/>
      <c r="R854" s="1186"/>
      <c r="S854" s="1185"/>
      <c r="T854" s="1185"/>
      <c r="U854" s="1185"/>
      <c r="V854" s="1185"/>
      <c r="W854" s="1185"/>
      <c r="X854" s="1185"/>
      <c r="Y854" s="1185"/>
      <c r="Z854" s="1185"/>
      <c r="AA854" s="1185"/>
      <c r="AB854" s="1185"/>
      <c r="AC854" s="1185"/>
      <c r="AD854" s="1185"/>
      <c r="AE854" s="1185"/>
      <c r="AF854" s="1185"/>
      <c r="AG854" s="1185"/>
      <c r="AH854" s="1185"/>
      <c r="AI854" s="1185"/>
    </row>
    <row r="855" spans="1:35">
      <c r="A855" s="1009" t="s">
        <v>472</v>
      </c>
      <c r="B855" s="1219"/>
      <c r="C855" s="1026">
        <v>0</v>
      </c>
      <c r="D855" s="1261">
        <v>1465</v>
      </c>
      <c r="E855" s="1261"/>
      <c r="F855" s="1203">
        <f>ROUND(D855*$C855,0)</f>
        <v>0</v>
      </c>
      <c r="G855" s="1261">
        <v>1675</v>
      </c>
      <c r="H855" s="1249"/>
      <c r="I855" s="1203">
        <f>ROUND(G855*C855,0)</f>
        <v>0</v>
      </c>
      <c r="J855" s="1261">
        <f>J820</f>
        <v>1675</v>
      </c>
      <c r="K855" s="1249"/>
      <c r="L855" s="1203">
        <f>ROUND(J855*$C855,0)</f>
        <v>0</v>
      </c>
      <c r="N855" s="1185"/>
      <c r="O855" s="1185"/>
      <c r="P855" s="1186"/>
      <c r="Q855" s="1186"/>
      <c r="R855" s="1186"/>
      <c r="S855" s="1185"/>
      <c r="T855" s="1185"/>
      <c r="U855" s="1185"/>
      <c r="V855" s="1185"/>
      <c r="W855" s="1185"/>
      <c r="X855" s="1185"/>
      <c r="Y855" s="1185"/>
      <c r="Z855" s="1185"/>
      <c r="AA855" s="1185"/>
      <c r="AB855" s="1185"/>
      <c r="AC855" s="1185"/>
      <c r="AD855" s="1185"/>
      <c r="AE855" s="1185"/>
      <c r="AF855" s="1185"/>
      <c r="AG855" s="1185"/>
      <c r="AH855" s="1185"/>
      <c r="AI855" s="1185"/>
    </row>
    <row r="856" spans="1:35">
      <c r="A856" s="1009" t="s">
        <v>394</v>
      </c>
      <c r="B856" s="1219"/>
      <c r="C856" s="1026">
        <f>SUM(C854:C855)</f>
        <v>350</v>
      </c>
      <c r="D856" s="1261" t="s">
        <v>31</v>
      </c>
      <c r="E856" s="1261"/>
      <c r="F856" s="1203" t="s">
        <v>31</v>
      </c>
      <c r="G856" s="1261" t="s">
        <v>31</v>
      </c>
      <c r="H856" s="1041"/>
      <c r="I856" s="1203" t="s">
        <v>31</v>
      </c>
      <c r="J856" s="1261" t="s">
        <v>31</v>
      </c>
      <c r="K856" s="1041"/>
      <c r="L856" s="1203" t="s">
        <v>31</v>
      </c>
      <c r="N856" s="1185"/>
      <c r="O856" s="1185"/>
      <c r="P856" s="1186"/>
      <c r="Q856" s="1186"/>
      <c r="R856" s="1186"/>
      <c r="S856" s="1185"/>
      <c r="T856" s="1185"/>
      <c r="U856" s="1185"/>
      <c r="V856" s="1185"/>
      <c r="W856" s="1185"/>
      <c r="X856" s="1185"/>
      <c r="Y856" s="1185"/>
      <c r="Z856" s="1185"/>
      <c r="AA856" s="1185"/>
      <c r="AB856" s="1185"/>
      <c r="AC856" s="1185"/>
      <c r="AD856" s="1185"/>
      <c r="AE856" s="1185"/>
      <c r="AF856" s="1185"/>
      <c r="AG856" s="1185"/>
      <c r="AH856" s="1185"/>
      <c r="AI856" s="1185"/>
    </row>
    <row r="857" spans="1:35">
      <c r="A857" s="1009" t="s">
        <v>473</v>
      </c>
      <c r="B857" s="1219"/>
      <c r="C857" s="1026">
        <f>539510</f>
        <v>539510</v>
      </c>
      <c r="D857" s="1261">
        <v>0.92</v>
      </c>
      <c r="E857" s="1261"/>
      <c r="F857" s="1203">
        <f>ROUND(D857*$C857,0)</f>
        <v>496349</v>
      </c>
      <c r="G857" s="1261">
        <v>1.06</v>
      </c>
      <c r="H857" s="1041"/>
      <c r="I857" s="1203">
        <f t="shared" ref="I857:I859" si="101">ROUND(G857*C857,0)</f>
        <v>571881</v>
      </c>
      <c r="J857" s="1261">
        <f>J822</f>
        <v>1.06</v>
      </c>
      <c r="K857" s="1041"/>
      <c r="L857" s="1203">
        <f>ROUND(J857*$C857,0)</f>
        <v>571881</v>
      </c>
      <c r="N857" s="1185"/>
      <c r="O857" s="1185"/>
      <c r="P857" s="1186"/>
      <c r="Q857" s="1186"/>
      <c r="R857" s="1186"/>
      <c r="S857" s="1185"/>
      <c r="T857" s="1185"/>
      <c r="U857" s="1185"/>
      <c r="V857" s="1185"/>
      <c r="W857" s="1185"/>
      <c r="X857" s="1185"/>
      <c r="Y857" s="1185"/>
      <c r="Z857" s="1185"/>
      <c r="AA857" s="1185"/>
      <c r="AB857" s="1185"/>
      <c r="AC857" s="1185"/>
      <c r="AD857" s="1185"/>
      <c r="AE857" s="1185"/>
      <c r="AF857" s="1185"/>
      <c r="AG857" s="1185"/>
      <c r="AH857" s="1185"/>
      <c r="AI857" s="1185"/>
    </row>
    <row r="858" spans="1:35">
      <c r="A858" s="1009" t="s">
        <v>474</v>
      </c>
      <c r="B858" s="1219"/>
      <c r="C858" s="1026">
        <v>0</v>
      </c>
      <c r="D858" s="1261">
        <v>0.84</v>
      </c>
      <c r="E858" s="1261"/>
      <c r="F858" s="1203">
        <f>ROUND(D858*$C858,0)</f>
        <v>0</v>
      </c>
      <c r="G858" s="1261">
        <v>0.96</v>
      </c>
      <c r="H858" s="1041"/>
      <c r="I858" s="1203">
        <f t="shared" si="101"/>
        <v>0</v>
      </c>
      <c r="J858" s="1261">
        <f>J823</f>
        <v>0.96</v>
      </c>
      <c r="K858" s="1041"/>
      <c r="L858" s="1203">
        <f>ROUND(J858*$C858,0)</f>
        <v>0</v>
      </c>
      <c r="N858" s="1185"/>
      <c r="O858" s="1185"/>
      <c r="P858" s="1186"/>
      <c r="Q858" s="1186"/>
      <c r="R858" s="1186"/>
      <c r="S858" s="1185"/>
      <c r="T858" s="1185"/>
      <c r="U858" s="1185"/>
      <c r="V858" s="1185"/>
      <c r="W858" s="1185"/>
      <c r="X858" s="1185"/>
      <c r="Y858" s="1185"/>
      <c r="Z858" s="1185"/>
      <c r="AA858" s="1185"/>
      <c r="AB858" s="1185"/>
      <c r="AC858" s="1185"/>
      <c r="AD858" s="1185"/>
      <c r="AE858" s="1185"/>
      <c r="AF858" s="1185"/>
      <c r="AG858" s="1185"/>
      <c r="AH858" s="1185"/>
      <c r="AI858" s="1185"/>
    </row>
    <row r="859" spans="1:35">
      <c r="A859" s="1218" t="s">
        <v>403</v>
      </c>
      <c r="B859" s="1219"/>
      <c r="C859" s="1026">
        <f>466911</f>
        <v>466911</v>
      </c>
      <c r="D859" s="1261">
        <v>6.22</v>
      </c>
      <c r="E859" s="1261"/>
      <c r="F859" s="1203">
        <f>ROUND(D859*$C859,0)</f>
        <v>2904186</v>
      </c>
      <c r="G859" s="1261">
        <v>7.12</v>
      </c>
      <c r="H859" s="1041"/>
      <c r="I859" s="1203">
        <f t="shared" si="101"/>
        <v>3324406</v>
      </c>
      <c r="J859" s="1261">
        <f>J824</f>
        <v>7.55</v>
      </c>
      <c r="K859" s="1041"/>
      <c r="L859" s="1203">
        <f>ROUND(J859*$C859,0)</f>
        <v>3525178</v>
      </c>
      <c r="N859" s="1185"/>
      <c r="O859" s="1185"/>
      <c r="P859" s="1186"/>
      <c r="Q859" s="1186"/>
      <c r="R859" s="1186"/>
      <c r="S859" s="1185"/>
      <c r="T859" s="1185"/>
      <c r="U859" s="1185"/>
      <c r="V859" s="1185"/>
      <c r="W859" s="1185"/>
      <c r="X859" s="1185"/>
      <c r="Y859" s="1185"/>
      <c r="Z859" s="1185"/>
      <c r="AA859" s="1185"/>
      <c r="AB859" s="1185"/>
      <c r="AC859" s="1185"/>
      <c r="AD859" s="1185"/>
      <c r="AE859" s="1185"/>
      <c r="AF859" s="1185"/>
      <c r="AG859" s="1185"/>
      <c r="AH859" s="1185"/>
      <c r="AI859" s="1185"/>
    </row>
    <row r="860" spans="1:35">
      <c r="A860" s="1009" t="s">
        <v>426</v>
      </c>
      <c r="B860" s="1219"/>
      <c r="C860" s="1026"/>
      <c r="D860" s="1261" t="s">
        <v>31</v>
      </c>
      <c r="E860" s="1261"/>
      <c r="F860" s="1203"/>
      <c r="G860" s="1261" t="s">
        <v>31</v>
      </c>
      <c r="H860" s="1041"/>
      <c r="I860" s="1203"/>
      <c r="J860" s="1261" t="s">
        <v>31</v>
      </c>
      <c r="K860" s="1041"/>
      <c r="L860" s="1203"/>
      <c r="N860" s="1185"/>
      <c r="O860" s="1185"/>
      <c r="P860" s="1186"/>
      <c r="Q860" s="1186"/>
      <c r="R860" s="1186"/>
      <c r="S860" s="1185"/>
      <c r="T860" s="1185"/>
      <c r="U860" s="1185"/>
      <c r="V860" s="1185"/>
      <c r="W860" s="1185"/>
      <c r="X860" s="1185"/>
      <c r="Y860" s="1185"/>
      <c r="Z860" s="1185"/>
      <c r="AA860" s="1185"/>
      <c r="AB860" s="1185"/>
      <c r="AC860" s="1185"/>
      <c r="AD860" s="1185"/>
      <c r="AE860" s="1185"/>
      <c r="AF860" s="1185"/>
      <c r="AG860" s="1185"/>
      <c r="AH860" s="1185"/>
      <c r="AI860" s="1185"/>
    </row>
    <row r="861" spans="1:35">
      <c r="A861" s="1009" t="s">
        <v>464</v>
      </c>
      <c r="B861" s="1219"/>
      <c r="C861" s="1026">
        <f>208919752</f>
        <v>208919752</v>
      </c>
      <c r="D861" s="1323">
        <v>3.718</v>
      </c>
      <c r="E861" s="1041" t="s">
        <v>374</v>
      </c>
      <c r="F861" s="1203">
        <f>ROUND(D861/100*$C861,0)</f>
        <v>7767636</v>
      </c>
      <c r="G861" s="1323">
        <v>4.2460000000000004</v>
      </c>
      <c r="H861" s="1041" t="s">
        <v>374</v>
      </c>
      <c r="I861" s="1203">
        <f>ROUND(G861/100*C861,0)</f>
        <v>8870733</v>
      </c>
      <c r="J861" s="1323">
        <f>J826</f>
        <v>4.5140000000000002</v>
      </c>
      <c r="K861" s="1041" t="s">
        <v>374</v>
      </c>
      <c r="L861" s="1203">
        <f>ROUND(J861/100*$C861,0)</f>
        <v>9430638</v>
      </c>
      <c r="N861" s="1185"/>
      <c r="O861" s="1185"/>
      <c r="P861" s="1186"/>
      <c r="Q861" s="1186"/>
      <c r="R861" s="1186"/>
      <c r="S861" s="1185"/>
      <c r="T861" s="1185"/>
      <c r="U861" s="1185"/>
      <c r="V861" s="1185"/>
      <c r="W861" s="1185"/>
      <c r="X861" s="1185"/>
      <c r="Y861" s="1185"/>
      <c r="Z861" s="1185"/>
      <c r="AA861" s="1185"/>
      <c r="AB861" s="1185"/>
      <c r="AC861" s="1185"/>
      <c r="AD861" s="1185"/>
      <c r="AE861" s="1185"/>
      <c r="AF861" s="1185"/>
      <c r="AG861" s="1185"/>
      <c r="AH861" s="1185"/>
      <c r="AI861" s="1185"/>
    </row>
    <row r="862" spans="1:35">
      <c r="A862" s="1009" t="s">
        <v>400</v>
      </c>
      <c r="B862" s="1219"/>
      <c r="C862" s="1026">
        <f>158919</f>
        <v>158919</v>
      </c>
      <c r="D862" s="1261">
        <v>0.48</v>
      </c>
      <c r="E862" s="1041"/>
      <c r="F862" s="1203">
        <f>ROUND(D862*$C862,0)</f>
        <v>76281</v>
      </c>
      <c r="G862" s="1261">
        <v>0.55000000000000004</v>
      </c>
      <c r="H862" s="1041"/>
      <c r="I862" s="1203">
        <f>ROUND(G862*C862,0)</f>
        <v>87405</v>
      </c>
      <c r="J862" s="1261">
        <f>J827</f>
        <v>0.55000000000000004</v>
      </c>
      <c r="K862" s="1041"/>
      <c r="L862" s="1203">
        <f>ROUND(J862*$C862,0)</f>
        <v>87405</v>
      </c>
      <c r="N862" s="1185"/>
      <c r="O862" s="1185"/>
      <c r="P862" s="1186"/>
      <c r="Q862" s="1186"/>
      <c r="R862" s="1186"/>
      <c r="S862" s="1185"/>
      <c r="T862" s="1185"/>
      <c r="U862" s="1185"/>
      <c r="V862" s="1185"/>
      <c r="W862" s="1185"/>
      <c r="X862" s="1185"/>
      <c r="Y862" s="1185"/>
      <c r="Z862" s="1185"/>
      <c r="AA862" s="1185"/>
      <c r="AB862" s="1185"/>
      <c r="AC862" s="1185"/>
      <c r="AD862" s="1185"/>
      <c r="AE862" s="1185"/>
      <c r="AF862" s="1185"/>
      <c r="AG862" s="1185"/>
      <c r="AH862" s="1185"/>
      <c r="AI862" s="1185"/>
    </row>
    <row r="863" spans="1:35">
      <c r="A863" s="1219" t="s">
        <v>381</v>
      </c>
      <c r="B863" s="1219"/>
      <c r="C863" s="1026">
        <f>C861</f>
        <v>208919752</v>
      </c>
      <c r="D863" s="1255"/>
      <c r="E863" s="1203"/>
      <c r="F863" s="1203">
        <f>SUM(F854:F862)</f>
        <v>11669702</v>
      </c>
      <c r="G863" s="1255"/>
      <c r="H863" s="1219"/>
      <c r="I863" s="1203">
        <f>SUM(I854:I862)</f>
        <v>13339525</v>
      </c>
      <c r="J863" s="1255"/>
      <c r="K863" s="1219"/>
      <c r="L863" s="1203">
        <f>SUM(L854:L862)</f>
        <v>14100202</v>
      </c>
      <c r="N863" s="1185"/>
      <c r="O863" s="1065" t="s">
        <v>31</v>
      </c>
      <c r="P863" s="1186"/>
      <c r="Q863" s="1186"/>
      <c r="R863" s="1186"/>
      <c r="S863" s="1185"/>
      <c r="T863" s="1185"/>
      <c r="U863" s="1185"/>
      <c r="V863" s="1185"/>
      <c r="W863" s="1185"/>
      <c r="X863" s="1185"/>
      <c r="Y863" s="1185"/>
      <c r="Z863" s="1185"/>
      <c r="AA863" s="1185"/>
      <c r="AB863" s="1185"/>
      <c r="AC863" s="1185"/>
      <c r="AD863" s="1185"/>
      <c r="AE863" s="1185"/>
      <c r="AF863" s="1185"/>
      <c r="AG863" s="1185"/>
      <c r="AH863" s="1185"/>
      <c r="AI863" s="1185"/>
    </row>
    <row r="864" spans="1:35">
      <c r="A864" s="1219" t="s">
        <v>363</v>
      </c>
      <c r="B864" s="1219"/>
      <c r="C864" s="1026">
        <f>C863/($C$863+$C$916)*$C$952</f>
        <v>2866311.290486089</v>
      </c>
      <c r="D864" s="1218"/>
      <c r="E864" s="1218"/>
      <c r="F864" s="1324" t="e">
        <f>F863/($F$863+$F$916)*$F$952</f>
        <v>#REF!</v>
      </c>
      <c r="G864" s="1218"/>
      <c r="H864" s="1218"/>
      <c r="I864" s="1028">
        <f>I863/($C$863+$C$916)*$C$952</f>
        <v>183013.95991137042</v>
      </c>
      <c r="J864" s="1218"/>
      <c r="K864" s="1218"/>
      <c r="L864" s="1264">
        <f>I864</f>
        <v>183013.95991137042</v>
      </c>
      <c r="N864" s="444"/>
      <c r="O864" s="444"/>
      <c r="P864" s="287"/>
      <c r="Q864" s="1186"/>
      <c r="R864" s="1186"/>
      <c r="S864" s="1185"/>
      <c r="T864" s="1185"/>
      <c r="U864" s="1185"/>
      <c r="V864" s="1185"/>
      <c r="W864" s="1185"/>
      <c r="X864" s="1185"/>
      <c r="Y864" s="1185"/>
      <c r="Z864" s="1185"/>
      <c r="AA864" s="1185"/>
      <c r="AB864" s="1185"/>
      <c r="AC864" s="1185"/>
      <c r="AD864" s="1185"/>
      <c r="AE864" s="1185"/>
      <c r="AF864" s="1185"/>
      <c r="AG864" s="1185"/>
      <c r="AH864" s="1185"/>
      <c r="AI864" s="1185"/>
    </row>
    <row r="865" spans="1:35" ht="16.5" thickBot="1">
      <c r="A865" s="1219" t="s">
        <v>382</v>
      </c>
      <c r="B865" s="1219"/>
      <c r="C865" s="1321">
        <f>SUM(C863)+C864</f>
        <v>211786063.2904861</v>
      </c>
      <c r="D865" s="1265"/>
      <c r="E865" s="1266"/>
      <c r="F865" s="1267" t="e">
        <f>F863+F864</f>
        <v>#REF!</v>
      </c>
      <c r="G865" s="1265"/>
      <c r="H865" s="1269"/>
      <c r="I865" s="1267">
        <f>I863+I864</f>
        <v>13522538.959911371</v>
      </c>
      <c r="J865" s="1265"/>
      <c r="K865" s="1269"/>
      <c r="L865" s="1267">
        <f>L863+L864</f>
        <v>14283215.959911371</v>
      </c>
      <c r="N865" s="411"/>
      <c r="O865" s="411"/>
      <c r="P865" s="470"/>
      <c r="Q865" s="1186"/>
      <c r="R865" s="1186"/>
      <c r="S865" s="801" t="s">
        <v>31</v>
      </c>
      <c r="T865" s="1185"/>
      <c r="U865" s="1185"/>
      <c r="V865" s="1185"/>
      <c r="W865" s="1185"/>
      <c r="X865" s="1185"/>
      <c r="Y865" s="1185"/>
      <c r="Z865" s="1185"/>
      <c r="AA865" s="1185"/>
      <c r="AB865" s="1185"/>
      <c r="AC865" s="1185"/>
      <c r="AD865" s="1185"/>
      <c r="AE865" s="1185"/>
      <c r="AF865" s="1185"/>
      <c r="AG865" s="1185"/>
      <c r="AH865" s="1185"/>
      <c r="AI865" s="1185"/>
    </row>
    <row r="866" spans="1:35" ht="16.5" thickTop="1">
      <c r="A866" s="1219"/>
      <c r="B866" s="1219"/>
      <c r="C866" s="1225"/>
      <c r="D866" s="1261"/>
      <c r="E866" s="1203"/>
      <c r="F866" s="1203"/>
      <c r="G866" s="1261"/>
      <c r="H866" s="1219"/>
      <c r="I866" s="1203"/>
      <c r="J866" s="1261"/>
      <c r="K866" s="1219"/>
      <c r="L866" s="1303"/>
      <c r="N866" s="1185"/>
      <c r="P866" s="1186"/>
      <c r="Q866" s="777" t="s">
        <v>31</v>
      </c>
      <c r="R866" s="777"/>
      <c r="S866" s="1185"/>
      <c r="T866" s="1185"/>
      <c r="U866" s="1185"/>
      <c r="V866" s="1185"/>
      <c r="W866" s="1185"/>
      <c r="X866" s="1185"/>
      <c r="Y866" s="1185"/>
      <c r="Z866" s="1185"/>
      <c r="AA866" s="1185"/>
      <c r="AB866" s="1185"/>
      <c r="AC866" s="1185"/>
      <c r="AD866" s="1185"/>
      <c r="AE866" s="1185"/>
      <c r="AF866" s="1185"/>
      <c r="AG866" s="1185"/>
      <c r="AH866" s="1185"/>
      <c r="AI866" s="1185"/>
    </row>
    <row r="867" spans="1:35">
      <c r="A867" s="1224" t="s">
        <v>476</v>
      </c>
      <c r="B867" s="1219"/>
      <c r="C867" s="1219"/>
      <c r="D867" s="1203"/>
      <c r="E867" s="1203"/>
      <c r="F867" s="1219"/>
      <c r="G867" s="1203"/>
      <c r="H867" s="1219"/>
      <c r="I867" s="1219"/>
      <c r="J867" s="1203"/>
      <c r="K867" s="1219"/>
      <c r="L867" s="1219"/>
      <c r="N867" s="1185"/>
      <c r="O867" s="1185"/>
      <c r="P867" s="1186"/>
      <c r="Q867" s="1186"/>
      <c r="R867" s="1186"/>
      <c r="S867" s="1185"/>
      <c r="T867" s="1185"/>
      <c r="U867" s="1185"/>
      <c r="V867" s="1185"/>
      <c r="W867" s="1185"/>
      <c r="X867" s="1185"/>
      <c r="Y867" s="1185"/>
      <c r="Z867" s="1185"/>
      <c r="AA867" s="1185"/>
      <c r="AB867" s="1185"/>
      <c r="AC867" s="1185"/>
      <c r="AD867" s="1185"/>
      <c r="AE867" s="1185"/>
      <c r="AF867" s="1185"/>
      <c r="AG867" s="1185"/>
      <c r="AH867" s="1185"/>
      <c r="AI867" s="1185"/>
    </row>
    <row r="868" spans="1:35">
      <c r="A868" s="1218" t="s">
        <v>699</v>
      </c>
      <c r="B868" s="1219"/>
      <c r="C868" s="1219"/>
      <c r="D868" s="1203"/>
      <c r="E868" s="1203"/>
      <c r="F868" s="1219"/>
      <c r="G868" s="1203"/>
      <c r="H868" s="1219"/>
      <c r="I868" s="1219"/>
      <c r="J868" s="1203"/>
      <c r="K868" s="1219"/>
      <c r="L868" s="1219"/>
      <c r="N868" s="1185"/>
      <c r="O868" s="1185"/>
      <c r="P868" s="1186"/>
      <c r="Q868" s="1186"/>
      <c r="R868" s="1186"/>
      <c r="S868" s="1185"/>
      <c r="T868" s="1185"/>
      <c r="U868" s="1185"/>
      <c r="V868" s="1185"/>
      <c r="W868" s="1185"/>
      <c r="X868" s="1185"/>
      <c r="Y868" s="1185"/>
      <c r="Z868" s="1185"/>
      <c r="AA868" s="1185"/>
      <c r="AB868" s="1185"/>
      <c r="AC868" s="1185"/>
      <c r="AD868" s="1185"/>
      <c r="AE868" s="1185"/>
      <c r="AF868" s="1185"/>
      <c r="AG868" s="1185"/>
      <c r="AH868" s="1185"/>
      <c r="AI868" s="1185"/>
    </row>
    <row r="869" spans="1:35">
      <c r="A869" s="1219" t="s">
        <v>31</v>
      </c>
      <c r="B869" s="1219"/>
      <c r="C869" s="1219"/>
      <c r="D869" s="1203"/>
      <c r="E869" s="1203"/>
      <c r="F869" s="1219"/>
      <c r="G869" s="1203"/>
      <c r="H869" s="1219"/>
      <c r="I869" s="1219"/>
      <c r="J869" s="1203"/>
      <c r="K869" s="1219"/>
      <c r="L869" s="1219"/>
      <c r="N869" s="1185"/>
      <c r="O869" s="1185"/>
      <c r="P869" s="1186"/>
      <c r="Q869" s="1186"/>
      <c r="R869" s="1186"/>
      <c r="S869" s="1185"/>
      <c r="T869" s="1185"/>
      <c r="U869" s="1185"/>
      <c r="V869" s="1185"/>
      <c r="W869" s="1185"/>
      <c r="X869" s="1185"/>
      <c r="Y869" s="1185"/>
      <c r="Z869" s="1185"/>
      <c r="AA869" s="1185"/>
      <c r="AB869" s="1185"/>
      <c r="AC869" s="1185"/>
      <c r="AD869" s="1185"/>
      <c r="AE869" s="1185"/>
      <c r="AF869" s="1185"/>
      <c r="AG869" s="1185"/>
      <c r="AH869" s="1185"/>
      <c r="AI869" s="1185"/>
    </row>
    <row r="870" spans="1:35">
      <c r="A870" s="1009" t="s">
        <v>393</v>
      </c>
      <c r="B870" s="1219"/>
      <c r="C870" s="1026"/>
      <c r="D870" s="1203"/>
      <c r="E870" s="1203"/>
      <c r="F870" s="1219"/>
      <c r="G870" s="1203"/>
      <c r="H870" s="1219"/>
      <c r="I870" s="1219"/>
      <c r="J870" s="1203"/>
      <c r="K870" s="1219"/>
      <c r="L870" s="1219"/>
      <c r="N870" s="1185"/>
      <c r="P870" s="1186"/>
      <c r="Q870" s="1186"/>
      <c r="R870" s="1186"/>
      <c r="S870" s="1185"/>
      <c r="T870" s="1185"/>
      <c r="U870" s="1185"/>
      <c r="V870" s="1185"/>
      <c r="W870" s="1185"/>
      <c r="X870" s="1185"/>
      <c r="Y870" s="1185"/>
      <c r="Z870" s="1185"/>
      <c r="AA870" s="1185"/>
      <c r="AB870" s="1185"/>
      <c r="AC870" s="1185"/>
      <c r="AD870" s="1185"/>
      <c r="AE870" s="1185"/>
      <c r="AF870" s="1185"/>
      <c r="AG870" s="1185"/>
      <c r="AH870" s="1185"/>
      <c r="AI870" s="1185"/>
    </row>
    <row r="871" spans="1:35">
      <c r="A871" s="1009" t="s">
        <v>471</v>
      </c>
      <c r="B871" s="1219"/>
      <c r="C871" s="1026">
        <f t="shared" ref="C871:C876" si="102">C890+C907</f>
        <v>131</v>
      </c>
      <c r="D871" s="1261">
        <v>1245</v>
      </c>
      <c r="E871" s="1261"/>
      <c r="F871" s="1203">
        <f>ROUND(D871*$C871,0)</f>
        <v>163095</v>
      </c>
      <c r="G871" s="1261">
        <v>1419</v>
      </c>
      <c r="H871" s="1041"/>
      <c r="I871" s="1203">
        <f>ROUND(G871*C871,0)</f>
        <v>185889</v>
      </c>
      <c r="J871" s="1261">
        <f>G871</f>
        <v>1419</v>
      </c>
      <c r="K871" s="1041"/>
      <c r="L871" s="1203">
        <f>ROUND(J871*$C871,0)</f>
        <v>185889</v>
      </c>
      <c r="N871" s="1185"/>
      <c r="O871" s="1185"/>
      <c r="Q871" s="827">
        <f>(J871-G871)/G871</f>
        <v>0</v>
      </c>
      <c r="R871" s="777"/>
      <c r="S871" s="1185"/>
      <c r="T871" s="1185"/>
      <c r="U871" s="1185"/>
      <c r="V871" s="1185"/>
      <c r="W871" s="1185"/>
      <c r="X871" s="1185"/>
      <c r="Y871" s="1185"/>
      <c r="Z871" s="1185"/>
      <c r="AA871" s="1185"/>
      <c r="AB871" s="1185"/>
      <c r="AC871" s="1185"/>
      <c r="AD871" s="1185"/>
      <c r="AE871" s="1185"/>
      <c r="AF871" s="1185"/>
      <c r="AG871" s="1185"/>
      <c r="AH871" s="1185"/>
      <c r="AI871" s="1185"/>
    </row>
    <row r="872" spans="1:35">
      <c r="A872" s="1009" t="s">
        <v>472</v>
      </c>
      <c r="B872" s="1219"/>
      <c r="C872" s="1026">
        <f t="shared" si="102"/>
        <v>0</v>
      </c>
      <c r="D872" s="1261">
        <v>1490</v>
      </c>
      <c r="E872" s="1261"/>
      <c r="F872" s="1203">
        <f>ROUND(D872*$C872,0)</f>
        <v>0</v>
      </c>
      <c r="G872" s="1261">
        <v>1707</v>
      </c>
      <c r="H872" s="1249"/>
      <c r="I872" s="1203">
        <f>ROUND(G872*C872,0)</f>
        <v>0</v>
      </c>
      <c r="J872" s="1261">
        <f>G872</f>
        <v>1707</v>
      </c>
      <c r="K872" s="1249"/>
      <c r="L872" s="1203">
        <f>ROUND(J872*$C872,0)</f>
        <v>0</v>
      </c>
      <c r="N872" s="1185"/>
      <c r="O872" s="1185"/>
      <c r="Q872" s="827">
        <f>(J872-G872)/G872</f>
        <v>0</v>
      </c>
      <c r="R872" s="777"/>
      <c r="S872" s="1185"/>
      <c r="T872" s="1185"/>
      <c r="U872" s="1185"/>
      <c r="V872" s="1185"/>
      <c r="W872" s="1185"/>
      <c r="X872" s="1185"/>
      <c r="Y872" s="1185"/>
      <c r="Z872" s="1185"/>
      <c r="AA872" s="1185"/>
      <c r="AB872" s="1185"/>
      <c r="AC872" s="1185"/>
      <c r="AD872" s="1185"/>
      <c r="AE872" s="1185"/>
      <c r="AF872" s="1185"/>
      <c r="AG872" s="1185"/>
      <c r="AH872" s="1185"/>
      <c r="AI872" s="1185"/>
    </row>
    <row r="873" spans="1:35">
      <c r="A873" s="1009" t="s">
        <v>394</v>
      </c>
      <c r="B873" s="1219"/>
      <c r="C873" s="1026">
        <f t="shared" si="102"/>
        <v>131</v>
      </c>
      <c r="D873" s="1261" t="s">
        <v>31</v>
      </c>
      <c r="E873" s="1261"/>
      <c r="F873" s="1203" t="s">
        <v>31</v>
      </c>
      <c r="G873" s="1261" t="s">
        <v>31</v>
      </c>
      <c r="H873" s="1041"/>
      <c r="I873" s="1203" t="s">
        <v>31</v>
      </c>
      <c r="J873" s="1261" t="s">
        <v>31</v>
      </c>
      <c r="K873" s="1041"/>
      <c r="L873" s="1203" t="s">
        <v>31</v>
      </c>
      <c r="N873" s="1185"/>
      <c r="O873" s="1185"/>
      <c r="Q873" s="1335"/>
      <c r="R873" s="1186"/>
      <c r="S873" s="1185"/>
      <c r="T873" s="1185"/>
      <c r="U873" s="1185"/>
      <c r="V873" s="1185"/>
      <c r="W873" s="1185"/>
      <c r="X873" s="1185"/>
      <c r="Y873" s="1185"/>
      <c r="Z873" s="1185"/>
      <c r="AA873" s="1185"/>
      <c r="AB873" s="1185"/>
      <c r="AC873" s="1185"/>
      <c r="AD873" s="1185"/>
      <c r="AE873" s="1185"/>
      <c r="AF873" s="1185"/>
      <c r="AG873" s="1185"/>
      <c r="AH873" s="1185"/>
      <c r="AI873" s="1185"/>
    </row>
    <row r="874" spans="1:35">
      <c r="A874" s="1009" t="s">
        <v>473</v>
      </c>
      <c r="B874" s="1219"/>
      <c r="C874" s="1026">
        <f t="shared" si="102"/>
        <v>201885</v>
      </c>
      <c r="D874" s="1261">
        <v>0.45</v>
      </c>
      <c r="E874" s="1261"/>
      <c r="F874" s="1203">
        <f>ROUND(D874*$C874,0)</f>
        <v>90848</v>
      </c>
      <c r="G874" s="1261">
        <v>0.53</v>
      </c>
      <c r="H874" s="1041"/>
      <c r="I874" s="1203">
        <f t="shared" ref="I874:I876" si="103">ROUND(G874*C874,0)</f>
        <v>106999</v>
      </c>
      <c r="J874" s="1261">
        <f>G874</f>
        <v>0.53</v>
      </c>
      <c r="K874" s="1041"/>
      <c r="L874" s="1203">
        <f>ROUND(J874*$C874,0)</f>
        <v>106999</v>
      </c>
      <c r="N874" s="1185"/>
      <c r="Q874" s="827">
        <f>(J874-G874)/G874</f>
        <v>0</v>
      </c>
      <c r="R874" s="777"/>
      <c r="S874" s="1185" t="s">
        <v>31</v>
      </c>
      <c r="T874" s="1185"/>
      <c r="U874" s="1185"/>
      <c r="V874" s="1185"/>
      <c r="W874" s="1185"/>
      <c r="X874" s="1185"/>
      <c r="Y874" s="1185"/>
      <c r="Z874" s="1185"/>
      <c r="AA874" s="1185"/>
      <c r="AB874" s="1185"/>
      <c r="AC874" s="1185"/>
      <c r="AD874" s="1185"/>
      <c r="AE874" s="1185"/>
      <c r="AF874" s="1185"/>
      <c r="AG874" s="1185"/>
      <c r="AH874" s="1185"/>
      <c r="AI874" s="1185"/>
    </row>
    <row r="875" spans="1:35">
      <c r="A875" s="1009" t="s">
        <v>474</v>
      </c>
      <c r="B875" s="1219"/>
      <c r="C875" s="1026">
        <f t="shared" si="102"/>
        <v>0</v>
      </c>
      <c r="D875" s="1261">
        <v>0.38000000000000006</v>
      </c>
      <c r="E875" s="1261"/>
      <c r="F875" s="1203">
        <f>ROUND(D875*$C875,0)</f>
        <v>0</v>
      </c>
      <c r="G875" s="1261">
        <v>0.43</v>
      </c>
      <c r="H875" s="1041"/>
      <c r="I875" s="1203">
        <f t="shared" si="103"/>
        <v>0</v>
      </c>
      <c r="J875" s="1261">
        <f>G875</f>
        <v>0.43</v>
      </c>
      <c r="K875" s="1041"/>
      <c r="L875" s="1203">
        <f>ROUND(J875*$C875,0)</f>
        <v>0</v>
      </c>
      <c r="N875" s="1185"/>
      <c r="O875" s="1185"/>
      <c r="Q875" s="827">
        <f>(J875-G875)/G875</f>
        <v>0</v>
      </c>
      <c r="R875" s="777"/>
      <c r="S875" s="1185"/>
      <c r="T875" s="1185"/>
      <c r="U875" s="1185"/>
      <c r="V875" s="1185"/>
      <c r="W875" s="1185"/>
      <c r="X875" s="1185"/>
      <c r="Y875" s="1185"/>
      <c r="Z875" s="1185"/>
      <c r="AA875" s="1185"/>
      <c r="AB875" s="1185"/>
      <c r="AC875" s="1185"/>
      <c r="AD875" s="1185"/>
      <c r="AE875" s="1185"/>
      <c r="AF875" s="1185"/>
      <c r="AG875" s="1185"/>
      <c r="AH875" s="1185"/>
      <c r="AI875" s="1185"/>
    </row>
    <row r="876" spans="1:35">
      <c r="A876" s="1218" t="s">
        <v>403</v>
      </c>
      <c r="B876" s="1219"/>
      <c r="C876" s="1026">
        <f t="shared" si="102"/>
        <v>165661</v>
      </c>
      <c r="D876" s="1261">
        <v>6.12</v>
      </c>
      <c r="E876" s="1261"/>
      <c r="F876" s="1203">
        <f>ROUND(D876*$C876,0)</f>
        <v>1013845</v>
      </c>
      <c r="G876" s="1261">
        <v>6.99</v>
      </c>
      <c r="H876" s="1041"/>
      <c r="I876" s="1203">
        <f t="shared" si="103"/>
        <v>1157970</v>
      </c>
      <c r="J876" s="1261">
        <f>ROUND(G876*(1+$Q$824),2)-0.01</f>
        <v>7.4</v>
      </c>
      <c r="K876" s="1041"/>
      <c r="L876" s="1203">
        <f>ROUND(J876*$C876,0)</f>
        <v>1225891</v>
      </c>
      <c r="N876" s="1185"/>
      <c r="O876" s="1185"/>
      <c r="Q876" s="827">
        <f>(J876-G876)/G876</f>
        <v>5.8655221745350518E-2</v>
      </c>
      <c r="R876" s="777"/>
      <c r="S876" s="1185"/>
      <c r="T876" s="1185"/>
      <c r="U876" s="1185"/>
      <c r="V876" s="1185"/>
      <c r="W876" s="1185"/>
      <c r="X876" s="1185"/>
      <c r="Y876" s="1185"/>
      <c r="Z876" s="1185"/>
      <c r="AA876" s="1185"/>
      <c r="AB876" s="1185"/>
      <c r="AC876" s="1185"/>
      <c r="AD876" s="1185"/>
      <c r="AE876" s="1185"/>
      <c r="AF876" s="1185"/>
      <c r="AG876" s="1185"/>
      <c r="AH876" s="1185"/>
      <c r="AI876" s="1185"/>
    </row>
    <row r="877" spans="1:35">
      <c r="A877" s="1009" t="s">
        <v>426</v>
      </c>
      <c r="B877" s="1219"/>
      <c r="C877" s="1026"/>
      <c r="D877" s="1261" t="s">
        <v>31</v>
      </c>
      <c r="E877" s="1261"/>
      <c r="F877" s="1203"/>
      <c r="G877" s="1261" t="s">
        <v>31</v>
      </c>
      <c r="H877" s="1041"/>
      <c r="I877" s="1203"/>
      <c r="J877" s="1261" t="s">
        <v>31</v>
      </c>
      <c r="K877" s="1041"/>
      <c r="L877" s="1203"/>
      <c r="N877" s="1185"/>
      <c r="O877" s="1185"/>
      <c r="Q877" s="1335"/>
      <c r="R877" s="1186"/>
      <c r="S877" s="1185"/>
      <c r="T877" s="1185"/>
      <c r="U877" s="1185"/>
      <c r="V877" s="1185"/>
      <c r="W877" s="1185"/>
      <c r="X877" s="1185"/>
      <c r="Y877" s="1185"/>
      <c r="Z877" s="1185"/>
      <c r="AA877" s="1185"/>
      <c r="AB877" s="1185"/>
      <c r="AC877" s="1185"/>
      <c r="AD877" s="1185"/>
      <c r="AE877" s="1185"/>
      <c r="AF877" s="1185"/>
      <c r="AG877" s="1185"/>
      <c r="AH877" s="1185"/>
      <c r="AI877" s="1185"/>
    </row>
    <row r="878" spans="1:35">
      <c r="A878" s="1009" t="s">
        <v>464</v>
      </c>
      <c r="B878" s="1219"/>
      <c r="C878" s="1026">
        <f>C897+C914</f>
        <v>63486200</v>
      </c>
      <c r="D878" s="1323">
        <v>3.6669999999999998</v>
      </c>
      <c r="E878" s="1041" t="s">
        <v>374</v>
      </c>
      <c r="F878" s="1203">
        <f>ROUND(D878/100*$C878,0)</f>
        <v>2328039</v>
      </c>
      <c r="G878" s="1323">
        <v>4.1920000000000002</v>
      </c>
      <c r="H878" s="1041" t="s">
        <v>374</v>
      </c>
      <c r="I878" s="1203">
        <f>ROUND(G878/100*C878,0)</f>
        <v>2661342</v>
      </c>
      <c r="J878" s="1323">
        <f>ROUND(G878*(1+$Q$826),3)+0.002</f>
        <v>4.4589999999999996</v>
      </c>
      <c r="K878" s="1041" t="s">
        <v>374</v>
      </c>
      <c r="L878" s="1203">
        <f>ROUND(J878/100*$C878,0)</f>
        <v>2830850</v>
      </c>
      <c r="N878" s="1185"/>
      <c r="O878" s="1185"/>
      <c r="Q878" s="827">
        <f>(J878-G878)/G878</f>
        <v>6.3692748091602927E-2</v>
      </c>
      <c r="R878" s="777"/>
      <c r="S878" s="1185"/>
      <c r="T878" s="1185"/>
      <c r="U878" s="1185"/>
      <c r="V878" s="1185"/>
      <c r="W878" s="1185"/>
      <c r="X878" s="1185"/>
      <c r="Y878" s="1185"/>
      <c r="Z878" s="1185"/>
      <c r="AA878" s="1185"/>
      <c r="AB878" s="1185"/>
      <c r="AC878" s="1185"/>
      <c r="AD878" s="1185"/>
      <c r="AE878" s="1185"/>
      <c r="AF878" s="1185"/>
      <c r="AG878" s="1185"/>
      <c r="AH878" s="1185"/>
      <c r="AI878" s="1185"/>
    </row>
    <row r="879" spans="1:35">
      <c r="A879" s="1009" t="s">
        <v>400</v>
      </c>
      <c r="B879" s="1219"/>
      <c r="C879" s="1026">
        <f>C898+C915</f>
        <v>16320</v>
      </c>
      <c r="D879" s="1261">
        <v>0.47</v>
      </c>
      <c r="E879" s="1041"/>
      <c r="F879" s="1203">
        <f>ROUND(D879*$C879,0)</f>
        <v>7670</v>
      </c>
      <c r="G879" s="1261">
        <v>0.54</v>
      </c>
      <c r="H879" s="1041"/>
      <c r="I879" s="1203">
        <f>ROUND(G879*C879,0)</f>
        <v>8813</v>
      </c>
      <c r="J879" s="1261">
        <f>G879</f>
        <v>0.54</v>
      </c>
      <c r="K879" s="1041"/>
      <c r="L879" s="1203">
        <f>ROUND(J879*$C879,0)</f>
        <v>8813</v>
      </c>
      <c r="N879" s="1185"/>
      <c r="O879" s="1185"/>
      <c r="Q879" s="827">
        <f>(J879-G879)/G879</f>
        <v>0</v>
      </c>
      <c r="R879" s="777"/>
      <c r="S879" s="1185"/>
      <c r="T879" s="1185"/>
      <c r="U879" s="1185"/>
      <c r="V879" s="1185"/>
      <c r="W879" s="1185"/>
      <c r="X879" s="1185"/>
      <c r="Y879" s="1185"/>
      <c r="Z879" s="1185"/>
      <c r="AA879" s="1185"/>
      <c r="AB879" s="1185"/>
      <c r="AC879" s="1185"/>
      <c r="AD879" s="1185"/>
      <c r="AE879" s="1185"/>
      <c r="AF879" s="1185"/>
      <c r="AG879" s="1185"/>
      <c r="AH879" s="1185"/>
      <c r="AI879" s="1185"/>
    </row>
    <row r="880" spans="1:35">
      <c r="A880" s="1219" t="s">
        <v>381</v>
      </c>
      <c r="B880" s="1219"/>
      <c r="C880" s="1026">
        <f>C878</f>
        <v>63486200</v>
      </c>
      <c r="D880" s="1255"/>
      <c r="E880" s="1203"/>
      <c r="F880" s="1203">
        <f>SUM(F871:F879)</f>
        <v>3603497</v>
      </c>
      <c r="G880" s="1255"/>
      <c r="H880" s="1219"/>
      <c r="I880" s="1203">
        <f>SUM(I871:I879)</f>
        <v>4121013</v>
      </c>
      <c r="J880" s="1255"/>
      <c r="K880" s="1219"/>
      <c r="L880" s="1203">
        <f>SUM(L871:L879)</f>
        <v>4358442</v>
      </c>
      <c r="N880" s="1185"/>
      <c r="O880" s="1185"/>
      <c r="P880" s="1186"/>
      <c r="Q880" s="1186"/>
      <c r="R880" s="1186"/>
      <c r="S880" s="1185"/>
      <c r="T880" s="1185"/>
      <c r="U880" s="1185"/>
      <c r="V880" s="1185"/>
      <c r="W880" s="1185"/>
      <c r="X880" s="1185"/>
      <c r="Y880" s="1185"/>
      <c r="Z880" s="1185"/>
      <c r="AA880" s="1185"/>
      <c r="AB880" s="1185"/>
      <c r="AC880" s="1185"/>
      <c r="AD880" s="1185"/>
      <c r="AE880" s="1185"/>
      <c r="AF880" s="1185"/>
      <c r="AG880" s="1185"/>
      <c r="AH880" s="1185"/>
      <c r="AI880" s="1185"/>
    </row>
    <row r="881" spans="1:35">
      <c r="A881" s="1219" t="s">
        <v>363</v>
      </c>
      <c r="B881" s="1219"/>
      <c r="C881" s="1026">
        <f>C900+C917</f>
        <v>-88949.63514489145</v>
      </c>
      <c r="D881" s="1218"/>
      <c r="E881" s="1218"/>
      <c r="F881" s="1264" t="e">
        <f>F900+F917</f>
        <v>#REF!</v>
      </c>
      <c r="G881" s="1218"/>
      <c r="H881" s="1218"/>
      <c r="I881" s="1028">
        <f>I900+I917</f>
        <v>-3660.6077438649263</v>
      </c>
      <c r="J881" s="1218"/>
      <c r="K881" s="1218"/>
      <c r="L881" s="1264">
        <f>I881</f>
        <v>-3660.6077438649263</v>
      </c>
      <c r="N881" s="444"/>
      <c r="O881" s="444"/>
      <c r="P881" s="287"/>
      <c r="Q881" s="1186"/>
      <c r="R881" s="1186"/>
      <c r="S881" s="1185"/>
      <c r="T881" s="1185"/>
      <c r="U881" s="1185"/>
      <c r="V881" s="1185"/>
      <c r="W881" s="1185"/>
      <c r="X881" s="1185"/>
      <c r="Y881" s="1185"/>
      <c r="Z881" s="1185"/>
      <c r="AA881" s="1185"/>
      <c r="AB881" s="1185"/>
      <c r="AC881" s="1185"/>
      <c r="AD881" s="1185"/>
      <c r="AE881" s="1185"/>
      <c r="AF881" s="1185"/>
      <c r="AG881" s="1185"/>
      <c r="AH881" s="1185"/>
      <c r="AI881" s="1185"/>
    </row>
    <row r="882" spans="1:35" ht="16.5" thickBot="1">
      <c r="A882" s="1219" t="s">
        <v>382</v>
      </c>
      <c r="B882" s="1219"/>
      <c r="C882" s="1321">
        <f>SUM(C880)+C881</f>
        <v>63397250.364855111</v>
      </c>
      <c r="D882" s="1265"/>
      <c r="E882" s="1266"/>
      <c r="F882" s="1267" t="e">
        <f>F880+F881</f>
        <v>#REF!</v>
      </c>
      <c r="G882" s="1265"/>
      <c r="H882" s="1269"/>
      <c r="I882" s="1267">
        <f>I880+I881</f>
        <v>4117352.3922561351</v>
      </c>
      <c r="J882" s="1265"/>
      <c r="K882" s="1269"/>
      <c r="L882" s="1267">
        <f>L880+L881</f>
        <v>4354781.3922561351</v>
      </c>
      <c r="N882" s="411"/>
      <c r="O882" s="411" t="s">
        <v>31</v>
      </c>
      <c r="P882" s="777" t="s">
        <v>31</v>
      </c>
      <c r="Q882" s="728">
        <f>(L882-I882)/I882</f>
        <v>5.7665455219852807E-2</v>
      </c>
      <c r="R882" s="1186"/>
      <c r="T882" s="1185"/>
      <c r="U882" s="1185"/>
      <c r="V882" s="1185"/>
      <c r="W882" s="1185"/>
      <c r="X882" s="1185"/>
      <c r="Y882" s="1185"/>
      <c r="Z882" s="1185"/>
      <c r="AA882" s="1185"/>
      <c r="AB882" s="1185"/>
      <c r="AC882" s="1185"/>
      <c r="AD882" s="1185"/>
      <c r="AE882" s="1185"/>
      <c r="AF882" s="1185"/>
      <c r="AG882" s="1185"/>
      <c r="AH882" s="1185"/>
      <c r="AI882" s="1185"/>
    </row>
    <row r="883" spans="1:35" ht="16.5" thickTop="1">
      <c r="A883" s="1219"/>
      <c r="B883" s="1219"/>
      <c r="C883" s="1225"/>
      <c r="D883" s="1261"/>
      <c r="E883" s="1203"/>
      <c r="F883" s="1203"/>
      <c r="G883" s="1261" t="s">
        <v>31</v>
      </c>
      <c r="H883" s="1219"/>
      <c r="I883" s="1203"/>
      <c r="J883" s="1259" t="s">
        <v>31</v>
      </c>
      <c r="K883" s="1219"/>
      <c r="L883" s="1203" t="s">
        <v>31</v>
      </c>
      <c r="N883" s="1185"/>
      <c r="P883" s="1186"/>
      <c r="Q883" s="777" t="s">
        <v>31</v>
      </c>
      <c r="R883" s="777"/>
      <c r="S883" s="1185"/>
      <c r="T883" s="1185"/>
      <c r="U883" s="1185"/>
      <c r="V883" s="1185"/>
      <c r="W883" s="1185"/>
      <c r="X883" s="1185"/>
      <c r="Y883" s="1185"/>
      <c r="Z883" s="1185"/>
      <c r="AA883" s="1185"/>
      <c r="AB883" s="1185"/>
      <c r="AC883" s="1185"/>
      <c r="AD883" s="1185"/>
      <c r="AE883" s="1185"/>
      <c r="AF883" s="1185"/>
      <c r="AG883" s="1185"/>
      <c r="AH883" s="1185"/>
      <c r="AI883" s="1185"/>
    </row>
    <row r="884" spans="1:35">
      <c r="A884" s="1219"/>
      <c r="B884" s="1219"/>
      <c r="C884" s="1225"/>
      <c r="D884" s="1261"/>
      <c r="E884" s="1203"/>
      <c r="F884" s="1203"/>
      <c r="G884" s="1261" t="s">
        <v>31</v>
      </c>
      <c r="H884" s="1219"/>
      <c r="I884" s="1203"/>
      <c r="J884" s="1259" t="s">
        <v>31</v>
      </c>
      <c r="K884" s="1219"/>
      <c r="L884" s="1203" t="s">
        <v>31</v>
      </c>
      <c r="N884" s="1185"/>
      <c r="O884" s="1185"/>
      <c r="P884" s="1186"/>
      <c r="Q884" s="1186"/>
      <c r="R884" s="1186"/>
      <c r="S884" s="1185"/>
      <c r="T884" s="1185"/>
      <c r="U884" s="1185"/>
      <c r="V884" s="1185"/>
      <c r="W884" s="1185"/>
      <c r="X884" s="1185"/>
      <c r="Y884" s="1185"/>
      <c r="Z884" s="1185"/>
      <c r="AA884" s="1185"/>
      <c r="AB884" s="1185"/>
      <c r="AC884" s="1185"/>
      <c r="AD884" s="1185"/>
      <c r="AE884" s="1185"/>
      <c r="AF884" s="1185"/>
      <c r="AG884" s="1185"/>
      <c r="AH884" s="1185"/>
      <c r="AI884" s="1185"/>
    </row>
    <row r="885" spans="1:35">
      <c r="A885" s="1219"/>
      <c r="B885" s="1219"/>
      <c r="C885" s="1225"/>
      <c r="D885" s="1261"/>
      <c r="E885" s="1203"/>
      <c r="F885" s="1203"/>
      <c r="G885" s="1261"/>
      <c r="H885" s="1219"/>
      <c r="I885" s="1203"/>
      <c r="J885" s="1261"/>
      <c r="K885" s="1219"/>
      <c r="L885" s="1303"/>
      <c r="N885" s="1185"/>
      <c r="O885" s="1185"/>
      <c r="P885" s="1186"/>
      <c r="Q885" s="1186"/>
      <c r="R885" s="1186"/>
      <c r="S885" s="1185"/>
      <c r="T885" s="1185"/>
      <c r="U885" s="1185"/>
      <c r="V885" s="1185"/>
      <c r="W885" s="1185"/>
      <c r="X885" s="1185"/>
      <c r="Y885" s="1185"/>
      <c r="Z885" s="1185"/>
      <c r="AA885" s="1185"/>
      <c r="AB885" s="1185"/>
      <c r="AC885" s="1185"/>
      <c r="AD885" s="1185"/>
      <c r="AE885" s="1185"/>
      <c r="AF885" s="1185"/>
      <c r="AG885" s="1185"/>
      <c r="AH885" s="1185"/>
      <c r="AI885" s="1185"/>
    </row>
    <row r="886" spans="1:35">
      <c r="A886" s="1224" t="s">
        <v>476</v>
      </c>
      <c r="B886" s="1219"/>
      <c r="C886" s="1219"/>
      <c r="D886" s="1203"/>
      <c r="E886" s="1203"/>
      <c r="F886" s="1219"/>
      <c r="G886" s="1203"/>
      <c r="H886" s="1219"/>
      <c r="I886" s="1219"/>
      <c r="J886" s="1203"/>
      <c r="K886" s="1219"/>
      <c r="L886" s="1219"/>
      <c r="N886" s="1185"/>
      <c r="O886" s="1185"/>
      <c r="P886" s="1186"/>
      <c r="Q886" s="1186"/>
      <c r="R886" s="1186"/>
      <c r="S886" s="1185"/>
      <c r="T886" s="1185"/>
      <c r="U886" s="1185"/>
      <c r="V886" s="1185"/>
      <c r="W886" s="1185"/>
      <c r="X886" s="1185"/>
      <c r="Y886" s="1185"/>
      <c r="Z886" s="1185"/>
      <c r="AA886" s="1185"/>
      <c r="AB886" s="1185"/>
      <c r="AC886" s="1185"/>
      <c r="AD886" s="1185"/>
      <c r="AE886" s="1185"/>
      <c r="AF886" s="1185"/>
      <c r="AG886" s="1185"/>
      <c r="AH886" s="1185"/>
      <c r="AI886" s="1185"/>
    </row>
    <row r="887" spans="1:35">
      <c r="A887" s="1218" t="s">
        <v>695</v>
      </c>
      <c r="B887" s="1219"/>
      <c r="C887" s="1219"/>
      <c r="D887" s="1203"/>
      <c r="E887" s="1203"/>
      <c r="F887" s="1219"/>
      <c r="G887" s="1203"/>
      <c r="H887" s="1219"/>
      <c r="I887" s="1219"/>
      <c r="J887" s="1203"/>
      <c r="K887" s="1219"/>
      <c r="L887" s="1219"/>
      <c r="N887" s="1185"/>
      <c r="O887" s="1185"/>
      <c r="P887" s="1186"/>
      <c r="Q887" s="1186"/>
      <c r="R887" s="1186"/>
      <c r="S887" s="1185"/>
      <c r="T887" s="1185"/>
      <c r="U887" s="1185"/>
      <c r="V887" s="1185"/>
      <c r="W887" s="1185"/>
      <c r="X887" s="1185"/>
      <c r="Y887" s="1185"/>
      <c r="Z887" s="1185"/>
      <c r="AA887" s="1185"/>
      <c r="AB887" s="1185"/>
      <c r="AC887" s="1185"/>
      <c r="AD887" s="1185"/>
      <c r="AE887" s="1185"/>
      <c r="AF887" s="1185"/>
      <c r="AG887" s="1185"/>
      <c r="AH887" s="1185"/>
      <c r="AI887" s="1185"/>
    </row>
    <row r="888" spans="1:35">
      <c r="A888" s="1219" t="s">
        <v>31</v>
      </c>
      <c r="B888" s="1219"/>
      <c r="C888" s="1219"/>
      <c r="D888" s="1203"/>
      <c r="E888" s="1203"/>
      <c r="F888" s="1219"/>
      <c r="G888" s="1203"/>
      <c r="H888" s="1219"/>
      <c r="I888" s="1219"/>
      <c r="J888" s="1203"/>
      <c r="K888" s="1219"/>
      <c r="L888" s="1219"/>
      <c r="N888" s="1185"/>
      <c r="O888" s="1185"/>
      <c r="P888" s="1186"/>
      <c r="Q888" s="1186"/>
      <c r="R888" s="1186"/>
      <c r="S888" s="1185"/>
      <c r="T888" s="1185"/>
      <c r="U888" s="1185"/>
      <c r="V888" s="1185"/>
      <c r="W888" s="1185"/>
      <c r="X888" s="1185"/>
      <c r="Y888" s="1185"/>
      <c r="Z888" s="1185"/>
      <c r="AA888" s="1185"/>
      <c r="AB888" s="1185"/>
      <c r="AC888" s="1185"/>
      <c r="AD888" s="1185"/>
      <c r="AE888" s="1185"/>
      <c r="AF888" s="1185"/>
      <c r="AG888" s="1185"/>
      <c r="AH888" s="1185"/>
      <c r="AI888" s="1185"/>
    </row>
    <row r="889" spans="1:35">
      <c r="A889" s="1009" t="s">
        <v>393</v>
      </c>
      <c r="B889" s="1219"/>
      <c r="C889" s="1026"/>
      <c r="D889" s="1203"/>
      <c r="E889" s="1203"/>
      <c r="F889" s="1219"/>
      <c r="G889" s="1203"/>
      <c r="H889" s="1219"/>
      <c r="I889" s="1219"/>
      <c r="J889" s="1203"/>
      <c r="K889" s="1219"/>
      <c r="L889" s="1219"/>
      <c r="N889" s="1185"/>
      <c r="P889" s="1186"/>
      <c r="Q889" s="1186"/>
      <c r="R889" s="1186"/>
      <c r="S889" s="1185"/>
      <c r="T889" s="1185"/>
      <c r="U889" s="1185"/>
      <c r="V889" s="1185"/>
      <c r="W889" s="1185"/>
      <c r="X889" s="1185"/>
      <c r="Y889" s="1185"/>
      <c r="Z889" s="1185"/>
      <c r="AA889" s="1185"/>
      <c r="AB889" s="1185"/>
      <c r="AC889" s="1185"/>
      <c r="AD889" s="1185"/>
      <c r="AE889" s="1185"/>
      <c r="AF889" s="1185"/>
      <c r="AG889" s="1185"/>
      <c r="AH889" s="1185"/>
      <c r="AI889" s="1185"/>
    </row>
    <row r="890" spans="1:35">
      <c r="A890" s="1009" t="s">
        <v>471</v>
      </c>
      <c r="B890" s="1219"/>
      <c r="C890" s="1026">
        <f>100</f>
        <v>100</v>
      </c>
      <c r="D890" s="1261">
        <v>1245</v>
      </c>
      <c r="E890" s="1261"/>
      <c r="F890" s="1203">
        <f>ROUND(D890*$C890,0)</f>
        <v>124500</v>
      </c>
      <c r="G890" s="1261">
        <v>1419</v>
      </c>
      <c r="H890" s="1041"/>
      <c r="I890" s="1203">
        <f>ROUND(G890*C890,0)</f>
        <v>141900</v>
      </c>
      <c r="J890" s="1261">
        <f>J871</f>
        <v>1419</v>
      </c>
      <c r="K890" s="1041"/>
      <c r="L890" s="1203">
        <f>ROUND(J890*$C890,0)</f>
        <v>141900</v>
      </c>
      <c r="N890" s="1185"/>
      <c r="O890" s="1185"/>
      <c r="P890" s="1186"/>
      <c r="Q890" s="1186"/>
      <c r="R890" s="1186"/>
      <c r="S890" s="1185"/>
      <c r="T890" s="1185"/>
      <c r="U890" s="1185"/>
      <c r="V890" s="1185"/>
      <c r="W890" s="1185"/>
      <c r="X890" s="1185"/>
      <c r="Y890" s="1185"/>
      <c r="Z890" s="1185"/>
      <c r="AA890" s="1185"/>
      <c r="AB890" s="1185"/>
      <c r="AC890" s="1185"/>
      <c r="AD890" s="1185"/>
      <c r="AE890" s="1185"/>
      <c r="AF890" s="1185"/>
      <c r="AG890" s="1185"/>
      <c r="AH890" s="1185"/>
      <c r="AI890" s="1185"/>
    </row>
    <row r="891" spans="1:35">
      <c r="A891" s="1009" t="s">
        <v>472</v>
      </c>
      <c r="B891" s="1219"/>
      <c r="C891" s="1026">
        <v>0</v>
      </c>
      <c r="D891" s="1261">
        <v>1490</v>
      </c>
      <c r="E891" s="1261"/>
      <c r="F891" s="1203">
        <f>ROUND(D891*$C891,0)</f>
        <v>0</v>
      </c>
      <c r="G891" s="1261">
        <v>1707</v>
      </c>
      <c r="H891" s="1249"/>
      <c r="I891" s="1203">
        <f>ROUND(G891*C891,0)</f>
        <v>0</v>
      </c>
      <c r="J891" s="1261">
        <f>J872</f>
        <v>1707</v>
      </c>
      <c r="K891" s="1249"/>
      <c r="L891" s="1203">
        <f>ROUND(J891*$C891,0)</f>
        <v>0</v>
      </c>
      <c r="N891" s="1185"/>
      <c r="O891" s="1185"/>
      <c r="P891" s="1186"/>
      <c r="Q891" s="1186"/>
      <c r="R891" s="1186"/>
      <c r="S891" s="1185"/>
      <c r="T891" s="1185"/>
      <c r="U891" s="1185"/>
      <c r="V891" s="1185"/>
      <c r="W891" s="1185"/>
      <c r="X891" s="1185"/>
      <c r="Y891" s="1185"/>
      <c r="Z891" s="1185"/>
      <c r="AA891" s="1185"/>
      <c r="AB891" s="1185"/>
      <c r="AC891" s="1185"/>
      <c r="AD891" s="1185"/>
      <c r="AE891" s="1185"/>
      <c r="AF891" s="1185"/>
      <c r="AG891" s="1185"/>
      <c r="AH891" s="1185"/>
      <c r="AI891" s="1185"/>
    </row>
    <row r="892" spans="1:35">
      <c r="A892" s="1009" t="s">
        <v>394</v>
      </c>
      <c r="B892" s="1219"/>
      <c r="C892" s="1026">
        <f>SUM(C890:C891)</f>
        <v>100</v>
      </c>
      <c r="D892" s="1261" t="s">
        <v>31</v>
      </c>
      <c r="E892" s="1261"/>
      <c r="F892" s="1203" t="s">
        <v>31</v>
      </c>
      <c r="G892" s="1261" t="s">
        <v>31</v>
      </c>
      <c r="H892" s="1041"/>
      <c r="I892" s="1203" t="s">
        <v>31</v>
      </c>
      <c r="J892" s="1261" t="s">
        <v>31</v>
      </c>
      <c r="K892" s="1041"/>
      <c r="L892" s="1203" t="s">
        <v>31</v>
      </c>
      <c r="N892" s="1185"/>
      <c r="O892" s="1185"/>
      <c r="P892" s="1186"/>
      <c r="Q892" s="1186"/>
      <c r="R892" s="1186"/>
      <c r="S892" s="1185"/>
      <c r="T892" s="1185"/>
      <c r="U892" s="1185"/>
      <c r="V892" s="1185"/>
      <c r="W892" s="1185"/>
      <c r="X892" s="1185"/>
      <c r="Y892" s="1185"/>
      <c r="Z892" s="1185"/>
      <c r="AA892" s="1185"/>
      <c r="AB892" s="1185"/>
      <c r="AC892" s="1185"/>
      <c r="AD892" s="1185"/>
      <c r="AE892" s="1185"/>
      <c r="AF892" s="1185"/>
      <c r="AG892" s="1185"/>
      <c r="AH892" s="1185"/>
      <c r="AI892" s="1185"/>
    </row>
    <row r="893" spans="1:35">
      <c r="A893" s="1009" t="s">
        <v>473</v>
      </c>
      <c r="B893" s="1219"/>
      <c r="C893" s="1026">
        <f>176488</f>
        <v>176488</v>
      </c>
      <c r="D893" s="1261">
        <v>0.45</v>
      </c>
      <c r="E893" s="1261"/>
      <c r="F893" s="1203">
        <f>ROUND(D893*$C893,0)</f>
        <v>79420</v>
      </c>
      <c r="G893" s="1261">
        <v>0.53</v>
      </c>
      <c r="H893" s="1041"/>
      <c r="I893" s="1203">
        <f t="shared" ref="I893:I895" si="104">ROUND(G893*C893,0)</f>
        <v>93539</v>
      </c>
      <c r="J893" s="1261">
        <f>J874</f>
        <v>0.53</v>
      </c>
      <c r="K893" s="1041"/>
      <c r="L893" s="1203">
        <f>ROUND(J893*$C893,0)</f>
        <v>93539</v>
      </c>
      <c r="N893" s="1185"/>
      <c r="O893" s="1065" t="s">
        <v>31</v>
      </c>
      <c r="P893" s="1186"/>
      <c r="Q893" s="1186" t="s">
        <v>31</v>
      </c>
      <c r="R893" s="1186"/>
      <c r="S893" s="1185"/>
      <c r="T893" s="1185"/>
      <c r="U893" s="1185"/>
      <c r="V893" s="1185"/>
      <c r="W893" s="1185"/>
      <c r="X893" s="1185"/>
      <c r="Y893" s="1185"/>
      <c r="Z893" s="1185"/>
      <c r="AA893" s="1185"/>
      <c r="AB893" s="1185"/>
      <c r="AC893" s="1185"/>
      <c r="AD893" s="1185"/>
      <c r="AE893" s="1185"/>
      <c r="AF893" s="1185"/>
      <c r="AG893" s="1185"/>
      <c r="AH893" s="1185"/>
      <c r="AI893" s="1185"/>
    </row>
    <row r="894" spans="1:35">
      <c r="A894" s="1009" t="s">
        <v>474</v>
      </c>
      <c r="B894" s="1219"/>
      <c r="C894" s="1026">
        <v>0</v>
      </c>
      <c r="D894" s="1261">
        <v>0.38000000000000006</v>
      </c>
      <c r="E894" s="1261"/>
      <c r="F894" s="1203">
        <f>ROUND(D894*$C894,0)</f>
        <v>0</v>
      </c>
      <c r="G894" s="1261">
        <v>0.43</v>
      </c>
      <c r="H894" s="1041"/>
      <c r="I894" s="1203">
        <f t="shared" si="104"/>
        <v>0</v>
      </c>
      <c r="J894" s="1261">
        <f>J875</f>
        <v>0.43</v>
      </c>
      <c r="K894" s="1041"/>
      <c r="L894" s="1203">
        <f>ROUND(J894*$C894,0)</f>
        <v>0</v>
      </c>
      <c r="N894" s="1185"/>
      <c r="O894" s="1185"/>
      <c r="P894" s="1186"/>
      <c r="Q894" s="1186"/>
      <c r="R894" s="1186"/>
      <c r="S894" s="1185"/>
      <c r="T894" s="1185"/>
      <c r="U894" s="1185"/>
      <c r="V894" s="1185"/>
      <c r="W894" s="1185"/>
      <c r="X894" s="1185"/>
      <c r="Y894" s="1185"/>
      <c r="Z894" s="1185"/>
      <c r="AA894" s="1185"/>
      <c r="AB894" s="1185"/>
      <c r="AC894" s="1185"/>
      <c r="AD894" s="1185"/>
      <c r="AE894" s="1185"/>
      <c r="AF894" s="1185"/>
      <c r="AG894" s="1185"/>
      <c r="AH894" s="1185"/>
      <c r="AI894" s="1185"/>
    </row>
    <row r="895" spans="1:35">
      <c r="A895" s="1218" t="s">
        <v>403</v>
      </c>
      <c r="B895" s="1219"/>
      <c r="C895" s="1026">
        <f>140544</f>
        <v>140544</v>
      </c>
      <c r="D895" s="1261">
        <v>6.12</v>
      </c>
      <c r="E895" s="1261"/>
      <c r="F895" s="1203">
        <f>ROUND(D895*$C895,0)</f>
        <v>860129</v>
      </c>
      <c r="G895" s="1261">
        <v>6.99</v>
      </c>
      <c r="H895" s="1041"/>
      <c r="I895" s="1203">
        <f t="shared" si="104"/>
        <v>982403</v>
      </c>
      <c r="J895" s="1261">
        <f>J876</f>
        <v>7.4</v>
      </c>
      <c r="K895" s="1041"/>
      <c r="L895" s="1203">
        <f>ROUND(J895*$C895,0)</f>
        <v>1040026</v>
      </c>
      <c r="N895" s="1185"/>
      <c r="O895" s="1185"/>
      <c r="P895" s="1186"/>
      <c r="Q895" s="1186"/>
      <c r="R895" s="1186"/>
      <c r="S895" s="1185"/>
      <c r="T895" s="1185"/>
      <c r="U895" s="1185"/>
      <c r="V895" s="1185"/>
      <c r="W895" s="1185"/>
      <c r="X895" s="1185"/>
      <c r="Y895" s="1185"/>
      <c r="Z895" s="1185"/>
      <c r="AA895" s="1185"/>
      <c r="AB895" s="1185"/>
      <c r="AC895" s="1185"/>
      <c r="AD895" s="1185"/>
      <c r="AE895" s="1185"/>
      <c r="AF895" s="1185"/>
      <c r="AG895" s="1185"/>
      <c r="AH895" s="1185"/>
      <c r="AI895" s="1185"/>
    </row>
    <row r="896" spans="1:35">
      <c r="A896" s="1009" t="s">
        <v>426</v>
      </c>
      <c r="B896" s="1219"/>
      <c r="C896" s="1026"/>
      <c r="D896" s="1261" t="s">
        <v>31</v>
      </c>
      <c r="E896" s="1261"/>
      <c r="F896" s="1203"/>
      <c r="G896" s="1261" t="s">
        <v>31</v>
      </c>
      <c r="H896" s="1041"/>
      <c r="I896" s="1203"/>
      <c r="J896" s="1261" t="s">
        <v>31</v>
      </c>
      <c r="K896" s="1041"/>
      <c r="L896" s="1203"/>
      <c r="N896" s="1185"/>
      <c r="O896" s="1185"/>
      <c r="P896" s="1186"/>
      <c r="Q896" s="1186"/>
      <c r="R896" s="1186"/>
      <c r="S896" s="1185"/>
      <c r="T896" s="1185"/>
      <c r="U896" s="1185"/>
      <c r="V896" s="1185"/>
      <c r="W896" s="1185"/>
      <c r="X896" s="1185"/>
      <c r="Y896" s="1185"/>
      <c r="Z896" s="1185"/>
      <c r="AA896" s="1185"/>
      <c r="AB896" s="1185"/>
      <c r="AC896" s="1185"/>
      <c r="AD896" s="1185"/>
      <c r="AE896" s="1185"/>
      <c r="AF896" s="1185"/>
      <c r="AG896" s="1185"/>
      <c r="AH896" s="1185"/>
      <c r="AI896" s="1185"/>
    </row>
    <row r="897" spans="1:35">
      <c r="A897" s="1009" t="s">
        <v>464</v>
      </c>
      <c r="B897" s="1219"/>
      <c r="C897" s="1026">
        <f>58901000</f>
        <v>58901000</v>
      </c>
      <c r="D897" s="1323">
        <v>3.6669999999999998</v>
      </c>
      <c r="E897" s="1041" t="s">
        <v>374</v>
      </c>
      <c r="F897" s="1203">
        <f>ROUND(D897/100*$C897,0)</f>
        <v>2159900</v>
      </c>
      <c r="G897" s="1323">
        <v>4.1920000000000002</v>
      </c>
      <c r="H897" s="1041" t="s">
        <v>374</v>
      </c>
      <c r="I897" s="1203">
        <f>ROUND(G897/100*C897,0)</f>
        <v>2469130</v>
      </c>
      <c r="J897" s="1323">
        <f>J878</f>
        <v>4.4589999999999996</v>
      </c>
      <c r="K897" s="1041" t="s">
        <v>374</v>
      </c>
      <c r="L897" s="1203">
        <f>ROUND(J897/100*$C897,0)</f>
        <v>2626396</v>
      </c>
      <c r="N897" s="1185"/>
      <c r="O897" s="1185"/>
      <c r="P897" s="1186"/>
      <c r="Q897" s="1186"/>
      <c r="R897" s="1186"/>
      <c r="S897" s="1185"/>
      <c r="T897" s="1185"/>
      <c r="U897" s="1185"/>
      <c r="V897" s="1185"/>
      <c r="W897" s="1185"/>
      <c r="X897" s="1185"/>
      <c r="Y897" s="1185"/>
      <c r="Z897" s="1185"/>
      <c r="AA897" s="1185"/>
      <c r="AB897" s="1185"/>
      <c r="AC897" s="1185"/>
      <c r="AD897" s="1185"/>
      <c r="AE897" s="1185"/>
      <c r="AF897" s="1185"/>
      <c r="AG897" s="1185"/>
      <c r="AH897" s="1185"/>
      <c r="AI897" s="1185"/>
    </row>
    <row r="898" spans="1:35">
      <c r="A898" s="1009" t="s">
        <v>400</v>
      </c>
      <c r="B898" s="1219"/>
      <c r="C898" s="1026">
        <f>12483</f>
        <v>12483</v>
      </c>
      <c r="D898" s="1261">
        <v>0.47</v>
      </c>
      <c r="E898" s="1041"/>
      <c r="F898" s="1203">
        <f>ROUND(D898*$C898,0)</f>
        <v>5867</v>
      </c>
      <c r="G898" s="1261">
        <v>0.54</v>
      </c>
      <c r="H898" s="1041"/>
      <c r="I898" s="1203">
        <f>ROUND(G898*C898,0)</f>
        <v>6741</v>
      </c>
      <c r="J898" s="1261">
        <f>J879</f>
        <v>0.54</v>
      </c>
      <c r="K898" s="1041"/>
      <c r="L898" s="1203">
        <f>ROUND(J898*$C898,0)</f>
        <v>6741</v>
      </c>
      <c r="N898" s="1185"/>
      <c r="O898" s="1185"/>
      <c r="P898" s="1186"/>
      <c r="Q898" s="1186"/>
      <c r="R898" s="1186"/>
      <c r="S898" s="1185"/>
      <c r="T898" s="1185"/>
      <c r="U898" s="1185"/>
      <c r="V898" s="1185"/>
      <c r="W898" s="1185"/>
      <c r="X898" s="1185"/>
      <c r="Y898" s="1185"/>
      <c r="Z898" s="1185"/>
      <c r="AA898" s="1185"/>
      <c r="AB898" s="1185"/>
      <c r="AC898" s="1185"/>
      <c r="AD898" s="1185"/>
      <c r="AE898" s="1185"/>
      <c r="AF898" s="1185"/>
      <c r="AG898" s="1185"/>
      <c r="AH898" s="1185"/>
      <c r="AI898" s="1185"/>
    </row>
    <row r="899" spans="1:35">
      <c r="A899" s="1219" t="s">
        <v>381</v>
      </c>
      <c r="B899" s="1219"/>
      <c r="C899" s="1026">
        <f>C897</f>
        <v>58901000</v>
      </c>
      <c r="D899" s="1255"/>
      <c r="E899" s="1203"/>
      <c r="F899" s="1203">
        <f>SUM(F890:F898)</f>
        <v>3229816</v>
      </c>
      <c r="G899" s="1255"/>
      <c r="H899" s="1219"/>
      <c r="I899" s="1203">
        <f>SUM(I890:I898)</f>
        <v>3693713</v>
      </c>
      <c r="J899" s="1255"/>
      <c r="K899" s="1219"/>
      <c r="L899" s="1203">
        <f>SUM(L890:L898)</f>
        <v>3908602</v>
      </c>
      <c r="N899" s="1185"/>
      <c r="O899" s="1185"/>
      <c r="P899" s="1186"/>
      <c r="Q899" s="1186"/>
      <c r="R899" s="1186"/>
      <c r="S899" s="1185"/>
      <c r="T899" s="1185"/>
      <c r="U899" s="1185"/>
      <c r="V899" s="1185"/>
      <c r="W899" s="1185"/>
      <c r="X899" s="1185"/>
      <c r="Y899" s="1185"/>
      <c r="Z899" s="1185"/>
      <c r="AA899" s="1185"/>
      <c r="AB899" s="1185"/>
      <c r="AC899" s="1185"/>
      <c r="AD899" s="1185"/>
      <c r="AE899" s="1185"/>
      <c r="AF899" s="1185"/>
      <c r="AG899" s="1185"/>
      <c r="AH899" s="1185"/>
      <c r="AI899" s="1185"/>
    </row>
    <row r="900" spans="1:35">
      <c r="A900" s="1219" t="s">
        <v>363</v>
      </c>
      <c r="B900" s="1219"/>
      <c r="C900" s="1026">
        <f>C899/($C$846+$C$899)*$C$934</f>
        <v>-151857.09316799315</v>
      </c>
      <c r="D900" s="1218"/>
      <c r="E900" s="1218"/>
      <c r="F900" s="1324" t="e">
        <f>F899/($F$846+$F$899)*$F$934</f>
        <v>#REF!</v>
      </c>
      <c r="G900" s="1218"/>
      <c r="H900" s="1218"/>
      <c r="I900" s="1028">
        <f>I899/($C$846+$C$899)*$C$934</f>
        <v>-9523.0389836645809</v>
      </c>
      <c r="J900" s="1218"/>
      <c r="K900" s="1218"/>
      <c r="L900" s="1264">
        <f>I900</f>
        <v>-9523.0389836645809</v>
      </c>
      <c r="N900" s="444"/>
      <c r="O900" s="444"/>
      <c r="P900" s="287"/>
      <c r="Q900" s="1186"/>
      <c r="R900" s="1186"/>
      <c r="S900" s="1185"/>
      <c r="T900" s="1185"/>
      <c r="U900" s="1185"/>
      <c r="V900" s="1185"/>
      <c r="W900" s="1185"/>
      <c r="X900" s="1185"/>
      <c r="Y900" s="1185"/>
      <c r="Z900" s="1185"/>
      <c r="AA900" s="1185"/>
      <c r="AB900" s="1185"/>
      <c r="AC900" s="1185"/>
      <c r="AD900" s="1185"/>
      <c r="AE900" s="1185"/>
      <c r="AF900" s="1185"/>
      <c r="AG900" s="1185"/>
      <c r="AH900" s="1185"/>
      <c r="AI900" s="1185"/>
    </row>
    <row r="901" spans="1:35" ht="16.5" thickBot="1">
      <c r="A901" s="1219" t="s">
        <v>382</v>
      </c>
      <c r="B901" s="1219"/>
      <c r="C901" s="1321">
        <f>SUM(C899)+C900</f>
        <v>58749142.90683201</v>
      </c>
      <c r="D901" s="1265"/>
      <c r="E901" s="1266"/>
      <c r="F901" s="1267" t="e">
        <f>F899+F900</f>
        <v>#REF!</v>
      </c>
      <c r="G901" s="1265"/>
      <c r="H901" s="1269"/>
      <c r="I901" s="1267">
        <f>I899+I900</f>
        <v>3684189.9610163355</v>
      </c>
      <c r="J901" s="1265"/>
      <c r="K901" s="1269"/>
      <c r="L901" s="1267">
        <f>L899+L900</f>
        <v>3899078.9610163355</v>
      </c>
      <c r="N901" s="411"/>
      <c r="O901" s="411" t="s">
        <v>31</v>
      </c>
      <c r="P901" s="470"/>
      <c r="Q901" s="1186"/>
      <c r="R901" s="1186"/>
      <c r="S901" s="801" t="s">
        <v>31</v>
      </c>
      <c r="T901" s="1185"/>
      <c r="U901" s="1185"/>
      <c r="V901" s="1185"/>
      <c r="W901" s="1185"/>
      <c r="X901" s="1185"/>
      <c r="Y901" s="1185"/>
      <c r="Z901" s="1185"/>
      <c r="AA901" s="1185"/>
      <c r="AB901" s="1185"/>
      <c r="AC901" s="1185"/>
      <c r="AD901" s="1185"/>
      <c r="AE901" s="1185"/>
      <c r="AF901" s="1185"/>
      <c r="AG901" s="1185"/>
      <c r="AH901" s="1185"/>
      <c r="AI901" s="1185"/>
    </row>
    <row r="902" spans="1:35" ht="16.5" thickTop="1">
      <c r="A902" s="1219"/>
      <c r="B902" s="1219"/>
      <c r="C902" s="1225"/>
      <c r="D902" s="1261"/>
      <c r="E902" s="1203"/>
      <c r="F902" s="1203"/>
      <c r="G902" s="1261" t="s">
        <v>31</v>
      </c>
      <c r="H902" s="1219"/>
      <c r="I902" s="1203"/>
      <c r="J902" s="1259" t="s">
        <v>31</v>
      </c>
      <c r="K902" s="1219"/>
      <c r="L902" s="1203" t="s">
        <v>31</v>
      </c>
      <c r="N902" s="1185"/>
      <c r="O902" s="1185"/>
      <c r="P902" s="1186"/>
      <c r="Q902" s="1186"/>
      <c r="R902" s="1186"/>
      <c r="S902" s="1185"/>
      <c r="T902" s="1185"/>
      <c r="U902" s="1185"/>
      <c r="V902" s="1185"/>
      <c r="W902" s="1185"/>
      <c r="X902" s="1185"/>
      <c r="Y902" s="1185"/>
      <c r="Z902" s="1185"/>
      <c r="AA902" s="1185"/>
      <c r="AB902" s="1185"/>
      <c r="AC902" s="1185"/>
      <c r="AD902" s="1185"/>
      <c r="AE902" s="1185"/>
      <c r="AF902" s="1185"/>
      <c r="AG902" s="1185"/>
      <c r="AH902" s="1185"/>
      <c r="AI902" s="1185"/>
    </row>
    <row r="903" spans="1:35">
      <c r="A903" s="1224" t="s">
        <v>476</v>
      </c>
      <c r="B903" s="1219"/>
      <c r="C903" s="1219"/>
      <c r="D903" s="1203"/>
      <c r="E903" s="1203"/>
      <c r="F903" s="1219"/>
      <c r="G903" s="1203"/>
      <c r="H903" s="1219"/>
      <c r="I903" s="1219"/>
      <c r="J903" s="1203"/>
      <c r="K903" s="1219"/>
      <c r="L903" s="1219"/>
      <c r="N903" s="1185"/>
      <c r="O903" s="1185"/>
      <c r="P903" s="1186"/>
      <c r="Q903" s="1186"/>
      <c r="R903" s="1186"/>
      <c r="S903" s="1185"/>
      <c r="T903" s="1185"/>
      <c r="U903" s="1185"/>
      <c r="V903" s="1185"/>
      <c r="W903" s="1185"/>
      <c r="X903" s="1185"/>
      <c r="Y903" s="1185"/>
      <c r="Z903" s="1185"/>
      <c r="AA903" s="1185"/>
      <c r="AB903" s="1185"/>
      <c r="AC903" s="1185"/>
      <c r="AD903" s="1185"/>
      <c r="AE903" s="1185"/>
      <c r="AF903" s="1185"/>
      <c r="AG903" s="1185"/>
      <c r="AH903" s="1185"/>
      <c r="AI903" s="1185"/>
    </row>
    <row r="904" spans="1:35">
      <c r="A904" s="1218" t="s">
        <v>694</v>
      </c>
      <c r="B904" s="1219"/>
      <c r="C904" s="1219"/>
      <c r="D904" s="1203"/>
      <c r="E904" s="1203"/>
      <c r="F904" s="1219"/>
      <c r="G904" s="1203"/>
      <c r="H904" s="1219"/>
      <c r="I904" s="1219"/>
      <c r="J904" s="1203"/>
      <c r="K904" s="1219"/>
      <c r="L904" s="1219"/>
      <c r="N904" s="1185"/>
      <c r="O904" s="1185"/>
      <c r="P904" s="1186"/>
      <c r="Q904" s="1186"/>
      <c r="R904" s="1186"/>
      <c r="S904" s="1185"/>
      <c r="T904" s="1185"/>
      <c r="U904" s="1185"/>
      <c r="V904" s="1185"/>
      <c r="W904" s="1185"/>
      <c r="X904" s="1185"/>
      <c r="Y904" s="1185"/>
      <c r="Z904" s="1185"/>
      <c r="AA904" s="1185"/>
      <c r="AB904" s="1185"/>
      <c r="AC904" s="1185"/>
      <c r="AD904" s="1185"/>
      <c r="AE904" s="1185"/>
      <c r="AF904" s="1185"/>
      <c r="AG904" s="1185"/>
      <c r="AH904" s="1185"/>
      <c r="AI904" s="1185"/>
    </row>
    <row r="905" spans="1:35">
      <c r="A905" s="1219" t="s">
        <v>31</v>
      </c>
      <c r="B905" s="1219"/>
      <c r="C905" s="1219"/>
      <c r="D905" s="1203"/>
      <c r="E905" s="1203"/>
      <c r="F905" s="1219"/>
      <c r="G905" s="1203"/>
      <c r="H905" s="1219"/>
      <c r="I905" s="1219"/>
      <c r="J905" s="1203"/>
      <c r="K905" s="1219"/>
      <c r="L905" s="1219"/>
      <c r="N905" s="1185"/>
      <c r="O905" s="1185"/>
      <c r="P905" s="1186"/>
      <c r="Q905" s="1186"/>
      <c r="R905" s="1186"/>
      <c r="S905" s="1185"/>
      <c r="T905" s="1185"/>
      <c r="U905" s="1185"/>
      <c r="V905" s="1185"/>
      <c r="W905" s="1185"/>
      <c r="X905" s="1185"/>
      <c r="Y905" s="1185"/>
      <c r="Z905" s="1185"/>
      <c r="AA905" s="1185"/>
      <c r="AB905" s="1185"/>
      <c r="AC905" s="1185"/>
      <c r="AD905" s="1185"/>
      <c r="AE905" s="1185"/>
      <c r="AF905" s="1185"/>
      <c r="AG905" s="1185"/>
      <c r="AH905" s="1185"/>
      <c r="AI905" s="1185"/>
    </row>
    <row r="906" spans="1:35">
      <c r="A906" s="1009" t="s">
        <v>393</v>
      </c>
      <c r="B906" s="1219"/>
      <c r="C906" s="1026"/>
      <c r="D906" s="1203"/>
      <c r="E906" s="1203"/>
      <c r="F906" s="1219"/>
      <c r="G906" s="1203"/>
      <c r="H906" s="1219"/>
      <c r="I906" s="1219"/>
      <c r="J906" s="1203"/>
      <c r="K906" s="1219"/>
      <c r="L906" s="1219"/>
      <c r="N906" s="1185"/>
      <c r="P906" s="1186"/>
      <c r="Q906" s="1186"/>
      <c r="R906" s="1186"/>
      <c r="S906" s="1185"/>
      <c r="T906" s="1185"/>
      <c r="U906" s="1185"/>
      <c r="V906" s="1185"/>
      <c r="W906" s="1185"/>
      <c r="X906" s="1185"/>
      <c r="Y906" s="1185"/>
      <c r="Z906" s="1185"/>
      <c r="AA906" s="1185"/>
      <c r="AB906" s="1185"/>
      <c r="AC906" s="1185"/>
      <c r="AD906" s="1185"/>
      <c r="AE906" s="1185"/>
      <c r="AF906" s="1185"/>
      <c r="AG906" s="1185"/>
      <c r="AH906" s="1185"/>
      <c r="AI906" s="1185"/>
    </row>
    <row r="907" spans="1:35">
      <c r="A907" s="1009" t="s">
        <v>471</v>
      </c>
      <c r="B907" s="1219"/>
      <c r="C907" s="1026">
        <f>31</f>
        <v>31</v>
      </c>
      <c r="D907" s="1261">
        <v>1245</v>
      </c>
      <c r="E907" s="1261"/>
      <c r="F907" s="1203">
        <f>ROUND(D907*$C907,0)</f>
        <v>38595</v>
      </c>
      <c r="G907" s="1261">
        <v>1419</v>
      </c>
      <c r="H907" s="1041"/>
      <c r="I907" s="1203">
        <f>ROUND(G907*C907,0)</f>
        <v>43989</v>
      </c>
      <c r="J907" s="1261">
        <f>J871</f>
        <v>1419</v>
      </c>
      <c r="K907" s="1041"/>
      <c r="L907" s="1203">
        <f>ROUND(J907*$C907,0)</f>
        <v>43989</v>
      </c>
      <c r="N907" s="1185"/>
      <c r="O907" s="1185"/>
      <c r="P907" s="1186"/>
      <c r="Q907" s="1186"/>
      <c r="R907" s="1186"/>
      <c r="S907" s="1185"/>
      <c r="T907" s="1185"/>
      <c r="U907" s="1185"/>
      <c r="V907" s="1185"/>
      <c r="W907" s="1185"/>
      <c r="X907" s="1185"/>
      <c r="Y907" s="1185"/>
      <c r="Z907" s="1185"/>
      <c r="AA907" s="1185"/>
      <c r="AB907" s="1185"/>
      <c r="AC907" s="1185"/>
      <c r="AD907" s="1185"/>
      <c r="AE907" s="1185"/>
      <c r="AF907" s="1185"/>
      <c r="AG907" s="1185"/>
      <c r="AH907" s="1185"/>
      <c r="AI907" s="1185"/>
    </row>
    <row r="908" spans="1:35">
      <c r="A908" s="1009" t="s">
        <v>472</v>
      </c>
      <c r="B908" s="1219"/>
      <c r="C908" s="1026">
        <v>0</v>
      </c>
      <c r="D908" s="1261">
        <v>1490</v>
      </c>
      <c r="E908" s="1261"/>
      <c r="F908" s="1203">
        <f>ROUND(D908*$C908,0)</f>
        <v>0</v>
      </c>
      <c r="G908" s="1261">
        <v>1707</v>
      </c>
      <c r="H908" s="1249"/>
      <c r="I908" s="1203">
        <f>ROUND(G908*C908,0)</f>
        <v>0</v>
      </c>
      <c r="J908" s="1261">
        <f>J872</f>
        <v>1707</v>
      </c>
      <c r="K908" s="1249"/>
      <c r="L908" s="1203">
        <f>ROUND(J908*$C908,0)</f>
        <v>0</v>
      </c>
      <c r="N908" s="1185"/>
      <c r="O908" s="1185"/>
      <c r="P908" s="1186"/>
      <c r="Q908" s="1186"/>
      <c r="R908" s="1186"/>
      <c r="S908" s="1185"/>
      <c r="T908" s="1185"/>
      <c r="U908" s="1185"/>
      <c r="V908" s="1185"/>
      <c r="W908" s="1185"/>
      <c r="X908" s="1185"/>
      <c r="Y908" s="1185"/>
      <c r="Z908" s="1185"/>
      <c r="AA908" s="1185"/>
      <c r="AB908" s="1185"/>
      <c r="AC908" s="1185"/>
      <c r="AD908" s="1185"/>
      <c r="AE908" s="1185"/>
      <c r="AF908" s="1185"/>
      <c r="AG908" s="1185"/>
      <c r="AH908" s="1185"/>
      <c r="AI908" s="1185"/>
    </row>
    <row r="909" spans="1:35">
      <c r="A909" s="1009" t="s">
        <v>394</v>
      </c>
      <c r="B909" s="1219"/>
      <c r="C909" s="1026">
        <f>SUM(C907:C908)</f>
        <v>31</v>
      </c>
      <c r="D909" s="1261" t="s">
        <v>31</v>
      </c>
      <c r="E909" s="1261"/>
      <c r="F909" s="1203" t="s">
        <v>31</v>
      </c>
      <c r="G909" s="1261" t="s">
        <v>31</v>
      </c>
      <c r="H909" s="1041"/>
      <c r="I909" s="1203" t="s">
        <v>31</v>
      </c>
      <c r="J909" s="1261" t="s">
        <v>31</v>
      </c>
      <c r="K909" s="1041"/>
      <c r="L909" s="1203" t="s">
        <v>31</v>
      </c>
      <c r="N909" s="1185"/>
      <c r="O909" s="1185"/>
      <c r="P909" s="1186"/>
      <c r="Q909" s="1186"/>
      <c r="R909" s="1186"/>
      <c r="S909" s="1185"/>
      <c r="T909" s="1185"/>
      <c r="U909" s="1185"/>
      <c r="V909" s="1185"/>
      <c r="W909" s="1185"/>
      <c r="X909" s="1185"/>
      <c r="Y909" s="1185"/>
      <c r="Z909" s="1185"/>
      <c r="AA909" s="1185"/>
      <c r="AB909" s="1185"/>
      <c r="AC909" s="1185"/>
      <c r="AD909" s="1185"/>
      <c r="AE909" s="1185"/>
      <c r="AF909" s="1185"/>
      <c r="AG909" s="1185"/>
      <c r="AH909" s="1185"/>
      <c r="AI909" s="1185"/>
    </row>
    <row r="910" spans="1:35">
      <c r="A910" s="1009" t="s">
        <v>473</v>
      </c>
      <c r="B910" s="1219"/>
      <c r="C910" s="1026">
        <f>25397</f>
        <v>25397</v>
      </c>
      <c r="D910" s="1261">
        <v>0.45</v>
      </c>
      <c r="E910" s="1261"/>
      <c r="F910" s="1203">
        <f>ROUND(D910*$C910,0)</f>
        <v>11429</v>
      </c>
      <c r="G910" s="1261">
        <v>0.53</v>
      </c>
      <c r="H910" s="1041"/>
      <c r="I910" s="1203">
        <f t="shared" ref="I910:I912" si="105">ROUND(G910*C910,0)</f>
        <v>13460</v>
      </c>
      <c r="J910" s="1261">
        <f>J874</f>
        <v>0.53</v>
      </c>
      <c r="K910" s="1041"/>
      <c r="L910" s="1203">
        <f>ROUND(J910*$C910,0)</f>
        <v>13460</v>
      </c>
      <c r="N910" s="1185"/>
      <c r="O910" s="1065" t="s">
        <v>31</v>
      </c>
      <c r="P910" s="1186"/>
      <c r="Q910" s="1186" t="s">
        <v>31</v>
      </c>
      <c r="R910" s="1186"/>
      <c r="S910" s="1185"/>
      <c r="T910" s="1185"/>
      <c r="U910" s="1185"/>
      <c r="V910" s="1185"/>
      <c r="W910" s="1185"/>
      <c r="X910" s="1185"/>
      <c r="Y910" s="1185"/>
      <c r="Z910" s="1185"/>
      <c r="AA910" s="1185"/>
      <c r="AB910" s="1185"/>
      <c r="AC910" s="1185"/>
      <c r="AD910" s="1185"/>
      <c r="AE910" s="1185"/>
      <c r="AF910" s="1185"/>
      <c r="AG910" s="1185"/>
      <c r="AH910" s="1185"/>
      <c r="AI910" s="1185"/>
    </row>
    <row r="911" spans="1:35">
      <c r="A911" s="1009" t="s">
        <v>474</v>
      </c>
      <c r="B911" s="1219"/>
      <c r="C911" s="1026">
        <v>0</v>
      </c>
      <c r="D911" s="1261">
        <v>0.38000000000000006</v>
      </c>
      <c r="E911" s="1261"/>
      <c r="F911" s="1203">
        <f>ROUND(D911*$C911,0)</f>
        <v>0</v>
      </c>
      <c r="G911" s="1261">
        <v>0.43</v>
      </c>
      <c r="H911" s="1041"/>
      <c r="I911" s="1203">
        <f t="shared" si="105"/>
        <v>0</v>
      </c>
      <c r="J911" s="1261">
        <f>J875</f>
        <v>0.43</v>
      </c>
      <c r="K911" s="1041"/>
      <c r="L911" s="1203">
        <f>ROUND(J911*$C911,0)</f>
        <v>0</v>
      </c>
      <c r="N911" s="1185"/>
      <c r="O911" s="1185"/>
      <c r="P911" s="1186"/>
      <c r="Q911" s="1186"/>
      <c r="R911" s="1186"/>
      <c r="S911" s="1185"/>
      <c r="T911" s="1185"/>
      <c r="U911" s="1185"/>
      <c r="V911" s="1185"/>
      <c r="W911" s="1185"/>
      <c r="X911" s="1185"/>
      <c r="Y911" s="1185"/>
      <c r="Z911" s="1185"/>
      <c r="AA911" s="1185"/>
      <c r="AB911" s="1185"/>
      <c r="AC911" s="1185"/>
      <c r="AD911" s="1185"/>
      <c r="AE911" s="1185"/>
      <c r="AF911" s="1185"/>
      <c r="AG911" s="1185"/>
      <c r="AH911" s="1185"/>
      <c r="AI911" s="1185"/>
    </row>
    <row r="912" spans="1:35">
      <c r="A912" s="1218" t="s">
        <v>403</v>
      </c>
      <c r="B912" s="1219"/>
      <c r="C912" s="1026">
        <f>25117</f>
        <v>25117</v>
      </c>
      <c r="D912" s="1261">
        <v>6.12</v>
      </c>
      <c r="E912" s="1261"/>
      <c r="F912" s="1203">
        <f>ROUND(D912*$C912,0)</f>
        <v>153716</v>
      </c>
      <c r="G912" s="1261">
        <v>6.99</v>
      </c>
      <c r="H912" s="1041"/>
      <c r="I912" s="1203">
        <f t="shared" si="105"/>
        <v>175568</v>
      </c>
      <c r="J912" s="1261">
        <f>J876</f>
        <v>7.4</v>
      </c>
      <c r="K912" s="1041"/>
      <c r="L912" s="1203">
        <f>ROUND(J912*$C912,0)</f>
        <v>185866</v>
      </c>
      <c r="N912" s="1185"/>
      <c r="O912" s="1185"/>
      <c r="P912" s="1186"/>
      <c r="Q912" s="1186"/>
      <c r="R912" s="1186"/>
      <c r="S912" s="1185"/>
      <c r="T912" s="1185"/>
      <c r="U912" s="1185"/>
      <c r="V912" s="1185"/>
      <c r="W912" s="1185"/>
      <c r="X912" s="1185"/>
      <c r="Y912" s="1185"/>
      <c r="Z912" s="1185"/>
      <c r="AA912" s="1185"/>
      <c r="AB912" s="1185"/>
      <c r="AC912" s="1185"/>
      <c r="AD912" s="1185"/>
      <c r="AE912" s="1185"/>
      <c r="AF912" s="1185"/>
      <c r="AG912" s="1185"/>
      <c r="AH912" s="1185"/>
      <c r="AI912" s="1185"/>
    </row>
    <row r="913" spans="1:35">
      <c r="A913" s="1009" t="s">
        <v>426</v>
      </c>
      <c r="B913" s="1219"/>
      <c r="C913" s="1026"/>
      <c r="D913" s="1261" t="s">
        <v>31</v>
      </c>
      <c r="E913" s="1261"/>
      <c r="F913" s="1203"/>
      <c r="G913" s="1261" t="s">
        <v>31</v>
      </c>
      <c r="H913" s="1041"/>
      <c r="I913" s="1203"/>
      <c r="J913" s="1261" t="s">
        <v>31</v>
      </c>
      <c r="K913" s="1041"/>
      <c r="L913" s="1203"/>
      <c r="N913" s="1185"/>
      <c r="O913" s="1185"/>
      <c r="P913" s="1186"/>
      <c r="Q913" s="1186"/>
      <c r="R913" s="1186"/>
      <c r="S913" s="1185"/>
      <c r="T913" s="1185"/>
      <c r="U913" s="1185"/>
      <c r="V913" s="1185"/>
      <c r="W913" s="1185"/>
      <c r="X913" s="1185"/>
      <c r="Y913" s="1185"/>
      <c r="Z913" s="1185"/>
      <c r="AA913" s="1185"/>
      <c r="AB913" s="1185"/>
      <c r="AC913" s="1185"/>
      <c r="AD913" s="1185"/>
      <c r="AE913" s="1185"/>
      <c r="AF913" s="1185"/>
      <c r="AG913" s="1185"/>
      <c r="AH913" s="1185"/>
      <c r="AI913" s="1185"/>
    </row>
    <row r="914" spans="1:35">
      <c r="A914" s="1009" t="s">
        <v>464</v>
      </c>
      <c r="B914" s="1219"/>
      <c r="C914" s="1026">
        <f>4585200</f>
        <v>4585200</v>
      </c>
      <c r="D914" s="1323">
        <v>3.6669999999999998</v>
      </c>
      <c r="E914" s="1041" t="s">
        <v>374</v>
      </c>
      <c r="F914" s="1203">
        <f>ROUND(D914/100*$C914,0)</f>
        <v>168139</v>
      </c>
      <c r="G914" s="1323">
        <v>4.1920000000000002</v>
      </c>
      <c r="H914" s="1041" t="s">
        <v>374</v>
      </c>
      <c r="I914" s="1203">
        <f>ROUND(G914/100*C914,0)</f>
        <v>192212</v>
      </c>
      <c r="J914" s="1323">
        <f>J878</f>
        <v>4.4589999999999996</v>
      </c>
      <c r="K914" s="1041" t="s">
        <v>374</v>
      </c>
      <c r="L914" s="1203">
        <f>ROUND(J914/100*$C914,0)</f>
        <v>204454</v>
      </c>
      <c r="N914" s="1185"/>
      <c r="O914" s="1185"/>
      <c r="P914" s="1186"/>
      <c r="Q914" s="1186"/>
      <c r="R914" s="1186"/>
      <c r="S914" s="1185"/>
      <c r="T914" s="1185"/>
      <c r="U914" s="1185"/>
      <c r="V914" s="1185"/>
      <c r="W914" s="1185"/>
      <c r="X914" s="1185"/>
      <c r="Y914" s="1185"/>
      <c r="Z914" s="1185"/>
      <c r="AA914" s="1185"/>
      <c r="AB914" s="1185"/>
      <c r="AC914" s="1185"/>
      <c r="AD914" s="1185"/>
      <c r="AE914" s="1185"/>
      <c r="AF914" s="1185"/>
      <c r="AG914" s="1185"/>
      <c r="AH914" s="1185"/>
      <c r="AI914" s="1185"/>
    </row>
    <row r="915" spans="1:35">
      <c r="A915" s="1009" t="s">
        <v>400</v>
      </c>
      <c r="B915" s="1219"/>
      <c r="C915" s="1026">
        <f>3837</f>
        <v>3837</v>
      </c>
      <c r="D915" s="1261">
        <v>0.47</v>
      </c>
      <c r="E915" s="1041"/>
      <c r="F915" s="1203">
        <f>ROUND(D915*$C915,0)</f>
        <v>1803</v>
      </c>
      <c r="G915" s="1261">
        <v>0.54</v>
      </c>
      <c r="H915" s="1041"/>
      <c r="I915" s="1203">
        <f>ROUND(G915*C915,0)</f>
        <v>2072</v>
      </c>
      <c r="J915" s="1261">
        <f>J879</f>
        <v>0.54</v>
      </c>
      <c r="K915" s="1041"/>
      <c r="L915" s="1203">
        <f>ROUND(J915*$C915,0)</f>
        <v>2072</v>
      </c>
      <c r="N915" s="1185"/>
      <c r="O915" s="1185"/>
      <c r="P915" s="1186"/>
      <c r="Q915" s="1186"/>
      <c r="R915" s="1186"/>
      <c r="S915" s="1185"/>
      <c r="T915" s="1185"/>
      <c r="U915" s="1185"/>
      <c r="V915" s="1185"/>
      <c r="W915" s="1185"/>
      <c r="X915" s="1185"/>
      <c r="Y915" s="1185"/>
      <c r="Z915" s="1185"/>
      <c r="AA915" s="1185"/>
      <c r="AB915" s="1185"/>
      <c r="AC915" s="1185"/>
      <c r="AD915" s="1185"/>
      <c r="AE915" s="1185"/>
      <c r="AF915" s="1185"/>
      <c r="AG915" s="1185"/>
      <c r="AH915" s="1185"/>
      <c r="AI915" s="1185"/>
    </row>
    <row r="916" spans="1:35">
      <c r="A916" s="1219" t="s">
        <v>381</v>
      </c>
      <c r="B916" s="1219"/>
      <c r="C916" s="1026">
        <f>C914</f>
        <v>4585200</v>
      </c>
      <c r="D916" s="1255"/>
      <c r="E916" s="1203"/>
      <c r="F916" s="1203">
        <f>SUM(F907:F915)</f>
        <v>373682</v>
      </c>
      <c r="G916" s="1255"/>
      <c r="H916" s="1219"/>
      <c r="I916" s="1203">
        <f>SUM(I907:I915)</f>
        <v>427301</v>
      </c>
      <c r="J916" s="1255"/>
      <c r="K916" s="1219"/>
      <c r="L916" s="1203">
        <f>SUM(L907:L915)</f>
        <v>449841</v>
      </c>
      <c r="N916" s="1185"/>
      <c r="O916" s="1185"/>
      <c r="P916" s="1186"/>
      <c r="Q916" s="1186"/>
      <c r="R916" s="1186"/>
      <c r="S916" s="1185"/>
      <c r="T916" s="1185"/>
      <c r="U916" s="1185"/>
      <c r="V916" s="1185"/>
      <c r="W916" s="1185"/>
      <c r="X916" s="1185"/>
      <c r="Y916" s="1185"/>
      <c r="Z916" s="1185"/>
      <c r="AA916" s="1185"/>
      <c r="AB916" s="1185"/>
      <c r="AC916" s="1185"/>
      <c r="AD916" s="1185"/>
      <c r="AE916" s="1185"/>
      <c r="AF916" s="1185"/>
      <c r="AG916" s="1185"/>
      <c r="AH916" s="1185"/>
      <c r="AI916" s="1185"/>
    </row>
    <row r="917" spans="1:35">
      <c r="A917" s="1219" t="s">
        <v>363</v>
      </c>
      <c r="B917" s="1219"/>
      <c r="C917" s="1026">
        <f>C916/($C$863+$C$916)*$C$952</f>
        <v>62907.458023101703</v>
      </c>
      <c r="D917" s="1218"/>
      <c r="E917" s="1218"/>
      <c r="F917" s="1324" t="e">
        <f>F916/($F$863+$F$916)*$F$952</f>
        <v>#REF!</v>
      </c>
      <c r="G917" s="1218"/>
      <c r="H917" s="1218"/>
      <c r="I917" s="1336">
        <f>I916/($C$863+$C$916)*$C$952</f>
        <v>5862.4312397996546</v>
      </c>
      <c r="J917" s="1218"/>
      <c r="K917" s="1218"/>
      <c r="L917" s="1264">
        <f>I917</f>
        <v>5862.4312397996546</v>
      </c>
      <c r="N917" s="444"/>
      <c r="O917" s="444"/>
      <c r="P917" s="287"/>
      <c r="Q917" s="1186"/>
      <c r="R917" s="1186"/>
      <c r="S917" s="1185"/>
      <c r="T917" s="1185"/>
      <c r="U917" s="1185"/>
      <c r="V917" s="1185"/>
      <c r="W917" s="1185"/>
      <c r="X917" s="1185"/>
      <c r="Y917" s="1185"/>
      <c r="Z917" s="1185"/>
      <c r="AA917" s="1185"/>
      <c r="AB917" s="1185"/>
      <c r="AC917" s="1185"/>
      <c r="AD917" s="1185"/>
      <c r="AE917" s="1185"/>
      <c r="AF917" s="1185"/>
      <c r="AG917" s="1185"/>
      <c r="AH917" s="1185"/>
      <c r="AI917" s="1185"/>
    </row>
    <row r="918" spans="1:35" ht="16.5" thickBot="1">
      <c r="A918" s="1219" t="s">
        <v>382</v>
      </c>
      <c r="B918" s="1219"/>
      <c r="C918" s="1321">
        <f>SUM(C916)+C917</f>
        <v>4648107.458023102</v>
      </c>
      <c r="D918" s="1265"/>
      <c r="E918" s="1266"/>
      <c r="F918" s="1267" t="e">
        <f>F916+F917</f>
        <v>#REF!</v>
      </c>
      <c r="G918" s="1265"/>
      <c r="H918" s="1269"/>
      <c r="I918" s="1267">
        <f>I916+I917</f>
        <v>433163.43123979965</v>
      </c>
      <c r="J918" s="1265"/>
      <c r="K918" s="1269"/>
      <c r="L918" s="1267">
        <f>L916+L917</f>
        <v>455703.43123979965</v>
      </c>
      <c r="N918" s="411"/>
      <c r="O918" s="411" t="s">
        <v>31</v>
      </c>
      <c r="P918" s="470"/>
      <c r="Q918" s="1186"/>
      <c r="R918" s="1186"/>
      <c r="S918" s="801" t="s">
        <v>31</v>
      </c>
      <c r="T918" s="1185"/>
      <c r="U918" s="1185"/>
      <c r="V918" s="1185"/>
      <c r="W918" s="1185"/>
      <c r="X918" s="1185"/>
      <c r="Y918" s="1185"/>
      <c r="Z918" s="1185"/>
      <c r="AA918" s="1185"/>
      <c r="AB918" s="1185"/>
      <c r="AC918" s="1185"/>
      <c r="AD918" s="1185"/>
      <c r="AE918" s="1185"/>
      <c r="AF918" s="1185"/>
      <c r="AG918" s="1185"/>
      <c r="AH918" s="1185"/>
      <c r="AI918" s="1185"/>
    </row>
    <row r="919" spans="1:35" ht="16.5" thickTop="1">
      <c r="A919" s="1219"/>
      <c r="B919" s="1219"/>
      <c r="C919" s="1225"/>
      <c r="D919" s="1261"/>
      <c r="E919" s="1203"/>
      <c r="F919" s="1203"/>
      <c r="G919" s="1261" t="s">
        <v>31</v>
      </c>
      <c r="H919" s="1219"/>
      <c r="I919" s="1203"/>
      <c r="J919" s="1259" t="s">
        <v>31</v>
      </c>
      <c r="K919" s="1219"/>
      <c r="L919" s="1203" t="s">
        <v>31</v>
      </c>
      <c r="N919" s="1185"/>
      <c r="O919" s="1185"/>
      <c r="P919" s="1186"/>
      <c r="Q919" s="1186"/>
      <c r="R919" s="1186"/>
      <c r="S919" s="1185"/>
      <c r="T919" s="1185"/>
      <c r="U919" s="1185"/>
      <c r="V919" s="1185"/>
      <c r="W919" s="1185"/>
      <c r="X919" s="1185"/>
      <c r="Y919" s="1185"/>
      <c r="Z919" s="1185"/>
      <c r="AA919" s="1185"/>
      <c r="AB919" s="1185"/>
      <c r="AC919" s="1185"/>
      <c r="AD919" s="1185"/>
      <c r="AE919" s="1185"/>
      <c r="AF919" s="1185"/>
      <c r="AG919" s="1185"/>
      <c r="AH919" s="1185"/>
      <c r="AI919" s="1185"/>
    </row>
    <row r="920" spans="1:35">
      <c r="A920" s="1224" t="s">
        <v>476</v>
      </c>
      <c r="B920" s="1219"/>
      <c r="C920" s="1219"/>
      <c r="D920" s="1203"/>
      <c r="E920" s="1203"/>
      <c r="F920" s="1219"/>
      <c r="G920" s="1203"/>
      <c r="H920" s="1219"/>
      <c r="I920" s="1219"/>
      <c r="J920" s="1203"/>
      <c r="K920" s="1219"/>
      <c r="L920" s="1219"/>
      <c r="N920" s="1185"/>
      <c r="O920" s="1185"/>
      <c r="P920" s="1186"/>
      <c r="Q920" s="1186"/>
      <c r="R920" s="1186"/>
      <c r="S920" s="1185"/>
      <c r="T920" s="1185"/>
      <c r="U920" s="1185"/>
      <c r="V920" s="1185"/>
      <c r="W920" s="1185"/>
      <c r="X920" s="1185"/>
      <c r="Y920" s="1185"/>
      <c r="Z920" s="1185"/>
      <c r="AA920" s="1185"/>
      <c r="AB920" s="1185"/>
      <c r="AC920" s="1185"/>
      <c r="AD920" s="1185"/>
      <c r="AE920" s="1185"/>
      <c r="AF920" s="1185"/>
      <c r="AG920" s="1185"/>
      <c r="AH920" s="1185"/>
      <c r="AI920" s="1185"/>
    </row>
    <row r="921" spans="1:35">
      <c r="A921" s="1218" t="s">
        <v>700</v>
      </c>
      <c r="B921" s="1219"/>
      <c r="C921" s="1219"/>
      <c r="D921" s="1203"/>
      <c r="E921" s="1203"/>
      <c r="F921" s="1219"/>
      <c r="G921" s="1203"/>
      <c r="H921" s="1219"/>
      <c r="I921" s="1219"/>
      <c r="J921" s="1203"/>
      <c r="K921" s="1219"/>
      <c r="L921" s="1219"/>
      <c r="N921" s="1185"/>
      <c r="O921" s="1185"/>
      <c r="P921" s="1186"/>
      <c r="Q921" s="1186"/>
      <c r="R921" s="1186"/>
      <c r="S921" s="1185"/>
      <c r="T921" s="1185"/>
      <c r="U921" s="1185"/>
      <c r="V921" s="1185"/>
      <c r="W921" s="1185"/>
      <c r="X921" s="1185"/>
      <c r="Y921" s="1185"/>
      <c r="Z921" s="1185"/>
      <c r="AA921" s="1185"/>
      <c r="AB921" s="1185"/>
      <c r="AC921" s="1185"/>
      <c r="AD921" s="1185"/>
      <c r="AE921" s="1185"/>
      <c r="AF921" s="1185"/>
      <c r="AG921" s="1185"/>
      <c r="AH921" s="1185"/>
      <c r="AI921" s="1185"/>
    </row>
    <row r="922" spans="1:35">
      <c r="A922" s="1009"/>
      <c r="B922" s="1219"/>
      <c r="C922" s="1219"/>
      <c r="D922" s="1203"/>
      <c r="E922" s="1203"/>
      <c r="F922" s="1219"/>
      <c r="G922" s="1203"/>
      <c r="H922" s="1219"/>
      <c r="I922" s="1219"/>
      <c r="J922" s="1203"/>
      <c r="K922" s="1219"/>
      <c r="L922" s="1219"/>
      <c r="N922" s="1185"/>
      <c r="O922" s="1185"/>
      <c r="P922" s="1186"/>
      <c r="Q922" s="1186"/>
      <c r="R922" s="1186"/>
      <c r="S922" s="1185"/>
      <c r="T922" s="1185"/>
      <c r="U922" s="1185"/>
      <c r="V922" s="1185"/>
      <c r="W922" s="1185"/>
      <c r="X922" s="1185"/>
      <c r="Y922" s="1185"/>
      <c r="Z922" s="1185"/>
      <c r="AA922" s="1185"/>
      <c r="AB922" s="1185"/>
      <c r="AC922" s="1185"/>
      <c r="AD922" s="1185"/>
      <c r="AE922" s="1185"/>
      <c r="AF922" s="1185"/>
      <c r="AG922" s="1185"/>
      <c r="AH922" s="1185"/>
      <c r="AI922" s="1185"/>
    </row>
    <row r="923" spans="1:35">
      <c r="A923" s="1009" t="s">
        <v>393</v>
      </c>
      <c r="B923" s="1219"/>
      <c r="C923" s="1026"/>
      <c r="D923" s="1203"/>
      <c r="E923" s="1203"/>
      <c r="F923" s="1219"/>
      <c r="G923" s="1203"/>
      <c r="H923" s="1219"/>
      <c r="I923" s="1219"/>
      <c r="J923" s="1203"/>
      <c r="K923" s="1219"/>
      <c r="L923" s="1219"/>
      <c r="N923" s="1185"/>
      <c r="O923" s="1185"/>
      <c r="P923" s="1186"/>
      <c r="Q923" s="1186"/>
      <c r="R923" s="1186"/>
      <c r="S923" s="1185"/>
      <c r="T923" s="1185"/>
      <c r="U923" s="1185"/>
      <c r="V923" s="1185"/>
      <c r="W923" s="1185"/>
      <c r="X923" s="1185"/>
      <c r="Y923" s="1185"/>
      <c r="Z923" s="1185"/>
      <c r="AA923" s="1185"/>
      <c r="AB923" s="1185"/>
      <c r="AC923" s="1185"/>
      <c r="AD923" s="1185"/>
      <c r="AE923" s="1185"/>
      <c r="AF923" s="1185"/>
      <c r="AG923" s="1185"/>
      <c r="AH923" s="1185"/>
      <c r="AI923" s="1185"/>
    </row>
    <row r="924" spans="1:35">
      <c r="A924" s="1009" t="s">
        <v>471</v>
      </c>
      <c r="B924" s="1219"/>
      <c r="C924" s="1026">
        <f t="shared" ref="C924:C929" si="106">C890+C837</f>
        <v>314</v>
      </c>
      <c r="D924" s="1261"/>
      <c r="E924" s="1261"/>
      <c r="F924" s="1203">
        <f>F890+F837</f>
        <v>384510</v>
      </c>
      <c r="G924" s="1261"/>
      <c r="H924" s="1041"/>
      <c r="I924" s="1203">
        <f>I890+I837</f>
        <v>438504</v>
      </c>
      <c r="J924" s="1261"/>
      <c r="K924" s="1041"/>
      <c r="L924" s="1203">
        <f>L890+L837</f>
        <v>438504</v>
      </c>
      <c r="N924" s="1185"/>
      <c r="O924" s="1185"/>
      <c r="P924" s="1186"/>
      <c r="Q924" s="1186"/>
      <c r="R924" s="1186"/>
      <c r="S924" s="1185"/>
      <c r="T924" s="1185"/>
      <c r="U924" s="1185"/>
      <c r="V924" s="1185"/>
      <c r="W924" s="1185"/>
      <c r="X924" s="1185"/>
      <c r="Y924" s="1185"/>
      <c r="Z924" s="1185"/>
      <c r="AA924" s="1185"/>
      <c r="AB924" s="1185"/>
      <c r="AC924" s="1185"/>
      <c r="AD924" s="1185"/>
      <c r="AE924" s="1185"/>
      <c r="AF924" s="1185"/>
      <c r="AG924" s="1185"/>
      <c r="AH924" s="1185"/>
      <c r="AI924" s="1185"/>
    </row>
    <row r="925" spans="1:35">
      <c r="A925" s="1009" t="s">
        <v>472</v>
      </c>
      <c r="B925" s="1219"/>
      <c r="C925" s="1026">
        <f t="shared" si="106"/>
        <v>0</v>
      </c>
      <c r="D925" s="1261"/>
      <c r="E925" s="1261"/>
      <c r="F925" s="1203">
        <f>F891+F838</f>
        <v>0</v>
      </c>
      <c r="G925" s="1261"/>
      <c r="H925" s="1249"/>
      <c r="I925" s="1203">
        <f>I891+I838</f>
        <v>0</v>
      </c>
      <c r="J925" s="1261"/>
      <c r="K925" s="1249"/>
      <c r="L925" s="1203">
        <f>L891+L838</f>
        <v>0</v>
      </c>
      <c r="N925" s="1185"/>
      <c r="O925" s="1185"/>
      <c r="P925" s="1186"/>
      <c r="Q925" s="1186"/>
      <c r="R925" s="1186"/>
      <c r="S925" s="1185"/>
      <c r="T925" s="1185"/>
      <c r="U925" s="1185"/>
      <c r="V925" s="1185"/>
      <c r="W925" s="1185"/>
      <c r="X925" s="1185"/>
      <c r="Y925" s="1185"/>
      <c r="Z925" s="1185"/>
      <c r="AA925" s="1185"/>
      <c r="AB925" s="1185"/>
      <c r="AC925" s="1185"/>
      <c r="AD925" s="1185"/>
      <c r="AE925" s="1185"/>
      <c r="AF925" s="1185"/>
      <c r="AG925" s="1185"/>
      <c r="AH925" s="1185"/>
      <c r="AI925" s="1185"/>
    </row>
    <row r="926" spans="1:35">
      <c r="A926" s="1009" t="s">
        <v>394</v>
      </c>
      <c r="B926" s="1219"/>
      <c r="C926" s="1026">
        <f t="shared" si="106"/>
        <v>314</v>
      </c>
      <c r="D926" s="1261"/>
      <c r="E926" s="1261"/>
      <c r="F926" s="1203" t="s">
        <v>31</v>
      </c>
      <c r="G926" s="1261"/>
      <c r="H926" s="1041"/>
      <c r="I926" s="1203" t="s">
        <v>31</v>
      </c>
      <c r="J926" s="1261"/>
      <c r="K926" s="1041"/>
      <c r="L926" s="1203" t="s">
        <v>31</v>
      </c>
      <c r="N926" s="1185"/>
      <c r="O926" s="1185"/>
      <c r="P926" s="1186"/>
      <c r="Q926" s="1186"/>
      <c r="R926" s="1186"/>
      <c r="S926" s="1185"/>
      <c r="T926" s="1185"/>
      <c r="U926" s="1185"/>
      <c r="V926" s="1185"/>
      <c r="W926" s="1185"/>
      <c r="X926" s="1185"/>
      <c r="Y926" s="1185"/>
      <c r="Z926" s="1185"/>
      <c r="AA926" s="1185"/>
      <c r="AB926" s="1185"/>
      <c r="AC926" s="1185"/>
      <c r="AD926" s="1185"/>
      <c r="AE926" s="1185"/>
      <c r="AF926" s="1185"/>
      <c r="AG926" s="1185"/>
      <c r="AH926" s="1185"/>
      <c r="AI926" s="1185"/>
    </row>
    <row r="927" spans="1:35">
      <c r="A927" s="1009" t="s">
        <v>473</v>
      </c>
      <c r="B927" s="1219"/>
      <c r="C927" s="1026">
        <f t="shared" si="106"/>
        <v>428746</v>
      </c>
      <c r="D927" s="1261"/>
      <c r="E927" s="1261"/>
      <c r="F927" s="1203">
        <f>F893+F840</f>
        <v>311497</v>
      </c>
      <c r="G927" s="1261"/>
      <c r="H927" s="1041"/>
      <c r="I927" s="1203">
        <f>I893+I840</f>
        <v>360932</v>
      </c>
      <c r="J927" s="1261"/>
      <c r="K927" s="1041"/>
      <c r="L927" s="1203">
        <f>L893+L840</f>
        <v>360932</v>
      </c>
      <c r="N927" s="1185"/>
      <c r="O927" s="1185"/>
      <c r="P927" s="1186"/>
      <c r="Q927" s="1186"/>
      <c r="R927" s="1186"/>
      <c r="S927" s="1185"/>
      <c r="T927" s="1185"/>
      <c r="U927" s="1185"/>
      <c r="V927" s="1185"/>
      <c r="W927" s="1185"/>
      <c r="X927" s="1185"/>
      <c r="Y927" s="1185"/>
      <c r="Z927" s="1185"/>
      <c r="AA927" s="1185"/>
      <c r="AB927" s="1185"/>
      <c r="AC927" s="1185"/>
      <c r="AD927" s="1185"/>
      <c r="AE927" s="1185"/>
      <c r="AF927" s="1185"/>
      <c r="AG927" s="1185"/>
      <c r="AH927" s="1185"/>
      <c r="AI927" s="1185"/>
    </row>
    <row r="928" spans="1:35">
      <c r="A928" s="1009" t="s">
        <v>474</v>
      </c>
      <c r="B928" s="1219"/>
      <c r="C928" s="1026">
        <f t="shared" si="106"/>
        <v>0</v>
      </c>
      <c r="D928" s="1261"/>
      <c r="E928" s="1261"/>
      <c r="F928" s="1203">
        <f>F894+F841</f>
        <v>0</v>
      </c>
      <c r="G928" s="1261"/>
      <c r="H928" s="1041"/>
      <c r="I928" s="1203">
        <f>I894+I841</f>
        <v>0</v>
      </c>
      <c r="J928" s="1261"/>
      <c r="K928" s="1041"/>
      <c r="L928" s="1203">
        <f>L894+L841</f>
        <v>0</v>
      </c>
      <c r="N928" s="1185"/>
      <c r="O928" s="1185"/>
      <c r="P928" s="1186"/>
      <c r="Q928" s="1186"/>
      <c r="R928" s="1186"/>
      <c r="S928" s="1185"/>
      <c r="T928" s="1185"/>
      <c r="U928" s="1185"/>
      <c r="V928" s="1185"/>
      <c r="W928" s="1185"/>
      <c r="X928" s="1185"/>
      <c r="Y928" s="1185"/>
      <c r="Z928" s="1185"/>
      <c r="AA928" s="1185"/>
      <c r="AB928" s="1185"/>
      <c r="AC928" s="1185"/>
      <c r="AD928" s="1185"/>
      <c r="AE928" s="1185"/>
      <c r="AF928" s="1185"/>
      <c r="AG928" s="1185"/>
      <c r="AH928" s="1185"/>
      <c r="AI928" s="1185"/>
    </row>
    <row r="929" spans="1:35">
      <c r="A929" s="1218" t="s">
        <v>403</v>
      </c>
      <c r="B929" s="1219"/>
      <c r="C929" s="1026">
        <f t="shared" si="106"/>
        <v>322387</v>
      </c>
      <c r="D929" s="1261"/>
      <c r="E929" s="1261"/>
      <c r="F929" s="1203">
        <f>F895+F842</f>
        <v>1991192</v>
      </c>
      <c r="G929" s="1261"/>
      <c r="H929" s="1041"/>
      <c r="I929" s="1203">
        <f>I895+I842</f>
        <v>2277125</v>
      </c>
      <c r="J929" s="1261"/>
      <c r="K929" s="1041"/>
      <c r="L929" s="1203">
        <f>L895+L842</f>
        <v>2412941</v>
      </c>
      <c r="N929" s="1185"/>
      <c r="O929" s="1185"/>
      <c r="P929" s="1186"/>
      <c r="Q929" s="1186"/>
      <c r="R929" s="1186"/>
      <c r="S929" s="1185"/>
      <c r="T929" s="1185"/>
      <c r="U929" s="1185"/>
      <c r="V929" s="1185"/>
      <c r="W929" s="1185"/>
      <c r="X929" s="1185"/>
      <c r="Y929" s="1185"/>
      <c r="Z929" s="1185"/>
      <c r="AA929" s="1185"/>
      <c r="AB929" s="1185"/>
      <c r="AC929" s="1185"/>
      <c r="AD929" s="1185"/>
      <c r="AE929" s="1185"/>
      <c r="AF929" s="1185"/>
      <c r="AG929" s="1185"/>
      <c r="AH929" s="1185"/>
      <c r="AI929" s="1185"/>
    </row>
    <row r="930" spans="1:35">
      <c r="A930" s="1009" t="s">
        <v>426</v>
      </c>
      <c r="B930" s="1219"/>
      <c r="C930" s="1026"/>
      <c r="D930" s="1261"/>
      <c r="E930" s="1261"/>
      <c r="F930" s="1203"/>
      <c r="G930" s="1261"/>
      <c r="H930" s="1041"/>
      <c r="I930" s="1203"/>
      <c r="J930" s="1261"/>
      <c r="K930" s="1041"/>
      <c r="L930" s="1203"/>
      <c r="N930" s="1185"/>
      <c r="O930" s="1185"/>
      <c r="P930" s="1186"/>
      <c r="Q930" s="1186"/>
      <c r="R930" s="1186"/>
      <c r="S930" s="1185"/>
      <c r="T930" s="1185"/>
      <c r="U930" s="1185"/>
      <c r="V930" s="1185"/>
      <c r="W930" s="1185"/>
      <c r="X930" s="1185"/>
      <c r="Y930" s="1185"/>
      <c r="Z930" s="1185"/>
      <c r="AA930" s="1185"/>
      <c r="AB930" s="1185"/>
      <c r="AC930" s="1185"/>
      <c r="AD930" s="1185"/>
      <c r="AE930" s="1185"/>
      <c r="AF930" s="1185"/>
      <c r="AG930" s="1185"/>
      <c r="AH930" s="1185"/>
      <c r="AI930" s="1185"/>
    </row>
    <row r="931" spans="1:35">
      <c r="A931" s="1009" t="s">
        <v>464</v>
      </c>
      <c r="B931" s="1219"/>
      <c r="C931" s="1026">
        <f>C897+C844</f>
        <v>142287441</v>
      </c>
      <c r="D931" s="1323"/>
      <c r="E931" s="1201" t="s">
        <v>31</v>
      </c>
      <c r="F931" s="1203">
        <f>F897+F844</f>
        <v>5260208</v>
      </c>
      <c r="G931" s="1323"/>
      <c r="H931" s="1041"/>
      <c r="I931" s="1203">
        <f>I897+I844</f>
        <v>6009718</v>
      </c>
      <c r="J931" s="1323"/>
      <c r="K931" s="1041"/>
      <c r="L931" s="1203">
        <f>L897+L844</f>
        <v>6390460</v>
      </c>
      <c r="N931" s="1185"/>
      <c r="O931" s="1185"/>
      <c r="P931" s="1186"/>
      <c r="Q931" s="1186"/>
      <c r="R931" s="1186"/>
      <c r="S931" s="1185"/>
      <c r="T931" s="1185"/>
      <c r="U931" s="1185"/>
      <c r="V931" s="1185"/>
      <c r="W931" s="1185"/>
      <c r="X931" s="1185"/>
      <c r="Y931" s="1185"/>
      <c r="Z931" s="1185"/>
      <c r="AA931" s="1185"/>
      <c r="AB931" s="1185"/>
      <c r="AC931" s="1185"/>
      <c r="AD931" s="1185"/>
      <c r="AE931" s="1185"/>
      <c r="AF931" s="1185"/>
      <c r="AG931" s="1185"/>
      <c r="AH931" s="1185"/>
      <c r="AI931" s="1185"/>
    </row>
    <row r="932" spans="1:35">
      <c r="A932" s="1009" t="s">
        <v>400</v>
      </c>
      <c r="B932" s="1219"/>
      <c r="C932" s="1026">
        <f>C898+C845</f>
        <v>37242</v>
      </c>
      <c r="D932" s="1261"/>
      <c r="E932" s="1041"/>
      <c r="F932" s="1203">
        <f>F898+F845</f>
        <v>17751</v>
      </c>
      <c r="G932" s="1261"/>
      <c r="H932" s="1041"/>
      <c r="I932" s="1203">
        <f>I898+I845</f>
        <v>20358</v>
      </c>
      <c r="J932" s="1261"/>
      <c r="K932" s="1041"/>
      <c r="L932" s="1203">
        <f>L898+L845</f>
        <v>20358</v>
      </c>
      <c r="N932" s="1185"/>
      <c r="O932" s="1185"/>
      <c r="P932" s="1186"/>
      <c r="Q932" s="1186"/>
      <c r="R932" s="1186"/>
      <c r="S932" s="1185"/>
      <c r="T932" s="1185"/>
      <c r="U932" s="1185"/>
      <c r="V932" s="1185"/>
      <c r="W932" s="1185"/>
      <c r="X932" s="1185"/>
      <c r="Y932" s="1185"/>
      <c r="Z932" s="1185"/>
      <c r="AA932" s="1185"/>
      <c r="AB932" s="1185"/>
      <c r="AC932" s="1185"/>
      <c r="AD932" s="1185"/>
      <c r="AE932" s="1185"/>
      <c r="AF932" s="1185"/>
      <c r="AG932" s="1185"/>
      <c r="AH932" s="1185"/>
      <c r="AI932" s="1185"/>
    </row>
    <row r="933" spans="1:35">
      <c r="A933" s="1219" t="s">
        <v>381</v>
      </c>
      <c r="B933" s="1219"/>
      <c r="C933" s="1026">
        <f>C899+C846</f>
        <v>142287441</v>
      </c>
      <c r="D933" s="1255"/>
      <c r="E933" s="1203"/>
      <c r="F933" s="1203">
        <f>F899+F846</f>
        <v>7965158</v>
      </c>
      <c r="G933" s="1255"/>
      <c r="H933" s="1219"/>
      <c r="I933" s="1203">
        <f>I899+I846</f>
        <v>9106637</v>
      </c>
      <c r="J933" s="1255"/>
      <c r="K933" s="1219"/>
      <c r="L933" s="1203">
        <f>L899+L846</f>
        <v>9623195</v>
      </c>
      <c r="N933" s="1185"/>
      <c r="O933" s="1185"/>
      <c r="P933" s="1186"/>
      <c r="Q933" s="1186"/>
      <c r="R933" s="1186"/>
      <c r="S933" s="1185"/>
      <c r="T933" s="1185"/>
      <c r="U933" s="1185"/>
      <c r="V933" s="1185"/>
      <c r="W933" s="1185"/>
      <c r="X933" s="1185"/>
      <c r="Y933" s="1185"/>
      <c r="Z933" s="1185"/>
      <c r="AA933" s="1185"/>
      <c r="AB933" s="1185"/>
      <c r="AC933" s="1185"/>
      <c r="AD933" s="1185"/>
      <c r="AE933" s="1185"/>
      <c r="AF933" s="1185"/>
      <c r="AG933" s="1185"/>
      <c r="AH933" s="1185"/>
      <c r="AI933" s="1185"/>
    </row>
    <row r="934" spans="1:35">
      <c r="A934" s="1219" t="s">
        <v>363</v>
      </c>
      <c r="B934" s="1219"/>
      <c r="C934" s="1028">
        <f>'[97]Table 2'!H49</f>
        <v>-366841.9413010361</v>
      </c>
      <c r="D934" s="1218"/>
      <c r="E934" s="1218"/>
      <c r="F934" s="1324" t="e">
        <f>#REF!</f>
        <v>#REF!</v>
      </c>
      <c r="G934" s="1218"/>
      <c r="H934" s="1218"/>
      <c r="I934" s="1324">
        <f>I900+I847</f>
        <v>-23478.505005960742</v>
      </c>
      <c r="J934" s="1218"/>
      <c r="K934" s="1218"/>
      <c r="L934" s="1324">
        <f>I934</f>
        <v>-23478.505005960742</v>
      </c>
      <c r="N934" s="444"/>
      <c r="O934" s="444"/>
      <c r="P934" s="287"/>
      <c r="Q934" s="1186"/>
      <c r="R934" s="1186"/>
      <c r="S934" s="1185"/>
      <c r="T934" s="1185"/>
      <c r="U934" s="1185"/>
      <c r="V934" s="1185"/>
      <c r="W934" s="1185"/>
      <c r="X934" s="1185"/>
      <c r="Y934" s="1185"/>
      <c r="Z934" s="1185"/>
      <c r="AA934" s="1185"/>
      <c r="AB934" s="1185"/>
      <c r="AC934" s="1185"/>
      <c r="AD934" s="1185"/>
      <c r="AE934" s="1185"/>
      <c r="AF934" s="1185"/>
      <c r="AG934" s="1185"/>
      <c r="AH934" s="1185"/>
      <c r="AI934" s="1185"/>
    </row>
    <row r="935" spans="1:35" ht="16.5" thickBot="1">
      <c r="A935" s="1219" t="s">
        <v>382</v>
      </c>
      <c r="B935" s="1219"/>
      <c r="C935" s="1331">
        <f>C933+C934</f>
        <v>141920599.05869895</v>
      </c>
      <c r="D935" s="1265"/>
      <c r="E935" s="1266"/>
      <c r="F935" s="1332" t="e">
        <f>F933+F934</f>
        <v>#REF!</v>
      </c>
      <c r="G935" s="1265"/>
      <c r="H935" s="1269"/>
      <c r="I935" s="1332">
        <f>I933+I934</f>
        <v>9083158.4949940387</v>
      </c>
      <c r="J935" s="1265"/>
      <c r="K935" s="1269"/>
      <c r="L935" s="1332">
        <f>L933+L934</f>
        <v>9599716.4949940387</v>
      </c>
      <c r="N935" s="411"/>
      <c r="O935" s="411"/>
      <c r="P935" s="470"/>
      <c r="Q935" s="1186"/>
      <c r="R935" s="1186"/>
      <c r="S935" s="1185"/>
      <c r="T935" s="1185"/>
      <c r="U935" s="1185"/>
      <c r="V935" s="1185"/>
      <c r="W935" s="1185"/>
      <c r="X935" s="1185"/>
      <c r="Y935" s="1185"/>
      <c r="Z935" s="1185"/>
      <c r="AA935" s="1185"/>
      <c r="AB935" s="1185"/>
      <c r="AC935" s="1185"/>
      <c r="AD935" s="1185"/>
      <c r="AE935" s="1185"/>
      <c r="AF935" s="1185"/>
      <c r="AG935" s="1185"/>
      <c r="AH935" s="1185"/>
      <c r="AI935" s="1185"/>
    </row>
    <row r="936" spans="1:35" ht="16.5" thickTop="1">
      <c r="A936" s="1219"/>
      <c r="B936" s="1219"/>
      <c r="C936" s="1225"/>
      <c r="D936" s="1261"/>
      <c r="E936" s="1203"/>
      <c r="F936" s="1203"/>
      <c r="G936" s="1261" t="s">
        <v>31</v>
      </c>
      <c r="H936" s="1219"/>
      <c r="I936" s="1203"/>
      <c r="J936" s="1259" t="s">
        <v>31</v>
      </c>
      <c r="K936" s="1219"/>
      <c r="L936" s="1203" t="s">
        <v>31</v>
      </c>
      <c r="N936" s="1185"/>
      <c r="O936" s="1185"/>
      <c r="P936" s="1186"/>
      <c r="Q936" s="1186"/>
      <c r="R936" s="1186"/>
      <c r="S936" s="1185"/>
      <c r="T936" s="1185"/>
      <c r="U936" s="1185"/>
      <c r="V936" s="1185"/>
      <c r="W936" s="1185"/>
      <c r="X936" s="1185"/>
      <c r="Y936" s="1185"/>
      <c r="Z936" s="1185"/>
      <c r="AA936" s="1185"/>
      <c r="AB936" s="1185"/>
      <c r="AC936" s="1185"/>
      <c r="AD936" s="1185"/>
      <c r="AE936" s="1185"/>
      <c r="AF936" s="1185"/>
      <c r="AG936" s="1185"/>
      <c r="AH936" s="1185"/>
      <c r="AI936" s="1185"/>
    </row>
    <row r="937" spans="1:35">
      <c r="A937" s="1219"/>
      <c r="B937" s="1219"/>
      <c r="C937" s="1225"/>
      <c r="D937" s="1261"/>
      <c r="E937" s="1203"/>
      <c r="F937" s="1203"/>
      <c r="G937" s="1261"/>
      <c r="H937" s="1219"/>
      <c r="I937" s="1203"/>
      <c r="J937" s="1261"/>
      <c r="K937" s="1219"/>
      <c r="L937" s="1303"/>
      <c r="N937" s="1185"/>
      <c r="O937" s="1185"/>
      <c r="P937" s="1186"/>
      <c r="Q937" s="1186"/>
      <c r="R937" s="1186"/>
      <c r="S937" s="1185"/>
      <c r="T937" s="1185"/>
      <c r="U937" s="1185"/>
      <c r="V937" s="1185"/>
      <c r="W937" s="1185"/>
      <c r="X937" s="1185"/>
      <c r="Y937" s="1185"/>
      <c r="Z937" s="1185"/>
      <c r="AA937" s="1185"/>
      <c r="AB937" s="1185"/>
      <c r="AC937" s="1185"/>
      <c r="AD937" s="1185"/>
      <c r="AE937" s="1185"/>
      <c r="AF937" s="1185"/>
      <c r="AG937" s="1185"/>
      <c r="AH937" s="1185"/>
      <c r="AI937" s="1185"/>
    </row>
    <row r="938" spans="1:35">
      <c r="A938" s="1224" t="s">
        <v>476</v>
      </c>
      <c r="B938" s="1219"/>
      <c r="C938" s="1219"/>
      <c r="D938" s="1203"/>
      <c r="E938" s="1203"/>
      <c r="F938" s="1219"/>
      <c r="G938" s="1203"/>
      <c r="H938" s="1219"/>
      <c r="I938" s="1219"/>
      <c r="J938" s="1203"/>
      <c r="K938" s="1219"/>
      <c r="L938" s="1219"/>
      <c r="N938" s="1185"/>
      <c r="O938" s="1185"/>
      <c r="P938" s="1186"/>
      <c r="Q938" s="1186"/>
      <c r="R938" s="1186"/>
      <c r="S938" s="1185"/>
      <c r="T938" s="1185"/>
      <c r="U938" s="1185"/>
      <c r="V938" s="1185"/>
      <c r="W938" s="1185"/>
      <c r="X938" s="1185"/>
      <c r="Y938" s="1185"/>
      <c r="Z938" s="1185"/>
      <c r="AA938" s="1185"/>
      <c r="AB938" s="1185"/>
      <c r="AC938" s="1185"/>
      <c r="AD938" s="1185"/>
      <c r="AE938" s="1185"/>
      <c r="AF938" s="1185"/>
      <c r="AG938" s="1185"/>
      <c r="AH938" s="1185"/>
      <c r="AI938" s="1185"/>
    </row>
    <row r="939" spans="1:35">
      <c r="A939" s="1218" t="s">
        <v>701</v>
      </c>
      <c r="B939" s="1219"/>
      <c r="C939" s="1219"/>
      <c r="D939" s="1203"/>
      <c r="E939" s="1203"/>
      <c r="F939" s="1219"/>
      <c r="G939" s="1203"/>
      <c r="H939" s="1219"/>
      <c r="I939" s="1219"/>
      <c r="J939" s="1203"/>
      <c r="K939" s="1219"/>
      <c r="L939" s="1219"/>
      <c r="N939" s="1185"/>
      <c r="O939" s="1185"/>
      <c r="P939" s="1186"/>
      <c r="Q939" s="1186"/>
      <c r="R939" s="1186"/>
      <c r="S939" s="1185"/>
      <c r="T939" s="1185"/>
      <c r="U939" s="1185"/>
      <c r="V939" s="1185"/>
      <c r="W939" s="1185"/>
      <c r="X939" s="1185"/>
      <c r="Y939" s="1185"/>
      <c r="Z939" s="1185"/>
      <c r="AA939" s="1185"/>
      <c r="AB939" s="1185"/>
      <c r="AC939" s="1185"/>
      <c r="AD939" s="1185"/>
      <c r="AE939" s="1185"/>
      <c r="AF939" s="1185"/>
      <c r="AG939" s="1185"/>
      <c r="AH939" s="1185"/>
      <c r="AI939" s="1185"/>
    </row>
    <row r="940" spans="1:35">
      <c r="A940" s="1009"/>
      <c r="B940" s="1219"/>
      <c r="C940" s="1219"/>
      <c r="D940" s="1203"/>
      <c r="E940" s="1203"/>
      <c r="F940" s="1219"/>
      <c r="G940" s="1203"/>
      <c r="H940" s="1219"/>
      <c r="I940" s="1219"/>
      <c r="J940" s="1203"/>
      <c r="K940" s="1219"/>
      <c r="L940" s="1219"/>
      <c r="N940" s="1185"/>
      <c r="O940" s="1185"/>
      <c r="P940" s="1186"/>
      <c r="Q940" s="1186"/>
      <c r="R940" s="1186"/>
      <c r="S940" s="1185"/>
      <c r="T940" s="1185"/>
      <c r="U940" s="1185"/>
      <c r="V940" s="1185"/>
      <c r="W940" s="1185"/>
      <c r="X940" s="1185"/>
      <c r="Y940" s="1185"/>
      <c r="Z940" s="1185"/>
      <c r="AA940" s="1185"/>
      <c r="AB940" s="1185"/>
      <c r="AC940" s="1185"/>
      <c r="AD940" s="1185"/>
      <c r="AE940" s="1185"/>
      <c r="AF940" s="1185"/>
      <c r="AG940" s="1185"/>
      <c r="AH940" s="1185"/>
      <c r="AI940" s="1185"/>
    </row>
    <row r="941" spans="1:35">
      <c r="A941" s="1009" t="s">
        <v>393</v>
      </c>
      <c r="B941" s="1219"/>
      <c r="C941" s="1026"/>
      <c r="D941" s="1203"/>
      <c r="E941" s="1203"/>
      <c r="F941" s="1219"/>
      <c r="G941" s="1203"/>
      <c r="H941" s="1219"/>
      <c r="I941" s="1219"/>
      <c r="J941" s="1203"/>
      <c r="K941" s="1219"/>
      <c r="L941" s="1219"/>
      <c r="N941" s="1185"/>
      <c r="O941" s="1185"/>
      <c r="P941" s="1186"/>
      <c r="Q941" s="1186"/>
      <c r="R941" s="1186"/>
      <c r="S941" s="1185"/>
      <c r="T941" s="1185"/>
      <c r="U941" s="1185"/>
      <c r="V941" s="1185"/>
      <c r="W941" s="1185"/>
      <c r="X941" s="1185"/>
      <c r="Y941" s="1185"/>
      <c r="Z941" s="1185"/>
      <c r="AA941" s="1185"/>
      <c r="AB941" s="1185"/>
      <c r="AC941" s="1185"/>
      <c r="AD941" s="1185"/>
      <c r="AE941" s="1185"/>
      <c r="AF941" s="1185"/>
      <c r="AG941" s="1185"/>
      <c r="AH941" s="1185"/>
      <c r="AI941" s="1185"/>
    </row>
    <row r="942" spans="1:35">
      <c r="A942" s="1009" t="s">
        <v>471</v>
      </c>
      <c r="B942" s="1219"/>
      <c r="C942" s="1026">
        <f t="shared" ref="C942:C947" si="107">C907+C854</f>
        <v>381</v>
      </c>
      <c r="D942" s="1261"/>
      <c r="E942" s="1261"/>
      <c r="F942" s="1203">
        <f>F907+F854</f>
        <v>463845</v>
      </c>
      <c r="G942" s="1261"/>
      <c r="H942" s="1041"/>
      <c r="I942" s="1203">
        <f>I907+I854</f>
        <v>529089</v>
      </c>
      <c r="J942" s="1261"/>
      <c r="K942" s="1041"/>
      <c r="L942" s="1203">
        <f>L907+L854</f>
        <v>529089</v>
      </c>
      <c r="N942" s="1185"/>
      <c r="O942" s="1185"/>
      <c r="P942" s="1186"/>
      <c r="Q942" s="1186"/>
      <c r="R942" s="1186"/>
      <c r="S942" s="1185"/>
      <c r="T942" s="1185"/>
      <c r="U942" s="1185"/>
      <c r="V942" s="1185"/>
      <c r="W942" s="1185"/>
      <c r="X942" s="1185"/>
      <c r="Y942" s="1185"/>
      <c r="Z942" s="1185"/>
      <c r="AA942" s="1185"/>
      <c r="AB942" s="1185"/>
      <c r="AC942" s="1185"/>
      <c r="AD942" s="1185"/>
      <c r="AE942" s="1185"/>
      <c r="AF942" s="1185"/>
      <c r="AG942" s="1185"/>
      <c r="AH942" s="1185"/>
      <c r="AI942" s="1185"/>
    </row>
    <row r="943" spans="1:35">
      <c r="A943" s="1009" t="s">
        <v>472</v>
      </c>
      <c r="B943" s="1219"/>
      <c r="C943" s="1026">
        <f t="shared" si="107"/>
        <v>0</v>
      </c>
      <c r="D943" s="1261"/>
      <c r="E943" s="1261"/>
      <c r="F943" s="1203">
        <f>F908+F855</f>
        <v>0</v>
      </c>
      <c r="G943" s="1261"/>
      <c r="H943" s="1249"/>
      <c r="I943" s="1203">
        <f>I908+I855</f>
        <v>0</v>
      </c>
      <c r="J943" s="1261"/>
      <c r="K943" s="1249"/>
      <c r="L943" s="1203">
        <f>L908+L855</f>
        <v>0</v>
      </c>
      <c r="N943" s="1185"/>
      <c r="O943" s="1185"/>
      <c r="P943" s="1186"/>
      <c r="Q943" s="1186"/>
      <c r="R943" s="1186"/>
      <c r="S943" s="1185"/>
      <c r="T943" s="1185"/>
      <c r="U943" s="1185"/>
      <c r="V943" s="1185"/>
      <c r="W943" s="1185"/>
      <c r="X943" s="1185"/>
      <c r="Y943" s="1185"/>
      <c r="Z943" s="1185"/>
      <c r="AA943" s="1185"/>
      <c r="AB943" s="1185"/>
      <c r="AC943" s="1185"/>
      <c r="AD943" s="1185"/>
      <c r="AE943" s="1185"/>
      <c r="AF943" s="1185"/>
      <c r="AG943" s="1185"/>
      <c r="AH943" s="1185"/>
      <c r="AI943" s="1185"/>
    </row>
    <row r="944" spans="1:35">
      <c r="A944" s="1009" t="s">
        <v>394</v>
      </c>
      <c r="B944" s="1219"/>
      <c r="C944" s="1026">
        <f t="shared" si="107"/>
        <v>381</v>
      </c>
      <c r="D944" s="1261"/>
      <c r="E944" s="1261"/>
      <c r="F944" s="1203" t="s">
        <v>31</v>
      </c>
      <c r="G944" s="1261"/>
      <c r="H944" s="1041"/>
      <c r="I944" s="1203" t="s">
        <v>31</v>
      </c>
      <c r="J944" s="1261"/>
      <c r="K944" s="1041"/>
      <c r="L944" s="1203" t="s">
        <v>31</v>
      </c>
      <c r="N944" s="1185"/>
      <c r="O944" s="1185"/>
      <c r="P944" s="1186"/>
      <c r="Q944" s="1186"/>
      <c r="R944" s="1186"/>
      <c r="S944" s="1185"/>
      <c r="T944" s="1185"/>
      <c r="U944" s="1185"/>
      <c r="V944" s="1185"/>
      <c r="W944" s="1185"/>
      <c r="X944" s="1185"/>
      <c r="Y944" s="1185"/>
      <c r="Z944" s="1185"/>
      <c r="AA944" s="1185"/>
      <c r="AB944" s="1185"/>
      <c r="AC944" s="1185"/>
      <c r="AD944" s="1185"/>
      <c r="AE944" s="1185"/>
      <c r="AF944" s="1185"/>
      <c r="AG944" s="1185"/>
      <c r="AH944" s="1185"/>
      <c r="AI944" s="1185"/>
    </row>
    <row r="945" spans="1:35">
      <c r="A945" s="1009" t="s">
        <v>473</v>
      </c>
      <c r="B945" s="1219"/>
      <c r="C945" s="1026">
        <f t="shared" si="107"/>
        <v>564907</v>
      </c>
      <c r="D945" s="1261"/>
      <c r="E945" s="1261"/>
      <c r="F945" s="1203">
        <f>F910+F857</f>
        <v>507778</v>
      </c>
      <c r="G945" s="1261"/>
      <c r="H945" s="1041"/>
      <c r="I945" s="1203">
        <f>I910+I857</f>
        <v>585341</v>
      </c>
      <c r="J945" s="1261"/>
      <c r="K945" s="1041"/>
      <c r="L945" s="1203">
        <f>L910+L857</f>
        <v>585341</v>
      </c>
      <c r="N945" s="1185"/>
      <c r="O945" s="1185"/>
      <c r="P945" s="1186"/>
      <c r="Q945" s="1186"/>
      <c r="R945" s="1186"/>
      <c r="S945" s="1185"/>
      <c r="T945" s="1185"/>
      <c r="U945" s="1185"/>
      <c r="V945" s="1185"/>
      <c r="W945" s="1185"/>
      <c r="X945" s="1185"/>
      <c r="Y945" s="1185"/>
      <c r="Z945" s="1185"/>
      <c r="AA945" s="1185"/>
      <c r="AB945" s="1185"/>
      <c r="AC945" s="1185"/>
      <c r="AD945" s="1185"/>
      <c r="AE945" s="1185"/>
      <c r="AF945" s="1185"/>
      <c r="AG945" s="1185"/>
      <c r="AH945" s="1185"/>
      <c r="AI945" s="1185"/>
    </row>
    <row r="946" spans="1:35">
      <c r="A946" s="1009" t="s">
        <v>474</v>
      </c>
      <c r="B946" s="1219"/>
      <c r="C946" s="1026">
        <f t="shared" si="107"/>
        <v>0</v>
      </c>
      <c r="D946" s="1261"/>
      <c r="E946" s="1261"/>
      <c r="F946" s="1203">
        <f>F911+F858</f>
        <v>0</v>
      </c>
      <c r="G946" s="1261"/>
      <c r="H946" s="1041"/>
      <c r="I946" s="1203">
        <f>I911+I858</f>
        <v>0</v>
      </c>
      <c r="J946" s="1261"/>
      <c r="K946" s="1041"/>
      <c r="L946" s="1203">
        <f>L911+L858</f>
        <v>0</v>
      </c>
      <c r="N946" s="1185"/>
      <c r="O946" s="1185"/>
      <c r="P946" s="1186"/>
      <c r="Q946" s="1186"/>
      <c r="R946" s="1186"/>
      <c r="S946" s="1185"/>
      <c r="T946" s="1185"/>
      <c r="U946" s="1185"/>
      <c r="V946" s="1185"/>
      <c r="W946" s="1185"/>
      <c r="X946" s="1185"/>
      <c r="Y946" s="1185"/>
      <c r="Z946" s="1185"/>
      <c r="AA946" s="1185"/>
      <c r="AB946" s="1185"/>
      <c r="AC946" s="1185"/>
      <c r="AD946" s="1185"/>
      <c r="AE946" s="1185"/>
      <c r="AF946" s="1185"/>
      <c r="AG946" s="1185"/>
      <c r="AH946" s="1185"/>
      <c r="AI946" s="1185"/>
    </row>
    <row r="947" spans="1:35">
      <c r="A947" s="1218" t="s">
        <v>403</v>
      </c>
      <c r="B947" s="1219"/>
      <c r="C947" s="1026">
        <f t="shared" si="107"/>
        <v>492028</v>
      </c>
      <c r="D947" s="1261"/>
      <c r="E947" s="1261"/>
      <c r="F947" s="1203">
        <f>F912+F859</f>
        <v>3057902</v>
      </c>
      <c r="G947" s="1261"/>
      <c r="H947" s="1041"/>
      <c r="I947" s="1203">
        <f>I912+I859</f>
        <v>3499974</v>
      </c>
      <c r="J947" s="1261"/>
      <c r="K947" s="1041"/>
      <c r="L947" s="1203">
        <f>L912+L859</f>
        <v>3711044</v>
      </c>
      <c r="N947" s="1185"/>
      <c r="O947" s="1185"/>
      <c r="P947" s="1186"/>
      <c r="Q947" s="1186"/>
      <c r="R947" s="1186"/>
      <c r="S947" s="1185"/>
      <c r="T947" s="1185"/>
      <c r="U947" s="1185"/>
      <c r="V947" s="1185"/>
      <c r="W947" s="1185"/>
      <c r="X947" s="1185"/>
      <c r="Y947" s="1185"/>
      <c r="Z947" s="1185"/>
      <c r="AA947" s="1185"/>
      <c r="AB947" s="1185"/>
      <c r="AC947" s="1185"/>
      <c r="AD947" s="1185"/>
      <c r="AE947" s="1185"/>
      <c r="AF947" s="1185"/>
      <c r="AG947" s="1185"/>
      <c r="AH947" s="1185"/>
      <c r="AI947" s="1185"/>
    </row>
    <row r="948" spans="1:35">
      <c r="A948" s="1009" t="s">
        <v>426</v>
      </c>
      <c r="B948" s="1219"/>
      <c r="C948" s="1026"/>
      <c r="D948" s="1261"/>
      <c r="E948" s="1261"/>
      <c r="F948" s="1203"/>
      <c r="G948" s="1261"/>
      <c r="H948" s="1041"/>
      <c r="I948" s="1203"/>
      <c r="J948" s="1261"/>
      <c r="K948" s="1041"/>
      <c r="L948" s="1203"/>
      <c r="N948" s="1185"/>
      <c r="O948" s="1185"/>
      <c r="P948" s="1186"/>
      <c r="Q948" s="1186"/>
      <c r="R948" s="1186"/>
      <c r="S948" s="1185"/>
      <c r="T948" s="1185"/>
      <c r="U948" s="1185"/>
      <c r="V948" s="1185"/>
      <c r="W948" s="1185"/>
      <c r="X948" s="1185"/>
      <c r="Y948" s="1185"/>
      <c r="Z948" s="1185"/>
      <c r="AA948" s="1185"/>
      <c r="AB948" s="1185"/>
      <c r="AC948" s="1185"/>
      <c r="AD948" s="1185"/>
      <c r="AE948" s="1185"/>
      <c r="AF948" s="1185"/>
      <c r="AG948" s="1185"/>
      <c r="AH948" s="1185"/>
      <c r="AI948" s="1185"/>
    </row>
    <row r="949" spans="1:35">
      <c r="A949" s="1009" t="s">
        <v>464</v>
      </c>
      <c r="B949" s="1219"/>
      <c r="C949" s="1026">
        <f>C914+C861</f>
        <v>213504952</v>
      </c>
      <c r="D949" s="1323"/>
      <c r="E949" s="1041"/>
      <c r="F949" s="1203">
        <f>F914+F861</f>
        <v>7935775</v>
      </c>
      <c r="G949" s="1323"/>
      <c r="H949" s="1041"/>
      <c r="I949" s="1203">
        <f>I914+I861</f>
        <v>9062945</v>
      </c>
      <c r="J949" s="1323"/>
      <c r="K949" s="1041"/>
      <c r="L949" s="1203">
        <f>L914+L861</f>
        <v>9635092</v>
      </c>
      <c r="N949" s="1185"/>
      <c r="O949" s="1185"/>
      <c r="P949" s="1186"/>
      <c r="Q949" s="1186"/>
      <c r="R949" s="1186"/>
      <c r="S949" s="1185"/>
      <c r="T949" s="1185"/>
      <c r="U949" s="1185"/>
      <c r="V949" s="1185"/>
      <c r="W949" s="1185"/>
      <c r="X949" s="1185"/>
      <c r="Y949" s="1185"/>
      <c r="Z949" s="1185"/>
      <c r="AA949" s="1185"/>
      <c r="AB949" s="1185"/>
      <c r="AC949" s="1185"/>
      <c r="AD949" s="1185"/>
      <c r="AE949" s="1185"/>
      <c r="AF949" s="1185"/>
      <c r="AG949" s="1185"/>
      <c r="AH949" s="1185"/>
      <c r="AI949" s="1185"/>
    </row>
    <row r="950" spans="1:35">
      <c r="A950" s="1009" t="s">
        <v>400</v>
      </c>
      <c r="B950" s="1219"/>
      <c r="C950" s="1026">
        <f>C915+C862</f>
        <v>162756</v>
      </c>
      <c r="D950" s="1261"/>
      <c r="E950" s="1041"/>
      <c r="F950" s="1203">
        <f>F915+F862</f>
        <v>78084</v>
      </c>
      <c r="G950" s="1261"/>
      <c r="H950" s="1041"/>
      <c r="I950" s="1203">
        <f>I915+I862</f>
        <v>89477</v>
      </c>
      <c r="J950" s="1261"/>
      <c r="K950" s="1041"/>
      <c r="L950" s="1203">
        <f>L915+L862</f>
        <v>89477</v>
      </c>
      <c r="N950" s="1185"/>
      <c r="O950" s="1185"/>
      <c r="P950" s="1186"/>
      <c r="Q950" s="1186"/>
      <c r="R950" s="1186"/>
      <c r="S950" s="1185"/>
      <c r="T950" s="1185"/>
      <c r="U950" s="1185"/>
      <c r="V950" s="1185"/>
      <c r="W950" s="1185"/>
      <c r="X950" s="1185"/>
      <c r="Y950" s="1185"/>
      <c r="Z950" s="1185"/>
      <c r="AA950" s="1185"/>
      <c r="AB950" s="1185"/>
      <c r="AC950" s="1185"/>
      <c r="AD950" s="1185"/>
      <c r="AE950" s="1185"/>
      <c r="AF950" s="1185"/>
      <c r="AG950" s="1185"/>
      <c r="AH950" s="1185"/>
      <c r="AI950" s="1185"/>
    </row>
    <row r="951" spans="1:35">
      <c r="A951" s="1219" t="s">
        <v>381</v>
      </c>
      <c r="B951" s="1219"/>
      <c r="C951" s="1018">
        <f>C916+C863</f>
        <v>213504952</v>
      </c>
      <c r="D951" s="1255"/>
      <c r="E951" s="1203"/>
      <c r="F951" s="1244">
        <f>F916+F863</f>
        <v>12043384</v>
      </c>
      <c r="G951" s="1255"/>
      <c r="H951" s="1219"/>
      <c r="I951" s="1244">
        <f>I916+I863</f>
        <v>13766826</v>
      </c>
      <c r="J951" s="1255"/>
      <c r="K951" s="1219"/>
      <c r="L951" s="1244">
        <f>L916+L863</f>
        <v>14550043</v>
      </c>
      <c r="N951" s="1185"/>
      <c r="O951" s="1185"/>
      <c r="P951" s="1186"/>
      <c r="Q951" s="1186"/>
      <c r="R951" s="1186"/>
      <c r="S951" s="1185"/>
      <c r="T951" s="1185"/>
      <c r="U951" s="1185"/>
      <c r="V951" s="1185"/>
      <c r="W951" s="1185"/>
      <c r="X951" s="1185"/>
      <c r="Y951" s="1185"/>
      <c r="Z951" s="1185"/>
      <c r="AA951" s="1185"/>
      <c r="AB951" s="1185"/>
      <c r="AC951" s="1185"/>
      <c r="AD951" s="1185"/>
      <c r="AE951" s="1185"/>
      <c r="AF951" s="1185"/>
      <c r="AG951" s="1185"/>
      <c r="AH951" s="1185"/>
      <c r="AI951" s="1185"/>
    </row>
    <row r="952" spans="1:35">
      <c r="A952" s="1219" t="s">
        <v>363</v>
      </c>
      <c r="B952" s="1219"/>
      <c r="C952" s="1028">
        <f>'[97]Table 2'!H80</f>
        <v>2929218.748509191</v>
      </c>
      <c r="D952" s="1218"/>
      <c r="E952" s="1218"/>
      <c r="F952" s="1324" t="e">
        <f>#REF!</f>
        <v>#REF!</v>
      </c>
      <c r="G952" s="1218"/>
      <c r="H952" s="1218"/>
      <c r="I952" s="1324">
        <f>I864+I917</f>
        <v>188876.39115117007</v>
      </c>
      <c r="J952" s="1218"/>
      <c r="K952" s="1218"/>
      <c r="L952" s="1324">
        <f>I952</f>
        <v>188876.39115117007</v>
      </c>
      <c r="N952" s="444"/>
      <c r="O952" s="444"/>
      <c r="P952" s="287"/>
      <c r="Q952" s="1186"/>
      <c r="R952" s="1186"/>
      <c r="S952" s="1185"/>
      <c r="T952" s="1185"/>
      <c r="U952" s="1185"/>
      <c r="V952" s="1185"/>
      <c r="W952" s="1185"/>
      <c r="X952" s="1185"/>
      <c r="Y952" s="1185"/>
      <c r="Z952" s="1185"/>
      <c r="AA952" s="1185"/>
      <c r="AB952" s="1185"/>
      <c r="AC952" s="1185"/>
      <c r="AD952" s="1185"/>
      <c r="AE952" s="1185"/>
      <c r="AF952" s="1185"/>
      <c r="AG952" s="1185"/>
      <c r="AH952" s="1185"/>
      <c r="AI952" s="1185"/>
    </row>
    <row r="953" spans="1:35" ht="16.5" thickBot="1">
      <c r="A953" s="1219" t="s">
        <v>382</v>
      </c>
      <c r="B953" s="1219"/>
      <c r="C953" s="1331">
        <f>C951+C952</f>
        <v>216434170.7485092</v>
      </c>
      <c r="D953" s="1265"/>
      <c r="E953" s="1266"/>
      <c r="F953" s="1326" t="e">
        <f>F951+F952</f>
        <v>#REF!</v>
      </c>
      <c r="G953" s="1265"/>
      <c r="H953" s="1269"/>
      <c r="I953" s="1326">
        <f>I951+I952</f>
        <v>13955702.391151169</v>
      </c>
      <c r="J953" s="1265"/>
      <c r="K953" s="1269"/>
      <c r="L953" s="1326">
        <f>L951+L952</f>
        <v>14738919.391151169</v>
      </c>
      <c r="N953" s="411"/>
      <c r="O953" s="411"/>
      <c r="P953" s="470"/>
      <c r="Q953" s="1186"/>
      <c r="R953" s="1186"/>
      <c r="S953" s="1185"/>
      <c r="T953" s="1185"/>
      <c r="U953" s="1185"/>
      <c r="V953" s="1185"/>
      <c r="W953" s="1185"/>
      <c r="X953" s="1185"/>
      <c r="Y953" s="1185"/>
      <c r="Z953" s="1185"/>
      <c r="AA953" s="1185"/>
      <c r="AB953" s="1185"/>
      <c r="AC953" s="1185"/>
      <c r="AD953" s="1185"/>
      <c r="AE953" s="1185"/>
      <c r="AF953" s="1185"/>
      <c r="AG953" s="1185"/>
      <c r="AH953" s="1185"/>
      <c r="AI953" s="1185"/>
    </row>
    <row r="954" spans="1:35" ht="16.5" thickTop="1">
      <c r="A954" s="1219"/>
      <c r="B954" s="1219"/>
      <c r="C954" s="1225"/>
      <c r="D954" s="1261"/>
      <c r="E954" s="1203"/>
      <c r="F954" s="1203"/>
      <c r="G954" s="1261" t="s">
        <v>31</v>
      </c>
      <c r="H954" s="1219"/>
      <c r="I954" s="1203"/>
      <c r="J954" s="1259" t="s">
        <v>31</v>
      </c>
      <c r="K954" s="1219"/>
      <c r="L954" s="1203" t="s">
        <v>31</v>
      </c>
      <c r="N954" s="1185"/>
      <c r="O954" s="1185"/>
      <c r="P954" s="1186"/>
      <c r="Q954" s="1186"/>
      <c r="R954" s="1186"/>
      <c r="S954" s="1185"/>
      <c r="T954" s="1185"/>
      <c r="U954" s="1185"/>
      <c r="V954" s="1185"/>
      <c r="W954" s="1185"/>
      <c r="X954" s="1185"/>
      <c r="Y954" s="1185"/>
      <c r="Z954" s="1185"/>
      <c r="AA954" s="1185"/>
      <c r="AB954" s="1185"/>
      <c r="AC954" s="1185"/>
      <c r="AD954" s="1185"/>
      <c r="AE954" s="1185"/>
      <c r="AF954" s="1185"/>
      <c r="AG954" s="1185"/>
      <c r="AH954" s="1185"/>
      <c r="AI954" s="1185"/>
    </row>
    <row r="955" spans="1:35">
      <c r="A955" s="1224" t="s">
        <v>476</v>
      </c>
      <c r="B955" s="1219"/>
      <c r="C955" s="1219"/>
      <c r="D955" s="1203"/>
      <c r="E955" s="1203"/>
      <c r="F955" s="1219"/>
      <c r="G955" s="1203"/>
      <c r="H955" s="1219"/>
      <c r="I955" s="1219"/>
      <c r="J955" s="1203"/>
      <c r="K955" s="1219"/>
      <c r="L955" s="1219"/>
      <c r="N955" s="1185"/>
      <c r="O955" s="1185"/>
      <c r="P955" s="1186"/>
      <c r="Q955" s="1186"/>
      <c r="R955" s="1186"/>
      <c r="S955" s="1185"/>
      <c r="T955" s="1185"/>
      <c r="U955" s="1185"/>
      <c r="V955" s="1185"/>
      <c r="W955" s="1185"/>
      <c r="X955" s="1185"/>
      <c r="Y955" s="1185"/>
      <c r="Z955" s="1185"/>
      <c r="AA955" s="1185"/>
      <c r="AB955" s="1185"/>
      <c r="AC955" s="1185"/>
      <c r="AD955" s="1185"/>
      <c r="AE955" s="1185"/>
      <c r="AF955" s="1185"/>
      <c r="AG955" s="1185"/>
      <c r="AH955" s="1185"/>
      <c r="AI955" s="1185"/>
    </row>
    <row r="956" spans="1:35">
      <c r="A956" s="1009" t="s">
        <v>838</v>
      </c>
      <c r="B956" s="1219"/>
      <c r="C956" s="1219"/>
      <c r="D956" s="1203"/>
      <c r="E956" s="1203"/>
      <c r="F956" s="1219"/>
      <c r="G956" s="1203"/>
      <c r="H956" s="1219"/>
      <c r="I956" s="1219"/>
      <c r="J956" s="1203"/>
      <c r="K956" s="1219"/>
      <c r="L956" s="1219"/>
      <c r="N956" s="1185"/>
      <c r="O956" s="1185"/>
      <c r="P956" s="1186"/>
      <c r="Q956" s="1186"/>
      <c r="R956" s="1186"/>
      <c r="S956" s="1185"/>
      <c r="T956" s="1185"/>
      <c r="U956" s="1185"/>
      <c r="V956" s="1185"/>
      <c r="W956" s="1185"/>
      <c r="X956" s="1185"/>
      <c r="Y956" s="1185"/>
      <c r="Z956" s="1185"/>
      <c r="AA956" s="1185"/>
      <c r="AB956" s="1185"/>
      <c r="AC956" s="1185"/>
      <c r="AD956" s="1185"/>
      <c r="AE956" s="1185"/>
      <c r="AF956" s="1185"/>
      <c r="AG956" s="1185"/>
      <c r="AH956" s="1185"/>
      <c r="AI956" s="1185"/>
    </row>
    <row r="957" spans="1:35">
      <c r="A957" s="1009"/>
      <c r="B957" s="1219"/>
      <c r="C957" s="1219"/>
      <c r="D957" s="1203"/>
      <c r="E957" s="1203"/>
      <c r="F957" s="1219"/>
      <c r="G957" s="1203"/>
      <c r="H957" s="1219"/>
      <c r="I957" s="1219"/>
      <c r="J957" s="1203"/>
      <c r="K957" s="1219"/>
      <c r="L957" s="1219"/>
      <c r="N957" s="1185"/>
      <c r="O957" s="1185"/>
      <c r="P957" s="1186"/>
      <c r="Q957" s="1186"/>
      <c r="R957" s="1186"/>
      <c r="S957" s="1185"/>
      <c r="T957" s="1185"/>
      <c r="U957" s="1185"/>
      <c r="V957" s="1185"/>
      <c r="W957" s="1185"/>
      <c r="X957" s="1185"/>
      <c r="Y957" s="1185"/>
      <c r="Z957" s="1185"/>
      <c r="AA957" s="1185"/>
      <c r="AB957" s="1185"/>
      <c r="AC957" s="1185"/>
      <c r="AD957" s="1185"/>
      <c r="AE957" s="1185"/>
      <c r="AF957" s="1185"/>
      <c r="AG957" s="1185"/>
      <c r="AH957" s="1185"/>
      <c r="AI957" s="1185"/>
    </row>
    <row r="958" spans="1:35">
      <c r="A958" s="1009" t="s">
        <v>393</v>
      </c>
      <c r="B958" s="1219"/>
      <c r="C958" s="1026"/>
      <c r="D958" s="1203"/>
      <c r="E958" s="1203"/>
      <c r="F958" s="1219"/>
      <c r="G958" s="1203"/>
      <c r="H958" s="1219"/>
      <c r="I958" s="1219"/>
      <c r="J958" s="1203"/>
      <c r="K958" s="1219"/>
      <c r="L958" s="1219"/>
      <c r="N958" s="1185"/>
      <c r="O958" s="1185"/>
      <c r="AA958" s="1185"/>
      <c r="AB958" s="1185"/>
      <c r="AC958" s="1185"/>
      <c r="AD958" s="1185"/>
      <c r="AE958" s="1185"/>
      <c r="AF958" s="1185"/>
      <c r="AG958" s="1185"/>
      <c r="AH958" s="1185"/>
      <c r="AI958" s="1185"/>
    </row>
    <row r="959" spans="1:35">
      <c r="A959" s="1218" t="s">
        <v>673</v>
      </c>
      <c r="B959" s="1219"/>
      <c r="C959" s="1026">
        <v>0</v>
      </c>
      <c r="D959" s="1261" t="s">
        <v>31</v>
      </c>
      <c r="E959" s="1261"/>
      <c r="F959" s="1203">
        <f>ROUND(D959*$C959,0)</f>
        <v>0</v>
      </c>
      <c r="G959" s="1261" t="s">
        <v>31</v>
      </c>
      <c r="H959" s="1041"/>
      <c r="I959" s="1203">
        <f>ROUND(C959*G959,0)</f>
        <v>0</v>
      </c>
      <c r="J959" s="1261" t="s">
        <v>31</v>
      </c>
      <c r="K959" s="1041"/>
      <c r="L959" s="1203">
        <f>ROUND(J959*$C959,0)</f>
        <v>0</v>
      </c>
      <c r="N959" s="1185"/>
      <c r="O959" s="1185"/>
      <c r="Q959" s="1337"/>
      <c r="R959" s="1337"/>
      <c r="T959" s="977"/>
      <c r="U959" s="1329"/>
      <c r="V959" s="977"/>
      <c r="W959" s="1329"/>
      <c r="X959" s="977"/>
      <c r="Y959" s="977"/>
      <c r="Z959" s="1329"/>
      <c r="AA959" s="1185"/>
      <c r="AB959" s="1185"/>
      <c r="AC959" s="1185"/>
      <c r="AD959" s="1185"/>
      <c r="AE959" s="1185"/>
      <c r="AF959" s="1185"/>
      <c r="AG959" s="1185"/>
      <c r="AH959" s="1185"/>
      <c r="AI959" s="1185"/>
    </row>
    <row r="960" spans="1:35">
      <c r="A960" s="1218" t="s">
        <v>674</v>
      </c>
      <c r="B960" s="1219"/>
      <c r="C960" s="1026">
        <v>12</v>
      </c>
      <c r="D960" s="1261">
        <v>2100</v>
      </c>
      <c r="E960" s="1261"/>
      <c r="F960" s="1203">
        <f>ROUND(D960*$C960,0)</f>
        <v>25200</v>
      </c>
      <c r="G960" s="1261">
        <v>2528</v>
      </c>
      <c r="H960" s="1249"/>
      <c r="I960" s="1203">
        <f>ROUND(C960*G960,0)</f>
        <v>30336</v>
      </c>
      <c r="J960" s="1261">
        <f>G960</f>
        <v>2528</v>
      </c>
      <c r="K960" s="1249"/>
      <c r="L960" s="1203">
        <f>ROUND(J960*$C960,0)</f>
        <v>30336</v>
      </c>
      <c r="N960" s="1185"/>
      <c r="O960" s="1185"/>
      <c r="Q960" s="827">
        <f>(J960-G960)/G960</f>
        <v>0</v>
      </c>
      <c r="R960" s="777"/>
      <c r="T960" s="977"/>
      <c r="U960" s="1329"/>
      <c r="V960" s="977"/>
      <c r="W960" s="1329"/>
      <c r="X960" s="977"/>
      <c r="Y960" s="977"/>
      <c r="Z960" s="1329"/>
      <c r="AA960" s="1185"/>
      <c r="AB960" s="1185"/>
      <c r="AC960" s="1185"/>
      <c r="AD960" s="1185"/>
      <c r="AE960" s="1185"/>
      <c r="AF960" s="1185"/>
      <c r="AG960" s="1185"/>
      <c r="AH960" s="1185"/>
      <c r="AI960" s="1185"/>
    </row>
    <row r="961" spans="1:35">
      <c r="A961" s="1009" t="s">
        <v>394</v>
      </c>
      <c r="B961" s="1219"/>
      <c r="C961" s="1026">
        <f>SUM(C959:C960)</f>
        <v>12</v>
      </c>
      <c r="D961" s="1261" t="s">
        <v>31</v>
      </c>
      <c r="E961" s="1261"/>
      <c r="F961" s="1203" t="s">
        <v>31</v>
      </c>
      <c r="G961" s="1261" t="s">
        <v>31</v>
      </c>
      <c r="H961" s="1041"/>
      <c r="I961" s="1203" t="s">
        <v>31</v>
      </c>
      <c r="J961" s="1261" t="s">
        <v>31</v>
      </c>
      <c r="K961" s="1041"/>
      <c r="L961" s="1203" t="s">
        <v>31</v>
      </c>
      <c r="N961" s="1185"/>
      <c r="O961" s="1185"/>
      <c r="Q961" s="1338"/>
      <c r="T961" s="977"/>
      <c r="U961" s="1329"/>
      <c r="V961" s="977"/>
      <c r="W961" s="1329"/>
      <c r="X961" s="977"/>
      <c r="Y961" s="977"/>
      <c r="Z961" s="1329"/>
      <c r="AA961" s="1185"/>
      <c r="AB961" s="1185"/>
      <c r="AC961" s="1185"/>
      <c r="AD961" s="1185"/>
      <c r="AE961" s="1185"/>
      <c r="AF961" s="1185"/>
      <c r="AG961" s="1185"/>
      <c r="AH961" s="1185"/>
      <c r="AI961" s="1185"/>
    </row>
    <row r="962" spans="1:35">
      <c r="A962" s="1009" t="s">
        <v>473</v>
      </c>
      <c r="B962" s="1219"/>
      <c r="C962" s="1026">
        <v>0</v>
      </c>
      <c r="D962" s="1261" t="s">
        <v>31</v>
      </c>
      <c r="E962" s="1261"/>
      <c r="F962" s="1203">
        <f>ROUND(D962*$C962,0)</f>
        <v>0</v>
      </c>
      <c r="G962" s="1261" t="s">
        <v>31</v>
      </c>
      <c r="H962" s="1041"/>
      <c r="I962" s="1203">
        <f t="shared" ref="I962:I964" si="108">ROUND(C962*G962,0)</f>
        <v>0</v>
      </c>
      <c r="J962" s="1261" t="s">
        <v>31</v>
      </c>
      <c r="K962" s="1041"/>
      <c r="L962" s="1203">
        <f>ROUND(J962*$C962,0)</f>
        <v>0</v>
      </c>
      <c r="N962" s="1185"/>
      <c r="O962" s="1185"/>
      <c r="Q962" s="1338"/>
      <c r="T962" s="977"/>
      <c r="U962" s="1329"/>
      <c r="V962" s="977"/>
      <c r="W962" s="1329"/>
      <c r="X962" s="977"/>
      <c r="Y962" s="977"/>
      <c r="Z962" s="1329"/>
      <c r="AA962" s="1185"/>
      <c r="AB962" s="1185"/>
      <c r="AC962" s="1185"/>
      <c r="AD962" s="1185"/>
      <c r="AE962" s="1185"/>
      <c r="AF962" s="1185"/>
      <c r="AG962" s="1185"/>
      <c r="AH962" s="1185"/>
      <c r="AI962" s="1185"/>
    </row>
    <row r="963" spans="1:35">
      <c r="A963" s="1218" t="s">
        <v>675</v>
      </c>
      <c r="B963" s="1219"/>
      <c r="C963" s="1026">
        <f>699156</f>
        <v>699156</v>
      </c>
      <c r="D963" s="1261">
        <v>0.2</v>
      </c>
      <c r="E963" s="1261"/>
      <c r="F963" s="1203">
        <f>ROUND(D963*$C963,0)</f>
        <v>139831</v>
      </c>
      <c r="G963" s="1261">
        <v>0.23</v>
      </c>
      <c r="H963" s="1041"/>
      <c r="I963" s="1203">
        <f t="shared" si="108"/>
        <v>160806</v>
      </c>
      <c r="J963" s="1261">
        <f>G963</f>
        <v>0.23</v>
      </c>
      <c r="K963" s="1041"/>
      <c r="L963" s="1203">
        <f>ROUND(J963*$C963,0)</f>
        <v>160806</v>
      </c>
      <c r="N963" s="1185"/>
      <c r="O963" s="1185"/>
      <c r="Q963" s="827">
        <f>(J963-G963)/G963</f>
        <v>0</v>
      </c>
      <c r="R963" s="777"/>
      <c r="T963" s="977"/>
      <c r="U963" s="1329"/>
      <c r="V963" s="977"/>
      <c r="W963" s="1329"/>
      <c r="X963" s="977"/>
      <c r="Y963" s="977"/>
      <c r="Z963" s="1329"/>
      <c r="AA963" s="1185"/>
      <c r="AB963" s="1185"/>
      <c r="AC963" s="1185"/>
      <c r="AD963" s="1185"/>
      <c r="AE963" s="1185"/>
      <c r="AF963" s="1185"/>
      <c r="AG963" s="1185"/>
      <c r="AH963" s="1185"/>
      <c r="AI963" s="1185"/>
    </row>
    <row r="964" spans="1:35">
      <c r="A964" s="1218" t="s">
        <v>403</v>
      </c>
      <c r="B964" s="1219"/>
      <c r="C964" s="1026">
        <f>690552</f>
        <v>690552</v>
      </c>
      <c r="D964" s="1261">
        <v>6.09</v>
      </c>
      <c r="E964" s="1261"/>
      <c r="F964" s="1203">
        <f>ROUND(D964*$C964,0)</f>
        <v>4205462</v>
      </c>
      <c r="G964" s="1261">
        <v>6.95</v>
      </c>
      <c r="H964" s="1041"/>
      <c r="I964" s="1203">
        <f t="shared" si="108"/>
        <v>4799336</v>
      </c>
      <c r="J964" s="1261">
        <f>ROUND(G964*(1+$Q$970),2)</f>
        <v>7.35</v>
      </c>
      <c r="K964" s="1041"/>
      <c r="L964" s="1203">
        <f>ROUND(J964*$C964,0)</f>
        <v>5075557</v>
      </c>
      <c r="N964" s="1185"/>
      <c r="O964" s="1185"/>
      <c r="Q964" s="827">
        <f>(J964-G964)/G964</f>
        <v>5.7553956834532294E-2</v>
      </c>
      <c r="R964" s="777"/>
      <c r="S964" s="1186"/>
      <c r="T964" s="1330"/>
      <c r="U964" s="1329"/>
      <c r="V964" s="1330"/>
      <c r="W964" s="1329"/>
      <c r="X964" s="1330"/>
      <c r="Y964" s="1186"/>
      <c r="Z964" s="1329"/>
      <c r="AA964" s="1185"/>
      <c r="AB964" s="1185"/>
      <c r="AC964" s="1185"/>
      <c r="AD964" s="1185"/>
      <c r="AE964" s="1185"/>
      <c r="AF964" s="1185"/>
      <c r="AG964" s="1185"/>
      <c r="AH964" s="1185"/>
      <c r="AI964" s="1185"/>
    </row>
    <row r="965" spans="1:35">
      <c r="A965" s="1009" t="s">
        <v>426</v>
      </c>
      <c r="B965" s="1219"/>
      <c r="C965" s="1217" t="s">
        <v>31</v>
      </c>
      <c r="D965" s="1261" t="s">
        <v>31</v>
      </c>
      <c r="E965" s="1261"/>
      <c r="F965" s="1203"/>
      <c r="G965" s="1261" t="s">
        <v>31</v>
      </c>
      <c r="H965" s="1041"/>
      <c r="I965" s="1203"/>
      <c r="J965" s="1328" t="s">
        <v>31</v>
      </c>
      <c r="K965" s="1041"/>
      <c r="L965" s="1203"/>
      <c r="N965" s="1185"/>
      <c r="O965" s="1185"/>
      <c r="Q965" s="1338"/>
      <c r="S965" s="1186"/>
      <c r="T965" s="1185"/>
      <c r="U965" s="1185"/>
      <c r="V965" s="1185"/>
      <c r="W965" s="1185"/>
      <c r="X965" s="1185"/>
      <c r="Y965" s="1185"/>
      <c r="Z965" s="1185"/>
      <c r="AA965" s="1185"/>
      <c r="AB965" s="1185"/>
      <c r="AC965" s="1185"/>
      <c r="AD965" s="1185"/>
      <c r="AE965" s="1185"/>
      <c r="AF965" s="1185"/>
      <c r="AG965" s="1185"/>
      <c r="AH965" s="1185"/>
      <c r="AI965" s="1185"/>
    </row>
    <row r="966" spans="1:35">
      <c r="A966" s="1009" t="s">
        <v>464</v>
      </c>
      <c r="B966" s="1219"/>
      <c r="C966" s="1026">
        <f>467514000</f>
        <v>467514000</v>
      </c>
      <c r="D966" s="1323">
        <v>3.66</v>
      </c>
      <c r="E966" s="1041" t="s">
        <v>374</v>
      </c>
      <c r="F966" s="1203">
        <f>ROUND(D966/100*$C966,0)</f>
        <v>17111012</v>
      </c>
      <c r="G966" s="1328">
        <v>4.1870000000000003</v>
      </c>
      <c r="H966" s="1041" t="s">
        <v>374</v>
      </c>
      <c r="I966" s="1203">
        <f>ROUND(C966/100*G966,0)</f>
        <v>19574811</v>
      </c>
      <c r="J966" s="1316">
        <f>ROUND(G966*(1+$Q$970),3)+0.002</f>
        <v>4.43</v>
      </c>
      <c r="K966" s="1041" t="s">
        <v>374</v>
      </c>
      <c r="L966" s="1203">
        <f>ROUND(J966/100*$C966,0)</f>
        <v>20710870</v>
      </c>
      <c r="N966" s="1185"/>
      <c r="O966" s="1185"/>
      <c r="Q966" s="827">
        <f>(J966-G966)/G966</f>
        <v>5.8036780511105668E-2</v>
      </c>
      <c r="R966" s="777"/>
      <c r="S966" s="1186"/>
      <c r="T966" s="1185"/>
      <c r="U966" s="1185"/>
      <c r="V966" s="1185"/>
      <c r="W966" s="1185"/>
      <c r="X966" s="1185"/>
      <c r="Y966" s="1185"/>
      <c r="Z966" s="1185"/>
      <c r="AA966" s="1185"/>
      <c r="AB966" s="1185"/>
      <c r="AC966" s="1185"/>
      <c r="AD966" s="1185"/>
      <c r="AE966" s="1185"/>
      <c r="AF966" s="1185"/>
      <c r="AG966" s="1185"/>
      <c r="AH966" s="1185"/>
      <c r="AI966" s="1185"/>
    </row>
    <row r="967" spans="1:35">
      <c r="A967" s="1009" t="s">
        <v>400</v>
      </c>
      <c r="B967" s="1219"/>
      <c r="C967" s="1026">
        <f>179228</f>
        <v>179228</v>
      </c>
      <c r="D967" s="1261">
        <v>0.46</v>
      </c>
      <c r="E967" s="1041"/>
      <c r="F967" s="1203">
        <f>ROUND(D967*$C967,0)</f>
        <v>82445</v>
      </c>
      <c r="G967" s="1261">
        <v>0.53</v>
      </c>
      <c r="H967" s="1041"/>
      <c r="I967" s="1203">
        <f>ROUND(C967*G967,0)</f>
        <v>94991</v>
      </c>
      <c r="J967" s="1261">
        <f>G967</f>
        <v>0.53</v>
      </c>
      <c r="K967" s="1041"/>
      <c r="L967" s="1203">
        <f>ROUND(J967*$C967,0)</f>
        <v>94991</v>
      </c>
      <c r="N967" s="1185"/>
      <c r="O967" s="1185"/>
      <c r="Q967" s="827">
        <f>(J967-G967)/G967</f>
        <v>0</v>
      </c>
      <c r="R967" s="777"/>
      <c r="S967" s="1186"/>
      <c r="T967" s="1185"/>
      <c r="U967" s="1185"/>
      <c r="V967" s="1185"/>
      <c r="W967" s="1185"/>
      <c r="X967" s="1185"/>
      <c r="Y967" s="1185"/>
      <c r="Z967" s="1185"/>
      <c r="AA967" s="1185"/>
      <c r="AB967" s="1185"/>
      <c r="AC967" s="1185"/>
      <c r="AD967" s="1185"/>
      <c r="AE967" s="1185"/>
      <c r="AF967" s="1185"/>
      <c r="AG967" s="1185"/>
      <c r="AH967" s="1185"/>
      <c r="AI967" s="1185"/>
    </row>
    <row r="968" spans="1:35">
      <c r="A968" s="1219" t="s">
        <v>381</v>
      </c>
      <c r="B968" s="1219"/>
      <c r="C968" s="1026">
        <f>C966</f>
        <v>467514000</v>
      </c>
      <c r="D968" s="1255"/>
      <c r="E968" s="1203"/>
      <c r="F968" s="1203">
        <f>SUM(F959:F967)</f>
        <v>21563950</v>
      </c>
      <c r="G968" s="1255"/>
      <c r="H968" s="1219"/>
      <c r="I968" s="1203">
        <f>SUM(I959:I967)</f>
        <v>24660280</v>
      </c>
      <c r="J968" s="1255"/>
      <c r="K968" s="1219"/>
      <c r="L968" s="1203">
        <f>SUM(L959:L967)</f>
        <v>26072560</v>
      </c>
      <c r="N968" s="1185"/>
      <c r="O968" s="1185"/>
      <c r="P968" s="1186"/>
      <c r="Q968" s="1186"/>
      <c r="R968" s="1186"/>
      <c r="S968" s="1185"/>
      <c r="T968" s="1185"/>
      <c r="U968" s="1185"/>
      <c r="V968" s="1185"/>
      <c r="W968" s="1185"/>
      <c r="X968" s="1185"/>
      <c r="Y968" s="1185"/>
      <c r="Z968" s="1185"/>
      <c r="AA968" s="1185"/>
      <c r="AB968" s="1185"/>
      <c r="AC968" s="1185"/>
      <c r="AD968" s="1185"/>
      <c r="AE968" s="1185"/>
      <c r="AF968" s="1185"/>
      <c r="AG968" s="1185"/>
      <c r="AH968" s="1185"/>
      <c r="AI968" s="1185"/>
    </row>
    <row r="969" spans="1:35">
      <c r="A969" s="1219" t="s">
        <v>363</v>
      </c>
      <c r="B969" s="1219"/>
      <c r="C969" s="1026">
        <f>'[97]Table 2'!H81</f>
        <v>6414140.5675242878</v>
      </c>
      <c r="D969" s="1218"/>
      <c r="E969" s="1218"/>
      <c r="F969" s="1264" t="e">
        <f>#REF!</f>
        <v>#REF!</v>
      </c>
      <c r="G969" s="1218"/>
      <c r="H969" s="1218"/>
      <c r="I969" s="1264">
        <f>'[97]Table 3'!E81</f>
        <v>397954.38596668228</v>
      </c>
      <c r="J969" s="1218"/>
      <c r="K969" s="1218"/>
      <c r="L969" s="1264">
        <f>I969</f>
        <v>397954.38596668228</v>
      </c>
      <c r="N969" s="444"/>
      <c r="O969" s="444"/>
      <c r="P969" s="287"/>
      <c r="S969" s="1185"/>
      <c r="T969" s="1185"/>
      <c r="U969" s="1185"/>
      <c r="V969" s="1185"/>
      <c r="W969" s="1185"/>
      <c r="X969" s="1185"/>
      <c r="Y969" s="1185"/>
      <c r="Z969" s="1185"/>
      <c r="AA969" s="1185"/>
      <c r="AB969" s="1185"/>
      <c r="AC969" s="1185"/>
      <c r="AD969" s="1185"/>
      <c r="AE969" s="1185"/>
      <c r="AF969" s="1185"/>
      <c r="AG969" s="1185"/>
      <c r="AH969" s="1185"/>
      <c r="AI969" s="1185"/>
    </row>
    <row r="970" spans="1:35" ht="16.5" thickBot="1">
      <c r="A970" s="1219" t="s">
        <v>382</v>
      </c>
      <c r="B970" s="1219"/>
      <c r="C970" s="1321">
        <f>SUM(C968)+C969</f>
        <v>473928140.56752431</v>
      </c>
      <c r="D970" s="1265"/>
      <c r="E970" s="1266"/>
      <c r="F970" s="1267" t="e">
        <f>F968+F969</f>
        <v>#REF!</v>
      </c>
      <c r="G970" s="1265"/>
      <c r="H970" s="1269"/>
      <c r="I970" s="1267">
        <f>I968+I969</f>
        <v>25058234.385966681</v>
      </c>
      <c r="J970" s="1265"/>
      <c r="K970" s="1269"/>
      <c r="L970" s="1267">
        <f>L968+L969</f>
        <v>26470514.385966681</v>
      </c>
      <c r="N970" s="411"/>
      <c r="O970" s="1215" t="s">
        <v>364</v>
      </c>
      <c r="P970" s="1216">
        <f>'[97]Rate Spread targets'!Q28*1000</f>
        <v>26470870.142930169</v>
      </c>
      <c r="Q970" s="818">
        <f>'[97]Rate Spread targets'!V28+0.0013</f>
        <v>5.7609344674088327E-2</v>
      </c>
      <c r="R970" s="777"/>
      <c r="S970" s="801" t="s">
        <v>31</v>
      </c>
      <c r="T970" s="1185"/>
      <c r="U970" s="1185"/>
      <c r="V970" s="1185"/>
      <c r="W970" s="1185"/>
      <c r="X970" s="1185"/>
      <c r="Y970" s="1185"/>
      <c r="Z970" s="1185"/>
      <c r="AA970" s="1185"/>
      <c r="AB970" s="1185"/>
      <c r="AC970" s="1185"/>
      <c r="AD970" s="1185"/>
      <c r="AE970" s="1185"/>
      <c r="AF970" s="1185"/>
      <c r="AG970" s="1185"/>
      <c r="AH970" s="1185"/>
      <c r="AI970" s="1185"/>
    </row>
    <row r="971" spans="1:35" ht="16.5" thickTop="1">
      <c r="A971" s="1219"/>
      <c r="B971" s="1219"/>
      <c r="C971" s="1225"/>
      <c r="D971" s="1261"/>
      <c r="E971" s="1203"/>
      <c r="F971" s="1303" t="s">
        <v>31</v>
      </c>
      <c r="G971" s="1261" t="s">
        <v>31</v>
      </c>
      <c r="H971" s="1219"/>
      <c r="I971" s="1203"/>
      <c r="J971" s="1259" t="s">
        <v>31</v>
      </c>
      <c r="K971" s="1219"/>
      <c r="L971" s="1203" t="s">
        <v>31</v>
      </c>
      <c r="N971" s="1185"/>
      <c r="O971" s="1220" t="s">
        <v>263</v>
      </c>
      <c r="P971" s="812">
        <f>P970-L970</f>
        <v>355.75696348771453</v>
      </c>
      <c r="Q971" s="1333"/>
      <c r="R971" s="1186"/>
      <c r="S971" s="1185"/>
      <c r="T971" s="1185"/>
      <c r="U971" s="1185"/>
      <c r="V971" s="1185"/>
      <c r="W971" s="1185"/>
      <c r="X971" s="1185"/>
      <c r="Y971" s="1185"/>
      <c r="Z971" s="1185"/>
      <c r="AA971" s="1185"/>
      <c r="AB971" s="1185"/>
      <c r="AC971" s="1185"/>
      <c r="AD971" s="1185"/>
      <c r="AE971" s="1185"/>
      <c r="AF971" s="1185"/>
      <c r="AG971" s="1185"/>
      <c r="AH971" s="1185"/>
      <c r="AI971" s="1185"/>
    </row>
    <row r="972" spans="1:35">
      <c r="A972" s="1224" t="s">
        <v>482</v>
      </c>
      <c r="B972" s="1219"/>
      <c r="C972" s="1219"/>
      <c r="D972" s="1219"/>
      <c r="E972" s="1219"/>
      <c r="F972" s="1203"/>
      <c r="G972" s="1219"/>
      <c r="H972" s="1219"/>
      <c r="I972" s="1203"/>
      <c r="J972" s="1219"/>
      <c r="K972" s="1219"/>
      <c r="L972" s="1219"/>
      <c r="N972" s="1185"/>
      <c r="O972" s="1185"/>
      <c r="P972" s="1186"/>
      <c r="Q972" s="1186"/>
      <c r="R972" s="1186"/>
      <c r="S972" s="1185"/>
      <c r="T972" s="1185"/>
      <c r="U972" s="1185"/>
      <c r="V972" s="1185"/>
      <c r="W972" s="1185"/>
      <c r="X972" s="1185"/>
      <c r="Y972" s="1185"/>
      <c r="Z972" s="1185"/>
      <c r="AA972" s="1185"/>
      <c r="AB972" s="1185"/>
      <c r="AC972" s="1185"/>
      <c r="AD972" s="1185"/>
      <c r="AE972" s="1185"/>
      <c r="AF972" s="1185"/>
      <c r="AG972" s="1185"/>
      <c r="AH972" s="1185"/>
      <c r="AI972" s="1185"/>
    </row>
    <row r="973" spans="1:35">
      <c r="A973" s="1219" t="s">
        <v>591</v>
      </c>
      <c r="B973" s="1219"/>
      <c r="C973" s="1219"/>
      <c r="D973" s="1219"/>
      <c r="E973" s="1219"/>
      <c r="F973" s="1203"/>
      <c r="G973" s="1219"/>
      <c r="H973" s="1219"/>
      <c r="I973" s="1203"/>
      <c r="J973" s="1219"/>
      <c r="K973" s="1219"/>
      <c r="L973" s="1219"/>
      <c r="N973" s="278"/>
      <c r="O973" s="278"/>
      <c r="P973" s="278"/>
      <c r="Q973" s="470">
        <f>(L970-I970)/I970</f>
        <v>5.6359916594559301E-2</v>
      </c>
      <c r="R973" s="278"/>
      <c r="S973" s="278"/>
      <c r="T973" s="278"/>
      <c r="U973" s="278"/>
      <c r="V973" s="278"/>
      <c r="W973" s="278"/>
      <c r="X973" s="278"/>
      <c r="Y973" s="278"/>
      <c r="Z973" s="278"/>
      <c r="AA973" s="278"/>
      <c r="AB973" s="278"/>
      <c r="AC973" s="278"/>
      <c r="AD973" s="278"/>
      <c r="AE973" s="1185"/>
      <c r="AF973" s="1185"/>
      <c r="AG973" s="1185"/>
      <c r="AH973" s="1185"/>
      <c r="AI973" s="1185"/>
    </row>
    <row r="974" spans="1:35">
      <c r="A974" s="1219" t="s">
        <v>592</v>
      </c>
      <c r="B974" s="1219"/>
      <c r="C974" s="1219"/>
      <c r="D974" s="1219"/>
      <c r="E974" s="1219"/>
      <c r="F974" s="1203"/>
      <c r="G974" s="1219"/>
      <c r="H974" s="1219"/>
      <c r="I974" s="1203"/>
      <c r="J974" s="1219"/>
      <c r="K974" s="1219"/>
      <c r="L974" s="1219"/>
      <c r="N974" s="278"/>
      <c r="O974" s="278"/>
      <c r="P974" s="278"/>
      <c r="Q974" s="278"/>
      <c r="R974" s="278"/>
      <c r="S974" s="278"/>
      <c r="T974" s="278"/>
      <c r="U974" s="278"/>
      <c r="V974" s="278"/>
      <c r="W974" s="278"/>
      <c r="X974" s="278"/>
      <c r="Y974" s="278"/>
      <c r="Z974" s="278"/>
      <c r="AA974" s="278"/>
      <c r="AB974" s="278"/>
      <c r="AC974" s="278"/>
      <c r="AD974" s="278"/>
      <c r="AE974" s="1185"/>
      <c r="AF974" s="1185"/>
      <c r="AG974" s="1185"/>
      <c r="AH974" s="1185"/>
      <c r="AI974" s="1185"/>
    </row>
    <row r="975" spans="1:35">
      <c r="A975" s="1219" t="s">
        <v>484</v>
      </c>
      <c r="B975" s="1219"/>
      <c r="C975" s="1219"/>
      <c r="D975" s="1219"/>
      <c r="E975" s="1219"/>
      <c r="F975" s="1203"/>
      <c r="G975" s="1219"/>
      <c r="H975" s="1219"/>
      <c r="I975" s="1203"/>
      <c r="J975" s="1219"/>
      <c r="K975" s="1219"/>
      <c r="L975" s="1219"/>
      <c r="N975" s="278"/>
      <c r="O975" s="278"/>
      <c r="P975" s="278"/>
      <c r="Q975" s="1186"/>
      <c r="R975" s="1186"/>
      <c r="S975" s="279"/>
      <c r="T975" s="279"/>
      <c r="U975" s="280"/>
      <c r="V975" s="280"/>
      <c r="W975" s="280"/>
      <c r="X975" s="280"/>
      <c r="Y975" s="281"/>
      <c r="Z975" s="282"/>
      <c r="AA975" s="278"/>
      <c r="AB975" s="278"/>
      <c r="AC975" s="278"/>
      <c r="AD975" s="278"/>
      <c r="AE975" s="1185"/>
      <c r="AF975" s="1185"/>
      <c r="AG975" s="1185"/>
      <c r="AH975" s="1185"/>
      <c r="AI975" s="1185"/>
    </row>
    <row r="976" spans="1:35">
      <c r="A976" s="1184" t="s">
        <v>358</v>
      </c>
      <c r="C976" s="1202">
        <f>14490</f>
        <v>14490</v>
      </c>
      <c r="D976" s="265">
        <v>8.0299999999999994</v>
      </c>
      <c r="F976" s="1203">
        <f t="shared" ref="F976:F985" si="109">ROUND(D976*$C976,0)</f>
        <v>116355</v>
      </c>
      <c r="G976" s="265">
        <v>8.4600000000000009</v>
      </c>
      <c r="I976" s="1203">
        <f>ROUND(C976*G976,0)</f>
        <v>122585</v>
      </c>
      <c r="J976" s="265">
        <f t="shared" ref="J976:J985" si="110">ROUND(G976+(G976*$Q$998),2)</f>
        <v>8.4600000000000009</v>
      </c>
      <c r="L976" s="1203">
        <f>ROUND(J976*$C976,0)</f>
        <v>122585</v>
      </c>
      <c r="N976" s="1204" t="e">
        <f>J976*#REF!</f>
        <v>#REF!</v>
      </c>
      <c r="Q976" s="281"/>
      <c r="R976" s="281"/>
      <c r="S976" s="1186"/>
      <c r="T976" s="403"/>
      <c r="U976" s="403"/>
      <c r="V976" s="283"/>
      <c r="W976" s="283"/>
      <c r="X976" s="283"/>
      <c r="Y976" s="284"/>
      <c r="Z976" s="278"/>
      <c r="AA976" s="281"/>
      <c r="AB976" s="281"/>
      <c r="AC976" s="285"/>
      <c r="AD976" s="281"/>
      <c r="AE976" s="1185"/>
      <c r="AF976" s="1185"/>
      <c r="AG976" s="1185"/>
      <c r="AH976" s="1185"/>
      <c r="AI976" s="1185"/>
    </row>
    <row r="977" spans="1:35">
      <c r="A977" s="1184" t="s">
        <v>485</v>
      </c>
      <c r="C977" s="1202">
        <f>17008+12</f>
        <v>17020</v>
      </c>
      <c r="D977" s="265">
        <v>9.6300000000000008</v>
      </c>
      <c r="F977" s="1203">
        <f t="shared" si="109"/>
        <v>163903</v>
      </c>
      <c r="G977" s="265">
        <v>10.15</v>
      </c>
      <c r="I977" s="1203">
        <f t="shared" ref="I977:I993" si="111">ROUND(C977*G977,0)</f>
        <v>172753</v>
      </c>
      <c r="J977" s="265">
        <f t="shared" si="110"/>
        <v>10.15</v>
      </c>
      <c r="L977" s="1203">
        <f t="shared" ref="L977:L990" si="112">ROUND(J977*$C977,0)</f>
        <v>172753</v>
      </c>
      <c r="N977" s="1204" t="e">
        <f>J977*#REF!</f>
        <v>#REF!</v>
      </c>
      <c r="Q977" s="281"/>
      <c r="R977" s="281"/>
      <c r="S977" s="1186"/>
      <c r="T977" s="403"/>
      <c r="U977" s="403"/>
      <c r="V977" s="283"/>
      <c r="W977" s="283"/>
      <c r="X977" s="283"/>
      <c r="Y977" s="278"/>
      <c r="Z977" s="278"/>
      <c r="AA977" s="281"/>
      <c r="AB977" s="281"/>
      <c r="AC977" s="285"/>
      <c r="AD977" s="281"/>
      <c r="AE977" s="1185"/>
      <c r="AF977" s="1185"/>
      <c r="AG977" s="1185"/>
      <c r="AH977" s="1185"/>
      <c r="AI977" s="1185"/>
    </row>
    <row r="978" spans="1:35">
      <c r="A978" s="1184" t="s">
        <v>594</v>
      </c>
      <c r="C978" s="1202">
        <v>0</v>
      </c>
      <c r="D978" s="265">
        <v>30.59</v>
      </c>
      <c r="F978" s="1203">
        <f t="shared" si="109"/>
        <v>0</v>
      </c>
      <c r="G978" s="265">
        <v>32.24</v>
      </c>
      <c r="I978" s="1203">
        <f t="shared" si="111"/>
        <v>0</v>
      </c>
      <c r="J978" s="265">
        <f t="shared" si="110"/>
        <v>32.24</v>
      </c>
      <c r="L978" s="1203">
        <f t="shared" si="112"/>
        <v>0</v>
      </c>
      <c r="N978" s="1204" t="e">
        <f>J978*#REF!</f>
        <v>#REF!</v>
      </c>
      <c r="Q978" s="281"/>
      <c r="R978" s="281"/>
      <c r="S978" s="1186"/>
      <c r="T978" s="403"/>
      <c r="U978" s="403"/>
      <c r="V978" s="283"/>
      <c r="W978" s="283"/>
      <c r="X978" s="283"/>
      <c r="Y978" s="278"/>
      <c r="Z978" s="278"/>
      <c r="AA978" s="281"/>
      <c r="AB978" s="281"/>
      <c r="AC978" s="285"/>
      <c r="AD978" s="281"/>
      <c r="AE978" s="1185"/>
      <c r="AF978" s="1185"/>
      <c r="AG978" s="1185"/>
      <c r="AH978" s="1185"/>
      <c r="AI978" s="1185"/>
    </row>
    <row r="979" spans="1:35">
      <c r="A979" s="1184" t="s">
        <v>595</v>
      </c>
      <c r="C979" s="1202">
        <v>0</v>
      </c>
      <c r="D979" s="265">
        <v>23.79</v>
      </c>
      <c r="F979" s="1203">
        <f t="shared" si="109"/>
        <v>0</v>
      </c>
      <c r="G979" s="265">
        <v>25.07</v>
      </c>
      <c r="I979" s="1203">
        <f t="shared" si="111"/>
        <v>0</v>
      </c>
      <c r="J979" s="265">
        <f t="shared" si="110"/>
        <v>25.07</v>
      </c>
      <c r="L979" s="1203">
        <f t="shared" si="112"/>
        <v>0</v>
      </c>
      <c r="N979" s="1204" t="e">
        <f>J979*#REF!</f>
        <v>#REF!</v>
      </c>
      <c r="Q979" s="281"/>
      <c r="R979" s="281"/>
      <c r="S979" s="1186"/>
      <c r="T979" s="403"/>
      <c r="U979" s="403"/>
      <c r="V979" s="283"/>
      <c r="W979" s="283"/>
      <c r="X979" s="283"/>
      <c r="Y979" s="278"/>
      <c r="Z979" s="278"/>
      <c r="AA979" s="281"/>
      <c r="AB979" s="281"/>
      <c r="AC979" s="285"/>
      <c r="AD979" s="281"/>
      <c r="AE979" s="1185"/>
      <c r="AF979" s="1185"/>
      <c r="AG979" s="1185"/>
      <c r="AH979" s="1185"/>
      <c r="AI979" s="1185"/>
    </row>
    <row r="980" spans="1:35">
      <c r="A980" s="1184" t="s">
        <v>589</v>
      </c>
      <c r="C980" s="1202">
        <f>612</f>
        <v>612</v>
      </c>
      <c r="D980" s="265">
        <v>12.31</v>
      </c>
      <c r="F980" s="1203">
        <f t="shared" si="109"/>
        <v>7534</v>
      </c>
      <c r="G980" s="265">
        <v>12.97</v>
      </c>
      <c r="I980" s="1203">
        <f t="shared" si="111"/>
        <v>7938</v>
      </c>
      <c r="J980" s="265">
        <f t="shared" si="110"/>
        <v>12.97</v>
      </c>
      <c r="L980" s="1203">
        <f t="shared" si="112"/>
        <v>7938</v>
      </c>
      <c r="N980" s="1204" t="e">
        <f>J980*#REF!</f>
        <v>#REF!</v>
      </c>
      <c r="Q980" s="281"/>
      <c r="R980" s="281"/>
      <c r="S980" s="1186"/>
      <c r="T980" s="403"/>
      <c r="U980" s="403"/>
      <c r="V980" s="283"/>
      <c r="W980" s="283"/>
      <c r="X980" s="283"/>
      <c r="Y980" s="278"/>
      <c r="Z980" s="278"/>
      <c r="AA980" s="281"/>
      <c r="AB980" s="281"/>
      <c r="AC980" s="285"/>
      <c r="AD980" s="281"/>
      <c r="AE980" s="1185"/>
      <c r="AF980" s="1185"/>
      <c r="AG980" s="1185"/>
      <c r="AH980" s="1185"/>
      <c r="AI980" s="1185"/>
    </row>
    <row r="981" spans="1:35">
      <c r="A981" s="1184" t="s">
        <v>596</v>
      </c>
      <c r="C981" s="1202">
        <v>0</v>
      </c>
      <c r="D981" s="265">
        <v>31.69</v>
      </c>
      <c r="F981" s="1203">
        <f t="shared" si="109"/>
        <v>0</v>
      </c>
      <c r="G981" s="265">
        <v>33.4</v>
      </c>
      <c r="I981" s="1203">
        <f t="shared" si="111"/>
        <v>0</v>
      </c>
      <c r="J981" s="265">
        <f t="shared" si="110"/>
        <v>33.4</v>
      </c>
      <c r="L981" s="1203">
        <f t="shared" si="112"/>
        <v>0</v>
      </c>
      <c r="N981" s="1204" t="e">
        <f>J981*#REF!</f>
        <v>#REF!</v>
      </c>
      <c r="Q981" s="281"/>
      <c r="R981" s="281"/>
      <c r="S981" s="1186"/>
      <c r="T981" s="403"/>
      <c r="U981" s="403"/>
      <c r="V981" s="283"/>
      <c r="W981" s="283"/>
      <c r="X981" s="283"/>
      <c r="Y981" s="278"/>
      <c r="Z981" s="278"/>
      <c r="AA981" s="281"/>
      <c r="AB981" s="281"/>
      <c r="AC981" s="285"/>
      <c r="AD981" s="281"/>
      <c r="AE981" s="1185"/>
      <c r="AF981" s="1185"/>
      <c r="AG981" s="1185"/>
      <c r="AH981" s="1185"/>
      <c r="AI981" s="1185"/>
    </row>
    <row r="982" spans="1:35">
      <c r="A982" s="1184" t="s">
        <v>597</v>
      </c>
      <c r="C982" s="1202">
        <v>0</v>
      </c>
      <c r="D982" s="265">
        <v>24.93</v>
      </c>
      <c r="F982" s="1203">
        <f t="shared" si="109"/>
        <v>0</v>
      </c>
      <c r="G982" s="265">
        <v>26.27</v>
      </c>
      <c r="I982" s="1203">
        <f t="shared" si="111"/>
        <v>0</v>
      </c>
      <c r="J982" s="265">
        <f t="shared" si="110"/>
        <v>26.27</v>
      </c>
      <c r="L982" s="1203">
        <f t="shared" si="112"/>
        <v>0</v>
      </c>
      <c r="N982" s="1204" t="e">
        <f>J982*#REF!</f>
        <v>#REF!</v>
      </c>
      <c r="Q982" s="281"/>
      <c r="R982" s="281"/>
      <c r="S982" s="1186"/>
      <c r="T982" s="403"/>
      <c r="U982" s="403"/>
      <c r="V982" s="283"/>
      <c r="W982" s="283"/>
      <c r="X982" s="283"/>
      <c r="Y982" s="278"/>
      <c r="Z982" s="278"/>
      <c r="AA982" s="281"/>
      <c r="AB982" s="281"/>
      <c r="AC982" s="285"/>
      <c r="AD982" s="281"/>
      <c r="AE982" s="1185"/>
      <c r="AF982" s="1185"/>
      <c r="AG982" s="1185"/>
      <c r="AH982" s="1185"/>
      <c r="AI982" s="1185"/>
    </row>
    <row r="983" spans="1:35">
      <c r="A983" s="1184" t="s">
        <v>359</v>
      </c>
      <c r="C983" s="1202">
        <f>18685</f>
        <v>18685</v>
      </c>
      <c r="D983" s="265">
        <v>14.05</v>
      </c>
      <c r="F983" s="1203">
        <f t="shared" si="109"/>
        <v>262524</v>
      </c>
      <c r="G983" s="265">
        <v>14.81</v>
      </c>
      <c r="I983" s="1203">
        <f t="shared" si="111"/>
        <v>276725</v>
      </c>
      <c r="J983" s="265">
        <f t="shared" si="110"/>
        <v>14.81</v>
      </c>
      <c r="L983" s="1203">
        <f t="shared" si="112"/>
        <v>276725</v>
      </c>
      <c r="N983" s="1204" t="e">
        <f>J983*#REF!</f>
        <v>#REF!</v>
      </c>
      <c r="Q983" s="281"/>
      <c r="R983" s="281"/>
      <c r="S983" s="1186"/>
      <c r="T983" s="403"/>
      <c r="U983" s="403"/>
      <c r="V983" s="283"/>
      <c r="W983" s="283"/>
      <c r="X983" s="283"/>
      <c r="Y983" s="278"/>
      <c r="Z983" s="278"/>
      <c r="AA983" s="281"/>
      <c r="AB983" s="281"/>
      <c r="AC983" s="285"/>
      <c r="AD983" s="281"/>
      <c r="AE983" s="1185"/>
      <c r="AF983" s="1185"/>
      <c r="AG983" s="1185"/>
      <c r="AH983" s="1185"/>
      <c r="AI983" s="1185"/>
    </row>
    <row r="984" spans="1:35">
      <c r="A984" s="1184" t="s">
        <v>590</v>
      </c>
      <c r="C984" s="1202">
        <f>1187</f>
        <v>1187</v>
      </c>
      <c r="D984" s="265">
        <v>17.829999999999998</v>
      </c>
      <c r="F984" s="1203">
        <f t="shared" si="109"/>
        <v>21164</v>
      </c>
      <c r="G984" s="265">
        <v>18.79</v>
      </c>
      <c r="I984" s="1203">
        <f t="shared" si="111"/>
        <v>22304</v>
      </c>
      <c r="J984" s="265">
        <f t="shared" si="110"/>
        <v>18.79</v>
      </c>
      <c r="L984" s="1203">
        <f t="shared" si="112"/>
        <v>22304</v>
      </c>
      <c r="N984" s="1204" t="e">
        <f>J984*#REF!</f>
        <v>#REF!</v>
      </c>
      <c r="Q984" s="281"/>
      <c r="R984" s="281"/>
      <c r="S984" s="1186"/>
      <c r="T984" s="403"/>
      <c r="U984" s="403"/>
      <c r="V984" s="283"/>
      <c r="W984" s="283"/>
      <c r="X984" s="283"/>
      <c r="Y984" s="278"/>
      <c r="Z984" s="278"/>
      <c r="AA984" s="281"/>
      <c r="AB984" s="281"/>
      <c r="AC984" s="285"/>
      <c r="AD984" s="281"/>
      <c r="AE984" s="1185"/>
      <c r="AF984" s="1185"/>
      <c r="AG984" s="1185"/>
      <c r="AH984" s="1185"/>
      <c r="AI984" s="1185"/>
    </row>
    <row r="985" spans="1:35">
      <c r="A985" s="1184" t="s">
        <v>360</v>
      </c>
      <c r="C985" s="1202">
        <f>2092</f>
        <v>2092</v>
      </c>
      <c r="D985" s="265">
        <v>23.53</v>
      </c>
      <c r="F985" s="1203">
        <f t="shared" si="109"/>
        <v>49225</v>
      </c>
      <c r="G985" s="265">
        <v>24.8</v>
      </c>
      <c r="I985" s="1203">
        <f t="shared" si="111"/>
        <v>51882</v>
      </c>
      <c r="J985" s="265">
        <f t="shared" si="110"/>
        <v>24.8</v>
      </c>
      <c r="L985" s="1203">
        <f>ROUND(J985*$C985,0)</f>
        <v>51882</v>
      </c>
      <c r="N985" s="1204" t="e">
        <f>J985*#REF!</f>
        <v>#REF!</v>
      </c>
      <c r="Q985" s="281"/>
      <c r="R985" s="281"/>
      <c r="S985" s="1186"/>
      <c r="T985" s="403"/>
      <c r="U985" s="403"/>
      <c r="V985" s="283"/>
      <c r="W985" s="283"/>
      <c r="X985" s="283"/>
      <c r="Y985" s="278"/>
      <c r="Z985" s="278"/>
      <c r="AA985" s="281"/>
      <c r="AB985" s="281"/>
      <c r="AC985" s="285"/>
      <c r="AD985" s="281"/>
      <c r="AE985" s="1185"/>
      <c r="AF985" s="1185"/>
      <c r="AG985" s="1185"/>
      <c r="AH985" s="1185"/>
      <c r="AI985" s="1185"/>
    </row>
    <row r="986" spans="1:35">
      <c r="A986" s="1184" t="s">
        <v>593</v>
      </c>
      <c r="C986" s="1202"/>
      <c r="D986" s="265"/>
      <c r="F986" s="1203"/>
      <c r="G986" s="265"/>
      <c r="I986" s="1203"/>
      <c r="J986" s="265"/>
      <c r="L986" s="1203"/>
      <c r="N986" s="1204"/>
      <c r="Q986" s="281"/>
      <c r="R986" s="281"/>
      <c r="S986" s="1186"/>
      <c r="T986" s="403"/>
      <c r="U986" s="403"/>
      <c r="V986" s="283"/>
      <c r="W986" s="283"/>
      <c r="X986" s="283"/>
      <c r="Y986" s="278"/>
      <c r="Z986" s="278"/>
      <c r="AA986" s="281"/>
      <c r="AB986" s="281"/>
      <c r="AC986" s="285"/>
      <c r="AD986" s="281"/>
      <c r="AE986" s="1185"/>
      <c r="AF986" s="1185"/>
      <c r="AG986" s="1185"/>
      <c r="AH986" s="1185"/>
      <c r="AI986" s="1185"/>
    </row>
    <row r="987" spans="1:35">
      <c r="A987" s="1184" t="s">
        <v>598</v>
      </c>
      <c r="C987" s="1202">
        <v>0</v>
      </c>
      <c r="D987" s="265">
        <v>30.92</v>
      </c>
      <c r="F987" s="1203">
        <f t="shared" ref="F987:F993" si="113">ROUND(D987*$C987,0)</f>
        <v>0</v>
      </c>
      <c r="G987" s="265">
        <v>30.92</v>
      </c>
      <c r="I987" s="1203">
        <f t="shared" si="111"/>
        <v>0</v>
      </c>
      <c r="J987" s="265">
        <f t="shared" ref="J987:J993" si="114">ROUND(G987+(G987*$Q$998),2)</f>
        <v>30.92</v>
      </c>
      <c r="L987" s="1203">
        <f>ROUND(J987*$C987,0)</f>
        <v>0</v>
      </c>
      <c r="N987" s="1204" t="e">
        <f>J987*#REF!</f>
        <v>#REF!</v>
      </c>
      <c r="Q987" s="281"/>
      <c r="R987" s="281"/>
      <c r="S987" s="1186"/>
      <c r="T987" s="403"/>
      <c r="U987" s="403"/>
      <c r="V987" s="283"/>
      <c r="W987" s="283"/>
      <c r="X987" s="283"/>
      <c r="Y987" s="278"/>
      <c r="Z987" s="278"/>
      <c r="AA987" s="281"/>
      <c r="AB987" s="281"/>
      <c r="AC987" s="285"/>
      <c r="AD987" s="281"/>
      <c r="AE987" s="1185"/>
      <c r="AF987" s="1185"/>
      <c r="AG987" s="1185"/>
      <c r="AH987" s="1185"/>
      <c r="AI987" s="1185"/>
    </row>
    <row r="988" spans="1:35">
      <c r="A988" s="1184" t="s">
        <v>599</v>
      </c>
      <c r="C988" s="1202">
        <v>0</v>
      </c>
      <c r="D988" s="265">
        <v>25.79</v>
      </c>
      <c r="F988" s="1203">
        <f t="shared" si="113"/>
        <v>0</v>
      </c>
      <c r="G988" s="265">
        <v>25.79</v>
      </c>
      <c r="I988" s="1203">
        <f t="shared" si="111"/>
        <v>0</v>
      </c>
      <c r="J988" s="265">
        <f t="shared" si="114"/>
        <v>25.79</v>
      </c>
      <c r="L988" s="1203">
        <f t="shared" si="112"/>
        <v>0</v>
      </c>
      <c r="N988" s="1204" t="e">
        <f>J988*#REF!</f>
        <v>#REF!</v>
      </c>
      <c r="Q988" s="281"/>
      <c r="R988" s="281"/>
      <c r="S988" s="1186"/>
      <c r="T988" s="403"/>
      <c r="U988" s="403"/>
      <c r="V988" s="283"/>
      <c r="W988" s="283"/>
      <c r="X988" s="283"/>
      <c r="Y988" s="278"/>
      <c r="Z988" s="278"/>
      <c r="AA988" s="281"/>
      <c r="AB988" s="281"/>
      <c r="AC988" s="285"/>
      <c r="AD988" s="281"/>
      <c r="AE988" s="1185"/>
      <c r="AF988" s="1185"/>
      <c r="AG988" s="1185"/>
      <c r="AH988" s="1185"/>
      <c r="AI988" s="1185"/>
    </row>
    <row r="989" spans="1:35">
      <c r="A989" s="1184" t="s">
        <v>600</v>
      </c>
      <c r="C989" s="1202">
        <v>0</v>
      </c>
      <c r="D989" s="265">
        <v>23.77</v>
      </c>
      <c r="F989" s="1203">
        <f t="shared" si="113"/>
        <v>0</v>
      </c>
      <c r="G989" s="265">
        <v>23.77</v>
      </c>
      <c r="I989" s="1203">
        <f t="shared" si="111"/>
        <v>0</v>
      </c>
      <c r="J989" s="265">
        <f t="shared" si="114"/>
        <v>23.77</v>
      </c>
      <c r="L989" s="1203">
        <f>ROUND(J989*$C989,0)</f>
        <v>0</v>
      </c>
      <c r="N989" s="1204" t="e">
        <f>J989*#REF!</f>
        <v>#REF!</v>
      </c>
      <c r="Q989" s="281"/>
      <c r="R989" s="281"/>
      <c r="S989" s="1186"/>
      <c r="T989" s="403"/>
      <c r="U989" s="403"/>
      <c r="V989" s="283"/>
      <c r="W989" s="283"/>
      <c r="X989" s="283"/>
      <c r="Y989" s="278"/>
      <c r="Z989" s="278"/>
      <c r="AA989" s="281"/>
      <c r="AB989" s="281"/>
      <c r="AC989" s="285"/>
      <c r="AD989" s="281"/>
      <c r="AE989" s="1185"/>
      <c r="AF989" s="1185"/>
      <c r="AG989" s="1185"/>
      <c r="AH989" s="1185"/>
      <c r="AI989" s="1185"/>
    </row>
    <row r="990" spans="1:35">
      <c r="A990" s="1184" t="s">
        <v>601</v>
      </c>
      <c r="C990" s="1202">
        <v>0</v>
      </c>
      <c r="D990" s="265">
        <v>34.74</v>
      </c>
      <c r="F990" s="1203">
        <f t="shared" si="113"/>
        <v>0</v>
      </c>
      <c r="G990" s="265">
        <v>34.74</v>
      </c>
      <c r="I990" s="1203">
        <f t="shared" si="111"/>
        <v>0</v>
      </c>
      <c r="J990" s="265">
        <f t="shared" si="114"/>
        <v>34.74</v>
      </c>
      <c r="L990" s="1203">
        <f t="shared" si="112"/>
        <v>0</v>
      </c>
      <c r="N990" s="1204" t="e">
        <f>J990*#REF!</f>
        <v>#REF!</v>
      </c>
      <c r="Q990" s="281"/>
      <c r="R990" s="281"/>
      <c r="S990" s="1186"/>
      <c r="T990" s="403"/>
      <c r="U990" s="403"/>
      <c r="V990" s="283"/>
      <c r="W990" s="283"/>
      <c r="X990" s="283"/>
      <c r="Y990" s="278"/>
      <c r="Z990" s="278"/>
      <c r="AA990" s="281"/>
      <c r="AB990" s="281"/>
      <c r="AC990" s="285"/>
      <c r="AD990" s="281"/>
      <c r="AE990" s="1185"/>
      <c r="AF990" s="1185"/>
      <c r="AG990" s="1185"/>
      <c r="AH990" s="1185"/>
      <c r="AI990" s="1185"/>
    </row>
    <row r="991" spans="1:35">
      <c r="A991" s="1184" t="s">
        <v>602</v>
      </c>
      <c r="C991" s="1202">
        <v>0</v>
      </c>
      <c r="D991" s="265">
        <v>27.97</v>
      </c>
      <c r="F991" s="1203">
        <f t="shared" si="113"/>
        <v>0</v>
      </c>
      <c r="G991" s="265">
        <v>27.97</v>
      </c>
      <c r="I991" s="1203">
        <f t="shared" si="111"/>
        <v>0</v>
      </c>
      <c r="J991" s="265">
        <f t="shared" si="114"/>
        <v>27.97</v>
      </c>
      <c r="L991" s="1203">
        <f>ROUND(J991*$C991,0)</f>
        <v>0</v>
      </c>
      <c r="N991" s="1204" t="e">
        <f>J991*#REF!</f>
        <v>#REF!</v>
      </c>
      <c r="Q991" s="281"/>
      <c r="R991" s="281"/>
      <c r="S991" s="1186"/>
      <c r="T991" s="403"/>
      <c r="U991" s="403"/>
      <c r="V991" s="283"/>
      <c r="W991" s="283"/>
      <c r="X991" s="283"/>
      <c r="Y991" s="278"/>
      <c r="Z991" s="278"/>
      <c r="AA991" s="281"/>
      <c r="AB991" s="281"/>
      <c r="AC991" s="285"/>
      <c r="AD991" s="281"/>
      <c r="AE991" s="1185"/>
      <c r="AF991" s="1185"/>
      <c r="AG991" s="1185"/>
      <c r="AH991" s="1185"/>
      <c r="AI991" s="1185"/>
    </row>
    <row r="992" spans="1:35">
      <c r="A992" s="1184" t="s">
        <v>603</v>
      </c>
      <c r="C992" s="1202">
        <v>0</v>
      </c>
      <c r="D992" s="265">
        <v>27.49</v>
      </c>
      <c r="F992" s="1203">
        <f t="shared" si="113"/>
        <v>0</v>
      </c>
      <c r="G992" s="265">
        <v>27.49</v>
      </c>
      <c r="I992" s="1203">
        <f t="shared" si="111"/>
        <v>0</v>
      </c>
      <c r="J992" s="265">
        <f t="shared" si="114"/>
        <v>27.49</v>
      </c>
      <c r="L992" s="1203">
        <f>ROUND(J992*$C992,0)</f>
        <v>0</v>
      </c>
      <c r="N992" s="1204" t="e">
        <f>J992*#REF!</f>
        <v>#REF!</v>
      </c>
      <c r="Q992" s="281"/>
      <c r="R992" s="281"/>
      <c r="S992" s="1186"/>
      <c r="T992" s="403"/>
      <c r="U992" s="403"/>
      <c r="V992" s="283"/>
      <c r="W992" s="283"/>
      <c r="X992" s="283"/>
      <c r="Y992" s="278"/>
      <c r="Z992" s="278"/>
      <c r="AA992" s="281"/>
      <c r="AB992" s="281"/>
      <c r="AC992" s="285"/>
      <c r="AD992" s="281"/>
      <c r="AE992" s="1185"/>
      <c r="AF992" s="1185"/>
      <c r="AG992" s="1185"/>
      <c r="AH992" s="1185"/>
      <c r="AI992" s="1185"/>
    </row>
    <row r="993" spans="1:35">
      <c r="A993" s="1184" t="s">
        <v>604</v>
      </c>
      <c r="C993" s="1202">
        <v>0</v>
      </c>
      <c r="D993" s="265">
        <v>29.93</v>
      </c>
      <c r="F993" s="1203">
        <f t="shared" si="113"/>
        <v>0</v>
      </c>
      <c r="G993" s="265">
        <v>29.93</v>
      </c>
      <c r="I993" s="1203">
        <f t="shared" si="111"/>
        <v>0</v>
      </c>
      <c r="J993" s="265">
        <f t="shared" si="114"/>
        <v>29.93</v>
      </c>
      <c r="L993" s="1203">
        <f>ROUND(J993*$C993,0)</f>
        <v>0</v>
      </c>
      <c r="N993" s="1204" t="e">
        <f>J993*#REF!</f>
        <v>#REF!</v>
      </c>
      <c r="Q993" s="281"/>
      <c r="R993" s="281"/>
      <c r="S993" s="1186"/>
      <c r="T993" s="403"/>
      <c r="U993" s="403"/>
      <c r="V993" s="283"/>
      <c r="W993" s="283"/>
      <c r="X993" s="283"/>
      <c r="Y993" s="278"/>
      <c r="Z993" s="278"/>
      <c r="AA993" s="281"/>
      <c r="AB993" s="281"/>
      <c r="AC993" s="285"/>
      <c r="AD993" s="281"/>
      <c r="AE993" s="1185"/>
      <c r="AF993" s="1185"/>
      <c r="AG993" s="1185"/>
      <c r="AH993" s="1185"/>
      <c r="AI993" s="1185"/>
    </row>
    <row r="994" spans="1:35">
      <c r="A994" s="1184" t="s">
        <v>362</v>
      </c>
      <c r="C994" s="1202">
        <f>163*12</f>
        <v>1956</v>
      </c>
      <c r="D994" s="265"/>
      <c r="F994" s="1203"/>
      <c r="G994" s="265"/>
      <c r="I994" s="1203"/>
      <c r="J994" s="265"/>
      <c r="L994" s="1203"/>
      <c r="Q994" s="281"/>
      <c r="R994" s="281"/>
      <c r="S994" s="1186"/>
      <c r="T994" s="403"/>
      <c r="U994" s="403"/>
      <c r="V994" s="283"/>
      <c r="W994" s="283"/>
      <c r="X994" s="283"/>
      <c r="Y994" s="278"/>
      <c r="Z994" s="278"/>
      <c r="AA994" s="281"/>
      <c r="AB994" s="281"/>
      <c r="AC994" s="281"/>
      <c r="AD994" s="281"/>
      <c r="AE994" s="1185"/>
      <c r="AF994" s="1185"/>
      <c r="AG994" s="1185"/>
      <c r="AH994" s="1185"/>
      <c r="AI994" s="1185"/>
    </row>
    <row r="995" spans="1:35">
      <c r="A995" s="1184" t="s">
        <v>381</v>
      </c>
      <c r="C995" s="1202">
        <f>3331018</f>
        <v>3331018</v>
      </c>
      <c r="D995" s="269"/>
      <c r="E995" s="1185"/>
      <c r="F995" s="1210">
        <f>SUM(F976:F988)</f>
        <v>620705</v>
      </c>
      <c r="G995" s="269"/>
      <c r="H995" s="1185"/>
      <c r="I995" s="1210">
        <f>SUM(I976:I988)</f>
        <v>654187</v>
      </c>
      <c r="J995" s="269"/>
      <c r="K995" s="1185"/>
      <c r="L995" s="1210">
        <f>SUM(L976:L994)</f>
        <v>654187</v>
      </c>
      <c r="N995" s="1204" t="e">
        <f>SUM(N976:N994)</f>
        <v>#REF!</v>
      </c>
      <c r="Q995" s="281"/>
      <c r="R995" s="281"/>
      <c r="S995" s="1339"/>
      <c r="T995" s="1185"/>
      <c r="U995" s="1185"/>
      <c r="V995" s="287"/>
      <c r="W995" s="287"/>
      <c r="X995" s="287"/>
      <c r="Y995" s="278"/>
      <c r="Z995" s="278"/>
      <c r="AA995" s="288"/>
      <c r="AB995" s="278"/>
      <c r="AC995" s="278"/>
      <c r="AD995" s="278"/>
      <c r="AE995" s="1185"/>
      <c r="AF995" s="1185"/>
      <c r="AG995" s="1185"/>
      <c r="AH995" s="1185"/>
      <c r="AI995" s="1185"/>
    </row>
    <row r="996" spans="1:35">
      <c r="A996" s="1184" t="s">
        <v>363</v>
      </c>
      <c r="C996" s="1202">
        <f>'[97]Table 2'!H124</f>
        <v>-290831.01874098979</v>
      </c>
      <c r="D996" s="269"/>
      <c r="E996" s="1185"/>
      <c r="F996" s="1210" t="e">
        <f>#REF!</f>
        <v>#REF!</v>
      </c>
      <c r="G996" s="269"/>
      <c r="H996" s="1185"/>
      <c r="I996" s="1210">
        <f>'[97]Table 3'!E124</f>
        <v>-53742.020983527946</v>
      </c>
      <c r="J996" s="269"/>
      <c r="K996" s="1185"/>
      <c r="L996" s="1210">
        <f>I996</f>
        <v>-53742.020983527946</v>
      </c>
      <c r="N996" s="289"/>
      <c r="O996" s="289"/>
      <c r="Q996" s="287"/>
      <c r="R996" s="287"/>
      <c r="S996" s="403"/>
      <c r="T996" s="1185"/>
      <c r="U996" s="1185"/>
      <c r="V996" s="1185"/>
      <c r="W996" s="1185"/>
      <c r="X996" s="1185"/>
      <c r="Y996" s="281"/>
      <c r="Z996" s="278"/>
      <c r="AA996" s="1185"/>
      <c r="AB996" s="1185"/>
      <c r="AC996" s="1185"/>
      <c r="AD996" s="1185"/>
      <c r="AE996" s="1185"/>
      <c r="AF996" s="1185"/>
      <c r="AG996" s="1185"/>
      <c r="AH996" s="1185"/>
      <c r="AI996" s="1185"/>
    </row>
    <row r="997" spans="1:35" ht="16.5" thickBot="1">
      <c r="A997" s="1184" t="s">
        <v>9</v>
      </c>
      <c r="C997" s="1212">
        <f>C995+C996</f>
        <v>3040186.9812590103</v>
      </c>
      <c r="D997" s="1213"/>
      <c r="E997" s="1213"/>
      <c r="F997" s="1213" t="e">
        <f>F995+F996</f>
        <v>#REF!</v>
      </c>
      <c r="G997" s="1214"/>
      <c r="H997" s="1214"/>
      <c r="I997" s="1213">
        <f>I995+I996</f>
        <v>600444.979016472</v>
      </c>
      <c r="J997" s="1214"/>
      <c r="K997" s="1214"/>
      <c r="L997" s="1213">
        <f>L995+L996</f>
        <v>600444.979016472</v>
      </c>
      <c r="N997" s="291"/>
      <c r="O997" s="788" t="s">
        <v>409</v>
      </c>
      <c r="P997" s="817">
        <f>'[97]Rate Spread targets'!Q36*1000</f>
        <v>600444.979016472</v>
      </c>
      <c r="Q997" s="828">
        <f>(L997-I997)/I997</f>
        <v>0</v>
      </c>
      <c r="R997" s="777"/>
      <c r="Y997" s="278"/>
      <c r="Z997" s="278"/>
      <c r="AA997" s="1185"/>
      <c r="AB997" s="1185"/>
      <c r="AC997" s="1185"/>
      <c r="AD997" s="1185"/>
      <c r="AE997" s="1185"/>
      <c r="AF997" s="1185"/>
      <c r="AG997" s="1185"/>
      <c r="AH997" s="1185"/>
      <c r="AI997" s="1185"/>
    </row>
    <row r="998" spans="1:35" ht="16.5" thickTop="1">
      <c r="A998" s="1219"/>
      <c r="B998" s="1219"/>
      <c r="C998" s="1225"/>
      <c r="D998" s="1225"/>
      <c r="E998" s="1225"/>
      <c r="F998" s="1203"/>
      <c r="G998" s="1225" t="s">
        <v>31</v>
      </c>
      <c r="H998" s="1225"/>
      <c r="I998" s="1203"/>
      <c r="J998" s="1225" t="s">
        <v>31</v>
      </c>
      <c r="K998" s="1225"/>
      <c r="L998" s="1203" t="s">
        <v>31</v>
      </c>
      <c r="N998" s="277"/>
      <c r="O998" s="789" t="s">
        <v>263</v>
      </c>
      <c r="P998" s="812">
        <f>P997-L997</f>
        <v>0</v>
      </c>
      <c r="Q998" s="1135">
        <v>0</v>
      </c>
      <c r="R998" s="826"/>
      <c r="T998" s="277"/>
      <c r="U998" s="277"/>
      <c r="V998" s="277"/>
      <c r="W998" s="277"/>
      <c r="X998" s="277"/>
      <c r="Y998" s="278"/>
      <c r="Z998" s="278"/>
      <c r="AA998" s="1185"/>
      <c r="AB998" s="1185"/>
      <c r="AC998" s="1185"/>
      <c r="AD998" s="1185"/>
      <c r="AE998" s="1185"/>
      <c r="AF998" s="1185"/>
      <c r="AG998" s="1185"/>
      <c r="AH998" s="1185"/>
      <c r="AI998" s="1185"/>
    </row>
    <row r="999" spans="1:35">
      <c r="A999" s="1224" t="s">
        <v>486</v>
      </c>
      <c r="B999" s="1219"/>
      <c r="C999" s="1219"/>
      <c r="D999" s="1219"/>
      <c r="E999" s="1219"/>
      <c r="F999" s="1219"/>
      <c r="G999" s="1219"/>
      <c r="H999" s="1219"/>
      <c r="I999" s="1219"/>
      <c r="J999" s="1219"/>
      <c r="K999" s="1219"/>
      <c r="L999" s="1219"/>
      <c r="N999" s="278"/>
      <c r="O999" s="278"/>
      <c r="P999" s="287"/>
      <c r="Q999" s="278"/>
      <c r="R999" s="278"/>
      <c r="S999" s="1185"/>
      <c r="T999" s="1185"/>
      <c r="U999" s="1185"/>
      <c r="V999" s="1185"/>
      <c r="W999" s="1185"/>
      <c r="X999" s="1185"/>
      <c r="Y999" s="1185"/>
      <c r="Z999" s="278"/>
      <c r="AA999" s="278"/>
      <c r="AB999" s="278"/>
      <c r="AC999" s="278"/>
      <c r="AD999" s="278"/>
      <c r="AE999" s="1185"/>
      <c r="AF999" s="1185"/>
      <c r="AG999" s="1185"/>
      <c r="AH999" s="1185"/>
      <c r="AI999" s="1185"/>
    </row>
    <row r="1000" spans="1:35">
      <c r="A1000" s="1219" t="s">
        <v>487</v>
      </c>
      <c r="B1000" s="1219"/>
      <c r="C1000" s="1219"/>
      <c r="D1000" s="1219"/>
      <c r="E1000" s="1219"/>
      <c r="F1000" s="1219"/>
      <c r="G1000" s="1219"/>
      <c r="H1000" s="1219"/>
      <c r="I1000" s="1219"/>
      <c r="J1000" s="1219"/>
      <c r="K1000" s="1219"/>
      <c r="L1000" s="1219"/>
      <c r="N1000" s="1185"/>
      <c r="O1000" s="1185"/>
      <c r="P1000" s="1186"/>
      <c r="Q1000" s="1186"/>
      <c r="R1000" s="1186"/>
      <c r="S1000" s="1185"/>
      <c r="T1000" s="1185"/>
      <c r="U1000" s="1185"/>
      <c r="V1000" s="1185"/>
      <c r="W1000" s="1185"/>
      <c r="X1000" s="1185"/>
      <c r="Y1000" s="1185"/>
      <c r="Z1000" s="278"/>
      <c r="AA1000" s="278"/>
      <c r="AB1000" s="278"/>
      <c r="AC1000" s="278"/>
      <c r="AD1000" s="278"/>
      <c r="AE1000" s="1185"/>
      <c r="AF1000" s="1185"/>
      <c r="AG1000" s="1185"/>
      <c r="AH1000" s="1185"/>
      <c r="AI1000" s="1185"/>
    </row>
    <row r="1001" spans="1:35">
      <c r="A1001" s="1219"/>
      <c r="B1001" s="1219"/>
      <c r="C1001" s="1219"/>
      <c r="D1001" s="1219"/>
      <c r="E1001" s="1219"/>
      <c r="F1001" s="1219"/>
      <c r="G1001" s="1219"/>
      <c r="H1001" s="1219"/>
      <c r="I1001" s="1219"/>
      <c r="J1001" s="1219"/>
      <c r="K1001" s="1219"/>
      <c r="L1001" s="1219"/>
      <c r="N1001" s="1185"/>
      <c r="O1001" s="1185"/>
      <c r="P1001" s="1186"/>
      <c r="Q1001" s="1186" t="s">
        <v>31</v>
      </c>
      <c r="R1001" s="1186"/>
      <c r="S1001" s="1185"/>
      <c r="T1001" s="1185"/>
      <c r="U1001" s="1185"/>
      <c r="V1001" s="1185"/>
      <c r="W1001" s="1185"/>
      <c r="X1001" s="1185"/>
      <c r="Y1001" s="1185"/>
      <c r="Z1001" s="278"/>
      <c r="AA1001" s="278"/>
      <c r="AB1001" s="278"/>
      <c r="AC1001" s="278"/>
      <c r="AD1001" s="278"/>
      <c r="AE1001" s="1185"/>
      <c r="AF1001" s="1185"/>
      <c r="AG1001" s="1185"/>
      <c r="AH1001" s="1185"/>
      <c r="AI1001" s="1185"/>
    </row>
    <row r="1002" spans="1:35">
      <c r="A1002" s="1219" t="s">
        <v>488</v>
      </c>
      <c r="B1002" s="1219"/>
      <c r="C1002" s="1225"/>
      <c r="D1002" s="1229"/>
      <c r="E1002" s="1219"/>
      <c r="F1002" s="1203">
        <v>28343.35</v>
      </c>
      <c r="G1002" s="1229"/>
      <c r="H1002" s="1219"/>
      <c r="I1002" s="1203">
        <f>26253.69</f>
        <v>26253.69</v>
      </c>
      <c r="J1002" s="1229"/>
      <c r="K1002" s="1219"/>
      <c r="L1002" s="1203">
        <f>I1002</f>
        <v>26253.69</v>
      </c>
      <c r="N1002" s="1204">
        <f>L1002</f>
        <v>26253.69</v>
      </c>
      <c r="O1002" s="1185"/>
      <c r="P1002" s="1186"/>
      <c r="Q1002" s="1186" t="s">
        <v>31</v>
      </c>
      <c r="R1002" s="1186"/>
      <c r="S1002" s="1185"/>
      <c r="T1002" s="1185"/>
      <c r="U1002" s="1185"/>
      <c r="V1002" s="1185"/>
      <c r="W1002" s="1185"/>
      <c r="X1002" s="1185"/>
      <c r="Y1002" s="1185"/>
      <c r="Z1002" s="1185"/>
      <c r="AA1002" s="1185"/>
      <c r="AB1002" s="1185"/>
      <c r="AC1002" s="1185"/>
      <c r="AD1002" s="1185"/>
      <c r="AE1002" s="1185"/>
      <c r="AF1002" s="1185"/>
      <c r="AG1002" s="1185"/>
      <c r="AH1002" s="1185"/>
      <c r="AI1002" s="1185"/>
    </row>
    <row r="1003" spans="1:35">
      <c r="A1003" s="1219" t="s">
        <v>489</v>
      </c>
      <c r="B1003" s="1219"/>
      <c r="C1003" s="1202">
        <f>314125</f>
        <v>314125</v>
      </c>
      <c r="D1003" s="1328">
        <v>7.0739999999999998</v>
      </c>
      <c r="E1003" s="1219" t="s">
        <v>374</v>
      </c>
      <c r="F1003" s="1340">
        <f>ROUND(C1003*D1003/100,0)</f>
        <v>22221</v>
      </c>
      <c r="G1003" s="1328">
        <v>7.8140000000000001</v>
      </c>
      <c r="H1003" s="1219" t="s">
        <v>374</v>
      </c>
      <c r="I1003" s="1340">
        <f>ROUND(G1003*C1003/100,0)</f>
        <v>24546</v>
      </c>
      <c r="J1003" s="1316">
        <v>7.8140000000000001</v>
      </c>
      <c r="K1003" s="1219" t="s">
        <v>374</v>
      </c>
      <c r="L1003" s="1203">
        <f>ROUND(J1003*$C1003/100,0)</f>
        <v>24546</v>
      </c>
      <c r="N1003" s="1204" t="e">
        <f>(J1003/100)*#REF!</f>
        <v>#REF!</v>
      </c>
      <c r="O1003" s="1185"/>
      <c r="P1003" s="1186"/>
      <c r="Q1003" s="1186"/>
      <c r="R1003" s="1186"/>
      <c r="S1003" s="1185"/>
      <c r="T1003" s="1185"/>
      <c r="U1003" s="1185"/>
      <c r="V1003" s="1185"/>
      <c r="W1003" s="1185"/>
      <c r="X1003" s="1185"/>
      <c r="Y1003" s="1185"/>
      <c r="Z1003" s="1185"/>
      <c r="AA1003" s="1185"/>
      <c r="AB1003" s="1185"/>
      <c r="AC1003" s="1185"/>
      <c r="AD1003" s="1185"/>
      <c r="AE1003" s="1185"/>
      <c r="AF1003" s="1185"/>
      <c r="AG1003" s="1185"/>
      <c r="AH1003" s="1185"/>
      <c r="AI1003" s="1185"/>
    </row>
    <row r="1004" spans="1:35">
      <c r="A1004" s="1219" t="s">
        <v>490</v>
      </c>
      <c r="B1004" s="1219"/>
      <c r="C1004" s="1202">
        <v>0</v>
      </c>
      <c r="D1004" s="1328">
        <v>7.9160000000000004</v>
      </c>
      <c r="E1004" s="1219" t="s">
        <v>374</v>
      </c>
      <c r="F1004" s="1340">
        <f>ROUND(C1004*D1004/100,0)</f>
        <v>0</v>
      </c>
      <c r="G1004" s="1316">
        <v>8.7439999999999998</v>
      </c>
      <c r="H1004" s="1219" t="s">
        <v>374</v>
      </c>
      <c r="I1004" s="1340">
        <f>ROUND(G1004*C1004/100,0)</f>
        <v>0</v>
      </c>
      <c r="J1004" s="1316">
        <f>ROUND(G1004/G1003*J1003,3)</f>
        <v>8.7439999999999998</v>
      </c>
      <c r="K1004" s="1219" t="s">
        <v>374</v>
      </c>
      <c r="L1004" s="1203">
        <f>ROUND(J1004*$C1004/100,0)</f>
        <v>0</v>
      </c>
      <c r="N1004" s="1204" t="e">
        <f>(J1004/100)*#REF!</f>
        <v>#REF!</v>
      </c>
      <c r="O1004" s="1185"/>
      <c r="P1004" s="1186"/>
      <c r="Q1004" s="1185"/>
      <c r="R1004" s="1185"/>
      <c r="S1004" s="1185"/>
      <c r="T1004" s="1185"/>
      <c r="U1004" s="1185"/>
      <c r="V1004" s="1185"/>
      <c r="W1004" s="1185"/>
      <c r="X1004" s="1185"/>
      <c r="Y1004" s="1185"/>
      <c r="Z1004" s="1185"/>
      <c r="AA1004" s="1185"/>
      <c r="AB1004" s="1185"/>
      <c r="AC1004" s="1185"/>
      <c r="AD1004" s="1185"/>
      <c r="AE1004" s="1185"/>
      <c r="AF1004" s="1185"/>
      <c r="AG1004" s="1185"/>
      <c r="AH1004" s="1185"/>
      <c r="AI1004" s="1185"/>
    </row>
    <row r="1005" spans="1:35">
      <c r="A1005" s="1219" t="s">
        <v>362</v>
      </c>
      <c r="B1005" s="1219"/>
      <c r="C1005" s="1202">
        <f>18*12</f>
        <v>216</v>
      </c>
      <c r="D1005" s="1341"/>
      <c r="E1005" s="1219"/>
      <c r="F1005" s="1203"/>
      <c r="G1005" s="1341"/>
      <c r="H1005" s="1219"/>
      <c r="I1005" s="1203"/>
      <c r="J1005" s="1341"/>
      <c r="K1005" s="1219"/>
      <c r="L1005" s="1203"/>
      <c r="N1005" s="1185"/>
      <c r="O1005" s="1185"/>
      <c r="P1005" s="1186"/>
      <c r="Q1005" s="1186"/>
      <c r="R1005" s="1186"/>
      <c r="S1005" s="1185"/>
      <c r="T1005" s="1185"/>
      <c r="U1005" s="1185"/>
      <c r="V1005" s="1185"/>
      <c r="W1005" s="1185"/>
      <c r="X1005" s="1185"/>
      <c r="Y1005" s="1185"/>
      <c r="Z1005" s="1185"/>
      <c r="AA1005" s="1185"/>
      <c r="AB1005" s="1185"/>
      <c r="AC1005" s="1185"/>
      <c r="AD1005" s="1185"/>
      <c r="AE1005" s="1185"/>
      <c r="AF1005" s="1185"/>
      <c r="AG1005" s="1185"/>
      <c r="AH1005" s="1185"/>
      <c r="AI1005" s="1185"/>
    </row>
    <row r="1006" spans="1:35">
      <c r="A1006" s="1184" t="s">
        <v>491</v>
      </c>
      <c r="C1006" s="1202">
        <f>SUM(C1003:C1004)</f>
        <v>314125</v>
      </c>
      <c r="D1006" s="269"/>
      <c r="E1006" s="1185"/>
      <c r="F1006" s="1210">
        <f>SUM(F1002:F1004)</f>
        <v>50564.35</v>
      </c>
      <c r="G1006" s="269"/>
      <c r="H1006" s="1185"/>
      <c r="I1006" s="1210">
        <f>SUM(I1002:I1004)</f>
        <v>50799.69</v>
      </c>
      <c r="J1006" s="269"/>
      <c r="K1006" s="1185"/>
      <c r="L1006" s="1210">
        <f>SUM(L1002:L1005)</f>
        <v>50799.69</v>
      </c>
      <c r="N1006" s="1274" t="e">
        <f>SUM(N1002:N1005)</f>
        <v>#REF!</v>
      </c>
      <c r="O1006" s="1185"/>
      <c r="P1006" s="1186"/>
      <c r="Q1006" s="1186"/>
      <c r="R1006" s="1186"/>
      <c r="S1006" s="1185"/>
      <c r="T1006" s="1185"/>
      <c r="U1006" s="1185"/>
      <c r="V1006" s="1185"/>
      <c r="W1006" s="1185"/>
      <c r="X1006" s="1185"/>
      <c r="Y1006" s="1185"/>
      <c r="Z1006" s="1185"/>
      <c r="AA1006" s="1185"/>
      <c r="AB1006" s="1185"/>
      <c r="AC1006" s="1185"/>
      <c r="AD1006" s="1185"/>
      <c r="AE1006" s="1185"/>
      <c r="AF1006" s="1185"/>
      <c r="AG1006" s="1185"/>
      <c r="AH1006" s="1185"/>
      <c r="AI1006" s="1185"/>
    </row>
    <row r="1007" spans="1:35">
      <c r="A1007" s="1184" t="s">
        <v>492</v>
      </c>
      <c r="C1007" s="1202">
        <f>'[97]Table 2'!H121</f>
        <v>-27426.275046401868</v>
      </c>
      <c r="D1007" s="269"/>
      <c r="E1007" s="1185"/>
      <c r="F1007" s="1210" t="e">
        <f>#REF!</f>
        <v>#REF!</v>
      </c>
      <c r="G1007" s="269"/>
      <c r="H1007" s="1185"/>
      <c r="I1007" s="1210">
        <f>'[97]Table 3'!E121</f>
        <v>-4174.4211898859912</v>
      </c>
      <c r="J1007" s="269"/>
      <c r="K1007" s="1185"/>
      <c r="L1007" s="1210">
        <f>I1007</f>
        <v>-4174.4211898859912</v>
      </c>
      <c r="N1007" s="289"/>
      <c r="O1007" s="289"/>
      <c r="P1007" s="290"/>
      <c r="Q1007" s="1186"/>
      <c r="R1007" s="1186"/>
      <c r="S1007" s="1185"/>
      <c r="T1007" s="1185"/>
      <c r="U1007" s="1185"/>
      <c r="V1007" s="1185"/>
      <c r="W1007" s="1185"/>
      <c r="X1007" s="1185"/>
      <c r="Y1007" s="1185"/>
      <c r="Z1007" s="1185"/>
      <c r="AA1007" s="1185"/>
      <c r="AB1007" s="1185"/>
      <c r="AC1007" s="1185"/>
      <c r="AD1007" s="1185"/>
      <c r="AE1007" s="1185"/>
      <c r="AF1007" s="1185"/>
      <c r="AG1007" s="1185"/>
      <c r="AH1007" s="1185"/>
      <c r="AI1007" s="1185"/>
    </row>
    <row r="1008" spans="1:35" ht="16.5" thickBot="1">
      <c r="A1008" s="1219" t="s">
        <v>9</v>
      </c>
      <c r="B1008" s="1219"/>
      <c r="C1008" s="1321">
        <f>C1006+C1007</f>
        <v>286698.72495359811</v>
      </c>
      <c r="D1008" s="1342"/>
      <c r="E1008" s="1343"/>
      <c r="F1008" s="1213" t="e">
        <f>F1006+F1007</f>
        <v>#REF!</v>
      </c>
      <c r="G1008" s="1344"/>
      <c r="H1008" s="1269"/>
      <c r="I1008" s="1213">
        <f>I1006+I1007</f>
        <v>46625.268810114008</v>
      </c>
      <c r="J1008" s="1344"/>
      <c r="K1008" s="1269"/>
      <c r="L1008" s="1213">
        <f>L1006+L1007</f>
        <v>46625.268810114008</v>
      </c>
      <c r="N1008" s="291"/>
      <c r="O1008" s="788" t="s">
        <v>409</v>
      </c>
      <c r="P1008" s="1216">
        <f>'[97]Rate Spread targets'!Q37*1000</f>
        <v>46625.268810114008</v>
      </c>
      <c r="Q1008" s="828">
        <f>(L1008-I1008)/I1008</f>
        <v>0</v>
      </c>
      <c r="R1008" s="827"/>
      <c r="S1008" s="1185"/>
      <c r="T1008" s="1185"/>
      <c r="U1008" s="1185"/>
      <c r="V1008" s="1185"/>
      <c r="W1008" s="1185"/>
      <c r="X1008" s="1185"/>
      <c r="Y1008" s="1185"/>
      <c r="Z1008" s="1185"/>
      <c r="AA1008" s="1185"/>
      <c r="AB1008" s="1185"/>
      <c r="AC1008" s="1185"/>
      <c r="AD1008" s="1185"/>
      <c r="AE1008" s="1185"/>
      <c r="AF1008" s="1185"/>
      <c r="AG1008" s="1185"/>
      <c r="AH1008" s="1185"/>
      <c r="AI1008" s="1185"/>
    </row>
    <row r="1009" spans="1:35" ht="16.5" thickTop="1">
      <c r="A1009" s="1219"/>
      <c r="B1009" s="1219"/>
      <c r="C1009" s="1219"/>
      <c r="D1009" s="1317"/>
      <c r="E1009" s="1219"/>
      <c r="F1009" s="1219"/>
      <c r="G1009" s="1317" t="s">
        <v>31</v>
      </c>
      <c r="H1009" s="1219"/>
      <c r="I1009" s="1219"/>
      <c r="J1009" s="1317" t="s">
        <v>31</v>
      </c>
      <c r="K1009" s="1219"/>
      <c r="L1009" s="1203" t="s">
        <v>31</v>
      </c>
      <c r="N1009" s="1185"/>
      <c r="O1009" s="789" t="s">
        <v>263</v>
      </c>
      <c r="P1009" s="1221">
        <f>P1008-L1008</f>
        <v>0</v>
      </c>
      <c r="Q1009" s="816" t="s">
        <v>31</v>
      </c>
      <c r="R1009" s="826"/>
      <c r="S1009" s="1185"/>
      <c r="T1009" s="1185"/>
      <c r="U1009" s="1185"/>
      <c r="V1009" s="1185"/>
      <c r="W1009" s="1185"/>
      <c r="X1009" s="1185"/>
      <c r="Y1009" s="1185"/>
      <c r="Z1009" s="1185"/>
      <c r="AA1009" s="1185"/>
      <c r="AB1009" s="1185"/>
      <c r="AC1009" s="1185"/>
      <c r="AD1009" s="1185"/>
      <c r="AE1009" s="1185"/>
      <c r="AF1009" s="1185"/>
      <c r="AG1009" s="1185"/>
      <c r="AH1009" s="1185"/>
      <c r="AI1009" s="1185"/>
    </row>
    <row r="1010" spans="1:35">
      <c r="A1010" s="1224" t="s">
        <v>493</v>
      </c>
      <c r="B1010" s="1219"/>
      <c r="C1010" s="1219"/>
      <c r="D1010" s="1219"/>
      <c r="E1010" s="1219"/>
      <c r="F1010" s="1219"/>
      <c r="G1010" s="1219"/>
      <c r="H1010" s="1219"/>
      <c r="I1010" s="1219"/>
      <c r="J1010" s="1219"/>
      <c r="K1010" s="1219"/>
      <c r="L1010" s="1219"/>
      <c r="N1010" s="1185"/>
      <c r="O1010" s="1185"/>
      <c r="P1010" s="1186"/>
      <c r="Q1010" s="1186"/>
      <c r="R1010" s="1186"/>
      <c r="S1010" s="1185"/>
      <c r="T1010" s="1185"/>
      <c r="U1010" s="1185"/>
      <c r="V1010" s="1185"/>
      <c r="W1010" s="1185"/>
      <c r="X1010" s="1185"/>
      <c r="Y1010" s="1185"/>
      <c r="Z1010" s="1185"/>
      <c r="AA1010" s="1185"/>
      <c r="AB1010" s="1185"/>
      <c r="AC1010" s="1185"/>
      <c r="AD1010" s="1185"/>
      <c r="AE1010" s="1185"/>
      <c r="AF1010" s="1185"/>
      <c r="AG1010" s="1185"/>
      <c r="AH1010" s="1185"/>
      <c r="AI1010" s="1185"/>
    </row>
    <row r="1011" spans="1:35">
      <c r="A1011" s="1219" t="s">
        <v>494</v>
      </c>
      <c r="B1011" s="1219"/>
      <c r="C1011" s="1219"/>
      <c r="D1011" s="1219"/>
      <c r="E1011" s="1219"/>
      <c r="F1011" s="1219"/>
      <c r="G1011" s="1219"/>
      <c r="H1011" s="1219"/>
      <c r="I1011" s="1219"/>
      <c r="J1011" s="1219"/>
      <c r="K1011" s="1219"/>
      <c r="L1011" s="1219"/>
      <c r="N1011" s="1185"/>
      <c r="O1011" s="1185"/>
      <c r="P1011" s="1186"/>
      <c r="Q1011" s="1186"/>
      <c r="R1011" s="1186"/>
      <c r="S1011" s="1185"/>
      <c r="T1011" s="1185"/>
      <c r="U1011" s="1185"/>
      <c r="V1011" s="1185"/>
      <c r="W1011" s="1185"/>
      <c r="X1011" s="1185"/>
      <c r="Y1011" s="1185"/>
      <c r="Z1011" s="1185"/>
      <c r="AA1011" s="1185"/>
      <c r="AB1011" s="1185"/>
      <c r="AC1011" s="1185"/>
      <c r="AD1011" s="1185"/>
      <c r="AE1011" s="1185"/>
      <c r="AF1011" s="1185"/>
      <c r="AG1011" s="1185"/>
      <c r="AH1011" s="1185"/>
      <c r="AI1011" s="1185"/>
    </row>
    <row r="1012" spans="1:35">
      <c r="A1012" s="1219"/>
      <c r="B1012" s="1219"/>
      <c r="C1012" s="1219"/>
      <c r="D1012" s="1317"/>
      <c r="E1012" s="1219"/>
      <c r="F1012" s="1219"/>
      <c r="G1012" s="1317"/>
      <c r="H1012" s="1219"/>
      <c r="I1012" s="1219"/>
      <c r="J1012" s="1317"/>
      <c r="K1012" s="1219"/>
      <c r="L1012" s="1219"/>
      <c r="N1012" s="1185"/>
      <c r="O1012" s="1185"/>
      <c r="P1012" s="1186"/>
      <c r="Q1012" s="1186"/>
      <c r="R1012" s="1186"/>
      <c r="S1012" s="1185"/>
      <c r="T1012" s="1185"/>
      <c r="U1012" s="1185"/>
      <c r="V1012" s="1185"/>
      <c r="W1012" s="1185"/>
      <c r="X1012" s="1185"/>
      <c r="Y1012" s="1185"/>
      <c r="Z1012" s="1185"/>
      <c r="AA1012" s="1185"/>
      <c r="AB1012" s="1185"/>
      <c r="AC1012" s="1185"/>
      <c r="AD1012" s="1185"/>
      <c r="AE1012" s="1185"/>
      <c r="AF1012" s="1185"/>
      <c r="AG1012" s="1185"/>
      <c r="AH1012" s="1185"/>
      <c r="AI1012" s="1185"/>
    </row>
    <row r="1013" spans="1:35">
      <c r="A1013" s="1219" t="s">
        <v>488</v>
      </c>
      <c r="B1013" s="1219"/>
      <c r="C1013" s="1225"/>
      <c r="D1013" s="1229"/>
      <c r="E1013" s="1219"/>
      <c r="F1013" s="1203">
        <f>F1024+F1050</f>
        <v>2385.8499999999995</v>
      </c>
      <c r="G1013" s="1229"/>
      <c r="H1013" s="1219"/>
      <c r="I1013" s="1203">
        <f>I1024+I1050</f>
        <v>2266.75</v>
      </c>
      <c r="J1013" s="1229"/>
      <c r="K1013" s="1219"/>
      <c r="L1013" s="1203">
        <f>L1024+L1050</f>
        <v>2266.75</v>
      </c>
      <c r="N1013" s="1274">
        <f>L1013</f>
        <v>2266.75</v>
      </c>
      <c r="O1013" s="1185"/>
      <c r="P1013" s="1186"/>
      <c r="Q1013" s="1186"/>
      <c r="R1013" s="1186"/>
      <c r="S1013" s="1185"/>
      <c r="T1013" s="1185"/>
      <c r="U1013" s="1185"/>
      <c r="V1013" s="1185"/>
      <c r="W1013" s="1185"/>
      <c r="X1013" s="1185"/>
      <c r="Y1013" s="1185"/>
      <c r="Z1013" s="1185"/>
      <c r="AA1013" s="1185"/>
      <c r="AB1013" s="1185"/>
      <c r="AC1013" s="1185"/>
      <c r="AD1013" s="1185"/>
      <c r="AE1013" s="1185"/>
      <c r="AF1013" s="1185"/>
      <c r="AG1013" s="1185"/>
      <c r="AH1013" s="1185"/>
      <c r="AI1013" s="1185"/>
    </row>
    <row r="1014" spans="1:35">
      <c r="A1014" s="1219" t="s">
        <v>616</v>
      </c>
      <c r="B1014" s="1219"/>
      <c r="C1014" s="1202">
        <f>C1040+C1051+C1052</f>
        <v>2362099</v>
      </c>
      <c r="D1014" s="1328">
        <v>6.4820000000000002</v>
      </c>
      <c r="E1014" s="1219" t="s">
        <v>374</v>
      </c>
      <c r="F1014" s="1340">
        <f>F1040+F1051+F1052</f>
        <v>153111</v>
      </c>
      <c r="G1014" s="1316" t="s">
        <v>31</v>
      </c>
      <c r="H1014" s="1219" t="s">
        <v>31</v>
      </c>
      <c r="I1014" s="1340">
        <f>I1040+I1052</f>
        <v>161403</v>
      </c>
      <c r="J1014" s="1316" t="s">
        <v>31</v>
      </c>
      <c r="K1014" s="1219" t="s">
        <v>31</v>
      </c>
      <c r="L1014" s="1203">
        <f>L1040+L1052</f>
        <v>161403</v>
      </c>
      <c r="N1014" s="1204" t="e">
        <f>(J1014/100)*#REF!</f>
        <v>#REF!</v>
      </c>
      <c r="O1014" s="1185"/>
      <c r="P1014" s="1186"/>
      <c r="Q1014" s="1186"/>
      <c r="R1014" s="1186"/>
      <c r="S1014" s="1185"/>
      <c r="T1014" s="1185"/>
      <c r="U1014" s="1185"/>
      <c r="V1014" s="1185"/>
      <c r="W1014" s="1185"/>
      <c r="X1014" s="1185"/>
      <c r="Y1014" s="1185"/>
      <c r="Z1014" s="1185"/>
      <c r="AA1014" s="1185"/>
      <c r="AB1014" s="1185"/>
      <c r="AC1014" s="1185"/>
      <c r="AD1014" s="1185"/>
      <c r="AE1014" s="1185"/>
      <c r="AF1014" s="1185"/>
      <c r="AG1014" s="1185"/>
      <c r="AH1014" s="1185"/>
      <c r="AI1014" s="1185"/>
    </row>
    <row r="1015" spans="1:35">
      <c r="A1015" s="1219" t="s">
        <v>618</v>
      </c>
      <c r="B1015" s="1219"/>
      <c r="C1015" s="1202">
        <f>C1041</f>
        <v>2328689</v>
      </c>
      <c r="D1015" s="1009">
        <v>6.4820000000000002</v>
      </c>
      <c r="E1015" s="1219" t="s">
        <v>374</v>
      </c>
      <c r="F1015" s="1340">
        <f>SUM(F1026:F1038)</f>
        <v>150909.94</v>
      </c>
      <c r="G1015" s="1345" t="s">
        <v>31</v>
      </c>
      <c r="H1015" s="1219" t="s">
        <v>31</v>
      </c>
      <c r="I1015" s="1203">
        <f>I1026+I1027+I1028+I1029+I1030+I1031+I1034+I1035+I1036+I1037+I1038</f>
        <v>159055.60000000003</v>
      </c>
      <c r="J1015" s="1345" t="s">
        <v>31</v>
      </c>
      <c r="K1015" s="1219" t="s">
        <v>31</v>
      </c>
      <c r="L1015" s="1203">
        <f>L1026+L1027+L1028+L1029+L1030+L1031+L1034+L1035+L1036+L1037+L1038</f>
        <v>159055.60000000003</v>
      </c>
      <c r="N1015" s="1204" t="e">
        <f>(J1015/100)*#REF!</f>
        <v>#REF!</v>
      </c>
      <c r="O1015" s="1185"/>
      <c r="P1015" s="1186"/>
      <c r="Q1015" s="1334" t="s">
        <v>31</v>
      </c>
      <c r="S1015" s="1185"/>
      <c r="T1015" s="1185"/>
      <c r="U1015" s="1185"/>
      <c r="V1015" s="1185"/>
      <c r="W1015" s="1185"/>
      <c r="X1015" s="1185"/>
      <c r="Y1015" s="1185"/>
      <c r="Z1015" s="1185"/>
      <c r="AA1015" s="1185"/>
      <c r="AB1015" s="1185"/>
      <c r="AC1015" s="1185"/>
      <c r="AD1015" s="1185"/>
      <c r="AE1015" s="1185"/>
      <c r="AF1015" s="1185"/>
      <c r="AG1015" s="1185"/>
      <c r="AH1015" s="1185"/>
      <c r="AI1015" s="1185"/>
    </row>
    <row r="1016" spans="1:35">
      <c r="A1016" s="1219" t="s">
        <v>362</v>
      </c>
      <c r="B1016" s="1219"/>
      <c r="C1016" s="1202">
        <f>C1042+C1053</f>
        <v>2640</v>
      </c>
      <c r="D1016" s="1341"/>
      <c r="E1016" s="1219"/>
      <c r="F1016" s="1203"/>
      <c r="G1016" s="1341"/>
      <c r="H1016" s="1219"/>
      <c r="I1016" s="1203"/>
      <c r="J1016" s="1341"/>
      <c r="K1016" s="1219"/>
      <c r="L1016" s="1203"/>
      <c r="N1016" s="1185"/>
      <c r="O1016" s="1185"/>
      <c r="P1016" s="1186"/>
      <c r="Q1016" s="1186"/>
      <c r="R1016" s="1186"/>
      <c r="S1016" s="1185"/>
      <c r="T1016" s="1185"/>
      <c r="U1016" s="1185"/>
      <c r="V1016" s="1185"/>
      <c r="W1016" s="1185"/>
      <c r="X1016" s="1185"/>
      <c r="Y1016" s="1185"/>
      <c r="Z1016" s="1185"/>
      <c r="AA1016" s="1185"/>
      <c r="AB1016" s="1185"/>
      <c r="AC1016" s="1185"/>
      <c r="AD1016" s="1185"/>
      <c r="AE1016" s="1185"/>
      <c r="AF1016" s="1185"/>
      <c r="AG1016" s="1185"/>
      <c r="AH1016" s="1185"/>
      <c r="AI1016" s="1185"/>
    </row>
    <row r="1017" spans="1:35">
      <c r="A1017" s="1184" t="s">
        <v>491</v>
      </c>
      <c r="C1017" s="1202">
        <f>C1043+C1054</f>
        <v>4690788</v>
      </c>
      <c r="D1017" s="269"/>
      <c r="E1017" s="1185"/>
      <c r="F1017" s="1210">
        <f>F1013+F1014+F1015</f>
        <v>306406.79000000004</v>
      </c>
      <c r="G1017" s="269"/>
      <c r="H1017" s="1185"/>
      <c r="I1017" s="1210">
        <f>I1043+I1054</f>
        <v>322725.35000000003</v>
      </c>
      <c r="J1017" s="269"/>
      <c r="K1017" s="1185"/>
      <c r="L1017" s="1210">
        <f>L1043+L1054</f>
        <v>322725.35000000003</v>
      </c>
      <c r="N1017" s="1274" t="e">
        <f>SUM(N1013:N1016)</f>
        <v>#REF!</v>
      </c>
      <c r="Q1017" s="1186"/>
      <c r="R1017" s="1186"/>
      <c r="S1017" s="1185"/>
      <c r="T1017" s="1185"/>
      <c r="U1017" s="1185"/>
      <c r="V1017" s="1185"/>
      <c r="W1017" s="1185"/>
      <c r="X1017" s="1185"/>
      <c r="Y1017" s="1185"/>
      <c r="Z1017" s="1185"/>
      <c r="AA1017" s="1185"/>
      <c r="AB1017" s="1185"/>
      <c r="AC1017" s="1185"/>
      <c r="AD1017" s="1185"/>
      <c r="AE1017" s="1185"/>
      <c r="AF1017" s="1185"/>
      <c r="AG1017" s="1185"/>
      <c r="AH1017" s="1185"/>
      <c r="AI1017" s="1185"/>
    </row>
    <row r="1018" spans="1:35">
      <c r="A1018" s="1184" t="s">
        <v>492</v>
      </c>
      <c r="C1018" s="1202">
        <f>C1044+C1055</f>
        <v>-409552.50673556305</v>
      </c>
      <c r="D1018" s="269"/>
      <c r="E1018" s="1185"/>
      <c r="F1018" s="1210" t="e">
        <f>F1044+F1055</f>
        <v>#REF!</v>
      </c>
      <c r="G1018" s="269"/>
      <c r="H1018" s="1185"/>
      <c r="I1018" s="1210">
        <f>I1044+I1055</f>
        <v>-26497.772329804175</v>
      </c>
      <c r="J1018" s="269"/>
      <c r="K1018" s="1185"/>
      <c r="L1018" s="1210">
        <f>I1018</f>
        <v>-26497.772329804175</v>
      </c>
      <c r="N1018" s="289"/>
      <c r="O1018" s="289"/>
      <c r="P1018" s="290"/>
      <c r="Q1018" s="1186"/>
      <c r="R1018" s="1186"/>
      <c r="S1018" s="1185"/>
      <c r="T1018" s="1185"/>
      <c r="U1018" s="1185"/>
      <c r="V1018" s="1185"/>
      <c r="W1018" s="1185"/>
      <c r="X1018" s="1185"/>
      <c r="Y1018" s="1185"/>
      <c r="Z1018" s="1185"/>
      <c r="AA1018" s="1185"/>
      <c r="AB1018" s="1185"/>
      <c r="AC1018" s="1185"/>
      <c r="AD1018" s="1185"/>
      <c r="AE1018" s="1185"/>
      <c r="AF1018" s="1185"/>
      <c r="AG1018" s="1185"/>
      <c r="AH1018" s="1185"/>
      <c r="AI1018" s="1185"/>
    </row>
    <row r="1019" spans="1:35" ht="16.5" thickBot="1">
      <c r="A1019" s="1219" t="s">
        <v>9</v>
      </c>
      <c r="B1019" s="1219"/>
      <c r="C1019" s="1321">
        <f>C1017+C1018</f>
        <v>4281235.4932644367</v>
      </c>
      <c r="D1019" s="1342"/>
      <c r="E1019" s="1343"/>
      <c r="F1019" s="1213" t="e">
        <f>F1017+F1018</f>
        <v>#REF!</v>
      </c>
      <c r="G1019" s="1344"/>
      <c r="H1019" s="1269"/>
      <c r="I1019" s="1213">
        <f>I1017+I1018</f>
        <v>296227.57767019584</v>
      </c>
      <c r="J1019" s="1344"/>
      <c r="K1019" s="1269"/>
      <c r="L1019" s="1213">
        <f>L1017+L1018</f>
        <v>296227.57767019584</v>
      </c>
      <c r="N1019" s="291"/>
      <c r="O1019" s="788" t="s">
        <v>409</v>
      </c>
      <c r="P1019" s="1216">
        <f>'[97]Rate Spread targets'!Q38*1000</f>
        <v>296227.57767019584</v>
      </c>
      <c r="Q1019" s="828">
        <f>(L1019-I1019)/I1019</f>
        <v>0</v>
      </c>
      <c r="R1019" s="827"/>
      <c r="S1019" s="1185"/>
      <c r="T1019" s="1185"/>
      <c r="U1019" s="1185"/>
      <c r="V1019" s="1185"/>
      <c r="W1019" s="1185"/>
      <c r="X1019" s="1185"/>
      <c r="Y1019" s="1185"/>
      <c r="Z1019" s="1185"/>
      <c r="AA1019" s="1185"/>
      <c r="AB1019" s="1185"/>
      <c r="AC1019" s="1185"/>
      <c r="AD1019" s="1185"/>
      <c r="AE1019" s="1185"/>
      <c r="AF1019" s="1185"/>
      <c r="AG1019" s="1185"/>
      <c r="AH1019" s="1185"/>
      <c r="AI1019" s="1185"/>
    </row>
    <row r="1020" spans="1:35" ht="16.5" thickTop="1">
      <c r="A1020" s="1219"/>
      <c r="B1020" s="1219"/>
      <c r="C1020" s="1313"/>
      <c r="D1020" s="1346"/>
      <c r="E1020" s="1277"/>
      <c r="F1020" s="1244"/>
      <c r="G1020" s="1346" t="s">
        <v>31</v>
      </c>
      <c r="H1020" s="1277"/>
      <c r="I1020" s="1244"/>
      <c r="J1020" s="1346" t="s">
        <v>31</v>
      </c>
      <c r="K1020" s="1277"/>
      <c r="L1020" s="1244" t="s">
        <v>31</v>
      </c>
      <c r="N1020" s="1185"/>
      <c r="O1020" s="789" t="s">
        <v>263</v>
      </c>
      <c r="P1020" s="1221">
        <f>P1019-L1019</f>
        <v>0</v>
      </c>
      <c r="Q1020" s="1333"/>
      <c r="R1020" s="1186"/>
      <c r="S1020" s="1185"/>
      <c r="T1020" s="1185"/>
      <c r="U1020" s="1185"/>
      <c r="V1020" s="1185"/>
      <c r="W1020" s="1185"/>
      <c r="X1020" s="1185"/>
      <c r="Y1020" s="1185"/>
      <c r="Z1020" s="1185"/>
      <c r="AA1020" s="1185"/>
      <c r="AB1020" s="1185"/>
      <c r="AC1020" s="1185"/>
      <c r="AD1020" s="1185"/>
      <c r="AE1020" s="1185"/>
      <c r="AF1020" s="1185"/>
      <c r="AG1020" s="1185"/>
      <c r="AH1020" s="1185"/>
      <c r="AI1020" s="1185"/>
    </row>
    <row r="1021" spans="1:35">
      <c r="A1021" s="1224" t="s">
        <v>497</v>
      </c>
      <c r="B1021" s="1219"/>
      <c r="C1021" s="1219"/>
      <c r="D1021" s="1219"/>
      <c r="E1021" s="1219"/>
      <c r="F1021" s="1219"/>
      <c r="G1021" s="1219"/>
      <c r="H1021" s="1219"/>
      <c r="I1021" s="1219"/>
      <c r="J1021" s="1219"/>
      <c r="K1021" s="1219"/>
      <c r="L1021" s="1219"/>
      <c r="N1021" s="1274"/>
      <c r="O1021" s="1274"/>
      <c r="P1021" s="1186"/>
      <c r="Q1021" s="1186"/>
      <c r="R1021" s="1186"/>
      <c r="S1021" s="1185"/>
      <c r="T1021" s="1185"/>
      <c r="U1021" s="1185"/>
      <c r="V1021" s="1185"/>
      <c r="W1021" s="1185"/>
      <c r="X1021" s="1185"/>
      <c r="Y1021" s="1185"/>
      <c r="Z1021" s="1185"/>
      <c r="AA1021" s="1185"/>
      <c r="AB1021" s="1185"/>
      <c r="AC1021" s="1185"/>
      <c r="AD1021" s="1185"/>
      <c r="AE1021" s="1185"/>
      <c r="AF1021" s="1185"/>
      <c r="AG1021" s="1185"/>
      <c r="AH1021" s="1185"/>
      <c r="AI1021" s="1185"/>
    </row>
    <row r="1022" spans="1:35">
      <c r="A1022" s="1219" t="s">
        <v>498</v>
      </c>
      <c r="B1022" s="1219"/>
      <c r="C1022" s="1219"/>
      <c r="D1022" s="1219"/>
      <c r="E1022" s="1219"/>
      <c r="F1022" s="1219"/>
      <c r="G1022" s="1219"/>
      <c r="H1022" s="1219"/>
      <c r="I1022" s="1219"/>
      <c r="J1022" s="1219"/>
      <c r="K1022" s="1219"/>
      <c r="L1022" s="1219"/>
      <c r="N1022" s="1185"/>
      <c r="O1022" s="1185"/>
      <c r="P1022" s="1186"/>
      <c r="Q1022" s="1186"/>
      <c r="R1022" s="1186"/>
      <c r="S1022" s="1185"/>
      <c r="T1022" s="1185"/>
      <c r="U1022" s="1185"/>
      <c r="V1022" s="1185"/>
      <c r="W1022" s="1185"/>
      <c r="X1022" s="1185"/>
      <c r="Y1022" s="1185"/>
      <c r="Z1022" s="1185"/>
      <c r="AA1022" s="1185"/>
      <c r="AB1022" s="1185"/>
      <c r="AC1022" s="1185"/>
      <c r="AD1022" s="1185"/>
      <c r="AE1022" s="1185"/>
      <c r="AF1022" s="1185"/>
      <c r="AG1022" s="1185"/>
      <c r="AH1022" s="1185"/>
      <c r="AI1022" s="1185"/>
    </row>
    <row r="1023" spans="1:35">
      <c r="A1023" s="1219"/>
      <c r="B1023" s="1219"/>
      <c r="C1023" s="1219"/>
      <c r="D1023" s="1317"/>
      <c r="E1023" s="1219"/>
      <c r="F1023" s="1219"/>
      <c r="G1023" s="1317"/>
      <c r="H1023" s="1219"/>
      <c r="I1023" s="1219"/>
      <c r="J1023" s="1317"/>
      <c r="K1023" s="1219"/>
      <c r="L1023" s="1219"/>
      <c r="N1023" s="1185"/>
      <c r="O1023" s="1185"/>
      <c r="P1023" s="1186"/>
      <c r="Q1023" s="1186"/>
      <c r="R1023" s="1186"/>
      <c r="S1023" s="1185"/>
      <c r="T1023" s="1185"/>
      <c r="U1023" s="1185"/>
      <c r="V1023" s="1185"/>
      <c r="W1023" s="1185"/>
      <c r="X1023" s="1185"/>
      <c r="Y1023" s="1185"/>
      <c r="Z1023" s="1185"/>
      <c r="AA1023" s="1185"/>
      <c r="AB1023" s="1185"/>
      <c r="AC1023" s="1185"/>
      <c r="AD1023" s="1185"/>
      <c r="AE1023" s="1185"/>
      <c r="AF1023" s="1185"/>
      <c r="AG1023" s="1185"/>
      <c r="AH1023" s="1185"/>
      <c r="AI1023" s="1185"/>
    </row>
    <row r="1024" spans="1:35">
      <c r="A1024" s="1219" t="s">
        <v>488</v>
      </c>
      <c r="B1024" s="1219"/>
      <c r="C1024" s="1225"/>
      <c r="D1024" s="1229"/>
      <c r="E1024" s="1219"/>
      <c r="F1024" s="1203">
        <f>4.1+2026.19+86.47+232.2+36.89</f>
        <v>2385.8499999999995</v>
      </c>
      <c r="G1024" s="1229"/>
      <c r="H1024" s="1219"/>
      <c r="I1024" s="1203">
        <f>2266.75</f>
        <v>2266.75</v>
      </c>
      <c r="J1024" s="1229"/>
      <c r="K1024" s="1219"/>
      <c r="L1024" s="1203">
        <f>I1024</f>
        <v>2266.75</v>
      </c>
      <c r="N1024" s="1185"/>
      <c r="O1024" s="1185"/>
      <c r="P1024" s="1186"/>
      <c r="Q1024" s="1186"/>
      <c r="R1024" s="1186"/>
      <c r="S1024" s="1185"/>
      <c r="T1024" s="1185"/>
      <c r="U1024" s="1185"/>
      <c r="V1024" s="1185"/>
      <c r="W1024" s="1185"/>
      <c r="X1024" s="1185"/>
      <c r="Y1024" s="1185"/>
      <c r="Z1024" s="1185"/>
      <c r="AA1024" s="1185"/>
      <c r="AB1024" s="1185"/>
      <c r="AC1024" s="1185"/>
      <c r="AD1024" s="1185"/>
      <c r="AE1024" s="1185"/>
      <c r="AF1024" s="1185"/>
      <c r="AG1024" s="1185"/>
      <c r="AH1024" s="1185"/>
      <c r="AI1024" s="1185"/>
    </row>
    <row r="1025" spans="1:35">
      <c r="A1025" s="1219" t="s">
        <v>592</v>
      </c>
      <c r="B1025" s="1219"/>
      <c r="C1025" s="1225"/>
      <c r="D1025" s="1229"/>
      <c r="E1025" s="1219"/>
      <c r="F1025" s="1203"/>
      <c r="G1025" s="1229"/>
      <c r="H1025" s="1219"/>
      <c r="I1025" s="1203"/>
      <c r="J1025" s="1229"/>
      <c r="K1025" s="1219"/>
      <c r="L1025" s="1203"/>
      <c r="N1025" s="1185"/>
      <c r="O1025" s="1185"/>
      <c r="S1025" s="1274">
        <f>P1019-L1019</f>
        <v>0</v>
      </c>
      <c r="T1025" s="1186"/>
      <c r="U1025" s="1185"/>
      <c r="V1025" s="1185"/>
      <c r="W1025" s="1185"/>
      <c r="X1025" s="1185"/>
      <c r="Y1025" s="1185"/>
      <c r="Z1025" s="1185"/>
      <c r="AA1025" s="1185"/>
      <c r="AB1025" s="1185"/>
      <c r="AC1025" s="1185"/>
      <c r="AD1025" s="1185"/>
      <c r="AE1025" s="1185"/>
      <c r="AF1025" s="1185"/>
      <c r="AG1025" s="1185"/>
      <c r="AH1025" s="1185"/>
      <c r="AI1025" s="1185"/>
    </row>
    <row r="1026" spans="1:35">
      <c r="A1026" s="1184" t="s">
        <v>605</v>
      </c>
      <c r="B1026" s="1219"/>
      <c r="C1026" s="1225">
        <f>4248+50</f>
        <v>4298</v>
      </c>
      <c r="D1026" s="1229">
        <v>2.0099999999999998</v>
      </c>
      <c r="E1026" s="1219"/>
      <c r="F1026" s="1203">
        <f t="shared" ref="F1026:F1031" si="115">D1026*C1026</f>
        <v>8638.98</v>
      </c>
      <c r="G1026" s="1229">
        <v>2.12</v>
      </c>
      <c r="H1026" s="1219"/>
      <c r="I1026" s="1203">
        <f>C1026*G1026</f>
        <v>9111.76</v>
      </c>
      <c r="J1026" s="1229">
        <f>ROUND(S1026*$J$1040/100,2)</f>
        <v>2.12</v>
      </c>
      <c r="K1026" s="1219"/>
      <c r="L1026" s="1203">
        <f t="shared" ref="L1026:L1031" si="116">J1026*$C1026</f>
        <v>9111.76</v>
      </c>
      <c r="N1026" s="1185"/>
      <c r="O1026" s="1185"/>
      <c r="S1026" s="1186">
        <v>31</v>
      </c>
      <c r="T1026" s="1347">
        <f t="shared" ref="T1026:T1031" si="117">D1026/S1026</f>
        <v>6.4838709677419351E-2</v>
      </c>
      <c r="U1026" s="1185"/>
      <c r="V1026" s="1185"/>
      <c r="W1026" s="1065" t="s">
        <v>31</v>
      </c>
      <c r="X1026" s="1185"/>
      <c r="Y1026" s="1185"/>
      <c r="Z1026" s="1185"/>
      <c r="AA1026" s="1185"/>
      <c r="AB1026" s="1185"/>
      <c r="AC1026" s="1185"/>
      <c r="AD1026" s="1185"/>
      <c r="AE1026" s="1185"/>
      <c r="AF1026" s="1185"/>
      <c r="AG1026" s="1185"/>
      <c r="AH1026" s="1185"/>
      <c r="AI1026" s="1185"/>
    </row>
    <row r="1027" spans="1:35">
      <c r="A1027" s="1184" t="s">
        <v>606</v>
      </c>
      <c r="B1027" s="1219"/>
      <c r="C1027" s="1225">
        <f>8156</f>
        <v>8156</v>
      </c>
      <c r="D1027" s="1229">
        <v>2.85</v>
      </c>
      <c r="E1027" s="1219"/>
      <c r="F1027" s="1203">
        <f t="shared" si="115"/>
        <v>23244.600000000002</v>
      </c>
      <c r="G1027" s="1229">
        <v>3</v>
      </c>
      <c r="H1027" s="1219"/>
      <c r="I1027" s="1203">
        <f t="shared" ref="I1027:I1031" si="118">C1027*G1027</f>
        <v>24468</v>
      </c>
      <c r="J1027" s="1229">
        <f>ROUND(S1027*$J$1040/100,2)-0.01</f>
        <v>3</v>
      </c>
      <c r="K1027" s="1219"/>
      <c r="L1027" s="1203">
        <f t="shared" si="116"/>
        <v>24468</v>
      </c>
      <c r="N1027" s="1185"/>
      <c r="O1027" s="1185"/>
      <c r="S1027" s="1186">
        <v>44</v>
      </c>
      <c r="T1027" s="1347">
        <f t="shared" si="117"/>
        <v>6.4772727272727273E-2</v>
      </c>
      <c r="U1027" s="1185"/>
      <c r="V1027" s="1185"/>
      <c r="W1027" s="1185"/>
      <c r="X1027" s="1185"/>
      <c r="Y1027" s="1185"/>
      <c r="Z1027" s="1185"/>
      <c r="AA1027" s="1185"/>
      <c r="AB1027" s="1185"/>
      <c r="AC1027" s="1185"/>
      <c r="AD1027" s="1185"/>
      <c r="AE1027" s="1185"/>
      <c r="AF1027" s="1185"/>
      <c r="AG1027" s="1185"/>
      <c r="AH1027" s="1185"/>
      <c r="AI1027" s="1185"/>
    </row>
    <row r="1028" spans="1:35">
      <c r="A1028" s="1184" t="s">
        <v>607</v>
      </c>
      <c r="B1028" s="1219"/>
      <c r="C1028" s="1225">
        <f>84</f>
        <v>84</v>
      </c>
      <c r="D1028" s="1229">
        <v>4.1399999999999997</v>
      </c>
      <c r="E1028" s="1219"/>
      <c r="F1028" s="1203">
        <f t="shared" si="115"/>
        <v>347.76</v>
      </c>
      <c r="G1028" s="1229">
        <v>4.3600000000000003</v>
      </c>
      <c r="H1028" s="1219"/>
      <c r="I1028" s="1203">
        <f t="shared" si="118"/>
        <v>366.24</v>
      </c>
      <c r="J1028" s="1229">
        <f>ROUND(S1028*$J$1040/100,2)-0.01</f>
        <v>4.3600000000000003</v>
      </c>
      <c r="K1028" s="1219"/>
      <c r="L1028" s="1203">
        <f t="shared" si="116"/>
        <v>366.24</v>
      </c>
      <c r="N1028" s="1185"/>
      <c r="O1028" s="1185"/>
      <c r="S1028" s="1186">
        <v>64</v>
      </c>
      <c r="T1028" s="1347">
        <f t="shared" si="117"/>
        <v>6.4687499999999995E-2</v>
      </c>
      <c r="U1028" s="1185"/>
      <c r="V1028" s="1185"/>
      <c r="W1028" s="1185"/>
      <c r="X1028" s="1185"/>
      <c r="Y1028" s="1185"/>
      <c r="Z1028" s="1185"/>
      <c r="AA1028" s="1185"/>
      <c r="AB1028" s="1185"/>
      <c r="AC1028" s="1185"/>
      <c r="AD1028" s="1185"/>
      <c r="AE1028" s="1185"/>
      <c r="AF1028" s="1185"/>
      <c r="AG1028" s="1185"/>
      <c r="AH1028" s="1185"/>
      <c r="AI1028" s="1185"/>
    </row>
    <row r="1029" spans="1:35">
      <c r="A1029" s="1184" t="s">
        <v>608</v>
      </c>
      <c r="B1029" s="1219"/>
      <c r="C1029" s="1225">
        <f>11718</f>
        <v>11718</v>
      </c>
      <c r="D1029" s="1229">
        <v>5.51</v>
      </c>
      <c r="E1029" s="1219"/>
      <c r="F1029" s="1203">
        <f t="shared" si="115"/>
        <v>64566.18</v>
      </c>
      <c r="G1029" s="1229">
        <v>5.81</v>
      </c>
      <c r="H1029" s="1219"/>
      <c r="I1029" s="1203">
        <f t="shared" si="118"/>
        <v>68081.58</v>
      </c>
      <c r="J1029" s="1229">
        <f t="shared" ref="J1029:J1031" si="119">ROUND(S1029*$J$1040/100,2)</f>
        <v>5.81</v>
      </c>
      <c r="K1029" s="1219"/>
      <c r="L1029" s="1203">
        <f t="shared" si="116"/>
        <v>68081.58</v>
      </c>
      <c r="N1029" s="1185"/>
      <c r="O1029" s="1185"/>
      <c r="S1029" s="1186">
        <v>85</v>
      </c>
      <c r="T1029" s="1347">
        <f t="shared" si="117"/>
        <v>6.4823529411764697E-2</v>
      </c>
      <c r="U1029" s="1185"/>
      <c r="V1029" s="1185"/>
      <c r="W1029" s="1185"/>
      <c r="X1029" s="1185"/>
      <c r="Y1029" s="1185"/>
      <c r="Z1029" s="1185"/>
      <c r="AA1029" s="1185"/>
      <c r="AB1029" s="1185"/>
      <c r="AC1029" s="1185"/>
      <c r="AD1029" s="1185"/>
      <c r="AE1029" s="1185"/>
      <c r="AF1029" s="1185"/>
      <c r="AG1029" s="1185"/>
      <c r="AH1029" s="1185"/>
      <c r="AI1029" s="1185"/>
    </row>
    <row r="1030" spans="1:35">
      <c r="A1030" s="1184" t="s">
        <v>609</v>
      </c>
      <c r="B1030" s="1219"/>
      <c r="C1030" s="1225">
        <f>4625</f>
        <v>4625</v>
      </c>
      <c r="D1030" s="1229">
        <v>7.46</v>
      </c>
      <c r="E1030" s="1219"/>
      <c r="F1030" s="1203">
        <f t="shared" si="115"/>
        <v>34502.5</v>
      </c>
      <c r="G1030" s="1229">
        <v>7.86</v>
      </c>
      <c r="H1030" s="1219"/>
      <c r="I1030" s="1203">
        <f t="shared" si="118"/>
        <v>36352.5</v>
      </c>
      <c r="J1030" s="1229">
        <f t="shared" si="119"/>
        <v>7.86</v>
      </c>
      <c r="K1030" s="1219"/>
      <c r="L1030" s="1203">
        <f t="shared" si="116"/>
        <v>36352.5</v>
      </c>
      <c r="N1030" s="1185"/>
      <c r="O1030" s="1185"/>
      <c r="S1030" s="1186">
        <v>115</v>
      </c>
      <c r="T1030" s="1347">
        <f t="shared" si="117"/>
        <v>6.4869565217391303E-2</v>
      </c>
      <c r="U1030" s="1185"/>
      <c r="V1030" s="1185"/>
      <c r="W1030" s="1185"/>
      <c r="X1030" s="1185"/>
      <c r="Y1030" s="1185"/>
      <c r="Z1030" s="1185"/>
      <c r="AA1030" s="1185"/>
      <c r="AB1030" s="1185"/>
      <c r="AC1030" s="1185"/>
      <c r="AD1030" s="1185"/>
      <c r="AE1030" s="1185"/>
      <c r="AF1030" s="1185"/>
      <c r="AG1030" s="1185"/>
      <c r="AH1030" s="1185"/>
      <c r="AI1030" s="1185"/>
    </row>
    <row r="1031" spans="1:35">
      <c r="A1031" s="1184" t="s">
        <v>610</v>
      </c>
      <c r="B1031" s="1219"/>
      <c r="C1031" s="1225">
        <f>1716</f>
        <v>1716</v>
      </c>
      <c r="D1031" s="1229">
        <v>11.41</v>
      </c>
      <c r="E1031" s="1219"/>
      <c r="F1031" s="1203">
        <f t="shared" si="115"/>
        <v>19579.560000000001</v>
      </c>
      <c r="G1031" s="1229">
        <v>12.03</v>
      </c>
      <c r="H1031" s="1219"/>
      <c r="I1031" s="1203">
        <f t="shared" si="118"/>
        <v>20643.48</v>
      </c>
      <c r="J1031" s="1229">
        <f t="shared" si="119"/>
        <v>12.03</v>
      </c>
      <c r="K1031" s="1219"/>
      <c r="L1031" s="1203">
        <f t="shared" si="116"/>
        <v>20643.48</v>
      </c>
      <c r="N1031" s="1185"/>
      <c r="Q1031" s="827" t="s">
        <v>31</v>
      </c>
      <c r="R1031" s="777"/>
      <c r="S1031" s="1186">
        <v>176</v>
      </c>
      <c r="T1031" s="1347">
        <f t="shared" si="117"/>
        <v>6.4829545454545459E-2</v>
      </c>
      <c r="U1031" s="1185"/>
      <c r="V1031" s="1185"/>
      <c r="W1031" s="1185"/>
      <c r="X1031" s="1185"/>
      <c r="Y1031" s="1185"/>
      <c r="Z1031" s="1185"/>
      <c r="AA1031" s="1185"/>
      <c r="AB1031" s="1185"/>
      <c r="AC1031" s="1185"/>
      <c r="AD1031" s="1185"/>
      <c r="AE1031" s="1185"/>
      <c r="AF1031" s="1185"/>
      <c r="AG1031" s="1185"/>
      <c r="AH1031" s="1185"/>
      <c r="AI1031" s="1185"/>
    </row>
    <row r="1032" spans="1:35">
      <c r="B1032" s="1219"/>
      <c r="C1032" s="1225"/>
      <c r="D1032" s="1229"/>
      <c r="E1032" s="1219"/>
      <c r="F1032" s="1203"/>
      <c r="G1032" s="1229"/>
      <c r="H1032" s="1219"/>
      <c r="I1032" s="1203"/>
      <c r="J1032" s="1229"/>
      <c r="K1032" s="1219"/>
      <c r="L1032" s="1203"/>
      <c r="N1032" s="1185"/>
      <c r="O1032" s="1185"/>
      <c r="P1032" s="1231" t="s">
        <v>74</v>
      </c>
      <c r="S1032" s="1186"/>
      <c r="T1032" s="1186"/>
      <c r="U1032" s="1185"/>
      <c r="V1032" s="1185"/>
      <c r="W1032" s="1185"/>
      <c r="X1032" s="1185"/>
      <c r="Y1032" s="1185"/>
      <c r="Z1032" s="1185"/>
      <c r="AA1032" s="1185"/>
      <c r="AB1032" s="1185"/>
      <c r="AC1032" s="1185"/>
      <c r="AD1032" s="1185"/>
      <c r="AE1032" s="1185"/>
      <c r="AF1032" s="1185"/>
      <c r="AG1032" s="1185"/>
      <c r="AH1032" s="1185"/>
      <c r="AI1032" s="1185"/>
    </row>
    <row r="1033" spans="1:35">
      <c r="A1033" s="1184" t="s">
        <v>593</v>
      </c>
      <c r="B1033" s="1219"/>
      <c r="C1033" s="1225"/>
      <c r="D1033" s="1229" t="s">
        <v>31</v>
      </c>
      <c r="E1033" s="1219"/>
      <c r="F1033" s="1203"/>
      <c r="G1033" s="1229" t="s">
        <v>31</v>
      </c>
      <c r="H1033" s="1219"/>
      <c r="I1033" s="1203"/>
      <c r="J1033" s="1229" t="s">
        <v>31</v>
      </c>
      <c r="K1033" s="1219"/>
      <c r="L1033" s="1203"/>
      <c r="N1033" s="1185"/>
      <c r="O1033" s="1185"/>
      <c r="S1033" s="1186"/>
      <c r="T1033" s="1186"/>
      <c r="U1033" s="1185"/>
      <c r="V1033" s="1185"/>
      <c r="W1033" s="1185"/>
      <c r="X1033" s="1185"/>
      <c r="Y1033" s="1185"/>
      <c r="Z1033" s="1185"/>
      <c r="AA1033" s="1185"/>
      <c r="AB1033" s="1185"/>
      <c r="AC1033" s="1185"/>
      <c r="AD1033" s="1185"/>
      <c r="AE1033" s="1185"/>
      <c r="AF1033" s="1185"/>
      <c r="AG1033" s="1185"/>
      <c r="AH1033" s="1185"/>
      <c r="AI1033" s="1185"/>
    </row>
    <row r="1034" spans="1:35">
      <c r="A1034" s="1184" t="s">
        <v>611</v>
      </c>
      <c r="B1034" s="1219"/>
      <c r="C1034" s="1225">
        <v>12</v>
      </c>
      <c r="D1034" s="1229">
        <v>2.5299999999999998</v>
      </c>
      <c r="E1034" s="1219"/>
      <c r="F1034" s="1203">
        <f>D1034*C1034</f>
        <v>30.36</v>
      </c>
      <c r="G1034" s="1229">
        <v>2.67</v>
      </c>
      <c r="H1034" s="1219"/>
      <c r="I1034" s="1203">
        <f t="shared" ref="I1034:I1038" si="120">C1034*G1034</f>
        <v>32.04</v>
      </c>
      <c r="J1034" s="1229">
        <f>ROUND(S1034*$J$1040/100,2)+0.01</f>
        <v>2.67</v>
      </c>
      <c r="K1034" s="1219"/>
      <c r="L1034" s="1203">
        <f>J1034*$C1034</f>
        <v>32.04</v>
      </c>
      <c r="N1034" s="1185"/>
      <c r="O1034" s="1185"/>
      <c r="S1034" s="1186">
        <v>39</v>
      </c>
      <c r="T1034" s="1347">
        <f>D1034/S1034</f>
        <v>6.4871794871794869E-2</v>
      </c>
      <c r="U1034" s="1185"/>
      <c r="V1034" s="1185"/>
      <c r="W1034" s="1185"/>
      <c r="X1034" s="1185"/>
      <c r="Y1034" s="1185"/>
      <c r="Z1034" s="1185"/>
      <c r="AA1034" s="1185"/>
      <c r="AB1034" s="1185"/>
      <c r="AC1034" s="1185"/>
      <c r="AD1034" s="1185"/>
      <c r="AE1034" s="1185"/>
      <c r="AF1034" s="1185"/>
      <c r="AG1034" s="1185"/>
      <c r="AH1034" s="1185"/>
      <c r="AI1034" s="1185"/>
    </row>
    <row r="1035" spans="1:35">
      <c r="A1035" s="1184" t="s">
        <v>612</v>
      </c>
      <c r="B1035" s="1219"/>
      <c r="C1035" s="1225">
        <v>0</v>
      </c>
      <c r="D1035" s="1229">
        <v>4.41</v>
      </c>
      <c r="E1035" s="1219"/>
      <c r="F1035" s="1203">
        <f>D1035*C1035</f>
        <v>0</v>
      </c>
      <c r="G1035" s="1229">
        <v>4.6500000000000004</v>
      </c>
      <c r="H1035" s="1219"/>
      <c r="I1035" s="1203">
        <f t="shared" si="120"/>
        <v>0</v>
      </c>
      <c r="J1035" s="1229">
        <f t="shared" ref="J1035:J1038" si="121">ROUND(S1035*$J$1040/100,2)</f>
        <v>4.6500000000000004</v>
      </c>
      <c r="K1035" s="1219"/>
      <c r="L1035" s="1203">
        <f>J1035*$C1035</f>
        <v>0</v>
      </c>
      <c r="N1035" s="1185"/>
      <c r="O1035" s="1185"/>
      <c r="S1035" s="1186">
        <v>68</v>
      </c>
      <c r="T1035" s="1347">
        <f>D1035/S1035</f>
        <v>6.4852941176470585E-2</v>
      </c>
      <c r="U1035" s="1185"/>
      <c r="V1035" s="1185"/>
      <c r="W1035" s="1185"/>
      <c r="X1035" s="1185"/>
      <c r="Y1035" s="1185"/>
      <c r="Z1035" s="1185"/>
      <c r="AA1035" s="1185"/>
      <c r="AB1035" s="1185"/>
      <c r="AC1035" s="1185"/>
      <c r="AD1035" s="1185"/>
      <c r="AE1035" s="1185"/>
      <c r="AF1035" s="1185"/>
      <c r="AG1035" s="1185"/>
      <c r="AH1035" s="1185"/>
      <c r="AI1035" s="1185"/>
    </row>
    <row r="1036" spans="1:35">
      <c r="A1036" s="1184" t="s">
        <v>613</v>
      </c>
      <c r="B1036" s="1219"/>
      <c r="C1036" s="1225">
        <v>0</v>
      </c>
      <c r="D1036" s="1229">
        <v>6.1</v>
      </c>
      <c r="E1036" s="1219"/>
      <c r="F1036" s="1203">
        <f>D1036*C1036</f>
        <v>0</v>
      </c>
      <c r="G1036" s="1229">
        <v>6.43</v>
      </c>
      <c r="H1036" s="1219"/>
      <c r="I1036" s="1203">
        <f t="shared" si="120"/>
        <v>0</v>
      </c>
      <c r="J1036" s="1229">
        <f>ROUND(S1036*$J$1040/100,2)+0.01</f>
        <v>6.43</v>
      </c>
      <c r="K1036" s="1219"/>
      <c r="L1036" s="1203">
        <f>J1036*$C1036</f>
        <v>0</v>
      </c>
      <c r="N1036" s="1185"/>
      <c r="O1036" s="1185" t="s">
        <v>31</v>
      </c>
      <c r="S1036" s="1186">
        <v>94</v>
      </c>
      <c r="T1036" s="1347">
        <f>D1036/S1036</f>
        <v>6.4893617021276592E-2</v>
      </c>
      <c r="U1036" s="1185"/>
      <c r="V1036" s="1185"/>
      <c r="W1036" s="1185"/>
      <c r="X1036" s="1185"/>
      <c r="Y1036" s="1185"/>
      <c r="Z1036" s="1185"/>
      <c r="AA1036" s="1185"/>
      <c r="AB1036" s="1185"/>
      <c r="AC1036" s="1185"/>
      <c r="AD1036" s="1185"/>
      <c r="AE1036" s="1185"/>
      <c r="AF1036" s="1185"/>
      <c r="AG1036" s="1185"/>
      <c r="AH1036" s="1185"/>
      <c r="AI1036" s="1185"/>
    </row>
    <row r="1037" spans="1:35">
      <c r="A1037" s="1184" t="s">
        <v>614</v>
      </c>
      <c r="B1037" s="1219"/>
      <c r="C1037" s="1225">
        <v>0</v>
      </c>
      <c r="D1037" s="1229">
        <v>9.66</v>
      </c>
      <c r="E1037" s="1219"/>
      <c r="F1037" s="1203">
        <f>D1037*C1037</f>
        <v>0</v>
      </c>
      <c r="G1037" s="1229">
        <v>10.18</v>
      </c>
      <c r="H1037" s="1219"/>
      <c r="I1037" s="1203">
        <f t="shared" si="120"/>
        <v>0</v>
      </c>
      <c r="J1037" s="1229">
        <f t="shared" si="121"/>
        <v>10.18</v>
      </c>
      <c r="K1037" s="1219"/>
      <c r="L1037" s="1203">
        <f>J1037*$C1037</f>
        <v>0</v>
      </c>
      <c r="N1037" s="1185"/>
      <c r="O1037" s="1185"/>
      <c r="S1037" s="1186">
        <v>149</v>
      </c>
      <c r="T1037" s="1347">
        <f>D1037/S1037</f>
        <v>6.4832214765100676E-2</v>
      </c>
      <c r="U1037" s="1185"/>
      <c r="V1037" s="1185"/>
      <c r="W1037" s="1185"/>
      <c r="X1037" s="1185"/>
      <c r="Y1037" s="1185"/>
      <c r="Z1037" s="1185"/>
      <c r="AA1037" s="1185"/>
      <c r="AB1037" s="1185"/>
      <c r="AC1037" s="1185"/>
      <c r="AD1037" s="1185"/>
      <c r="AE1037" s="1185"/>
      <c r="AF1037" s="1185"/>
      <c r="AG1037" s="1185"/>
      <c r="AH1037" s="1185"/>
      <c r="AI1037" s="1185"/>
    </row>
    <row r="1038" spans="1:35">
      <c r="A1038" s="1184" t="s">
        <v>615</v>
      </c>
      <c r="B1038" s="1219"/>
      <c r="C1038" s="1225">
        <v>0</v>
      </c>
      <c r="D1038" s="1229">
        <v>22.95</v>
      </c>
      <c r="E1038" s="1219"/>
      <c r="F1038" s="1203">
        <f>D1038*C1038</f>
        <v>0</v>
      </c>
      <c r="G1038" s="1229">
        <v>24.19</v>
      </c>
      <c r="H1038" s="1219"/>
      <c r="I1038" s="1203">
        <f t="shared" si="120"/>
        <v>0</v>
      </c>
      <c r="J1038" s="1229">
        <f t="shared" si="121"/>
        <v>24.19</v>
      </c>
      <c r="K1038" s="1219"/>
      <c r="L1038" s="1203">
        <f>J1038*$C1038</f>
        <v>0</v>
      </c>
      <c r="N1038" s="1185"/>
      <c r="O1038" s="1185"/>
      <c r="S1038" s="1186">
        <v>354</v>
      </c>
      <c r="T1038" s="1347">
        <f>D1038/S1038</f>
        <v>6.4830508474576276E-2</v>
      </c>
      <c r="U1038" s="1185" t="s">
        <v>31</v>
      </c>
      <c r="V1038" s="1185"/>
      <c r="W1038" s="1185"/>
      <c r="X1038" s="1185"/>
      <c r="Y1038" s="1185"/>
      <c r="Z1038" s="1185"/>
      <c r="AA1038" s="1185"/>
      <c r="AB1038" s="1185"/>
      <c r="AC1038" s="1185"/>
      <c r="AD1038" s="1185"/>
      <c r="AE1038" s="1185"/>
      <c r="AF1038" s="1185"/>
      <c r="AG1038" s="1185"/>
      <c r="AH1038" s="1185"/>
      <c r="AI1038" s="1185"/>
    </row>
    <row r="1039" spans="1:35">
      <c r="A1039" s="1219"/>
      <c r="B1039" s="1219"/>
      <c r="C1039" s="1225"/>
      <c r="D1039" s="1229"/>
      <c r="E1039" s="1219"/>
      <c r="F1039" s="1203"/>
      <c r="G1039" s="1229"/>
      <c r="H1039" s="1219"/>
      <c r="I1039" s="1203"/>
      <c r="J1039" s="1229"/>
      <c r="K1039" s="1219"/>
      <c r="L1039" s="1203"/>
      <c r="N1039" s="1185"/>
      <c r="O1039" s="1185"/>
      <c r="S1039" s="1186"/>
      <c r="T1039" s="1186"/>
      <c r="U1039" s="1185"/>
      <c r="V1039" s="1185"/>
      <c r="W1039" s="1185"/>
      <c r="X1039" s="1185"/>
      <c r="Y1039" s="1185"/>
      <c r="Z1039" s="1185"/>
      <c r="AA1039" s="1185"/>
      <c r="AB1039" s="1185"/>
      <c r="AC1039" s="1185"/>
      <c r="AD1039" s="1185"/>
      <c r="AE1039" s="1185"/>
      <c r="AF1039" s="1185"/>
      <c r="AG1039" s="1185"/>
      <c r="AH1039" s="1185"/>
      <c r="AI1039" s="1185"/>
    </row>
    <row r="1040" spans="1:35">
      <c r="A1040" s="1219" t="s">
        <v>616</v>
      </c>
      <c r="B1040" s="1219"/>
      <c r="C1040" s="1202">
        <f>423620+327074+2484+134160+80496+7032+118656+4944+127+39284+45855+2520+2448+6318</f>
        <v>1195018</v>
      </c>
      <c r="D1040" s="1328">
        <v>6.4820000000000002</v>
      </c>
      <c r="E1040" s="1219" t="s">
        <v>374</v>
      </c>
      <c r="F1040" s="1340">
        <f>ROUND(C1040*D1040/100,0)</f>
        <v>77461</v>
      </c>
      <c r="G1040" s="1316">
        <v>6.8330000000000002</v>
      </c>
      <c r="H1040" s="1219" t="s">
        <v>374</v>
      </c>
      <c r="I1040" s="1340">
        <f>ROUND(G1040*C1040/100,0)</f>
        <v>81656</v>
      </c>
      <c r="J1040" s="1316">
        <v>6.8330000000000002</v>
      </c>
      <c r="K1040" s="1219" t="s">
        <v>374</v>
      </c>
      <c r="L1040" s="1203">
        <f>ROUND(J1040*C1040/100,0)</f>
        <v>81656</v>
      </c>
      <c r="N1040" s="1185"/>
      <c r="O1040" s="1185"/>
      <c r="S1040" s="1186"/>
      <c r="T1040" s="1186"/>
      <c r="U1040" s="1185"/>
      <c r="V1040" s="1185"/>
      <c r="W1040" s="1185"/>
      <c r="X1040" s="1185"/>
      <c r="Y1040" s="1185"/>
      <c r="Z1040" s="1185"/>
      <c r="AA1040" s="1185"/>
      <c r="AB1040" s="1185"/>
      <c r="AC1040" s="1185"/>
      <c r="AD1040" s="1185"/>
      <c r="AE1040" s="1185"/>
      <c r="AF1040" s="1185"/>
      <c r="AG1040" s="1185"/>
      <c r="AH1040" s="1185"/>
      <c r="AI1040" s="1185"/>
    </row>
    <row r="1041" spans="1:35">
      <c r="A1041" s="1219" t="s">
        <v>617</v>
      </c>
      <c r="B1041" s="1219"/>
      <c r="C1041" s="1202">
        <f>3523707-C1040</f>
        <v>2328689</v>
      </c>
      <c r="D1041" s="1009" t="s">
        <v>31</v>
      </c>
      <c r="E1041" s="1219" t="s">
        <v>31</v>
      </c>
      <c r="F1041" s="1340" t="s">
        <v>31</v>
      </c>
      <c r="G1041" s="1009">
        <v>0</v>
      </c>
      <c r="H1041" s="1219" t="s">
        <v>374</v>
      </c>
      <c r="I1041" s="1340">
        <f>ROUND(G1041*C1041/100,0)</f>
        <v>0</v>
      </c>
      <c r="J1041" s="1009">
        <v>0</v>
      </c>
      <c r="K1041" s="1219" t="s">
        <v>374</v>
      </c>
      <c r="L1041" s="1203">
        <v>0</v>
      </c>
      <c r="N1041" s="1185"/>
      <c r="O1041" s="1185"/>
      <c r="S1041" s="1186"/>
      <c r="T1041" s="1186">
        <v>211950</v>
      </c>
      <c r="U1041" s="1203">
        <f>C1041*0.06146</f>
        <v>143121.22594</v>
      </c>
      <c r="V1041" s="1203"/>
      <c r="W1041" s="1185"/>
      <c r="X1041" s="1185"/>
      <c r="Y1041" s="1185"/>
      <c r="Z1041" s="1185"/>
      <c r="AA1041" s="1185"/>
      <c r="AB1041" s="1185"/>
      <c r="AC1041" s="1185"/>
      <c r="AD1041" s="1185"/>
      <c r="AE1041" s="1185"/>
      <c r="AF1041" s="1185"/>
      <c r="AG1041" s="1185"/>
      <c r="AH1041" s="1185"/>
      <c r="AI1041" s="1185"/>
    </row>
    <row r="1042" spans="1:35">
      <c r="A1042" s="1219" t="s">
        <v>362</v>
      </c>
      <c r="B1042" s="1219"/>
      <c r="C1042" s="1202">
        <f>1439</f>
        <v>1439</v>
      </c>
      <c r="D1042" s="1341"/>
      <c r="E1042" s="1219"/>
      <c r="F1042" s="1203"/>
      <c r="G1042" s="1341"/>
      <c r="H1042" s="1219"/>
      <c r="I1042" s="1203"/>
      <c r="J1042" s="1341"/>
      <c r="K1042" s="1219"/>
      <c r="L1042" s="1203"/>
      <c r="N1042" s="1185"/>
      <c r="O1042" s="1185"/>
      <c r="P1042" s="1186"/>
      <c r="Q1042" s="1186"/>
      <c r="R1042" s="1186"/>
      <c r="S1042" s="1185"/>
      <c r="T1042" s="1185"/>
      <c r="U1042" s="1185"/>
      <c r="V1042" s="1185"/>
      <c r="W1042" s="1185"/>
      <c r="X1042" s="1185"/>
      <c r="Y1042" s="1185"/>
      <c r="Z1042" s="1185"/>
      <c r="AA1042" s="1185"/>
      <c r="AB1042" s="1185"/>
      <c r="AC1042" s="1185"/>
      <c r="AD1042" s="1185"/>
      <c r="AE1042" s="1185"/>
      <c r="AF1042" s="1185"/>
      <c r="AG1042" s="1185"/>
      <c r="AH1042" s="1185"/>
      <c r="AI1042" s="1185"/>
    </row>
    <row r="1043" spans="1:35">
      <c r="A1043" s="1184" t="s">
        <v>491</v>
      </c>
      <c r="C1043" s="1202">
        <f>C1040+C1041</f>
        <v>3523707</v>
      </c>
      <c r="D1043" s="269"/>
      <c r="E1043" s="1185"/>
      <c r="F1043" s="1210">
        <f>SUM(F1024:F1041)</f>
        <v>230756.78999999998</v>
      </c>
      <c r="G1043" s="269"/>
      <c r="H1043" s="1185"/>
      <c r="I1043" s="1210">
        <f>SUM(I1024:I1041)</f>
        <v>242978.35000000003</v>
      </c>
      <c r="J1043" s="269"/>
      <c r="K1043" s="1185"/>
      <c r="L1043" s="1210">
        <f>SUM(L1024:L1042)</f>
        <v>242978.35000000003</v>
      </c>
      <c r="N1043" s="1185"/>
      <c r="O1043" s="1185"/>
      <c r="P1043" s="1186"/>
      <c r="Q1043" s="1186"/>
      <c r="R1043" s="1186"/>
      <c r="S1043" s="1185"/>
      <c r="T1043" s="1185"/>
      <c r="U1043" s="1185"/>
      <c r="V1043" s="1185"/>
      <c r="W1043" s="1185"/>
      <c r="X1043" s="1185"/>
      <c r="Y1043" s="1185"/>
      <c r="Z1043" s="1185"/>
      <c r="AA1043" s="1185"/>
      <c r="AB1043" s="1185"/>
      <c r="AC1043" s="1185"/>
      <c r="AD1043" s="1185"/>
      <c r="AE1043" s="1185"/>
      <c r="AF1043" s="1185"/>
      <c r="AG1043" s="1185"/>
      <c r="AH1043" s="1185"/>
      <c r="AI1043" s="1185"/>
    </row>
    <row r="1044" spans="1:35">
      <c r="A1044" s="1184" t="s">
        <v>492</v>
      </c>
      <c r="C1044" s="1202">
        <f>'[97]Table 2'!H122</f>
        <v>-307654.71277995309</v>
      </c>
      <c r="D1044" s="269"/>
      <c r="E1044" s="1185"/>
      <c r="F1044" s="1210" t="e">
        <f>#REF!</f>
        <v>#REF!</v>
      </c>
      <c r="G1044" s="269"/>
      <c r="H1044" s="1185"/>
      <c r="I1044" s="1210">
        <f>'[97]Table 3'!E122</f>
        <v>-19944.378113311941</v>
      </c>
      <c r="J1044" s="269"/>
      <c r="K1044" s="1185"/>
      <c r="L1044" s="1210">
        <f>I1044</f>
        <v>-19944.378113311941</v>
      </c>
      <c r="N1044" s="444"/>
      <c r="O1044" s="444"/>
      <c r="P1044" s="287"/>
      <c r="Q1044" s="1186"/>
      <c r="R1044" s="1186"/>
      <c r="S1044" s="1185"/>
      <c r="T1044" s="1185"/>
      <c r="U1044" s="1185"/>
      <c r="V1044" s="1185"/>
      <c r="W1044" s="1185"/>
      <c r="X1044" s="1185"/>
      <c r="Y1044" s="1185"/>
      <c r="Z1044" s="1185"/>
      <c r="AA1044" s="1185"/>
      <c r="AB1044" s="1185"/>
      <c r="AC1044" s="1185"/>
      <c r="AD1044" s="1185"/>
      <c r="AE1044" s="1185"/>
      <c r="AF1044" s="1185"/>
      <c r="AG1044" s="1185"/>
      <c r="AH1044" s="1185"/>
      <c r="AI1044" s="1185"/>
    </row>
    <row r="1045" spans="1:35" ht="16.5" thickBot="1">
      <c r="A1045" s="1219" t="s">
        <v>9</v>
      </c>
      <c r="B1045" s="1219"/>
      <c r="C1045" s="1321">
        <f>C1043+C1044</f>
        <v>3216052.2872200469</v>
      </c>
      <c r="D1045" s="1342"/>
      <c r="E1045" s="1343"/>
      <c r="F1045" s="1213" t="e">
        <f>F1043+F1044</f>
        <v>#REF!</v>
      </c>
      <c r="G1045" s="1344"/>
      <c r="H1045" s="1269"/>
      <c r="I1045" s="1213">
        <f>I1043+I1044</f>
        <v>223033.97188668809</v>
      </c>
      <c r="J1045" s="1344"/>
      <c r="K1045" s="1269"/>
      <c r="L1045" s="1213">
        <f>L1043+L1044</f>
        <v>223033.97188668809</v>
      </c>
      <c r="N1045" s="411"/>
      <c r="O1045" s="411"/>
      <c r="P1045" s="470"/>
      <c r="Q1045" s="1186"/>
      <c r="R1045" s="1186"/>
      <c r="S1045" s="1185"/>
      <c r="T1045" s="1185"/>
      <c r="U1045" s="1185"/>
      <c r="V1045" s="1185"/>
      <c r="W1045" s="1185"/>
      <c r="X1045" s="1185"/>
      <c r="Y1045" s="1185"/>
      <c r="Z1045" s="1185"/>
      <c r="AA1045" s="1185"/>
      <c r="AB1045" s="1185"/>
      <c r="AC1045" s="1185"/>
      <c r="AD1045" s="1185"/>
      <c r="AE1045" s="1185"/>
      <c r="AF1045" s="1185"/>
      <c r="AG1045" s="1185"/>
      <c r="AH1045" s="1185"/>
      <c r="AI1045" s="1185"/>
    </row>
    <row r="1046" spans="1:35" ht="16.5" thickTop="1">
      <c r="A1046" s="1219"/>
      <c r="B1046" s="1219"/>
      <c r="C1046" s="1313"/>
      <c r="D1046" s="1346"/>
      <c r="E1046" s="1277"/>
      <c r="F1046" s="1244"/>
      <c r="G1046" s="1346" t="s">
        <v>31</v>
      </c>
      <c r="H1046" s="1277"/>
      <c r="I1046" s="1244"/>
      <c r="J1046" s="1346" t="s">
        <v>31</v>
      </c>
      <c r="K1046" s="1277"/>
      <c r="L1046" s="1244" t="s">
        <v>31</v>
      </c>
      <c r="N1046" s="1185"/>
      <c r="O1046" s="1185"/>
      <c r="P1046" s="1186"/>
      <c r="Q1046" s="1186" t="s">
        <v>31</v>
      </c>
      <c r="R1046" s="1186"/>
      <c r="S1046" s="1185"/>
      <c r="T1046" s="1185"/>
      <c r="U1046" s="1185"/>
      <c r="V1046" s="1185"/>
      <c r="W1046" s="1185"/>
      <c r="X1046" s="1185"/>
      <c r="Y1046" s="1185"/>
      <c r="Z1046" s="1185"/>
      <c r="AA1046" s="1185"/>
      <c r="AB1046" s="1185"/>
      <c r="AC1046" s="1185"/>
      <c r="AD1046" s="1185"/>
      <c r="AE1046" s="1185"/>
      <c r="AF1046" s="1185"/>
      <c r="AG1046" s="1185"/>
      <c r="AH1046" s="1185"/>
      <c r="AI1046" s="1185"/>
    </row>
    <row r="1047" spans="1:35">
      <c r="A1047" s="1224" t="s">
        <v>499</v>
      </c>
      <c r="B1047" s="1219"/>
      <c r="C1047" s="1219"/>
      <c r="D1047" s="1219"/>
      <c r="E1047" s="1219"/>
      <c r="F1047" s="1219"/>
      <c r="G1047" s="1219"/>
      <c r="H1047" s="1219"/>
      <c r="I1047" s="1219"/>
      <c r="J1047" s="1219"/>
      <c r="K1047" s="1219"/>
      <c r="L1047" s="1219"/>
      <c r="N1047" s="1185"/>
      <c r="O1047" s="1185"/>
      <c r="P1047" s="1186"/>
      <c r="Q1047" s="1186"/>
      <c r="R1047" s="1186"/>
      <c r="S1047" s="1185"/>
      <c r="T1047" s="1185"/>
      <c r="U1047" s="1185"/>
      <c r="V1047" s="1185"/>
      <c r="W1047" s="1185"/>
      <c r="X1047" s="1185"/>
      <c r="Y1047" s="1185"/>
      <c r="Z1047" s="1185"/>
      <c r="AA1047" s="1185"/>
      <c r="AB1047" s="1185"/>
      <c r="AC1047" s="1185"/>
      <c r="AD1047" s="1185"/>
      <c r="AE1047" s="1185"/>
      <c r="AF1047" s="1185"/>
      <c r="AG1047" s="1185"/>
      <c r="AH1047" s="1185"/>
      <c r="AI1047" s="1185"/>
    </row>
    <row r="1048" spans="1:35">
      <c r="A1048" s="1219" t="s">
        <v>500</v>
      </c>
      <c r="B1048" s="1219"/>
      <c r="C1048" s="1219"/>
      <c r="D1048" s="1219"/>
      <c r="E1048" s="1219"/>
      <c r="F1048" s="1219"/>
      <c r="G1048" s="1219"/>
      <c r="H1048" s="1219"/>
      <c r="I1048" s="1219"/>
      <c r="J1048" s="1219"/>
      <c r="K1048" s="1219"/>
      <c r="L1048" s="1219"/>
      <c r="N1048" s="1185"/>
      <c r="O1048" s="1185"/>
      <c r="P1048" s="1186"/>
      <c r="Q1048" s="1186"/>
      <c r="R1048" s="1186"/>
      <c r="S1048" s="1185"/>
      <c r="T1048" s="1185"/>
      <c r="U1048" s="1185"/>
      <c r="V1048" s="1185"/>
      <c r="W1048" s="1185"/>
      <c r="X1048" s="1185"/>
      <c r="Y1048" s="1185"/>
      <c r="Z1048" s="1185"/>
      <c r="AA1048" s="1185"/>
      <c r="AB1048" s="1185"/>
      <c r="AC1048" s="1185"/>
      <c r="AD1048" s="1185"/>
      <c r="AE1048" s="1185"/>
      <c r="AF1048" s="1185"/>
      <c r="AG1048" s="1185"/>
      <c r="AH1048" s="1185"/>
      <c r="AI1048" s="1185"/>
    </row>
    <row r="1049" spans="1:35">
      <c r="A1049" s="1219"/>
      <c r="B1049" s="1219"/>
      <c r="C1049" s="1219"/>
      <c r="D1049" s="1317"/>
      <c r="E1049" s="1219"/>
      <c r="F1049" s="1219"/>
      <c r="G1049" s="1317"/>
      <c r="H1049" s="1219"/>
      <c r="I1049" s="1219"/>
      <c r="J1049" s="1317"/>
      <c r="K1049" s="1219"/>
      <c r="L1049" s="1219"/>
      <c r="N1049" s="1185"/>
      <c r="O1049" s="1185"/>
      <c r="P1049" s="1186"/>
      <c r="Q1049" s="1186"/>
      <c r="R1049" s="1186"/>
      <c r="S1049" s="1185"/>
      <c r="T1049" s="1185"/>
      <c r="U1049" s="1185"/>
      <c r="V1049" s="1185"/>
      <c r="W1049" s="1185"/>
      <c r="X1049" s="1185"/>
      <c r="Y1049" s="1185"/>
      <c r="Z1049" s="1185"/>
      <c r="AA1049" s="1185"/>
      <c r="AB1049" s="1185"/>
      <c r="AC1049" s="1185"/>
      <c r="AD1049" s="1185"/>
      <c r="AE1049" s="1185"/>
      <c r="AF1049" s="1185"/>
      <c r="AG1049" s="1185"/>
      <c r="AH1049" s="1185"/>
      <c r="AI1049" s="1185"/>
    </row>
    <row r="1050" spans="1:35">
      <c r="A1050" s="1219" t="s">
        <v>488</v>
      </c>
      <c r="B1050" s="1219"/>
      <c r="C1050" s="1225"/>
      <c r="D1050" s="1229"/>
      <c r="E1050" s="1219"/>
      <c r="F1050" s="1203">
        <v>0</v>
      </c>
      <c r="G1050" s="1229"/>
      <c r="H1050" s="1219"/>
      <c r="I1050" s="1203">
        <v>0</v>
      </c>
      <c r="J1050" s="1229"/>
      <c r="K1050" s="1219"/>
      <c r="L1050" s="1203">
        <f>F1050</f>
        <v>0</v>
      </c>
      <c r="N1050" s="1185"/>
      <c r="O1050" s="1185"/>
      <c r="P1050" s="1186"/>
      <c r="Q1050" s="1186"/>
      <c r="R1050" s="1186"/>
      <c r="S1050" s="1185"/>
      <c r="T1050" s="1185"/>
      <c r="U1050" s="1185"/>
      <c r="V1050" s="1185"/>
      <c r="W1050" s="1185"/>
      <c r="X1050" s="1185"/>
      <c r="Y1050" s="1185"/>
      <c r="Z1050" s="1185"/>
      <c r="AA1050" s="1185"/>
      <c r="AB1050" s="1185"/>
      <c r="AC1050" s="1185"/>
      <c r="AD1050" s="1185"/>
      <c r="AE1050" s="1185"/>
      <c r="AF1050" s="1185"/>
      <c r="AG1050" s="1185"/>
      <c r="AH1050" s="1185"/>
      <c r="AI1050" s="1185"/>
    </row>
    <row r="1051" spans="1:35">
      <c r="A1051" s="1219" t="s">
        <v>495</v>
      </c>
      <c r="B1051" s="1219"/>
      <c r="C1051" s="1202">
        <v>0</v>
      </c>
      <c r="D1051" s="1328">
        <v>6.4820000000000002</v>
      </c>
      <c r="E1051" s="1219" t="s">
        <v>374</v>
      </c>
      <c r="F1051" s="1340">
        <f>ROUND(C1051*D1051/100,0)</f>
        <v>0</v>
      </c>
      <c r="G1051" s="1316">
        <v>6.8330000000000002</v>
      </c>
      <c r="H1051" s="1219" t="s">
        <v>374</v>
      </c>
      <c r="I1051" s="1340">
        <f>ROUND(G1051*C1051/100,0)</f>
        <v>0</v>
      </c>
      <c r="J1051" s="1316">
        <f>J1040</f>
        <v>6.8330000000000002</v>
      </c>
      <c r="K1051" s="1219" t="s">
        <v>374</v>
      </c>
      <c r="L1051" s="1203">
        <f>ROUND(C1051*J1051/100,0)</f>
        <v>0</v>
      </c>
      <c r="N1051" s="1185"/>
      <c r="O1051" s="1185"/>
      <c r="P1051" s="1186"/>
      <c r="Q1051" s="1186"/>
      <c r="R1051" s="1186"/>
      <c r="S1051" s="1185"/>
      <c r="T1051" s="1185"/>
      <c r="U1051" s="1185"/>
      <c r="V1051" s="1185"/>
      <c r="W1051" s="1185"/>
      <c r="X1051" s="1185"/>
      <c r="Y1051" s="1185"/>
      <c r="Z1051" s="1185"/>
      <c r="AA1051" s="1185"/>
      <c r="AB1051" s="1185"/>
      <c r="AC1051" s="1185"/>
      <c r="AD1051" s="1185"/>
      <c r="AE1051" s="1185"/>
      <c r="AF1051" s="1185"/>
      <c r="AG1051" s="1185"/>
      <c r="AH1051" s="1185"/>
      <c r="AI1051" s="1185"/>
    </row>
    <row r="1052" spans="1:35">
      <c r="A1052" s="1219" t="s">
        <v>496</v>
      </c>
      <c r="B1052" s="1219"/>
      <c r="C1052" s="1202">
        <f>1167081</f>
        <v>1167081</v>
      </c>
      <c r="D1052" s="1009">
        <v>6.4820000000000002</v>
      </c>
      <c r="E1052" s="1219" t="s">
        <v>374</v>
      </c>
      <c r="F1052" s="1340">
        <f>ROUND(C1052*D1052/100,0)</f>
        <v>75650</v>
      </c>
      <c r="G1052" s="1345">
        <v>6.8330000000000002</v>
      </c>
      <c r="H1052" s="1219" t="s">
        <v>374</v>
      </c>
      <c r="I1052" s="1340">
        <f>ROUND(G1052*C1052/100,0)</f>
        <v>79747</v>
      </c>
      <c r="J1052" s="1345">
        <f>J1051</f>
        <v>6.8330000000000002</v>
      </c>
      <c r="K1052" s="1219" t="s">
        <v>374</v>
      </c>
      <c r="L1052" s="1203">
        <f>ROUND(J1052*$C1052/100,0)</f>
        <v>79747</v>
      </c>
      <c r="N1052" s="1185"/>
      <c r="O1052" s="1185"/>
      <c r="P1052" s="1186"/>
      <c r="Q1052" s="1186"/>
      <c r="R1052" s="1186"/>
      <c r="S1052" s="1185"/>
      <c r="T1052" s="1185"/>
      <c r="U1052" s="1185"/>
      <c r="V1052" s="1185"/>
      <c r="W1052" s="1185"/>
      <c r="X1052" s="1185"/>
      <c r="Y1052" s="1185"/>
      <c r="Z1052" s="1185"/>
      <c r="AA1052" s="1185"/>
      <c r="AB1052" s="1185"/>
      <c r="AC1052" s="1185"/>
      <c r="AD1052" s="1185"/>
      <c r="AE1052" s="1185"/>
      <c r="AF1052" s="1185"/>
      <c r="AG1052" s="1185"/>
      <c r="AH1052" s="1185"/>
      <c r="AI1052" s="1185"/>
    </row>
    <row r="1053" spans="1:35">
      <c r="A1053" s="1219" t="s">
        <v>362</v>
      </c>
      <c r="B1053" s="1219"/>
      <c r="C1053" s="1202">
        <f>1201</f>
        <v>1201</v>
      </c>
      <c r="D1053" s="1341"/>
      <c r="E1053" s="1219"/>
      <c r="F1053" s="1203"/>
      <c r="G1053" s="1341"/>
      <c r="H1053" s="1219"/>
      <c r="I1053" s="1203"/>
      <c r="J1053" s="1341"/>
      <c r="K1053" s="1219"/>
      <c r="L1053" s="1203"/>
      <c r="N1053" s="1185"/>
      <c r="O1053" s="1185"/>
      <c r="P1053" s="1186"/>
      <c r="Q1053" s="1186"/>
      <c r="R1053" s="1186"/>
      <c r="S1053" s="1185"/>
      <c r="T1053" s="1185"/>
      <c r="U1053" s="1185"/>
      <c r="V1053" s="1185"/>
      <c r="W1053" s="1185"/>
      <c r="X1053" s="1185"/>
      <c r="Y1053" s="1185"/>
      <c r="Z1053" s="1185"/>
      <c r="AA1053" s="1185"/>
      <c r="AB1053" s="1185"/>
      <c r="AC1053" s="1185"/>
      <c r="AD1053" s="1185"/>
      <c r="AE1053" s="1185"/>
      <c r="AF1053" s="1185"/>
      <c r="AG1053" s="1185"/>
      <c r="AH1053" s="1185"/>
      <c r="AI1053" s="1185"/>
    </row>
    <row r="1054" spans="1:35">
      <c r="A1054" s="1184" t="s">
        <v>491</v>
      </c>
      <c r="C1054" s="1202">
        <f>C1051+C1052</f>
        <v>1167081</v>
      </c>
      <c r="D1054" s="269"/>
      <c r="E1054" s="1185"/>
      <c r="F1054" s="1210">
        <f>SUM(F1050:F1052)</f>
        <v>75650</v>
      </c>
      <c r="G1054" s="269"/>
      <c r="H1054" s="1185"/>
      <c r="I1054" s="1210">
        <f>SUM(I1050:I1052)</f>
        <v>79747</v>
      </c>
      <c r="J1054" s="269"/>
      <c r="K1054" s="1185"/>
      <c r="L1054" s="1210">
        <f>SUM(L1050:L1053)</f>
        <v>79747</v>
      </c>
      <c r="N1054" s="1185"/>
      <c r="O1054" s="1185"/>
      <c r="P1054" s="1186"/>
      <c r="Q1054" s="1186"/>
      <c r="R1054" s="1186"/>
      <c r="S1054" s="1185"/>
      <c r="T1054" s="1185"/>
      <c r="U1054" s="1185"/>
      <c r="V1054" s="1185"/>
      <c r="W1054" s="1185"/>
      <c r="X1054" s="1185"/>
      <c r="Y1054" s="1185"/>
      <c r="Z1054" s="1185"/>
      <c r="AA1054" s="1185"/>
      <c r="AB1054" s="1185"/>
      <c r="AC1054" s="1185"/>
      <c r="AD1054" s="1185"/>
      <c r="AE1054" s="1185"/>
      <c r="AF1054" s="1185"/>
      <c r="AG1054" s="1185"/>
      <c r="AH1054" s="1185"/>
      <c r="AI1054" s="1185"/>
    </row>
    <row r="1055" spans="1:35">
      <c r="A1055" s="1184" t="s">
        <v>492</v>
      </c>
      <c r="C1055" s="1202">
        <f>'[97]Table 2'!H123</f>
        <v>-101897.79395560994</v>
      </c>
      <c r="D1055" s="269"/>
      <c r="E1055" s="1185"/>
      <c r="F1055" s="1210" t="e">
        <f>#REF!</f>
        <v>#REF!</v>
      </c>
      <c r="G1055" s="269"/>
      <c r="H1055" s="1185"/>
      <c r="I1055" s="1210">
        <f>'[97]Table 3'!E123</f>
        <v>-6553.3942164922319</v>
      </c>
      <c r="J1055" s="269"/>
      <c r="K1055" s="1185"/>
      <c r="L1055" s="1210">
        <f>I1055</f>
        <v>-6553.3942164922319</v>
      </c>
      <c r="N1055" s="444"/>
      <c r="O1055" s="444"/>
      <c r="P1055" s="287"/>
      <c r="Q1055" s="1186"/>
      <c r="R1055" s="1186"/>
      <c r="S1055" s="1185"/>
      <c r="T1055" s="1185"/>
      <c r="U1055" s="1185"/>
      <c r="V1055" s="1185"/>
      <c r="W1055" s="1185"/>
      <c r="X1055" s="1185"/>
      <c r="Y1055" s="1185"/>
      <c r="Z1055" s="1185"/>
      <c r="AA1055" s="1185"/>
      <c r="AB1055" s="1185"/>
      <c r="AC1055" s="1185"/>
      <c r="AD1055" s="1185"/>
      <c r="AE1055" s="1185"/>
      <c r="AF1055" s="1185"/>
      <c r="AG1055" s="1185"/>
      <c r="AH1055" s="1185"/>
      <c r="AI1055" s="1185"/>
    </row>
    <row r="1056" spans="1:35" ht="16.5" thickBot="1">
      <c r="A1056" s="1219" t="s">
        <v>9</v>
      </c>
      <c r="B1056" s="1219"/>
      <c r="C1056" s="1321">
        <f>C1054+C1055</f>
        <v>1065183.2060443901</v>
      </c>
      <c r="D1056" s="1342"/>
      <c r="E1056" s="1343"/>
      <c r="F1056" s="1213" t="e">
        <f>F1054+F1055</f>
        <v>#REF!</v>
      </c>
      <c r="G1056" s="1344"/>
      <c r="H1056" s="1269"/>
      <c r="I1056" s="1213">
        <f>I1054+I1055</f>
        <v>73193.605783507766</v>
      </c>
      <c r="J1056" s="1344"/>
      <c r="K1056" s="1269"/>
      <c r="L1056" s="1213">
        <f>L1054+L1055</f>
        <v>73193.605783507766</v>
      </c>
      <c r="N1056" s="411"/>
      <c r="O1056" s="411"/>
      <c r="P1056" s="470"/>
      <c r="Q1056" s="1186"/>
      <c r="R1056" s="1186"/>
      <c r="S1056" s="1185"/>
      <c r="T1056" s="1185"/>
      <c r="U1056" s="1185"/>
      <c r="V1056" s="1185"/>
      <c r="W1056" s="1185"/>
      <c r="X1056" s="1185"/>
      <c r="Y1056" s="1185"/>
      <c r="Z1056" s="1185"/>
      <c r="AA1056" s="1185"/>
      <c r="AB1056" s="1185"/>
      <c r="AC1056" s="1185"/>
      <c r="AD1056" s="1185"/>
      <c r="AE1056" s="1185"/>
      <c r="AF1056" s="1185"/>
      <c r="AG1056" s="1185"/>
      <c r="AH1056" s="1185"/>
      <c r="AI1056" s="1185"/>
    </row>
    <row r="1057" spans="1:35" ht="16.5" thickTop="1">
      <c r="A1057" s="1219"/>
      <c r="B1057" s="1219"/>
      <c r="C1057" s="1313"/>
      <c r="D1057" s="1346"/>
      <c r="E1057" s="1277"/>
      <c r="F1057" s="1244"/>
      <c r="G1057" s="1346" t="s">
        <v>31</v>
      </c>
      <c r="H1057" s="1277"/>
      <c r="I1057" s="1244"/>
      <c r="J1057" s="1346" t="s">
        <v>31</v>
      </c>
      <c r="K1057" s="1277"/>
      <c r="L1057" s="1244" t="s">
        <v>31</v>
      </c>
      <c r="N1057" s="1185"/>
      <c r="O1057" s="1185"/>
      <c r="P1057" s="1186"/>
      <c r="Q1057" s="1186"/>
      <c r="R1057" s="1186"/>
      <c r="S1057" s="1185"/>
      <c r="T1057" s="1185"/>
      <c r="U1057" s="1185"/>
      <c r="V1057" s="1185"/>
      <c r="W1057" s="1185"/>
      <c r="X1057" s="1185"/>
      <c r="Y1057" s="1185"/>
      <c r="Z1057" s="1185"/>
      <c r="AA1057" s="1185"/>
      <c r="AB1057" s="1185"/>
      <c r="AC1057" s="1185"/>
      <c r="AD1057" s="1185"/>
      <c r="AE1057" s="1185"/>
      <c r="AF1057" s="1185"/>
      <c r="AG1057" s="1185"/>
      <c r="AH1057" s="1185"/>
      <c r="AI1057" s="1185"/>
    </row>
    <row r="1058" spans="1:35">
      <c r="A1058" s="1224" t="s">
        <v>501</v>
      </c>
      <c r="B1058" s="1219"/>
      <c r="C1058" s="1219"/>
      <c r="D1058" s="1219"/>
      <c r="E1058" s="1219"/>
      <c r="F1058" s="1219"/>
      <c r="G1058" s="1219"/>
      <c r="H1058" s="1219"/>
      <c r="I1058" s="1219"/>
      <c r="J1058" s="1219"/>
      <c r="K1058" s="1219"/>
      <c r="L1058" s="1219" t="s">
        <v>31</v>
      </c>
      <c r="N1058" s="1185"/>
      <c r="O1058" s="1185"/>
      <c r="P1058" s="1186"/>
      <c r="Q1058" s="1186"/>
      <c r="R1058" s="1186"/>
      <c r="S1058" s="1185"/>
      <c r="T1058" s="1185"/>
      <c r="U1058" s="1185"/>
      <c r="V1058" s="1185"/>
      <c r="W1058" s="1185"/>
      <c r="X1058" s="1185"/>
      <c r="Y1058" s="1185"/>
      <c r="Z1058" s="1185"/>
      <c r="AA1058" s="1185"/>
      <c r="AB1058" s="1185"/>
      <c r="AC1058" s="1185"/>
      <c r="AD1058" s="1185"/>
      <c r="AE1058" s="1185"/>
      <c r="AF1058" s="1185"/>
      <c r="AG1058" s="1185"/>
      <c r="AH1058" s="1185"/>
      <c r="AI1058" s="1185"/>
    </row>
    <row r="1059" spans="1:35">
      <c r="A1059" s="1219" t="s">
        <v>192</v>
      </c>
      <c r="B1059" s="1219"/>
      <c r="C1059" s="1219"/>
      <c r="D1059" s="1219"/>
      <c r="E1059" s="1219"/>
      <c r="F1059" s="1219"/>
      <c r="G1059" s="1219"/>
      <c r="H1059" s="1219"/>
      <c r="I1059" s="1219"/>
      <c r="J1059" s="1219"/>
      <c r="K1059" s="1219"/>
      <c r="L1059" s="1219"/>
      <c r="N1059" s="1185"/>
      <c r="O1059" s="1185"/>
      <c r="P1059" s="1186"/>
      <c r="Q1059" s="1186"/>
      <c r="R1059" s="1186"/>
      <c r="S1059" s="1185"/>
      <c r="T1059" s="1185"/>
      <c r="U1059" s="1185"/>
      <c r="V1059" s="1185"/>
      <c r="W1059" s="1185"/>
      <c r="X1059" s="1185"/>
      <c r="Y1059" s="1185"/>
      <c r="Z1059" s="1185"/>
      <c r="AA1059" s="1185"/>
      <c r="AB1059" s="1185"/>
      <c r="AC1059" s="1185"/>
      <c r="AD1059" s="1185"/>
      <c r="AE1059" s="1185"/>
      <c r="AF1059" s="1185"/>
      <c r="AG1059" s="1185"/>
      <c r="AH1059" s="1185"/>
      <c r="AI1059" s="1185"/>
    </row>
    <row r="1060" spans="1:35">
      <c r="A1060" s="1219"/>
      <c r="B1060" s="1219"/>
      <c r="C1060" s="1219"/>
      <c r="D1060" s="1219"/>
      <c r="E1060" s="1219"/>
      <c r="F1060" s="1219"/>
      <c r="G1060" s="1219"/>
      <c r="H1060" s="1219"/>
      <c r="I1060" s="1219"/>
      <c r="J1060" s="1219"/>
      <c r="K1060" s="1219"/>
      <c r="L1060" s="1219"/>
      <c r="N1060" s="1185"/>
      <c r="O1060" s="1185"/>
      <c r="P1060" s="1186"/>
      <c r="Q1060" s="1186"/>
      <c r="R1060" s="1186"/>
      <c r="S1060" s="1185"/>
      <c r="T1060" s="1185"/>
      <c r="U1060" s="1185"/>
      <c r="V1060" s="1185"/>
      <c r="W1060" s="1185"/>
      <c r="X1060" s="1185"/>
      <c r="Y1060" s="1185"/>
      <c r="Z1060" s="1185"/>
      <c r="AA1060" s="1185"/>
      <c r="AB1060" s="1185"/>
      <c r="AC1060" s="1185"/>
      <c r="AD1060" s="1185"/>
      <c r="AE1060" s="1185"/>
      <c r="AF1060" s="1185"/>
      <c r="AG1060" s="1185"/>
      <c r="AH1060" s="1185"/>
      <c r="AI1060" s="1185"/>
    </row>
    <row r="1061" spans="1:35">
      <c r="A1061" s="1219" t="s">
        <v>502</v>
      </c>
      <c r="B1061" s="1219"/>
      <c r="C1061" s="1225">
        <f>177</f>
        <v>177</v>
      </c>
      <c r="D1061" s="1229">
        <v>3.5</v>
      </c>
      <c r="E1061" s="1219"/>
      <c r="F1061" s="1203">
        <f>ROUND(D1061*C1061,0)</f>
        <v>620</v>
      </c>
      <c r="G1061" s="1229">
        <v>3.75</v>
      </c>
      <c r="H1061" s="1219"/>
      <c r="I1061" s="1203">
        <f>ROUND(C1061*G1061,0)</f>
        <v>664</v>
      </c>
      <c r="J1061" s="1229">
        <v>3.75</v>
      </c>
      <c r="K1061" s="1219"/>
      <c r="L1061" s="1203">
        <f>ROUND(J1061*$C1061,0)</f>
        <v>664</v>
      </c>
      <c r="N1061" s="1204" t="e">
        <f>J1061*#REF!</f>
        <v>#REF!</v>
      </c>
      <c r="O1061" s="1185"/>
      <c r="P1061" s="1348"/>
      <c r="Q1061" s="1348"/>
      <c r="R1061" s="1348"/>
      <c r="S1061" s="1185"/>
      <c r="T1061" s="1185"/>
      <c r="U1061" s="1185"/>
      <c r="V1061" s="1185"/>
      <c r="W1061" s="1185"/>
      <c r="X1061" s="1185"/>
      <c r="Y1061" s="1185"/>
      <c r="Z1061" s="1185"/>
      <c r="AA1061" s="1185"/>
      <c r="AB1061" s="1185"/>
      <c r="AC1061" s="1185"/>
      <c r="AD1061" s="1185"/>
      <c r="AE1061" s="1185"/>
      <c r="AF1061" s="1185"/>
      <c r="AG1061" s="1185"/>
      <c r="AH1061" s="1185"/>
      <c r="AI1061" s="1185"/>
    </row>
    <row r="1062" spans="1:35">
      <c r="A1062" s="1219" t="s">
        <v>503</v>
      </c>
      <c r="B1062" s="1219"/>
      <c r="C1062" s="1225">
        <f>172</f>
        <v>172</v>
      </c>
      <c r="D1062" s="1229">
        <v>6.5</v>
      </c>
      <c r="E1062" s="1219"/>
      <c r="F1062" s="1203">
        <f>ROUND(D1062*C1062,0)</f>
        <v>1118</v>
      </c>
      <c r="G1062" s="1229">
        <v>6.75</v>
      </c>
      <c r="H1062" s="1219"/>
      <c r="I1062" s="1203">
        <f>ROUND(C1062*G1062,0)</f>
        <v>1161</v>
      </c>
      <c r="J1062" s="1229">
        <v>6.75</v>
      </c>
      <c r="K1062" s="1219"/>
      <c r="L1062" s="1203">
        <f>ROUND(J1062*$C1062,0)</f>
        <v>1161</v>
      </c>
      <c r="N1062" s="1204" t="e">
        <f>J1062*#REF!</f>
        <v>#REF!</v>
      </c>
      <c r="O1062" s="1185"/>
      <c r="P1062" s="1348"/>
      <c r="Q1062" s="1348"/>
      <c r="R1062" s="1348"/>
      <c r="S1062" s="1185"/>
      <c r="T1062" s="1185"/>
      <c r="U1062" s="1185"/>
      <c r="V1062" s="1185"/>
      <c r="W1062" s="1185"/>
      <c r="X1062" s="1185"/>
      <c r="Y1062" s="1185"/>
      <c r="Z1062" s="1185"/>
      <c r="AA1062" s="1185"/>
      <c r="AB1062" s="1185"/>
      <c r="AC1062" s="1185"/>
      <c r="AD1062" s="1185"/>
      <c r="AE1062" s="1185"/>
      <c r="AF1062" s="1185"/>
      <c r="AG1062" s="1185"/>
      <c r="AH1062" s="1185"/>
      <c r="AI1062" s="1185"/>
    </row>
    <row r="1063" spans="1:35">
      <c r="A1063" s="1219" t="s">
        <v>504</v>
      </c>
      <c r="B1063" s="1219"/>
      <c r="C1063" s="1225">
        <f>SUM(C1061:C1062)</f>
        <v>349</v>
      </c>
      <c r="D1063" s="1236"/>
      <c r="E1063" s="1219"/>
      <c r="F1063" s="1340"/>
      <c r="G1063" s="1236"/>
      <c r="H1063" s="1219"/>
      <c r="I1063" s="1340"/>
      <c r="J1063" s="1236"/>
      <c r="K1063" s="1219"/>
      <c r="L1063" s="1203"/>
      <c r="N1063" s="1185"/>
      <c r="O1063" s="1185"/>
      <c r="P1063" s="1348"/>
      <c r="Q1063" s="1348"/>
      <c r="R1063" s="1348"/>
      <c r="S1063" s="1185"/>
      <c r="T1063" s="1185"/>
      <c r="U1063" s="1185"/>
      <c r="V1063" s="1185"/>
      <c r="W1063" s="1185"/>
      <c r="X1063" s="1185"/>
      <c r="Y1063" s="1185"/>
      <c r="Z1063" s="1185"/>
      <c r="AA1063" s="1185"/>
      <c r="AB1063" s="1185"/>
      <c r="AC1063" s="1185"/>
      <c r="AD1063" s="1185"/>
      <c r="AE1063" s="1185"/>
      <c r="AF1063" s="1185"/>
      <c r="AG1063" s="1185"/>
      <c r="AH1063" s="1185"/>
      <c r="AI1063" s="1185"/>
    </row>
    <row r="1064" spans="1:35">
      <c r="A1064" s="1219" t="s">
        <v>464</v>
      </c>
      <c r="B1064" s="1219"/>
      <c r="C1064" s="1225">
        <f>77267+205979</f>
        <v>283246</v>
      </c>
      <c r="D1064" s="806">
        <v>7.7190000000000003</v>
      </c>
      <c r="E1064" s="1219" t="s">
        <v>374</v>
      </c>
      <c r="F1064" s="1340">
        <f>ROUND(C1064*D1064/100,0)</f>
        <v>21864</v>
      </c>
      <c r="G1064" s="806">
        <v>8.1110000000000007</v>
      </c>
      <c r="H1064" s="1203" t="s">
        <v>374</v>
      </c>
      <c r="I1064" s="1340">
        <f>ROUND(G1064*C1064/100,0)</f>
        <v>22974</v>
      </c>
      <c r="J1064" s="806">
        <v>8.1110000000000007</v>
      </c>
      <c r="K1064" s="1203" t="s">
        <v>374</v>
      </c>
      <c r="L1064" s="1203">
        <f>ROUND(J1064*$C1064/100,0)</f>
        <v>22974</v>
      </c>
      <c r="N1064" s="1204" t="e">
        <f>(J1064/100)*#REF!</f>
        <v>#REF!</v>
      </c>
      <c r="O1064" s="1185"/>
      <c r="P1064" s="1348"/>
      <c r="Q1064" s="1348"/>
      <c r="R1064" s="1348"/>
      <c r="S1064" s="1185"/>
      <c r="T1064" s="1185"/>
      <c r="U1064" s="1185"/>
      <c r="V1064" s="1185"/>
      <c r="W1064" s="1185"/>
      <c r="X1064" s="1185"/>
      <c r="Y1064" s="1185"/>
      <c r="Z1064" s="1185"/>
      <c r="AA1064" s="1185"/>
      <c r="AB1064" s="1185"/>
      <c r="AC1064" s="1185"/>
      <c r="AD1064" s="1185"/>
      <c r="AE1064" s="1185"/>
      <c r="AF1064" s="1185"/>
      <c r="AG1064" s="1185"/>
      <c r="AH1064" s="1185"/>
      <c r="AI1064" s="1185"/>
    </row>
    <row r="1065" spans="1:35">
      <c r="A1065" s="1219" t="s">
        <v>381</v>
      </c>
      <c r="B1065" s="1219"/>
      <c r="C1065" s="1026">
        <f>SUM(C1064)</f>
        <v>283246</v>
      </c>
      <c r="D1065" s="1225"/>
      <c r="E1065" s="1225"/>
      <c r="F1065" s="1340">
        <f>SUM(F1061:F1064)</f>
        <v>23602</v>
      </c>
      <c r="G1065" s="1225"/>
      <c r="H1065" s="1203"/>
      <c r="I1065" s="1340">
        <f>SUM(I1061:I1064)</f>
        <v>24799</v>
      </c>
      <c r="J1065" s="1225"/>
      <c r="K1065" s="1203"/>
      <c r="L1065" s="1340">
        <f>SUM(L1061:L1064)</f>
        <v>24799</v>
      </c>
      <c r="N1065" s="1274" t="e">
        <f>SUM(N1061:N1064)</f>
        <v>#REF!</v>
      </c>
      <c r="O1065" s="1185"/>
      <c r="P1065" s="1186"/>
      <c r="Q1065" s="1186"/>
      <c r="R1065" s="1186"/>
      <c r="S1065" s="1185"/>
      <c r="T1065" s="1185"/>
      <c r="U1065" s="1185"/>
      <c r="V1065" s="1185"/>
      <c r="W1065" s="1185"/>
      <c r="X1065" s="1185"/>
      <c r="Y1065" s="1185"/>
      <c r="Z1065" s="1185"/>
      <c r="AA1065" s="1185"/>
      <c r="AB1065" s="1185"/>
      <c r="AC1065" s="1185"/>
      <c r="AD1065" s="1185"/>
      <c r="AE1065" s="1185"/>
      <c r="AF1065" s="1185"/>
      <c r="AG1065" s="1185"/>
      <c r="AH1065" s="1185"/>
      <c r="AI1065" s="1185"/>
    </row>
    <row r="1066" spans="1:35">
      <c r="A1066" s="1219" t="s">
        <v>363</v>
      </c>
      <c r="B1066" s="1219"/>
      <c r="C1066" s="1032">
        <f>'[97]Table 2'!H53</f>
        <v>-730.25779208267056</v>
      </c>
      <c r="D1066" s="1349"/>
      <c r="E1066" s="1349"/>
      <c r="F1066" s="1350" t="e">
        <f>#REF!</f>
        <v>#REF!</v>
      </c>
      <c r="G1066" s="1351"/>
      <c r="H1066" s="1351"/>
      <c r="I1066" s="1350">
        <f>'[97]Table 3'!E53</f>
        <v>-73.380560007788219</v>
      </c>
      <c r="J1066" s="1351"/>
      <c r="K1066" s="1351"/>
      <c r="L1066" s="1350">
        <f>I1066</f>
        <v>-73.380560007788219</v>
      </c>
      <c r="N1066" s="289"/>
      <c r="O1066" s="289"/>
      <c r="P1066" s="290"/>
      <c r="Q1066" s="1186"/>
      <c r="R1066" s="1186"/>
      <c r="S1066" s="1185"/>
      <c r="T1066" s="1185"/>
      <c r="U1066" s="1185"/>
      <c r="V1066" s="1185"/>
      <c r="W1066" s="1185"/>
      <c r="X1066" s="1185"/>
      <c r="Y1066" s="1185"/>
      <c r="Z1066" s="1185"/>
      <c r="AA1066" s="1185"/>
      <c r="AB1066" s="1185"/>
      <c r="AC1066" s="1185"/>
      <c r="AD1066" s="1185"/>
      <c r="AE1066" s="1185"/>
      <c r="AF1066" s="1185"/>
      <c r="AG1066" s="1185"/>
      <c r="AH1066" s="1185"/>
      <c r="AI1066" s="1185"/>
    </row>
    <row r="1067" spans="1:35" ht="16.5" thickBot="1">
      <c r="A1067" s="1219" t="s">
        <v>382</v>
      </c>
      <c r="B1067" s="1219"/>
      <c r="C1067" s="1289">
        <f>C1065+C1066</f>
        <v>282515.74220791733</v>
      </c>
      <c r="D1067" s="1269"/>
      <c r="E1067" s="1269"/>
      <c r="F1067" s="1214" t="e">
        <f>F1065+F1066</f>
        <v>#REF!</v>
      </c>
      <c r="G1067" s="1269"/>
      <c r="H1067" s="1269"/>
      <c r="I1067" s="1214">
        <f>I1065+I1066</f>
        <v>24725.619439992213</v>
      </c>
      <c r="J1067" s="1269"/>
      <c r="K1067" s="1269"/>
      <c r="L1067" s="1214">
        <f>L1065+L1066</f>
        <v>24725.619439992213</v>
      </c>
      <c r="N1067" s="291"/>
      <c r="O1067" s="788" t="s">
        <v>409</v>
      </c>
      <c r="P1067" s="1216">
        <f>'[97]Rate Spread targets'!Q29*1000</f>
        <v>24725.619439992213</v>
      </c>
      <c r="Q1067" s="818">
        <f>(L1067-I1067)/I1067</f>
        <v>0</v>
      </c>
      <c r="R1067" s="1186"/>
      <c r="S1067" s="1185"/>
      <c r="T1067" s="1185"/>
      <c r="U1067" s="1185"/>
      <c r="V1067" s="1185"/>
      <c r="W1067" s="1185"/>
      <c r="X1067" s="1185"/>
      <c r="Y1067" s="1185"/>
      <c r="Z1067" s="1185"/>
      <c r="AA1067" s="1185"/>
      <c r="AB1067" s="1185"/>
      <c r="AC1067" s="1185"/>
      <c r="AD1067" s="1185"/>
      <c r="AE1067" s="1185"/>
      <c r="AF1067" s="1185"/>
      <c r="AG1067" s="1185"/>
      <c r="AH1067" s="1185"/>
      <c r="AI1067" s="1185"/>
    </row>
    <row r="1068" spans="1:35" ht="16.5" thickTop="1">
      <c r="A1068" s="1219"/>
      <c r="B1068" s="1242"/>
      <c r="C1068" s="1219"/>
      <c r="D1068" s="1219"/>
      <c r="E1068" s="1219"/>
      <c r="F1068" s="1219"/>
      <c r="G1068" s="1219" t="s">
        <v>31</v>
      </c>
      <c r="H1068" s="1219"/>
      <c r="I1068" s="1219"/>
      <c r="J1068" s="1219" t="s">
        <v>31</v>
      </c>
      <c r="K1068" s="1219"/>
      <c r="L1068" s="1203" t="s">
        <v>31</v>
      </c>
      <c r="N1068" s="1185"/>
      <c r="O1068" s="789" t="s">
        <v>263</v>
      </c>
      <c r="P1068" s="1221">
        <f>P1067-L1067</f>
        <v>0</v>
      </c>
      <c r="Q1068" s="1271" t="s">
        <v>31</v>
      </c>
      <c r="R1068" s="1223"/>
      <c r="S1068" s="1185"/>
      <c r="T1068" s="1185"/>
      <c r="U1068" s="1185"/>
      <c r="V1068" s="1185"/>
      <c r="W1068" s="1185"/>
      <c r="X1068" s="1185"/>
      <c r="Y1068" s="1185"/>
      <c r="Z1068" s="1185"/>
      <c r="AA1068" s="1185"/>
      <c r="AB1068" s="1185"/>
      <c r="AC1068" s="1185"/>
      <c r="AD1068" s="1185"/>
      <c r="AE1068" s="1185"/>
      <c r="AF1068" s="1185"/>
      <c r="AG1068" s="1185"/>
      <c r="AH1068" s="1185"/>
      <c r="AI1068" s="1185"/>
    </row>
    <row r="1069" spans="1:35">
      <c r="A1069" s="1200" t="s">
        <v>505</v>
      </c>
      <c r="B1069" s="1233"/>
      <c r="C1069" s="1233"/>
      <c r="D1069" s="1233"/>
      <c r="E1069" s="1233"/>
      <c r="F1069" s="1233"/>
      <c r="G1069" s="1233"/>
      <c r="H1069" s="1233"/>
      <c r="I1069" s="1233"/>
      <c r="J1069" s="1233"/>
      <c r="K1069" s="1233"/>
      <c r="L1069" s="1233"/>
      <c r="N1069" s="1185"/>
      <c r="O1069" s="1185"/>
      <c r="P1069" s="1186"/>
      <c r="Q1069" s="1186"/>
      <c r="R1069" s="1186"/>
      <c r="S1069" s="1185"/>
      <c r="T1069" s="1185"/>
      <c r="U1069" s="1185"/>
      <c r="V1069" s="1185"/>
      <c r="W1069" s="1185"/>
      <c r="X1069" s="1185"/>
      <c r="Y1069" s="1185"/>
      <c r="Z1069" s="1185"/>
      <c r="AA1069" s="1185"/>
      <c r="AB1069" s="1185"/>
      <c r="AC1069" s="1185"/>
      <c r="AD1069" s="1185"/>
      <c r="AE1069" s="1185"/>
      <c r="AF1069" s="1185"/>
      <c r="AG1069" s="1185"/>
      <c r="AH1069" s="1185"/>
      <c r="AI1069" s="1185"/>
    </row>
    <row r="1070" spans="1:35">
      <c r="A1070" s="1233" t="s">
        <v>506</v>
      </c>
      <c r="B1070" s="1233"/>
      <c r="C1070" s="1233"/>
      <c r="D1070" s="1233"/>
      <c r="E1070" s="1233"/>
      <c r="F1070" s="1233"/>
      <c r="G1070" s="1233"/>
      <c r="H1070" s="1233"/>
      <c r="I1070" s="1233"/>
      <c r="J1070" s="1233"/>
      <c r="K1070" s="1233"/>
      <c r="L1070" s="1233"/>
      <c r="N1070" s="278"/>
      <c r="O1070" s="278"/>
      <c r="P1070" s="278"/>
      <c r="Q1070" s="278"/>
      <c r="R1070" s="278"/>
      <c r="S1070" s="278"/>
      <c r="T1070" s="278"/>
      <c r="U1070" s="278"/>
      <c r="V1070" s="278"/>
      <c r="W1070" s="278"/>
      <c r="X1070" s="278"/>
      <c r="Y1070" s="278"/>
      <c r="Z1070" s="278"/>
      <c r="AA1070" s="278"/>
      <c r="AB1070" s="278"/>
      <c r="AC1070" s="278"/>
      <c r="AD1070" s="278"/>
      <c r="AE1070" s="1185"/>
      <c r="AF1070" s="1185"/>
      <c r="AG1070" s="1185"/>
      <c r="AH1070" s="1185"/>
      <c r="AI1070" s="1185"/>
    </row>
    <row r="1071" spans="1:35">
      <c r="A1071" s="1352" t="s">
        <v>507</v>
      </c>
      <c r="B1071" s="1233"/>
      <c r="C1071" s="1233"/>
      <c r="D1071" s="1233"/>
      <c r="E1071" s="1233"/>
      <c r="F1071" s="1233"/>
      <c r="G1071" s="1233"/>
      <c r="H1071" s="1233"/>
      <c r="I1071" s="1233"/>
      <c r="J1071" s="1233"/>
      <c r="K1071" s="1233"/>
      <c r="L1071" s="1233"/>
      <c r="N1071" s="278"/>
      <c r="O1071" s="278"/>
      <c r="P1071" s="278"/>
      <c r="Q1071" s="278"/>
      <c r="R1071" s="278"/>
      <c r="S1071" s="278"/>
      <c r="T1071" s="278"/>
      <c r="U1071" s="278"/>
      <c r="V1071" s="278"/>
      <c r="W1071" s="278"/>
      <c r="X1071" s="278"/>
      <c r="Y1071" s="278"/>
      <c r="Z1071" s="278"/>
      <c r="AA1071" s="278"/>
      <c r="AB1071" s="278"/>
      <c r="AC1071" s="278"/>
      <c r="AD1071" s="278"/>
      <c r="AE1071" s="1185"/>
      <c r="AF1071" s="1185"/>
      <c r="AG1071" s="1185"/>
      <c r="AH1071" s="1185"/>
      <c r="AI1071" s="1185"/>
    </row>
    <row r="1072" spans="1:35">
      <c r="A1072" s="1184" t="s">
        <v>508</v>
      </c>
      <c r="F1072" s="1201"/>
      <c r="I1072" s="1201"/>
      <c r="N1072" s="278"/>
      <c r="O1072" s="278"/>
      <c r="P1072" s="278"/>
      <c r="Q1072" s="1186"/>
      <c r="R1072" s="1186"/>
      <c r="S1072" s="279"/>
      <c r="T1072" s="279"/>
      <c r="U1072" s="280"/>
      <c r="V1072" s="280"/>
      <c r="W1072" s="280"/>
      <c r="X1072" s="280"/>
      <c r="Y1072" s="431"/>
      <c r="Z1072" s="282"/>
      <c r="AA1072" s="278"/>
      <c r="AB1072" s="278"/>
      <c r="AC1072" s="278"/>
      <c r="AD1072" s="278"/>
      <c r="AE1072" s="1185"/>
      <c r="AF1072" s="1185"/>
      <c r="AG1072" s="1185"/>
      <c r="AH1072" s="1185"/>
      <c r="AI1072" s="1185"/>
    </row>
    <row r="1073" spans="1:35">
      <c r="A1073" s="1184" t="s">
        <v>354</v>
      </c>
      <c r="C1073" s="1202">
        <f>12985</f>
        <v>12985</v>
      </c>
      <c r="D1073" s="265">
        <v>9.25</v>
      </c>
      <c r="F1073" s="1203">
        <f>ROUND(D1073*$C1073,0)</f>
        <v>120111</v>
      </c>
      <c r="G1073" s="265">
        <v>9.75</v>
      </c>
      <c r="I1073" s="1203">
        <f>ROUND(C1073*G1073,0)</f>
        <v>126604</v>
      </c>
      <c r="J1073" s="265">
        <f>ROUND(G1073+(G1073*$Q$1105),2)</f>
        <v>9.75</v>
      </c>
      <c r="L1073" s="1203">
        <f>ROUND(J1073*$C1073,0)</f>
        <v>126604</v>
      </c>
      <c r="N1073" s="1204" t="e">
        <f>J1073*#REF!</f>
        <v>#REF!</v>
      </c>
      <c r="O1073" s="1185"/>
      <c r="P1073" s="281"/>
      <c r="Q1073" s="1186"/>
      <c r="R1073" s="1186"/>
      <c r="S1073" s="403"/>
      <c r="T1073" s="403"/>
      <c r="U1073" s="283"/>
      <c r="V1073" s="283"/>
      <c r="W1073" s="283"/>
      <c r="X1073" s="283"/>
      <c r="Y1073" s="284"/>
      <c r="Z1073" s="278"/>
      <c r="AA1073" s="281"/>
      <c r="AB1073" s="281"/>
      <c r="AC1073" s="1353"/>
      <c r="AD1073" s="281"/>
      <c r="AE1073" s="1185"/>
      <c r="AF1073" s="1185"/>
      <c r="AG1073" s="1185"/>
      <c r="AH1073" s="1185"/>
      <c r="AI1073" s="1185"/>
    </row>
    <row r="1074" spans="1:35">
      <c r="A1074" s="1184" t="s">
        <v>355</v>
      </c>
      <c r="C1074" s="1202">
        <f>1930</f>
        <v>1930</v>
      </c>
      <c r="D1074" s="265">
        <v>16.940000000000001</v>
      </c>
      <c r="F1074" s="1203">
        <f>ROUND(D1074*$C1074,0)</f>
        <v>32694</v>
      </c>
      <c r="G1074" s="265">
        <v>17.850000000000001</v>
      </c>
      <c r="I1074" s="1203">
        <f t="shared" ref="I1074:I1078" si="122">ROUND(C1074*G1074,0)</f>
        <v>34451</v>
      </c>
      <c r="J1074" s="265">
        <f t="shared" ref="J1074:J1078" si="123">ROUND(G1074+(G1074*$Q$1105),2)</f>
        <v>17.850000000000001</v>
      </c>
      <c r="L1074" s="1203">
        <f>ROUND(J1074*$C1074,0)</f>
        <v>34451</v>
      </c>
      <c r="N1074" s="1204" t="e">
        <f>J1074*#REF!</f>
        <v>#REF!</v>
      </c>
      <c r="O1074" s="1185"/>
      <c r="P1074" s="281"/>
      <c r="Q1074" s="1186"/>
      <c r="R1074" s="1186"/>
      <c r="S1074" s="403"/>
      <c r="T1074" s="403"/>
      <c r="U1074" s="283"/>
      <c r="V1074" s="283"/>
      <c r="W1074" s="283"/>
      <c r="X1074" s="283"/>
      <c r="Y1074" s="278"/>
      <c r="Z1074" s="278"/>
      <c r="AA1074" s="281"/>
      <c r="AB1074" s="281"/>
      <c r="AC1074" s="1353"/>
      <c r="AD1074" s="281"/>
      <c r="AE1074" s="1185"/>
      <c r="AF1074" s="1185"/>
      <c r="AG1074" s="1185"/>
      <c r="AH1074" s="1185"/>
      <c r="AI1074" s="1185"/>
    </row>
    <row r="1075" spans="1:35">
      <c r="A1075" s="1184" t="s">
        <v>356</v>
      </c>
      <c r="C1075" s="1202">
        <v>0</v>
      </c>
      <c r="D1075" s="265">
        <v>34.25</v>
      </c>
      <c r="F1075" s="1203">
        <f>ROUND(D1075*$C1075,0)</f>
        <v>0</v>
      </c>
      <c r="G1075" s="265">
        <v>36.1</v>
      </c>
      <c r="I1075" s="1203">
        <f t="shared" si="122"/>
        <v>0</v>
      </c>
      <c r="J1075" s="265">
        <f t="shared" si="123"/>
        <v>36.1</v>
      </c>
      <c r="L1075" s="1203">
        <f>ROUND(J1075*$C1075,0)</f>
        <v>0</v>
      </c>
      <c r="N1075" s="1204" t="e">
        <f>J1075*#REF!</f>
        <v>#REF!</v>
      </c>
      <c r="O1075" s="1185"/>
      <c r="P1075" s="281"/>
      <c r="Q1075" s="1186"/>
      <c r="R1075" s="1186"/>
      <c r="S1075" s="403"/>
      <c r="T1075" s="403"/>
      <c r="U1075" s="283"/>
      <c r="V1075" s="283"/>
      <c r="W1075" s="283"/>
      <c r="X1075" s="283"/>
      <c r="Y1075" s="278"/>
      <c r="Z1075" s="278"/>
      <c r="AA1075" s="281"/>
      <c r="AB1075" s="281"/>
      <c r="AC1075" s="1353"/>
      <c r="AD1075" s="281"/>
      <c r="AE1075" s="1185"/>
      <c r="AF1075" s="1185"/>
      <c r="AG1075" s="1185"/>
      <c r="AH1075" s="1185"/>
      <c r="AI1075" s="1185"/>
    </row>
    <row r="1076" spans="1:35">
      <c r="A1076" s="1184" t="s">
        <v>509</v>
      </c>
      <c r="C1076" s="1202"/>
      <c r="D1076" s="1207"/>
      <c r="F1076" s="1201"/>
      <c r="G1076" s="1207"/>
      <c r="I1076" s="1201"/>
      <c r="J1076" s="1207"/>
      <c r="O1076" s="1185"/>
      <c r="P1076" s="281"/>
      <c r="Q1076" s="1186"/>
      <c r="R1076" s="1186"/>
      <c r="S1076" s="1185"/>
      <c r="T1076" s="1185"/>
      <c r="U1076" s="287"/>
      <c r="V1076" s="287"/>
      <c r="W1076" s="287"/>
      <c r="X1076" s="287"/>
      <c r="Y1076" s="278"/>
      <c r="Z1076" s="278"/>
      <c r="AA1076" s="281"/>
      <c r="AB1076" s="281"/>
      <c r="AC1076" s="1353"/>
      <c r="AD1076" s="281"/>
      <c r="AE1076" s="1185"/>
      <c r="AF1076" s="1185"/>
      <c r="AG1076" s="1185"/>
      <c r="AH1076" s="1185"/>
      <c r="AI1076" s="1185"/>
    </row>
    <row r="1077" spans="1:35">
      <c r="A1077" s="1184" t="s">
        <v>354</v>
      </c>
      <c r="C1077" s="1202">
        <f>4846</f>
        <v>4846</v>
      </c>
      <c r="D1077" s="265">
        <v>8.68</v>
      </c>
      <c r="F1077" s="1203">
        <f>ROUND(D1077*$C1077,0)</f>
        <v>42063</v>
      </c>
      <c r="G1077" s="265">
        <v>9.15</v>
      </c>
      <c r="I1077" s="1203">
        <f t="shared" si="122"/>
        <v>44341</v>
      </c>
      <c r="J1077" s="265">
        <f t="shared" si="123"/>
        <v>9.15</v>
      </c>
      <c r="L1077" s="1203">
        <f>ROUND(J1077*$C1077,0)</f>
        <v>44341</v>
      </c>
      <c r="N1077" s="1204" t="e">
        <f>J1077*#REF!</f>
        <v>#REF!</v>
      </c>
      <c r="O1077" s="1185"/>
      <c r="P1077" s="281"/>
      <c r="Q1077" s="1186"/>
      <c r="R1077" s="1186"/>
      <c r="S1077" s="403"/>
      <c r="T1077" s="403"/>
      <c r="U1077" s="283"/>
      <c r="V1077" s="283"/>
      <c r="W1077" s="283"/>
      <c r="X1077" s="283"/>
      <c r="Y1077" s="1185"/>
      <c r="Z1077" s="1185"/>
      <c r="AA1077" s="281"/>
      <c r="AB1077" s="281"/>
      <c r="AC1077" s="1353"/>
      <c r="AD1077" s="281"/>
      <c r="AE1077" s="1185"/>
      <c r="AF1077" s="1185"/>
      <c r="AG1077" s="1185"/>
      <c r="AH1077" s="1185"/>
      <c r="AI1077" s="1185"/>
    </row>
    <row r="1078" spans="1:35">
      <c r="A1078" s="1184" t="s">
        <v>355</v>
      </c>
      <c r="C1078" s="1202">
        <v>0</v>
      </c>
      <c r="D1078" s="265">
        <v>15.8</v>
      </c>
      <c r="F1078" s="1203">
        <f>ROUND(D1078*$C1078,0)</f>
        <v>0</v>
      </c>
      <c r="G1078" s="265">
        <v>16.649999999999999</v>
      </c>
      <c r="I1078" s="1203">
        <f t="shared" si="122"/>
        <v>0</v>
      </c>
      <c r="J1078" s="265">
        <f t="shared" si="123"/>
        <v>16.649999999999999</v>
      </c>
      <c r="L1078" s="1203">
        <f>ROUND(J1078*$C1078,0)</f>
        <v>0</v>
      </c>
      <c r="N1078" s="1204" t="e">
        <f>J1078*#REF!</f>
        <v>#REF!</v>
      </c>
      <c r="O1078" s="1185"/>
      <c r="P1078" s="281"/>
      <c r="Q1078" s="1186"/>
      <c r="R1078" s="1186"/>
      <c r="S1078" s="403"/>
      <c r="T1078" s="403"/>
      <c r="U1078" s="283"/>
      <c r="V1078" s="283"/>
      <c r="W1078" s="283"/>
      <c r="X1078" s="283"/>
      <c r="Y1078" s="1185"/>
      <c r="Z1078" s="1185"/>
      <c r="AA1078" s="281"/>
      <c r="AB1078" s="281"/>
      <c r="AC1078" s="1353"/>
      <c r="AD1078" s="281"/>
      <c r="AE1078" s="1185"/>
      <c r="AF1078" s="1185"/>
      <c r="AG1078" s="1185"/>
      <c r="AH1078" s="1185"/>
      <c r="AI1078" s="1185"/>
    </row>
    <row r="1079" spans="1:35">
      <c r="A1079" s="1352" t="s">
        <v>510</v>
      </c>
      <c r="C1079" s="1202"/>
      <c r="D1079" s="265"/>
      <c r="F1079" s="1203"/>
      <c r="G1079" s="265"/>
      <c r="I1079" s="1203"/>
      <c r="J1079" s="265"/>
      <c r="L1079" s="1203"/>
      <c r="O1079" s="1185"/>
      <c r="P1079" s="281"/>
      <c r="Q1079" s="1186"/>
      <c r="R1079" s="1186"/>
      <c r="S1079" s="1185"/>
      <c r="T1079" s="1185"/>
      <c r="U1079" s="1185"/>
      <c r="V1079" s="1185"/>
      <c r="W1079" s="1185"/>
      <c r="X1079" s="1185"/>
      <c r="Y1079" s="1185"/>
      <c r="Z1079" s="1185"/>
      <c r="AA1079" s="1185"/>
      <c r="AB1079" s="1185"/>
      <c r="AC1079" s="1353"/>
      <c r="AD1079" s="1185"/>
      <c r="AE1079" s="1185"/>
      <c r="AF1079" s="1185"/>
      <c r="AG1079" s="1185"/>
      <c r="AH1079" s="1185"/>
      <c r="AI1079" s="1185"/>
    </row>
    <row r="1080" spans="1:35">
      <c r="A1080" s="1184" t="s">
        <v>508</v>
      </c>
      <c r="C1080" s="1202"/>
      <c r="D1080" s="1207"/>
      <c r="F1080" s="1201"/>
      <c r="G1080" s="1207"/>
      <c r="I1080" s="1201"/>
      <c r="J1080" s="1207"/>
      <c r="O1080" s="1185"/>
      <c r="P1080" s="1186"/>
      <c r="Q1080" s="1186"/>
      <c r="R1080" s="1186"/>
      <c r="S1080" s="1185"/>
      <c r="T1080" s="1185"/>
      <c r="U1080" s="1185"/>
      <c r="V1080" s="1185"/>
      <c r="W1080" s="1185"/>
      <c r="X1080" s="1185"/>
      <c r="Y1080" s="1185"/>
      <c r="Z1080" s="1185"/>
      <c r="AA1080" s="1185"/>
      <c r="AB1080" s="1185"/>
      <c r="AC1080" s="1353"/>
      <c r="AD1080" s="1185"/>
      <c r="AE1080" s="1185"/>
      <c r="AF1080" s="1185"/>
      <c r="AG1080" s="1185"/>
      <c r="AH1080" s="1185"/>
      <c r="AI1080" s="1185"/>
    </row>
    <row r="1081" spans="1:35">
      <c r="A1081" s="1184" t="s">
        <v>354</v>
      </c>
      <c r="C1081" s="1202">
        <f>480</f>
        <v>480</v>
      </c>
      <c r="D1081" s="265">
        <v>12.09</v>
      </c>
      <c r="F1081" s="1203">
        <f>ROUND(D1081*$C1081,0)</f>
        <v>5803</v>
      </c>
      <c r="G1081" s="265">
        <v>12.74</v>
      </c>
      <c r="I1081" s="1203">
        <f t="shared" ref="I1081:I1083" si="124">ROUND(C1081*G1081,0)</f>
        <v>6115</v>
      </c>
      <c r="J1081" s="265">
        <f t="shared" ref="J1081:J1083" si="125">ROUND(G1081+(G1081*$Q$1105),2)</f>
        <v>12.74</v>
      </c>
      <c r="L1081" s="1203">
        <f>ROUND(J1081*$C1081,0)</f>
        <v>6115</v>
      </c>
      <c r="N1081" s="1204" t="e">
        <f>J1081*#REF!</f>
        <v>#REF!</v>
      </c>
      <c r="O1081" s="1185"/>
      <c r="P1081" s="281"/>
      <c r="Q1081" s="1186"/>
      <c r="R1081" s="1186"/>
      <c r="S1081" s="403"/>
      <c r="T1081" s="403"/>
      <c r="U1081" s="283"/>
      <c r="V1081" s="283"/>
      <c r="W1081" s="283"/>
      <c r="X1081" s="283"/>
      <c r="Y1081" s="1185"/>
      <c r="Z1081" s="1185"/>
      <c r="AA1081" s="281"/>
      <c r="AB1081" s="281"/>
      <c r="AC1081" s="1353"/>
      <c r="AD1081" s="281"/>
      <c r="AE1081" s="1185"/>
      <c r="AF1081" s="1185"/>
      <c r="AG1081" s="1185"/>
      <c r="AH1081" s="1185"/>
      <c r="AI1081" s="1185"/>
    </row>
    <row r="1082" spans="1:35">
      <c r="A1082" s="1184" t="s">
        <v>355</v>
      </c>
      <c r="C1082" s="1202">
        <f>348</f>
        <v>348</v>
      </c>
      <c r="D1082" s="265">
        <v>20.290000000000003</v>
      </c>
      <c r="F1082" s="1203">
        <f>ROUND(D1082*$C1082,0)</f>
        <v>7061</v>
      </c>
      <c r="G1082" s="265">
        <v>21.39</v>
      </c>
      <c r="I1082" s="1203">
        <f t="shared" si="124"/>
        <v>7444</v>
      </c>
      <c r="J1082" s="265">
        <f t="shared" si="125"/>
        <v>21.39</v>
      </c>
      <c r="L1082" s="1203">
        <f>ROUND(J1082*$C1082,0)</f>
        <v>7444</v>
      </c>
      <c r="N1082" s="1204" t="e">
        <f>J1082*#REF!</f>
        <v>#REF!</v>
      </c>
      <c r="O1082" s="1185"/>
      <c r="P1082" s="281"/>
      <c r="Q1082" s="1186"/>
      <c r="R1082" s="1186"/>
      <c r="S1082" s="403"/>
      <c r="T1082" s="403"/>
      <c r="U1082" s="283"/>
      <c r="V1082" s="283"/>
      <c r="W1082" s="283"/>
      <c r="X1082" s="283"/>
      <c r="Y1082" s="1354"/>
      <c r="Z1082" s="1354"/>
      <c r="AA1082" s="281"/>
      <c r="AB1082" s="281"/>
      <c r="AC1082" s="1353"/>
      <c r="AD1082" s="281"/>
      <c r="AE1082" s="1185"/>
      <c r="AF1082" s="1185"/>
      <c r="AG1082" s="1185"/>
      <c r="AH1082" s="1185"/>
      <c r="AI1082" s="1185"/>
    </row>
    <row r="1083" spans="1:35">
      <c r="A1083" s="1184" t="s">
        <v>356</v>
      </c>
      <c r="C1083" s="1202">
        <v>0</v>
      </c>
      <c r="D1083" s="265">
        <v>37.64</v>
      </c>
      <c r="F1083" s="1203">
        <f>ROUND(D1083*$C1083,0)</f>
        <v>0</v>
      </c>
      <c r="G1083" s="265">
        <v>39.67</v>
      </c>
      <c r="I1083" s="1203">
        <f t="shared" si="124"/>
        <v>0</v>
      </c>
      <c r="J1083" s="265">
        <f t="shared" si="125"/>
        <v>39.67</v>
      </c>
      <c r="L1083" s="1203">
        <f>ROUND(J1083*$C1083,0)</f>
        <v>0</v>
      </c>
      <c r="N1083" s="1204" t="e">
        <f>J1083*#REF!</f>
        <v>#REF!</v>
      </c>
      <c r="O1083" s="1185"/>
      <c r="P1083" s="281"/>
      <c r="Q1083" s="1186"/>
      <c r="R1083" s="1186"/>
      <c r="S1083" s="403"/>
      <c r="T1083" s="403"/>
      <c r="U1083" s="283"/>
      <c r="V1083" s="283"/>
      <c r="W1083" s="283"/>
      <c r="X1083" s="283"/>
      <c r="Y1083" s="1354"/>
      <c r="Z1083" s="1354"/>
      <c r="AA1083" s="281"/>
      <c r="AB1083" s="281"/>
      <c r="AC1083" s="1353"/>
      <c r="AD1083" s="281"/>
      <c r="AE1083" s="1185"/>
      <c r="AF1083" s="1185"/>
      <c r="AG1083" s="1185"/>
      <c r="AH1083" s="1185"/>
      <c r="AI1083" s="1185"/>
    </row>
    <row r="1084" spans="1:35">
      <c r="A1084" s="1184" t="s">
        <v>509</v>
      </c>
      <c r="C1084" s="1202"/>
      <c r="D1084" s="1207"/>
      <c r="F1084" s="1201"/>
      <c r="G1084" s="1207"/>
      <c r="I1084" s="1201"/>
      <c r="J1084" s="1207"/>
      <c r="N1084" s="1185"/>
      <c r="O1084" s="1185"/>
      <c r="P1084" s="1185"/>
      <c r="Q1084" s="1355"/>
      <c r="R1084" s="1355"/>
      <c r="S1084" s="1355"/>
      <c r="T1084" s="1355"/>
      <c r="U1084" s="1356"/>
      <c r="V1084" s="1356"/>
      <c r="W1084" s="1356"/>
      <c r="X1084" s="1356"/>
      <c r="Y1084" s="1354"/>
      <c r="Z1084" s="1354"/>
      <c r="AA1084" s="824"/>
      <c r="AB1084" s="1185"/>
      <c r="AC1084" s="1353"/>
      <c r="AD1084" s="1185"/>
      <c r="AE1084" s="1185"/>
      <c r="AF1084" s="1185"/>
      <c r="AG1084" s="1185"/>
      <c r="AH1084" s="1185"/>
      <c r="AI1084" s="1185"/>
    </row>
    <row r="1085" spans="1:35">
      <c r="A1085" s="1184" t="s">
        <v>354</v>
      </c>
      <c r="C1085" s="1202">
        <v>0</v>
      </c>
      <c r="D1085" s="265">
        <v>11.44</v>
      </c>
      <c r="F1085" s="1203">
        <f>ROUND(D1085*$C1085,0)</f>
        <v>0</v>
      </c>
      <c r="G1085" s="265">
        <v>12.06</v>
      </c>
      <c r="I1085" s="1203">
        <f t="shared" ref="I1085:I1086" si="126">ROUND(C1085*G1085,0)</f>
        <v>0</v>
      </c>
      <c r="J1085" s="265">
        <f t="shared" ref="J1085:J1086" si="127">ROUND(G1085+(G1085*$Q$1105),2)</f>
        <v>12.06</v>
      </c>
      <c r="L1085" s="1203">
        <f>ROUND(J1085*$C1085,0)</f>
        <v>0</v>
      </c>
      <c r="N1085" s="1204" t="e">
        <f>J1085*#REF!</f>
        <v>#REF!</v>
      </c>
      <c r="O1085" s="1185"/>
      <c r="P1085" s="281"/>
      <c r="Q1085" s="1186"/>
      <c r="R1085" s="1186"/>
      <c r="S1085" s="403"/>
      <c r="T1085" s="403"/>
      <c r="U1085" s="283"/>
      <c r="V1085" s="283"/>
      <c r="W1085" s="283"/>
      <c r="X1085" s="283"/>
      <c r="Y1085" s="1354"/>
      <c r="Z1085" s="1354"/>
      <c r="AA1085" s="281"/>
      <c r="AB1085" s="281"/>
      <c r="AC1085" s="1353"/>
      <c r="AD1085" s="281"/>
      <c r="AE1085" s="1185"/>
      <c r="AF1085" s="1185"/>
      <c r="AG1085" s="1185"/>
      <c r="AH1085" s="1185"/>
      <c r="AI1085" s="1185"/>
    </row>
    <row r="1086" spans="1:35">
      <c r="A1086" s="1184" t="s">
        <v>355</v>
      </c>
      <c r="C1086" s="1202">
        <v>0</v>
      </c>
      <c r="D1086" s="265">
        <v>19.18</v>
      </c>
      <c r="F1086" s="1203">
        <f>ROUND(D1086*$C1086,0)</f>
        <v>0</v>
      </c>
      <c r="G1086" s="265">
        <v>20.22</v>
      </c>
      <c r="I1086" s="1203">
        <f t="shared" si="126"/>
        <v>0</v>
      </c>
      <c r="J1086" s="265">
        <f t="shared" si="127"/>
        <v>20.22</v>
      </c>
      <c r="L1086" s="1203">
        <f>ROUND(J1086*$C1086,0)</f>
        <v>0</v>
      </c>
      <c r="N1086" s="1204" t="e">
        <f>J1086*#REF!</f>
        <v>#REF!</v>
      </c>
      <c r="O1086" s="1185"/>
      <c r="P1086" s="281"/>
      <c r="Q1086" s="1186"/>
      <c r="R1086" s="1186"/>
      <c r="S1086" s="403"/>
      <c r="T1086" s="403"/>
      <c r="U1086" s="283"/>
      <c r="V1086" s="283"/>
      <c r="W1086" s="283"/>
      <c r="X1086" s="283"/>
      <c r="Y1086" s="1354"/>
      <c r="Z1086" s="1354"/>
      <c r="AA1086" s="281"/>
      <c r="AB1086" s="281"/>
      <c r="AC1086" s="1353"/>
      <c r="AD1086" s="281"/>
      <c r="AE1086" s="1185"/>
      <c r="AF1086" s="1185"/>
      <c r="AG1086" s="1185"/>
      <c r="AH1086" s="1185"/>
      <c r="AI1086" s="1185"/>
    </row>
    <row r="1087" spans="1:35">
      <c r="A1087" s="1352" t="s">
        <v>511</v>
      </c>
      <c r="B1087" s="1233"/>
      <c r="C1087" s="1202"/>
      <c r="D1087" s="1207"/>
      <c r="E1087" s="1233"/>
      <c r="F1087" s="1233"/>
      <c r="G1087" s="1207"/>
      <c r="H1087" s="1233"/>
      <c r="I1087" s="1233"/>
      <c r="J1087" s="1207"/>
      <c r="K1087" s="1233"/>
      <c r="L1087" s="1233"/>
      <c r="N1087" s="1185"/>
      <c r="O1087" s="1185"/>
      <c r="P1087" s="1185"/>
      <c r="Q1087" s="1355"/>
      <c r="R1087" s="1355"/>
      <c r="S1087" s="1355"/>
      <c r="T1087" s="1355"/>
      <c r="U1087" s="1356"/>
      <c r="V1087" s="1356"/>
      <c r="W1087" s="1356"/>
      <c r="X1087" s="1356"/>
      <c r="Y1087" s="1354"/>
      <c r="Z1087" s="1354"/>
      <c r="AA1087" s="824"/>
      <c r="AB1087" s="1185"/>
      <c r="AC1087" s="1353"/>
      <c r="AD1087" s="1185"/>
      <c r="AE1087" s="1185"/>
      <c r="AF1087" s="1185"/>
      <c r="AG1087" s="1185"/>
      <c r="AH1087" s="1185"/>
      <c r="AI1087" s="1185"/>
    </row>
    <row r="1088" spans="1:35">
      <c r="A1088" s="1184" t="s">
        <v>508</v>
      </c>
      <c r="C1088" s="1202"/>
      <c r="D1088" s="1207"/>
      <c r="F1088" s="1201"/>
      <c r="G1088" s="1207"/>
      <c r="I1088" s="1201"/>
      <c r="J1088" s="1207"/>
      <c r="N1088" s="1185"/>
      <c r="O1088" s="1185"/>
      <c r="P1088" s="1185"/>
      <c r="Q1088" s="1355"/>
      <c r="R1088" s="1355"/>
      <c r="S1088" s="1355"/>
      <c r="T1088" s="1355"/>
      <c r="U1088" s="1356"/>
      <c r="V1088" s="1356"/>
      <c r="W1088" s="1356"/>
      <c r="X1088" s="1356"/>
      <c r="Y1088" s="1354"/>
      <c r="Z1088" s="1354"/>
      <c r="AA1088" s="824"/>
      <c r="AB1088" s="1185"/>
      <c r="AC1088" s="1353"/>
      <c r="AD1088" s="1185"/>
      <c r="AE1088" s="1185"/>
      <c r="AF1088" s="1185"/>
      <c r="AG1088" s="1185"/>
      <c r="AH1088" s="1185"/>
      <c r="AI1088" s="1185"/>
    </row>
    <row r="1089" spans="1:35">
      <c r="A1089" s="1184" t="s">
        <v>354</v>
      </c>
      <c r="C1089" s="1202">
        <v>0</v>
      </c>
      <c r="D1089" s="265">
        <v>12.08</v>
      </c>
      <c r="F1089" s="1203">
        <f>ROUND(D1089*$C1089,0)</f>
        <v>0</v>
      </c>
      <c r="G1089" s="265">
        <v>12.73</v>
      </c>
      <c r="I1089" s="1203">
        <f t="shared" ref="I1089:I1091" si="128">ROUND(C1089*G1089,0)</f>
        <v>0</v>
      </c>
      <c r="J1089" s="265">
        <f t="shared" ref="J1089:J1091" si="129">ROUND(G1089+(G1089*$Q$1105),2)</f>
        <v>12.73</v>
      </c>
      <c r="L1089" s="1203">
        <f>ROUND(J1089*$C1089,0)</f>
        <v>0</v>
      </c>
      <c r="N1089" s="1204" t="e">
        <f>J1089*#REF!</f>
        <v>#REF!</v>
      </c>
      <c r="O1089" s="1185"/>
      <c r="P1089" s="281"/>
      <c r="Q1089" s="1186"/>
      <c r="R1089" s="1186"/>
      <c r="S1089" s="403"/>
      <c r="T1089" s="403"/>
      <c r="U1089" s="283"/>
      <c r="V1089" s="283"/>
      <c r="W1089" s="283"/>
      <c r="X1089" s="283"/>
      <c r="Y1089" s="1354"/>
      <c r="Z1089" s="1354"/>
      <c r="AA1089" s="281"/>
      <c r="AB1089" s="281"/>
      <c r="AC1089" s="1353"/>
      <c r="AD1089" s="281"/>
      <c r="AE1089" s="1185"/>
      <c r="AF1089" s="1185"/>
      <c r="AG1089" s="1185"/>
      <c r="AH1089" s="1185"/>
      <c r="AI1089" s="1185"/>
    </row>
    <row r="1090" spans="1:35">
      <c r="A1090" s="1184" t="s">
        <v>355</v>
      </c>
      <c r="C1090" s="1202">
        <v>0</v>
      </c>
      <c r="D1090" s="265">
        <v>19.64</v>
      </c>
      <c r="F1090" s="1203">
        <f>ROUND(D1090*$C1090,0)</f>
        <v>0</v>
      </c>
      <c r="G1090" s="265">
        <v>20.7</v>
      </c>
      <c r="I1090" s="1203">
        <f t="shared" si="128"/>
        <v>0</v>
      </c>
      <c r="J1090" s="265">
        <f t="shared" si="129"/>
        <v>20.7</v>
      </c>
      <c r="L1090" s="1203">
        <f>ROUND(J1090*$C1090,0)</f>
        <v>0</v>
      </c>
      <c r="N1090" s="1204" t="e">
        <f>J1090*#REF!</f>
        <v>#REF!</v>
      </c>
      <c r="O1090" s="1185"/>
      <c r="P1090" s="281"/>
      <c r="Q1090" s="1186"/>
      <c r="R1090" s="1186"/>
      <c r="S1090" s="403"/>
      <c r="T1090" s="403"/>
      <c r="U1090" s="283"/>
      <c r="V1090" s="283"/>
      <c r="W1090" s="283"/>
      <c r="X1090" s="283"/>
      <c r="Y1090" s="1354"/>
      <c r="Z1090" s="1354"/>
      <c r="AA1090" s="281"/>
      <c r="AB1090" s="281"/>
      <c r="AC1090" s="1353"/>
      <c r="AD1090" s="281"/>
      <c r="AE1090" s="1185"/>
      <c r="AF1090" s="1185"/>
      <c r="AG1090" s="1185"/>
      <c r="AH1090" s="1185"/>
      <c r="AI1090" s="1185"/>
    </row>
    <row r="1091" spans="1:35">
      <c r="A1091" s="1184" t="s">
        <v>356</v>
      </c>
      <c r="C1091" s="1202">
        <v>0</v>
      </c>
      <c r="D1091" s="265">
        <v>36.99</v>
      </c>
      <c r="F1091" s="1203">
        <f>ROUND(D1091*$C1091,0)</f>
        <v>0</v>
      </c>
      <c r="G1091" s="265">
        <v>38.99</v>
      </c>
      <c r="I1091" s="1203">
        <f t="shared" si="128"/>
        <v>0</v>
      </c>
      <c r="J1091" s="265">
        <f t="shared" si="129"/>
        <v>38.99</v>
      </c>
      <c r="L1091" s="1203">
        <f>ROUND(J1091*$C1091,0)</f>
        <v>0</v>
      </c>
      <c r="N1091" s="1204" t="e">
        <f>J1091*#REF!</f>
        <v>#REF!</v>
      </c>
      <c r="O1091" s="1185"/>
      <c r="P1091" s="281"/>
      <c r="Q1091" s="1186"/>
      <c r="R1091" s="1186"/>
      <c r="S1091" s="403"/>
      <c r="T1091" s="403"/>
      <c r="U1091" s="283"/>
      <c r="V1091" s="283"/>
      <c r="W1091" s="283"/>
      <c r="X1091" s="283"/>
      <c r="Y1091" s="1354"/>
      <c r="Z1091" s="1354"/>
      <c r="AA1091" s="281"/>
      <c r="AB1091" s="281"/>
      <c r="AC1091" s="1353"/>
      <c r="AD1091" s="281"/>
      <c r="AE1091" s="1185"/>
      <c r="AF1091" s="1185"/>
      <c r="AG1091" s="1185"/>
      <c r="AH1091" s="1185"/>
      <c r="AI1091" s="1185"/>
    </row>
    <row r="1092" spans="1:35">
      <c r="A1092" s="1184" t="s">
        <v>509</v>
      </c>
      <c r="C1092" s="1202"/>
      <c r="D1092" s="1207"/>
      <c r="F1092" s="1201"/>
      <c r="G1092" s="1207"/>
      <c r="I1092" s="1201"/>
      <c r="J1092" s="1207"/>
      <c r="N1092" s="1185"/>
      <c r="O1092" s="1185"/>
      <c r="P1092" s="1185"/>
      <c r="Q1092" s="1355"/>
      <c r="R1092" s="1355"/>
      <c r="S1092" s="1355"/>
      <c r="T1092" s="1355"/>
      <c r="U1092" s="1356"/>
      <c r="V1092" s="1356"/>
      <c r="W1092" s="1356"/>
      <c r="X1092" s="1356"/>
      <c r="Y1092" s="1354"/>
      <c r="Z1092" s="1354"/>
      <c r="AA1092" s="824"/>
      <c r="AB1092" s="1185"/>
      <c r="AC1092" s="1353"/>
      <c r="AD1092" s="1185"/>
      <c r="AE1092" s="1185"/>
      <c r="AF1092" s="1185"/>
      <c r="AG1092" s="1185"/>
      <c r="AH1092" s="1185"/>
      <c r="AI1092" s="1185"/>
    </row>
    <row r="1093" spans="1:35">
      <c r="A1093" s="1184" t="s">
        <v>354</v>
      </c>
      <c r="C1093" s="1202">
        <v>0</v>
      </c>
      <c r="D1093" s="265">
        <v>11.44</v>
      </c>
      <c r="F1093" s="1203">
        <f>ROUND(D1093*$C1093,0)</f>
        <v>0</v>
      </c>
      <c r="G1093" s="265">
        <v>12.06</v>
      </c>
      <c r="I1093" s="1203">
        <f t="shared" ref="I1093:I1094" si="130">ROUND(C1093*G1093,0)</f>
        <v>0</v>
      </c>
      <c r="J1093" s="265">
        <f t="shared" ref="J1093:J1094" si="131">ROUND(G1093+(G1093*$Q$1105),2)</f>
        <v>12.06</v>
      </c>
      <c r="L1093" s="1203">
        <f>ROUND(J1093*$C1093,0)</f>
        <v>0</v>
      </c>
      <c r="N1093" s="1204" t="e">
        <f>J1093*#REF!</f>
        <v>#REF!</v>
      </c>
      <c r="O1093" s="1185"/>
      <c r="P1093" s="281"/>
      <c r="Q1093" s="1186"/>
      <c r="R1093" s="1186"/>
      <c r="S1093" s="403"/>
      <c r="T1093" s="403"/>
      <c r="U1093" s="283"/>
      <c r="V1093" s="283"/>
      <c r="W1093" s="283"/>
      <c r="X1093" s="283"/>
      <c r="Y1093" s="1354"/>
      <c r="Z1093" s="1354"/>
      <c r="AA1093" s="281"/>
      <c r="AB1093" s="281"/>
      <c r="AC1093" s="1353"/>
      <c r="AD1093" s="281"/>
      <c r="AE1093" s="1185"/>
      <c r="AF1093" s="1185"/>
      <c r="AG1093" s="1185"/>
      <c r="AH1093" s="1185"/>
      <c r="AI1093" s="1185"/>
    </row>
    <row r="1094" spans="1:35">
      <c r="A1094" s="1184" t="s">
        <v>355</v>
      </c>
      <c r="C1094" s="1202">
        <v>0</v>
      </c>
      <c r="D1094" s="265">
        <v>18.53</v>
      </c>
      <c r="F1094" s="1203">
        <f>ROUND(D1094*$C1094,0)</f>
        <v>0</v>
      </c>
      <c r="G1094" s="265">
        <v>19.53</v>
      </c>
      <c r="I1094" s="1203">
        <f t="shared" si="130"/>
        <v>0</v>
      </c>
      <c r="J1094" s="265">
        <f t="shared" si="131"/>
        <v>19.53</v>
      </c>
      <c r="L1094" s="1203">
        <f>ROUND(J1094*$C1094,0)</f>
        <v>0</v>
      </c>
      <c r="N1094" s="1204" t="e">
        <f>J1094*#REF!</f>
        <v>#REF!</v>
      </c>
      <c r="O1094" s="1185"/>
      <c r="P1094" s="281"/>
      <c r="Q1094" s="1186"/>
      <c r="R1094" s="1186"/>
      <c r="S1094" s="403"/>
      <c r="T1094" s="403"/>
      <c r="U1094" s="283"/>
      <c r="V1094" s="283"/>
      <c r="W1094" s="283"/>
      <c r="X1094" s="283"/>
      <c r="Y1094" s="1354"/>
      <c r="Z1094" s="1354"/>
      <c r="AA1094" s="281"/>
      <c r="AB1094" s="281"/>
      <c r="AC1094" s="1353"/>
      <c r="AD1094" s="281"/>
      <c r="AE1094" s="1185"/>
      <c r="AF1094" s="1185"/>
      <c r="AG1094" s="1185"/>
      <c r="AH1094" s="1185"/>
      <c r="AI1094" s="1185"/>
    </row>
    <row r="1095" spans="1:35">
      <c r="A1095" s="1352" t="s">
        <v>512</v>
      </c>
      <c r="B1095" s="1233"/>
      <c r="C1095" s="1202"/>
      <c r="D1095" s="1207"/>
      <c r="E1095" s="1233"/>
      <c r="F1095" s="1233"/>
      <c r="G1095" s="1207"/>
      <c r="H1095" s="1233"/>
      <c r="I1095" s="1233"/>
      <c r="J1095" s="1207"/>
      <c r="K1095" s="1233"/>
      <c r="L1095" s="1233"/>
      <c r="N1095" s="1185"/>
      <c r="O1095" s="1185"/>
      <c r="P1095" s="1185"/>
      <c r="Q1095" s="1355"/>
      <c r="R1095" s="1355"/>
      <c r="S1095" s="1355"/>
      <c r="T1095" s="1355"/>
      <c r="U1095" s="1356"/>
      <c r="V1095" s="1356"/>
      <c r="W1095" s="1356"/>
      <c r="X1095" s="1356"/>
      <c r="Y1095" s="1354"/>
      <c r="Z1095" s="1354"/>
      <c r="AA1095" s="824"/>
      <c r="AB1095" s="1185"/>
      <c r="AC1095" s="1353"/>
      <c r="AD1095" s="1185"/>
      <c r="AE1095" s="1185"/>
      <c r="AF1095" s="1185"/>
      <c r="AG1095" s="1185"/>
      <c r="AH1095" s="1185"/>
      <c r="AI1095" s="1185"/>
    </row>
    <row r="1096" spans="1:35">
      <c r="A1096" s="1184" t="s">
        <v>354</v>
      </c>
      <c r="C1096" s="1202">
        <f>444</f>
        <v>444</v>
      </c>
      <c r="D1096" s="265">
        <v>9.67</v>
      </c>
      <c r="F1096" s="1203">
        <f>ROUND(D1096*$C1096,0)</f>
        <v>4293</v>
      </c>
      <c r="G1096" s="265">
        <v>10.19</v>
      </c>
      <c r="I1096" s="1203">
        <f t="shared" ref="I1096:I1098" si="132">ROUND(C1096*G1096,0)</f>
        <v>4524</v>
      </c>
      <c r="J1096" s="265">
        <f t="shared" ref="J1096:J1098" si="133">ROUND(G1096+(G1096*$Q$1105),2)</f>
        <v>10.19</v>
      </c>
      <c r="L1096" s="1203">
        <f>ROUND(J1096*$C1096,0)</f>
        <v>4524</v>
      </c>
      <c r="N1096" s="1204" t="e">
        <f>J1096*#REF!</f>
        <v>#REF!</v>
      </c>
      <c r="O1096" s="1185"/>
      <c r="P1096" s="281"/>
      <c r="Q1096" s="1186"/>
      <c r="R1096" s="1186"/>
      <c r="S1096" s="403"/>
      <c r="T1096" s="403"/>
      <c r="U1096" s="283"/>
      <c r="V1096" s="283"/>
      <c r="W1096" s="283"/>
      <c r="X1096" s="283"/>
      <c r="Y1096" s="1354"/>
      <c r="Z1096" s="1354"/>
      <c r="AA1096" s="281"/>
      <c r="AB1096" s="281"/>
      <c r="AC1096" s="1353"/>
      <c r="AD1096" s="281"/>
      <c r="AE1096" s="1185"/>
      <c r="AF1096" s="1185"/>
      <c r="AG1096" s="1185"/>
      <c r="AH1096" s="1185"/>
      <c r="AI1096" s="1185"/>
    </row>
    <row r="1097" spans="1:35">
      <c r="A1097" s="1184" t="s">
        <v>355</v>
      </c>
      <c r="C1097" s="1202">
        <f>828</f>
        <v>828</v>
      </c>
      <c r="D1097" s="265">
        <v>16.93</v>
      </c>
      <c r="F1097" s="1203">
        <f>ROUND(D1097*$C1097,0)</f>
        <v>14018</v>
      </c>
      <c r="G1097" s="265">
        <v>17.84</v>
      </c>
      <c r="I1097" s="1203">
        <f t="shared" si="132"/>
        <v>14772</v>
      </c>
      <c r="J1097" s="265">
        <f t="shared" si="133"/>
        <v>17.84</v>
      </c>
      <c r="L1097" s="1203">
        <f>ROUND(J1097*$C1097,0)</f>
        <v>14772</v>
      </c>
      <c r="N1097" s="1204" t="e">
        <f>J1097*#REF!</f>
        <v>#REF!</v>
      </c>
      <c r="O1097" s="1185"/>
      <c r="P1097" s="281"/>
      <c r="Q1097" s="1186"/>
      <c r="R1097" s="1186"/>
      <c r="S1097" s="403"/>
      <c r="T1097" s="403"/>
      <c r="U1097" s="283"/>
      <c r="V1097" s="283"/>
      <c r="W1097" s="283"/>
      <c r="X1097" s="283"/>
      <c r="Y1097" s="1354"/>
      <c r="Z1097" s="1354"/>
      <c r="AA1097" s="281"/>
      <c r="AB1097" s="281"/>
      <c r="AC1097" s="1353"/>
      <c r="AD1097" s="281"/>
      <c r="AE1097" s="1185"/>
      <c r="AF1097" s="1185"/>
      <c r="AG1097" s="1185"/>
      <c r="AH1097" s="1185"/>
      <c r="AI1097" s="1185"/>
    </row>
    <row r="1098" spans="1:35">
      <c r="A1098" s="1184" t="s">
        <v>356</v>
      </c>
      <c r="C1098" s="1202">
        <v>0</v>
      </c>
      <c r="D1098" s="265">
        <v>36.159999999999997</v>
      </c>
      <c r="F1098" s="1203">
        <f>ROUND(D1098*$C1098,0)</f>
        <v>0</v>
      </c>
      <c r="G1098" s="265">
        <v>38.11</v>
      </c>
      <c r="I1098" s="1203">
        <f t="shared" si="132"/>
        <v>0</v>
      </c>
      <c r="J1098" s="265">
        <f t="shared" si="133"/>
        <v>38.11</v>
      </c>
      <c r="L1098" s="1203">
        <f>ROUND(J1098*$C1098,0)</f>
        <v>0</v>
      </c>
      <c r="N1098" s="1204" t="e">
        <f>J1098*#REF!</f>
        <v>#REF!</v>
      </c>
      <c r="O1098" s="1185"/>
      <c r="P1098" s="281"/>
      <c r="Q1098" s="1186"/>
      <c r="R1098" s="1186"/>
      <c r="S1098" s="403"/>
      <c r="T1098" s="403"/>
      <c r="U1098" s="283"/>
      <c r="V1098" s="283"/>
      <c r="W1098" s="283"/>
      <c r="X1098" s="283"/>
      <c r="Y1098" s="1354"/>
      <c r="Z1098" s="1354"/>
      <c r="AA1098" s="281"/>
      <c r="AB1098" s="281"/>
      <c r="AC1098" s="1353"/>
      <c r="AD1098" s="281"/>
      <c r="AE1098" s="1185"/>
      <c r="AF1098" s="1185"/>
      <c r="AG1098" s="1185"/>
      <c r="AH1098" s="1185"/>
      <c r="AI1098" s="1185"/>
    </row>
    <row r="1099" spans="1:35">
      <c r="A1099" s="1357" t="s">
        <v>513</v>
      </c>
      <c r="C1099" s="1202"/>
      <c r="D1099" s="265"/>
      <c r="F1099" s="1203"/>
      <c r="G1099" s="265"/>
      <c r="I1099" s="1203"/>
      <c r="J1099" s="265"/>
      <c r="L1099" s="1203"/>
      <c r="N1099" s="1185"/>
      <c r="O1099" s="1185"/>
      <c r="P1099" s="1185"/>
      <c r="Q1099" s="1355"/>
      <c r="R1099" s="1355"/>
      <c r="S1099" s="1355"/>
      <c r="T1099" s="1355"/>
      <c r="U1099" s="1358"/>
      <c r="V1099" s="1358"/>
      <c r="W1099" s="1358"/>
      <c r="X1099" s="1358"/>
      <c r="Y1099" s="1354"/>
      <c r="Z1099" s="1354"/>
      <c r="AA1099" s="824"/>
      <c r="AB1099" s="1185"/>
      <c r="AC1099" s="1353"/>
      <c r="AD1099" s="1185"/>
      <c r="AE1099" s="1185"/>
      <c r="AF1099" s="1185"/>
      <c r="AG1099" s="1185"/>
      <c r="AH1099" s="1185"/>
      <c r="AI1099" s="1185"/>
    </row>
    <row r="1100" spans="1:35">
      <c r="A1100" s="1184" t="s">
        <v>514</v>
      </c>
      <c r="C1100" s="1202">
        <v>0</v>
      </c>
      <c r="D1100" s="265">
        <v>34.700000000000003</v>
      </c>
      <c r="F1100" s="1203">
        <f>ROUND(D1100*$C1100,0)</f>
        <v>0</v>
      </c>
      <c r="G1100" s="265">
        <v>36.57</v>
      </c>
      <c r="I1100" s="1203">
        <f t="shared" ref="I1100" si="134">ROUND(C1100*G1100,0)</f>
        <v>0</v>
      </c>
      <c r="J1100" s="265">
        <f t="shared" ref="J1100" si="135">ROUND(G1100+(G1100*$Q$1105),2)</f>
        <v>36.57</v>
      </c>
      <c r="L1100" s="1203">
        <f>ROUND(J1100*$C1100,0)</f>
        <v>0</v>
      </c>
      <c r="N1100" s="1204" t="e">
        <f>J1100*#REF!</f>
        <v>#REF!</v>
      </c>
      <c r="O1100" s="1185"/>
      <c r="P1100" s="281"/>
      <c r="Q1100" s="1186"/>
      <c r="R1100" s="1186"/>
      <c r="S1100" s="403"/>
      <c r="T1100" s="403"/>
      <c r="U1100" s="283"/>
      <c r="V1100" s="283"/>
      <c r="W1100" s="283"/>
      <c r="X1100" s="283"/>
      <c r="Y1100" s="1354"/>
      <c r="Z1100" s="1354"/>
      <c r="AA1100" s="281"/>
      <c r="AB1100" s="281"/>
      <c r="AC1100" s="1353"/>
      <c r="AD1100" s="281"/>
      <c r="AE1100" s="1185"/>
      <c r="AF1100" s="1185"/>
      <c r="AG1100" s="1185"/>
      <c r="AH1100" s="1185"/>
      <c r="AI1100" s="1185"/>
    </row>
    <row r="1101" spans="1:35">
      <c r="A1101" s="1184" t="s">
        <v>362</v>
      </c>
      <c r="C1101" s="1202">
        <f>493</f>
        <v>493</v>
      </c>
      <c r="D1101" s="1359"/>
      <c r="F1101" s="1203"/>
      <c r="G1101" s="1359"/>
      <c r="I1101" s="1203"/>
      <c r="J1101" s="1359"/>
      <c r="L1101" s="1203"/>
      <c r="O1101" s="1185"/>
      <c r="P1101" s="281"/>
      <c r="Q1101" s="1360"/>
      <c r="R1101" s="1360"/>
      <c r="S1101" s="1185"/>
      <c r="T1101" s="1185"/>
      <c r="U1101" s="287"/>
      <c r="V1101" s="287"/>
      <c r="W1101" s="287"/>
      <c r="X1101" s="287"/>
      <c r="Y1101" s="278"/>
      <c r="Z1101" s="278"/>
      <c r="AA1101" s="281"/>
      <c r="AB1101" s="281"/>
      <c r="AC1101" s="281"/>
      <c r="AD1101" s="281"/>
      <c r="AE1101" s="1185"/>
      <c r="AF1101" s="1185"/>
      <c r="AG1101" s="1185"/>
      <c r="AH1101" s="1185"/>
      <c r="AI1101" s="1185"/>
    </row>
    <row r="1102" spans="1:35">
      <c r="A1102" s="1184" t="s">
        <v>381</v>
      </c>
      <c r="C1102" s="1202">
        <f>1960718</f>
        <v>1960718</v>
      </c>
      <c r="D1102" s="269"/>
      <c r="E1102" s="1185"/>
      <c r="F1102" s="1210">
        <f>SUM(F1073:F1100)</f>
        <v>226043</v>
      </c>
      <c r="G1102" s="269"/>
      <c r="H1102" s="1185"/>
      <c r="I1102" s="1210">
        <f>SUM(I1073:I1100)</f>
        <v>238251</v>
      </c>
      <c r="J1102" s="269"/>
      <c r="K1102" s="1185"/>
      <c r="L1102" s="1210">
        <f>SUM(L1073:L1101)</f>
        <v>238251</v>
      </c>
      <c r="N1102" s="1204" t="e">
        <f>SUM(N1073:N1101)</f>
        <v>#REF!</v>
      </c>
      <c r="O1102" s="1185"/>
      <c r="P1102" s="281"/>
      <c r="Q1102" s="1361"/>
      <c r="R1102" s="1361"/>
      <c r="S1102" s="1185"/>
      <c r="T1102" s="1185"/>
      <c r="U1102" s="287"/>
      <c r="V1102" s="287"/>
      <c r="W1102" s="287"/>
      <c r="X1102" s="287"/>
      <c r="Y1102" s="278"/>
      <c r="Z1102" s="278"/>
      <c r="AA1102" s="288"/>
      <c r="AB1102" s="278"/>
      <c r="AC1102" s="278"/>
      <c r="AD1102" s="278"/>
      <c r="AE1102" s="1185"/>
      <c r="AF1102" s="1185"/>
      <c r="AG1102" s="1185"/>
      <c r="AH1102" s="1185"/>
      <c r="AI1102" s="1185"/>
    </row>
    <row r="1103" spans="1:35">
      <c r="A1103" s="1184" t="s">
        <v>363</v>
      </c>
      <c r="C1103" s="1202">
        <f>'[97]Table 2'!H125</f>
        <v>-171190.19947704519</v>
      </c>
      <c r="D1103" s="269"/>
      <c r="E1103" s="1185"/>
      <c r="F1103" s="1210" t="e">
        <f>#REF!</f>
        <v>#REF!</v>
      </c>
      <c r="G1103" s="269"/>
      <c r="H1103" s="1185"/>
      <c r="I1103" s="1210">
        <f>'[97]Table 3'!E125</f>
        <v>-19585.785496781922</v>
      </c>
      <c r="J1103" s="269"/>
      <c r="K1103" s="1185"/>
      <c r="L1103" s="1210">
        <f>I1103</f>
        <v>-19585.785496781922</v>
      </c>
      <c r="N1103" s="289"/>
      <c r="O1103" s="444"/>
      <c r="P1103" s="287"/>
      <c r="Q1103" s="278"/>
      <c r="R1103" s="278"/>
      <c r="S1103" s="278"/>
      <c r="T1103" s="278"/>
      <c r="U1103" s="283"/>
      <c r="V1103" s="283"/>
      <c r="W1103" s="283"/>
      <c r="X1103" s="283"/>
      <c r="Y1103" s="281"/>
      <c r="Z1103" s="278"/>
      <c r="AA1103" s="1185"/>
      <c r="AB1103" s="1185"/>
      <c r="AC1103" s="1185"/>
      <c r="AD1103" s="1185"/>
      <c r="AE1103" s="1185"/>
      <c r="AF1103" s="1185"/>
      <c r="AG1103" s="1185"/>
      <c r="AH1103" s="1185"/>
      <c r="AI1103" s="1185"/>
    </row>
    <row r="1104" spans="1:35" ht="16.5" thickBot="1">
      <c r="A1104" s="1184" t="s">
        <v>9</v>
      </c>
      <c r="C1104" s="1212">
        <f>C1102+C1103</f>
        <v>1789527.8005229549</v>
      </c>
      <c r="D1104" s="1213"/>
      <c r="E1104" s="1213"/>
      <c r="F1104" s="1213" t="e">
        <f>F1102+F1103</f>
        <v>#REF!</v>
      </c>
      <c r="G1104" s="1214"/>
      <c r="H1104" s="1214"/>
      <c r="I1104" s="1213">
        <f>I1102+I1103</f>
        <v>218665.21450321807</v>
      </c>
      <c r="J1104" s="1214"/>
      <c r="K1104" s="1214"/>
      <c r="L1104" s="1213">
        <f>L1102+L1103</f>
        <v>218665.21450321807</v>
      </c>
      <c r="N1104" s="291"/>
      <c r="O1104" s="788" t="s">
        <v>409</v>
      </c>
      <c r="P1104" s="1216">
        <f>'[97]Rate Spread targets'!Q39*1000</f>
        <v>218665.21450321807</v>
      </c>
      <c r="Q1104" s="818">
        <f>(L1104-I1104)/I1104</f>
        <v>0</v>
      </c>
      <c r="R1104" s="728"/>
      <c r="S1104" s="278"/>
      <c r="T1104" s="278"/>
      <c r="U1104" s="278"/>
      <c r="V1104" s="278"/>
      <c r="W1104" s="278"/>
      <c r="X1104" s="278"/>
      <c r="Y1104" s="278"/>
      <c r="Z1104" s="278"/>
      <c r="AA1104" s="1185"/>
      <c r="AB1104" s="1185"/>
      <c r="AC1104" s="1185"/>
      <c r="AD1104" s="1185"/>
      <c r="AE1104" s="1185"/>
      <c r="AF1104" s="1185"/>
      <c r="AG1104" s="1185"/>
      <c r="AH1104" s="1185"/>
      <c r="AI1104" s="1185"/>
    </row>
    <row r="1105" spans="1:35" ht="16.5" thickTop="1">
      <c r="C1105" s="1362" t="s">
        <v>31</v>
      </c>
      <c r="D1105" s="1217"/>
      <c r="E1105" s="1217"/>
      <c r="F1105" s="1201"/>
      <c r="G1105" s="1217"/>
      <c r="H1105" s="1217"/>
      <c r="I1105" s="1201"/>
      <c r="J1105" s="1217" t="s">
        <v>31</v>
      </c>
      <c r="K1105" s="1217"/>
      <c r="L1105" s="1203" t="s">
        <v>31</v>
      </c>
      <c r="N1105" s="277"/>
      <c r="O1105" s="789" t="s">
        <v>263</v>
      </c>
      <c r="P1105" s="1221">
        <f>P1104-L1104</f>
        <v>0</v>
      </c>
      <c r="Q1105" s="1135">
        <v>0</v>
      </c>
      <c r="R1105" s="1263"/>
      <c r="S1105" s="278"/>
      <c r="T1105" s="278"/>
      <c r="U1105" s="278"/>
      <c r="V1105" s="278"/>
      <c r="W1105" s="278"/>
      <c r="X1105" s="278"/>
      <c r="Y1105" s="278"/>
      <c r="Z1105" s="278"/>
      <c r="AA1105" s="1185"/>
      <c r="AB1105" s="1185"/>
      <c r="AC1105" s="1185"/>
      <c r="AD1105" s="1185"/>
      <c r="AE1105" s="1185"/>
      <c r="AF1105" s="1185"/>
      <c r="AG1105" s="1185"/>
      <c r="AH1105" s="1185"/>
      <c r="AI1105" s="1185"/>
    </row>
    <row r="1106" spans="1:35">
      <c r="A1106" s="1233"/>
      <c r="B1106" s="1242"/>
      <c r="C1106" s="1026"/>
      <c r="D1106" s="1363"/>
      <c r="E1106" s="1203"/>
      <c r="F1106" s="1203"/>
      <c r="G1106" s="1363"/>
      <c r="H1106" s="1233"/>
      <c r="I1106" s="1203"/>
      <c r="J1106" s="1363"/>
      <c r="K1106" s="1233"/>
      <c r="L1106" s="1203"/>
      <c r="N1106" s="1185"/>
      <c r="O1106" s="1185"/>
      <c r="P1106" s="1186"/>
      <c r="Q1106" s="1186"/>
      <c r="R1106" s="1186"/>
      <c r="S1106" s="1185"/>
      <c r="T1106" s="1185"/>
      <c r="U1106" s="1185"/>
      <c r="V1106" s="1185"/>
      <c r="W1106" s="1185"/>
      <c r="X1106" s="1185"/>
      <c r="Y1106" s="1185"/>
      <c r="Z1106" s="1185"/>
      <c r="AA1106" s="1185"/>
      <c r="AB1106" s="1185"/>
      <c r="AC1106" s="1185"/>
      <c r="AD1106" s="1185"/>
    </row>
    <row r="1107" spans="1:35" s="1005" customFormat="1" ht="19.899999999999999" customHeight="1" thickBot="1">
      <c r="A1107" s="1277" t="s">
        <v>515</v>
      </c>
      <c r="B1107" s="1242"/>
      <c r="C1107" s="1364">
        <f>C26+C90+C175+C502+C536+C655+C778+C795+C997+C1008+C1019+C1067+C1104</f>
        <v>4000612315.4745193</v>
      </c>
      <c r="D1107" s="1365"/>
      <c r="E1107" s="1366"/>
      <c r="F1107" s="1366" t="e">
        <f>F26+F90+F175+F502+F536+F655+F778+F795+F997+F1008+F1019+F1067+F1104</f>
        <v>#REF!</v>
      </c>
      <c r="G1107" s="1365"/>
      <c r="H1107" s="1366"/>
      <c r="I1107" s="1366">
        <f>I26+I90+I175+I502+I536+I655+I778+I795+I997+I1008+I1019+I1067+I1104</f>
        <v>303518155.56947678</v>
      </c>
      <c r="J1107" s="1365"/>
      <c r="K1107" s="1366"/>
      <c r="L1107" s="1366">
        <f>L26+L90+L175+L502+L536+L655+L778+L795+L997+L1008+L1019+L1067+L1104</f>
        <v>320515385.56947672</v>
      </c>
      <c r="N1107" s="1185"/>
      <c r="O1107" s="1367" t="s">
        <v>409</v>
      </c>
      <c r="P1107" s="1368">
        <f>P26+P90+P175+P536+P655+P813+P970+P997+P1008+P1019+P1067+P1104</f>
        <v>320484258.11751395</v>
      </c>
      <c r="Q1107" s="1186"/>
      <c r="R1107" s="1186"/>
      <c r="S1107" s="1065"/>
      <c r="T1107" s="1065"/>
      <c r="U1107" s="1065"/>
      <c r="V1107" s="1065"/>
      <c r="W1107" s="1065"/>
      <c r="X1107" s="1065"/>
      <c r="Y1107" s="1065"/>
      <c r="Z1107" s="1065"/>
      <c r="AA1107" s="1065"/>
      <c r="AB1107" s="1065"/>
      <c r="AC1107" s="1065"/>
      <c r="AD1107" s="1065"/>
    </row>
    <row r="1108" spans="1:35" ht="17.25" thickTop="1" thickBot="1">
      <c r="A1108" s="1219"/>
      <c r="B1108" s="1242"/>
      <c r="C1108" s="1364"/>
      <c r="D1108" s="1261"/>
      <c r="E1108" s="1203"/>
      <c r="F1108" s="1203"/>
      <c r="G1108" s="1261"/>
      <c r="H1108" s="1219"/>
      <c r="I1108" s="1203"/>
      <c r="J1108" s="1259" t="s">
        <v>31</v>
      </c>
      <c r="K1108" s="1219"/>
      <c r="L1108" s="1203" t="s">
        <v>31</v>
      </c>
      <c r="N1108" s="1185"/>
      <c r="O1108" s="1220" t="s">
        <v>263</v>
      </c>
      <c r="P1108" s="1369">
        <f>P1107-L1107</f>
        <v>-31127.451962769032</v>
      </c>
      <c r="Q1108" s="1370" t="s">
        <v>31</v>
      </c>
      <c r="R1108" s="1370"/>
      <c r="S1108" s="1185"/>
      <c r="T1108" s="1185"/>
      <c r="U1108" s="1185"/>
      <c r="V1108" s="1185"/>
      <c r="W1108" s="1185"/>
      <c r="X1108" s="1185"/>
      <c r="Y1108" s="1185"/>
      <c r="Z1108" s="1185"/>
      <c r="AA1108" s="1185"/>
      <c r="AB1108" s="1185"/>
      <c r="AC1108" s="1185"/>
      <c r="AD1108" s="1185"/>
    </row>
    <row r="1109" spans="1:35" ht="16.5" thickTop="1">
      <c r="A1109" s="1219" t="s">
        <v>34</v>
      </c>
      <c r="B1109" s="1242"/>
      <c r="C1109" s="1371"/>
      <c r="D1109" s="1372"/>
      <c r="E1109" s="1373"/>
      <c r="F1109" s="1373" t="e">
        <f>#REF!+#REF!+#REF!+#REF!+#REF!</f>
        <v>#REF!</v>
      </c>
      <c r="G1109" s="1372"/>
      <c r="H1109" s="1374"/>
      <c r="I1109" s="1373">
        <f>'[97]Table 3'!D24+'[97]Table 3'!D56+'[97]Table 3'!D87+'[97]Table 3'!D105+'[97]Table 3'!D129</f>
        <v>545052.17999999993</v>
      </c>
      <c r="J1109" s="1375"/>
      <c r="K1109" s="1374"/>
      <c r="L1109" s="1376">
        <f>I1109</f>
        <v>545052.17999999993</v>
      </c>
      <c r="N1109" s="1185"/>
      <c r="S1109" s="1185"/>
      <c r="T1109" s="1185"/>
      <c r="U1109" s="1185"/>
      <c r="V1109" s="1185"/>
      <c r="W1109" s="1185"/>
      <c r="X1109" s="1185"/>
      <c r="Y1109" s="1185"/>
      <c r="Z1109" s="1185"/>
      <c r="AA1109" s="1185"/>
      <c r="AB1109" s="1185"/>
      <c r="AC1109" s="1185"/>
      <c r="AD1109" s="1185"/>
    </row>
    <row r="1110" spans="1:35" s="1005" customFormat="1" ht="19.899999999999999" customHeight="1" thickBot="1">
      <c r="A1110" s="1377" t="s">
        <v>516</v>
      </c>
      <c r="B1110" s="1378"/>
      <c r="C1110" s="1379">
        <f>C1107+C1109</f>
        <v>4000612315.4745193</v>
      </c>
      <c r="D1110" s="462"/>
      <c r="E1110" s="1380"/>
      <c r="F1110" s="464" t="e">
        <f>F1107+F1109</f>
        <v>#REF!</v>
      </c>
      <c r="G1110" s="462"/>
      <c r="H1110" s="1380"/>
      <c r="I1110" s="464">
        <f>I1107+I1109</f>
        <v>304063207.74947679</v>
      </c>
      <c r="J1110" s="1381"/>
      <c r="K1110" s="1380"/>
      <c r="L1110" s="464">
        <f>L1107+L1109</f>
        <v>321060437.74947673</v>
      </c>
      <c r="N1110" s="1065"/>
      <c r="S1110" s="1065"/>
      <c r="T1110" s="1065"/>
      <c r="U1110" s="1065"/>
      <c r="V1110" s="1065"/>
      <c r="W1110" s="1065"/>
      <c r="X1110" s="1065"/>
      <c r="Y1110" s="1065"/>
      <c r="Z1110" s="1065"/>
      <c r="AA1110" s="1065"/>
      <c r="AB1110" s="1065"/>
      <c r="AC1110" s="1065"/>
      <c r="AD1110" s="1065"/>
    </row>
    <row r="1111" spans="1:35" ht="16.5" thickTop="1">
      <c r="A1111" s="1219"/>
      <c r="B1111" s="1242"/>
      <c r="C1111" s="1225"/>
      <c r="D1111" s="1382" t="s">
        <v>31</v>
      </c>
      <c r="E1111" s="1203"/>
      <c r="F1111" s="1203" t="s">
        <v>31</v>
      </c>
      <c r="G1111" s="1382" t="s">
        <v>31</v>
      </c>
      <c r="H1111" s="1382"/>
      <c r="I1111" s="1203" t="s">
        <v>31</v>
      </c>
      <c r="J1111" s="1261"/>
      <c r="K1111" s="1219"/>
      <c r="L1111" s="1203"/>
      <c r="N1111" s="1185"/>
      <c r="O1111" s="1185"/>
      <c r="P1111" s="1186"/>
      <c r="Q1111" s="1186"/>
      <c r="R1111" s="1186"/>
      <c r="S1111" s="1185"/>
      <c r="T1111" s="1185"/>
      <c r="U1111" s="1185"/>
      <c r="V1111" s="1185"/>
      <c r="W1111" s="1185"/>
      <c r="X1111" s="1185"/>
      <c r="Y1111" s="1185"/>
      <c r="Z1111" s="1185"/>
      <c r="AA1111" s="1185"/>
      <c r="AB1111" s="1185"/>
      <c r="AC1111" s="1185"/>
      <c r="AD1111" s="1185"/>
    </row>
    <row r="1112" spans="1:35">
      <c r="C1112" s="1313"/>
      <c r="D1112" s="1208"/>
      <c r="G1112" s="1208"/>
      <c r="H1112" s="1208"/>
      <c r="I1112" s="1383"/>
      <c r="L1112" s="1202"/>
      <c r="N1112" s="1185"/>
      <c r="O1112" s="1185"/>
      <c r="P1112" s="1186"/>
      <c r="Q1112" s="1186"/>
      <c r="R1112" s="1186"/>
      <c r="S1112" s="1185"/>
      <c r="T1112" s="1185"/>
      <c r="U1112" s="1185"/>
      <c r="V1112" s="1185"/>
      <c r="W1112" s="1185"/>
      <c r="X1112" s="1185"/>
      <c r="Y1112" s="1185"/>
      <c r="Z1112" s="1185"/>
      <c r="AA1112" s="1185"/>
      <c r="AB1112" s="1185"/>
      <c r="AC1112" s="1185"/>
      <c r="AD1112" s="1185"/>
    </row>
    <row r="1113" spans="1:35">
      <c r="A1113" s="1384"/>
      <c r="N1113" s="1185"/>
      <c r="O1113" s="1185"/>
      <c r="P1113" s="1186"/>
      <c r="Q1113" s="1186"/>
      <c r="R1113" s="1186"/>
      <c r="S1113" s="1185"/>
      <c r="T1113" s="1185"/>
      <c r="U1113" s="1185"/>
      <c r="V1113" s="1185"/>
      <c r="W1113" s="1185"/>
      <c r="X1113" s="1185"/>
      <c r="Y1113" s="1185"/>
      <c r="Z1113" s="1185"/>
      <c r="AA1113" s="1185"/>
      <c r="AB1113" s="1185"/>
      <c r="AC1113" s="1185"/>
      <c r="AD1113" s="1185"/>
    </row>
    <row r="1114" spans="1:35">
      <c r="A1114" s="1219" t="s">
        <v>168</v>
      </c>
      <c r="B1114" s="1184" t="s">
        <v>517</v>
      </c>
      <c r="C1114" s="1202">
        <f>'[97]Table 2'!M140</f>
        <v>4000612315.4745183</v>
      </c>
      <c r="F1114" s="1204" t="e">
        <f>#REF!</f>
        <v>#REF!</v>
      </c>
      <c r="I1114" s="1204">
        <f>'[97]Table 3'!P140</f>
        <v>304063208.36000001</v>
      </c>
      <c r="N1114" s="1185"/>
      <c r="O1114" s="1185"/>
      <c r="P1114" s="1186"/>
      <c r="Q1114" s="1186"/>
      <c r="R1114" s="1186"/>
      <c r="S1114" s="1185"/>
      <c r="T1114" s="1185"/>
      <c r="U1114" s="1185"/>
      <c r="V1114" s="1185"/>
      <c r="W1114" s="1185"/>
      <c r="X1114" s="1185"/>
      <c r="Y1114" s="1185"/>
      <c r="Z1114" s="1185"/>
      <c r="AA1114" s="1185"/>
      <c r="AB1114" s="1185"/>
      <c r="AC1114" s="1185"/>
      <c r="AD1114" s="1185"/>
    </row>
    <row r="1115" spans="1:35">
      <c r="B1115" s="1184" t="s">
        <v>518</v>
      </c>
      <c r="C1115" s="1202">
        <f>'[97]Table 1 - kWh'!F21</f>
        <v>4000612315.4745183</v>
      </c>
      <c r="F1115" s="1204" t="e">
        <f>#REF!</f>
        <v>#REF!</v>
      </c>
      <c r="I1115" s="1204">
        <f>'[97]Table 1-Revenues'!J21</f>
        <v>304063208.36000001</v>
      </c>
      <c r="N1115" s="1185"/>
      <c r="O1115" s="1185"/>
      <c r="P1115" s="1186"/>
      <c r="Q1115" s="1186"/>
      <c r="R1115" s="1186"/>
      <c r="S1115" s="1185"/>
      <c r="T1115" s="1185"/>
      <c r="U1115" s="1185"/>
      <c r="V1115" s="1185"/>
      <c r="W1115" s="1185"/>
      <c r="X1115" s="1185"/>
      <c r="Y1115" s="1185"/>
      <c r="Z1115" s="1185"/>
      <c r="AA1115" s="1185"/>
      <c r="AB1115" s="1185"/>
      <c r="AC1115" s="1185"/>
      <c r="AD1115" s="1185"/>
    </row>
    <row r="1116" spans="1:35">
      <c r="N1116" s="1185"/>
      <c r="O1116" s="1185"/>
      <c r="P1116" s="1186"/>
      <c r="Q1116" s="1186"/>
      <c r="R1116" s="1186"/>
      <c r="S1116" s="1185"/>
      <c r="T1116" s="1185"/>
      <c r="U1116" s="1185"/>
      <c r="V1116" s="1185"/>
      <c r="W1116" s="1185"/>
      <c r="X1116" s="1185"/>
      <c r="Y1116" s="1185"/>
      <c r="Z1116" s="1185"/>
      <c r="AA1116" s="1185"/>
      <c r="AB1116" s="1185"/>
      <c r="AC1116" s="1185"/>
      <c r="AD1116" s="1185"/>
    </row>
    <row r="1117" spans="1:35">
      <c r="B1117" s="1184" t="s">
        <v>251</v>
      </c>
      <c r="C1117" s="1202">
        <f>C1110-C1115</f>
        <v>0</v>
      </c>
      <c r="F1117" s="1202" t="e">
        <f>F1110-F1115</f>
        <v>#REF!</v>
      </c>
      <c r="I1117" s="1202">
        <f>I1110-I1115</f>
        <v>-0.61052322387695313</v>
      </c>
      <c r="N1117" s="1185"/>
      <c r="O1117" s="1185"/>
      <c r="P1117" s="1186"/>
      <c r="Q1117" s="1186"/>
      <c r="R1117" s="1186"/>
      <c r="S1117" s="1185"/>
      <c r="T1117" s="1185"/>
      <c r="U1117" s="1185"/>
      <c r="V1117" s="1185"/>
      <c r="W1117" s="1185"/>
      <c r="X1117" s="1185"/>
      <c r="Y1117" s="1185"/>
      <c r="Z1117" s="1185"/>
      <c r="AA1117" s="1185"/>
      <c r="AB1117" s="1185"/>
      <c r="AC1117" s="1185"/>
      <c r="AD1117" s="1185"/>
    </row>
    <row r="1118" spans="1:35">
      <c r="N1118" s="1185"/>
      <c r="O1118" s="1185"/>
      <c r="P1118" s="1186"/>
      <c r="Q1118" s="1186"/>
      <c r="R1118" s="1186"/>
      <c r="S1118" s="1185"/>
      <c r="T1118" s="1185"/>
      <c r="U1118" s="1185"/>
      <c r="V1118" s="1185"/>
      <c r="W1118" s="1185"/>
      <c r="X1118" s="1185"/>
      <c r="Y1118" s="1185"/>
      <c r="Z1118" s="1185"/>
      <c r="AA1118" s="1185"/>
      <c r="AB1118" s="1185"/>
      <c r="AC1118" s="1185"/>
      <c r="AD1118" s="1185"/>
    </row>
    <row r="1120" spans="1:35">
      <c r="B1120" s="1184" t="s">
        <v>519</v>
      </c>
      <c r="C1120" s="1202">
        <f>C23+C82+C156+C511+C615+C765+C786+C994+C1005+C1016+C1063+C1101</f>
        <v>1530682.1666666595</v>
      </c>
    </row>
    <row r="1121" spans="2:4">
      <c r="B1121" s="1184" t="s">
        <v>40</v>
      </c>
      <c r="C1121" s="1202">
        <f>((C23+C82+C185+C299+C511+C765+C786+C994+C1005+C1016+C1063+C1101)/12)+C386+C615</f>
        <v>132380.34516742709</v>
      </c>
    </row>
    <row r="1122" spans="2:4">
      <c r="B1122" s="1005" t="s">
        <v>98</v>
      </c>
      <c r="C1122" s="1202">
        <f>'[97]Table 2'!F140</f>
        <v>132378.51388888832</v>
      </c>
      <c r="D1122" s="1231" t="s">
        <v>31</v>
      </c>
    </row>
    <row r="1123" spans="2:4">
      <c r="B1123" s="1184" t="s">
        <v>251</v>
      </c>
      <c r="C1123" s="1202">
        <f>C1121-C1122</f>
        <v>1.8312785387679469</v>
      </c>
    </row>
  </sheetData>
  <mergeCells count="4">
    <mergeCell ref="A1:L1"/>
    <mergeCell ref="A2:L2"/>
    <mergeCell ref="A3:L3"/>
    <mergeCell ref="A4:L4"/>
  </mergeCells>
  <printOptions horizontalCentered="1"/>
  <pageMargins left="0.25" right="0.25" top="0.5" bottom="0.3" header="0.5" footer="0.25"/>
  <pageSetup scale="53" fitToHeight="8" orientation="portrait" r:id="rId1"/>
  <headerFooter alignWithMargins="0"/>
  <rowBreaks count="7" manualBreakCount="7">
    <brk id="117" max="11" man="1"/>
    <brk id="176" max="11" man="1"/>
    <brk id="537" max="11" man="1"/>
    <brk id="779" max="11" man="1"/>
    <brk id="866" max="11" man="1"/>
    <brk id="998" max="11" man="1"/>
    <brk id="1057" max="11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/>
  <dimension ref="A1:R99"/>
  <sheetViews>
    <sheetView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RowHeight="15.75"/>
  <cols>
    <col min="1" max="1" width="9" style="53"/>
    <col min="2" max="2" width="40.375" style="3" customWidth="1"/>
    <col min="3" max="14" width="12" style="3" customWidth="1"/>
    <col min="15" max="15" width="14.625" style="3" customWidth="1"/>
    <col min="16" max="16" width="9" style="3"/>
    <col min="17" max="17" width="2.25" style="3" customWidth="1"/>
    <col min="18" max="18" width="10.5" style="3" bestFit="1" customWidth="1"/>
    <col min="19" max="16384" width="9" style="3"/>
  </cols>
  <sheetData>
    <row r="1" spans="1:18"/>
    <row r="2" spans="1:18">
      <c r="A2" s="82" t="e">
        <f>#REF!</f>
        <v>#REF!</v>
      </c>
      <c r="B2" s="82"/>
      <c r="C2" s="3" t="s">
        <v>174</v>
      </c>
    </row>
    <row r="3" spans="1:18">
      <c r="A3" s="82" t="e">
        <f>#REF!</f>
        <v>#REF!</v>
      </c>
      <c r="B3" s="82"/>
    </row>
    <row r="4" spans="1:18">
      <c r="A4" s="82" t="e">
        <f>#REF!</f>
        <v>#REF!</v>
      </c>
      <c r="B4" s="82"/>
    </row>
    <row r="5" spans="1:18">
      <c r="B5" s="57" t="s">
        <v>247</v>
      </c>
      <c r="C5" s="58"/>
      <c r="D5" s="58"/>
      <c r="E5" s="58"/>
      <c r="F5" s="58"/>
      <c r="G5" s="83"/>
      <c r="H5" s="58"/>
      <c r="I5" s="58"/>
      <c r="J5" s="58"/>
      <c r="K5" s="58"/>
      <c r="L5" s="58"/>
      <c r="M5" s="58"/>
      <c r="N5" s="58"/>
      <c r="O5" s="66"/>
      <c r="P5" s="63" t="s">
        <v>73</v>
      </c>
    </row>
    <row r="6" spans="1:18">
      <c r="B6" s="3" t="s">
        <v>105</v>
      </c>
      <c r="G6" s="63"/>
      <c r="O6" s="81"/>
      <c r="P6" s="63" t="s">
        <v>248</v>
      </c>
      <c r="R6" s="19" t="s">
        <v>10</v>
      </c>
    </row>
    <row r="7" spans="1:18">
      <c r="C7" s="3">
        <v>200707</v>
      </c>
      <c r="D7" s="3">
        <v>200708</v>
      </c>
      <c r="E7" s="3">
        <f>D7+1</f>
        <v>200709</v>
      </c>
      <c r="F7" s="3">
        <f>E7+1</f>
        <v>200710</v>
      </c>
      <c r="G7" s="3">
        <f>F7+1</f>
        <v>200711</v>
      </c>
      <c r="H7" s="3">
        <f>G7+1</f>
        <v>200712</v>
      </c>
      <c r="I7" s="3">
        <v>200801</v>
      </c>
      <c r="J7" s="3">
        <f>I7+1</f>
        <v>200802</v>
      </c>
      <c r="K7" s="3">
        <f>J7+1</f>
        <v>200803</v>
      </c>
      <c r="L7" s="3">
        <f>K7+1</f>
        <v>200804</v>
      </c>
      <c r="M7" s="3">
        <f>L7+1</f>
        <v>200805</v>
      </c>
      <c r="N7" s="3">
        <f>M7+1</f>
        <v>200806</v>
      </c>
      <c r="O7" s="81" t="s">
        <v>124</v>
      </c>
      <c r="P7" s="89">
        <v>39260</v>
      </c>
      <c r="R7" s="19" t="s">
        <v>1</v>
      </c>
    </row>
    <row r="8" spans="1:18">
      <c r="A8" s="53">
        <v>24</v>
      </c>
      <c r="B8" s="3" t="s">
        <v>220</v>
      </c>
      <c r="C8" s="3">
        <v>4169692</v>
      </c>
      <c r="D8" s="3">
        <v>3723998</v>
      </c>
      <c r="E8" s="3">
        <v>3198923</v>
      </c>
      <c r="F8" s="3">
        <v>2755668</v>
      </c>
      <c r="G8" s="69">
        <v>3046052</v>
      </c>
      <c r="H8" s="3">
        <v>3335761</v>
      </c>
      <c r="I8" s="68">
        <v>3808717</v>
      </c>
      <c r="J8" s="68">
        <v>3873681</v>
      </c>
      <c r="K8" s="68">
        <v>3604333</v>
      </c>
      <c r="L8" s="68">
        <v>3283809</v>
      </c>
      <c r="M8" s="68">
        <v>3142167</v>
      </c>
      <c r="N8" s="68">
        <v>3774631</v>
      </c>
      <c r="O8" s="69">
        <f t="shared" ref="O8:O31" si="0">SUM(C8:N8)</f>
        <v>41717432</v>
      </c>
      <c r="P8" s="73">
        <v>1.24E-3</v>
      </c>
      <c r="R8" s="84">
        <f t="shared" ref="R8:R15" si="1">P8*O8</f>
        <v>51729.615680000003</v>
      </c>
    </row>
    <row r="9" spans="1:18">
      <c r="A9" s="53" t="s">
        <v>149</v>
      </c>
      <c r="B9" s="3" t="s">
        <v>229</v>
      </c>
      <c r="C9" s="3">
        <v>21238</v>
      </c>
      <c r="D9" s="3">
        <v>21238</v>
      </c>
      <c r="E9" s="3">
        <v>20942</v>
      </c>
      <c r="F9" s="3">
        <v>18280</v>
      </c>
      <c r="G9" s="69">
        <v>31065</v>
      </c>
      <c r="H9" s="3">
        <v>18280</v>
      </c>
      <c r="I9" s="15">
        <v>18281</v>
      </c>
      <c r="J9" s="15">
        <v>5495</v>
      </c>
      <c r="K9" s="15">
        <v>18280</v>
      </c>
      <c r="L9" s="15">
        <v>18280</v>
      </c>
      <c r="M9" s="15">
        <v>18280</v>
      </c>
      <c r="N9" s="15">
        <v>18280</v>
      </c>
      <c r="O9" s="69">
        <f t="shared" si="0"/>
        <v>227939</v>
      </c>
      <c r="P9" s="73">
        <v>1.24E-3</v>
      </c>
      <c r="R9" s="84">
        <f t="shared" si="1"/>
        <v>282.64436000000001</v>
      </c>
    </row>
    <row r="10" spans="1:18">
      <c r="A10" s="53" t="s">
        <v>156</v>
      </c>
      <c r="B10" s="3" t="s">
        <v>221</v>
      </c>
      <c r="C10" s="3">
        <v>1590</v>
      </c>
      <c r="D10" s="3">
        <v>2919</v>
      </c>
      <c r="E10" s="3">
        <v>11084</v>
      </c>
      <c r="F10" s="3">
        <v>174819</v>
      </c>
      <c r="G10" s="69">
        <v>139933</v>
      </c>
      <c r="H10" s="3">
        <v>22495</v>
      </c>
      <c r="I10" s="15">
        <v>14785</v>
      </c>
      <c r="J10" s="15">
        <v>13030</v>
      </c>
      <c r="K10" s="15">
        <v>-3559</v>
      </c>
      <c r="L10" s="15">
        <v>11843</v>
      </c>
      <c r="M10" s="15">
        <v>31064</v>
      </c>
      <c r="N10" s="15">
        <v>-15272</v>
      </c>
      <c r="O10" s="69">
        <f t="shared" si="0"/>
        <v>404731</v>
      </c>
      <c r="P10" s="73">
        <v>1.24E-3</v>
      </c>
      <c r="R10" s="84">
        <f t="shared" si="1"/>
        <v>501.86644000000001</v>
      </c>
    </row>
    <row r="11" spans="1:18">
      <c r="A11" s="53">
        <v>24</v>
      </c>
      <c r="B11" s="3" t="s">
        <v>106</v>
      </c>
      <c r="C11" s="69">
        <v>42970072</v>
      </c>
      <c r="D11" s="69">
        <v>42492319</v>
      </c>
      <c r="E11" s="69">
        <v>36262938</v>
      </c>
      <c r="F11" s="69">
        <v>33230542</v>
      </c>
      <c r="G11" s="69">
        <v>34869575</v>
      </c>
      <c r="H11" s="69">
        <v>36341153</v>
      </c>
      <c r="I11" s="15">
        <v>40445704</v>
      </c>
      <c r="J11" s="15">
        <v>44523686</v>
      </c>
      <c r="K11" s="15">
        <v>39679186</v>
      </c>
      <c r="L11" s="15">
        <v>35221083</v>
      </c>
      <c r="M11" s="15">
        <v>35809463</v>
      </c>
      <c r="N11" s="15">
        <v>43110158</v>
      </c>
      <c r="O11" s="69">
        <f t="shared" si="0"/>
        <v>464955879</v>
      </c>
      <c r="P11" s="73">
        <v>1.24E-3</v>
      </c>
      <c r="R11" s="84">
        <f t="shared" si="1"/>
        <v>576545.28995999997</v>
      </c>
    </row>
    <row r="12" spans="1:18">
      <c r="A12" s="53" t="s">
        <v>149</v>
      </c>
      <c r="B12" s="3" t="s">
        <v>107</v>
      </c>
      <c r="C12" s="69">
        <v>101764</v>
      </c>
      <c r="D12" s="69">
        <v>100304</v>
      </c>
      <c r="E12" s="69">
        <v>101677</v>
      </c>
      <c r="F12" s="69">
        <v>100074</v>
      </c>
      <c r="G12" s="69">
        <v>101098</v>
      </c>
      <c r="H12" s="69">
        <v>101728</v>
      </c>
      <c r="I12" s="15">
        <v>100888</v>
      </c>
      <c r="J12" s="15">
        <v>100882</v>
      </c>
      <c r="K12" s="15">
        <v>100000</v>
      </c>
      <c r="L12" s="15">
        <v>100094</v>
      </c>
      <c r="M12" s="15">
        <v>101670</v>
      </c>
      <c r="N12" s="15">
        <v>100935</v>
      </c>
      <c r="O12" s="69">
        <f t="shared" si="0"/>
        <v>1211114</v>
      </c>
      <c r="P12" s="73">
        <v>1.24E-3</v>
      </c>
      <c r="R12" s="84">
        <f t="shared" si="1"/>
        <v>1501.7813599999999</v>
      </c>
    </row>
    <row r="13" spans="1:18">
      <c r="A13" s="53">
        <v>36</v>
      </c>
      <c r="B13" s="3" t="s">
        <v>230</v>
      </c>
      <c r="C13" s="3">
        <v>7139320</v>
      </c>
      <c r="D13" s="3">
        <v>6651020</v>
      </c>
      <c r="E13" s="3">
        <v>5949180</v>
      </c>
      <c r="F13" s="3">
        <v>5427928</v>
      </c>
      <c r="G13" s="69">
        <v>5820260</v>
      </c>
      <c r="H13" s="3">
        <v>10710241</v>
      </c>
      <c r="I13" s="15">
        <v>6874968</v>
      </c>
      <c r="J13" s="15">
        <v>6866625</v>
      </c>
      <c r="K13" s="15">
        <v>7519899</v>
      </c>
      <c r="L13" s="15">
        <v>8709680</v>
      </c>
      <c r="M13" s="15">
        <v>6276100</v>
      </c>
      <c r="N13" s="15">
        <v>8286800</v>
      </c>
      <c r="O13" s="69">
        <f t="shared" si="0"/>
        <v>86232021</v>
      </c>
      <c r="P13" s="73">
        <v>1.0200000000000001E-3</v>
      </c>
      <c r="R13" s="84">
        <f t="shared" si="1"/>
        <v>87956.661420000004</v>
      </c>
    </row>
    <row r="14" spans="1:18">
      <c r="A14" s="53">
        <v>36</v>
      </c>
      <c r="B14" s="3" t="s">
        <v>108</v>
      </c>
      <c r="C14" s="69">
        <v>59368941</v>
      </c>
      <c r="D14" s="69">
        <v>56815580</v>
      </c>
      <c r="E14" s="69">
        <v>52729103</v>
      </c>
      <c r="F14" s="69">
        <v>48314509</v>
      </c>
      <c r="G14" s="69">
        <v>49936076</v>
      </c>
      <c r="H14" s="69">
        <v>46891727</v>
      </c>
      <c r="I14" s="15">
        <v>55644603</v>
      </c>
      <c r="J14" s="15">
        <v>59342604</v>
      </c>
      <c r="K14" s="15">
        <v>59603339</v>
      </c>
      <c r="L14" s="15">
        <v>65055503</v>
      </c>
      <c r="M14" s="15">
        <v>59222854</v>
      </c>
      <c r="N14" s="15">
        <v>61989884</v>
      </c>
      <c r="O14" s="69">
        <f t="shared" si="0"/>
        <v>674914723</v>
      </c>
      <c r="P14" s="73">
        <v>1.0200000000000001E-3</v>
      </c>
      <c r="R14" s="84">
        <f t="shared" si="1"/>
        <v>688413.01746</v>
      </c>
    </row>
    <row r="15" spans="1:18">
      <c r="A15" s="53" t="s">
        <v>155</v>
      </c>
      <c r="B15" s="3" t="s">
        <v>109</v>
      </c>
      <c r="C15" s="69">
        <v>14031760</v>
      </c>
      <c r="D15" s="69">
        <v>12105060</v>
      </c>
      <c r="E15" s="69">
        <v>12596320</v>
      </c>
      <c r="F15" s="69">
        <v>11333660</v>
      </c>
      <c r="G15" s="69">
        <v>11389980</v>
      </c>
      <c r="H15" s="69">
        <v>11786660</v>
      </c>
      <c r="I15" s="15">
        <v>12614402</v>
      </c>
      <c r="J15" s="15">
        <v>13075400</v>
      </c>
      <c r="K15" s="15">
        <v>13838880</v>
      </c>
      <c r="L15" s="15">
        <v>14709860</v>
      </c>
      <c r="M15" s="15">
        <v>12447520</v>
      </c>
      <c r="N15" s="15">
        <v>13113320</v>
      </c>
      <c r="O15" s="69">
        <f t="shared" si="0"/>
        <v>153042822</v>
      </c>
      <c r="P15" s="73">
        <v>8.3000000000000001E-4</v>
      </c>
      <c r="R15" s="84">
        <f t="shared" si="1"/>
        <v>127025.54226</v>
      </c>
    </row>
    <row r="16" spans="1:18">
      <c r="B16" s="3" t="s">
        <v>110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69">
        <f t="shared" si="0"/>
        <v>0</v>
      </c>
    </row>
    <row r="17" spans="1:18">
      <c r="B17" s="3" t="s">
        <v>111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69">
        <f t="shared" si="0"/>
        <v>0</v>
      </c>
    </row>
    <row r="18" spans="1:18">
      <c r="B18" s="3" t="s">
        <v>112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69">
        <f t="shared" si="0"/>
        <v>0</v>
      </c>
    </row>
    <row r="19" spans="1:18">
      <c r="B19" s="3" t="s">
        <v>113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69">
        <f t="shared" si="0"/>
        <v>0</v>
      </c>
    </row>
    <row r="20" spans="1:18">
      <c r="B20" s="3" t="s">
        <v>114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69">
        <f t="shared" si="0"/>
        <v>0</v>
      </c>
    </row>
    <row r="21" spans="1:18">
      <c r="A21" s="53" t="s">
        <v>31</v>
      </c>
      <c r="B21" s="3" t="s">
        <v>115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69">
        <f t="shared" si="0"/>
        <v>0</v>
      </c>
    </row>
    <row r="22" spans="1:18">
      <c r="A22" s="53" t="s">
        <v>31</v>
      </c>
      <c r="B22" s="3" t="s">
        <v>203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69">
        <f t="shared" si="0"/>
        <v>0</v>
      </c>
    </row>
    <row r="23" spans="1:18">
      <c r="B23" s="54" t="s">
        <v>243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69">
        <f t="shared" si="0"/>
        <v>0</v>
      </c>
    </row>
    <row r="24" spans="1:18">
      <c r="A24" s="53">
        <v>135</v>
      </c>
      <c r="B24" s="3" t="s">
        <v>215</v>
      </c>
      <c r="C24" s="69">
        <v>2307</v>
      </c>
      <c r="D24" s="69">
        <v>1428</v>
      </c>
      <c r="E24" s="3">
        <v>140</v>
      </c>
      <c r="F24" s="3">
        <v>0</v>
      </c>
      <c r="G24" s="3">
        <v>0</v>
      </c>
      <c r="H24" s="3">
        <v>0</v>
      </c>
      <c r="I24" s="15">
        <v>0</v>
      </c>
      <c r="J24" s="15">
        <v>0</v>
      </c>
      <c r="K24" s="15">
        <v>0</v>
      </c>
      <c r="L24" s="15">
        <v>18</v>
      </c>
      <c r="M24" s="15">
        <v>0</v>
      </c>
      <c r="N24" s="15">
        <v>1232</v>
      </c>
      <c r="O24" s="69">
        <f t="shared" si="0"/>
        <v>5125</v>
      </c>
      <c r="P24" s="73">
        <v>1.24E-3</v>
      </c>
      <c r="R24" s="84">
        <f>P24*O24</f>
        <v>6.3550000000000004</v>
      </c>
    </row>
    <row r="25" spans="1:18">
      <c r="A25" s="53" t="s">
        <v>151</v>
      </c>
      <c r="B25" s="3" t="s">
        <v>116</v>
      </c>
      <c r="C25" s="69">
        <v>135621</v>
      </c>
      <c r="D25" s="69">
        <v>152479</v>
      </c>
      <c r="E25" s="69">
        <v>143101</v>
      </c>
      <c r="F25" s="69">
        <v>144390</v>
      </c>
      <c r="G25" s="69">
        <v>147368</v>
      </c>
      <c r="H25" s="69">
        <v>125859</v>
      </c>
      <c r="I25" s="15">
        <v>142775</v>
      </c>
      <c r="J25" s="15">
        <v>145842</v>
      </c>
      <c r="K25" s="15">
        <v>135813</v>
      </c>
      <c r="L25" s="15">
        <v>146542</v>
      </c>
      <c r="M25" s="15">
        <v>137092</v>
      </c>
      <c r="N25" s="15">
        <v>143598</v>
      </c>
      <c r="O25" s="69">
        <f t="shared" si="0"/>
        <v>1700480</v>
      </c>
      <c r="P25" s="73">
        <v>1.09E-3</v>
      </c>
      <c r="R25" s="84">
        <f>P25*O25</f>
        <v>1853.5232000000001</v>
      </c>
    </row>
    <row r="26" spans="1:18">
      <c r="A26" s="53" t="s">
        <v>151</v>
      </c>
      <c r="B26" s="3" t="s">
        <v>228</v>
      </c>
      <c r="C26" s="3">
        <v>56080</v>
      </c>
      <c r="D26" s="3">
        <v>54964</v>
      </c>
      <c r="E26" s="3">
        <v>55214</v>
      </c>
      <c r="F26" s="3">
        <v>54647</v>
      </c>
      <c r="G26" s="69">
        <v>54911</v>
      </c>
      <c r="H26" s="3">
        <v>55184</v>
      </c>
      <c r="I26" s="15">
        <v>53677</v>
      </c>
      <c r="J26" s="15">
        <v>53325</v>
      </c>
      <c r="K26" s="15">
        <v>52348</v>
      </c>
      <c r="L26" s="15">
        <v>55316</v>
      </c>
      <c r="M26" s="15">
        <v>51552</v>
      </c>
      <c r="N26" s="15">
        <v>52753</v>
      </c>
      <c r="O26" s="69">
        <f t="shared" si="0"/>
        <v>649971</v>
      </c>
      <c r="P26" s="73">
        <v>1.09E-3</v>
      </c>
      <c r="R26" s="84">
        <f>P26*O26</f>
        <v>708.46839</v>
      </c>
    </row>
    <row r="27" spans="1:18">
      <c r="A27" s="53">
        <v>54</v>
      </c>
      <c r="B27" s="3" t="s">
        <v>117</v>
      </c>
      <c r="C27" s="69">
        <v>13222</v>
      </c>
      <c r="D27" s="69">
        <v>2552</v>
      </c>
      <c r="E27" s="69">
        <v>15473</v>
      </c>
      <c r="F27" s="69">
        <v>20107</v>
      </c>
      <c r="G27" s="69">
        <v>16713</v>
      </c>
      <c r="H27" s="69">
        <v>13439</v>
      </c>
      <c r="I27" s="15">
        <v>23259</v>
      </c>
      <c r="J27" s="15">
        <v>16201</v>
      </c>
      <c r="K27" s="15">
        <v>14873</v>
      </c>
      <c r="L27" s="15">
        <v>38831</v>
      </c>
      <c r="M27" s="15">
        <v>31315</v>
      </c>
      <c r="N27" s="15">
        <v>21266</v>
      </c>
      <c r="O27" s="69">
        <f t="shared" si="0"/>
        <v>227251</v>
      </c>
      <c r="P27" s="73">
        <v>1.48E-3</v>
      </c>
      <c r="R27" s="84">
        <f>P27*O27</f>
        <v>336.33148</v>
      </c>
    </row>
    <row r="28" spans="1:18">
      <c r="B28" s="3" t="s">
        <v>118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69">
        <f t="shared" si="0"/>
        <v>0</v>
      </c>
    </row>
    <row r="29" spans="1:18">
      <c r="B29" s="3" t="s">
        <v>119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69">
        <f t="shared" si="0"/>
        <v>0</v>
      </c>
    </row>
    <row r="30" spans="1:18">
      <c r="B30" s="3" t="s">
        <v>222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69">
        <f t="shared" si="0"/>
        <v>0</v>
      </c>
    </row>
    <row r="31" spans="1:18">
      <c r="B31" s="3" t="s">
        <v>225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69">
        <f t="shared" si="0"/>
        <v>0</v>
      </c>
    </row>
    <row r="32" spans="1:18">
      <c r="A32" s="53" t="s">
        <v>31</v>
      </c>
      <c r="B32" s="3" t="s">
        <v>122</v>
      </c>
    </row>
    <row r="33" spans="1:18">
      <c r="A33" s="53" t="s">
        <v>31</v>
      </c>
      <c r="C33" s="69">
        <f t="shared" ref="C33:O33" si="2">SUM(C8:C31)</f>
        <v>128011607</v>
      </c>
      <c r="D33" s="69">
        <f t="shared" si="2"/>
        <v>122123861</v>
      </c>
      <c r="E33" s="69">
        <f t="shared" si="2"/>
        <v>111084095</v>
      </c>
      <c r="F33" s="69">
        <f t="shared" si="2"/>
        <v>101574624</v>
      </c>
      <c r="G33" s="69">
        <f t="shared" si="2"/>
        <v>105553031</v>
      </c>
      <c r="H33" s="69">
        <f t="shared" si="2"/>
        <v>109402527</v>
      </c>
      <c r="I33" s="69">
        <f t="shared" si="2"/>
        <v>119742059</v>
      </c>
      <c r="J33" s="69">
        <f t="shared" si="2"/>
        <v>128016771</v>
      </c>
      <c r="K33" s="69">
        <f t="shared" si="2"/>
        <v>124563392</v>
      </c>
      <c r="L33" s="69">
        <f t="shared" si="2"/>
        <v>127350859</v>
      </c>
      <c r="M33" s="69">
        <f t="shared" si="2"/>
        <v>117269077</v>
      </c>
      <c r="N33" s="69">
        <f t="shared" si="2"/>
        <v>130597585</v>
      </c>
      <c r="O33" s="69">
        <f t="shared" si="2"/>
        <v>1425289488</v>
      </c>
    </row>
    <row r="34" spans="1:18">
      <c r="A34" s="53" t="s">
        <v>31</v>
      </c>
      <c r="B34" s="3" t="s">
        <v>125</v>
      </c>
    </row>
    <row r="35" spans="1:18">
      <c r="A35" s="53" t="s">
        <v>31</v>
      </c>
      <c r="C35" s="3">
        <v>200707</v>
      </c>
      <c r="D35" s="3">
        <v>200708</v>
      </c>
      <c r="E35" s="3">
        <f>D35+1</f>
        <v>200709</v>
      </c>
      <c r="F35" s="3">
        <f>E35+1</f>
        <v>200710</v>
      </c>
      <c r="G35" s="3">
        <f>F35+1</f>
        <v>200711</v>
      </c>
      <c r="H35" s="3">
        <f>G35+1</f>
        <v>200712</v>
      </c>
      <c r="I35" s="3">
        <v>200801</v>
      </c>
      <c r="J35" s="3">
        <f>I35+1</f>
        <v>200802</v>
      </c>
      <c r="K35" s="3">
        <f>J35+1</f>
        <v>200803</v>
      </c>
      <c r="L35" s="3">
        <f>K35+1</f>
        <v>200804</v>
      </c>
      <c r="M35" s="3">
        <f>L35+1</f>
        <v>200805</v>
      </c>
      <c r="N35" s="3">
        <f>M35+1</f>
        <v>200806</v>
      </c>
      <c r="O35" s="3" t="s">
        <v>124</v>
      </c>
      <c r="P35" s="73"/>
    </row>
    <row r="36" spans="1:18">
      <c r="A36" s="53">
        <v>24</v>
      </c>
      <c r="B36" s="3" t="s">
        <v>220</v>
      </c>
      <c r="C36" s="71">
        <v>245856</v>
      </c>
      <c r="D36" s="68">
        <v>237043</v>
      </c>
      <c r="E36" s="68">
        <v>190545</v>
      </c>
      <c r="F36" s="68">
        <v>164203</v>
      </c>
      <c r="G36" s="68">
        <v>178325</v>
      </c>
      <c r="H36" s="68">
        <v>215598</v>
      </c>
      <c r="I36" s="68">
        <v>293514</v>
      </c>
      <c r="J36" s="68">
        <v>307172</v>
      </c>
      <c r="K36" s="68">
        <v>526995</v>
      </c>
      <c r="L36" s="68">
        <v>447110</v>
      </c>
      <c r="M36" s="68">
        <v>227293</v>
      </c>
      <c r="N36" s="68">
        <v>220660</v>
      </c>
      <c r="O36" s="69">
        <f t="shared" ref="O36:O48" si="3">SUM(C36:N36)</f>
        <v>3254314</v>
      </c>
      <c r="P36" s="73">
        <v>1.24E-3</v>
      </c>
      <c r="R36" s="84">
        <f t="shared" ref="R36:R44" si="4">P36*O36</f>
        <v>4035.3493600000002</v>
      </c>
    </row>
    <row r="37" spans="1:18">
      <c r="A37" s="53" t="s">
        <v>156</v>
      </c>
      <c r="B37" s="3" t="s">
        <v>221</v>
      </c>
      <c r="C37" s="72">
        <v>96</v>
      </c>
      <c r="D37" s="15">
        <v>-84</v>
      </c>
      <c r="E37" s="15">
        <v>545</v>
      </c>
      <c r="F37" s="15">
        <v>1302</v>
      </c>
      <c r="G37" s="15">
        <v>150</v>
      </c>
      <c r="H37" s="15">
        <v>557</v>
      </c>
      <c r="I37" s="15">
        <v>1396</v>
      </c>
      <c r="J37" s="15">
        <v>33</v>
      </c>
      <c r="K37" s="15">
        <v>1826</v>
      </c>
      <c r="L37" s="15">
        <v>1074</v>
      </c>
      <c r="M37" s="15">
        <v>0</v>
      </c>
      <c r="N37" s="15">
        <v>34</v>
      </c>
      <c r="O37" s="69">
        <f t="shared" si="3"/>
        <v>6929</v>
      </c>
      <c r="P37" s="73">
        <v>1.24E-3</v>
      </c>
      <c r="R37" s="84">
        <f t="shared" si="4"/>
        <v>8.5919600000000003</v>
      </c>
    </row>
    <row r="38" spans="1:18">
      <c r="A38" s="53">
        <v>24</v>
      </c>
      <c r="B38" s="3" t="s">
        <v>106</v>
      </c>
      <c r="C38" s="72">
        <v>1909641</v>
      </c>
      <c r="D38" s="15">
        <v>1806944</v>
      </c>
      <c r="E38" s="15">
        <v>1549411</v>
      </c>
      <c r="F38" s="15">
        <v>1277233</v>
      </c>
      <c r="G38" s="15">
        <v>1348630</v>
      </c>
      <c r="H38" s="15">
        <v>1329979</v>
      </c>
      <c r="I38" s="15">
        <v>1795617</v>
      </c>
      <c r="J38" s="15">
        <v>1427677</v>
      </c>
      <c r="K38" s="15">
        <v>1355114</v>
      </c>
      <c r="L38" s="15">
        <v>1254624</v>
      </c>
      <c r="M38" s="15">
        <v>1247407</v>
      </c>
      <c r="N38" s="15">
        <v>1703611</v>
      </c>
      <c r="O38" s="69">
        <f t="shared" si="3"/>
        <v>18005888</v>
      </c>
      <c r="P38" s="73">
        <v>1.24E-3</v>
      </c>
      <c r="R38" s="84">
        <f t="shared" si="4"/>
        <v>22327.30112</v>
      </c>
    </row>
    <row r="39" spans="1:18">
      <c r="A39" s="53" t="s">
        <v>149</v>
      </c>
      <c r="B39" s="3" t="s">
        <v>107</v>
      </c>
      <c r="C39" s="72">
        <v>2776</v>
      </c>
      <c r="D39" s="15">
        <v>2776</v>
      </c>
      <c r="E39" s="15">
        <v>2776</v>
      </c>
      <c r="F39" s="15">
        <v>2776</v>
      </c>
      <c r="G39" s="15">
        <v>2776</v>
      </c>
      <c r="H39" s="15">
        <v>2776</v>
      </c>
      <c r="I39" s="15">
        <v>2776</v>
      </c>
      <c r="J39" s="15">
        <v>2776</v>
      </c>
      <c r="K39" s="15">
        <v>2776</v>
      </c>
      <c r="L39" s="15">
        <v>2776</v>
      </c>
      <c r="M39" s="15">
        <v>2776</v>
      </c>
      <c r="N39" s="15">
        <v>2776</v>
      </c>
      <c r="O39" s="69">
        <f t="shared" si="3"/>
        <v>33312</v>
      </c>
      <c r="P39" s="73">
        <v>1.24E-3</v>
      </c>
      <c r="R39" s="84">
        <f t="shared" si="4"/>
        <v>41.30688</v>
      </c>
    </row>
    <row r="40" spans="1:18">
      <c r="A40" s="53">
        <v>36</v>
      </c>
      <c r="B40" s="3" t="s">
        <v>230</v>
      </c>
      <c r="C40" s="72">
        <v>100640</v>
      </c>
      <c r="D40" s="15">
        <v>95384</v>
      </c>
      <c r="E40" s="15">
        <v>73480</v>
      </c>
      <c r="F40" s="15">
        <v>80320</v>
      </c>
      <c r="G40" s="15">
        <v>87200</v>
      </c>
      <c r="H40" s="15">
        <v>113520</v>
      </c>
      <c r="I40" s="15">
        <v>168842</v>
      </c>
      <c r="J40" s="15">
        <v>199560</v>
      </c>
      <c r="K40" s="15">
        <v>987400</v>
      </c>
      <c r="L40" s="15">
        <v>1570360</v>
      </c>
      <c r="M40" s="15">
        <v>249680</v>
      </c>
      <c r="N40" s="15">
        <v>149720</v>
      </c>
      <c r="O40" s="69">
        <f t="shared" si="3"/>
        <v>3876106</v>
      </c>
      <c r="P40" s="73">
        <v>1.0200000000000001E-3</v>
      </c>
      <c r="R40" s="84">
        <f t="shared" si="4"/>
        <v>3953.6281200000003</v>
      </c>
    </row>
    <row r="41" spans="1:18">
      <c r="A41" s="53" t="s">
        <v>155</v>
      </c>
      <c r="B41" s="3" t="s">
        <v>216</v>
      </c>
      <c r="C41" s="72"/>
      <c r="D41" s="15"/>
      <c r="E41" s="15"/>
      <c r="F41" s="15">
        <v>54000</v>
      </c>
      <c r="G41" s="15">
        <v>-54000</v>
      </c>
      <c r="H41" s="15"/>
      <c r="I41" s="15"/>
      <c r="J41" s="15"/>
      <c r="K41" s="15"/>
      <c r="L41" s="15"/>
      <c r="M41" s="15"/>
      <c r="N41" s="15"/>
      <c r="O41" s="69">
        <f t="shared" si="3"/>
        <v>0</v>
      </c>
      <c r="P41" s="73">
        <v>8.3000000000000001E-4</v>
      </c>
      <c r="R41" s="84">
        <f t="shared" si="4"/>
        <v>0</v>
      </c>
    </row>
    <row r="42" spans="1:18">
      <c r="A42" s="53">
        <v>36</v>
      </c>
      <c r="B42" s="3" t="s">
        <v>108</v>
      </c>
      <c r="C42" s="72">
        <v>10318300</v>
      </c>
      <c r="D42" s="15">
        <v>12442180</v>
      </c>
      <c r="E42" s="15">
        <v>11211240</v>
      </c>
      <c r="F42" s="15">
        <v>9636920</v>
      </c>
      <c r="G42" s="15">
        <v>10839840</v>
      </c>
      <c r="H42" s="15">
        <v>9171000</v>
      </c>
      <c r="I42" s="15">
        <v>10177875</v>
      </c>
      <c r="J42" s="15">
        <v>10771855</v>
      </c>
      <c r="K42" s="15">
        <v>11930134</v>
      </c>
      <c r="L42" s="15">
        <v>13859241</v>
      </c>
      <c r="M42" s="15">
        <v>14520180</v>
      </c>
      <c r="N42" s="15">
        <v>11750660</v>
      </c>
      <c r="O42" s="69">
        <f t="shared" si="3"/>
        <v>136629425</v>
      </c>
      <c r="P42" s="73">
        <v>1.0200000000000001E-3</v>
      </c>
      <c r="R42" s="84">
        <f t="shared" si="4"/>
        <v>139362.0135</v>
      </c>
    </row>
    <row r="43" spans="1:18">
      <c r="A43" s="53" t="s">
        <v>154</v>
      </c>
      <c r="B43" s="3" t="s">
        <v>126</v>
      </c>
      <c r="C43" s="70">
        <v>2948000</v>
      </c>
      <c r="D43" s="15">
        <v>2612000</v>
      </c>
      <c r="E43" s="15">
        <v>2349000</v>
      </c>
      <c r="F43" s="15">
        <v>2241000</v>
      </c>
      <c r="G43" s="15">
        <v>1942000</v>
      </c>
      <c r="H43" s="15">
        <v>1761000</v>
      </c>
      <c r="I43" s="15">
        <v>2096000</v>
      </c>
      <c r="J43" s="15">
        <v>2221000</v>
      </c>
      <c r="K43" s="15">
        <v>1602000</v>
      </c>
      <c r="L43" s="15">
        <v>1544000</v>
      </c>
      <c r="M43" s="15">
        <v>1868000</v>
      </c>
      <c r="N43" s="15">
        <v>2647000</v>
      </c>
      <c r="O43" s="69">
        <f t="shared" si="3"/>
        <v>25831000</v>
      </c>
      <c r="P43" s="73">
        <v>8.3000000000000001E-4</v>
      </c>
      <c r="R43" s="84">
        <f t="shared" si="4"/>
        <v>21439.73</v>
      </c>
    </row>
    <row r="44" spans="1:18">
      <c r="A44" s="53" t="s">
        <v>71</v>
      </c>
      <c r="B44" s="3" t="s">
        <v>109</v>
      </c>
      <c r="C44" s="70">
        <v>49783800</v>
      </c>
      <c r="D44" s="15">
        <v>59340000</v>
      </c>
      <c r="E44" s="15">
        <v>57320600</v>
      </c>
      <c r="F44" s="15">
        <v>54656650</v>
      </c>
      <c r="G44" s="15">
        <v>55667450</v>
      </c>
      <c r="H44" s="15">
        <v>40957550</v>
      </c>
      <c r="I44" s="15">
        <v>56388555</v>
      </c>
      <c r="J44" s="15">
        <v>61600850</v>
      </c>
      <c r="K44" s="15">
        <v>60175601</v>
      </c>
      <c r="L44" s="15">
        <v>57164750</v>
      </c>
      <c r="M44" s="15">
        <v>58007500</v>
      </c>
      <c r="N44" s="15">
        <v>63661250</v>
      </c>
      <c r="O44" s="69">
        <f t="shared" si="3"/>
        <v>674724556</v>
      </c>
      <c r="P44" s="73">
        <v>8.3000000000000001E-4</v>
      </c>
      <c r="R44" s="84">
        <f t="shared" si="4"/>
        <v>560021.38147999998</v>
      </c>
    </row>
    <row r="45" spans="1:18">
      <c r="B45" s="3" t="s">
        <v>110</v>
      </c>
      <c r="C45" s="70"/>
      <c r="D45" s="15"/>
      <c r="E45" s="15"/>
      <c r="F45" s="15"/>
      <c r="G45" s="15"/>
      <c r="H45" s="15"/>
      <c r="I45" s="15">
        <v>0</v>
      </c>
      <c r="J45" s="15">
        <v>0</v>
      </c>
      <c r="K45" s="15">
        <v>0</v>
      </c>
      <c r="L45" s="15"/>
      <c r="M45" s="15"/>
      <c r="N45" s="15"/>
      <c r="O45" s="69">
        <f t="shared" si="3"/>
        <v>0</v>
      </c>
    </row>
    <row r="46" spans="1:18">
      <c r="A46" s="53" t="s">
        <v>151</v>
      </c>
      <c r="B46" s="3" t="s">
        <v>116</v>
      </c>
      <c r="C46" s="70">
        <v>10756</v>
      </c>
      <c r="D46" s="15">
        <v>11243</v>
      </c>
      <c r="E46" s="15">
        <v>11348</v>
      </c>
      <c r="F46" s="15">
        <v>10494</v>
      </c>
      <c r="G46" s="15">
        <v>10714</v>
      </c>
      <c r="H46" s="15">
        <v>10392</v>
      </c>
      <c r="I46" s="15">
        <v>10322</v>
      </c>
      <c r="J46" s="15">
        <v>10317</v>
      </c>
      <c r="K46" s="15">
        <v>9746</v>
      </c>
      <c r="L46" s="15">
        <v>10468</v>
      </c>
      <c r="M46" s="15">
        <v>10361</v>
      </c>
      <c r="N46" s="15">
        <v>10770</v>
      </c>
      <c r="O46" s="69">
        <f t="shared" si="3"/>
        <v>126931</v>
      </c>
      <c r="P46" s="73">
        <v>1.09E-3</v>
      </c>
      <c r="R46" s="84">
        <f>P46*O46</f>
        <v>138.35479000000001</v>
      </c>
    </row>
    <row r="47" spans="1:18">
      <c r="A47" s="53" t="s">
        <v>151</v>
      </c>
      <c r="B47" s="3" t="s">
        <v>228</v>
      </c>
      <c r="C47" s="70">
        <v>2684</v>
      </c>
      <c r="D47" s="15">
        <v>2684</v>
      </c>
      <c r="E47" s="15">
        <v>2684</v>
      </c>
      <c r="F47" s="15">
        <v>2684</v>
      </c>
      <c r="G47" s="15">
        <v>2608</v>
      </c>
      <c r="H47" s="15">
        <v>2760</v>
      </c>
      <c r="I47" s="15">
        <v>2686</v>
      </c>
      <c r="J47" s="15">
        <v>2685</v>
      </c>
      <c r="K47" s="15">
        <v>2684</v>
      </c>
      <c r="L47" s="15">
        <v>2684</v>
      </c>
      <c r="M47" s="15">
        <v>2684</v>
      </c>
      <c r="N47" s="15">
        <v>2684</v>
      </c>
      <c r="O47" s="69">
        <f t="shared" si="3"/>
        <v>32211</v>
      </c>
      <c r="P47" s="73">
        <v>1.09E-3</v>
      </c>
      <c r="R47" s="84">
        <f>P47*O47</f>
        <v>35.109990000000003</v>
      </c>
    </row>
    <row r="48" spans="1:18">
      <c r="A48" s="53">
        <v>47</v>
      </c>
      <c r="B48" s="3" t="s">
        <v>127</v>
      </c>
      <c r="C48" s="70">
        <v>0</v>
      </c>
      <c r="D48" s="15">
        <v>420000</v>
      </c>
      <c r="E48" s="15">
        <v>0</v>
      </c>
      <c r="F48" s="15">
        <v>140000</v>
      </c>
      <c r="G48" s="15">
        <v>0</v>
      </c>
      <c r="H48" s="15">
        <v>140000</v>
      </c>
      <c r="I48" s="15">
        <v>140000</v>
      </c>
      <c r="J48" s="15">
        <v>140000</v>
      </c>
      <c r="K48" s="15">
        <v>140000</v>
      </c>
      <c r="L48" s="15">
        <v>140000</v>
      </c>
      <c r="M48" s="15">
        <v>140000</v>
      </c>
      <c r="N48" s="15">
        <v>140000</v>
      </c>
      <c r="O48" s="69">
        <f t="shared" si="3"/>
        <v>1540000</v>
      </c>
      <c r="P48" s="73">
        <v>8.3000000000000001E-4</v>
      </c>
      <c r="R48" s="84">
        <f>P48*O48</f>
        <v>1278.2</v>
      </c>
    </row>
    <row r="49" spans="1:18">
      <c r="A49" s="53" t="s">
        <v>31</v>
      </c>
      <c r="B49" s="3" t="s">
        <v>118</v>
      </c>
      <c r="C49" s="70"/>
      <c r="D49" s="15"/>
      <c r="E49" s="15"/>
      <c r="F49" s="15"/>
      <c r="G49" s="15"/>
      <c r="H49" s="15">
        <v>0</v>
      </c>
      <c r="I49" s="15"/>
      <c r="J49" s="15">
        <v>0</v>
      </c>
      <c r="K49" s="15"/>
      <c r="L49" s="15">
        <v>0</v>
      </c>
      <c r="M49" s="15"/>
      <c r="N49" s="15"/>
      <c r="O49" s="3">
        <v>0</v>
      </c>
    </row>
    <row r="50" spans="1:18">
      <c r="B50" s="3" t="s">
        <v>119</v>
      </c>
      <c r="C50" s="70"/>
      <c r="D50" s="15"/>
      <c r="E50" s="15"/>
      <c r="F50" s="15"/>
      <c r="G50" s="15"/>
      <c r="H50" s="15">
        <v>0</v>
      </c>
      <c r="I50" s="15"/>
      <c r="J50" s="15">
        <v>0</v>
      </c>
      <c r="K50" s="15"/>
      <c r="L50" s="15"/>
      <c r="M50" s="15"/>
      <c r="N50" s="15"/>
      <c r="O50" s="3">
        <v>0</v>
      </c>
    </row>
    <row r="51" spans="1:18">
      <c r="B51" s="3" t="s">
        <v>222</v>
      </c>
      <c r="C51" s="70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/>
      <c r="J51" s="15"/>
      <c r="K51" s="15"/>
      <c r="L51" s="15"/>
      <c r="M51" s="15"/>
      <c r="N51" s="15"/>
      <c r="O51" s="3">
        <v>0</v>
      </c>
    </row>
    <row r="52" spans="1:18">
      <c r="B52" s="3" t="s">
        <v>225</v>
      </c>
      <c r="C52" s="70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/>
      <c r="J52" s="15"/>
      <c r="K52" s="15"/>
      <c r="L52" s="15"/>
      <c r="M52" s="15"/>
      <c r="N52" s="15"/>
      <c r="O52" s="3">
        <v>0</v>
      </c>
    </row>
    <row r="53" spans="1:18">
      <c r="B53" s="3" t="s">
        <v>122</v>
      </c>
    </row>
    <row r="54" spans="1:18">
      <c r="C54" s="69">
        <f t="shared" ref="C54:O54" si="5">SUM(C36:C52)</f>
        <v>65322549</v>
      </c>
      <c r="D54" s="69">
        <f t="shared" si="5"/>
        <v>76970170</v>
      </c>
      <c r="E54" s="69">
        <f t="shared" si="5"/>
        <v>72711629</v>
      </c>
      <c r="F54" s="69">
        <f t="shared" si="5"/>
        <v>68267582</v>
      </c>
      <c r="G54" s="69">
        <f t="shared" si="5"/>
        <v>70025693</v>
      </c>
      <c r="H54" s="69">
        <f t="shared" si="5"/>
        <v>53705132</v>
      </c>
      <c r="I54" s="69">
        <f t="shared" si="5"/>
        <v>71077583</v>
      </c>
      <c r="J54" s="69">
        <f t="shared" si="5"/>
        <v>76683925</v>
      </c>
      <c r="K54" s="69">
        <f t="shared" si="5"/>
        <v>76734276</v>
      </c>
      <c r="L54" s="69">
        <f t="shared" si="5"/>
        <v>75997087</v>
      </c>
      <c r="M54" s="69">
        <f t="shared" si="5"/>
        <v>76275881</v>
      </c>
      <c r="N54" s="69">
        <f t="shared" si="5"/>
        <v>80289165</v>
      </c>
      <c r="O54" s="69">
        <f t="shared" si="5"/>
        <v>864060672</v>
      </c>
    </row>
    <row r="55" spans="1:18">
      <c r="B55" s="3" t="s">
        <v>128</v>
      </c>
    </row>
    <row r="56" spans="1:18">
      <c r="C56" s="3">
        <v>200707</v>
      </c>
      <c r="D56" s="3">
        <v>200708</v>
      </c>
      <c r="E56" s="3">
        <f>D56+1</f>
        <v>200709</v>
      </c>
      <c r="F56" s="3">
        <f>E56+1</f>
        <v>200710</v>
      </c>
      <c r="G56" s="3">
        <f>F56+1</f>
        <v>200711</v>
      </c>
      <c r="H56" s="3">
        <f>G56+1</f>
        <v>200712</v>
      </c>
      <c r="I56" s="3">
        <v>200801</v>
      </c>
      <c r="J56" s="3">
        <f>I56+1</f>
        <v>200802</v>
      </c>
      <c r="K56" s="3">
        <f>J56+1</f>
        <v>200803</v>
      </c>
      <c r="L56" s="3">
        <f>K56+1</f>
        <v>200804</v>
      </c>
      <c r="M56" s="3">
        <f>L56+1</f>
        <v>200805</v>
      </c>
      <c r="N56" s="3">
        <f>M56+1</f>
        <v>200806</v>
      </c>
      <c r="O56" s="3" t="s">
        <v>124</v>
      </c>
    </row>
    <row r="57" spans="1:18">
      <c r="A57" s="53">
        <v>40</v>
      </c>
      <c r="B57" s="3" t="s">
        <v>129</v>
      </c>
      <c r="C57" s="67">
        <v>124730</v>
      </c>
      <c r="D57" s="68">
        <v>162249</v>
      </c>
      <c r="E57" s="68">
        <v>1299080</v>
      </c>
      <c r="F57" s="68">
        <v>7016538</v>
      </c>
      <c r="G57" s="68">
        <v>14528558</v>
      </c>
      <c r="H57" s="68">
        <v>22434860</v>
      </c>
      <c r="I57" s="68">
        <v>27592080</v>
      </c>
      <c r="J57" s="68">
        <v>27861032</v>
      </c>
      <c r="K57" s="68">
        <v>22999788</v>
      </c>
      <c r="L57" s="68">
        <v>15185882</v>
      </c>
      <c r="M57" s="68">
        <v>4628381</v>
      </c>
      <c r="N57" s="68">
        <v>95256</v>
      </c>
      <c r="O57" s="69">
        <f t="shared" ref="O57:O68" si="6">SUM(C57:N57)</f>
        <v>143928434</v>
      </c>
      <c r="P57" s="73">
        <v>1.1299999999999999E-3</v>
      </c>
      <c r="R57" s="84">
        <f>P57*O57</f>
        <v>162639.13042</v>
      </c>
    </row>
    <row r="58" spans="1:18">
      <c r="A58" s="53" t="s">
        <v>157</v>
      </c>
      <c r="B58" s="3" t="s">
        <v>130</v>
      </c>
      <c r="C58" s="70">
        <v>102459</v>
      </c>
      <c r="D58" s="15">
        <v>42286</v>
      </c>
      <c r="E58" s="15">
        <v>64181</v>
      </c>
      <c r="F58" s="15">
        <v>1216993</v>
      </c>
      <c r="G58" s="15">
        <v>2153761</v>
      </c>
      <c r="H58" s="15">
        <v>2795376</v>
      </c>
      <c r="I58" s="15">
        <v>3573149</v>
      </c>
      <c r="J58" s="15">
        <v>4095509</v>
      </c>
      <c r="K58" s="15">
        <v>3017180</v>
      </c>
      <c r="L58" s="15">
        <v>2319141</v>
      </c>
      <c r="M58" s="15">
        <v>828689</v>
      </c>
      <c r="N58" s="15">
        <v>45789</v>
      </c>
      <c r="O58" s="69">
        <f t="shared" si="6"/>
        <v>20254513</v>
      </c>
      <c r="P58" s="73">
        <v>1.1299999999999999E-3</v>
      </c>
      <c r="R58" s="84">
        <f>P58*O58</f>
        <v>22887.599689999999</v>
      </c>
    </row>
    <row r="59" spans="1:18">
      <c r="B59" s="3" t="s">
        <v>110</v>
      </c>
      <c r="C59" s="3">
        <v>0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69">
        <f t="shared" si="6"/>
        <v>0</v>
      </c>
    </row>
    <row r="60" spans="1:18">
      <c r="B60" s="3" t="s">
        <v>111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69">
        <f t="shared" si="6"/>
        <v>0</v>
      </c>
    </row>
    <row r="61" spans="1:18">
      <c r="A61" s="53" t="s">
        <v>31</v>
      </c>
      <c r="B61" s="3" t="s">
        <v>112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69">
        <f t="shared" si="6"/>
        <v>0</v>
      </c>
    </row>
    <row r="62" spans="1:18">
      <c r="A62" s="53" t="s">
        <v>31</v>
      </c>
      <c r="B62" s="3" t="s">
        <v>113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69">
        <f t="shared" si="6"/>
        <v>0</v>
      </c>
    </row>
    <row r="63" spans="1:18">
      <c r="A63" s="53" t="s">
        <v>31</v>
      </c>
      <c r="B63" s="3" t="s">
        <v>114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69">
        <f t="shared" si="6"/>
        <v>0</v>
      </c>
    </row>
    <row r="64" spans="1:18">
      <c r="B64" s="54" t="s">
        <v>244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69">
        <f t="shared" si="6"/>
        <v>0</v>
      </c>
    </row>
    <row r="65" spans="1:18">
      <c r="B65" s="54" t="s">
        <v>245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69">
        <f t="shared" si="6"/>
        <v>0</v>
      </c>
    </row>
    <row r="66" spans="1:18">
      <c r="A66" s="53" t="s">
        <v>31</v>
      </c>
      <c r="B66" s="3" t="s">
        <v>118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69">
        <f t="shared" si="6"/>
        <v>0</v>
      </c>
    </row>
    <row r="67" spans="1:18">
      <c r="A67" s="53" t="s">
        <v>31</v>
      </c>
      <c r="B67" s="3" t="s">
        <v>119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69">
        <f t="shared" si="6"/>
        <v>0</v>
      </c>
    </row>
    <row r="68" spans="1:18">
      <c r="A68" s="53" t="s">
        <v>31</v>
      </c>
      <c r="B68" s="3" t="s">
        <v>132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69">
        <f t="shared" si="6"/>
        <v>0</v>
      </c>
    </row>
    <row r="69" spans="1:18">
      <c r="C69" s="69">
        <f>SUM(C57:C68)</f>
        <v>227189</v>
      </c>
      <c r="D69" s="69">
        <v>197601</v>
      </c>
      <c r="E69" s="69">
        <v>775917</v>
      </c>
      <c r="F69" s="69">
        <v>9268537</v>
      </c>
      <c r="G69" s="69">
        <f>SUM(C69:F69)</f>
        <v>10469244</v>
      </c>
      <c r="H69" s="69">
        <v>13670831</v>
      </c>
      <c r="I69" s="69">
        <v>27350041</v>
      </c>
      <c r="J69" s="69">
        <v>33739633</v>
      </c>
      <c r="K69" s="69">
        <v>28176106</v>
      </c>
      <c r="L69" s="69">
        <v>17440142</v>
      </c>
      <c r="M69" s="69">
        <v>6008504</v>
      </c>
      <c r="N69" s="69">
        <v>295653</v>
      </c>
      <c r="O69" s="69">
        <f>SUM(O57:O68)</f>
        <v>164182947</v>
      </c>
    </row>
    <row r="70" spans="1:18">
      <c r="B70" s="3" t="s">
        <v>136</v>
      </c>
    </row>
    <row r="71" spans="1:18">
      <c r="C71" s="3">
        <v>200707</v>
      </c>
      <c r="D71" s="3">
        <v>200708</v>
      </c>
      <c r="E71" s="3">
        <f>D71+1</f>
        <v>200709</v>
      </c>
      <c r="F71" s="3">
        <f>E71+1</f>
        <v>200710</v>
      </c>
      <c r="G71" s="3">
        <f>F71+1</f>
        <v>200711</v>
      </c>
      <c r="H71" s="3">
        <f>G71+1</f>
        <v>200712</v>
      </c>
      <c r="I71" s="3">
        <v>200801</v>
      </c>
      <c r="J71" s="3">
        <f>I71+1</f>
        <v>200802</v>
      </c>
      <c r="K71" s="3">
        <f>J71+1</f>
        <v>200803</v>
      </c>
      <c r="L71" s="3">
        <f>K71+1</f>
        <v>200804</v>
      </c>
      <c r="M71" s="3">
        <f>L71+1</f>
        <v>200805</v>
      </c>
      <c r="N71" s="3">
        <f>M71+1</f>
        <v>200806</v>
      </c>
      <c r="O71" s="3" t="s">
        <v>124</v>
      </c>
    </row>
    <row r="72" spans="1:18">
      <c r="B72" s="3" t="s">
        <v>137</v>
      </c>
      <c r="C72" s="67">
        <v>0</v>
      </c>
      <c r="D72" s="68">
        <v>0</v>
      </c>
      <c r="E72" s="68">
        <v>0</v>
      </c>
      <c r="F72" s="68">
        <v>0</v>
      </c>
      <c r="G72" s="68">
        <v>0</v>
      </c>
      <c r="H72" s="68">
        <v>0</v>
      </c>
      <c r="I72" s="68">
        <v>0</v>
      </c>
      <c r="J72" s="68">
        <v>0</v>
      </c>
      <c r="K72" s="68">
        <v>0</v>
      </c>
      <c r="L72" s="68">
        <v>0</v>
      </c>
      <c r="M72" s="68">
        <v>0</v>
      </c>
      <c r="N72" s="68">
        <v>0</v>
      </c>
      <c r="O72" s="15">
        <f t="shared" ref="O72:O77" si="7">SUM(C72:N72)</f>
        <v>0</v>
      </c>
    </row>
    <row r="73" spans="1:18">
      <c r="A73" s="53">
        <v>52</v>
      </c>
      <c r="B73" s="3" t="s">
        <v>138</v>
      </c>
      <c r="C73" s="70">
        <v>39116</v>
      </c>
      <c r="D73" s="15">
        <v>39034</v>
      </c>
      <c r="E73" s="15">
        <v>37272</v>
      </c>
      <c r="F73" s="15">
        <v>37252</v>
      </c>
      <c r="G73" s="15">
        <v>37208</v>
      </c>
      <c r="H73" s="15">
        <v>37208</v>
      </c>
      <c r="I73" s="15">
        <v>37678</v>
      </c>
      <c r="J73" s="15">
        <v>37814</v>
      </c>
      <c r="K73" s="15">
        <v>37522</v>
      </c>
      <c r="L73" s="15">
        <v>37522</v>
      </c>
      <c r="M73" s="15">
        <v>37522</v>
      </c>
      <c r="N73" s="15">
        <v>37478</v>
      </c>
      <c r="O73" s="15">
        <f t="shared" si="7"/>
        <v>452626</v>
      </c>
      <c r="P73" s="73">
        <v>1.09E-3</v>
      </c>
      <c r="R73" s="84">
        <f>P73*O73</f>
        <v>493.36234000000002</v>
      </c>
    </row>
    <row r="74" spans="1:18">
      <c r="A74" s="53" t="s">
        <v>158</v>
      </c>
      <c r="B74" s="3" t="s">
        <v>139</v>
      </c>
      <c r="C74" s="70">
        <v>276471</v>
      </c>
      <c r="D74" s="15">
        <v>290547</v>
      </c>
      <c r="E74" s="15">
        <v>288752</v>
      </c>
      <c r="F74" s="15">
        <v>285340</v>
      </c>
      <c r="G74" s="15">
        <v>286822</v>
      </c>
      <c r="H74" s="15">
        <v>286785</v>
      </c>
      <c r="I74" s="15">
        <v>289392</v>
      </c>
      <c r="J74" s="15">
        <v>288158</v>
      </c>
      <c r="K74" s="15">
        <v>278871</v>
      </c>
      <c r="L74" s="15">
        <v>296043</v>
      </c>
      <c r="M74" s="15">
        <v>274250</v>
      </c>
      <c r="N74" s="15">
        <v>291719</v>
      </c>
      <c r="O74" s="15">
        <f t="shared" si="7"/>
        <v>3433150</v>
      </c>
      <c r="P74" s="73">
        <v>1.09E-3</v>
      </c>
      <c r="R74" s="84">
        <f>P74*O74</f>
        <v>3742.1334999999999</v>
      </c>
    </row>
    <row r="75" spans="1:18">
      <c r="A75" s="53" t="s">
        <v>159</v>
      </c>
      <c r="B75" s="3" t="s">
        <v>140</v>
      </c>
      <c r="C75" s="70">
        <v>107921</v>
      </c>
      <c r="D75" s="15">
        <v>113134</v>
      </c>
      <c r="E75" s="15">
        <v>93288</v>
      </c>
      <c r="F75" s="15">
        <v>78692</v>
      </c>
      <c r="G75" s="15">
        <v>73504</v>
      </c>
      <c r="H75" s="15">
        <v>67123</v>
      </c>
      <c r="I75" s="15">
        <v>59224</v>
      </c>
      <c r="J75" s="15">
        <v>66326</v>
      </c>
      <c r="K75" s="15">
        <v>68501</v>
      </c>
      <c r="L75" s="15">
        <v>91363</v>
      </c>
      <c r="M75" s="15">
        <v>83603</v>
      </c>
      <c r="N75" s="15">
        <v>115636</v>
      </c>
      <c r="O75" s="15">
        <f t="shared" si="7"/>
        <v>1018315</v>
      </c>
      <c r="P75" s="73">
        <v>1.09E-3</v>
      </c>
      <c r="R75" s="84">
        <f>P75*O75</f>
        <v>1109.96335</v>
      </c>
    </row>
    <row r="76" spans="1:18">
      <c r="A76" s="53">
        <v>51</v>
      </c>
      <c r="B76" s="3" t="s">
        <v>141</v>
      </c>
      <c r="C76" s="70">
        <v>261534</v>
      </c>
      <c r="D76" s="15">
        <v>236821</v>
      </c>
      <c r="E76" s="15">
        <v>217887</v>
      </c>
      <c r="F76" s="15">
        <v>244442</v>
      </c>
      <c r="G76" s="15">
        <v>270529</v>
      </c>
      <c r="H76" s="15">
        <v>244741</v>
      </c>
      <c r="I76" s="15">
        <v>245152</v>
      </c>
      <c r="J76" s="15">
        <v>248212</v>
      </c>
      <c r="K76" s="15">
        <v>221114</v>
      </c>
      <c r="L76" s="15">
        <v>247975</v>
      </c>
      <c r="M76" s="15">
        <v>246781</v>
      </c>
      <c r="N76" s="15">
        <v>248442</v>
      </c>
      <c r="O76" s="15">
        <f t="shared" si="7"/>
        <v>2933630</v>
      </c>
      <c r="P76" s="73">
        <v>1.09E-3</v>
      </c>
      <c r="R76" s="84">
        <f>P76*O76</f>
        <v>3197.6567</v>
      </c>
    </row>
    <row r="77" spans="1:18">
      <c r="A77" s="53">
        <v>57</v>
      </c>
      <c r="B77" s="3" t="s">
        <v>142</v>
      </c>
      <c r="C77" s="70">
        <v>177159</v>
      </c>
      <c r="D77" s="15">
        <v>174004</v>
      </c>
      <c r="E77" s="15">
        <v>171585</v>
      </c>
      <c r="F77" s="15">
        <v>171220</v>
      </c>
      <c r="G77" s="15">
        <v>172424</v>
      </c>
      <c r="H77" s="15">
        <v>170016</v>
      </c>
      <c r="I77" s="15">
        <v>173034</v>
      </c>
      <c r="J77" s="15">
        <v>170420</v>
      </c>
      <c r="K77" s="15">
        <v>168890</v>
      </c>
      <c r="L77" s="15">
        <v>170578</v>
      </c>
      <c r="M77" s="15">
        <v>169577</v>
      </c>
      <c r="N77" s="15">
        <v>170320</v>
      </c>
      <c r="O77" s="15">
        <f t="shared" si="7"/>
        <v>2059227</v>
      </c>
      <c r="P77" s="73">
        <v>1.09E-3</v>
      </c>
      <c r="R77" s="84">
        <f>P77*O77</f>
        <v>2244.5574300000003</v>
      </c>
    </row>
    <row r="78" spans="1:18">
      <c r="B78" s="3" t="s">
        <v>118</v>
      </c>
      <c r="C78" s="70"/>
      <c r="D78" s="15"/>
      <c r="E78" s="15"/>
      <c r="F78" s="15"/>
      <c r="G78" s="15"/>
      <c r="H78" s="15"/>
      <c r="I78" s="15"/>
      <c r="J78" s="15"/>
      <c r="K78" s="15"/>
      <c r="L78" s="15">
        <v>0</v>
      </c>
      <c r="M78" s="15"/>
      <c r="N78" s="15"/>
      <c r="O78" s="69"/>
      <c r="P78" s="73"/>
      <c r="R78" s="84"/>
    </row>
    <row r="79" spans="1:18">
      <c r="B79" s="3" t="s">
        <v>119</v>
      </c>
      <c r="C79" s="70"/>
      <c r="D79" s="15">
        <v>0</v>
      </c>
      <c r="E79" s="15"/>
      <c r="F79" s="15"/>
      <c r="G79" s="15"/>
      <c r="H79" s="15"/>
      <c r="I79" s="15"/>
      <c r="J79" s="15"/>
      <c r="K79" s="15"/>
      <c r="L79" s="15">
        <v>0</v>
      </c>
      <c r="M79" s="15"/>
      <c r="N79" s="15"/>
      <c r="O79" s="69"/>
      <c r="P79" s="73"/>
      <c r="R79" s="84"/>
    </row>
    <row r="80" spans="1:18">
      <c r="A80" s="53" t="s">
        <v>31</v>
      </c>
      <c r="B80" s="3" t="s">
        <v>122</v>
      </c>
      <c r="C80" s="70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</row>
    <row r="81" spans="1:18">
      <c r="A81" s="53" t="s">
        <v>31</v>
      </c>
      <c r="C81" s="69">
        <f t="shared" ref="C81:O81" si="8">SUM(C72:C80)</f>
        <v>862201</v>
      </c>
      <c r="D81" s="69">
        <f t="shared" si="8"/>
        <v>853540</v>
      </c>
      <c r="E81" s="69">
        <f t="shared" si="8"/>
        <v>808784</v>
      </c>
      <c r="F81" s="69">
        <f t="shared" si="8"/>
        <v>816946</v>
      </c>
      <c r="G81" s="69">
        <f t="shared" si="8"/>
        <v>840487</v>
      </c>
      <c r="H81" s="69">
        <f t="shared" si="8"/>
        <v>805873</v>
      </c>
      <c r="I81" s="69">
        <f t="shared" si="8"/>
        <v>804480</v>
      </c>
      <c r="J81" s="69">
        <f t="shared" si="8"/>
        <v>810930</v>
      </c>
      <c r="K81" s="69">
        <f t="shared" si="8"/>
        <v>774898</v>
      </c>
      <c r="L81" s="69">
        <f t="shared" si="8"/>
        <v>843481</v>
      </c>
      <c r="M81" s="69">
        <f t="shared" si="8"/>
        <v>811733</v>
      </c>
      <c r="N81" s="69">
        <f t="shared" si="8"/>
        <v>863595</v>
      </c>
      <c r="O81" s="69">
        <f t="shared" si="8"/>
        <v>9896948</v>
      </c>
    </row>
    <row r="82" spans="1:18">
      <c r="A82" s="53" t="s">
        <v>31</v>
      </c>
      <c r="B82" s="3" t="s">
        <v>143</v>
      </c>
    </row>
    <row r="83" spans="1:18">
      <c r="A83" s="53" t="s">
        <v>31</v>
      </c>
      <c r="C83" s="3">
        <v>200707</v>
      </c>
      <c r="D83" s="3">
        <v>200708</v>
      </c>
      <c r="E83" s="3">
        <f>D83+1</f>
        <v>200709</v>
      </c>
      <c r="F83" s="3">
        <f>E83+1</f>
        <v>200710</v>
      </c>
      <c r="G83" s="3">
        <f>F83+1</f>
        <v>200711</v>
      </c>
      <c r="H83" s="3">
        <f>G83+1</f>
        <v>200712</v>
      </c>
      <c r="I83" s="3">
        <v>200801</v>
      </c>
      <c r="J83" s="3">
        <f>I83+1</f>
        <v>200802</v>
      </c>
      <c r="K83" s="3">
        <f>J83+1</f>
        <v>200803</v>
      </c>
      <c r="L83" s="3">
        <f>K83+1</f>
        <v>200804</v>
      </c>
      <c r="M83" s="3">
        <f>L83+1</f>
        <v>200805</v>
      </c>
      <c r="N83" s="3">
        <f>M83+1</f>
        <v>200806</v>
      </c>
      <c r="O83" s="3" t="s">
        <v>124</v>
      </c>
    </row>
    <row r="84" spans="1:18">
      <c r="B84" s="85" t="s">
        <v>246</v>
      </c>
      <c r="C84" s="67"/>
      <c r="D84" s="68"/>
      <c r="E84" s="68"/>
      <c r="F84" s="68"/>
      <c r="G84" s="68"/>
      <c r="H84" s="68"/>
      <c r="I84" s="68"/>
      <c r="J84" s="68">
        <v>0</v>
      </c>
      <c r="K84" s="68"/>
      <c r="L84" s="68"/>
      <c r="M84" s="68">
        <v>0</v>
      </c>
      <c r="N84" s="68"/>
      <c r="O84" s="15">
        <f t="shared" ref="O84:O95" si="9">SUM(C84:N84)</f>
        <v>0</v>
      </c>
    </row>
    <row r="85" spans="1:18">
      <c r="A85" s="53" t="s">
        <v>31</v>
      </c>
      <c r="B85" s="3" t="s">
        <v>113</v>
      </c>
      <c r="C85" s="70">
        <v>0</v>
      </c>
      <c r="D85" s="15">
        <v>0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f t="shared" si="9"/>
        <v>0</v>
      </c>
    </row>
    <row r="86" spans="1:18">
      <c r="A86" s="53" t="s">
        <v>160</v>
      </c>
      <c r="B86" s="3" t="s">
        <v>231</v>
      </c>
      <c r="C86" s="70">
        <v>96033</v>
      </c>
      <c r="D86" s="15">
        <v>102581</v>
      </c>
      <c r="E86" s="15">
        <v>98161</v>
      </c>
      <c r="F86" s="15">
        <v>96801</v>
      </c>
      <c r="G86" s="15">
        <v>101713</v>
      </c>
      <c r="H86" s="15">
        <v>97522</v>
      </c>
      <c r="I86" s="15">
        <v>98076</v>
      </c>
      <c r="J86" s="15">
        <v>97431</v>
      </c>
      <c r="K86" s="15">
        <v>94196</v>
      </c>
      <c r="L86" s="15">
        <v>97685</v>
      </c>
      <c r="M86" s="15">
        <v>96036</v>
      </c>
      <c r="N86" s="15">
        <v>96187</v>
      </c>
      <c r="O86" s="15">
        <f t="shared" si="9"/>
        <v>1172422</v>
      </c>
      <c r="P86" s="73">
        <v>1.09E-3</v>
      </c>
      <c r="R86" s="84">
        <f>P86*O86</f>
        <v>1277.9399800000001</v>
      </c>
    </row>
    <row r="87" spans="1:18">
      <c r="A87" s="53">
        <v>16</v>
      </c>
      <c r="B87" s="3" t="s">
        <v>144</v>
      </c>
      <c r="C87" s="70">
        <v>208728854</v>
      </c>
      <c r="D87" s="15">
        <v>192294557</v>
      </c>
      <c r="E87" s="15">
        <v>139201527</v>
      </c>
      <c r="F87" s="15">
        <v>110523128</v>
      </c>
      <c r="G87" s="15">
        <v>97501475</v>
      </c>
      <c r="H87" s="15">
        <v>94591910</v>
      </c>
      <c r="I87" s="15">
        <v>114063547</v>
      </c>
      <c r="J87" s="15">
        <v>121993355</v>
      </c>
      <c r="K87" s="15">
        <v>102349329</v>
      </c>
      <c r="L87" s="15">
        <v>93719602</v>
      </c>
      <c r="M87" s="15">
        <v>122711460</v>
      </c>
      <c r="N87" s="15">
        <v>181663338</v>
      </c>
      <c r="O87" s="15">
        <f t="shared" si="9"/>
        <v>1579342082</v>
      </c>
      <c r="P87" s="73">
        <v>1.2199999999999999E-3</v>
      </c>
      <c r="R87" s="84">
        <f>P87*O87</f>
        <v>1926797.3400399999</v>
      </c>
    </row>
    <row r="88" spans="1:18">
      <c r="A88" s="53">
        <v>17</v>
      </c>
      <c r="B88" s="3" t="s">
        <v>145</v>
      </c>
      <c r="C88" s="70">
        <v>6943483</v>
      </c>
      <c r="D88" s="15">
        <v>6819158</v>
      </c>
      <c r="E88" s="15">
        <v>5017558</v>
      </c>
      <c r="F88" s="15">
        <v>3565575</v>
      </c>
      <c r="G88" s="15">
        <v>2801635</v>
      </c>
      <c r="H88" s="15">
        <v>2210918</v>
      </c>
      <c r="I88" s="15">
        <v>2418611</v>
      </c>
      <c r="J88" s="15">
        <v>2445134</v>
      </c>
      <c r="K88" s="15">
        <v>1554422</v>
      </c>
      <c r="L88" s="15">
        <v>1767989</v>
      </c>
      <c r="M88" s="15">
        <v>3674873</v>
      </c>
      <c r="N88" s="15">
        <v>6622568</v>
      </c>
      <c r="O88" s="15">
        <f t="shared" si="9"/>
        <v>45841924</v>
      </c>
      <c r="P88" s="73">
        <v>1.2199999999999999E-3</v>
      </c>
      <c r="R88" s="84">
        <f>P88*O88</f>
        <v>55927.147279999997</v>
      </c>
    </row>
    <row r="89" spans="1:18">
      <c r="A89" s="53">
        <v>18</v>
      </c>
      <c r="B89" s="3" t="s">
        <v>147</v>
      </c>
      <c r="C89" s="70">
        <v>277527</v>
      </c>
      <c r="D89" s="15">
        <v>282459</v>
      </c>
      <c r="E89" s="15">
        <v>220886</v>
      </c>
      <c r="F89" s="15">
        <v>205763</v>
      </c>
      <c r="G89" s="15">
        <v>191937</v>
      </c>
      <c r="H89" s="15">
        <v>205945</v>
      </c>
      <c r="I89" s="15">
        <v>247950</v>
      </c>
      <c r="J89" s="15">
        <v>250179</v>
      </c>
      <c r="K89" s="15">
        <v>213978</v>
      </c>
      <c r="L89" s="15">
        <v>188874</v>
      </c>
      <c r="M89" s="15">
        <v>201556</v>
      </c>
      <c r="N89" s="15">
        <v>257499</v>
      </c>
      <c r="O89" s="15">
        <f t="shared" si="9"/>
        <v>2744553</v>
      </c>
      <c r="P89" s="73">
        <v>1.2199999999999999E-3</v>
      </c>
      <c r="R89" s="84">
        <f>P89*O89</f>
        <v>3348.35466</v>
      </c>
    </row>
    <row r="90" spans="1:18">
      <c r="A90" s="53" t="s">
        <v>161</v>
      </c>
      <c r="B90" s="3" t="s">
        <v>148</v>
      </c>
      <c r="C90" s="70">
        <v>79539</v>
      </c>
      <c r="D90" s="15">
        <v>71861</v>
      </c>
      <c r="E90" s="15">
        <v>65956</v>
      </c>
      <c r="F90" s="15">
        <v>53835</v>
      </c>
      <c r="G90" s="15">
        <v>58265</v>
      </c>
      <c r="H90" s="15">
        <v>42371</v>
      </c>
      <c r="I90" s="15">
        <v>68542</v>
      </c>
      <c r="J90" s="15">
        <v>68348</v>
      </c>
      <c r="K90" s="15">
        <v>54179</v>
      </c>
      <c r="L90" s="15">
        <v>40639</v>
      </c>
      <c r="M90" s="15">
        <v>47570</v>
      </c>
      <c r="N90" s="15">
        <v>58886</v>
      </c>
      <c r="O90" s="15">
        <f t="shared" si="9"/>
        <v>709991</v>
      </c>
      <c r="P90" s="73">
        <v>1.2199999999999999E-3</v>
      </c>
      <c r="R90" s="84">
        <f>P90*O90</f>
        <v>866.18901999999991</v>
      </c>
    </row>
    <row r="91" spans="1:18">
      <c r="B91" s="3" t="s">
        <v>118</v>
      </c>
      <c r="C91" s="70">
        <v>0</v>
      </c>
      <c r="D91" s="15">
        <v>0</v>
      </c>
      <c r="E91" s="15">
        <v>0</v>
      </c>
      <c r="F91" s="15"/>
      <c r="G91" s="15"/>
      <c r="H91" s="15"/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f t="shared" si="9"/>
        <v>0</v>
      </c>
    </row>
    <row r="92" spans="1:18">
      <c r="B92" s="3" t="s">
        <v>119</v>
      </c>
      <c r="C92" s="70"/>
      <c r="D92" s="15"/>
      <c r="E92" s="15">
        <v>0</v>
      </c>
      <c r="F92" s="15">
        <v>0</v>
      </c>
      <c r="G92" s="15"/>
      <c r="H92" s="15"/>
      <c r="I92" s="15"/>
      <c r="J92" s="15"/>
      <c r="K92" s="15">
        <v>0</v>
      </c>
      <c r="L92" s="15">
        <v>0</v>
      </c>
      <c r="M92" s="15"/>
      <c r="N92" s="15"/>
      <c r="O92" s="15">
        <f t="shared" si="9"/>
        <v>0</v>
      </c>
    </row>
    <row r="93" spans="1:18">
      <c r="B93" s="3" t="s">
        <v>217</v>
      </c>
      <c r="C93" s="70">
        <v>0</v>
      </c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>
        <f t="shared" si="9"/>
        <v>0</v>
      </c>
    </row>
    <row r="94" spans="1:18">
      <c r="B94" s="3" t="s">
        <v>222</v>
      </c>
      <c r="C94" s="70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/>
      <c r="J94" s="15"/>
      <c r="K94" s="15"/>
      <c r="L94" s="15"/>
      <c r="M94" s="15"/>
      <c r="N94" s="15"/>
      <c r="O94" s="15">
        <f t="shared" si="9"/>
        <v>0</v>
      </c>
    </row>
    <row r="95" spans="1:18">
      <c r="B95" s="3" t="s">
        <v>225</v>
      </c>
      <c r="C95" s="70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/>
      <c r="J95" s="15"/>
      <c r="K95" s="15"/>
      <c r="L95" s="15"/>
      <c r="M95" s="15"/>
      <c r="N95" s="15"/>
      <c r="O95" s="15">
        <f t="shared" si="9"/>
        <v>0</v>
      </c>
    </row>
    <row r="96" spans="1:18">
      <c r="B96" s="3" t="s">
        <v>122</v>
      </c>
    </row>
    <row r="97" spans="3:18">
      <c r="C97" s="69">
        <f t="shared" ref="C97:O97" si="10">SUM(C84:C95)</f>
        <v>216125436</v>
      </c>
      <c r="D97" s="69">
        <f t="shared" si="10"/>
        <v>199570616</v>
      </c>
      <c r="E97" s="69">
        <f t="shared" si="10"/>
        <v>144604088</v>
      </c>
      <c r="F97" s="69">
        <f t="shared" si="10"/>
        <v>114445102</v>
      </c>
      <c r="G97" s="69">
        <f t="shared" si="10"/>
        <v>100655025</v>
      </c>
      <c r="H97" s="69">
        <f t="shared" si="10"/>
        <v>97148666</v>
      </c>
      <c r="I97" s="69">
        <f t="shared" si="10"/>
        <v>116896726</v>
      </c>
      <c r="J97" s="69">
        <f t="shared" si="10"/>
        <v>124854447</v>
      </c>
      <c r="K97" s="69">
        <f t="shared" si="10"/>
        <v>104266104</v>
      </c>
      <c r="L97" s="69">
        <f t="shared" si="10"/>
        <v>95814789</v>
      </c>
      <c r="M97" s="69">
        <f t="shared" si="10"/>
        <v>126731495</v>
      </c>
      <c r="N97" s="69">
        <f t="shared" si="10"/>
        <v>188698478</v>
      </c>
      <c r="O97" s="69">
        <f t="shared" si="10"/>
        <v>1629810972</v>
      </c>
      <c r="R97" s="84">
        <f>SUM(R8:R96)</f>
        <v>4474033.4386200001</v>
      </c>
    </row>
    <row r="99" spans="3:18">
      <c r="O99" s="69">
        <f>O97+O81+O69+O54+O33</f>
        <v>4093241027</v>
      </c>
    </row>
  </sheetData>
  <phoneticPr fontId="25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3"/>
  <dimension ref="A1:BB1293"/>
  <sheetViews>
    <sheetView view="pageBreakPreview" zoomScale="80" zoomScaleNormal="75" zoomScaleSheetLayoutView="80" workbookViewId="0">
      <pane ySplit="10" topLeftCell="A20" activePane="bottomLeft" state="frozen"/>
      <selection activeCell="G62" sqref="G62"/>
      <selection pane="bottomLeft" sqref="A1:X1"/>
    </sheetView>
  </sheetViews>
  <sheetFormatPr defaultColWidth="10.25" defaultRowHeight="15.75"/>
  <cols>
    <col min="1" max="1" width="21.625" style="3" customWidth="1"/>
    <col min="2" max="2" width="5.875" style="3" customWidth="1"/>
    <col min="3" max="3" width="14.875" style="3" customWidth="1"/>
    <col min="4" max="4" width="14.875" style="3" hidden="1" customWidth="1"/>
    <col min="5" max="5" width="2.125" style="3" hidden="1" customWidth="1"/>
    <col min="6" max="6" width="16.875" style="3" hidden="1" customWidth="1"/>
    <col min="7" max="7" width="9.625" style="3" bestFit="1" customWidth="1"/>
    <col min="8" max="8" width="2.625" style="3" customWidth="1"/>
    <col min="9" max="9" width="14.375" style="3" bestFit="1" customWidth="1"/>
    <col min="10" max="10" width="9.625" style="3" bestFit="1" customWidth="1"/>
    <col min="11" max="11" width="2.125" style="3" bestFit="1" customWidth="1"/>
    <col min="12" max="12" width="14.375" style="3" bestFit="1" customWidth="1"/>
    <col min="13" max="13" width="1.625" style="3" customWidth="1"/>
    <col min="14" max="14" width="12" style="3" bestFit="1" customWidth="1"/>
    <col min="15" max="15" width="2.125" style="3" bestFit="1" customWidth="1"/>
    <col min="16" max="16" width="15.125" style="3" bestFit="1" customWidth="1"/>
    <col min="17" max="17" width="2.875" style="3" customWidth="1"/>
    <col min="18" max="18" width="12" style="3" customWidth="1"/>
    <col min="19" max="19" width="2.125" style="3" bestFit="1" customWidth="1"/>
    <col min="20" max="20" width="13.5" style="3" customWidth="1"/>
    <col min="21" max="21" width="2.875" style="3" customWidth="1"/>
    <col min="22" max="22" width="9.625" style="3" customWidth="1"/>
    <col min="23" max="23" width="2.125" style="3" bestFit="1" customWidth="1"/>
    <col min="24" max="24" width="14.125" style="3" bestFit="1" customWidth="1"/>
    <col min="25" max="25" width="13.625" style="3" customWidth="1"/>
    <col min="26" max="26" width="15.125" style="69" bestFit="1" customWidth="1"/>
    <col min="27" max="27" width="17" style="69" bestFit="1" customWidth="1"/>
    <col min="28" max="28" width="8.125" style="69" bestFit="1" customWidth="1"/>
    <col min="29" max="29" width="13" style="3" customWidth="1"/>
    <col min="30" max="30" width="17" style="3" customWidth="1"/>
    <col min="31" max="31" width="13" style="3" customWidth="1"/>
    <col min="32" max="32" width="14.125" style="3" bestFit="1" customWidth="1"/>
    <col min="33" max="33" width="14.75" style="3" customWidth="1"/>
    <col min="34" max="34" width="13.25" style="3" bestFit="1" customWidth="1"/>
    <col min="35" max="35" width="13" style="3" bestFit="1" customWidth="1"/>
    <col min="36" max="36" width="12.25" style="3" bestFit="1" customWidth="1"/>
    <col min="37" max="37" width="5.5" style="3" bestFit="1" customWidth="1"/>
    <col min="38" max="38" width="18" style="3" customWidth="1"/>
    <col min="39" max="39" width="10.25" style="3" customWidth="1"/>
    <col min="40" max="40" width="12.125" style="3" customWidth="1"/>
    <col min="41" max="16384" width="10.25" style="3"/>
  </cols>
  <sheetData>
    <row r="1" spans="1:47" ht="18">
      <c r="A1" s="1719" t="s">
        <v>185</v>
      </c>
      <c r="B1" s="1719"/>
      <c r="C1" s="1719"/>
      <c r="D1" s="1719"/>
      <c r="E1" s="1719"/>
      <c r="F1" s="1719"/>
      <c r="G1" s="1719"/>
      <c r="H1" s="1719"/>
      <c r="I1" s="1719"/>
      <c r="J1" s="1719"/>
      <c r="K1" s="1719"/>
      <c r="L1" s="1719"/>
      <c r="M1" s="1719"/>
      <c r="N1" s="1719"/>
      <c r="O1" s="1719"/>
      <c r="P1" s="1719"/>
      <c r="Q1" s="1719"/>
      <c r="R1" s="1719"/>
      <c r="S1" s="1719"/>
      <c r="T1" s="1719"/>
      <c r="U1" s="1719"/>
      <c r="V1" s="1719"/>
      <c r="W1" s="1719"/>
      <c r="X1" s="1719"/>
      <c r="Y1" s="20"/>
      <c r="Z1" s="74"/>
      <c r="AA1" s="74"/>
      <c r="AB1" s="74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</row>
    <row r="2" spans="1:47" ht="18">
      <c r="A2" s="1719" t="s">
        <v>346</v>
      </c>
      <c r="B2" s="1719"/>
      <c r="C2" s="1719"/>
      <c r="D2" s="1719"/>
      <c r="E2" s="1719"/>
      <c r="F2" s="1719"/>
      <c r="G2" s="1719"/>
      <c r="H2" s="1719"/>
      <c r="I2" s="1719"/>
      <c r="J2" s="1719"/>
      <c r="K2" s="1719"/>
      <c r="L2" s="1719"/>
      <c r="M2" s="1719"/>
      <c r="N2" s="1719"/>
      <c r="O2" s="1719"/>
      <c r="P2" s="1719"/>
      <c r="Q2" s="1719"/>
      <c r="R2" s="1719"/>
      <c r="S2" s="1719"/>
      <c r="T2" s="1719"/>
      <c r="U2" s="1719"/>
      <c r="V2" s="1719"/>
      <c r="W2" s="1719"/>
      <c r="X2" s="1719"/>
      <c r="Y2" s="20"/>
      <c r="Z2" s="74"/>
      <c r="AA2" s="74"/>
      <c r="AB2" s="74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</row>
    <row r="3" spans="1:47">
      <c r="A3" s="1720" t="s">
        <v>840</v>
      </c>
      <c r="B3" s="1720"/>
      <c r="C3" s="1720"/>
      <c r="D3" s="1720"/>
      <c r="E3" s="1720"/>
      <c r="F3" s="1720"/>
      <c r="G3" s="1720"/>
      <c r="H3" s="1720"/>
      <c r="I3" s="1720"/>
      <c r="J3" s="1720"/>
      <c r="K3" s="1720"/>
      <c r="L3" s="1720"/>
      <c r="M3" s="1720"/>
      <c r="N3" s="1720"/>
      <c r="O3" s="1720"/>
      <c r="P3" s="1720"/>
      <c r="Q3" s="1720"/>
      <c r="R3" s="1720"/>
      <c r="S3" s="1720"/>
      <c r="T3" s="1720"/>
      <c r="U3" s="1720"/>
      <c r="V3" s="1720"/>
      <c r="W3" s="1720"/>
      <c r="X3" s="1720"/>
      <c r="Y3" s="20"/>
      <c r="Z3" s="74"/>
      <c r="AA3" s="74"/>
      <c r="AB3" s="74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</row>
    <row r="4" spans="1:47">
      <c r="A4" s="1721" t="s">
        <v>347</v>
      </c>
      <c r="B4" s="1721"/>
      <c r="C4" s="1721"/>
      <c r="D4" s="1721"/>
      <c r="E4" s="1721"/>
      <c r="F4" s="1721"/>
      <c r="G4" s="1721"/>
      <c r="H4" s="1721"/>
      <c r="I4" s="1721"/>
      <c r="J4" s="1721"/>
      <c r="K4" s="1721"/>
      <c r="L4" s="1721"/>
      <c r="M4" s="1721"/>
      <c r="N4" s="1721"/>
      <c r="O4" s="1721"/>
      <c r="P4" s="1721"/>
      <c r="Q4" s="1721"/>
      <c r="R4" s="1721"/>
      <c r="S4" s="1721"/>
      <c r="T4" s="1721"/>
      <c r="U4" s="1721"/>
      <c r="V4" s="1721"/>
      <c r="W4" s="1721"/>
      <c r="X4" s="1721"/>
      <c r="Y4" s="20"/>
      <c r="Z4" s="74"/>
      <c r="AA4" s="74"/>
      <c r="AB4" s="74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</row>
    <row r="5" spans="1:47">
      <c r="A5" s="252"/>
      <c r="B5" s="250"/>
      <c r="C5" s="250"/>
      <c r="D5" s="251"/>
      <c r="E5" s="251"/>
      <c r="F5" s="250"/>
      <c r="G5" s="251"/>
      <c r="H5" s="251"/>
      <c r="I5" s="250"/>
      <c r="J5" s="251"/>
      <c r="K5" s="250"/>
      <c r="L5" s="250"/>
      <c r="M5" s="250"/>
      <c r="N5" s="251"/>
      <c r="O5" s="250"/>
      <c r="P5" s="250"/>
      <c r="Q5" s="250"/>
      <c r="R5" s="251"/>
      <c r="S5" s="250"/>
      <c r="T5" s="250"/>
      <c r="U5" s="250"/>
      <c r="V5" s="251"/>
      <c r="W5" s="250"/>
      <c r="X5" s="250"/>
      <c r="Y5" s="20"/>
      <c r="Z5" s="74"/>
      <c r="AA5" s="74"/>
      <c r="AB5" s="74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</row>
    <row r="6" spans="1:47" hidden="1">
      <c r="A6" s="252"/>
      <c r="B6" s="250"/>
      <c r="C6" s="250"/>
      <c r="D6" s="251"/>
      <c r="E6" s="251"/>
      <c r="F6" s="250"/>
      <c r="G6" s="251"/>
      <c r="H6" s="251"/>
      <c r="I6" s="250"/>
      <c r="J6" s="251"/>
      <c r="K6" s="250"/>
      <c r="L6" s="250"/>
      <c r="M6" s="250"/>
      <c r="N6" s="251"/>
      <c r="O6" s="250"/>
      <c r="P6" s="250"/>
      <c r="Q6" s="250"/>
      <c r="R6" s="251"/>
      <c r="S6" s="250"/>
      <c r="T6" s="250"/>
      <c r="U6" s="250"/>
      <c r="V6" s="251"/>
      <c r="W6" s="250"/>
      <c r="X6" s="250"/>
      <c r="Y6" s="20"/>
      <c r="Z6" s="74"/>
      <c r="AA6" s="74"/>
      <c r="AB6" s="74"/>
      <c r="AC6" s="74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</row>
    <row r="7" spans="1:47" hidden="1">
      <c r="A7" s="250"/>
      <c r="B7" s="250"/>
      <c r="C7" s="250"/>
      <c r="D7" s="251"/>
      <c r="E7" s="251"/>
      <c r="F7" s="250"/>
      <c r="G7" s="251"/>
      <c r="H7" s="251"/>
      <c r="I7" s="250"/>
      <c r="J7" s="251"/>
      <c r="K7" s="250"/>
      <c r="L7" s="250"/>
      <c r="M7" s="250"/>
      <c r="N7" s="251"/>
      <c r="O7" s="250"/>
      <c r="P7" s="250"/>
      <c r="Q7" s="250"/>
      <c r="R7" s="251"/>
      <c r="S7" s="250"/>
      <c r="T7" s="250"/>
      <c r="U7" s="250"/>
      <c r="V7" s="251"/>
      <c r="W7" s="250"/>
      <c r="X7" s="250"/>
      <c r="Y7" s="20"/>
      <c r="Z7" s="74"/>
      <c r="AA7" s="74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</row>
    <row r="8" spans="1:47">
      <c r="A8" s="253"/>
      <c r="B8" s="253"/>
      <c r="C8" s="254"/>
      <c r="D8" s="255"/>
      <c r="E8" s="255"/>
      <c r="F8" s="256" t="s">
        <v>588</v>
      </c>
      <c r="G8" s="255"/>
      <c r="H8" s="255"/>
      <c r="I8" s="762" t="s">
        <v>197</v>
      </c>
      <c r="J8" s="255"/>
      <c r="K8" s="256"/>
      <c r="L8" s="256"/>
      <c r="M8" s="256"/>
      <c r="N8" s="255"/>
      <c r="O8" s="256"/>
      <c r="P8" s="256"/>
      <c r="Q8" s="256"/>
      <c r="R8" s="255"/>
      <c r="S8" s="256"/>
      <c r="T8" s="256"/>
      <c r="U8" s="256"/>
      <c r="V8" s="255"/>
      <c r="W8" s="256"/>
      <c r="X8" s="256"/>
      <c r="Y8" s="20"/>
      <c r="Z8" s="74"/>
      <c r="AA8" s="74"/>
      <c r="AB8" s="74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</row>
    <row r="9" spans="1:47">
      <c r="A9" s="253"/>
      <c r="B9" s="253"/>
      <c r="C9" s="254" t="s">
        <v>348</v>
      </c>
      <c r="D9" s="256" t="s">
        <v>637</v>
      </c>
      <c r="E9" s="255"/>
      <c r="F9" s="258" t="s">
        <v>349</v>
      </c>
      <c r="G9" s="256" t="s">
        <v>197</v>
      </c>
      <c r="H9" s="256"/>
      <c r="I9" s="762" t="s">
        <v>349</v>
      </c>
      <c r="J9" s="256" t="s">
        <v>305</v>
      </c>
      <c r="K9" s="254"/>
      <c r="L9" s="256" t="s">
        <v>305</v>
      </c>
      <c r="M9" s="256"/>
      <c r="N9" s="256" t="s">
        <v>933</v>
      </c>
      <c r="O9" s="254"/>
      <c r="P9" s="256" t="s">
        <v>934</v>
      </c>
      <c r="Q9" s="256"/>
      <c r="R9" s="256" t="s">
        <v>818</v>
      </c>
      <c r="S9" s="254"/>
      <c r="T9" s="256" t="s">
        <v>818</v>
      </c>
      <c r="U9" s="256"/>
      <c r="V9" s="256" t="s">
        <v>935</v>
      </c>
      <c r="W9" s="254"/>
      <c r="X9" s="256" t="s">
        <v>935</v>
      </c>
      <c r="Y9" s="20"/>
      <c r="Z9" s="74"/>
      <c r="AA9" s="74"/>
      <c r="AB9" s="74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</row>
    <row r="10" spans="1:47">
      <c r="A10" s="253"/>
      <c r="B10" s="253"/>
      <c r="C10" s="259" t="s">
        <v>304</v>
      </c>
      <c r="D10" s="260" t="s">
        <v>13</v>
      </c>
      <c r="E10" s="261"/>
      <c r="F10" s="260" t="s">
        <v>304</v>
      </c>
      <c r="G10" s="260" t="s">
        <v>13</v>
      </c>
      <c r="H10" s="258"/>
      <c r="I10" s="256" t="s">
        <v>304</v>
      </c>
      <c r="J10" s="260" t="s">
        <v>13</v>
      </c>
      <c r="K10" s="260"/>
      <c r="L10" s="260" t="s">
        <v>349</v>
      </c>
      <c r="M10" s="260"/>
      <c r="N10" s="260" t="s">
        <v>13</v>
      </c>
      <c r="O10" s="260"/>
      <c r="P10" s="260" t="s">
        <v>349</v>
      </c>
      <c r="Q10" s="260"/>
      <c r="R10" s="260" t="s">
        <v>13</v>
      </c>
      <c r="S10" s="260"/>
      <c r="T10" s="260" t="s">
        <v>349</v>
      </c>
      <c r="U10" s="260"/>
      <c r="V10" s="260" t="s">
        <v>13</v>
      </c>
      <c r="W10" s="260"/>
      <c r="X10" s="260" t="s">
        <v>349</v>
      </c>
      <c r="Y10" s="20"/>
      <c r="Z10" s="74"/>
      <c r="AA10" s="74"/>
      <c r="AB10" s="74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</row>
    <row r="11" spans="1:47">
      <c r="A11" s="262" t="s">
        <v>351</v>
      </c>
      <c r="F11" s="263"/>
      <c r="I11" s="263"/>
      <c r="Y11" s="20"/>
      <c r="Z11" s="74"/>
      <c r="AA11" s="74"/>
      <c r="AB11" s="74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</row>
    <row r="12" spans="1:47">
      <c r="A12" s="3" t="s">
        <v>352</v>
      </c>
      <c r="F12" s="263"/>
      <c r="I12" s="263"/>
      <c r="Y12" s="20"/>
      <c r="Z12" s="74"/>
      <c r="AA12" s="74"/>
      <c r="AB12" s="74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</row>
    <row r="13" spans="1:47">
      <c r="F13" s="263"/>
      <c r="I13" s="263"/>
      <c r="Y13" s="20"/>
      <c r="Z13" s="74"/>
      <c r="AA13" s="74"/>
      <c r="AB13" s="74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</row>
    <row r="14" spans="1:47">
      <c r="A14" s="3" t="s">
        <v>353</v>
      </c>
      <c r="F14" s="263"/>
      <c r="I14" s="263"/>
      <c r="Y14" s="20"/>
      <c r="Z14" s="74"/>
      <c r="AA14" s="74"/>
      <c r="AB14" s="74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</row>
    <row r="15" spans="1:47">
      <c r="A15" s="3" t="s">
        <v>354</v>
      </c>
      <c r="C15" s="264">
        <f>C36+C54+C72</f>
        <v>27329.113579563436</v>
      </c>
      <c r="D15" s="265">
        <v>10.63</v>
      </c>
      <c r="F15" s="2">
        <f>F36+F54+F72</f>
        <v>290509</v>
      </c>
      <c r="G15" s="265">
        <v>10.63</v>
      </c>
      <c r="I15" s="2">
        <f>I36+I54+I72</f>
        <v>290508.47735075932</v>
      </c>
      <c r="J15" s="265">
        <f ca="1">'Rate Design Work'!J15</f>
        <v>11.16</v>
      </c>
      <c r="L15" s="2">
        <f ca="1">L36+L54+L72</f>
        <v>304992.90754792793</v>
      </c>
      <c r="M15" s="2"/>
      <c r="N15" s="265">
        <f ca="1">'Rate Design Work'!N15</f>
        <v>6.53</v>
      </c>
      <c r="P15" s="2">
        <f ca="1">'Rate Design Work'!P15</f>
        <v>178332.08672425474</v>
      </c>
      <c r="Q15" s="2"/>
      <c r="R15" s="265">
        <f ca="1">'Rate Design Work'!R15</f>
        <v>0.92</v>
      </c>
      <c r="T15" s="2">
        <f ca="1">'Rate Design Work'!T15</f>
        <v>25032.699246607583</v>
      </c>
      <c r="U15" s="2"/>
      <c r="V15" s="265">
        <f ca="1">'Rate Design Work'!V15</f>
        <v>3.7100000000000004</v>
      </c>
      <c r="X15" s="2">
        <f ca="1">'Rate Design Work'!X15</f>
        <v>101628.1215770657</v>
      </c>
      <c r="Z15" s="815" t="s">
        <v>31</v>
      </c>
      <c r="AA15" s="266"/>
      <c r="AB15" s="266"/>
      <c r="AC15" s="266"/>
      <c r="AD15" s="266"/>
      <c r="AE15" s="267"/>
      <c r="AF15" s="267"/>
      <c r="AG15" s="267"/>
      <c r="AH15" s="267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U15" s="84"/>
    </row>
    <row r="16" spans="1:47">
      <c r="A16" s="3" t="s">
        <v>355</v>
      </c>
      <c r="C16" s="264">
        <f>C37+C55+C73</f>
        <v>4371.0778217830093</v>
      </c>
      <c r="D16" s="265">
        <v>20.23</v>
      </c>
      <c r="F16" s="2">
        <f>F37+F55+F73</f>
        <v>88427</v>
      </c>
      <c r="G16" s="265">
        <v>20.23</v>
      </c>
      <c r="I16" s="2">
        <f>I37+I55+I73</f>
        <v>88426.904334670282</v>
      </c>
      <c r="J16" s="265">
        <f ca="1">'Rate Design Work'!J16</f>
        <v>21.24</v>
      </c>
      <c r="L16" s="2">
        <f ca="1">L37+L55+L73</f>
        <v>92841.692934671111</v>
      </c>
      <c r="M16" s="2"/>
      <c r="N16" s="265">
        <f ca="1">'Rate Design Work'!N16</f>
        <v>12.42</v>
      </c>
      <c r="P16" s="2">
        <f ca="1">'Rate Design Work'!P16</f>
        <v>54285.370007991449</v>
      </c>
      <c r="Q16" s="2"/>
      <c r="R16" s="265">
        <f ca="1">'Rate Design Work'!R16</f>
        <v>1.74</v>
      </c>
      <c r="T16" s="2">
        <f ca="1">'Rate Design Work'!T16</f>
        <v>7620.1056459462043</v>
      </c>
      <c r="U16" s="2"/>
      <c r="V16" s="265">
        <f ca="1">'Rate Design Work'!V16</f>
        <v>7.08</v>
      </c>
      <c r="X16" s="2">
        <f ca="1">'Rate Design Work'!X16</f>
        <v>30936.217280733479</v>
      </c>
      <c r="Z16" s="105"/>
      <c r="AA16" s="266"/>
      <c r="AB16" s="266"/>
      <c r="AC16" s="266"/>
      <c r="AD16" s="266"/>
      <c r="AE16" s="267"/>
      <c r="AF16" s="267"/>
      <c r="AG16" s="267"/>
      <c r="AH16" s="267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U16" s="84"/>
    </row>
    <row r="17" spans="1:47">
      <c r="A17" s="3" t="s">
        <v>356</v>
      </c>
      <c r="C17" s="264">
        <f>C38+C56+C74</f>
        <v>540.36618394469588</v>
      </c>
      <c r="D17" s="265">
        <v>41.86</v>
      </c>
      <c r="F17" s="2">
        <f>F38+F56+F74</f>
        <v>22619</v>
      </c>
      <c r="G17" s="265">
        <v>41.86</v>
      </c>
      <c r="I17" s="2">
        <f>I38+I56+I74</f>
        <v>22619.728459924969</v>
      </c>
      <c r="J17" s="265">
        <f ca="1">'Rate Design Work'!J17</f>
        <v>43.94</v>
      </c>
      <c r="L17" s="2">
        <f ca="1">L38+L56+L74</f>
        <v>23743.690122529937</v>
      </c>
      <c r="M17" s="2"/>
      <c r="N17" s="265">
        <f ca="1">'Rate Design Work'!N17</f>
        <v>25.69</v>
      </c>
      <c r="P17" s="2">
        <f ca="1">'Rate Design Work'!P17</f>
        <v>13883.148431638361</v>
      </c>
      <c r="Q17" s="2"/>
      <c r="R17" s="265">
        <f ca="1">'Rate Design Work'!R17</f>
        <v>3.61</v>
      </c>
      <c r="T17" s="2">
        <f ca="1">'Rate Design Work'!T17</f>
        <v>1948.7950018920928</v>
      </c>
      <c r="U17" s="2"/>
      <c r="V17" s="265">
        <f ca="1">'Rate Design Work'!V17</f>
        <v>14.64</v>
      </c>
      <c r="X17" s="2">
        <f ca="1">'Rate Design Work'!X17</f>
        <v>7911.7466889994894</v>
      </c>
      <c r="Z17" s="105"/>
      <c r="AA17" s="266"/>
      <c r="AB17" s="266"/>
      <c r="AC17" s="266"/>
      <c r="AD17" s="266"/>
      <c r="AE17" s="267"/>
      <c r="AF17" s="267"/>
      <c r="AG17" s="267"/>
      <c r="AH17" s="267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U17" s="84"/>
    </row>
    <row r="18" spans="1:47">
      <c r="A18" s="3" t="s">
        <v>357</v>
      </c>
      <c r="C18" s="264"/>
      <c r="D18" s="727"/>
      <c r="F18" s="2"/>
      <c r="G18" s="727"/>
      <c r="I18" s="2"/>
      <c r="J18" s="727"/>
      <c r="L18" s="2"/>
      <c r="M18" s="2"/>
      <c r="N18" s="727"/>
      <c r="P18" s="2"/>
      <c r="Q18" s="2"/>
      <c r="R18" s="727"/>
      <c r="T18" s="2"/>
      <c r="U18" s="2"/>
      <c r="V18" s="727"/>
      <c r="X18" s="2"/>
      <c r="Z18" s="3"/>
      <c r="AA18" s="266"/>
      <c r="AB18" s="266"/>
      <c r="AC18" s="266"/>
      <c r="AD18" s="266"/>
      <c r="AE18" s="268"/>
      <c r="AF18" s="268"/>
      <c r="AG18" s="268"/>
      <c r="AH18" s="268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U18" s="84"/>
    </row>
    <row r="19" spans="1:47">
      <c r="A19" s="3" t="s">
        <v>358</v>
      </c>
      <c r="C19" s="264">
        <f t="shared" ref="C19:C26" si="0">C40+C58+C76</f>
        <v>1979.2693236079485</v>
      </c>
      <c r="D19" s="265">
        <v>12.09</v>
      </c>
      <c r="F19" s="2">
        <f>F40+F58+F76</f>
        <v>23929</v>
      </c>
      <c r="G19" s="265">
        <v>12.09</v>
      </c>
      <c r="I19" s="2">
        <f>I40+I58+I76</f>
        <v>23929.366122420095</v>
      </c>
      <c r="J19" s="265">
        <f ca="1">'Rate Design Work'!J19</f>
        <v>12.69</v>
      </c>
      <c r="L19" s="2">
        <f ca="1">L40+L58+L76</f>
        <v>25116.927716584862</v>
      </c>
      <c r="M19" s="2"/>
      <c r="N19" s="265">
        <f ca="1">'Rate Design Work'!N19</f>
        <v>7.42</v>
      </c>
      <c r="P19" s="2">
        <f ca="1">'Rate Design Work'!P19</f>
        <v>14686.092761343885</v>
      </c>
      <c r="Q19" s="2"/>
      <c r="R19" s="265">
        <f ca="1">'Rate Design Work'!R19</f>
        <v>1.04</v>
      </c>
      <c r="T19" s="2">
        <f ca="1">'Rate Design Work'!T19</f>
        <v>2061.5053070676649</v>
      </c>
      <c r="U19" s="2"/>
      <c r="V19" s="265">
        <f ca="1">'Rate Design Work'!V19</f>
        <v>4.2300000000000004</v>
      </c>
      <c r="X19" s="2">
        <f ca="1">'Rate Design Work'!X19</f>
        <v>8369.3296481733196</v>
      </c>
      <c r="Z19" s="105"/>
      <c r="AA19" s="266"/>
      <c r="AB19" s="266"/>
      <c r="AC19" s="266"/>
      <c r="AD19" s="266"/>
      <c r="AE19" s="267"/>
      <c r="AF19" s="267"/>
      <c r="AG19" s="267"/>
      <c r="AH19" s="267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U19" s="84"/>
    </row>
    <row r="20" spans="1:47">
      <c r="A20" s="3" t="s">
        <v>359</v>
      </c>
      <c r="C20" s="264">
        <f t="shared" si="0"/>
        <v>1668.307786429365</v>
      </c>
      <c r="D20" s="265">
        <v>17.760000000000002</v>
      </c>
      <c r="F20" s="2">
        <f>F41+F59+F77</f>
        <v>29630</v>
      </c>
      <c r="G20" s="265">
        <v>17.760000000000002</v>
      </c>
      <c r="I20" s="2">
        <f>I41+I59+I77</f>
        <v>29629.146286985524</v>
      </c>
      <c r="J20" s="265">
        <f ca="1">'Rate Design Work'!J20</f>
        <v>18.64</v>
      </c>
      <c r="L20" s="2">
        <f ca="1">L41+L59+L77</f>
        <v>31097.257139043362</v>
      </c>
      <c r="M20" s="2"/>
      <c r="N20" s="265">
        <f ca="1">'Rate Design Work'!N20</f>
        <v>10.9</v>
      </c>
      <c r="P20" s="2">
        <f ca="1">'Rate Design Work'!P20</f>
        <v>18182.844976927423</v>
      </c>
      <c r="Q20" s="2"/>
      <c r="R20" s="265">
        <f ca="1">'Rate Design Work'!R20</f>
        <v>1.53</v>
      </c>
      <c r="T20" s="2">
        <f ca="1">'Rate Design Work'!T20</f>
        <v>2552.348812353167</v>
      </c>
      <c r="U20" s="2"/>
      <c r="V20" s="265">
        <f ca="1">'Rate Design Work'!V20</f>
        <v>6.21</v>
      </c>
      <c r="X20" s="2">
        <f ca="1">'Rate Design Work'!X20</f>
        <v>10362.063349762784</v>
      </c>
      <c r="Z20" s="105"/>
      <c r="AA20" s="266"/>
      <c r="AB20" s="266"/>
      <c r="AC20" s="266"/>
      <c r="AD20" s="266"/>
      <c r="AE20" s="267"/>
      <c r="AF20" s="267"/>
      <c r="AG20" s="267"/>
      <c r="AH20" s="267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U20" s="84"/>
    </row>
    <row r="21" spans="1:47">
      <c r="A21" s="3" t="s">
        <v>360</v>
      </c>
      <c r="C21" s="264">
        <f t="shared" si="0"/>
        <v>502.23760141089298</v>
      </c>
      <c r="D21" s="265">
        <v>28.64</v>
      </c>
      <c r="F21" s="2">
        <f>F42+F60+F78</f>
        <v>14384</v>
      </c>
      <c r="G21" s="265">
        <v>28.64</v>
      </c>
      <c r="I21" s="2">
        <f>I42+I60+I78</f>
        <v>14384.084904407975</v>
      </c>
      <c r="J21" s="265">
        <f ca="1">'Rate Design Work'!J21</f>
        <v>30.07</v>
      </c>
      <c r="L21" s="2">
        <f ca="1">L42+L60+L78</f>
        <v>15102.284674425553</v>
      </c>
      <c r="M21" s="2"/>
      <c r="N21" s="265">
        <f ca="1">'Rate Design Work'!N21</f>
        <v>17.579999999999998</v>
      </c>
      <c r="P21" s="2">
        <f ca="1">'Rate Design Work'!P21</f>
        <v>8830.4412123774255</v>
      </c>
      <c r="Q21" s="2"/>
      <c r="R21" s="265">
        <f ca="1">'Rate Design Work'!R21</f>
        <v>2.4700000000000002</v>
      </c>
      <c r="T21" s="2">
        <f ca="1">'Rate Design Work'!T21</f>
        <v>1239.540136296898</v>
      </c>
      <c r="U21" s="2"/>
      <c r="V21" s="265">
        <f ca="1">'Rate Design Work'!V21</f>
        <v>10.02</v>
      </c>
      <c r="X21" s="2">
        <f ca="1">'Rate Design Work'!X21</f>
        <v>5032.3033257512334</v>
      </c>
      <c r="Z21" s="105"/>
      <c r="AA21" s="266"/>
      <c r="AB21" s="266"/>
      <c r="AC21" s="266"/>
      <c r="AD21" s="266"/>
      <c r="AE21" s="267"/>
      <c r="AF21" s="267"/>
      <c r="AG21" s="267"/>
      <c r="AH21" s="267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U21" s="84"/>
    </row>
    <row r="22" spans="1:47">
      <c r="A22" s="3" t="s">
        <v>361</v>
      </c>
      <c r="C22" s="264">
        <f t="shared" si="0"/>
        <v>609.73372177151964</v>
      </c>
      <c r="D22" s="269">
        <v>1</v>
      </c>
      <c r="E22" s="20"/>
      <c r="F22" s="2">
        <f>F43+F61+F79</f>
        <v>610</v>
      </c>
      <c r="G22" s="269">
        <v>1</v>
      </c>
      <c r="H22" s="20"/>
      <c r="I22" s="2">
        <f>I43+I61+I79</f>
        <v>609.73372177151964</v>
      </c>
      <c r="J22" s="265">
        <f>'Rate Design Work'!J22</f>
        <v>1</v>
      </c>
      <c r="K22" s="20"/>
      <c r="L22" s="2">
        <f>L43+L61+L79</f>
        <v>609.73372177151964</v>
      </c>
      <c r="M22" s="2"/>
      <c r="N22" s="265">
        <f>'Rate Design Work'!N22</f>
        <v>1</v>
      </c>
      <c r="O22" s="20"/>
      <c r="P22" s="2">
        <f>'Rate Design Work'!P22</f>
        <v>609.73372177151964</v>
      </c>
      <c r="Q22" s="2"/>
      <c r="R22" s="265" t="str">
        <f>'Rate Design Work'!R22</f>
        <v xml:space="preserve"> </v>
      </c>
      <c r="S22" s="20"/>
      <c r="T22" s="2">
        <f>'Rate Design Work'!T22</f>
        <v>0</v>
      </c>
      <c r="U22" s="2"/>
      <c r="V22" s="265" t="str">
        <f>'Rate Design Work'!V22</f>
        <v xml:space="preserve"> </v>
      </c>
      <c r="W22" s="20"/>
      <c r="X22" s="2">
        <f>'Rate Design Work'!X22</f>
        <v>0</v>
      </c>
      <c r="Z22" s="105"/>
      <c r="AA22" s="4" t="s">
        <v>31</v>
      </c>
      <c r="AB22" s="3"/>
      <c r="AC22" s="266"/>
      <c r="AD22" s="266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U22" s="84"/>
    </row>
    <row r="23" spans="1:47" s="1184" customFormat="1">
      <c r="A23" s="1005" t="s">
        <v>1062</v>
      </c>
      <c r="C23" s="1202">
        <f t="shared" si="0"/>
        <v>3367563</v>
      </c>
      <c r="D23" s="269"/>
      <c r="E23" s="1185"/>
      <c r="F23" s="1203"/>
      <c r="G23" s="269"/>
      <c r="H23" s="1185"/>
      <c r="I23" s="1203"/>
      <c r="J23" s="1230">
        <f>'Rate Design Work'!J23</f>
        <v>0</v>
      </c>
      <c r="K23" s="1219" t="s">
        <v>374</v>
      </c>
      <c r="L23" s="1203">
        <f>L44+L62+L80</f>
        <v>0</v>
      </c>
      <c r="M23" s="1203"/>
      <c r="N23" s="1230" t="s">
        <v>31</v>
      </c>
      <c r="O23" s="1219" t="s">
        <v>31</v>
      </c>
      <c r="P23" s="2">
        <f>'Rate Design Work'!P23</f>
        <v>0</v>
      </c>
      <c r="Q23" s="1203"/>
      <c r="R23" s="1230" t="s">
        <v>31</v>
      </c>
      <c r="S23" s="1219" t="s">
        <v>31</v>
      </c>
      <c r="T23" s="2">
        <f>'Rate Design Work'!T23</f>
        <v>0</v>
      </c>
      <c r="U23" s="1203"/>
      <c r="V23" s="1230">
        <f>J23</f>
        <v>0</v>
      </c>
      <c r="W23" s="1219" t="s">
        <v>374</v>
      </c>
      <c r="X23" s="2">
        <f>'Rate Design Work'!X23</f>
        <v>0</v>
      </c>
      <c r="Y23" s="1204">
        <f>'NPC Spread'!J50</f>
        <v>77549.486397420507</v>
      </c>
      <c r="Z23" s="815" t="s">
        <v>913</v>
      </c>
      <c r="AC23" s="1205"/>
      <c r="AD23" s="1205"/>
      <c r="AI23" s="1185"/>
      <c r="AJ23" s="1185"/>
      <c r="AK23" s="1185"/>
      <c r="AL23" s="1185"/>
      <c r="AM23" s="1185"/>
      <c r="AN23" s="1185"/>
      <c r="AO23" s="1185"/>
      <c r="AP23" s="1185"/>
      <c r="AQ23" s="1185"/>
      <c r="AR23" s="1185"/>
      <c r="AS23" s="1185"/>
      <c r="AU23" s="1204"/>
    </row>
    <row r="24" spans="1:47">
      <c r="A24" s="3" t="s">
        <v>362</v>
      </c>
      <c r="C24" s="264">
        <f t="shared" si="0"/>
        <v>30383</v>
      </c>
      <c r="D24" s="265"/>
      <c r="F24" s="2"/>
      <c r="G24" s="265"/>
      <c r="I24" s="2"/>
      <c r="J24" s="265"/>
      <c r="L24" s="2"/>
      <c r="M24" s="2"/>
      <c r="N24" s="265"/>
      <c r="P24" s="2"/>
      <c r="Q24" s="2"/>
      <c r="R24" s="265"/>
      <c r="T24" s="2"/>
      <c r="U24" s="2"/>
      <c r="V24" s="265"/>
      <c r="X24" s="2"/>
      <c r="Z24" s="84"/>
      <c r="AA24" s="3"/>
      <c r="AB24" s="3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U24" s="84"/>
    </row>
    <row r="25" spans="1:47">
      <c r="A25" s="3" t="s">
        <v>35</v>
      </c>
      <c r="C25" s="264">
        <f t="shared" si="0"/>
        <v>3367563</v>
      </c>
      <c r="D25" s="269"/>
      <c r="E25" s="20"/>
      <c r="F25" s="2">
        <f>F46+F64+F82</f>
        <v>470108</v>
      </c>
      <c r="G25" s="269"/>
      <c r="H25" s="20"/>
      <c r="I25" s="2">
        <f>I46+I64+I82</f>
        <v>470107.44118093967</v>
      </c>
      <c r="J25" s="269"/>
      <c r="K25" s="20"/>
      <c r="L25" s="270">
        <f ca="1">L46+L64+L82</f>
        <v>493504.49385695439</v>
      </c>
      <c r="M25" s="270"/>
      <c r="N25" s="269"/>
      <c r="O25" s="20"/>
      <c r="P25" s="270">
        <f ca="1">SUM(P15:P23)</f>
        <v>288809.71783630486</v>
      </c>
      <c r="Q25" s="270"/>
      <c r="R25" s="269"/>
      <c r="S25" s="20"/>
      <c r="T25" s="270">
        <f ca="1">SUM(T15:T23)</f>
        <v>40454.994150163613</v>
      </c>
      <c r="U25" s="270"/>
      <c r="V25" s="269"/>
      <c r="W25" s="20"/>
      <c r="X25" s="270">
        <f ca="1">SUM(X15:X23)</f>
        <v>164239.78187048604</v>
      </c>
      <c r="Z25" s="271"/>
      <c r="AA25" s="3"/>
      <c r="AB25" s="3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U25" s="84"/>
    </row>
    <row r="26" spans="1:47">
      <c r="A26" s="3" t="s">
        <v>363</v>
      </c>
      <c r="C26" s="264">
        <f t="shared" ca="1" si="0"/>
        <v>-12327.931573957167</v>
      </c>
      <c r="D26" s="269"/>
      <c r="E26" s="20"/>
      <c r="F26" s="272">
        <f ca="1">F47+F65+F83</f>
        <v>-1473.026073087696</v>
      </c>
      <c r="G26" s="269"/>
      <c r="H26" s="20"/>
      <c r="I26" s="272">
        <f ca="1">I47+I65+I83</f>
        <v>-1473.026073087696</v>
      </c>
      <c r="J26" s="269"/>
      <c r="K26" s="20"/>
      <c r="L26" s="272">
        <f ca="1">I26</f>
        <v>-1473.026073087696</v>
      </c>
      <c r="M26" s="272"/>
      <c r="N26" s="269"/>
      <c r="O26" s="20"/>
      <c r="P26" s="310">
        <f ca="1">$L$26*Y31/($Y$31+$Z$31+$AA$31)</f>
        <v>-862.04735687227537</v>
      </c>
      <c r="Q26" s="51"/>
      <c r="R26" s="309"/>
      <c r="S26" s="309"/>
      <c r="T26" s="310">
        <f ca="1">$L$26*Z31/($Y$31+$Z$31+$AA$31)</f>
        <v>-120.75120269740471</v>
      </c>
      <c r="U26" s="51"/>
      <c r="V26" s="309"/>
      <c r="W26" s="309"/>
      <c r="X26" s="310">
        <f ca="1">$L$26*AA31/($Y$31+$Z$31+$AA$31)</f>
        <v>-490.22751351801605</v>
      </c>
      <c r="AA26" s="792" t="s">
        <v>31</v>
      </c>
      <c r="AB26" s="792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U26" s="84"/>
    </row>
    <row r="27" spans="1:47" ht="16.5" thickBot="1">
      <c r="A27" s="3" t="s">
        <v>9</v>
      </c>
      <c r="C27" s="273">
        <f ca="1">C25+C26</f>
        <v>3355235.0684260428</v>
      </c>
      <c r="D27" s="274"/>
      <c r="E27" s="274"/>
      <c r="F27" s="274">
        <f ca="1">F25+F26</f>
        <v>468634.97392691229</v>
      </c>
      <c r="G27" s="312"/>
      <c r="H27" s="274"/>
      <c r="I27" s="274">
        <f ca="1">I25+I26</f>
        <v>468634.41510785196</v>
      </c>
      <c r="J27" s="312"/>
      <c r="K27" s="274"/>
      <c r="L27" s="274">
        <f ca="1">L25+L26</f>
        <v>492031.46778386668</v>
      </c>
      <c r="M27" s="312"/>
      <c r="N27" s="312"/>
      <c r="O27" s="274"/>
      <c r="P27" s="274">
        <f ca="1">P25+P26</f>
        <v>287947.67047943256</v>
      </c>
      <c r="Q27" s="312"/>
      <c r="R27" s="312"/>
      <c r="S27" s="274"/>
      <c r="T27" s="274">
        <f ca="1">T25+T26</f>
        <v>40334.242947466206</v>
      </c>
      <c r="U27" s="312"/>
      <c r="V27" s="312"/>
      <c r="W27" s="274"/>
      <c r="X27" s="274">
        <f ca="1">X25+X26</f>
        <v>163749.55435696803</v>
      </c>
      <c r="Y27" s="784" t="s">
        <v>364</v>
      </c>
      <c r="Z27" s="809">
        <f ca="1">'Rate Spread targets'!Q35*1000</f>
        <v>491951.91220383975</v>
      </c>
      <c r="AA27" s="818">
        <f ca="1">'Rate Spread targets'!V35-0.116</f>
        <v>-6.624373724106139E-2</v>
      </c>
      <c r="AB27" s="777"/>
      <c r="AC27" s="14"/>
      <c r="AD27" s="14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U27" s="84"/>
    </row>
    <row r="28" spans="1:47" ht="16.5" thickTop="1">
      <c r="A28" s="1677" t="s">
        <v>1063</v>
      </c>
      <c r="C28" s="350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42"/>
      <c r="Z28" s="416"/>
      <c r="AA28" s="1676"/>
      <c r="AB28" s="777"/>
      <c r="AC28" s="14"/>
      <c r="AD28" s="14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U28" s="84"/>
    </row>
    <row r="29" spans="1:47" ht="18" customHeight="1">
      <c r="C29" s="275"/>
      <c r="D29" s="309" t="s">
        <v>31</v>
      </c>
      <c r="E29" s="275"/>
      <c r="F29" s="263"/>
      <c r="G29" s="309" t="s">
        <v>31</v>
      </c>
      <c r="H29" s="275"/>
      <c r="I29" s="263"/>
      <c r="J29" s="1" t="s">
        <v>31</v>
      </c>
      <c r="K29" s="275"/>
      <c r="L29" s="2" t="s">
        <v>31</v>
      </c>
      <c r="M29" s="2"/>
      <c r="N29" s="1" t="s">
        <v>31</v>
      </c>
      <c r="O29" s="275"/>
      <c r="P29" s="2" t="s">
        <v>31</v>
      </c>
      <c r="Q29" s="2"/>
      <c r="R29" s="1" t="s">
        <v>31</v>
      </c>
      <c r="S29" s="275"/>
      <c r="T29" s="2" t="s">
        <v>31</v>
      </c>
      <c r="U29" s="2"/>
      <c r="V29" s="1" t="s">
        <v>31</v>
      </c>
      <c r="W29" s="275"/>
      <c r="X29" s="2" t="s">
        <v>31</v>
      </c>
      <c r="Y29" s="112" t="s">
        <v>263</v>
      </c>
      <c r="Z29" s="811">
        <f ca="1">Z27-L27</f>
        <v>-79.555580026935786</v>
      </c>
      <c r="AA29" s="409">
        <v>0</v>
      </c>
      <c r="AB29" s="241"/>
      <c r="AC29" s="14"/>
      <c r="AD29" s="14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U29" s="84"/>
    </row>
    <row r="30" spans="1:47" hidden="1">
      <c r="C30" s="275"/>
      <c r="D30" s="309"/>
      <c r="E30" s="275"/>
      <c r="F30" s="263"/>
      <c r="G30" s="309"/>
      <c r="H30" s="275"/>
      <c r="I30" s="263"/>
      <c r="J30" s="1"/>
      <c r="K30" s="275"/>
      <c r="L30" s="2"/>
      <c r="M30" s="2"/>
      <c r="N30" s="1"/>
      <c r="O30" s="275"/>
      <c r="P30" s="2"/>
      <c r="Q30" s="2"/>
      <c r="R30" s="1"/>
      <c r="S30" s="275"/>
      <c r="T30" s="2"/>
      <c r="U30" s="2"/>
      <c r="V30" s="1"/>
      <c r="W30" s="275"/>
      <c r="X30" s="2">
        <f ca="1">X29-L27</f>
        <v>-492031.46778386668</v>
      </c>
      <c r="Y30" s="744">
        <f>'Exh No.__(JRS-17) p11'!J40+'Exh No.__(JRS-17) p11'!K40+'Exh No.__(JRS-17) p11'!L40</f>
        <v>0.58522206267896359</v>
      </c>
      <c r="Z30" s="744">
        <f>'Exh No.__(JRS-17) p11'!I40</f>
        <v>8.1974925565500054E-2</v>
      </c>
      <c r="AA30" s="744">
        <f>'Exh No.__(JRS-17) p11'!H40</f>
        <v>0.33280301175553639</v>
      </c>
      <c r="AB30" s="241"/>
      <c r="AC30" s="14"/>
      <c r="AD30" s="14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U30" s="84"/>
    </row>
    <row r="31" spans="1:47" hidden="1">
      <c r="C31" s="275"/>
      <c r="D31" s="309"/>
      <c r="E31" s="275"/>
      <c r="F31" s="263"/>
      <c r="G31" s="309"/>
      <c r="H31" s="275"/>
      <c r="I31" s="263"/>
      <c r="J31" s="1"/>
      <c r="K31" s="275"/>
      <c r="L31" s="2"/>
      <c r="M31" s="2"/>
      <c r="N31" s="1"/>
      <c r="O31" s="275"/>
      <c r="P31" s="2"/>
      <c r="Q31" s="2"/>
      <c r="R31" s="1"/>
      <c r="S31" s="275"/>
      <c r="T31" s="2"/>
      <c r="U31" s="2"/>
      <c r="V31" s="1"/>
      <c r="W31" s="275"/>
      <c r="X31" s="2"/>
      <c r="Y31" s="416">
        <f ca="1">L27*Y30</f>
        <v>287947.67047943251</v>
      </c>
      <c r="Z31" s="416">
        <f ca="1">L27*Z30</f>
        <v>40334.242947466206</v>
      </c>
      <c r="AA31" s="416">
        <f ca="1">L27*AA30</f>
        <v>163749.554356968</v>
      </c>
      <c r="AB31" s="241"/>
      <c r="AC31" s="14"/>
      <c r="AD31" s="14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U31" s="84"/>
    </row>
    <row r="32" spans="1:47" hidden="1">
      <c r="A32" s="262" t="s">
        <v>351</v>
      </c>
      <c r="F32" s="263"/>
      <c r="I32" s="263"/>
      <c r="Z32" s="276" t="s">
        <v>31</v>
      </c>
      <c r="AA32" s="3"/>
      <c r="AB32" s="3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U32" s="84"/>
    </row>
    <row r="33" spans="1:47" hidden="1">
      <c r="A33" s="3" t="s">
        <v>365</v>
      </c>
      <c r="F33" s="263"/>
      <c r="I33" s="263"/>
      <c r="Y33" s="278"/>
      <c r="Z33" s="278"/>
      <c r="AA33" s="278"/>
      <c r="AB33" s="278"/>
      <c r="AC33" s="278"/>
      <c r="AD33" s="278"/>
      <c r="AE33" s="278"/>
      <c r="AF33" s="278"/>
      <c r="AG33" s="278"/>
      <c r="AH33" s="278"/>
      <c r="AI33" s="278"/>
      <c r="AJ33" s="278"/>
      <c r="AK33" s="278"/>
      <c r="AL33" s="278"/>
      <c r="AM33" s="278"/>
      <c r="AN33" s="278"/>
      <c r="AO33" s="20"/>
      <c r="AP33" s="20"/>
      <c r="AQ33" s="20"/>
      <c r="AR33" s="20"/>
      <c r="AS33" s="20"/>
      <c r="AU33" s="84"/>
    </row>
    <row r="34" spans="1:47" hidden="1">
      <c r="F34" s="263"/>
      <c r="I34" s="263"/>
      <c r="Y34" s="278"/>
      <c r="Z34" s="278"/>
      <c r="AA34" s="278"/>
      <c r="AB34" s="278"/>
      <c r="AC34" s="278"/>
      <c r="AD34" s="278"/>
      <c r="AE34" s="278"/>
      <c r="AF34" s="278"/>
      <c r="AG34" s="278"/>
      <c r="AH34" s="278"/>
      <c r="AI34" s="278"/>
      <c r="AJ34" s="278"/>
      <c r="AK34" s="278"/>
      <c r="AL34" s="278"/>
      <c r="AM34" s="278"/>
      <c r="AN34" s="278"/>
      <c r="AO34" s="20"/>
      <c r="AP34" s="20"/>
      <c r="AQ34" s="20"/>
      <c r="AR34" s="20"/>
      <c r="AS34" s="20"/>
      <c r="AU34" s="84"/>
    </row>
    <row r="35" spans="1:47" hidden="1">
      <c r="A35" s="3" t="s">
        <v>353</v>
      </c>
      <c r="F35" s="263"/>
      <c r="I35" s="263"/>
      <c r="Y35" s="278"/>
      <c r="Z35" s="278"/>
      <c r="AA35" s="74"/>
      <c r="AB35" s="74"/>
      <c r="AC35" s="279"/>
      <c r="AD35" s="279"/>
      <c r="AE35" s="280"/>
      <c r="AF35" s="280"/>
      <c r="AG35" s="280"/>
      <c r="AH35" s="280"/>
      <c r="AI35" s="281"/>
      <c r="AJ35" s="282"/>
      <c r="AK35" s="278"/>
      <c r="AL35" s="278"/>
      <c r="AM35" s="278"/>
      <c r="AN35" s="278"/>
      <c r="AO35" s="20"/>
      <c r="AP35" s="20"/>
      <c r="AQ35" s="20"/>
      <c r="AR35" s="20"/>
      <c r="AS35" s="20"/>
      <c r="AU35" s="84"/>
    </row>
    <row r="36" spans="1:47" hidden="1">
      <c r="A36" s="3" t="s">
        <v>354</v>
      </c>
      <c r="C36" s="264">
        <f>[43]Sheet1!$E$18+[43]Sheet1!$E$23</f>
        <v>12659.61444244743</v>
      </c>
      <c r="D36" s="265">
        <v>10.63</v>
      </c>
      <c r="F36" s="2">
        <f>ROUND(D36*$C36,0)</f>
        <v>134572</v>
      </c>
      <c r="G36" s="265">
        <v>10.63</v>
      </c>
      <c r="I36" s="2">
        <f>G36*C36</f>
        <v>134571.70152321618</v>
      </c>
      <c r="J36" s="265">
        <f ca="1">$J$15</f>
        <v>11.16</v>
      </c>
      <c r="L36" s="2">
        <f ca="1">(J36*$C36)</f>
        <v>141281.29717771331</v>
      </c>
      <c r="M36" s="2"/>
      <c r="N36" s="265">
        <f ca="1">N15</f>
        <v>6.53</v>
      </c>
      <c r="P36" s="2">
        <f ca="1">N36*C36</f>
        <v>82667.282309181712</v>
      </c>
      <c r="Q36" s="2"/>
      <c r="R36" s="265">
        <f ca="1">R15</f>
        <v>0.92</v>
      </c>
      <c r="T36" s="2">
        <f ca="1">R36*C36</f>
        <v>11646.845287051636</v>
      </c>
      <c r="U36" s="2"/>
      <c r="V36" s="265">
        <f ca="1">V15</f>
        <v>3.7100000000000004</v>
      </c>
      <c r="X36" s="2">
        <f ca="1">V36*C36</f>
        <v>46967.169581479968</v>
      </c>
      <c r="Y36" s="20"/>
      <c r="Z36" s="281"/>
      <c r="AA36" s="74"/>
      <c r="AB36" s="74"/>
      <c r="AC36" s="278"/>
      <c r="AD36" s="278"/>
      <c r="AE36" s="283"/>
      <c r="AF36" s="283"/>
      <c r="AG36" s="283"/>
      <c r="AH36" s="283"/>
      <c r="AI36" s="284"/>
      <c r="AJ36" s="278"/>
      <c r="AK36" s="281"/>
      <c r="AL36" s="281"/>
      <c r="AM36" s="285"/>
      <c r="AN36" s="281"/>
      <c r="AO36" s="20"/>
      <c r="AP36" s="20"/>
      <c r="AQ36" s="20"/>
      <c r="AR36" s="20"/>
      <c r="AS36" s="20"/>
      <c r="AU36" s="84"/>
    </row>
    <row r="37" spans="1:47" hidden="1">
      <c r="A37" s="3" t="s">
        <v>355</v>
      </c>
      <c r="C37" s="264">
        <f>[43]Sheet1!$E$19+[43]Sheet1!$E$24</f>
        <v>268.30053137836148</v>
      </c>
      <c r="D37" s="265">
        <v>20.23</v>
      </c>
      <c r="F37" s="2">
        <f>ROUND(D37*$C37,0)</f>
        <v>5428</v>
      </c>
      <c r="G37" s="265">
        <v>20.23</v>
      </c>
      <c r="I37" s="2">
        <f t="shared" ref="I37:I38" si="1">G37*C37</f>
        <v>5427.7197497842526</v>
      </c>
      <c r="J37" s="265">
        <f ca="1">$J$16</f>
        <v>21.24</v>
      </c>
      <c r="L37" s="2">
        <f ca="1">(J37*$C37)</f>
        <v>5698.7032864763978</v>
      </c>
      <c r="M37" s="2"/>
      <c r="N37" s="265">
        <f ca="1">N16</f>
        <v>12.42</v>
      </c>
      <c r="P37" s="2">
        <f t="shared" ref="P37:P43" ca="1" si="2">N37*C37</f>
        <v>3332.2925997192497</v>
      </c>
      <c r="Q37" s="2"/>
      <c r="R37" s="265">
        <f ca="1">R16</f>
        <v>1.74</v>
      </c>
      <c r="T37" s="2">
        <f t="shared" ref="T37:T44" ca="1" si="3">R37*C37</f>
        <v>466.84292459834899</v>
      </c>
      <c r="U37" s="2"/>
      <c r="V37" s="265">
        <f ca="1">V16</f>
        <v>7.08</v>
      </c>
      <c r="X37" s="2">
        <f t="shared" ref="X37:X43" ca="1" si="4">V37*C37</f>
        <v>1899.5677621587993</v>
      </c>
      <c r="Y37" s="20"/>
      <c r="Z37" s="281"/>
      <c r="AA37" s="74"/>
      <c r="AB37" s="74"/>
      <c r="AC37" s="20"/>
      <c r="AD37" s="20"/>
      <c r="AE37" s="287"/>
      <c r="AF37" s="287"/>
      <c r="AG37" s="287"/>
      <c r="AH37" s="287"/>
      <c r="AI37" s="278"/>
      <c r="AJ37" s="278"/>
      <c r="AK37" s="281"/>
      <c r="AL37" s="281"/>
      <c r="AM37" s="285"/>
      <c r="AN37" s="281"/>
      <c r="AO37" s="20"/>
      <c r="AP37" s="20"/>
      <c r="AQ37" s="20"/>
      <c r="AR37" s="20"/>
      <c r="AS37" s="20"/>
      <c r="AU37" s="84"/>
    </row>
    <row r="38" spans="1:47" hidden="1">
      <c r="A38" s="3" t="s">
        <v>356</v>
      </c>
      <c r="C38" s="264">
        <v>0</v>
      </c>
      <c r="D38" s="265">
        <v>41.86</v>
      </c>
      <c r="F38" s="2">
        <f>ROUND(D38*$C38,0)</f>
        <v>0</v>
      </c>
      <c r="G38" s="265">
        <v>41.86</v>
      </c>
      <c r="I38" s="2">
        <f t="shared" si="1"/>
        <v>0</v>
      </c>
      <c r="J38" s="265">
        <f ca="1">$J$17</f>
        <v>43.94</v>
      </c>
      <c r="L38" s="2">
        <f ca="1">(J38*$C38)</f>
        <v>0</v>
      </c>
      <c r="M38" s="2"/>
      <c r="N38" s="265">
        <f ca="1">N17</f>
        <v>25.69</v>
      </c>
      <c r="P38" s="2">
        <f t="shared" ca="1" si="2"/>
        <v>0</v>
      </c>
      <c r="Q38" s="2"/>
      <c r="R38" s="265">
        <f ca="1">R17</f>
        <v>3.61</v>
      </c>
      <c r="T38" s="2">
        <f t="shared" ca="1" si="3"/>
        <v>0</v>
      </c>
      <c r="U38" s="2"/>
      <c r="V38" s="265">
        <f ca="1">V17</f>
        <v>14.64</v>
      </c>
      <c r="X38" s="2">
        <f t="shared" ca="1" si="4"/>
        <v>0</v>
      </c>
      <c r="Y38" s="20"/>
      <c r="Z38" s="281"/>
      <c r="AA38" s="74"/>
      <c r="AB38" s="74"/>
      <c r="AC38" s="20"/>
      <c r="AD38" s="20"/>
      <c r="AE38" s="287"/>
      <c r="AF38" s="287"/>
      <c r="AG38" s="287"/>
      <c r="AH38" s="287"/>
      <c r="AI38" s="278"/>
      <c r="AJ38" s="278"/>
      <c r="AK38" s="281"/>
      <c r="AL38" s="281"/>
      <c r="AM38" s="285"/>
      <c r="AN38" s="281"/>
      <c r="AO38" s="20"/>
      <c r="AP38" s="20"/>
      <c r="AQ38" s="20"/>
      <c r="AR38" s="20"/>
      <c r="AS38" s="20"/>
      <c r="AU38" s="84"/>
    </row>
    <row r="39" spans="1:47" hidden="1">
      <c r="A39" s="3" t="s">
        <v>357</v>
      </c>
      <c r="C39" s="264"/>
      <c r="D39" s="265"/>
      <c r="F39" s="2"/>
      <c r="G39" s="265"/>
      <c r="I39" s="2"/>
      <c r="J39" s="265"/>
      <c r="L39" s="2"/>
      <c r="M39" s="2"/>
      <c r="N39" s="265"/>
      <c r="P39" s="2"/>
      <c r="Q39" s="2"/>
      <c r="R39" s="265"/>
      <c r="T39" s="2"/>
      <c r="U39" s="2"/>
      <c r="V39" s="265"/>
      <c r="X39" s="2"/>
      <c r="Y39" s="20"/>
      <c r="Z39" s="281"/>
      <c r="AA39" s="74"/>
      <c r="AB39" s="74"/>
      <c r="AC39" s="20"/>
      <c r="AD39" s="20"/>
      <c r="AE39" s="287"/>
      <c r="AF39" s="287"/>
      <c r="AG39" s="287"/>
      <c r="AH39" s="287"/>
      <c r="AI39" s="278"/>
      <c r="AJ39" s="278"/>
      <c r="AK39" s="281"/>
      <c r="AL39" s="281"/>
      <c r="AM39" s="285"/>
      <c r="AN39" s="281"/>
      <c r="AO39" s="20"/>
      <c r="AP39" s="20"/>
      <c r="AQ39" s="20"/>
      <c r="AR39" s="20"/>
      <c r="AS39" s="20"/>
      <c r="AU39" s="84"/>
    </row>
    <row r="40" spans="1:47" hidden="1">
      <c r="A40" s="3" t="s">
        <v>358</v>
      </c>
      <c r="C40" s="264">
        <f>[43]Sheet1!$E$20</f>
        <v>807.60168615657005</v>
      </c>
      <c r="D40" s="265">
        <v>12.09</v>
      </c>
      <c r="F40" s="2">
        <f>ROUND(D40*$C40,0)</f>
        <v>9764</v>
      </c>
      <c r="G40" s="265">
        <v>12.09</v>
      </c>
      <c r="I40" s="2">
        <f t="shared" ref="I40:I43" si="5">G40*C40</f>
        <v>9763.9043856329317</v>
      </c>
      <c r="J40" s="265">
        <f ca="1">$J$19</f>
        <v>12.69</v>
      </c>
      <c r="L40" s="2">
        <f t="shared" ref="L40:L43" ca="1" si="6">(J40*$C40)</f>
        <v>10248.465397326874</v>
      </c>
      <c r="M40" s="2"/>
      <c r="N40" s="265">
        <f ca="1">N19</f>
        <v>7.42</v>
      </c>
      <c r="P40" s="2">
        <f t="shared" ca="1" si="2"/>
        <v>5992.4045112817494</v>
      </c>
      <c r="Q40" s="2"/>
      <c r="R40" s="265">
        <f ca="1">R19</f>
        <v>1.04</v>
      </c>
      <c r="T40" s="2">
        <f t="shared" ca="1" si="3"/>
        <v>839.90575360283287</v>
      </c>
      <c r="U40" s="2"/>
      <c r="V40" s="265">
        <f ca="1">V19</f>
        <v>4.2300000000000004</v>
      </c>
      <c r="X40" s="2">
        <f t="shared" ca="1" si="4"/>
        <v>3416.1551324422917</v>
      </c>
      <c r="Y40" s="20"/>
      <c r="Z40" s="281"/>
      <c r="AA40" s="74"/>
      <c r="AB40" s="74"/>
      <c r="AC40" s="20"/>
      <c r="AD40" s="20"/>
      <c r="AE40" s="287"/>
      <c r="AF40" s="287"/>
      <c r="AG40" s="287"/>
      <c r="AH40" s="287"/>
      <c r="AI40" s="278"/>
      <c r="AJ40" s="278"/>
      <c r="AK40" s="281"/>
      <c r="AL40" s="281"/>
      <c r="AM40" s="285"/>
      <c r="AN40" s="281"/>
      <c r="AO40" s="20"/>
      <c r="AP40" s="20"/>
      <c r="AQ40" s="20"/>
      <c r="AR40" s="20"/>
      <c r="AS40" s="20"/>
      <c r="AU40" s="84"/>
    </row>
    <row r="41" spans="1:47" hidden="1">
      <c r="A41" s="3" t="s">
        <v>359</v>
      </c>
      <c r="C41" s="264">
        <f>[43]Sheet1!$E$21</f>
        <v>205.66799715733501</v>
      </c>
      <c r="D41" s="265">
        <v>17.760000000000002</v>
      </c>
      <c r="F41" s="2">
        <f>ROUND(D41*$C41,0)</f>
        <v>3653</v>
      </c>
      <c r="G41" s="265">
        <v>17.760000000000002</v>
      </c>
      <c r="I41" s="2">
        <f t="shared" si="5"/>
        <v>3652.6636295142703</v>
      </c>
      <c r="J41" s="265">
        <f ca="1">$J$20</f>
        <v>18.64</v>
      </c>
      <c r="L41" s="2">
        <f t="shared" ca="1" si="6"/>
        <v>3833.6514670127249</v>
      </c>
      <c r="M41" s="2"/>
      <c r="N41" s="265">
        <f ca="1">N20</f>
        <v>10.9</v>
      </c>
      <c r="P41" s="2">
        <f t="shared" ca="1" si="2"/>
        <v>2241.7811690149515</v>
      </c>
      <c r="Q41" s="2"/>
      <c r="R41" s="265">
        <f ca="1">R20</f>
        <v>1.53</v>
      </c>
      <c r="T41" s="2">
        <f t="shared" ca="1" si="3"/>
        <v>314.67203565072259</v>
      </c>
      <c r="U41" s="2"/>
      <c r="V41" s="265">
        <f ca="1">V20</f>
        <v>6.21</v>
      </c>
      <c r="X41" s="2">
        <f t="shared" ca="1" si="4"/>
        <v>1277.1982623470503</v>
      </c>
      <c r="Y41" s="20"/>
      <c r="Z41" s="281"/>
      <c r="AA41" s="74"/>
      <c r="AB41" s="74"/>
      <c r="AC41" s="20"/>
      <c r="AD41" s="20"/>
      <c r="AE41" s="287"/>
      <c r="AF41" s="287"/>
      <c r="AG41" s="287"/>
      <c r="AH41" s="287"/>
      <c r="AI41" s="278"/>
      <c r="AJ41" s="278"/>
      <c r="AK41" s="281"/>
      <c r="AL41" s="281"/>
      <c r="AM41" s="285"/>
      <c r="AN41" s="281"/>
      <c r="AO41" s="20"/>
      <c r="AP41" s="20"/>
      <c r="AQ41" s="20"/>
      <c r="AR41" s="20"/>
      <c r="AS41" s="20"/>
      <c r="AU41" s="84"/>
    </row>
    <row r="42" spans="1:47" hidden="1">
      <c r="A42" s="3" t="s">
        <v>360</v>
      </c>
      <c r="C42" s="264">
        <f>[43]Sheet1!$E$22</f>
        <v>12.000000235856399</v>
      </c>
      <c r="D42" s="265">
        <v>28.64</v>
      </c>
      <c r="F42" s="2">
        <f>ROUND(D42*$C42,0)</f>
        <v>344</v>
      </c>
      <c r="G42" s="265">
        <v>28.64</v>
      </c>
      <c r="I42" s="2">
        <f t="shared" si="5"/>
        <v>343.68000675492726</v>
      </c>
      <c r="J42" s="265">
        <f ca="1">$J$21</f>
        <v>30.07</v>
      </c>
      <c r="L42" s="2">
        <f t="shared" ca="1" si="6"/>
        <v>360.84000709220192</v>
      </c>
      <c r="M42" s="2"/>
      <c r="N42" s="265">
        <f ca="1">N21</f>
        <v>17.579999999999998</v>
      </c>
      <c r="P42" s="2">
        <f t="shared" ca="1" si="2"/>
        <v>210.96000414635549</v>
      </c>
      <c r="Q42" s="2"/>
      <c r="R42" s="265">
        <f ca="1">R21</f>
        <v>2.4700000000000002</v>
      </c>
      <c r="T42" s="2">
        <f t="shared" ca="1" si="3"/>
        <v>29.64000058256531</v>
      </c>
      <c r="U42" s="2"/>
      <c r="V42" s="265">
        <f ca="1">V21</f>
        <v>10.02</v>
      </c>
      <c r="X42" s="2">
        <f t="shared" ca="1" si="4"/>
        <v>120.24000236328112</v>
      </c>
      <c r="Y42" s="20"/>
      <c r="Z42" s="281"/>
      <c r="AA42" s="74"/>
      <c r="AB42" s="74"/>
      <c r="AC42" s="20"/>
      <c r="AD42" s="20"/>
      <c r="AE42" s="287"/>
      <c r="AF42" s="287"/>
      <c r="AG42" s="287"/>
      <c r="AH42" s="287"/>
      <c r="AI42" s="278"/>
      <c r="AJ42" s="278"/>
      <c r="AK42" s="281"/>
      <c r="AL42" s="281"/>
      <c r="AM42" s="285"/>
      <c r="AN42" s="281"/>
      <c r="AO42" s="20"/>
      <c r="AP42" s="20"/>
      <c r="AQ42" s="20"/>
      <c r="AR42" s="20"/>
      <c r="AS42" s="20"/>
      <c r="AU42" s="84"/>
    </row>
    <row r="43" spans="1:47" hidden="1">
      <c r="A43" s="3" t="s">
        <v>361</v>
      </c>
      <c r="C43" s="264">
        <f>[43]Sheet1!$F$23+[43]Sheet1!$F$24</f>
        <v>126.9668622698855</v>
      </c>
      <c r="D43" s="265">
        <v>1</v>
      </c>
      <c r="E43" s="20"/>
      <c r="F43" s="272">
        <f>ROUND(D43*$C43,0)</f>
        <v>127</v>
      </c>
      <c r="G43" s="265">
        <v>1</v>
      </c>
      <c r="H43" s="20"/>
      <c r="I43" s="2">
        <f t="shared" si="5"/>
        <v>126.9668622698855</v>
      </c>
      <c r="J43" s="269">
        <f>$J$22</f>
        <v>1</v>
      </c>
      <c r="K43" s="20"/>
      <c r="L43" s="2">
        <f t="shared" si="6"/>
        <v>126.9668622698855</v>
      </c>
      <c r="M43" s="2"/>
      <c r="N43" s="265">
        <f>N22</f>
        <v>1</v>
      </c>
      <c r="O43" s="20"/>
      <c r="P43" s="2">
        <f t="shared" si="2"/>
        <v>126.9668622698855</v>
      </c>
      <c r="Q43" s="2"/>
      <c r="R43" s="265" t="str">
        <f>R22</f>
        <v xml:space="preserve"> </v>
      </c>
      <c r="S43" s="20"/>
      <c r="T43" s="2">
        <f t="shared" si="3"/>
        <v>0</v>
      </c>
      <c r="U43" s="2"/>
      <c r="V43" s="265" t="str">
        <f>V22</f>
        <v xml:space="preserve"> </v>
      </c>
      <c r="W43" s="20"/>
      <c r="X43" s="2">
        <f t="shared" si="4"/>
        <v>0</v>
      </c>
      <c r="Y43" s="278"/>
      <c r="Z43" s="281"/>
      <c r="AA43" s="74"/>
      <c r="AB43" s="74"/>
      <c r="AC43" s="20"/>
      <c r="AD43" s="20"/>
      <c r="AE43" s="278"/>
      <c r="AF43" s="278"/>
      <c r="AG43" s="278"/>
      <c r="AH43" s="278"/>
      <c r="AI43" s="278"/>
      <c r="AJ43" s="278"/>
      <c r="AK43" s="281"/>
      <c r="AL43" s="281"/>
      <c r="AM43" s="281"/>
      <c r="AN43" s="281"/>
      <c r="AO43" s="20"/>
      <c r="AP43" s="20"/>
      <c r="AQ43" s="20"/>
      <c r="AR43" s="20"/>
      <c r="AS43" s="20"/>
      <c r="AU43" s="84"/>
    </row>
    <row r="44" spans="1:47" s="1184" customFormat="1" hidden="1">
      <c r="A44" s="1005" t="s">
        <v>1028</v>
      </c>
      <c r="C44" s="1202">
        <f>C46</f>
        <v>1061743</v>
      </c>
      <c r="D44" s="269"/>
      <c r="E44" s="1185"/>
      <c r="F44" s="1203"/>
      <c r="G44" s="269"/>
      <c r="H44" s="1185"/>
      <c r="I44" s="1203"/>
      <c r="J44" s="1230">
        <f>J23</f>
        <v>0</v>
      </c>
      <c r="K44" s="1219" t="s">
        <v>374</v>
      </c>
      <c r="L44" s="1203">
        <f>J44*C44/100</f>
        <v>0</v>
      </c>
      <c r="M44" s="1203"/>
      <c r="N44" s="1230" t="str">
        <f>N23</f>
        <v xml:space="preserve"> </v>
      </c>
      <c r="O44" s="1219" t="s">
        <v>374</v>
      </c>
      <c r="P44" s="1203">
        <f>N44*C44</f>
        <v>0</v>
      </c>
      <c r="Q44" s="1203"/>
      <c r="R44" s="1230" t="str">
        <f>R23</f>
        <v xml:space="preserve"> </v>
      </c>
      <c r="S44" s="1219" t="s">
        <v>374</v>
      </c>
      <c r="T44" s="2">
        <f t="shared" si="3"/>
        <v>0</v>
      </c>
      <c r="U44" s="1203"/>
      <c r="V44" s="1230">
        <f>V23</f>
        <v>0</v>
      </c>
      <c r="W44" s="1219" t="s">
        <v>374</v>
      </c>
      <c r="X44" s="1203">
        <f>V44*C44/100</f>
        <v>0</v>
      </c>
      <c r="Z44" s="815"/>
      <c r="AC44" s="1205"/>
      <c r="AD44" s="1205"/>
      <c r="AI44" s="1185"/>
      <c r="AJ44" s="1185"/>
      <c r="AK44" s="1185"/>
      <c r="AL44" s="1185"/>
      <c r="AM44" s="1185"/>
      <c r="AN44" s="1185"/>
      <c r="AO44" s="1185"/>
      <c r="AP44" s="1185"/>
      <c r="AQ44" s="1185"/>
      <c r="AR44" s="1185"/>
      <c r="AS44" s="1185"/>
      <c r="AU44" s="1204"/>
    </row>
    <row r="45" spans="1:47" hidden="1">
      <c r="A45" s="3" t="s">
        <v>362</v>
      </c>
      <c r="C45" s="264">
        <f>[43]Sheet1!$K$28</f>
        <v>13695</v>
      </c>
      <c r="D45" s="265"/>
      <c r="F45" s="2"/>
      <c r="G45" s="265"/>
      <c r="I45" s="2"/>
      <c r="J45" s="265"/>
      <c r="L45" s="2"/>
      <c r="M45" s="2"/>
      <c r="N45" s="265"/>
      <c r="P45" s="2"/>
      <c r="Q45" s="2"/>
      <c r="R45" s="265"/>
      <c r="T45" s="2"/>
      <c r="U45" s="2"/>
      <c r="V45" s="265"/>
      <c r="X45" s="2"/>
      <c r="Y45" s="278"/>
      <c r="Z45" s="278"/>
      <c r="AA45" s="278"/>
      <c r="AB45" s="278"/>
      <c r="AC45" s="278"/>
      <c r="AD45" s="278"/>
      <c r="AE45" s="278"/>
      <c r="AF45" s="278"/>
      <c r="AG45" s="278"/>
      <c r="AH45" s="278"/>
      <c r="AI45" s="278"/>
      <c r="AJ45" s="278"/>
      <c r="AK45" s="288"/>
      <c r="AL45" s="278"/>
      <c r="AM45" s="278"/>
      <c r="AN45" s="278"/>
      <c r="AO45" s="20"/>
      <c r="AP45" s="20"/>
      <c r="AQ45" s="20"/>
      <c r="AR45" s="20"/>
      <c r="AS45" s="20"/>
      <c r="AU45" s="84"/>
    </row>
    <row r="46" spans="1:47" hidden="1">
      <c r="A46" s="3" t="s">
        <v>35</v>
      </c>
      <c r="C46" s="264">
        <f>[43]Sheet1!$D$28</f>
        <v>1061743</v>
      </c>
      <c r="D46" s="269"/>
      <c r="E46" s="20"/>
      <c r="F46" s="272">
        <f>SUM(F36:F43)</f>
        <v>153888</v>
      </c>
      <c r="G46" s="269"/>
      <c r="H46" s="20"/>
      <c r="I46" s="272">
        <f>SUM(I36:I43)</f>
        <v>153886.63615717244</v>
      </c>
      <c r="J46" s="269"/>
      <c r="K46" s="20"/>
      <c r="L46" s="272">
        <f ca="1">SUM(L36:L44)</f>
        <v>161549.92419789141</v>
      </c>
      <c r="M46" s="272"/>
      <c r="N46" s="269"/>
      <c r="O46" s="20"/>
      <c r="P46" s="272">
        <f ca="1">SUM(P36:P44)</f>
        <v>94571.687455613908</v>
      </c>
      <c r="Q46" s="272"/>
      <c r="R46" s="269"/>
      <c r="S46" s="20"/>
      <c r="T46" s="272">
        <f ca="1">SUM(T36:T44)</f>
        <v>13297.906001486106</v>
      </c>
      <c r="U46" s="272"/>
      <c r="V46" s="269"/>
      <c r="W46" s="20"/>
      <c r="X46" s="272">
        <f ca="1">SUM(X36:X44)</f>
        <v>53680.330740791382</v>
      </c>
      <c r="Y46" s="278"/>
      <c r="Z46" s="287"/>
      <c r="AA46" s="278"/>
      <c r="AB46" s="278"/>
      <c r="AC46" s="20"/>
      <c r="AD46" s="20"/>
      <c r="AE46" s="20"/>
      <c r="AF46" s="20"/>
      <c r="AG46" s="20"/>
      <c r="AH46" s="20"/>
      <c r="AI46" s="20"/>
      <c r="AJ46" s="278"/>
      <c r="AK46" s="278"/>
      <c r="AL46" s="278"/>
      <c r="AM46" s="278"/>
      <c r="AN46" s="278"/>
      <c r="AO46" s="20"/>
      <c r="AP46" s="20"/>
      <c r="AQ46" s="20"/>
      <c r="AR46" s="20"/>
      <c r="AS46" s="20"/>
      <c r="AU46" s="84"/>
    </row>
    <row r="47" spans="1:47" hidden="1">
      <c r="A47" s="3" t="s">
        <v>363</v>
      </c>
      <c r="C47" s="264">
        <f>'Table 2'!H21</f>
        <v>-3835.498481682414</v>
      </c>
      <c r="D47" s="269"/>
      <c r="E47" s="20"/>
      <c r="F47" s="272">
        <f>I47</f>
        <v>-314.74006547706313</v>
      </c>
      <c r="G47" s="269"/>
      <c r="H47" s="20"/>
      <c r="I47" s="272">
        <f>'Table 3'!E21</f>
        <v>-314.74006547706313</v>
      </c>
      <c r="J47" s="269"/>
      <c r="K47" s="20"/>
      <c r="L47" s="272">
        <f>I47</f>
        <v>-314.74006547706313</v>
      </c>
      <c r="M47" s="272"/>
      <c r="N47" s="269"/>
      <c r="O47" s="20"/>
      <c r="P47" s="272">
        <f ca="1">P26/L26*L47</f>
        <v>-184.19283032619899</v>
      </c>
      <c r="Q47" s="272"/>
      <c r="R47" s="269"/>
      <c r="S47" s="20"/>
      <c r="T47" s="272">
        <f ca="1">T26/L26*L47</f>
        <v>-25.80079343996286</v>
      </c>
      <c r="U47" s="272"/>
      <c r="V47" s="269"/>
      <c r="W47" s="20"/>
      <c r="X47" s="272">
        <f ca="1">X26/L26*L47</f>
        <v>-104.74644171090132</v>
      </c>
      <c r="Y47" s="444"/>
      <c r="Z47" s="287"/>
      <c r="AA47" s="278"/>
      <c r="AB47" s="278"/>
      <c r="AC47" s="278"/>
      <c r="AD47" s="278"/>
      <c r="AE47" s="283"/>
      <c r="AF47" s="283"/>
      <c r="AG47" s="283"/>
      <c r="AH47" s="283"/>
      <c r="AI47" s="281"/>
      <c r="AJ47" s="278"/>
      <c r="AK47" s="278"/>
      <c r="AL47" s="278"/>
      <c r="AM47" s="278"/>
      <c r="AN47" s="278"/>
      <c r="AO47" s="20"/>
      <c r="AP47" s="20"/>
      <c r="AQ47" s="20"/>
      <c r="AR47" s="20"/>
      <c r="AS47" s="20"/>
      <c r="AU47" s="84"/>
    </row>
    <row r="48" spans="1:47" ht="16.5" hidden="1" thickBot="1">
      <c r="A48" s="3" t="s">
        <v>9</v>
      </c>
      <c r="C48" s="273">
        <f>C46+C47</f>
        <v>1057907.5015183175</v>
      </c>
      <c r="D48" s="274"/>
      <c r="E48" s="274"/>
      <c r="F48" s="274">
        <f>F46+F47</f>
        <v>153573.25993452294</v>
      </c>
      <c r="G48" s="312"/>
      <c r="H48" s="274"/>
      <c r="I48" s="274">
        <f>I46+I47</f>
        <v>153571.89609169538</v>
      </c>
      <c r="J48" s="312"/>
      <c r="K48" s="274"/>
      <c r="L48" s="274">
        <f ca="1">L46+L47</f>
        <v>161235.18413241435</v>
      </c>
      <c r="M48" s="312"/>
      <c r="N48" s="312"/>
      <c r="O48" s="274"/>
      <c r="P48" s="274">
        <f ca="1">P46+P47</f>
        <v>94387.494625287713</v>
      </c>
      <c r="Q48" s="312"/>
      <c r="R48" s="312"/>
      <c r="S48" s="274"/>
      <c r="T48" s="274">
        <f ca="1">T46+T47</f>
        <v>13272.105208046143</v>
      </c>
      <c r="U48" s="312"/>
      <c r="V48" s="312"/>
      <c r="W48" s="274"/>
      <c r="X48" s="274">
        <f ca="1">X46+X47</f>
        <v>53575.584299080481</v>
      </c>
      <c r="Y48" s="411"/>
      <c r="Z48" s="470"/>
      <c r="AA48" s="278"/>
      <c r="AB48" s="278"/>
      <c r="AC48" s="278"/>
      <c r="AD48" s="278"/>
      <c r="AE48" s="278"/>
      <c r="AF48" s="278"/>
      <c r="AG48" s="278"/>
      <c r="AH48" s="278"/>
      <c r="AI48" s="278"/>
      <c r="AJ48" s="278"/>
      <c r="AK48" s="278"/>
      <c r="AL48" s="278"/>
      <c r="AM48" s="278"/>
      <c r="AN48" s="278"/>
      <c r="AO48" s="20"/>
      <c r="AP48" s="20"/>
      <c r="AQ48" s="20"/>
      <c r="AR48" s="20"/>
      <c r="AS48" s="20"/>
      <c r="AU48" s="84"/>
    </row>
    <row r="49" spans="1:47" ht="16.5" hidden="1" thickTop="1">
      <c r="C49" s="275"/>
      <c r="D49" s="309" t="s">
        <v>31</v>
      </c>
      <c r="E49" s="275"/>
      <c r="F49" s="263"/>
      <c r="G49" s="309" t="s">
        <v>31</v>
      </c>
      <c r="H49" s="275"/>
      <c r="I49" s="263"/>
      <c r="J49" s="1" t="s">
        <v>31</v>
      </c>
      <c r="K49" s="275"/>
      <c r="L49" s="2" t="s">
        <v>31</v>
      </c>
      <c r="M49" s="2"/>
      <c r="N49" s="1" t="s">
        <v>31</v>
      </c>
      <c r="O49" s="275"/>
      <c r="P49" s="2" t="s">
        <v>31</v>
      </c>
      <c r="Q49" s="2"/>
      <c r="R49" s="1" t="s">
        <v>31</v>
      </c>
      <c r="S49" s="275"/>
      <c r="T49" s="2" t="s">
        <v>31</v>
      </c>
      <c r="U49" s="2"/>
      <c r="V49" s="1" t="s">
        <v>31</v>
      </c>
      <c r="W49" s="275"/>
      <c r="X49" s="2" t="s">
        <v>31</v>
      </c>
      <c r="Y49" s="20"/>
      <c r="Z49" s="74"/>
      <c r="AA49" s="74"/>
      <c r="AB49" s="74"/>
      <c r="AC49" s="20"/>
      <c r="AD49" s="20"/>
      <c r="AE49" s="20"/>
      <c r="AF49" s="20"/>
      <c r="AG49" s="20"/>
      <c r="AH49" s="20"/>
      <c r="AI49" s="20"/>
      <c r="AJ49" s="278"/>
      <c r="AK49" s="278"/>
      <c r="AL49" s="278"/>
      <c r="AM49" s="278"/>
      <c r="AN49" s="278"/>
      <c r="AO49" s="20"/>
      <c r="AP49" s="20"/>
      <c r="AQ49" s="20"/>
      <c r="AR49" s="20"/>
      <c r="AS49" s="20"/>
      <c r="AU49" s="84"/>
    </row>
    <row r="50" spans="1:47" hidden="1">
      <c r="A50" s="262" t="s">
        <v>351</v>
      </c>
      <c r="F50" s="263"/>
      <c r="I50" s="263"/>
      <c r="Y50" s="20"/>
      <c r="Z50" s="74"/>
      <c r="AA50" s="74"/>
      <c r="AB50" s="74"/>
      <c r="AC50" s="20"/>
      <c r="AD50" s="20"/>
      <c r="AE50" s="20"/>
      <c r="AF50" s="20"/>
      <c r="AG50" s="20"/>
      <c r="AH50" s="20"/>
      <c r="AI50" s="20"/>
      <c r="AJ50" s="278"/>
      <c r="AK50" s="278"/>
      <c r="AL50" s="278"/>
      <c r="AM50" s="278"/>
      <c r="AN50" s="278"/>
      <c r="AO50" s="20"/>
      <c r="AP50" s="20"/>
      <c r="AQ50" s="20"/>
      <c r="AR50" s="20"/>
      <c r="AS50" s="20"/>
      <c r="AU50" s="84"/>
    </row>
    <row r="51" spans="1:47" hidden="1">
      <c r="A51" s="3" t="s">
        <v>366</v>
      </c>
      <c r="F51" s="263"/>
      <c r="I51" s="263"/>
      <c r="Y51" s="278"/>
      <c r="Z51" s="278"/>
      <c r="AA51" s="278"/>
      <c r="AB51" s="278"/>
      <c r="AC51" s="278"/>
      <c r="AD51" s="278"/>
      <c r="AE51" s="278"/>
      <c r="AF51" s="278"/>
      <c r="AG51" s="278"/>
      <c r="AH51" s="278"/>
      <c r="AI51" s="278"/>
      <c r="AJ51" s="278"/>
      <c r="AK51" s="278"/>
      <c r="AL51" s="278"/>
      <c r="AM51" s="278"/>
      <c r="AN51" s="278"/>
      <c r="AO51" s="20"/>
      <c r="AP51" s="20"/>
      <c r="AQ51" s="20"/>
      <c r="AR51" s="20"/>
      <c r="AS51" s="20"/>
      <c r="AU51" s="84"/>
    </row>
    <row r="52" spans="1:47" hidden="1">
      <c r="F52" s="263"/>
      <c r="I52" s="263"/>
      <c r="Y52" s="278"/>
      <c r="Z52" s="278"/>
      <c r="AA52" s="278"/>
      <c r="AB52" s="278"/>
      <c r="AC52" s="278"/>
      <c r="AD52" s="278"/>
      <c r="AE52" s="278"/>
      <c r="AF52" s="278"/>
      <c r="AG52" s="278"/>
      <c r="AH52" s="278"/>
      <c r="AI52" s="278"/>
      <c r="AJ52" s="278"/>
      <c r="AK52" s="278"/>
      <c r="AL52" s="278"/>
      <c r="AM52" s="278"/>
      <c r="AN52" s="278"/>
      <c r="AO52" s="20"/>
      <c r="AP52" s="20"/>
      <c r="AQ52" s="20"/>
      <c r="AR52" s="20"/>
      <c r="AS52" s="20"/>
      <c r="AU52" s="84"/>
    </row>
    <row r="53" spans="1:47" hidden="1">
      <c r="A53" s="3" t="s">
        <v>353</v>
      </c>
      <c r="F53" s="263"/>
      <c r="I53" s="263"/>
      <c r="Y53" s="278"/>
      <c r="Z53" s="278"/>
      <c r="AA53" s="74"/>
      <c r="AB53" s="74"/>
      <c r="AC53" s="279"/>
      <c r="AD53" s="279"/>
      <c r="AE53" s="280"/>
      <c r="AF53" s="280"/>
      <c r="AG53" s="280"/>
      <c r="AH53" s="280"/>
      <c r="AI53" s="281"/>
      <c r="AJ53" s="282"/>
      <c r="AK53" s="278"/>
      <c r="AL53" s="278"/>
      <c r="AM53" s="278"/>
      <c r="AN53" s="278"/>
      <c r="AO53" s="20"/>
      <c r="AP53" s="20"/>
      <c r="AQ53" s="20"/>
      <c r="AR53" s="20"/>
      <c r="AS53" s="20"/>
      <c r="AU53" s="84"/>
    </row>
    <row r="54" spans="1:47" hidden="1">
      <c r="A54" s="3" t="s">
        <v>354</v>
      </c>
      <c r="C54" s="264">
        <f>[43]Sheet1!$E$2+[43]Sheet1!$E$8</f>
        <v>14057.366751279909</v>
      </c>
      <c r="D54" s="265">
        <v>10.63</v>
      </c>
      <c r="F54" s="2">
        <f>ROUND(D54*$C54,0)</f>
        <v>149430</v>
      </c>
      <c r="G54" s="265">
        <v>10.63</v>
      </c>
      <c r="I54" s="2">
        <f t="shared" ref="I54:I56" si="7">G54*C54</f>
        <v>149429.80856610544</v>
      </c>
      <c r="J54" s="265">
        <f ca="1">$J$15</f>
        <v>11.16</v>
      </c>
      <c r="L54" s="2">
        <f t="shared" ref="L54:L56" ca="1" si="8">(J54*$C54)</f>
        <v>156880.21294428379</v>
      </c>
      <c r="M54" s="2"/>
      <c r="N54" s="265">
        <f ca="1">N15</f>
        <v>6.53</v>
      </c>
      <c r="P54" s="2">
        <f t="shared" ref="P54:P56" ca="1" si="9">(N54*$C54)</f>
        <v>91794.604885857814</v>
      </c>
      <c r="Q54" s="2"/>
      <c r="R54" s="265">
        <f ca="1">R15</f>
        <v>0.92</v>
      </c>
      <c r="T54" s="2">
        <f t="shared" ref="T54:T56" ca="1" si="10">(R54*$C54)</f>
        <v>12932.777411177518</v>
      </c>
      <c r="U54" s="2"/>
      <c r="V54" s="265">
        <f ca="1">V15</f>
        <v>3.7100000000000004</v>
      </c>
      <c r="X54" s="2">
        <f t="shared" ref="X54:X56" ca="1" si="11">(V54*$C54)</f>
        <v>52152.830647248469</v>
      </c>
      <c r="Y54" s="20"/>
      <c r="Z54" s="281"/>
      <c r="AA54" s="74"/>
      <c r="AB54" s="74"/>
      <c r="AC54" s="278"/>
      <c r="AD54" s="278"/>
      <c r="AE54" s="283"/>
      <c r="AF54" s="283"/>
      <c r="AG54" s="283"/>
      <c r="AH54" s="283"/>
      <c r="AI54" s="284"/>
      <c r="AJ54" s="278"/>
      <c r="AK54" s="281"/>
      <c r="AL54" s="281"/>
      <c r="AM54" s="285"/>
      <c r="AN54" s="281"/>
      <c r="AO54" s="20"/>
      <c r="AP54" s="20"/>
      <c r="AQ54" s="20"/>
      <c r="AR54" s="20"/>
      <c r="AS54" s="20"/>
      <c r="AU54" s="84"/>
    </row>
    <row r="55" spans="1:47" hidden="1">
      <c r="A55" s="3" t="s">
        <v>355</v>
      </c>
      <c r="C55" s="264">
        <f>[43]Sheet1!$E$3+[43]Sheet1!$E$9</f>
        <v>3695.008160269952</v>
      </c>
      <c r="D55" s="265">
        <v>20.23</v>
      </c>
      <c r="F55" s="2">
        <f>ROUND(D55*$C55,0)</f>
        <v>74750</v>
      </c>
      <c r="G55" s="265">
        <v>20.23</v>
      </c>
      <c r="I55" s="2">
        <f t="shared" si="7"/>
        <v>74750.015082261132</v>
      </c>
      <c r="J55" s="265">
        <f ca="1">$J$16</f>
        <v>21.24</v>
      </c>
      <c r="L55" s="2">
        <f t="shared" ca="1" si="8"/>
        <v>78481.973324133767</v>
      </c>
      <c r="M55" s="2"/>
      <c r="N55" s="265">
        <f ca="1">N16</f>
        <v>12.42</v>
      </c>
      <c r="P55" s="2">
        <f t="shared" ca="1" si="9"/>
        <v>45892.001350552804</v>
      </c>
      <c r="Q55" s="2"/>
      <c r="R55" s="265">
        <f ca="1">R16</f>
        <v>1.74</v>
      </c>
      <c r="T55" s="2">
        <f t="shared" ca="1" si="10"/>
        <v>6429.3141988697162</v>
      </c>
      <c r="U55" s="2"/>
      <c r="V55" s="265">
        <f ca="1">V16</f>
        <v>7.08</v>
      </c>
      <c r="X55" s="2">
        <f t="shared" ca="1" si="11"/>
        <v>26160.657774711261</v>
      </c>
      <c r="Y55" s="20"/>
      <c r="Z55" s="281"/>
      <c r="AA55" s="74"/>
      <c r="AB55" s="74"/>
      <c r="AC55" s="20"/>
      <c r="AD55" s="20"/>
      <c r="AE55" s="287"/>
      <c r="AF55" s="287"/>
      <c r="AG55" s="287"/>
      <c r="AH55" s="287"/>
      <c r="AI55" s="278"/>
      <c r="AJ55" s="278"/>
      <c r="AK55" s="281"/>
      <c r="AL55" s="281"/>
      <c r="AM55" s="285"/>
      <c r="AN55" s="281"/>
      <c r="AO55" s="20"/>
      <c r="AP55" s="20"/>
      <c r="AQ55" s="20"/>
      <c r="AR55" s="20"/>
      <c r="AS55" s="20"/>
      <c r="AU55" s="84"/>
    </row>
    <row r="56" spans="1:47" hidden="1">
      <c r="A56" s="3" t="s">
        <v>356</v>
      </c>
      <c r="C56" s="264">
        <f>[43]Sheet1!$E$4+[43]Sheet1!$C$30</f>
        <v>492.36661446236099</v>
      </c>
      <c r="D56" s="265">
        <v>41.86</v>
      </c>
      <c r="F56" s="2">
        <f>ROUND(D56*$C56,0)</f>
        <v>20610</v>
      </c>
      <c r="G56" s="265">
        <v>41.86</v>
      </c>
      <c r="I56" s="2">
        <f t="shared" si="7"/>
        <v>20610.466481394429</v>
      </c>
      <c r="J56" s="265">
        <f ca="1">$J$17</f>
        <v>43.94</v>
      </c>
      <c r="L56" s="2">
        <f t="shared" ca="1" si="8"/>
        <v>21634.589039476141</v>
      </c>
      <c r="M56" s="2"/>
      <c r="N56" s="265">
        <f ca="1">N17</f>
        <v>25.69</v>
      </c>
      <c r="P56" s="2">
        <f t="shared" ca="1" si="9"/>
        <v>12648.898325538054</v>
      </c>
      <c r="Q56" s="2"/>
      <c r="R56" s="265">
        <f ca="1">R17</f>
        <v>3.61</v>
      </c>
      <c r="T56" s="2">
        <f t="shared" ca="1" si="10"/>
        <v>1777.443478209123</v>
      </c>
      <c r="U56" s="2"/>
      <c r="V56" s="265">
        <f ca="1">V17</f>
        <v>14.64</v>
      </c>
      <c r="X56" s="2">
        <f t="shared" ca="1" si="11"/>
        <v>7208.2472357289653</v>
      </c>
      <c r="Y56" s="20"/>
      <c r="Z56" s="281"/>
      <c r="AA56" s="74"/>
      <c r="AB56" s="74"/>
      <c r="AC56" s="20"/>
      <c r="AD56" s="20"/>
      <c r="AE56" s="287"/>
      <c r="AF56" s="287"/>
      <c r="AG56" s="287"/>
      <c r="AH56" s="287"/>
      <c r="AI56" s="278"/>
      <c r="AJ56" s="278"/>
      <c r="AK56" s="281"/>
      <c r="AL56" s="281"/>
      <c r="AM56" s="285"/>
      <c r="AN56" s="281"/>
      <c r="AO56" s="20"/>
      <c r="AP56" s="20"/>
      <c r="AQ56" s="20"/>
      <c r="AR56" s="20"/>
      <c r="AS56" s="20"/>
      <c r="AU56" s="84"/>
    </row>
    <row r="57" spans="1:47" hidden="1">
      <c r="A57" s="3" t="s">
        <v>357</v>
      </c>
      <c r="C57" s="264"/>
      <c r="D57" s="265"/>
      <c r="F57" s="2"/>
      <c r="G57" s="265"/>
      <c r="I57" s="2"/>
      <c r="J57" s="265"/>
      <c r="L57" s="2"/>
      <c r="M57" s="2"/>
      <c r="N57" s="265"/>
      <c r="P57" s="2"/>
      <c r="Q57" s="2"/>
      <c r="R57" s="265"/>
      <c r="T57" s="2"/>
      <c r="U57" s="2"/>
      <c r="V57" s="265"/>
      <c r="X57" s="2"/>
      <c r="Y57" s="20"/>
      <c r="Z57" s="281"/>
      <c r="AA57" s="74"/>
      <c r="AB57" s="74"/>
      <c r="AC57" s="20"/>
      <c r="AD57" s="20"/>
      <c r="AE57" s="287"/>
      <c r="AF57" s="287"/>
      <c r="AG57" s="287"/>
      <c r="AH57" s="287"/>
      <c r="AI57" s="278"/>
      <c r="AJ57" s="278"/>
      <c r="AK57" s="281"/>
      <c r="AL57" s="281"/>
      <c r="AM57" s="285"/>
      <c r="AN57" s="281"/>
      <c r="AO57" s="20"/>
      <c r="AP57" s="20"/>
      <c r="AQ57" s="20"/>
      <c r="AR57" s="20"/>
      <c r="AS57" s="20"/>
      <c r="AU57" s="84"/>
    </row>
    <row r="58" spans="1:47" hidden="1">
      <c r="A58" s="3" t="s">
        <v>358</v>
      </c>
      <c r="C58" s="264">
        <f>[43]Sheet1!$E$5+[43]Sheet1!$C$31</f>
        <v>1159.66773729581</v>
      </c>
      <c r="D58" s="265">
        <v>12.09</v>
      </c>
      <c r="F58" s="2">
        <f>ROUND(D58*$C58,0)</f>
        <v>14020</v>
      </c>
      <c r="G58" s="265">
        <v>12.09</v>
      </c>
      <c r="I58" s="2">
        <f t="shared" ref="I58:I61" si="12">G58*C58</f>
        <v>14020.382943906343</v>
      </c>
      <c r="J58" s="265">
        <f ca="1">$J$19</f>
        <v>12.69</v>
      </c>
      <c r="L58" s="2">
        <f t="shared" ref="L58:L61" ca="1" si="13">(J58*$C58)</f>
        <v>14716.183586283827</v>
      </c>
      <c r="M58" s="2"/>
      <c r="N58" s="265">
        <f ca="1">N19</f>
        <v>7.42</v>
      </c>
      <c r="P58" s="2">
        <f t="shared" ref="P58:P61" ca="1" si="14">(N58*$C58)</f>
        <v>8604.7346107349094</v>
      </c>
      <c r="Q58" s="2"/>
      <c r="R58" s="265">
        <f ca="1">R19</f>
        <v>1.04</v>
      </c>
      <c r="T58" s="2">
        <f t="shared" ref="T58:T61" ca="1" si="15">(R58*$C58)</f>
        <v>1206.0544467876423</v>
      </c>
      <c r="U58" s="2"/>
      <c r="V58" s="265">
        <f ca="1">V19</f>
        <v>4.2300000000000004</v>
      </c>
      <c r="X58" s="2">
        <f t="shared" ref="X58:X61" ca="1" si="16">(V58*$C58)</f>
        <v>4905.3945287612769</v>
      </c>
      <c r="Y58" s="20"/>
      <c r="Z58" s="281"/>
      <c r="AA58" s="74"/>
      <c r="AB58" s="74"/>
      <c r="AC58" s="20"/>
      <c r="AD58" s="20"/>
      <c r="AE58" s="287"/>
      <c r="AF58" s="287"/>
      <c r="AG58" s="287"/>
      <c r="AH58" s="287"/>
      <c r="AI58" s="278"/>
      <c r="AJ58" s="278"/>
      <c r="AK58" s="281"/>
      <c r="AL58" s="281"/>
      <c r="AM58" s="285"/>
      <c r="AN58" s="281"/>
      <c r="AO58" s="20"/>
      <c r="AP58" s="20"/>
      <c r="AQ58" s="20"/>
      <c r="AR58" s="20"/>
      <c r="AS58" s="20"/>
      <c r="AU58" s="84"/>
    </row>
    <row r="59" spans="1:47" hidden="1">
      <c r="A59" s="3" t="s">
        <v>359</v>
      </c>
      <c r="C59" s="264">
        <f>[43]Sheet1!$E$6</f>
        <v>1366.6397787665301</v>
      </c>
      <c r="D59" s="265">
        <v>17.760000000000002</v>
      </c>
      <c r="F59" s="2">
        <f>ROUND(D59*$C59,0)</f>
        <v>24272</v>
      </c>
      <c r="G59" s="265">
        <v>17.760000000000002</v>
      </c>
      <c r="I59" s="2">
        <f t="shared" si="12"/>
        <v>24271.522470893575</v>
      </c>
      <c r="J59" s="265">
        <f ca="1">$J$20</f>
        <v>18.64</v>
      </c>
      <c r="L59" s="2">
        <f t="shared" ca="1" si="13"/>
        <v>25474.16547620812</v>
      </c>
      <c r="M59" s="2"/>
      <c r="N59" s="265">
        <f ca="1">N20</f>
        <v>10.9</v>
      </c>
      <c r="P59" s="2">
        <f t="shared" ca="1" si="14"/>
        <v>14896.373588555178</v>
      </c>
      <c r="Q59" s="2"/>
      <c r="R59" s="265">
        <f ca="1">R20</f>
        <v>1.53</v>
      </c>
      <c r="T59" s="2">
        <f t="shared" ca="1" si="15"/>
        <v>2090.9588615127909</v>
      </c>
      <c r="U59" s="2"/>
      <c r="V59" s="265">
        <f ca="1">V20</f>
        <v>6.21</v>
      </c>
      <c r="X59" s="2">
        <f t="shared" ca="1" si="16"/>
        <v>8486.8330261401516</v>
      </c>
      <c r="Y59" s="20"/>
      <c r="Z59" s="281"/>
      <c r="AA59" s="74"/>
      <c r="AB59" s="74"/>
      <c r="AC59" s="20"/>
      <c r="AD59" s="20"/>
      <c r="AE59" s="287"/>
      <c r="AF59" s="287"/>
      <c r="AG59" s="287"/>
      <c r="AH59" s="287"/>
      <c r="AI59" s="278"/>
      <c r="AJ59" s="278"/>
      <c r="AK59" s="281"/>
      <c r="AL59" s="281"/>
      <c r="AM59" s="285"/>
      <c r="AN59" s="281"/>
      <c r="AO59" s="20"/>
      <c r="AP59" s="20"/>
      <c r="AQ59" s="20"/>
      <c r="AR59" s="20"/>
      <c r="AS59" s="20"/>
      <c r="AU59" s="84"/>
    </row>
    <row r="60" spans="1:47" hidden="1">
      <c r="A60" s="3" t="s">
        <v>360</v>
      </c>
      <c r="C60" s="264">
        <f>[43]Sheet1!$E$7</f>
        <v>466.23760141089298</v>
      </c>
      <c r="D60" s="265">
        <v>28.64</v>
      </c>
      <c r="F60" s="2">
        <f>ROUND(D60*$C60,0)</f>
        <v>13353</v>
      </c>
      <c r="G60" s="265">
        <v>28.64</v>
      </c>
      <c r="I60" s="2">
        <f t="shared" si="12"/>
        <v>13353.044904407976</v>
      </c>
      <c r="J60" s="265">
        <f ca="1">$J$21</f>
        <v>30.07</v>
      </c>
      <c r="L60" s="2">
        <f t="shared" ca="1" si="13"/>
        <v>14019.764674425553</v>
      </c>
      <c r="M60" s="2"/>
      <c r="N60" s="265">
        <f ca="1">N21</f>
        <v>17.579999999999998</v>
      </c>
      <c r="P60" s="2">
        <f t="shared" ca="1" si="14"/>
        <v>8196.457032803497</v>
      </c>
      <c r="Q60" s="2"/>
      <c r="R60" s="265">
        <f ca="1">R21</f>
        <v>2.4700000000000002</v>
      </c>
      <c r="T60" s="2">
        <f t="shared" ca="1" si="15"/>
        <v>1151.6068754849057</v>
      </c>
      <c r="U60" s="2"/>
      <c r="V60" s="265">
        <f ca="1">V21</f>
        <v>10.02</v>
      </c>
      <c r="X60" s="2">
        <f t="shared" ca="1" si="16"/>
        <v>4671.7007661371472</v>
      </c>
      <c r="Y60" s="20"/>
      <c r="Z60" s="281"/>
      <c r="AA60" s="74"/>
      <c r="AB60" s="74"/>
      <c r="AC60" s="20"/>
      <c r="AD60" s="20"/>
      <c r="AE60" s="287"/>
      <c r="AF60" s="287"/>
      <c r="AG60" s="287"/>
      <c r="AH60" s="287"/>
      <c r="AI60" s="278"/>
      <c r="AJ60" s="278"/>
      <c r="AK60" s="281"/>
      <c r="AL60" s="281"/>
      <c r="AM60" s="285"/>
      <c r="AN60" s="281"/>
      <c r="AO60" s="20"/>
      <c r="AP60" s="20"/>
      <c r="AQ60" s="20"/>
      <c r="AR60" s="20"/>
      <c r="AS60" s="20"/>
      <c r="AU60" s="84"/>
    </row>
    <row r="61" spans="1:47" hidden="1">
      <c r="A61" s="3" t="s">
        <v>361</v>
      </c>
      <c r="C61" s="264">
        <f>[43]Sheet1!$F$8+[43]Sheet1!$F$9+[43]Sheet1!$F$10</f>
        <v>350.76685864982318</v>
      </c>
      <c r="D61" s="265">
        <v>1</v>
      </c>
      <c r="E61" s="20"/>
      <c r="F61" s="272">
        <f>ROUND(D61*$C61,0)</f>
        <v>351</v>
      </c>
      <c r="G61" s="265">
        <v>1</v>
      </c>
      <c r="H61" s="20"/>
      <c r="I61" s="2">
        <f t="shared" si="12"/>
        <v>350.76685864982318</v>
      </c>
      <c r="J61" s="269">
        <f>$J$22</f>
        <v>1</v>
      </c>
      <c r="K61" s="20"/>
      <c r="L61" s="2">
        <f t="shared" si="13"/>
        <v>350.76685864982318</v>
      </c>
      <c r="M61" s="2"/>
      <c r="N61" s="265">
        <f>N22</f>
        <v>1</v>
      </c>
      <c r="O61" s="20"/>
      <c r="P61" s="2">
        <f t="shared" si="14"/>
        <v>350.76685864982318</v>
      </c>
      <c r="Q61" s="2"/>
      <c r="R61" s="265" t="str">
        <f>R22</f>
        <v xml:space="preserve"> </v>
      </c>
      <c r="S61" s="20"/>
      <c r="T61" s="2">
        <f t="shared" si="15"/>
        <v>0</v>
      </c>
      <c r="U61" s="2"/>
      <c r="V61" s="265" t="str">
        <f>V22</f>
        <v xml:space="preserve"> </v>
      </c>
      <c r="W61" s="20"/>
      <c r="X61" s="2">
        <f t="shared" si="16"/>
        <v>0</v>
      </c>
      <c r="Y61" s="278"/>
      <c r="Z61" s="281"/>
      <c r="AA61" s="74"/>
      <c r="AB61" s="74"/>
      <c r="AC61" s="20"/>
      <c r="AD61" s="20"/>
      <c r="AE61" s="278"/>
      <c r="AF61" s="278"/>
      <c r="AG61" s="278"/>
      <c r="AH61" s="278"/>
      <c r="AI61" s="278"/>
      <c r="AJ61" s="278"/>
      <c r="AK61" s="281"/>
      <c r="AL61" s="281"/>
      <c r="AM61" s="281"/>
      <c r="AN61" s="281"/>
      <c r="AO61" s="20"/>
      <c r="AP61" s="20"/>
      <c r="AQ61" s="20"/>
      <c r="AR61" s="20"/>
      <c r="AS61" s="20"/>
      <c r="AU61" s="84"/>
    </row>
    <row r="62" spans="1:47" s="1184" customFormat="1" hidden="1">
      <c r="A62" s="1005" t="s">
        <v>1028</v>
      </c>
      <c r="C62" s="1202">
        <f>C64</f>
        <v>2156448</v>
      </c>
      <c r="D62" s="269"/>
      <c r="E62" s="1185"/>
      <c r="F62" s="1203"/>
      <c r="G62" s="269"/>
      <c r="H62" s="1185"/>
      <c r="I62" s="1203"/>
      <c r="J62" s="1230">
        <f>J23</f>
        <v>0</v>
      </c>
      <c r="K62" s="1219" t="s">
        <v>374</v>
      </c>
      <c r="L62" s="1203">
        <f>J62*C62/100</f>
        <v>0</v>
      </c>
      <c r="M62" s="1203"/>
      <c r="N62" s="1230" t="str">
        <f>N23</f>
        <v xml:space="preserve"> </v>
      </c>
      <c r="O62" s="1219" t="s">
        <v>374</v>
      </c>
      <c r="P62" s="1203">
        <f>N62*F62/100</f>
        <v>0</v>
      </c>
      <c r="Q62" s="1203"/>
      <c r="R62" s="1230" t="str">
        <f>R23</f>
        <v xml:space="preserve"> </v>
      </c>
      <c r="S62" s="1219" t="s">
        <v>374</v>
      </c>
      <c r="T62" s="1203">
        <f>R62*J62/100</f>
        <v>0</v>
      </c>
      <c r="U62" s="1203"/>
      <c r="V62" s="1230">
        <f>V23</f>
        <v>0</v>
      </c>
      <c r="W62" s="1219" t="s">
        <v>374</v>
      </c>
      <c r="X62" s="1203">
        <f>V62*C62/100</f>
        <v>0</v>
      </c>
      <c r="Z62" s="815"/>
      <c r="AC62" s="1205"/>
      <c r="AD62" s="1205"/>
      <c r="AI62" s="1185"/>
      <c r="AJ62" s="1185"/>
      <c r="AK62" s="1185"/>
      <c r="AL62" s="1185"/>
      <c r="AM62" s="1185"/>
      <c r="AN62" s="1185"/>
      <c r="AO62" s="1185"/>
      <c r="AP62" s="1185"/>
      <c r="AQ62" s="1185"/>
      <c r="AR62" s="1185"/>
      <c r="AS62" s="1185"/>
      <c r="AU62" s="1204"/>
    </row>
    <row r="63" spans="1:47" hidden="1">
      <c r="A63" s="3" t="s">
        <v>362</v>
      </c>
      <c r="C63" s="264">
        <f>[43]Sheet1!$K$26</f>
        <v>16015</v>
      </c>
      <c r="D63" s="265"/>
      <c r="F63" s="2"/>
      <c r="G63" s="265"/>
      <c r="I63" s="2"/>
      <c r="J63" s="265"/>
      <c r="L63" s="2"/>
      <c r="M63" s="2"/>
      <c r="N63" s="265"/>
      <c r="P63" s="2"/>
      <c r="Q63" s="2"/>
      <c r="R63" s="265"/>
      <c r="T63" s="2"/>
      <c r="U63" s="2"/>
      <c r="V63" s="265"/>
      <c r="X63" s="2"/>
      <c r="Y63" s="278"/>
      <c r="Z63" s="278"/>
      <c r="AA63" s="278"/>
      <c r="AB63" s="278"/>
      <c r="AC63" s="278"/>
      <c r="AD63" s="278"/>
      <c r="AE63" s="278"/>
      <c r="AF63" s="278"/>
      <c r="AG63" s="278"/>
      <c r="AH63" s="278"/>
      <c r="AI63" s="278"/>
      <c r="AJ63" s="278"/>
      <c r="AK63" s="288"/>
      <c r="AL63" s="278"/>
      <c r="AM63" s="278"/>
      <c r="AN63" s="278"/>
      <c r="AO63" s="20"/>
      <c r="AP63" s="20"/>
      <c r="AQ63" s="20"/>
      <c r="AR63" s="20"/>
      <c r="AS63" s="20"/>
      <c r="AU63" s="84"/>
    </row>
    <row r="64" spans="1:47" hidden="1">
      <c r="A64" s="3" t="s">
        <v>35</v>
      </c>
      <c r="C64" s="264">
        <f>[43]Sheet1!$D$26</f>
        <v>2156448</v>
      </c>
      <c r="D64" s="269"/>
      <c r="E64" s="20"/>
      <c r="F64" s="272">
        <f>SUM(F54:F61)</f>
        <v>296786</v>
      </c>
      <c r="G64" s="269"/>
      <c r="H64" s="20"/>
      <c r="I64" s="272">
        <f>SUM(I54:I61)</f>
        <v>296786.00730761874</v>
      </c>
      <c r="J64" s="269"/>
      <c r="K64" s="20"/>
      <c r="L64" s="272">
        <f ca="1">SUM(L54:L62)</f>
        <v>311557.6559034611</v>
      </c>
      <c r="M64" s="272"/>
      <c r="N64" s="269"/>
      <c r="O64" s="20"/>
      <c r="P64" s="272">
        <f ca="1">SUM(P54:P62)</f>
        <v>182383.83665269209</v>
      </c>
      <c r="Q64" s="272"/>
      <c r="R64" s="269"/>
      <c r="S64" s="20"/>
      <c r="T64" s="272">
        <f ca="1">SUM(T54:T62)</f>
        <v>25588.155272041695</v>
      </c>
      <c r="U64" s="272"/>
      <c r="V64" s="269"/>
      <c r="W64" s="20"/>
      <c r="X64" s="272">
        <f ca="1">SUM(X54:X62)</f>
        <v>103585.66397872727</v>
      </c>
      <c r="Y64" s="278"/>
      <c r="Z64" s="287"/>
      <c r="AA64" s="278"/>
      <c r="AB64" s="278"/>
      <c r="AC64" s="20"/>
      <c r="AD64" s="20"/>
      <c r="AE64" s="20"/>
      <c r="AF64" s="20"/>
      <c r="AG64" s="20"/>
      <c r="AH64" s="20"/>
      <c r="AI64" s="20"/>
      <c r="AJ64" s="278"/>
      <c r="AK64" s="278"/>
      <c r="AL64" s="278"/>
      <c r="AM64" s="278"/>
      <c r="AN64" s="278"/>
      <c r="AO64" s="20"/>
      <c r="AP64" s="20"/>
      <c r="AQ64" s="20"/>
      <c r="AR64" s="20"/>
      <c r="AS64" s="20"/>
      <c r="AU64" s="84"/>
    </row>
    <row r="65" spans="1:47" hidden="1">
      <c r="A65" s="3" t="s">
        <v>363</v>
      </c>
      <c r="C65" s="264">
        <f>'Table 2'!H52</f>
        <v>-6099.8611148977507</v>
      </c>
      <c r="D65" s="269"/>
      <c r="E65" s="20"/>
      <c r="F65" s="272">
        <f>I65</f>
        <v>-734.38073140861252</v>
      </c>
      <c r="G65" s="269"/>
      <c r="H65" s="20"/>
      <c r="I65" s="272">
        <f>'Table 3'!E52</f>
        <v>-734.38073140861252</v>
      </c>
      <c r="J65" s="269"/>
      <c r="K65" s="20"/>
      <c r="L65" s="272">
        <f>I65</f>
        <v>-734.38073140861252</v>
      </c>
      <c r="M65" s="272"/>
      <c r="N65" s="269"/>
      <c r="O65" s="20"/>
      <c r="P65" s="272">
        <f ca="1">P26/L26*L65</f>
        <v>-429.77580642663423</v>
      </c>
      <c r="Q65" s="272"/>
      <c r="R65" s="269"/>
      <c r="S65" s="20"/>
      <c r="T65" s="272">
        <f ca="1">T26/L26*L65</f>
        <v>-60.200805793958487</v>
      </c>
      <c r="U65" s="272"/>
      <c r="V65" s="269"/>
      <c r="W65" s="20"/>
      <c r="X65" s="272">
        <f ca="1">X26/L26*L65</f>
        <v>-244.40411918801985</v>
      </c>
      <c r="Y65" s="444"/>
      <c r="Z65" s="287"/>
      <c r="AA65" s="278"/>
      <c r="AB65" s="278"/>
      <c r="AC65" s="278"/>
      <c r="AD65" s="278"/>
      <c r="AE65" s="283"/>
      <c r="AF65" s="283"/>
      <c r="AG65" s="283"/>
      <c r="AH65" s="283"/>
      <c r="AI65" s="281"/>
      <c r="AJ65" s="278"/>
      <c r="AK65" s="278"/>
      <c r="AL65" s="278"/>
      <c r="AM65" s="278"/>
      <c r="AN65" s="278"/>
      <c r="AO65" s="20"/>
      <c r="AP65" s="20"/>
      <c r="AQ65" s="20"/>
      <c r="AR65" s="20"/>
      <c r="AS65" s="20"/>
      <c r="AU65" s="84"/>
    </row>
    <row r="66" spans="1:47" ht="16.5" hidden="1" thickBot="1">
      <c r="A66" s="3" t="s">
        <v>9</v>
      </c>
      <c r="C66" s="273">
        <f>C64+C65</f>
        <v>2150348.1388851022</v>
      </c>
      <c r="D66" s="274"/>
      <c r="E66" s="274"/>
      <c r="F66" s="274">
        <f>F64+F65</f>
        <v>296051.6192685914</v>
      </c>
      <c r="G66" s="312"/>
      <c r="H66" s="274"/>
      <c r="I66" s="274">
        <f>I64+I65</f>
        <v>296051.62657621014</v>
      </c>
      <c r="J66" s="312"/>
      <c r="K66" s="274"/>
      <c r="L66" s="274">
        <f ca="1">L64+L65</f>
        <v>310823.2751720525</v>
      </c>
      <c r="M66" s="312"/>
      <c r="N66" s="312"/>
      <c r="O66" s="274"/>
      <c r="P66" s="274">
        <f ca="1">P64+P65</f>
        <v>181954.06084626546</v>
      </c>
      <c r="Q66" s="312"/>
      <c r="R66" s="312"/>
      <c r="S66" s="274"/>
      <c r="T66" s="274">
        <f ca="1">T64+T65</f>
        <v>25527.954466247735</v>
      </c>
      <c r="U66" s="312"/>
      <c r="V66" s="312"/>
      <c r="W66" s="274"/>
      <c r="X66" s="274">
        <f ca="1">X64+X65</f>
        <v>103341.25985953925</v>
      </c>
      <c r="Y66" s="411"/>
      <c r="Z66" s="470"/>
      <c r="AA66" s="278"/>
      <c r="AB66" s="278"/>
      <c r="AC66" s="278"/>
      <c r="AD66" s="278"/>
      <c r="AE66" s="278"/>
      <c r="AF66" s="278"/>
      <c r="AG66" s="278"/>
      <c r="AH66" s="278"/>
      <c r="AI66" s="278"/>
      <c r="AJ66" s="278"/>
      <c r="AK66" s="278"/>
      <c r="AL66" s="278"/>
      <c r="AM66" s="278"/>
      <c r="AN66" s="278"/>
      <c r="AO66" s="20"/>
      <c r="AP66" s="20"/>
      <c r="AQ66" s="20"/>
      <c r="AR66" s="20"/>
      <c r="AS66" s="20"/>
      <c r="AU66" s="84"/>
    </row>
    <row r="67" spans="1:47" ht="16.5" hidden="1" thickTop="1">
      <c r="C67" s="275"/>
      <c r="D67" s="309" t="s">
        <v>31</v>
      </c>
      <c r="E67" s="275"/>
      <c r="F67" s="263"/>
      <c r="G67" s="309" t="s">
        <v>31</v>
      </c>
      <c r="H67" s="275"/>
      <c r="I67" s="263"/>
      <c r="J67" s="1" t="s">
        <v>31</v>
      </c>
      <c r="K67" s="275"/>
      <c r="L67" s="2" t="s">
        <v>31</v>
      </c>
      <c r="M67" s="2"/>
      <c r="N67" s="1" t="s">
        <v>31</v>
      </c>
      <c r="O67" s="275"/>
      <c r="P67" s="2" t="s">
        <v>31</v>
      </c>
      <c r="Q67" s="2"/>
      <c r="R67" s="1" t="s">
        <v>31</v>
      </c>
      <c r="S67" s="275"/>
      <c r="T67" s="2" t="s">
        <v>31</v>
      </c>
      <c r="U67" s="2"/>
      <c r="V67" s="1" t="s">
        <v>31</v>
      </c>
      <c r="W67" s="275"/>
      <c r="X67" s="2" t="s">
        <v>31</v>
      </c>
      <c r="Y67" s="20"/>
      <c r="Z67" s="74"/>
      <c r="AA67" s="74"/>
      <c r="AB67" s="74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U67" s="84"/>
    </row>
    <row r="68" spans="1:47" hidden="1">
      <c r="A68" s="262" t="s">
        <v>351</v>
      </c>
      <c r="F68" s="263"/>
      <c r="I68" s="263"/>
      <c r="Y68" s="20"/>
      <c r="Z68" s="74"/>
      <c r="AA68" s="74"/>
      <c r="AB68" s="74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U68" s="84"/>
    </row>
    <row r="69" spans="1:47" hidden="1">
      <c r="A69" s="3" t="s">
        <v>367</v>
      </c>
      <c r="F69" s="263"/>
      <c r="I69" s="263"/>
      <c r="Y69" s="278"/>
      <c r="Z69" s="278"/>
      <c r="AA69" s="278"/>
      <c r="AB69" s="278"/>
      <c r="AC69" s="278"/>
      <c r="AD69" s="278"/>
      <c r="AE69" s="278"/>
      <c r="AF69" s="278"/>
      <c r="AG69" s="278"/>
      <c r="AH69" s="278"/>
      <c r="AI69" s="278"/>
      <c r="AJ69" s="278"/>
      <c r="AK69" s="278"/>
      <c r="AL69" s="278"/>
      <c r="AM69" s="278"/>
      <c r="AN69" s="278"/>
      <c r="AO69" s="20"/>
      <c r="AP69" s="20"/>
      <c r="AQ69" s="20"/>
      <c r="AR69" s="20"/>
      <c r="AS69" s="20"/>
      <c r="AU69" s="84"/>
    </row>
    <row r="70" spans="1:47" hidden="1">
      <c r="F70" s="263"/>
      <c r="I70" s="263"/>
      <c r="Y70" s="278"/>
      <c r="Z70" s="278"/>
      <c r="AA70" s="278"/>
      <c r="AB70" s="278"/>
      <c r="AC70" s="278"/>
      <c r="AD70" s="278"/>
      <c r="AE70" s="278"/>
      <c r="AF70" s="278"/>
      <c r="AG70" s="278"/>
      <c r="AH70" s="278"/>
      <c r="AI70" s="278"/>
      <c r="AJ70" s="278"/>
      <c r="AK70" s="278"/>
      <c r="AL70" s="278"/>
      <c r="AM70" s="278"/>
      <c r="AN70" s="278"/>
      <c r="AO70" s="20"/>
      <c r="AP70" s="20"/>
      <c r="AQ70" s="20"/>
      <c r="AR70" s="20"/>
      <c r="AS70" s="20"/>
      <c r="AU70" s="84"/>
    </row>
    <row r="71" spans="1:47" hidden="1">
      <c r="A71" s="3" t="s">
        <v>353</v>
      </c>
      <c r="F71" s="263"/>
      <c r="I71" s="263"/>
      <c r="Y71" s="278"/>
      <c r="Z71" s="278"/>
      <c r="AA71" s="74"/>
      <c r="AB71" s="74"/>
      <c r="AC71" s="279"/>
      <c r="AD71" s="279"/>
      <c r="AE71" s="280"/>
      <c r="AF71" s="280"/>
      <c r="AG71" s="280"/>
      <c r="AH71" s="280"/>
      <c r="AI71" s="281"/>
      <c r="AJ71" s="282"/>
      <c r="AK71" s="278"/>
      <c r="AL71" s="278"/>
      <c r="AM71" s="278"/>
      <c r="AN71" s="278"/>
      <c r="AO71" s="20"/>
      <c r="AP71" s="20"/>
      <c r="AQ71" s="20"/>
      <c r="AR71" s="20"/>
      <c r="AS71" s="20"/>
      <c r="AU71" s="84"/>
    </row>
    <row r="72" spans="1:47" hidden="1">
      <c r="A72" s="3" t="s">
        <v>354</v>
      </c>
      <c r="C72" s="264">
        <f>[43]Sheet1!$E$11+[43]Sheet1!$E$17</f>
        <v>612.13238583609495</v>
      </c>
      <c r="D72" s="265">
        <v>10.63</v>
      </c>
      <c r="F72" s="2">
        <f>ROUND(D72*$C72,0)</f>
        <v>6507</v>
      </c>
      <c r="G72" s="265">
        <v>10.63</v>
      </c>
      <c r="I72" s="2">
        <f t="shared" ref="I72:I74" si="17">G72*C72</f>
        <v>6506.9672614376896</v>
      </c>
      <c r="J72" s="265">
        <f ca="1">$J$15</f>
        <v>11.16</v>
      </c>
      <c r="L72" s="2">
        <f t="shared" ref="L72:L74" ca="1" si="18">(J72*$C72)</f>
        <v>6831.3974259308197</v>
      </c>
      <c r="M72" s="2"/>
      <c r="N72" s="265">
        <f ca="1">N15</f>
        <v>6.53</v>
      </c>
      <c r="P72" s="2">
        <f t="shared" ref="P72:P74" ca="1" si="19">(N72*$C72)</f>
        <v>3997.2244795097004</v>
      </c>
      <c r="Q72" s="2"/>
      <c r="R72" s="265">
        <f ca="1">R15</f>
        <v>0.92</v>
      </c>
      <c r="T72" s="2">
        <f t="shared" ref="T72:T74" ca="1" si="20">(R72*$C72)</f>
        <v>563.16179496920734</v>
      </c>
      <c r="U72" s="2"/>
      <c r="V72" s="265">
        <f ca="1">V15</f>
        <v>3.7100000000000004</v>
      </c>
      <c r="X72" s="2">
        <f t="shared" ref="X72:X74" ca="1" si="21">(V72*$C72)</f>
        <v>2271.0111514519126</v>
      </c>
      <c r="Y72" s="20"/>
      <c r="Z72" s="281"/>
      <c r="AA72" s="74"/>
      <c r="AB72" s="74"/>
      <c r="AC72" s="278"/>
      <c r="AD72" s="278"/>
      <c r="AE72" s="283"/>
      <c r="AF72" s="283"/>
      <c r="AG72" s="283"/>
      <c r="AH72" s="283"/>
      <c r="AI72" s="284"/>
      <c r="AJ72" s="278"/>
      <c r="AK72" s="281"/>
      <c r="AL72" s="281"/>
      <c r="AM72" s="285"/>
      <c r="AN72" s="281"/>
      <c r="AO72" s="20"/>
      <c r="AP72" s="20"/>
      <c r="AQ72" s="20"/>
      <c r="AR72" s="20"/>
      <c r="AS72" s="20"/>
      <c r="AU72" s="84"/>
    </row>
    <row r="73" spans="1:47" hidden="1">
      <c r="A73" s="3" t="s">
        <v>355</v>
      </c>
      <c r="C73" s="264">
        <f>[43]Sheet1!$E$12</f>
        <v>407.76913013469601</v>
      </c>
      <c r="D73" s="265">
        <v>20.23</v>
      </c>
      <c r="F73" s="2">
        <f>ROUND(D73*$C73,0)</f>
        <v>8249</v>
      </c>
      <c r="G73" s="265">
        <v>20.23</v>
      </c>
      <c r="I73" s="2">
        <f t="shared" si="17"/>
        <v>8249.1695026248999</v>
      </c>
      <c r="J73" s="265">
        <f ca="1">$J$16</f>
        <v>21.24</v>
      </c>
      <c r="L73" s="2">
        <f t="shared" ca="1" si="18"/>
        <v>8661.0163240609436</v>
      </c>
      <c r="M73" s="2"/>
      <c r="N73" s="265">
        <f ca="1">N16</f>
        <v>12.42</v>
      </c>
      <c r="P73" s="2">
        <f t="shared" ca="1" si="19"/>
        <v>5064.4925962729249</v>
      </c>
      <c r="Q73" s="2"/>
      <c r="R73" s="265">
        <f ca="1">R16</f>
        <v>1.74</v>
      </c>
      <c r="T73" s="2">
        <f t="shared" ca="1" si="20"/>
        <v>709.51828643437102</v>
      </c>
      <c r="U73" s="2"/>
      <c r="V73" s="265">
        <f ca="1">V16</f>
        <v>7.08</v>
      </c>
      <c r="X73" s="2">
        <f t="shared" ca="1" si="21"/>
        <v>2887.0054413536477</v>
      </c>
      <c r="Y73" s="20"/>
      <c r="Z73" s="281"/>
      <c r="AA73" s="74"/>
      <c r="AB73" s="74"/>
      <c r="AC73" s="20"/>
      <c r="AD73" s="20"/>
      <c r="AE73" s="287"/>
      <c r="AF73" s="287"/>
      <c r="AG73" s="287"/>
      <c r="AH73" s="287"/>
      <c r="AI73" s="278"/>
      <c r="AJ73" s="278"/>
      <c r="AK73" s="281"/>
      <c r="AL73" s="281"/>
      <c r="AM73" s="285"/>
      <c r="AN73" s="281"/>
      <c r="AO73" s="20"/>
      <c r="AP73" s="20"/>
      <c r="AQ73" s="20"/>
      <c r="AR73" s="20"/>
      <c r="AS73" s="20"/>
      <c r="AU73" s="84"/>
    </row>
    <row r="74" spans="1:47" hidden="1">
      <c r="A74" s="3" t="s">
        <v>356</v>
      </c>
      <c r="C74" s="264">
        <f>[43]Sheet1!$E$13</f>
        <v>47.999569482334898</v>
      </c>
      <c r="D74" s="265">
        <v>41.86</v>
      </c>
      <c r="F74" s="2">
        <f>ROUND(D74*$C74,0)</f>
        <v>2009</v>
      </c>
      <c r="G74" s="265">
        <v>41.86</v>
      </c>
      <c r="I74" s="2">
        <f t="shared" si="17"/>
        <v>2009.2619785305387</v>
      </c>
      <c r="J74" s="265">
        <f ca="1">$J$17</f>
        <v>43.94</v>
      </c>
      <c r="L74" s="2">
        <f t="shared" ca="1" si="18"/>
        <v>2109.1010830537953</v>
      </c>
      <c r="M74" s="2"/>
      <c r="N74" s="265">
        <f ca="1">N17</f>
        <v>25.69</v>
      </c>
      <c r="P74" s="2">
        <f t="shared" ca="1" si="19"/>
        <v>1233.1089400011836</v>
      </c>
      <c r="Q74" s="2"/>
      <c r="R74" s="265">
        <f ca="1">R17</f>
        <v>3.61</v>
      </c>
      <c r="T74" s="2">
        <f t="shared" ca="1" si="20"/>
        <v>173.27844583122896</v>
      </c>
      <c r="U74" s="2"/>
      <c r="V74" s="265">
        <f ca="1">V17</f>
        <v>14.64</v>
      </c>
      <c r="X74" s="2">
        <f t="shared" ca="1" si="21"/>
        <v>702.71369722138297</v>
      </c>
      <c r="Y74" s="20"/>
      <c r="Z74" s="281"/>
      <c r="AA74" s="74"/>
      <c r="AB74" s="74"/>
      <c r="AC74" s="20"/>
      <c r="AD74" s="20"/>
      <c r="AE74" s="287"/>
      <c r="AF74" s="287"/>
      <c r="AG74" s="287"/>
      <c r="AH74" s="287"/>
      <c r="AI74" s="278"/>
      <c r="AJ74" s="278"/>
      <c r="AK74" s="281"/>
      <c r="AL74" s="281"/>
      <c r="AM74" s="285"/>
      <c r="AN74" s="281"/>
      <c r="AO74" s="20"/>
      <c r="AP74" s="20"/>
      <c r="AQ74" s="20"/>
      <c r="AR74" s="20"/>
      <c r="AS74" s="20"/>
      <c r="AU74" s="84"/>
    </row>
    <row r="75" spans="1:47" hidden="1">
      <c r="A75" s="3" t="s">
        <v>357</v>
      </c>
      <c r="C75" s="264"/>
      <c r="D75" s="265"/>
      <c r="F75" s="2"/>
      <c r="G75" s="265"/>
      <c r="I75" s="2"/>
      <c r="J75" s="265"/>
      <c r="L75" s="2"/>
      <c r="M75" s="2"/>
      <c r="N75" s="265"/>
      <c r="P75" s="2"/>
      <c r="Q75" s="2"/>
      <c r="R75" s="265"/>
      <c r="T75" s="2"/>
      <c r="U75" s="2"/>
      <c r="V75" s="265"/>
      <c r="X75" s="2"/>
      <c r="Y75" s="20"/>
      <c r="Z75" s="281"/>
      <c r="AA75" s="74"/>
      <c r="AB75" s="74"/>
      <c r="AC75" s="20"/>
      <c r="AD75" s="20"/>
      <c r="AE75" s="287"/>
      <c r="AF75" s="287"/>
      <c r="AG75" s="287"/>
      <c r="AH75" s="287"/>
      <c r="AI75" s="278"/>
      <c r="AJ75" s="278"/>
      <c r="AK75" s="281"/>
      <c r="AL75" s="281"/>
      <c r="AM75" s="285"/>
      <c r="AN75" s="281"/>
      <c r="AO75" s="20"/>
      <c r="AP75" s="20"/>
      <c r="AQ75" s="20"/>
      <c r="AR75" s="20"/>
      <c r="AS75" s="20"/>
      <c r="AU75" s="84"/>
    </row>
    <row r="76" spans="1:47" hidden="1">
      <c r="A76" s="3" t="s">
        <v>358</v>
      </c>
      <c r="C76" s="264">
        <f>[43]Sheet1!$E$14</f>
        <v>11.999900155568399</v>
      </c>
      <c r="D76" s="265">
        <v>12.09</v>
      </c>
      <c r="F76" s="2">
        <f>ROUND(D76*$C76,0)</f>
        <v>145</v>
      </c>
      <c r="G76" s="265">
        <v>12.09</v>
      </c>
      <c r="I76" s="2">
        <f t="shared" ref="I76:I79" si="22">G76*C76</f>
        <v>145.07879288082194</v>
      </c>
      <c r="J76" s="265">
        <f ca="1">$J$19</f>
        <v>12.69</v>
      </c>
      <c r="L76" s="2">
        <f t="shared" ref="L76:L79" ca="1" si="23">(J76*$C76)</f>
        <v>152.27873297416298</v>
      </c>
      <c r="M76" s="2"/>
      <c r="N76" s="265">
        <f ca="1">N19</f>
        <v>7.42</v>
      </c>
      <c r="P76" s="2">
        <f t="shared" ref="P76:P79" ca="1" si="24">(N76*$C76)</f>
        <v>89.03925915431752</v>
      </c>
      <c r="Q76" s="2"/>
      <c r="R76" s="265">
        <f ca="1">R19</f>
        <v>1.04</v>
      </c>
      <c r="T76" s="2">
        <f t="shared" ref="T76:T79" ca="1" si="25">(R76*$C76)</f>
        <v>12.479896161791135</v>
      </c>
      <c r="U76" s="2"/>
      <c r="V76" s="265">
        <f ca="1">V19</f>
        <v>4.2300000000000004</v>
      </c>
      <c r="X76" s="2">
        <f t="shared" ref="X76:X79" ca="1" si="26">(V76*$C76)</f>
        <v>50.759577658054333</v>
      </c>
      <c r="Y76" s="20"/>
      <c r="Z76" s="281"/>
      <c r="AA76" s="74"/>
      <c r="AB76" s="74"/>
      <c r="AC76" s="20"/>
      <c r="AD76" s="20"/>
      <c r="AE76" s="287"/>
      <c r="AF76" s="287"/>
      <c r="AG76" s="287"/>
      <c r="AH76" s="287"/>
      <c r="AI76" s="278"/>
      <c r="AJ76" s="278"/>
      <c r="AK76" s="281"/>
      <c r="AL76" s="281"/>
      <c r="AM76" s="285"/>
      <c r="AN76" s="281"/>
      <c r="AO76" s="20"/>
      <c r="AP76" s="20"/>
      <c r="AQ76" s="20"/>
      <c r="AR76" s="20"/>
      <c r="AS76" s="20"/>
      <c r="AU76" s="84"/>
    </row>
    <row r="77" spans="1:47" hidden="1">
      <c r="A77" s="3" t="s">
        <v>359</v>
      </c>
      <c r="C77" s="264">
        <f>[43]Sheet1!$E$15</f>
        <v>96.000010505499901</v>
      </c>
      <c r="D77" s="265">
        <v>17.760000000000002</v>
      </c>
      <c r="F77" s="2">
        <f>ROUND(D77*$C77,0)</f>
        <v>1705</v>
      </c>
      <c r="G77" s="265">
        <v>17.760000000000002</v>
      </c>
      <c r="I77" s="2">
        <f t="shared" si="22"/>
        <v>1704.9601865776783</v>
      </c>
      <c r="J77" s="265">
        <f ca="1">$J$20</f>
        <v>18.64</v>
      </c>
      <c r="L77" s="2">
        <f t="shared" ca="1" si="23"/>
        <v>1789.4401958225183</v>
      </c>
      <c r="M77" s="2"/>
      <c r="N77" s="265">
        <f ca="1">N20</f>
        <v>10.9</v>
      </c>
      <c r="P77" s="2">
        <f t="shared" ca="1" si="24"/>
        <v>1046.4001145099489</v>
      </c>
      <c r="Q77" s="2"/>
      <c r="R77" s="265">
        <f ca="1">R20</f>
        <v>1.53</v>
      </c>
      <c r="T77" s="2">
        <f t="shared" ca="1" si="25"/>
        <v>146.88001607341485</v>
      </c>
      <c r="U77" s="2"/>
      <c r="V77" s="265">
        <f ca="1">V20</f>
        <v>6.21</v>
      </c>
      <c r="X77" s="2">
        <f t="shared" ca="1" si="26"/>
        <v>596.16006523915439</v>
      </c>
      <c r="Y77" s="20"/>
      <c r="Z77" s="281"/>
      <c r="AA77" s="74"/>
      <c r="AB77" s="74"/>
      <c r="AC77" s="20"/>
      <c r="AD77" s="20"/>
      <c r="AE77" s="287"/>
      <c r="AF77" s="287"/>
      <c r="AG77" s="287"/>
      <c r="AH77" s="287"/>
      <c r="AI77" s="278"/>
      <c r="AJ77" s="278"/>
      <c r="AK77" s="281"/>
      <c r="AL77" s="281"/>
      <c r="AM77" s="285"/>
      <c r="AN77" s="281"/>
      <c r="AO77" s="20"/>
      <c r="AP77" s="20"/>
      <c r="AQ77" s="20"/>
      <c r="AR77" s="20"/>
      <c r="AS77" s="20"/>
      <c r="AU77" s="84"/>
    </row>
    <row r="78" spans="1:47" hidden="1">
      <c r="A78" s="3" t="s">
        <v>360</v>
      </c>
      <c r="C78" s="264">
        <f>[43]Sheet1!$E$16</f>
        <v>23.999999764143599</v>
      </c>
      <c r="D78" s="265">
        <v>28.64</v>
      </c>
      <c r="F78" s="2">
        <f>ROUND(D78*$C78,0)</f>
        <v>687</v>
      </c>
      <c r="G78" s="265">
        <v>28.64</v>
      </c>
      <c r="I78" s="2">
        <f t="shared" si="22"/>
        <v>687.3599932450727</v>
      </c>
      <c r="J78" s="265">
        <f ca="1">$J$21</f>
        <v>30.07</v>
      </c>
      <c r="L78" s="2">
        <f t="shared" ca="1" si="23"/>
        <v>721.67999290779801</v>
      </c>
      <c r="M78" s="2"/>
      <c r="N78" s="265">
        <f ca="1">N21</f>
        <v>17.579999999999998</v>
      </c>
      <c r="P78" s="2">
        <f t="shared" ca="1" si="24"/>
        <v>421.91999585364442</v>
      </c>
      <c r="Q78" s="2"/>
      <c r="R78" s="265">
        <f ca="1">R21</f>
        <v>2.4700000000000002</v>
      </c>
      <c r="T78" s="2">
        <f t="shared" ca="1" si="25"/>
        <v>59.279999417434695</v>
      </c>
      <c r="U78" s="2"/>
      <c r="V78" s="265">
        <f ca="1">V21</f>
        <v>10.02</v>
      </c>
      <c r="X78" s="2">
        <f t="shared" ca="1" si="26"/>
        <v>240.47999763671885</v>
      </c>
      <c r="Y78" s="20"/>
      <c r="Z78" s="281"/>
      <c r="AA78" s="74"/>
      <c r="AB78" s="74"/>
      <c r="AC78" s="20"/>
      <c r="AD78" s="20"/>
      <c r="AE78" s="287"/>
      <c r="AF78" s="287"/>
      <c r="AG78" s="287"/>
      <c r="AH78" s="287"/>
      <c r="AI78" s="278"/>
      <c r="AJ78" s="278"/>
      <c r="AK78" s="281"/>
      <c r="AL78" s="281"/>
      <c r="AM78" s="285"/>
      <c r="AN78" s="281"/>
      <c r="AO78" s="20"/>
      <c r="AP78" s="20"/>
      <c r="AQ78" s="20"/>
      <c r="AR78" s="20"/>
      <c r="AS78" s="20"/>
      <c r="AU78" s="84"/>
    </row>
    <row r="79" spans="1:47" hidden="1">
      <c r="A79" s="3" t="s">
        <v>361</v>
      </c>
      <c r="C79" s="264">
        <f>[43]Sheet1!$F$17</f>
        <v>132.000000851811</v>
      </c>
      <c r="D79" s="265">
        <v>1</v>
      </c>
      <c r="E79" s="20"/>
      <c r="F79" s="272">
        <f>ROUND(D79*$C79,0)</f>
        <v>132</v>
      </c>
      <c r="G79" s="265">
        <v>1</v>
      </c>
      <c r="H79" s="20"/>
      <c r="I79" s="2">
        <f t="shared" si="22"/>
        <v>132.000000851811</v>
      </c>
      <c r="J79" s="269">
        <f>$J$22</f>
        <v>1</v>
      </c>
      <c r="K79" s="20"/>
      <c r="L79" s="2">
        <f t="shared" si="23"/>
        <v>132.000000851811</v>
      </c>
      <c r="M79" s="2"/>
      <c r="N79" s="265">
        <f>N22</f>
        <v>1</v>
      </c>
      <c r="O79" s="20"/>
      <c r="P79" s="2">
        <f t="shared" si="24"/>
        <v>132.000000851811</v>
      </c>
      <c r="Q79" s="2"/>
      <c r="R79" s="265" t="str">
        <f>R22</f>
        <v xml:space="preserve"> </v>
      </c>
      <c r="S79" s="20"/>
      <c r="T79" s="2">
        <f t="shared" si="25"/>
        <v>0</v>
      </c>
      <c r="U79" s="2"/>
      <c r="V79" s="265" t="str">
        <f>V22</f>
        <v xml:space="preserve"> </v>
      </c>
      <c r="W79" s="20"/>
      <c r="X79" s="2">
        <f t="shared" si="26"/>
        <v>0</v>
      </c>
      <c r="Y79" s="278"/>
      <c r="Z79" s="281"/>
      <c r="AA79" s="74"/>
      <c r="AB79" s="74"/>
      <c r="AC79" s="20"/>
      <c r="AD79" s="20"/>
      <c r="AE79" s="278"/>
      <c r="AF79" s="278"/>
      <c r="AG79" s="278"/>
      <c r="AH79" s="278"/>
      <c r="AI79" s="278"/>
      <c r="AJ79" s="278"/>
      <c r="AK79" s="281"/>
      <c r="AL79" s="281"/>
      <c r="AM79" s="281"/>
      <c r="AN79" s="281"/>
      <c r="AO79" s="20"/>
      <c r="AP79" s="20"/>
      <c r="AQ79" s="20"/>
      <c r="AR79" s="20"/>
      <c r="AS79" s="20"/>
      <c r="AU79" s="84"/>
    </row>
    <row r="80" spans="1:47" s="1184" customFormat="1" hidden="1">
      <c r="A80" s="1005" t="s">
        <v>1028</v>
      </c>
      <c r="C80" s="1202">
        <f>C82</f>
        <v>149372</v>
      </c>
      <c r="D80" s="269"/>
      <c r="E80" s="1185"/>
      <c r="F80" s="1203"/>
      <c r="G80" s="269"/>
      <c r="H80" s="1185"/>
      <c r="I80" s="1203"/>
      <c r="J80" s="1230">
        <f>J23</f>
        <v>0</v>
      </c>
      <c r="K80" s="1219" t="s">
        <v>374</v>
      </c>
      <c r="L80" s="1203">
        <f>J80*C80/100</f>
        <v>0</v>
      </c>
      <c r="M80" s="1203"/>
      <c r="N80" s="1230" t="str">
        <f>N23</f>
        <v xml:space="preserve"> </v>
      </c>
      <c r="O80" s="1219" t="s">
        <v>374</v>
      </c>
      <c r="P80" s="1203">
        <f>N80*F80/100</f>
        <v>0</v>
      </c>
      <c r="Q80" s="1203"/>
      <c r="R80" s="1230" t="str">
        <f>R23</f>
        <v xml:space="preserve"> </v>
      </c>
      <c r="S80" s="1219" t="s">
        <v>374</v>
      </c>
      <c r="T80" s="1203">
        <f>R80*J80/100</f>
        <v>0</v>
      </c>
      <c r="U80" s="1203"/>
      <c r="V80" s="1230">
        <f>V23</f>
        <v>0</v>
      </c>
      <c r="W80" s="1219" t="s">
        <v>374</v>
      </c>
      <c r="X80" s="1203">
        <f>V80*C80/100</f>
        <v>0</v>
      </c>
      <c r="Z80" s="815"/>
      <c r="AC80" s="1205"/>
      <c r="AD80" s="1205"/>
      <c r="AI80" s="1185"/>
      <c r="AJ80" s="1185"/>
      <c r="AK80" s="1185"/>
      <c r="AL80" s="1185"/>
      <c r="AM80" s="1185"/>
      <c r="AN80" s="1185"/>
      <c r="AO80" s="1185"/>
      <c r="AP80" s="1185"/>
      <c r="AQ80" s="1185"/>
      <c r="AR80" s="1185"/>
      <c r="AS80" s="1185"/>
      <c r="AU80" s="1204"/>
    </row>
    <row r="81" spans="1:47" hidden="1">
      <c r="A81" s="3" t="s">
        <v>362</v>
      </c>
      <c r="C81" s="264">
        <f>[43]Sheet1!$K$27</f>
        <v>673</v>
      </c>
      <c r="D81" s="265"/>
      <c r="F81" s="2"/>
      <c r="G81" s="265"/>
      <c r="I81" s="2"/>
      <c r="J81" s="265"/>
      <c r="L81" s="2"/>
      <c r="M81" s="2"/>
      <c r="N81" s="265"/>
      <c r="P81" s="2"/>
      <c r="Q81" s="2"/>
      <c r="R81" s="265"/>
      <c r="T81" s="2"/>
      <c r="U81" s="2"/>
      <c r="V81" s="265"/>
      <c r="X81" s="2"/>
      <c r="Y81" s="278"/>
      <c r="Z81" s="278"/>
      <c r="AA81" s="278"/>
      <c r="AB81" s="278"/>
      <c r="AC81" s="278"/>
      <c r="AD81" s="278"/>
      <c r="AE81" s="278"/>
      <c r="AF81" s="278"/>
      <c r="AG81" s="278"/>
      <c r="AH81" s="278"/>
      <c r="AI81" s="278"/>
      <c r="AJ81" s="278"/>
      <c r="AK81" s="288"/>
      <c r="AL81" s="278"/>
      <c r="AM81" s="278"/>
      <c r="AN81" s="278"/>
      <c r="AO81" s="20"/>
      <c r="AP81" s="20"/>
      <c r="AQ81" s="20"/>
      <c r="AR81" s="20"/>
      <c r="AS81" s="20"/>
      <c r="AU81" s="84"/>
    </row>
    <row r="82" spans="1:47" hidden="1">
      <c r="A82" s="3" t="s">
        <v>35</v>
      </c>
      <c r="C82" s="264">
        <f>[43]Sheet1!$D$27</f>
        <v>149372</v>
      </c>
      <c r="D82" s="269"/>
      <c r="E82" s="20"/>
      <c r="F82" s="272">
        <f>SUM(F72:F79)</f>
        <v>19434</v>
      </c>
      <c r="G82" s="269"/>
      <c r="H82" s="20"/>
      <c r="I82" s="272">
        <f>SUM(I72:I79)</f>
        <v>19434.797716148514</v>
      </c>
      <c r="J82" s="269"/>
      <c r="K82" s="20"/>
      <c r="L82" s="272">
        <f ca="1">SUM(L72:L80)</f>
        <v>20396.913755601847</v>
      </c>
      <c r="M82" s="272"/>
      <c r="N82" s="269"/>
      <c r="O82" s="20"/>
      <c r="P82" s="272">
        <f ca="1">SUM(P72:P80)</f>
        <v>11984.185386153529</v>
      </c>
      <c r="Q82" s="272"/>
      <c r="R82" s="269"/>
      <c r="S82" s="20"/>
      <c r="T82" s="272">
        <f ca="1">SUM(T72:T80)</f>
        <v>1664.5984388874481</v>
      </c>
      <c r="U82" s="272"/>
      <c r="V82" s="269"/>
      <c r="W82" s="20"/>
      <c r="X82" s="272">
        <f ca="1">SUM(X72:X80)</f>
        <v>6748.1299305608709</v>
      </c>
      <c r="Y82" s="278"/>
      <c r="Z82" s="287"/>
      <c r="AA82" s="278"/>
      <c r="AB82" s="278"/>
      <c r="AC82" s="20"/>
      <c r="AD82" s="20"/>
      <c r="AE82" s="20"/>
      <c r="AF82" s="20"/>
      <c r="AG82" s="20"/>
      <c r="AH82" s="20"/>
      <c r="AI82" s="20"/>
      <c r="AJ82" s="278"/>
      <c r="AK82" s="278"/>
      <c r="AL82" s="278"/>
      <c r="AM82" s="278"/>
      <c r="AN82" s="278"/>
      <c r="AO82" s="20"/>
      <c r="AP82" s="20"/>
      <c r="AQ82" s="20"/>
      <c r="AR82" s="20"/>
      <c r="AS82" s="20"/>
      <c r="AU82" s="84"/>
    </row>
    <row r="83" spans="1:47" hidden="1">
      <c r="A83" s="3" t="s">
        <v>363</v>
      </c>
      <c r="C83" s="264">
        <f ca="1">'Table 2'!H84</f>
        <v>-2392.5719773770011</v>
      </c>
      <c r="D83" s="269"/>
      <c r="E83" s="20"/>
      <c r="F83" s="272">
        <f ca="1">I83</f>
        <v>-423.90527620202027</v>
      </c>
      <c r="G83" s="269"/>
      <c r="H83" s="20"/>
      <c r="I83" s="272">
        <f ca="1">'Table 3'!E84</f>
        <v>-423.90527620202027</v>
      </c>
      <c r="J83" s="269"/>
      <c r="K83" s="20"/>
      <c r="L83" s="272">
        <f ca="1">I83</f>
        <v>-423.90527620202027</v>
      </c>
      <c r="M83" s="272"/>
      <c r="N83" s="269"/>
      <c r="O83" s="20"/>
      <c r="P83" s="272">
        <f ca="1">P26/L26*L83</f>
        <v>-248.07872011944212</v>
      </c>
      <c r="Q83" s="272"/>
      <c r="R83" s="269"/>
      <c r="S83" s="20"/>
      <c r="T83" s="272">
        <f ca="1">T26/L26*L83</f>
        <v>-34.749603463483346</v>
      </c>
      <c r="U83" s="272"/>
      <c r="V83" s="269"/>
      <c r="W83" s="20"/>
      <c r="X83" s="272">
        <f ca="1">X26/L26*L83</f>
        <v>-141.07695261909484</v>
      </c>
      <c r="Y83" s="444"/>
      <c r="Z83" s="287"/>
      <c r="AA83" s="278"/>
      <c r="AB83" s="278"/>
      <c r="AC83" s="278"/>
      <c r="AD83" s="278"/>
      <c r="AE83" s="283"/>
      <c r="AF83" s="283"/>
      <c r="AG83" s="283"/>
      <c r="AH83" s="283"/>
      <c r="AI83" s="281"/>
      <c r="AJ83" s="278"/>
      <c r="AK83" s="278"/>
      <c r="AL83" s="278"/>
      <c r="AM83" s="278"/>
      <c r="AN83" s="278"/>
      <c r="AO83" s="20"/>
      <c r="AP83" s="20"/>
      <c r="AQ83" s="20"/>
      <c r="AR83" s="20"/>
      <c r="AS83" s="20"/>
      <c r="AU83" s="84"/>
    </row>
    <row r="84" spans="1:47" ht="16.5" hidden="1" thickBot="1">
      <c r="A84" s="3" t="s">
        <v>9</v>
      </c>
      <c r="C84" s="273">
        <f ca="1">C82+C83</f>
        <v>146979.428022623</v>
      </c>
      <c r="D84" s="274"/>
      <c r="E84" s="274"/>
      <c r="F84" s="274">
        <f ca="1">F82+F83</f>
        <v>19010.094723797978</v>
      </c>
      <c r="G84" s="312"/>
      <c r="H84" s="274"/>
      <c r="I84" s="274">
        <f ca="1">I82+I83</f>
        <v>19010.892439946492</v>
      </c>
      <c r="J84" s="312"/>
      <c r="K84" s="274"/>
      <c r="L84" s="274">
        <f ca="1">L82+L83</f>
        <v>19973.008479399825</v>
      </c>
      <c r="M84" s="312"/>
      <c r="N84" s="312"/>
      <c r="O84" s="274"/>
      <c r="P84" s="274">
        <f ca="1">P82+P83</f>
        <v>11736.106666034088</v>
      </c>
      <c r="Q84" s="312"/>
      <c r="R84" s="312"/>
      <c r="S84" s="274"/>
      <c r="T84" s="274">
        <f ca="1">T82+T83</f>
        <v>1629.8488354239648</v>
      </c>
      <c r="U84" s="312"/>
      <c r="V84" s="312"/>
      <c r="W84" s="274"/>
      <c r="X84" s="274">
        <f ca="1">X82+X83</f>
        <v>6607.0529779417757</v>
      </c>
      <c r="Y84" s="411"/>
      <c r="Z84" s="470"/>
      <c r="AA84" s="278"/>
      <c r="AB84" s="278"/>
      <c r="AC84" s="278"/>
      <c r="AD84" s="278"/>
      <c r="AE84" s="278"/>
      <c r="AF84" s="278"/>
      <c r="AG84" s="278"/>
      <c r="AH84" s="278"/>
      <c r="AI84" s="278"/>
      <c r="AJ84" s="278"/>
      <c r="AK84" s="278"/>
      <c r="AL84" s="278"/>
      <c r="AM84" s="278"/>
      <c r="AN84" s="278"/>
      <c r="AO84" s="20"/>
      <c r="AP84" s="20"/>
      <c r="AQ84" s="20"/>
      <c r="AR84" s="20"/>
      <c r="AS84" s="20"/>
      <c r="AU84" s="84"/>
    </row>
    <row r="85" spans="1:47" ht="16.5" hidden="1" thickTop="1">
      <c r="C85" s="275"/>
      <c r="D85" s="309" t="s">
        <v>31</v>
      </c>
      <c r="E85" s="275"/>
      <c r="F85" s="263"/>
      <c r="G85" s="309" t="s">
        <v>31</v>
      </c>
      <c r="H85" s="275"/>
      <c r="I85" s="263"/>
      <c r="J85" s="1" t="s">
        <v>31</v>
      </c>
      <c r="K85" s="275"/>
      <c r="L85" s="2" t="s">
        <v>31</v>
      </c>
      <c r="M85" s="2"/>
      <c r="N85" s="1" t="s">
        <v>31</v>
      </c>
      <c r="O85" s="275"/>
      <c r="P85" s="2" t="s">
        <v>31</v>
      </c>
      <c r="Q85" s="2"/>
      <c r="R85" s="1" t="s">
        <v>31</v>
      </c>
      <c r="S85" s="275"/>
      <c r="T85" s="2" t="s">
        <v>31</v>
      </c>
      <c r="U85" s="2"/>
      <c r="V85" s="1" t="s">
        <v>31</v>
      </c>
      <c r="W85" s="275"/>
      <c r="X85" s="2" t="s">
        <v>31</v>
      </c>
      <c r="Y85" s="20"/>
      <c r="Z85" s="74"/>
      <c r="AA85" s="74"/>
      <c r="AB85" s="74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U85" s="84"/>
    </row>
    <row r="86" spans="1:47">
      <c r="A86" s="293" t="s">
        <v>368</v>
      </c>
      <c r="B86" s="1"/>
      <c r="C86" s="1"/>
      <c r="D86" s="21"/>
      <c r="E86" s="21"/>
      <c r="F86" s="1"/>
      <c r="G86" s="21"/>
      <c r="H86" s="1"/>
      <c r="I86" s="1"/>
      <c r="J86" s="21"/>
      <c r="K86" s="1"/>
      <c r="L86" s="1"/>
      <c r="M86" s="1"/>
      <c r="N86" s="21"/>
      <c r="O86" s="1"/>
      <c r="P86" s="1"/>
      <c r="Q86" s="1"/>
      <c r="R86" s="21"/>
      <c r="S86" s="1"/>
      <c r="T86" s="1"/>
      <c r="U86" s="1"/>
      <c r="V86" s="21"/>
      <c r="W86" s="1"/>
      <c r="X86" s="1"/>
      <c r="Y86" s="20"/>
      <c r="Z86" s="74"/>
      <c r="AA86" s="74"/>
      <c r="AB86" s="74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U86" s="84"/>
    </row>
    <row r="87" spans="1:47">
      <c r="A87" s="1" t="s">
        <v>369</v>
      </c>
      <c r="B87" s="1"/>
      <c r="C87" s="1"/>
      <c r="D87" s="21"/>
      <c r="E87" s="21"/>
      <c r="F87" s="1"/>
      <c r="G87" s="21"/>
      <c r="H87" s="1"/>
      <c r="I87" s="1"/>
      <c r="J87" s="21"/>
      <c r="K87" s="1"/>
      <c r="L87" s="1"/>
      <c r="M87" s="1"/>
      <c r="N87" s="21"/>
      <c r="O87" s="1"/>
      <c r="P87" s="1"/>
      <c r="Q87" s="1"/>
      <c r="R87" s="21"/>
      <c r="S87" s="1"/>
      <c r="T87" s="1"/>
      <c r="U87" s="1"/>
      <c r="V87" s="21"/>
      <c r="W87" s="1"/>
      <c r="X87" s="1"/>
      <c r="Y87" s="471"/>
      <c r="Z87" s="74"/>
      <c r="AA87" s="74"/>
      <c r="AB87" s="74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U87" s="84"/>
    </row>
    <row r="88" spans="1:47">
      <c r="A88" s="297"/>
      <c r="B88" s="1"/>
      <c r="C88" s="1"/>
      <c r="D88" s="21"/>
      <c r="E88" s="21"/>
      <c r="F88" s="1"/>
      <c r="G88" s="21"/>
      <c r="H88" s="1"/>
      <c r="I88" s="1"/>
      <c r="J88" s="21"/>
      <c r="K88" s="1"/>
      <c r="L88" s="1"/>
      <c r="M88" s="1"/>
      <c r="N88" s="21"/>
      <c r="O88" s="1"/>
      <c r="P88" s="1"/>
      <c r="Q88" s="1"/>
      <c r="R88" s="21"/>
      <c r="S88" s="1"/>
      <c r="T88" s="1"/>
      <c r="U88" s="1"/>
      <c r="V88" s="21"/>
      <c r="W88" s="1"/>
      <c r="X88" s="1"/>
      <c r="Y88" s="20"/>
      <c r="Z88" s="74"/>
      <c r="AA88" s="793" t="s">
        <v>643</v>
      </c>
      <c r="AB88" s="793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U88" s="84"/>
    </row>
    <row r="89" spans="1:47">
      <c r="A89" s="1" t="s">
        <v>370</v>
      </c>
      <c r="B89" s="1"/>
      <c r="C89" s="21">
        <f>C108+C123+C138+C153</f>
        <v>1255621.1094622968</v>
      </c>
      <c r="D89" s="298">
        <v>6</v>
      </c>
      <c r="E89" s="1"/>
      <c r="F89" s="2">
        <f>F108+F123+F138+F153</f>
        <v>7533726</v>
      </c>
      <c r="G89" s="298">
        <v>7.75</v>
      </c>
      <c r="H89" s="1"/>
      <c r="I89" s="2">
        <f>I108+I123+I138+I153</f>
        <v>9731064</v>
      </c>
      <c r="J89" s="298">
        <f>'Rate Design Work'!J88</f>
        <v>14</v>
      </c>
      <c r="K89" s="1"/>
      <c r="L89" s="2">
        <f>L108+L123+L138+L153</f>
        <v>17313810</v>
      </c>
      <c r="M89" s="2"/>
      <c r="N89" s="298">
        <f>'Rate Design Work'!N88</f>
        <v>14</v>
      </c>
      <c r="O89" s="1"/>
      <c r="P89" s="2">
        <f>P108+P123+P138+P153</f>
        <v>17313809.484528609</v>
      </c>
      <c r="Q89" s="2"/>
      <c r="R89" s="301" t="s">
        <v>31</v>
      </c>
      <c r="S89" s="1"/>
      <c r="T89" s="2">
        <f>R89*C89</f>
        <v>0</v>
      </c>
      <c r="U89" s="2"/>
      <c r="V89" s="301" t="s">
        <v>31</v>
      </c>
      <c r="W89" s="1"/>
      <c r="X89" s="2">
        <f>V89*C89</f>
        <v>0</v>
      </c>
      <c r="AB89" s="14">
        <f t="shared" ref="AB89:AB94" si="27">(J89-G89)/G89</f>
        <v>0.80645161290322576</v>
      </c>
      <c r="AC89" s="736" t="s">
        <v>31</v>
      </c>
      <c r="AN89" s="20"/>
      <c r="AO89" s="20"/>
      <c r="AP89" s="20"/>
      <c r="AQ89" s="20"/>
      <c r="AR89" s="20"/>
      <c r="AS89" s="20"/>
      <c r="AU89" s="84"/>
    </row>
    <row r="90" spans="1:47">
      <c r="A90" s="1" t="s">
        <v>373</v>
      </c>
      <c r="B90" s="1"/>
      <c r="C90" s="21">
        <f>C109+C124+C139+C154</f>
        <v>673194199.43478608</v>
      </c>
      <c r="D90" s="299">
        <v>5.9489999999999998</v>
      </c>
      <c r="E90" s="1" t="s">
        <v>374</v>
      </c>
      <c r="F90" s="2">
        <f>F109+F124+F139+F154</f>
        <v>40048323</v>
      </c>
      <c r="G90" s="299">
        <v>6.1989999999999998</v>
      </c>
      <c r="H90" s="1" t="s">
        <v>374</v>
      </c>
      <c r="I90" s="2">
        <f>I109+I124+I139+I154</f>
        <v>41731308</v>
      </c>
      <c r="J90" s="299">
        <f>'Rate Design Work'!J89</f>
        <v>3.9460000000000002</v>
      </c>
      <c r="K90" s="1" t="s">
        <v>374</v>
      </c>
      <c r="L90" s="2">
        <f>L109+L124+L139+L154</f>
        <v>26564242</v>
      </c>
      <c r="M90" s="2"/>
      <c r="N90" s="299">
        <f ca="1">'Rate Design Work'!N89</f>
        <v>1.0805215737536096</v>
      </c>
      <c r="O90" s="1" t="s">
        <v>374</v>
      </c>
      <c r="P90" s="2">
        <f ca="1">N90*C90/100</f>
        <v>7274008.5581507636</v>
      </c>
      <c r="Q90" s="1" t="s">
        <v>31</v>
      </c>
      <c r="R90" s="299">
        <f ca="1">'Rate Design Work'!R89</f>
        <v>1.14190334052872</v>
      </c>
      <c r="S90" s="1" t="s">
        <v>374</v>
      </c>
      <c r="T90" s="2">
        <f ca="1">R90*C90/100</f>
        <v>7687227.0515913963</v>
      </c>
      <c r="U90" s="2"/>
      <c r="V90" s="299">
        <f ca="1">'Rate Design Work'!V89</f>
        <v>1.7225749208771735</v>
      </c>
      <c r="W90" s="1" t="s">
        <v>374</v>
      </c>
      <c r="X90" s="2">
        <f ca="1">(AA104-X89-X92-X93-X94-X95-X96-X100)*L90/(L90+L91)</f>
        <v>11603006.309930427</v>
      </c>
      <c r="Z90" s="88" t="s">
        <v>31</v>
      </c>
      <c r="AA90" s="55" t="s">
        <v>31</v>
      </c>
      <c r="AB90" s="14">
        <f>((J90+J95)-G90)/G90</f>
        <v>6.1461526052589165E-2</v>
      </c>
      <c r="AC90" s="237">
        <f>(G91-G90)/G90</f>
        <v>0.58364252298757868</v>
      </c>
      <c r="AD90" s="237"/>
      <c r="AE90" s="237"/>
      <c r="AG90" s="84"/>
      <c r="AH90" s="84"/>
      <c r="AI90" s="237"/>
      <c r="AN90" s="20"/>
      <c r="AO90" s="20"/>
      <c r="AP90" s="20"/>
      <c r="AQ90" s="20"/>
      <c r="AR90" s="20"/>
      <c r="AS90" s="20"/>
      <c r="AU90" s="84"/>
    </row>
    <row r="91" spans="1:47">
      <c r="A91" s="1" t="s">
        <v>375</v>
      </c>
      <c r="B91" s="1"/>
      <c r="C91" s="21">
        <f>C110+C125+C140+C155</f>
        <v>905507102.20482838</v>
      </c>
      <c r="D91" s="299">
        <v>9.4159999999999986</v>
      </c>
      <c r="E91" s="1" t="s">
        <v>374</v>
      </c>
      <c r="F91" s="2">
        <f>F110+F125+F140+F155</f>
        <v>85262549</v>
      </c>
      <c r="G91" s="299">
        <v>9.8170000000000002</v>
      </c>
      <c r="H91" s="1" t="s">
        <v>374</v>
      </c>
      <c r="I91" s="2">
        <f>I110+I125+I140+I155</f>
        <v>88893632</v>
      </c>
      <c r="J91" s="299">
        <f>'Rate Design Work'!J90</f>
        <v>5.8929999999999998</v>
      </c>
      <c r="K91" s="1" t="s">
        <v>374</v>
      </c>
      <c r="L91" s="2">
        <f>L110+L125+L140+L155</f>
        <v>53361533</v>
      </c>
      <c r="M91" s="2"/>
      <c r="N91" s="299">
        <f ca="1">'Rate Design Work'!N90</f>
        <v>1.6136629083967549</v>
      </c>
      <c r="O91" s="1" t="s">
        <v>374</v>
      </c>
      <c r="P91" s="2">
        <f ca="1">N91*C91/100</f>
        <v>14611832.241177609</v>
      </c>
      <c r="Q91" s="1" t="s">
        <v>31</v>
      </c>
      <c r="R91" s="299">
        <f ca="1">'Rate Design Work'!R90</f>
        <v>1.7053311200297436</v>
      </c>
      <c r="S91" s="1" t="s">
        <v>374</v>
      </c>
      <c r="T91" s="2">
        <f ca="1">R91*C91/100</f>
        <v>15441894.407978475</v>
      </c>
      <c r="U91" s="2"/>
      <c r="V91" s="299">
        <f ca="1">'Rate Design Work'!V90</f>
        <v>2.5740059127191262</v>
      </c>
      <c r="W91" s="1" t="s">
        <v>374</v>
      </c>
      <c r="X91" s="2">
        <f ca="1">V91*C91/100</f>
        <v>23307806.350843903</v>
      </c>
      <c r="Y91" s="300"/>
      <c r="AA91" s="55" t="s">
        <v>31</v>
      </c>
      <c r="AB91" s="14">
        <f>((J91+J96)-G91)/G91</f>
        <v>6.1729652643373725E-2</v>
      </c>
      <c r="AC91" s="237">
        <f>(J91-J90)/J90</f>
        <v>0.49341104916370998</v>
      </c>
      <c r="AD91" s="237">
        <v>0.72450000000000003</v>
      </c>
      <c r="AE91" s="237"/>
      <c r="AG91" s="106"/>
      <c r="AH91" s="106"/>
      <c r="AI91" s="237"/>
      <c r="AN91" s="20"/>
      <c r="AO91" s="20"/>
      <c r="AP91" s="20"/>
      <c r="AQ91" s="20"/>
      <c r="AR91" s="20"/>
      <c r="AS91" s="20"/>
      <c r="AU91" s="84"/>
    </row>
    <row r="92" spans="1:47">
      <c r="A92" s="1" t="s">
        <v>377</v>
      </c>
      <c r="B92" s="1"/>
      <c r="C92" s="21">
        <f>C111+C126+C141+C156</f>
        <v>5446</v>
      </c>
      <c r="D92" s="301">
        <v>1.65</v>
      </c>
      <c r="E92" s="1"/>
      <c r="F92" s="2">
        <f>F111+F126+F141+F156</f>
        <v>8985</v>
      </c>
      <c r="G92" s="301">
        <v>1.65</v>
      </c>
      <c r="H92" s="1"/>
      <c r="I92" s="2">
        <f>I111+I126+I141+I156</f>
        <v>8985</v>
      </c>
      <c r="J92" s="298">
        <f ca="1">'Rate Design Work'!J91</f>
        <v>1.8341595399830823</v>
      </c>
      <c r="K92" s="1"/>
      <c r="L92" s="2">
        <f ca="1">L111+L126+L141+L156</f>
        <v>9989</v>
      </c>
      <c r="M92" s="2"/>
      <c r="N92" s="298" t="str">
        <f>'Rate Design Work'!N91</f>
        <v xml:space="preserve"> </v>
      </c>
      <c r="O92" s="1"/>
      <c r="P92" s="2">
        <f>N92*C92</f>
        <v>0</v>
      </c>
      <c r="Q92" s="2"/>
      <c r="R92" s="301" t="s">
        <v>31</v>
      </c>
      <c r="S92" s="1"/>
      <c r="T92" s="2">
        <f>R92*C92</f>
        <v>0</v>
      </c>
      <c r="U92" s="2"/>
      <c r="V92" s="299">
        <f ca="1">'Rate Design Work'!V91</f>
        <v>1.8341595399830823</v>
      </c>
      <c r="W92" s="1"/>
      <c r="X92" s="2">
        <f ca="1">V92*C92</f>
        <v>9988.8328547478668</v>
      </c>
      <c r="AA92" s="55" t="s">
        <v>31</v>
      </c>
      <c r="AB92" s="14">
        <f t="shared" ca="1" si="27"/>
        <v>0.11161184241398936</v>
      </c>
      <c r="AC92" s="69"/>
      <c r="AG92" s="84"/>
      <c r="AH92" s="84"/>
      <c r="AI92" s="237"/>
      <c r="AN92" s="20"/>
      <c r="AO92" s="20"/>
      <c r="AP92" s="20"/>
      <c r="AQ92" s="20"/>
      <c r="AR92" s="20"/>
      <c r="AS92" s="20"/>
      <c r="AU92" s="84"/>
    </row>
    <row r="93" spans="1:47">
      <c r="A93" s="303" t="s">
        <v>379</v>
      </c>
      <c r="B93" s="303"/>
      <c r="C93" s="21">
        <f>C112+C127+C142+C157</f>
        <v>723</v>
      </c>
      <c r="D93" s="301">
        <v>3.2</v>
      </c>
      <c r="E93" s="303"/>
      <c r="F93" s="2">
        <f>F112+F127+F142+F157</f>
        <v>2313</v>
      </c>
      <c r="G93" s="301">
        <v>3.2</v>
      </c>
      <c r="H93" s="303"/>
      <c r="I93" s="2">
        <f>I112+I127+I142+I157</f>
        <v>2313</v>
      </c>
      <c r="J93" s="298">
        <f ca="1">'Rate Design Work'!J92</f>
        <v>3.6</v>
      </c>
      <c r="K93" s="303"/>
      <c r="L93" s="2">
        <f ca="1">L112+L127+L142+L157</f>
        <v>2603</v>
      </c>
      <c r="M93" s="2"/>
      <c r="N93" s="298" t="str">
        <f>'Rate Design Work'!N92</f>
        <v xml:space="preserve"> </v>
      </c>
      <c r="O93" s="303"/>
      <c r="P93" s="2">
        <f t="shared" ref="P93:P94" si="28">N93*C93</f>
        <v>0</v>
      </c>
      <c r="Q93" s="2"/>
      <c r="R93" s="301" t="s">
        <v>31</v>
      </c>
      <c r="S93" s="303"/>
      <c r="T93" s="2">
        <f>R93*C93</f>
        <v>0</v>
      </c>
      <c r="U93" s="2"/>
      <c r="V93" s="298">
        <f ca="1">'Rate Design Work'!V92</f>
        <v>3.6</v>
      </c>
      <c r="W93" s="303"/>
      <c r="X93" s="2">
        <f ca="1">V93*C93</f>
        <v>2602.8000000000002</v>
      </c>
      <c r="AB93" s="14">
        <f t="shared" ca="1" si="27"/>
        <v>0.12499999999999997</v>
      </c>
      <c r="AC93" s="69"/>
      <c r="AN93" s="20"/>
      <c r="AO93" s="20"/>
      <c r="AP93" s="20"/>
      <c r="AQ93" s="20"/>
      <c r="AR93" s="20"/>
      <c r="AS93" s="20"/>
      <c r="AU93" s="84"/>
    </row>
    <row r="94" spans="1:47">
      <c r="A94" s="303" t="s">
        <v>380</v>
      </c>
      <c r="B94" s="303"/>
      <c r="C94" s="21">
        <f>C115+C128+C143+C158</f>
        <v>70</v>
      </c>
      <c r="D94" s="304">
        <v>-1.65</v>
      </c>
      <c r="E94" s="303"/>
      <c r="F94" s="2">
        <f>F115+F128+F143+F158</f>
        <v>-116</v>
      </c>
      <c r="G94" s="304">
        <v>-1.65</v>
      </c>
      <c r="H94" s="303"/>
      <c r="I94" s="2">
        <f>I115+I128+I143+I158</f>
        <v>-116</v>
      </c>
      <c r="J94" s="304">
        <f ca="1">-J92</f>
        <v>-1.8341595399830823</v>
      </c>
      <c r="K94" s="303"/>
      <c r="L94" s="2">
        <f ca="1">L115+L128+L143+L158</f>
        <v>-129</v>
      </c>
      <c r="M94" s="2"/>
      <c r="N94" s="304" t="s">
        <v>31</v>
      </c>
      <c r="O94" s="303"/>
      <c r="P94" s="2">
        <f t="shared" si="28"/>
        <v>0</v>
      </c>
      <c r="Q94" s="2"/>
      <c r="R94" s="304" t="s">
        <v>31</v>
      </c>
      <c r="S94" s="303"/>
      <c r="T94" s="2">
        <f>R94*C94</f>
        <v>0</v>
      </c>
      <c r="U94" s="2"/>
      <c r="V94" s="304">
        <f ca="1">'Rate Design Work'!V93</f>
        <v>-1.8341595399830823</v>
      </c>
      <c r="W94" s="303"/>
      <c r="X94" s="2">
        <f ca="1">V94*C94</f>
        <v>-128.39116779881576</v>
      </c>
      <c r="AB94" s="14">
        <f t="shared" ca="1" si="27"/>
        <v>0.11161184241398936</v>
      </c>
      <c r="AC94" s="69"/>
      <c r="AN94" s="20"/>
      <c r="AO94" s="20"/>
      <c r="AP94" s="20"/>
      <c r="AQ94" s="20"/>
      <c r="AR94" s="20"/>
      <c r="AS94" s="20"/>
      <c r="AU94" s="84"/>
    </row>
    <row r="95" spans="1:47" s="1184" customFormat="1">
      <c r="A95" s="1005" t="s">
        <v>1030</v>
      </c>
      <c r="C95" s="1225">
        <f>C90</f>
        <v>673194199.43478608</v>
      </c>
      <c r="D95" s="269"/>
      <c r="E95" s="1185"/>
      <c r="F95" s="1203"/>
      <c r="G95" s="269"/>
      <c r="H95" s="1185"/>
      <c r="I95" s="1203"/>
      <c r="J95" s="1230">
        <f>'Rate Design Work'!J94</f>
        <v>2.6339999999999999</v>
      </c>
      <c r="K95" s="1219" t="s">
        <v>374</v>
      </c>
      <c r="L95" s="1203">
        <f>L113+L129+L144+L159</f>
        <v>17731935.213112269</v>
      </c>
      <c r="M95" s="1203"/>
      <c r="N95" s="1230" t="str">
        <f>'Rate Design Work'!N94</f>
        <v xml:space="preserve"> </v>
      </c>
      <c r="O95" s="1219" t="s">
        <v>31</v>
      </c>
      <c r="P95" s="2">
        <f>N95*C95/100</f>
        <v>0</v>
      </c>
      <c r="Q95" s="1203"/>
      <c r="R95" s="1230" t="s">
        <v>31</v>
      </c>
      <c r="S95" s="1219" t="s">
        <v>31</v>
      </c>
      <c r="T95" s="2">
        <f>R95*C95/100</f>
        <v>0</v>
      </c>
      <c r="U95" s="1203"/>
      <c r="V95" s="299">
        <f>'Rate Design Work'!V94</f>
        <v>2.6339999999999999</v>
      </c>
      <c r="W95" s="1219" t="s">
        <v>374</v>
      </c>
      <c r="X95" s="2">
        <f>V95*C95/100</f>
        <v>17731935.213112265</v>
      </c>
      <c r="Y95" s="1204">
        <f>'NPC Spread'!D33</f>
        <v>58746390.298440829</v>
      </c>
      <c r="Z95" s="815" t="s">
        <v>913</v>
      </c>
      <c r="AC95" s="1205"/>
      <c r="AD95" s="1205"/>
      <c r="AI95" s="1185"/>
      <c r="AJ95" s="1185"/>
      <c r="AK95" s="1185"/>
      <c r="AL95" s="1185"/>
      <c r="AM95" s="1185"/>
      <c r="AN95" s="1185"/>
      <c r="AO95" s="1185"/>
      <c r="AP95" s="1185"/>
      <c r="AQ95" s="1185"/>
      <c r="AR95" s="1185"/>
      <c r="AS95" s="1185"/>
      <c r="AU95" s="1204"/>
    </row>
    <row r="96" spans="1:47" s="1184" customFormat="1">
      <c r="A96" s="1005" t="s">
        <v>1031</v>
      </c>
      <c r="C96" s="1225">
        <f>C91</f>
        <v>905507102.20482838</v>
      </c>
      <c r="D96" s="269"/>
      <c r="E96" s="1185"/>
      <c r="F96" s="1203"/>
      <c r="G96" s="269"/>
      <c r="H96" s="1185"/>
      <c r="I96" s="1203"/>
      <c r="J96" s="1230">
        <f>'Rate Design Work'!J95</f>
        <v>4.53</v>
      </c>
      <c r="K96" s="1219" t="s">
        <v>374</v>
      </c>
      <c r="L96" s="1203">
        <f>L114+L130+L145+L160</f>
        <v>41019471.729878724</v>
      </c>
      <c r="M96" s="1203"/>
      <c r="N96" s="1230" t="str">
        <f>'Rate Design Work'!N95</f>
        <v xml:space="preserve"> </v>
      </c>
      <c r="O96" s="1219" t="s">
        <v>31</v>
      </c>
      <c r="P96" s="2">
        <f>N96*C96/100</f>
        <v>0</v>
      </c>
      <c r="Q96" s="1203"/>
      <c r="R96" s="1230" t="s">
        <v>31</v>
      </c>
      <c r="S96" s="1219" t="s">
        <v>31</v>
      </c>
      <c r="T96" s="2">
        <f>R96*C96/100</f>
        <v>0</v>
      </c>
      <c r="U96" s="1203"/>
      <c r="V96" s="299">
        <f>'Rate Design Work'!V95</f>
        <v>4.53</v>
      </c>
      <c r="W96" s="1219" t="s">
        <v>374</v>
      </c>
      <c r="X96" s="2">
        <f>V96*C96/100</f>
        <v>41019471.729878724</v>
      </c>
      <c r="Y96" s="1204"/>
      <c r="Z96" s="815"/>
      <c r="AC96" s="801">
        <f>(J96-J95)/J95</f>
        <v>0.71981776765375871</v>
      </c>
      <c r="AD96" s="1205"/>
      <c r="AI96" s="1185"/>
      <c r="AJ96" s="1185"/>
      <c r="AK96" s="1185"/>
      <c r="AL96" s="1185"/>
      <c r="AM96" s="1185"/>
      <c r="AN96" s="1185"/>
      <c r="AO96" s="1185"/>
      <c r="AP96" s="1185"/>
      <c r="AQ96" s="1185"/>
      <c r="AR96" s="1185"/>
      <c r="AS96" s="1185"/>
      <c r="AU96" s="1204"/>
    </row>
    <row r="97" spans="1:47" s="1184" customFormat="1">
      <c r="A97" s="1509" t="s">
        <v>916</v>
      </c>
      <c r="B97" s="1510"/>
      <c r="C97" s="1511"/>
      <c r="D97" s="1512"/>
      <c r="E97" s="1513"/>
      <c r="F97" s="1514"/>
      <c r="G97" s="1515">
        <f>G90</f>
        <v>6.1989999999999998</v>
      </c>
      <c r="H97" s="1516" t="s">
        <v>374</v>
      </c>
      <c r="I97" s="1514"/>
      <c r="J97" s="1515">
        <f>J90+J95</f>
        <v>6.58</v>
      </c>
      <c r="K97" s="1516" t="s">
        <v>374</v>
      </c>
      <c r="L97" s="1514"/>
      <c r="M97" s="1514"/>
      <c r="N97" s="1515">
        <f ca="1">N90+N95</f>
        <v>1.0805215737536096</v>
      </c>
      <c r="O97" s="1516" t="s">
        <v>374</v>
      </c>
      <c r="P97" s="1514"/>
      <c r="Q97" s="1514"/>
      <c r="R97" s="1515">
        <f ca="1">R90+R95</f>
        <v>1.14190334052872</v>
      </c>
      <c r="S97" s="1516" t="s">
        <v>374</v>
      </c>
      <c r="T97" s="1514"/>
      <c r="U97" s="1514"/>
      <c r="V97" s="1515">
        <f ca="1">V90+V95</f>
        <v>4.3565749208771738</v>
      </c>
      <c r="W97" s="1516" t="s">
        <v>374</v>
      </c>
      <c r="X97" s="1514"/>
      <c r="Y97" s="1204"/>
      <c r="Z97" s="815"/>
      <c r="AC97" s="1205"/>
      <c r="AD97" s="1205"/>
      <c r="AI97" s="1185"/>
      <c r="AJ97" s="1185"/>
      <c r="AK97" s="1185"/>
      <c r="AL97" s="1185"/>
      <c r="AM97" s="1185"/>
      <c r="AN97" s="1185"/>
      <c r="AO97" s="1185"/>
      <c r="AP97" s="1185"/>
      <c r="AQ97" s="1185"/>
      <c r="AR97" s="1185"/>
      <c r="AS97" s="1185"/>
      <c r="AU97" s="1204"/>
    </row>
    <row r="98" spans="1:47" s="1184" customFormat="1">
      <c r="A98" s="1509" t="s">
        <v>917</v>
      </c>
      <c r="B98" s="1510"/>
      <c r="C98" s="1511"/>
      <c r="D98" s="1512"/>
      <c r="E98" s="1513"/>
      <c r="F98" s="1514"/>
      <c r="G98" s="1515">
        <f>G91</f>
        <v>9.8170000000000002</v>
      </c>
      <c r="H98" s="1516" t="s">
        <v>374</v>
      </c>
      <c r="I98" s="1514"/>
      <c r="J98" s="1515">
        <f>J91+J96</f>
        <v>10.423</v>
      </c>
      <c r="K98" s="1516" t="s">
        <v>374</v>
      </c>
      <c r="L98" s="1514"/>
      <c r="M98" s="1514"/>
      <c r="N98" s="1515">
        <f ca="1">N91+N96</f>
        <v>1.6136629083967549</v>
      </c>
      <c r="O98" s="1516" t="s">
        <v>374</v>
      </c>
      <c r="P98" s="1514"/>
      <c r="Q98" s="1514"/>
      <c r="R98" s="1515">
        <f ca="1">R91+R96</f>
        <v>1.7053311200297436</v>
      </c>
      <c r="S98" s="1516" t="s">
        <v>374</v>
      </c>
      <c r="T98" s="1514"/>
      <c r="U98" s="1514"/>
      <c r="V98" s="1515">
        <f ca="1">V91+V96</f>
        <v>7.104005912719126</v>
      </c>
      <c r="W98" s="1516" t="s">
        <v>374</v>
      </c>
      <c r="X98" s="1514"/>
      <c r="Y98" s="1204"/>
      <c r="Z98" s="815"/>
      <c r="AC98" s="801">
        <f>(J98-J97)/J97</f>
        <v>0.58404255319148934</v>
      </c>
      <c r="AD98" s="1205"/>
      <c r="AI98" s="1185"/>
      <c r="AJ98" s="1185"/>
      <c r="AK98" s="1185"/>
      <c r="AL98" s="1185"/>
      <c r="AM98" s="1185"/>
      <c r="AN98" s="1185"/>
      <c r="AO98" s="1185"/>
      <c r="AP98" s="1185"/>
      <c r="AQ98" s="1185"/>
      <c r="AR98" s="1185"/>
      <c r="AS98" s="1185"/>
      <c r="AU98" s="1204"/>
    </row>
    <row r="99" spans="1:47">
      <c r="A99" s="1" t="s">
        <v>381</v>
      </c>
      <c r="B99" s="305"/>
      <c r="C99" s="21">
        <f>C116+C131+C146+C161</f>
        <v>1578701301.6396146</v>
      </c>
      <c r="D99" s="988"/>
      <c r="E99" s="2"/>
      <c r="F99" s="2">
        <f t="shared" ref="F99" si="29">F116+F131+F146+F161</f>
        <v>132855780</v>
      </c>
      <c r="G99" s="988"/>
      <c r="H99" s="2"/>
      <c r="I99" s="2">
        <f>I116+I131+I146+I161</f>
        <v>140367186</v>
      </c>
      <c r="J99" s="2"/>
      <c r="K99" s="2"/>
      <c r="L99" s="2">
        <f t="shared" ref="L99" ca="1" si="30">L116+L131+L146+L161</f>
        <v>156003454.94299099</v>
      </c>
      <c r="M99" s="2"/>
      <c r="N99" s="2"/>
      <c r="O99" s="2"/>
      <c r="P99" s="2">
        <f ca="1">SUM(P89:P98)</f>
        <v>39199650.283856981</v>
      </c>
      <c r="Q99" s="2"/>
      <c r="R99" s="2"/>
      <c r="S99" s="2"/>
      <c r="T99" s="2">
        <f ca="1">SUM(T89:T98)</f>
        <v>23129121.459569871</v>
      </c>
      <c r="U99" s="2"/>
      <c r="V99" s="2"/>
      <c r="W99" s="2"/>
      <c r="X99" s="2">
        <f ca="1">SUM(X89:X98)</f>
        <v>93674682.845452264</v>
      </c>
      <c r="Z99" s="14"/>
      <c r="AN99" s="20"/>
      <c r="AO99" s="20"/>
      <c r="AP99" s="20"/>
      <c r="AQ99" s="20"/>
      <c r="AR99" s="20"/>
      <c r="AS99" s="20"/>
      <c r="AU99" s="84"/>
    </row>
    <row r="100" spans="1:47">
      <c r="A100" s="1" t="s">
        <v>363</v>
      </c>
      <c r="B100" s="307"/>
      <c r="C100" s="308">
        <f>C117+C132+C147+C162</f>
        <v>-5866444.8608882269</v>
      </c>
      <c r="D100" s="309"/>
      <c r="E100" s="309"/>
      <c r="F100" s="310">
        <f>I100</f>
        <v>-279067.18391184526</v>
      </c>
      <c r="G100" s="309"/>
      <c r="H100" s="309"/>
      <c r="I100" s="308">
        <f>I117+I132+I147+I162</f>
        <v>-279067.18391184526</v>
      </c>
      <c r="J100" s="309"/>
      <c r="K100" s="309"/>
      <c r="L100" s="310">
        <f>I100</f>
        <v>-279067.18391184526</v>
      </c>
      <c r="M100" s="51"/>
      <c r="N100" s="309"/>
      <c r="O100" s="309"/>
      <c r="P100" s="310">
        <f ca="1">$L$100*Y104/($Y$104+$Z$104+$AA$104)</f>
        <v>-70122.396730853754</v>
      </c>
      <c r="Q100" s="51"/>
      <c r="R100" s="309"/>
      <c r="S100" s="309"/>
      <c r="T100" s="310">
        <f ca="1">$L$100*Z104/($Y$104+$Z$104+$AA$104)</f>
        <v>-41374.588751485768</v>
      </c>
      <c r="U100" s="51"/>
      <c r="V100" s="309"/>
      <c r="W100" s="309"/>
      <c r="X100" s="310">
        <f ca="1">$L$100*AA104/($Y$104+$Z$104+$AA$104)</f>
        <v>-167570.19842950572</v>
      </c>
      <c r="AN100" s="20"/>
      <c r="AO100" s="20"/>
      <c r="AP100" s="20"/>
      <c r="AQ100" s="20"/>
      <c r="AR100" s="20"/>
      <c r="AS100" s="20"/>
      <c r="AU100" s="84"/>
    </row>
    <row r="101" spans="1:47" ht="16.5" thickBot="1">
      <c r="A101" s="1" t="s">
        <v>382</v>
      </c>
      <c r="B101" s="1"/>
      <c r="C101" s="311">
        <f>C99+C100</f>
        <v>1572834856.7787263</v>
      </c>
      <c r="D101" s="312"/>
      <c r="E101" s="312"/>
      <c r="F101" s="312">
        <f>F99+F100</f>
        <v>132576712.81608815</v>
      </c>
      <c r="G101" s="312"/>
      <c r="H101" s="312"/>
      <c r="I101" s="312">
        <f>I99+I100</f>
        <v>140088118.81608814</v>
      </c>
      <c r="J101" s="312"/>
      <c r="K101" s="312"/>
      <c r="L101" s="312">
        <f ca="1">L99+L100</f>
        <v>155724387.75907913</v>
      </c>
      <c r="M101" s="312"/>
      <c r="N101" s="312"/>
      <c r="O101" s="312"/>
      <c r="P101" s="312">
        <f ca="1">P99+P100</f>
        <v>39129527.887126125</v>
      </c>
      <c r="Q101" s="312"/>
      <c r="R101" s="312"/>
      <c r="S101" s="312"/>
      <c r="T101" s="312">
        <f ca="1">T99+T100</f>
        <v>23087746.870818384</v>
      </c>
      <c r="U101" s="312"/>
      <c r="V101" s="312"/>
      <c r="W101" s="312"/>
      <c r="X101" s="312">
        <f ca="1">X99+X100</f>
        <v>93507112.647022754</v>
      </c>
      <c r="Y101" s="784" t="s">
        <v>364</v>
      </c>
      <c r="Z101" s="1129">
        <f ca="1">'Rate Spread targets'!Q16*1000</f>
        <v>155723611.85746157</v>
      </c>
      <c r="AA101" s="818">
        <f ca="1">'Rate Spread targets'!V16</f>
        <v>0.11161184241398937</v>
      </c>
      <c r="AB101" s="777"/>
      <c r="AC101" s="4" t="s">
        <v>31</v>
      </c>
      <c r="AD101" s="4" t="s">
        <v>31</v>
      </c>
      <c r="AN101" s="20"/>
      <c r="AO101" s="20"/>
      <c r="AP101" s="20"/>
      <c r="AQ101" s="20"/>
      <c r="AR101" s="20"/>
      <c r="AS101" s="20"/>
      <c r="AU101" s="84"/>
    </row>
    <row r="102" spans="1:47" ht="16.5" thickTop="1">
      <c r="A102" s="1"/>
      <c r="B102" s="1"/>
      <c r="C102" s="350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 t="s">
        <v>31</v>
      </c>
      <c r="Y102" s="112" t="s">
        <v>263</v>
      </c>
      <c r="Z102" s="811">
        <f ca="1">Z101-L101</f>
        <v>-775.90161755681038</v>
      </c>
      <c r="AA102" s="409">
        <v>1.6049999999999998E-2</v>
      </c>
      <c r="AB102" s="777"/>
      <c r="AC102" s="4"/>
      <c r="AD102" s="4"/>
      <c r="AN102" s="20"/>
      <c r="AO102" s="20"/>
      <c r="AP102" s="20"/>
      <c r="AQ102" s="20"/>
      <c r="AR102" s="20"/>
      <c r="AS102" s="20"/>
      <c r="AU102" s="84"/>
    </row>
    <row r="103" spans="1:47" hidden="1">
      <c r="A103" s="1"/>
      <c r="B103" s="1"/>
      <c r="C103" s="350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>
        <f ca="1">X102-L101</f>
        <v>-155724387.75907913</v>
      </c>
      <c r="Y103" s="1581">
        <f>'Exh No.__(JRS-17) p11'!J33+'Exh No.__(JRS-17) p11'!K33+'Exh No.__(JRS-17) p11'!L33</f>
        <v>0.25127424782773733</v>
      </c>
      <c r="Z103" s="744">
        <f>'Exh No.__(JRS-17) p11'!I33</f>
        <v>0.14826031556815231</v>
      </c>
      <c r="AA103" s="1582">
        <f>'Exh No.__(JRS-17) p11'!H33</f>
        <v>0.60046543660411034</v>
      </c>
      <c r="AB103" s="777"/>
      <c r="AC103" s="4"/>
      <c r="AD103" s="4"/>
      <c r="AN103" s="20"/>
      <c r="AO103" s="20"/>
      <c r="AP103" s="20"/>
      <c r="AQ103" s="20"/>
      <c r="AR103" s="20"/>
      <c r="AS103" s="20"/>
      <c r="AU103" s="84"/>
    </row>
    <row r="104" spans="1:47" hidden="1">
      <c r="A104" s="1"/>
      <c r="B104" s="313"/>
      <c r="C104" s="21"/>
      <c r="D104" s="1" t="s">
        <v>31</v>
      </c>
      <c r="E104" s="21"/>
      <c r="G104" s="1" t="s">
        <v>31</v>
      </c>
      <c r="H104" s="1"/>
      <c r="J104" s="1" t="s">
        <v>31</v>
      </c>
      <c r="K104" s="1"/>
      <c r="L104" s="2"/>
      <c r="M104" s="2"/>
      <c r="N104" s="1" t="s">
        <v>31</v>
      </c>
      <c r="O104" s="1"/>
      <c r="Y104" s="1204">
        <f ca="1">Y103*$L$101</f>
        <v>39129528.402597517</v>
      </c>
      <c r="Z104" s="1204">
        <f t="shared" ref="Z104:AA104" ca="1" si="31">Z103*$L$101</f>
        <v>23087746.870818384</v>
      </c>
      <c r="AA104" s="1204">
        <f t="shared" ca="1" si="31"/>
        <v>93507112.48566322</v>
      </c>
      <c r="AB104" s="823"/>
      <c r="AN104" s="20"/>
      <c r="AO104" s="20"/>
      <c r="AP104" s="20"/>
      <c r="AQ104" s="20"/>
      <c r="AR104" s="20"/>
      <c r="AS104" s="20"/>
      <c r="AU104" s="84"/>
    </row>
    <row r="105" spans="1:47">
      <c r="A105" s="293" t="s">
        <v>383</v>
      </c>
      <c r="B105" s="1"/>
      <c r="C105" s="1" t="s">
        <v>31</v>
      </c>
      <c r="D105" s="21"/>
      <c r="E105" s="21"/>
      <c r="F105" s="1"/>
      <c r="G105" s="21"/>
      <c r="H105" s="1"/>
      <c r="I105" s="1"/>
      <c r="J105" s="21"/>
      <c r="K105" s="1"/>
      <c r="L105" s="1699" t="s">
        <v>31</v>
      </c>
      <c r="M105" s="1"/>
      <c r="N105" s="21"/>
      <c r="O105" s="1"/>
      <c r="P105" s="1"/>
      <c r="Q105" s="1"/>
      <c r="R105" s="21"/>
      <c r="S105" s="1"/>
      <c r="T105" s="1"/>
      <c r="U105" s="1"/>
      <c r="V105" s="21"/>
      <c r="W105" s="1"/>
      <c r="X105" s="1"/>
      <c r="Y105" s="2"/>
      <c r="Z105" s="2"/>
      <c r="AA105" s="2"/>
      <c r="AB105" s="1"/>
      <c r="AD105" s="2"/>
      <c r="AE105" s="1" t="s">
        <v>31</v>
      </c>
      <c r="AF105" s="1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U105" s="84"/>
    </row>
    <row r="106" spans="1:47">
      <c r="A106" s="1" t="s">
        <v>330</v>
      </c>
      <c r="B106" s="1"/>
      <c r="C106" s="1" t="s">
        <v>31</v>
      </c>
      <c r="D106" s="21"/>
      <c r="E106" s="21"/>
      <c r="F106" s="1"/>
      <c r="G106" s="21"/>
      <c r="H106" s="1"/>
      <c r="I106" s="1"/>
      <c r="J106" s="21"/>
      <c r="K106" s="1"/>
      <c r="L106" s="1"/>
      <c r="M106" s="1"/>
      <c r="N106" s="21"/>
      <c r="O106" s="1"/>
      <c r="P106" s="1" t="s">
        <v>31</v>
      </c>
      <c r="Q106" s="1"/>
      <c r="R106" s="21"/>
      <c r="S106" s="1"/>
      <c r="T106" s="1"/>
      <c r="U106" s="1"/>
      <c r="V106" s="21"/>
      <c r="W106" s="1"/>
      <c r="X106" s="1"/>
      <c r="Y106" s="20"/>
      <c r="Z106" s="74"/>
      <c r="AA106" s="74"/>
      <c r="AB106" s="74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U106" s="84"/>
    </row>
    <row r="107" spans="1:47">
      <c r="A107" s="348" t="s">
        <v>693</v>
      </c>
      <c r="B107" s="1"/>
      <c r="C107" s="1"/>
      <c r="D107" s="21"/>
      <c r="E107" s="21"/>
      <c r="F107" s="1"/>
      <c r="G107" s="21"/>
      <c r="H107" s="1"/>
      <c r="I107" s="1"/>
      <c r="J107" s="21"/>
      <c r="K107" s="1"/>
      <c r="L107" s="1"/>
      <c r="M107" s="1"/>
      <c r="N107" s="21"/>
      <c r="O107" s="1"/>
      <c r="P107" s="1"/>
      <c r="Q107" s="1"/>
      <c r="R107" s="21"/>
      <c r="S107" s="1"/>
      <c r="T107" s="1"/>
      <c r="U107" s="1"/>
      <c r="V107" s="21"/>
      <c r="W107" s="1"/>
      <c r="X107" s="1"/>
      <c r="Y107" s="20"/>
      <c r="Z107" s="74"/>
      <c r="AA107" s="74"/>
      <c r="AB107" s="74"/>
      <c r="AC107" s="7" t="s">
        <v>31</v>
      </c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U107" s="84"/>
    </row>
    <row r="108" spans="1:47">
      <c r="A108" s="1" t="s">
        <v>370</v>
      </c>
      <c r="B108" s="1"/>
      <c r="C108" s="21">
        <f>[44]Sheet1!$C$2+[45]Sheet1!$C$2</f>
        <v>1203932.9121504687</v>
      </c>
      <c r="D108" s="298">
        <v>6</v>
      </c>
      <c r="E108" s="1"/>
      <c r="F108" s="2">
        <f>ROUND(D108*$C108,0)</f>
        <v>7223597</v>
      </c>
      <c r="G108" s="298">
        <v>7.75</v>
      </c>
      <c r="H108" s="1"/>
      <c r="I108" s="2">
        <f>ROUND(G108*C108,0)</f>
        <v>9330480</v>
      </c>
      <c r="J108" s="298">
        <f>$J$89</f>
        <v>14</v>
      </c>
      <c r="K108" s="1"/>
      <c r="L108" s="2">
        <f>ROUND(J108*$C108,0)</f>
        <v>16855061</v>
      </c>
      <c r="M108" s="2"/>
      <c r="N108" s="298">
        <f>N89</f>
        <v>14</v>
      </c>
      <c r="O108" s="1"/>
      <c r="P108" s="2">
        <f>'Rate Design Work'!P107</f>
        <v>16855060.770106561</v>
      </c>
      <c r="Q108" s="2"/>
      <c r="R108" s="298" t="str">
        <f>$R$89</f>
        <v xml:space="preserve"> </v>
      </c>
      <c r="S108" s="1"/>
      <c r="T108" s="2">
        <f>'Rate Design Work'!T107</f>
        <v>0</v>
      </c>
      <c r="U108" s="2"/>
      <c r="V108" s="298" t="str">
        <f>$V$89</f>
        <v xml:space="preserve"> </v>
      </c>
      <c r="W108" s="1"/>
      <c r="X108" s="2">
        <f>'Rate Design Work'!X107</f>
        <v>0</v>
      </c>
      <c r="Y108" s="20"/>
      <c r="Z108" s="74"/>
      <c r="AA108" s="74"/>
      <c r="AB108" s="74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U108" s="84"/>
    </row>
    <row r="109" spans="1:47">
      <c r="A109" s="1" t="s">
        <v>373</v>
      </c>
      <c r="B109" s="1"/>
      <c r="C109" s="21">
        <f>([44]Sheet1!$E$2+[45]Sheet1!$E$2)+Temperature!C22*1000</f>
        <v>644426915.35797787</v>
      </c>
      <c r="D109" s="299">
        <v>5.9489999999999998</v>
      </c>
      <c r="E109" s="1" t="s">
        <v>374</v>
      </c>
      <c r="F109" s="2">
        <f>ROUND(D109*$C109/100,0)</f>
        <v>38336957</v>
      </c>
      <c r="G109" s="299">
        <v>6.1989999999999998</v>
      </c>
      <c r="H109" s="1" t="s">
        <v>374</v>
      </c>
      <c r="I109" s="2">
        <f>ROUND(C109*G109/100,0)</f>
        <v>39948024</v>
      </c>
      <c r="J109" s="299">
        <f>$J$90</f>
        <v>3.9460000000000002</v>
      </c>
      <c r="K109" s="1" t="s">
        <v>374</v>
      </c>
      <c r="L109" s="2">
        <f>ROUND(J109*$C109/100,0)</f>
        <v>25429086</v>
      </c>
      <c r="M109" s="2"/>
      <c r="N109" s="299">
        <f ca="1">N90</f>
        <v>1.0805215737536096</v>
      </c>
      <c r="O109" s="1" t="s">
        <v>374</v>
      </c>
      <c r="P109" s="2">
        <f ca="1">'Rate Design Work'!P108</f>
        <v>6963171.8475178638</v>
      </c>
      <c r="Q109" s="2"/>
      <c r="R109" s="299">
        <f ca="1">R90</f>
        <v>1.14190334052872</v>
      </c>
      <c r="S109" s="1" t="s">
        <v>374</v>
      </c>
      <c r="T109" s="2">
        <f ca="1">'Rate Design Work'!T108</f>
        <v>7358732</v>
      </c>
      <c r="U109" s="2"/>
      <c r="V109" s="299">
        <f ca="1">V90</f>
        <v>1.7225749208771735</v>
      </c>
      <c r="W109" s="1" t="s">
        <v>374</v>
      </c>
      <c r="X109" s="2">
        <f ca="1">'Rate Design Work'!X108</f>
        <v>11100736</v>
      </c>
      <c r="Y109" s="20"/>
      <c r="Z109" s="74"/>
      <c r="AA109" s="74"/>
      <c r="AB109" s="74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U109" s="84"/>
    </row>
    <row r="110" spans="1:47">
      <c r="A110" s="1" t="s">
        <v>375</v>
      </c>
      <c r="B110" s="21"/>
      <c r="C110" s="21">
        <f>([44]Sheet1!$D$2+[45]Sheet1!$D$2)-C109+Temperature!B22*1000</f>
        <v>866994099.18169856</v>
      </c>
      <c r="D110" s="299">
        <v>9.4159999999999986</v>
      </c>
      <c r="E110" s="1" t="s">
        <v>374</v>
      </c>
      <c r="F110" s="2">
        <f>ROUND(D110*$C110/100,0)</f>
        <v>81636164</v>
      </c>
      <c r="G110" s="299">
        <v>9.8170000000000002</v>
      </c>
      <c r="H110" s="1" t="s">
        <v>374</v>
      </c>
      <c r="I110" s="2">
        <f>ROUND(C110*G110/100,0)</f>
        <v>85112811</v>
      </c>
      <c r="J110" s="299">
        <f>$J$91</f>
        <v>5.8929999999999998</v>
      </c>
      <c r="K110" s="1" t="s">
        <v>374</v>
      </c>
      <c r="L110" s="2">
        <f>ROUND(J110*$C110/100,0)</f>
        <v>51091962</v>
      </c>
      <c r="M110" s="2"/>
      <c r="N110" s="299">
        <f ca="1">N91</f>
        <v>1.6136629083967549</v>
      </c>
      <c r="O110" s="1" t="s">
        <v>374</v>
      </c>
      <c r="P110" s="2">
        <f ca="1">'Rate Design Work'!P109</f>
        <v>13990362.196483644</v>
      </c>
      <c r="Q110" s="2"/>
      <c r="R110" s="299">
        <f ca="1">R91</f>
        <v>1.7053311200297436</v>
      </c>
      <c r="S110" s="1" t="s">
        <v>374</v>
      </c>
      <c r="T110" s="2">
        <f ca="1">'Rate Design Work'!T109</f>
        <v>14785120</v>
      </c>
      <c r="U110" s="2"/>
      <c r="V110" s="299">
        <f ca="1">V91</f>
        <v>2.5740059127191262</v>
      </c>
      <c r="W110" s="1" t="s">
        <v>374</v>
      </c>
      <c r="X110" s="2">
        <f ca="1">'Rate Design Work'!X109</f>
        <v>22316479</v>
      </c>
      <c r="Y110" s="20"/>
      <c r="Z110" s="74"/>
      <c r="AA110" s="74"/>
      <c r="AB110" s="74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U110" s="84"/>
    </row>
    <row r="111" spans="1:47">
      <c r="A111" s="1" t="s">
        <v>377</v>
      </c>
      <c r="B111" s="1"/>
      <c r="C111" s="21">
        <v>0</v>
      </c>
      <c r="D111" s="301">
        <v>1.65</v>
      </c>
      <c r="E111" s="1"/>
      <c r="F111" s="2">
        <f>ROUND(D111*$C111,0)</f>
        <v>0</v>
      </c>
      <c r="G111" s="301">
        <v>1.65</v>
      </c>
      <c r="H111" s="1"/>
      <c r="I111" s="2">
        <v>0</v>
      </c>
      <c r="J111" s="301">
        <f ca="1">$J$92</f>
        <v>1.8341595399830823</v>
      </c>
      <c r="K111" s="1"/>
      <c r="L111" s="2">
        <f ca="1">ROUND(J111*$C111,0)</f>
        <v>0</v>
      </c>
      <c r="M111" s="2"/>
      <c r="N111" s="301" t="str">
        <f>N92</f>
        <v xml:space="preserve"> </v>
      </c>
      <c r="O111" s="1"/>
      <c r="P111" s="2">
        <f>'Rate Design Work'!P110</f>
        <v>0</v>
      </c>
      <c r="Q111" s="2"/>
      <c r="R111" s="301" t="str">
        <f>R92</f>
        <v xml:space="preserve"> </v>
      </c>
      <c r="S111" s="1"/>
      <c r="T111" s="2">
        <f>'Rate Design Work'!T110</f>
        <v>0</v>
      </c>
      <c r="U111" s="2"/>
      <c r="V111" s="301">
        <f ca="1">V92</f>
        <v>1.8341595399830823</v>
      </c>
      <c r="W111" s="1"/>
      <c r="X111" s="2">
        <f ca="1">'Rate Design Work'!X110</f>
        <v>0</v>
      </c>
      <c r="Y111" s="20"/>
      <c r="Z111" s="74"/>
      <c r="AA111" s="74"/>
      <c r="AB111" s="74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U111" s="84"/>
    </row>
    <row r="112" spans="1:47">
      <c r="A112" s="303" t="s">
        <v>379</v>
      </c>
      <c r="B112" s="303"/>
      <c r="C112" s="21">
        <v>0</v>
      </c>
      <c r="D112" s="301">
        <v>3.2</v>
      </c>
      <c r="E112" s="303"/>
      <c r="F112" s="2">
        <f>ROUND(D112*$C112,0)</f>
        <v>0</v>
      </c>
      <c r="G112" s="301">
        <v>3.2</v>
      </c>
      <c r="H112" s="303"/>
      <c r="I112" s="2">
        <v>0</v>
      </c>
      <c r="J112" s="301">
        <f ca="1">$J$93</f>
        <v>3.6</v>
      </c>
      <c r="K112" s="303"/>
      <c r="L112" s="2">
        <f ca="1">ROUND(J112*$C112,0)</f>
        <v>0</v>
      </c>
      <c r="M112" s="2"/>
      <c r="N112" s="301" t="str">
        <f>N93</f>
        <v xml:space="preserve"> </v>
      </c>
      <c r="O112" s="303"/>
      <c r="P112" s="2">
        <f>'Rate Design Work'!P111</f>
        <v>0</v>
      </c>
      <c r="Q112" s="2"/>
      <c r="R112" s="301" t="str">
        <f t="shared" ref="R112:R115" si="32">R93</f>
        <v xml:space="preserve"> </v>
      </c>
      <c r="S112" s="303"/>
      <c r="T112" s="2">
        <f>'Rate Design Work'!T111</f>
        <v>0</v>
      </c>
      <c r="U112" s="2"/>
      <c r="V112" s="301">
        <f ca="1">V93</f>
        <v>3.6</v>
      </c>
      <c r="W112" s="303"/>
      <c r="X112" s="2">
        <f ca="1">'Rate Design Work'!X111</f>
        <v>0</v>
      </c>
      <c r="Y112" s="20"/>
      <c r="Z112" s="74"/>
      <c r="AA112" s="74"/>
      <c r="AB112" s="74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U112" s="84"/>
    </row>
    <row r="113" spans="1:47" s="1184" customFormat="1">
      <c r="A113" s="1005" t="s">
        <v>1030</v>
      </c>
      <c r="C113" s="1202">
        <f>C109</f>
        <v>644426915.35797787</v>
      </c>
      <c r="D113" s="269"/>
      <c r="E113" s="1185"/>
      <c r="F113" s="1203"/>
      <c r="G113" s="269"/>
      <c r="H113" s="1185"/>
      <c r="I113" s="1203"/>
      <c r="J113" s="1230">
        <f>J95</f>
        <v>2.6339999999999999</v>
      </c>
      <c r="K113" s="1219" t="s">
        <v>374</v>
      </c>
      <c r="L113" s="1203">
        <f t="shared" ref="L113:L114" si="33">J113*C113/100</f>
        <v>16974204.950529136</v>
      </c>
      <c r="M113" s="1203"/>
      <c r="N113" s="1230" t="str">
        <f>N95</f>
        <v xml:space="preserve"> </v>
      </c>
      <c r="O113" s="1219" t="s">
        <v>31</v>
      </c>
      <c r="P113" s="2">
        <f>'Rate Design Work'!P112</f>
        <v>0</v>
      </c>
      <c r="Q113" s="1203"/>
      <c r="R113" s="301" t="str">
        <f t="shared" si="32"/>
        <v xml:space="preserve"> </v>
      </c>
      <c r="S113" s="1219" t="s">
        <v>31</v>
      </c>
      <c r="T113" s="2">
        <f>'Rate Design Work'!T112</f>
        <v>0</v>
      </c>
      <c r="U113" s="1203"/>
      <c r="V113" s="1230">
        <f>J113</f>
        <v>2.6339999999999999</v>
      </c>
      <c r="W113" s="1219" t="s">
        <v>374</v>
      </c>
      <c r="X113" s="2">
        <f>'Rate Design Work'!X112</f>
        <v>16974204.950529136</v>
      </c>
      <c r="Z113" s="815"/>
      <c r="AC113" s="1205"/>
      <c r="AD113" s="1205"/>
      <c r="AI113" s="1185"/>
      <c r="AJ113" s="1185"/>
      <c r="AK113" s="1185"/>
      <c r="AL113" s="1185"/>
      <c r="AM113" s="1185"/>
      <c r="AN113" s="1185"/>
      <c r="AO113" s="1185"/>
      <c r="AP113" s="1185"/>
      <c r="AQ113" s="1185"/>
      <c r="AR113" s="1185"/>
      <c r="AS113" s="1185"/>
      <c r="AU113" s="1204"/>
    </row>
    <row r="114" spans="1:47" s="1184" customFormat="1">
      <c r="A114" s="1005" t="s">
        <v>1031</v>
      </c>
      <c r="C114" s="1202">
        <f>C110</f>
        <v>866994099.18169856</v>
      </c>
      <c r="D114" s="269"/>
      <c r="E114" s="1185"/>
      <c r="F114" s="1203"/>
      <c r="G114" s="269"/>
      <c r="H114" s="1185"/>
      <c r="I114" s="1203"/>
      <c r="J114" s="1230">
        <f>J96</f>
        <v>4.53</v>
      </c>
      <c r="K114" s="1219" t="s">
        <v>374</v>
      </c>
      <c r="L114" s="1203">
        <f t="shared" si="33"/>
        <v>39274832.692930944</v>
      </c>
      <c r="M114" s="1203"/>
      <c r="N114" s="1230" t="str">
        <f>N96</f>
        <v xml:space="preserve"> </v>
      </c>
      <c r="O114" s="1219" t="s">
        <v>31</v>
      </c>
      <c r="P114" s="2">
        <f>'Rate Design Work'!P113</f>
        <v>0</v>
      </c>
      <c r="Q114" s="1203"/>
      <c r="R114" s="301" t="str">
        <f t="shared" si="32"/>
        <v xml:space="preserve"> </v>
      </c>
      <c r="S114" s="1219" t="s">
        <v>31</v>
      </c>
      <c r="T114" s="2">
        <f>'Rate Design Work'!T113</f>
        <v>0</v>
      </c>
      <c r="U114" s="1203"/>
      <c r="V114" s="1230">
        <f>J114</f>
        <v>4.53</v>
      </c>
      <c r="W114" s="1219" t="s">
        <v>374</v>
      </c>
      <c r="X114" s="2">
        <f>'Rate Design Work'!X113</f>
        <v>39274832.692930944</v>
      </c>
      <c r="Z114" s="815"/>
      <c r="AC114" s="1205"/>
      <c r="AD114" s="1205"/>
      <c r="AI114" s="1185"/>
      <c r="AJ114" s="1185"/>
      <c r="AK114" s="1185"/>
      <c r="AL114" s="1185"/>
      <c r="AM114" s="1185"/>
      <c r="AN114" s="1185"/>
      <c r="AO114" s="1185"/>
      <c r="AP114" s="1185"/>
      <c r="AQ114" s="1185"/>
      <c r="AR114" s="1185"/>
      <c r="AS114" s="1185"/>
      <c r="AU114" s="1204"/>
    </row>
    <row r="115" spans="1:47">
      <c r="A115" s="303" t="s">
        <v>380</v>
      </c>
      <c r="B115" s="303"/>
      <c r="C115" s="21">
        <v>0</v>
      </c>
      <c r="D115" s="304">
        <v>-1.65</v>
      </c>
      <c r="E115" s="303"/>
      <c r="F115" s="2">
        <f>ROUND(D115*$C115,0)</f>
        <v>0</v>
      </c>
      <c r="G115" s="304">
        <v>-1.65</v>
      </c>
      <c r="H115" s="303"/>
      <c r="I115" s="2">
        <v>0</v>
      </c>
      <c r="J115" s="304">
        <f ca="1">-J111</f>
        <v>-1.8341595399830823</v>
      </c>
      <c r="K115" s="303"/>
      <c r="L115" s="2">
        <f ca="1">ROUND(J115*$C115,0)</f>
        <v>0</v>
      </c>
      <c r="M115" s="2"/>
      <c r="N115" s="304" t="str">
        <f>N94</f>
        <v xml:space="preserve"> </v>
      </c>
      <c r="O115" s="303"/>
      <c r="P115" s="2">
        <f>'Rate Design Work'!P114</f>
        <v>0</v>
      </c>
      <c r="Q115" s="2"/>
      <c r="R115" s="301" t="str">
        <f t="shared" si="32"/>
        <v xml:space="preserve"> </v>
      </c>
      <c r="S115" s="303"/>
      <c r="T115" s="2">
        <f>'Rate Design Work'!T114</f>
        <v>0</v>
      </c>
      <c r="U115" s="2"/>
      <c r="V115" s="304">
        <f ca="1">-V111</f>
        <v>-1.8341595399830823</v>
      </c>
      <c r="W115" s="303"/>
      <c r="X115" s="2">
        <f ca="1">'Rate Design Work'!X114</f>
        <v>0</v>
      </c>
      <c r="Y115" s="20"/>
      <c r="Z115" s="74"/>
      <c r="AA115" s="74"/>
      <c r="AB115" s="74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U115" s="84"/>
    </row>
    <row r="116" spans="1:47">
      <c r="A116" s="1" t="s">
        <v>381</v>
      </c>
      <c r="B116" s="305"/>
      <c r="C116" s="21">
        <f>SUM(C109:C110)</f>
        <v>1511421014.5396764</v>
      </c>
      <c r="D116" s="988"/>
      <c r="E116" s="2"/>
      <c r="F116" s="2">
        <f>SUM(F108:F115)</f>
        <v>127196718</v>
      </c>
      <c r="G116" s="988"/>
      <c r="H116" s="2"/>
      <c r="I116" s="2">
        <f>SUM(I108:I115)</f>
        <v>134391315</v>
      </c>
      <c r="J116" s="2"/>
      <c r="K116" s="2"/>
      <c r="L116" s="2">
        <f ca="1">SUM(L108:L115)</f>
        <v>149625146.64346007</v>
      </c>
      <c r="M116" s="2"/>
      <c r="N116" s="2"/>
      <c r="O116" s="2"/>
      <c r="P116" s="2">
        <f ca="1">SUM(P108:P115)</f>
        <v>37808594.814108066</v>
      </c>
      <c r="Q116" s="2"/>
      <c r="R116" s="2"/>
      <c r="S116" s="2"/>
      <c r="T116" s="2">
        <f ca="1">SUM(T108:T115)</f>
        <v>22143852</v>
      </c>
      <c r="U116" s="2"/>
      <c r="V116" s="2"/>
      <c r="W116" s="2"/>
      <c r="X116" s="2">
        <f ca="1">SUM(X108:X115)</f>
        <v>89666252.64346008</v>
      </c>
      <c r="Y116" s="20"/>
      <c r="Z116" s="51"/>
      <c r="AA116" s="74"/>
      <c r="AB116" s="74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U116" s="84"/>
    </row>
    <row r="117" spans="1:47">
      <c r="A117" s="1" t="s">
        <v>363</v>
      </c>
      <c r="B117" s="307"/>
      <c r="C117" s="317">
        <f>'Table 2'!H13+'Table 2'!H17</f>
        <v>-5617739.7424748819</v>
      </c>
      <c r="D117" s="309"/>
      <c r="E117" s="309"/>
      <c r="F117" s="310">
        <f>I117</f>
        <v>-267238.32128544542</v>
      </c>
      <c r="G117" s="309"/>
      <c r="H117" s="309"/>
      <c r="I117" s="308">
        <f>'Table 3'!E13+'Table 3'!E17</f>
        <v>-267238.32128544542</v>
      </c>
      <c r="J117" s="309"/>
      <c r="K117" s="309"/>
      <c r="L117" s="310">
        <f>I117</f>
        <v>-267238.32128544542</v>
      </c>
      <c r="M117" s="51"/>
      <c r="N117" s="309"/>
      <c r="O117" s="309"/>
      <c r="P117" s="310">
        <f ca="1">L117/$L$100*$P$100</f>
        <v>-67150.108171747503</v>
      </c>
      <c r="Q117" s="51"/>
      <c r="R117" s="309"/>
      <c r="S117" s="309"/>
      <c r="T117" s="310">
        <f ca="1">L117/$L$100*$T$100</f>
        <v>-39620.837845683403</v>
      </c>
      <c r="U117" s="51"/>
      <c r="V117" s="309"/>
      <c r="W117" s="309"/>
      <c r="X117" s="310">
        <f ca="1">L117/$L$100*$X$100</f>
        <v>-160467.3752680145</v>
      </c>
      <c r="Y117" s="444"/>
      <c r="Z117" s="287"/>
      <c r="AA117" s="74"/>
      <c r="AB117" s="74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U117" s="84"/>
    </row>
    <row r="118" spans="1:47" ht="16.5" thickBot="1">
      <c r="A118" s="1" t="s">
        <v>382</v>
      </c>
      <c r="B118" s="1"/>
      <c r="C118" s="311">
        <f>C116+C117</f>
        <v>1505803274.7972016</v>
      </c>
      <c r="D118" s="312"/>
      <c r="E118" s="312"/>
      <c r="F118" s="312">
        <f>F116+F117</f>
        <v>126929479.67871456</v>
      </c>
      <c r="G118" s="312"/>
      <c r="H118" s="312"/>
      <c r="I118" s="312">
        <f>SUM(I116:I117)</f>
        <v>134124076.67871456</v>
      </c>
      <c r="J118" s="312"/>
      <c r="K118" s="312"/>
      <c r="L118" s="312">
        <f ca="1">L116+L117</f>
        <v>149357908.32217461</v>
      </c>
      <c r="M118" s="312"/>
      <c r="N118" s="312"/>
      <c r="O118" s="312"/>
      <c r="P118" s="312">
        <f ca="1">P116+P117</f>
        <v>37741444.70593632</v>
      </c>
      <c r="Q118" s="312"/>
      <c r="R118" s="312"/>
      <c r="S118" s="312"/>
      <c r="T118" s="312">
        <f ca="1">T116+T117</f>
        <v>22104231.162154317</v>
      </c>
      <c r="U118" s="312"/>
      <c r="V118" s="312"/>
      <c r="W118" s="312"/>
      <c r="X118" s="312">
        <f ca="1">X116+$X$117</f>
        <v>89505785.268192068</v>
      </c>
      <c r="Y118" s="411"/>
      <c r="Z118" s="470"/>
      <c r="AA118" s="74"/>
      <c r="AB118" s="74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U118" s="84"/>
    </row>
    <row r="119" spans="1:47" ht="16.5" thickTop="1">
      <c r="A119" s="1"/>
      <c r="B119" s="313"/>
      <c r="C119" s="21"/>
      <c r="D119" s="1" t="s">
        <v>31</v>
      </c>
      <c r="E119" s="21"/>
      <c r="G119" s="1" t="s">
        <v>31</v>
      </c>
      <c r="H119" s="1"/>
      <c r="I119" s="84" t="s">
        <v>31</v>
      </c>
      <c r="J119" s="1" t="s">
        <v>31</v>
      </c>
      <c r="K119" s="1"/>
      <c r="L119" s="2" t="s">
        <v>31</v>
      </c>
      <c r="M119" s="2"/>
      <c r="N119" s="1" t="s">
        <v>31</v>
      </c>
      <c r="O119" s="1"/>
      <c r="P119" s="2" t="s">
        <v>31</v>
      </c>
      <c r="Q119" s="2"/>
      <c r="R119" s="1" t="s">
        <v>31</v>
      </c>
      <c r="S119" s="1"/>
      <c r="T119" s="2" t="s">
        <v>31</v>
      </c>
      <c r="U119" s="2"/>
      <c r="V119" s="1" t="s">
        <v>31</v>
      </c>
      <c r="W119" s="1"/>
      <c r="X119" s="2" t="s">
        <v>31</v>
      </c>
      <c r="Y119" s="20"/>
      <c r="Z119" s="74"/>
      <c r="AA119" s="74"/>
      <c r="AB119" s="74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U119" s="84"/>
    </row>
    <row r="120" spans="1:47">
      <c r="A120" s="293" t="s">
        <v>384</v>
      </c>
      <c r="B120" s="1"/>
      <c r="C120" s="1" t="s">
        <v>31</v>
      </c>
      <c r="D120" s="21"/>
      <c r="E120" s="21"/>
      <c r="F120" s="1"/>
      <c r="G120" s="21"/>
      <c r="H120" s="1"/>
      <c r="I120" s="1"/>
      <c r="J120" s="21"/>
      <c r="K120" s="1"/>
      <c r="L120" s="1"/>
      <c r="M120" s="1"/>
      <c r="N120" s="21"/>
      <c r="O120" s="1"/>
      <c r="P120" s="1"/>
      <c r="Q120" s="1"/>
      <c r="R120" s="21"/>
      <c r="S120" s="1"/>
      <c r="T120" s="1"/>
      <c r="U120" s="1"/>
      <c r="V120" s="21"/>
      <c r="W120" s="1"/>
      <c r="X120" s="1"/>
      <c r="Y120" s="20"/>
      <c r="Z120" s="74"/>
      <c r="AA120" s="74"/>
      <c r="AB120" s="74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U120" s="84"/>
    </row>
    <row r="121" spans="1:47">
      <c r="A121" s="1" t="s">
        <v>330</v>
      </c>
      <c r="B121" s="1"/>
      <c r="C121" s="1"/>
      <c r="D121" s="21"/>
      <c r="E121" s="21"/>
      <c r="F121" s="1"/>
      <c r="G121" s="21"/>
      <c r="H121" s="1"/>
      <c r="I121" s="1"/>
      <c r="J121" s="21"/>
      <c r="K121" s="1"/>
      <c r="L121" s="1"/>
      <c r="M121" s="1"/>
      <c r="N121" s="21"/>
      <c r="O121" s="1"/>
      <c r="P121" s="1"/>
      <c r="Q121" s="1"/>
      <c r="R121" s="21"/>
      <c r="S121" s="1"/>
      <c r="T121" s="1"/>
      <c r="U121" s="1"/>
      <c r="V121" s="21"/>
      <c r="W121" s="1"/>
      <c r="X121" s="1"/>
      <c r="Y121" s="20"/>
      <c r="Z121" s="74"/>
      <c r="AA121" s="74"/>
      <c r="AB121" s="74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U121" s="84"/>
    </row>
    <row r="122" spans="1:47">
      <c r="A122" s="297"/>
      <c r="B122" s="1"/>
      <c r="C122" s="1"/>
      <c r="D122" s="21"/>
      <c r="E122" s="21"/>
      <c r="F122" s="1"/>
      <c r="G122" s="21"/>
      <c r="H122" s="1"/>
      <c r="I122" s="1"/>
      <c r="J122" s="21"/>
      <c r="K122" s="1"/>
      <c r="L122" s="1"/>
      <c r="M122" s="1"/>
      <c r="N122" s="21"/>
      <c r="O122" s="1"/>
      <c r="P122" s="1"/>
      <c r="Q122" s="1"/>
      <c r="R122" s="21"/>
      <c r="S122" s="1"/>
      <c r="T122" s="1"/>
      <c r="U122" s="1"/>
      <c r="V122" s="21"/>
      <c r="W122" s="1"/>
      <c r="X122" s="1"/>
      <c r="Y122" s="20"/>
      <c r="Z122" s="74"/>
      <c r="AA122" s="74"/>
      <c r="AB122" s="74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U122" s="84"/>
    </row>
    <row r="123" spans="1:47">
      <c r="A123" s="1" t="s">
        <v>370</v>
      </c>
      <c r="B123" s="1"/>
      <c r="C123" s="21">
        <f>[44]Sheet1!$C$3</f>
        <v>50454.485322581</v>
      </c>
      <c r="D123" s="298">
        <v>6</v>
      </c>
      <c r="E123" s="1"/>
      <c r="F123" s="2">
        <f>ROUND(D123*$C123,0)</f>
        <v>302727</v>
      </c>
      <c r="G123" s="298">
        <v>7.75</v>
      </c>
      <c r="H123" s="1"/>
      <c r="I123" s="2">
        <f>ROUND(G123*C123,0)</f>
        <v>391022</v>
      </c>
      <c r="J123" s="298">
        <v>8.75</v>
      </c>
      <c r="K123" s="1"/>
      <c r="L123" s="2">
        <f>ROUND(J123*$C123,0)</f>
        <v>441477</v>
      </c>
      <c r="M123" s="2"/>
      <c r="N123" s="298">
        <f>J123</f>
        <v>8.75</v>
      </c>
      <c r="O123" s="1"/>
      <c r="P123" s="2">
        <f>'Rate Design Work'!P122</f>
        <v>441476.74657258374</v>
      </c>
      <c r="Q123" s="2"/>
      <c r="R123" s="298" t="str">
        <f>$R$89</f>
        <v xml:space="preserve"> </v>
      </c>
      <c r="S123" s="1"/>
      <c r="T123" s="2">
        <f>'Rate Design Work'!T122</f>
        <v>0</v>
      </c>
      <c r="U123" s="2"/>
      <c r="V123" s="298" t="str">
        <f>$V$89</f>
        <v xml:space="preserve"> </v>
      </c>
      <c r="W123" s="1"/>
      <c r="X123" s="2">
        <f>'Rate Design Work'!X122</f>
        <v>0</v>
      </c>
      <c r="Y123" s="20"/>
      <c r="Z123" s="74"/>
      <c r="AA123" s="74"/>
      <c r="AB123" s="74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U123" s="84"/>
    </row>
    <row r="124" spans="1:47">
      <c r="A124" s="1" t="s">
        <v>373</v>
      </c>
      <c r="B124" s="1"/>
      <c r="C124" s="21">
        <f>[44]Sheet1!$E$3+Temperature!C40*1000</f>
        <v>28090300.046987683</v>
      </c>
      <c r="D124" s="299">
        <v>5.9489999999999998</v>
      </c>
      <c r="E124" s="1" t="s">
        <v>374</v>
      </c>
      <c r="F124" s="2">
        <f>ROUND(D124*$C124/100,0)</f>
        <v>1671092</v>
      </c>
      <c r="G124" s="299">
        <v>6.1989999999999998</v>
      </c>
      <c r="H124" s="1" t="s">
        <v>374</v>
      </c>
      <c r="I124" s="2">
        <f>ROUND(C124*G124/100,0)</f>
        <v>1741318</v>
      </c>
      <c r="J124" s="299">
        <f>$J$90</f>
        <v>3.9460000000000002</v>
      </c>
      <c r="K124" s="1" t="s">
        <v>374</v>
      </c>
      <c r="L124" s="2">
        <f>ROUND(J124*$C124/100,0)</f>
        <v>1108443</v>
      </c>
      <c r="M124" s="2"/>
      <c r="N124" s="299">
        <f ca="1">N90</f>
        <v>1.0805215737536096</v>
      </c>
      <c r="O124" s="1" t="s">
        <v>374</v>
      </c>
      <c r="P124" s="2">
        <f ca="1">'Rate Design Work'!P123</f>
        <v>303521.75213982223</v>
      </c>
      <c r="Q124" s="2"/>
      <c r="R124" s="299">
        <f ca="1">R90</f>
        <v>1.14190334052872</v>
      </c>
      <c r="S124" s="1" t="s">
        <v>374</v>
      </c>
      <c r="T124" s="2">
        <f ca="1">'Rate Design Work'!T123</f>
        <v>320764</v>
      </c>
      <c r="U124" s="2"/>
      <c r="V124" s="299">
        <f ca="1">V90</f>
        <v>1.7225749208771735</v>
      </c>
      <c r="W124" s="1" t="s">
        <v>374</v>
      </c>
      <c r="X124" s="2">
        <f ca="1">'Rate Design Work'!X123</f>
        <v>483876</v>
      </c>
      <c r="Y124" s="20"/>
      <c r="Z124" s="74"/>
      <c r="AA124" s="74"/>
      <c r="AB124" s="74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U124" s="84"/>
    </row>
    <row r="125" spans="1:47">
      <c r="A125" s="1" t="s">
        <v>375</v>
      </c>
      <c r="B125" s="1"/>
      <c r="C125" s="21">
        <f>[44]Sheet1!$D$3-C124+Temperature!C40*1000+Temperature!D40*1000</f>
        <v>36551662.470591322</v>
      </c>
      <c r="D125" s="299">
        <v>9.4159999999999986</v>
      </c>
      <c r="E125" s="1" t="s">
        <v>374</v>
      </c>
      <c r="F125" s="2">
        <f>ROUND(D125*$C125/100,0)</f>
        <v>3441705</v>
      </c>
      <c r="G125" s="299">
        <v>9.8170000000000002</v>
      </c>
      <c r="H125" s="1" t="s">
        <v>374</v>
      </c>
      <c r="I125" s="2">
        <f>ROUND(C125*G125/100,0)</f>
        <v>3588277</v>
      </c>
      <c r="J125" s="299">
        <f>$J$91</f>
        <v>5.8929999999999998</v>
      </c>
      <c r="K125" s="1" t="s">
        <v>374</v>
      </c>
      <c r="L125" s="2">
        <f>ROUND(J125*$C125/100,0)</f>
        <v>2153989</v>
      </c>
      <c r="M125" s="2"/>
      <c r="N125" s="299">
        <f ca="1">N91</f>
        <v>1.6136629083967549</v>
      </c>
      <c r="O125" s="1" t="s">
        <v>374</v>
      </c>
      <c r="P125" s="2">
        <f ca="1">'Rate Design Work'!P124</f>
        <v>589820.61969030905</v>
      </c>
      <c r="Q125" s="2"/>
      <c r="R125" s="299">
        <f ca="1">R91</f>
        <v>1.7053311200297436</v>
      </c>
      <c r="S125" s="1" t="s">
        <v>374</v>
      </c>
      <c r="T125" s="2">
        <f ca="1">'Rate Design Work'!T124</f>
        <v>623327</v>
      </c>
      <c r="U125" s="2"/>
      <c r="V125" s="299">
        <f ca="1">V91</f>
        <v>2.5740059127191262</v>
      </c>
      <c r="W125" s="1" t="s">
        <v>374</v>
      </c>
      <c r="X125" s="2">
        <f ca="1">'Rate Design Work'!X124</f>
        <v>940842</v>
      </c>
      <c r="Y125" s="20"/>
      <c r="Z125" s="74"/>
      <c r="AA125" s="74"/>
      <c r="AB125" s="74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U125" s="84"/>
    </row>
    <row r="126" spans="1:47">
      <c r="A126" s="1" t="s">
        <v>377</v>
      </c>
      <c r="B126" s="1"/>
      <c r="C126" s="21">
        <v>0</v>
      </c>
      <c r="D126" s="301">
        <v>1.65</v>
      </c>
      <c r="E126" s="1"/>
      <c r="F126" s="2">
        <f>ROUND(D126*$C126,0)</f>
        <v>0</v>
      </c>
      <c r="G126" s="301">
        <v>1.65</v>
      </c>
      <c r="H126" s="1"/>
      <c r="I126" s="2">
        <v>0</v>
      </c>
      <c r="J126" s="301">
        <f ca="1">$J$92</f>
        <v>1.8341595399830823</v>
      </c>
      <c r="K126" s="1"/>
      <c r="L126" s="2">
        <f ca="1">ROUND(J126*$C126,0)</f>
        <v>0</v>
      </c>
      <c r="M126" s="2"/>
      <c r="N126" s="301">
        <v>0</v>
      </c>
      <c r="O126" s="1"/>
      <c r="P126" s="2">
        <f>'Rate Design Work'!P125</f>
        <v>0</v>
      </c>
      <c r="Q126" s="2"/>
      <c r="R126" s="301">
        <v>0</v>
      </c>
      <c r="S126" s="1"/>
      <c r="T126" s="2">
        <f>'Rate Design Work'!T125</f>
        <v>0</v>
      </c>
      <c r="U126" s="2"/>
      <c r="V126" s="301">
        <f ca="1">V92</f>
        <v>1.8341595399830823</v>
      </c>
      <c r="W126" s="1"/>
      <c r="X126" s="2">
        <f ca="1">'Rate Design Work'!X125</f>
        <v>0</v>
      </c>
      <c r="Y126" s="20"/>
      <c r="Z126" s="74"/>
      <c r="AA126" s="74"/>
      <c r="AB126" s="74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U126" s="84"/>
    </row>
    <row r="127" spans="1:47">
      <c r="A127" s="303" t="s">
        <v>379</v>
      </c>
      <c r="B127" s="303"/>
      <c r="C127" s="21">
        <v>0</v>
      </c>
      <c r="D127" s="301">
        <v>3.2</v>
      </c>
      <c r="E127" s="303"/>
      <c r="F127" s="2">
        <f>ROUND(D127*$C127,0)</f>
        <v>0</v>
      </c>
      <c r="G127" s="301">
        <v>3.2</v>
      </c>
      <c r="H127" s="303"/>
      <c r="I127" s="2">
        <v>0</v>
      </c>
      <c r="J127" s="301">
        <f ca="1">$J$93</f>
        <v>3.6</v>
      </c>
      <c r="K127" s="303"/>
      <c r="L127" s="2">
        <f ca="1">ROUND(J127*$C127,0)</f>
        <v>0</v>
      </c>
      <c r="M127" s="2"/>
      <c r="N127" s="301">
        <v>0</v>
      </c>
      <c r="O127" s="303"/>
      <c r="P127" s="2">
        <f>'Rate Design Work'!P126</f>
        <v>0</v>
      </c>
      <c r="Q127" s="2"/>
      <c r="R127" s="301">
        <v>0</v>
      </c>
      <c r="S127" s="303"/>
      <c r="T127" s="2">
        <f>'Rate Design Work'!T126</f>
        <v>0</v>
      </c>
      <c r="U127" s="2"/>
      <c r="V127" s="301">
        <f ca="1">V93</f>
        <v>3.6</v>
      </c>
      <c r="W127" s="303"/>
      <c r="X127" s="2">
        <f ca="1">'Rate Design Work'!X126</f>
        <v>0</v>
      </c>
      <c r="Y127" s="20"/>
      <c r="Z127" s="74"/>
      <c r="AA127" s="74"/>
      <c r="AB127" s="74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U127" s="84"/>
    </row>
    <row r="128" spans="1:47">
      <c r="A128" s="303" t="s">
        <v>380</v>
      </c>
      <c r="B128" s="303"/>
      <c r="C128" s="21">
        <v>0</v>
      </c>
      <c r="D128" s="304">
        <v>-1.65</v>
      </c>
      <c r="E128" s="303"/>
      <c r="F128" s="2">
        <f>ROUND(D128*$C128,0)</f>
        <v>0</v>
      </c>
      <c r="G128" s="304">
        <v>-1.65</v>
      </c>
      <c r="H128" s="303"/>
      <c r="I128" s="2">
        <v>0</v>
      </c>
      <c r="J128" s="304">
        <f ca="1">-J126</f>
        <v>-1.8341595399830823</v>
      </c>
      <c r="K128" s="303"/>
      <c r="L128" s="2">
        <f ca="1">ROUND(J128*$C128,0)</f>
        <v>0</v>
      </c>
      <c r="M128" s="2"/>
      <c r="N128" s="304">
        <f>-N126</f>
        <v>0</v>
      </c>
      <c r="O128" s="303"/>
      <c r="P128" s="2">
        <f>'Rate Design Work'!P127</f>
        <v>0</v>
      </c>
      <c r="Q128" s="2"/>
      <c r="R128" s="304">
        <f>-R126</f>
        <v>0</v>
      </c>
      <c r="S128" s="303"/>
      <c r="T128" s="2">
        <f>'Rate Design Work'!T127</f>
        <v>0</v>
      </c>
      <c r="U128" s="2"/>
      <c r="V128" s="304">
        <f ca="1">-V126</f>
        <v>-1.8341595399830823</v>
      </c>
      <c r="W128" s="303"/>
      <c r="X128" s="2">
        <f ca="1">'Rate Design Work'!X127</f>
        <v>0</v>
      </c>
      <c r="Y128" s="20"/>
      <c r="Z128" s="74"/>
      <c r="AA128" s="74"/>
      <c r="AB128" s="74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U128" s="84"/>
    </row>
    <row r="129" spans="1:47" s="1184" customFormat="1">
      <c r="A129" s="1005" t="s">
        <v>1030</v>
      </c>
      <c r="C129" s="1202">
        <f>C124</f>
        <v>28090300.046987683</v>
      </c>
      <c r="D129" s="269"/>
      <c r="E129" s="1185"/>
      <c r="F129" s="1203"/>
      <c r="G129" s="269"/>
      <c r="H129" s="1185"/>
      <c r="I129" s="1203"/>
      <c r="J129" s="1230">
        <f>J113</f>
        <v>2.6339999999999999</v>
      </c>
      <c r="K129" s="1219" t="s">
        <v>374</v>
      </c>
      <c r="L129" s="1203">
        <f t="shared" ref="L129:L130" si="34">J129*C129/100</f>
        <v>739898.5032376555</v>
      </c>
      <c r="M129" s="1203"/>
      <c r="N129" s="1230" t="str">
        <f>N113</f>
        <v xml:space="preserve"> </v>
      </c>
      <c r="O129" s="1219" t="s">
        <v>374</v>
      </c>
      <c r="P129" s="2">
        <f>'Rate Design Work'!P128</f>
        <v>0</v>
      </c>
      <c r="Q129" s="1203"/>
      <c r="R129" s="1230" t="str">
        <f>R113</f>
        <v xml:space="preserve"> </v>
      </c>
      <c r="S129" s="1219" t="s">
        <v>374</v>
      </c>
      <c r="T129" s="2">
        <f>'Rate Design Work'!T128</f>
        <v>0</v>
      </c>
      <c r="U129" s="1203"/>
      <c r="V129" s="1230">
        <f>V113</f>
        <v>2.6339999999999999</v>
      </c>
      <c r="W129" s="1219" t="s">
        <v>374</v>
      </c>
      <c r="X129" s="2">
        <f>'Rate Design Work'!X128</f>
        <v>739898.5032376555</v>
      </c>
      <c r="Z129" s="815"/>
      <c r="AC129" s="1205"/>
      <c r="AD129" s="1205"/>
      <c r="AI129" s="1185"/>
      <c r="AJ129" s="1185"/>
      <c r="AK129" s="1185"/>
      <c r="AL129" s="1185"/>
      <c r="AM129" s="1185"/>
      <c r="AN129" s="1185"/>
      <c r="AO129" s="1185"/>
      <c r="AP129" s="1185"/>
      <c r="AQ129" s="1185"/>
      <c r="AR129" s="1185"/>
      <c r="AS129" s="1185"/>
      <c r="AU129" s="1204"/>
    </row>
    <row r="130" spans="1:47" s="1184" customFormat="1">
      <c r="A130" s="1005" t="s">
        <v>1031</v>
      </c>
      <c r="C130" s="1202">
        <f>C125</f>
        <v>36551662.470591322</v>
      </c>
      <c r="D130" s="269"/>
      <c r="E130" s="1185"/>
      <c r="F130" s="1203"/>
      <c r="G130" s="269"/>
      <c r="H130" s="1185"/>
      <c r="I130" s="1203"/>
      <c r="J130" s="1230">
        <f>J114</f>
        <v>4.53</v>
      </c>
      <c r="K130" s="1219" t="s">
        <v>374</v>
      </c>
      <c r="L130" s="1203">
        <f t="shared" si="34"/>
        <v>1655790.3099177871</v>
      </c>
      <c r="M130" s="1203"/>
      <c r="N130" s="1230" t="str">
        <f>N114</f>
        <v xml:space="preserve"> </v>
      </c>
      <c r="O130" s="1219" t="s">
        <v>374</v>
      </c>
      <c r="P130" s="2">
        <f>'Rate Design Work'!P129</f>
        <v>0</v>
      </c>
      <c r="Q130" s="1203"/>
      <c r="R130" s="1230" t="str">
        <f>R114</f>
        <v xml:space="preserve"> </v>
      </c>
      <c r="S130" s="1219" t="s">
        <v>374</v>
      </c>
      <c r="T130" s="2">
        <f>'Rate Design Work'!T129</f>
        <v>0</v>
      </c>
      <c r="U130" s="1203"/>
      <c r="V130" s="1230">
        <f>V114</f>
        <v>4.53</v>
      </c>
      <c r="W130" s="1219" t="s">
        <v>374</v>
      </c>
      <c r="X130" s="2">
        <f>'Rate Design Work'!X129</f>
        <v>1655790.3099177871</v>
      </c>
      <c r="Z130" s="815"/>
      <c r="AC130" s="1205"/>
      <c r="AD130" s="1205"/>
      <c r="AI130" s="1185"/>
      <c r="AJ130" s="1185"/>
      <c r="AK130" s="1185"/>
      <c r="AL130" s="1185"/>
      <c r="AM130" s="1185"/>
      <c r="AN130" s="1185"/>
      <c r="AO130" s="1185"/>
      <c r="AP130" s="1185"/>
      <c r="AQ130" s="1185"/>
      <c r="AR130" s="1185"/>
      <c r="AS130" s="1185"/>
      <c r="AU130" s="1204"/>
    </row>
    <row r="131" spans="1:47">
      <c r="A131" s="1" t="s">
        <v>381</v>
      </c>
      <c r="B131" s="1"/>
      <c r="C131" s="21">
        <f>SUM(C124:C125)</f>
        <v>64641962.517579004</v>
      </c>
      <c r="D131" s="988"/>
      <c r="E131" s="2"/>
      <c r="F131" s="2">
        <f>SUM(F123:F128)</f>
        <v>5415524</v>
      </c>
      <c r="G131" s="988"/>
      <c r="H131" s="2"/>
      <c r="I131" s="2">
        <f>SUM(I123:I128)</f>
        <v>5720617</v>
      </c>
      <c r="J131" s="2"/>
      <c r="K131" s="2"/>
      <c r="L131" s="2">
        <f ca="1">SUM(L123:L130)</f>
        <v>6099597.8131554425</v>
      </c>
      <c r="M131" s="2"/>
      <c r="N131" s="2"/>
      <c r="O131" s="2"/>
      <c r="P131" s="2">
        <f ca="1">SUM(P123:P130)</f>
        <v>1334819.1184027151</v>
      </c>
      <c r="Q131" s="2"/>
      <c r="R131" s="2"/>
      <c r="S131" s="2"/>
      <c r="T131" s="2">
        <f ca="1">SUM(T123:T130)</f>
        <v>944091</v>
      </c>
      <c r="U131" s="2"/>
      <c r="V131" s="2"/>
      <c r="W131" s="2"/>
      <c r="X131" s="2">
        <f ca="1">SUM(X123:X130)</f>
        <v>3820406.8131554425</v>
      </c>
      <c r="Y131" s="20"/>
      <c r="Z131" s="74"/>
      <c r="AA131" s="74"/>
      <c r="AB131" s="74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U131" s="84"/>
    </row>
    <row r="132" spans="1:47">
      <c r="A132" s="1" t="s">
        <v>363</v>
      </c>
      <c r="B132" s="1"/>
      <c r="C132" s="317">
        <f>'Table 2'!H14</f>
        <v>-238853.93279447255</v>
      </c>
      <c r="D132" s="309"/>
      <c r="E132" s="309"/>
      <c r="F132" s="310">
        <f>I132</f>
        <v>-11315.249854995447</v>
      </c>
      <c r="G132" s="309"/>
      <c r="H132" s="309"/>
      <c r="I132" s="308">
        <f>'Table 3'!E14</f>
        <v>-11315.249854995447</v>
      </c>
      <c r="J132" s="309"/>
      <c r="K132" s="309"/>
      <c r="L132" s="310">
        <f>I132</f>
        <v>-11315.249854995447</v>
      </c>
      <c r="M132" s="51"/>
      <c r="N132" s="309"/>
      <c r="O132" s="309"/>
      <c r="P132" s="310">
        <f ca="1">L132/$L$100*$P$100</f>
        <v>-2843.2308962968946</v>
      </c>
      <c r="Q132" s="51"/>
      <c r="R132" s="309"/>
      <c r="S132" s="309"/>
      <c r="T132" s="310">
        <f ca="1">L132/$L$100*$T$100</f>
        <v>-1677.6025142341143</v>
      </c>
      <c r="U132" s="51"/>
      <c r="V132" s="309"/>
      <c r="W132" s="309"/>
      <c r="X132" s="310">
        <f ca="1">L132/$L$100*$X$100</f>
        <v>-6794.4164444644366</v>
      </c>
      <c r="Y132" s="444"/>
      <c r="Z132" s="287"/>
      <c r="AA132" s="74"/>
      <c r="AB132" s="74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U132" s="84"/>
    </row>
    <row r="133" spans="1:47" ht="16.5" thickBot="1">
      <c r="A133" s="1" t="s">
        <v>382</v>
      </c>
      <c r="B133" s="1"/>
      <c r="C133" s="311">
        <f>C131+C132</f>
        <v>64403108.58478453</v>
      </c>
      <c r="D133" s="312"/>
      <c r="E133" s="312"/>
      <c r="F133" s="312">
        <f>F131+F132</f>
        <v>5404208.7501450041</v>
      </c>
      <c r="G133" s="312"/>
      <c r="H133" s="312"/>
      <c r="I133" s="312">
        <f>SUM(I131:I132)</f>
        <v>5709301.7501450041</v>
      </c>
      <c r="J133" s="312"/>
      <c r="K133" s="312"/>
      <c r="L133" s="312">
        <f ca="1">L131+L132</f>
        <v>6088282.5633004466</v>
      </c>
      <c r="M133" s="312"/>
      <c r="N133" s="312"/>
      <c r="O133" s="312"/>
      <c r="P133" s="312">
        <f ca="1">P131+P132</f>
        <v>1331975.8875064182</v>
      </c>
      <c r="Q133" s="312"/>
      <c r="R133" s="312"/>
      <c r="S133" s="312"/>
      <c r="T133" s="312">
        <f ca="1">T131+T132</f>
        <v>942413.39748576586</v>
      </c>
      <c r="U133" s="312"/>
      <c r="V133" s="312"/>
      <c r="W133" s="312"/>
      <c r="X133" s="312">
        <f ca="1">X131+X132</f>
        <v>3813612.3967109779</v>
      </c>
      <c r="Y133" s="411"/>
      <c r="Z133" s="470"/>
      <c r="AA133" s="74"/>
      <c r="AB133" s="74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U133" s="84"/>
    </row>
    <row r="134" spans="1:47" ht="16.5" thickTop="1">
      <c r="A134" s="1"/>
      <c r="B134" s="313"/>
      <c r="C134" s="21"/>
      <c r="D134" s="1" t="s">
        <v>31</v>
      </c>
      <c r="E134" s="21"/>
      <c r="G134" s="1" t="s">
        <v>31</v>
      </c>
      <c r="H134" s="1"/>
      <c r="J134" s="1" t="s">
        <v>31</v>
      </c>
      <c r="K134" s="1"/>
      <c r="L134" s="2" t="s">
        <v>31</v>
      </c>
      <c r="M134" s="2"/>
      <c r="N134" s="1" t="s">
        <v>31</v>
      </c>
      <c r="O134" s="1"/>
      <c r="P134" s="2" t="s">
        <v>31</v>
      </c>
      <c r="Q134" s="2"/>
      <c r="R134" s="1" t="s">
        <v>31</v>
      </c>
      <c r="S134" s="1"/>
      <c r="T134" s="2" t="s">
        <v>31</v>
      </c>
      <c r="U134" s="2"/>
      <c r="V134" s="1" t="s">
        <v>31</v>
      </c>
      <c r="W134" s="1"/>
      <c r="X134" s="2" t="s">
        <v>31</v>
      </c>
      <c r="Y134" s="20"/>
      <c r="Z134" s="74"/>
      <c r="AA134" s="74"/>
      <c r="AB134" s="74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U134" s="84"/>
    </row>
    <row r="135" spans="1:47" hidden="1">
      <c r="A135" s="293" t="s">
        <v>385</v>
      </c>
      <c r="B135" s="1"/>
      <c r="C135" s="1"/>
      <c r="D135" s="21"/>
      <c r="E135" s="21"/>
      <c r="F135" s="1"/>
      <c r="G135" s="21"/>
      <c r="H135" s="1"/>
      <c r="I135" s="1"/>
      <c r="J135" s="21"/>
      <c r="K135" s="1"/>
      <c r="L135" s="1"/>
      <c r="M135" s="1"/>
      <c r="N135" s="21"/>
      <c r="O135" s="1"/>
      <c r="P135" s="1"/>
      <c r="Q135" s="1"/>
      <c r="R135" s="21"/>
      <c r="S135" s="1"/>
      <c r="T135" s="1"/>
      <c r="U135" s="1"/>
      <c r="V135" s="21"/>
      <c r="W135" s="1"/>
      <c r="X135" s="1"/>
      <c r="Y135" s="20"/>
      <c r="Z135" s="74"/>
      <c r="AA135" s="74"/>
      <c r="AB135" s="74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U135" s="84"/>
    </row>
    <row r="136" spans="1:47" hidden="1">
      <c r="A136" s="1" t="s">
        <v>330</v>
      </c>
      <c r="B136" s="1"/>
      <c r="C136" s="1"/>
      <c r="D136" s="21"/>
      <c r="E136" s="21"/>
      <c r="F136" s="1"/>
      <c r="G136" s="21"/>
      <c r="H136" s="1"/>
      <c r="I136" s="1"/>
      <c r="J136" s="21"/>
      <c r="K136" s="1"/>
      <c r="L136" s="1"/>
      <c r="M136" s="1"/>
      <c r="N136" s="21"/>
      <c r="O136" s="1"/>
      <c r="P136" s="1"/>
      <c r="Q136" s="1"/>
      <c r="R136" s="21"/>
      <c r="S136" s="1"/>
      <c r="T136" s="1"/>
      <c r="U136" s="1"/>
      <c r="V136" s="21"/>
      <c r="W136" s="1"/>
      <c r="X136" s="1"/>
      <c r="Y136" s="20"/>
      <c r="Z136" s="74"/>
      <c r="AA136" s="74"/>
      <c r="AB136" s="74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U136" s="84"/>
    </row>
    <row r="137" spans="1:47" hidden="1">
      <c r="A137" s="297"/>
      <c r="B137" s="1"/>
      <c r="C137" s="1"/>
      <c r="D137" s="21"/>
      <c r="E137" s="21"/>
      <c r="F137" s="1"/>
      <c r="G137" s="21"/>
      <c r="H137" s="1"/>
      <c r="I137" s="1"/>
      <c r="J137" s="21"/>
      <c r="K137" s="1"/>
      <c r="L137" s="1"/>
      <c r="M137" s="1"/>
      <c r="N137" s="21"/>
      <c r="O137" s="1"/>
      <c r="P137" s="1"/>
      <c r="Q137" s="1"/>
      <c r="R137" s="21"/>
      <c r="S137" s="1"/>
      <c r="T137" s="1"/>
      <c r="U137" s="1"/>
      <c r="V137" s="21"/>
      <c r="W137" s="1"/>
      <c r="X137" s="1"/>
      <c r="Y137" s="20"/>
      <c r="Z137" s="74"/>
      <c r="AA137" s="74"/>
      <c r="AB137" s="74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U137" s="84"/>
    </row>
    <row r="138" spans="1:47" hidden="1">
      <c r="A138" s="1" t="s">
        <v>370</v>
      </c>
      <c r="B138" s="1"/>
      <c r="C138" s="21">
        <f>[46]Sheet1!$C$2</f>
        <v>1017.7441935483899</v>
      </c>
      <c r="D138" s="298">
        <v>6</v>
      </c>
      <c r="E138" s="1"/>
      <c r="F138" s="2">
        <f>ROUND(D138*$C138,0)</f>
        <v>6106</v>
      </c>
      <c r="G138" s="298">
        <v>7.75</v>
      </c>
      <c r="H138" s="1"/>
      <c r="I138" s="2">
        <f>ROUND(G138*C138,0)</f>
        <v>7888</v>
      </c>
      <c r="J138" s="298">
        <f>$J$89</f>
        <v>14</v>
      </c>
      <c r="K138" s="1"/>
      <c r="L138" s="2">
        <f>ROUND(J138*$C138,0)</f>
        <v>14248</v>
      </c>
      <c r="M138" s="2"/>
      <c r="N138" s="298">
        <f>$N$89</f>
        <v>14</v>
      </c>
      <c r="O138" s="1"/>
      <c r="P138" s="2">
        <f>N138*$C138</f>
        <v>14248.418709677459</v>
      </c>
      <c r="Q138" s="2"/>
      <c r="R138" s="298" t="str">
        <f>$R$89</f>
        <v xml:space="preserve"> </v>
      </c>
      <c r="S138" s="1"/>
      <c r="T138" s="2">
        <f>ROUND(R138*$C138,0)</f>
        <v>0</v>
      </c>
      <c r="U138" s="2"/>
      <c r="V138" s="298" t="str">
        <f>$V$89</f>
        <v xml:space="preserve"> </v>
      </c>
      <c r="W138" s="1"/>
      <c r="X138" s="2">
        <f>ROUND(V138*$C138,0)</f>
        <v>0</v>
      </c>
      <c r="Y138" s="20"/>
      <c r="Z138" s="74"/>
      <c r="AA138" s="74"/>
      <c r="AB138" s="74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U138" s="84"/>
    </row>
    <row r="139" spans="1:47" hidden="1">
      <c r="A139" s="1" t="s">
        <v>373</v>
      </c>
      <c r="B139" s="1"/>
      <c r="C139" s="21">
        <f>[46]Sheet1!$E$2+Temperature!C58*1000</f>
        <v>549805.35240128019</v>
      </c>
      <c r="D139" s="299">
        <v>5.9489999999999998</v>
      </c>
      <c r="E139" s="1" t="s">
        <v>374</v>
      </c>
      <c r="F139" s="2">
        <f>ROUND(D139*$C139/100,0)</f>
        <v>32708</v>
      </c>
      <c r="G139" s="299">
        <v>6.1989999999999998</v>
      </c>
      <c r="H139" s="1" t="s">
        <v>374</v>
      </c>
      <c r="I139" s="2">
        <f>ROUND(C139*G139/100,0)</f>
        <v>34082</v>
      </c>
      <c r="J139" s="299">
        <f>$J$90</f>
        <v>3.9460000000000002</v>
      </c>
      <c r="K139" s="1" t="s">
        <v>374</v>
      </c>
      <c r="L139" s="2">
        <f>ROUND(J139*$C139/100,0)</f>
        <v>21695</v>
      </c>
      <c r="M139" s="2"/>
      <c r="N139" s="299">
        <f ca="1">N90</f>
        <v>1.0805215737536096</v>
      </c>
      <c r="O139" s="1" t="s">
        <v>374</v>
      </c>
      <c r="P139" s="2">
        <f ca="1">N139*$C139/100</f>
        <v>5940.7654463478921</v>
      </c>
      <c r="Q139" s="2"/>
      <c r="R139" s="299">
        <f ca="1">R90</f>
        <v>1.14190334052872</v>
      </c>
      <c r="S139" s="1" t="s">
        <v>374</v>
      </c>
      <c r="T139" s="2">
        <f ca="1">ROUND(R139*$C139/100,0)</f>
        <v>6278</v>
      </c>
      <c r="U139" s="2"/>
      <c r="V139" s="299">
        <f ca="1">V90</f>
        <v>1.7225749208771735</v>
      </c>
      <c r="W139" s="1" t="s">
        <v>374</v>
      </c>
      <c r="X139" s="2">
        <f ca="1">ROUND(V139*$C139/100,0)</f>
        <v>9471</v>
      </c>
      <c r="Y139" s="20"/>
      <c r="Z139" s="74"/>
      <c r="AA139" s="74"/>
      <c r="AB139" s="74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U139" s="84"/>
    </row>
    <row r="140" spans="1:47" hidden="1">
      <c r="A140" s="1" t="s">
        <v>375</v>
      </c>
      <c r="B140" s="1"/>
      <c r="C140" s="21">
        <f>[46]Sheet1!$D$2-C139+Temperature!C58*1000+Temperature!D58*1000</f>
        <v>1650803.2299577619</v>
      </c>
      <c r="D140" s="299">
        <v>9.4159999999999986</v>
      </c>
      <c r="E140" s="1" t="s">
        <v>374</v>
      </c>
      <c r="F140" s="2">
        <f>ROUND(D140*$C140/100,0)</f>
        <v>155440</v>
      </c>
      <c r="G140" s="299">
        <v>9.8170000000000002</v>
      </c>
      <c r="H140" s="1" t="s">
        <v>374</v>
      </c>
      <c r="I140" s="2">
        <f>ROUND(C140*G140/100,0)</f>
        <v>162059</v>
      </c>
      <c r="J140" s="299">
        <f>$J$91</f>
        <v>5.8929999999999998</v>
      </c>
      <c r="K140" s="1" t="s">
        <v>374</v>
      </c>
      <c r="L140" s="2">
        <f>ROUND(J140*$C140/100,0)</f>
        <v>97282</v>
      </c>
      <c r="M140" s="2"/>
      <c r="N140" s="299">
        <f ca="1">N110</f>
        <v>1.6136629083967549</v>
      </c>
      <c r="O140" s="1" t="s">
        <v>374</v>
      </c>
      <c r="P140" s="2">
        <f ca="1">N140*$C140/100</f>
        <v>26638.399412443992</v>
      </c>
      <c r="Q140" s="2"/>
      <c r="R140" s="299">
        <f ca="1">R110</f>
        <v>1.7053311200297436</v>
      </c>
      <c r="S140" s="1" t="s">
        <v>374</v>
      </c>
      <c r="T140" s="2">
        <f ca="1">ROUND(R140*$C140/100,0)</f>
        <v>28152</v>
      </c>
      <c r="U140" s="2"/>
      <c r="V140" s="299">
        <f ca="1">V110</f>
        <v>2.5740059127191262</v>
      </c>
      <c r="W140" s="1" t="s">
        <v>374</v>
      </c>
      <c r="X140" s="2">
        <f ca="1">ROUND(V140*$C140/100,0)</f>
        <v>42492</v>
      </c>
      <c r="Y140" s="20"/>
      <c r="Z140" s="74"/>
      <c r="AA140" s="74"/>
      <c r="AB140" s="74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U140" s="84"/>
    </row>
    <row r="141" spans="1:47" hidden="1">
      <c r="A141" s="1" t="s">
        <v>377</v>
      </c>
      <c r="B141" s="1"/>
      <c r="C141" s="21">
        <f>[46]Sheet1!$F$2</f>
        <v>4673</v>
      </c>
      <c r="D141" s="301">
        <v>1.65</v>
      </c>
      <c r="E141" s="1"/>
      <c r="F141" s="2">
        <f>ROUND(D141*$C141,0)</f>
        <v>7710</v>
      </c>
      <c r="G141" s="301">
        <v>1.65</v>
      </c>
      <c r="H141" s="1"/>
      <c r="I141" s="2">
        <f t="shared" ref="I141:I142" si="35">ROUND(G141*C141,0)</f>
        <v>7710</v>
      </c>
      <c r="J141" s="301">
        <f ca="1">$J$92</f>
        <v>1.8341595399830823</v>
      </c>
      <c r="K141" s="1"/>
      <c r="L141" s="2">
        <f ca="1">ROUND(J141*$C141,0)</f>
        <v>8571</v>
      </c>
      <c r="M141" s="2"/>
      <c r="N141" s="301">
        <v>0</v>
      </c>
      <c r="O141" s="1"/>
      <c r="P141" s="2">
        <f>ROUND(N141*$C141,0)</f>
        <v>0</v>
      </c>
      <c r="Q141" s="2"/>
      <c r="R141" s="301">
        <v>0</v>
      </c>
      <c r="S141" s="1"/>
      <c r="T141" s="2">
        <f>ROUND(R141*$C141,0)</f>
        <v>0</v>
      </c>
      <c r="U141" s="2"/>
      <c r="V141" s="301">
        <f ca="1">V92</f>
        <v>1.8341595399830823</v>
      </c>
      <c r="W141" s="1"/>
      <c r="X141" s="2">
        <f ca="1">ROUND(V141*$C141,0)</f>
        <v>8571</v>
      </c>
      <c r="Y141" s="20"/>
      <c r="Z141" s="74"/>
      <c r="AA141" s="74"/>
      <c r="AB141" s="74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U141" s="84"/>
    </row>
    <row r="142" spans="1:47" hidden="1">
      <c r="A142" s="303" t="s">
        <v>379</v>
      </c>
      <c r="B142" s="303"/>
      <c r="C142" s="21">
        <f>[46]Sheet1!$G$2</f>
        <v>616</v>
      </c>
      <c r="D142" s="301">
        <v>3.2</v>
      </c>
      <c r="E142" s="303"/>
      <c r="F142" s="2">
        <f>ROUND(D142*$C142,0)</f>
        <v>1971</v>
      </c>
      <c r="G142" s="301">
        <v>3.2</v>
      </c>
      <c r="H142" s="303"/>
      <c r="I142" s="2">
        <f t="shared" si="35"/>
        <v>1971</v>
      </c>
      <c r="J142" s="301">
        <f ca="1">$J$93</f>
        <v>3.6</v>
      </c>
      <c r="K142" s="303"/>
      <c r="L142" s="2">
        <f ca="1">ROUND(J142*$C142,0)</f>
        <v>2218</v>
      </c>
      <c r="M142" s="2"/>
      <c r="N142" s="301">
        <v>0</v>
      </c>
      <c r="O142" s="303"/>
      <c r="P142" s="2">
        <f>ROUND(N142*$C142,0)</f>
        <v>0</v>
      </c>
      <c r="Q142" s="2"/>
      <c r="R142" s="301">
        <v>0</v>
      </c>
      <c r="S142" s="303"/>
      <c r="T142" s="2">
        <f>ROUND(R142*$C142,0)</f>
        <v>0</v>
      </c>
      <c r="U142" s="2"/>
      <c r="V142" s="301">
        <f ca="1">V93</f>
        <v>3.6</v>
      </c>
      <c r="W142" s="303"/>
      <c r="X142" s="2">
        <f ca="1">ROUND(V142*$C142,0)</f>
        <v>2218</v>
      </c>
      <c r="Y142" s="20"/>
      <c r="Z142" s="74"/>
      <c r="AA142" s="74"/>
      <c r="AB142" s="74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U142" s="84"/>
    </row>
    <row r="143" spans="1:47" hidden="1">
      <c r="A143" s="303" t="s">
        <v>380</v>
      </c>
      <c r="B143" s="303"/>
      <c r="C143" s="21">
        <f>[46]Sheet1!$H$2</f>
        <v>55</v>
      </c>
      <c r="D143" s="304">
        <v>-1.65</v>
      </c>
      <c r="E143" s="303"/>
      <c r="F143" s="2">
        <f>ROUND(D143*$C143,0)</f>
        <v>-91</v>
      </c>
      <c r="G143" s="304">
        <v>-1.65</v>
      </c>
      <c r="H143" s="303"/>
      <c r="I143" s="2">
        <f>ROUND(G143*C143,0)</f>
        <v>-91</v>
      </c>
      <c r="J143" s="304">
        <f ca="1">-J141</f>
        <v>-1.8341595399830823</v>
      </c>
      <c r="K143" s="303"/>
      <c r="L143" s="2">
        <f ca="1">ROUND(J143*$C143,0)</f>
        <v>-101</v>
      </c>
      <c r="M143" s="2"/>
      <c r="N143" s="304">
        <f>-N141</f>
        <v>0</v>
      </c>
      <c r="O143" s="303"/>
      <c r="P143" s="2">
        <f>ROUND(N143*$C143,0)</f>
        <v>0</v>
      </c>
      <c r="Q143" s="2"/>
      <c r="R143" s="304">
        <f>-R141</f>
        <v>0</v>
      </c>
      <c r="S143" s="303"/>
      <c r="T143" s="2">
        <f>ROUND(R143*$C143,0)</f>
        <v>0</v>
      </c>
      <c r="U143" s="2"/>
      <c r="V143" s="304">
        <f ca="1">-V141</f>
        <v>-1.8341595399830823</v>
      </c>
      <c r="W143" s="303"/>
      <c r="X143" s="2">
        <f ca="1">ROUND(V143*$C143,0)</f>
        <v>-101</v>
      </c>
      <c r="Y143" s="20"/>
      <c r="Z143" s="74"/>
      <c r="AA143" s="74"/>
      <c r="AB143" s="74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U143" s="84"/>
    </row>
    <row r="144" spans="1:47" s="1184" customFormat="1" hidden="1">
      <c r="A144" s="1005" t="s">
        <v>1030</v>
      </c>
      <c r="C144" s="1202">
        <f>C139</f>
        <v>549805.35240128019</v>
      </c>
      <c r="D144" s="269"/>
      <c r="E144" s="1185"/>
      <c r="F144" s="1203"/>
      <c r="G144" s="269"/>
      <c r="H144" s="1185"/>
      <c r="I144" s="1203"/>
      <c r="J144" s="1230">
        <f>J129</f>
        <v>2.6339999999999999</v>
      </c>
      <c r="K144" s="1219" t="s">
        <v>374</v>
      </c>
      <c r="L144" s="1203">
        <f t="shared" ref="L144:L145" si="36">J144*C144/100</f>
        <v>14481.872982249719</v>
      </c>
      <c r="M144" s="1203"/>
      <c r="N144" s="1230" t="str">
        <f>N129</f>
        <v xml:space="preserve"> </v>
      </c>
      <c r="O144" s="1219" t="s">
        <v>374</v>
      </c>
      <c r="P144" s="1203">
        <f>N144*C144/100</f>
        <v>0</v>
      </c>
      <c r="Q144" s="1203"/>
      <c r="R144" s="1230" t="str">
        <f>R129</f>
        <v xml:space="preserve"> </v>
      </c>
      <c r="S144" s="1219" t="s">
        <v>374</v>
      </c>
      <c r="T144" s="1203">
        <f>R144*C144/100</f>
        <v>0</v>
      </c>
      <c r="U144" s="1203"/>
      <c r="V144" s="1230">
        <f>V129</f>
        <v>2.6339999999999999</v>
      </c>
      <c r="W144" s="1219" t="s">
        <v>374</v>
      </c>
      <c r="X144" s="1203">
        <f>V144*C144/100</f>
        <v>14481.872982249719</v>
      </c>
      <c r="Z144" s="815"/>
      <c r="AC144" s="1205"/>
      <c r="AD144" s="1205"/>
      <c r="AI144" s="1185"/>
      <c r="AJ144" s="1185"/>
      <c r="AK144" s="1185"/>
      <c r="AL144" s="1185"/>
      <c r="AM144" s="1185"/>
      <c r="AN144" s="1185"/>
      <c r="AO144" s="1185"/>
      <c r="AP144" s="1185"/>
      <c r="AQ144" s="1185"/>
      <c r="AR144" s="1185"/>
      <c r="AS144" s="1185"/>
      <c r="AU144" s="1204"/>
    </row>
    <row r="145" spans="1:47" s="1184" customFormat="1" hidden="1">
      <c r="A145" s="1005" t="s">
        <v>1031</v>
      </c>
      <c r="C145" s="1202">
        <f>C140</f>
        <v>1650803.2299577619</v>
      </c>
      <c r="D145" s="269"/>
      <c r="E145" s="1185"/>
      <c r="F145" s="1203"/>
      <c r="G145" s="269"/>
      <c r="H145" s="1185"/>
      <c r="I145" s="1203"/>
      <c r="J145" s="1230">
        <f>J130</f>
        <v>4.53</v>
      </c>
      <c r="K145" s="1219" t="s">
        <v>374</v>
      </c>
      <c r="L145" s="1203">
        <f t="shared" si="36"/>
        <v>74781.386317086624</v>
      </c>
      <c r="M145" s="1203"/>
      <c r="N145" s="1230" t="str">
        <f>N130</f>
        <v xml:space="preserve"> </v>
      </c>
      <c r="O145" s="1219" t="s">
        <v>374</v>
      </c>
      <c r="P145" s="1203">
        <f>N145*C145/100</f>
        <v>0</v>
      </c>
      <c r="Q145" s="1203"/>
      <c r="R145" s="1230" t="str">
        <f>R130</f>
        <v xml:space="preserve"> </v>
      </c>
      <c r="S145" s="1219" t="s">
        <v>374</v>
      </c>
      <c r="T145" s="1203">
        <f>R145*C145/100</f>
        <v>0</v>
      </c>
      <c r="U145" s="1203"/>
      <c r="V145" s="1230">
        <f>V130</f>
        <v>4.53</v>
      </c>
      <c r="W145" s="1219" t="s">
        <v>374</v>
      </c>
      <c r="X145" s="1203">
        <f>V145*C145/100</f>
        <v>74781.386317086624</v>
      </c>
      <c r="Z145" s="815"/>
      <c r="AC145" s="1205"/>
      <c r="AD145" s="1205"/>
      <c r="AI145" s="1185"/>
      <c r="AJ145" s="1185"/>
      <c r="AK145" s="1185"/>
      <c r="AL145" s="1185"/>
      <c r="AM145" s="1185"/>
      <c r="AN145" s="1185"/>
      <c r="AO145" s="1185"/>
      <c r="AP145" s="1185"/>
      <c r="AQ145" s="1185"/>
      <c r="AR145" s="1185"/>
      <c r="AS145" s="1185"/>
      <c r="AU145" s="1204"/>
    </row>
    <row r="146" spans="1:47" hidden="1">
      <c r="A146" s="1" t="s">
        <v>381</v>
      </c>
      <c r="B146" s="305"/>
      <c r="C146" s="21">
        <f>SUM(C139:C140)</f>
        <v>2200608.582359042</v>
      </c>
      <c r="D146" s="988"/>
      <c r="E146" s="2"/>
      <c r="F146" s="2">
        <f>SUM(F138:F143)</f>
        <v>203844</v>
      </c>
      <c r="G146" s="988"/>
      <c r="H146" s="2"/>
      <c r="I146" s="2">
        <f>SUM(I138:I143)</f>
        <v>213619</v>
      </c>
      <c r="J146" s="2"/>
      <c r="K146" s="2"/>
      <c r="L146" s="2">
        <f ca="1">SUM(L138:L145)</f>
        <v>233176.25929933635</v>
      </c>
      <c r="M146" s="2"/>
      <c r="N146" s="2"/>
      <c r="O146" s="2"/>
      <c r="P146" s="2">
        <f ca="1">SUM(P138:P145)</f>
        <v>46827.583568469345</v>
      </c>
      <c r="Q146" s="2"/>
      <c r="R146" s="2"/>
      <c r="S146" s="2"/>
      <c r="T146" s="2">
        <f ca="1">SUM(T138:T145)</f>
        <v>34430</v>
      </c>
      <c r="U146" s="2"/>
      <c r="V146" s="2"/>
      <c r="W146" s="2"/>
      <c r="X146" s="2">
        <f ca="1">SUM(X138:X145)</f>
        <v>151914.25929933635</v>
      </c>
      <c r="Y146" s="20"/>
      <c r="Z146" s="74"/>
      <c r="AA146" s="74"/>
      <c r="AB146" s="74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U146" s="84"/>
    </row>
    <row r="147" spans="1:47" hidden="1">
      <c r="A147" s="1" t="s">
        <v>363</v>
      </c>
      <c r="B147" s="25"/>
      <c r="C147" s="317">
        <f>'Table 2'!H15</f>
        <v>-8269.9564010600807</v>
      </c>
      <c r="D147" s="309"/>
      <c r="E147" s="309"/>
      <c r="F147" s="310">
        <f>I147</f>
        <v>-432.42577033280719</v>
      </c>
      <c r="G147" s="309"/>
      <c r="H147" s="309"/>
      <c r="I147" s="310">
        <f>'Table 3'!E15</f>
        <v>-432.42577033280719</v>
      </c>
      <c r="J147" s="309"/>
      <c r="K147" s="309"/>
      <c r="L147" s="310">
        <f>I147</f>
        <v>-432.42577033280719</v>
      </c>
      <c r="M147" s="51"/>
      <c r="N147" s="309"/>
      <c r="O147" s="309"/>
      <c r="P147" s="310">
        <f ca="1">L147/$L$100*$P$100</f>
        <v>-108.65746018170601</v>
      </c>
      <c r="Q147" s="51"/>
      <c r="R147" s="309"/>
      <c r="S147" s="309"/>
      <c r="T147" s="310">
        <f ca="1">L147/$L$100*$T$100</f>
        <v>-64.111581169343339</v>
      </c>
      <c r="U147" s="51"/>
      <c r="V147" s="309"/>
      <c r="W147" s="309"/>
      <c r="X147" s="310">
        <f ca="1">L147/$L$100*$X$100</f>
        <v>-259.65672898175779</v>
      </c>
      <c r="Y147" s="444"/>
      <c r="Z147" s="287"/>
      <c r="AA147" s="74"/>
      <c r="AB147" s="74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U147" s="84"/>
    </row>
    <row r="148" spans="1:47" ht="16.5" hidden="1" thickBot="1">
      <c r="A148" s="1" t="s">
        <v>382</v>
      </c>
      <c r="B148" s="1"/>
      <c r="C148" s="311">
        <f>C146+C147</f>
        <v>2192338.6259579821</v>
      </c>
      <c r="D148" s="312"/>
      <c r="E148" s="312"/>
      <c r="F148" s="312">
        <f>F146+F147</f>
        <v>203411.5742296672</v>
      </c>
      <c r="G148" s="312"/>
      <c r="H148" s="312"/>
      <c r="I148" s="312">
        <f>I146+I147</f>
        <v>213186.5742296672</v>
      </c>
      <c r="J148" s="312"/>
      <c r="K148" s="312"/>
      <c r="L148" s="312">
        <f ca="1">L146+L147</f>
        <v>232743.83352900355</v>
      </c>
      <c r="M148" s="312"/>
      <c r="N148" s="312"/>
      <c r="O148" s="312"/>
      <c r="P148" s="312">
        <f ca="1">P146+P147</f>
        <v>46718.92610828764</v>
      </c>
      <c r="Q148" s="312"/>
      <c r="R148" s="312"/>
      <c r="S148" s="312"/>
      <c r="T148" s="312">
        <f ca="1">T146+T147</f>
        <v>34365.888418830655</v>
      </c>
      <c r="U148" s="312"/>
      <c r="V148" s="312"/>
      <c r="W148" s="312"/>
      <c r="X148" s="312">
        <f ca="1">X146+X147</f>
        <v>151654.60257035459</v>
      </c>
      <c r="Y148" s="411"/>
      <c r="Z148" s="470"/>
      <c r="AA148" s="74"/>
      <c r="AB148" s="74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U148" s="84"/>
    </row>
    <row r="149" spans="1:47" ht="16.5" hidden="1" thickTop="1">
      <c r="A149" s="1"/>
      <c r="B149" s="313"/>
      <c r="C149" s="21"/>
      <c r="D149" s="1" t="s">
        <v>31</v>
      </c>
      <c r="E149" s="21"/>
      <c r="G149" s="1" t="s">
        <v>31</v>
      </c>
      <c r="H149" s="1"/>
      <c r="J149" s="1" t="s">
        <v>31</v>
      </c>
      <c r="K149" s="1"/>
      <c r="L149" s="2" t="s">
        <v>31</v>
      </c>
      <c r="M149" s="2"/>
      <c r="N149" s="1" t="s">
        <v>31</v>
      </c>
      <c r="O149" s="1"/>
      <c r="P149" s="2" t="s">
        <v>31</v>
      </c>
      <c r="Q149" s="2"/>
      <c r="R149" s="1" t="s">
        <v>31</v>
      </c>
      <c r="S149" s="1"/>
      <c r="T149" s="2" t="s">
        <v>31</v>
      </c>
      <c r="U149" s="2"/>
      <c r="V149" s="1" t="s">
        <v>31</v>
      </c>
      <c r="W149" s="1"/>
      <c r="X149" s="2" t="s">
        <v>31</v>
      </c>
      <c r="Y149" s="20"/>
      <c r="Z149" s="74"/>
      <c r="AA149" s="74"/>
      <c r="AB149" s="74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U149" s="84"/>
    </row>
    <row r="150" spans="1:47" hidden="1">
      <c r="A150" s="293" t="s">
        <v>386</v>
      </c>
      <c r="B150" s="1"/>
      <c r="C150" s="1"/>
      <c r="D150" s="21"/>
      <c r="E150" s="21"/>
      <c r="F150" s="1"/>
      <c r="G150" s="21"/>
      <c r="H150" s="1"/>
      <c r="I150" s="1"/>
      <c r="J150" s="21"/>
      <c r="K150" s="1"/>
      <c r="L150" s="1"/>
      <c r="M150" s="1"/>
      <c r="N150" s="21"/>
      <c r="O150" s="1"/>
      <c r="P150" s="1"/>
      <c r="Q150" s="1"/>
      <c r="R150" s="21"/>
      <c r="S150" s="1"/>
      <c r="T150" s="1"/>
      <c r="U150" s="1"/>
      <c r="V150" s="21"/>
      <c r="W150" s="1"/>
      <c r="X150" s="1"/>
      <c r="Y150" s="20"/>
      <c r="Z150" s="74"/>
      <c r="AA150" s="74"/>
      <c r="AB150" s="74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U150" s="84"/>
    </row>
    <row r="151" spans="1:47" hidden="1">
      <c r="A151" s="1" t="s">
        <v>330</v>
      </c>
      <c r="B151" s="1"/>
      <c r="C151" s="1"/>
      <c r="D151" s="21"/>
      <c r="E151" s="21"/>
      <c r="F151" s="1"/>
      <c r="G151" s="21"/>
      <c r="H151" s="1"/>
      <c r="I151" s="1"/>
      <c r="J151" s="21"/>
      <c r="K151" s="1"/>
      <c r="L151" s="1"/>
      <c r="M151" s="1"/>
      <c r="N151" s="21"/>
      <c r="O151" s="1"/>
      <c r="P151" s="1"/>
      <c r="Q151" s="1"/>
      <c r="R151" s="21"/>
      <c r="S151" s="1"/>
      <c r="T151" s="1"/>
      <c r="U151" s="1"/>
      <c r="V151" s="21"/>
      <c r="W151" s="1"/>
      <c r="X151" s="1"/>
      <c r="Y151" s="20"/>
      <c r="Z151" s="74"/>
      <c r="AA151" s="74"/>
      <c r="AB151" s="74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U151" s="84"/>
    </row>
    <row r="152" spans="1:47" hidden="1">
      <c r="A152" s="297"/>
      <c r="B152" s="1"/>
      <c r="C152" s="1"/>
      <c r="D152" s="21"/>
      <c r="E152" s="21"/>
      <c r="F152" s="1"/>
      <c r="G152" s="21"/>
      <c r="H152" s="1"/>
      <c r="I152" s="1"/>
      <c r="J152" s="21"/>
      <c r="K152" s="1"/>
      <c r="L152" s="1"/>
      <c r="M152" s="1"/>
      <c r="N152" s="21"/>
      <c r="O152" s="1"/>
      <c r="P152" s="1"/>
      <c r="Q152" s="1"/>
      <c r="R152" s="21"/>
      <c r="S152" s="1"/>
      <c r="T152" s="1"/>
      <c r="U152" s="1"/>
      <c r="V152" s="21"/>
      <c r="W152" s="1"/>
      <c r="X152" s="1"/>
      <c r="Y152" s="20"/>
      <c r="Z152" s="74"/>
      <c r="AA152" s="74"/>
      <c r="AB152" s="74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U152" s="84"/>
    </row>
    <row r="153" spans="1:47" hidden="1">
      <c r="A153" s="1" t="s">
        <v>370</v>
      </c>
      <c r="B153" s="1"/>
      <c r="C153" s="21">
        <f>[46]Sheet1!$C$3</f>
        <v>215.96779569892499</v>
      </c>
      <c r="D153" s="298">
        <v>6</v>
      </c>
      <c r="E153" s="1"/>
      <c r="F153" s="2">
        <f>ROUND(D153*$C153,0)</f>
        <v>1296</v>
      </c>
      <c r="G153" s="298">
        <v>7.75</v>
      </c>
      <c r="H153" s="1"/>
      <c r="I153" s="2">
        <f>ROUND(G153*C153,0)</f>
        <v>1674</v>
      </c>
      <c r="J153" s="298">
        <f>$J$89</f>
        <v>14</v>
      </c>
      <c r="K153" s="1"/>
      <c r="L153" s="2">
        <f>ROUND(J153*$C153,0)</f>
        <v>3024</v>
      </c>
      <c r="M153" s="2"/>
      <c r="N153" s="298">
        <f>$N$89</f>
        <v>14</v>
      </c>
      <c r="O153" s="1"/>
      <c r="P153" s="2">
        <f>N153*$C153</f>
        <v>3023.5491397849501</v>
      </c>
      <c r="Q153" s="2"/>
      <c r="R153" s="298" t="str">
        <f>$R$89</f>
        <v xml:space="preserve"> </v>
      </c>
      <c r="S153" s="1"/>
      <c r="T153" s="2">
        <f>ROUND(R153*$C153,0)</f>
        <v>0</v>
      </c>
      <c r="U153" s="2"/>
      <c r="V153" s="298" t="str">
        <f>$V$89</f>
        <v xml:space="preserve"> </v>
      </c>
      <c r="W153" s="1"/>
      <c r="X153" s="2">
        <f>ROUND(V153*$C153,0)</f>
        <v>0</v>
      </c>
      <c r="Y153" s="20"/>
      <c r="Z153" s="74"/>
      <c r="AA153" s="74"/>
      <c r="AB153" s="74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U153" s="84"/>
    </row>
    <row r="154" spans="1:47" hidden="1">
      <c r="A154" s="1" t="s">
        <v>373</v>
      </c>
      <c r="B154" s="1"/>
      <c r="C154" s="21">
        <f>[46]Sheet1!$E$3</f>
        <v>127178.67741935499</v>
      </c>
      <c r="D154" s="299">
        <v>5.9489999999999998</v>
      </c>
      <c r="E154" s="1" t="s">
        <v>374</v>
      </c>
      <c r="F154" s="2">
        <f>ROUND(D154*$C154/100,0)</f>
        <v>7566</v>
      </c>
      <c r="G154" s="299">
        <v>6.1989999999999998</v>
      </c>
      <c r="H154" s="1" t="s">
        <v>374</v>
      </c>
      <c r="I154" s="2">
        <f>ROUND(C154*G154/100,0)</f>
        <v>7884</v>
      </c>
      <c r="J154" s="299">
        <f>$J$90</f>
        <v>3.9460000000000002</v>
      </c>
      <c r="K154" s="1" t="s">
        <v>374</v>
      </c>
      <c r="L154" s="2">
        <f>ROUND(J154*$C154/100,0)</f>
        <v>5018</v>
      </c>
      <c r="M154" s="2"/>
      <c r="N154" s="299">
        <f ca="1">N90</f>
        <v>1.0805215737536096</v>
      </c>
      <c r="O154" s="1" t="s">
        <v>374</v>
      </c>
      <c r="P154" s="2">
        <f ca="1">N154*$C154/100</f>
        <v>1374.1930467306413</v>
      </c>
      <c r="Q154" s="2"/>
      <c r="R154" s="299">
        <f ca="1">R90</f>
        <v>1.14190334052872</v>
      </c>
      <c r="S154" s="1" t="s">
        <v>374</v>
      </c>
      <c r="T154" s="2">
        <f ca="1">ROUND(R154*$C154/100,0)</f>
        <v>1452</v>
      </c>
      <c r="U154" s="2"/>
      <c r="V154" s="299">
        <f ca="1">V90</f>
        <v>1.7225749208771735</v>
      </c>
      <c r="W154" s="1" t="s">
        <v>374</v>
      </c>
      <c r="X154" s="2">
        <f ca="1">ROUND(V154*$C154/100,0)</f>
        <v>2191</v>
      </c>
      <c r="Y154" s="20"/>
      <c r="Z154" s="74"/>
      <c r="AA154" s="74"/>
      <c r="AB154" s="74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U154" s="84"/>
    </row>
    <row r="155" spans="1:47" hidden="1">
      <c r="A155" s="1" t="s">
        <v>375</v>
      </c>
      <c r="B155" s="1"/>
      <c r="C155" s="21">
        <f>[46]Sheet1!$D$3-C154</f>
        <v>310537.32258064498</v>
      </c>
      <c r="D155" s="299">
        <v>9.4159999999999986</v>
      </c>
      <c r="E155" s="1" t="s">
        <v>374</v>
      </c>
      <c r="F155" s="2">
        <f>ROUND(D155*$C155/100,0)</f>
        <v>29240</v>
      </c>
      <c r="G155" s="299">
        <v>9.8170000000000002</v>
      </c>
      <c r="H155" s="1" t="s">
        <v>374</v>
      </c>
      <c r="I155" s="2">
        <f>ROUND(C155*G155/100,0)</f>
        <v>30485</v>
      </c>
      <c r="J155" s="299">
        <f>$J$91</f>
        <v>5.8929999999999998</v>
      </c>
      <c r="K155" s="1" t="s">
        <v>374</v>
      </c>
      <c r="L155" s="2">
        <f>ROUND(J155*$C155/100,0)</f>
        <v>18300</v>
      </c>
      <c r="M155" s="2"/>
      <c r="N155" s="299">
        <f ca="1">N91</f>
        <v>1.6136629083967549</v>
      </c>
      <c r="O155" s="1" t="s">
        <v>374</v>
      </c>
      <c r="P155" s="2">
        <f ca="1">N155*$C155/100</f>
        <v>5011.0255912122484</v>
      </c>
      <c r="Q155" s="2"/>
      <c r="R155" s="299">
        <f ca="1">R91</f>
        <v>1.7053311200297436</v>
      </c>
      <c r="S155" s="1" t="s">
        <v>374</v>
      </c>
      <c r="T155" s="2">
        <f ca="1">ROUND(R155*$C155/100,0)</f>
        <v>5296</v>
      </c>
      <c r="U155" s="2"/>
      <c r="V155" s="299">
        <f ca="1">V91</f>
        <v>2.5740059127191262</v>
      </c>
      <c r="W155" s="1" t="s">
        <v>374</v>
      </c>
      <c r="X155" s="2">
        <f ca="1">ROUND(V155*$C155/100,0)</f>
        <v>7993</v>
      </c>
      <c r="Y155" s="20"/>
      <c r="Z155" s="74"/>
      <c r="AA155" s="74"/>
      <c r="AB155" s="74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U155" s="84"/>
    </row>
    <row r="156" spans="1:47" hidden="1">
      <c r="A156" s="1" t="s">
        <v>377</v>
      </c>
      <c r="B156" s="1"/>
      <c r="C156" s="21">
        <f>[46]Sheet1!$F$3</f>
        <v>773</v>
      </c>
      <c r="D156" s="301">
        <v>1.65</v>
      </c>
      <c r="E156" s="1"/>
      <c r="F156" s="2">
        <f>ROUND(D156*$C156,0)</f>
        <v>1275</v>
      </c>
      <c r="G156" s="301">
        <v>1.65</v>
      </c>
      <c r="H156" s="1"/>
      <c r="I156" s="2">
        <f t="shared" ref="I156:I157" si="37">ROUND(G156*C156,0)</f>
        <v>1275</v>
      </c>
      <c r="J156" s="301">
        <f ca="1">$J$92</f>
        <v>1.8341595399830823</v>
      </c>
      <c r="K156" s="1"/>
      <c r="L156" s="2">
        <f ca="1">ROUND(J156*$C156,0)</f>
        <v>1418</v>
      </c>
      <c r="M156" s="2"/>
      <c r="N156" s="301">
        <v>0</v>
      </c>
      <c r="O156" s="1"/>
      <c r="P156" s="2">
        <f>ROUND(N156*$C156,0)</f>
        <v>0</v>
      </c>
      <c r="Q156" s="2"/>
      <c r="R156" s="301">
        <v>0</v>
      </c>
      <c r="S156" s="1"/>
      <c r="T156" s="2">
        <f>ROUND(R156*$C156,0)</f>
        <v>0</v>
      </c>
      <c r="U156" s="2"/>
      <c r="V156" s="301">
        <f ca="1">V92</f>
        <v>1.8341595399830823</v>
      </c>
      <c r="W156" s="1"/>
      <c r="X156" s="2">
        <f ca="1">ROUND(V156*$C156,0)</f>
        <v>1418</v>
      </c>
      <c r="Y156" s="20"/>
      <c r="Z156" s="74"/>
      <c r="AA156" s="74"/>
      <c r="AB156" s="74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U156" s="84"/>
    </row>
    <row r="157" spans="1:47" hidden="1">
      <c r="A157" s="303" t="s">
        <v>379</v>
      </c>
      <c r="B157" s="303"/>
      <c r="C157" s="21">
        <f>[46]Sheet1!$G$3</f>
        <v>107</v>
      </c>
      <c r="D157" s="301">
        <v>3.2</v>
      </c>
      <c r="E157" s="303"/>
      <c r="F157" s="2">
        <f>ROUND(D157*$C157,0)</f>
        <v>342</v>
      </c>
      <c r="G157" s="301">
        <v>3.2</v>
      </c>
      <c r="H157" s="303"/>
      <c r="I157" s="2">
        <f t="shared" si="37"/>
        <v>342</v>
      </c>
      <c r="J157" s="301">
        <f ca="1">$J$93</f>
        <v>3.6</v>
      </c>
      <c r="K157" s="303"/>
      <c r="L157" s="2">
        <f ca="1">ROUND(J157*$C157,0)</f>
        <v>385</v>
      </c>
      <c r="M157" s="2"/>
      <c r="N157" s="301">
        <v>0</v>
      </c>
      <c r="O157" s="303"/>
      <c r="P157" s="2">
        <f>ROUND(N157*$C157,0)</f>
        <v>0</v>
      </c>
      <c r="Q157" s="2"/>
      <c r="R157" s="301">
        <v>0</v>
      </c>
      <c r="S157" s="303"/>
      <c r="T157" s="2">
        <f>ROUND(R157*$C157,0)</f>
        <v>0</v>
      </c>
      <c r="U157" s="2"/>
      <c r="V157" s="301">
        <f ca="1">V93</f>
        <v>3.6</v>
      </c>
      <c r="W157" s="303"/>
      <c r="X157" s="2">
        <f ca="1">ROUND(V157*$C157,0)</f>
        <v>385</v>
      </c>
      <c r="Y157" s="20"/>
      <c r="Z157" s="74"/>
      <c r="AA157" s="74"/>
      <c r="AB157" s="74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U157" s="84"/>
    </row>
    <row r="158" spans="1:47" hidden="1">
      <c r="A158" s="303" t="s">
        <v>380</v>
      </c>
      <c r="B158" s="303"/>
      <c r="C158" s="21">
        <f>[46]Sheet1!$H$3</f>
        <v>15</v>
      </c>
      <c r="D158" s="304">
        <v>-1.65</v>
      </c>
      <c r="E158" s="303"/>
      <c r="F158" s="2">
        <f>ROUND(D158*$C158,0)</f>
        <v>-25</v>
      </c>
      <c r="G158" s="304">
        <v>-1.65</v>
      </c>
      <c r="H158" s="303"/>
      <c r="I158" s="2">
        <f>ROUND(G158*C158,0)</f>
        <v>-25</v>
      </c>
      <c r="J158" s="304">
        <f ca="1">-J156</f>
        <v>-1.8341595399830823</v>
      </c>
      <c r="K158" s="303"/>
      <c r="L158" s="2">
        <f ca="1">ROUND(J158*$C158,0)</f>
        <v>-28</v>
      </c>
      <c r="M158" s="2"/>
      <c r="N158" s="304">
        <f>-N156</f>
        <v>0</v>
      </c>
      <c r="O158" s="303"/>
      <c r="P158" s="2">
        <f>ROUND(N158*$C158,0)</f>
        <v>0</v>
      </c>
      <c r="Q158" s="2"/>
      <c r="R158" s="304">
        <f>-R156</f>
        <v>0</v>
      </c>
      <c r="S158" s="303"/>
      <c r="T158" s="2">
        <f>ROUND(R158*$C158,0)</f>
        <v>0</v>
      </c>
      <c r="U158" s="2"/>
      <c r="V158" s="304">
        <f ca="1">-V156</f>
        <v>-1.8341595399830823</v>
      </c>
      <c r="W158" s="303"/>
      <c r="X158" s="2">
        <f ca="1">ROUND(V158*$C158,0)</f>
        <v>-28</v>
      </c>
      <c r="Y158" s="20"/>
      <c r="Z158" s="74"/>
      <c r="AA158" s="74"/>
      <c r="AB158" s="74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U158" s="84"/>
    </row>
    <row r="159" spans="1:47" s="1184" customFormat="1" hidden="1">
      <c r="A159" s="1005" t="s">
        <v>1030</v>
      </c>
      <c r="C159" s="1202">
        <f>C154</f>
        <v>127178.67741935499</v>
      </c>
      <c r="D159" s="269"/>
      <c r="E159" s="1185"/>
      <c r="F159" s="1203"/>
      <c r="G159" s="269"/>
      <c r="H159" s="1185"/>
      <c r="I159" s="1203"/>
      <c r="J159" s="1230">
        <f>J144</f>
        <v>2.6339999999999999</v>
      </c>
      <c r="K159" s="1219" t="s">
        <v>374</v>
      </c>
      <c r="L159" s="1203">
        <f t="shared" ref="L159:L160" si="38">J159*C159/100</f>
        <v>3349.8863632258103</v>
      </c>
      <c r="M159" s="1203"/>
      <c r="N159" s="1230" t="str">
        <f>N144</f>
        <v xml:space="preserve"> </v>
      </c>
      <c r="O159" s="1219" t="s">
        <v>374</v>
      </c>
      <c r="P159" s="1203">
        <f>N159*C159/100</f>
        <v>0</v>
      </c>
      <c r="Q159" s="1203"/>
      <c r="R159" s="1230" t="str">
        <f>R144</f>
        <v xml:space="preserve"> </v>
      </c>
      <c r="S159" s="1219" t="s">
        <v>374</v>
      </c>
      <c r="T159" s="1203">
        <f>R159*C159/100</f>
        <v>0</v>
      </c>
      <c r="U159" s="1203"/>
      <c r="V159" s="1230">
        <f>V144</f>
        <v>2.6339999999999999</v>
      </c>
      <c r="W159" s="1219" t="s">
        <v>374</v>
      </c>
      <c r="X159" s="1203">
        <f>V159*C159/100</f>
        <v>3349.8863632258103</v>
      </c>
      <c r="Z159" s="815"/>
      <c r="AC159" s="1205"/>
      <c r="AD159" s="1205"/>
      <c r="AI159" s="1185"/>
      <c r="AJ159" s="1185"/>
      <c r="AK159" s="1185"/>
      <c r="AL159" s="1185"/>
      <c r="AM159" s="1185"/>
      <c r="AN159" s="1185"/>
      <c r="AO159" s="1185"/>
      <c r="AP159" s="1185"/>
      <c r="AQ159" s="1185"/>
      <c r="AR159" s="1185"/>
      <c r="AS159" s="1185"/>
      <c r="AU159" s="1204"/>
    </row>
    <row r="160" spans="1:47" s="1184" customFormat="1" hidden="1">
      <c r="A160" s="1005" t="s">
        <v>1031</v>
      </c>
      <c r="C160" s="1202">
        <f>C155</f>
        <v>310537.32258064498</v>
      </c>
      <c r="D160" s="269"/>
      <c r="E160" s="1185"/>
      <c r="F160" s="1203"/>
      <c r="G160" s="269"/>
      <c r="H160" s="1185"/>
      <c r="I160" s="1203"/>
      <c r="J160" s="1230">
        <f>J145</f>
        <v>4.53</v>
      </c>
      <c r="K160" s="1219" t="s">
        <v>374</v>
      </c>
      <c r="L160" s="1203">
        <f t="shared" si="38"/>
        <v>14067.340712903218</v>
      </c>
      <c r="M160" s="1203"/>
      <c r="N160" s="1230" t="str">
        <f>N145</f>
        <v xml:space="preserve"> </v>
      </c>
      <c r="O160" s="1219" t="s">
        <v>374</v>
      </c>
      <c r="P160" s="1203">
        <f>N160*C160/100</f>
        <v>0</v>
      </c>
      <c r="Q160" s="1203"/>
      <c r="R160" s="1230" t="str">
        <f>R145</f>
        <v xml:space="preserve"> </v>
      </c>
      <c r="S160" s="1219" t="s">
        <v>374</v>
      </c>
      <c r="T160" s="1203">
        <f>R160*C160/100</f>
        <v>0</v>
      </c>
      <c r="U160" s="1203"/>
      <c r="V160" s="1230">
        <f>V145</f>
        <v>4.53</v>
      </c>
      <c r="W160" s="1219" t="s">
        <v>374</v>
      </c>
      <c r="X160" s="1203">
        <f>V160*C160/100</f>
        <v>14067.340712903218</v>
      </c>
      <c r="Z160" s="815"/>
      <c r="AC160" s="1205"/>
      <c r="AD160" s="1205"/>
      <c r="AI160" s="1185"/>
      <c r="AJ160" s="1185"/>
      <c r="AK160" s="1185"/>
      <c r="AL160" s="1185"/>
      <c r="AM160" s="1185"/>
      <c r="AN160" s="1185"/>
      <c r="AO160" s="1185"/>
      <c r="AP160" s="1185"/>
      <c r="AQ160" s="1185"/>
      <c r="AR160" s="1185"/>
      <c r="AS160" s="1185"/>
      <c r="AU160" s="1204"/>
    </row>
    <row r="161" spans="1:54" hidden="1">
      <c r="A161" s="1" t="s">
        <v>381</v>
      </c>
      <c r="B161" s="1"/>
      <c r="C161" s="21">
        <f>SUM(C154:C155)</f>
        <v>437716</v>
      </c>
      <c r="D161" s="988"/>
      <c r="E161" s="2"/>
      <c r="F161" s="2">
        <f>SUM(F153:F158)</f>
        <v>39694</v>
      </c>
      <c r="G161" s="988"/>
      <c r="H161" s="2"/>
      <c r="I161" s="2">
        <f>SUM(I153:I158)</f>
        <v>41635</v>
      </c>
      <c r="J161" s="2"/>
      <c r="K161" s="2"/>
      <c r="L161" s="2">
        <f ca="1">SUM(L153:L160)</f>
        <v>45534.227076129027</v>
      </c>
      <c r="M161" s="2"/>
      <c r="N161" s="2"/>
      <c r="O161" s="2"/>
      <c r="P161" s="2">
        <f ca="1">SUM(P153:P160)</f>
        <v>9408.7677777278404</v>
      </c>
      <c r="Q161" s="2"/>
      <c r="R161" s="2"/>
      <c r="S161" s="2"/>
      <c r="T161" s="2">
        <f ca="1">SUM(T153:T160)</f>
        <v>6748</v>
      </c>
      <c r="U161" s="2"/>
      <c r="V161" s="2"/>
      <c r="W161" s="2"/>
      <c r="X161" s="2">
        <f ca="1">SUM(X153:X160)</f>
        <v>29376.227076129027</v>
      </c>
      <c r="Y161" s="20"/>
      <c r="Z161" s="74"/>
      <c r="AA161" s="74"/>
      <c r="AB161" s="74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U161" s="84"/>
    </row>
    <row r="162" spans="1:54" hidden="1">
      <c r="A162" s="1" t="s">
        <v>363</v>
      </c>
      <c r="B162" s="1"/>
      <c r="C162" s="317">
        <f>'Table 2'!H16</f>
        <v>-1581.2292178126904</v>
      </c>
      <c r="D162" s="309"/>
      <c r="E162" s="309"/>
      <c r="F162" s="310">
        <f>I162</f>
        <v>-81.187001071598146</v>
      </c>
      <c r="G162" s="309"/>
      <c r="H162" s="309"/>
      <c r="I162" s="310">
        <f>'Table 3'!E16</f>
        <v>-81.187001071598146</v>
      </c>
      <c r="J162" s="309"/>
      <c r="K162" s="309"/>
      <c r="L162" s="310">
        <f>I162</f>
        <v>-81.187001071598146</v>
      </c>
      <c r="M162" s="51"/>
      <c r="N162" s="309"/>
      <c r="O162" s="309"/>
      <c r="P162" s="310">
        <f ca="1">L162/$L$100*$P$100</f>
        <v>-20.400202627655528</v>
      </c>
      <c r="Q162" s="51"/>
      <c r="R162" s="309"/>
      <c r="S162" s="309"/>
      <c r="T162" s="310">
        <f ca="1">L162/$L$100*$T$100</f>
        <v>-12.036810398907058</v>
      </c>
      <c r="U162" s="51"/>
      <c r="V162" s="309"/>
      <c r="W162" s="309"/>
      <c r="X162" s="310">
        <f ca="1">L162/$L$100*$X$100</f>
        <v>-48.74998804503555</v>
      </c>
      <c r="Y162" s="444"/>
      <c r="Z162" s="287"/>
      <c r="AA162" s="74"/>
      <c r="AB162" s="74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U162" s="84"/>
    </row>
    <row r="163" spans="1:54" ht="16.5" hidden="1" thickBot="1">
      <c r="A163" s="1" t="s">
        <v>382</v>
      </c>
      <c r="B163" s="1"/>
      <c r="C163" s="311">
        <f>C161+C162</f>
        <v>436134.77078218729</v>
      </c>
      <c r="D163" s="312"/>
      <c r="E163" s="312"/>
      <c r="F163" s="312">
        <f>F161+F162</f>
        <v>39612.812998928399</v>
      </c>
      <c r="G163" s="312"/>
      <c r="H163" s="312"/>
      <c r="I163" s="312">
        <f>I161+I162</f>
        <v>41553.812998928399</v>
      </c>
      <c r="J163" s="312"/>
      <c r="K163" s="312"/>
      <c r="L163" s="312">
        <f ca="1">L161+L162</f>
        <v>45453.040075057426</v>
      </c>
      <c r="M163" s="312"/>
      <c r="N163" s="312"/>
      <c r="O163" s="312"/>
      <c r="P163" s="312">
        <f ca="1">P161+P162</f>
        <v>9388.3675751001847</v>
      </c>
      <c r="Q163" s="312"/>
      <c r="R163" s="312"/>
      <c r="S163" s="312"/>
      <c r="T163" s="312">
        <f ca="1">T161+T162</f>
        <v>6735.9631896010933</v>
      </c>
      <c r="U163" s="312"/>
      <c r="V163" s="312"/>
      <c r="W163" s="312"/>
      <c r="X163" s="312">
        <f ca="1">X161+X162</f>
        <v>29327.477088083993</v>
      </c>
      <c r="Y163" s="411"/>
      <c r="Z163" s="470"/>
      <c r="AA163" s="74"/>
      <c r="AB163" s="74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U163" s="84"/>
    </row>
    <row r="164" spans="1:54" ht="16.5" hidden="1" thickTop="1">
      <c r="A164" s="1"/>
      <c r="B164" s="313"/>
      <c r="C164" s="21"/>
      <c r="D164" s="1" t="s">
        <v>31</v>
      </c>
      <c r="E164" s="21"/>
      <c r="G164" s="1" t="s">
        <v>31</v>
      </c>
      <c r="H164" s="1"/>
      <c r="J164" s="1" t="s">
        <v>31</v>
      </c>
      <c r="K164" s="1"/>
      <c r="L164" s="2" t="s">
        <v>31</v>
      </c>
      <c r="M164" s="2"/>
      <c r="N164" s="1" t="s">
        <v>31</v>
      </c>
      <c r="O164" s="1"/>
      <c r="P164" s="2" t="s">
        <v>31</v>
      </c>
      <c r="Q164" s="2"/>
      <c r="R164" s="1" t="s">
        <v>31</v>
      </c>
      <c r="S164" s="1"/>
      <c r="T164" s="2" t="s">
        <v>31</v>
      </c>
      <c r="U164" s="2"/>
      <c r="V164" s="1" t="s">
        <v>31</v>
      </c>
      <c r="W164" s="1"/>
      <c r="X164" s="2" t="s">
        <v>31</v>
      </c>
      <c r="Y164" s="20"/>
      <c r="Z164" s="74"/>
      <c r="AA164" s="74"/>
      <c r="AB164" s="74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U164" s="84"/>
    </row>
    <row r="165" spans="1:54">
      <c r="A165" s="293" t="s">
        <v>387</v>
      </c>
      <c r="B165" s="1"/>
      <c r="C165" s="1" t="s">
        <v>31</v>
      </c>
      <c r="D165" s="2"/>
      <c r="E165" s="2"/>
      <c r="F165" s="1" t="s">
        <v>31</v>
      </c>
      <c r="G165" s="2"/>
      <c r="H165" s="1"/>
      <c r="I165" s="1"/>
      <c r="J165" s="2"/>
      <c r="K165" s="1"/>
      <c r="L165" s="1"/>
      <c r="M165" s="1"/>
      <c r="N165" s="2"/>
      <c r="O165" s="1"/>
      <c r="P165" s="1"/>
      <c r="Q165" s="1"/>
      <c r="R165" s="2"/>
      <c r="S165" s="1"/>
      <c r="T165" s="1"/>
      <c r="U165" s="1"/>
      <c r="V165" s="2"/>
      <c r="W165" s="1"/>
      <c r="X165" s="1"/>
      <c r="Y165" s="20"/>
      <c r="Z165" s="74"/>
      <c r="AA165" s="74"/>
      <c r="AB165" s="74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U165" s="84"/>
    </row>
    <row r="166" spans="1:54">
      <c r="A166" s="1" t="s">
        <v>388</v>
      </c>
      <c r="B166" s="1"/>
      <c r="C166" s="1"/>
      <c r="D166" s="2"/>
      <c r="E166" s="2"/>
      <c r="F166" s="1"/>
      <c r="G166" s="2"/>
      <c r="H166" s="1"/>
      <c r="I166" s="1"/>
      <c r="J166" s="2"/>
      <c r="K166" s="1"/>
      <c r="L166" s="1"/>
      <c r="M166" s="1"/>
      <c r="N166" s="2"/>
      <c r="O166" s="1"/>
      <c r="P166" s="1"/>
      <c r="Q166" s="1"/>
      <c r="R166" s="2"/>
      <c r="S166" s="1"/>
      <c r="T166" s="1"/>
      <c r="U166" s="1"/>
      <c r="V166" s="2"/>
      <c r="W166" s="1"/>
      <c r="X166" s="1"/>
      <c r="Y166" s="20"/>
      <c r="Z166" s="74"/>
      <c r="AA166" s="74"/>
      <c r="AB166" s="74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U166" s="84"/>
    </row>
    <row r="167" spans="1:54">
      <c r="A167" s="1"/>
      <c r="B167" s="1"/>
      <c r="C167" s="1"/>
      <c r="D167" s="2"/>
      <c r="E167" s="2"/>
      <c r="F167" s="1"/>
      <c r="G167" s="2"/>
      <c r="H167" s="1"/>
      <c r="I167" s="1"/>
      <c r="J167" s="2"/>
      <c r="K167" s="1"/>
      <c r="L167" s="1"/>
      <c r="M167" s="1"/>
      <c r="N167" s="2"/>
      <c r="O167" s="1"/>
      <c r="P167" s="1"/>
      <c r="Q167" s="1"/>
      <c r="R167" s="2"/>
      <c r="S167" s="1"/>
      <c r="T167" s="1"/>
      <c r="U167" s="1"/>
      <c r="V167" s="2"/>
      <c r="W167" s="1"/>
      <c r="X167" s="1"/>
      <c r="Y167" s="20"/>
      <c r="AA167" s="74"/>
      <c r="AB167" s="74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U167" s="84"/>
    </row>
    <row r="168" spans="1:54">
      <c r="A168" s="1" t="s">
        <v>389</v>
      </c>
      <c r="B168" s="1"/>
      <c r="C168" s="1"/>
      <c r="D168" s="2"/>
      <c r="E168" s="2"/>
      <c r="F168" s="1"/>
      <c r="G168" s="2"/>
      <c r="H168" s="1"/>
      <c r="I168" s="1"/>
      <c r="J168" s="2"/>
      <c r="K168" s="1"/>
      <c r="L168" s="1"/>
      <c r="M168" s="1"/>
      <c r="N168" s="2"/>
      <c r="O168" s="1"/>
      <c r="P168" s="1"/>
      <c r="Q168" s="1"/>
      <c r="R168" s="2"/>
      <c r="S168" s="1"/>
      <c r="T168" s="1"/>
      <c r="U168" s="1"/>
      <c r="V168" s="2"/>
      <c r="W168" s="1"/>
      <c r="X168" s="1"/>
      <c r="Y168" s="20"/>
      <c r="Z168" s="74"/>
      <c r="AA168" s="793" t="s">
        <v>643</v>
      </c>
      <c r="AB168" s="793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U168" s="84"/>
    </row>
    <row r="169" spans="1:54">
      <c r="A169" s="1" t="s">
        <v>390</v>
      </c>
      <c r="B169" s="1"/>
      <c r="C169" s="21">
        <f>C492</f>
        <v>1</v>
      </c>
      <c r="D169" s="298">
        <v>104.52000000000001</v>
      </c>
      <c r="E169" s="2"/>
      <c r="F169" s="2">
        <f t="shared" ref="F169:I171" si="39">F457</f>
        <v>105</v>
      </c>
      <c r="G169" s="298">
        <v>104.52000000000001</v>
      </c>
      <c r="H169" s="1"/>
      <c r="I169" s="2">
        <f t="shared" si="39"/>
        <v>105</v>
      </c>
      <c r="J169" s="301">
        <f>'Rate Design Work'!J168</f>
        <v>120</v>
      </c>
      <c r="K169" s="1"/>
      <c r="L169" s="2">
        <f>L457</f>
        <v>120</v>
      </c>
      <c r="M169" s="2"/>
      <c r="N169" s="301">
        <f>'Rate Design Work'!N168</f>
        <v>120</v>
      </c>
      <c r="O169" s="1"/>
      <c r="P169" s="2">
        <f>'Rate Design Work'!P168</f>
        <v>120</v>
      </c>
      <c r="Q169" s="2"/>
      <c r="R169" s="301" t="str">
        <f>'Rate Design Work'!R168</f>
        <v xml:space="preserve"> </v>
      </c>
      <c r="S169" s="1"/>
      <c r="T169" s="2">
        <f>R169*C169</f>
        <v>0</v>
      </c>
      <c r="U169" s="2"/>
      <c r="V169" s="301" t="str">
        <f>'Rate Design Work'!V168</f>
        <v xml:space="preserve"> </v>
      </c>
      <c r="W169" s="1"/>
      <c r="X169" s="2">
        <f>V169*C169</f>
        <v>0</v>
      </c>
      <c r="AA169" s="55">
        <f>(J169-G169)/G169</f>
        <v>0.14810562571756591</v>
      </c>
      <c r="AB169" s="55"/>
      <c r="AE169" s="53"/>
      <c r="AG169" s="53"/>
      <c r="AI169" s="53"/>
      <c r="AJ169" s="53"/>
      <c r="AU169" s="20"/>
      <c r="AV169" s="20"/>
      <c r="AW169" s="20"/>
      <c r="AX169" s="20"/>
      <c r="AY169" s="20"/>
      <c r="AZ169" s="20"/>
      <c r="BB169" s="84"/>
    </row>
    <row r="170" spans="1:54">
      <c r="A170" s="1" t="s">
        <v>391</v>
      </c>
      <c r="B170" s="1"/>
      <c r="C170" s="21">
        <f>C458</f>
        <v>86.216438356164403</v>
      </c>
      <c r="D170" s="298">
        <v>155.76</v>
      </c>
      <c r="E170" s="2"/>
      <c r="F170" s="2">
        <f t="shared" si="39"/>
        <v>13429</v>
      </c>
      <c r="G170" s="298">
        <v>155.76</v>
      </c>
      <c r="H170" s="1"/>
      <c r="I170" s="2">
        <f t="shared" si="39"/>
        <v>13429</v>
      </c>
      <c r="J170" s="301">
        <f>'Rate Design Work'!J169</f>
        <v>180</v>
      </c>
      <c r="K170" s="1"/>
      <c r="L170" s="2">
        <f>L458</f>
        <v>15519</v>
      </c>
      <c r="M170" s="2"/>
      <c r="N170" s="301">
        <f>'Rate Design Work'!N169</f>
        <v>180</v>
      </c>
      <c r="O170" s="1"/>
      <c r="P170" s="2">
        <f>'Rate Design Work'!P169</f>
        <v>15519</v>
      </c>
      <c r="Q170" s="2"/>
      <c r="R170" s="301" t="str">
        <f>'Rate Design Work'!R169</f>
        <v xml:space="preserve"> </v>
      </c>
      <c r="S170" s="1"/>
      <c r="T170" s="2">
        <f t="shared" ref="T170:T175" si="40">R170*C170</f>
        <v>0</v>
      </c>
      <c r="U170" s="2"/>
      <c r="V170" s="301" t="str">
        <f>'Rate Design Work'!V169</f>
        <v xml:space="preserve"> </v>
      </c>
      <c r="W170" s="1"/>
      <c r="X170" s="2">
        <f t="shared" ref="X170:X175" si="41">V170*C170</f>
        <v>0</v>
      </c>
      <c r="Y170" s="84"/>
      <c r="AA170" s="55">
        <f>(J170-G170)/G170</f>
        <v>0.15562403697996924</v>
      </c>
      <c r="AB170" s="55"/>
      <c r="AD170" s="84"/>
      <c r="AE170" s="738"/>
      <c r="AF170" s="84"/>
      <c r="AG170" s="738"/>
      <c r="AH170" s="84"/>
      <c r="AI170" s="84"/>
      <c r="AJ170" s="738"/>
      <c r="AK170" s="237"/>
      <c r="AL170" s="84"/>
      <c r="AM170" s="84"/>
      <c r="AU170" s="20"/>
      <c r="AV170" s="20"/>
      <c r="AW170" s="20"/>
      <c r="AX170" s="20"/>
      <c r="AY170" s="20"/>
      <c r="AZ170" s="20"/>
      <c r="BB170" s="84"/>
    </row>
    <row r="171" spans="1:54">
      <c r="A171" s="1" t="s">
        <v>392</v>
      </c>
      <c r="B171" s="1"/>
      <c r="C171" s="21">
        <f>C459</f>
        <v>3360.78082191781</v>
      </c>
      <c r="D171" s="298">
        <v>11.040000000000001</v>
      </c>
      <c r="E171" s="2"/>
      <c r="F171" s="2">
        <f t="shared" si="39"/>
        <v>37103</v>
      </c>
      <c r="G171" s="298">
        <v>11.040000000000001</v>
      </c>
      <c r="H171" s="1"/>
      <c r="I171" s="2">
        <f t="shared" si="39"/>
        <v>37103</v>
      </c>
      <c r="J171" s="301">
        <f>'Rate Design Work'!J170</f>
        <v>12</v>
      </c>
      <c r="K171" s="1"/>
      <c r="L171" s="2">
        <f>L459</f>
        <v>40329</v>
      </c>
      <c r="M171" s="2"/>
      <c r="N171" s="301">
        <f>'Rate Design Work'!N170</f>
        <v>12</v>
      </c>
      <c r="O171" s="1"/>
      <c r="P171" s="2">
        <f>'Rate Design Work'!P170</f>
        <v>40329</v>
      </c>
      <c r="Q171" s="2"/>
      <c r="R171" s="301" t="str">
        <f>'Rate Design Work'!R170</f>
        <v xml:space="preserve"> </v>
      </c>
      <c r="S171" s="1"/>
      <c r="T171" s="2">
        <f t="shared" si="40"/>
        <v>0</v>
      </c>
      <c r="U171" s="2"/>
      <c r="V171" s="301" t="str">
        <f>'Rate Design Work'!V170</f>
        <v xml:space="preserve"> </v>
      </c>
      <c r="W171" s="1"/>
      <c r="X171" s="2">
        <f t="shared" si="41"/>
        <v>0</v>
      </c>
      <c r="AA171" s="55">
        <f>(J171-G171)/G171</f>
        <v>8.6956521739130349E-2</v>
      </c>
      <c r="AB171" s="55"/>
      <c r="AD171" s="84"/>
      <c r="AE171" s="738"/>
      <c r="AF171" s="84"/>
      <c r="AG171" s="738"/>
      <c r="AH171" s="84"/>
      <c r="AI171" s="84"/>
      <c r="AJ171" s="738"/>
      <c r="AK171" s="237"/>
      <c r="AL171" s="84"/>
      <c r="AM171" s="84"/>
      <c r="AU171" s="20"/>
      <c r="AV171" s="20"/>
      <c r="AW171" s="20"/>
      <c r="AX171" s="20"/>
      <c r="AY171" s="20"/>
      <c r="AZ171" s="20"/>
      <c r="BB171" s="84"/>
    </row>
    <row r="172" spans="1:54">
      <c r="A172" s="1" t="s">
        <v>393</v>
      </c>
      <c r="B172" s="1"/>
      <c r="C172" s="319"/>
      <c r="D172" s="2"/>
      <c r="E172" s="2"/>
      <c r="F172" s="1"/>
      <c r="G172" s="2"/>
      <c r="H172" s="1"/>
      <c r="I172" s="1"/>
      <c r="J172" s="2"/>
      <c r="K172" s="1"/>
      <c r="L172" s="1"/>
      <c r="M172" s="1"/>
      <c r="N172" s="2"/>
      <c r="O172" s="1"/>
      <c r="P172" s="1"/>
      <c r="Q172" s="1"/>
      <c r="R172" s="2"/>
      <c r="S172" s="1"/>
      <c r="T172" s="1"/>
      <c r="U172" s="1"/>
      <c r="V172" s="2"/>
      <c r="W172" s="1"/>
      <c r="X172" s="1"/>
      <c r="AA172" s="320"/>
      <c r="AB172" s="320"/>
      <c r="AD172" s="84"/>
      <c r="AE172" s="738"/>
      <c r="AF172" s="84"/>
      <c r="AG172" s="738"/>
      <c r="AH172" s="84"/>
      <c r="AI172" s="84"/>
      <c r="AJ172" s="738"/>
      <c r="AK172" s="237"/>
      <c r="AL172" s="84"/>
      <c r="AM172" s="84"/>
      <c r="AU172" s="20"/>
      <c r="AV172" s="20"/>
      <c r="AW172" s="20"/>
      <c r="AX172" s="20"/>
      <c r="AY172" s="20"/>
      <c r="AZ172" s="20"/>
      <c r="BB172" s="84"/>
    </row>
    <row r="173" spans="1:54">
      <c r="A173" s="1" t="s">
        <v>390</v>
      </c>
      <c r="B173" s="1"/>
      <c r="C173" s="319">
        <f>C214+C351</f>
        <v>164390.55320404682</v>
      </c>
      <c r="D173" s="298">
        <v>8.7100000000000009</v>
      </c>
      <c r="E173" s="321"/>
      <c r="F173" s="322">
        <f>F214+F351</f>
        <v>1431841</v>
      </c>
      <c r="G173" s="298">
        <v>8.7100000000000009</v>
      </c>
      <c r="H173" s="323"/>
      <c r="I173" s="322">
        <f>I214+I351</f>
        <v>1431841</v>
      </c>
      <c r="J173" s="301">
        <f>'Rate Design Work'!J172</f>
        <v>10</v>
      </c>
      <c r="K173" s="323"/>
      <c r="L173" s="322">
        <f>L214+L351</f>
        <v>1643906</v>
      </c>
      <c r="M173" s="322"/>
      <c r="N173" s="301">
        <f>'Rate Design Work'!N172</f>
        <v>10</v>
      </c>
      <c r="O173" s="323"/>
      <c r="P173" s="2">
        <f>'Rate Design Work'!P172</f>
        <v>1643906</v>
      </c>
      <c r="Q173" s="322"/>
      <c r="R173" s="301" t="str">
        <f>'Rate Design Work'!R172</f>
        <v xml:space="preserve"> </v>
      </c>
      <c r="S173" s="323"/>
      <c r="T173" s="2">
        <f t="shared" si="40"/>
        <v>0</v>
      </c>
      <c r="U173" s="322"/>
      <c r="V173" s="301" t="str">
        <f>'Rate Design Work'!V172</f>
        <v xml:space="preserve"> </v>
      </c>
      <c r="W173" s="323"/>
      <c r="X173" s="2">
        <f t="shared" si="41"/>
        <v>0</v>
      </c>
      <c r="AA173" s="55">
        <f>(J173-G173)/G173</f>
        <v>0.14810562571756591</v>
      </c>
      <c r="AB173" s="55"/>
      <c r="AD173" s="84"/>
      <c r="AE173" s="738"/>
      <c r="AF173" s="84"/>
      <c r="AG173" s="738"/>
      <c r="AH173" s="84"/>
      <c r="AI173" s="84"/>
      <c r="AJ173" s="738"/>
      <c r="AK173" s="237"/>
      <c r="AL173" s="84"/>
      <c r="AM173" s="84"/>
      <c r="AU173" s="20"/>
      <c r="AV173" s="20"/>
      <c r="AW173" s="20"/>
      <c r="AX173" s="20"/>
      <c r="AY173" s="20"/>
      <c r="AZ173" s="20"/>
      <c r="BB173" s="84"/>
    </row>
    <row r="174" spans="1:54">
      <c r="A174" s="1" t="s">
        <v>391</v>
      </c>
      <c r="B174" s="1"/>
      <c r="C174" s="319">
        <f>C215+C352</f>
        <v>63164.166666666628</v>
      </c>
      <c r="D174" s="298">
        <v>12.98</v>
      </c>
      <c r="E174" s="324"/>
      <c r="F174" s="322">
        <f>F215+F352</f>
        <v>819872</v>
      </c>
      <c r="G174" s="298">
        <v>12.98</v>
      </c>
      <c r="H174" s="325"/>
      <c r="I174" s="322">
        <f>I215+I352</f>
        <v>819872</v>
      </c>
      <c r="J174" s="301">
        <f>'Rate Design Work'!J173</f>
        <v>15</v>
      </c>
      <c r="K174" s="325"/>
      <c r="L174" s="322">
        <f>L215+L352</f>
        <v>947463</v>
      </c>
      <c r="M174" s="322"/>
      <c r="N174" s="301">
        <f>'Rate Design Work'!N173</f>
        <v>15</v>
      </c>
      <c r="O174" s="325"/>
      <c r="P174" s="2">
        <f>'Rate Design Work'!P173</f>
        <v>947463</v>
      </c>
      <c r="Q174" s="322"/>
      <c r="R174" s="301" t="str">
        <f>'Rate Design Work'!R173</f>
        <v xml:space="preserve"> </v>
      </c>
      <c r="S174" s="325"/>
      <c r="T174" s="2">
        <f t="shared" si="40"/>
        <v>0</v>
      </c>
      <c r="U174" s="322"/>
      <c r="V174" s="301" t="str">
        <f>'Rate Design Work'!V173</f>
        <v xml:space="preserve"> </v>
      </c>
      <c r="W174" s="325"/>
      <c r="X174" s="2">
        <f t="shared" si="41"/>
        <v>0</v>
      </c>
      <c r="AA174" s="55">
        <f>(J174-G174)/G174</f>
        <v>0.15562403697996915</v>
      </c>
      <c r="AB174" s="55"/>
      <c r="AC174" s="69"/>
      <c r="AD174" s="84"/>
      <c r="AE174" s="738"/>
      <c r="AF174" s="84"/>
      <c r="AG174" s="737"/>
      <c r="AH174" s="84"/>
      <c r="AI174" s="84"/>
      <c r="AJ174" s="737"/>
      <c r="AL174" s="20"/>
      <c r="AM174" s="20"/>
      <c r="AN174" s="20"/>
      <c r="AO174" s="20"/>
      <c r="AP174" s="20"/>
      <c r="AQ174" s="20"/>
      <c r="AR174" s="20"/>
      <c r="AS174" s="20"/>
      <c r="AU174" s="84"/>
    </row>
    <row r="175" spans="1:54">
      <c r="A175" s="1" t="s">
        <v>392</v>
      </c>
      <c r="B175" s="1"/>
      <c r="C175" s="319">
        <f>C216+C353</f>
        <v>1251783</v>
      </c>
      <c r="D175" s="298">
        <v>0.92</v>
      </c>
      <c r="E175" s="324"/>
      <c r="F175" s="322">
        <f>F216+F353</f>
        <v>1151641</v>
      </c>
      <c r="G175" s="298">
        <v>0.92</v>
      </c>
      <c r="H175" s="325"/>
      <c r="I175" s="322">
        <f>I216+I353</f>
        <v>1151641</v>
      </c>
      <c r="J175" s="301">
        <f>'Rate Design Work'!J174</f>
        <v>1</v>
      </c>
      <c r="K175" s="325"/>
      <c r="L175" s="322">
        <f>L216+L353</f>
        <v>1251783</v>
      </c>
      <c r="M175" s="322"/>
      <c r="N175" s="301">
        <f>'Rate Design Work'!N174</f>
        <v>1</v>
      </c>
      <c r="O175" s="325"/>
      <c r="P175" s="2">
        <f>'Rate Design Work'!P174</f>
        <v>1251783</v>
      </c>
      <c r="Q175" s="322"/>
      <c r="R175" s="301" t="str">
        <f>'Rate Design Work'!R174</f>
        <v xml:space="preserve"> </v>
      </c>
      <c r="S175" s="325"/>
      <c r="T175" s="2">
        <f t="shared" si="40"/>
        <v>0</v>
      </c>
      <c r="U175" s="322"/>
      <c r="V175" s="301" t="str">
        <f>'Rate Design Work'!V174</f>
        <v xml:space="preserve"> </v>
      </c>
      <c r="W175" s="325"/>
      <c r="X175" s="2">
        <f t="shared" si="41"/>
        <v>0</v>
      </c>
      <c r="AA175" s="55">
        <f>(J175-G175)/G175</f>
        <v>8.6956521739130391E-2</v>
      </c>
      <c r="AB175" s="55"/>
      <c r="AC175" s="69"/>
      <c r="AF175" s="15"/>
      <c r="AG175" s="15"/>
      <c r="AH175" s="15"/>
      <c r="AI175" s="15"/>
      <c r="AJ175" s="15"/>
      <c r="AL175" s="20"/>
      <c r="AM175" s="20"/>
      <c r="AN175" s="20"/>
      <c r="AO175" s="20"/>
      <c r="AP175" s="20"/>
      <c r="AQ175" s="20"/>
      <c r="AR175" s="20"/>
      <c r="AS175" s="20"/>
      <c r="AU175" s="84"/>
    </row>
    <row r="176" spans="1:54">
      <c r="A176" s="1" t="s">
        <v>394</v>
      </c>
      <c r="B176" s="1"/>
      <c r="C176" s="319">
        <f>SUM(C173:C174)</f>
        <v>227554.71987071345</v>
      </c>
      <c r="D176" s="298"/>
      <c r="E176" s="321"/>
      <c r="F176" s="322"/>
      <c r="G176" s="298"/>
      <c r="H176" s="323"/>
      <c r="I176" s="322"/>
      <c r="J176" s="301"/>
      <c r="K176" s="323"/>
      <c r="L176" s="322"/>
      <c r="M176" s="322"/>
      <c r="N176" s="301"/>
      <c r="O176" s="323"/>
      <c r="P176" s="322"/>
      <c r="Q176" s="322"/>
      <c r="R176" s="301"/>
      <c r="S176" s="323"/>
      <c r="T176" s="322"/>
      <c r="U176" s="322"/>
      <c r="V176" s="301"/>
      <c r="W176" s="323"/>
      <c r="X176" s="322"/>
      <c r="AA176" s="320"/>
      <c r="AB176" s="320"/>
      <c r="AC176" s="69"/>
      <c r="AL176" s="20"/>
      <c r="AM176" s="20"/>
      <c r="AN176" s="20"/>
      <c r="AO176" s="20"/>
      <c r="AP176" s="20"/>
      <c r="AQ176" s="20"/>
      <c r="AR176" s="20"/>
      <c r="AS176" s="20"/>
      <c r="AU176" s="84"/>
    </row>
    <row r="177" spans="1:47">
      <c r="A177" s="1" t="s">
        <v>362</v>
      </c>
      <c r="B177" s="1"/>
      <c r="C177" s="319">
        <f t="shared" ref="C177:C182" si="42">C217+C355+C461</f>
        <v>225461.92499999961</v>
      </c>
      <c r="D177" s="298"/>
      <c r="E177" s="321"/>
      <c r="F177" s="322"/>
      <c r="G177" s="298"/>
      <c r="H177" s="323"/>
      <c r="I177" s="322"/>
      <c r="J177" s="301"/>
      <c r="K177" s="323"/>
      <c r="L177" s="322"/>
      <c r="M177" s="322"/>
      <c r="N177" s="301"/>
      <c r="O177" s="323"/>
      <c r="P177" s="322"/>
      <c r="Q177" s="322"/>
      <c r="R177" s="301"/>
      <c r="S177" s="323"/>
      <c r="T177" s="322"/>
      <c r="U177" s="322"/>
      <c r="V177" s="301"/>
      <c r="W177" s="323"/>
      <c r="X177" s="322"/>
      <c r="AA177" s="320"/>
      <c r="AB177" s="320"/>
      <c r="AC177" s="69"/>
      <c r="AL177" s="20"/>
      <c r="AM177" s="20"/>
      <c r="AN177" s="20"/>
      <c r="AO177" s="20"/>
      <c r="AP177" s="20"/>
      <c r="AQ177" s="20"/>
      <c r="AR177" s="20"/>
      <c r="AS177" s="20"/>
      <c r="AU177" s="84"/>
    </row>
    <row r="178" spans="1:47">
      <c r="A178" s="1" t="s">
        <v>395</v>
      </c>
      <c r="B178" s="1"/>
      <c r="C178" s="319">
        <f t="shared" si="42"/>
        <v>856088.82058823528</v>
      </c>
      <c r="D178" s="298">
        <v>3.4</v>
      </c>
      <c r="E178" s="323"/>
      <c r="F178" s="322">
        <f>F218+F356+F462</f>
        <v>2910702</v>
      </c>
      <c r="G178" s="298">
        <v>3.61</v>
      </c>
      <c r="H178" s="323"/>
      <c r="I178" s="322">
        <f>I218+I356+I462</f>
        <v>3090481</v>
      </c>
      <c r="J178" s="301">
        <f ca="1">'Rate Design Work'!J177</f>
        <v>3.77</v>
      </c>
      <c r="K178" s="323"/>
      <c r="L178" s="322">
        <f t="shared" ref="L178:L185" ca="1" si="43">L218+L356+L462</f>
        <v>3227454</v>
      </c>
      <c r="M178" s="322"/>
      <c r="N178" s="301">
        <f ca="1">'Rate Design Work'!N177</f>
        <v>0.81</v>
      </c>
      <c r="O178" s="1" t="s">
        <v>31</v>
      </c>
      <c r="P178" s="2">
        <f ca="1">'Rate Design Work'!P177</f>
        <v>692743.76524388767</v>
      </c>
      <c r="Q178" s="1" t="s">
        <v>31</v>
      </c>
      <c r="R178" s="301">
        <f ca="1">'Rate Design Work'!R177</f>
        <v>1.06</v>
      </c>
      <c r="S178" s="1" t="s">
        <v>31</v>
      </c>
      <c r="T178" s="2">
        <f ca="1">'Rate Design Work'!T177</f>
        <v>909283.09042125382</v>
      </c>
      <c r="U178" s="2"/>
      <c r="V178" s="301">
        <f ca="1">'Rate Design Work'!V177</f>
        <v>1.9</v>
      </c>
      <c r="W178" s="1" t="s">
        <v>31</v>
      </c>
      <c r="X178" s="2">
        <f ca="1">'Rate Design Work'!X177</f>
        <v>1624492.7278690848</v>
      </c>
      <c r="AA178" s="55">
        <f ca="1">(J178-G178)/G178</f>
        <v>4.4321329639889238E-2</v>
      </c>
      <c r="AB178" s="55"/>
      <c r="AC178" s="69"/>
      <c r="AL178" s="20"/>
      <c r="AM178" s="20"/>
      <c r="AN178" s="20"/>
      <c r="AO178" s="20"/>
      <c r="AP178" s="20"/>
      <c r="AQ178" s="20"/>
      <c r="AR178" s="20"/>
      <c r="AS178" s="20"/>
      <c r="AU178" s="84"/>
    </row>
    <row r="179" spans="1:47">
      <c r="A179" s="1" t="s">
        <v>397</v>
      </c>
      <c r="B179" s="1"/>
      <c r="C179" s="319">
        <f t="shared" si="42"/>
        <v>131966941.08172859</v>
      </c>
      <c r="D179" s="299">
        <v>9.766</v>
      </c>
      <c r="E179" s="323" t="s">
        <v>374</v>
      </c>
      <c r="F179" s="322">
        <f>F219+F357+F463</f>
        <v>12887891</v>
      </c>
      <c r="G179" s="299">
        <v>10.359</v>
      </c>
      <c r="H179" s="323" t="s">
        <v>374</v>
      </c>
      <c r="I179" s="322">
        <f>I219+I357+I463</f>
        <v>13670457</v>
      </c>
      <c r="J179" s="802">
        <f ca="1">'Rate Design Work'!J178</f>
        <v>6.282</v>
      </c>
      <c r="K179" s="323" t="s">
        <v>374</v>
      </c>
      <c r="L179" s="322">
        <f t="shared" ca="1" si="43"/>
        <v>8290165</v>
      </c>
      <c r="M179" s="322"/>
      <c r="N179" s="802">
        <f ca="1">'Rate Design Work'!N178</f>
        <v>1.3483746810352102</v>
      </c>
      <c r="O179" s="1219" t="s">
        <v>374</v>
      </c>
      <c r="P179" s="2">
        <f ca="1">'Rate Design Work'!P178</f>
        <v>1779408.8208826818</v>
      </c>
      <c r="Q179" s="322"/>
      <c r="R179" s="802">
        <f ca="1">'Rate Design Work'!R178</f>
        <v>1.7708525176705459</v>
      </c>
      <c r="S179" s="323" t="s">
        <v>374</v>
      </c>
      <c r="T179" s="2">
        <f ca="1">'Rate Design Work'!T178</f>
        <v>2335620.2292277794</v>
      </c>
      <c r="U179" s="322"/>
      <c r="V179" s="802">
        <f ca="1">'Rate Design Work'!V178</f>
        <v>3.162955363125258</v>
      </c>
      <c r="W179" s="323" t="s">
        <v>374</v>
      </c>
      <c r="X179" s="2">
        <f ca="1">'Rate Design Work'!X178</f>
        <v>4172735.771086067</v>
      </c>
      <c r="AA179" s="55">
        <f ca="1">((J179+J183)-G179)/G179</f>
        <v>4.3633555362486726E-2</v>
      </c>
      <c r="AB179" s="55"/>
      <c r="AC179" s="69"/>
      <c r="AD179" s="236"/>
      <c r="AE179" s="236"/>
      <c r="AF179" s="236"/>
      <c r="AG179" s="236"/>
      <c r="AH179" s="236"/>
      <c r="AI179" s="236"/>
      <c r="AL179" s="20"/>
      <c r="AM179" s="20"/>
      <c r="AN179" s="20"/>
      <c r="AO179" s="20"/>
      <c r="AP179" s="20"/>
      <c r="AQ179" s="20"/>
      <c r="AR179" s="20"/>
      <c r="AS179" s="20"/>
      <c r="AU179" s="84"/>
    </row>
    <row r="180" spans="1:47">
      <c r="A180" s="1" t="s">
        <v>398</v>
      </c>
      <c r="B180" s="1"/>
      <c r="C180" s="319">
        <f t="shared" si="42"/>
        <v>289086888.50220066</v>
      </c>
      <c r="D180" s="299">
        <v>6.7460000000000004</v>
      </c>
      <c r="E180" s="323" t="s">
        <v>374</v>
      </c>
      <c r="F180" s="322">
        <f>F220+F358+F464</f>
        <v>19501802</v>
      </c>
      <c r="G180" s="299">
        <v>7.1559999999999997</v>
      </c>
      <c r="H180" s="323" t="s">
        <v>374</v>
      </c>
      <c r="I180" s="322">
        <f>I220+I358+I464</f>
        <v>20687058</v>
      </c>
      <c r="J180" s="802">
        <f ca="1">'Rate Design Work'!J179</f>
        <v>4.3410000000000002</v>
      </c>
      <c r="K180" s="323" t="s">
        <v>374</v>
      </c>
      <c r="L180" s="322">
        <f t="shared" ca="1" si="43"/>
        <v>12549261</v>
      </c>
      <c r="M180" s="322"/>
      <c r="N180" s="802">
        <f ca="1">'Rate Design Work'!N179</f>
        <v>0.93175626548296309</v>
      </c>
      <c r="O180" s="1219" t="s">
        <v>374</v>
      </c>
      <c r="P180" s="2">
        <f ca="1">'Rate Design Work'!P179</f>
        <v>2693585.1963090026</v>
      </c>
      <c r="Q180" s="322"/>
      <c r="R180" s="802">
        <f ca="1">'Rate Design Work'!R179</f>
        <v>1.2240066282869231</v>
      </c>
      <c r="S180" s="323" t="s">
        <v>374</v>
      </c>
      <c r="T180" s="2">
        <f ca="1">'Rate Design Work'!T179</f>
        <v>3535551.8078903412</v>
      </c>
      <c r="U180" s="322"/>
      <c r="V180" s="802">
        <f ca="1">'Rate Design Work'!V179</f>
        <v>2.1849800075654815</v>
      </c>
      <c r="W180" s="323" t="s">
        <v>374</v>
      </c>
      <c r="X180" s="2">
        <f ca="1">'Rate Design Work'!X179</f>
        <v>6316490.7182661993</v>
      </c>
      <c r="Y180" s="329"/>
      <c r="AA180" s="55">
        <f ca="1">((J180+J184)-G180)/G180</f>
        <v>4.3599776411403057E-2</v>
      </c>
      <c r="AB180" s="55"/>
      <c r="AC180" s="69"/>
      <c r="AL180" s="20"/>
      <c r="AM180" s="20"/>
      <c r="AN180" s="20"/>
      <c r="AO180" s="20"/>
      <c r="AP180" s="20"/>
      <c r="AQ180" s="20"/>
      <c r="AR180" s="20"/>
      <c r="AS180" s="20"/>
      <c r="AU180" s="84"/>
    </row>
    <row r="181" spans="1:47">
      <c r="A181" s="1" t="s">
        <v>399</v>
      </c>
      <c r="B181" s="1"/>
      <c r="C181" s="319">
        <f t="shared" si="42"/>
        <v>123964295.42237033</v>
      </c>
      <c r="D181" s="299">
        <v>5.8120000000000003</v>
      </c>
      <c r="E181" s="323" t="s">
        <v>374</v>
      </c>
      <c r="F181" s="322">
        <f>F221+F359+F465</f>
        <v>7204804</v>
      </c>
      <c r="G181" s="299">
        <v>6.1660000000000004</v>
      </c>
      <c r="H181" s="323" t="s">
        <v>374</v>
      </c>
      <c r="I181" s="322">
        <f>I221+I359+I465</f>
        <v>7643639</v>
      </c>
      <c r="J181" s="802">
        <f ca="1">'Rate Design Work'!J180</f>
        <v>3.74</v>
      </c>
      <c r="K181" s="323" t="s">
        <v>374</v>
      </c>
      <c r="L181" s="322">
        <f t="shared" ca="1" si="43"/>
        <v>4636265</v>
      </c>
      <c r="M181" s="322"/>
      <c r="N181" s="802">
        <f ca="1">'Rate Design Work'!N180</f>
        <v>0.80275718206159852</v>
      </c>
      <c r="O181" s="1219" t="s">
        <v>374</v>
      </c>
      <c r="P181" s="2">
        <f ca="1">'Rate Design Work'!P180</f>
        <v>995132.28469513531</v>
      </c>
      <c r="Q181" s="322"/>
      <c r="R181" s="802">
        <f ca="1">'Rate Design Work'!R180</f>
        <v>1.0536847359511734</v>
      </c>
      <c r="S181" s="323" t="s">
        <v>374</v>
      </c>
      <c r="T181" s="2">
        <f ca="1">'Rate Design Work'!T180</f>
        <v>1306192.8588949353</v>
      </c>
      <c r="U181" s="322"/>
      <c r="V181" s="802">
        <f ca="1">'Rate Design Work'!V180</f>
        <v>1.8834755557989509</v>
      </c>
      <c r="W181" s="323" t="s">
        <v>374</v>
      </c>
      <c r="X181" s="2">
        <f ca="1">'Rate Design Work'!X180</f>
        <v>2333597.5592445196</v>
      </c>
      <c r="Y181" s="300"/>
      <c r="AA181" s="55">
        <f ca="1">((J181+J185)-G181)/G181</f>
        <v>4.3626337982484609E-2</v>
      </c>
      <c r="AB181" s="55"/>
      <c r="AC181" s="69"/>
      <c r="AD181" s="84"/>
      <c r="AE181" s="84"/>
      <c r="AL181" s="20"/>
      <c r="AM181" s="20"/>
      <c r="AN181" s="20"/>
      <c r="AO181" s="20"/>
      <c r="AP181" s="20"/>
      <c r="AQ181" s="20"/>
      <c r="AR181" s="20"/>
      <c r="AS181" s="20"/>
      <c r="AU181" s="84"/>
    </row>
    <row r="182" spans="1:47">
      <c r="A182" s="1" t="s">
        <v>400</v>
      </c>
      <c r="B182" s="1"/>
      <c r="C182" s="319">
        <f t="shared" si="42"/>
        <v>118638.41500000002</v>
      </c>
      <c r="D182" s="330">
        <v>56</v>
      </c>
      <c r="E182" s="321" t="s">
        <v>374</v>
      </c>
      <c r="F182" s="322">
        <f>F222+F360+F466</f>
        <v>66437</v>
      </c>
      <c r="G182" s="330">
        <v>56</v>
      </c>
      <c r="H182" s="323" t="s">
        <v>374</v>
      </c>
      <c r="I182" s="322">
        <f>I222+I360+I466</f>
        <v>66437</v>
      </c>
      <c r="J182" s="803">
        <f>'Rate Design Work'!J181</f>
        <v>56</v>
      </c>
      <c r="K182" s="323" t="s">
        <v>374</v>
      </c>
      <c r="L182" s="322">
        <f t="shared" si="43"/>
        <v>66437</v>
      </c>
      <c r="M182" s="322"/>
      <c r="N182" s="803" t="str">
        <f>'Rate Design Work'!N181</f>
        <v xml:space="preserve"> </v>
      </c>
      <c r="O182" s="323"/>
      <c r="P182" s="1040">
        <f t="shared" ref="P182" si="44">N182*C182</f>
        <v>0</v>
      </c>
      <c r="Q182" s="322"/>
      <c r="R182" s="803">
        <f ca="1">'Rate Design Work'!R181</f>
        <v>11</v>
      </c>
      <c r="S182" s="323" t="s">
        <v>374</v>
      </c>
      <c r="T182" s="2">
        <f ca="1">'Rate Design Work'!T181</f>
        <v>13136.7847283834</v>
      </c>
      <c r="U182" s="322"/>
      <c r="V182" s="803">
        <f ca="1">'Rate Design Work'!V181</f>
        <v>45</v>
      </c>
      <c r="W182" s="323" t="s">
        <v>374</v>
      </c>
      <c r="X182" s="2">
        <f ca="1">'Rate Design Work'!X181</f>
        <v>53300.215271616602</v>
      </c>
      <c r="AA182" s="55">
        <f>(J182-G182)/G182</f>
        <v>0</v>
      </c>
      <c r="AB182" s="55"/>
      <c r="AC182" s="69"/>
      <c r="AL182" s="20"/>
      <c r="AM182" s="20"/>
      <c r="AN182" s="20"/>
      <c r="AO182" s="20"/>
      <c r="AP182" s="20"/>
      <c r="AQ182" s="20"/>
      <c r="AR182" s="20"/>
      <c r="AS182" s="20"/>
      <c r="AU182" s="84"/>
    </row>
    <row r="183" spans="1:47" s="1184" customFormat="1">
      <c r="A183" s="1005" t="s">
        <v>1032</v>
      </c>
      <c r="C183" s="1026">
        <f>C179</f>
        <v>131966941.08172859</v>
      </c>
      <c r="D183" s="269"/>
      <c r="E183" s="1185"/>
      <c r="F183" s="1203"/>
      <c r="G183" s="269"/>
      <c r="H183" s="1185"/>
      <c r="I183" s="1203"/>
      <c r="J183" s="802">
        <f>'Rate Design Work'!J182</f>
        <v>4.5289999999999999</v>
      </c>
      <c r="K183" s="1009" t="s">
        <v>374</v>
      </c>
      <c r="L183" s="1040">
        <f t="shared" si="43"/>
        <v>5976782</v>
      </c>
      <c r="M183" s="1040"/>
      <c r="N183" s="802" t="str">
        <f>'Rate Design Work'!N182</f>
        <v xml:space="preserve"> </v>
      </c>
      <c r="O183" s="1009"/>
      <c r="P183" s="1040">
        <f>N183*C183</f>
        <v>0</v>
      </c>
      <c r="Q183" s="1040"/>
      <c r="R183" s="802" t="str">
        <f>'Rate Design Work'!R182</f>
        <v xml:space="preserve"> </v>
      </c>
      <c r="S183" s="1009" t="s">
        <v>31</v>
      </c>
      <c r="T183" s="1040">
        <f>R183*C183</f>
        <v>0</v>
      </c>
      <c r="U183" s="1040"/>
      <c r="V183" s="802">
        <f>'Rate Design Work'!V182</f>
        <v>4.5289999999999999</v>
      </c>
      <c r="W183" s="1009" t="s">
        <v>374</v>
      </c>
      <c r="X183" s="2">
        <f>'Rate Design Work'!X182</f>
        <v>5976782</v>
      </c>
      <c r="Y183" s="1204">
        <f>'NPC Spread'!E33</f>
        <v>18366152.522005554</v>
      </c>
      <c r="Z183" s="815" t="s">
        <v>913</v>
      </c>
      <c r="AC183" s="1205"/>
      <c r="AD183" s="1205"/>
      <c r="AI183" s="1185"/>
      <c r="AJ183" s="1185"/>
      <c r="AK183" s="1185"/>
      <c r="AL183" s="1185"/>
      <c r="AM183" s="1185"/>
      <c r="AN183" s="1185"/>
      <c r="AO183" s="1185"/>
      <c r="AP183" s="1185"/>
      <c r="AQ183" s="1185"/>
      <c r="AR183" s="1185"/>
      <c r="AS183" s="1185"/>
      <c r="AU183" s="1204"/>
    </row>
    <row r="184" spans="1:47" s="1184" customFormat="1">
      <c r="A184" s="1005" t="s">
        <v>1033</v>
      </c>
      <c r="C184" s="1026">
        <f t="shared" ref="C184:C185" si="45">C180</f>
        <v>289086888.50220066</v>
      </c>
      <c r="D184" s="269"/>
      <c r="E184" s="1185"/>
      <c r="F184" s="1203"/>
      <c r="G184" s="269"/>
      <c r="H184" s="1185"/>
      <c r="I184" s="1203"/>
      <c r="J184" s="802">
        <f>'Rate Design Work'!J183</f>
        <v>3.1270000000000002</v>
      </c>
      <c r="K184" s="1009" t="s">
        <v>374</v>
      </c>
      <c r="L184" s="1040">
        <f t="shared" si="43"/>
        <v>9039748</v>
      </c>
      <c r="M184" s="1040"/>
      <c r="N184" s="802" t="str">
        <f>'Rate Design Work'!N183</f>
        <v xml:space="preserve"> </v>
      </c>
      <c r="O184" s="1009"/>
      <c r="P184" s="1040">
        <f t="shared" ref="P184:P185" si="46">N184*C184</f>
        <v>0</v>
      </c>
      <c r="Q184" s="1040"/>
      <c r="R184" s="802" t="str">
        <f>'Rate Design Work'!R183</f>
        <v xml:space="preserve"> </v>
      </c>
      <c r="S184" s="1009" t="s">
        <v>31</v>
      </c>
      <c r="T184" s="1040">
        <f t="shared" ref="T184:T185" si="47">R184*C184</f>
        <v>0</v>
      </c>
      <c r="U184" s="1040"/>
      <c r="V184" s="802">
        <f>'Rate Design Work'!V183</f>
        <v>3.1270000000000002</v>
      </c>
      <c r="W184" s="1009" t="s">
        <v>374</v>
      </c>
      <c r="X184" s="2">
        <f>'Rate Design Work'!X183</f>
        <v>9039748</v>
      </c>
      <c r="Z184" s="815"/>
      <c r="AC184" s="1205"/>
      <c r="AD184" s="1205"/>
      <c r="AI184" s="1185"/>
      <c r="AJ184" s="1185"/>
      <c r="AK184" s="1185"/>
      <c r="AL184" s="1185"/>
      <c r="AM184" s="1185"/>
      <c r="AN184" s="1185"/>
      <c r="AO184" s="1185"/>
      <c r="AP184" s="1185"/>
      <c r="AQ184" s="1185"/>
      <c r="AR184" s="1185"/>
      <c r="AS184" s="1185"/>
      <c r="AU184" s="1204"/>
    </row>
    <row r="185" spans="1:47" s="1184" customFormat="1">
      <c r="A185" s="1005" t="s">
        <v>1034</v>
      </c>
      <c r="C185" s="1026">
        <f t="shared" si="45"/>
        <v>123964295.42237033</v>
      </c>
      <c r="D185" s="269"/>
      <c r="E185" s="1185"/>
      <c r="F185" s="1203"/>
      <c r="G185" s="269"/>
      <c r="H185" s="1185"/>
      <c r="I185" s="1203"/>
      <c r="J185" s="802">
        <f>'Rate Design Work'!J184</f>
        <v>2.6950000000000003</v>
      </c>
      <c r="K185" s="1009" t="s">
        <v>374</v>
      </c>
      <c r="L185" s="1040">
        <f t="shared" ca="1" si="43"/>
        <v>3349666</v>
      </c>
      <c r="M185" s="1040"/>
      <c r="N185" s="802" t="str">
        <f>'Rate Design Work'!N184</f>
        <v xml:space="preserve"> </v>
      </c>
      <c r="O185" s="1009"/>
      <c r="P185" s="1040">
        <f t="shared" si="46"/>
        <v>0</v>
      </c>
      <c r="Q185" s="1040"/>
      <c r="R185" s="802" t="str">
        <f>'Rate Design Work'!R184</f>
        <v xml:space="preserve"> </v>
      </c>
      <c r="S185" s="1009" t="s">
        <v>31</v>
      </c>
      <c r="T185" s="1040">
        <f t="shared" si="47"/>
        <v>0</v>
      </c>
      <c r="U185" s="1040"/>
      <c r="V185" s="802">
        <f>'Rate Design Work'!V184</f>
        <v>2.6950000000000003</v>
      </c>
      <c r="W185" s="1009" t="s">
        <v>374</v>
      </c>
      <c r="X185" s="2">
        <f ca="1">'Rate Design Work'!X184</f>
        <v>3349666</v>
      </c>
      <c r="Z185" s="815"/>
      <c r="AC185" s="1205"/>
      <c r="AD185" s="1205"/>
      <c r="AI185" s="1185"/>
      <c r="AJ185" s="1185"/>
      <c r="AK185" s="1185"/>
      <c r="AL185" s="1185"/>
      <c r="AM185" s="1185"/>
      <c r="AN185" s="1185"/>
      <c r="AO185" s="1185"/>
      <c r="AP185" s="1185"/>
      <c r="AQ185" s="1185"/>
      <c r="AR185" s="1185"/>
      <c r="AS185" s="1185"/>
      <c r="AU185" s="1204"/>
    </row>
    <row r="186" spans="1:47" s="1184" customFormat="1">
      <c r="A186" s="1509" t="s">
        <v>921</v>
      </c>
      <c r="B186" s="1510"/>
      <c r="C186" s="1517"/>
      <c r="D186" s="1512"/>
      <c r="E186" s="1513"/>
      <c r="F186" s="1514"/>
      <c r="G186" s="1515">
        <f>G179</f>
        <v>10.359</v>
      </c>
      <c r="H186" s="1518" t="s">
        <v>374</v>
      </c>
      <c r="I186" s="1514"/>
      <c r="J186" s="1515">
        <f ca="1">J179+J183</f>
        <v>10.811</v>
      </c>
      <c r="K186" s="1518" t="s">
        <v>374</v>
      </c>
      <c r="L186" s="1519"/>
      <c r="M186" s="1519"/>
      <c r="N186" s="1515">
        <f ca="1">N179+N183</f>
        <v>1.3483746810352102</v>
      </c>
      <c r="O186" s="1518" t="s">
        <v>374</v>
      </c>
      <c r="P186" s="1519"/>
      <c r="Q186" s="1519"/>
      <c r="R186" s="1515">
        <f ca="1">R179+R183</f>
        <v>1.7708525176705459</v>
      </c>
      <c r="S186" s="1518" t="s">
        <v>374</v>
      </c>
      <c r="T186" s="1519"/>
      <c r="U186" s="1519"/>
      <c r="V186" s="1515">
        <f ca="1">V179+V183</f>
        <v>7.691955363125258</v>
      </c>
      <c r="W186" s="1518" t="s">
        <v>374</v>
      </c>
      <c r="X186" s="1519"/>
      <c r="Z186" s="815"/>
      <c r="AC186" s="1205"/>
      <c r="AD186" s="1205"/>
      <c r="AI186" s="1185"/>
      <c r="AJ186" s="1185"/>
      <c r="AK186" s="1185"/>
      <c r="AL186" s="1185"/>
      <c r="AM186" s="1185"/>
      <c r="AN186" s="1185"/>
      <c r="AO186" s="1185"/>
      <c r="AP186" s="1185"/>
      <c r="AQ186" s="1185"/>
      <c r="AR186" s="1185"/>
      <c r="AS186" s="1185"/>
      <c r="AU186" s="1204"/>
    </row>
    <row r="187" spans="1:47" s="1184" customFormat="1">
      <c r="A187" s="1509" t="s">
        <v>922</v>
      </c>
      <c r="B187" s="1510"/>
      <c r="C187" s="1517"/>
      <c r="D187" s="1512"/>
      <c r="E187" s="1513"/>
      <c r="F187" s="1514"/>
      <c r="G187" s="1515">
        <f t="shared" ref="G187:G188" si="48">G180</f>
        <v>7.1559999999999997</v>
      </c>
      <c r="H187" s="1518" t="s">
        <v>374</v>
      </c>
      <c r="I187" s="1514"/>
      <c r="J187" s="1515">
        <f t="shared" ref="J187:J188" ca="1" si="49">J180+J184</f>
        <v>7.468</v>
      </c>
      <c r="K187" s="1518" t="s">
        <v>374</v>
      </c>
      <c r="L187" s="1519"/>
      <c r="M187" s="1519"/>
      <c r="N187" s="1515">
        <f t="shared" ref="N187:N188" ca="1" si="50">N180+N184</f>
        <v>0.93175626548296309</v>
      </c>
      <c r="O187" s="1518" t="s">
        <v>374</v>
      </c>
      <c r="P187" s="1519"/>
      <c r="Q187" s="1519"/>
      <c r="R187" s="1515">
        <f t="shared" ref="R187:R188" ca="1" si="51">R180+R184</f>
        <v>1.2240066282869231</v>
      </c>
      <c r="S187" s="1518" t="s">
        <v>374</v>
      </c>
      <c r="T187" s="1519"/>
      <c r="U187" s="1519"/>
      <c r="V187" s="1515">
        <f t="shared" ref="V187:V188" ca="1" si="52">V180+V184</f>
        <v>5.3119800075654817</v>
      </c>
      <c r="W187" s="1518" t="s">
        <v>374</v>
      </c>
      <c r="X187" s="1519"/>
      <c r="Z187" s="815" t="s">
        <v>31</v>
      </c>
      <c r="AC187" s="1205"/>
      <c r="AD187" s="1205"/>
      <c r="AI187" s="1185"/>
      <c r="AJ187" s="1185"/>
      <c r="AK187" s="1185"/>
      <c r="AL187" s="1185"/>
      <c r="AM187" s="1185"/>
      <c r="AN187" s="1185"/>
      <c r="AO187" s="1185"/>
      <c r="AP187" s="1185"/>
      <c r="AQ187" s="1185"/>
      <c r="AR187" s="1185"/>
      <c r="AS187" s="1185"/>
      <c r="AU187" s="1204"/>
    </row>
    <row r="188" spans="1:47" s="1184" customFormat="1">
      <c r="A188" s="1509" t="s">
        <v>923</v>
      </c>
      <c r="B188" s="1510"/>
      <c r="C188" s="1517"/>
      <c r="D188" s="1512"/>
      <c r="E188" s="1513"/>
      <c r="F188" s="1514"/>
      <c r="G188" s="1515">
        <f t="shared" si="48"/>
        <v>6.1660000000000004</v>
      </c>
      <c r="H188" s="1518" t="s">
        <v>374</v>
      </c>
      <c r="I188" s="1514"/>
      <c r="J188" s="1515">
        <f t="shared" ca="1" si="49"/>
        <v>6.4350000000000005</v>
      </c>
      <c r="K188" s="1518" t="s">
        <v>374</v>
      </c>
      <c r="L188" s="1519"/>
      <c r="M188" s="1519"/>
      <c r="N188" s="1515">
        <f t="shared" ca="1" si="50"/>
        <v>0.80275718206159852</v>
      </c>
      <c r="O188" s="1518" t="s">
        <v>374</v>
      </c>
      <c r="P188" s="1519"/>
      <c r="Q188" s="1519"/>
      <c r="R188" s="1515">
        <f t="shared" ca="1" si="51"/>
        <v>1.0536847359511734</v>
      </c>
      <c r="S188" s="1518" t="s">
        <v>374</v>
      </c>
      <c r="T188" s="1519"/>
      <c r="U188" s="1519"/>
      <c r="V188" s="1515">
        <f t="shared" ca="1" si="52"/>
        <v>4.5784755557989509</v>
      </c>
      <c r="W188" s="1518" t="s">
        <v>374</v>
      </c>
      <c r="X188" s="1519"/>
      <c r="Z188" s="815"/>
      <c r="AC188" s="1205"/>
      <c r="AD188" s="1205"/>
      <c r="AI188" s="1185"/>
      <c r="AJ188" s="1185"/>
      <c r="AK188" s="1185"/>
      <c r="AL188" s="1185"/>
      <c r="AM188" s="1185"/>
      <c r="AN188" s="1185"/>
      <c r="AO188" s="1185"/>
      <c r="AP188" s="1185"/>
      <c r="AQ188" s="1185"/>
      <c r="AR188" s="1185"/>
      <c r="AS188" s="1185"/>
      <c r="AU188" s="1204"/>
    </row>
    <row r="189" spans="1:47">
      <c r="A189" s="331" t="s">
        <v>401</v>
      </c>
      <c r="B189" s="1"/>
      <c r="C189" s="319"/>
      <c r="D189" s="332">
        <v>-0.01</v>
      </c>
      <c r="E189" s="321"/>
      <c r="F189" s="322"/>
      <c r="G189" s="332">
        <v>-0.01</v>
      </c>
      <c r="H189" s="323"/>
      <c r="I189" s="322"/>
      <c r="J189" s="332">
        <v>-0.01</v>
      </c>
      <c r="K189" s="323"/>
      <c r="L189" s="322"/>
      <c r="M189" s="322"/>
      <c r="N189" s="332">
        <v>-0.01</v>
      </c>
      <c r="O189" s="323"/>
      <c r="P189" s="322"/>
      <c r="Q189" s="322"/>
      <c r="R189" s="332">
        <v>-0.01</v>
      </c>
      <c r="S189" s="323"/>
      <c r="T189" s="322"/>
      <c r="U189" s="322"/>
      <c r="V189" s="332">
        <v>-0.01</v>
      </c>
      <c r="W189" s="323"/>
      <c r="X189" s="322"/>
      <c r="Z189" s="333"/>
      <c r="AL189" s="20"/>
      <c r="AM189" s="20"/>
      <c r="AN189" s="20"/>
      <c r="AO189" s="20"/>
      <c r="AP189" s="20"/>
      <c r="AQ189" s="20"/>
      <c r="AR189" s="20"/>
      <c r="AS189" s="20"/>
      <c r="AU189" s="84"/>
    </row>
    <row r="190" spans="1:47">
      <c r="A190" s="1" t="s">
        <v>390</v>
      </c>
      <c r="B190" s="1"/>
      <c r="C190" s="319">
        <f t="shared" ref="C190:C199" si="53">C227+C365+C471</f>
        <v>71.966666666666697</v>
      </c>
      <c r="D190" s="334">
        <v>8.7100000000000009</v>
      </c>
      <c r="E190" s="321"/>
      <c r="F190" s="322">
        <f t="shared" ref="F190:F199" si="54">F227+F365+F471</f>
        <v>-6</v>
      </c>
      <c r="G190" s="334">
        <v>8.7100000000000009</v>
      </c>
      <c r="H190" s="321"/>
      <c r="I190" s="322">
        <f t="shared" ref="I190:I199" si="55">I227+I365+I471</f>
        <v>-6</v>
      </c>
      <c r="J190" s="334">
        <f>J173</f>
        <v>10</v>
      </c>
      <c r="K190" s="321"/>
      <c r="L190" s="322">
        <f t="shared" ref="L190:L203" si="56">L227+L365+L471</f>
        <v>-7</v>
      </c>
      <c r="M190" s="322"/>
      <c r="N190" s="334">
        <f>N173</f>
        <v>10</v>
      </c>
      <c r="O190" s="321"/>
      <c r="P190" s="2">
        <f>'Rate Design Work'!P189</f>
        <v>-7.1966666666666699</v>
      </c>
      <c r="Q190" s="322"/>
      <c r="R190" s="334" t="str">
        <f>R173</f>
        <v xml:space="preserve"> </v>
      </c>
      <c r="S190" s="321"/>
      <c r="T190" s="2">
        <f>'Rate Design Work'!T189</f>
        <v>0</v>
      </c>
      <c r="U190" s="322"/>
      <c r="V190" s="334" t="str">
        <f>V173</f>
        <v xml:space="preserve"> </v>
      </c>
      <c r="W190" s="321"/>
      <c r="X190" s="2">
        <f>'Rate Design Work'!X189</f>
        <v>0</v>
      </c>
      <c r="AL190" s="20"/>
      <c r="AM190" s="20"/>
      <c r="AN190" s="20"/>
      <c r="AO190" s="20"/>
      <c r="AP190" s="20"/>
      <c r="AQ190" s="20"/>
      <c r="AR190" s="20"/>
      <c r="AS190" s="20"/>
      <c r="AU190" s="84"/>
    </row>
    <row r="191" spans="1:47">
      <c r="A191" s="1" t="s">
        <v>391</v>
      </c>
      <c r="B191" s="1"/>
      <c r="C191" s="319">
        <f t="shared" si="53"/>
        <v>38.6</v>
      </c>
      <c r="D191" s="334">
        <v>12.98</v>
      </c>
      <c r="E191" s="321"/>
      <c r="F191" s="322">
        <f t="shared" si="54"/>
        <v>-5</v>
      </c>
      <c r="G191" s="334">
        <v>12.98</v>
      </c>
      <c r="H191" s="321"/>
      <c r="I191" s="322">
        <f t="shared" si="55"/>
        <v>-5</v>
      </c>
      <c r="J191" s="334">
        <f>J174</f>
        <v>15</v>
      </c>
      <c r="K191" s="321"/>
      <c r="L191" s="322">
        <f t="shared" si="56"/>
        <v>-5</v>
      </c>
      <c r="M191" s="322"/>
      <c r="N191" s="334">
        <f>N174</f>
        <v>15</v>
      </c>
      <c r="O191" s="321"/>
      <c r="P191" s="2">
        <f>'Rate Design Work'!P190</f>
        <v>-5.79</v>
      </c>
      <c r="Q191" s="322"/>
      <c r="R191" s="334" t="str">
        <f>R174</f>
        <v xml:space="preserve"> </v>
      </c>
      <c r="S191" s="321"/>
      <c r="T191" s="2">
        <f>'Rate Design Work'!T190</f>
        <v>0</v>
      </c>
      <c r="U191" s="322"/>
      <c r="V191" s="334" t="str">
        <f>V174</f>
        <v xml:space="preserve"> </v>
      </c>
      <c r="W191" s="321"/>
      <c r="X191" s="2">
        <f>'Rate Design Work'!X190</f>
        <v>0</v>
      </c>
      <c r="Z191" s="88" t="s">
        <v>31</v>
      </c>
      <c r="AN191" s="20"/>
      <c r="AO191" s="20"/>
      <c r="AP191" s="20"/>
      <c r="AQ191" s="20"/>
      <c r="AR191" s="20"/>
      <c r="AS191" s="20"/>
      <c r="AU191" s="84"/>
    </row>
    <row r="192" spans="1:47">
      <c r="A192" s="1" t="s">
        <v>402</v>
      </c>
      <c r="B192" s="1"/>
      <c r="C192" s="319">
        <f t="shared" si="53"/>
        <v>1129</v>
      </c>
      <c r="D192" s="334">
        <v>0.92</v>
      </c>
      <c r="E192" s="321"/>
      <c r="F192" s="322">
        <f t="shared" si="54"/>
        <v>-11</v>
      </c>
      <c r="G192" s="334">
        <v>0.92</v>
      </c>
      <c r="H192" s="321"/>
      <c r="I192" s="322">
        <f t="shared" si="55"/>
        <v>-11</v>
      </c>
      <c r="J192" s="334">
        <f>J175</f>
        <v>1</v>
      </c>
      <c r="K192" s="321"/>
      <c r="L192" s="322">
        <f t="shared" si="56"/>
        <v>-11</v>
      </c>
      <c r="M192" s="322"/>
      <c r="N192" s="334">
        <f>N175</f>
        <v>1</v>
      </c>
      <c r="O192" s="321"/>
      <c r="P192" s="2">
        <f>'Rate Design Work'!P191</f>
        <v>-11.290000000000001</v>
      </c>
      <c r="Q192" s="322"/>
      <c r="R192" s="334" t="str">
        <f>R175</f>
        <v xml:space="preserve"> </v>
      </c>
      <c r="S192" s="321"/>
      <c r="T192" s="2">
        <f>'Rate Design Work'!T191</f>
        <v>0</v>
      </c>
      <c r="U192" s="322"/>
      <c r="V192" s="334" t="str">
        <f>V175</f>
        <v xml:space="preserve"> </v>
      </c>
      <c r="W192" s="321"/>
      <c r="X192" s="2">
        <f>'Rate Design Work'!X191</f>
        <v>0</v>
      </c>
      <c r="AA192" s="88" t="s">
        <v>31</v>
      </c>
      <c r="AC192" s="4" t="s">
        <v>31</v>
      </c>
      <c r="AN192" s="20"/>
      <c r="AO192" s="20"/>
      <c r="AP192" s="20"/>
      <c r="AQ192" s="20"/>
      <c r="AR192" s="20"/>
      <c r="AS192" s="20"/>
      <c r="AU192" s="84"/>
    </row>
    <row r="193" spans="1:47">
      <c r="A193" s="1" t="s">
        <v>403</v>
      </c>
      <c r="B193" s="1"/>
      <c r="C193" s="319">
        <f t="shared" si="53"/>
        <v>948</v>
      </c>
      <c r="D193" s="334">
        <v>3.4</v>
      </c>
      <c r="E193" s="323"/>
      <c r="F193" s="322">
        <f t="shared" si="54"/>
        <v>-32</v>
      </c>
      <c r="G193" s="334">
        <v>3.61</v>
      </c>
      <c r="H193" s="323"/>
      <c r="I193" s="322">
        <f t="shared" si="55"/>
        <v>-35</v>
      </c>
      <c r="J193" s="334">
        <f ca="1">J178</f>
        <v>3.77</v>
      </c>
      <c r="K193" s="323"/>
      <c r="L193" s="322">
        <f t="shared" ca="1" si="56"/>
        <v>-36</v>
      </c>
      <c r="M193" s="322"/>
      <c r="N193" s="334">
        <f ca="1">N178</f>
        <v>0.81</v>
      </c>
      <c r="O193" s="323"/>
      <c r="P193" s="2">
        <f ca="1">'Rate Design Work'!P192</f>
        <v>-7.6787999999999998</v>
      </c>
      <c r="Q193" s="322"/>
      <c r="R193" s="334">
        <f ca="1">R178</f>
        <v>1.06</v>
      </c>
      <c r="S193" s="323"/>
      <c r="T193" s="2">
        <f ca="1">'Rate Design Work'!T192</f>
        <v>-10.0488</v>
      </c>
      <c r="U193" s="322"/>
      <c r="V193" s="334">
        <f ca="1">V178</f>
        <v>1.9</v>
      </c>
      <c r="W193" s="323"/>
      <c r="X193" s="2">
        <f ca="1">'Rate Design Work'!X192</f>
        <v>-18.011999999999997</v>
      </c>
      <c r="AB193" s="88" t="s">
        <v>31</v>
      </c>
      <c r="AN193" s="20"/>
      <c r="AO193" s="20"/>
      <c r="AP193" s="20"/>
      <c r="AQ193" s="20"/>
      <c r="AR193" s="20"/>
      <c r="AS193" s="20"/>
      <c r="AU193" s="84"/>
    </row>
    <row r="194" spans="1:47">
      <c r="A194" s="1" t="s">
        <v>405</v>
      </c>
      <c r="B194" s="1"/>
      <c r="C194" s="319">
        <f t="shared" si="53"/>
        <v>90642.333333333299</v>
      </c>
      <c r="D194" s="335">
        <v>9.766</v>
      </c>
      <c r="E194" s="323" t="s">
        <v>374</v>
      </c>
      <c r="F194" s="322">
        <f t="shared" si="54"/>
        <v>-89</v>
      </c>
      <c r="G194" s="335">
        <v>10.359</v>
      </c>
      <c r="H194" s="323" t="s">
        <v>374</v>
      </c>
      <c r="I194" s="322">
        <f t="shared" si="55"/>
        <v>-94</v>
      </c>
      <c r="J194" s="335">
        <f ca="1">J179</f>
        <v>6.282</v>
      </c>
      <c r="K194" s="323" t="s">
        <v>374</v>
      </c>
      <c r="L194" s="322">
        <f t="shared" ca="1" si="56"/>
        <v>-57</v>
      </c>
      <c r="M194" s="322"/>
      <c r="N194" s="335">
        <f ca="1">N179</f>
        <v>1.3483746810352102</v>
      </c>
      <c r="O194" s="323"/>
      <c r="P194" s="2">
        <f ca="1">'Rate Design Work'!P193</f>
        <v>-12.221982729662047</v>
      </c>
      <c r="Q194" s="322"/>
      <c r="R194" s="335">
        <f ca="1">R179</f>
        <v>1.7708525176705459</v>
      </c>
      <c r="S194" s="323" t="s">
        <v>374</v>
      </c>
      <c r="T194" s="2">
        <f ca="1">'Rate Design Work'!T193</f>
        <v>-16.051420419086611</v>
      </c>
      <c r="U194" s="322"/>
      <c r="V194" s="335">
        <f ca="1">V179</f>
        <v>3.162955363125258</v>
      </c>
      <c r="W194" s="323" t="s">
        <v>374</v>
      </c>
      <c r="X194" s="2">
        <f ca="1">'Rate Design Work'!X193</f>
        <v>-28.669765434285392</v>
      </c>
      <c r="AN194" s="20"/>
      <c r="AO194" s="20"/>
      <c r="AP194" s="20"/>
      <c r="AQ194" s="20"/>
      <c r="AR194" s="20"/>
      <c r="AS194" s="20"/>
      <c r="AU194" s="84"/>
    </row>
    <row r="195" spans="1:47">
      <c r="A195" s="1" t="s">
        <v>398</v>
      </c>
      <c r="B195" s="1"/>
      <c r="C195" s="319">
        <f t="shared" si="53"/>
        <v>455823.66666666698</v>
      </c>
      <c r="D195" s="335">
        <v>6.7460000000000004</v>
      </c>
      <c r="E195" s="323" t="s">
        <v>374</v>
      </c>
      <c r="F195" s="322">
        <f t="shared" si="54"/>
        <v>-307</v>
      </c>
      <c r="G195" s="335">
        <v>7.1559999999999997</v>
      </c>
      <c r="H195" s="323" t="s">
        <v>374</v>
      </c>
      <c r="I195" s="322">
        <f t="shared" si="55"/>
        <v>-326</v>
      </c>
      <c r="J195" s="335">
        <f ca="1">J180</f>
        <v>4.3410000000000002</v>
      </c>
      <c r="K195" s="323" t="s">
        <v>374</v>
      </c>
      <c r="L195" s="322">
        <f t="shared" ca="1" si="56"/>
        <v>-198</v>
      </c>
      <c r="M195" s="322"/>
      <c r="N195" s="335">
        <f ca="1">N180</f>
        <v>0.93175626548296309</v>
      </c>
      <c r="O195" s="323"/>
      <c r="P195" s="2">
        <f ca="1">'Rate Design Work'!P194</f>
        <v>-42.471655737208465</v>
      </c>
      <c r="Q195" s="322"/>
      <c r="R195" s="335">
        <f ca="1">R180</f>
        <v>1.2240066282869231</v>
      </c>
      <c r="S195" s="323" t="s">
        <v>374</v>
      </c>
      <c r="T195" s="2">
        <f ca="1">'Rate Design Work'!T194</f>
        <v>-55.793118933004934</v>
      </c>
      <c r="U195" s="322"/>
      <c r="V195" s="335">
        <f ca="1">V180</f>
        <v>2.1849800075654815</v>
      </c>
      <c r="W195" s="323" t="s">
        <v>374</v>
      </c>
      <c r="X195" s="2">
        <f ca="1">'Rate Design Work'!X194</f>
        <v>-99.596559864185949</v>
      </c>
      <c r="AN195" s="20"/>
      <c r="AO195" s="20"/>
      <c r="AP195" s="20"/>
      <c r="AQ195" s="20"/>
      <c r="AR195" s="20"/>
      <c r="AS195" s="20"/>
      <c r="AU195" s="84"/>
    </row>
    <row r="196" spans="1:47">
      <c r="A196" s="1" t="s">
        <v>399</v>
      </c>
      <c r="B196" s="1"/>
      <c r="C196" s="319">
        <f t="shared" si="53"/>
        <v>176779.99999999971</v>
      </c>
      <c r="D196" s="335">
        <v>5.8120000000000003</v>
      </c>
      <c r="E196" s="323" t="s">
        <v>374</v>
      </c>
      <c r="F196" s="322">
        <f t="shared" si="54"/>
        <v>-102</v>
      </c>
      <c r="G196" s="335">
        <v>6.1660000000000004</v>
      </c>
      <c r="H196" s="323" t="s">
        <v>374</v>
      </c>
      <c r="I196" s="322">
        <f t="shared" si="55"/>
        <v>-109</v>
      </c>
      <c r="J196" s="335">
        <f ca="1">J181</f>
        <v>3.74</v>
      </c>
      <c r="K196" s="323" t="s">
        <v>374</v>
      </c>
      <c r="L196" s="322">
        <f t="shared" ca="1" si="56"/>
        <v>-66</v>
      </c>
      <c r="M196" s="322"/>
      <c r="N196" s="335">
        <f ca="1">N181</f>
        <v>0.80275718206159852</v>
      </c>
      <c r="O196" s="323"/>
      <c r="P196" s="2">
        <f ca="1">'Rate Design Work'!P195</f>
        <v>-14.191141464484918</v>
      </c>
      <c r="Q196" s="322"/>
      <c r="R196" s="335">
        <f ca="1">R181</f>
        <v>1.0536847359511734</v>
      </c>
      <c r="S196" s="323" t="s">
        <v>374</v>
      </c>
      <c r="T196" s="2">
        <f ca="1">'Rate Design Work'!T195</f>
        <v>-18.627038762144814</v>
      </c>
      <c r="U196" s="322"/>
      <c r="V196" s="335">
        <f ca="1">V181</f>
        <v>1.8834755557989509</v>
      </c>
      <c r="W196" s="323" t="s">
        <v>374</v>
      </c>
      <c r="X196" s="2">
        <f ca="1">'Rate Design Work'!X195</f>
        <v>-33.2960808754138</v>
      </c>
      <c r="AL196" s="20"/>
      <c r="AM196" s="20"/>
      <c r="AN196" s="20"/>
      <c r="AO196" s="20"/>
      <c r="AP196" s="20"/>
      <c r="AQ196" s="20"/>
      <c r="AR196" s="20"/>
      <c r="AS196" s="20"/>
      <c r="AU196" s="84"/>
    </row>
    <row r="197" spans="1:47">
      <c r="A197" s="1" t="s">
        <v>400</v>
      </c>
      <c r="B197" s="1"/>
      <c r="C197" s="319">
        <f t="shared" si="53"/>
        <v>1148.3</v>
      </c>
      <c r="D197" s="336">
        <v>56</v>
      </c>
      <c r="E197" s="323" t="s">
        <v>374</v>
      </c>
      <c r="F197" s="322">
        <f t="shared" si="54"/>
        <v>-6</v>
      </c>
      <c r="G197" s="336">
        <v>56</v>
      </c>
      <c r="H197" s="323" t="s">
        <v>374</v>
      </c>
      <c r="I197" s="322">
        <f t="shared" si="55"/>
        <v>-6</v>
      </c>
      <c r="J197" s="336">
        <f>J182</f>
        <v>56</v>
      </c>
      <c r="K197" s="323" t="s">
        <v>374</v>
      </c>
      <c r="L197" s="322">
        <f t="shared" si="56"/>
        <v>-6</v>
      </c>
      <c r="M197" s="322"/>
      <c r="N197" s="336" t="str">
        <f>N182</f>
        <v xml:space="preserve"> </v>
      </c>
      <c r="O197" s="323"/>
      <c r="P197" s="2">
        <f>'Rate Design Work'!P196</f>
        <v>0</v>
      </c>
      <c r="Q197" s="322"/>
      <c r="R197" s="336">
        <f ca="1">R182</f>
        <v>11</v>
      </c>
      <c r="S197" s="323" t="s">
        <v>374</v>
      </c>
      <c r="T197" s="2">
        <f ca="1">'Rate Design Work'!T196</f>
        <v>-6.16</v>
      </c>
      <c r="U197" s="322"/>
      <c r="V197" s="336">
        <f ca="1">V182</f>
        <v>45</v>
      </c>
      <c r="W197" s="323" t="s">
        <v>374</v>
      </c>
      <c r="X197" s="2">
        <f ca="1">'Rate Design Work'!X196</f>
        <v>-516.73500000000001</v>
      </c>
      <c r="AL197" s="20"/>
      <c r="AM197" s="20"/>
      <c r="AN197" s="20"/>
      <c r="AO197" s="20"/>
      <c r="AP197" s="20"/>
      <c r="AQ197" s="20"/>
      <c r="AR197" s="20"/>
      <c r="AS197" s="20"/>
      <c r="AU197" s="84"/>
    </row>
    <row r="198" spans="1:47">
      <c r="A198" s="1" t="s">
        <v>407</v>
      </c>
      <c r="B198" s="1"/>
      <c r="C198" s="319">
        <f t="shared" si="53"/>
        <v>123.4666666666667</v>
      </c>
      <c r="D198" s="337">
        <v>60</v>
      </c>
      <c r="E198" s="321"/>
      <c r="F198" s="322">
        <f t="shared" si="54"/>
        <v>7408</v>
      </c>
      <c r="G198" s="337">
        <v>60</v>
      </c>
      <c r="H198" s="323"/>
      <c r="I198" s="322">
        <f t="shared" si="55"/>
        <v>7408</v>
      </c>
      <c r="J198" s="337">
        <f>'Blocking - detail'!$I$172</f>
        <v>60</v>
      </c>
      <c r="K198" s="323"/>
      <c r="L198" s="322">
        <f t="shared" si="56"/>
        <v>7408</v>
      </c>
      <c r="M198" s="322"/>
      <c r="N198" s="326" t="s">
        <v>31</v>
      </c>
      <c r="O198" s="323"/>
      <c r="P198" s="2">
        <f>'Rate Design Work'!P197</f>
        <v>0</v>
      </c>
      <c r="Q198" s="322"/>
      <c r="R198" s="301">
        <f ca="1">ROUND(T198/$C$198,2)</f>
        <v>11.86</v>
      </c>
      <c r="S198" s="323"/>
      <c r="T198" s="2">
        <f ca="1">'Rate Design Work'!T197</f>
        <v>1464.8057749125371</v>
      </c>
      <c r="U198" s="322"/>
      <c r="V198" s="301">
        <f ca="1">ROUND(X198/$C$198,2)</f>
        <v>48.14</v>
      </c>
      <c r="W198" s="323"/>
      <c r="X198" s="2">
        <f ca="1">'Rate Design Work'!X197</f>
        <v>5943.1942250874636</v>
      </c>
      <c r="AA198" s="88" t="s">
        <v>31</v>
      </c>
      <c r="AL198" s="20"/>
      <c r="AM198" s="20"/>
      <c r="AN198" s="20"/>
      <c r="AO198" s="20"/>
      <c r="AP198" s="20"/>
      <c r="AQ198" s="20"/>
      <c r="AR198" s="20"/>
      <c r="AS198" s="20"/>
      <c r="AU198" s="84"/>
    </row>
    <row r="199" spans="1:47">
      <c r="A199" s="1" t="s">
        <v>408</v>
      </c>
      <c r="B199" s="1"/>
      <c r="C199" s="319">
        <f t="shared" si="53"/>
        <v>1129</v>
      </c>
      <c r="D199" s="339">
        <v>-30</v>
      </c>
      <c r="E199" s="321" t="s">
        <v>374</v>
      </c>
      <c r="F199" s="322">
        <f t="shared" si="54"/>
        <v>-339</v>
      </c>
      <c r="G199" s="339">
        <v>-30</v>
      </c>
      <c r="H199" s="323" t="s">
        <v>374</v>
      </c>
      <c r="I199" s="322">
        <f t="shared" si="55"/>
        <v>-339</v>
      </c>
      <c r="J199" s="339">
        <f>'Rate Design Work'!J198</f>
        <v>-30</v>
      </c>
      <c r="K199" s="323" t="s">
        <v>374</v>
      </c>
      <c r="L199" s="322">
        <f t="shared" si="56"/>
        <v>-339</v>
      </c>
      <c r="M199" s="322"/>
      <c r="N199" s="339">
        <f>'Rate Design Work'!N198</f>
        <v>-30</v>
      </c>
      <c r="O199" s="323" t="s">
        <v>374</v>
      </c>
      <c r="P199" s="2">
        <f>'Rate Design Work'!P198</f>
        <v>-339</v>
      </c>
      <c r="Q199" s="322"/>
      <c r="R199" s="1587" t="s">
        <v>31</v>
      </c>
      <c r="S199" s="323" t="s">
        <v>31</v>
      </c>
      <c r="T199" s="2">
        <f>'Rate Design Work'!T198</f>
        <v>0</v>
      </c>
      <c r="U199" s="322"/>
      <c r="V199" s="1587" t="s">
        <v>31</v>
      </c>
      <c r="W199" s="323" t="s">
        <v>31</v>
      </c>
      <c r="X199" s="2">
        <f>'Rate Design Work'!X198</f>
        <v>0</v>
      </c>
      <c r="AA199" s="88" t="s">
        <v>31</v>
      </c>
      <c r="AC199" s="294"/>
      <c r="AD199" s="294"/>
      <c r="AL199" s="20"/>
      <c r="AM199" s="20"/>
      <c r="AN199" s="20"/>
      <c r="AO199" s="20"/>
      <c r="AP199" s="20"/>
      <c r="AQ199" s="20"/>
      <c r="AR199" s="20"/>
      <c r="AS199" s="20"/>
      <c r="AU199" s="84"/>
    </row>
    <row r="200" spans="1:47" s="1184" customFormat="1">
      <c r="A200" s="1005" t="s">
        <v>1032</v>
      </c>
      <c r="C200" s="1026">
        <f>C194</f>
        <v>90642.333333333299</v>
      </c>
      <c r="D200" s="269"/>
      <c r="E200" s="1185"/>
      <c r="F200" s="1203"/>
      <c r="G200" s="269"/>
      <c r="H200" s="1185"/>
      <c r="I200" s="1203"/>
      <c r="J200" s="1230">
        <f>J183</f>
        <v>4.5289999999999999</v>
      </c>
      <c r="K200" s="1009" t="s">
        <v>374</v>
      </c>
      <c r="L200" s="322">
        <f t="shared" si="56"/>
        <v>-2211</v>
      </c>
      <c r="M200" s="322"/>
      <c r="N200" s="1230" t="str">
        <f>N183</f>
        <v xml:space="preserve"> </v>
      </c>
      <c r="O200" s="1009"/>
      <c r="P200" s="2">
        <f ca="1">'Rate Design Work'!P199</f>
        <v>0</v>
      </c>
      <c r="Q200" s="322"/>
      <c r="R200" s="1230" t="str">
        <f>R183</f>
        <v xml:space="preserve"> </v>
      </c>
      <c r="S200" s="1009" t="s">
        <v>31</v>
      </c>
      <c r="T200" s="2">
        <f ca="1">'Rate Design Work'!T199</f>
        <v>0</v>
      </c>
      <c r="U200" s="322"/>
      <c r="V200" s="1230">
        <f>V183</f>
        <v>4.5289999999999999</v>
      </c>
      <c r="W200" s="1009" t="s">
        <v>374</v>
      </c>
      <c r="X200" s="2">
        <f>'Rate Design Work'!X199</f>
        <v>-2211</v>
      </c>
      <c r="Z200" s="815"/>
      <c r="AC200" s="1205"/>
      <c r="AD200" s="1205"/>
      <c r="AI200" s="1185"/>
      <c r="AJ200" s="1185"/>
      <c r="AK200" s="1185"/>
      <c r="AL200" s="1185"/>
      <c r="AM200" s="1185"/>
      <c r="AN200" s="1185"/>
      <c r="AO200" s="1185"/>
      <c r="AP200" s="1185"/>
      <c r="AQ200" s="1185"/>
      <c r="AR200" s="1185"/>
      <c r="AS200" s="1185"/>
      <c r="AU200" s="1204"/>
    </row>
    <row r="201" spans="1:47" s="1184" customFormat="1">
      <c r="A201" s="1005" t="s">
        <v>1033</v>
      </c>
      <c r="C201" s="1026">
        <f t="shared" ref="C201:C202" si="57">C195</f>
        <v>455823.66666666698</v>
      </c>
      <c r="D201" s="269"/>
      <c r="E201" s="1185"/>
      <c r="F201" s="1203"/>
      <c r="G201" s="269"/>
      <c r="H201" s="1185"/>
      <c r="I201" s="1203"/>
      <c r="J201" s="1230">
        <f>J184</f>
        <v>3.1270000000000002</v>
      </c>
      <c r="K201" s="1009" t="s">
        <v>374</v>
      </c>
      <c r="L201" s="322">
        <f t="shared" si="56"/>
        <v>-746</v>
      </c>
      <c r="M201" s="322"/>
      <c r="N201" s="1230" t="str">
        <f>N184</f>
        <v xml:space="preserve"> </v>
      </c>
      <c r="O201" s="1009"/>
      <c r="P201" s="2">
        <f ca="1">'Rate Design Work'!P200</f>
        <v>0</v>
      </c>
      <c r="Q201" s="322"/>
      <c r="R201" s="1230" t="str">
        <f>R184</f>
        <v xml:space="preserve"> </v>
      </c>
      <c r="S201" s="1009" t="s">
        <v>31</v>
      </c>
      <c r="T201" s="2">
        <f ca="1">'Rate Design Work'!T200</f>
        <v>0</v>
      </c>
      <c r="U201" s="322"/>
      <c r="V201" s="1230">
        <f>V184</f>
        <v>3.1270000000000002</v>
      </c>
      <c r="W201" s="1009" t="s">
        <v>374</v>
      </c>
      <c r="X201" s="2">
        <f>'Rate Design Work'!X200</f>
        <v>-746</v>
      </c>
      <c r="Z201" s="815"/>
      <c r="AC201" s="1205"/>
      <c r="AD201" s="1205"/>
      <c r="AI201" s="1185"/>
      <c r="AJ201" s="1185"/>
      <c r="AK201" s="1185"/>
      <c r="AL201" s="1185"/>
      <c r="AM201" s="1185"/>
      <c r="AN201" s="1185"/>
      <c r="AO201" s="1185"/>
      <c r="AP201" s="1185"/>
      <c r="AQ201" s="1185"/>
      <c r="AR201" s="1185"/>
      <c r="AS201" s="1185"/>
      <c r="AU201" s="1204"/>
    </row>
    <row r="202" spans="1:47" s="1184" customFormat="1">
      <c r="A202" s="1005" t="s">
        <v>1034</v>
      </c>
      <c r="C202" s="1026">
        <f t="shared" si="57"/>
        <v>176779.99999999971</v>
      </c>
      <c r="D202" s="269"/>
      <c r="E202" s="1185"/>
      <c r="F202" s="1203"/>
      <c r="G202" s="269"/>
      <c r="H202" s="1185"/>
      <c r="I202" s="1203"/>
      <c r="J202" s="1230">
        <f>J185</f>
        <v>2.6950000000000003</v>
      </c>
      <c r="K202" s="1009" t="s">
        <v>374</v>
      </c>
      <c r="L202" s="322">
        <f t="shared" si="56"/>
        <v>-127</v>
      </c>
      <c r="M202" s="322"/>
      <c r="N202" s="1230" t="str">
        <f>N185</f>
        <v xml:space="preserve"> </v>
      </c>
      <c r="O202" s="1009"/>
      <c r="P202" s="2">
        <f>'Rate Design Work'!P201</f>
        <v>0</v>
      </c>
      <c r="Q202" s="322"/>
      <c r="R202" s="1230" t="str">
        <f>R185</f>
        <v xml:space="preserve"> </v>
      </c>
      <c r="S202" s="1009" t="s">
        <v>31</v>
      </c>
      <c r="T202" s="2">
        <f ca="1">'Rate Design Work'!T201</f>
        <v>0</v>
      </c>
      <c r="U202" s="322"/>
      <c r="V202" s="1230">
        <f>V185</f>
        <v>2.6950000000000003</v>
      </c>
      <c r="W202" s="1009" t="s">
        <v>374</v>
      </c>
      <c r="X202" s="2">
        <f>'Rate Design Work'!X201</f>
        <v>-127</v>
      </c>
      <c r="Z202" s="815"/>
      <c r="AC202" s="1205"/>
      <c r="AD202" s="1205"/>
      <c r="AI202" s="1185"/>
      <c r="AJ202" s="1185"/>
      <c r="AK202" s="1185"/>
      <c r="AL202" s="1185"/>
      <c r="AM202" s="1185"/>
      <c r="AN202" s="1185"/>
      <c r="AO202" s="1185"/>
      <c r="AP202" s="1185"/>
      <c r="AQ202" s="1185"/>
      <c r="AR202" s="1185"/>
      <c r="AS202" s="1185"/>
      <c r="AU202" s="1204"/>
    </row>
    <row r="203" spans="1:47">
      <c r="A203" s="1" t="s">
        <v>381</v>
      </c>
      <c r="B203" s="264"/>
      <c r="C203" s="319">
        <f>C240+C378+C484</f>
        <v>545018125.00629961</v>
      </c>
      <c r="D203" s="330"/>
      <c r="E203" s="2"/>
      <c r="F203" s="322">
        <f t="shared" ref="F203" si="58">F240+F378+F484</f>
        <v>46032138</v>
      </c>
      <c r="G203" s="330"/>
      <c r="H203" s="323"/>
      <c r="I203" s="322">
        <f>I240+I378+I484</f>
        <v>48618540</v>
      </c>
      <c r="J203" s="330"/>
      <c r="K203" s="323"/>
      <c r="L203" s="322">
        <f t="shared" ca="1" si="56"/>
        <v>51029669</v>
      </c>
      <c r="M203" s="322"/>
      <c r="N203" s="330"/>
      <c r="O203" s="323"/>
      <c r="P203" s="322">
        <f ca="1">SUM(P169:P202)</f>
        <v>10059550.22688411</v>
      </c>
      <c r="Q203" s="322"/>
      <c r="R203" s="330"/>
      <c r="S203" s="323"/>
      <c r="T203" s="322">
        <f ca="1">SUM(T169:T202)</f>
        <v>8101142.8965594899</v>
      </c>
      <c r="U203" s="322"/>
      <c r="V203" s="330"/>
      <c r="W203" s="323"/>
      <c r="X203" s="322">
        <f ca="1">SUM(X169:X202)</f>
        <v>32868975.8765564</v>
      </c>
      <c r="AL203" s="20"/>
      <c r="AM203" s="20"/>
      <c r="AN203" s="20"/>
      <c r="AO203" s="20"/>
      <c r="AP203" s="20"/>
      <c r="AQ203" s="20"/>
      <c r="AR203" s="20"/>
      <c r="AS203" s="20"/>
      <c r="AU203" s="84"/>
    </row>
    <row r="204" spans="1:47">
      <c r="A204" s="1" t="s">
        <v>363</v>
      </c>
      <c r="B204" s="25"/>
      <c r="C204" s="340">
        <f ca="1">C241+C379+C485</f>
        <v>-1816567.5683300961</v>
      </c>
      <c r="D204" s="309"/>
      <c r="E204" s="309"/>
      <c r="F204" s="341">
        <f ca="1">I204</f>
        <v>-145443.54178481566</v>
      </c>
      <c r="G204" s="309"/>
      <c r="H204" s="309"/>
      <c r="I204" s="341">
        <f ca="1">I241+I379+I485</f>
        <v>-145443.54178481566</v>
      </c>
      <c r="J204" s="309"/>
      <c r="K204" s="309"/>
      <c r="L204" s="310">
        <f ca="1">I204</f>
        <v>-145443.54178481566</v>
      </c>
      <c r="M204" s="51"/>
      <c r="N204" s="309"/>
      <c r="O204" s="309"/>
      <c r="P204" s="310">
        <f ca="1">$L$204*Y208/($Y$208+$Z$208+$AA$208)</f>
        <v>-28671.489398848949</v>
      </c>
      <c r="Q204" s="51"/>
      <c r="R204" s="309"/>
      <c r="S204" s="309"/>
      <c r="T204" s="310">
        <f ca="1">$L$204*Z208/($Y$208+$Z$208+$AA$208)</f>
        <v>-23089.6836775585</v>
      </c>
      <c r="U204" s="51"/>
      <c r="V204" s="309"/>
      <c r="W204" s="309"/>
      <c r="X204" s="310">
        <f ca="1">$L$204*AA208/($Y$208+$Z$208+$AA$208)</f>
        <v>-93682.368708408219</v>
      </c>
      <c r="AA204" s="801"/>
      <c r="AB204" s="801"/>
      <c r="AL204" s="20"/>
      <c r="AM204" s="20"/>
      <c r="AN204" s="20"/>
      <c r="AO204" s="20"/>
      <c r="AP204" s="20"/>
      <c r="AQ204" s="20"/>
      <c r="AR204" s="20"/>
      <c r="AS204" s="20"/>
      <c r="AU204" s="84"/>
    </row>
    <row r="205" spans="1:47" ht="16.5" thickBot="1">
      <c r="A205" s="1" t="s">
        <v>382</v>
      </c>
      <c r="B205" s="1"/>
      <c r="C205" s="311">
        <f ca="1">SUM(C203:C204)</f>
        <v>543201557.43796957</v>
      </c>
      <c r="D205" s="989"/>
      <c r="E205" s="343"/>
      <c r="F205" s="344">
        <f ca="1">F203+F204</f>
        <v>45886694.458215185</v>
      </c>
      <c r="G205" s="989"/>
      <c r="H205" s="345"/>
      <c r="I205" s="344">
        <f ca="1">I203+I204</f>
        <v>48473096.458215185</v>
      </c>
      <c r="J205" s="472"/>
      <c r="K205" s="345"/>
      <c r="L205" s="344">
        <f ca="1">L203+L204</f>
        <v>50884225.458215185</v>
      </c>
      <c r="M205" s="344"/>
      <c r="N205" s="472"/>
      <c r="O205" s="345"/>
      <c r="P205" s="344">
        <f ca="1">P203+P204</f>
        <v>10030878.737485262</v>
      </c>
      <c r="Q205" s="344"/>
      <c r="R205" s="472"/>
      <c r="S205" s="345"/>
      <c r="T205" s="344">
        <f ca="1">T203+T204</f>
        <v>8078053.2128819311</v>
      </c>
      <c r="U205" s="344"/>
      <c r="V205" s="472"/>
      <c r="W205" s="345"/>
      <c r="X205" s="344">
        <f ca="1">X203+X204</f>
        <v>32775293.507847991</v>
      </c>
      <c r="Y205" s="784" t="s">
        <v>409</v>
      </c>
      <c r="Z205" s="809">
        <f ca="1">'Rate Spread targets'!Q22*1000</f>
        <v>50884936.582329519</v>
      </c>
      <c r="AA205" s="828">
        <f ca="1">'Rate Spread targets'!V22-0.071</f>
        <v>-2.1243737241061371E-2</v>
      </c>
      <c r="AB205" s="824"/>
      <c r="AC205" s="55" t="s">
        <v>31</v>
      </c>
      <c r="AL205" s="20"/>
      <c r="AM205" s="20"/>
      <c r="AN205" s="20"/>
      <c r="AO205" s="20"/>
      <c r="AP205" s="20"/>
      <c r="AQ205" s="20"/>
      <c r="AR205" s="20"/>
      <c r="AS205" s="20"/>
      <c r="AU205" s="84"/>
    </row>
    <row r="206" spans="1:47" ht="16.5" thickTop="1">
      <c r="A206" s="1"/>
      <c r="B206" s="1"/>
      <c r="C206" s="350"/>
      <c r="D206" s="1583"/>
      <c r="E206" s="352"/>
      <c r="F206" s="322"/>
      <c r="G206" s="1583"/>
      <c r="H206" s="23"/>
      <c r="I206" s="322"/>
      <c r="J206" s="1584"/>
      <c r="K206" s="23"/>
      <c r="L206" s="322"/>
      <c r="M206" s="322"/>
      <c r="N206" s="1584"/>
      <c r="O206" s="23"/>
      <c r="P206" s="322"/>
      <c r="Q206" s="322"/>
      <c r="R206" s="1584"/>
      <c r="S206" s="23"/>
      <c r="T206" s="322"/>
      <c r="U206" s="322"/>
      <c r="V206" s="1584"/>
      <c r="W206" s="23"/>
      <c r="X206" s="322" t="s">
        <v>31</v>
      </c>
      <c r="Y206" s="112" t="s">
        <v>263</v>
      </c>
      <c r="Z206" s="811">
        <f ca="1">Z205-L205</f>
        <v>711.12411433458328</v>
      </c>
      <c r="AA206" s="816"/>
      <c r="AB206" s="824"/>
      <c r="AC206" s="55"/>
      <c r="AL206" s="20"/>
      <c r="AM206" s="20"/>
      <c r="AN206" s="20"/>
      <c r="AO206" s="20"/>
      <c r="AP206" s="20"/>
      <c r="AQ206" s="20"/>
      <c r="AR206" s="20"/>
      <c r="AS206" s="20"/>
      <c r="AU206" s="84"/>
    </row>
    <row r="207" spans="1:47">
      <c r="A207" s="1"/>
      <c r="B207" s="1"/>
      <c r="C207" s="350"/>
      <c r="D207" s="1583"/>
      <c r="E207" s="352"/>
      <c r="F207" s="322"/>
      <c r="G207" s="1583"/>
      <c r="H207" s="23"/>
      <c r="I207" s="322"/>
      <c r="J207" s="1584"/>
      <c r="K207" s="23"/>
      <c r="L207" s="322"/>
      <c r="M207" s="322"/>
      <c r="N207" s="1584"/>
      <c r="O207" s="23"/>
      <c r="P207" s="322"/>
      <c r="Q207" s="322"/>
      <c r="R207" s="1584"/>
      <c r="S207" s="23"/>
      <c r="T207" s="322"/>
      <c r="U207" s="322"/>
      <c r="V207" s="1584"/>
      <c r="W207" s="23"/>
      <c r="X207" s="322" t="s">
        <v>31</v>
      </c>
      <c r="Y207" s="1581">
        <f>'Exh No.__(JRS-17) p11'!J34+'Exh No.__(JRS-17) p11'!K34+'Exh No.__(JRS-17) p11'!L34</f>
        <v>0.19713140265291765</v>
      </c>
      <c r="Z207" s="1585">
        <f>'Exh No.__(JRS-17) p11'!I34</f>
        <v>0.15875358502833892</v>
      </c>
      <c r="AA207" s="744">
        <f>'Exh No.__(JRS-17) p11'!H34</f>
        <v>0.64411501231874346</v>
      </c>
      <c r="AB207" s="824"/>
      <c r="AC207" s="55"/>
      <c r="AL207" s="20"/>
      <c r="AM207" s="20"/>
      <c r="AN207" s="20"/>
      <c r="AO207" s="20"/>
      <c r="AP207" s="20"/>
      <c r="AQ207" s="20"/>
      <c r="AR207" s="20"/>
      <c r="AS207" s="20"/>
      <c r="AU207" s="84"/>
    </row>
    <row r="208" spans="1:47">
      <c r="A208" s="1"/>
      <c r="B208" s="1"/>
      <c r="C208" s="21"/>
      <c r="D208" s="337"/>
      <c r="E208" s="2"/>
      <c r="F208" s="2"/>
      <c r="G208" s="337"/>
      <c r="H208" s="1"/>
      <c r="I208" s="2" t="s">
        <v>31</v>
      </c>
      <c r="J208" s="337"/>
      <c r="K208" s="1"/>
      <c r="L208" s="2" t="s">
        <v>31</v>
      </c>
      <c r="M208" s="2"/>
      <c r="N208" s="337"/>
      <c r="O208" s="1"/>
      <c r="P208" s="2" t="s">
        <v>31</v>
      </c>
      <c r="Q208" s="2"/>
      <c r="R208" s="337"/>
      <c r="S208" s="1"/>
      <c r="T208" s="2" t="s">
        <v>31</v>
      </c>
      <c r="U208" s="2"/>
      <c r="V208" s="337"/>
      <c r="W208" s="1"/>
      <c r="X208" s="2" t="s">
        <v>31</v>
      </c>
      <c r="Y208" s="1204">
        <f ca="1">Y207*$L$205</f>
        <v>10030878.73748526</v>
      </c>
      <c r="Z208" s="1204">
        <f t="shared" ref="Z208:AA208" ca="1" si="59">Z207*$L$205</f>
        <v>8078053.212881932</v>
      </c>
      <c r="AA208" s="1204">
        <f t="shared" ca="1" si="59"/>
        <v>32775293.507847995</v>
      </c>
      <c r="AB208" s="1272" t="s">
        <v>409</v>
      </c>
      <c r="AL208" s="20"/>
      <c r="AM208" s="20"/>
      <c r="AN208" s="20"/>
      <c r="AO208" s="20"/>
      <c r="AP208" s="20"/>
      <c r="AQ208" s="20"/>
      <c r="AR208" s="20"/>
      <c r="AS208" s="20"/>
      <c r="AU208" s="84"/>
    </row>
    <row r="209" spans="1:47" hidden="1">
      <c r="A209" s="1"/>
      <c r="B209" s="1"/>
      <c r="C209" s="21"/>
      <c r="D209" s="337"/>
      <c r="E209" s="2"/>
      <c r="F209" s="2"/>
      <c r="G209" s="337"/>
      <c r="H209" s="1"/>
      <c r="I209" s="2"/>
      <c r="J209" s="337"/>
      <c r="K209" s="1"/>
      <c r="N209" s="337"/>
      <c r="O209" s="1"/>
      <c r="R209" s="337"/>
      <c r="S209" s="1"/>
      <c r="V209" s="337"/>
      <c r="W209" s="1"/>
      <c r="AL209" s="20"/>
      <c r="AM209" s="20"/>
      <c r="AN209" s="20"/>
      <c r="AO209" s="20"/>
      <c r="AP209" s="20"/>
      <c r="AQ209" s="20"/>
      <c r="AR209" s="20"/>
      <c r="AS209" s="20"/>
      <c r="AU209" s="84"/>
    </row>
    <row r="210" spans="1:47" hidden="1">
      <c r="A210" s="293" t="s">
        <v>387</v>
      </c>
      <c r="B210" s="1"/>
      <c r="C210" s="1"/>
      <c r="D210" s="2"/>
      <c r="E210" s="2"/>
      <c r="F210" s="1" t="s">
        <v>31</v>
      </c>
      <c r="G210" s="2"/>
      <c r="H210" s="1"/>
      <c r="I210" s="1"/>
      <c r="J210" s="2"/>
      <c r="K210" s="1"/>
      <c r="L210" s="1"/>
      <c r="M210" s="1"/>
      <c r="N210" s="2"/>
      <c r="O210" s="1"/>
      <c r="P210" s="1"/>
      <c r="Q210" s="1"/>
      <c r="R210" s="2"/>
      <c r="S210" s="1"/>
      <c r="T210" s="1"/>
      <c r="U210" s="1"/>
      <c r="V210" s="2"/>
      <c r="W210" s="1"/>
      <c r="X210" s="1"/>
      <c r="Z210" s="346" t="s">
        <v>31</v>
      </c>
      <c r="AA210" s="14"/>
      <c r="AB210" s="14"/>
      <c r="AL210" s="20"/>
      <c r="AM210" s="20"/>
      <c r="AN210" s="20"/>
      <c r="AO210" s="20"/>
      <c r="AP210" s="20"/>
      <c r="AQ210" s="20"/>
      <c r="AR210" s="20"/>
      <c r="AS210" s="20"/>
      <c r="AU210" s="84"/>
    </row>
    <row r="211" spans="1:47" hidden="1">
      <c r="A211" s="1" t="s">
        <v>410</v>
      </c>
      <c r="B211" s="1"/>
      <c r="C211" s="1"/>
      <c r="D211" s="2"/>
      <c r="E211" s="2"/>
      <c r="F211" s="1"/>
      <c r="G211" s="2"/>
      <c r="H211" s="1"/>
      <c r="I211" s="1"/>
      <c r="J211" s="2"/>
      <c r="K211" s="1"/>
      <c r="L211" s="1"/>
      <c r="M211" s="1"/>
      <c r="N211" s="2"/>
      <c r="O211" s="1"/>
      <c r="P211" s="1"/>
      <c r="Q211" s="1"/>
      <c r="R211" s="2"/>
      <c r="S211" s="1"/>
      <c r="T211" s="1"/>
      <c r="U211" s="1"/>
      <c r="V211" s="2"/>
      <c r="W211" s="1"/>
      <c r="X211" s="1"/>
      <c r="Y211" s="416"/>
      <c r="Z211" s="74"/>
      <c r="AA211" s="74"/>
      <c r="AB211" s="74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U211" s="84"/>
    </row>
    <row r="212" spans="1:47" hidden="1">
      <c r="A212" s="1"/>
      <c r="B212" s="1"/>
      <c r="C212" s="1"/>
      <c r="D212" s="2"/>
      <c r="E212" s="2"/>
      <c r="F212" s="1"/>
      <c r="G212" s="2"/>
      <c r="H212" s="1"/>
      <c r="I212" s="1"/>
      <c r="J212" s="2"/>
      <c r="K212" s="1"/>
      <c r="L212" s="1"/>
      <c r="M212" s="1"/>
      <c r="N212" s="2"/>
      <c r="O212" s="1"/>
      <c r="P212" s="1"/>
      <c r="Q212" s="1"/>
      <c r="R212" s="2"/>
      <c r="S212" s="1"/>
      <c r="T212" s="1"/>
      <c r="U212" s="1"/>
      <c r="V212" s="2"/>
      <c r="W212" s="1"/>
      <c r="X212" s="1"/>
      <c r="Y212" s="416"/>
      <c r="Z212" s="74"/>
      <c r="AA212" s="74"/>
      <c r="AB212" s="74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U212" s="84"/>
    </row>
    <row r="213" spans="1:47" hidden="1">
      <c r="A213" s="1" t="s">
        <v>393</v>
      </c>
      <c r="B213" s="1"/>
      <c r="C213" s="319"/>
      <c r="D213" s="2"/>
      <c r="E213" s="2"/>
      <c r="F213" s="1"/>
      <c r="G213" s="2"/>
      <c r="H213" s="1"/>
      <c r="I213" s="1"/>
      <c r="J213" s="2"/>
      <c r="K213" s="1"/>
      <c r="L213" s="1"/>
      <c r="M213" s="1"/>
      <c r="N213" s="2"/>
      <c r="O213" s="1"/>
      <c r="P213" s="1"/>
      <c r="Q213" s="1"/>
      <c r="R213" s="2"/>
      <c r="S213" s="1"/>
      <c r="T213" s="1"/>
      <c r="U213" s="1"/>
      <c r="V213" s="2"/>
      <c r="W213" s="1"/>
      <c r="X213" s="1"/>
      <c r="Y213" s="20"/>
      <c r="Z213" s="74"/>
      <c r="AA213" s="74"/>
      <c r="AB213" s="74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U213" s="84"/>
    </row>
    <row r="214" spans="1:47" hidden="1">
      <c r="A214" s="1" t="s">
        <v>390</v>
      </c>
      <c r="B214" s="1"/>
      <c r="C214" s="319">
        <f>C283+C317+C248</f>
        <v>159824.86666666632</v>
      </c>
      <c r="D214" s="298">
        <v>8.7100000000000009</v>
      </c>
      <c r="E214" s="321"/>
      <c r="F214" s="2">
        <f>F283+F317+F248</f>
        <v>1392074</v>
      </c>
      <c r="G214" s="298">
        <v>8.7100000000000009</v>
      </c>
      <c r="H214" s="323"/>
      <c r="I214" s="2">
        <f>I283+I317+I248</f>
        <v>1392074</v>
      </c>
      <c r="J214" s="298">
        <f>$J$173</f>
        <v>10</v>
      </c>
      <c r="K214" s="323"/>
      <c r="L214" s="2">
        <f>L283+L317+L248</f>
        <v>1598249</v>
      </c>
      <c r="M214" s="2"/>
      <c r="N214" s="298">
        <f>$N$173</f>
        <v>10</v>
      </c>
      <c r="O214" s="323"/>
      <c r="P214" s="2">
        <f>P283+P317+P248</f>
        <v>1598249</v>
      </c>
      <c r="Q214" s="2"/>
      <c r="R214" s="298" t="str">
        <f>$R$173</f>
        <v xml:space="preserve"> </v>
      </c>
      <c r="S214" s="323"/>
      <c r="T214" s="2">
        <f>T283+T317+T248</f>
        <v>0</v>
      </c>
      <c r="U214" s="2"/>
      <c r="V214" s="298" t="str">
        <f>$V$173</f>
        <v xml:space="preserve"> </v>
      </c>
      <c r="W214" s="323"/>
      <c r="X214" s="2">
        <f>X283+X317+X248</f>
        <v>0</v>
      </c>
      <c r="Y214" s="20"/>
      <c r="Z214" s="74"/>
      <c r="AA214" s="74"/>
      <c r="AB214" s="74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U214" s="84"/>
    </row>
    <row r="215" spans="1:47" hidden="1">
      <c r="A215" s="1" t="s">
        <v>391</v>
      </c>
      <c r="B215" s="1"/>
      <c r="C215" s="319">
        <f>C284+C318+C249</f>
        <v>63164.166666666628</v>
      </c>
      <c r="D215" s="298">
        <v>12.98</v>
      </c>
      <c r="E215" s="324"/>
      <c r="F215" s="2">
        <f>F284+F318+F249</f>
        <v>819872</v>
      </c>
      <c r="G215" s="298">
        <v>12.98</v>
      </c>
      <c r="H215" s="325"/>
      <c r="I215" s="2">
        <f>I284+I318+I249</f>
        <v>819872</v>
      </c>
      <c r="J215" s="298">
        <f>$J$174</f>
        <v>15</v>
      </c>
      <c r="K215" s="325"/>
      <c r="L215" s="2">
        <f>L284+L318+L249</f>
        <v>947463</v>
      </c>
      <c r="M215" s="2"/>
      <c r="N215" s="298">
        <f>$N$174</f>
        <v>15</v>
      </c>
      <c r="O215" s="325"/>
      <c r="P215" s="2">
        <f>P284+P318+P249</f>
        <v>947463</v>
      </c>
      <c r="Q215" s="2"/>
      <c r="R215" s="298" t="str">
        <f>$R$174</f>
        <v xml:space="preserve"> </v>
      </c>
      <c r="S215" s="325"/>
      <c r="T215" s="2">
        <f>T284+T318+T249</f>
        <v>0</v>
      </c>
      <c r="U215" s="2"/>
      <c r="V215" s="298" t="str">
        <f>$V$174</f>
        <v xml:space="preserve"> </v>
      </c>
      <c r="W215" s="325"/>
      <c r="X215" s="2">
        <f>X284+X318+X249</f>
        <v>0</v>
      </c>
      <c r="Y215" s="20"/>
      <c r="Z215" s="74"/>
      <c r="AA215" s="74"/>
      <c r="AB215" s="74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U215" s="84"/>
    </row>
    <row r="216" spans="1:47" hidden="1">
      <c r="A216" s="1" t="s">
        <v>392</v>
      </c>
      <c r="B216" s="1"/>
      <c r="C216" s="319">
        <f>C285+C319+C250</f>
        <v>1251783</v>
      </c>
      <c r="D216" s="298">
        <v>0.92</v>
      </c>
      <c r="E216" s="324"/>
      <c r="F216" s="2">
        <f>F285+F319+F250</f>
        <v>1151641</v>
      </c>
      <c r="G216" s="298">
        <v>0.92</v>
      </c>
      <c r="H216" s="325"/>
      <c r="I216" s="2">
        <f>I285+I319+I250</f>
        <v>1151641</v>
      </c>
      <c r="J216" s="298">
        <f>$J$175</f>
        <v>1</v>
      </c>
      <c r="K216" s="325"/>
      <c r="L216" s="2">
        <f>L285+L319+L250</f>
        <v>1251783</v>
      </c>
      <c r="M216" s="2"/>
      <c r="N216" s="298">
        <f>$N$175</f>
        <v>1</v>
      </c>
      <c r="O216" s="325"/>
      <c r="P216" s="2">
        <f>P285+P319+P250</f>
        <v>1251783</v>
      </c>
      <c r="Q216" s="2"/>
      <c r="R216" s="298" t="str">
        <f>$R$175</f>
        <v xml:space="preserve"> </v>
      </c>
      <c r="S216" s="325"/>
      <c r="T216" s="2">
        <f>T285+T319+T250</f>
        <v>0</v>
      </c>
      <c r="U216" s="2"/>
      <c r="V216" s="298" t="str">
        <f>$V$175</f>
        <v xml:space="preserve"> </v>
      </c>
      <c r="W216" s="325"/>
      <c r="X216" s="2">
        <f>X285+X319+X250</f>
        <v>0</v>
      </c>
      <c r="Y216" s="20"/>
      <c r="Z216" s="74"/>
      <c r="AA216" s="74"/>
      <c r="AB216" s="74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U216" s="84"/>
    </row>
    <row r="217" spans="1:47" hidden="1">
      <c r="A217" s="1" t="s">
        <v>394</v>
      </c>
      <c r="B217" s="1"/>
      <c r="C217" s="319">
        <f>SUM(C214:C215)</f>
        <v>222989.03333333295</v>
      </c>
      <c r="D217" s="298"/>
      <c r="E217" s="321"/>
      <c r="F217" s="2"/>
      <c r="G217" s="298"/>
      <c r="H217" s="323"/>
      <c r="I217" s="2"/>
      <c r="J217" s="298"/>
      <c r="K217" s="323"/>
      <c r="L217" s="2"/>
      <c r="M217" s="2"/>
      <c r="N217" s="298"/>
      <c r="O217" s="323"/>
      <c r="P217" s="2"/>
      <c r="Q217" s="2"/>
      <c r="R217" s="298"/>
      <c r="S217" s="323"/>
      <c r="T217" s="2"/>
      <c r="U217" s="2"/>
      <c r="V217" s="298"/>
      <c r="W217" s="323"/>
      <c r="X217" s="2"/>
      <c r="Y217" s="20"/>
      <c r="Z217" s="74"/>
      <c r="AA217" s="74"/>
      <c r="AB217" s="74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U217" s="84"/>
    </row>
    <row r="218" spans="1:47" hidden="1">
      <c r="A218" s="1" t="s">
        <v>395</v>
      </c>
      <c r="B218" s="1"/>
      <c r="C218" s="319">
        <f>C287+C321+C252</f>
        <v>847087</v>
      </c>
      <c r="D218" s="326">
        <v>3.4</v>
      </c>
      <c r="E218" s="323"/>
      <c r="F218" s="2">
        <f>F287+F321+F252</f>
        <v>2880096</v>
      </c>
      <c r="G218" s="326">
        <v>3.61</v>
      </c>
      <c r="H218" s="323"/>
      <c r="I218" s="2">
        <f>I287+I321+I252</f>
        <v>3057984</v>
      </c>
      <c r="J218" s="326">
        <f ca="1">$J$178</f>
        <v>3.77</v>
      </c>
      <c r="K218" s="323"/>
      <c r="L218" s="2">
        <f ca="1">L287+L321+L252</f>
        <v>3193517</v>
      </c>
      <c r="M218" s="2"/>
      <c r="N218" s="326">
        <f ca="1">$N$178</f>
        <v>0.81</v>
      </c>
      <c r="O218" s="323"/>
      <c r="P218" s="2">
        <f ca="1">P287+P321+P252</f>
        <v>686141</v>
      </c>
      <c r="Q218" s="2"/>
      <c r="R218" s="326">
        <f ca="1">$R$178</f>
        <v>1.06</v>
      </c>
      <c r="S218" s="323"/>
      <c r="T218" s="2">
        <f ca="1">T287+T321+T252</f>
        <v>897913</v>
      </c>
      <c r="U218" s="2"/>
      <c r="V218" s="326">
        <f ca="1">$V$178</f>
        <v>1.9</v>
      </c>
      <c r="W218" s="323"/>
      <c r="X218" s="2">
        <f ca="1">X287+X321+X252</f>
        <v>1609466</v>
      </c>
      <c r="Y218" s="20"/>
      <c r="Z218" s="74"/>
      <c r="AA218" s="74"/>
      <c r="AB218" s="74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U218" s="84"/>
    </row>
    <row r="219" spans="1:47" hidden="1">
      <c r="A219" s="1" t="s">
        <v>397</v>
      </c>
      <c r="B219" s="1"/>
      <c r="C219" s="319">
        <f>C288+C322+C253</f>
        <v>130575962.42116135</v>
      </c>
      <c r="D219" s="299">
        <v>9.766</v>
      </c>
      <c r="E219" s="323" t="s">
        <v>374</v>
      </c>
      <c r="F219" s="2">
        <f>F288+F322+F253</f>
        <v>12752048</v>
      </c>
      <c r="G219" s="299">
        <v>10.359</v>
      </c>
      <c r="H219" s="323" t="s">
        <v>374</v>
      </c>
      <c r="I219" s="2">
        <f>I288+I322+I253</f>
        <v>13526365</v>
      </c>
      <c r="J219" s="299">
        <f ca="1">$J$179</f>
        <v>6.282</v>
      </c>
      <c r="K219" s="323" t="s">
        <v>374</v>
      </c>
      <c r="L219" s="2">
        <f ca="1">L288+L322+L253</f>
        <v>8202783</v>
      </c>
      <c r="M219" s="2"/>
      <c r="N219" s="299">
        <f ca="1">$N$179</f>
        <v>1.3483746810352102</v>
      </c>
      <c r="O219" s="323" t="s">
        <v>374</v>
      </c>
      <c r="P219" s="2">
        <f ca="1">P288+P322+P253</f>
        <v>1760654</v>
      </c>
      <c r="Q219" s="2"/>
      <c r="R219" s="299">
        <f ca="1">$R$179</f>
        <v>1.7708525176705459</v>
      </c>
      <c r="S219" s="323" t="s">
        <v>374</v>
      </c>
      <c r="T219" s="2">
        <f ca="1">T288+T322+T253</f>
        <v>2312308</v>
      </c>
      <c r="U219" s="2"/>
      <c r="V219" s="299">
        <f ca="1">$V$179</f>
        <v>3.162955363125258</v>
      </c>
      <c r="W219" s="323" t="s">
        <v>374</v>
      </c>
      <c r="X219" s="2">
        <f ca="1">X288+X322+X253</f>
        <v>4130059</v>
      </c>
      <c r="Y219" s="20"/>
      <c r="Z219" s="74"/>
      <c r="AA219" s="74"/>
      <c r="AB219" s="74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U219" s="84"/>
    </row>
    <row r="220" spans="1:47" hidden="1">
      <c r="A220" s="1" t="s">
        <v>398</v>
      </c>
      <c r="B220" s="1"/>
      <c r="C220" s="319">
        <f>C289+C323+C254</f>
        <v>288878910.50220066</v>
      </c>
      <c r="D220" s="299">
        <v>6.7460000000000004</v>
      </c>
      <c r="E220" s="323" t="s">
        <v>374</v>
      </c>
      <c r="F220" s="2">
        <f>F289+F323+F254</f>
        <v>19487772</v>
      </c>
      <c r="G220" s="299">
        <v>7.1559999999999997</v>
      </c>
      <c r="H220" s="323" t="s">
        <v>374</v>
      </c>
      <c r="I220" s="2">
        <f>I289+I323+I254</f>
        <v>20672175</v>
      </c>
      <c r="J220" s="299">
        <f ca="1">$J$180</f>
        <v>4.3410000000000002</v>
      </c>
      <c r="K220" s="323" t="s">
        <v>374</v>
      </c>
      <c r="L220" s="2">
        <f ca="1">L289+L323+L254</f>
        <v>12540233</v>
      </c>
      <c r="M220" s="2"/>
      <c r="N220" s="299">
        <f ca="1">$N$180</f>
        <v>0.93175626548296309</v>
      </c>
      <c r="O220" s="323" t="s">
        <v>374</v>
      </c>
      <c r="P220" s="2">
        <f ca="1">P289+P323+P254</f>
        <v>2691648</v>
      </c>
      <c r="Q220" s="2"/>
      <c r="R220" s="299">
        <f ca="1">$R$180</f>
        <v>1.2240066282869231</v>
      </c>
      <c r="S220" s="323" t="s">
        <v>374</v>
      </c>
      <c r="T220" s="2">
        <f ca="1">T289+T323+T254</f>
        <v>3535897</v>
      </c>
      <c r="U220" s="2"/>
      <c r="V220" s="299">
        <f ca="1">$V$180</f>
        <v>2.1849800075654815</v>
      </c>
      <c r="W220" s="323" t="s">
        <v>374</v>
      </c>
      <c r="X220" s="2">
        <f ca="1">X289+X323+X254</f>
        <v>6311946</v>
      </c>
      <c r="Y220" s="20"/>
      <c r="Z220" s="74"/>
      <c r="AA220" s="74"/>
      <c r="AB220" s="74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U220" s="84"/>
    </row>
    <row r="221" spans="1:47" hidden="1">
      <c r="A221" s="1" t="s">
        <v>399</v>
      </c>
      <c r="B221" s="1"/>
      <c r="C221" s="319">
        <f>C290+C324+C255</f>
        <v>123790615.42237033</v>
      </c>
      <c r="D221" s="299">
        <v>5.8120000000000003</v>
      </c>
      <c r="E221" s="323" t="s">
        <v>374</v>
      </c>
      <c r="F221" s="2">
        <f>F290+F324+F255</f>
        <v>7194710</v>
      </c>
      <c r="G221" s="299">
        <v>6.1660000000000004</v>
      </c>
      <c r="H221" s="323" t="s">
        <v>374</v>
      </c>
      <c r="I221" s="2">
        <f>I290+I324+I255</f>
        <v>7632930</v>
      </c>
      <c r="J221" s="299">
        <f ca="1">$J$181</f>
        <v>3.74</v>
      </c>
      <c r="K221" s="323" t="s">
        <v>374</v>
      </c>
      <c r="L221" s="2">
        <f ca="1">L290+L324+L255</f>
        <v>4629769</v>
      </c>
      <c r="M221" s="2"/>
      <c r="N221" s="299">
        <f ca="1">$N$181</f>
        <v>0.80275718206159852</v>
      </c>
      <c r="O221" s="323" t="s">
        <v>374</v>
      </c>
      <c r="P221" s="2">
        <f ca="1">P290+P324+P255</f>
        <v>993738</v>
      </c>
      <c r="Q221" s="2"/>
      <c r="R221" s="299">
        <f ca="1">$R$181</f>
        <v>1.0536847359511734</v>
      </c>
      <c r="S221" s="323" t="s">
        <v>374</v>
      </c>
      <c r="T221" s="2">
        <f ca="1">T290+T324+T255</f>
        <v>1304363</v>
      </c>
      <c r="U221" s="2"/>
      <c r="V221" s="299">
        <f ca="1">$V$181</f>
        <v>1.8834755557989509</v>
      </c>
      <c r="W221" s="323" t="s">
        <v>374</v>
      </c>
      <c r="X221" s="2">
        <f ca="1">X290+X324+X255</f>
        <v>2331566</v>
      </c>
      <c r="Y221" s="20"/>
      <c r="Z221" s="74"/>
      <c r="AA221" s="74"/>
      <c r="AB221" s="74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U221" s="84"/>
    </row>
    <row r="222" spans="1:47" hidden="1">
      <c r="A222" s="1" t="s">
        <v>400</v>
      </c>
      <c r="B222" s="1"/>
      <c r="C222" s="319">
        <f>C291+C325+C256</f>
        <v>117537.53333333335</v>
      </c>
      <c r="D222" s="330">
        <v>56</v>
      </c>
      <c r="E222" s="321" t="s">
        <v>374</v>
      </c>
      <c r="F222" s="2">
        <f>F291+F325+F256</f>
        <v>65821</v>
      </c>
      <c r="G222" s="330">
        <v>56</v>
      </c>
      <c r="H222" s="323" t="s">
        <v>374</v>
      </c>
      <c r="I222" s="2">
        <f>I291+I325+I256</f>
        <v>65821</v>
      </c>
      <c r="J222" s="330">
        <f>$J$182</f>
        <v>56</v>
      </c>
      <c r="K222" s="323" t="s">
        <v>374</v>
      </c>
      <c r="L222" s="2">
        <f>L291+L325+L256</f>
        <v>65821</v>
      </c>
      <c r="M222" s="2"/>
      <c r="N222" s="330" t="str">
        <f>$N$182</f>
        <v xml:space="preserve"> </v>
      </c>
      <c r="O222" s="323" t="s">
        <v>374</v>
      </c>
      <c r="P222" s="2">
        <f>P291+P325+P256</f>
        <v>0</v>
      </c>
      <c r="Q222" s="2"/>
      <c r="R222" s="330">
        <f ca="1">$R$182</f>
        <v>11</v>
      </c>
      <c r="S222" s="323" t="s">
        <v>374</v>
      </c>
      <c r="T222" s="2">
        <f ca="1">T291+T325+T256</f>
        <v>12930</v>
      </c>
      <c r="U222" s="2"/>
      <c r="V222" s="330">
        <f ca="1">$V$182</f>
        <v>45</v>
      </c>
      <c r="W222" s="323" t="s">
        <v>374</v>
      </c>
      <c r="X222" s="2">
        <f ca="1">X291+X325+X256</f>
        <v>52892</v>
      </c>
      <c r="Y222" s="20"/>
      <c r="Z222" s="74"/>
      <c r="AA222" s="74"/>
      <c r="AB222" s="74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U222" s="84"/>
    </row>
    <row r="223" spans="1:47" s="1184" customFormat="1" hidden="1">
      <c r="A223" s="1005" t="s">
        <v>1032</v>
      </c>
      <c r="C223" s="1026">
        <f>C219</f>
        <v>130575962.42116135</v>
      </c>
      <c r="D223" s="269"/>
      <c r="E223" s="1185"/>
      <c r="F223" s="1203"/>
      <c r="G223" s="269"/>
      <c r="H223" s="1185"/>
      <c r="I223" s="1203"/>
      <c r="J223" s="1230">
        <f>J183</f>
        <v>4.5289999999999999</v>
      </c>
      <c r="K223" s="1009" t="s">
        <v>374</v>
      </c>
      <c r="L223" s="1203">
        <f>L257+L292+L326</f>
        <v>5913785</v>
      </c>
      <c r="M223" s="1203"/>
      <c r="N223" s="1230" t="str">
        <f>N183</f>
        <v xml:space="preserve"> </v>
      </c>
      <c r="O223" s="1009" t="s">
        <v>374</v>
      </c>
      <c r="P223" s="1203">
        <f>P257+P292+P326</f>
        <v>0</v>
      </c>
      <c r="Q223" s="1203"/>
      <c r="R223" s="1230" t="str">
        <f>R183</f>
        <v xml:space="preserve"> </v>
      </c>
      <c r="S223" s="1009" t="s">
        <v>374</v>
      </c>
      <c r="T223" s="1203">
        <f>T257+T292+T326</f>
        <v>0</v>
      </c>
      <c r="U223" s="1203"/>
      <c r="V223" s="1230">
        <f>V183</f>
        <v>4.5289999999999999</v>
      </c>
      <c r="W223" s="1009" t="s">
        <v>374</v>
      </c>
      <c r="X223" s="1203">
        <f>X257+X292+X326</f>
        <v>5913785</v>
      </c>
      <c r="Z223" s="815"/>
      <c r="AC223" s="1205"/>
      <c r="AD223" s="1205"/>
      <c r="AI223" s="1185"/>
      <c r="AJ223" s="1185"/>
      <c r="AK223" s="1185"/>
      <c r="AL223" s="1185"/>
      <c r="AM223" s="1185"/>
      <c r="AN223" s="1185"/>
      <c r="AO223" s="1185"/>
      <c r="AP223" s="1185"/>
      <c r="AQ223" s="1185"/>
      <c r="AR223" s="1185"/>
      <c r="AS223" s="1185"/>
      <c r="AU223" s="1204"/>
    </row>
    <row r="224" spans="1:47" s="1184" customFormat="1" hidden="1">
      <c r="A224" s="1005" t="s">
        <v>1033</v>
      </c>
      <c r="C224" s="1026">
        <f t="shared" ref="C224:C225" si="60">C220</f>
        <v>288878910.50220066</v>
      </c>
      <c r="D224" s="269"/>
      <c r="E224" s="1185"/>
      <c r="F224" s="1203"/>
      <c r="G224" s="269"/>
      <c r="H224" s="1185"/>
      <c r="I224" s="1203"/>
      <c r="J224" s="1230">
        <f>J184</f>
        <v>3.1270000000000002</v>
      </c>
      <c r="K224" s="1009" t="s">
        <v>374</v>
      </c>
      <c r="L224" s="1203">
        <f t="shared" ref="L224:L225" si="61">L258+L293+L327</f>
        <v>9033244</v>
      </c>
      <c r="M224" s="1203"/>
      <c r="N224" s="1230" t="str">
        <f>N184</f>
        <v xml:space="preserve"> </v>
      </c>
      <c r="O224" s="1009" t="s">
        <v>374</v>
      </c>
      <c r="P224" s="1203">
        <f t="shared" ref="P224:P225" si="62">P258+P293+P327</f>
        <v>0</v>
      </c>
      <c r="Q224" s="1203"/>
      <c r="R224" s="1230" t="str">
        <f>R184</f>
        <v xml:space="preserve"> </v>
      </c>
      <c r="S224" s="1009" t="s">
        <v>374</v>
      </c>
      <c r="T224" s="1203">
        <f t="shared" ref="T224:T225" si="63">T258+T293+T327</f>
        <v>0</v>
      </c>
      <c r="U224" s="1203"/>
      <c r="V224" s="1230">
        <f>V184</f>
        <v>3.1270000000000002</v>
      </c>
      <c r="W224" s="1009" t="s">
        <v>374</v>
      </c>
      <c r="X224" s="1203">
        <f t="shared" ref="X224:X225" si="64">X258+X293+X327</f>
        <v>9033244</v>
      </c>
      <c r="Z224" s="815"/>
      <c r="AC224" s="1205"/>
      <c r="AD224" s="1205"/>
      <c r="AI224" s="1185"/>
      <c r="AJ224" s="1185"/>
      <c r="AK224" s="1185"/>
      <c r="AL224" s="1185"/>
      <c r="AM224" s="1185"/>
      <c r="AN224" s="1185"/>
      <c r="AO224" s="1185"/>
      <c r="AP224" s="1185"/>
      <c r="AQ224" s="1185"/>
      <c r="AR224" s="1185"/>
      <c r="AS224" s="1185"/>
      <c r="AU224" s="1204"/>
    </row>
    <row r="225" spans="1:47" s="1184" customFormat="1" hidden="1">
      <c r="A225" s="1005" t="s">
        <v>1034</v>
      </c>
      <c r="C225" s="1026">
        <f t="shared" si="60"/>
        <v>123790615.42237033</v>
      </c>
      <c r="D225" s="269"/>
      <c r="E225" s="1185"/>
      <c r="F225" s="1203"/>
      <c r="G225" s="269"/>
      <c r="H225" s="1185"/>
      <c r="I225" s="1203"/>
      <c r="J225" s="1230">
        <f>J185</f>
        <v>2.6950000000000003</v>
      </c>
      <c r="K225" s="1009" t="s">
        <v>374</v>
      </c>
      <c r="L225" s="1203">
        <f t="shared" si="61"/>
        <v>3336157</v>
      </c>
      <c r="M225" s="1203"/>
      <c r="N225" s="1230" t="str">
        <f>N185</f>
        <v xml:space="preserve"> </v>
      </c>
      <c r="O225" s="1009" t="s">
        <v>374</v>
      </c>
      <c r="P225" s="1203">
        <f t="shared" si="62"/>
        <v>0</v>
      </c>
      <c r="Q225" s="1203"/>
      <c r="R225" s="1230" t="str">
        <f>R185</f>
        <v xml:space="preserve"> </v>
      </c>
      <c r="S225" s="1009" t="s">
        <v>374</v>
      </c>
      <c r="T225" s="1203">
        <f t="shared" si="63"/>
        <v>0</v>
      </c>
      <c r="U225" s="1203"/>
      <c r="V225" s="1230">
        <f>V185</f>
        <v>2.6950000000000003</v>
      </c>
      <c r="W225" s="1009" t="s">
        <v>374</v>
      </c>
      <c r="X225" s="1203">
        <f t="shared" si="64"/>
        <v>3336157</v>
      </c>
      <c r="Z225" s="815" t="s">
        <v>31</v>
      </c>
      <c r="AC225" s="1205"/>
      <c r="AD225" s="1205"/>
      <c r="AI225" s="1185"/>
      <c r="AJ225" s="1185"/>
      <c r="AK225" s="1185"/>
      <c r="AL225" s="1185"/>
      <c r="AM225" s="1185"/>
      <c r="AN225" s="1185"/>
      <c r="AO225" s="1185"/>
      <c r="AP225" s="1185"/>
      <c r="AQ225" s="1185"/>
      <c r="AR225" s="1185"/>
      <c r="AS225" s="1185"/>
      <c r="AU225" s="1204"/>
    </row>
    <row r="226" spans="1:47" hidden="1">
      <c r="A226" s="331" t="s">
        <v>401</v>
      </c>
      <c r="B226" s="1"/>
      <c r="C226" s="319"/>
      <c r="D226" s="332">
        <v>-0.01</v>
      </c>
      <c r="E226" s="321"/>
      <c r="F226" s="2"/>
      <c r="G226" s="332">
        <v>-0.01</v>
      </c>
      <c r="H226" s="323"/>
      <c r="I226" s="2"/>
      <c r="J226" s="332">
        <v>-0.01</v>
      </c>
      <c r="K226" s="323"/>
      <c r="L226" s="2"/>
      <c r="M226" s="2"/>
      <c r="N226" s="332">
        <v>-0.01</v>
      </c>
      <c r="O226" s="323"/>
      <c r="P226" s="2"/>
      <c r="Q226" s="2"/>
      <c r="R226" s="332">
        <v>-0.01</v>
      </c>
      <c r="S226" s="323"/>
      <c r="T226" s="2"/>
      <c r="U226" s="2"/>
      <c r="V226" s="332">
        <v>-0.01</v>
      </c>
      <c r="W226" s="323"/>
      <c r="X226" s="2"/>
      <c r="Y226" s="20"/>
      <c r="Z226" s="32" t="s">
        <v>31</v>
      </c>
      <c r="AA226" s="74"/>
      <c r="AB226" s="74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U226" s="84"/>
    </row>
    <row r="227" spans="1:47" hidden="1">
      <c r="A227" s="1" t="s">
        <v>390</v>
      </c>
      <c r="B227" s="1"/>
      <c r="C227" s="319">
        <f t="shared" ref="C227:C236" si="65">C296+C330+C261</f>
        <v>71.966666666666697</v>
      </c>
      <c r="D227" s="334">
        <v>8.7100000000000009</v>
      </c>
      <c r="E227" s="321"/>
      <c r="F227" s="2">
        <f t="shared" ref="F227:F236" si="66">F296+F330+F261</f>
        <v>-6</v>
      </c>
      <c r="G227" s="334">
        <v>8.7100000000000009</v>
      </c>
      <c r="H227" s="321"/>
      <c r="I227" s="2">
        <f t="shared" ref="I227:I236" si="67">I296+I330+I261</f>
        <v>-6</v>
      </c>
      <c r="J227" s="334">
        <f>J214</f>
        <v>10</v>
      </c>
      <c r="K227" s="321"/>
      <c r="L227" s="2">
        <f t="shared" ref="L227:L236" si="68">L296+L330+L261</f>
        <v>-7</v>
      </c>
      <c r="M227" s="2"/>
      <c r="N227" s="334">
        <f>N214</f>
        <v>10</v>
      </c>
      <c r="O227" s="321"/>
      <c r="P227" s="2">
        <f t="shared" ref="P227:P236" si="69">P296+P330+P261</f>
        <v>-7</v>
      </c>
      <c r="Q227" s="2"/>
      <c r="R227" s="334" t="str">
        <f>R214</f>
        <v xml:space="preserve"> </v>
      </c>
      <c r="S227" s="321"/>
      <c r="T227" s="2">
        <f t="shared" ref="T227:T236" si="70">T296+T330+T261</f>
        <v>0</v>
      </c>
      <c r="U227" s="2"/>
      <c r="V227" s="334" t="str">
        <f>V214</f>
        <v xml:space="preserve"> </v>
      </c>
      <c r="W227" s="321"/>
      <c r="X227" s="2">
        <f t="shared" ref="X227:X236" si="71">X296+X330+X261</f>
        <v>0</v>
      </c>
      <c r="Y227" s="20"/>
      <c r="Z227" s="74"/>
      <c r="AA227" s="74"/>
      <c r="AB227" s="74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U227" s="84"/>
    </row>
    <row r="228" spans="1:47" hidden="1">
      <c r="A228" s="1" t="s">
        <v>391</v>
      </c>
      <c r="B228" s="1"/>
      <c r="C228" s="319">
        <f t="shared" si="65"/>
        <v>38.6</v>
      </c>
      <c r="D228" s="334">
        <v>12.98</v>
      </c>
      <c r="E228" s="321"/>
      <c r="F228" s="2">
        <f t="shared" si="66"/>
        <v>-5</v>
      </c>
      <c r="G228" s="334">
        <v>12.98</v>
      </c>
      <c r="H228" s="321"/>
      <c r="I228" s="2">
        <f t="shared" si="67"/>
        <v>-5</v>
      </c>
      <c r="J228" s="334">
        <f>J215</f>
        <v>15</v>
      </c>
      <c r="K228" s="321"/>
      <c r="L228" s="2">
        <f t="shared" si="68"/>
        <v>-5</v>
      </c>
      <c r="M228" s="2"/>
      <c r="N228" s="334">
        <f>N215</f>
        <v>15</v>
      </c>
      <c r="O228" s="321"/>
      <c r="P228" s="2">
        <f t="shared" si="69"/>
        <v>-5</v>
      </c>
      <c r="Q228" s="2"/>
      <c r="R228" s="334" t="str">
        <f>R215</f>
        <v xml:space="preserve"> </v>
      </c>
      <c r="S228" s="321"/>
      <c r="T228" s="2">
        <f t="shared" si="70"/>
        <v>0</v>
      </c>
      <c r="U228" s="2"/>
      <c r="V228" s="334" t="str">
        <f>V215</f>
        <v xml:space="preserve"> </v>
      </c>
      <c r="W228" s="321"/>
      <c r="X228" s="2">
        <f t="shared" si="71"/>
        <v>0</v>
      </c>
      <c r="Y228" s="20"/>
      <c r="Z228" s="74"/>
      <c r="AA228" s="74"/>
      <c r="AB228" s="74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U228" s="84"/>
    </row>
    <row r="229" spans="1:47" hidden="1">
      <c r="A229" s="1" t="s">
        <v>402</v>
      </c>
      <c r="B229" s="1"/>
      <c r="C229" s="319">
        <f t="shared" si="65"/>
        <v>1129</v>
      </c>
      <c r="D229" s="334">
        <v>0.92</v>
      </c>
      <c r="E229" s="321"/>
      <c r="F229" s="2">
        <f t="shared" si="66"/>
        <v>-11</v>
      </c>
      <c r="G229" s="334">
        <v>0.92</v>
      </c>
      <c r="H229" s="321"/>
      <c r="I229" s="2">
        <f t="shared" si="67"/>
        <v>-11</v>
      </c>
      <c r="J229" s="334">
        <f>J216</f>
        <v>1</v>
      </c>
      <c r="K229" s="321"/>
      <c r="L229" s="2">
        <f t="shared" si="68"/>
        <v>-11</v>
      </c>
      <c r="M229" s="2"/>
      <c r="N229" s="334">
        <f>N216</f>
        <v>1</v>
      </c>
      <c r="O229" s="321"/>
      <c r="P229" s="2">
        <f t="shared" si="69"/>
        <v>-11</v>
      </c>
      <c r="Q229" s="2"/>
      <c r="R229" s="334" t="str">
        <f>R216</f>
        <v xml:space="preserve"> </v>
      </c>
      <c r="S229" s="321"/>
      <c r="T229" s="2">
        <f t="shared" si="70"/>
        <v>0</v>
      </c>
      <c r="U229" s="2"/>
      <c r="V229" s="334" t="str">
        <f>V216</f>
        <v xml:space="preserve"> </v>
      </c>
      <c r="W229" s="321"/>
      <c r="X229" s="2">
        <f t="shared" si="71"/>
        <v>0</v>
      </c>
      <c r="Y229" s="20"/>
      <c r="Z229" s="74"/>
      <c r="AA229" s="74"/>
      <c r="AB229" s="74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U229" s="84"/>
    </row>
    <row r="230" spans="1:47" hidden="1">
      <c r="A230" s="1" t="s">
        <v>403</v>
      </c>
      <c r="B230" s="1"/>
      <c r="C230" s="319">
        <f t="shared" si="65"/>
        <v>948</v>
      </c>
      <c r="D230" s="334">
        <v>3.4</v>
      </c>
      <c r="E230" s="323"/>
      <c r="F230" s="2">
        <f t="shared" si="66"/>
        <v>-32</v>
      </c>
      <c r="G230" s="334">
        <v>3.61</v>
      </c>
      <c r="H230" s="323"/>
      <c r="I230" s="2">
        <f t="shared" si="67"/>
        <v>-35</v>
      </c>
      <c r="J230" s="334">
        <f ca="1">J218</f>
        <v>3.77</v>
      </c>
      <c r="K230" s="323"/>
      <c r="L230" s="2">
        <f t="shared" ca="1" si="68"/>
        <v>-36</v>
      </c>
      <c r="M230" s="2"/>
      <c r="N230" s="334">
        <f ca="1">N218</f>
        <v>0.81</v>
      </c>
      <c r="O230" s="323"/>
      <c r="P230" s="2">
        <f t="shared" ca="1" si="69"/>
        <v>-7</v>
      </c>
      <c r="Q230" s="2"/>
      <c r="R230" s="334">
        <f ca="1">R218</f>
        <v>1.06</v>
      </c>
      <c r="S230" s="323"/>
      <c r="T230" s="2">
        <f t="shared" ca="1" si="70"/>
        <v>-10</v>
      </c>
      <c r="U230" s="2"/>
      <c r="V230" s="334">
        <f ca="1">V218</f>
        <v>1.9</v>
      </c>
      <c r="W230" s="323"/>
      <c r="X230" s="2">
        <f t="shared" ca="1" si="71"/>
        <v>-18</v>
      </c>
      <c r="Y230" s="20"/>
      <c r="Z230" s="74"/>
      <c r="AA230" s="74"/>
      <c r="AB230" s="74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U230" s="84"/>
    </row>
    <row r="231" spans="1:47" hidden="1">
      <c r="A231" s="1" t="s">
        <v>405</v>
      </c>
      <c r="B231" s="1"/>
      <c r="C231" s="319">
        <f t="shared" si="65"/>
        <v>90642.333333333299</v>
      </c>
      <c r="D231" s="335">
        <v>9.766</v>
      </c>
      <c r="E231" s="323" t="s">
        <v>374</v>
      </c>
      <c r="F231" s="2">
        <f t="shared" si="66"/>
        <v>-89</v>
      </c>
      <c r="G231" s="335">
        <v>10.359</v>
      </c>
      <c r="H231" s="323" t="s">
        <v>374</v>
      </c>
      <c r="I231" s="2">
        <f t="shared" si="67"/>
        <v>-94</v>
      </c>
      <c r="J231" s="335">
        <f ca="1">J219</f>
        <v>6.282</v>
      </c>
      <c r="K231" s="323" t="s">
        <v>374</v>
      </c>
      <c r="L231" s="2">
        <f t="shared" ca="1" si="68"/>
        <v>-57</v>
      </c>
      <c r="M231" s="2"/>
      <c r="N231" s="335">
        <f ca="1">N219</f>
        <v>1.3483746810352102</v>
      </c>
      <c r="O231" s="323" t="s">
        <v>374</v>
      </c>
      <c r="P231" s="2">
        <f t="shared" ca="1" si="69"/>
        <v>-12</v>
      </c>
      <c r="Q231" s="2"/>
      <c r="R231" s="335">
        <f ca="1">R219</f>
        <v>1.7708525176705459</v>
      </c>
      <c r="S231" s="323" t="s">
        <v>374</v>
      </c>
      <c r="T231" s="2">
        <f t="shared" ca="1" si="70"/>
        <v>-16</v>
      </c>
      <c r="U231" s="2"/>
      <c r="V231" s="335">
        <f ca="1">V219</f>
        <v>3.162955363125258</v>
      </c>
      <c r="W231" s="323" t="s">
        <v>374</v>
      </c>
      <c r="X231" s="2">
        <f t="shared" ca="1" si="71"/>
        <v>-29</v>
      </c>
      <c r="Y231" s="20"/>
      <c r="Z231" s="74"/>
      <c r="AA231" s="74"/>
      <c r="AB231" s="74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U231" s="84"/>
    </row>
    <row r="232" spans="1:47" hidden="1">
      <c r="A232" s="1" t="s">
        <v>398</v>
      </c>
      <c r="B232" s="1"/>
      <c r="C232" s="319">
        <f t="shared" si="65"/>
        <v>455823.66666666698</v>
      </c>
      <c r="D232" s="335">
        <v>6.7460000000000004</v>
      </c>
      <c r="E232" s="323" t="s">
        <v>374</v>
      </c>
      <c r="F232" s="2">
        <f t="shared" si="66"/>
        <v>-307</v>
      </c>
      <c r="G232" s="335">
        <v>7.1559999999999997</v>
      </c>
      <c r="H232" s="323" t="s">
        <v>374</v>
      </c>
      <c r="I232" s="2">
        <f t="shared" si="67"/>
        <v>-326</v>
      </c>
      <c r="J232" s="335">
        <f ca="1">J220</f>
        <v>4.3410000000000002</v>
      </c>
      <c r="K232" s="323" t="s">
        <v>374</v>
      </c>
      <c r="L232" s="2">
        <f t="shared" ca="1" si="68"/>
        <v>-198</v>
      </c>
      <c r="M232" s="2"/>
      <c r="N232" s="335">
        <f ca="1">N220</f>
        <v>0.93175626548296309</v>
      </c>
      <c r="O232" s="323" t="s">
        <v>374</v>
      </c>
      <c r="P232" s="2">
        <f t="shared" ca="1" si="69"/>
        <v>-43</v>
      </c>
      <c r="Q232" s="2"/>
      <c r="R232" s="335">
        <f ca="1">R220</f>
        <v>1.2240066282869231</v>
      </c>
      <c r="S232" s="323" t="s">
        <v>374</v>
      </c>
      <c r="T232" s="2">
        <f t="shared" ca="1" si="70"/>
        <v>-56</v>
      </c>
      <c r="U232" s="2"/>
      <c r="V232" s="335">
        <f ca="1">V220</f>
        <v>2.1849800075654815</v>
      </c>
      <c r="W232" s="323" t="s">
        <v>374</v>
      </c>
      <c r="X232" s="2">
        <f t="shared" ca="1" si="71"/>
        <v>-100</v>
      </c>
      <c r="Y232" s="20"/>
      <c r="Z232" s="74"/>
      <c r="AA232" s="74"/>
      <c r="AB232" s="74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U232" s="84"/>
    </row>
    <row r="233" spans="1:47" hidden="1">
      <c r="A233" s="1" t="s">
        <v>399</v>
      </c>
      <c r="B233" s="1"/>
      <c r="C233" s="319">
        <f t="shared" si="65"/>
        <v>176779.99999999971</v>
      </c>
      <c r="D233" s="335">
        <v>5.8120000000000003</v>
      </c>
      <c r="E233" s="323" t="s">
        <v>374</v>
      </c>
      <c r="F233" s="2">
        <f t="shared" si="66"/>
        <v>-102</v>
      </c>
      <c r="G233" s="335">
        <v>6.1660000000000004</v>
      </c>
      <c r="H233" s="323" t="s">
        <v>374</v>
      </c>
      <c r="I233" s="2">
        <f t="shared" si="67"/>
        <v>-109</v>
      </c>
      <c r="J233" s="335">
        <f ca="1">J221</f>
        <v>3.74</v>
      </c>
      <c r="K233" s="323" t="s">
        <v>374</v>
      </c>
      <c r="L233" s="2">
        <f t="shared" ca="1" si="68"/>
        <v>-66</v>
      </c>
      <c r="M233" s="2"/>
      <c r="N233" s="335">
        <f ca="1">N221</f>
        <v>0.80275718206159852</v>
      </c>
      <c r="O233" s="323" t="s">
        <v>374</v>
      </c>
      <c r="P233" s="2">
        <f t="shared" ca="1" si="69"/>
        <v>-14</v>
      </c>
      <c r="Q233" s="2"/>
      <c r="R233" s="335">
        <f ca="1">R221</f>
        <v>1.0536847359511734</v>
      </c>
      <c r="S233" s="323" t="s">
        <v>374</v>
      </c>
      <c r="T233" s="2">
        <f t="shared" ca="1" si="70"/>
        <v>-18</v>
      </c>
      <c r="U233" s="2"/>
      <c r="V233" s="335">
        <f ca="1">V221</f>
        <v>1.8834755557989509</v>
      </c>
      <c r="W233" s="323" t="s">
        <v>374</v>
      </c>
      <c r="X233" s="2">
        <f t="shared" ca="1" si="71"/>
        <v>-34</v>
      </c>
      <c r="Y233" s="20"/>
      <c r="Z233" s="74"/>
      <c r="AA233" s="74"/>
      <c r="AB233" s="74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U233" s="84"/>
    </row>
    <row r="234" spans="1:47" hidden="1">
      <c r="A234" s="1" t="s">
        <v>400</v>
      </c>
      <c r="B234" s="1"/>
      <c r="C234" s="319">
        <f t="shared" si="65"/>
        <v>1148.3</v>
      </c>
      <c r="D234" s="336">
        <v>56</v>
      </c>
      <c r="E234" s="323" t="s">
        <v>374</v>
      </c>
      <c r="F234" s="2">
        <f t="shared" si="66"/>
        <v>-6</v>
      </c>
      <c r="G234" s="336">
        <v>56</v>
      </c>
      <c r="H234" s="323" t="s">
        <v>374</v>
      </c>
      <c r="I234" s="2">
        <f t="shared" si="67"/>
        <v>-6</v>
      </c>
      <c r="J234" s="336">
        <f>J222</f>
        <v>56</v>
      </c>
      <c r="K234" s="323" t="s">
        <v>374</v>
      </c>
      <c r="L234" s="2">
        <f t="shared" si="68"/>
        <v>-6</v>
      </c>
      <c r="M234" s="2"/>
      <c r="N234" s="336" t="str">
        <f>N222</f>
        <v xml:space="preserve"> </v>
      </c>
      <c r="O234" s="323" t="s">
        <v>374</v>
      </c>
      <c r="P234" s="2">
        <f t="shared" si="69"/>
        <v>0</v>
      </c>
      <c r="Q234" s="2"/>
      <c r="R234" s="336">
        <f ca="1">R222</f>
        <v>11</v>
      </c>
      <c r="S234" s="323" t="s">
        <v>374</v>
      </c>
      <c r="T234" s="2">
        <f t="shared" ca="1" si="70"/>
        <v>-1</v>
      </c>
      <c r="U234" s="2"/>
      <c r="V234" s="336">
        <f ca="1">V222</f>
        <v>45</v>
      </c>
      <c r="W234" s="323" t="s">
        <v>374</v>
      </c>
      <c r="X234" s="2">
        <f t="shared" ca="1" si="71"/>
        <v>-5</v>
      </c>
      <c r="Y234" s="20"/>
      <c r="Z234" s="74"/>
      <c r="AA234" s="74"/>
      <c r="AB234" s="74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U234" s="84"/>
    </row>
    <row r="235" spans="1:47" hidden="1">
      <c r="A235" s="1" t="s">
        <v>407</v>
      </c>
      <c r="B235" s="1"/>
      <c r="C235" s="319">
        <f t="shared" si="65"/>
        <v>123.4666666666667</v>
      </c>
      <c r="D235" s="337">
        <v>60</v>
      </c>
      <c r="E235" s="321"/>
      <c r="F235" s="2">
        <f t="shared" si="66"/>
        <v>7408</v>
      </c>
      <c r="G235" s="337">
        <v>60</v>
      </c>
      <c r="H235" s="323"/>
      <c r="I235" s="2">
        <f t="shared" si="67"/>
        <v>7408</v>
      </c>
      <c r="J235" s="337">
        <f>$J$198</f>
        <v>60</v>
      </c>
      <c r="K235" s="323"/>
      <c r="L235" s="2">
        <f t="shared" si="68"/>
        <v>7408</v>
      </c>
      <c r="M235" s="2"/>
      <c r="N235" s="337">
        <f>$J$198</f>
        <v>60</v>
      </c>
      <c r="O235" s="323"/>
      <c r="P235" s="2">
        <f t="shared" si="69"/>
        <v>0</v>
      </c>
      <c r="Q235" s="2"/>
      <c r="R235" s="337">
        <f ca="1">$R$198</f>
        <v>11.86</v>
      </c>
      <c r="S235" s="323"/>
      <c r="T235" s="2">
        <f t="shared" ca="1" si="70"/>
        <v>1464</v>
      </c>
      <c r="U235" s="2"/>
      <c r="V235" s="337">
        <f ca="1">$V$198</f>
        <v>48.14</v>
      </c>
      <c r="W235" s="323"/>
      <c r="X235" s="2">
        <f t="shared" ca="1" si="71"/>
        <v>5944</v>
      </c>
      <c r="Y235" s="20"/>
      <c r="Z235" s="74"/>
      <c r="AA235" s="74"/>
      <c r="AB235" s="74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U235" s="84"/>
    </row>
    <row r="236" spans="1:47" hidden="1">
      <c r="A236" s="1" t="s">
        <v>408</v>
      </c>
      <c r="B236" s="1"/>
      <c r="C236" s="319">
        <f t="shared" si="65"/>
        <v>1129</v>
      </c>
      <c r="D236" s="339">
        <v>-30</v>
      </c>
      <c r="E236" s="321" t="s">
        <v>374</v>
      </c>
      <c r="F236" s="2">
        <f t="shared" si="66"/>
        <v>-339</v>
      </c>
      <c r="G236" s="339">
        <v>-30</v>
      </c>
      <c r="H236" s="323" t="s">
        <v>374</v>
      </c>
      <c r="I236" s="2">
        <f t="shared" si="67"/>
        <v>-339</v>
      </c>
      <c r="J236" s="339">
        <f>$J$199</f>
        <v>-30</v>
      </c>
      <c r="K236" s="323" t="s">
        <v>374</v>
      </c>
      <c r="L236" s="2">
        <f t="shared" si="68"/>
        <v>-339</v>
      </c>
      <c r="M236" s="2"/>
      <c r="N236" s="339">
        <f>$N$199</f>
        <v>-30</v>
      </c>
      <c r="O236" s="323" t="s">
        <v>374</v>
      </c>
      <c r="P236" s="2">
        <f t="shared" si="69"/>
        <v>-339</v>
      </c>
      <c r="Q236" s="2"/>
      <c r="R236" s="339" t="str">
        <f>$R$199</f>
        <v xml:space="preserve"> </v>
      </c>
      <c r="S236" s="323" t="s">
        <v>374</v>
      </c>
      <c r="T236" s="2">
        <f t="shared" si="70"/>
        <v>0</v>
      </c>
      <c r="U236" s="2"/>
      <c r="V236" s="339" t="str">
        <f>$V$199</f>
        <v xml:space="preserve"> </v>
      </c>
      <c r="W236" s="323" t="s">
        <v>374</v>
      </c>
      <c r="X236" s="2">
        <f t="shared" si="71"/>
        <v>0</v>
      </c>
      <c r="Y236" s="20"/>
      <c r="Z236" s="74"/>
      <c r="AA236" s="74"/>
      <c r="AB236" s="74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U236" s="84"/>
    </row>
    <row r="237" spans="1:47" s="1184" customFormat="1" hidden="1">
      <c r="A237" s="1005" t="s">
        <v>1032</v>
      </c>
      <c r="C237" s="1026">
        <f>C231</f>
        <v>90642.333333333299</v>
      </c>
      <c r="D237" s="269"/>
      <c r="E237" s="1185"/>
      <c r="F237" s="1203"/>
      <c r="G237" s="269"/>
      <c r="H237" s="1185"/>
      <c r="I237" s="1203"/>
      <c r="J237" s="1230">
        <f>J183</f>
        <v>4.5289999999999999</v>
      </c>
      <c r="K237" s="1009" t="s">
        <v>374</v>
      </c>
      <c r="L237" s="1203">
        <f t="shared" ref="L237:L239" si="72">L271+L306+L340</f>
        <v>-2211</v>
      </c>
      <c r="M237" s="1203"/>
      <c r="N237" s="1230" t="str">
        <f>N183</f>
        <v xml:space="preserve"> </v>
      </c>
      <c r="O237" s="1009" t="s">
        <v>374</v>
      </c>
      <c r="P237" s="1203">
        <f t="shared" ref="P237:P239" si="73">P271+P306+P340</f>
        <v>0</v>
      </c>
      <c r="Q237" s="1203"/>
      <c r="R237" s="1230" t="str">
        <f>R183</f>
        <v xml:space="preserve"> </v>
      </c>
      <c r="S237" s="1009" t="s">
        <v>374</v>
      </c>
      <c r="T237" s="1203">
        <f t="shared" ref="T237:T239" si="74">T271+T306+T340</f>
        <v>0</v>
      </c>
      <c r="U237" s="1203"/>
      <c r="V237" s="1230">
        <f>V183</f>
        <v>4.5289999999999999</v>
      </c>
      <c r="W237" s="1009" t="s">
        <v>374</v>
      </c>
      <c r="X237" s="1203">
        <f t="shared" ref="X237:X239" si="75">X271+X306+X340</f>
        <v>-2211</v>
      </c>
      <c r="Z237" s="815"/>
      <c r="AC237" s="1205"/>
      <c r="AD237" s="1205"/>
      <c r="AI237" s="1185"/>
      <c r="AJ237" s="1185"/>
      <c r="AK237" s="1185"/>
      <c r="AL237" s="1185"/>
      <c r="AM237" s="1185"/>
      <c r="AN237" s="1185"/>
      <c r="AO237" s="1185"/>
      <c r="AP237" s="1185"/>
      <c r="AQ237" s="1185"/>
      <c r="AR237" s="1185"/>
      <c r="AS237" s="1185"/>
      <c r="AU237" s="1204"/>
    </row>
    <row r="238" spans="1:47" s="1184" customFormat="1" hidden="1">
      <c r="A238" s="1005" t="s">
        <v>1033</v>
      </c>
      <c r="C238" s="1026">
        <f t="shared" ref="C238:C239" si="76">C232</f>
        <v>455823.66666666698</v>
      </c>
      <c r="D238" s="269"/>
      <c r="E238" s="1185"/>
      <c r="F238" s="1203"/>
      <c r="G238" s="269"/>
      <c r="H238" s="1185"/>
      <c r="I238" s="1203"/>
      <c r="J238" s="1230">
        <f>J184</f>
        <v>3.1270000000000002</v>
      </c>
      <c r="K238" s="1009" t="s">
        <v>374</v>
      </c>
      <c r="L238" s="1203">
        <f t="shared" si="72"/>
        <v>-746</v>
      </c>
      <c r="M238" s="1203"/>
      <c r="N238" s="1230" t="str">
        <f>N184</f>
        <v xml:space="preserve"> </v>
      </c>
      <c r="O238" s="1009" t="s">
        <v>374</v>
      </c>
      <c r="P238" s="1203">
        <f t="shared" si="73"/>
        <v>0</v>
      </c>
      <c r="Q238" s="1203"/>
      <c r="R238" s="1230" t="str">
        <f>R184</f>
        <v xml:space="preserve"> </v>
      </c>
      <c r="S238" s="1009" t="s">
        <v>374</v>
      </c>
      <c r="T238" s="1203">
        <f t="shared" si="74"/>
        <v>0</v>
      </c>
      <c r="U238" s="1203"/>
      <c r="V238" s="1230">
        <f>V184</f>
        <v>3.1270000000000002</v>
      </c>
      <c r="W238" s="1009" t="s">
        <v>374</v>
      </c>
      <c r="X238" s="1203">
        <f t="shared" si="75"/>
        <v>-746</v>
      </c>
      <c r="Z238" s="815"/>
      <c r="AC238" s="1205"/>
      <c r="AD238" s="1205"/>
      <c r="AI238" s="1185"/>
      <c r="AJ238" s="1185"/>
      <c r="AK238" s="1185"/>
      <c r="AL238" s="1185"/>
      <c r="AM238" s="1185"/>
      <c r="AN238" s="1185"/>
      <c r="AO238" s="1185"/>
      <c r="AP238" s="1185"/>
      <c r="AQ238" s="1185"/>
      <c r="AR238" s="1185"/>
      <c r="AS238" s="1185"/>
      <c r="AU238" s="1204"/>
    </row>
    <row r="239" spans="1:47" s="1184" customFormat="1" hidden="1">
      <c r="A239" s="1005" t="s">
        <v>1034</v>
      </c>
      <c r="C239" s="1026">
        <f t="shared" si="76"/>
        <v>176779.99999999971</v>
      </c>
      <c r="D239" s="269"/>
      <c r="E239" s="1185"/>
      <c r="F239" s="1203"/>
      <c r="G239" s="269"/>
      <c r="H239" s="1185"/>
      <c r="I239" s="1203"/>
      <c r="J239" s="1230">
        <f>J185</f>
        <v>2.6950000000000003</v>
      </c>
      <c r="K239" s="1009" t="s">
        <v>374</v>
      </c>
      <c r="L239" s="1203">
        <f t="shared" si="72"/>
        <v>-127</v>
      </c>
      <c r="M239" s="1203"/>
      <c r="N239" s="1230" t="str">
        <f>N185</f>
        <v xml:space="preserve"> </v>
      </c>
      <c r="O239" s="1009" t="s">
        <v>374</v>
      </c>
      <c r="P239" s="1203">
        <f t="shared" si="73"/>
        <v>0</v>
      </c>
      <c r="Q239" s="1203"/>
      <c r="R239" s="1230" t="str">
        <f>R185</f>
        <v xml:space="preserve"> </v>
      </c>
      <c r="S239" s="1009" t="s">
        <v>374</v>
      </c>
      <c r="T239" s="1203">
        <f t="shared" si="74"/>
        <v>0</v>
      </c>
      <c r="U239" s="1203"/>
      <c r="V239" s="1230">
        <f>V185</f>
        <v>2.6950000000000003</v>
      </c>
      <c r="W239" s="1009" t="s">
        <v>374</v>
      </c>
      <c r="X239" s="1203">
        <f t="shared" si="75"/>
        <v>-127</v>
      </c>
      <c r="Z239" s="815"/>
      <c r="AC239" s="1205"/>
      <c r="AD239" s="1205"/>
      <c r="AI239" s="1185"/>
      <c r="AJ239" s="1185"/>
      <c r="AK239" s="1185"/>
      <c r="AL239" s="1185"/>
      <c r="AM239" s="1185"/>
      <c r="AN239" s="1185"/>
      <c r="AO239" s="1185"/>
      <c r="AP239" s="1185"/>
      <c r="AQ239" s="1185"/>
      <c r="AR239" s="1185"/>
      <c r="AS239" s="1185"/>
      <c r="AU239" s="1204"/>
    </row>
    <row r="240" spans="1:47" hidden="1">
      <c r="A240" s="1" t="s">
        <v>381</v>
      </c>
      <c r="B240" s="264"/>
      <c r="C240" s="319">
        <f t="shared" ref="C240" si="77">C309+C343+C274</f>
        <v>543245488.34573233</v>
      </c>
      <c r="D240" s="330"/>
      <c r="E240" s="2"/>
      <c r="F240" s="2">
        <f t="shared" ref="F240" si="78">F309+F343+F274</f>
        <v>45750545</v>
      </c>
      <c r="G240" s="330"/>
      <c r="H240" s="323"/>
      <c r="I240" s="2">
        <f t="shared" ref="I240" si="79">I309+I343+I274</f>
        <v>48325339</v>
      </c>
      <c r="J240" s="330"/>
      <c r="K240" s="323"/>
      <c r="L240" s="2">
        <f t="shared" ref="L240" ca="1" si="80">L309+L343+L274</f>
        <v>50716403</v>
      </c>
      <c r="M240" s="2"/>
      <c r="N240" s="330"/>
      <c r="O240" s="323"/>
      <c r="P240" s="2">
        <f t="shared" ref="P240" ca="1" si="81">P309+P343+P274</f>
        <v>9929238</v>
      </c>
      <c r="Q240" s="2"/>
      <c r="R240" s="330"/>
      <c r="S240" s="323"/>
      <c r="T240" s="2">
        <f t="shared" ref="T240" ca="1" si="82">T309+T343+T274</f>
        <v>8064774</v>
      </c>
      <c r="U240" s="2"/>
      <c r="V240" s="330"/>
      <c r="W240" s="323"/>
      <c r="X240" s="2">
        <f t="shared" ref="X240" ca="1" si="83">X309+X343+X274</f>
        <v>32721789</v>
      </c>
      <c r="Y240" s="20"/>
      <c r="Z240" s="74"/>
      <c r="AA240" s="74"/>
      <c r="AB240" s="74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U240" s="84"/>
    </row>
    <row r="241" spans="1:47" hidden="1">
      <c r="A241" s="1" t="s">
        <v>363</v>
      </c>
      <c r="B241" s="347"/>
      <c r="C241" s="340">
        <f ca="1">C275+C310+C344</f>
        <v>-1810988.0382363582</v>
      </c>
      <c r="D241" s="309"/>
      <c r="E241" s="309"/>
      <c r="F241" s="341">
        <f ca="1">I241</f>
        <v>-144541.39544477698</v>
      </c>
      <c r="G241" s="309"/>
      <c r="H241" s="309"/>
      <c r="I241" s="341">
        <f ca="1">I275+I310+I344</f>
        <v>-144541.39544477698</v>
      </c>
      <c r="J241" s="309"/>
      <c r="K241" s="309"/>
      <c r="L241" s="341">
        <f ca="1">I241</f>
        <v>-144541.39544477698</v>
      </c>
      <c r="M241" s="322"/>
      <c r="N241" s="309"/>
      <c r="O241" s="309"/>
      <c r="P241" s="341">
        <f ca="1">P204/L204*L241</f>
        <v>-28493.648025438928</v>
      </c>
      <c r="Q241" s="322"/>
      <c r="R241" s="309"/>
      <c r="S241" s="309"/>
      <c r="T241" s="341">
        <f ca="1">T204/L204*L241</f>
        <v>-22946.464711857163</v>
      </c>
      <c r="U241" s="322"/>
      <c r="V241" s="309"/>
      <c r="W241" s="309"/>
      <c r="X241" s="341">
        <f ca="1">X204/L204*L241</f>
        <v>-93101.282707480888</v>
      </c>
      <c r="Y241" s="444"/>
      <c r="Z241" s="287"/>
      <c r="AA241" s="74"/>
      <c r="AB241" s="74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U241" s="84"/>
    </row>
    <row r="242" spans="1:47" ht="16.5" hidden="1" thickBot="1">
      <c r="A242" s="1" t="s">
        <v>382</v>
      </c>
      <c r="B242" s="1"/>
      <c r="C242" s="311">
        <f ca="1">SUM(C240:C241)</f>
        <v>541434500.30749595</v>
      </c>
      <c r="D242" s="342"/>
      <c r="E242" s="343"/>
      <c r="F242" s="344">
        <f ca="1">F240+F241</f>
        <v>45606003.604555219</v>
      </c>
      <c r="G242" s="342"/>
      <c r="H242" s="345"/>
      <c r="I242" s="344">
        <f ca="1">I240+I241</f>
        <v>48180797.604555219</v>
      </c>
      <c r="J242" s="342"/>
      <c r="K242" s="345"/>
      <c r="L242" s="344">
        <f ca="1">L240+L241</f>
        <v>50571861.604555219</v>
      </c>
      <c r="M242" s="344"/>
      <c r="N242" s="342"/>
      <c r="O242" s="345"/>
      <c r="P242" s="344">
        <f ca="1">P240+P241</f>
        <v>9900744.3519745618</v>
      </c>
      <c r="Q242" s="344"/>
      <c r="R242" s="342"/>
      <c r="S242" s="345"/>
      <c r="T242" s="344">
        <f ca="1">T240+T241</f>
        <v>8041827.535288143</v>
      </c>
      <c r="U242" s="344"/>
      <c r="V242" s="342"/>
      <c r="W242" s="345"/>
      <c r="X242" s="344">
        <f ca="1">X240+X241</f>
        <v>32628687.717292517</v>
      </c>
      <c r="Y242" s="411"/>
      <c r="Z242" s="470"/>
      <c r="AA242" s="74"/>
      <c r="AB242" s="74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U242" s="84"/>
    </row>
    <row r="243" spans="1:47" ht="16.5" hidden="1" thickTop="1">
      <c r="A243" s="1"/>
      <c r="B243" s="1"/>
      <c r="C243" s="21"/>
      <c r="D243" s="337"/>
      <c r="E243" s="2"/>
      <c r="F243" s="2"/>
      <c r="G243" s="337"/>
      <c r="H243" s="1"/>
      <c r="I243" s="2"/>
      <c r="J243" s="337"/>
      <c r="K243" s="1"/>
      <c r="L243" s="2" t="s">
        <v>31</v>
      </c>
      <c r="M243" s="2"/>
      <c r="N243" s="337"/>
      <c r="O243" s="1"/>
      <c r="P243" s="2" t="s">
        <v>31</v>
      </c>
      <c r="Q243" s="2"/>
      <c r="R243" s="337"/>
      <c r="S243" s="1"/>
      <c r="T243" s="2" t="s">
        <v>31</v>
      </c>
      <c r="U243" s="2"/>
      <c r="V243" s="337"/>
      <c r="W243" s="1"/>
      <c r="X243" s="2" t="s">
        <v>31</v>
      </c>
      <c r="Y243" s="20"/>
      <c r="Z243" s="74"/>
      <c r="AA243" s="74"/>
      <c r="AB243" s="74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U243" s="84"/>
    </row>
    <row r="244" spans="1:47" hidden="1">
      <c r="A244" s="293" t="s">
        <v>387</v>
      </c>
      <c r="B244" s="1"/>
      <c r="C244" s="1"/>
      <c r="D244" s="2"/>
      <c r="E244" s="2"/>
      <c r="F244" s="1" t="s">
        <v>31</v>
      </c>
      <c r="G244" s="2"/>
      <c r="H244" s="1"/>
      <c r="I244" s="380" t="s">
        <v>31</v>
      </c>
      <c r="J244" s="2"/>
      <c r="K244" s="1"/>
      <c r="L244" s="1"/>
      <c r="M244" s="1"/>
      <c r="N244" s="2"/>
      <c r="O244" s="1"/>
      <c r="P244" s="1"/>
      <c r="Q244" s="1"/>
      <c r="R244" s="2"/>
      <c r="S244" s="1"/>
      <c r="T244" s="1"/>
      <c r="U244" s="1"/>
      <c r="V244" s="2"/>
      <c r="W244" s="1"/>
      <c r="X244" s="1"/>
      <c r="Y244" s="20"/>
      <c r="Z244" s="74"/>
      <c r="AA244" s="74"/>
      <c r="AB244" s="74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U244" s="84"/>
    </row>
    <row r="245" spans="1:47" hidden="1">
      <c r="A245" s="1" t="s">
        <v>782</v>
      </c>
      <c r="B245" s="1"/>
      <c r="C245" s="1"/>
      <c r="D245" s="2"/>
      <c r="E245" s="2"/>
      <c r="F245" s="1"/>
      <c r="G245" s="2"/>
      <c r="H245" s="1"/>
      <c r="I245" s="1"/>
      <c r="J245" s="2"/>
      <c r="K245" s="1"/>
      <c r="L245" s="1"/>
      <c r="M245" s="1"/>
      <c r="N245" s="2"/>
      <c r="O245" s="1"/>
      <c r="P245" s="1"/>
      <c r="Q245" s="1"/>
      <c r="R245" s="2"/>
      <c r="S245" s="1"/>
      <c r="T245" s="1"/>
      <c r="U245" s="1"/>
      <c r="V245" s="2"/>
      <c r="W245" s="1"/>
      <c r="X245" s="1"/>
      <c r="Y245" s="20"/>
      <c r="Z245" s="74"/>
      <c r="AA245" s="74"/>
      <c r="AB245" s="74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U245" s="84"/>
    </row>
    <row r="246" spans="1:47" hidden="1">
      <c r="A246" s="348" t="s">
        <v>31</v>
      </c>
      <c r="B246" s="1"/>
      <c r="C246" s="21"/>
      <c r="D246" s="2"/>
      <c r="E246" s="2"/>
      <c r="F246" s="1"/>
      <c r="G246" s="2"/>
      <c r="H246" s="1"/>
      <c r="I246" s="1"/>
      <c r="J246" s="2"/>
      <c r="K246" s="1"/>
      <c r="L246" s="1"/>
      <c r="M246" s="1"/>
      <c r="N246" s="2"/>
      <c r="O246" s="1"/>
      <c r="P246" s="1"/>
      <c r="Q246" s="1"/>
      <c r="R246" s="2"/>
      <c r="S246" s="1"/>
      <c r="T246" s="1"/>
      <c r="U246" s="1"/>
      <c r="V246" s="2"/>
      <c r="W246" s="1"/>
      <c r="X246" s="1"/>
      <c r="Y246" s="20"/>
      <c r="Z246" s="74"/>
      <c r="AA246" s="74"/>
      <c r="AB246" s="74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U246" s="84"/>
    </row>
    <row r="247" spans="1:47" hidden="1">
      <c r="A247" s="1" t="s">
        <v>393</v>
      </c>
      <c r="B247" s="1"/>
      <c r="C247" s="319"/>
      <c r="D247" s="2"/>
      <c r="E247" s="2"/>
      <c r="F247" s="1"/>
      <c r="G247" s="2"/>
      <c r="H247" s="1"/>
      <c r="I247" s="1"/>
      <c r="J247" s="2"/>
      <c r="K247" s="1"/>
      <c r="L247" s="1"/>
      <c r="M247" s="1"/>
      <c r="N247" s="2"/>
      <c r="O247" s="1"/>
      <c r="P247" s="1"/>
      <c r="Q247" s="1"/>
      <c r="R247" s="2"/>
      <c r="S247" s="1"/>
      <c r="T247" s="1"/>
      <c r="U247" s="1"/>
      <c r="V247" s="2"/>
      <c r="W247" s="1"/>
      <c r="X247" s="1"/>
      <c r="Y247" s="20"/>
      <c r="Z247" s="74"/>
      <c r="AA247" s="74"/>
      <c r="AB247" s="74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U247" s="84"/>
    </row>
    <row r="248" spans="1:47" hidden="1">
      <c r="A248" s="1" t="s">
        <v>390</v>
      </c>
      <c r="B248" s="1"/>
      <c r="C248" s="319">
        <f>[47]Sheet1!$F$26+[47]Sheet1!$F$13</f>
        <v>16222.5</v>
      </c>
      <c r="D248" s="298">
        <v>8.7100000000000009</v>
      </c>
      <c r="E248" s="321"/>
      <c r="F248" s="2">
        <f>ROUND(D248*$C248,0)</f>
        <v>141298</v>
      </c>
      <c r="G248" s="298">
        <v>8.7100000000000009</v>
      </c>
      <c r="H248" s="323"/>
      <c r="I248" s="2">
        <f>ROUND(G248*$C248,0)</f>
        <v>141298</v>
      </c>
      <c r="J248" s="298">
        <f>$J$173</f>
        <v>10</v>
      </c>
      <c r="K248" s="323"/>
      <c r="L248" s="2">
        <f>ROUND(J248*$C248,0)</f>
        <v>162225</v>
      </c>
      <c r="M248" s="2"/>
      <c r="N248" s="298">
        <f>$N$173</f>
        <v>10</v>
      </c>
      <c r="O248" s="323"/>
      <c r="P248" s="2">
        <f>ROUND(N248*$C248,0)</f>
        <v>162225</v>
      </c>
      <c r="Q248" s="2"/>
      <c r="R248" s="298" t="str">
        <f>$R$173</f>
        <v xml:space="preserve"> </v>
      </c>
      <c r="S248" s="323"/>
      <c r="T248" s="2">
        <f>ROUND(R248*$C248,0)</f>
        <v>0</v>
      </c>
      <c r="U248" s="2"/>
      <c r="V248" s="298" t="str">
        <f>$V$173</f>
        <v xml:space="preserve"> </v>
      </c>
      <c r="W248" s="323"/>
      <c r="X248" s="2">
        <f>ROUND(V248*$C248,0)</f>
        <v>0</v>
      </c>
      <c r="Y248" s="20"/>
      <c r="Z248" s="74"/>
      <c r="AA248" s="74"/>
      <c r="AB248" s="74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U248" s="84"/>
    </row>
    <row r="249" spans="1:47" hidden="1">
      <c r="A249" s="1" t="s">
        <v>391</v>
      </c>
      <c r="B249" s="1"/>
      <c r="C249" s="319">
        <f>[47]Sheet1!$F$27</f>
        <v>747.26666666666699</v>
      </c>
      <c r="D249" s="298">
        <v>12.98</v>
      </c>
      <c r="E249" s="324"/>
      <c r="F249" s="2">
        <f>ROUND(D249*$C249,0)</f>
        <v>9700</v>
      </c>
      <c r="G249" s="298">
        <v>12.98</v>
      </c>
      <c r="H249" s="325"/>
      <c r="I249" s="2">
        <f t="shared" ref="I249:I250" si="84">ROUND(G249*$C249,0)</f>
        <v>9700</v>
      </c>
      <c r="J249" s="298">
        <f>$J$174</f>
        <v>15</v>
      </c>
      <c r="K249" s="325"/>
      <c r="L249" s="2">
        <f>ROUND(J249*$C249,0)</f>
        <v>11209</v>
      </c>
      <c r="M249" s="2"/>
      <c r="N249" s="298">
        <f>$N$174</f>
        <v>15</v>
      </c>
      <c r="O249" s="325"/>
      <c r="P249" s="2">
        <f>ROUND(N249*$C249,0)</f>
        <v>11209</v>
      </c>
      <c r="Q249" s="2"/>
      <c r="R249" s="298" t="str">
        <f>$R$174</f>
        <v xml:space="preserve"> </v>
      </c>
      <c r="S249" s="325"/>
      <c r="T249" s="2">
        <f>ROUND(R249*$C249,0)</f>
        <v>0</v>
      </c>
      <c r="U249" s="2"/>
      <c r="V249" s="298" t="str">
        <f>$V$174</f>
        <v xml:space="preserve"> </v>
      </c>
      <c r="W249" s="325"/>
      <c r="X249" s="2">
        <f>ROUND(V249*$C249,0)</f>
        <v>0</v>
      </c>
      <c r="Y249" s="20"/>
      <c r="Z249" s="74"/>
      <c r="AA249" s="74"/>
      <c r="AB249" s="74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U249" s="84"/>
    </row>
    <row r="250" spans="1:47" hidden="1">
      <c r="A250" s="1" t="s">
        <v>392</v>
      </c>
      <c r="B250" s="1"/>
      <c r="C250" s="319">
        <f>[47]Sheet1!$G$32</f>
        <v>4516</v>
      </c>
      <c r="D250" s="298">
        <v>0.92</v>
      </c>
      <c r="E250" s="324"/>
      <c r="F250" s="2">
        <f>ROUND(D250*$C250,0)</f>
        <v>4155</v>
      </c>
      <c r="G250" s="298">
        <v>0.92</v>
      </c>
      <c r="H250" s="325"/>
      <c r="I250" s="2">
        <f t="shared" si="84"/>
        <v>4155</v>
      </c>
      <c r="J250" s="298">
        <f>$J$175</f>
        <v>1</v>
      </c>
      <c r="K250" s="325"/>
      <c r="L250" s="2">
        <f>ROUND(J250*$C250,0)</f>
        <v>4516</v>
      </c>
      <c r="M250" s="2"/>
      <c r="N250" s="298">
        <f>$N$175</f>
        <v>1</v>
      </c>
      <c r="O250" s="325"/>
      <c r="P250" s="2">
        <f>ROUND(N250*$C250,0)</f>
        <v>4516</v>
      </c>
      <c r="Q250" s="2"/>
      <c r="R250" s="298" t="str">
        <f>$R$175</f>
        <v xml:space="preserve"> </v>
      </c>
      <c r="S250" s="325"/>
      <c r="T250" s="2">
        <f>ROUND(R250*$C250,0)</f>
        <v>0</v>
      </c>
      <c r="U250" s="2"/>
      <c r="V250" s="298" t="str">
        <f>$V$175</f>
        <v xml:space="preserve"> </v>
      </c>
      <c r="W250" s="325"/>
      <c r="X250" s="2">
        <f>ROUND(V250*$C250,0)</f>
        <v>0</v>
      </c>
      <c r="Y250" s="20"/>
      <c r="Z250" s="74"/>
      <c r="AA250" s="74"/>
      <c r="AB250" s="74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U250" s="84"/>
    </row>
    <row r="251" spans="1:47" hidden="1">
      <c r="A251" s="1" t="s">
        <v>394</v>
      </c>
      <c r="B251" s="1"/>
      <c r="C251" s="319">
        <f>SUM(C248:C249)</f>
        <v>16969.766666666666</v>
      </c>
      <c r="D251" s="298"/>
      <c r="E251" s="321"/>
      <c r="F251" s="2"/>
      <c r="G251" s="298"/>
      <c r="H251" s="323"/>
      <c r="I251" s="2"/>
      <c r="J251" s="298"/>
      <c r="K251" s="323"/>
      <c r="L251" s="2"/>
      <c r="M251" s="2"/>
      <c r="N251" s="298"/>
      <c r="O251" s="323"/>
      <c r="P251" s="2"/>
      <c r="Q251" s="2"/>
      <c r="R251" s="298"/>
      <c r="S251" s="323"/>
      <c r="T251" s="2"/>
      <c r="U251" s="2"/>
      <c r="V251" s="298"/>
      <c r="W251" s="323"/>
      <c r="X251" s="2"/>
      <c r="Y251" s="20"/>
      <c r="Z251" s="74"/>
      <c r="AA251" s="74"/>
      <c r="AB251" s="74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U251" s="84"/>
    </row>
    <row r="252" spans="1:47" hidden="1">
      <c r="A252" s="1" t="s">
        <v>395</v>
      </c>
      <c r="B252" s="1"/>
      <c r="C252" s="319">
        <f>[47]Sheet1!$K$32</f>
        <v>3433</v>
      </c>
      <c r="D252" s="326">
        <v>3.4</v>
      </c>
      <c r="E252" s="323"/>
      <c r="F252" s="2">
        <f>ROUND(D252*$C252,0)</f>
        <v>11672</v>
      </c>
      <c r="G252" s="326">
        <v>3.61</v>
      </c>
      <c r="H252" s="323"/>
      <c r="I252" s="2">
        <f>ROUND(G252*C252,0)</f>
        <v>12393</v>
      </c>
      <c r="J252" s="326">
        <f ca="1">$J$178</f>
        <v>3.77</v>
      </c>
      <c r="K252" s="323"/>
      <c r="L252" s="2">
        <f ca="1">ROUND(J252*$C252,0)</f>
        <v>12942</v>
      </c>
      <c r="M252" s="2"/>
      <c r="N252" s="326">
        <f ca="1">$N$178</f>
        <v>0.81</v>
      </c>
      <c r="O252" s="323"/>
      <c r="P252" s="2">
        <f ca="1">ROUND(N252*$C252,0)</f>
        <v>2781</v>
      </c>
      <c r="Q252" s="2"/>
      <c r="R252" s="326">
        <f ca="1">$R$178</f>
        <v>1.06</v>
      </c>
      <c r="S252" s="323"/>
      <c r="T252" s="2">
        <f ca="1">ROUND(R252*$C252,0)</f>
        <v>3639</v>
      </c>
      <c r="U252" s="2"/>
      <c r="V252" s="326">
        <f ca="1">$V$178</f>
        <v>1.9</v>
      </c>
      <c r="W252" s="323"/>
      <c r="X252" s="2">
        <f ca="1">ROUND(V252*$C252,0)</f>
        <v>6523</v>
      </c>
      <c r="Y252" s="20"/>
      <c r="Z252" s="74"/>
      <c r="AA252" s="74"/>
      <c r="AB252" s="74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U252" s="84"/>
    </row>
    <row r="253" spans="1:47" hidden="1">
      <c r="A253" s="1" t="s">
        <v>397</v>
      </c>
      <c r="B253" s="319"/>
      <c r="C253" s="319">
        <f>[47]Sheet1!$I$32+Temperature!P75*1000</f>
        <v>4790266.1001077108</v>
      </c>
      <c r="D253" s="299">
        <v>9.766</v>
      </c>
      <c r="E253" s="323" t="s">
        <v>374</v>
      </c>
      <c r="F253" s="2">
        <f>ROUND(D253*$C253/100,0)</f>
        <v>467817</v>
      </c>
      <c r="G253" s="299">
        <v>10.359</v>
      </c>
      <c r="H253" s="323" t="s">
        <v>374</v>
      </c>
      <c r="I253" s="2">
        <f>ROUND(G253*C253/100,0)</f>
        <v>496224</v>
      </c>
      <c r="J253" s="299">
        <f ca="1">$J$179</f>
        <v>6.282</v>
      </c>
      <c r="K253" s="323" t="s">
        <v>374</v>
      </c>
      <c r="L253" s="2">
        <f ca="1">ROUND(J253*$C253/100,0)</f>
        <v>300925</v>
      </c>
      <c r="M253" s="2"/>
      <c r="N253" s="299">
        <f ca="1">$N$179</f>
        <v>1.3483746810352102</v>
      </c>
      <c r="O253" s="323" t="s">
        <v>374</v>
      </c>
      <c r="P253" s="2">
        <f ca="1">ROUND(N253*$C253/100,0)</f>
        <v>64591</v>
      </c>
      <c r="Q253" s="2"/>
      <c r="R253" s="299">
        <f ca="1">$R$179</f>
        <v>1.7708525176705459</v>
      </c>
      <c r="S253" s="323" t="s">
        <v>374</v>
      </c>
      <c r="T253" s="2">
        <f ca="1">ROUND(R253*$C253/100,0)</f>
        <v>84829</v>
      </c>
      <c r="U253" s="2"/>
      <c r="V253" s="299">
        <f ca="1">$V$179</f>
        <v>3.162955363125258</v>
      </c>
      <c r="W253" s="323" t="s">
        <v>374</v>
      </c>
      <c r="X253" s="2">
        <f ca="1">ROUND(V253*$C253/100,0)</f>
        <v>151514</v>
      </c>
      <c r="Y253" s="473"/>
      <c r="Z253" s="74"/>
      <c r="AA253" s="74"/>
      <c r="AB253" s="74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U253" s="84"/>
    </row>
    <row r="254" spans="1:47" hidden="1">
      <c r="A254" s="1" t="s">
        <v>398</v>
      </c>
      <c r="B254" s="319"/>
      <c r="C254" s="319">
        <f>[47]Sheet1!$J$32+Temperature!Q75*1000</f>
        <v>1927075.6940961913</v>
      </c>
      <c r="D254" s="299">
        <v>6.7460000000000004</v>
      </c>
      <c r="E254" s="323" t="s">
        <v>374</v>
      </c>
      <c r="F254" s="2">
        <f>ROUND(D254*$C254/100,0)</f>
        <v>130001</v>
      </c>
      <c r="G254" s="299">
        <v>7.1559999999999997</v>
      </c>
      <c r="H254" s="323" t="s">
        <v>374</v>
      </c>
      <c r="I254" s="2">
        <f t="shared" ref="I254:I256" si="85">ROUND(G254*C254/100,0)</f>
        <v>137902</v>
      </c>
      <c r="J254" s="299">
        <f ca="1">$J$180</f>
        <v>4.3410000000000002</v>
      </c>
      <c r="K254" s="323" t="s">
        <v>374</v>
      </c>
      <c r="L254" s="2">
        <f ca="1">ROUND(J254*$C254/100,0)</f>
        <v>83654</v>
      </c>
      <c r="M254" s="2"/>
      <c r="N254" s="299">
        <f ca="1">$N$180</f>
        <v>0.93175626548296309</v>
      </c>
      <c r="O254" s="323" t="s">
        <v>374</v>
      </c>
      <c r="P254" s="2">
        <f ca="1">ROUND(N254*$C254/100,0)</f>
        <v>17956</v>
      </c>
      <c r="Q254" s="2"/>
      <c r="R254" s="299">
        <f ca="1">$R$180</f>
        <v>1.2240066282869231</v>
      </c>
      <c r="S254" s="323" t="s">
        <v>374</v>
      </c>
      <c r="T254" s="2">
        <f ca="1">ROUND(R254*$C254/100,0)</f>
        <v>23588</v>
      </c>
      <c r="U254" s="2"/>
      <c r="V254" s="299">
        <f ca="1">$V$180</f>
        <v>2.1849800075654815</v>
      </c>
      <c r="W254" s="323" t="s">
        <v>374</v>
      </c>
      <c r="X254" s="2">
        <f ca="1">ROUND(V254*$C254/100,0)</f>
        <v>42106</v>
      </c>
      <c r="Y254" s="473"/>
      <c r="Z254" s="74"/>
      <c r="AA254" s="74"/>
      <c r="AB254" s="74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U254" s="84"/>
    </row>
    <row r="255" spans="1:47" hidden="1">
      <c r="A255" s="1" t="s">
        <v>399</v>
      </c>
      <c r="B255" s="319"/>
      <c r="C255" s="319">
        <f>[47]Sheet1!$H$32-C254-C253+Temperature!O75*1000</f>
        <v>297732.95603028813</v>
      </c>
      <c r="D255" s="299">
        <v>5.8120000000000003</v>
      </c>
      <c r="E255" s="323" t="s">
        <v>374</v>
      </c>
      <c r="F255" s="2">
        <f>ROUND(D255*$C255/100,0)</f>
        <v>17304</v>
      </c>
      <c r="G255" s="299">
        <v>6.1660000000000004</v>
      </c>
      <c r="H255" s="323" t="s">
        <v>374</v>
      </c>
      <c r="I255" s="2">
        <f t="shared" si="85"/>
        <v>18358</v>
      </c>
      <c r="J255" s="299">
        <f ca="1">$J$181</f>
        <v>3.74</v>
      </c>
      <c r="K255" s="323" t="s">
        <v>374</v>
      </c>
      <c r="L255" s="2">
        <f ca="1">ROUND(J255*$C255/100,0)</f>
        <v>11135</v>
      </c>
      <c r="M255" s="2"/>
      <c r="N255" s="299">
        <f ca="1">$N$181</f>
        <v>0.80275718206159852</v>
      </c>
      <c r="O255" s="323" t="s">
        <v>374</v>
      </c>
      <c r="P255" s="2">
        <f ca="1">ROUND(N255*$C255/100,0)</f>
        <v>2390</v>
      </c>
      <c r="Q255" s="2"/>
      <c r="R255" s="299">
        <f ca="1">$R$181</f>
        <v>1.0536847359511734</v>
      </c>
      <c r="S255" s="323" t="s">
        <v>374</v>
      </c>
      <c r="T255" s="2">
        <f ca="1">ROUND(R255*$C255/100,0)</f>
        <v>3137</v>
      </c>
      <c r="U255" s="2"/>
      <c r="V255" s="299">
        <f ca="1">$V$181</f>
        <v>1.8834755557989509</v>
      </c>
      <c r="W255" s="323" t="s">
        <v>374</v>
      </c>
      <c r="X255" s="2">
        <f ca="1">ROUND(V255*$C255/100,0)</f>
        <v>5608</v>
      </c>
      <c r="Y255" s="473"/>
      <c r="Z255" s="74"/>
      <c r="AA255" s="74"/>
      <c r="AB255" s="74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U255" s="84"/>
    </row>
    <row r="256" spans="1:47" hidden="1">
      <c r="A256" s="1" t="s">
        <v>400</v>
      </c>
      <c r="B256" s="21"/>
      <c r="C256" s="319">
        <f>[47]Sheet1!$L$32</f>
        <v>15</v>
      </c>
      <c r="D256" s="330">
        <v>56</v>
      </c>
      <c r="E256" s="321" t="s">
        <v>374</v>
      </c>
      <c r="F256" s="2">
        <f>ROUND(D256*$C256/100,0)</f>
        <v>8</v>
      </c>
      <c r="G256" s="330">
        <v>56</v>
      </c>
      <c r="H256" s="323" t="s">
        <v>374</v>
      </c>
      <c r="I256" s="2">
        <f t="shared" si="85"/>
        <v>8</v>
      </c>
      <c r="J256" s="330">
        <f>$J$182</f>
        <v>56</v>
      </c>
      <c r="K256" s="323" t="s">
        <v>374</v>
      </c>
      <c r="L256" s="2">
        <f>ROUND(J256*$C256/100,0)</f>
        <v>8</v>
      </c>
      <c r="M256" s="2"/>
      <c r="N256" s="330" t="str">
        <f>$N$182</f>
        <v xml:space="preserve"> </v>
      </c>
      <c r="O256" s="323" t="s">
        <v>374</v>
      </c>
      <c r="P256" s="2">
        <f>ROUND(N256*$C256/100,0)</f>
        <v>0</v>
      </c>
      <c r="Q256" s="2"/>
      <c r="R256" s="330">
        <f ca="1">$R$182</f>
        <v>11</v>
      </c>
      <c r="S256" s="323" t="s">
        <v>374</v>
      </c>
      <c r="T256" s="2">
        <f ca="1">ROUND(R256*$C256/100,0)</f>
        <v>2</v>
      </c>
      <c r="U256" s="2"/>
      <c r="V256" s="330">
        <f ca="1">$V$182</f>
        <v>45</v>
      </c>
      <c r="W256" s="323" t="s">
        <v>374</v>
      </c>
      <c r="X256" s="2">
        <f ca="1">ROUND(V256*$C256/100,0)</f>
        <v>7</v>
      </c>
      <c r="Y256" s="20"/>
      <c r="Z256" s="74"/>
      <c r="AA256" s="74"/>
      <c r="AB256" s="74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U256" s="84"/>
    </row>
    <row r="257" spans="1:47" s="1184" customFormat="1" hidden="1">
      <c r="A257" s="1005" t="s">
        <v>1032</v>
      </c>
      <c r="C257" s="1202">
        <f>C253</f>
        <v>4790266.1001077108</v>
      </c>
      <c r="D257" s="269"/>
      <c r="E257" s="1185"/>
      <c r="F257" s="1203"/>
      <c r="G257" s="269"/>
      <c r="H257" s="1185"/>
      <c r="I257" s="1203"/>
      <c r="J257" s="1230">
        <f>J183</f>
        <v>4.5289999999999999</v>
      </c>
      <c r="K257" s="1009" t="s">
        <v>374</v>
      </c>
      <c r="L257" s="1203">
        <f t="shared" ref="L257:L259" si="86">ROUND(J257*$C257/100,0)</f>
        <v>216951</v>
      </c>
      <c r="M257" s="1203"/>
      <c r="N257" s="1230" t="str">
        <f>N183</f>
        <v xml:space="preserve"> </v>
      </c>
      <c r="O257" s="1009" t="s">
        <v>374</v>
      </c>
      <c r="P257" s="1203">
        <f t="shared" ref="P257:P259" si="87">ROUND(N257*$C257/100,0)</f>
        <v>0</v>
      </c>
      <c r="Q257" s="1203"/>
      <c r="R257" s="1230" t="str">
        <f>R183</f>
        <v xml:space="preserve"> </v>
      </c>
      <c r="S257" s="1009" t="s">
        <v>374</v>
      </c>
      <c r="T257" s="1203">
        <f t="shared" ref="T257:T259" si="88">ROUND(R257*$C257/100,0)</f>
        <v>0</v>
      </c>
      <c r="U257" s="1203"/>
      <c r="V257" s="1230">
        <f>V183</f>
        <v>4.5289999999999999</v>
      </c>
      <c r="W257" s="1009" t="s">
        <v>374</v>
      </c>
      <c r="X257" s="1203">
        <f t="shared" ref="X257:X259" si="89">ROUND(V257*$C257/100,0)</f>
        <v>216951</v>
      </c>
      <c r="Z257" s="815"/>
      <c r="AC257" s="1205"/>
      <c r="AD257" s="1205"/>
      <c r="AI257" s="1185"/>
      <c r="AJ257" s="1185"/>
      <c r="AK257" s="1185"/>
      <c r="AL257" s="1185"/>
      <c r="AM257" s="1185"/>
      <c r="AN257" s="1185"/>
      <c r="AO257" s="1185"/>
      <c r="AP257" s="1185"/>
      <c r="AQ257" s="1185"/>
      <c r="AR257" s="1185"/>
      <c r="AS257" s="1185"/>
      <c r="AU257" s="1204"/>
    </row>
    <row r="258" spans="1:47" s="1184" customFormat="1" hidden="1">
      <c r="A258" s="1005" t="s">
        <v>1033</v>
      </c>
      <c r="C258" s="1202">
        <f>C254</f>
        <v>1927075.6940961913</v>
      </c>
      <c r="D258" s="269"/>
      <c r="E258" s="1185"/>
      <c r="F258" s="1203"/>
      <c r="G258" s="269"/>
      <c r="H258" s="1185"/>
      <c r="I258" s="1203"/>
      <c r="J258" s="1230">
        <f>J184</f>
        <v>3.1270000000000002</v>
      </c>
      <c r="K258" s="1009" t="s">
        <v>374</v>
      </c>
      <c r="L258" s="1203">
        <f t="shared" si="86"/>
        <v>60260</v>
      </c>
      <c r="M258" s="1203"/>
      <c r="N258" s="1230" t="str">
        <f>N184</f>
        <v xml:space="preserve"> </v>
      </c>
      <c r="O258" s="1009" t="s">
        <v>374</v>
      </c>
      <c r="P258" s="1203">
        <f t="shared" si="87"/>
        <v>0</v>
      </c>
      <c r="Q258" s="1203"/>
      <c r="R258" s="1230" t="str">
        <f>R184</f>
        <v xml:space="preserve"> </v>
      </c>
      <c r="S258" s="1009" t="s">
        <v>374</v>
      </c>
      <c r="T258" s="1203">
        <f t="shared" si="88"/>
        <v>0</v>
      </c>
      <c r="U258" s="1203"/>
      <c r="V258" s="1230">
        <f>V184</f>
        <v>3.1270000000000002</v>
      </c>
      <c r="W258" s="1009" t="s">
        <v>374</v>
      </c>
      <c r="X258" s="1203">
        <f t="shared" si="89"/>
        <v>60260</v>
      </c>
      <c r="Z258" s="815"/>
      <c r="AC258" s="1205"/>
      <c r="AD258" s="1205"/>
      <c r="AI258" s="1185"/>
      <c r="AJ258" s="1185"/>
      <c r="AK258" s="1185"/>
      <c r="AL258" s="1185"/>
      <c r="AM258" s="1185"/>
      <c r="AN258" s="1185"/>
      <c r="AO258" s="1185"/>
      <c r="AP258" s="1185"/>
      <c r="AQ258" s="1185"/>
      <c r="AR258" s="1185"/>
      <c r="AS258" s="1185"/>
      <c r="AU258" s="1204"/>
    </row>
    <row r="259" spans="1:47" s="1184" customFormat="1" hidden="1">
      <c r="A259" s="1005" t="s">
        <v>1034</v>
      </c>
      <c r="C259" s="1202">
        <f>C255</f>
        <v>297732.95603028813</v>
      </c>
      <c r="D259" s="269"/>
      <c r="E259" s="1185"/>
      <c r="F259" s="1203"/>
      <c r="G259" s="269"/>
      <c r="H259" s="1185"/>
      <c r="I259" s="1203"/>
      <c r="J259" s="1230">
        <f>J185</f>
        <v>2.6950000000000003</v>
      </c>
      <c r="K259" s="1009" t="s">
        <v>374</v>
      </c>
      <c r="L259" s="1203">
        <f t="shared" si="86"/>
        <v>8024</v>
      </c>
      <c r="M259" s="1203"/>
      <c r="N259" s="1230" t="str">
        <f>N185</f>
        <v xml:space="preserve"> </v>
      </c>
      <c r="O259" s="1009" t="s">
        <v>374</v>
      </c>
      <c r="P259" s="1203">
        <f t="shared" si="87"/>
        <v>0</v>
      </c>
      <c r="Q259" s="1203"/>
      <c r="R259" s="1230" t="str">
        <f>R185</f>
        <v xml:space="preserve"> </v>
      </c>
      <c r="S259" s="1009" t="s">
        <v>374</v>
      </c>
      <c r="T259" s="1203">
        <f t="shared" si="88"/>
        <v>0</v>
      </c>
      <c r="U259" s="1203"/>
      <c r="V259" s="1230">
        <f>V185</f>
        <v>2.6950000000000003</v>
      </c>
      <c r="W259" s="1009" t="s">
        <v>374</v>
      </c>
      <c r="X259" s="1203">
        <f t="shared" si="89"/>
        <v>8024</v>
      </c>
      <c r="Z259" s="815"/>
      <c r="AC259" s="1205"/>
      <c r="AD259" s="1205"/>
      <c r="AI259" s="1185"/>
      <c r="AJ259" s="1185"/>
      <c r="AK259" s="1185"/>
      <c r="AL259" s="1185"/>
      <c r="AM259" s="1185"/>
      <c r="AN259" s="1185"/>
      <c r="AO259" s="1185"/>
      <c r="AP259" s="1185"/>
      <c r="AQ259" s="1185"/>
      <c r="AR259" s="1185"/>
      <c r="AS259" s="1185"/>
      <c r="AU259" s="1204"/>
    </row>
    <row r="260" spans="1:47" hidden="1">
      <c r="A260" s="331" t="s">
        <v>401</v>
      </c>
      <c r="B260" s="21"/>
      <c r="C260" s="319"/>
      <c r="D260" s="332">
        <v>-0.01</v>
      </c>
      <c r="E260" s="321"/>
      <c r="F260" s="2"/>
      <c r="G260" s="332">
        <v>-0.01</v>
      </c>
      <c r="H260" s="323"/>
      <c r="I260" s="2"/>
      <c r="J260" s="332">
        <v>-0.01</v>
      </c>
      <c r="K260" s="323"/>
      <c r="L260" s="2"/>
      <c r="M260" s="2"/>
      <c r="N260" s="332">
        <v>-0.01</v>
      </c>
      <c r="O260" s="323"/>
      <c r="P260" s="2"/>
      <c r="Q260" s="2"/>
      <c r="R260" s="332">
        <v>-0.01</v>
      </c>
      <c r="S260" s="323"/>
      <c r="T260" s="2"/>
      <c r="U260" s="2"/>
      <c r="V260" s="332">
        <v>-0.01</v>
      </c>
      <c r="W260" s="323"/>
      <c r="X260" s="2"/>
      <c r="Y260" s="20"/>
      <c r="Z260" s="74"/>
      <c r="AA260" s="74"/>
      <c r="AB260" s="74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U260" s="84"/>
    </row>
    <row r="261" spans="1:47" hidden="1">
      <c r="A261" s="1" t="s">
        <v>390</v>
      </c>
      <c r="B261" s="1"/>
      <c r="C261" s="319">
        <v>0</v>
      </c>
      <c r="D261" s="334">
        <v>8.7100000000000009</v>
      </c>
      <c r="E261" s="321"/>
      <c r="F261" s="2">
        <f>-ROUND(D261*$C261/100,0)</f>
        <v>0</v>
      </c>
      <c r="G261" s="334">
        <v>8.7100000000000009</v>
      </c>
      <c r="H261" s="321"/>
      <c r="I261" s="2">
        <f>-ROUND(G261*$C261/100,0)</f>
        <v>0</v>
      </c>
      <c r="J261" s="334">
        <f>J248</f>
        <v>10</v>
      </c>
      <c r="K261" s="321"/>
      <c r="L261" s="2">
        <f>-ROUND(J261*$C261/100,0)</f>
        <v>0</v>
      </c>
      <c r="M261" s="2"/>
      <c r="N261" s="334">
        <f>N248</f>
        <v>10</v>
      </c>
      <c r="O261" s="321"/>
      <c r="P261" s="2">
        <f>-ROUND(N261*$C261/100,0)</f>
        <v>0</v>
      </c>
      <c r="Q261" s="2"/>
      <c r="R261" s="334" t="str">
        <f>R248</f>
        <v xml:space="preserve"> </v>
      </c>
      <c r="S261" s="321"/>
      <c r="T261" s="2">
        <f>-ROUND(R261*$C261/100,0)</f>
        <v>0</v>
      </c>
      <c r="U261" s="2"/>
      <c r="V261" s="334" t="str">
        <f>V248</f>
        <v xml:space="preserve"> </v>
      </c>
      <c r="W261" s="321"/>
      <c r="X261" s="2">
        <f>-ROUND(V261*$C261/100,0)</f>
        <v>0</v>
      </c>
      <c r="Y261" s="20"/>
      <c r="Z261" s="74"/>
      <c r="AA261" s="74"/>
      <c r="AB261" s="74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U261" s="84"/>
    </row>
    <row r="262" spans="1:47" hidden="1">
      <c r="A262" s="1" t="s">
        <v>391</v>
      </c>
      <c r="B262" s="1"/>
      <c r="C262" s="319">
        <v>9</v>
      </c>
      <c r="D262" s="334">
        <v>12.98</v>
      </c>
      <c r="E262" s="321"/>
      <c r="F262" s="2">
        <f>-ROUND(D262*$C262/100,0)</f>
        <v>-1</v>
      </c>
      <c r="G262" s="334">
        <v>12.98</v>
      </c>
      <c r="H262" s="321"/>
      <c r="I262" s="2">
        <f t="shared" ref="I262:I264" si="90">-ROUND(G262*$C262/100,0)</f>
        <v>-1</v>
      </c>
      <c r="J262" s="334">
        <f>J249</f>
        <v>15</v>
      </c>
      <c r="K262" s="321"/>
      <c r="L262" s="2">
        <f>-ROUND(J262*$C262/100,0)</f>
        <v>-1</v>
      </c>
      <c r="M262" s="2"/>
      <c r="N262" s="334">
        <f>N249</f>
        <v>15</v>
      </c>
      <c r="O262" s="321"/>
      <c r="P262" s="2">
        <f>-ROUND(N262*$C262/100,0)</f>
        <v>-1</v>
      </c>
      <c r="Q262" s="2"/>
      <c r="R262" s="334" t="str">
        <f>R249</f>
        <v xml:space="preserve"> </v>
      </c>
      <c r="S262" s="321"/>
      <c r="T262" s="2">
        <f>-ROUND(R262*$C262/100,0)</f>
        <v>0</v>
      </c>
      <c r="U262" s="2"/>
      <c r="V262" s="334" t="str">
        <f>V249</f>
        <v xml:space="preserve"> </v>
      </c>
      <c r="W262" s="321"/>
      <c r="X262" s="2">
        <f>-ROUND(V262*$C262/100,0)</f>
        <v>0</v>
      </c>
      <c r="Y262" s="20"/>
      <c r="Z262" s="74"/>
      <c r="AA262" s="74"/>
      <c r="AB262" s="74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U262" s="84"/>
    </row>
    <row r="263" spans="1:47" hidden="1">
      <c r="A263" s="1" t="s">
        <v>402</v>
      </c>
      <c r="B263" s="1"/>
      <c r="C263" s="319">
        <v>0</v>
      </c>
      <c r="D263" s="334">
        <v>0.92</v>
      </c>
      <c r="E263" s="321"/>
      <c r="F263" s="2">
        <f>-ROUND(D263*$C263/100,0)</f>
        <v>0</v>
      </c>
      <c r="G263" s="334">
        <v>0.92</v>
      </c>
      <c r="H263" s="321"/>
      <c r="I263" s="2">
        <f t="shared" si="90"/>
        <v>0</v>
      </c>
      <c r="J263" s="334">
        <f>J250</f>
        <v>1</v>
      </c>
      <c r="K263" s="321"/>
      <c r="L263" s="2">
        <f>-ROUND(J263*$C263/100,0)</f>
        <v>0</v>
      </c>
      <c r="M263" s="2"/>
      <c r="N263" s="334">
        <f>N250</f>
        <v>1</v>
      </c>
      <c r="O263" s="321"/>
      <c r="P263" s="2">
        <f>-ROUND(N263*$C263/100,0)</f>
        <v>0</v>
      </c>
      <c r="Q263" s="2"/>
      <c r="R263" s="334" t="str">
        <f>R250</f>
        <v xml:space="preserve"> </v>
      </c>
      <c r="S263" s="321"/>
      <c r="T263" s="2">
        <f>-ROUND(R263*$C263/100,0)</f>
        <v>0</v>
      </c>
      <c r="U263" s="2"/>
      <c r="V263" s="334" t="str">
        <f>V250</f>
        <v xml:space="preserve"> </v>
      </c>
      <c r="W263" s="321"/>
      <c r="X263" s="2">
        <f>-ROUND(V263*$C263/100,0)</f>
        <v>0</v>
      </c>
      <c r="Y263" s="20"/>
      <c r="Z263" s="74"/>
      <c r="AA263" s="74"/>
      <c r="AB263" s="74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U263" s="84"/>
    </row>
    <row r="264" spans="1:47" hidden="1">
      <c r="A264" s="1" t="s">
        <v>413</v>
      </c>
      <c r="B264" s="1"/>
      <c r="C264" s="319">
        <f>0</f>
        <v>0</v>
      </c>
      <c r="D264" s="334">
        <v>3.4</v>
      </c>
      <c r="E264" s="323"/>
      <c r="F264" s="2">
        <f>-ROUND(D264*$C264/100,0)</f>
        <v>0</v>
      </c>
      <c r="G264" s="334">
        <v>3.61</v>
      </c>
      <c r="H264" s="323"/>
      <c r="I264" s="2">
        <f t="shared" si="90"/>
        <v>0</v>
      </c>
      <c r="J264" s="334">
        <f ca="1">J252</f>
        <v>3.77</v>
      </c>
      <c r="K264" s="323"/>
      <c r="L264" s="2">
        <f ca="1">-ROUND(J264*$C264/100,0)</f>
        <v>0</v>
      </c>
      <c r="M264" s="2"/>
      <c r="N264" s="334">
        <f ca="1">N252</f>
        <v>0.81</v>
      </c>
      <c r="O264" s="323"/>
      <c r="P264" s="2">
        <f ca="1">-ROUND(N264*$C264/100,0)</f>
        <v>0</v>
      </c>
      <c r="Q264" s="2"/>
      <c r="R264" s="334">
        <f ca="1">R252</f>
        <v>1.06</v>
      </c>
      <c r="S264" s="323"/>
      <c r="T264" s="2">
        <f ca="1">-ROUND(R264*$C264/100,0)</f>
        <v>0</v>
      </c>
      <c r="U264" s="2"/>
      <c r="V264" s="334">
        <f ca="1">V252</f>
        <v>1.9</v>
      </c>
      <c r="W264" s="323"/>
      <c r="X264" s="2">
        <f ca="1">-ROUND(V264*$C264/100,0)</f>
        <v>0</v>
      </c>
      <c r="Y264" s="20"/>
      <c r="Z264" s="74"/>
      <c r="AA264" s="74"/>
      <c r="AB264" s="74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U264" s="84"/>
    </row>
    <row r="265" spans="1:47" hidden="1">
      <c r="A265" s="1" t="s">
        <v>405</v>
      </c>
      <c r="B265" s="1"/>
      <c r="C265" s="319">
        <v>0</v>
      </c>
      <c r="D265" s="335">
        <v>9.766</v>
      </c>
      <c r="E265" s="323" t="s">
        <v>374</v>
      </c>
      <c r="F265" s="2">
        <f>ROUND(D265*$C265/100*D260,0)</f>
        <v>0</v>
      </c>
      <c r="G265" s="335">
        <v>10.359</v>
      </c>
      <c r="H265" s="323" t="s">
        <v>374</v>
      </c>
      <c r="I265" s="2">
        <f>ROUND(G265*$C265/100*G260,0)</f>
        <v>0</v>
      </c>
      <c r="J265" s="335">
        <f ca="1">J253</f>
        <v>6.282</v>
      </c>
      <c r="K265" s="323" t="s">
        <v>374</v>
      </c>
      <c r="L265" s="2">
        <f ca="1">ROUND(J265*$C265/100*J260,0)</f>
        <v>0</v>
      </c>
      <c r="M265" s="2"/>
      <c r="N265" s="335">
        <f ca="1">N253</f>
        <v>1.3483746810352102</v>
      </c>
      <c r="O265" s="323" t="s">
        <v>374</v>
      </c>
      <c r="P265" s="2">
        <f ca="1">ROUND(N265*$C265/100*N260,0)</f>
        <v>0</v>
      </c>
      <c r="Q265" s="2"/>
      <c r="R265" s="335">
        <f ca="1">R253</f>
        <v>1.7708525176705459</v>
      </c>
      <c r="S265" s="323" t="s">
        <v>374</v>
      </c>
      <c r="T265" s="2">
        <f ca="1">ROUND(R265*$C265/100*R260,0)</f>
        <v>0</v>
      </c>
      <c r="U265" s="2"/>
      <c r="V265" s="335">
        <f ca="1">V253</f>
        <v>3.162955363125258</v>
      </c>
      <c r="W265" s="323" t="s">
        <v>374</v>
      </c>
      <c r="X265" s="2">
        <f ca="1">ROUND(V265*$C265/100*V260,0)</f>
        <v>0</v>
      </c>
      <c r="Y265" s="20"/>
      <c r="Z265" s="74"/>
      <c r="AA265" s="74"/>
      <c r="AB265" s="74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U265" s="84"/>
    </row>
    <row r="266" spans="1:47" hidden="1">
      <c r="A266" s="1" t="s">
        <v>398</v>
      </c>
      <c r="B266" s="1"/>
      <c r="C266" s="319">
        <v>0</v>
      </c>
      <c r="D266" s="335">
        <v>6.7460000000000004</v>
      </c>
      <c r="E266" s="323" t="s">
        <v>374</v>
      </c>
      <c r="F266" s="2">
        <f>ROUND(D266*$C266/100*D260,0)</f>
        <v>0</v>
      </c>
      <c r="G266" s="335">
        <v>7.1559999999999997</v>
      </c>
      <c r="H266" s="323" t="s">
        <v>374</v>
      </c>
      <c r="I266" s="2">
        <f>ROUND(G266*$C266/100*G260,0)</f>
        <v>0</v>
      </c>
      <c r="J266" s="335">
        <f ca="1">J254</f>
        <v>4.3410000000000002</v>
      </c>
      <c r="K266" s="323" t="s">
        <v>374</v>
      </c>
      <c r="L266" s="2">
        <f ca="1">ROUND(J266*$C266/100*J260,0)</f>
        <v>0</v>
      </c>
      <c r="M266" s="2"/>
      <c r="N266" s="335">
        <f ca="1">N254</f>
        <v>0.93175626548296309</v>
      </c>
      <c r="O266" s="323" t="s">
        <v>374</v>
      </c>
      <c r="P266" s="2">
        <f ca="1">ROUND(N266*$C266/100*N260,0)</f>
        <v>0</v>
      </c>
      <c r="Q266" s="2"/>
      <c r="R266" s="335">
        <f ca="1">R254</f>
        <v>1.2240066282869231</v>
      </c>
      <c r="S266" s="323" t="s">
        <v>374</v>
      </c>
      <c r="T266" s="2">
        <f ca="1">ROUND(R266*$C266/100*R260,0)</f>
        <v>0</v>
      </c>
      <c r="U266" s="2"/>
      <c r="V266" s="335">
        <f ca="1">V254</f>
        <v>2.1849800075654815</v>
      </c>
      <c r="W266" s="323" t="s">
        <v>374</v>
      </c>
      <c r="X266" s="2">
        <f ca="1">ROUND(V266*$C266/100*V260,0)</f>
        <v>0</v>
      </c>
      <c r="Y266" s="20"/>
      <c r="Z266" s="74"/>
      <c r="AA266" s="74"/>
      <c r="AB266" s="74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U266" s="84"/>
    </row>
    <row r="267" spans="1:47" hidden="1">
      <c r="A267" s="1" t="s">
        <v>399</v>
      </c>
      <c r="B267" s="1"/>
      <c r="C267" s="319">
        <v>0</v>
      </c>
      <c r="D267" s="335">
        <v>5.8120000000000003</v>
      </c>
      <c r="E267" s="323" t="s">
        <v>374</v>
      </c>
      <c r="F267" s="2">
        <f>ROUND(D267*$C267/100*D260,0)</f>
        <v>0</v>
      </c>
      <c r="G267" s="335">
        <v>6.1660000000000004</v>
      </c>
      <c r="H267" s="323" t="s">
        <v>374</v>
      </c>
      <c r="I267" s="2">
        <f>ROUND(G267*$C267/100*G260,0)</f>
        <v>0</v>
      </c>
      <c r="J267" s="335">
        <f ca="1">J255</f>
        <v>3.74</v>
      </c>
      <c r="K267" s="323" t="s">
        <v>374</v>
      </c>
      <c r="L267" s="2">
        <f ca="1">ROUND(J267*$C267/100*J260,0)</f>
        <v>0</v>
      </c>
      <c r="M267" s="2"/>
      <c r="N267" s="335">
        <f ca="1">N255</f>
        <v>0.80275718206159852</v>
      </c>
      <c r="O267" s="323" t="s">
        <v>374</v>
      </c>
      <c r="P267" s="2">
        <f ca="1">ROUND(N267*$C267/100*N260,0)</f>
        <v>0</v>
      </c>
      <c r="Q267" s="2"/>
      <c r="R267" s="335">
        <f ca="1">R255</f>
        <v>1.0536847359511734</v>
      </c>
      <c r="S267" s="323" t="s">
        <v>374</v>
      </c>
      <c r="T267" s="2">
        <f ca="1">ROUND(R267*$C267/100*R260,0)</f>
        <v>0</v>
      </c>
      <c r="U267" s="2"/>
      <c r="V267" s="335">
        <f ca="1">V255</f>
        <v>1.8834755557989509</v>
      </c>
      <c r="W267" s="323" t="s">
        <v>374</v>
      </c>
      <c r="X267" s="2">
        <f ca="1">ROUND(V267*$C267/100*V260,0)</f>
        <v>0</v>
      </c>
      <c r="Y267" s="20"/>
      <c r="Z267" s="74"/>
      <c r="AA267" s="74"/>
      <c r="AB267" s="74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U267" s="84"/>
    </row>
    <row r="268" spans="1:47" hidden="1">
      <c r="A268" s="1" t="s">
        <v>400</v>
      </c>
      <c r="B268" s="1"/>
      <c r="C268" s="319">
        <v>0</v>
      </c>
      <c r="D268" s="336">
        <v>56</v>
      </c>
      <c r="E268" s="323" t="s">
        <v>374</v>
      </c>
      <c r="F268" s="2">
        <f>ROUND(D268*$C268/100*D260,0)</f>
        <v>0</v>
      </c>
      <c r="G268" s="336">
        <v>56</v>
      </c>
      <c r="H268" s="323" t="s">
        <v>374</v>
      </c>
      <c r="I268" s="2">
        <f>ROUND(G268*$C268/100*G260,0)</f>
        <v>0</v>
      </c>
      <c r="J268" s="336">
        <f>J256</f>
        <v>56</v>
      </c>
      <c r="K268" s="323" t="s">
        <v>374</v>
      </c>
      <c r="L268" s="2">
        <f>ROUND(J268*$C268/100*J260,0)</f>
        <v>0</v>
      </c>
      <c r="M268" s="2"/>
      <c r="N268" s="336" t="str">
        <f>N256</f>
        <v xml:space="preserve"> </v>
      </c>
      <c r="O268" s="323" t="s">
        <v>374</v>
      </c>
      <c r="P268" s="2">
        <f>ROUND(N268*$C268/100*N260,0)</f>
        <v>0</v>
      </c>
      <c r="Q268" s="2"/>
      <c r="R268" s="336">
        <f ca="1">R256</f>
        <v>11</v>
      </c>
      <c r="S268" s="323" t="s">
        <v>374</v>
      </c>
      <c r="T268" s="2">
        <f ca="1">ROUND(R268*$C268/100*R260,0)</f>
        <v>0</v>
      </c>
      <c r="U268" s="2"/>
      <c r="V268" s="336">
        <f ca="1">V256</f>
        <v>45</v>
      </c>
      <c r="W268" s="323" t="s">
        <v>374</v>
      </c>
      <c r="X268" s="2">
        <f ca="1">ROUND(V268*$C268/100*V260,0)</f>
        <v>0</v>
      </c>
      <c r="Y268" s="20"/>
      <c r="Z268" s="74"/>
      <c r="AA268" s="74"/>
      <c r="AB268" s="74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U268" s="84"/>
    </row>
    <row r="269" spans="1:47" hidden="1">
      <c r="A269" s="1" t="s">
        <v>407</v>
      </c>
      <c r="B269" s="1"/>
      <c r="C269" s="319">
        <v>0</v>
      </c>
      <c r="D269" s="337">
        <v>60</v>
      </c>
      <c r="E269" s="321"/>
      <c r="F269" s="2">
        <f>ROUND(D269*$C269,0)</f>
        <v>0</v>
      </c>
      <c r="G269" s="337">
        <v>60</v>
      </c>
      <c r="H269" s="323"/>
      <c r="I269" s="2">
        <f>ROUND(G269*C269,0)</f>
        <v>0</v>
      </c>
      <c r="J269" s="337">
        <f>$J$198</f>
        <v>60</v>
      </c>
      <c r="K269" s="323"/>
      <c r="L269" s="2">
        <f>ROUND(J269*$C269,0)</f>
        <v>0</v>
      </c>
      <c r="M269" s="2"/>
      <c r="N269" s="337" t="str">
        <f>$N$198</f>
        <v xml:space="preserve"> </v>
      </c>
      <c r="O269" s="323"/>
      <c r="P269" s="2">
        <f>ROUND(N269*$C269,0)</f>
        <v>0</v>
      </c>
      <c r="Q269" s="2"/>
      <c r="R269" s="337">
        <f ca="1">$R$198</f>
        <v>11.86</v>
      </c>
      <c r="S269" s="323"/>
      <c r="T269" s="2">
        <f ca="1">ROUND(R269*$C269,0)</f>
        <v>0</v>
      </c>
      <c r="U269" s="2"/>
      <c r="V269" s="337">
        <f ca="1">$V$198</f>
        <v>48.14</v>
      </c>
      <c r="W269" s="323"/>
      <c r="X269" s="2">
        <f ca="1">ROUND(V269*$C269,0)</f>
        <v>0</v>
      </c>
      <c r="Y269" s="20"/>
      <c r="Z269" s="74"/>
      <c r="AA269" s="74"/>
      <c r="AB269" s="74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U269" s="84"/>
    </row>
    <row r="270" spans="1:47" hidden="1">
      <c r="A270" s="1" t="s">
        <v>408</v>
      </c>
      <c r="B270" s="1"/>
      <c r="C270" s="319">
        <v>0</v>
      </c>
      <c r="D270" s="339">
        <v>-30</v>
      </c>
      <c r="E270" s="321" t="s">
        <v>374</v>
      </c>
      <c r="F270" s="2">
        <f>ROUND(D270*$C270/100,0)</f>
        <v>0</v>
      </c>
      <c r="G270" s="339">
        <v>-30</v>
      </c>
      <c r="H270" s="323" t="s">
        <v>374</v>
      </c>
      <c r="I270" s="2">
        <f>ROUND(G270*C270/100,0)</f>
        <v>0</v>
      </c>
      <c r="J270" s="339">
        <f>$J$199</f>
        <v>-30</v>
      </c>
      <c r="K270" s="323" t="s">
        <v>374</v>
      </c>
      <c r="L270" s="2">
        <f>ROUND(J270*$C270/100,0)</f>
        <v>0</v>
      </c>
      <c r="M270" s="2"/>
      <c r="N270" s="339">
        <f>$N$199</f>
        <v>-30</v>
      </c>
      <c r="O270" s="323" t="s">
        <v>374</v>
      </c>
      <c r="P270" s="2">
        <f>ROUND(N270*$C270/100,0)</f>
        <v>0</v>
      </c>
      <c r="Q270" s="2"/>
      <c r="R270" s="339" t="str">
        <f>$R$199</f>
        <v xml:space="preserve"> </v>
      </c>
      <c r="S270" s="323" t="s">
        <v>374</v>
      </c>
      <c r="T270" s="2">
        <f>ROUND(R270*$C270/100,0)</f>
        <v>0</v>
      </c>
      <c r="U270" s="2"/>
      <c r="V270" s="339" t="str">
        <f>$V$199</f>
        <v xml:space="preserve"> </v>
      </c>
      <c r="W270" s="323" t="s">
        <v>374</v>
      </c>
      <c r="X270" s="2">
        <f>ROUND(V270*$C270/100,0)</f>
        <v>0</v>
      </c>
      <c r="Y270" s="20"/>
      <c r="Z270" s="74"/>
      <c r="AA270" s="74"/>
      <c r="AB270" s="74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U270" s="84"/>
    </row>
    <row r="271" spans="1:47" s="1184" customFormat="1" hidden="1">
      <c r="A271" s="1005" t="s">
        <v>1032</v>
      </c>
      <c r="C271" s="1202">
        <f>C253</f>
        <v>4790266.1001077108</v>
      </c>
      <c r="D271" s="269"/>
      <c r="E271" s="1185"/>
      <c r="F271" s="1203"/>
      <c r="G271" s="269"/>
      <c r="H271" s="1185"/>
      <c r="I271" s="1203"/>
      <c r="J271" s="1230">
        <f>J183</f>
        <v>4.5289999999999999</v>
      </c>
      <c r="K271" s="1009" t="s">
        <v>374</v>
      </c>
      <c r="L271" s="1203">
        <f>ROUND(J271*$C271/100*J260,0)</f>
        <v>-2170</v>
      </c>
      <c r="M271" s="1203"/>
      <c r="N271" s="1230" t="str">
        <f>N183</f>
        <v xml:space="preserve"> </v>
      </c>
      <c r="O271" s="1009" t="s">
        <v>374</v>
      </c>
      <c r="P271" s="1203">
        <f>ROUND(N271*$C271/100*N260,0)</f>
        <v>0</v>
      </c>
      <c r="Q271" s="1203"/>
      <c r="R271" s="1230" t="str">
        <f>R183</f>
        <v xml:space="preserve"> </v>
      </c>
      <c r="S271" s="1009" t="s">
        <v>374</v>
      </c>
      <c r="T271" s="1203">
        <f>ROUND(R271*$C271/100*R260,0)</f>
        <v>0</v>
      </c>
      <c r="U271" s="1203"/>
      <c r="V271" s="1230">
        <f>V183</f>
        <v>4.5289999999999999</v>
      </c>
      <c r="W271" s="1009" t="s">
        <v>374</v>
      </c>
      <c r="X271" s="1203">
        <f>ROUND(V271*$C271/100*V260,0)</f>
        <v>-2170</v>
      </c>
      <c r="Z271" s="815"/>
      <c r="AC271" s="1205"/>
      <c r="AD271" s="1205"/>
      <c r="AI271" s="1185"/>
      <c r="AJ271" s="1185"/>
      <c r="AK271" s="1185"/>
      <c r="AL271" s="1185"/>
      <c r="AM271" s="1185"/>
      <c r="AN271" s="1185"/>
      <c r="AO271" s="1185"/>
      <c r="AP271" s="1185"/>
      <c r="AQ271" s="1185"/>
      <c r="AR271" s="1185"/>
      <c r="AS271" s="1185"/>
      <c r="AU271" s="1204"/>
    </row>
    <row r="272" spans="1:47" s="1184" customFormat="1" hidden="1">
      <c r="A272" s="1005" t="s">
        <v>1033</v>
      </c>
      <c r="C272" s="1202">
        <f>C254</f>
        <v>1927075.6940961913</v>
      </c>
      <c r="D272" s="269"/>
      <c r="E272" s="1185"/>
      <c r="F272" s="1203"/>
      <c r="G272" s="269"/>
      <c r="H272" s="1185"/>
      <c r="I272" s="1203"/>
      <c r="J272" s="1230">
        <f>J184</f>
        <v>3.1270000000000002</v>
      </c>
      <c r="K272" s="1009" t="s">
        <v>374</v>
      </c>
      <c r="L272" s="1203">
        <f>ROUND(J272*$C272/100*J260,0)</f>
        <v>-603</v>
      </c>
      <c r="M272" s="1203"/>
      <c r="N272" s="1230" t="str">
        <f>N184</f>
        <v xml:space="preserve"> </v>
      </c>
      <c r="O272" s="1009" t="s">
        <v>374</v>
      </c>
      <c r="P272" s="1203">
        <f>ROUND(N272*$C272/100*N260,0)</f>
        <v>0</v>
      </c>
      <c r="Q272" s="1203"/>
      <c r="R272" s="1230" t="str">
        <f>R184</f>
        <v xml:space="preserve"> </v>
      </c>
      <c r="S272" s="1009" t="s">
        <v>374</v>
      </c>
      <c r="T272" s="1203">
        <f>ROUND(R272*$C272/100*R260,0)</f>
        <v>0</v>
      </c>
      <c r="U272" s="1203"/>
      <c r="V272" s="1230">
        <f>V184</f>
        <v>3.1270000000000002</v>
      </c>
      <c r="W272" s="1009" t="s">
        <v>374</v>
      </c>
      <c r="X272" s="1203">
        <f>ROUND(V272*$C272/100*V260,0)</f>
        <v>-603</v>
      </c>
      <c r="Z272" s="815"/>
      <c r="AC272" s="1205"/>
      <c r="AD272" s="1205"/>
      <c r="AI272" s="1185"/>
      <c r="AJ272" s="1185"/>
      <c r="AK272" s="1185"/>
      <c r="AL272" s="1185"/>
      <c r="AM272" s="1185"/>
      <c r="AN272" s="1185"/>
      <c r="AO272" s="1185"/>
      <c r="AP272" s="1185"/>
      <c r="AQ272" s="1185"/>
      <c r="AR272" s="1185"/>
      <c r="AS272" s="1185"/>
      <c r="AU272" s="1204"/>
    </row>
    <row r="273" spans="1:47" s="1184" customFormat="1" hidden="1">
      <c r="A273" s="1005" t="s">
        <v>1034</v>
      </c>
      <c r="C273" s="1202">
        <f>C255</f>
        <v>297732.95603028813</v>
      </c>
      <c r="D273" s="269"/>
      <c r="E273" s="1185"/>
      <c r="F273" s="1203"/>
      <c r="G273" s="269"/>
      <c r="H273" s="1185"/>
      <c r="I273" s="1203"/>
      <c r="J273" s="1230">
        <f>J185</f>
        <v>2.6950000000000003</v>
      </c>
      <c r="K273" s="1009" t="s">
        <v>374</v>
      </c>
      <c r="L273" s="1203">
        <f>ROUND(J273*$C273/100*J260,0)</f>
        <v>-80</v>
      </c>
      <c r="M273" s="1203"/>
      <c r="N273" s="1230" t="str">
        <f>N185</f>
        <v xml:space="preserve"> </v>
      </c>
      <c r="O273" s="1009" t="s">
        <v>374</v>
      </c>
      <c r="P273" s="1203">
        <f>ROUND(N273*$C273/100*N260,0)</f>
        <v>0</v>
      </c>
      <c r="Q273" s="1203"/>
      <c r="R273" s="1230" t="str">
        <f>R185</f>
        <v xml:space="preserve"> </v>
      </c>
      <c r="S273" s="1009" t="s">
        <v>374</v>
      </c>
      <c r="T273" s="1203">
        <f>ROUND(R273*$C273/100*R260,0)</f>
        <v>0</v>
      </c>
      <c r="U273" s="1203"/>
      <c r="V273" s="1230">
        <f>V185</f>
        <v>2.6950000000000003</v>
      </c>
      <c r="W273" s="1009" t="s">
        <v>374</v>
      </c>
      <c r="X273" s="1203">
        <f>ROUND(V273*$C273/100*V260,0)</f>
        <v>-80</v>
      </c>
      <c r="Z273" s="815"/>
      <c r="AC273" s="1205"/>
      <c r="AD273" s="1205"/>
      <c r="AI273" s="1185"/>
      <c r="AJ273" s="1185"/>
      <c r="AK273" s="1185"/>
      <c r="AL273" s="1185"/>
      <c r="AM273" s="1185"/>
      <c r="AN273" s="1185"/>
      <c r="AO273" s="1185"/>
      <c r="AP273" s="1185"/>
      <c r="AQ273" s="1185"/>
      <c r="AR273" s="1185"/>
      <c r="AS273" s="1185"/>
      <c r="AU273" s="1204"/>
    </row>
    <row r="274" spans="1:47" hidden="1">
      <c r="A274" s="1" t="s">
        <v>381</v>
      </c>
      <c r="B274" s="307"/>
      <c r="C274" s="319">
        <f>SUM(C253:C255)</f>
        <v>7015074.7502341894</v>
      </c>
      <c r="D274" s="330"/>
      <c r="E274" s="2"/>
      <c r="F274" s="2">
        <f>SUM(F248:F270)</f>
        <v>781954</v>
      </c>
      <c r="G274" s="330"/>
      <c r="H274" s="323"/>
      <c r="I274" s="2">
        <f>SUM(I248:I270)</f>
        <v>820037</v>
      </c>
      <c r="J274" s="330"/>
      <c r="K274" s="323"/>
      <c r="L274" s="2">
        <f ca="1">SUM(L248:L273)</f>
        <v>868995</v>
      </c>
      <c r="M274" s="2"/>
      <c r="N274" s="330"/>
      <c r="O274" s="323"/>
      <c r="P274" s="2">
        <f ca="1">SUM(P248:P273)</f>
        <v>265667</v>
      </c>
      <c r="Q274" s="2"/>
      <c r="R274" s="330"/>
      <c r="S274" s="323"/>
      <c r="T274" s="2">
        <f ca="1">SUM(T248:T273)</f>
        <v>115195</v>
      </c>
      <c r="U274" s="2"/>
      <c r="V274" s="330"/>
      <c r="W274" s="323"/>
      <c r="X274" s="2">
        <f ca="1">SUM(X248:X273)</f>
        <v>488140</v>
      </c>
      <c r="Y274" s="416"/>
      <c r="Z274" s="74"/>
      <c r="AA274" s="74"/>
      <c r="AB274" s="74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U274" s="84"/>
    </row>
    <row r="275" spans="1:47" hidden="1">
      <c r="A275" s="1" t="s">
        <v>363</v>
      </c>
      <c r="B275" s="1"/>
      <c r="C275" s="349">
        <f>'Table 2'!H18</f>
        <v>-25719.640630090842</v>
      </c>
      <c r="D275" s="309"/>
      <c r="E275" s="309"/>
      <c r="F275" s="341">
        <f>I275</f>
        <v>-1618.0760226777425</v>
      </c>
      <c r="G275" s="309"/>
      <c r="H275" s="309"/>
      <c r="I275" s="341">
        <f>'Table 3'!E18</f>
        <v>-1618.0760226777425</v>
      </c>
      <c r="J275" s="309"/>
      <c r="K275" s="309"/>
      <c r="L275" s="341">
        <f>I275</f>
        <v>-1618.0760226777425</v>
      </c>
      <c r="M275" s="322"/>
      <c r="N275" s="309"/>
      <c r="O275" s="309"/>
      <c r="P275" s="341">
        <f ca="1">P204/L204*L275</f>
        <v>-318.97359594951757</v>
      </c>
      <c r="Q275" s="322"/>
      <c r="R275" s="309"/>
      <c r="S275" s="309"/>
      <c r="T275" s="341">
        <f ca="1">T204/L204*L275</f>
        <v>-256.87536944848745</v>
      </c>
      <c r="U275" s="322"/>
      <c r="V275" s="309"/>
      <c r="W275" s="309"/>
      <c r="X275" s="341">
        <f ca="1">X204/L204*L275</f>
        <v>-1042.2270572797374</v>
      </c>
      <c r="Y275" s="444"/>
      <c r="Z275" s="287"/>
      <c r="AA275" s="74"/>
      <c r="AB275" s="74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U275" s="84"/>
    </row>
    <row r="276" spans="1:47" ht="16.5" hidden="1" thickBot="1">
      <c r="A276" s="1" t="s">
        <v>382</v>
      </c>
      <c r="B276" s="1"/>
      <c r="C276" s="311">
        <f>SUM(C274:C275)</f>
        <v>6989355.1096040988</v>
      </c>
      <c r="D276" s="342"/>
      <c r="E276" s="343"/>
      <c r="F276" s="344">
        <f>F274+F275</f>
        <v>780335.92397732229</v>
      </c>
      <c r="G276" s="342"/>
      <c r="H276" s="345"/>
      <c r="I276" s="344">
        <f>I274+I275</f>
        <v>818418.92397732229</v>
      </c>
      <c r="J276" s="342"/>
      <c r="K276" s="345"/>
      <c r="L276" s="344">
        <f ca="1">L274+L275</f>
        <v>867376.92397732229</v>
      </c>
      <c r="M276" s="344"/>
      <c r="N276" s="342"/>
      <c r="O276" s="345"/>
      <c r="P276" s="344">
        <f ca="1">P274+P275</f>
        <v>265348.02640405047</v>
      </c>
      <c r="Q276" s="344"/>
      <c r="R276" s="342"/>
      <c r="S276" s="345"/>
      <c r="T276" s="344">
        <f ca="1">T274+T275</f>
        <v>114938.12463055151</v>
      </c>
      <c r="U276" s="344"/>
      <c r="V276" s="342"/>
      <c r="W276" s="345"/>
      <c r="X276" s="344">
        <f ca="1">X274+X275</f>
        <v>487097.77294272027</v>
      </c>
      <c r="Y276" s="411"/>
      <c r="Z276" s="470"/>
      <c r="AA276" s="74"/>
      <c r="AB276" s="74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U276" s="84"/>
    </row>
    <row r="277" spans="1:47" ht="16.5" hidden="1" thickTop="1">
      <c r="A277" s="1"/>
      <c r="B277" s="1"/>
      <c r="C277" s="21"/>
      <c r="D277" s="337"/>
      <c r="E277" s="2"/>
      <c r="F277" s="2"/>
      <c r="G277" s="337"/>
      <c r="H277" s="1"/>
      <c r="I277" s="2"/>
      <c r="J277" s="337"/>
      <c r="K277" s="1"/>
      <c r="L277" s="2" t="s">
        <v>31</v>
      </c>
      <c r="M277" s="2"/>
      <c r="N277" s="337"/>
      <c r="O277" s="1"/>
      <c r="P277" s="2" t="s">
        <v>31</v>
      </c>
      <c r="Q277" s="2"/>
      <c r="R277" s="337"/>
      <c r="S277" s="1"/>
      <c r="T277" s="2" t="s">
        <v>31</v>
      </c>
      <c r="U277" s="2"/>
      <c r="V277" s="337"/>
      <c r="W277" s="1"/>
      <c r="X277" s="2" t="s">
        <v>31</v>
      </c>
      <c r="Y277" s="20"/>
      <c r="Z277" s="74"/>
      <c r="AA277" s="74"/>
      <c r="AB277" s="74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U277" s="84"/>
    </row>
    <row r="278" spans="1:47" hidden="1">
      <c r="A278" s="1"/>
      <c r="B278" s="1"/>
      <c r="C278" s="21"/>
      <c r="D278" s="337"/>
      <c r="E278" s="2"/>
      <c r="F278" s="2"/>
      <c r="G278" s="337"/>
      <c r="H278" s="1"/>
      <c r="I278" s="2"/>
      <c r="J278" s="337"/>
      <c r="K278" s="1"/>
      <c r="L278" s="2" t="s">
        <v>31</v>
      </c>
      <c r="M278" s="2"/>
      <c r="N278" s="337"/>
      <c r="O278" s="1"/>
      <c r="P278" s="2" t="s">
        <v>31</v>
      </c>
      <c r="Q278" s="2"/>
      <c r="R278" s="337"/>
      <c r="S278" s="1"/>
      <c r="T278" s="2" t="s">
        <v>31</v>
      </c>
      <c r="U278" s="2"/>
      <c r="V278" s="337"/>
      <c r="W278" s="1"/>
      <c r="X278" s="2" t="s">
        <v>31</v>
      </c>
      <c r="Y278" s="20"/>
      <c r="Z278" s="74"/>
      <c r="AA278" s="74"/>
      <c r="AB278" s="74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U278" s="84"/>
    </row>
    <row r="279" spans="1:47" hidden="1">
      <c r="A279" s="293" t="s">
        <v>387</v>
      </c>
      <c r="B279" s="1"/>
      <c r="C279" s="1"/>
      <c r="D279" s="2"/>
      <c r="E279" s="2"/>
      <c r="F279" s="1" t="s">
        <v>31</v>
      </c>
      <c r="G279" s="2"/>
      <c r="H279" s="1"/>
      <c r="I279" s="1"/>
      <c r="J279" s="2"/>
      <c r="K279" s="1"/>
      <c r="L279" s="1"/>
      <c r="M279" s="1"/>
      <c r="N279" s="2"/>
      <c r="O279" s="1"/>
      <c r="P279" s="1"/>
      <c r="Q279" s="1"/>
      <c r="R279" s="2"/>
      <c r="S279" s="1"/>
      <c r="T279" s="1"/>
      <c r="U279" s="1"/>
      <c r="V279" s="2"/>
      <c r="W279" s="1"/>
      <c r="X279" s="1"/>
      <c r="Y279" s="20"/>
      <c r="Z279" s="74"/>
      <c r="AA279" s="74"/>
      <c r="AB279" s="74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U279" s="84"/>
    </row>
    <row r="280" spans="1:47" hidden="1">
      <c r="A280" s="1" t="s">
        <v>411</v>
      </c>
      <c r="B280" s="1"/>
      <c r="C280" s="1"/>
      <c r="D280" s="2"/>
      <c r="E280" s="2"/>
      <c r="F280" s="1"/>
      <c r="G280" s="2"/>
      <c r="H280" s="1"/>
      <c r="I280" s="1"/>
      <c r="J280" s="2"/>
      <c r="K280" s="1"/>
      <c r="L280" s="1"/>
      <c r="M280" s="1"/>
      <c r="N280" s="2"/>
      <c r="O280" s="1"/>
      <c r="P280" s="1"/>
      <c r="Q280" s="1"/>
      <c r="R280" s="2"/>
      <c r="S280" s="1"/>
      <c r="T280" s="1"/>
      <c r="U280" s="1"/>
      <c r="V280" s="2"/>
      <c r="W280" s="1"/>
      <c r="X280" s="1"/>
      <c r="Y280" s="20"/>
      <c r="Z280" s="74"/>
      <c r="AA280" s="74"/>
      <c r="AB280" s="74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U280" s="84"/>
    </row>
    <row r="281" spans="1:47" hidden="1">
      <c r="A281" s="348" t="s">
        <v>412</v>
      </c>
      <c r="B281" s="1"/>
      <c r="C281" s="21"/>
      <c r="D281" s="2"/>
      <c r="E281" s="2"/>
      <c r="F281" s="1"/>
      <c r="G281" s="2"/>
      <c r="H281" s="1"/>
      <c r="I281" s="1"/>
      <c r="J281" s="2"/>
      <c r="K281" s="1"/>
      <c r="L281" s="1"/>
      <c r="M281" s="1"/>
      <c r="N281" s="2"/>
      <c r="O281" s="1"/>
      <c r="P281" s="1"/>
      <c r="Q281" s="1"/>
      <c r="R281" s="2"/>
      <c r="S281" s="1"/>
      <c r="T281" s="1"/>
      <c r="U281" s="1"/>
      <c r="V281" s="2"/>
      <c r="W281" s="1"/>
      <c r="X281" s="1"/>
      <c r="Y281" s="20"/>
      <c r="Z281" s="74"/>
      <c r="AA281" s="74"/>
      <c r="AB281" s="74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U281" s="84"/>
    </row>
    <row r="282" spans="1:47" hidden="1">
      <c r="A282" s="1" t="s">
        <v>393</v>
      </c>
      <c r="B282" s="1"/>
      <c r="C282" s="319"/>
      <c r="D282" s="2"/>
      <c r="E282" s="2"/>
      <c r="F282" s="1"/>
      <c r="G282" s="2"/>
      <c r="H282" s="1"/>
      <c r="I282" s="1"/>
      <c r="J282" s="2"/>
      <c r="K282" s="1"/>
      <c r="L282" s="1"/>
      <c r="M282" s="1"/>
      <c r="N282" s="2"/>
      <c r="O282" s="1"/>
      <c r="P282" s="1"/>
      <c r="Q282" s="1"/>
      <c r="R282" s="2"/>
      <c r="S282" s="1"/>
      <c r="T282" s="1"/>
      <c r="U282" s="1"/>
      <c r="V282" s="2"/>
      <c r="W282" s="1"/>
      <c r="X282" s="1"/>
      <c r="Y282" s="20"/>
      <c r="Z282" s="74"/>
      <c r="AA282" s="74"/>
      <c r="AB282" s="74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U282" s="84"/>
    </row>
    <row r="283" spans="1:47" hidden="1">
      <c r="A283" s="1" t="s">
        <v>390</v>
      </c>
      <c r="B283" s="1"/>
      <c r="C283" s="319">
        <f>[47]Sheet1!$F$2+[47]Sheet1!$F$5+[47]Sheet1!$F$6+[47]Sheet1!$F$11+[47]Sheet1!$F$21+[47]Sheet1!$F$24</f>
        <v>141741.26666666631</v>
      </c>
      <c r="D283" s="298">
        <v>8.7100000000000009</v>
      </c>
      <c r="E283" s="321"/>
      <c r="F283" s="2">
        <f>ROUND(D283*$C283,0)</f>
        <v>1234566</v>
      </c>
      <c r="G283" s="298">
        <v>8.7100000000000009</v>
      </c>
      <c r="H283" s="323"/>
      <c r="I283" s="2">
        <f>ROUND(G283*$C283,0)</f>
        <v>1234566</v>
      </c>
      <c r="J283" s="298">
        <f>$J$173</f>
        <v>10</v>
      </c>
      <c r="K283" s="323"/>
      <c r="L283" s="2">
        <f>ROUND(J283*$C283,0)</f>
        <v>1417413</v>
      </c>
      <c r="M283" s="2"/>
      <c r="N283" s="298">
        <f>$N$173</f>
        <v>10</v>
      </c>
      <c r="O283" s="323"/>
      <c r="P283" s="2">
        <f>ROUND(N283*$C283,0)</f>
        <v>1417413</v>
      </c>
      <c r="Q283" s="2"/>
      <c r="R283" s="298" t="str">
        <f>$R$173</f>
        <v xml:space="preserve"> </v>
      </c>
      <c r="S283" s="323"/>
      <c r="T283" s="2">
        <f>ROUND(R283*$C283,0)</f>
        <v>0</v>
      </c>
      <c r="U283" s="2"/>
      <c r="V283" s="298" t="str">
        <f>$V$173</f>
        <v xml:space="preserve"> </v>
      </c>
      <c r="W283" s="323"/>
      <c r="X283" s="2">
        <f>ROUND(V283*$C283,0)</f>
        <v>0</v>
      </c>
      <c r="Y283" s="20"/>
      <c r="Z283" s="74"/>
      <c r="AA283" s="74"/>
      <c r="AB283" s="74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U283" s="84"/>
    </row>
    <row r="284" spans="1:47" hidden="1">
      <c r="A284" s="1" t="s">
        <v>391</v>
      </c>
      <c r="B284" s="1"/>
      <c r="C284" s="319">
        <f>[47]Sheet1!$F$3+[47]Sheet1!$F$4+[47]Sheet1!$F$7+[47]Sheet1!$F$8+[47]Sheet1!$F$9+[47]Sheet1!$F$10+[47]Sheet1!$F$12+[47]Sheet1!$F$22+[47]Sheet1!$F$23+[47]Sheet1!$F$25</f>
        <v>59416.999999999964</v>
      </c>
      <c r="D284" s="298">
        <v>12.98</v>
      </c>
      <c r="E284" s="324"/>
      <c r="F284" s="2">
        <f>ROUND(D284*$C284,0)</f>
        <v>771233</v>
      </c>
      <c r="G284" s="298">
        <v>12.98</v>
      </c>
      <c r="H284" s="325"/>
      <c r="I284" s="2">
        <f t="shared" ref="I284:I285" si="91">ROUND(G284*$C284,0)</f>
        <v>771233</v>
      </c>
      <c r="J284" s="298">
        <f>$J$174</f>
        <v>15</v>
      </c>
      <c r="K284" s="325"/>
      <c r="L284" s="2">
        <f>ROUND(J284*$C284,0)</f>
        <v>891255</v>
      </c>
      <c r="M284" s="2"/>
      <c r="N284" s="298">
        <f>$N$174</f>
        <v>15</v>
      </c>
      <c r="O284" s="325"/>
      <c r="P284" s="2">
        <f>ROUND(N284*$C284,0)</f>
        <v>891255</v>
      </c>
      <c r="Q284" s="2"/>
      <c r="R284" s="298" t="str">
        <f>$R$174</f>
        <v xml:space="preserve"> </v>
      </c>
      <c r="S284" s="325"/>
      <c r="T284" s="2">
        <f>ROUND(R284*$C284,0)</f>
        <v>0</v>
      </c>
      <c r="U284" s="2"/>
      <c r="V284" s="298" t="str">
        <f>$V$174</f>
        <v xml:space="preserve"> </v>
      </c>
      <c r="W284" s="325"/>
      <c r="X284" s="2">
        <f>ROUND(V284*$C284,0)</f>
        <v>0</v>
      </c>
      <c r="Y284" s="20"/>
      <c r="Z284" s="74"/>
      <c r="AA284" s="74"/>
      <c r="AB284" s="74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U284" s="84"/>
    </row>
    <row r="285" spans="1:47" hidden="1">
      <c r="A285" s="1" t="s">
        <v>392</v>
      </c>
      <c r="B285" s="1"/>
      <c r="C285" s="319">
        <f>[47]Sheet1!$G$29+[47]Sheet1!$G$30</f>
        <v>1187077</v>
      </c>
      <c r="D285" s="298">
        <v>0.92</v>
      </c>
      <c r="E285" s="324"/>
      <c r="F285" s="2">
        <f>ROUND(D285*$C285,0)</f>
        <v>1092111</v>
      </c>
      <c r="G285" s="298">
        <v>0.92</v>
      </c>
      <c r="H285" s="325"/>
      <c r="I285" s="2">
        <f t="shared" si="91"/>
        <v>1092111</v>
      </c>
      <c r="J285" s="298">
        <f>$J$175</f>
        <v>1</v>
      </c>
      <c r="K285" s="325"/>
      <c r="L285" s="2">
        <f>ROUND(J285*$C285,0)</f>
        <v>1187077</v>
      </c>
      <c r="M285" s="2"/>
      <c r="N285" s="298">
        <f>$N$175</f>
        <v>1</v>
      </c>
      <c r="O285" s="325"/>
      <c r="P285" s="2">
        <f>ROUND(N285*$C285,0)</f>
        <v>1187077</v>
      </c>
      <c r="Q285" s="2"/>
      <c r="R285" s="298" t="str">
        <f>$R$175</f>
        <v xml:space="preserve"> </v>
      </c>
      <c r="S285" s="325"/>
      <c r="T285" s="2">
        <f>ROUND(R285*$C285,0)</f>
        <v>0</v>
      </c>
      <c r="U285" s="2"/>
      <c r="V285" s="298" t="str">
        <f>$V$175</f>
        <v xml:space="preserve"> </v>
      </c>
      <c r="W285" s="325"/>
      <c r="X285" s="2">
        <f>ROUND(V285*$C285,0)</f>
        <v>0</v>
      </c>
      <c r="Y285" s="20"/>
      <c r="Z285" s="74"/>
      <c r="AA285" s="74"/>
      <c r="AB285" s="74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U285" s="84"/>
    </row>
    <row r="286" spans="1:47" hidden="1">
      <c r="A286" s="1" t="s">
        <v>394</v>
      </c>
      <c r="B286" s="1"/>
      <c r="C286" s="319">
        <f>SUM(C283:C284)</f>
        <v>201158.26666666628</v>
      </c>
      <c r="D286" s="298"/>
      <c r="E286" s="321"/>
      <c r="F286" s="2"/>
      <c r="G286" s="298"/>
      <c r="H286" s="323"/>
      <c r="I286" s="2"/>
      <c r="J286" s="298"/>
      <c r="K286" s="323"/>
      <c r="L286" s="2"/>
      <c r="M286" s="2"/>
      <c r="N286" s="298"/>
      <c r="O286" s="323"/>
      <c r="P286" s="2"/>
      <c r="Q286" s="2"/>
      <c r="R286" s="298"/>
      <c r="S286" s="323"/>
      <c r="T286" s="2"/>
      <c r="U286" s="2"/>
      <c r="V286" s="298"/>
      <c r="W286" s="323"/>
      <c r="X286" s="2"/>
      <c r="Y286" s="20"/>
      <c r="Z286" s="74"/>
      <c r="AA286" s="74"/>
      <c r="AB286" s="74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U286" s="84"/>
    </row>
    <row r="287" spans="1:47" hidden="1">
      <c r="A287" s="1" t="s">
        <v>395</v>
      </c>
      <c r="B287" s="1"/>
      <c r="C287" s="319">
        <f>[47]Sheet1!$K$29+[47]Sheet1!$K$30</f>
        <v>803395</v>
      </c>
      <c r="D287" s="326">
        <v>3.4</v>
      </c>
      <c r="E287" s="323"/>
      <c r="F287" s="2">
        <f>ROUND(D287*$C287,0)</f>
        <v>2731543</v>
      </c>
      <c r="G287" s="326">
        <v>3.61</v>
      </c>
      <c r="H287" s="323"/>
      <c r="I287" s="2">
        <f>ROUND(G287*C287,0)</f>
        <v>2900256</v>
      </c>
      <c r="J287" s="326">
        <f ca="1">$J$178</f>
        <v>3.77</v>
      </c>
      <c r="K287" s="323"/>
      <c r="L287" s="2">
        <f ca="1">ROUND(J287*$C287,0)</f>
        <v>3028799</v>
      </c>
      <c r="M287" s="2"/>
      <c r="N287" s="326">
        <f ca="1">$N$178</f>
        <v>0.81</v>
      </c>
      <c r="O287" s="323"/>
      <c r="P287" s="2">
        <f ca="1">ROUND(N287*$C287,0)</f>
        <v>650750</v>
      </c>
      <c r="Q287" s="2"/>
      <c r="R287" s="326">
        <f ca="1">$R$178</f>
        <v>1.06</v>
      </c>
      <c r="S287" s="323"/>
      <c r="T287" s="2">
        <f ca="1">ROUND(R287*$C287,0)</f>
        <v>851599</v>
      </c>
      <c r="U287" s="2"/>
      <c r="V287" s="326">
        <f ca="1">$V$178</f>
        <v>1.9</v>
      </c>
      <c r="W287" s="323"/>
      <c r="X287" s="2">
        <f ca="1">ROUND(V287*$C287,0)</f>
        <v>1526451</v>
      </c>
      <c r="Y287" s="20"/>
      <c r="Z287" s="74"/>
      <c r="AA287" s="74"/>
      <c r="AB287" s="74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U287" s="84"/>
    </row>
    <row r="288" spans="1:47" hidden="1">
      <c r="A288" s="1" t="s">
        <v>397</v>
      </c>
      <c r="B288" s="319"/>
      <c r="C288" s="319">
        <f>[47]Sheet1!$I$29+[47]Sheet1!$I$30+Temperature!C75*1000</f>
        <v>122485429.32105364</v>
      </c>
      <c r="D288" s="299">
        <v>9.766</v>
      </c>
      <c r="E288" s="323" t="s">
        <v>374</v>
      </c>
      <c r="F288" s="2">
        <f>ROUND(D288*$C288/100,0)</f>
        <v>11961927</v>
      </c>
      <c r="G288" s="299">
        <v>10.359</v>
      </c>
      <c r="H288" s="323" t="s">
        <v>374</v>
      </c>
      <c r="I288" s="2">
        <f>ROUND(G288*C288/100,0)</f>
        <v>12688266</v>
      </c>
      <c r="J288" s="299">
        <f ca="1">$J$179</f>
        <v>6.282</v>
      </c>
      <c r="K288" s="323" t="s">
        <v>374</v>
      </c>
      <c r="L288" s="2">
        <f ca="1">ROUND(J288*$C288/100,0)</f>
        <v>7694535</v>
      </c>
      <c r="M288" s="2"/>
      <c r="N288" s="299">
        <f ca="1">$N$179</f>
        <v>1.3483746810352102</v>
      </c>
      <c r="O288" s="323" t="s">
        <v>374</v>
      </c>
      <c r="P288" s="2">
        <f ca="1">ROUND(N288*$C288/100,0)</f>
        <v>1651563</v>
      </c>
      <c r="Q288" s="2"/>
      <c r="R288" s="299">
        <f ca="1">$R$179</f>
        <v>1.7708525176705459</v>
      </c>
      <c r="S288" s="323" t="s">
        <v>374</v>
      </c>
      <c r="T288" s="2">
        <f ca="1">ROUND(R288*$C288/100,0)</f>
        <v>2169036</v>
      </c>
      <c r="U288" s="2"/>
      <c r="V288" s="299">
        <f ca="1">$V$179</f>
        <v>3.162955363125258</v>
      </c>
      <c r="W288" s="323" t="s">
        <v>374</v>
      </c>
      <c r="X288" s="2">
        <f ca="1">ROUND(V288*$C288/100,0)</f>
        <v>3874159</v>
      </c>
      <c r="Y288" s="473"/>
      <c r="Z288" s="74"/>
      <c r="AA288" s="74"/>
      <c r="AB288" s="74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U288" s="84"/>
    </row>
    <row r="289" spans="1:47" hidden="1">
      <c r="A289" s="1" t="s">
        <v>398</v>
      </c>
      <c r="B289" s="319"/>
      <c r="C289" s="319">
        <f>[47]Sheet1!$J$29+[47]Sheet1!$J$30+Temperature!D75*1000</f>
        <v>277023851.80810446</v>
      </c>
      <c r="D289" s="299">
        <v>6.7460000000000004</v>
      </c>
      <c r="E289" s="323" t="s">
        <v>374</v>
      </c>
      <c r="F289" s="2">
        <f>ROUND(D289*$C289/100,0)</f>
        <v>18688029</v>
      </c>
      <c r="G289" s="299">
        <v>7.1559999999999997</v>
      </c>
      <c r="H289" s="323" t="s">
        <v>374</v>
      </c>
      <c r="I289" s="2">
        <f t="shared" ref="I289:I291" si="92">ROUND(G289*C289/100,0)</f>
        <v>19823827</v>
      </c>
      <c r="J289" s="299">
        <f ca="1">$J$180</f>
        <v>4.3410000000000002</v>
      </c>
      <c r="K289" s="323" t="s">
        <v>374</v>
      </c>
      <c r="L289" s="2">
        <f ca="1">ROUND(J289*$C289/100,0)</f>
        <v>12025605</v>
      </c>
      <c r="M289" s="2"/>
      <c r="N289" s="299">
        <f ca="1">$N$180</f>
        <v>0.93175626548296309</v>
      </c>
      <c r="O289" s="323" t="s">
        <v>374</v>
      </c>
      <c r="P289" s="2">
        <f ca="1">ROUND(N289*$C289/100,0)</f>
        <v>2581187</v>
      </c>
      <c r="Q289" s="2"/>
      <c r="R289" s="299">
        <f ca="1">$R$180</f>
        <v>1.2240066282869231</v>
      </c>
      <c r="S289" s="323" t="s">
        <v>374</v>
      </c>
      <c r="T289" s="2">
        <f ca="1">ROUND(R289*$C289/100,0)</f>
        <v>3390790</v>
      </c>
      <c r="U289" s="2"/>
      <c r="V289" s="299">
        <f ca="1">$V$180</f>
        <v>2.1849800075654815</v>
      </c>
      <c r="W289" s="323" t="s">
        <v>374</v>
      </c>
      <c r="X289" s="2">
        <f ca="1">ROUND(V289*$C289/100,0)</f>
        <v>6052916</v>
      </c>
      <c r="Y289" s="473"/>
      <c r="Z289" s="74"/>
      <c r="AA289" s="74"/>
      <c r="AB289" s="74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U289" s="84"/>
    </row>
    <row r="290" spans="1:47" hidden="1">
      <c r="A290" s="1" t="s">
        <v>399</v>
      </c>
      <c r="B290" s="319"/>
      <c r="C290" s="319">
        <f>[47]Sheet1!$H$29+[47]Sheet1!$H$30+Temperature!E75*1000-C289-C288+(Temperature!C75+Temperature!D75)*1000</f>
        <v>118022195.46634004</v>
      </c>
      <c r="D290" s="299">
        <v>5.8120000000000003</v>
      </c>
      <c r="E290" s="323" t="s">
        <v>374</v>
      </c>
      <c r="F290" s="2">
        <f>ROUND(D290*$C290/100,0)</f>
        <v>6859450</v>
      </c>
      <c r="G290" s="299">
        <v>6.1660000000000004</v>
      </c>
      <c r="H290" s="323" t="s">
        <v>374</v>
      </c>
      <c r="I290" s="2">
        <f t="shared" si="92"/>
        <v>7277249</v>
      </c>
      <c r="J290" s="299">
        <f ca="1">$J$181</f>
        <v>3.74</v>
      </c>
      <c r="K290" s="323" t="s">
        <v>374</v>
      </c>
      <c r="L290" s="2">
        <f ca="1">ROUND(J290*$C290/100,0)</f>
        <v>4414030</v>
      </c>
      <c r="M290" s="2"/>
      <c r="N290" s="299">
        <f ca="1">$N$181</f>
        <v>0.80275718206159852</v>
      </c>
      <c r="O290" s="323" t="s">
        <v>374</v>
      </c>
      <c r="P290" s="2">
        <f ca="1">ROUND(N290*$C290/100,0)</f>
        <v>947432</v>
      </c>
      <c r="Q290" s="2"/>
      <c r="R290" s="299">
        <f ca="1">$R$181</f>
        <v>1.0536847359511734</v>
      </c>
      <c r="S290" s="323" t="s">
        <v>374</v>
      </c>
      <c r="T290" s="2">
        <f ca="1">ROUND(R290*$C290/100,0)</f>
        <v>1243582</v>
      </c>
      <c r="U290" s="2"/>
      <c r="V290" s="299">
        <f ca="1">$V$181</f>
        <v>1.8834755557989509</v>
      </c>
      <c r="W290" s="323" t="s">
        <v>374</v>
      </c>
      <c r="X290" s="2">
        <f ca="1">ROUND(V290*$C290/100,0)</f>
        <v>2222919</v>
      </c>
      <c r="Y290" s="473"/>
      <c r="Z290" s="74"/>
      <c r="AA290" s="74"/>
      <c r="AB290" s="74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U290" s="84"/>
    </row>
    <row r="291" spans="1:47" hidden="1">
      <c r="A291" s="1" t="s">
        <v>400</v>
      </c>
      <c r="B291" s="21"/>
      <c r="C291" s="319">
        <f>[47]Sheet1!$L$29+[47]Sheet1!$L$30</f>
        <v>104260.76666666665</v>
      </c>
      <c r="D291" s="330">
        <v>56</v>
      </c>
      <c r="E291" s="321" t="s">
        <v>374</v>
      </c>
      <c r="F291" s="2">
        <f>ROUND(D291*$C291/100,0)</f>
        <v>58386</v>
      </c>
      <c r="G291" s="330">
        <v>56</v>
      </c>
      <c r="H291" s="323" t="s">
        <v>374</v>
      </c>
      <c r="I291" s="2">
        <f t="shared" si="92"/>
        <v>58386</v>
      </c>
      <c r="J291" s="330">
        <f>$J$182</f>
        <v>56</v>
      </c>
      <c r="K291" s="323" t="s">
        <v>374</v>
      </c>
      <c r="L291" s="2">
        <f>ROUND(J291*$C291/100,0)</f>
        <v>58386</v>
      </c>
      <c r="M291" s="2"/>
      <c r="N291" s="330" t="str">
        <f>$N$182</f>
        <v xml:space="preserve"> </v>
      </c>
      <c r="O291" s="323" t="s">
        <v>374</v>
      </c>
      <c r="P291" s="2">
        <f>ROUND(N291*$C291/100,0)</f>
        <v>0</v>
      </c>
      <c r="Q291" s="2"/>
      <c r="R291" s="330">
        <f ca="1">$R$182</f>
        <v>11</v>
      </c>
      <c r="S291" s="323" t="s">
        <v>374</v>
      </c>
      <c r="T291" s="2">
        <f ca="1">ROUND(R291*$C291/100,0)</f>
        <v>11469</v>
      </c>
      <c r="U291" s="2"/>
      <c r="V291" s="330">
        <f ca="1">$V$182</f>
        <v>45</v>
      </c>
      <c r="W291" s="323" t="s">
        <v>374</v>
      </c>
      <c r="X291" s="2">
        <f ca="1">ROUND(V291*$C291/100,0)</f>
        <v>46917</v>
      </c>
      <c r="Y291" s="20"/>
      <c r="Z291" s="74"/>
      <c r="AA291" s="74"/>
      <c r="AB291" s="74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U291" s="84"/>
    </row>
    <row r="292" spans="1:47" s="1184" customFormat="1" hidden="1">
      <c r="A292" s="1005" t="s">
        <v>1032</v>
      </c>
      <c r="C292" s="1202">
        <f>C288</f>
        <v>122485429.32105364</v>
      </c>
      <c r="D292" s="269"/>
      <c r="E292" s="1185"/>
      <c r="F292" s="1203"/>
      <c r="G292" s="269"/>
      <c r="H292" s="1185"/>
      <c r="I292" s="1203"/>
      <c r="J292" s="1230">
        <f>J183</f>
        <v>4.5289999999999999</v>
      </c>
      <c r="K292" s="1009" t="s">
        <v>374</v>
      </c>
      <c r="L292" s="1203">
        <f t="shared" ref="L292:L294" si="93">ROUND(J292*$C292/100,0)</f>
        <v>5547365</v>
      </c>
      <c r="M292" s="1203"/>
      <c r="N292" s="1230" t="str">
        <f>N183</f>
        <v xml:space="preserve"> </v>
      </c>
      <c r="O292" s="1009" t="s">
        <v>374</v>
      </c>
      <c r="P292" s="1203">
        <f t="shared" ref="P292:P294" si="94">ROUND(N292*$C292/100,0)</f>
        <v>0</v>
      </c>
      <c r="Q292" s="1203"/>
      <c r="R292" s="1230" t="str">
        <f>R183</f>
        <v xml:space="preserve"> </v>
      </c>
      <c r="S292" s="1009" t="s">
        <v>374</v>
      </c>
      <c r="T292" s="1203">
        <f t="shared" ref="T292:T294" si="95">ROUND(R292*$C292/100,0)</f>
        <v>0</v>
      </c>
      <c r="U292" s="1203"/>
      <c r="V292" s="1230">
        <f>V183</f>
        <v>4.5289999999999999</v>
      </c>
      <c r="W292" s="1009" t="s">
        <v>374</v>
      </c>
      <c r="X292" s="1203">
        <f t="shared" ref="X292:X294" si="96">ROUND(V292*$C292/100,0)</f>
        <v>5547365</v>
      </c>
      <c r="Z292" s="815"/>
      <c r="AC292" s="1205"/>
      <c r="AD292" s="1205"/>
      <c r="AI292" s="1185"/>
      <c r="AJ292" s="1185"/>
      <c r="AK292" s="1185"/>
      <c r="AL292" s="1185"/>
      <c r="AM292" s="1185"/>
      <c r="AN292" s="1185"/>
      <c r="AO292" s="1185"/>
      <c r="AP292" s="1185"/>
      <c r="AQ292" s="1185"/>
      <c r="AR292" s="1185"/>
      <c r="AS292" s="1185"/>
      <c r="AU292" s="1204"/>
    </row>
    <row r="293" spans="1:47" s="1184" customFormat="1" hidden="1">
      <c r="A293" s="1005" t="s">
        <v>1033</v>
      </c>
      <c r="C293" s="1202">
        <f>C289</f>
        <v>277023851.80810446</v>
      </c>
      <c r="D293" s="269"/>
      <c r="E293" s="1185"/>
      <c r="F293" s="1203"/>
      <c r="G293" s="269"/>
      <c r="H293" s="1185"/>
      <c r="I293" s="1203"/>
      <c r="J293" s="1230">
        <f>J184</f>
        <v>3.1270000000000002</v>
      </c>
      <c r="K293" s="1009" t="s">
        <v>374</v>
      </c>
      <c r="L293" s="1203">
        <f t="shared" si="93"/>
        <v>8662536</v>
      </c>
      <c r="M293" s="1203"/>
      <c r="N293" s="1230" t="str">
        <f>N184</f>
        <v xml:space="preserve"> </v>
      </c>
      <c r="O293" s="1009" t="s">
        <v>374</v>
      </c>
      <c r="P293" s="1203">
        <f t="shared" si="94"/>
        <v>0</v>
      </c>
      <c r="Q293" s="1203"/>
      <c r="R293" s="1230" t="str">
        <f>R184</f>
        <v xml:space="preserve"> </v>
      </c>
      <c r="S293" s="1009" t="s">
        <v>374</v>
      </c>
      <c r="T293" s="1203">
        <f t="shared" si="95"/>
        <v>0</v>
      </c>
      <c r="U293" s="1203"/>
      <c r="V293" s="1230">
        <f>V184</f>
        <v>3.1270000000000002</v>
      </c>
      <c r="W293" s="1009" t="s">
        <v>374</v>
      </c>
      <c r="X293" s="1203">
        <f t="shared" si="96"/>
        <v>8662536</v>
      </c>
      <c r="Z293" s="815"/>
      <c r="AC293" s="1205"/>
      <c r="AD293" s="1205"/>
      <c r="AI293" s="1185"/>
      <c r="AJ293" s="1185"/>
      <c r="AK293" s="1185"/>
      <c r="AL293" s="1185"/>
      <c r="AM293" s="1185"/>
      <c r="AN293" s="1185"/>
      <c r="AO293" s="1185"/>
      <c r="AP293" s="1185"/>
      <c r="AQ293" s="1185"/>
      <c r="AR293" s="1185"/>
      <c r="AS293" s="1185"/>
      <c r="AU293" s="1204"/>
    </row>
    <row r="294" spans="1:47" s="1184" customFormat="1" hidden="1">
      <c r="A294" s="1005" t="s">
        <v>1034</v>
      </c>
      <c r="C294" s="1202">
        <f>C290</f>
        <v>118022195.46634004</v>
      </c>
      <c r="D294" s="269"/>
      <c r="E294" s="1185"/>
      <c r="F294" s="1203"/>
      <c r="G294" s="269"/>
      <c r="H294" s="1185"/>
      <c r="I294" s="1203"/>
      <c r="J294" s="1230">
        <f>J185</f>
        <v>2.6950000000000003</v>
      </c>
      <c r="K294" s="1009" t="s">
        <v>374</v>
      </c>
      <c r="L294" s="1203">
        <f t="shared" si="93"/>
        <v>3180698</v>
      </c>
      <c r="M294" s="1203"/>
      <c r="N294" s="1230" t="str">
        <f>N185</f>
        <v xml:space="preserve"> </v>
      </c>
      <c r="O294" s="1009" t="s">
        <v>374</v>
      </c>
      <c r="P294" s="1203">
        <f t="shared" si="94"/>
        <v>0</v>
      </c>
      <c r="Q294" s="1203"/>
      <c r="R294" s="1230" t="str">
        <f>R185</f>
        <v xml:space="preserve"> </v>
      </c>
      <c r="S294" s="1009" t="s">
        <v>374</v>
      </c>
      <c r="T294" s="1203">
        <f t="shared" si="95"/>
        <v>0</v>
      </c>
      <c r="U294" s="1203"/>
      <c r="V294" s="1230">
        <f>V185</f>
        <v>2.6950000000000003</v>
      </c>
      <c r="W294" s="1009" t="s">
        <v>374</v>
      </c>
      <c r="X294" s="1203">
        <f t="shared" si="96"/>
        <v>3180698</v>
      </c>
      <c r="Z294" s="815"/>
      <c r="AC294" s="1205"/>
      <c r="AD294" s="1205"/>
      <c r="AI294" s="1185"/>
      <c r="AJ294" s="1185"/>
      <c r="AK294" s="1185"/>
      <c r="AL294" s="1185"/>
      <c r="AM294" s="1185"/>
      <c r="AN294" s="1185"/>
      <c r="AO294" s="1185"/>
      <c r="AP294" s="1185"/>
      <c r="AQ294" s="1185"/>
      <c r="AR294" s="1185"/>
      <c r="AS294" s="1185"/>
      <c r="AU294" s="1204"/>
    </row>
    <row r="295" spans="1:47" hidden="1">
      <c r="A295" s="331" t="s">
        <v>401</v>
      </c>
      <c r="B295" s="21"/>
      <c r="C295" s="319"/>
      <c r="D295" s="332">
        <v>-0.01</v>
      </c>
      <c r="E295" s="321"/>
      <c r="F295" s="2"/>
      <c r="G295" s="332">
        <v>-0.01</v>
      </c>
      <c r="H295" s="323"/>
      <c r="I295" s="2"/>
      <c r="J295" s="332">
        <v>-0.01</v>
      </c>
      <c r="K295" s="323"/>
      <c r="L295" s="2"/>
      <c r="M295" s="2"/>
      <c r="N295" s="332">
        <v>-0.01</v>
      </c>
      <c r="O295" s="323"/>
      <c r="P295" s="2"/>
      <c r="Q295" s="2"/>
      <c r="R295" s="332">
        <v>-0.01</v>
      </c>
      <c r="S295" s="323"/>
      <c r="T295" s="2"/>
      <c r="U295" s="2"/>
      <c r="V295" s="332">
        <v>-0.01</v>
      </c>
      <c r="W295" s="323"/>
      <c r="X295" s="2"/>
      <c r="Y295" s="20"/>
      <c r="Z295" s="74"/>
      <c r="AA295" s="74"/>
      <c r="AB295" s="74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U295" s="84"/>
    </row>
    <row r="296" spans="1:47" hidden="1">
      <c r="A296" s="1" t="s">
        <v>390</v>
      </c>
      <c r="B296" s="1"/>
      <c r="C296" s="319">
        <f>[47]Sheet1!$F$5</f>
        <v>71.966666666666697</v>
      </c>
      <c r="D296" s="334">
        <v>8.7100000000000009</v>
      </c>
      <c r="E296" s="321"/>
      <c r="F296" s="2">
        <f>-ROUND(D296*$C296/100,0)</f>
        <v>-6</v>
      </c>
      <c r="G296" s="334">
        <v>8.7100000000000009</v>
      </c>
      <c r="H296" s="321"/>
      <c r="I296" s="2">
        <f>-ROUND(G296*$C296/100,0)</f>
        <v>-6</v>
      </c>
      <c r="J296" s="334">
        <f>J283</f>
        <v>10</v>
      </c>
      <c r="K296" s="321"/>
      <c r="L296" s="2">
        <f>-ROUND(J296*$C296/100,0)</f>
        <v>-7</v>
      </c>
      <c r="M296" s="2"/>
      <c r="N296" s="334">
        <f>N283</f>
        <v>10</v>
      </c>
      <c r="O296" s="321"/>
      <c r="P296" s="2">
        <f>-ROUND(N296*$C296/100,0)</f>
        <v>-7</v>
      </c>
      <c r="Q296" s="2"/>
      <c r="R296" s="334" t="str">
        <f>R283</f>
        <v xml:space="preserve"> </v>
      </c>
      <c r="S296" s="321"/>
      <c r="T296" s="2">
        <f>-ROUND(R296*$C296/100,0)</f>
        <v>0</v>
      </c>
      <c r="U296" s="2"/>
      <c r="V296" s="334" t="str">
        <f>V283</f>
        <v xml:space="preserve"> </v>
      </c>
      <c r="W296" s="321"/>
      <c r="X296" s="2">
        <f>-ROUND(V296*$C296/100,0)</f>
        <v>0</v>
      </c>
      <c r="Y296" s="20"/>
      <c r="Z296" s="74"/>
      <c r="AA296" s="74"/>
      <c r="AB296" s="74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U296" s="84"/>
    </row>
    <row r="297" spans="1:47" hidden="1">
      <c r="A297" s="1" t="s">
        <v>391</v>
      </c>
      <c r="B297" s="1"/>
      <c r="C297" s="319">
        <f>[47]Sheet1!$F$3+[47]Sheet1!$F$8</f>
        <v>27</v>
      </c>
      <c r="D297" s="334">
        <v>12.98</v>
      </c>
      <c r="E297" s="321"/>
      <c r="F297" s="2">
        <f>-ROUND(D297*$C297/100,0)</f>
        <v>-4</v>
      </c>
      <c r="G297" s="334">
        <v>12.98</v>
      </c>
      <c r="H297" s="321"/>
      <c r="I297" s="2">
        <f t="shared" ref="I297:I299" si="97">-ROUND(G297*$C297/100,0)</f>
        <v>-4</v>
      </c>
      <c r="J297" s="334">
        <f>J284</f>
        <v>15</v>
      </c>
      <c r="K297" s="321"/>
      <c r="L297" s="2">
        <f>-ROUND(J297*$C297/100,0)</f>
        <v>-4</v>
      </c>
      <c r="M297" s="2"/>
      <c r="N297" s="334">
        <f>N284</f>
        <v>15</v>
      </c>
      <c r="O297" s="321"/>
      <c r="P297" s="2">
        <f>-ROUND(N297*$C297/100,0)</f>
        <v>-4</v>
      </c>
      <c r="Q297" s="2"/>
      <c r="R297" s="334" t="str">
        <f>R284</f>
        <v xml:space="preserve"> </v>
      </c>
      <c r="S297" s="321"/>
      <c r="T297" s="2">
        <f>-ROUND(R297*$C297/100,0)</f>
        <v>0</v>
      </c>
      <c r="U297" s="2"/>
      <c r="V297" s="334" t="str">
        <f>V284</f>
        <v xml:space="preserve"> </v>
      </c>
      <c r="W297" s="321"/>
      <c r="X297" s="2">
        <f>-ROUND(V297*$C297/100,0)</f>
        <v>0</v>
      </c>
      <c r="Y297" s="20"/>
      <c r="Z297" s="74"/>
      <c r="AA297" s="74"/>
      <c r="AB297" s="74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U297" s="84"/>
    </row>
    <row r="298" spans="1:47" hidden="1">
      <c r="A298" s="1" t="s">
        <v>402</v>
      </c>
      <c r="B298" s="1"/>
      <c r="C298" s="319">
        <f>[47]Sheet1!$G$3+[47]Sheet1!$G$5+[47]Sheet1!$G$7+[47]Sheet1!$G$9+[47]Sheet1!$G$22</f>
        <v>936</v>
      </c>
      <c r="D298" s="334">
        <v>0.92</v>
      </c>
      <c r="E298" s="321"/>
      <c r="F298" s="2">
        <f>-ROUND(D298*$C298/100,0)</f>
        <v>-9</v>
      </c>
      <c r="G298" s="334">
        <v>0.92</v>
      </c>
      <c r="H298" s="321"/>
      <c r="I298" s="2">
        <f t="shared" si="97"/>
        <v>-9</v>
      </c>
      <c r="J298" s="334">
        <f>J285</f>
        <v>1</v>
      </c>
      <c r="K298" s="321"/>
      <c r="L298" s="2">
        <f>-ROUND(J298*$C298/100,0)</f>
        <v>-9</v>
      </c>
      <c r="M298" s="2"/>
      <c r="N298" s="334">
        <f>N285</f>
        <v>1</v>
      </c>
      <c r="O298" s="321"/>
      <c r="P298" s="2">
        <f>-ROUND(N298*$C298/100,0)</f>
        <v>-9</v>
      </c>
      <c r="Q298" s="2"/>
      <c r="R298" s="334" t="str">
        <f>R285</f>
        <v xml:space="preserve"> </v>
      </c>
      <c r="S298" s="321"/>
      <c r="T298" s="2">
        <f>-ROUND(R298*$C298/100,0)</f>
        <v>0</v>
      </c>
      <c r="U298" s="2"/>
      <c r="V298" s="334" t="str">
        <f>V285</f>
        <v xml:space="preserve"> </v>
      </c>
      <c r="W298" s="321"/>
      <c r="X298" s="2">
        <f>-ROUND(V298*$C298/100,0)</f>
        <v>0</v>
      </c>
      <c r="Y298" s="20"/>
      <c r="Z298" s="74"/>
      <c r="AA298" s="74"/>
      <c r="AB298" s="74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U298" s="84"/>
    </row>
    <row r="299" spans="1:47" hidden="1">
      <c r="A299" s="1" t="s">
        <v>413</v>
      </c>
      <c r="B299" s="1"/>
      <c r="C299" s="319">
        <f>[47]Sheet1!$K$3+[47]Sheet1!$K$5+[47]Sheet1!$K$8+[47]Sheet1!$K$9</f>
        <v>767</v>
      </c>
      <c r="D299" s="334">
        <v>3.4</v>
      </c>
      <c r="E299" s="323"/>
      <c r="F299" s="2">
        <f>-ROUND(D299*$C299/100,0)</f>
        <v>-26</v>
      </c>
      <c r="G299" s="334">
        <v>3.61</v>
      </c>
      <c r="H299" s="323"/>
      <c r="I299" s="2">
        <f t="shared" si="97"/>
        <v>-28</v>
      </c>
      <c r="J299" s="334">
        <f ca="1">J287</f>
        <v>3.77</v>
      </c>
      <c r="K299" s="323"/>
      <c r="L299" s="2">
        <f ca="1">-ROUND(J299*$C299/100,0)</f>
        <v>-29</v>
      </c>
      <c r="M299" s="2"/>
      <c r="N299" s="334">
        <f ca="1">N287</f>
        <v>0.81</v>
      </c>
      <c r="O299" s="323"/>
      <c r="P299" s="2">
        <f ca="1">-ROUND(N299*$C299/100,0)</f>
        <v>-6</v>
      </c>
      <c r="Q299" s="2"/>
      <c r="R299" s="334">
        <f ca="1">R287</f>
        <v>1.06</v>
      </c>
      <c r="S299" s="323"/>
      <c r="T299" s="2">
        <f ca="1">-ROUND(R299*$C299/100,0)</f>
        <v>-8</v>
      </c>
      <c r="U299" s="2"/>
      <c r="V299" s="334">
        <f ca="1">V287</f>
        <v>1.9</v>
      </c>
      <c r="W299" s="323"/>
      <c r="X299" s="2">
        <f ca="1">-ROUND(V299*$C299/100,0)</f>
        <v>-15</v>
      </c>
      <c r="Y299" s="20"/>
      <c r="Z299" s="74"/>
      <c r="AA299" s="74"/>
      <c r="AB299" s="74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U299" s="84"/>
    </row>
    <row r="300" spans="1:47" hidden="1">
      <c r="A300" s="1" t="s">
        <v>405</v>
      </c>
      <c r="B300" s="1"/>
      <c r="C300" s="319">
        <f>[47]Sheet1!$I$3+[47]Sheet1!$I$5+[47]Sheet1!$I$8</f>
        <v>88042.333333333299</v>
      </c>
      <c r="D300" s="335">
        <v>9.766</v>
      </c>
      <c r="E300" s="323" t="s">
        <v>374</v>
      </c>
      <c r="F300" s="2">
        <f>ROUND(D300*$C300/100*D295,0)</f>
        <v>-86</v>
      </c>
      <c r="G300" s="335">
        <v>10.359</v>
      </c>
      <c r="H300" s="323" t="s">
        <v>374</v>
      </c>
      <c r="I300" s="2">
        <f>ROUND(G300*$C300/100*G295,0)</f>
        <v>-91</v>
      </c>
      <c r="J300" s="335">
        <f ca="1">J288</f>
        <v>6.282</v>
      </c>
      <c r="K300" s="323" t="s">
        <v>374</v>
      </c>
      <c r="L300" s="2">
        <f ca="1">ROUND(J300*$C300/100*J295,0)</f>
        <v>-55</v>
      </c>
      <c r="M300" s="2"/>
      <c r="N300" s="335">
        <f ca="1">N288</f>
        <v>1.3483746810352102</v>
      </c>
      <c r="O300" s="323" t="s">
        <v>374</v>
      </c>
      <c r="P300" s="2">
        <f ca="1">ROUND(N300*$C300/100*N295,0)</f>
        <v>-12</v>
      </c>
      <c r="Q300" s="2"/>
      <c r="R300" s="335">
        <f ca="1">R288</f>
        <v>1.7708525176705459</v>
      </c>
      <c r="S300" s="323" t="s">
        <v>374</v>
      </c>
      <c r="T300" s="2">
        <f ca="1">ROUND(R300*$C300/100*R295,0)</f>
        <v>-16</v>
      </c>
      <c r="U300" s="2"/>
      <c r="V300" s="335">
        <f ca="1">V288</f>
        <v>3.162955363125258</v>
      </c>
      <c r="W300" s="323" t="s">
        <v>374</v>
      </c>
      <c r="X300" s="2">
        <f ca="1">ROUND(V300*$C300/100*V295,0)</f>
        <v>-28</v>
      </c>
      <c r="Y300" s="20"/>
      <c r="Z300" s="74"/>
      <c r="AA300" s="74"/>
      <c r="AB300" s="74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U300" s="84"/>
    </row>
    <row r="301" spans="1:47" hidden="1">
      <c r="A301" s="1" t="s">
        <v>398</v>
      </c>
      <c r="B301" s="1"/>
      <c r="C301" s="319">
        <f>[47]Sheet1!$J$3+[47]Sheet1!$J$5+[47]Sheet1!$J$8+[47]Sheet1!$J$9</f>
        <v>435023.66666666698</v>
      </c>
      <c r="D301" s="335">
        <v>6.7460000000000004</v>
      </c>
      <c r="E301" s="323" t="s">
        <v>374</v>
      </c>
      <c r="F301" s="2">
        <f>ROUND(D301*$C301/100*D295,0)</f>
        <v>-293</v>
      </c>
      <c r="G301" s="335">
        <v>7.1559999999999997</v>
      </c>
      <c r="H301" s="323" t="s">
        <v>374</v>
      </c>
      <c r="I301" s="2">
        <f>ROUND(G301*$C301/100*G295,0)</f>
        <v>-311</v>
      </c>
      <c r="J301" s="335">
        <f ca="1">J289</f>
        <v>4.3410000000000002</v>
      </c>
      <c r="K301" s="323" t="s">
        <v>374</v>
      </c>
      <c r="L301" s="2">
        <f ca="1">ROUND(J301*$C301/100*J295,0)</f>
        <v>-189</v>
      </c>
      <c r="M301" s="2"/>
      <c r="N301" s="335">
        <f ca="1">N289</f>
        <v>0.93175626548296309</v>
      </c>
      <c r="O301" s="323" t="s">
        <v>374</v>
      </c>
      <c r="P301" s="2">
        <f ca="1">ROUND(N301*$C301/100*N295,0)</f>
        <v>-41</v>
      </c>
      <c r="Q301" s="2"/>
      <c r="R301" s="335">
        <f ca="1">R289</f>
        <v>1.2240066282869231</v>
      </c>
      <c r="S301" s="323" t="s">
        <v>374</v>
      </c>
      <c r="T301" s="2">
        <f ca="1">ROUND(R301*$C301/100*R295,0)</f>
        <v>-53</v>
      </c>
      <c r="U301" s="2"/>
      <c r="V301" s="335">
        <f ca="1">V289</f>
        <v>2.1849800075654815</v>
      </c>
      <c r="W301" s="323" t="s">
        <v>374</v>
      </c>
      <c r="X301" s="2">
        <f ca="1">ROUND(V301*$C301/100*V295,0)</f>
        <v>-95</v>
      </c>
      <c r="Y301" s="20"/>
      <c r="Z301" s="74"/>
      <c r="AA301" s="74"/>
      <c r="AB301" s="74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U301" s="84"/>
    </row>
    <row r="302" spans="1:47" hidden="1">
      <c r="A302" s="1" t="s">
        <v>399</v>
      </c>
      <c r="B302" s="1"/>
      <c r="C302" s="319">
        <f>[47]Sheet1!$H$3+[47]Sheet1!$H$5+[47]Sheet1!$H$8+[47]Sheet1!$H$9-C301-C300</f>
        <v>108979.99999999972</v>
      </c>
      <c r="D302" s="335">
        <v>5.8120000000000003</v>
      </c>
      <c r="E302" s="323" t="s">
        <v>374</v>
      </c>
      <c r="F302" s="2">
        <f>ROUND(D302*$C302/100*D295,0)</f>
        <v>-63</v>
      </c>
      <c r="G302" s="335">
        <v>6.1660000000000004</v>
      </c>
      <c r="H302" s="323" t="s">
        <v>374</v>
      </c>
      <c r="I302" s="2">
        <f>ROUND(G302*$C302/100*G295,0)</f>
        <v>-67</v>
      </c>
      <c r="J302" s="335">
        <f ca="1">J290</f>
        <v>3.74</v>
      </c>
      <c r="K302" s="323" t="s">
        <v>374</v>
      </c>
      <c r="L302" s="2">
        <f ca="1">ROUND(J302*$C302/100*J295,0)</f>
        <v>-41</v>
      </c>
      <c r="M302" s="2"/>
      <c r="N302" s="335">
        <f ca="1">N290</f>
        <v>0.80275718206159852</v>
      </c>
      <c r="O302" s="323" t="s">
        <v>374</v>
      </c>
      <c r="P302" s="2">
        <f ca="1">ROUND(N302*$C302/100*N295,0)</f>
        <v>-9</v>
      </c>
      <c r="Q302" s="2"/>
      <c r="R302" s="335">
        <f ca="1">R290</f>
        <v>1.0536847359511734</v>
      </c>
      <c r="S302" s="323" t="s">
        <v>374</v>
      </c>
      <c r="T302" s="2">
        <f ca="1">ROUND(R302*$C302/100*R295,0)</f>
        <v>-11</v>
      </c>
      <c r="U302" s="2"/>
      <c r="V302" s="335">
        <f ca="1">V290</f>
        <v>1.8834755557989509</v>
      </c>
      <c r="W302" s="323" t="s">
        <v>374</v>
      </c>
      <c r="X302" s="2">
        <f ca="1">ROUND(V302*$C302/100*V295,0)</f>
        <v>-21</v>
      </c>
      <c r="Y302" s="20"/>
      <c r="Z302" s="74"/>
      <c r="AA302" s="74"/>
      <c r="AB302" s="74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U302" s="84"/>
    </row>
    <row r="303" spans="1:47" hidden="1">
      <c r="A303" s="1" t="s">
        <v>400</v>
      </c>
      <c r="B303" s="1"/>
      <c r="C303" s="319">
        <f>[47]Sheet1!$L$3+[47]Sheet1!$L$5+[47]Sheet1!$L$8+[47]Sheet1!$L$9</f>
        <v>1148.3</v>
      </c>
      <c r="D303" s="336">
        <v>56</v>
      </c>
      <c r="E303" s="323" t="s">
        <v>374</v>
      </c>
      <c r="F303" s="2">
        <f>ROUND(D303*$C303/100*D295,0)</f>
        <v>-6</v>
      </c>
      <c r="G303" s="336">
        <v>56</v>
      </c>
      <c r="H303" s="323" t="s">
        <v>374</v>
      </c>
      <c r="I303" s="2">
        <f>ROUND(G303*$C303/100*G295,0)</f>
        <v>-6</v>
      </c>
      <c r="J303" s="336">
        <f>J291</f>
        <v>56</v>
      </c>
      <c r="K303" s="323" t="s">
        <v>374</v>
      </c>
      <c r="L303" s="2">
        <f>ROUND(J303*$C303/100*J295,0)</f>
        <v>-6</v>
      </c>
      <c r="M303" s="2"/>
      <c r="N303" s="336" t="str">
        <f>N291</f>
        <v xml:space="preserve"> </v>
      </c>
      <c r="O303" s="323" t="s">
        <v>374</v>
      </c>
      <c r="P303" s="2">
        <f>ROUND(N303*$C303/100*N295,0)</f>
        <v>0</v>
      </c>
      <c r="Q303" s="2"/>
      <c r="R303" s="336">
        <f ca="1">R291</f>
        <v>11</v>
      </c>
      <c r="S303" s="323" t="s">
        <v>374</v>
      </c>
      <c r="T303" s="2">
        <f ca="1">ROUND(R303*$C303/100*R295,0)</f>
        <v>-1</v>
      </c>
      <c r="U303" s="2"/>
      <c r="V303" s="336">
        <f ca="1">V291</f>
        <v>45</v>
      </c>
      <c r="W303" s="323" t="s">
        <v>374</v>
      </c>
      <c r="X303" s="2">
        <f ca="1">ROUND(V303*$C303/100*V295,0)</f>
        <v>-5</v>
      </c>
      <c r="Y303" s="20"/>
      <c r="Z303" s="74"/>
      <c r="AA303" s="74"/>
      <c r="AB303" s="74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U303" s="84"/>
    </row>
    <row r="304" spans="1:47" hidden="1">
      <c r="A304" s="1" t="s">
        <v>407</v>
      </c>
      <c r="B304" s="1"/>
      <c r="C304" s="319">
        <f>[47]Sheet1!$F$3+[47]Sheet1!$F$5+[47]Sheet1!$F$9</f>
        <v>120.8666666666667</v>
      </c>
      <c r="D304" s="337">
        <v>60</v>
      </c>
      <c r="E304" s="321"/>
      <c r="F304" s="2">
        <f>ROUND(D304*$C304,0)</f>
        <v>7252</v>
      </c>
      <c r="G304" s="337">
        <v>60</v>
      </c>
      <c r="H304" s="323"/>
      <c r="I304" s="2">
        <f>ROUND(G304*C304,0)</f>
        <v>7252</v>
      </c>
      <c r="J304" s="337">
        <f>$J$198</f>
        <v>60</v>
      </c>
      <c r="K304" s="323"/>
      <c r="L304" s="2">
        <f>ROUND(J304*$C304,0)</f>
        <v>7252</v>
      </c>
      <c r="M304" s="2"/>
      <c r="N304" s="337" t="str">
        <f>$N$198</f>
        <v xml:space="preserve"> </v>
      </c>
      <c r="O304" s="323"/>
      <c r="P304" s="2">
        <f>ROUND(N304*$C304,0)</f>
        <v>0</v>
      </c>
      <c r="Q304" s="2"/>
      <c r="R304" s="337">
        <f ca="1">$R$198</f>
        <v>11.86</v>
      </c>
      <c r="S304" s="323"/>
      <c r="T304" s="2">
        <f ca="1">ROUND(R304*$C304,0)</f>
        <v>1433</v>
      </c>
      <c r="U304" s="2"/>
      <c r="V304" s="337">
        <f ca="1">$V$198</f>
        <v>48.14</v>
      </c>
      <c r="W304" s="323"/>
      <c r="X304" s="2">
        <f ca="1">ROUND(V304*$C304,0)</f>
        <v>5819</v>
      </c>
      <c r="Y304" s="20"/>
      <c r="Z304" s="74"/>
      <c r="AA304" s="74"/>
      <c r="AB304" s="74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U304" s="84"/>
    </row>
    <row r="305" spans="1:47" hidden="1">
      <c r="A305" s="1" t="s">
        <v>408</v>
      </c>
      <c r="B305" s="1"/>
      <c r="C305" s="319">
        <f>[47]Sheet1!$G$3+[47]Sheet1!$G$5+[47]Sheet1!$G$9+[47]Sheet1!$G$7+[47]Sheet1!$G$22</f>
        <v>936</v>
      </c>
      <c r="D305" s="339">
        <v>-30</v>
      </c>
      <c r="E305" s="321" t="s">
        <v>374</v>
      </c>
      <c r="F305" s="2">
        <f>ROUND(D305*$C305/100,0)</f>
        <v>-281</v>
      </c>
      <c r="G305" s="339">
        <v>-30</v>
      </c>
      <c r="H305" s="323" t="s">
        <v>374</v>
      </c>
      <c r="I305" s="2">
        <f>ROUND(G305*C305/100,0)</f>
        <v>-281</v>
      </c>
      <c r="J305" s="339">
        <f>$J$199</f>
        <v>-30</v>
      </c>
      <c r="K305" s="323" t="s">
        <v>374</v>
      </c>
      <c r="L305" s="2">
        <f>ROUND(J305*$C305/100,0)</f>
        <v>-281</v>
      </c>
      <c r="M305" s="2"/>
      <c r="N305" s="339">
        <f>$N$199</f>
        <v>-30</v>
      </c>
      <c r="O305" s="323" t="s">
        <v>374</v>
      </c>
      <c r="P305" s="2">
        <f>ROUND(N305*$C305/100,0)</f>
        <v>-281</v>
      </c>
      <c r="Q305" s="2"/>
      <c r="R305" s="339" t="str">
        <f>$R$199</f>
        <v xml:space="preserve"> </v>
      </c>
      <c r="S305" s="323" t="s">
        <v>374</v>
      </c>
      <c r="T305" s="2">
        <f>ROUND(R305*$C305/100,0)</f>
        <v>0</v>
      </c>
      <c r="U305" s="2"/>
      <c r="V305" s="339" t="str">
        <f>$V$199</f>
        <v xml:space="preserve"> </v>
      </c>
      <c r="W305" s="323" t="s">
        <v>374</v>
      </c>
      <c r="X305" s="2">
        <f>ROUND(V305*$C305/100,0)</f>
        <v>0</v>
      </c>
      <c r="Y305" s="20"/>
      <c r="Z305" s="74"/>
      <c r="AA305" s="74"/>
      <c r="AB305" s="74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U305" s="84"/>
    </row>
    <row r="306" spans="1:47" s="1184" customFormat="1" hidden="1">
      <c r="A306" s="1005" t="s">
        <v>1032</v>
      </c>
      <c r="C306" s="1202">
        <f>C300</f>
        <v>88042.333333333299</v>
      </c>
      <c r="D306" s="269"/>
      <c r="E306" s="1185"/>
      <c r="F306" s="1203"/>
      <c r="G306" s="269"/>
      <c r="H306" s="1185"/>
      <c r="I306" s="1203"/>
      <c r="J306" s="1230">
        <f>J183</f>
        <v>4.5289999999999999</v>
      </c>
      <c r="K306" s="1009" t="s">
        <v>374</v>
      </c>
      <c r="L306" s="1203">
        <f>ROUND(J306*$C306/100*J295,0)</f>
        <v>-40</v>
      </c>
      <c r="M306" s="1203"/>
      <c r="N306" s="1230" t="str">
        <f>N183</f>
        <v xml:space="preserve"> </v>
      </c>
      <c r="O306" s="1009" t="s">
        <v>374</v>
      </c>
      <c r="P306" s="1203">
        <f>ROUND(N306*$C306/100*N295,0)</f>
        <v>0</v>
      </c>
      <c r="Q306" s="1203"/>
      <c r="R306" s="1230" t="str">
        <f>R183</f>
        <v xml:space="preserve"> </v>
      </c>
      <c r="S306" s="1009" t="s">
        <v>374</v>
      </c>
      <c r="T306" s="1203">
        <f>ROUND(R306*$C306/100*R295,0)</f>
        <v>0</v>
      </c>
      <c r="U306" s="1203"/>
      <c r="V306" s="1230">
        <f>V183</f>
        <v>4.5289999999999999</v>
      </c>
      <c r="W306" s="1009" t="s">
        <v>374</v>
      </c>
      <c r="X306" s="1203">
        <f>ROUND(V306*$C306/100*V295,0)</f>
        <v>-40</v>
      </c>
      <c r="Z306" s="815"/>
      <c r="AC306" s="1205"/>
      <c r="AD306" s="1205"/>
      <c r="AI306" s="1185"/>
      <c r="AJ306" s="1185"/>
      <c r="AK306" s="1185"/>
      <c r="AL306" s="1185"/>
      <c r="AM306" s="1185"/>
      <c r="AN306" s="1185"/>
      <c r="AO306" s="1185"/>
      <c r="AP306" s="1185"/>
      <c r="AQ306" s="1185"/>
      <c r="AR306" s="1185"/>
      <c r="AS306" s="1185"/>
      <c r="AU306" s="1204"/>
    </row>
    <row r="307" spans="1:47" s="1184" customFormat="1" hidden="1">
      <c r="A307" s="1005" t="s">
        <v>1033</v>
      </c>
      <c r="C307" s="1202">
        <f>C301</f>
        <v>435023.66666666698</v>
      </c>
      <c r="D307" s="269"/>
      <c r="E307" s="1185"/>
      <c r="F307" s="1203"/>
      <c r="G307" s="269"/>
      <c r="H307" s="1185"/>
      <c r="I307" s="1203"/>
      <c r="J307" s="1230">
        <f>J184</f>
        <v>3.1270000000000002</v>
      </c>
      <c r="K307" s="1009" t="s">
        <v>374</v>
      </c>
      <c r="L307" s="1203">
        <f>ROUND(J307*$C307/100*J295,0)</f>
        <v>-136</v>
      </c>
      <c r="M307" s="1203"/>
      <c r="N307" s="1230" t="str">
        <f>N184</f>
        <v xml:space="preserve"> </v>
      </c>
      <c r="O307" s="1009" t="s">
        <v>374</v>
      </c>
      <c r="P307" s="1203">
        <f>ROUND(N307*$C307/100*N295,0)</f>
        <v>0</v>
      </c>
      <c r="Q307" s="1203"/>
      <c r="R307" s="1230" t="str">
        <f>R184</f>
        <v xml:space="preserve"> </v>
      </c>
      <c r="S307" s="1009" t="s">
        <v>374</v>
      </c>
      <c r="T307" s="1203">
        <f>ROUND(R307*$C307/100*R295,0)</f>
        <v>0</v>
      </c>
      <c r="U307" s="1203"/>
      <c r="V307" s="1230">
        <f>V184</f>
        <v>3.1270000000000002</v>
      </c>
      <c r="W307" s="1009" t="s">
        <v>374</v>
      </c>
      <c r="X307" s="1203">
        <f>ROUND(V307*$C307/100*V295,0)</f>
        <v>-136</v>
      </c>
      <c r="Z307" s="815"/>
      <c r="AC307" s="1205"/>
      <c r="AD307" s="1205"/>
      <c r="AI307" s="1185"/>
      <c r="AJ307" s="1185"/>
      <c r="AK307" s="1185"/>
      <c r="AL307" s="1185"/>
      <c r="AM307" s="1185"/>
      <c r="AN307" s="1185"/>
      <c r="AO307" s="1185"/>
      <c r="AP307" s="1185"/>
      <c r="AQ307" s="1185"/>
      <c r="AR307" s="1185"/>
      <c r="AS307" s="1185"/>
      <c r="AU307" s="1204"/>
    </row>
    <row r="308" spans="1:47" s="1184" customFormat="1" hidden="1">
      <c r="A308" s="1005" t="s">
        <v>1034</v>
      </c>
      <c r="C308" s="1202">
        <f>C302</f>
        <v>108979.99999999972</v>
      </c>
      <c r="D308" s="269"/>
      <c r="E308" s="1185"/>
      <c r="F308" s="1203"/>
      <c r="G308" s="269"/>
      <c r="H308" s="1185"/>
      <c r="I308" s="1203"/>
      <c r="J308" s="1230">
        <f>J185</f>
        <v>2.6950000000000003</v>
      </c>
      <c r="K308" s="1009" t="s">
        <v>374</v>
      </c>
      <c r="L308" s="1203">
        <f>ROUND(J308*$C308/100*J295,0)</f>
        <v>-29</v>
      </c>
      <c r="M308" s="1203"/>
      <c r="N308" s="1230" t="str">
        <f>N185</f>
        <v xml:space="preserve"> </v>
      </c>
      <c r="O308" s="1009" t="s">
        <v>374</v>
      </c>
      <c r="P308" s="1203">
        <f>ROUND(N308*$C308/100*N297*N295,0)</f>
        <v>0</v>
      </c>
      <c r="Q308" s="1203"/>
      <c r="R308" s="1230" t="str">
        <f>R185</f>
        <v xml:space="preserve"> </v>
      </c>
      <c r="S308" s="1009" t="s">
        <v>374</v>
      </c>
      <c r="T308" s="1203">
        <f>ROUND(R308*$C308/100*R297*R295,0)</f>
        <v>0</v>
      </c>
      <c r="U308" s="1203"/>
      <c r="V308" s="1230">
        <f>V185</f>
        <v>2.6950000000000003</v>
      </c>
      <c r="W308" s="1009" t="s">
        <v>374</v>
      </c>
      <c r="X308" s="1203">
        <f>ROUND(V308*$C308/100*V295,0)</f>
        <v>-29</v>
      </c>
      <c r="Z308" s="815"/>
      <c r="AC308" s="1205"/>
      <c r="AD308" s="1205"/>
      <c r="AI308" s="1185"/>
      <c r="AJ308" s="1185"/>
      <c r="AK308" s="1185"/>
      <c r="AL308" s="1185"/>
      <c r="AM308" s="1185"/>
      <c r="AN308" s="1185"/>
      <c r="AO308" s="1185"/>
      <c r="AP308" s="1185"/>
      <c r="AQ308" s="1185"/>
      <c r="AR308" s="1185"/>
      <c r="AS308" s="1185"/>
      <c r="AU308" s="1204"/>
    </row>
    <row r="309" spans="1:47" hidden="1">
      <c r="A309" s="1" t="s">
        <v>381</v>
      </c>
      <c r="B309" s="307"/>
      <c r="C309" s="319">
        <f>SUM(C288:C290)</f>
        <v>517531476.59549809</v>
      </c>
      <c r="D309" s="330"/>
      <c r="E309" s="2"/>
      <c r="F309" s="2">
        <f>SUM(F283:F305)</f>
        <v>43403723</v>
      </c>
      <c r="G309" s="330"/>
      <c r="H309" s="323"/>
      <c r="I309" s="2">
        <f>SUM(I283:I305)</f>
        <v>45852343</v>
      </c>
      <c r="J309" s="330"/>
      <c r="K309" s="323"/>
      <c r="L309" s="2">
        <f ca="1">SUM(L283:L308)</f>
        <v>48114125</v>
      </c>
      <c r="M309" s="2"/>
      <c r="N309" s="330"/>
      <c r="O309" s="323"/>
      <c r="P309" s="2">
        <f ca="1">SUM(P283:P308)</f>
        <v>9326308</v>
      </c>
      <c r="Q309" s="2"/>
      <c r="R309" s="330"/>
      <c r="S309" s="323"/>
      <c r="T309" s="2">
        <f ca="1">SUM(T283:T308)</f>
        <v>7667820</v>
      </c>
      <c r="U309" s="2"/>
      <c r="V309" s="330"/>
      <c r="W309" s="323"/>
      <c r="X309" s="2">
        <f ca="1">SUM(X283:X308)</f>
        <v>31119411</v>
      </c>
      <c r="Y309" s="416"/>
      <c r="Z309" s="74"/>
      <c r="AA309" s="74"/>
      <c r="AB309" s="74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U309" s="84"/>
    </row>
    <row r="310" spans="1:47" hidden="1">
      <c r="A310" s="1" t="s">
        <v>363</v>
      </c>
      <c r="B310" s="1"/>
      <c r="C310" s="349">
        <f>'Table 2'!H41</f>
        <v>-1485757.4271905404</v>
      </c>
      <c r="D310" s="309"/>
      <c r="E310" s="309"/>
      <c r="F310" s="341">
        <f>I310</f>
        <v>-108790.9692585204</v>
      </c>
      <c r="G310" s="309"/>
      <c r="H310" s="309"/>
      <c r="I310" s="341">
        <f>'Table 3'!E41</f>
        <v>-108790.9692585204</v>
      </c>
      <c r="J310" s="309"/>
      <c r="K310" s="309"/>
      <c r="L310" s="341">
        <f>I310</f>
        <v>-108790.9692585204</v>
      </c>
      <c r="M310" s="322"/>
      <c r="N310" s="309"/>
      <c r="O310" s="309"/>
      <c r="P310" s="341">
        <f ca="1">P204/L204*L310</f>
        <v>-21446.11636590257</v>
      </c>
      <c r="Q310" s="322"/>
      <c r="R310" s="309"/>
      <c r="S310" s="309"/>
      <c r="T310" s="341">
        <f ca="1">T204/L204*L310</f>
        <v>-17270.956388497925</v>
      </c>
      <c r="U310" s="322"/>
      <c r="V310" s="309"/>
      <c r="W310" s="309"/>
      <c r="X310" s="341">
        <f ca="1">X204/L204*L310</f>
        <v>-70073.896504119912</v>
      </c>
      <c r="Y310" s="444"/>
      <c r="Z310" s="287"/>
      <c r="AA310" s="74"/>
      <c r="AB310" s="74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U310" s="84"/>
    </row>
    <row r="311" spans="1:47" ht="16.5" hidden="1" thickBot="1">
      <c r="A311" s="1" t="s">
        <v>382</v>
      </c>
      <c r="B311" s="1"/>
      <c r="C311" s="311">
        <f>SUM(C309:C310)</f>
        <v>516045719.16830754</v>
      </c>
      <c r="D311" s="342"/>
      <c r="E311" s="343"/>
      <c r="F311" s="344">
        <f>F309+F310</f>
        <v>43294932.030741483</v>
      </c>
      <c r="G311" s="342"/>
      <c r="H311" s="345"/>
      <c r="I311" s="344">
        <f>I309+I310</f>
        <v>45743552.030741483</v>
      </c>
      <c r="J311" s="342"/>
      <c r="K311" s="345"/>
      <c r="L311" s="344">
        <f ca="1">L309+L310</f>
        <v>48005334.030741483</v>
      </c>
      <c r="M311" s="344"/>
      <c r="N311" s="342"/>
      <c r="O311" s="345"/>
      <c r="P311" s="344">
        <f ca="1">P309+P310</f>
        <v>9304861.8836340979</v>
      </c>
      <c r="Q311" s="344"/>
      <c r="R311" s="342"/>
      <c r="S311" s="345"/>
      <c r="T311" s="344">
        <f ca="1">T309+T310</f>
        <v>7650549.0436115023</v>
      </c>
      <c r="U311" s="344"/>
      <c r="V311" s="342"/>
      <c r="W311" s="345"/>
      <c r="X311" s="344">
        <f ca="1">X309+X310</f>
        <v>31049337.103495881</v>
      </c>
      <c r="Y311" s="411"/>
      <c r="Z311" s="470"/>
      <c r="AA311" s="74"/>
      <c r="AB311" s="74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U311" s="84"/>
    </row>
    <row r="312" spans="1:47" ht="16.5" hidden="1" thickTop="1">
      <c r="A312" s="1"/>
      <c r="B312" s="1"/>
      <c r="C312" s="21"/>
      <c r="D312" s="337"/>
      <c r="E312" s="2"/>
      <c r="F312" s="2"/>
      <c r="G312" s="337"/>
      <c r="H312" s="1"/>
      <c r="I312" s="2"/>
      <c r="J312" s="337"/>
      <c r="K312" s="1"/>
      <c r="L312" s="2" t="s">
        <v>31</v>
      </c>
      <c r="M312" s="2"/>
      <c r="N312" s="337"/>
      <c r="O312" s="1"/>
      <c r="P312" s="2" t="s">
        <v>31</v>
      </c>
      <c r="Q312" s="2"/>
      <c r="R312" s="337"/>
      <c r="S312" s="1"/>
      <c r="T312" s="2" t="s">
        <v>31</v>
      </c>
      <c r="U312" s="2"/>
      <c r="V312" s="337"/>
      <c r="W312" s="1"/>
      <c r="X312" s="2" t="s">
        <v>31</v>
      </c>
      <c r="Y312" s="20"/>
      <c r="Z312" s="74"/>
      <c r="AA312" s="74"/>
      <c r="AB312" s="74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U312" s="84"/>
    </row>
    <row r="313" spans="1:47" hidden="1">
      <c r="A313" s="293" t="s">
        <v>387</v>
      </c>
      <c r="B313" s="1"/>
      <c r="C313" s="1"/>
      <c r="D313" s="2"/>
      <c r="E313" s="2"/>
      <c r="F313" s="1" t="s">
        <v>31</v>
      </c>
      <c r="G313" s="2"/>
      <c r="H313" s="1"/>
      <c r="I313" s="1"/>
      <c r="J313" s="2"/>
      <c r="K313" s="1"/>
      <c r="L313" s="1"/>
      <c r="M313" s="1"/>
      <c r="N313" s="2"/>
      <c r="O313" s="1"/>
      <c r="P313" s="1"/>
      <c r="Q313" s="1"/>
      <c r="R313" s="2"/>
      <c r="S313" s="1"/>
      <c r="T313" s="1"/>
      <c r="U313" s="1"/>
      <c r="V313" s="2"/>
      <c r="W313" s="1"/>
      <c r="X313" s="1"/>
      <c r="Y313" s="20"/>
      <c r="Z313" s="74"/>
      <c r="AA313" s="74"/>
      <c r="AB313" s="74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U313" s="84"/>
    </row>
    <row r="314" spans="1:47" hidden="1">
      <c r="A314" s="1" t="s">
        <v>414</v>
      </c>
      <c r="B314" s="1"/>
      <c r="C314" s="21"/>
      <c r="D314" s="2"/>
      <c r="E314" s="2"/>
      <c r="F314" s="1"/>
      <c r="G314" s="2"/>
      <c r="H314" s="1"/>
      <c r="I314" s="1"/>
      <c r="J314" s="2"/>
      <c r="K314" s="1"/>
      <c r="L314" s="1"/>
      <c r="M314" s="1"/>
      <c r="N314" s="2"/>
      <c r="O314" s="1"/>
      <c r="P314" s="1"/>
      <c r="Q314" s="1"/>
      <c r="R314" s="2"/>
      <c r="S314" s="1"/>
      <c r="T314" s="1"/>
      <c r="U314" s="1"/>
      <c r="V314" s="2"/>
      <c r="W314" s="1"/>
      <c r="X314" s="1"/>
      <c r="Y314" s="20"/>
      <c r="Z314" s="74"/>
      <c r="AA314" s="74"/>
      <c r="AB314" s="74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U314" s="84"/>
    </row>
    <row r="315" spans="1:47" hidden="1">
      <c r="A315" s="1"/>
      <c r="B315" s="1"/>
      <c r="C315" s="1"/>
      <c r="D315" s="2"/>
      <c r="E315" s="2"/>
      <c r="F315" s="1"/>
      <c r="G315" s="2"/>
      <c r="H315" s="1"/>
      <c r="I315" s="1"/>
      <c r="J315" s="2"/>
      <c r="K315" s="1"/>
      <c r="L315" s="1"/>
      <c r="M315" s="1"/>
      <c r="N315" s="2"/>
      <c r="O315" s="1"/>
      <c r="P315" s="1"/>
      <c r="Q315" s="1"/>
      <c r="R315" s="2"/>
      <c r="S315" s="1"/>
      <c r="T315" s="1"/>
      <c r="U315" s="1"/>
      <c r="V315" s="2"/>
      <c r="W315" s="1"/>
      <c r="X315" s="1"/>
      <c r="Y315" s="20"/>
      <c r="Z315" s="74"/>
      <c r="AA315" s="74"/>
      <c r="AB315" s="74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U315" s="84"/>
    </row>
    <row r="316" spans="1:47" hidden="1">
      <c r="A316" s="1" t="s">
        <v>393</v>
      </c>
      <c r="B316" s="1"/>
      <c r="C316" s="319"/>
      <c r="D316" s="2"/>
      <c r="E316" s="2"/>
      <c r="F316" s="1"/>
      <c r="G316" s="2"/>
      <c r="H316" s="1"/>
      <c r="I316" s="1"/>
      <c r="J316" s="2"/>
      <c r="K316" s="1"/>
      <c r="L316" s="1"/>
      <c r="M316" s="1"/>
      <c r="N316" s="2"/>
      <c r="O316" s="1"/>
      <c r="P316" s="1"/>
      <c r="Q316" s="1"/>
      <c r="R316" s="2"/>
      <c r="S316" s="1"/>
      <c r="T316" s="1"/>
      <c r="U316" s="1"/>
      <c r="V316" s="2"/>
      <c r="W316" s="1"/>
      <c r="X316" s="1"/>
      <c r="Y316" s="20"/>
      <c r="Z316" s="74"/>
      <c r="AA316" s="74"/>
      <c r="AB316" s="74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U316" s="84"/>
    </row>
    <row r="317" spans="1:47" hidden="1">
      <c r="A317" s="1" t="s">
        <v>390</v>
      </c>
      <c r="B317" s="1"/>
      <c r="C317" s="319">
        <f>[47]Sheet1!$F$14+[47]Sheet1!$F$16+[47]Sheet1!$F$19</f>
        <v>1861.099999999997</v>
      </c>
      <c r="D317" s="298">
        <v>8.7100000000000009</v>
      </c>
      <c r="E317" s="321"/>
      <c r="F317" s="2">
        <f>ROUND(D317*$C317,0)</f>
        <v>16210</v>
      </c>
      <c r="G317" s="298">
        <v>8.7100000000000009</v>
      </c>
      <c r="H317" s="323"/>
      <c r="I317" s="2">
        <f>ROUND(G317*$C317,0)</f>
        <v>16210</v>
      </c>
      <c r="J317" s="298">
        <f>$J$173</f>
        <v>10</v>
      </c>
      <c r="K317" s="323"/>
      <c r="L317" s="2">
        <f>ROUND(J317*$C317,0)</f>
        <v>18611</v>
      </c>
      <c r="M317" s="2"/>
      <c r="N317" s="298">
        <f>$N$173</f>
        <v>10</v>
      </c>
      <c r="O317" s="323"/>
      <c r="P317" s="2">
        <f>ROUND(N317*$C317,0)</f>
        <v>18611</v>
      </c>
      <c r="Q317" s="2"/>
      <c r="R317" s="298" t="str">
        <f>$R$173</f>
        <v xml:space="preserve"> </v>
      </c>
      <c r="S317" s="323"/>
      <c r="T317" s="2">
        <f>ROUND(R317*$C317,0)</f>
        <v>0</v>
      </c>
      <c r="U317" s="2"/>
      <c r="V317" s="298" t="str">
        <f>$V$173</f>
        <v xml:space="preserve"> </v>
      </c>
      <c r="W317" s="323"/>
      <c r="X317" s="2">
        <f>ROUND(V317*$C317,0)</f>
        <v>0</v>
      </c>
      <c r="Y317" s="20"/>
      <c r="Z317" s="74"/>
      <c r="AA317" s="74"/>
      <c r="AB317" s="74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U317" s="84"/>
    </row>
    <row r="318" spans="1:47" hidden="1">
      <c r="A318" s="1" t="s">
        <v>391</v>
      </c>
      <c r="B318" s="1"/>
      <c r="C318" s="319">
        <f>[47]Sheet1!$F$15+[47]Sheet1!$F$17+[47]Sheet1!$F$18+[47]Sheet1!$F$20</f>
        <v>2999.8999999999969</v>
      </c>
      <c r="D318" s="298">
        <v>12.98</v>
      </c>
      <c r="E318" s="324"/>
      <c r="F318" s="2">
        <f>ROUND(D318*$C318,0)</f>
        <v>38939</v>
      </c>
      <c r="G318" s="298">
        <v>12.98</v>
      </c>
      <c r="H318" s="325"/>
      <c r="I318" s="2">
        <f t="shared" ref="I318:I319" si="98">ROUND(G318*$C318,0)</f>
        <v>38939</v>
      </c>
      <c r="J318" s="298">
        <f>$J$174</f>
        <v>15</v>
      </c>
      <c r="K318" s="325"/>
      <c r="L318" s="2">
        <f>ROUND(J318*$C318,0)</f>
        <v>44999</v>
      </c>
      <c r="M318" s="2"/>
      <c r="N318" s="298">
        <f>$N$174</f>
        <v>15</v>
      </c>
      <c r="O318" s="325"/>
      <c r="P318" s="2">
        <f>ROUND(N318*$C318,0)</f>
        <v>44999</v>
      </c>
      <c r="Q318" s="2"/>
      <c r="R318" s="298" t="str">
        <f>$R$174</f>
        <v xml:space="preserve"> </v>
      </c>
      <c r="S318" s="325"/>
      <c r="T318" s="2">
        <f>ROUND(R318*$C318,0)</f>
        <v>0</v>
      </c>
      <c r="U318" s="2"/>
      <c r="V318" s="298" t="str">
        <f>$V$174</f>
        <v xml:space="preserve"> </v>
      </c>
      <c r="W318" s="325"/>
      <c r="X318" s="2">
        <f>ROUND(V318*$C318,0)</f>
        <v>0</v>
      </c>
      <c r="Y318" s="20"/>
      <c r="Z318" s="74"/>
      <c r="AA318" s="74"/>
      <c r="AB318" s="74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U318" s="84"/>
    </row>
    <row r="319" spans="1:47" hidden="1">
      <c r="A319" s="1" t="s">
        <v>392</v>
      </c>
      <c r="B319" s="1"/>
      <c r="C319" s="319">
        <f>[47]Sheet1!$G$31</f>
        <v>60190</v>
      </c>
      <c r="D319" s="298">
        <v>0.92</v>
      </c>
      <c r="E319" s="324"/>
      <c r="F319" s="2">
        <f>ROUND(D319*$C319,0)</f>
        <v>55375</v>
      </c>
      <c r="G319" s="298">
        <v>0.92</v>
      </c>
      <c r="H319" s="325"/>
      <c r="I319" s="2">
        <f t="shared" si="98"/>
        <v>55375</v>
      </c>
      <c r="J319" s="298">
        <f>$J$175</f>
        <v>1</v>
      </c>
      <c r="K319" s="325"/>
      <c r="L319" s="2">
        <f>ROUND(J319*$C319,0)</f>
        <v>60190</v>
      </c>
      <c r="M319" s="2"/>
      <c r="N319" s="298">
        <f>$N$175</f>
        <v>1</v>
      </c>
      <c r="O319" s="325"/>
      <c r="P319" s="2">
        <f>ROUND(N319*$C319,0)</f>
        <v>60190</v>
      </c>
      <c r="Q319" s="2"/>
      <c r="R319" s="298" t="str">
        <f>$R$175</f>
        <v xml:space="preserve"> </v>
      </c>
      <c r="S319" s="325"/>
      <c r="T319" s="2">
        <f>ROUND(R319*$C319,0)</f>
        <v>0</v>
      </c>
      <c r="U319" s="2"/>
      <c r="V319" s="298" t="str">
        <f>$V$175</f>
        <v xml:space="preserve"> </v>
      </c>
      <c r="W319" s="325"/>
      <c r="X319" s="2">
        <f>ROUND(V319*$C319,0)</f>
        <v>0</v>
      </c>
      <c r="Y319" s="20"/>
      <c r="Z319" s="74"/>
      <c r="AA319" s="74"/>
      <c r="AB319" s="74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U319" s="84"/>
    </row>
    <row r="320" spans="1:47" hidden="1">
      <c r="A320" s="1" t="s">
        <v>394</v>
      </c>
      <c r="B320" s="1"/>
      <c r="C320" s="319">
        <f>SUM(C317:C318)</f>
        <v>4860.9999999999936</v>
      </c>
      <c r="D320" s="298"/>
      <c r="E320" s="321"/>
      <c r="F320" s="2"/>
      <c r="G320" s="298"/>
      <c r="H320" s="323"/>
      <c r="I320" s="2"/>
      <c r="J320" s="298"/>
      <c r="K320" s="323"/>
      <c r="L320" s="2"/>
      <c r="M320" s="2"/>
      <c r="N320" s="298"/>
      <c r="O320" s="323"/>
      <c r="P320" s="2"/>
      <c r="Q320" s="2"/>
      <c r="R320" s="298"/>
      <c r="S320" s="323"/>
      <c r="T320" s="2"/>
      <c r="U320" s="2"/>
      <c r="V320" s="298"/>
      <c r="W320" s="323"/>
      <c r="X320" s="2"/>
      <c r="Y320" s="20"/>
      <c r="Z320" s="74"/>
      <c r="AA320" s="74"/>
      <c r="AB320" s="74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U320" s="84"/>
    </row>
    <row r="321" spans="1:47" hidden="1">
      <c r="A321" s="1" t="s">
        <v>395</v>
      </c>
      <c r="B321" s="1"/>
      <c r="C321" s="319">
        <f>[47]Sheet1!$K$31</f>
        <v>40259</v>
      </c>
      <c r="D321" s="326">
        <v>3.4</v>
      </c>
      <c r="E321" s="323"/>
      <c r="F321" s="2">
        <f>ROUND(D321*$C321,0)</f>
        <v>136881</v>
      </c>
      <c r="G321" s="326">
        <v>3.61</v>
      </c>
      <c r="H321" s="323"/>
      <c r="I321" s="2">
        <f>ROUND(G321*C321,0)</f>
        <v>145335</v>
      </c>
      <c r="J321" s="326">
        <f ca="1">$J$178</f>
        <v>3.77</v>
      </c>
      <c r="K321" s="323"/>
      <c r="L321" s="2">
        <f ca="1">ROUND(J321*$C321,0)</f>
        <v>151776</v>
      </c>
      <c r="M321" s="2"/>
      <c r="N321" s="326">
        <f ca="1">$N$178</f>
        <v>0.81</v>
      </c>
      <c r="O321" s="323"/>
      <c r="P321" s="2">
        <f ca="1">ROUND(N321*$C321,0)</f>
        <v>32610</v>
      </c>
      <c r="Q321" s="2"/>
      <c r="R321" s="326">
        <f ca="1">$R$178</f>
        <v>1.06</v>
      </c>
      <c r="S321" s="323"/>
      <c r="T321" s="2">
        <f ca="1">ROUND(R321*$C321,0)</f>
        <v>42675</v>
      </c>
      <c r="U321" s="2"/>
      <c r="V321" s="326">
        <f ca="1">$V$178</f>
        <v>1.9</v>
      </c>
      <c r="W321" s="323"/>
      <c r="X321" s="2">
        <f ca="1">ROUND(V321*$C321,0)</f>
        <v>76492</v>
      </c>
      <c r="Y321" s="20"/>
      <c r="Z321" s="74"/>
      <c r="AA321" s="74"/>
      <c r="AB321" s="74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U321" s="84"/>
    </row>
    <row r="322" spans="1:47" hidden="1">
      <c r="A322" s="1" t="s">
        <v>397</v>
      </c>
      <c r="B322" s="1"/>
      <c r="C322" s="319">
        <f>[47]Sheet1!$I$31</f>
        <v>3300267</v>
      </c>
      <c r="D322" s="299">
        <v>9.766</v>
      </c>
      <c r="E322" s="323" t="s">
        <v>374</v>
      </c>
      <c r="F322" s="2">
        <f>ROUND(D322*$C322/100,0)</f>
        <v>322304</v>
      </c>
      <c r="G322" s="299">
        <v>10.359</v>
      </c>
      <c r="H322" s="323" t="s">
        <v>374</v>
      </c>
      <c r="I322" s="2">
        <f>ROUND(G322*C322/100,0)</f>
        <v>341875</v>
      </c>
      <c r="J322" s="299">
        <f ca="1">$J$179</f>
        <v>6.282</v>
      </c>
      <c r="K322" s="323" t="s">
        <v>374</v>
      </c>
      <c r="L322" s="2">
        <f ca="1">ROUND(J322*$C322/100,0)</f>
        <v>207323</v>
      </c>
      <c r="M322" s="2"/>
      <c r="N322" s="299">
        <f ca="1">$N$179</f>
        <v>1.3483746810352102</v>
      </c>
      <c r="O322" s="323" t="s">
        <v>374</v>
      </c>
      <c r="P322" s="2">
        <f ca="1">ROUND(N322*$C322/100,0)</f>
        <v>44500</v>
      </c>
      <c r="Q322" s="2"/>
      <c r="R322" s="299">
        <f ca="1">$R$179</f>
        <v>1.7708525176705459</v>
      </c>
      <c r="S322" s="323" t="s">
        <v>374</v>
      </c>
      <c r="T322" s="2">
        <f ca="1">ROUND(R322*$C322/100,0)</f>
        <v>58443</v>
      </c>
      <c r="U322" s="2"/>
      <c r="V322" s="299">
        <f ca="1">$V$179</f>
        <v>3.162955363125258</v>
      </c>
      <c r="W322" s="323" t="s">
        <v>374</v>
      </c>
      <c r="X322" s="2">
        <f ca="1">ROUND(V322*$C322/100,0)</f>
        <v>104386</v>
      </c>
      <c r="Y322" s="20"/>
      <c r="Z322" s="74"/>
      <c r="AA322" s="74"/>
      <c r="AB322" s="74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U322" s="84"/>
    </row>
    <row r="323" spans="1:47" hidden="1">
      <c r="A323" s="1" t="s">
        <v>398</v>
      </c>
      <c r="B323" s="1"/>
      <c r="C323" s="319">
        <f>[47]Sheet1!$J$31</f>
        <v>9927982.9999999963</v>
      </c>
      <c r="D323" s="299">
        <v>6.7460000000000004</v>
      </c>
      <c r="E323" s="323" t="s">
        <v>374</v>
      </c>
      <c r="F323" s="2">
        <f>ROUND(D323*$C323/100,0)</f>
        <v>669742</v>
      </c>
      <c r="G323" s="299">
        <v>7.1559999999999997</v>
      </c>
      <c r="H323" s="323" t="s">
        <v>374</v>
      </c>
      <c r="I323" s="2">
        <f t="shared" ref="I323:I325" si="99">ROUND(G323*C323/100,0)</f>
        <v>710446</v>
      </c>
      <c r="J323" s="299">
        <f ca="1">$J$180</f>
        <v>4.3410000000000002</v>
      </c>
      <c r="K323" s="323" t="s">
        <v>374</v>
      </c>
      <c r="L323" s="2">
        <f ca="1">ROUND(J323*$C323/100,0)</f>
        <v>430974</v>
      </c>
      <c r="M323" s="2"/>
      <c r="N323" s="299">
        <f ca="1">$N$180</f>
        <v>0.93175626548296309</v>
      </c>
      <c r="O323" s="323" t="s">
        <v>374</v>
      </c>
      <c r="P323" s="2">
        <f ca="1">ROUND(N323*$C323/100,0)</f>
        <v>92505</v>
      </c>
      <c r="Q323" s="2"/>
      <c r="R323" s="299">
        <f ca="1">$R$180</f>
        <v>1.2240066282869231</v>
      </c>
      <c r="S323" s="323" t="s">
        <v>374</v>
      </c>
      <c r="T323" s="2">
        <f ca="1">ROUND(R323*$C323/100,0)</f>
        <v>121519</v>
      </c>
      <c r="U323" s="2"/>
      <c r="V323" s="299">
        <f ca="1">$V$180</f>
        <v>2.1849800075654815</v>
      </c>
      <c r="W323" s="323" t="s">
        <v>374</v>
      </c>
      <c r="X323" s="2">
        <f ca="1">ROUND(V323*$C323/100,0)</f>
        <v>216924</v>
      </c>
      <c r="Y323" s="20"/>
      <c r="Z323" s="74"/>
      <c r="AA323" s="74"/>
      <c r="AB323" s="74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U323" s="84"/>
    </row>
    <row r="324" spans="1:47" hidden="1">
      <c r="A324" s="1" t="s">
        <v>399</v>
      </c>
      <c r="B324" s="1"/>
      <c r="C324" s="319">
        <f>[47]Sheet1!$H$31-C323-C322</f>
        <v>5470687.0000000037</v>
      </c>
      <c r="D324" s="299">
        <v>5.8120000000000003</v>
      </c>
      <c r="E324" s="323" t="s">
        <v>374</v>
      </c>
      <c r="F324" s="2">
        <f>ROUND(D324*$C324/100,0)</f>
        <v>317956</v>
      </c>
      <c r="G324" s="299">
        <v>6.1660000000000004</v>
      </c>
      <c r="H324" s="323" t="s">
        <v>374</v>
      </c>
      <c r="I324" s="2">
        <f t="shared" si="99"/>
        <v>337323</v>
      </c>
      <c r="J324" s="299">
        <f ca="1">$J$181</f>
        <v>3.74</v>
      </c>
      <c r="K324" s="323" t="s">
        <v>374</v>
      </c>
      <c r="L324" s="2">
        <f ca="1">ROUND(J324*$C324/100,0)</f>
        <v>204604</v>
      </c>
      <c r="M324" s="2"/>
      <c r="N324" s="299">
        <f ca="1">$N$181</f>
        <v>0.80275718206159852</v>
      </c>
      <c r="O324" s="323" t="s">
        <v>374</v>
      </c>
      <c r="P324" s="2">
        <f ca="1">ROUND(N324*$C324/100,0)</f>
        <v>43916</v>
      </c>
      <c r="Q324" s="2"/>
      <c r="R324" s="299">
        <f ca="1">$R$181</f>
        <v>1.0536847359511734</v>
      </c>
      <c r="S324" s="323" t="s">
        <v>374</v>
      </c>
      <c r="T324" s="2">
        <f ca="1">ROUND(R324*$C324/100,0)</f>
        <v>57644</v>
      </c>
      <c r="U324" s="2"/>
      <c r="V324" s="299">
        <f ca="1">$V$181</f>
        <v>1.8834755557989509</v>
      </c>
      <c r="W324" s="323" t="s">
        <v>374</v>
      </c>
      <c r="X324" s="2">
        <f ca="1">ROUND(V324*$C324/100,0)</f>
        <v>103039</v>
      </c>
      <c r="Y324" s="20"/>
      <c r="Z324" s="74"/>
      <c r="AA324" s="74"/>
      <c r="AB324" s="74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U324" s="84"/>
    </row>
    <row r="325" spans="1:47" hidden="1">
      <c r="A325" s="1" t="s">
        <v>400</v>
      </c>
      <c r="B325" s="1"/>
      <c r="C325" s="319">
        <f>[47]Sheet1!$L$31</f>
        <v>13261.766666666701</v>
      </c>
      <c r="D325" s="330">
        <v>56</v>
      </c>
      <c r="E325" s="321" t="s">
        <v>374</v>
      </c>
      <c r="F325" s="2">
        <f>ROUND(D325*$C325/100,0)</f>
        <v>7427</v>
      </c>
      <c r="G325" s="330">
        <v>56</v>
      </c>
      <c r="H325" s="323" t="s">
        <v>374</v>
      </c>
      <c r="I325" s="2">
        <f t="shared" si="99"/>
        <v>7427</v>
      </c>
      <c r="J325" s="330">
        <f>$J$182</f>
        <v>56</v>
      </c>
      <c r="K325" s="323" t="s">
        <v>374</v>
      </c>
      <c r="L325" s="2">
        <f>ROUND(J325*$C325/100,0)</f>
        <v>7427</v>
      </c>
      <c r="M325" s="2"/>
      <c r="N325" s="330" t="str">
        <f>$N$182</f>
        <v xml:space="preserve"> </v>
      </c>
      <c r="O325" s="323" t="s">
        <v>374</v>
      </c>
      <c r="P325" s="2">
        <f>ROUND(N325*$C325/100,0)</f>
        <v>0</v>
      </c>
      <c r="Q325" s="2"/>
      <c r="R325" s="330">
        <f ca="1">$R$182</f>
        <v>11</v>
      </c>
      <c r="S325" s="323" t="s">
        <v>374</v>
      </c>
      <c r="T325" s="2">
        <f ca="1">ROUND(R325*$C325/100,0)</f>
        <v>1459</v>
      </c>
      <c r="U325" s="2"/>
      <c r="V325" s="330">
        <f ca="1">$V$182</f>
        <v>45</v>
      </c>
      <c r="W325" s="323" t="s">
        <v>374</v>
      </c>
      <c r="X325" s="2">
        <f ca="1">ROUND(V325*$C325/100,0)</f>
        <v>5968</v>
      </c>
      <c r="Y325" s="20"/>
      <c r="Z325" s="74"/>
      <c r="AA325" s="74"/>
      <c r="AB325" s="74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U325" s="84"/>
    </row>
    <row r="326" spans="1:47" s="1184" customFormat="1" hidden="1">
      <c r="A326" s="1005" t="s">
        <v>1032</v>
      </c>
      <c r="C326" s="1202">
        <f>C322</f>
        <v>3300267</v>
      </c>
      <c r="D326" s="269"/>
      <c r="E326" s="1185"/>
      <c r="F326" s="1203"/>
      <c r="G326" s="269"/>
      <c r="H326" s="1185"/>
      <c r="I326" s="1203"/>
      <c r="J326" s="1230">
        <f>J183</f>
        <v>4.5289999999999999</v>
      </c>
      <c r="K326" s="1009" t="s">
        <v>374</v>
      </c>
      <c r="L326" s="1203">
        <f t="shared" ref="L326:L328" si="100">ROUND(J326*$C326/100,0)</f>
        <v>149469</v>
      </c>
      <c r="M326" s="1203"/>
      <c r="N326" s="1230" t="str">
        <f>N183</f>
        <v xml:space="preserve"> </v>
      </c>
      <c r="O326" s="1009" t="s">
        <v>374</v>
      </c>
      <c r="P326" s="1203">
        <f t="shared" ref="P326:P328" si="101">ROUND(N326*$C326/100,0)</f>
        <v>0</v>
      </c>
      <c r="Q326" s="1203"/>
      <c r="R326" s="1230" t="str">
        <f>R183</f>
        <v xml:space="preserve"> </v>
      </c>
      <c r="S326" s="1009" t="s">
        <v>374</v>
      </c>
      <c r="T326" s="1203">
        <f t="shared" ref="T326:T328" si="102">ROUND(R326*$C326/100,0)</f>
        <v>0</v>
      </c>
      <c r="U326" s="1203"/>
      <c r="V326" s="1230">
        <f>V183</f>
        <v>4.5289999999999999</v>
      </c>
      <c r="W326" s="1009" t="s">
        <v>374</v>
      </c>
      <c r="X326" s="1203">
        <f t="shared" ref="X326:X328" si="103">ROUND(V326*$C326/100,0)</f>
        <v>149469</v>
      </c>
      <c r="Z326" s="815"/>
      <c r="AC326" s="1205"/>
      <c r="AD326" s="1205"/>
      <c r="AI326" s="1185"/>
      <c r="AJ326" s="1185"/>
      <c r="AK326" s="1185"/>
      <c r="AL326" s="1185"/>
      <c r="AM326" s="1185"/>
      <c r="AN326" s="1185"/>
      <c r="AO326" s="1185"/>
      <c r="AP326" s="1185"/>
      <c r="AQ326" s="1185"/>
      <c r="AR326" s="1185"/>
      <c r="AS326" s="1185"/>
      <c r="AU326" s="1204"/>
    </row>
    <row r="327" spans="1:47" s="1184" customFormat="1" hidden="1">
      <c r="A327" s="1005" t="s">
        <v>1033</v>
      </c>
      <c r="C327" s="1202">
        <f>C323</f>
        <v>9927982.9999999963</v>
      </c>
      <c r="D327" s="269"/>
      <c r="E327" s="1185"/>
      <c r="F327" s="1203"/>
      <c r="G327" s="269"/>
      <c r="H327" s="1185"/>
      <c r="I327" s="1203"/>
      <c r="J327" s="1230">
        <f>J184</f>
        <v>3.1270000000000002</v>
      </c>
      <c r="K327" s="1009" t="s">
        <v>374</v>
      </c>
      <c r="L327" s="1203">
        <f t="shared" si="100"/>
        <v>310448</v>
      </c>
      <c r="M327" s="1203"/>
      <c r="N327" s="1230" t="str">
        <f>N184</f>
        <v xml:space="preserve"> </v>
      </c>
      <c r="O327" s="1009" t="s">
        <v>374</v>
      </c>
      <c r="P327" s="1203">
        <f t="shared" si="101"/>
        <v>0</v>
      </c>
      <c r="Q327" s="1203"/>
      <c r="R327" s="1230" t="str">
        <f>R184</f>
        <v xml:space="preserve"> </v>
      </c>
      <c r="S327" s="1009" t="s">
        <v>374</v>
      </c>
      <c r="T327" s="1203">
        <f t="shared" si="102"/>
        <v>0</v>
      </c>
      <c r="U327" s="1203"/>
      <c r="V327" s="1230">
        <f>V184</f>
        <v>3.1270000000000002</v>
      </c>
      <c r="W327" s="1009" t="s">
        <v>374</v>
      </c>
      <c r="X327" s="1203">
        <f t="shared" si="103"/>
        <v>310448</v>
      </c>
      <c r="Z327" s="815"/>
      <c r="AC327" s="1205"/>
      <c r="AD327" s="1205"/>
      <c r="AI327" s="1185"/>
      <c r="AJ327" s="1185"/>
      <c r="AK327" s="1185"/>
      <c r="AL327" s="1185"/>
      <c r="AM327" s="1185"/>
      <c r="AN327" s="1185"/>
      <c r="AO327" s="1185"/>
      <c r="AP327" s="1185"/>
      <c r="AQ327" s="1185"/>
      <c r="AR327" s="1185"/>
      <c r="AS327" s="1185"/>
      <c r="AU327" s="1204"/>
    </row>
    <row r="328" spans="1:47" s="1184" customFormat="1" hidden="1">
      <c r="A328" s="1005" t="s">
        <v>1034</v>
      </c>
      <c r="C328" s="1202">
        <f>C324</f>
        <v>5470687.0000000037</v>
      </c>
      <c r="D328" s="269"/>
      <c r="E328" s="1185"/>
      <c r="F328" s="1203"/>
      <c r="G328" s="269"/>
      <c r="H328" s="1185"/>
      <c r="I328" s="1203"/>
      <c r="J328" s="1230">
        <f>J185</f>
        <v>2.6950000000000003</v>
      </c>
      <c r="K328" s="1009" t="s">
        <v>374</v>
      </c>
      <c r="L328" s="1203">
        <f t="shared" si="100"/>
        <v>147435</v>
      </c>
      <c r="M328" s="1203"/>
      <c r="N328" s="1230" t="str">
        <f>N185</f>
        <v xml:space="preserve"> </v>
      </c>
      <c r="O328" s="1009" t="s">
        <v>374</v>
      </c>
      <c r="P328" s="1203">
        <f t="shared" si="101"/>
        <v>0</v>
      </c>
      <c r="Q328" s="1203"/>
      <c r="R328" s="1230" t="str">
        <f>R185</f>
        <v xml:space="preserve"> </v>
      </c>
      <c r="S328" s="1009" t="s">
        <v>374</v>
      </c>
      <c r="T328" s="1203">
        <f t="shared" si="102"/>
        <v>0</v>
      </c>
      <c r="U328" s="1203"/>
      <c r="V328" s="1230">
        <f>V185</f>
        <v>2.6950000000000003</v>
      </c>
      <c r="W328" s="1009" t="s">
        <v>374</v>
      </c>
      <c r="X328" s="1203">
        <f t="shared" si="103"/>
        <v>147435</v>
      </c>
      <c r="Z328" s="815"/>
      <c r="AC328" s="1205"/>
      <c r="AD328" s="1205"/>
      <c r="AI328" s="1185"/>
      <c r="AJ328" s="1185"/>
      <c r="AK328" s="1185"/>
      <c r="AL328" s="1185"/>
      <c r="AM328" s="1185"/>
      <c r="AN328" s="1185"/>
      <c r="AO328" s="1185"/>
      <c r="AP328" s="1185"/>
      <c r="AQ328" s="1185"/>
      <c r="AR328" s="1185"/>
      <c r="AS328" s="1185"/>
      <c r="AU328" s="1204"/>
    </row>
    <row r="329" spans="1:47" hidden="1">
      <c r="A329" s="331" t="s">
        <v>401</v>
      </c>
      <c r="B329" s="1"/>
      <c r="C329" s="319"/>
      <c r="D329" s="332">
        <v>-0.01</v>
      </c>
      <c r="E329" s="321"/>
      <c r="F329" s="2"/>
      <c r="G329" s="332">
        <v>-0.01</v>
      </c>
      <c r="H329" s="323"/>
      <c r="I329" s="2"/>
      <c r="J329" s="332">
        <v>-0.01</v>
      </c>
      <c r="K329" s="323"/>
      <c r="L329" s="2"/>
      <c r="M329" s="2"/>
      <c r="N329" s="332">
        <v>-0.01</v>
      </c>
      <c r="O329" s="323"/>
      <c r="P329" s="2"/>
      <c r="Q329" s="2"/>
      <c r="R329" s="332">
        <v>-0.01</v>
      </c>
      <c r="S329" s="323"/>
      <c r="T329" s="2"/>
      <c r="U329" s="2"/>
      <c r="V329" s="332">
        <v>-0.01</v>
      </c>
      <c r="W329" s="323"/>
      <c r="X329" s="2"/>
      <c r="Y329" s="20"/>
      <c r="Z329" s="74"/>
      <c r="AA329" s="74"/>
      <c r="AB329" s="74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U329" s="84"/>
    </row>
    <row r="330" spans="1:47" hidden="1">
      <c r="A330" s="1" t="s">
        <v>390</v>
      </c>
      <c r="B330" s="1"/>
      <c r="C330" s="319">
        <v>0</v>
      </c>
      <c r="D330" s="334">
        <v>8.7100000000000009</v>
      </c>
      <c r="E330" s="321"/>
      <c r="F330" s="2">
        <f>-ROUND(D330*$C330/100,0)</f>
        <v>0</v>
      </c>
      <c r="G330" s="334">
        <v>8.7100000000000009</v>
      </c>
      <c r="H330" s="321"/>
      <c r="I330" s="2">
        <f>-ROUND(G330*$C330/100,0)</f>
        <v>0</v>
      </c>
      <c r="J330" s="334">
        <f>J317</f>
        <v>10</v>
      </c>
      <c r="K330" s="321"/>
      <c r="L330" s="2">
        <f>-ROUND(J330*$C330/100,0)</f>
        <v>0</v>
      </c>
      <c r="M330" s="2"/>
      <c r="N330" s="334">
        <f>N317</f>
        <v>10</v>
      </c>
      <c r="O330" s="321"/>
      <c r="P330" s="2">
        <f>-ROUND(N330*$C330/100,0)</f>
        <v>0</v>
      </c>
      <c r="Q330" s="2"/>
      <c r="R330" s="334" t="str">
        <f>R317</f>
        <v xml:space="preserve"> </v>
      </c>
      <c r="S330" s="321"/>
      <c r="T330" s="2">
        <f>-ROUND(R330*$C330/100,0)</f>
        <v>0</v>
      </c>
      <c r="U330" s="2"/>
      <c r="V330" s="334" t="str">
        <f>V317</f>
        <v xml:space="preserve"> </v>
      </c>
      <c r="W330" s="321"/>
      <c r="X330" s="2">
        <f>-ROUND(V330*$C330/100,0)</f>
        <v>0</v>
      </c>
      <c r="Y330" s="20"/>
      <c r="Z330" s="74"/>
      <c r="AA330" s="74"/>
      <c r="AB330" s="74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U330" s="84"/>
    </row>
    <row r="331" spans="1:47" hidden="1">
      <c r="A331" s="1" t="s">
        <v>391</v>
      </c>
      <c r="B331" s="1"/>
      <c r="C331" s="319">
        <f>[47]Sheet1!$F$17</f>
        <v>2.6</v>
      </c>
      <c r="D331" s="334">
        <v>12.98</v>
      </c>
      <c r="E331" s="321"/>
      <c r="F331" s="2">
        <f>-ROUND(D331*$C331/100,0)</f>
        <v>0</v>
      </c>
      <c r="G331" s="334">
        <v>12.98</v>
      </c>
      <c r="H331" s="321"/>
      <c r="I331" s="2">
        <f t="shared" ref="I331:I333" si="104">-ROUND(G331*$C331/100,0)</f>
        <v>0</v>
      </c>
      <c r="J331" s="334">
        <f>J318</f>
        <v>15</v>
      </c>
      <c r="K331" s="321"/>
      <c r="L331" s="2">
        <f>-ROUND(J331*$C331/100,0)</f>
        <v>0</v>
      </c>
      <c r="M331" s="2"/>
      <c r="N331" s="334">
        <f>N318</f>
        <v>15</v>
      </c>
      <c r="O331" s="321"/>
      <c r="P331" s="2">
        <f>-ROUND(N331*$C331/100,0)</f>
        <v>0</v>
      </c>
      <c r="Q331" s="2"/>
      <c r="R331" s="334" t="str">
        <f>R318</f>
        <v xml:space="preserve"> </v>
      </c>
      <c r="S331" s="321"/>
      <c r="T331" s="2">
        <f>-ROUND(R331*$C331/100,0)</f>
        <v>0</v>
      </c>
      <c r="U331" s="2"/>
      <c r="V331" s="334" t="str">
        <f>V318</f>
        <v xml:space="preserve"> </v>
      </c>
      <c r="W331" s="321"/>
      <c r="X331" s="2">
        <f>-ROUND(V331*$C331/100,0)</f>
        <v>0</v>
      </c>
      <c r="Y331" s="20"/>
      <c r="Z331" s="74"/>
      <c r="AA331" s="74"/>
      <c r="AB331" s="74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U331" s="84"/>
    </row>
    <row r="332" spans="1:47" hidden="1">
      <c r="A332" s="1" t="s">
        <v>402</v>
      </c>
      <c r="B332" s="1"/>
      <c r="C332" s="319">
        <f>[47]Sheet1!$G$17</f>
        <v>193</v>
      </c>
      <c r="D332" s="334">
        <v>0.92</v>
      </c>
      <c r="E332" s="321"/>
      <c r="F332" s="2">
        <f>-ROUND(D332*$C332/100,0)</f>
        <v>-2</v>
      </c>
      <c r="G332" s="334">
        <v>0.92</v>
      </c>
      <c r="H332" s="321"/>
      <c r="I332" s="2">
        <f t="shared" si="104"/>
        <v>-2</v>
      </c>
      <c r="J332" s="334">
        <f>J319</f>
        <v>1</v>
      </c>
      <c r="K332" s="321"/>
      <c r="L332" s="2">
        <f>-ROUND(J332*$C332/100,0)</f>
        <v>-2</v>
      </c>
      <c r="M332" s="2"/>
      <c r="N332" s="334">
        <f>N319</f>
        <v>1</v>
      </c>
      <c r="O332" s="321"/>
      <c r="P332" s="2">
        <f>-ROUND(N332*$C332/100,0)</f>
        <v>-2</v>
      </c>
      <c r="Q332" s="2"/>
      <c r="R332" s="334" t="str">
        <f>R319</f>
        <v xml:space="preserve"> </v>
      </c>
      <c r="S332" s="321"/>
      <c r="T332" s="2">
        <f>-ROUND(R332*$C332/100,0)</f>
        <v>0</v>
      </c>
      <c r="U332" s="2"/>
      <c r="V332" s="334" t="str">
        <f>V319</f>
        <v xml:space="preserve"> </v>
      </c>
      <c r="W332" s="321"/>
      <c r="X332" s="2">
        <f>-ROUND(V332*$C332/100,0)</f>
        <v>0</v>
      </c>
      <c r="Y332" s="20"/>
      <c r="Z332" s="74"/>
      <c r="AA332" s="74"/>
      <c r="AB332" s="74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U332" s="84"/>
    </row>
    <row r="333" spans="1:47" hidden="1">
      <c r="A333" s="1" t="s">
        <v>403</v>
      </c>
      <c r="B333" s="1"/>
      <c r="C333" s="319">
        <f>[47]Sheet1!$K$17</f>
        <v>181</v>
      </c>
      <c r="D333" s="334">
        <v>3.4</v>
      </c>
      <c r="E333" s="323"/>
      <c r="F333" s="2">
        <f>-ROUND(D333*$C333/100,0)</f>
        <v>-6</v>
      </c>
      <c r="G333" s="334">
        <v>3.61</v>
      </c>
      <c r="H333" s="323"/>
      <c r="I333" s="2">
        <f t="shared" si="104"/>
        <v>-7</v>
      </c>
      <c r="J333" s="334">
        <f ca="1">J321</f>
        <v>3.77</v>
      </c>
      <c r="K333" s="323"/>
      <c r="L333" s="2">
        <f ca="1">-ROUND(J333*$C333/100,0)</f>
        <v>-7</v>
      </c>
      <c r="M333" s="2"/>
      <c r="N333" s="334">
        <f ca="1">N321</f>
        <v>0.81</v>
      </c>
      <c r="O333" s="323"/>
      <c r="P333" s="2">
        <f ca="1">-ROUND(N333*$C333/100,0)</f>
        <v>-1</v>
      </c>
      <c r="Q333" s="2"/>
      <c r="R333" s="334">
        <f ca="1">R321</f>
        <v>1.06</v>
      </c>
      <c r="S333" s="323"/>
      <c r="T333" s="2">
        <f ca="1">-ROUND(R333*$C333/100,0)</f>
        <v>-2</v>
      </c>
      <c r="U333" s="2"/>
      <c r="V333" s="334">
        <f ca="1">V321</f>
        <v>1.9</v>
      </c>
      <c r="W333" s="323"/>
      <c r="X333" s="2">
        <f ca="1">-ROUND(V333*$C333/100,0)</f>
        <v>-3</v>
      </c>
      <c r="Y333" s="20"/>
      <c r="Z333" s="74"/>
      <c r="AA333" s="74"/>
      <c r="AB333" s="74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U333" s="84"/>
    </row>
    <row r="334" spans="1:47" hidden="1">
      <c r="A334" s="1" t="s">
        <v>405</v>
      </c>
      <c r="B334" s="1"/>
      <c r="C334" s="319">
        <f>[47]Sheet1!$I$17</f>
        <v>2600</v>
      </c>
      <c r="D334" s="335">
        <v>9.766</v>
      </c>
      <c r="E334" s="323" t="s">
        <v>374</v>
      </c>
      <c r="F334" s="2">
        <f>ROUND(D334*$C334/100*D329,0)</f>
        <v>-3</v>
      </c>
      <c r="G334" s="335">
        <v>10.359</v>
      </c>
      <c r="H334" s="323" t="s">
        <v>374</v>
      </c>
      <c r="I334" s="2">
        <f>ROUND(G334*$C334/100*G329,0)</f>
        <v>-3</v>
      </c>
      <c r="J334" s="335">
        <f ca="1">J322</f>
        <v>6.282</v>
      </c>
      <c r="K334" s="323" t="s">
        <v>374</v>
      </c>
      <c r="L334" s="2">
        <f ca="1">ROUND(J334*$C334/100*J329,0)</f>
        <v>-2</v>
      </c>
      <c r="M334" s="2"/>
      <c r="N334" s="335">
        <f ca="1">N322</f>
        <v>1.3483746810352102</v>
      </c>
      <c r="O334" s="323" t="s">
        <v>374</v>
      </c>
      <c r="P334" s="2">
        <f ca="1">ROUND(N334*$C334/100*N329,0)</f>
        <v>0</v>
      </c>
      <c r="Q334" s="2"/>
      <c r="R334" s="335">
        <f ca="1">R322</f>
        <v>1.7708525176705459</v>
      </c>
      <c r="S334" s="323" t="s">
        <v>374</v>
      </c>
      <c r="T334" s="2">
        <f ca="1">ROUND(R334*$C334/100*R329,0)</f>
        <v>0</v>
      </c>
      <c r="U334" s="2"/>
      <c r="V334" s="335">
        <f ca="1">V322</f>
        <v>3.162955363125258</v>
      </c>
      <c r="W334" s="323" t="s">
        <v>374</v>
      </c>
      <c r="X334" s="2">
        <f ca="1">ROUND(V334*$C334/100*V329,0)</f>
        <v>-1</v>
      </c>
      <c r="Y334" s="20"/>
      <c r="Z334" s="74"/>
      <c r="AA334" s="74"/>
      <c r="AB334" s="74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U334" s="84"/>
    </row>
    <row r="335" spans="1:47" hidden="1">
      <c r="A335" s="1" t="s">
        <v>398</v>
      </c>
      <c r="B335" s="1"/>
      <c r="C335" s="319">
        <f>[47]Sheet1!$J$17</f>
        <v>20800</v>
      </c>
      <c r="D335" s="335">
        <v>6.7460000000000004</v>
      </c>
      <c r="E335" s="323" t="s">
        <v>374</v>
      </c>
      <c r="F335" s="2">
        <f>ROUND(D335*$C335/100*D329,0)</f>
        <v>-14</v>
      </c>
      <c r="G335" s="335">
        <v>7.1559999999999997</v>
      </c>
      <c r="H335" s="323" t="s">
        <v>374</v>
      </c>
      <c r="I335" s="2">
        <f>ROUND(G335*$C335/100*G329,0)</f>
        <v>-15</v>
      </c>
      <c r="J335" s="335">
        <f ca="1">J323</f>
        <v>4.3410000000000002</v>
      </c>
      <c r="K335" s="323" t="s">
        <v>374</v>
      </c>
      <c r="L335" s="2">
        <f ca="1">ROUND(J335*$C335/100*J329,0)</f>
        <v>-9</v>
      </c>
      <c r="M335" s="2"/>
      <c r="N335" s="335">
        <f ca="1">N323</f>
        <v>0.93175626548296309</v>
      </c>
      <c r="O335" s="323" t="s">
        <v>374</v>
      </c>
      <c r="P335" s="2">
        <f ca="1">ROUND(N335*$C335/100*N329,0)</f>
        <v>-2</v>
      </c>
      <c r="Q335" s="2"/>
      <c r="R335" s="335">
        <f ca="1">R323</f>
        <v>1.2240066282869231</v>
      </c>
      <c r="S335" s="323" t="s">
        <v>374</v>
      </c>
      <c r="T335" s="2">
        <f ca="1">ROUND(R335*$C335/100*R329,0)</f>
        <v>-3</v>
      </c>
      <c r="U335" s="2"/>
      <c r="V335" s="335">
        <f ca="1">V323</f>
        <v>2.1849800075654815</v>
      </c>
      <c r="W335" s="323" t="s">
        <v>374</v>
      </c>
      <c r="X335" s="2">
        <f ca="1">ROUND(V335*$C335/100*V329,0)</f>
        <v>-5</v>
      </c>
      <c r="Y335" s="20"/>
      <c r="Z335" s="74"/>
      <c r="AA335" s="74"/>
      <c r="AB335" s="74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U335" s="84"/>
    </row>
    <row r="336" spans="1:47" hidden="1">
      <c r="A336" s="1" t="s">
        <v>399</v>
      </c>
      <c r="B336" s="1"/>
      <c r="C336" s="319">
        <f>[47]Sheet1!$H$17-C335-C334</f>
        <v>67800</v>
      </c>
      <c r="D336" s="335">
        <v>5.8120000000000003</v>
      </c>
      <c r="E336" s="323" t="s">
        <v>374</v>
      </c>
      <c r="F336" s="2">
        <f>ROUND(D336*$C336/100*D329,0)</f>
        <v>-39</v>
      </c>
      <c r="G336" s="335">
        <v>6.1660000000000004</v>
      </c>
      <c r="H336" s="323" t="s">
        <v>374</v>
      </c>
      <c r="I336" s="2">
        <f>ROUND(G336*$C336/100*G329,0)</f>
        <v>-42</v>
      </c>
      <c r="J336" s="335">
        <f ca="1">J324</f>
        <v>3.74</v>
      </c>
      <c r="K336" s="323" t="s">
        <v>374</v>
      </c>
      <c r="L336" s="2">
        <f ca="1">ROUND(J336*$C336/100*J329,0)</f>
        <v>-25</v>
      </c>
      <c r="M336" s="2"/>
      <c r="N336" s="335">
        <f ca="1">N324</f>
        <v>0.80275718206159852</v>
      </c>
      <c r="O336" s="323" t="s">
        <v>374</v>
      </c>
      <c r="P336" s="2">
        <f ca="1">ROUND(N336*$C336/100*N329,0)</f>
        <v>-5</v>
      </c>
      <c r="Q336" s="2"/>
      <c r="R336" s="335">
        <f ca="1">R324</f>
        <v>1.0536847359511734</v>
      </c>
      <c r="S336" s="323" t="s">
        <v>374</v>
      </c>
      <c r="T336" s="2">
        <f ca="1">ROUND(R336*$C336/100*R329,0)</f>
        <v>-7</v>
      </c>
      <c r="U336" s="2"/>
      <c r="V336" s="335">
        <f ca="1">V324</f>
        <v>1.8834755557989509</v>
      </c>
      <c r="W336" s="323" t="s">
        <v>374</v>
      </c>
      <c r="X336" s="2">
        <f ca="1">ROUND(V336*$C336/100*V329,0)</f>
        <v>-13</v>
      </c>
      <c r="Y336" s="20"/>
      <c r="Z336" s="74"/>
      <c r="AA336" s="74"/>
      <c r="AB336" s="74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U336" s="84"/>
    </row>
    <row r="337" spans="1:47" hidden="1">
      <c r="A337" s="1" t="s">
        <v>400</v>
      </c>
      <c r="B337" s="1"/>
      <c r="C337" s="319">
        <v>0</v>
      </c>
      <c r="D337" s="336">
        <v>56</v>
      </c>
      <c r="E337" s="323" t="s">
        <v>374</v>
      </c>
      <c r="F337" s="2">
        <f>ROUND(D337*$C337/100*D329,0)</f>
        <v>0</v>
      </c>
      <c r="G337" s="336">
        <v>56</v>
      </c>
      <c r="H337" s="323" t="s">
        <v>374</v>
      </c>
      <c r="I337" s="2">
        <f>ROUND(G337*$C337/100*G329,0)</f>
        <v>0</v>
      </c>
      <c r="J337" s="336">
        <f>J325</f>
        <v>56</v>
      </c>
      <c r="K337" s="323" t="s">
        <v>374</v>
      </c>
      <c r="L337" s="2">
        <f>ROUND(J337*$C337/100*J329,0)</f>
        <v>0</v>
      </c>
      <c r="M337" s="2"/>
      <c r="N337" s="336" t="str">
        <f>N325</f>
        <v xml:space="preserve"> </v>
      </c>
      <c r="O337" s="323" t="s">
        <v>374</v>
      </c>
      <c r="P337" s="2">
        <f>ROUND(N337*$C337/100*N329,0)</f>
        <v>0</v>
      </c>
      <c r="Q337" s="2"/>
      <c r="R337" s="336">
        <f ca="1">R325</f>
        <v>11</v>
      </c>
      <c r="S337" s="323" t="s">
        <v>374</v>
      </c>
      <c r="T337" s="2">
        <f ca="1">ROUND(R337*$C337/100*R329,0)</f>
        <v>0</v>
      </c>
      <c r="U337" s="2"/>
      <c r="V337" s="336">
        <f ca="1">V325</f>
        <v>45</v>
      </c>
      <c r="W337" s="323" t="s">
        <v>374</v>
      </c>
      <c r="X337" s="2">
        <f ca="1">ROUND(V337*$C337/100*V329,0)</f>
        <v>0</v>
      </c>
      <c r="Y337" s="20"/>
      <c r="Z337" s="74"/>
      <c r="AA337" s="74"/>
      <c r="AB337" s="74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U337" s="84"/>
    </row>
    <row r="338" spans="1:47" hidden="1">
      <c r="A338" s="1" t="s">
        <v>407</v>
      </c>
      <c r="B338" s="1"/>
      <c r="C338" s="319">
        <f>[47]Sheet1!$F$17</f>
        <v>2.6</v>
      </c>
      <c r="D338" s="337">
        <v>60</v>
      </c>
      <c r="E338" s="321"/>
      <c r="F338" s="2">
        <f>ROUND(D338*$C338,0)</f>
        <v>156</v>
      </c>
      <c r="G338" s="337">
        <v>60</v>
      </c>
      <c r="H338" s="323"/>
      <c r="I338" s="2">
        <f>ROUND(G338*C338,0)</f>
        <v>156</v>
      </c>
      <c r="J338" s="337">
        <f>$J$198</f>
        <v>60</v>
      </c>
      <c r="K338" s="323"/>
      <c r="L338" s="2">
        <f>ROUND(J338*$C338,0)</f>
        <v>156</v>
      </c>
      <c r="M338" s="2"/>
      <c r="N338" s="337" t="str">
        <f>$N$198</f>
        <v xml:space="preserve"> </v>
      </c>
      <c r="O338" s="323"/>
      <c r="P338" s="2">
        <f>ROUND(N338*$C338,0)</f>
        <v>0</v>
      </c>
      <c r="Q338" s="2"/>
      <c r="R338" s="337">
        <f ca="1">$R$198</f>
        <v>11.86</v>
      </c>
      <c r="S338" s="323"/>
      <c r="T338" s="2">
        <f ca="1">ROUND(R338*$C338,0)</f>
        <v>31</v>
      </c>
      <c r="U338" s="2"/>
      <c r="V338" s="337">
        <f ca="1">$V$198</f>
        <v>48.14</v>
      </c>
      <c r="W338" s="323"/>
      <c r="X338" s="2">
        <f ca="1">ROUND(V338*$C338,0)</f>
        <v>125</v>
      </c>
      <c r="Y338" s="20"/>
      <c r="Z338" s="74"/>
      <c r="AA338" s="74"/>
      <c r="AB338" s="74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U338" s="84"/>
    </row>
    <row r="339" spans="1:47" hidden="1">
      <c r="A339" s="1" t="s">
        <v>408</v>
      </c>
      <c r="B339" s="1"/>
      <c r="C339" s="319">
        <f>[47]Sheet1!$G$17</f>
        <v>193</v>
      </c>
      <c r="D339" s="339">
        <v>-30</v>
      </c>
      <c r="E339" s="321" t="s">
        <v>374</v>
      </c>
      <c r="F339" s="2">
        <f>ROUND(D339*$C339/100,0)</f>
        <v>-58</v>
      </c>
      <c r="G339" s="339">
        <v>-30</v>
      </c>
      <c r="H339" s="323" t="s">
        <v>374</v>
      </c>
      <c r="I339" s="2">
        <f>ROUND(G339*C339/100,0)</f>
        <v>-58</v>
      </c>
      <c r="J339" s="339">
        <f>$J$199</f>
        <v>-30</v>
      </c>
      <c r="K339" s="323" t="s">
        <v>374</v>
      </c>
      <c r="L339" s="2">
        <f>ROUND(J339*$C339/100,0)</f>
        <v>-58</v>
      </c>
      <c r="M339" s="2"/>
      <c r="N339" s="339">
        <f>$N$199</f>
        <v>-30</v>
      </c>
      <c r="O339" s="323" t="s">
        <v>374</v>
      </c>
      <c r="P339" s="2">
        <f>ROUND(N339*$C339/100,0)</f>
        <v>-58</v>
      </c>
      <c r="Q339" s="2"/>
      <c r="R339" s="339" t="str">
        <f>$R$199</f>
        <v xml:space="preserve"> </v>
      </c>
      <c r="S339" s="323" t="s">
        <v>374</v>
      </c>
      <c r="T339" s="2">
        <f>ROUND(R339*$C339/100,0)</f>
        <v>0</v>
      </c>
      <c r="U339" s="2"/>
      <c r="V339" s="339" t="str">
        <f>$V$199</f>
        <v xml:space="preserve"> </v>
      </c>
      <c r="W339" s="323" t="s">
        <v>374</v>
      </c>
      <c r="X339" s="2">
        <f>ROUND(V339*$C339/100,0)</f>
        <v>0</v>
      </c>
      <c r="Y339" s="20"/>
      <c r="Z339" s="74"/>
      <c r="AA339" s="74"/>
      <c r="AB339" s="74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U339" s="84"/>
    </row>
    <row r="340" spans="1:47" s="1184" customFormat="1" hidden="1">
      <c r="A340" s="1005" t="s">
        <v>1032</v>
      </c>
      <c r="C340" s="1202">
        <f>C334</f>
        <v>2600</v>
      </c>
      <c r="D340" s="269"/>
      <c r="E340" s="1185"/>
      <c r="F340" s="1203"/>
      <c r="G340" s="269"/>
      <c r="H340" s="1185"/>
      <c r="I340" s="1203"/>
      <c r="J340" s="1230">
        <f>J183</f>
        <v>4.5289999999999999</v>
      </c>
      <c r="K340" s="1009" t="s">
        <v>374</v>
      </c>
      <c r="L340" s="1203">
        <f>ROUND(J340*$C340/100*J329,0)</f>
        <v>-1</v>
      </c>
      <c r="M340" s="1203"/>
      <c r="N340" s="1230" t="str">
        <f>N183</f>
        <v xml:space="preserve"> </v>
      </c>
      <c r="O340" s="1009" t="s">
        <v>374</v>
      </c>
      <c r="P340" s="1203">
        <f>ROUND(N340*$C340/100*N329,0)</f>
        <v>0</v>
      </c>
      <c r="Q340" s="1203"/>
      <c r="R340" s="1230" t="str">
        <f>R183</f>
        <v xml:space="preserve"> </v>
      </c>
      <c r="S340" s="1009" t="s">
        <v>374</v>
      </c>
      <c r="T340" s="1203">
        <f>ROUND(R340*$C340/100*R329,0)</f>
        <v>0</v>
      </c>
      <c r="U340" s="1203"/>
      <c r="V340" s="1230">
        <f>V183</f>
        <v>4.5289999999999999</v>
      </c>
      <c r="W340" s="1009" t="s">
        <v>374</v>
      </c>
      <c r="X340" s="1203">
        <f>ROUND(V340*$C340/100*V329,0)</f>
        <v>-1</v>
      </c>
      <c r="Z340" s="815"/>
      <c r="AC340" s="1205"/>
      <c r="AD340" s="1205"/>
      <c r="AI340" s="1185"/>
      <c r="AJ340" s="1185"/>
      <c r="AK340" s="1185"/>
      <c r="AL340" s="1185"/>
      <c r="AM340" s="1185"/>
      <c r="AN340" s="1185"/>
      <c r="AO340" s="1185"/>
      <c r="AP340" s="1185"/>
      <c r="AQ340" s="1185"/>
      <c r="AR340" s="1185"/>
      <c r="AS340" s="1185"/>
      <c r="AU340" s="1204"/>
    </row>
    <row r="341" spans="1:47" s="1184" customFormat="1" hidden="1">
      <c r="A341" s="1005" t="s">
        <v>1033</v>
      </c>
      <c r="C341" s="1202">
        <f>C335</f>
        <v>20800</v>
      </c>
      <c r="D341" s="269"/>
      <c r="E341" s="1185"/>
      <c r="F341" s="1203"/>
      <c r="G341" s="269"/>
      <c r="H341" s="1185"/>
      <c r="I341" s="1203"/>
      <c r="J341" s="1230">
        <f>J184</f>
        <v>3.1270000000000002</v>
      </c>
      <c r="K341" s="1009" t="s">
        <v>374</v>
      </c>
      <c r="L341" s="1203">
        <f>ROUND(J341*$C341/100*J329,0)</f>
        <v>-7</v>
      </c>
      <c r="M341" s="1203"/>
      <c r="N341" s="1230" t="str">
        <f>N184</f>
        <v xml:space="preserve"> </v>
      </c>
      <c r="O341" s="1009" t="s">
        <v>374</v>
      </c>
      <c r="P341" s="1203">
        <f>ROUND(N341*$C341/100*N329,0)</f>
        <v>0</v>
      </c>
      <c r="Q341" s="1203"/>
      <c r="R341" s="1230" t="str">
        <f>R184</f>
        <v xml:space="preserve"> </v>
      </c>
      <c r="S341" s="1009" t="s">
        <v>374</v>
      </c>
      <c r="T341" s="1203">
        <f>ROUND(R341*$C341/100*R329,0)</f>
        <v>0</v>
      </c>
      <c r="U341" s="1203"/>
      <c r="V341" s="1230">
        <f>V184</f>
        <v>3.1270000000000002</v>
      </c>
      <c r="W341" s="1009" t="s">
        <v>374</v>
      </c>
      <c r="X341" s="1203">
        <f>ROUND(V341*$C341/100*V329,0)</f>
        <v>-7</v>
      </c>
      <c r="Z341" s="815"/>
      <c r="AC341" s="1205"/>
      <c r="AD341" s="1205"/>
      <c r="AI341" s="1185"/>
      <c r="AJ341" s="1185"/>
      <c r="AK341" s="1185"/>
      <c r="AL341" s="1185"/>
      <c r="AM341" s="1185"/>
      <c r="AN341" s="1185"/>
      <c r="AO341" s="1185"/>
      <c r="AP341" s="1185"/>
      <c r="AQ341" s="1185"/>
      <c r="AR341" s="1185"/>
      <c r="AS341" s="1185"/>
      <c r="AU341" s="1204"/>
    </row>
    <row r="342" spans="1:47" s="1184" customFormat="1" hidden="1">
      <c r="A342" s="1005" t="s">
        <v>1034</v>
      </c>
      <c r="C342" s="1202">
        <f>C336</f>
        <v>67800</v>
      </c>
      <c r="D342" s="269"/>
      <c r="E342" s="1185"/>
      <c r="F342" s="1203"/>
      <c r="G342" s="269"/>
      <c r="H342" s="1185"/>
      <c r="I342" s="1203"/>
      <c r="J342" s="1230">
        <f>J185</f>
        <v>2.6950000000000003</v>
      </c>
      <c r="K342" s="1009" t="s">
        <v>374</v>
      </c>
      <c r="L342" s="1203">
        <f>ROUND(J342*$C342/100*J329,0)</f>
        <v>-18</v>
      </c>
      <c r="M342" s="1203"/>
      <c r="N342" s="1230" t="str">
        <f>N185</f>
        <v xml:space="preserve"> </v>
      </c>
      <c r="O342" s="1009" t="s">
        <v>374</v>
      </c>
      <c r="P342" s="1203">
        <f>ROUND(N342*$C342/100*N329,0)</f>
        <v>0</v>
      </c>
      <c r="Q342" s="1203"/>
      <c r="R342" s="1230" t="str">
        <f>R185</f>
        <v xml:space="preserve"> </v>
      </c>
      <c r="S342" s="1009" t="s">
        <v>374</v>
      </c>
      <c r="T342" s="1203">
        <f>ROUND(R342*$C342/100*R329,0)</f>
        <v>0</v>
      </c>
      <c r="U342" s="1203"/>
      <c r="V342" s="1230">
        <f>V185</f>
        <v>2.6950000000000003</v>
      </c>
      <c r="W342" s="1009" t="s">
        <v>374</v>
      </c>
      <c r="X342" s="1203">
        <f>ROUND(V342*$C342/100*V329,0)</f>
        <v>-18</v>
      </c>
      <c r="Z342" s="815"/>
      <c r="AC342" s="1205"/>
      <c r="AD342" s="1205"/>
      <c r="AI342" s="1185"/>
      <c r="AJ342" s="1185"/>
      <c r="AK342" s="1185"/>
      <c r="AL342" s="1185"/>
      <c r="AM342" s="1185"/>
      <c r="AN342" s="1185"/>
      <c r="AO342" s="1185"/>
      <c r="AP342" s="1185"/>
      <c r="AQ342" s="1185"/>
      <c r="AR342" s="1185"/>
      <c r="AS342" s="1185"/>
      <c r="AU342" s="1204"/>
    </row>
    <row r="343" spans="1:47" hidden="1">
      <c r="A343" s="1" t="s">
        <v>381</v>
      </c>
      <c r="B343" s="1"/>
      <c r="C343" s="319">
        <f>SUM(C322:C324)</f>
        <v>18698937</v>
      </c>
      <c r="D343" s="330"/>
      <c r="E343" s="2"/>
      <c r="F343" s="2">
        <f>SUM(F317:F339)</f>
        <v>1564868</v>
      </c>
      <c r="G343" s="330"/>
      <c r="H343" s="323"/>
      <c r="I343" s="2">
        <f>SUM(I317:I339)</f>
        <v>1652959</v>
      </c>
      <c r="J343" s="330"/>
      <c r="K343" s="323"/>
      <c r="L343" s="2">
        <f ca="1">SUM(L317:L342)</f>
        <v>1733283</v>
      </c>
      <c r="M343" s="2"/>
      <c r="N343" s="330"/>
      <c r="O343" s="323"/>
      <c r="P343" s="2">
        <f ca="1">SUM(P317:P342)</f>
        <v>337263</v>
      </c>
      <c r="Q343" s="2"/>
      <c r="R343" s="330"/>
      <c r="S343" s="323"/>
      <c r="T343" s="2">
        <f ca="1">SUM(T317:T342)</f>
        <v>281759</v>
      </c>
      <c r="U343" s="2"/>
      <c r="V343" s="330"/>
      <c r="W343" s="323"/>
      <c r="X343" s="2">
        <f ca="1">SUM(X317:X342)</f>
        <v>1114238</v>
      </c>
      <c r="Y343" s="20"/>
      <c r="Z343" s="74"/>
      <c r="AA343" s="74"/>
      <c r="AB343" s="74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U343" s="84"/>
    </row>
    <row r="344" spans="1:47" hidden="1">
      <c r="A344" s="1" t="s">
        <v>363</v>
      </c>
      <c r="B344" s="1"/>
      <c r="C344" s="349">
        <f ca="1">'Table 2'!H71</f>
        <v>-299510.970415727</v>
      </c>
      <c r="D344" s="309"/>
      <c r="E344" s="309"/>
      <c r="F344" s="341">
        <f ca="1">I344</f>
        <v>-34132.350163578827</v>
      </c>
      <c r="G344" s="309"/>
      <c r="H344" s="309"/>
      <c r="I344" s="341">
        <f ca="1">'Table 3'!E71</f>
        <v>-34132.350163578827</v>
      </c>
      <c r="J344" s="309"/>
      <c r="K344" s="309"/>
      <c r="L344" s="341">
        <f ca="1">I344</f>
        <v>-34132.350163578827</v>
      </c>
      <c r="M344" s="322"/>
      <c r="N344" s="309"/>
      <c r="O344" s="309"/>
      <c r="P344" s="341">
        <f ca="1">P204/L204*L344</f>
        <v>-6728.5580635868373</v>
      </c>
      <c r="Q344" s="322"/>
      <c r="R344" s="309"/>
      <c r="S344" s="309"/>
      <c r="T344" s="341">
        <f ca="1">T204/L204*L344</f>
        <v>-5418.6329539107492</v>
      </c>
      <c r="U344" s="322"/>
      <c r="V344" s="309"/>
      <c r="W344" s="309"/>
      <c r="X344" s="341">
        <f ca="1">X204/L204*L344</f>
        <v>-21985.159146081241</v>
      </c>
      <c r="Y344" s="444"/>
      <c r="Z344" s="287"/>
      <c r="AA344" s="74"/>
      <c r="AB344" s="74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U344" s="84"/>
    </row>
    <row r="345" spans="1:47" ht="16.5" hidden="1" thickBot="1">
      <c r="A345" s="1" t="s">
        <v>382</v>
      </c>
      <c r="B345" s="1"/>
      <c r="C345" s="311">
        <f ca="1">SUM(C343:C344)</f>
        <v>18399426.029584274</v>
      </c>
      <c r="D345" s="342"/>
      <c r="E345" s="343"/>
      <c r="F345" s="344">
        <f ca="1">F343+F344</f>
        <v>1530735.6498364212</v>
      </c>
      <c r="G345" s="342"/>
      <c r="H345" s="345"/>
      <c r="I345" s="344">
        <f ca="1">I343+I344</f>
        <v>1618826.6498364212</v>
      </c>
      <c r="J345" s="342"/>
      <c r="K345" s="345"/>
      <c r="L345" s="344">
        <f ca="1">L343+L344</f>
        <v>1699150.6498364212</v>
      </c>
      <c r="M345" s="344"/>
      <c r="N345" s="342"/>
      <c r="O345" s="345"/>
      <c r="P345" s="344">
        <f ca="1">P343+P344</f>
        <v>330534.44193641318</v>
      </c>
      <c r="Q345" s="344"/>
      <c r="R345" s="342"/>
      <c r="S345" s="345"/>
      <c r="T345" s="344">
        <f ca="1">T343+T344</f>
        <v>276340.36704608926</v>
      </c>
      <c r="U345" s="344"/>
      <c r="V345" s="342"/>
      <c r="W345" s="345"/>
      <c r="X345" s="344">
        <f ca="1">X343+X344</f>
        <v>1092252.8408539188</v>
      </c>
      <c r="Y345" s="411"/>
      <c r="Z345" s="470"/>
      <c r="AA345" s="74"/>
      <c r="AB345" s="74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U345" s="84"/>
    </row>
    <row r="346" spans="1:47" ht="16.5" hidden="1" thickTop="1">
      <c r="A346" s="1"/>
      <c r="B346" s="1"/>
      <c r="C346" s="350"/>
      <c r="D346" s="351"/>
      <c r="E346" s="352"/>
      <c r="F346" s="322"/>
      <c r="G346" s="351"/>
      <c r="H346" s="23"/>
      <c r="I346" s="322"/>
      <c r="J346" s="351"/>
      <c r="K346" s="23"/>
      <c r="L346" s="322"/>
      <c r="M346" s="322"/>
      <c r="N346" s="351"/>
      <c r="O346" s="23"/>
      <c r="P346" s="322"/>
      <c r="Q346" s="322"/>
      <c r="R346" s="351"/>
      <c r="S346" s="23"/>
      <c r="T346" s="322"/>
      <c r="U346" s="322"/>
      <c r="V346" s="351"/>
      <c r="W346" s="23"/>
      <c r="X346" s="322"/>
      <c r="Y346" s="20"/>
      <c r="Z346" s="74"/>
      <c r="AA346" s="74"/>
      <c r="AB346" s="74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U346" s="84"/>
    </row>
    <row r="347" spans="1:47" hidden="1">
      <c r="A347" s="293" t="s">
        <v>415</v>
      </c>
      <c r="B347" s="1"/>
      <c r="C347" s="1"/>
      <c r="D347" s="2"/>
      <c r="E347" s="2"/>
      <c r="F347" s="1" t="s">
        <v>31</v>
      </c>
      <c r="G347" s="2"/>
      <c r="H347" s="1"/>
      <c r="I347" s="1"/>
      <c r="J347" s="2"/>
      <c r="K347" s="1"/>
      <c r="L347" s="1"/>
      <c r="M347" s="1"/>
      <c r="N347" s="2"/>
      <c r="O347" s="1"/>
      <c r="P347" s="1"/>
      <c r="Q347" s="1"/>
      <c r="R347" s="2"/>
      <c r="S347" s="1"/>
      <c r="T347" s="1"/>
      <c r="U347" s="1"/>
      <c r="V347" s="2"/>
      <c r="W347" s="1"/>
      <c r="X347" s="1"/>
      <c r="Y347" s="20"/>
      <c r="Z347" s="74"/>
      <c r="AA347" s="74"/>
      <c r="AB347" s="74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U347" s="84"/>
    </row>
    <row r="348" spans="1:47" hidden="1">
      <c r="A348" s="1" t="s">
        <v>410</v>
      </c>
      <c r="B348" s="1"/>
      <c r="C348" s="1"/>
      <c r="D348" s="2"/>
      <c r="E348" s="2"/>
      <c r="F348" s="1"/>
      <c r="G348" s="2"/>
      <c r="H348" s="1"/>
      <c r="I348" s="1"/>
      <c r="J348" s="2"/>
      <c r="K348" s="1"/>
      <c r="L348" s="1"/>
      <c r="M348" s="1"/>
      <c r="N348" s="2"/>
      <c r="O348" s="1"/>
      <c r="P348" s="1"/>
      <c r="Q348" s="1"/>
      <c r="R348" s="2"/>
      <c r="S348" s="1"/>
      <c r="T348" s="1"/>
      <c r="U348" s="1"/>
      <c r="V348" s="2"/>
      <c r="W348" s="1"/>
      <c r="X348" s="1"/>
      <c r="Y348" s="20"/>
      <c r="Z348" s="74"/>
      <c r="AA348" s="74"/>
      <c r="AB348" s="74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U348" s="84"/>
    </row>
    <row r="349" spans="1:47" hidden="1">
      <c r="A349" s="1"/>
      <c r="B349" s="1"/>
      <c r="C349" s="1"/>
      <c r="D349" s="2"/>
      <c r="E349" s="2"/>
      <c r="F349" s="1"/>
      <c r="G349" s="2"/>
      <c r="H349" s="1"/>
      <c r="I349" s="1"/>
      <c r="J349" s="2"/>
      <c r="K349" s="1"/>
      <c r="L349" s="1"/>
      <c r="M349" s="1"/>
      <c r="N349" s="2"/>
      <c r="O349" s="1"/>
      <c r="P349" s="1"/>
      <c r="Q349" s="1"/>
      <c r="R349" s="2"/>
      <c r="S349" s="1"/>
      <c r="T349" s="1"/>
      <c r="U349" s="1"/>
      <c r="V349" s="2"/>
      <c r="W349" s="1"/>
      <c r="X349" s="1"/>
      <c r="Y349" s="20"/>
      <c r="Z349" s="74"/>
      <c r="AA349" s="74"/>
      <c r="AB349" s="74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U349" s="84"/>
    </row>
    <row r="350" spans="1:47" hidden="1">
      <c r="A350" s="1" t="s">
        <v>393</v>
      </c>
      <c r="B350" s="1"/>
      <c r="C350" s="319"/>
      <c r="D350" s="2"/>
      <c r="E350" s="2"/>
      <c r="F350" s="1"/>
      <c r="G350" s="2"/>
      <c r="H350" s="1"/>
      <c r="I350" s="1"/>
      <c r="J350" s="2"/>
      <c r="K350" s="1"/>
      <c r="L350" s="1"/>
      <c r="M350" s="1"/>
      <c r="N350" s="2"/>
      <c r="O350" s="1"/>
      <c r="P350" s="1"/>
      <c r="Q350" s="1"/>
      <c r="R350" s="2"/>
      <c r="S350" s="1"/>
      <c r="T350" s="1"/>
      <c r="U350" s="1"/>
      <c r="V350" s="2"/>
      <c r="W350" s="1"/>
      <c r="X350" s="1"/>
      <c r="Y350" s="20"/>
      <c r="Z350" s="74"/>
      <c r="AA350" s="74"/>
      <c r="AB350" s="74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U350" s="84"/>
    </row>
    <row r="351" spans="1:47" hidden="1">
      <c r="A351" s="1" t="s">
        <v>416</v>
      </c>
      <c r="B351" s="1"/>
      <c r="C351" s="319">
        <f>C386+C421</f>
        <v>4565.6865373805158</v>
      </c>
      <c r="D351" s="298">
        <v>8.7100000000000009</v>
      </c>
      <c r="E351" s="321"/>
      <c r="F351" s="2">
        <f>F386+F421</f>
        <v>39767</v>
      </c>
      <c r="G351" s="298">
        <v>8.7100000000000009</v>
      </c>
      <c r="H351" s="323"/>
      <c r="I351" s="2">
        <f>ROUND(G351*$C351,0)</f>
        <v>39767</v>
      </c>
      <c r="J351" s="298">
        <f>$J$173</f>
        <v>10</v>
      </c>
      <c r="K351" s="323"/>
      <c r="L351" s="2">
        <f>L386+L421</f>
        <v>45657</v>
      </c>
      <c r="M351" s="2"/>
      <c r="N351" s="298">
        <f>$N$173</f>
        <v>10</v>
      </c>
      <c r="O351" s="323"/>
      <c r="P351" s="2">
        <f>P386+P421</f>
        <v>45657</v>
      </c>
      <c r="Q351" s="2"/>
      <c r="R351" s="298" t="str">
        <f>$R$173</f>
        <v xml:space="preserve"> </v>
      </c>
      <c r="S351" s="323"/>
      <c r="T351" s="2">
        <f>T386+T421</f>
        <v>0</v>
      </c>
      <c r="U351" s="2"/>
      <c r="V351" s="298" t="str">
        <f>$V$173</f>
        <v xml:space="preserve"> </v>
      </c>
      <c r="W351" s="323"/>
      <c r="X351" s="2">
        <f>X386+X421</f>
        <v>0</v>
      </c>
      <c r="Y351" s="20"/>
      <c r="Z351" s="74"/>
      <c r="AA351" s="74"/>
      <c r="AB351" s="74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U351" s="84"/>
    </row>
    <row r="352" spans="1:47" hidden="1">
      <c r="A352" s="1" t="s">
        <v>391</v>
      </c>
      <c r="B352" s="1"/>
      <c r="C352" s="319">
        <f>C387+C422</f>
        <v>0</v>
      </c>
      <c r="D352" s="298">
        <v>12.98</v>
      </c>
      <c r="E352" s="324"/>
      <c r="F352" s="2">
        <f>F387+F422</f>
        <v>0</v>
      </c>
      <c r="G352" s="298">
        <v>12.98</v>
      </c>
      <c r="H352" s="325"/>
      <c r="I352" s="2">
        <f t="shared" ref="I352:I353" si="105">ROUND(G352*$C352,0)</f>
        <v>0</v>
      </c>
      <c r="J352" s="298">
        <f>$J$174</f>
        <v>15</v>
      </c>
      <c r="K352" s="325"/>
      <c r="L352" s="2">
        <f>L387+L422</f>
        <v>0</v>
      </c>
      <c r="M352" s="2"/>
      <c r="N352" s="298">
        <f>$N$174</f>
        <v>15</v>
      </c>
      <c r="O352" s="325"/>
      <c r="P352" s="2">
        <f>P387+P422</f>
        <v>0</v>
      </c>
      <c r="Q352" s="2"/>
      <c r="R352" s="298" t="str">
        <f>$R$174</f>
        <v xml:space="preserve"> </v>
      </c>
      <c r="S352" s="325"/>
      <c r="T352" s="2">
        <f>T387+T422</f>
        <v>0</v>
      </c>
      <c r="U352" s="2"/>
      <c r="V352" s="298" t="str">
        <f>$V$174</f>
        <v xml:space="preserve"> </v>
      </c>
      <c r="W352" s="325"/>
      <c r="X352" s="2">
        <f>X387+X422</f>
        <v>0</v>
      </c>
      <c r="Y352" s="20"/>
      <c r="Z352" s="74"/>
      <c r="AA352" s="74"/>
      <c r="AB352" s="74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U352" s="84"/>
    </row>
    <row r="353" spans="1:47" hidden="1">
      <c r="A353" s="1" t="s">
        <v>392</v>
      </c>
      <c r="B353" s="1"/>
      <c r="C353" s="319">
        <f>C388+C423</f>
        <v>0</v>
      </c>
      <c r="D353" s="298">
        <v>0.92</v>
      </c>
      <c r="E353" s="324"/>
      <c r="F353" s="2">
        <f>F388+F423</f>
        <v>0</v>
      </c>
      <c r="G353" s="298">
        <v>0.92</v>
      </c>
      <c r="H353" s="325"/>
      <c r="I353" s="2">
        <f t="shared" si="105"/>
        <v>0</v>
      </c>
      <c r="J353" s="298">
        <f>$J$175</f>
        <v>1</v>
      </c>
      <c r="K353" s="325"/>
      <c r="L353" s="2">
        <f>L388+L423</f>
        <v>0</v>
      </c>
      <c r="M353" s="2"/>
      <c r="N353" s="298">
        <f>$N$175</f>
        <v>1</v>
      </c>
      <c r="O353" s="325"/>
      <c r="P353" s="2">
        <f>P388+P423</f>
        <v>0</v>
      </c>
      <c r="Q353" s="2"/>
      <c r="R353" s="298" t="str">
        <f>$R$175</f>
        <v xml:space="preserve"> </v>
      </c>
      <c r="S353" s="325"/>
      <c r="T353" s="2">
        <f>T388+T423</f>
        <v>0</v>
      </c>
      <c r="U353" s="2"/>
      <c r="V353" s="298" t="str">
        <f>$V$175</f>
        <v xml:space="preserve"> </v>
      </c>
      <c r="W353" s="325"/>
      <c r="X353" s="2">
        <f>X388+X423</f>
        <v>0</v>
      </c>
      <c r="Y353" s="20"/>
      <c r="Z353" s="74"/>
      <c r="AA353" s="74"/>
      <c r="AB353" s="74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U353" s="84"/>
    </row>
    <row r="354" spans="1:47" hidden="1">
      <c r="A354" s="1" t="s">
        <v>394</v>
      </c>
      <c r="B354" s="1"/>
      <c r="C354" s="319">
        <f>SUM(C351:C352)</f>
        <v>4565.6865373805158</v>
      </c>
      <c r="D354" s="298"/>
      <c r="E354" s="321"/>
      <c r="F354" s="2"/>
      <c r="G354" s="298"/>
      <c r="H354" s="323"/>
      <c r="I354" s="2"/>
      <c r="J354" s="298"/>
      <c r="K354" s="323"/>
      <c r="L354" s="2"/>
      <c r="M354" s="2"/>
      <c r="N354" s="298"/>
      <c r="O354" s="323"/>
      <c r="P354" s="2"/>
      <c r="Q354" s="2"/>
      <c r="R354" s="298"/>
      <c r="S354" s="323"/>
      <c r="T354" s="2"/>
      <c r="U354" s="2"/>
      <c r="V354" s="298"/>
      <c r="W354" s="323"/>
      <c r="X354" s="2"/>
      <c r="Y354" s="20"/>
      <c r="Z354" s="74"/>
      <c r="AA354" s="74"/>
      <c r="AB354" s="74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U354" s="84"/>
    </row>
    <row r="355" spans="1:47" hidden="1">
      <c r="A355" s="1" t="s">
        <v>362</v>
      </c>
      <c r="B355" s="1"/>
      <c r="C355" s="319">
        <f t="shared" ref="C355:C360" si="106">C390+C425</f>
        <v>1452.6333333333369</v>
      </c>
      <c r="D355" s="298"/>
      <c r="E355" s="321"/>
      <c r="F355" s="2"/>
      <c r="G355" s="298"/>
      <c r="H355" s="323"/>
      <c r="I355" s="2"/>
      <c r="J355" s="298"/>
      <c r="K355" s="323"/>
      <c r="L355" s="2"/>
      <c r="M355" s="2"/>
      <c r="N355" s="298"/>
      <c r="O355" s="323"/>
      <c r="P355" s="2"/>
      <c r="Q355" s="2"/>
      <c r="R355" s="298"/>
      <c r="S355" s="323"/>
      <c r="T355" s="2"/>
      <c r="U355" s="2"/>
      <c r="V355" s="298"/>
      <c r="W355" s="323"/>
      <c r="X355" s="2"/>
      <c r="Y355" s="20"/>
      <c r="Z355" s="74"/>
      <c r="AA355" s="74"/>
      <c r="AB355" s="74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U355" s="84"/>
    </row>
    <row r="356" spans="1:47" hidden="1">
      <c r="A356" s="1" t="s">
        <v>395</v>
      </c>
      <c r="B356" s="1"/>
      <c r="C356" s="319">
        <f t="shared" si="106"/>
        <v>0</v>
      </c>
      <c r="D356" s="326">
        <v>3.4</v>
      </c>
      <c r="E356" s="323"/>
      <c r="F356" s="2">
        <f>F391+F426</f>
        <v>0</v>
      </c>
      <c r="G356" s="326">
        <v>3.61</v>
      </c>
      <c r="H356" s="323"/>
      <c r="I356" s="2">
        <f>ROUND(G356*C356,0)</f>
        <v>0</v>
      </c>
      <c r="J356" s="326">
        <f ca="1">$J$178</f>
        <v>3.77</v>
      </c>
      <c r="K356" s="323"/>
      <c r="L356" s="2">
        <f ca="1">L391+L426</f>
        <v>0</v>
      </c>
      <c r="M356" s="2"/>
      <c r="N356" s="326">
        <f ca="1">$N$178</f>
        <v>0.81</v>
      </c>
      <c r="O356" s="323"/>
      <c r="P356" s="2">
        <f ca="1">P391+P426</f>
        <v>0</v>
      </c>
      <c r="Q356" s="2"/>
      <c r="R356" s="326">
        <f ca="1">$R$178</f>
        <v>1.06</v>
      </c>
      <c r="S356" s="323"/>
      <c r="T356" s="2">
        <f ca="1">T391+T426</f>
        <v>0</v>
      </c>
      <c r="U356" s="2"/>
      <c r="V356" s="326">
        <f ca="1">$V$178</f>
        <v>1.9</v>
      </c>
      <c r="W356" s="323"/>
      <c r="X356" s="2">
        <f ca="1">X391+X426</f>
        <v>0</v>
      </c>
      <c r="Y356" s="20"/>
      <c r="Z356" s="74"/>
      <c r="AA356" s="74"/>
      <c r="AB356" s="74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U356" s="84"/>
    </row>
    <row r="357" spans="1:47" hidden="1">
      <c r="A357" s="1" t="s">
        <v>397</v>
      </c>
      <c r="B357" s="1"/>
      <c r="C357" s="319">
        <f t="shared" si="106"/>
        <v>1237819.6605672329</v>
      </c>
      <c r="D357" s="299">
        <v>9.766</v>
      </c>
      <c r="E357" s="323" t="s">
        <v>374</v>
      </c>
      <c r="F357" s="2">
        <f>F392+F427</f>
        <v>120885</v>
      </c>
      <c r="G357" s="299">
        <v>10.359</v>
      </c>
      <c r="H357" s="323" t="s">
        <v>374</v>
      </c>
      <c r="I357" s="2">
        <f>ROUND(G357*C357/100,0)</f>
        <v>128226</v>
      </c>
      <c r="J357" s="299">
        <f ca="1">$J$179</f>
        <v>6.282</v>
      </c>
      <c r="K357" s="323" t="s">
        <v>374</v>
      </c>
      <c r="L357" s="2">
        <f ca="1">L392+L427</f>
        <v>77760</v>
      </c>
      <c r="M357" s="2"/>
      <c r="N357" s="299">
        <f ca="1">$N$179</f>
        <v>1.3483746810352102</v>
      </c>
      <c r="O357" s="323" t="s">
        <v>374</v>
      </c>
      <c r="P357" s="2">
        <f ca="1">P392+P427</f>
        <v>16690</v>
      </c>
      <c r="Q357" s="2"/>
      <c r="R357" s="299">
        <f ca="1">$R$179</f>
        <v>1.7708525176705459</v>
      </c>
      <c r="S357" s="323" t="s">
        <v>374</v>
      </c>
      <c r="T357" s="2">
        <f ca="1">T392+T427</f>
        <v>21920</v>
      </c>
      <c r="U357" s="2"/>
      <c r="V357" s="299">
        <f ca="1">$V$179</f>
        <v>3.162955363125258</v>
      </c>
      <c r="W357" s="323" t="s">
        <v>374</v>
      </c>
      <c r="X357" s="2">
        <f ca="1">X392+X427</f>
        <v>39152</v>
      </c>
      <c r="Y357" s="20"/>
      <c r="Z357" s="74"/>
      <c r="AA357" s="74"/>
      <c r="AB357" s="74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U357" s="84"/>
    </row>
    <row r="358" spans="1:47" hidden="1">
      <c r="A358" s="1" t="s">
        <v>398</v>
      </c>
      <c r="B358" s="1"/>
      <c r="C358" s="319">
        <f t="shared" si="106"/>
        <v>64812</v>
      </c>
      <c r="D358" s="299">
        <v>6.7460000000000004</v>
      </c>
      <c r="E358" s="323" t="s">
        <v>374</v>
      </c>
      <c r="F358" s="2">
        <f>F393+F428</f>
        <v>4372</v>
      </c>
      <c r="G358" s="299">
        <v>7.1559999999999997</v>
      </c>
      <c r="H358" s="323" t="s">
        <v>374</v>
      </c>
      <c r="I358" s="2">
        <f t="shared" ref="I358:I360" si="107">ROUND(G358*C358/100,0)</f>
        <v>4638</v>
      </c>
      <c r="J358" s="299">
        <f ca="1">$J$180</f>
        <v>4.3410000000000002</v>
      </c>
      <c r="K358" s="323" t="s">
        <v>374</v>
      </c>
      <c r="L358" s="2">
        <f ca="1">L393+L428</f>
        <v>2813</v>
      </c>
      <c r="M358" s="2"/>
      <c r="N358" s="299">
        <f ca="1">$N$180</f>
        <v>0.93175626548296309</v>
      </c>
      <c r="O358" s="323" t="s">
        <v>374</v>
      </c>
      <c r="P358" s="2">
        <f ca="1">P393+P428</f>
        <v>604</v>
      </c>
      <c r="Q358" s="2"/>
      <c r="R358" s="299">
        <f ca="1">$R$180</f>
        <v>1.2240066282869231</v>
      </c>
      <c r="S358" s="323" t="s">
        <v>374</v>
      </c>
      <c r="T358" s="2">
        <f ca="1">T393+T428</f>
        <v>793</v>
      </c>
      <c r="U358" s="2"/>
      <c r="V358" s="299">
        <f ca="1">$V$180</f>
        <v>2.1849800075654815</v>
      </c>
      <c r="W358" s="323" t="s">
        <v>374</v>
      </c>
      <c r="X358" s="2">
        <f ca="1">X393+X428</f>
        <v>1416</v>
      </c>
      <c r="Y358" s="20"/>
      <c r="Z358" s="74"/>
      <c r="AA358" s="74"/>
      <c r="AB358" s="74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U358" s="84"/>
    </row>
    <row r="359" spans="1:47" hidden="1">
      <c r="A359" s="1" t="s">
        <v>399</v>
      </c>
      <c r="B359" s="1"/>
      <c r="C359" s="319">
        <f t="shared" si="106"/>
        <v>0</v>
      </c>
      <c r="D359" s="299">
        <v>5.8120000000000003</v>
      </c>
      <c r="E359" s="323" t="s">
        <v>374</v>
      </c>
      <c r="F359" s="2">
        <f>F394+F429</f>
        <v>0</v>
      </c>
      <c r="G359" s="299">
        <v>6.1660000000000004</v>
      </c>
      <c r="H359" s="323" t="s">
        <v>374</v>
      </c>
      <c r="I359" s="2">
        <f t="shared" si="107"/>
        <v>0</v>
      </c>
      <c r="J359" s="299">
        <f ca="1">$J$181</f>
        <v>3.74</v>
      </c>
      <c r="K359" s="323" t="s">
        <v>374</v>
      </c>
      <c r="L359" s="2">
        <f t="shared" ref="L359:L362" ca="1" si="108">L394+L429</f>
        <v>0</v>
      </c>
      <c r="M359" s="2"/>
      <c r="N359" s="299">
        <f ca="1">$N$181</f>
        <v>0.80275718206159852</v>
      </c>
      <c r="O359" s="323" t="s">
        <v>374</v>
      </c>
      <c r="P359" s="2">
        <f t="shared" ref="P359:P363" ca="1" si="109">P394+P429</f>
        <v>0</v>
      </c>
      <c r="Q359" s="2"/>
      <c r="R359" s="299">
        <f ca="1">$R$181</f>
        <v>1.0536847359511734</v>
      </c>
      <c r="S359" s="323" t="s">
        <v>374</v>
      </c>
      <c r="T359" s="2">
        <f t="shared" ref="T359:T363" ca="1" si="110">T394+T429</f>
        <v>0</v>
      </c>
      <c r="U359" s="2"/>
      <c r="V359" s="299">
        <f ca="1">$V$181</f>
        <v>1.8834755557989509</v>
      </c>
      <c r="W359" s="323" t="s">
        <v>374</v>
      </c>
      <c r="X359" s="2">
        <f t="shared" ref="X359:X362" ca="1" si="111">X394+X429</f>
        <v>0</v>
      </c>
      <c r="Y359" s="20"/>
      <c r="Z359" s="74"/>
      <c r="AA359" s="74"/>
      <c r="AB359" s="74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U359" s="84"/>
    </row>
    <row r="360" spans="1:47" hidden="1">
      <c r="A360" s="1" t="s">
        <v>400</v>
      </c>
      <c r="B360" s="1"/>
      <c r="C360" s="319">
        <f t="shared" si="106"/>
        <v>0</v>
      </c>
      <c r="D360" s="330">
        <v>56</v>
      </c>
      <c r="E360" s="321" t="s">
        <v>374</v>
      </c>
      <c r="F360" s="2">
        <f>F395+F430</f>
        <v>0</v>
      </c>
      <c r="G360" s="330">
        <v>56</v>
      </c>
      <c r="H360" s="323" t="s">
        <v>374</v>
      </c>
      <c r="I360" s="2">
        <f t="shared" si="107"/>
        <v>0</v>
      </c>
      <c r="J360" s="330">
        <f>$J$182</f>
        <v>56</v>
      </c>
      <c r="K360" s="323" t="s">
        <v>374</v>
      </c>
      <c r="L360" s="2">
        <f t="shared" si="108"/>
        <v>0</v>
      </c>
      <c r="M360" s="2"/>
      <c r="N360" s="330" t="str">
        <f>$N$182</f>
        <v xml:space="preserve"> </v>
      </c>
      <c r="O360" s="323" t="s">
        <v>374</v>
      </c>
      <c r="P360" s="2">
        <f t="shared" si="109"/>
        <v>0</v>
      </c>
      <c r="Q360" s="2"/>
      <c r="R360" s="330">
        <f ca="1">$R$182</f>
        <v>11</v>
      </c>
      <c r="S360" s="323" t="s">
        <v>374</v>
      </c>
      <c r="T360" s="2">
        <f t="shared" ca="1" si="110"/>
        <v>0</v>
      </c>
      <c r="U360" s="2"/>
      <c r="V360" s="330">
        <f ca="1">$V$182</f>
        <v>45</v>
      </c>
      <c r="W360" s="323" t="s">
        <v>374</v>
      </c>
      <c r="X360" s="2">
        <f t="shared" ca="1" si="111"/>
        <v>0</v>
      </c>
      <c r="Y360" s="20"/>
      <c r="Z360" s="74"/>
      <c r="AA360" s="74"/>
      <c r="AB360" s="74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U360" s="84"/>
    </row>
    <row r="361" spans="1:47" s="1184" customFormat="1" hidden="1">
      <c r="A361" s="1005" t="s">
        <v>1032</v>
      </c>
      <c r="C361" s="1026">
        <f>C402+C443</f>
        <v>0</v>
      </c>
      <c r="D361" s="269"/>
      <c r="E361" s="1185"/>
      <c r="F361" s="1203"/>
      <c r="G361" s="269"/>
      <c r="H361" s="1185"/>
      <c r="I361" s="1203"/>
      <c r="J361" s="1230">
        <f>J183</f>
        <v>4.5289999999999999</v>
      </c>
      <c r="K361" s="1009" t="s">
        <v>374</v>
      </c>
      <c r="L361" s="2">
        <f t="shared" si="108"/>
        <v>56061</v>
      </c>
      <c r="M361" s="2"/>
      <c r="N361" s="1230" t="str">
        <f>N183</f>
        <v xml:space="preserve"> </v>
      </c>
      <c r="O361" s="1009" t="s">
        <v>374</v>
      </c>
      <c r="P361" s="2">
        <f t="shared" si="109"/>
        <v>0</v>
      </c>
      <c r="Q361" s="2"/>
      <c r="R361" s="1230" t="str">
        <f>R183</f>
        <v xml:space="preserve"> </v>
      </c>
      <c r="S361" s="1009" t="s">
        <v>374</v>
      </c>
      <c r="T361" s="2">
        <f t="shared" si="110"/>
        <v>0</v>
      </c>
      <c r="U361" s="2"/>
      <c r="V361" s="1230">
        <f>V183</f>
        <v>4.5289999999999999</v>
      </c>
      <c r="W361" s="1009" t="s">
        <v>374</v>
      </c>
      <c r="X361" s="2">
        <f t="shared" si="111"/>
        <v>56061</v>
      </c>
      <c r="Z361" s="815"/>
      <c r="AC361" s="1205"/>
      <c r="AD361" s="1205"/>
      <c r="AI361" s="1185"/>
      <c r="AJ361" s="1185"/>
      <c r="AK361" s="1185"/>
      <c r="AL361" s="1185"/>
      <c r="AM361" s="1185"/>
      <c r="AN361" s="1185"/>
      <c r="AO361" s="1185"/>
      <c r="AP361" s="1185"/>
      <c r="AQ361" s="1185"/>
      <c r="AR361" s="1185"/>
      <c r="AS361" s="1185"/>
      <c r="AU361" s="1204"/>
    </row>
    <row r="362" spans="1:47" s="1184" customFormat="1" hidden="1">
      <c r="A362" s="1005" t="s">
        <v>1033</v>
      </c>
      <c r="C362" s="1026">
        <f>C403+C444</f>
        <v>0</v>
      </c>
      <c r="D362" s="269"/>
      <c r="E362" s="1185"/>
      <c r="F362" s="1203"/>
      <c r="G362" s="269"/>
      <c r="H362" s="1185"/>
      <c r="I362" s="1203"/>
      <c r="J362" s="1230">
        <f>J184</f>
        <v>3.1270000000000002</v>
      </c>
      <c r="K362" s="1009" t="s">
        <v>374</v>
      </c>
      <c r="L362" s="2">
        <f t="shared" si="108"/>
        <v>2027</v>
      </c>
      <c r="M362" s="2"/>
      <c r="N362" s="1230" t="str">
        <f>N184</f>
        <v xml:space="preserve"> </v>
      </c>
      <c r="O362" s="1009" t="s">
        <v>374</v>
      </c>
      <c r="P362" s="2">
        <f t="shared" si="109"/>
        <v>0</v>
      </c>
      <c r="Q362" s="2"/>
      <c r="R362" s="1230" t="str">
        <f>R184</f>
        <v xml:space="preserve"> </v>
      </c>
      <c r="S362" s="1009" t="s">
        <v>374</v>
      </c>
      <c r="T362" s="2">
        <f t="shared" si="110"/>
        <v>0</v>
      </c>
      <c r="U362" s="2"/>
      <c r="V362" s="1230">
        <f>V184</f>
        <v>3.1270000000000002</v>
      </c>
      <c r="W362" s="1009" t="s">
        <v>374</v>
      </c>
      <c r="X362" s="2">
        <f t="shared" si="111"/>
        <v>2027</v>
      </c>
      <c r="Z362" s="815"/>
      <c r="AC362" s="1205"/>
      <c r="AD362" s="1205"/>
      <c r="AI362" s="1185"/>
      <c r="AJ362" s="1185"/>
      <c r="AK362" s="1185"/>
      <c r="AL362" s="1185"/>
      <c r="AM362" s="1185"/>
      <c r="AN362" s="1185"/>
      <c r="AO362" s="1185"/>
      <c r="AP362" s="1185"/>
      <c r="AQ362" s="1185"/>
      <c r="AR362" s="1185"/>
      <c r="AS362" s="1185"/>
      <c r="AU362" s="1204"/>
    </row>
    <row r="363" spans="1:47" s="1184" customFormat="1" hidden="1">
      <c r="A363" s="1005" t="s">
        <v>1034</v>
      </c>
      <c r="C363" s="1026">
        <f>C404+C448</f>
        <v>33313</v>
      </c>
      <c r="D363" s="269"/>
      <c r="E363" s="1185"/>
      <c r="F363" s="1203"/>
      <c r="G363" s="269"/>
      <c r="H363" s="1185"/>
      <c r="I363" s="1203"/>
      <c r="J363" s="1230">
        <f>J185</f>
        <v>2.6950000000000003</v>
      </c>
      <c r="K363" s="1009" t="s">
        <v>374</v>
      </c>
      <c r="L363" s="1203">
        <f ca="1">L404+L448</f>
        <v>8828</v>
      </c>
      <c r="M363" s="1203"/>
      <c r="N363" s="1230" t="str">
        <f>N185</f>
        <v xml:space="preserve"> </v>
      </c>
      <c r="O363" s="1009" t="s">
        <v>374</v>
      </c>
      <c r="P363" s="2">
        <f t="shared" si="109"/>
        <v>0</v>
      </c>
      <c r="Q363" s="1203"/>
      <c r="R363" s="1230" t="str">
        <f>R185</f>
        <v xml:space="preserve"> </v>
      </c>
      <c r="S363" s="1009" t="s">
        <v>374</v>
      </c>
      <c r="T363" s="2">
        <f t="shared" si="110"/>
        <v>0</v>
      </c>
      <c r="U363" s="1203"/>
      <c r="V363" s="1230">
        <f>V185</f>
        <v>2.6950000000000003</v>
      </c>
      <c r="W363" s="1009" t="s">
        <v>374</v>
      </c>
      <c r="X363" s="1203">
        <f ca="1">X404+X448</f>
        <v>2563</v>
      </c>
      <c r="Z363" s="815"/>
      <c r="AC363" s="1205"/>
      <c r="AD363" s="1205"/>
      <c r="AI363" s="1185"/>
      <c r="AJ363" s="1185"/>
      <c r="AK363" s="1185"/>
      <c r="AL363" s="1185"/>
      <c r="AM363" s="1185"/>
      <c r="AN363" s="1185"/>
      <c r="AO363" s="1185"/>
      <c r="AP363" s="1185"/>
      <c r="AQ363" s="1185"/>
      <c r="AR363" s="1185"/>
      <c r="AS363" s="1185"/>
      <c r="AU363" s="1204"/>
    </row>
    <row r="364" spans="1:47" hidden="1">
      <c r="A364" s="331" t="s">
        <v>401</v>
      </c>
      <c r="B364" s="1"/>
      <c r="C364" s="319"/>
      <c r="D364" s="332">
        <v>-0.01</v>
      </c>
      <c r="E364" s="321"/>
      <c r="F364" s="2"/>
      <c r="G364" s="332">
        <v>-0.01</v>
      </c>
      <c r="H364" s="323"/>
      <c r="I364" s="2"/>
      <c r="J364" s="332">
        <v>-0.01</v>
      </c>
      <c r="K364" s="323"/>
      <c r="L364" s="2"/>
      <c r="M364" s="2"/>
      <c r="N364" s="332">
        <v>-0.01</v>
      </c>
      <c r="O364" s="323"/>
      <c r="P364" s="2"/>
      <c r="Q364" s="2"/>
      <c r="R364" s="332">
        <v>-0.01</v>
      </c>
      <c r="S364" s="323"/>
      <c r="T364" s="2"/>
      <c r="U364" s="2"/>
      <c r="V364" s="332">
        <v>-0.01</v>
      </c>
      <c r="W364" s="323"/>
      <c r="X364" s="2"/>
      <c r="Y364" s="20"/>
      <c r="Z364" s="74"/>
      <c r="AA364" s="74"/>
      <c r="AB364" s="74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U364" s="84"/>
    </row>
    <row r="365" spans="1:47" hidden="1">
      <c r="A365" s="1" t="s">
        <v>390</v>
      </c>
      <c r="B365" s="1"/>
      <c r="C365" s="319">
        <v>0</v>
      </c>
      <c r="D365" s="334">
        <v>8.7100000000000009</v>
      </c>
      <c r="E365" s="321"/>
      <c r="F365" s="2">
        <f t="shared" ref="F365:F374" si="112">F400+F435</f>
        <v>0</v>
      </c>
      <c r="G365" s="334">
        <v>8.7100000000000009</v>
      </c>
      <c r="H365" s="321"/>
      <c r="I365" s="2">
        <f>-ROUND(G365*$C365/100,0)</f>
        <v>0</v>
      </c>
      <c r="J365" s="334">
        <f>J351</f>
        <v>10</v>
      </c>
      <c r="K365" s="321"/>
      <c r="L365" s="2">
        <f t="shared" ref="L365:L378" si="113">L400+L435</f>
        <v>0</v>
      </c>
      <c r="M365" s="2"/>
      <c r="N365" s="334">
        <f>N351</f>
        <v>10</v>
      </c>
      <c r="O365" s="321"/>
      <c r="P365" s="2">
        <f t="shared" ref="P365:P378" si="114">P400+P435</f>
        <v>0</v>
      </c>
      <c r="Q365" s="2"/>
      <c r="R365" s="334" t="str">
        <f>R351</f>
        <v xml:space="preserve"> </v>
      </c>
      <c r="S365" s="321"/>
      <c r="T365" s="2">
        <f t="shared" ref="T365:T378" si="115">T400+T435</f>
        <v>0</v>
      </c>
      <c r="U365" s="2"/>
      <c r="V365" s="334" t="str">
        <f>V351</f>
        <v xml:space="preserve"> </v>
      </c>
      <c r="W365" s="321"/>
      <c r="X365" s="2">
        <f t="shared" ref="X365:X378" si="116">X400+X435</f>
        <v>0</v>
      </c>
      <c r="Y365" s="20"/>
      <c r="Z365" s="74"/>
      <c r="AA365" s="74"/>
      <c r="AB365" s="74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U365" s="84"/>
    </row>
    <row r="366" spans="1:47" hidden="1">
      <c r="A366" s="1" t="s">
        <v>391</v>
      </c>
      <c r="B366" s="1"/>
      <c r="C366" s="319">
        <v>0</v>
      </c>
      <c r="D366" s="334">
        <v>12.98</v>
      </c>
      <c r="E366" s="321"/>
      <c r="F366" s="2">
        <f t="shared" si="112"/>
        <v>0</v>
      </c>
      <c r="G366" s="334">
        <v>12.98</v>
      </c>
      <c r="H366" s="321"/>
      <c r="I366" s="2">
        <f t="shared" ref="I366:I368" si="117">-ROUND(G366*$C366/100,0)</f>
        <v>0</v>
      </c>
      <c r="J366" s="334">
        <f>J352</f>
        <v>15</v>
      </c>
      <c r="K366" s="321"/>
      <c r="L366" s="2">
        <f t="shared" si="113"/>
        <v>0</v>
      </c>
      <c r="M366" s="2"/>
      <c r="N366" s="334">
        <f>N352</f>
        <v>15</v>
      </c>
      <c r="O366" s="321"/>
      <c r="P366" s="2">
        <f t="shared" si="114"/>
        <v>0</v>
      </c>
      <c r="Q366" s="2"/>
      <c r="R366" s="334" t="str">
        <f>R352</f>
        <v xml:space="preserve"> </v>
      </c>
      <c r="S366" s="321"/>
      <c r="T366" s="2">
        <f t="shared" si="115"/>
        <v>0</v>
      </c>
      <c r="U366" s="2"/>
      <c r="V366" s="334" t="str">
        <f>V352</f>
        <v xml:space="preserve"> </v>
      </c>
      <c r="W366" s="321"/>
      <c r="X366" s="2">
        <f t="shared" si="116"/>
        <v>0</v>
      </c>
      <c r="Y366" s="20"/>
      <c r="Z366" s="74"/>
      <c r="AA366" s="74"/>
      <c r="AB366" s="74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U366" s="84"/>
    </row>
    <row r="367" spans="1:47" hidden="1">
      <c r="A367" s="1" t="s">
        <v>402</v>
      </c>
      <c r="B367" s="1"/>
      <c r="C367" s="319">
        <v>0</v>
      </c>
      <c r="D367" s="334">
        <v>0.92</v>
      </c>
      <c r="E367" s="321"/>
      <c r="F367" s="2">
        <f t="shared" si="112"/>
        <v>0</v>
      </c>
      <c r="G367" s="334">
        <v>0.92</v>
      </c>
      <c r="H367" s="321"/>
      <c r="I367" s="2">
        <f t="shared" si="117"/>
        <v>0</v>
      </c>
      <c r="J367" s="334">
        <f>J353</f>
        <v>1</v>
      </c>
      <c r="K367" s="321"/>
      <c r="L367" s="2">
        <f t="shared" si="113"/>
        <v>0</v>
      </c>
      <c r="M367" s="2"/>
      <c r="N367" s="334">
        <f>N353</f>
        <v>1</v>
      </c>
      <c r="O367" s="321"/>
      <c r="P367" s="2">
        <f t="shared" si="114"/>
        <v>0</v>
      </c>
      <c r="Q367" s="2"/>
      <c r="R367" s="334" t="str">
        <f>R353</f>
        <v xml:space="preserve"> </v>
      </c>
      <c r="S367" s="321"/>
      <c r="T367" s="2">
        <f t="shared" si="115"/>
        <v>0</v>
      </c>
      <c r="U367" s="2"/>
      <c r="V367" s="334" t="str">
        <f>V353</f>
        <v xml:space="preserve"> </v>
      </c>
      <c r="W367" s="321"/>
      <c r="X367" s="2">
        <f t="shared" si="116"/>
        <v>0</v>
      </c>
      <c r="Y367" s="20"/>
      <c r="Z367" s="74"/>
      <c r="AA367" s="74"/>
      <c r="AB367" s="74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U367" s="84"/>
    </row>
    <row r="368" spans="1:47" hidden="1">
      <c r="A368" s="1" t="s">
        <v>403</v>
      </c>
      <c r="B368" s="1"/>
      <c r="C368" s="319">
        <v>0</v>
      </c>
      <c r="D368" s="334">
        <v>3.4</v>
      </c>
      <c r="E368" s="323"/>
      <c r="F368" s="2">
        <f t="shared" si="112"/>
        <v>0</v>
      </c>
      <c r="G368" s="334">
        <v>3.61</v>
      </c>
      <c r="H368" s="323"/>
      <c r="I368" s="2">
        <f t="shared" si="117"/>
        <v>0</v>
      </c>
      <c r="J368" s="334">
        <f ca="1">J356</f>
        <v>3.77</v>
      </c>
      <c r="K368" s="323"/>
      <c r="L368" s="2">
        <f t="shared" ca="1" si="113"/>
        <v>0</v>
      </c>
      <c r="M368" s="2"/>
      <c r="N368" s="334">
        <f ca="1">N356</f>
        <v>0.81</v>
      </c>
      <c r="O368" s="323"/>
      <c r="P368" s="2">
        <f t="shared" ca="1" si="114"/>
        <v>0</v>
      </c>
      <c r="Q368" s="2"/>
      <c r="R368" s="334">
        <f ca="1">R356</f>
        <v>1.06</v>
      </c>
      <c r="S368" s="323"/>
      <c r="T368" s="2">
        <f t="shared" ca="1" si="115"/>
        <v>0</v>
      </c>
      <c r="U368" s="2"/>
      <c r="V368" s="334">
        <f ca="1">V356</f>
        <v>1.9</v>
      </c>
      <c r="W368" s="323"/>
      <c r="X368" s="2">
        <f t="shared" ca="1" si="116"/>
        <v>0</v>
      </c>
      <c r="Y368" s="20"/>
      <c r="Z368" s="74"/>
      <c r="AA368" s="74"/>
      <c r="AB368" s="74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U368" s="84"/>
    </row>
    <row r="369" spans="1:47" hidden="1">
      <c r="A369" s="1" t="s">
        <v>405</v>
      </c>
      <c r="B369" s="1"/>
      <c r="C369" s="319">
        <v>0</v>
      </c>
      <c r="D369" s="335">
        <v>9.766</v>
      </c>
      <c r="E369" s="323" t="s">
        <v>374</v>
      </c>
      <c r="F369" s="2">
        <f t="shared" si="112"/>
        <v>0</v>
      </c>
      <c r="G369" s="335">
        <v>10.359</v>
      </c>
      <c r="H369" s="323" t="s">
        <v>374</v>
      </c>
      <c r="I369" s="2">
        <f>ROUND(G369*$C369/100*G364,0)</f>
        <v>0</v>
      </c>
      <c r="J369" s="335">
        <f ca="1">J357</f>
        <v>6.282</v>
      </c>
      <c r="K369" s="323" t="s">
        <v>374</v>
      </c>
      <c r="L369" s="2">
        <f t="shared" ca="1" si="113"/>
        <v>0</v>
      </c>
      <c r="M369" s="2"/>
      <c r="N369" s="335">
        <f ca="1">N357</f>
        <v>1.3483746810352102</v>
      </c>
      <c r="O369" s="323" t="s">
        <v>374</v>
      </c>
      <c r="P369" s="2">
        <f t="shared" ca="1" si="114"/>
        <v>0</v>
      </c>
      <c r="Q369" s="2"/>
      <c r="R369" s="335">
        <f ca="1">R357</f>
        <v>1.7708525176705459</v>
      </c>
      <c r="S369" s="323" t="s">
        <v>374</v>
      </c>
      <c r="T369" s="2">
        <f t="shared" ca="1" si="115"/>
        <v>0</v>
      </c>
      <c r="U369" s="2"/>
      <c r="V369" s="335">
        <f ca="1">V357</f>
        <v>3.162955363125258</v>
      </c>
      <c r="W369" s="323" t="s">
        <v>374</v>
      </c>
      <c r="X369" s="2">
        <f t="shared" ca="1" si="116"/>
        <v>0</v>
      </c>
      <c r="Y369" s="20"/>
      <c r="Z369" s="74"/>
      <c r="AA369" s="74"/>
      <c r="AB369" s="74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U369" s="84"/>
    </row>
    <row r="370" spans="1:47" hidden="1">
      <c r="A370" s="1" t="s">
        <v>398</v>
      </c>
      <c r="B370" s="1"/>
      <c r="C370" s="319">
        <v>0</v>
      </c>
      <c r="D370" s="335">
        <v>6.7460000000000004</v>
      </c>
      <c r="E370" s="323" t="s">
        <v>374</v>
      </c>
      <c r="F370" s="2">
        <f t="shared" si="112"/>
        <v>0</v>
      </c>
      <c r="G370" s="335">
        <v>7.1559999999999997</v>
      </c>
      <c r="H370" s="323" t="s">
        <v>374</v>
      </c>
      <c r="I370" s="2">
        <f>ROUND(G370*$C370/100*G364,0)</f>
        <v>0</v>
      </c>
      <c r="J370" s="335">
        <f ca="1">J358</f>
        <v>4.3410000000000002</v>
      </c>
      <c r="K370" s="323" t="s">
        <v>374</v>
      </c>
      <c r="L370" s="2">
        <f t="shared" ca="1" si="113"/>
        <v>0</v>
      </c>
      <c r="M370" s="2"/>
      <c r="N370" s="335">
        <f ca="1">N358</f>
        <v>0.93175626548296309</v>
      </c>
      <c r="O370" s="323" t="s">
        <v>374</v>
      </c>
      <c r="P370" s="2">
        <f t="shared" ca="1" si="114"/>
        <v>0</v>
      </c>
      <c r="Q370" s="2"/>
      <c r="R370" s="335">
        <f ca="1">R358</f>
        <v>1.2240066282869231</v>
      </c>
      <c r="S370" s="323" t="s">
        <v>374</v>
      </c>
      <c r="T370" s="2">
        <f t="shared" ca="1" si="115"/>
        <v>0</v>
      </c>
      <c r="U370" s="2"/>
      <c r="V370" s="335">
        <f ca="1">V358</f>
        <v>2.1849800075654815</v>
      </c>
      <c r="W370" s="323" t="s">
        <v>374</v>
      </c>
      <c r="X370" s="2">
        <f t="shared" ca="1" si="116"/>
        <v>0</v>
      </c>
      <c r="Y370" s="20"/>
      <c r="Z370" s="74"/>
      <c r="AA370" s="74"/>
      <c r="AB370" s="74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U370" s="84"/>
    </row>
    <row r="371" spans="1:47" hidden="1">
      <c r="A371" s="1" t="s">
        <v>399</v>
      </c>
      <c r="B371" s="1"/>
      <c r="C371" s="319">
        <v>0</v>
      </c>
      <c r="D371" s="335">
        <v>5.8120000000000003</v>
      </c>
      <c r="E371" s="323" t="s">
        <v>374</v>
      </c>
      <c r="F371" s="2">
        <f t="shared" si="112"/>
        <v>0</v>
      </c>
      <c r="G371" s="335">
        <v>6.1660000000000004</v>
      </c>
      <c r="H371" s="323" t="s">
        <v>374</v>
      </c>
      <c r="I371" s="2">
        <f>ROUND(G371*$C371/100*G364,0)</f>
        <v>0</v>
      </c>
      <c r="J371" s="335">
        <f ca="1">J359</f>
        <v>3.74</v>
      </c>
      <c r="K371" s="323" t="s">
        <v>374</v>
      </c>
      <c r="L371" s="2">
        <f t="shared" ca="1" si="113"/>
        <v>0</v>
      </c>
      <c r="M371" s="2"/>
      <c r="N371" s="335">
        <f ca="1">N359</f>
        <v>0.80275718206159852</v>
      </c>
      <c r="O371" s="323" t="s">
        <v>374</v>
      </c>
      <c r="P371" s="2">
        <f t="shared" ca="1" si="114"/>
        <v>0</v>
      </c>
      <c r="Q371" s="2"/>
      <c r="R371" s="335">
        <f ca="1">R359</f>
        <v>1.0536847359511734</v>
      </c>
      <c r="S371" s="323" t="s">
        <v>374</v>
      </c>
      <c r="T371" s="2">
        <f t="shared" ca="1" si="115"/>
        <v>0</v>
      </c>
      <c r="U371" s="2"/>
      <c r="V371" s="335">
        <f ca="1">V359</f>
        <v>1.8834755557989509</v>
      </c>
      <c r="W371" s="323" t="s">
        <v>374</v>
      </c>
      <c r="X371" s="2">
        <f t="shared" ca="1" si="116"/>
        <v>0</v>
      </c>
      <c r="Y371" s="20"/>
      <c r="Z371" s="74"/>
      <c r="AA371" s="74"/>
      <c r="AB371" s="74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U371" s="84"/>
    </row>
    <row r="372" spans="1:47" hidden="1">
      <c r="A372" s="1" t="s">
        <v>400</v>
      </c>
      <c r="B372" s="1"/>
      <c r="C372" s="319">
        <v>0</v>
      </c>
      <c r="D372" s="336">
        <v>56</v>
      </c>
      <c r="E372" s="323" t="s">
        <v>374</v>
      </c>
      <c r="F372" s="2">
        <f t="shared" si="112"/>
        <v>0</v>
      </c>
      <c r="G372" s="336">
        <v>56</v>
      </c>
      <c r="H372" s="323" t="s">
        <v>374</v>
      </c>
      <c r="I372" s="2">
        <f>ROUND(G372*$C372/100*G364,0)</f>
        <v>0</v>
      </c>
      <c r="J372" s="336">
        <f>J360</f>
        <v>56</v>
      </c>
      <c r="K372" s="323" t="s">
        <v>374</v>
      </c>
      <c r="L372" s="2">
        <f t="shared" si="113"/>
        <v>0</v>
      </c>
      <c r="M372" s="2"/>
      <c r="N372" s="336" t="str">
        <f>N360</f>
        <v xml:space="preserve"> </v>
      </c>
      <c r="O372" s="323" t="s">
        <v>374</v>
      </c>
      <c r="P372" s="2">
        <f t="shared" si="114"/>
        <v>0</v>
      </c>
      <c r="Q372" s="2"/>
      <c r="R372" s="336">
        <f ca="1">R360</f>
        <v>11</v>
      </c>
      <c r="S372" s="323" t="s">
        <v>374</v>
      </c>
      <c r="T372" s="2">
        <f t="shared" ca="1" si="115"/>
        <v>0</v>
      </c>
      <c r="U372" s="2"/>
      <c r="V372" s="336">
        <f ca="1">V360</f>
        <v>45</v>
      </c>
      <c r="W372" s="323" t="s">
        <v>374</v>
      </c>
      <c r="X372" s="2">
        <f t="shared" ca="1" si="116"/>
        <v>0</v>
      </c>
      <c r="Y372" s="20"/>
      <c r="Z372" s="74"/>
      <c r="AA372" s="74"/>
      <c r="AB372" s="74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U372" s="84"/>
    </row>
    <row r="373" spans="1:47" hidden="1">
      <c r="A373" s="1" t="s">
        <v>407</v>
      </c>
      <c r="B373" s="1"/>
      <c r="C373" s="319">
        <v>0</v>
      </c>
      <c r="D373" s="337">
        <v>60</v>
      </c>
      <c r="E373" s="321"/>
      <c r="F373" s="2">
        <f t="shared" si="112"/>
        <v>0</v>
      </c>
      <c r="G373" s="337">
        <v>60</v>
      </c>
      <c r="H373" s="323"/>
      <c r="I373" s="2">
        <f>ROUND(G373*C373,0)</f>
        <v>0</v>
      </c>
      <c r="J373" s="337">
        <f>$J$198</f>
        <v>60</v>
      </c>
      <c r="K373" s="323"/>
      <c r="L373" s="2">
        <f t="shared" si="113"/>
        <v>0</v>
      </c>
      <c r="M373" s="2"/>
      <c r="N373" s="337" t="str">
        <f>$N$198</f>
        <v xml:space="preserve"> </v>
      </c>
      <c r="O373" s="323"/>
      <c r="P373" s="2">
        <f t="shared" si="114"/>
        <v>0</v>
      </c>
      <c r="Q373" s="2"/>
      <c r="R373" s="337">
        <f ca="1">$R$198</f>
        <v>11.86</v>
      </c>
      <c r="S373" s="323"/>
      <c r="T373" s="2">
        <f t="shared" ca="1" si="115"/>
        <v>0</v>
      </c>
      <c r="U373" s="2"/>
      <c r="V373" s="337">
        <f ca="1">$V$198</f>
        <v>48.14</v>
      </c>
      <c r="W373" s="323"/>
      <c r="X373" s="2">
        <f t="shared" ca="1" si="116"/>
        <v>0</v>
      </c>
      <c r="Y373" s="20"/>
      <c r="Z373" s="74"/>
      <c r="AA373" s="74"/>
      <c r="AB373" s="74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U373" s="84"/>
    </row>
    <row r="374" spans="1:47" hidden="1">
      <c r="A374" s="1" t="s">
        <v>408</v>
      </c>
      <c r="B374" s="1"/>
      <c r="C374" s="319">
        <v>0</v>
      </c>
      <c r="D374" s="339">
        <v>-30</v>
      </c>
      <c r="E374" s="321" t="s">
        <v>374</v>
      </c>
      <c r="F374" s="2">
        <f t="shared" si="112"/>
        <v>0</v>
      </c>
      <c r="G374" s="339">
        <v>-30</v>
      </c>
      <c r="H374" s="323" t="s">
        <v>374</v>
      </c>
      <c r="I374" s="2">
        <f>ROUND(G374*C374/100,0)</f>
        <v>0</v>
      </c>
      <c r="J374" s="339">
        <f>$J$199</f>
        <v>-30</v>
      </c>
      <c r="K374" s="323" t="s">
        <v>374</v>
      </c>
      <c r="L374" s="2">
        <f t="shared" si="113"/>
        <v>0</v>
      </c>
      <c r="M374" s="2"/>
      <c r="N374" s="339">
        <f>$N$199</f>
        <v>-30</v>
      </c>
      <c r="O374" s="323" t="s">
        <v>374</v>
      </c>
      <c r="P374" s="2">
        <f t="shared" si="114"/>
        <v>0</v>
      </c>
      <c r="Q374" s="2"/>
      <c r="R374" s="339" t="str">
        <f>$R$199</f>
        <v xml:space="preserve"> </v>
      </c>
      <c r="S374" s="323" t="s">
        <v>374</v>
      </c>
      <c r="T374" s="2">
        <f t="shared" si="115"/>
        <v>0</v>
      </c>
      <c r="U374" s="2"/>
      <c r="V374" s="339" t="str">
        <f>$V$199</f>
        <v xml:space="preserve"> </v>
      </c>
      <c r="W374" s="323" t="s">
        <v>374</v>
      </c>
      <c r="X374" s="2">
        <f t="shared" si="116"/>
        <v>0</v>
      </c>
      <c r="Y374" s="20"/>
      <c r="Z374" s="74"/>
      <c r="AA374" s="74"/>
      <c r="AB374" s="74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U374" s="84"/>
    </row>
    <row r="375" spans="1:47" s="1184" customFormat="1" hidden="1">
      <c r="A375" s="1005" t="s">
        <v>1032</v>
      </c>
      <c r="C375" s="1026">
        <v>0</v>
      </c>
      <c r="D375" s="269"/>
      <c r="E375" s="1185"/>
      <c r="F375" s="1203"/>
      <c r="G375" s="269"/>
      <c r="H375" s="1185"/>
      <c r="I375" s="1203"/>
      <c r="J375" s="1230">
        <f>J183</f>
        <v>4.5289999999999999</v>
      </c>
      <c r="K375" s="1009" t="s">
        <v>374</v>
      </c>
      <c r="L375" s="2">
        <f t="shared" si="113"/>
        <v>0</v>
      </c>
      <c r="M375" s="2"/>
      <c r="N375" s="1230" t="str">
        <f>N183</f>
        <v xml:space="preserve"> </v>
      </c>
      <c r="O375" s="1009" t="s">
        <v>374</v>
      </c>
      <c r="P375" s="2">
        <f t="shared" si="114"/>
        <v>0</v>
      </c>
      <c r="Q375" s="2"/>
      <c r="R375" s="1230" t="str">
        <f>R183</f>
        <v xml:space="preserve"> </v>
      </c>
      <c r="S375" s="1009" t="s">
        <v>374</v>
      </c>
      <c r="T375" s="2">
        <f t="shared" si="115"/>
        <v>0</v>
      </c>
      <c r="U375" s="2"/>
      <c r="V375" s="1230">
        <f>V183</f>
        <v>4.5289999999999999</v>
      </c>
      <c r="W375" s="1009" t="s">
        <v>374</v>
      </c>
      <c r="X375" s="2">
        <f t="shared" si="116"/>
        <v>0</v>
      </c>
      <c r="Z375" s="815"/>
      <c r="AC375" s="1205"/>
      <c r="AD375" s="1205"/>
      <c r="AI375" s="1185"/>
      <c r="AJ375" s="1185"/>
      <c r="AK375" s="1185"/>
      <c r="AL375" s="1185"/>
      <c r="AM375" s="1185"/>
      <c r="AN375" s="1185"/>
      <c r="AO375" s="1185"/>
      <c r="AP375" s="1185"/>
      <c r="AQ375" s="1185"/>
      <c r="AR375" s="1185"/>
      <c r="AS375" s="1185"/>
      <c r="AU375" s="1204"/>
    </row>
    <row r="376" spans="1:47" s="1184" customFormat="1" hidden="1">
      <c r="A376" s="1005" t="s">
        <v>1033</v>
      </c>
      <c r="C376" s="1026">
        <v>0</v>
      </c>
      <c r="D376" s="269"/>
      <c r="E376" s="1185"/>
      <c r="F376" s="1203"/>
      <c r="G376" s="269"/>
      <c r="H376" s="1185"/>
      <c r="I376" s="1203"/>
      <c r="J376" s="1230">
        <f>J184</f>
        <v>3.1270000000000002</v>
      </c>
      <c r="K376" s="1009" t="s">
        <v>374</v>
      </c>
      <c r="L376" s="2">
        <f t="shared" si="113"/>
        <v>0</v>
      </c>
      <c r="M376" s="2"/>
      <c r="N376" s="1230" t="str">
        <f>N184</f>
        <v xml:space="preserve"> </v>
      </c>
      <c r="O376" s="1009" t="s">
        <v>374</v>
      </c>
      <c r="P376" s="2">
        <f t="shared" si="114"/>
        <v>0</v>
      </c>
      <c r="Q376" s="2"/>
      <c r="R376" s="1230" t="str">
        <f>R184</f>
        <v xml:space="preserve"> </v>
      </c>
      <c r="S376" s="1009" t="s">
        <v>374</v>
      </c>
      <c r="T376" s="2">
        <f t="shared" si="115"/>
        <v>0</v>
      </c>
      <c r="U376" s="2"/>
      <c r="V376" s="1230">
        <f>V184</f>
        <v>3.1270000000000002</v>
      </c>
      <c r="W376" s="1009" t="s">
        <v>374</v>
      </c>
      <c r="X376" s="2">
        <f t="shared" si="116"/>
        <v>0</v>
      </c>
      <c r="Z376" s="815"/>
      <c r="AC376" s="1205"/>
      <c r="AD376" s="1205"/>
      <c r="AI376" s="1185"/>
      <c r="AJ376" s="1185"/>
      <c r="AK376" s="1185"/>
      <c r="AL376" s="1185"/>
      <c r="AM376" s="1185"/>
      <c r="AN376" s="1185"/>
      <c r="AO376" s="1185"/>
      <c r="AP376" s="1185"/>
      <c r="AQ376" s="1185"/>
      <c r="AR376" s="1185"/>
      <c r="AS376" s="1185"/>
      <c r="AU376" s="1204"/>
    </row>
    <row r="377" spans="1:47" s="1184" customFormat="1" hidden="1">
      <c r="A377" s="1005" t="s">
        <v>1034</v>
      </c>
      <c r="C377" s="1026">
        <v>0</v>
      </c>
      <c r="D377" s="269"/>
      <c r="E377" s="1185"/>
      <c r="F377" s="1203"/>
      <c r="G377" s="269"/>
      <c r="H377" s="1185"/>
      <c r="I377" s="1203"/>
      <c r="J377" s="1230">
        <f>J185</f>
        <v>2.6950000000000003</v>
      </c>
      <c r="K377" s="1009" t="s">
        <v>374</v>
      </c>
      <c r="L377" s="2">
        <f t="shared" si="113"/>
        <v>0</v>
      </c>
      <c r="M377" s="2"/>
      <c r="N377" s="1230" t="str">
        <f>N185</f>
        <v xml:space="preserve"> </v>
      </c>
      <c r="O377" s="1009" t="s">
        <v>374</v>
      </c>
      <c r="P377" s="2">
        <f t="shared" si="114"/>
        <v>0</v>
      </c>
      <c r="Q377" s="2"/>
      <c r="R377" s="1230" t="str">
        <f>R185</f>
        <v xml:space="preserve"> </v>
      </c>
      <c r="S377" s="1009" t="s">
        <v>374</v>
      </c>
      <c r="T377" s="2">
        <f t="shared" si="115"/>
        <v>0</v>
      </c>
      <c r="U377" s="2"/>
      <c r="V377" s="1230">
        <f>V185</f>
        <v>2.6950000000000003</v>
      </c>
      <c r="W377" s="1009" t="s">
        <v>374</v>
      </c>
      <c r="X377" s="2">
        <f t="shared" si="116"/>
        <v>0</v>
      </c>
      <c r="Z377" s="815"/>
      <c r="AC377" s="1205"/>
      <c r="AD377" s="1205"/>
      <c r="AI377" s="1185"/>
      <c r="AJ377" s="1185"/>
      <c r="AK377" s="1185"/>
      <c r="AL377" s="1185"/>
      <c r="AM377" s="1185"/>
      <c r="AN377" s="1185"/>
      <c r="AO377" s="1185"/>
      <c r="AP377" s="1185"/>
      <c r="AQ377" s="1185"/>
      <c r="AR377" s="1185"/>
      <c r="AS377" s="1185"/>
      <c r="AU377" s="1204"/>
    </row>
    <row r="378" spans="1:47" hidden="1">
      <c r="A378" s="1" t="s">
        <v>381</v>
      </c>
      <c r="B378" s="1"/>
      <c r="C378" s="319">
        <f>C413+C448</f>
        <v>1302631.6605672329</v>
      </c>
      <c r="D378" s="330"/>
      <c r="E378" s="2"/>
      <c r="F378" s="2">
        <f t="shared" ref="F378" si="118">F413+F448</f>
        <v>165024</v>
      </c>
      <c r="G378" s="330"/>
      <c r="H378" s="323"/>
      <c r="I378" s="2">
        <f>I413+I448</f>
        <v>172631</v>
      </c>
      <c r="J378" s="330"/>
      <c r="K378" s="323"/>
      <c r="L378" s="2">
        <f t="shared" ca="1" si="113"/>
        <v>184318</v>
      </c>
      <c r="M378" s="2"/>
      <c r="N378" s="330"/>
      <c r="O378" s="323"/>
      <c r="P378" s="2">
        <f t="shared" ca="1" si="114"/>
        <v>62951</v>
      </c>
      <c r="Q378" s="2"/>
      <c r="R378" s="330"/>
      <c r="S378" s="323"/>
      <c r="T378" s="2">
        <f t="shared" ca="1" si="115"/>
        <v>22713</v>
      </c>
      <c r="U378" s="2"/>
      <c r="V378" s="330"/>
      <c r="W378" s="323"/>
      <c r="X378" s="2">
        <f t="shared" ca="1" si="116"/>
        <v>98656</v>
      </c>
      <c r="Y378" s="20"/>
      <c r="Z378" s="74"/>
      <c r="AA378" s="74"/>
      <c r="AB378" s="74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U378" s="84"/>
    </row>
    <row r="379" spans="1:47" hidden="1">
      <c r="A379" s="1" t="s">
        <v>363</v>
      </c>
      <c r="B379" s="1"/>
      <c r="C379" s="340">
        <f ca="1">C414+C449</f>
        <v>-4124.0649466890627</v>
      </c>
      <c r="D379" s="309"/>
      <c r="E379" s="309"/>
      <c r="F379" s="341">
        <f ca="1">I379</f>
        <v>-559.29858037992369</v>
      </c>
      <c r="G379" s="309"/>
      <c r="H379" s="309"/>
      <c r="I379" s="341">
        <f ca="1">I414+I449</f>
        <v>-559.29858037992369</v>
      </c>
      <c r="J379" s="309"/>
      <c r="K379" s="309"/>
      <c r="L379" s="341">
        <f ca="1">I379</f>
        <v>-559.29858037992369</v>
      </c>
      <c r="M379" s="322"/>
      <c r="N379" s="309"/>
      <c r="O379" s="309"/>
      <c r="P379" s="341">
        <f ca="1">P204/L204*L379</f>
        <v>-110.25531365207996</v>
      </c>
      <c r="Q379" s="322"/>
      <c r="R379" s="309"/>
      <c r="S379" s="309"/>
      <c r="T379" s="341">
        <f ca="1">T204/L204*L379</f>
        <v>-88.790654736573458</v>
      </c>
      <c r="U379" s="322"/>
      <c r="V379" s="309"/>
      <c r="W379" s="309"/>
      <c r="X379" s="341">
        <f ca="1">X204/L204*L379</f>
        <v>-360.25261199127027</v>
      </c>
      <c r="Y379" s="444"/>
      <c r="Z379" s="287"/>
      <c r="AA379" s="74"/>
      <c r="AB379" s="74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U379" s="84"/>
    </row>
    <row r="380" spans="1:47" ht="16.5" hidden="1" thickBot="1">
      <c r="A380" s="1" t="s">
        <v>382</v>
      </c>
      <c r="B380" s="1"/>
      <c r="C380" s="311">
        <f ca="1">SUM(C378:C379)</f>
        <v>1298507.5956205437</v>
      </c>
      <c r="D380" s="342"/>
      <c r="E380" s="343"/>
      <c r="F380" s="344">
        <f ca="1">F378+F379</f>
        <v>164464.70141962008</v>
      </c>
      <c r="G380" s="342"/>
      <c r="H380" s="345"/>
      <c r="I380" s="344">
        <f ca="1">I378+I379</f>
        <v>172071.70141962008</v>
      </c>
      <c r="J380" s="342"/>
      <c r="K380" s="345"/>
      <c r="L380" s="344">
        <f ca="1">L378+L379</f>
        <v>183758.70141962008</v>
      </c>
      <c r="M380" s="344"/>
      <c r="N380" s="342"/>
      <c r="O380" s="345"/>
      <c r="P380" s="344">
        <f ca="1">P378+P379</f>
        <v>62840.74468634792</v>
      </c>
      <c r="Q380" s="344"/>
      <c r="R380" s="342"/>
      <c r="S380" s="345"/>
      <c r="T380" s="344">
        <f ca="1">T378+T379</f>
        <v>22624.209345263425</v>
      </c>
      <c r="U380" s="344"/>
      <c r="V380" s="342"/>
      <c r="W380" s="345"/>
      <c r="X380" s="344">
        <f ca="1">X378+X379</f>
        <v>98295.747388008735</v>
      </c>
      <c r="Y380" s="411"/>
      <c r="Z380" s="470"/>
      <c r="AA380" s="74"/>
      <c r="AB380" s="74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U380" s="84"/>
    </row>
    <row r="381" spans="1:47" ht="16.5" hidden="1" thickTop="1">
      <c r="A381" s="1"/>
      <c r="B381" s="1"/>
      <c r="C381" s="21"/>
      <c r="D381" s="337"/>
      <c r="E381" s="2"/>
      <c r="F381" s="2"/>
      <c r="G381" s="337"/>
      <c r="H381" s="1"/>
      <c r="I381" s="2"/>
      <c r="J381" s="337"/>
      <c r="K381" s="1"/>
      <c r="L381" s="2" t="s">
        <v>31</v>
      </c>
      <c r="M381" s="2"/>
      <c r="N381" s="337"/>
      <c r="O381" s="1"/>
      <c r="P381" s="2" t="s">
        <v>31</v>
      </c>
      <c r="Q381" s="2"/>
      <c r="R381" s="337"/>
      <c r="S381" s="1"/>
      <c r="T381" s="2" t="s">
        <v>31</v>
      </c>
      <c r="U381" s="2"/>
      <c r="V381" s="337"/>
      <c r="W381" s="1"/>
      <c r="X381" s="2" t="s">
        <v>31</v>
      </c>
      <c r="Y381" s="20"/>
      <c r="Z381" s="74"/>
      <c r="AA381" s="74"/>
      <c r="AB381" s="74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U381" s="84"/>
    </row>
    <row r="382" spans="1:47" hidden="1">
      <c r="A382" s="293" t="s">
        <v>415</v>
      </c>
      <c r="B382" s="1"/>
      <c r="C382" s="1"/>
      <c r="D382" s="2"/>
      <c r="E382" s="2"/>
      <c r="F382" s="1" t="s">
        <v>31</v>
      </c>
      <c r="G382" s="2"/>
      <c r="H382" s="1"/>
      <c r="I382" s="1"/>
      <c r="J382" s="2"/>
      <c r="K382" s="1"/>
      <c r="L382" s="1"/>
      <c r="M382" s="1"/>
      <c r="N382" s="2"/>
      <c r="O382" s="1"/>
      <c r="P382" s="1"/>
      <c r="Q382" s="1"/>
      <c r="R382" s="2"/>
      <c r="S382" s="1"/>
      <c r="T382" s="1"/>
      <c r="U382" s="1"/>
      <c r="V382" s="2"/>
      <c r="W382" s="1"/>
      <c r="X382" s="1"/>
      <c r="Y382" s="20"/>
      <c r="Z382" s="74"/>
      <c r="AA382" s="74"/>
      <c r="AB382" s="74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U382" s="84"/>
    </row>
    <row r="383" spans="1:47" hidden="1">
      <c r="A383" s="1" t="s">
        <v>411</v>
      </c>
      <c r="B383" s="1"/>
      <c r="C383" s="1"/>
      <c r="D383" s="2"/>
      <c r="E383" s="2"/>
      <c r="F383" s="1"/>
      <c r="G383" s="2"/>
      <c r="H383" s="1"/>
      <c r="I383" s="1"/>
      <c r="J383" s="2"/>
      <c r="K383" s="1"/>
      <c r="L383" s="1"/>
      <c r="M383" s="1"/>
      <c r="N383" s="2"/>
      <c r="O383" s="1"/>
      <c r="P383" s="1"/>
      <c r="Q383" s="1"/>
      <c r="R383" s="2"/>
      <c r="S383" s="1"/>
      <c r="T383" s="1"/>
      <c r="U383" s="1"/>
      <c r="V383" s="2"/>
      <c r="W383" s="1"/>
      <c r="X383" s="1"/>
      <c r="Y383" s="20"/>
      <c r="Z383" s="74"/>
      <c r="AA383" s="74"/>
      <c r="AB383" s="74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U383" s="84"/>
    </row>
    <row r="384" spans="1:47" hidden="1">
      <c r="A384" s="1"/>
      <c r="B384" s="1"/>
      <c r="C384" s="1"/>
      <c r="D384" s="2"/>
      <c r="E384" s="2"/>
      <c r="F384" s="1"/>
      <c r="G384" s="2"/>
      <c r="H384" s="1"/>
      <c r="I384" s="1"/>
      <c r="J384" s="2"/>
      <c r="K384" s="1"/>
      <c r="L384" s="1"/>
      <c r="M384" s="1"/>
      <c r="N384" s="2"/>
      <c r="O384" s="1"/>
      <c r="P384" s="1"/>
      <c r="Q384" s="1"/>
      <c r="R384" s="2"/>
      <c r="S384" s="1"/>
      <c r="T384" s="1"/>
      <c r="U384" s="1"/>
      <c r="V384" s="2"/>
      <c r="W384" s="1"/>
      <c r="X384" s="1"/>
      <c r="Y384" s="20"/>
      <c r="Z384" s="74"/>
      <c r="AA384" s="74"/>
      <c r="AB384" s="74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U384" s="84"/>
    </row>
    <row r="385" spans="1:47" hidden="1">
      <c r="A385" s="1" t="s">
        <v>393</v>
      </c>
      <c r="B385" s="1"/>
      <c r="C385" s="319"/>
      <c r="D385" s="2"/>
      <c r="E385" s="2"/>
      <c r="F385" s="1"/>
      <c r="G385" s="2"/>
      <c r="H385" s="1"/>
      <c r="I385" s="1"/>
      <c r="J385" s="2"/>
      <c r="K385" s="1"/>
      <c r="L385" s="1"/>
      <c r="M385" s="1"/>
      <c r="N385" s="2"/>
      <c r="O385" s="1"/>
      <c r="P385" s="1"/>
      <c r="Q385" s="1"/>
      <c r="R385" s="2"/>
      <c r="S385" s="1"/>
      <c r="T385" s="1"/>
      <c r="U385" s="1"/>
      <c r="V385" s="2"/>
      <c r="W385" s="1"/>
      <c r="X385" s="1"/>
      <c r="Y385" s="20"/>
      <c r="Z385" s="74"/>
      <c r="AA385" s="74"/>
      <c r="AB385" s="74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U385" s="84"/>
    </row>
    <row r="386" spans="1:47" hidden="1">
      <c r="A386" s="1" t="s">
        <v>416</v>
      </c>
      <c r="B386" s="1"/>
      <c r="C386" s="319">
        <f>[48]Sheet1!$D$6</f>
        <v>4043.0865373805159</v>
      </c>
      <c r="D386" s="298">
        <v>8.7100000000000009</v>
      </c>
      <c r="E386" s="321"/>
      <c r="F386" s="2">
        <f>ROUND(D386*$C386,0)</f>
        <v>35215</v>
      </c>
      <c r="G386" s="298">
        <v>8.7100000000000009</v>
      </c>
      <c r="H386" s="323"/>
      <c r="I386" s="2">
        <f>ROUND(G386*$C386,0)</f>
        <v>35215</v>
      </c>
      <c r="J386" s="298">
        <f>$J$173</f>
        <v>10</v>
      </c>
      <c r="K386" s="323"/>
      <c r="L386" s="2">
        <f>ROUND(J386*$C386,0)</f>
        <v>40431</v>
      </c>
      <c r="M386" s="2"/>
      <c r="N386" s="298">
        <f>$N$173</f>
        <v>10</v>
      </c>
      <c r="O386" s="323"/>
      <c r="P386" s="2">
        <f>ROUND(N386*$C386,0)</f>
        <v>40431</v>
      </c>
      <c r="Q386" s="2"/>
      <c r="R386" s="298" t="str">
        <f>$R$173</f>
        <v xml:space="preserve"> </v>
      </c>
      <c r="S386" s="323"/>
      <c r="T386" s="2">
        <f>ROUND(R386*$C386,0)</f>
        <v>0</v>
      </c>
      <c r="U386" s="2"/>
      <c r="V386" s="298" t="str">
        <f>$V$173</f>
        <v xml:space="preserve"> </v>
      </c>
      <c r="W386" s="323"/>
      <c r="X386" s="2">
        <f>ROUND(V386*$C386,0)</f>
        <v>0</v>
      </c>
      <c r="Y386" s="20"/>
      <c r="Z386" s="74"/>
      <c r="AA386" s="74"/>
      <c r="AB386" s="74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U386" s="84"/>
    </row>
    <row r="387" spans="1:47" hidden="1">
      <c r="A387" s="1" t="s">
        <v>391</v>
      </c>
      <c r="B387" s="1"/>
      <c r="C387" s="319">
        <v>0</v>
      </c>
      <c r="D387" s="298">
        <v>12.98</v>
      </c>
      <c r="E387" s="324"/>
      <c r="F387" s="2">
        <f>ROUND(D387*$C387,0)</f>
        <v>0</v>
      </c>
      <c r="G387" s="298">
        <v>12.98</v>
      </c>
      <c r="H387" s="325"/>
      <c r="I387" s="2">
        <f t="shared" ref="I387:I388" si="119">ROUND(G387*$C387,0)</f>
        <v>0</v>
      </c>
      <c r="J387" s="298">
        <f>$J$174</f>
        <v>15</v>
      </c>
      <c r="K387" s="325"/>
      <c r="L387" s="2">
        <f>ROUND(J387*$C387,0)</f>
        <v>0</v>
      </c>
      <c r="M387" s="2"/>
      <c r="N387" s="298">
        <f>$N$174</f>
        <v>15</v>
      </c>
      <c r="O387" s="325"/>
      <c r="P387" s="2">
        <f>ROUND(N387*$C387,0)</f>
        <v>0</v>
      </c>
      <c r="Q387" s="2"/>
      <c r="R387" s="298" t="str">
        <f>$R$174</f>
        <v xml:space="preserve"> </v>
      </c>
      <c r="S387" s="325"/>
      <c r="T387" s="2">
        <f>ROUND(R387*$C387,0)</f>
        <v>0</v>
      </c>
      <c r="U387" s="2"/>
      <c r="V387" s="298" t="str">
        <f>$V$174</f>
        <v xml:space="preserve"> </v>
      </c>
      <c r="W387" s="325"/>
      <c r="X387" s="2">
        <f>ROUND(V387*$C387,0)</f>
        <v>0</v>
      </c>
      <c r="Y387" s="20"/>
      <c r="Z387" s="74"/>
      <c r="AA387" s="74"/>
      <c r="AB387" s="74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U387" s="84"/>
    </row>
    <row r="388" spans="1:47" hidden="1">
      <c r="A388" s="1" t="s">
        <v>392</v>
      </c>
      <c r="B388" s="1"/>
      <c r="C388" s="319">
        <v>0</v>
      </c>
      <c r="D388" s="298">
        <v>0.92</v>
      </c>
      <c r="E388" s="324"/>
      <c r="F388" s="2">
        <f>ROUND(D388*$C388,0)</f>
        <v>0</v>
      </c>
      <c r="G388" s="298">
        <v>0.92</v>
      </c>
      <c r="H388" s="325"/>
      <c r="I388" s="2">
        <f t="shared" si="119"/>
        <v>0</v>
      </c>
      <c r="J388" s="298">
        <f>$J$175</f>
        <v>1</v>
      </c>
      <c r="K388" s="325"/>
      <c r="L388" s="2">
        <f>ROUND(J388*$C388,0)</f>
        <v>0</v>
      </c>
      <c r="M388" s="2"/>
      <c r="N388" s="298">
        <f>$N$175</f>
        <v>1</v>
      </c>
      <c r="O388" s="325"/>
      <c r="P388" s="2">
        <f>ROUND(N388*$C388,0)</f>
        <v>0</v>
      </c>
      <c r="Q388" s="2"/>
      <c r="R388" s="298" t="str">
        <f>$R$175</f>
        <v xml:space="preserve"> </v>
      </c>
      <c r="S388" s="325"/>
      <c r="T388" s="2">
        <f>ROUND(R388*$C388,0)</f>
        <v>0</v>
      </c>
      <c r="U388" s="2"/>
      <c r="V388" s="298" t="str">
        <f>$V$175</f>
        <v xml:space="preserve"> </v>
      </c>
      <c r="W388" s="325"/>
      <c r="X388" s="2">
        <f>ROUND(V388*$C388,0)</f>
        <v>0</v>
      </c>
      <c r="Y388" s="20"/>
      <c r="Z388" s="74"/>
      <c r="AA388" s="74"/>
      <c r="AB388" s="74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U388" s="84"/>
    </row>
    <row r="389" spans="1:47" hidden="1">
      <c r="A389" s="1" t="s">
        <v>394</v>
      </c>
      <c r="B389" s="1"/>
      <c r="C389" s="319">
        <f>SUM(C386:C387)</f>
        <v>4043.0865373805159</v>
      </c>
      <c r="D389" s="298"/>
      <c r="E389" s="321"/>
      <c r="F389" s="2"/>
      <c r="G389" s="298"/>
      <c r="H389" s="323"/>
      <c r="I389" s="2"/>
      <c r="J389" s="298"/>
      <c r="K389" s="323"/>
      <c r="L389" s="2"/>
      <c r="M389" s="2"/>
      <c r="N389" s="298"/>
      <c r="O389" s="323"/>
      <c r="P389" s="2"/>
      <c r="Q389" s="2"/>
      <c r="R389" s="298"/>
      <c r="S389" s="323"/>
      <c r="T389" s="2"/>
      <c r="U389" s="2"/>
      <c r="V389" s="298"/>
      <c r="W389" s="323"/>
      <c r="X389" s="2"/>
      <c r="Y389" s="20"/>
      <c r="Z389" s="74"/>
      <c r="AA389" s="74"/>
      <c r="AB389" s="74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U389" s="84"/>
    </row>
    <row r="390" spans="1:47" hidden="1">
      <c r="A390" s="1" t="s">
        <v>362</v>
      </c>
      <c r="B390" s="1"/>
      <c r="C390" s="319">
        <f>[48]Sheet1!$C$6</f>
        <v>1404.6333333333369</v>
      </c>
      <c r="D390" s="298"/>
      <c r="E390" s="321"/>
      <c r="F390" s="2"/>
      <c r="G390" s="298"/>
      <c r="H390" s="323"/>
      <c r="I390" s="2"/>
      <c r="J390" s="298"/>
      <c r="K390" s="323"/>
      <c r="L390" s="2"/>
      <c r="M390" s="2"/>
      <c r="N390" s="298"/>
      <c r="O390" s="323"/>
      <c r="P390" s="2"/>
      <c r="Q390" s="2"/>
      <c r="R390" s="298"/>
      <c r="S390" s="323"/>
      <c r="T390" s="2"/>
      <c r="U390" s="2"/>
      <c r="V390" s="298"/>
      <c r="W390" s="323"/>
      <c r="X390" s="2"/>
      <c r="Y390" s="20"/>
      <c r="Z390" s="74"/>
      <c r="AA390" s="74"/>
      <c r="AB390" s="74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U390" s="84"/>
    </row>
    <row r="391" spans="1:47" hidden="1">
      <c r="A391" s="1" t="s">
        <v>395</v>
      </c>
      <c r="B391" s="1"/>
      <c r="C391" s="319">
        <v>0</v>
      </c>
      <c r="D391" s="326">
        <v>3.4</v>
      </c>
      <c r="E391" s="323"/>
      <c r="F391" s="2">
        <f>ROUND(D391*$C391,0)</f>
        <v>0</v>
      </c>
      <c r="G391" s="326">
        <v>3.61</v>
      </c>
      <c r="H391" s="323"/>
      <c r="I391" s="2">
        <f>ROUND(G391*C391,0)</f>
        <v>0</v>
      </c>
      <c r="J391" s="326">
        <f ca="1">$J$178</f>
        <v>3.77</v>
      </c>
      <c r="K391" s="323"/>
      <c r="L391" s="2">
        <f ca="1">ROUND(J391*$C391,0)</f>
        <v>0</v>
      </c>
      <c r="M391" s="2"/>
      <c r="N391" s="326">
        <f ca="1">$N$178</f>
        <v>0.81</v>
      </c>
      <c r="O391" s="323"/>
      <c r="P391" s="2">
        <f ca="1">ROUND(N391*$C391,0)</f>
        <v>0</v>
      </c>
      <c r="Q391" s="2"/>
      <c r="R391" s="326">
        <f ca="1">$R$178</f>
        <v>1.06</v>
      </c>
      <c r="S391" s="323"/>
      <c r="T391" s="2">
        <f ca="1">ROUND(R391*$C391,0)</f>
        <v>0</v>
      </c>
      <c r="U391" s="2"/>
      <c r="V391" s="326">
        <f ca="1">$V$178</f>
        <v>1.9</v>
      </c>
      <c r="W391" s="323"/>
      <c r="X391" s="2">
        <f ca="1">ROUND(V391*$C391,0)</f>
        <v>0</v>
      </c>
      <c r="Y391" s="20"/>
      <c r="Z391" s="74"/>
      <c r="AA391" s="74"/>
      <c r="AB391" s="74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U391" s="84"/>
    </row>
    <row r="392" spans="1:47" hidden="1">
      <c r="A392" s="1" t="s">
        <v>397</v>
      </c>
      <c r="B392" s="1"/>
      <c r="C392" s="319">
        <f>[48]Sheet1!$G$6+[48]Sheet1!$F$6</f>
        <v>1204506.6605672329</v>
      </c>
      <c r="D392" s="299">
        <v>9.766</v>
      </c>
      <c r="E392" s="323" t="s">
        <v>374</v>
      </c>
      <c r="F392" s="2">
        <f>ROUND(D392*$C392/100,0)</f>
        <v>117632</v>
      </c>
      <c r="G392" s="299">
        <v>10.359</v>
      </c>
      <c r="H392" s="323" t="s">
        <v>374</v>
      </c>
      <c r="I392" s="2">
        <f>ROUND(G392*C392/100,0)</f>
        <v>124775</v>
      </c>
      <c r="J392" s="299">
        <f ca="1">$J$179</f>
        <v>6.282</v>
      </c>
      <c r="K392" s="323" t="s">
        <v>374</v>
      </c>
      <c r="L392" s="2">
        <f ca="1">ROUND(J392*$C392/100,0)</f>
        <v>75667</v>
      </c>
      <c r="M392" s="2"/>
      <c r="N392" s="299">
        <f ca="1">$N$179</f>
        <v>1.3483746810352102</v>
      </c>
      <c r="O392" s="323" t="s">
        <v>374</v>
      </c>
      <c r="P392" s="2">
        <f ca="1">ROUND(N392*$C392/100,0)</f>
        <v>16241</v>
      </c>
      <c r="Q392" s="2"/>
      <c r="R392" s="299">
        <f ca="1">$R$179</f>
        <v>1.7708525176705459</v>
      </c>
      <c r="S392" s="323" t="s">
        <v>374</v>
      </c>
      <c r="T392" s="2">
        <f ca="1">ROUND(R392*$C392/100,0)</f>
        <v>21330</v>
      </c>
      <c r="U392" s="2"/>
      <c r="V392" s="299">
        <f ca="1">$V$179</f>
        <v>3.162955363125258</v>
      </c>
      <c r="W392" s="323" t="s">
        <v>374</v>
      </c>
      <c r="X392" s="2">
        <f ca="1">ROUND(V392*$C392/100,0)</f>
        <v>38098</v>
      </c>
      <c r="Y392" s="20"/>
      <c r="Z392" s="74"/>
      <c r="AA392" s="74"/>
      <c r="AB392" s="74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U392" s="84"/>
    </row>
    <row r="393" spans="1:47" hidden="1">
      <c r="A393" s="1" t="s">
        <v>398</v>
      </c>
      <c r="B393" s="21"/>
      <c r="C393" s="319">
        <f>[48]Sheet1!$H$6</f>
        <v>64812</v>
      </c>
      <c r="D393" s="299">
        <v>6.7460000000000004</v>
      </c>
      <c r="E393" s="323" t="s">
        <v>374</v>
      </c>
      <c r="F393" s="2">
        <f>ROUND(D393*$C393/100,0)</f>
        <v>4372</v>
      </c>
      <c r="G393" s="299">
        <v>7.1559999999999997</v>
      </c>
      <c r="H393" s="323" t="s">
        <v>374</v>
      </c>
      <c r="I393" s="2">
        <f t="shared" ref="I393:I395" si="120">ROUND(G393*C393/100,0)</f>
        <v>4638</v>
      </c>
      <c r="J393" s="299">
        <f ca="1">$J$180</f>
        <v>4.3410000000000002</v>
      </c>
      <c r="K393" s="323" t="s">
        <v>374</v>
      </c>
      <c r="L393" s="2">
        <f ca="1">ROUND(J393*$C393/100,0)</f>
        <v>2813</v>
      </c>
      <c r="M393" s="2"/>
      <c r="N393" s="299">
        <f ca="1">$N$180</f>
        <v>0.93175626548296309</v>
      </c>
      <c r="O393" s="323" t="s">
        <v>374</v>
      </c>
      <c r="P393" s="2">
        <f ca="1">ROUND(N393*$C393/100,0)</f>
        <v>604</v>
      </c>
      <c r="Q393" s="2"/>
      <c r="R393" s="299">
        <f ca="1">$R$180</f>
        <v>1.2240066282869231</v>
      </c>
      <c r="S393" s="323" t="s">
        <v>374</v>
      </c>
      <c r="T393" s="2">
        <f ca="1">ROUND(R393*$C393/100,0)</f>
        <v>793</v>
      </c>
      <c r="U393" s="2"/>
      <c r="V393" s="299">
        <f ca="1">$V$180</f>
        <v>2.1849800075654815</v>
      </c>
      <c r="W393" s="323" t="s">
        <v>374</v>
      </c>
      <c r="X393" s="2">
        <f ca="1">ROUND(V393*$C393/100,0)</f>
        <v>1416</v>
      </c>
      <c r="Y393" s="20"/>
      <c r="Z393" s="74"/>
      <c r="AA393" s="74"/>
      <c r="AB393" s="74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U393" s="84"/>
    </row>
    <row r="394" spans="1:47" hidden="1">
      <c r="A394" s="1" t="s">
        <v>399</v>
      </c>
      <c r="B394" s="1"/>
      <c r="C394" s="319">
        <f>0</f>
        <v>0</v>
      </c>
      <c r="D394" s="299">
        <v>5.8120000000000003</v>
      </c>
      <c r="E394" s="323" t="s">
        <v>374</v>
      </c>
      <c r="F394" s="2">
        <f>ROUND(D394*$C394/100,0)</f>
        <v>0</v>
      </c>
      <c r="G394" s="299">
        <v>6.1660000000000004</v>
      </c>
      <c r="H394" s="323" t="s">
        <v>374</v>
      </c>
      <c r="I394" s="2">
        <f t="shared" si="120"/>
        <v>0</v>
      </c>
      <c r="J394" s="299">
        <f ca="1">$J$181</f>
        <v>3.74</v>
      </c>
      <c r="K394" s="323" t="s">
        <v>374</v>
      </c>
      <c r="L394" s="2">
        <f ca="1">ROUND(J394*$C394/100,0)</f>
        <v>0</v>
      </c>
      <c r="M394" s="2"/>
      <c r="N394" s="299">
        <f ca="1">$N$181</f>
        <v>0.80275718206159852</v>
      </c>
      <c r="O394" s="323" t="s">
        <v>374</v>
      </c>
      <c r="P394" s="2">
        <f ca="1">ROUND(N394*$C394/100,0)</f>
        <v>0</v>
      </c>
      <c r="Q394" s="2"/>
      <c r="R394" s="299">
        <f ca="1">$R$181</f>
        <v>1.0536847359511734</v>
      </c>
      <c r="S394" s="323" t="s">
        <v>374</v>
      </c>
      <c r="T394" s="2">
        <f ca="1">ROUND(R394*$C394/100,0)</f>
        <v>0</v>
      </c>
      <c r="U394" s="2"/>
      <c r="V394" s="299">
        <f ca="1">$V$181</f>
        <v>1.8834755557989509</v>
      </c>
      <c r="W394" s="323" t="s">
        <v>374</v>
      </c>
      <c r="X394" s="2">
        <f ca="1">ROUND(V394*$C394/100,0)</f>
        <v>0</v>
      </c>
      <c r="Y394" s="20"/>
      <c r="Z394" s="74"/>
      <c r="AA394" s="74"/>
      <c r="AB394" s="74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U394" s="84"/>
    </row>
    <row r="395" spans="1:47" hidden="1">
      <c r="A395" s="1" t="s">
        <v>400</v>
      </c>
      <c r="B395" s="1"/>
      <c r="C395" s="319">
        <v>0</v>
      </c>
      <c r="D395" s="330">
        <v>56</v>
      </c>
      <c r="E395" s="321" t="s">
        <v>374</v>
      </c>
      <c r="F395" s="2">
        <f>ROUND(D395*$C395/100,0)</f>
        <v>0</v>
      </c>
      <c r="G395" s="330">
        <v>56</v>
      </c>
      <c r="H395" s="323" t="s">
        <v>374</v>
      </c>
      <c r="I395" s="2">
        <f t="shared" si="120"/>
        <v>0</v>
      </c>
      <c r="J395" s="330">
        <f>$J$182</f>
        <v>56</v>
      </c>
      <c r="K395" s="323" t="s">
        <v>374</v>
      </c>
      <c r="L395" s="2">
        <f>ROUND(J395*$C395/100,0)</f>
        <v>0</v>
      </c>
      <c r="M395" s="2"/>
      <c r="N395" s="330" t="str">
        <f>$N$182</f>
        <v xml:space="preserve"> </v>
      </c>
      <c r="O395" s="323" t="s">
        <v>374</v>
      </c>
      <c r="P395" s="2">
        <f>ROUND(N395*$C395/100,0)</f>
        <v>0</v>
      </c>
      <c r="Q395" s="2"/>
      <c r="R395" s="330">
        <f ca="1">$R$182</f>
        <v>11</v>
      </c>
      <c r="S395" s="323" t="s">
        <v>374</v>
      </c>
      <c r="T395" s="2">
        <f ca="1">ROUND(R395*$C395/100,0)</f>
        <v>0</v>
      </c>
      <c r="U395" s="2"/>
      <c r="V395" s="330">
        <f ca="1">$V$182</f>
        <v>45</v>
      </c>
      <c r="W395" s="323" t="s">
        <v>374</v>
      </c>
      <c r="X395" s="2">
        <f ca="1">ROUND(V395*$C395/100,0)</f>
        <v>0</v>
      </c>
      <c r="Y395" s="20"/>
      <c r="Z395" s="74"/>
      <c r="AA395" s="74"/>
      <c r="AB395" s="74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U395" s="84"/>
    </row>
    <row r="396" spans="1:47" s="1184" customFormat="1" hidden="1">
      <c r="A396" s="1005" t="s">
        <v>1032</v>
      </c>
      <c r="C396" s="1202">
        <f>C392</f>
        <v>1204506.6605672329</v>
      </c>
      <c r="D396" s="269"/>
      <c r="E396" s="1185"/>
      <c r="F396" s="1203"/>
      <c r="G396" s="269"/>
      <c r="H396" s="1185"/>
      <c r="I396" s="1203"/>
      <c r="J396" s="1230">
        <f>J183</f>
        <v>4.5289999999999999</v>
      </c>
      <c r="K396" s="1009" t="s">
        <v>374</v>
      </c>
      <c r="L396" s="1203">
        <f t="shared" ref="L396:L398" si="121">ROUND(J396*$C396/100,0)</f>
        <v>54552</v>
      </c>
      <c r="M396" s="1203"/>
      <c r="N396" s="1230" t="str">
        <f>N183</f>
        <v xml:space="preserve"> </v>
      </c>
      <c r="O396" s="1009" t="s">
        <v>374</v>
      </c>
      <c r="P396" s="1203">
        <f t="shared" ref="P396:P398" si="122">ROUND(N396*$C396/100,0)</f>
        <v>0</v>
      </c>
      <c r="Q396" s="1203"/>
      <c r="R396" s="1230" t="str">
        <f>R183</f>
        <v xml:space="preserve"> </v>
      </c>
      <c r="S396" s="1009" t="s">
        <v>374</v>
      </c>
      <c r="T396" s="1203">
        <f t="shared" ref="T396:T398" si="123">ROUND(R396*$C396/100,0)</f>
        <v>0</v>
      </c>
      <c r="U396" s="1203"/>
      <c r="V396" s="1230">
        <f>V183</f>
        <v>4.5289999999999999</v>
      </c>
      <c r="W396" s="1009" t="s">
        <v>374</v>
      </c>
      <c r="X396" s="1203">
        <f t="shared" ref="X396:X398" si="124">ROUND(V396*$C396/100,0)</f>
        <v>54552</v>
      </c>
      <c r="Z396" s="815"/>
      <c r="AC396" s="1205"/>
      <c r="AD396" s="1205"/>
      <c r="AI396" s="1185"/>
      <c r="AJ396" s="1185"/>
      <c r="AK396" s="1185"/>
      <c r="AL396" s="1185"/>
      <c r="AM396" s="1185"/>
      <c r="AN396" s="1185"/>
      <c r="AO396" s="1185"/>
      <c r="AP396" s="1185"/>
      <c r="AQ396" s="1185"/>
      <c r="AR396" s="1185"/>
      <c r="AS396" s="1185"/>
      <c r="AU396" s="1204"/>
    </row>
    <row r="397" spans="1:47" s="1184" customFormat="1" hidden="1">
      <c r="A397" s="1005" t="s">
        <v>1033</v>
      </c>
      <c r="C397" s="1202">
        <f>C393</f>
        <v>64812</v>
      </c>
      <c r="D397" s="269"/>
      <c r="E397" s="1185"/>
      <c r="F397" s="1203"/>
      <c r="G397" s="269"/>
      <c r="H397" s="1185"/>
      <c r="I397" s="1203"/>
      <c r="J397" s="1230">
        <f>J184</f>
        <v>3.1270000000000002</v>
      </c>
      <c r="K397" s="1009" t="s">
        <v>374</v>
      </c>
      <c r="L397" s="1203">
        <f t="shared" si="121"/>
        <v>2027</v>
      </c>
      <c r="M397" s="1203"/>
      <c r="N397" s="1230" t="str">
        <f>N184</f>
        <v xml:space="preserve"> </v>
      </c>
      <c r="O397" s="1009" t="s">
        <v>374</v>
      </c>
      <c r="P397" s="1203">
        <f t="shared" si="122"/>
        <v>0</v>
      </c>
      <c r="Q397" s="1203"/>
      <c r="R397" s="1230" t="str">
        <f>R184</f>
        <v xml:space="preserve"> </v>
      </c>
      <c r="S397" s="1009" t="s">
        <v>374</v>
      </c>
      <c r="T397" s="1203">
        <f t="shared" si="123"/>
        <v>0</v>
      </c>
      <c r="U397" s="1203"/>
      <c r="V397" s="1230">
        <f>V184</f>
        <v>3.1270000000000002</v>
      </c>
      <c r="W397" s="1009" t="s">
        <v>374</v>
      </c>
      <c r="X397" s="1203">
        <f t="shared" si="124"/>
        <v>2027</v>
      </c>
      <c r="Z397" s="815"/>
      <c r="AC397" s="1205"/>
      <c r="AD397" s="1205"/>
      <c r="AI397" s="1185"/>
      <c r="AJ397" s="1185"/>
      <c r="AK397" s="1185"/>
      <c r="AL397" s="1185"/>
      <c r="AM397" s="1185"/>
      <c r="AN397" s="1185"/>
      <c r="AO397" s="1185"/>
      <c r="AP397" s="1185"/>
      <c r="AQ397" s="1185"/>
      <c r="AR397" s="1185"/>
      <c r="AS397" s="1185"/>
      <c r="AU397" s="1204"/>
    </row>
    <row r="398" spans="1:47" s="1184" customFormat="1" hidden="1">
      <c r="A398" s="1005" t="s">
        <v>1034</v>
      </c>
      <c r="C398" s="1202">
        <f>C394</f>
        <v>0</v>
      </c>
      <c r="D398" s="269"/>
      <c r="E398" s="1185"/>
      <c r="F398" s="1203"/>
      <c r="G398" s="269"/>
      <c r="H398" s="1185"/>
      <c r="I398" s="1203"/>
      <c r="J398" s="1230">
        <f>J185</f>
        <v>2.6950000000000003</v>
      </c>
      <c r="K398" s="1009" t="s">
        <v>374</v>
      </c>
      <c r="L398" s="1203">
        <f t="shared" si="121"/>
        <v>0</v>
      </c>
      <c r="M398" s="1203"/>
      <c r="N398" s="1230" t="str">
        <f>N185</f>
        <v xml:space="preserve"> </v>
      </c>
      <c r="O398" s="1009" t="s">
        <v>374</v>
      </c>
      <c r="P398" s="1203">
        <f t="shared" si="122"/>
        <v>0</v>
      </c>
      <c r="Q398" s="1203"/>
      <c r="R398" s="1230" t="str">
        <f>R185</f>
        <v xml:space="preserve"> </v>
      </c>
      <c r="S398" s="1009" t="s">
        <v>374</v>
      </c>
      <c r="T398" s="1203">
        <f t="shared" si="123"/>
        <v>0</v>
      </c>
      <c r="U398" s="1203"/>
      <c r="V398" s="1230">
        <f>V185</f>
        <v>2.6950000000000003</v>
      </c>
      <c r="W398" s="1009" t="s">
        <v>374</v>
      </c>
      <c r="X398" s="1203">
        <f t="shared" si="124"/>
        <v>0</v>
      </c>
      <c r="Z398" s="815"/>
      <c r="AC398" s="1205"/>
      <c r="AD398" s="1205"/>
      <c r="AI398" s="1185"/>
      <c r="AJ398" s="1185"/>
      <c r="AK398" s="1185"/>
      <c r="AL398" s="1185"/>
      <c r="AM398" s="1185"/>
      <c r="AN398" s="1185"/>
      <c r="AO398" s="1185"/>
      <c r="AP398" s="1185"/>
      <c r="AQ398" s="1185"/>
      <c r="AR398" s="1185"/>
      <c r="AS398" s="1185"/>
      <c r="AU398" s="1204"/>
    </row>
    <row r="399" spans="1:47" hidden="1">
      <c r="A399" s="331" t="s">
        <v>401</v>
      </c>
      <c r="B399" s="1"/>
      <c r="C399" s="319"/>
      <c r="D399" s="332">
        <v>-0.01</v>
      </c>
      <c r="E399" s="321"/>
      <c r="F399" s="2"/>
      <c r="G399" s="332">
        <v>-0.01</v>
      </c>
      <c r="H399" s="323"/>
      <c r="I399" s="2"/>
      <c r="J399" s="332">
        <v>-0.01</v>
      </c>
      <c r="K399" s="323"/>
      <c r="L399" s="2"/>
      <c r="M399" s="2"/>
      <c r="N399" s="332">
        <v>-0.01</v>
      </c>
      <c r="O399" s="323"/>
      <c r="P399" s="2"/>
      <c r="Q399" s="2"/>
      <c r="R399" s="332">
        <v>-0.01</v>
      </c>
      <c r="S399" s="323"/>
      <c r="T399" s="2"/>
      <c r="U399" s="2"/>
      <c r="V399" s="332">
        <v>-0.01</v>
      </c>
      <c r="W399" s="323"/>
      <c r="X399" s="2"/>
      <c r="Y399" s="20"/>
      <c r="Z399" s="74"/>
      <c r="AA399" s="74"/>
      <c r="AB399" s="74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U399" s="84"/>
    </row>
    <row r="400" spans="1:47" hidden="1">
      <c r="A400" s="1" t="s">
        <v>390</v>
      </c>
      <c r="B400" s="1"/>
      <c r="C400" s="319">
        <v>0</v>
      </c>
      <c r="D400" s="334">
        <v>8.7100000000000009</v>
      </c>
      <c r="E400" s="321"/>
      <c r="F400" s="2">
        <f>-ROUND(D400*$C400/100,0)</f>
        <v>0</v>
      </c>
      <c r="G400" s="334">
        <v>8.7100000000000009</v>
      </c>
      <c r="H400" s="321"/>
      <c r="I400" s="2">
        <f>-ROUND(G400*$C400/100,0)</f>
        <v>0</v>
      </c>
      <c r="J400" s="334">
        <f>J386</f>
        <v>10</v>
      </c>
      <c r="K400" s="321"/>
      <c r="L400" s="2">
        <f>-ROUND(J400*$C400/100,0)</f>
        <v>0</v>
      </c>
      <c r="M400" s="2"/>
      <c r="N400" s="334">
        <f>N386</f>
        <v>10</v>
      </c>
      <c r="O400" s="321"/>
      <c r="P400" s="2">
        <f>-ROUND(N400*$C400/100,0)</f>
        <v>0</v>
      </c>
      <c r="Q400" s="2"/>
      <c r="R400" s="334" t="str">
        <f>R386</f>
        <v xml:space="preserve"> </v>
      </c>
      <c r="S400" s="321"/>
      <c r="T400" s="2">
        <f>-ROUND(R400*$C400/100,0)</f>
        <v>0</v>
      </c>
      <c r="U400" s="2"/>
      <c r="V400" s="334" t="str">
        <f>V386</f>
        <v xml:space="preserve"> </v>
      </c>
      <c r="W400" s="321"/>
      <c r="X400" s="2">
        <f>-ROUND(V400*$C400/100,0)</f>
        <v>0</v>
      </c>
      <c r="Y400" s="20"/>
      <c r="Z400" s="74"/>
      <c r="AA400" s="74"/>
      <c r="AB400" s="74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U400" s="84"/>
    </row>
    <row r="401" spans="1:47" hidden="1">
      <c r="A401" s="1" t="s">
        <v>391</v>
      </c>
      <c r="B401" s="1"/>
      <c r="C401" s="319">
        <v>0</v>
      </c>
      <c r="D401" s="334">
        <v>12.98</v>
      </c>
      <c r="E401" s="321"/>
      <c r="F401" s="2">
        <f>-ROUND(D401*$C401/100,0)</f>
        <v>0</v>
      </c>
      <c r="G401" s="334">
        <v>12.98</v>
      </c>
      <c r="H401" s="321"/>
      <c r="I401" s="2">
        <f t="shared" ref="I401:I403" si="125">-ROUND(G401*$C401/100,0)</f>
        <v>0</v>
      </c>
      <c r="J401" s="334">
        <f>J387</f>
        <v>15</v>
      </c>
      <c r="K401" s="321"/>
      <c r="L401" s="2">
        <f>-ROUND(J401*$C401/100,0)</f>
        <v>0</v>
      </c>
      <c r="M401" s="2"/>
      <c r="N401" s="334">
        <f>N387</f>
        <v>15</v>
      </c>
      <c r="O401" s="321"/>
      <c r="P401" s="2">
        <f>-ROUND(N401*$C401/100,0)</f>
        <v>0</v>
      </c>
      <c r="Q401" s="2"/>
      <c r="R401" s="334" t="str">
        <f>R387</f>
        <v xml:space="preserve"> </v>
      </c>
      <c r="S401" s="321"/>
      <c r="T401" s="2">
        <f>-ROUND(R401*$C401/100,0)</f>
        <v>0</v>
      </c>
      <c r="U401" s="2"/>
      <c r="V401" s="334" t="str">
        <f>V387</f>
        <v xml:space="preserve"> </v>
      </c>
      <c r="W401" s="321"/>
      <c r="X401" s="2">
        <f>-ROUND(V401*$C401/100,0)</f>
        <v>0</v>
      </c>
      <c r="Y401" s="20"/>
      <c r="Z401" s="74"/>
      <c r="AA401" s="74"/>
      <c r="AB401" s="74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U401" s="84"/>
    </row>
    <row r="402" spans="1:47" hidden="1">
      <c r="A402" s="1" t="s">
        <v>402</v>
      </c>
      <c r="B402" s="1"/>
      <c r="C402" s="319">
        <v>0</v>
      </c>
      <c r="D402" s="334">
        <v>0.92</v>
      </c>
      <c r="E402" s="321"/>
      <c r="F402" s="2">
        <f>-ROUND(D402*$C402/100,0)</f>
        <v>0</v>
      </c>
      <c r="G402" s="334">
        <v>0.92</v>
      </c>
      <c r="H402" s="321"/>
      <c r="I402" s="2">
        <f t="shared" si="125"/>
        <v>0</v>
      </c>
      <c r="J402" s="334">
        <f>J388</f>
        <v>1</v>
      </c>
      <c r="K402" s="321"/>
      <c r="L402" s="2">
        <f>-ROUND(J402*$C402/100,0)</f>
        <v>0</v>
      </c>
      <c r="M402" s="2"/>
      <c r="N402" s="334">
        <f>N388</f>
        <v>1</v>
      </c>
      <c r="O402" s="321"/>
      <c r="P402" s="2">
        <f>-ROUND(N402*$C402/100,0)</f>
        <v>0</v>
      </c>
      <c r="Q402" s="2"/>
      <c r="R402" s="334" t="str">
        <f>R388</f>
        <v xml:space="preserve"> </v>
      </c>
      <c r="S402" s="321"/>
      <c r="T402" s="2">
        <f>-ROUND(R402*$C402/100,0)</f>
        <v>0</v>
      </c>
      <c r="U402" s="2"/>
      <c r="V402" s="334" t="str">
        <f>V388</f>
        <v xml:space="preserve"> </v>
      </c>
      <c r="W402" s="321"/>
      <c r="X402" s="2">
        <f>-ROUND(V402*$C402/100,0)</f>
        <v>0</v>
      </c>
      <c r="Y402" s="20"/>
      <c r="Z402" s="74"/>
      <c r="AA402" s="74"/>
      <c r="AB402" s="74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U402" s="84"/>
    </row>
    <row r="403" spans="1:47" hidden="1">
      <c r="A403" s="1" t="s">
        <v>403</v>
      </c>
      <c r="B403" s="1"/>
      <c r="C403" s="319">
        <v>0</v>
      </c>
      <c r="D403" s="334">
        <v>3.4</v>
      </c>
      <c r="E403" s="323"/>
      <c r="F403" s="2">
        <f>-ROUND(D403*$C403/100,0)</f>
        <v>0</v>
      </c>
      <c r="G403" s="334">
        <v>3.61</v>
      </c>
      <c r="H403" s="323"/>
      <c r="I403" s="2">
        <f t="shared" si="125"/>
        <v>0</v>
      </c>
      <c r="J403" s="334">
        <f ca="1">J391</f>
        <v>3.77</v>
      </c>
      <c r="K403" s="323"/>
      <c r="L403" s="2">
        <f ca="1">-ROUND(J403*$C403/100,0)</f>
        <v>0</v>
      </c>
      <c r="M403" s="2"/>
      <c r="N403" s="334">
        <f ca="1">N391</f>
        <v>0.81</v>
      </c>
      <c r="O403" s="323"/>
      <c r="P403" s="2">
        <f ca="1">-ROUND(N403*$C403/100,0)</f>
        <v>0</v>
      </c>
      <c r="Q403" s="2"/>
      <c r="R403" s="334">
        <f ca="1">R391</f>
        <v>1.06</v>
      </c>
      <c r="S403" s="323"/>
      <c r="T403" s="2">
        <f ca="1">-ROUND(R403*$C403/100,0)</f>
        <v>0</v>
      </c>
      <c r="U403" s="2"/>
      <c r="V403" s="334">
        <f ca="1">V391</f>
        <v>1.9</v>
      </c>
      <c r="W403" s="323"/>
      <c r="X403" s="2">
        <f ca="1">-ROUND(V403*$C403/100,0)</f>
        <v>0</v>
      </c>
      <c r="Y403" s="20"/>
      <c r="Z403" s="74"/>
      <c r="AA403" s="74"/>
      <c r="AB403" s="74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U403" s="84"/>
    </row>
    <row r="404" spans="1:47" hidden="1">
      <c r="A404" s="1" t="s">
        <v>405</v>
      </c>
      <c r="B404" s="1"/>
      <c r="C404" s="319">
        <v>0</v>
      </c>
      <c r="D404" s="335">
        <v>9.766</v>
      </c>
      <c r="E404" s="323" t="s">
        <v>374</v>
      </c>
      <c r="F404" s="2">
        <f>ROUND(D404*$C404/100*D399,0)</f>
        <v>0</v>
      </c>
      <c r="G404" s="335">
        <v>10.359</v>
      </c>
      <c r="H404" s="323" t="s">
        <v>374</v>
      </c>
      <c r="I404" s="2">
        <f>ROUND(G404*$C404/100*G399,0)</f>
        <v>0</v>
      </c>
      <c r="J404" s="335">
        <f ca="1">J392</f>
        <v>6.282</v>
      </c>
      <c r="K404" s="323" t="s">
        <v>374</v>
      </c>
      <c r="L404" s="2">
        <f ca="1">ROUND(J404*$C404/100*J399,0)</f>
        <v>0</v>
      </c>
      <c r="M404" s="2"/>
      <c r="N404" s="335">
        <f ca="1">N392</f>
        <v>1.3483746810352102</v>
      </c>
      <c r="O404" s="323" t="s">
        <v>374</v>
      </c>
      <c r="P404" s="2">
        <f ca="1">ROUND(N404*$C404/100*N399,0)</f>
        <v>0</v>
      </c>
      <c r="Q404" s="2"/>
      <c r="R404" s="335">
        <f ca="1">R392</f>
        <v>1.7708525176705459</v>
      </c>
      <c r="S404" s="323" t="s">
        <v>374</v>
      </c>
      <c r="T404" s="2">
        <f ca="1">ROUND(R404*$C404/100*R399,0)</f>
        <v>0</v>
      </c>
      <c r="U404" s="2"/>
      <c r="V404" s="335">
        <f ca="1">V392</f>
        <v>3.162955363125258</v>
      </c>
      <c r="W404" s="323" t="s">
        <v>374</v>
      </c>
      <c r="X404" s="2">
        <f ca="1">ROUND(V404*$C404/100*V399,0)</f>
        <v>0</v>
      </c>
      <c r="Y404" s="20"/>
      <c r="Z404" s="74"/>
      <c r="AA404" s="74"/>
      <c r="AB404" s="74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U404" s="84"/>
    </row>
    <row r="405" spans="1:47" hidden="1">
      <c r="A405" s="1" t="s">
        <v>398</v>
      </c>
      <c r="B405" s="1"/>
      <c r="C405" s="319">
        <v>0</v>
      </c>
      <c r="D405" s="335">
        <v>6.7460000000000004</v>
      </c>
      <c r="E405" s="323" t="s">
        <v>374</v>
      </c>
      <c r="F405" s="2">
        <f>ROUND(D405*$C405/100*D399,0)</f>
        <v>0</v>
      </c>
      <c r="G405" s="335">
        <v>7.1559999999999997</v>
      </c>
      <c r="H405" s="323" t="s">
        <v>374</v>
      </c>
      <c r="I405" s="2">
        <f>ROUND(G405*$C405/100*G399,0)</f>
        <v>0</v>
      </c>
      <c r="J405" s="335">
        <f ca="1">J393</f>
        <v>4.3410000000000002</v>
      </c>
      <c r="K405" s="323" t="s">
        <v>374</v>
      </c>
      <c r="L405" s="2">
        <f ca="1">ROUND(J405*$C405/100*J399,0)</f>
        <v>0</v>
      </c>
      <c r="M405" s="2"/>
      <c r="N405" s="335">
        <f ca="1">N393</f>
        <v>0.93175626548296309</v>
      </c>
      <c r="O405" s="323" t="s">
        <v>374</v>
      </c>
      <c r="P405" s="2">
        <f ca="1">ROUND(N405*$C405/100*N399,0)</f>
        <v>0</v>
      </c>
      <c r="Q405" s="2"/>
      <c r="R405" s="335">
        <f ca="1">R393</f>
        <v>1.2240066282869231</v>
      </c>
      <c r="S405" s="323" t="s">
        <v>374</v>
      </c>
      <c r="T405" s="2">
        <f ca="1">ROUND(R405*$C405/100*R399,0)</f>
        <v>0</v>
      </c>
      <c r="U405" s="2"/>
      <c r="V405" s="335">
        <f ca="1">V393</f>
        <v>2.1849800075654815</v>
      </c>
      <c r="W405" s="323" t="s">
        <v>374</v>
      </c>
      <c r="X405" s="2">
        <f ca="1">ROUND(V405*$C405/100*V399,0)</f>
        <v>0</v>
      </c>
      <c r="Y405" s="20"/>
      <c r="Z405" s="74"/>
      <c r="AA405" s="74"/>
      <c r="AB405" s="74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U405" s="84"/>
    </row>
    <row r="406" spans="1:47" hidden="1">
      <c r="A406" s="1" t="s">
        <v>399</v>
      </c>
      <c r="B406" s="1"/>
      <c r="C406" s="319">
        <v>0</v>
      </c>
      <c r="D406" s="335">
        <v>5.8120000000000003</v>
      </c>
      <c r="E406" s="323" t="s">
        <v>374</v>
      </c>
      <c r="F406" s="2">
        <f>ROUND(D406*$C406/100*D399,0)</f>
        <v>0</v>
      </c>
      <c r="G406" s="335">
        <v>6.1660000000000004</v>
      </c>
      <c r="H406" s="323" t="s">
        <v>374</v>
      </c>
      <c r="I406" s="2">
        <f>ROUND(G406*$C406/100*G399,0)</f>
        <v>0</v>
      </c>
      <c r="J406" s="335">
        <f ca="1">J394</f>
        <v>3.74</v>
      </c>
      <c r="K406" s="323" t="s">
        <v>374</v>
      </c>
      <c r="L406" s="2">
        <f ca="1">ROUND(J406*$C406/100*J399,0)</f>
        <v>0</v>
      </c>
      <c r="M406" s="2"/>
      <c r="N406" s="335">
        <f ca="1">N394</f>
        <v>0.80275718206159852</v>
      </c>
      <c r="O406" s="323" t="s">
        <v>374</v>
      </c>
      <c r="P406" s="2">
        <f ca="1">ROUND(N406*$C406/100*N399,0)</f>
        <v>0</v>
      </c>
      <c r="Q406" s="2"/>
      <c r="R406" s="335">
        <f ca="1">R394</f>
        <v>1.0536847359511734</v>
      </c>
      <c r="S406" s="323" t="s">
        <v>374</v>
      </c>
      <c r="T406" s="2">
        <f ca="1">ROUND(R406*$C406/100*R399,0)</f>
        <v>0</v>
      </c>
      <c r="U406" s="2"/>
      <c r="V406" s="335">
        <f ca="1">V394</f>
        <v>1.8834755557989509</v>
      </c>
      <c r="W406" s="323" t="s">
        <v>374</v>
      </c>
      <c r="X406" s="2">
        <f ca="1">ROUND(V406*$C406/100*V399,0)</f>
        <v>0</v>
      </c>
      <c r="Y406" s="20"/>
      <c r="Z406" s="74"/>
      <c r="AA406" s="74"/>
      <c r="AB406" s="74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U406" s="84"/>
    </row>
    <row r="407" spans="1:47" hidden="1">
      <c r="A407" s="1" t="s">
        <v>400</v>
      </c>
      <c r="B407" s="1"/>
      <c r="C407" s="319">
        <v>0</v>
      </c>
      <c r="D407" s="336">
        <v>56</v>
      </c>
      <c r="E407" s="323" t="s">
        <v>374</v>
      </c>
      <c r="F407" s="2">
        <f>ROUND(D407*$C407/100*D399,0)</f>
        <v>0</v>
      </c>
      <c r="G407" s="336">
        <v>56</v>
      </c>
      <c r="H407" s="323" t="s">
        <v>374</v>
      </c>
      <c r="I407" s="2">
        <f>ROUND(G407*$C407/100*G399,0)</f>
        <v>0</v>
      </c>
      <c r="J407" s="336">
        <f>J395</f>
        <v>56</v>
      </c>
      <c r="K407" s="323" t="s">
        <v>374</v>
      </c>
      <c r="L407" s="2">
        <f>ROUND(J407*$C407/100*J399,0)</f>
        <v>0</v>
      </c>
      <c r="M407" s="2"/>
      <c r="N407" s="336" t="str">
        <f>N395</f>
        <v xml:space="preserve"> </v>
      </c>
      <c r="O407" s="323" t="s">
        <v>374</v>
      </c>
      <c r="P407" s="2">
        <f>ROUND(N407*$C407/100*N399,0)</f>
        <v>0</v>
      </c>
      <c r="Q407" s="2"/>
      <c r="R407" s="336">
        <f ca="1">R395</f>
        <v>11</v>
      </c>
      <c r="S407" s="323" t="s">
        <v>374</v>
      </c>
      <c r="T407" s="2">
        <f ca="1">ROUND(R407*$C407/100*R399,0)</f>
        <v>0</v>
      </c>
      <c r="U407" s="2"/>
      <c r="V407" s="336">
        <f ca="1">V395</f>
        <v>45</v>
      </c>
      <c r="W407" s="323" t="s">
        <v>374</v>
      </c>
      <c r="X407" s="2">
        <f ca="1">ROUND(V407*$C407/100*V399,0)</f>
        <v>0</v>
      </c>
      <c r="Y407" s="20"/>
      <c r="Z407" s="74"/>
      <c r="AA407" s="74"/>
      <c r="AB407" s="74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U407" s="84"/>
    </row>
    <row r="408" spans="1:47" hidden="1">
      <c r="A408" s="1" t="s">
        <v>407</v>
      </c>
      <c r="B408" s="1"/>
      <c r="C408" s="319">
        <v>0</v>
      </c>
      <c r="D408" s="337">
        <v>60</v>
      </c>
      <c r="E408" s="321"/>
      <c r="F408" s="2">
        <f>ROUND(D408*$C408,0)</f>
        <v>0</v>
      </c>
      <c r="G408" s="337">
        <v>60</v>
      </c>
      <c r="H408" s="323"/>
      <c r="I408" s="2">
        <f>ROUND(G408*C408,0)</f>
        <v>0</v>
      </c>
      <c r="J408" s="337">
        <f>$J$198</f>
        <v>60</v>
      </c>
      <c r="K408" s="323"/>
      <c r="L408" s="2">
        <f>ROUND(J408*$C408,0)</f>
        <v>0</v>
      </c>
      <c r="M408" s="2"/>
      <c r="N408" s="337" t="str">
        <f>$N$198</f>
        <v xml:space="preserve"> </v>
      </c>
      <c r="O408" s="323"/>
      <c r="P408" s="2">
        <f>ROUND(N408*$C408,0)</f>
        <v>0</v>
      </c>
      <c r="Q408" s="2"/>
      <c r="R408" s="337">
        <f ca="1">$R$198</f>
        <v>11.86</v>
      </c>
      <c r="S408" s="323"/>
      <c r="T408" s="2">
        <f ca="1">ROUND(R408*$C408,0)</f>
        <v>0</v>
      </c>
      <c r="U408" s="2"/>
      <c r="V408" s="337">
        <f ca="1">$V$198</f>
        <v>48.14</v>
      </c>
      <c r="W408" s="323"/>
      <c r="X408" s="2">
        <f ca="1">ROUND(V408*$C408,0)</f>
        <v>0</v>
      </c>
      <c r="Y408" s="20"/>
      <c r="Z408" s="74"/>
      <c r="AA408" s="74"/>
      <c r="AB408" s="74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U408" s="84"/>
    </row>
    <row r="409" spans="1:47" hidden="1">
      <c r="A409" s="1" t="s">
        <v>408</v>
      </c>
      <c r="B409" s="1"/>
      <c r="C409" s="319">
        <v>0</v>
      </c>
      <c r="D409" s="339">
        <v>-30</v>
      </c>
      <c r="E409" s="321" t="s">
        <v>374</v>
      </c>
      <c r="F409" s="2">
        <f>ROUND(D409*$C409/100,0)</f>
        <v>0</v>
      </c>
      <c r="G409" s="339">
        <v>-30</v>
      </c>
      <c r="H409" s="323" t="s">
        <v>374</v>
      </c>
      <c r="I409" s="2">
        <f>ROUND(G409*C409/100,0)</f>
        <v>0</v>
      </c>
      <c r="J409" s="339">
        <f>$J$199</f>
        <v>-30</v>
      </c>
      <c r="K409" s="323" t="s">
        <v>374</v>
      </c>
      <c r="L409" s="2">
        <f>ROUND(J409*$C409/100,0)</f>
        <v>0</v>
      </c>
      <c r="M409" s="2"/>
      <c r="N409" s="339">
        <f>$N$199</f>
        <v>-30</v>
      </c>
      <c r="O409" s="323" t="s">
        <v>374</v>
      </c>
      <c r="P409" s="2">
        <f>ROUND(N409*$C409/100,0)</f>
        <v>0</v>
      </c>
      <c r="Q409" s="2"/>
      <c r="R409" s="339" t="str">
        <f>$R$199</f>
        <v xml:space="preserve"> </v>
      </c>
      <c r="S409" s="323" t="s">
        <v>374</v>
      </c>
      <c r="T409" s="2">
        <f>ROUND(R409*$C409/100,0)</f>
        <v>0</v>
      </c>
      <c r="U409" s="2"/>
      <c r="V409" s="339" t="str">
        <f>$V$199</f>
        <v xml:space="preserve"> </v>
      </c>
      <c r="W409" s="323" t="s">
        <v>374</v>
      </c>
      <c r="X409" s="2">
        <f>ROUND(V409*$C409/100,0)</f>
        <v>0</v>
      </c>
      <c r="Y409" s="20"/>
      <c r="Z409" s="74"/>
      <c r="AA409" s="74"/>
      <c r="AB409" s="74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U409" s="84"/>
    </row>
    <row r="410" spans="1:47" s="1184" customFormat="1" hidden="1">
      <c r="A410" s="1005" t="s">
        <v>1032</v>
      </c>
      <c r="C410" s="1202">
        <f>C404</f>
        <v>0</v>
      </c>
      <c r="D410" s="269"/>
      <c r="E410" s="1185"/>
      <c r="F410" s="1203"/>
      <c r="G410" s="269"/>
      <c r="H410" s="1185"/>
      <c r="I410" s="1203"/>
      <c r="J410" s="1230">
        <f>J183</f>
        <v>4.5289999999999999</v>
      </c>
      <c r="K410" s="1009" t="s">
        <v>374</v>
      </c>
      <c r="L410" s="2">
        <f>ROUND(J410*$C410/100*J399,0)</f>
        <v>0</v>
      </c>
      <c r="M410" s="2"/>
      <c r="N410" s="1230" t="str">
        <f>N183</f>
        <v xml:space="preserve"> </v>
      </c>
      <c r="O410" s="1009" t="s">
        <v>374</v>
      </c>
      <c r="P410" s="2">
        <f>ROUND(N410*$C410/100*N399,0)</f>
        <v>0</v>
      </c>
      <c r="Q410" s="2"/>
      <c r="R410" s="1230" t="str">
        <f>R183</f>
        <v xml:space="preserve"> </v>
      </c>
      <c r="S410" s="1009" t="s">
        <v>374</v>
      </c>
      <c r="T410" s="2">
        <f>ROUND(R410*$C410/100*R399,0)</f>
        <v>0</v>
      </c>
      <c r="U410" s="2"/>
      <c r="V410" s="1230">
        <f>V183</f>
        <v>4.5289999999999999</v>
      </c>
      <c r="W410" s="1009" t="s">
        <v>374</v>
      </c>
      <c r="X410" s="2">
        <f>ROUND(V410*$C410/100*V399,0)</f>
        <v>0</v>
      </c>
      <c r="Z410" s="815"/>
      <c r="AC410" s="1205"/>
      <c r="AD410" s="1205"/>
      <c r="AI410" s="1185"/>
      <c r="AJ410" s="1185"/>
      <c r="AK410" s="1185"/>
      <c r="AL410" s="1185"/>
      <c r="AM410" s="1185"/>
      <c r="AN410" s="1185"/>
      <c r="AO410" s="1185"/>
      <c r="AP410" s="1185"/>
      <c r="AQ410" s="1185"/>
      <c r="AR410" s="1185"/>
      <c r="AS410" s="1185"/>
      <c r="AU410" s="1204"/>
    </row>
    <row r="411" spans="1:47" s="1184" customFormat="1" hidden="1">
      <c r="A411" s="1005" t="s">
        <v>1033</v>
      </c>
      <c r="C411" s="1202">
        <f>C405</f>
        <v>0</v>
      </c>
      <c r="D411" s="269"/>
      <c r="E411" s="1185"/>
      <c r="F411" s="1203"/>
      <c r="G411" s="269"/>
      <c r="H411" s="1185"/>
      <c r="I411" s="1203"/>
      <c r="J411" s="1230">
        <f>J184</f>
        <v>3.1270000000000002</v>
      </c>
      <c r="K411" s="1009" t="s">
        <v>374</v>
      </c>
      <c r="L411" s="2">
        <f>ROUND(J411*$C411/100*J399,0)</f>
        <v>0</v>
      </c>
      <c r="M411" s="2"/>
      <c r="N411" s="1230" t="str">
        <f>N184</f>
        <v xml:space="preserve"> </v>
      </c>
      <c r="O411" s="1009" t="s">
        <v>374</v>
      </c>
      <c r="P411" s="2">
        <f>ROUND(N411*$C411/100*N399,0)</f>
        <v>0</v>
      </c>
      <c r="Q411" s="2"/>
      <c r="R411" s="1230" t="str">
        <f>R184</f>
        <v xml:space="preserve"> </v>
      </c>
      <c r="S411" s="1009" t="s">
        <v>374</v>
      </c>
      <c r="T411" s="2">
        <f>ROUND(R411*$C411/100*R399,0)</f>
        <v>0</v>
      </c>
      <c r="U411" s="2"/>
      <c r="V411" s="1230">
        <f>V184</f>
        <v>3.1270000000000002</v>
      </c>
      <c r="W411" s="1009" t="s">
        <v>374</v>
      </c>
      <c r="X411" s="2">
        <f>ROUND(V411*$C411/100*V399,0)</f>
        <v>0</v>
      </c>
      <c r="Z411" s="815"/>
      <c r="AC411" s="1205"/>
      <c r="AD411" s="1205"/>
      <c r="AI411" s="1185"/>
      <c r="AJ411" s="1185"/>
      <c r="AK411" s="1185"/>
      <c r="AL411" s="1185"/>
      <c r="AM411" s="1185"/>
      <c r="AN411" s="1185"/>
      <c r="AO411" s="1185"/>
      <c r="AP411" s="1185"/>
      <c r="AQ411" s="1185"/>
      <c r="AR411" s="1185"/>
      <c r="AS411" s="1185"/>
      <c r="AU411" s="1204"/>
    </row>
    <row r="412" spans="1:47" s="1184" customFormat="1" hidden="1">
      <c r="A412" s="1005" t="s">
        <v>1034</v>
      </c>
      <c r="C412" s="1202">
        <f>C406</f>
        <v>0</v>
      </c>
      <c r="D412" s="269"/>
      <c r="E412" s="1185"/>
      <c r="F412" s="1203"/>
      <c r="G412" s="269"/>
      <c r="H412" s="1185"/>
      <c r="I412" s="1203"/>
      <c r="J412" s="1230">
        <f>J185</f>
        <v>2.6950000000000003</v>
      </c>
      <c r="K412" s="1009" t="s">
        <v>374</v>
      </c>
      <c r="L412" s="2">
        <f>ROUND(J412*$C412/100*J399,0)</f>
        <v>0</v>
      </c>
      <c r="M412" s="2"/>
      <c r="N412" s="1230" t="str">
        <f>N185</f>
        <v xml:space="preserve"> </v>
      </c>
      <c r="O412" s="1009" t="s">
        <v>374</v>
      </c>
      <c r="P412" s="2">
        <f>ROUND(N412*$C412/100*N399,0)</f>
        <v>0</v>
      </c>
      <c r="Q412" s="2"/>
      <c r="R412" s="1230" t="str">
        <f>R185</f>
        <v xml:space="preserve"> </v>
      </c>
      <c r="S412" s="1009" t="s">
        <v>374</v>
      </c>
      <c r="T412" s="2">
        <f>ROUND(R412*$C412/100*R399,0)</f>
        <v>0</v>
      </c>
      <c r="U412" s="2"/>
      <c r="V412" s="1230">
        <f>V185</f>
        <v>2.6950000000000003</v>
      </c>
      <c r="W412" s="1009" t="s">
        <v>374</v>
      </c>
      <c r="X412" s="2">
        <f>ROUND(V412*$C412/100*V399,0)</f>
        <v>0</v>
      </c>
      <c r="Z412" s="815"/>
      <c r="AC412" s="1205"/>
      <c r="AD412" s="1205"/>
      <c r="AI412" s="1185"/>
      <c r="AJ412" s="1185"/>
      <c r="AK412" s="1185"/>
      <c r="AL412" s="1185"/>
      <c r="AM412" s="1185"/>
      <c r="AN412" s="1185"/>
      <c r="AO412" s="1185"/>
      <c r="AP412" s="1185"/>
      <c r="AQ412" s="1185"/>
      <c r="AR412" s="1185"/>
      <c r="AS412" s="1185"/>
      <c r="AU412" s="1204"/>
    </row>
    <row r="413" spans="1:47" hidden="1">
      <c r="A413" s="1" t="s">
        <v>381</v>
      </c>
      <c r="B413" s="1"/>
      <c r="C413" s="319">
        <f>SUM(C392:C394)</f>
        <v>1269318.6605672329</v>
      </c>
      <c r="D413" s="330"/>
      <c r="E413" s="2"/>
      <c r="F413" s="2">
        <f>SUM(F386:F409)</f>
        <v>157219</v>
      </c>
      <c r="G413" s="330"/>
      <c r="H413" s="323"/>
      <c r="I413" s="2">
        <f>SUM(I386:I409)</f>
        <v>164628</v>
      </c>
      <c r="J413" s="330"/>
      <c r="K413" s="323"/>
      <c r="L413" s="2">
        <f ca="1">SUM(L386:L412)</f>
        <v>175490</v>
      </c>
      <c r="M413" s="2"/>
      <c r="N413" s="330"/>
      <c r="O413" s="323"/>
      <c r="P413" s="2">
        <f ca="1">SUM(P386:P412)</f>
        <v>57276</v>
      </c>
      <c r="Q413" s="2"/>
      <c r="R413" s="330"/>
      <c r="S413" s="323"/>
      <c r="T413" s="2">
        <f ca="1">SUM(T386:T412)</f>
        <v>22123</v>
      </c>
      <c r="U413" s="2"/>
      <c r="V413" s="330"/>
      <c r="W413" s="323"/>
      <c r="X413" s="2">
        <f ca="1">SUM(X386:X412)</f>
        <v>96093</v>
      </c>
      <c r="Y413" s="20"/>
      <c r="Z413" s="74"/>
      <c r="AA413" s="74"/>
      <c r="AB413" s="74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U413" s="84"/>
    </row>
    <row r="414" spans="1:47" hidden="1">
      <c r="A414" s="1" t="s">
        <v>363</v>
      </c>
      <c r="B414" s="1"/>
      <c r="C414" s="349">
        <f>'Table 2'!H42</f>
        <v>-3590.4726383423845</v>
      </c>
      <c r="D414" s="309"/>
      <c r="E414" s="309"/>
      <c r="F414" s="341">
        <f>I414</f>
        <v>-389.05432115663655</v>
      </c>
      <c r="G414" s="309"/>
      <c r="H414" s="309"/>
      <c r="I414" s="341">
        <f>'Table 3'!E42</f>
        <v>-389.05432115663655</v>
      </c>
      <c r="J414" s="309"/>
      <c r="K414" s="309"/>
      <c r="L414" s="341">
        <f>I414</f>
        <v>-389.05432115663655</v>
      </c>
      <c r="M414" s="322"/>
      <c r="N414" s="309"/>
      <c r="O414" s="309"/>
      <c r="P414" s="341">
        <f ca="1">P204/L204*L414</f>
        <v>-76.694824037786461</v>
      </c>
      <c r="Q414" s="322"/>
      <c r="R414" s="309"/>
      <c r="S414" s="309"/>
      <c r="T414" s="341">
        <f ca="1">T204/L204*L414</f>
        <v>-61.763768254382775</v>
      </c>
      <c r="U414" s="322"/>
      <c r="V414" s="309"/>
      <c r="W414" s="309"/>
      <c r="X414" s="341">
        <f ca="1">X204/L204*L414</f>
        <v>-250.59572886446733</v>
      </c>
      <c r="Y414" s="444"/>
      <c r="Z414" s="287"/>
      <c r="AA414" s="74"/>
      <c r="AB414" s="74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U414" s="84"/>
    </row>
    <row r="415" spans="1:47" ht="16.5" hidden="1" thickBot="1">
      <c r="A415" s="1" t="s">
        <v>382</v>
      </c>
      <c r="B415" s="1"/>
      <c r="C415" s="311">
        <f>SUM(C413:C414)</f>
        <v>1265728.1879288906</v>
      </c>
      <c r="D415" s="342"/>
      <c r="E415" s="343"/>
      <c r="F415" s="344">
        <f>F413+F414</f>
        <v>156829.94567884336</v>
      </c>
      <c r="G415" s="342"/>
      <c r="H415" s="345"/>
      <c r="I415" s="344">
        <f>I413+I414</f>
        <v>164238.94567884336</v>
      </c>
      <c r="J415" s="342"/>
      <c r="K415" s="345"/>
      <c r="L415" s="344">
        <f ca="1">L413+L414</f>
        <v>175100.94567884336</v>
      </c>
      <c r="M415" s="344"/>
      <c r="N415" s="342"/>
      <c r="O415" s="345"/>
      <c r="P415" s="344">
        <f ca="1">P413+P414</f>
        <v>57199.30517596221</v>
      </c>
      <c r="Q415" s="344"/>
      <c r="R415" s="342"/>
      <c r="S415" s="345"/>
      <c r="T415" s="344">
        <f ca="1">T413+T414</f>
        <v>22061.236231745617</v>
      </c>
      <c r="U415" s="344"/>
      <c r="V415" s="342"/>
      <c r="W415" s="345"/>
      <c r="X415" s="344">
        <f ca="1">X413+X414</f>
        <v>95842.404271135529</v>
      </c>
      <c r="Y415" s="411"/>
      <c r="Z415" s="470"/>
      <c r="AA415" s="74"/>
      <c r="AB415" s="74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U415" s="84"/>
    </row>
    <row r="416" spans="1:47" ht="16.5" hidden="1" thickTop="1">
      <c r="A416" s="1"/>
      <c r="B416" s="1"/>
      <c r="C416" s="21"/>
      <c r="D416" s="337"/>
      <c r="E416" s="2"/>
      <c r="F416" s="2"/>
      <c r="G416" s="337"/>
      <c r="H416" s="1"/>
      <c r="I416" s="2"/>
      <c r="J416" s="337"/>
      <c r="K416" s="1"/>
      <c r="L416" s="2" t="s">
        <v>31</v>
      </c>
      <c r="M416" s="2"/>
      <c r="N416" s="337"/>
      <c r="O416" s="1"/>
      <c r="P416" s="2" t="s">
        <v>31</v>
      </c>
      <c r="Q416" s="2"/>
      <c r="R416" s="337"/>
      <c r="S416" s="1"/>
      <c r="T416" s="2" t="s">
        <v>31</v>
      </c>
      <c r="U416" s="2"/>
      <c r="V416" s="337"/>
      <c r="W416" s="1"/>
      <c r="X416" s="2" t="s">
        <v>31</v>
      </c>
      <c r="Y416" s="20"/>
      <c r="Z416" s="74"/>
      <c r="AA416" s="74"/>
      <c r="AB416" s="74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U416" s="84"/>
    </row>
    <row r="417" spans="1:47" hidden="1">
      <c r="A417" s="293" t="s">
        <v>415</v>
      </c>
      <c r="B417" s="1"/>
      <c r="C417" s="1"/>
      <c r="D417" s="2"/>
      <c r="E417" s="2"/>
      <c r="F417" s="1" t="s">
        <v>31</v>
      </c>
      <c r="G417" s="2"/>
      <c r="H417" s="1"/>
      <c r="I417" s="1"/>
      <c r="J417" s="2"/>
      <c r="K417" s="1"/>
      <c r="L417" s="1"/>
      <c r="M417" s="1"/>
      <c r="N417" s="2"/>
      <c r="O417" s="1"/>
      <c r="P417" s="1"/>
      <c r="Q417" s="1"/>
      <c r="R417" s="2"/>
      <c r="S417" s="1"/>
      <c r="T417" s="1"/>
      <c r="U417" s="1"/>
      <c r="V417" s="2"/>
      <c r="W417" s="1"/>
      <c r="X417" s="1"/>
      <c r="Y417" s="20"/>
      <c r="Z417" s="74"/>
      <c r="AA417" s="74"/>
      <c r="AB417" s="74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U417" s="84"/>
    </row>
    <row r="418" spans="1:47" hidden="1">
      <c r="A418" s="1" t="s">
        <v>414</v>
      </c>
      <c r="B418" s="1"/>
      <c r="C418" s="1"/>
      <c r="D418" s="2"/>
      <c r="E418" s="2"/>
      <c r="F418" s="1"/>
      <c r="G418" s="2"/>
      <c r="H418" s="1"/>
      <c r="I418" s="1"/>
      <c r="J418" s="2"/>
      <c r="K418" s="1"/>
      <c r="L418" s="1"/>
      <c r="M418" s="1"/>
      <c r="N418" s="2"/>
      <c r="O418" s="1"/>
      <c r="P418" s="1"/>
      <c r="Q418" s="1"/>
      <c r="R418" s="2"/>
      <c r="S418" s="1"/>
      <c r="T418" s="1"/>
      <c r="U418" s="1"/>
      <c r="V418" s="2"/>
      <c r="W418" s="1"/>
      <c r="X418" s="1"/>
      <c r="Y418" s="20"/>
      <c r="Z418" s="74"/>
      <c r="AA418" s="74"/>
      <c r="AB418" s="74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U418" s="84"/>
    </row>
    <row r="419" spans="1:47" hidden="1">
      <c r="A419" s="1"/>
      <c r="B419" s="1"/>
      <c r="C419" s="1"/>
      <c r="D419" s="2"/>
      <c r="E419" s="2"/>
      <c r="F419" s="1"/>
      <c r="G419" s="2"/>
      <c r="H419" s="1"/>
      <c r="I419" s="1"/>
      <c r="J419" s="2"/>
      <c r="K419" s="1"/>
      <c r="L419" s="1"/>
      <c r="M419" s="1"/>
      <c r="N419" s="2"/>
      <c r="O419" s="1"/>
      <c r="P419" s="1"/>
      <c r="Q419" s="1"/>
      <c r="R419" s="2"/>
      <c r="S419" s="1"/>
      <c r="T419" s="1"/>
      <c r="U419" s="1"/>
      <c r="V419" s="2"/>
      <c r="W419" s="1"/>
      <c r="X419" s="1"/>
      <c r="Y419" s="20"/>
      <c r="Z419" s="74"/>
      <c r="AA419" s="74"/>
      <c r="AB419" s="74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U419" s="84"/>
    </row>
    <row r="420" spans="1:47" hidden="1">
      <c r="A420" s="1" t="s">
        <v>393</v>
      </c>
      <c r="B420" s="1"/>
      <c r="C420" s="319"/>
      <c r="D420" s="2"/>
      <c r="E420" s="2"/>
      <c r="F420" s="1"/>
      <c r="G420" s="2"/>
      <c r="H420" s="1"/>
      <c r="I420" s="1"/>
      <c r="J420" s="2"/>
      <c r="K420" s="1"/>
      <c r="L420" s="1"/>
      <c r="M420" s="1"/>
      <c r="N420" s="2"/>
      <c r="O420" s="1"/>
      <c r="P420" s="1"/>
      <c r="Q420" s="1"/>
      <c r="R420" s="2"/>
      <c r="S420" s="1"/>
      <c r="T420" s="1"/>
      <c r="U420" s="1"/>
      <c r="V420" s="2"/>
      <c r="W420" s="1"/>
      <c r="X420" s="1"/>
      <c r="Y420" s="20"/>
      <c r="Z420" s="74"/>
      <c r="AA420" s="74"/>
      <c r="AB420" s="74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U420" s="84"/>
    </row>
    <row r="421" spans="1:47" hidden="1">
      <c r="A421" s="1" t="s">
        <v>416</v>
      </c>
      <c r="B421" s="1"/>
      <c r="C421" s="319">
        <f>[48]Sheet1!$D$7</f>
        <v>522.6</v>
      </c>
      <c r="D421" s="298">
        <v>8.7100000000000009</v>
      </c>
      <c r="E421" s="321"/>
      <c r="F421" s="2">
        <f>ROUND(D421*$C421,0)</f>
        <v>4552</v>
      </c>
      <c r="G421" s="298">
        <v>8.7100000000000009</v>
      </c>
      <c r="H421" s="323"/>
      <c r="I421" s="2">
        <f>ROUND(G421*$C421,0)</f>
        <v>4552</v>
      </c>
      <c r="J421" s="298">
        <f>$J$173</f>
        <v>10</v>
      </c>
      <c r="K421" s="323"/>
      <c r="L421" s="2">
        <f>ROUND(J421*$C421,0)</f>
        <v>5226</v>
      </c>
      <c r="M421" s="2"/>
      <c r="N421" s="298">
        <f>$N$173</f>
        <v>10</v>
      </c>
      <c r="O421" s="323"/>
      <c r="P421" s="2">
        <f>ROUND(N421*$C421,0)</f>
        <v>5226</v>
      </c>
      <c r="Q421" s="2"/>
      <c r="R421" s="298" t="str">
        <f>$R$173</f>
        <v xml:space="preserve"> </v>
      </c>
      <c r="S421" s="323"/>
      <c r="T421" s="2">
        <f>ROUND(R421*$C421,0)</f>
        <v>0</v>
      </c>
      <c r="U421" s="2"/>
      <c r="V421" s="298" t="str">
        <f>$V$173</f>
        <v xml:space="preserve"> </v>
      </c>
      <c r="W421" s="323"/>
      <c r="X421" s="2">
        <f>ROUND(V421*$C421,0)</f>
        <v>0</v>
      </c>
      <c r="Y421" s="20"/>
      <c r="Z421" s="74"/>
      <c r="AA421" s="74"/>
      <c r="AB421" s="74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U421" s="84"/>
    </row>
    <row r="422" spans="1:47" hidden="1">
      <c r="A422" s="1" t="s">
        <v>391</v>
      </c>
      <c r="B422" s="1"/>
      <c r="C422" s="319">
        <v>0</v>
      </c>
      <c r="D422" s="298">
        <v>12.98</v>
      </c>
      <c r="E422" s="324"/>
      <c r="F422" s="2">
        <f>ROUND(D422*$C422,0)</f>
        <v>0</v>
      </c>
      <c r="G422" s="298">
        <v>12.98</v>
      </c>
      <c r="H422" s="325"/>
      <c r="I422" s="2">
        <f t="shared" ref="I422:I423" si="126">ROUND(G422*$C422,0)</f>
        <v>0</v>
      </c>
      <c r="J422" s="298">
        <f>$J$174</f>
        <v>15</v>
      </c>
      <c r="K422" s="325"/>
      <c r="L422" s="2">
        <f>ROUND(J422*$C422,0)</f>
        <v>0</v>
      </c>
      <c r="M422" s="2"/>
      <c r="N422" s="298">
        <f>$N$174</f>
        <v>15</v>
      </c>
      <c r="O422" s="325"/>
      <c r="P422" s="2">
        <f>ROUND(N422*$C422,0)</f>
        <v>0</v>
      </c>
      <c r="Q422" s="2"/>
      <c r="R422" s="298" t="str">
        <f>$R$174</f>
        <v xml:space="preserve"> </v>
      </c>
      <c r="S422" s="325"/>
      <c r="T422" s="2">
        <f>ROUND(R422*$C422,0)</f>
        <v>0</v>
      </c>
      <c r="U422" s="2"/>
      <c r="V422" s="298" t="str">
        <f>$V$174</f>
        <v xml:space="preserve"> </v>
      </c>
      <c r="W422" s="325"/>
      <c r="X422" s="2">
        <f>ROUND(V422*$C422,0)</f>
        <v>0</v>
      </c>
      <c r="Y422" s="20"/>
      <c r="Z422" s="74"/>
      <c r="AA422" s="74"/>
      <c r="AB422" s="74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U422" s="84"/>
    </row>
    <row r="423" spans="1:47" hidden="1">
      <c r="A423" s="1" t="s">
        <v>392</v>
      </c>
      <c r="B423" s="1"/>
      <c r="C423" s="319">
        <v>0</v>
      </c>
      <c r="D423" s="298">
        <v>0.92</v>
      </c>
      <c r="E423" s="324"/>
      <c r="F423" s="2">
        <f>ROUND(D423*$C423,0)</f>
        <v>0</v>
      </c>
      <c r="G423" s="298">
        <v>0.92</v>
      </c>
      <c r="H423" s="325"/>
      <c r="I423" s="2">
        <f t="shared" si="126"/>
        <v>0</v>
      </c>
      <c r="J423" s="298">
        <f>$J$175</f>
        <v>1</v>
      </c>
      <c r="K423" s="325"/>
      <c r="L423" s="2">
        <f>ROUND(J423*$C423,0)</f>
        <v>0</v>
      </c>
      <c r="M423" s="2"/>
      <c r="N423" s="298">
        <f>$N$175</f>
        <v>1</v>
      </c>
      <c r="O423" s="325"/>
      <c r="P423" s="2">
        <f>ROUND(N423*$C423,0)</f>
        <v>0</v>
      </c>
      <c r="Q423" s="2"/>
      <c r="R423" s="298" t="str">
        <f>$R$175</f>
        <v xml:space="preserve"> </v>
      </c>
      <c r="S423" s="325"/>
      <c r="T423" s="2">
        <f>ROUND(R423*$C423,0)</f>
        <v>0</v>
      </c>
      <c r="U423" s="2"/>
      <c r="V423" s="298" t="str">
        <f>$V$175</f>
        <v xml:space="preserve"> </v>
      </c>
      <c r="W423" s="325"/>
      <c r="X423" s="2">
        <f>ROUND(V423*$C423,0)</f>
        <v>0</v>
      </c>
      <c r="Y423" s="20"/>
      <c r="Z423" s="74"/>
      <c r="AA423" s="74"/>
      <c r="AB423" s="74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U423" s="84"/>
    </row>
    <row r="424" spans="1:47" hidden="1">
      <c r="A424" s="1" t="s">
        <v>394</v>
      </c>
      <c r="B424" s="1"/>
      <c r="C424" s="319">
        <f>SUM(C421:C422)</f>
        <v>522.6</v>
      </c>
      <c r="D424" s="298"/>
      <c r="E424" s="321"/>
      <c r="F424" s="2"/>
      <c r="G424" s="298"/>
      <c r="H424" s="323"/>
      <c r="I424" s="2"/>
      <c r="J424" s="298"/>
      <c r="K424" s="323"/>
      <c r="L424" s="2"/>
      <c r="M424" s="2"/>
      <c r="N424" s="298"/>
      <c r="O424" s="323"/>
      <c r="P424" s="2"/>
      <c r="Q424" s="2"/>
      <c r="R424" s="298"/>
      <c r="S424" s="323"/>
      <c r="T424" s="2"/>
      <c r="U424" s="2"/>
      <c r="V424" s="298"/>
      <c r="W424" s="323"/>
      <c r="X424" s="2"/>
      <c r="Y424" s="20"/>
      <c r="Z424" s="74"/>
      <c r="AA424" s="74"/>
      <c r="AB424" s="74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U424" s="84"/>
    </row>
    <row r="425" spans="1:47" hidden="1">
      <c r="A425" s="1" t="s">
        <v>362</v>
      </c>
      <c r="B425" s="1"/>
      <c r="C425" s="319">
        <f>[48]Sheet1!$C$7</f>
        <v>48</v>
      </c>
      <c r="D425" s="298"/>
      <c r="E425" s="321"/>
      <c r="F425" s="2"/>
      <c r="G425" s="298"/>
      <c r="H425" s="323"/>
      <c r="I425" s="2"/>
      <c r="J425" s="298"/>
      <c r="K425" s="323"/>
      <c r="L425" s="2"/>
      <c r="M425" s="2"/>
      <c r="N425" s="298"/>
      <c r="O425" s="323"/>
      <c r="P425" s="2"/>
      <c r="Q425" s="2"/>
      <c r="R425" s="298"/>
      <c r="S425" s="323"/>
      <c r="T425" s="2"/>
      <c r="U425" s="2"/>
      <c r="V425" s="298"/>
      <c r="W425" s="323"/>
      <c r="X425" s="2"/>
      <c r="Y425" s="20"/>
      <c r="Z425" s="74"/>
      <c r="AA425" s="74"/>
      <c r="AB425" s="74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U425" s="84"/>
    </row>
    <row r="426" spans="1:47" hidden="1">
      <c r="A426" s="1" t="s">
        <v>395</v>
      </c>
      <c r="B426" s="1"/>
      <c r="C426" s="319">
        <v>0</v>
      </c>
      <c r="D426" s="326">
        <v>3.4</v>
      </c>
      <c r="E426" s="323"/>
      <c r="F426" s="2">
        <f>ROUND(D426*$C426,0)</f>
        <v>0</v>
      </c>
      <c r="G426" s="326">
        <v>3.61</v>
      </c>
      <c r="H426" s="323"/>
      <c r="I426" s="2">
        <f>ROUND(G426*C426,0)</f>
        <v>0</v>
      </c>
      <c r="J426" s="326">
        <f ca="1">$J$178</f>
        <v>3.77</v>
      </c>
      <c r="K426" s="323"/>
      <c r="L426" s="2">
        <f ca="1">ROUND(J426*$C426,0)</f>
        <v>0</v>
      </c>
      <c r="M426" s="2"/>
      <c r="N426" s="326">
        <f ca="1">$N$178</f>
        <v>0.81</v>
      </c>
      <c r="O426" s="323"/>
      <c r="P426" s="2">
        <f ca="1">ROUND(N426*$C426,0)</f>
        <v>0</v>
      </c>
      <c r="Q426" s="2"/>
      <c r="R426" s="326">
        <f ca="1">$R$178</f>
        <v>1.06</v>
      </c>
      <c r="S426" s="323"/>
      <c r="T426" s="2">
        <f ca="1">ROUND(R426*$C426,0)</f>
        <v>0</v>
      </c>
      <c r="U426" s="2"/>
      <c r="V426" s="326">
        <f ca="1">$V$178</f>
        <v>1.9</v>
      </c>
      <c r="W426" s="323"/>
      <c r="X426" s="2">
        <f ca="1">ROUND(V426*$C426,0)</f>
        <v>0</v>
      </c>
      <c r="Y426" s="20"/>
      <c r="Z426" s="74"/>
      <c r="AA426" s="74"/>
      <c r="AB426" s="74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U426" s="84"/>
    </row>
    <row r="427" spans="1:47" hidden="1">
      <c r="A427" s="1" t="s">
        <v>397</v>
      </c>
      <c r="B427" s="1"/>
      <c r="C427" s="319">
        <f>[48]Sheet1!$E$7</f>
        <v>33313</v>
      </c>
      <c r="D427" s="299">
        <v>9.766</v>
      </c>
      <c r="E427" s="323" t="s">
        <v>374</v>
      </c>
      <c r="F427" s="2">
        <f>ROUND(D427*$C427/100,0)</f>
        <v>3253</v>
      </c>
      <c r="G427" s="299">
        <v>10.359</v>
      </c>
      <c r="H427" s="323" t="s">
        <v>374</v>
      </c>
      <c r="I427" s="2">
        <f>ROUND(G427*C427/100,0)</f>
        <v>3451</v>
      </c>
      <c r="J427" s="299">
        <f ca="1">$J$179</f>
        <v>6.282</v>
      </c>
      <c r="K427" s="323" t="s">
        <v>374</v>
      </c>
      <c r="L427" s="2">
        <f ca="1">ROUND(J427*$C427/100,0)</f>
        <v>2093</v>
      </c>
      <c r="M427" s="2"/>
      <c r="N427" s="299">
        <f ca="1">$N$179</f>
        <v>1.3483746810352102</v>
      </c>
      <c r="O427" s="323" t="s">
        <v>374</v>
      </c>
      <c r="P427" s="2">
        <f ca="1">ROUND(N427*$C427/100,0)</f>
        <v>449</v>
      </c>
      <c r="Q427" s="2"/>
      <c r="R427" s="299">
        <f ca="1">$R$179</f>
        <v>1.7708525176705459</v>
      </c>
      <c r="S427" s="323" t="s">
        <v>374</v>
      </c>
      <c r="T427" s="2">
        <f ca="1">ROUND(R427*$C427/100,0)</f>
        <v>590</v>
      </c>
      <c r="U427" s="2"/>
      <c r="V427" s="299">
        <f ca="1">$V$179</f>
        <v>3.162955363125258</v>
      </c>
      <c r="W427" s="323" t="s">
        <v>374</v>
      </c>
      <c r="X427" s="2">
        <f ca="1">ROUND(V427*$C427/100,0)</f>
        <v>1054</v>
      </c>
      <c r="Y427" s="20"/>
      <c r="Z427" s="74"/>
      <c r="AA427" s="74"/>
      <c r="AB427" s="74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U427" s="84"/>
    </row>
    <row r="428" spans="1:47" hidden="1">
      <c r="A428" s="1" t="s">
        <v>398</v>
      </c>
      <c r="B428" s="1"/>
      <c r="C428" s="319">
        <v>0</v>
      </c>
      <c r="D428" s="299">
        <v>6.7460000000000004</v>
      </c>
      <c r="E428" s="323" t="s">
        <v>374</v>
      </c>
      <c r="F428" s="2">
        <f>ROUND(D428*$C428/100,0)</f>
        <v>0</v>
      </c>
      <c r="G428" s="299">
        <v>7.1559999999999997</v>
      </c>
      <c r="H428" s="323" t="s">
        <v>374</v>
      </c>
      <c r="I428" s="2">
        <f t="shared" ref="I428:I430" si="127">ROUND(G428*C428/100,0)</f>
        <v>0</v>
      </c>
      <c r="J428" s="299">
        <f ca="1">$J$180</f>
        <v>4.3410000000000002</v>
      </c>
      <c r="K428" s="323" t="s">
        <v>374</v>
      </c>
      <c r="L428" s="2">
        <f ca="1">ROUND(J428*$C428/100,0)</f>
        <v>0</v>
      </c>
      <c r="M428" s="2"/>
      <c r="N428" s="299">
        <f ca="1">$N$180</f>
        <v>0.93175626548296309</v>
      </c>
      <c r="O428" s="323" t="s">
        <v>374</v>
      </c>
      <c r="P428" s="2">
        <f ca="1">ROUND(N428*$C428/100,0)</f>
        <v>0</v>
      </c>
      <c r="Q428" s="2"/>
      <c r="R428" s="299">
        <f ca="1">$R$180</f>
        <v>1.2240066282869231</v>
      </c>
      <c r="S428" s="323" t="s">
        <v>374</v>
      </c>
      <c r="T428" s="2">
        <f ca="1">ROUND(R428*$C428/100,0)</f>
        <v>0</v>
      </c>
      <c r="U428" s="2"/>
      <c r="V428" s="299">
        <f ca="1">$V$180</f>
        <v>2.1849800075654815</v>
      </c>
      <c r="W428" s="323" t="s">
        <v>374</v>
      </c>
      <c r="X428" s="2">
        <f ca="1">ROUND(V428*$C428/100,0)</f>
        <v>0</v>
      </c>
      <c r="Y428" s="20"/>
      <c r="Z428" s="74"/>
      <c r="AA428" s="74"/>
      <c r="AB428" s="74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U428" s="84"/>
    </row>
    <row r="429" spans="1:47" hidden="1">
      <c r="A429" s="1" t="s">
        <v>399</v>
      </c>
      <c r="B429" s="1"/>
      <c r="C429" s="319">
        <v>0</v>
      </c>
      <c r="D429" s="299">
        <v>5.8120000000000003</v>
      </c>
      <c r="E429" s="323" t="s">
        <v>374</v>
      </c>
      <c r="F429" s="2">
        <f>ROUND(D429*$C429/100,0)</f>
        <v>0</v>
      </c>
      <c r="G429" s="299">
        <v>6.1660000000000004</v>
      </c>
      <c r="H429" s="323" t="s">
        <v>374</v>
      </c>
      <c r="I429" s="2">
        <f t="shared" si="127"/>
        <v>0</v>
      </c>
      <c r="J429" s="299">
        <f ca="1">$J$181</f>
        <v>3.74</v>
      </c>
      <c r="K429" s="323" t="s">
        <v>374</v>
      </c>
      <c r="L429" s="2">
        <f ca="1">ROUND(J429*$C429/100,0)</f>
        <v>0</v>
      </c>
      <c r="M429" s="2"/>
      <c r="N429" s="299">
        <f ca="1">$N$181</f>
        <v>0.80275718206159852</v>
      </c>
      <c r="O429" s="323" t="s">
        <v>374</v>
      </c>
      <c r="P429" s="2">
        <f ca="1">ROUND(N429*$C429/100,0)</f>
        <v>0</v>
      </c>
      <c r="Q429" s="2"/>
      <c r="R429" s="299">
        <f ca="1">$R$181</f>
        <v>1.0536847359511734</v>
      </c>
      <c r="S429" s="323" t="s">
        <v>374</v>
      </c>
      <c r="T429" s="2">
        <f ca="1">ROUND(R429*$C429/100,0)</f>
        <v>0</v>
      </c>
      <c r="U429" s="2"/>
      <c r="V429" s="299">
        <f ca="1">$V$181</f>
        <v>1.8834755557989509</v>
      </c>
      <c r="W429" s="323" t="s">
        <v>374</v>
      </c>
      <c r="X429" s="2">
        <f ca="1">ROUND(V429*$C429/100,0)</f>
        <v>0</v>
      </c>
      <c r="Y429" s="20"/>
      <c r="Z429" s="74"/>
      <c r="AA429" s="74"/>
      <c r="AB429" s="74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U429" s="84"/>
    </row>
    <row r="430" spans="1:47" hidden="1">
      <c r="A430" s="1" t="s">
        <v>400</v>
      </c>
      <c r="B430" s="1"/>
      <c r="C430" s="319">
        <v>0</v>
      </c>
      <c r="D430" s="330">
        <v>56</v>
      </c>
      <c r="E430" s="321" t="s">
        <v>374</v>
      </c>
      <c r="F430" s="2">
        <f>ROUND(D430*$C430/100,0)</f>
        <v>0</v>
      </c>
      <c r="G430" s="330">
        <v>56</v>
      </c>
      <c r="H430" s="323" t="s">
        <v>374</v>
      </c>
      <c r="I430" s="2">
        <f t="shared" si="127"/>
        <v>0</v>
      </c>
      <c r="J430" s="330">
        <f>$J$182</f>
        <v>56</v>
      </c>
      <c r="K430" s="323" t="s">
        <v>374</v>
      </c>
      <c r="L430" s="2">
        <f>ROUND(J430*$C430/100,0)</f>
        <v>0</v>
      </c>
      <c r="M430" s="2"/>
      <c r="N430" s="330" t="str">
        <f>$N$182</f>
        <v xml:space="preserve"> </v>
      </c>
      <c r="O430" s="323" t="s">
        <v>374</v>
      </c>
      <c r="P430" s="2">
        <f>ROUND(N430*$C430/100,0)</f>
        <v>0</v>
      </c>
      <c r="Q430" s="2"/>
      <c r="R430" s="330">
        <f ca="1">$R$182</f>
        <v>11</v>
      </c>
      <c r="S430" s="323" t="s">
        <v>374</v>
      </c>
      <c r="T430" s="2">
        <f ca="1">ROUND(R430*$C430/100,0)</f>
        <v>0</v>
      </c>
      <c r="U430" s="2"/>
      <c r="V430" s="330">
        <f ca="1">$V$182</f>
        <v>45</v>
      </c>
      <c r="W430" s="323" t="s">
        <v>374</v>
      </c>
      <c r="X430" s="2">
        <f ca="1">ROUND(V430*$C430/100,0)</f>
        <v>0</v>
      </c>
      <c r="Y430" s="20"/>
      <c r="Z430" s="74"/>
      <c r="AA430" s="74"/>
      <c r="AB430" s="74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U430" s="84"/>
    </row>
    <row r="431" spans="1:47" s="1184" customFormat="1" hidden="1">
      <c r="A431" s="1005" t="s">
        <v>1032</v>
      </c>
      <c r="C431" s="1202">
        <f>C427</f>
        <v>33313</v>
      </c>
      <c r="D431" s="269"/>
      <c r="E431" s="1185"/>
      <c r="F431" s="1203"/>
      <c r="G431" s="269"/>
      <c r="H431" s="1185"/>
      <c r="I431" s="1203"/>
      <c r="J431" s="1230">
        <f>J183</f>
        <v>4.5289999999999999</v>
      </c>
      <c r="K431" s="1009" t="s">
        <v>374</v>
      </c>
      <c r="L431" s="1203">
        <f t="shared" ref="L431:L433" si="128">ROUND(J431*$C431/100,0)</f>
        <v>1509</v>
      </c>
      <c r="M431" s="1203"/>
      <c r="N431" s="1230" t="str">
        <f>N183</f>
        <v xml:space="preserve"> </v>
      </c>
      <c r="O431" s="1009" t="s">
        <v>374</v>
      </c>
      <c r="P431" s="1203">
        <f t="shared" ref="P431:P433" si="129">ROUND(N431*$C431/100,0)</f>
        <v>0</v>
      </c>
      <c r="Q431" s="1203"/>
      <c r="R431" s="1230" t="str">
        <f>R183</f>
        <v xml:space="preserve"> </v>
      </c>
      <c r="S431" s="1009" t="s">
        <v>374</v>
      </c>
      <c r="T431" s="1203">
        <f t="shared" ref="T431:T433" si="130">ROUND(R431*$C431/100,0)</f>
        <v>0</v>
      </c>
      <c r="U431" s="1203"/>
      <c r="V431" s="1230">
        <f>V183</f>
        <v>4.5289999999999999</v>
      </c>
      <c r="W431" s="1009" t="s">
        <v>374</v>
      </c>
      <c r="X431" s="1203">
        <f t="shared" ref="X431:X433" si="131">ROUND(V431*$C431/100,0)</f>
        <v>1509</v>
      </c>
      <c r="Z431" s="815"/>
      <c r="AC431" s="1205"/>
      <c r="AD431" s="1205"/>
      <c r="AI431" s="1185"/>
      <c r="AJ431" s="1185"/>
      <c r="AK431" s="1185"/>
      <c r="AL431" s="1185"/>
      <c r="AM431" s="1185"/>
      <c r="AN431" s="1185"/>
      <c r="AO431" s="1185"/>
      <c r="AP431" s="1185"/>
      <c r="AQ431" s="1185"/>
      <c r="AR431" s="1185"/>
      <c r="AS431" s="1185"/>
      <c r="AU431" s="1204"/>
    </row>
    <row r="432" spans="1:47" s="1184" customFormat="1" hidden="1">
      <c r="A432" s="1005" t="s">
        <v>1033</v>
      </c>
      <c r="C432" s="1202">
        <f>C428</f>
        <v>0</v>
      </c>
      <c r="D432" s="269"/>
      <c r="E432" s="1185"/>
      <c r="F432" s="1203"/>
      <c r="G432" s="269"/>
      <c r="H432" s="1185"/>
      <c r="I432" s="1203"/>
      <c r="J432" s="1230">
        <f>J184</f>
        <v>3.1270000000000002</v>
      </c>
      <c r="K432" s="1009" t="s">
        <v>374</v>
      </c>
      <c r="L432" s="1203">
        <f t="shared" si="128"/>
        <v>0</v>
      </c>
      <c r="M432" s="1203"/>
      <c r="N432" s="1230" t="str">
        <f>N184</f>
        <v xml:space="preserve"> </v>
      </c>
      <c r="O432" s="1009" t="s">
        <v>374</v>
      </c>
      <c r="P432" s="1203">
        <f t="shared" si="129"/>
        <v>0</v>
      </c>
      <c r="Q432" s="1203"/>
      <c r="R432" s="1230" t="str">
        <f>R184</f>
        <v xml:space="preserve"> </v>
      </c>
      <c r="S432" s="1009" t="s">
        <v>374</v>
      </c>
      <c r="T432" s="1203">
        <f t="shared" si="130"/>
        <v>0</v>
      </c>
      <c r="U432" s="1203"/>
      <c r="V432" s="1230">
        <f>V184</f>
        <v>3.1270000000000002</v>
      </c>
      <c r="W432" s="1009" t="s">
        <v>374</v>
      </c>
      <c r="X432" s="1203">
        <f t="shared" si="131"/>
        <v>0</v>
      </c>
      <c r="Z432" s="815"/>
      <c r="AC432" s="1205"/>
      <c r="AD432" s="1205"/>
      <c r="AI432" s="1185"/>
      <c r="AJ432" s="1185"/>
      <c r="AK432" s="1185"/>
      <c r="AL432" s="1185"/>
      <c r="AM432" s="1185"/>
      <c r="AN432" s="1185"/>
      <c r="AO432" s="1185"/>
      <c r="AP432" s="1185"/>
      <c r="AQ432" s="1185"/>
      <c r="AR432" s="1185"/>
      <c r="AS432" s="1185"/>
      <c r="AU432" s="1204"/>
    </row>
    <row r="433" spans="1:47" s="1184" customFormat="1" hidden="1">
      <c r="A433" s="1005" t="s">
        <v>1034</v>
      </c>
      <c r="C433" s="1202">
        <f>C429</f>
        <v>0</v>
      </c>
      <c r="D433" s="269"/>
      <c r="E433" s="1185"/>
      <c r="F433" s="1203"/>
      <c r="G433" s="269"/>
      <c r="H433" s="1185"/>
      <c r="I433" s="1203"/>
      <c r="J433" s="1230">
        <f>J185</f>
        <v>2.6950000000000003</v>
      </c>
      <c r="K433" s="1009" t="s">
        <v>374</v>
      </c>
      <c r="L433" s="1203">
        <f t="shared" si="128"/>
        <v>0</v>
      </c>
      <c r="M433" s="1203"/>
      <c r="N433" s="1230" t="str">
        <f>N185</f>
        <v xml:space="preserve"> </v>
      </c>
      <c r="O433" s="1009" t="s">
        <v>374</v>
      </c>
      <c r="P433" s="1203">
        <f t="shared" si="129"/>
        <v>0</v>
      </c>
      <c r="Q433" s="1203"/>
      <c r="R433" s="1230" t="str">
        <f>R185</f>
        <v xml:space="preserve"> </v>
      </c>
      <c r="S433" s="1009" t="s">
        <v>374</v>
      </c>
      <c r="T433" s="1203">
        <f t="shared" si="130"/>
        <v>0</v>
      </c>
      <c r="U433" s="1203"/>
      <c r="V433" s="1230">
        <f>V185</f>
        <v>2.6950000000000003</v>
      </c>
      <c r="W433" s="1009" t="s">
        <v>374</v>
      </c>
      <c r="X433" s="1203">
        <f t="shared" si="131"/>
        <v>0</v>
      </c>
      <c r="Z433" s="815"/>
      <c r="AC433" s="1205"/>
      <c r="AD433" s="1205"/>
      <c r="AI433" s="1185"/>
      <c r="AJ433" s="1185"/>
      <c r="AK433" s="1185"/>
      <c r="AL433" s="1185"/>
      <c r="AM433" s="1185"/>
      <c r="AN433" s="1185"/>
      <c r="AO433" s="1185"/>
      <c r="AP433" s="1185"/>
      <c r="AQ433" s="1185"/>
      <c r="AR433" s="1185"/>
      <c r="AS433" s="1185"/>
      <c r="AU433" s="1204"/>
    </row>
    <row r="434" spans="1:47" hidden="1">
      <c r="A434" s="331" t="s">
        <v>401</v>
      </c>
      <c r="B434" s="1"/>
      <c r="C434" s="319"/>
      <c r="D434" s="332">
        <v>-0.01</v>
      </c>
      <c r="E434" s="321"/>
      <c r="F434" s="2"/>
      <c r="G434" s="332">
        <v>-0.01</v>
      </c>
      <c r="H434" s="323"/>
      <c r="I434" s="2"/>
      <c r="J434" s="332">
        <v>-0.01</v>
      </c>
      <c r="K434" s="323"/>
      <c r="L434" s="2"/>
      <c r="M434" s="2"/>
      <c r="N434" s="332">
        <v>-0.01</v>
      </c>
      <c r="O434" s="323"/>
      <c r="P434" s="2"/>
      <c r="Q434" s="2"/>
      <c r="R434" s="332">
        <v>-0.01</v>
      </c>
      <c r="S434" s="323"/>
      <c r="T434" s="2"/>
      <c r="U434" s="2"/>
      <c r="V434" s="332">
        <v>-0.01</v>
      </c>
      <c r="W434" s="323"/>
      <c r="X434" s="2"/>
      <c r="Y434" s="20"/>
      <c r="Z434" s="74"/>
      <c r="AA434" s="74"/>
      <c r="AB434" s="74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U434" s="84"/>
    </row>
    <row r="435" spans="1:47" hidden="1">
      <c r="A435" s="1" t="s">
        <v>390</v>
      </c>
      <c r="B435" s="1"/>
      <c r="C435" s="319">
        <v>0</v>
      </c>
      <c r="D435" s="334">
        <v>8.7100000000000009</v>
      </c>
      <c r="E435" s="321"/>
      <c r="F435" s="2">
        <f>-ROUND(D435*$C435/100,0)</f>
        <v>0</v>
      </c>
      <c r="G435" s="334">
        <v>8.7100000000000009</v>
      </c>
      <c r="H435" s="321"/>
      <c r="I435" s="2">
        <f>-ROUND(G435*$C435/100,0)</f>
        <v>0</v>
      </c>
      <c r="J435" s="334">
        <f>J421</f>
        <v>10</v>
      </c>
      <c r="K435" s="321"/>
      <c r="L435" s="2">
        <f>-ROUND(J435*$C435/100,0)</f>
        <v>0</v>
      </c>
      <c r="M435" s="2"/>
      <c r="N435" s="334">
        <f>N421</f>
        <v>10</v>
      </c>
      <c r="O435" s="321"/>
      <c r="P435" s="2">
        <f>-ROUND(N435*$C435/100,0)</f>
        <v>0</v>
      </c>
      <c r="Q435" s="2"/>
      <c r="R435" s="334" t="str">
        <f>R421</f>
        <v xml:space="preserve"> </v>
      </c>
      <c r="S435" s="321"/>
      <c r="T435" s="2">
        <f>-ROUND(R435*$C435/100,0)</f>
        <v>0</v>
      </c>
      <c r="U435" s="2"/>
      <c r="V435" s="334" t="str">
        <f>V421</f>
        <v xml:space="preserve"> </v>
      </c>
      <c r="W435" s="321"/>
      <c r="X435" s="2">
        <f>-ROUND(V435*$C435/100,0)</f>
        <v>0</v>
      </c>
      <c r="Y435" s="20"/>
      <c r="Z435" s="74"/>
      <c r="AA435" s="74"/>
      <c r="AB435" s="74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U435" s="84"/>
    </row>
    <row r="436" spans="1:47" hidden="1">
      <c r="A436" s="1" t="s">
        <v>391</v>
      </c>
      <c r="B436" s="1"/>
      <c r="C436" s="319">
        <v>0</v>
      </c>
      <c r="D436" s="334">
        <v>12.98</v>
      </c>
      <c r="E436" s="321"/>
      <c r="F436" s="2">
        <f>-ROUND(D436*$C436/100,0)</f>
        <v>0</v>
      </c>
      <c r="G436" s="334">
        <v>12.98</v>
      </c>
      <c r="H436" s="321"/>
      <c r="I436" s="2">
        <f t="shared" ref="I436:I438" si="132">-ROUND(G436*$C436/100,0)</f>
        <v>0</v>
      </c>
      <c r="J436" s="334">
        <f>J422</f>
        <v>15</v>
      </c>
      <c r="K436" s="321"/>
      <c r="L436" s="2">
        <f>-ROUND(J436*$C436/100,0)</f>
        <v>0</v>
      </c>
      <c r="M436" s="2"/>
      <c r="N436" s="334">
        <f>N422</f>
        <v>15</v>
      </c>
      <c r="O436" s="321"/>
      <c r="P436" s="2">
        <f>-ROUND(N436*$C436/100,0)</f>
        <v>0</v>
      </c>
      <c r="Q436" s="2"/>
      <c r="R436" s="334" t="str">
        <f>R422</f>
        <v xml:space="preserve"> </v>
      </c>
      <c r="S436" s="321"/>
      <c r="T436" s="2">
        <f>-ROUND(R436*$C436/100,0)</f>
        <v>0</v>
      </c>
      <c r="U436" s="2"/>
      <c r="V436" s="334" t="str">
        <f>V422</f>
        <v xml:space="preserve"> </v>
      </c>
      <c r="W436" s="321"/>
      <c r="X436" s="2">
        <f>-ROUND(V436*$C436/100,0)</f>
        <v>0</v>
      </c>
      <c r="Y436" s="20"/>
      <c r="Z436" s="74"/>
      <c r="AA436" s="74"/>
      <c r="AB436" s="74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U436" s="84"/>
    </row>
    <row r="437" spans="1:47" hidden="1">
      <c r="A437" s="1" t="s">
        <v>402</v>
      </c>
      <c r="B437" s="1"/>
      <c r="C437" s="319">
        <v>0</v>
      </c>
      <c r="D437" s="334">
        <v>0.92</v>
      </c>
      <c r="E437" s="321"/>
      <c r="F437" s="2">
        <f>-ROUND(D437*$C437/100,0)</f>
        <v>0</v>
      </c>
      <c r="G437" s="334">
        <v>0.92</v>
      </c>
      <c r="H437" s="321"/>
      <c r="I437" s="2">
        <f t="shared" si="132"/>
        <v>0</v>
      </c>
      <c r="J437" s="334">
        <f>J423</f>
        <v>1</v>
      </c>
      <c r="K437" s="321"/>
      <c r="L437" s="2">
        <f>-ROUND(J437*$C437/100,0)</f>
        <v>0</v>
      </c>
      <c r="M437" s="2"/>
      <c r="N437" s="334">
        <f>N423</f>
        <v>1</v>
      </c>
      <c r="O437" s="321"/>
      <c r="P437" s="2">
        <f>-ROUND(N437*$C437/100,0)</f>
        <v>0</v>
      </c>
      <c r="Q437" s="2"/>
      <c r="R437" s="334" t="str">
        <f>R423</f>
        <v xml:space="preserve"> </v>
      </c>
      <c r="S437" s="321"/>
      <c r="T437" s="2">
        <f>-ROUND(R437*$C437/100,0)</f>
        <v>0</v>
      </c>
      <c r="U437" s="2"/>
      <c r="V437" s="334" t="str">
        <f>V423</f>
        <v xml:space="preserve"> </v>
      </c>
      <c r="W437" s="321"/>
      <c r="X437" s="2">
        <f>-ROUND(V437*$C437/100,0)</f>
        <v>0</v>
      </c>
      <c r="Y437" s="20"/>
      <c r="Z437" s="74"/>
      <c r="AA437" s="74"/>
      <c r="AB437" s="74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U437" s="84"/>
    </row>
    <row r="438" spans="1:47" hidden="1">
      <c r="A438" s="1" t="s">
        <v>403</v>
      </c>
      <c r="B438" s="1"/>
      <c r="C438" s="319">
        <v>0</v>
      </c>
      <c r="D438" s="334">
        <v>3.4</v>
      </c>
      <c r="E438" s="323"/>
      <c r="F438" s="2">
        <f>-ROUND(D438*$C438/100,0)</f>
        <v>0</v>
      </c>
      <c r="G438" s="334">
        <v>3.61</v>
      </c>
      <c r="H438" s="323"/>
      <c r="I438" s="2">
        <f t="shared" si="132"/>
        <v>0</v>
      </c>
      <c r="J438" s="334">
        <f ca="1">J426</f>
        <v>3.77</v>
      </c>
      <c r="K438" s="323"/>
      <c r="L438" s="2">
        <f ca="1">-ROUND(J438*$C438/100,0)</f>
        <v>0</v>
      </c>
      <c r="M438" s="2"/>
      <c r="N438" s="334">
        <f ca="1">N426</f>
        <v>0.81</v>
      </c>
      <c r="O438" s="323"/>
      <c r="P438" s="2">
        <f ca="1">-ROUND(N438*$C438/100,0)</f>
        <v>0</v>
      </c>
      <c r="Q438" s="2"/>
      <c r="R438" s="334">
        <f ca="1">R426</f>
        <v>1.06</v>
      </c>
      <c r="S438" s="323"/>
      <c r="T438" s="2">
        <f ca="1">-ROUND(R438*$C438/100,0)</f>
        <v>0</v>
      </c>
      <c r="U438" s="2"/>
      <c r="V438" s="334">
        <f ca="1">V426</f>
        <v>1.9</v>
      </c>
      <c r="W438" s="323"/>
      <c r="X438" s="2">
        <f ca="1">-ROUND(V438*$C438/100,0)</f>
        <v>0</v>
      </c>
      <c r="Y438" s="20"/>
      <c r="Z438" s="74"/>
      <c r="AA438" s="74"/>
      <c r="AB438" s="74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U438" s="84"/>
    </row>
    <row r="439" spans="1:47" hidden="1">
      <c r="A439" s="1" t="s">
        <v>405</v>
      </c>
      <c r="B439" s="1"/>
      <c r="C439" s="319">
        <v>0</v>
      </c>
      <c r="D439" s="335">
        <v>9.766</v>
      </c>
      <c r="E439" s="323" t="s">
        <v>374</v>
      </c>
      <c r="F439" s="2">
        <f>ROUND(D439*$C439/100*D434,0)</f>
        <v>0</v>
      </c>
      <c r="G439" s="335">
        <v>10.359</v>
      </c>
      <c r="H439" s="323" t="s">
        <v>374</v>
      </c>
      <c r="I439" s="2">
        <f>ROUND(G439*$C439/100*G434,0)</f>
        <v>0</v>
      </c>
      <c r="J439" s="335">
        <f ca="1">J427</f>
        <v>6.282</v>
      </c>
      <c r="K439" s="323" t="s">
        <v>374</v>
      </c>
      <c r="L439" s="2">
        <f ca="1">ROUND(J439*$C439/100*J434,0)</f>
        <v>0</v>
      </c>
      <c r="M439" s="2"/>
      <c r="N439" s="335">
        <f ca="1">N427</f>
        <v>1.3483746810352102</v>
      </c>
      <c r="O439" s="323" t="s">
        <v>374</v>
      </c>
      <c r="P439" s="2">
        <f ca="1">ROUND(N439*$C439/100*N434,0)</f>
        <v>0</v>
      </c>
      <c r="Q439" s="2"/>
      <c r="R439" s="335">
        <f ca="1">R427</f>
        <v>1.7708525176705459</v>
      </c>
      <c r="S439" s="323" t="s">
        <v>374</v>
      </c>
      <c r="T439" s="2">
        <f ca="1">ROUND(R439*$C439/100*R434,0)</f>
        <v>0</v>
      </c>
      <c r="U439" s="2"/>
      <c r="V439" s="335">
        <f ca="1">V427</f>
        <v>3.162955363125258</v>
      </c>
      <c r="W439" s="323" t="s">
        <v>374</v>
      </c>
      <c r="X439" s="2">
        <f ca="1">ROUND(V439*$C439/100*V434,0)</f>
        <v>0</v>
      </c>
      <c r="Y439" s="20"/>
      <c r="Z439" s="74"/>
      <c r="AA439" s="74"/>
      <c r="AB439" s="74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U439" s="84"/>
    </row>
    <row r="440" spans="1:47" hidden="1">
      <c r="A440" s="1" t="s">
        <v>398</v>
      </c>
      <c r="B440" s="1"/>
      <c r="C440" s="319">
        <v>0</v>
      </c>
      <c r="D440" s="335">
        <v>6.7460000000000004</v>
      </c>
      <c r="E440" s="323" t="s">
        <v>374</v>
      </c>
      <c r="F440" s="2">
        <f>ROUND(D440*$C440/100*D434,0)</f>
        <v>0</v>
      </c>
      <c r="G440" s="335">
        <v>7.1559999999999997</v>
      </c>
      <c r="H440" s="323" t="s">
        <v>374</v>
      </c>
      <c r="I440" s="2">
        <f>ROUND(G440*$C440/100*G434,0)</f>
        <v>0</v>
      </c>
      <c r="J440" s="335">
        <f ca="1">J428</f>
        <v>4.3410000000000002</v>
      </c>
      <c r="K440" s="323" t="s">
        <v>374</v>
      </c>
      <c r="L440" s="2">
        <f ca="1">ROUND(J440*$C440/100*J434,0)</f>
        <v>0</v>
      </c>
      <c r="M440" s="2"/>
      <c r="N440" s="335">
        <f ca="1">N428</f>
        <v>0.93175626548296309</v>
      </c>
      <c r="O440" s="323" t="s">
        <v>374</v>
      </c>
      <c r="P440" s="2">
        <f ca="1">ROUND(N440*$C440/100*N434,0)</f>
        <v>0</v>
      </c>
      <c r="Q440" s="2"/>
      <c r="R440" s="335">
        <f ca="1">R428</f>
        <v>1.2240066282869231</v>
      </c>
      <c r="S440" s="323" t="s">
        <v>374</v>
      </c>
      <c r="T440" s="2">
        <f ca="1">ROUND(R440*$C440/100*R434,0)</f>
        <v>0</v>
      </c>
      <c r="U440" s="2"/>
      <c r="V440" s="335">
        <f ca="1">V428</f>
        <v>2.1849800075654815</v>
      </c>
      <c r="W440" s="323" t="s">
        <v>374</v>
      </c>
      <c r="X440" s="2">
        <f ca="1">ROUND(V440*$C440/100*V434,0)</f>
        <v>0</v>
      </c>
      <c r="Y440" s="20"/>
      <c r="Z440" s="74"/>
      <c r="AA440" s="74"/>
      <c r="AB440" s="74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U440" s="84"/>
    </row>
    <row r="441" spans="1:47" hidden="1">
      <c r="A441" s="1" t="s">
        <v>399</v>
      </c>
      <c r="B441" s="1"/>
      <c r="C441" s="319">
        <v>0</v>
      </c>
      <c r="D441" s="335">
        <v>5.8120000000000003</v>
      </c>
      <c r="E441" s="323" t="s">
        <v>374</v>
      </c>
      <c r="F441" s="2">
        <f>ROUND(D441*$C441/100*D434,0)</f>
        <v>0</v>
      </c>
      <c r="G441" s="335">
        <v>6.1660000000000004</v>
      </c>
      <c r="H441" s="323" t="s">
        <v>374</v>
      </c>
      <c r="I441" s="2">
        <f>ROUND(G441*$C441/100*G434,0)</f>
        <v>0</v>
      </c>
      <c r="J441" s="335">
        <f ca="1">J429</f>
        <v>3.74</v>
      </c>
      <c r="K441" s="323" t="s">
        <v>374</v>
      </c>
      <c r="L441" s="2">
        <f ca="1">ROUND(J441*$C441/100*J434,0)</f>
        <v>0</v>
      </c>
      <c r="M441" s="2"/>
      <c r="N441" s="335">
        <f ca="1">N429</f>
        <v>0.80275718206159852</v>
      </c>
      <c r="O441" s="323" t="s">
        <v>374</v>
      </c>
      <c r="P441" s="2">
        <f ca="1">ROUND(N441*$C441/100*N434,0)</f>
        <v>0</v>
      </c>
      <c r="Q441" s="2"/>
      <c r="R441" s="335">
        <f ca="1">R429</f>
        <v>1.0536847359511734</v>
      </c>
      <c r="S441" s="323" t="s">
        <v>374</v>
      </c>
      <c r="T441" s="2">
        <f ca="1">ROUND(R441*$C441/100*R434,0)</f>
        <v>0</v>
      </c>
      <c r="U441" s="2"/>
      <c r="V441" s="335">
        <f ca="1">V429</f>
        <v>1.8834755557989509</v>
      </c>
      <c r="W441" s="323" t="s">
        <v>374</v>
      </c>
      <c r="X441" s="2">
        <f ca="1">ROUND(V441*$C441/100*V434,0)</f>
        <v>0</v>
      </c>
      <c r="Y441" s="20"/>
      <c r="Z441" s="74"/>
      <c r="AA441" s="74"/>
      <c r="AB441" s="74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U441" s="84"/>
    </row>
    <row r="442" spans="1:47" hidden="1">
      <c r="A442" s="1" t="s">
        <v>400</v>
      </c>
      <c r="B442" s="1"/>
      <c r="C442" s="319">
        <v>0</v>
      </c>
      <c r="D442" s="336">
        <v>56</v>
      </c>
      <c r="E442" s="323" t="s">
        <v>374</v>
      </c>
      <c r="F442" s="2">
        <f>ROUND(D442*$C442/100*D434,0)</f>
        <v>0</v>
      </c>
      <c r="G442" s="336">
        <v>56</v>
      </c>
      <c r="H442" s="323" t="s">
        <v>374</v>
      </c>
      <c r="I442" s="2">
        <f>ROUND(G442*$C442/100*G434,0)</f>
        <v>0</v>
      </c>
      <c r="J442" s="336">
        <f>J430</f>
        <v>56</v>
      </c>
      <c r="K442" s="323" t="s">
        <v>374</v>
      </c>
      <c r="L442" s="2">
        <f>ROUND(J442*$C442/100*J434,0)</f>
        <v>0</v>
      </c>
      <c r="M442" s="2"/>
      <c r="N442" s="336" t="str">
        <f>N430</f>
        <v xml:space="preserve"> </v>
      </c>
      <c r="O442" s="323" t="s">
        <v>374</v>
      </c>
      <c r="P442" s="2">
        <f>ROUND(N442*$C442/100*N434,0)</f>
        <v>0</v>
      </c>
      <c r="Q442" s="2"/>
      <c r="R442" s="336">
        <f ca="1">R430</f>
        <v>11</v>
      </c>
      <c r="S442" s="323" t="s">
        <v>374</v>
      </c>
      <c r="T442" s="2">
        <f ca="1">ROUND(R442*$C442/100*R434,0)</f>
        <v>0</v>
      </c>
      <c r="U442" s="2"/>
      <c r="V442" s="336">
        <f ca="1">V430</f>
        <v>45</v>
      </c>
      <c r="W442" s="323" t="s">
        <v>374</v>
      </c>
      <c r="X442" s="2">
        <f ca="1">ROUND(V442*$C442/100*V434,0)</f>
        <v>0</v>
      </c>
      <c r="Y442" s="20"/>
      <c r="Z442" s="74"/>
      <c r="AA442" s="74"/>
      <c r="AB442" s="74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U442" s="84"/>
    </row>
    <row r="443" spans="1:47" hidden="1">
      <c r="A443" s="1" t="s">
        <v>407</v>
      </c>
      <c r="B443" s="1"/>
      <c r="C443" s="319">
        <v>0</v>
      </c>
      <c r="D443" s="337">
        <v>60</v>
      </c>
      <c r="E443" s="321"/>
      <c r="F443" s="2">
        <f>ROUND(D443*$C443,0)</f>
        <v>0</v>
      </c>
      <c r="G443" s="337">
        <v>60</v>
      </c>
      <c r="H443" s="323"/>
      <c r="I443" s="2">
        <f>ROUND(G443*C443,0)</f>
        <v>0</v>
      </c>
      <c r="J443" s="337">
        <f>$J$198</f>
        <v>60</v>
      </c>
      <c r="K443" s="323"/>
      <c r="L443" s="2">
        <f>ROUND(J443*$C443,0)</f>
        <v>0</v>
      </c>
      <c r="M443" s="2"/>
      <c r="N443" s="337" t="str">
        <f>$N$198</f>
        <v xml:space="preserve"> </v>
      </c>
      <c r="O443" s="323"/>
      <c r="P443" s="2">
        <f>ROUND(N443*$C443,0)</f>
        <v>0</v>
      </c>
      <c r="Q443" s="2"/>
      <c r="R443" s="337">
        <f ca="1">$R$198</f>
        <v>11.86</v>
      </c>
      <c r="S443" s="323"/>
      <c r="T443" s="2">
        <f ca="1">ROUND(R443*$C443,0)</f>
        <v>0</v>
      </c>
      <c r="U443" s="2"/>
      <c r="V443" s="337">
        <f ca="1">$V$198</f>
        <v>48.14</v>
      </c>
      <c r="W443" s="323"/>
      <c r="X443" s="2">
        <f ca="1">ROUND(V443*$C443,0)</f>
        <v>0</v>
      </c>
      <c r="Y443" s="20"/>
      <c r="Z443" s="74"/>
      <c r="AA443" s="74"/>
      <c r="AB443" s="74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U443" s="84"/>
    </row>
    <row r="444" spans="1:47" hidden="1">
      <c r="A444" s="1" t="s">
        <v>408</v>
      </c>
      <c r="B444" s="1"/>
      <c r="C444" s="319">
        <v>0</v>
      </c>
      <c r="D444" s="339">
        <v>-30</v>
      </c>
      <c r="E444" s="321" t="s">
        <v>374</v>
      </c>
      <c r="F444" s="2">
        <f>ROUND(D444*$C444/100,0)</f>
        <v>0</v>
      </c>
      <c r="G444" s="339">
        <v>-30</v>
      </c>
      <c r="H444" s="323" t="s">
        <v>374</v>
      </c>
      <c r="I444" s="2">
        <f>ROUND(G444*C444/100,0)</f>
        <v>0</v>
      </c>
      <c r="J444" s="339">
        <f>$J$199</f>
        <v>-30</v>
      </c>
      <c r="K444" s="323" t="s">
        <v>374</v>
      </c>
      <c r="L444" s="2">
        <f>ROUND(J444*$C444/100,0)</f>
        <v>0</v>
      </c>
      <c r="M444" s="2"/>
      <c r="N444" s="339">
        <f>$N$199</f>
        <v>-30</v>
      </c>
      <c r="O444" s="323" t="s">
        <v>374</v>
      </c>
      <c r="P444" s="2">
        <f>ROUND(N444*$C444/100,0)</f>
        <v>0</v>
      </c>
      <c r="Q444" s="2"/>
      <c r="R444" s="339" t="str">
        <f>$R$199</f>
        <v xml:space="preserve"> </v>
      </c>
      <c r="S444" s="323" t="s">
        <v>374</v>
      </c>
      <c r="T444" s="2">
        <f>ROUND(R444*$C444/100,0)</f>
        <v>0</v>
      </c>
      <c r="U444" s="2"/>
      <c r="V444" s="339" t="str">
        <f>$V$199</f>
        <v xml:space="preserve"> </v>
      </c>
      <c r="W444" s="323" t="s">
        <v>374</v>
      </c>
      <c r="X444" s="2">
        <f>ROUND(V444*$C444/100,0)</f>
        <v>0</v>
      </c>
      <c r="Y444" s="20"/>
      <c r="Z444" s="74"/>
      <c r="AA444" s="74"/>
      <c r="AB444" s="74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U444" s="84"/>
    </row>
    <row r="445" spans="1:47" s="1184" customFormat="1" hidden="1">
      <c r="A445" s="1005" t="s">
        <v>1032</v>
      </c>
      <c r="C445" s="1202">
        <f>C439</f>
        <v>0</v>
      </c>
      <c r="D445" s="269"/>
      <c r="E445" s="1185"/>
      <c r="F445" s="1203"/>
      <c r="G445" s="269"/>
      <c r="H445" s="1185"/>
      <c r="I445" s="1203"/>
      <c r="J445" s="1230">
        <f>J183</f>
        <v>4.5289999999999999</v>
      </c>
      <c r="K445" s="1009" t="s">
        <v>374</v>
      </c>
      <c r="L445" s="2">
        <f>ROUND(J445*$C445/100*J434,0)</f>
        <v>0</v>
      </c>
      <c r="M445" s="2"/>
      <c r="N445" s="1230" t="str">
        <f>N183</f>
        <v xml:space="preserve"> </v>
      </c>
      <c r="O445" s="1009" t="s">
        <v>374</v>
      </c>
      <c r="P445" s="2">
        <f>ROUND(N445*$C445/100*N434,0)</f>
        <v>0</v>
      </c>
      <c r="Q445" s="2"/>
      <c r="R445" s="1230" t="str">
        <f>R183</f>
        <v xml:space="preserve"> </v>
      </c>
      <c r="S445" s="1009" t="s">
        <v>374</v>
      </c>
      <c r="T445" s="2">
        <f>ROUND(R445*$C445/100*R434,0)</f>
        <v>0</v>
      </c>
      <c r="U445" s="2"/>
      <c r="V445" s="1230">
        <f>V183</f>
        <v>4.5289999999999999</v>
      </c>
      <c r="W445" s="1009" t="s">
        <v>374</v>
      </c>
      <c r="X445" s="2">
        <f>ROUND(V445*$C445/100*V434,0)</f>
        <v>0</v>
      </c>
      <c r="Z445" s="815"/>
      <c r="AC445" s="1205"/>
      <c r="AD445" s="1205"/>
      <c r="AI445" s="1185"/>
      <c r="AJ445" s="1185"/>
      <c r="AK445" s="1185"/>
      <c r="AL445" s="1185"/>
      <c r="AM445" s="1185"/>
      <c r="AN445" s="1185"/>
      <c r="AO445" s="1185"/>
      <c r="AP445" s="1185"/>
      <c r="AQ445" s="1185"/>
      <c r="AR445" s="1185"/>
      <c r="AS445" s="1185"/>
      <c r="AU445" s="1204"/>
    </row>
    <row r="446" spans="1:47" s="1184" customFormat="1" hidden="1">
      <c r="A446" s="1005" t="s">
        <v>1033</v>
      </c>
      <c r="C446" s="1202">
        <f>C440</f>
        <v>0</v>
      </c>
      <c r="D446" s="269"/>
      <c r="E446" s="1185"/>
      <c r="F446" s="1203"/>
      <c r="G446" s="269"/>
      <c r="H446" s="1185"/>
      <c r="I446" s="1203"/>
      <c r="J446" s="1230">
        <f>J184</f>
        <v>3.1270000000000002</v>
      </c>
      <c r="K446" s="1009" t="s">
        <v>374</v>
      </c>
      <c r="L446" s="2">
        <f>ROUND(J446*$C446/100*J434,0)</f>
        <v>0</v>
      </c>
      <c r="M446" s="2"/>
      <c r="N446" s="1230" t="str">
        <f>N184</f>
        <v xml:space="preserve"> </v>
      </c>
      <c r="O446" s="1009" t="s">
        <v>374</v>
      </c>
      <c r="P446" s="2">
        <f>ROUND(N446*$C446/100*N434,0)</f>
        <v>0</v>
      </c>
      <c r="Q446" s="2"/>
      <c r="R446" s="1230" t="str">
        <f>R184</f>
        <v xml:space="preserve"> </v>
      </c>
      <c r="S446" s="1009" t="s">
        <v>374</v>
      </c>
      <c r="T446" s="2">
        <f>ROUND(R446*$C446/100*R434,0)</f>
        <v>0</v>
      </c>
      <c r="U446" s="2"/>
      <c r="V446" s="1230">
        <f>V184</f>
        <v>3.1270000000000002</v>
      </c>
      <c r="W446" s="1009" t="s">
        <v>374</v>
      </c>
      <c r="X446" s="2">
        <f>ROUND(V446*$C446/100*V434,0)</f>
        <v>0</v>
      </c>
      <c r="Z446" s="815"/>
      <c r="AC446" s="1205"/>
      <c r="AD446" s="1205"/>
      <c r="AI446" s="1185"/>
      <c r="AJ446" s="1185"/>
      <c r="AK446" s="1185"/>
      <c r="AL446" s="1185"/>
      <c r="AM446" s="1185"/>
      <c r="AN446" s="1185"/>
      <c r="AO446" s="1185"/>
      <c r="AP446" s="1185"/>
      <c r="AQ446" s="1185"/>
      <c r="AR446" s="1185"/>
      <c r="AS446" s="1185"/>
      <c r="AU446" s="1204"/>
    </row>
    <row r="447" spans="1:47" s="1184" customFormat="1" hidden="1">
      <c r="A447" s="1005" t="s">
        <v>1034</v>
      </c>
      <c r="C447" s="1202">
        <f>C441</f>
        <v>0</v>
      </c>
      <c r="D447" s="269"/>
      <c r="E447" s="1185"/>
      <c r="F447" s="1203"/>
      <c r="G447" s="269"/>
      <c r="H447" s="1185"/>
      <c r="I447" s="1203"/>
      <c r="J447" s="1230">
        <f>J185</f>
        <v>2.6950000000000003</v>
      </c>
      <c r="K447" s="1009" t="s">
        <v>374</v>
      </c>
      <c r="L447" s="2">
        <f>ROUND(J447*$C447/100*J434,0)</f>
        <v>0</v>
      </c>
      <c r="M447" s="2"/>
      <c r="N447" s="1230" t="str">
        <f>N185</f>
        <v xml:space="preserve"> </v>
      </c>
      <c r="O447" s="1009" t="s">
        <v>374</v>
      </c>
      <c r="P447" s="2">
        <f>ROUND(N447*$C447/100*N434,0)</f>
        <v>0</v>
      </c>
      <c r="Q447" s="2"/>
      <c r="R447" s="1230" t="str">
        <f>R185</f>
        <v xml:space="preserve"> </v>
      </c>
      <c r="S447" s="1009" t="s">
        <v>374</v>
      </c>
      <c r="T447" s="2">
        <f>ROUND(R447*$C447/100*R434,0)</f>
        <v>0</v>
      </c>
      <c r="U447" s="2"/>
      <c r="V447" s="1230">
        <f>V185</f>
        <v>2.6950000000000003</v>
      </c>
      <c r="W447" s="1009" t="s">
        <v>374</v>
      </c>
      <c r="X447" s="2">
        <f>ROUND(V447*$C447/100*V434,0)</f>
        <v>0</v>
      </c>
      <c r="Z447" s="815"/>
      <c r="AC447" s="1205"/>
      <c r="AD447" s="1205"/>
      <c r="AI447" s="1185"/>
      <c r="AJ447" s="1185"/>
      <c r="AK447" s="1185"/>
      <c r="AL447" s="1185"/>
      <c r="AM447" s="1185"/>
      <c r="AN447" s="1185"/>
      <c r="AO447" s="1185"/>
      <c r="AP447" s="1185"/>
      <c r="AQ447" s="1185"/>
      <c r="AR447" s="1185"/>
      <c r="AS447" s="1185"/>
      <c r="AU447" s="1204"/>
    </row>
    <row r="448" spans="1:47" hidden="1">
      <c r="A448" s="1" t="s">
        <v>381</v>
      </c>
      <c r="B448" s="1"/>
      <c r="C448" s="319">
        <f>SUM(C427:C429)</f>
        <v>33313</v>
      </c>
      <c r="D448" s="330"/>
      <c r="E448" s="2"/>
      <c r="F448" s="2">
        <f>SUM(F421:F444)</f>
        <v>7805</v>
      </c>
      <c r="G448" s="330"/>
      <c r="H448" s="323"/>
      <c r="I448" s="2">
        <f>SUM(I421:I444)</f>
        <v>8003</v>
      </c>
      <c r="J448" s="330"/>
      <c r="K448" s="323"/>
      <c r="L448" s="2">
        <f ca="1">SUM(L421:L447)</f>
        <v>8828</v>
      </c>
      <c r="M448" s="2"/>
      <c r="N448" s="330"/>
      <c r="O448" s="323"/>
      <c r="P448" s="2">
        <f ca="1">SUM(P421:P447)</f>
        <v>5675</v>
      </c>
      <c r="Q448" s="2"/>
      <c r="R448" s="330"/>
      <c r="S448" s="323"/>
      <c r="T448" s="2">
        <f ca="1">SUM(T421:T447)</f>
        <v>590</v>
      </c>
      <c r="U448" s="2"/>
      <c r="V448" s="330"/>
      <c r="W448" s="323"/>
      <c r="X448" s="2">
        <f ca="1">SUM(X421:X447)</f>
        <v>2563</v>
      </c>
      <c r="Y448" s="20"/>
      <c r="Z448" s="74"/>
      <c r="AA448" s="74"/>
      <c r="AB448" s="74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U448" s="84"/>
    </row>
    <row r="449" spans="1:47" hidden="1">
      <c r="A449" s="1" t="s">
        <v>363</v>
      </c>
      <c r="B449" s="1"/>
      <c r="C449" s="349">
        <f ca="1">'Table 2'!H72</f>
        <v>-533.59230834667824</v>
      </c>
      <c r="D449" s="309"/>
      <c r="E449" s="309"/>
      <c r="F449" s="341">
        <f ca="1">I449</f>
        <v>-170.24425922328714</v>
      </c>
      <c r="G449" s="309"/>
      <c r="H449" s="309"/>
      <c r="I449" s="341">
        <f ca="1">'Table 3'!E72</f>
        <v>-170.24425922328714</v>
      </c>
      <c r="J449" s="309"/>
      <c r="K449" s="309"/>
      <c r="L449" s="341">
        <f ca="1">I449</f>
        <v>-170.24425922328714</v>
      </c>
      <c r="M449" s="322"/>
      <c r="N449" s="309"/>
      <c r="O449" s="309"/>
      <c r="P449" s="341">
        <f ca="1">P204/L204*L449</f>
        <v>-33.560489614293509</v>
      </c>
      <c r="Q449" s="322"/>
      <c r="R449" s="309"/>
      <c r="S449" s="309"/>
      <c r="T449" s="341">
        <f ca="1">T204/L204*L449</f>
        <v>-27.026886482190687</v>
      </c>
      <c r="U449" s="322"/>
      <c r="V449" s="309"/>
      <c r="W449" s="309"/>
      <c r="X449" s="341">
        <f ca="1">X204/L204*L449</f>
        <v>-109.65688312680295</v>
      </c>
      <c r="Y449" s="444"/>
      <c r="Z449" s="287"/>
      <c r="AA449" s="74"/>
      <c r="AB449" s="74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U449" s="84"/>
    </row>
    <row r="450" spans="1:47" ht="16.5" hidden="1" thickBot="1">
      <c r="A450" s="1" t="s">
        <v>382</v>
      </c>
      <c r="B450" s="1"/>
      <c r="C450" s="311">
        <f ca="1">SUM(C448:C449)</f>
        <v>32779.407691653323</v>
      </c>
      <c r="D450" s="342"/>
      <c r="E450" s="343"/>
      <c r="F450" s="344">
        <f ca="1">F448+F449</f>
        <v>7634.7557407767126</v>
      </c>
      <c r="G450" s="342"/>
      <c r="H450" s="345"/>
      <c r="I450" s="344">
        <f ca="1">I448+I449</f>
        <v>7832.7557407767126</v>
      </c>
      <c r="J450" s="342"/>
      <c r="K450" s="345"/>
      <c r="L450" s="344">
        <f ca="1">L448+L449</f>
        <v>8657.7557407767126</v>
      </c>
      <c r="M450" s="344"/>
      <c r="N450" s="342"/>
      <c r="O450" s="345"/>
      <c r="P450" s="344">
        <f ca="1">P448+P449</f>
        <v>5641.4395103857069</v>
      </c>
      <c r="Q450" s="344"/>
      <c r="R450" s="342"/>
      <c r="S450" s="345"/>
      <c r="T450" s="344">
        <f ca="1">T448+T449</f>
        <v>562.97311351780934</v>
      </c>
      <c r="U450" s="344"/>
      <c r="V450" s="342"/>
      <c r="W450" s="345"/>
      <c r="X450" s="344">
        <f ca="1">X448+X449</f>
        <v>2453.3431168731972</v>
      </c>
      <c r="Y450" s="411"/>
      <c r="Z450" s="470"/>
      <c r="AA450" s="74"/>
      <c r="AB450" s="74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U450" s="84"/>
    </row>
    <row r="451" spans="1:47" ht="16.5" hidden="1" thickTop="1">
      <c r="A451" s="1"/>
      <c r="B451" s="1"/>
      <c r="C451" s="21"/>
      <c r="D451" s="337" t="s">
        <v>31</v>
      </c>
      <c r="E451" s="2"/>
      <c r="F451" s="2"/>
      <c r="G451" s="337" t="s">
        <v>31</v>
      </c>
      <c r="H451" s="1"/>
      <c r="I451" s="2"/>
      <c r="J451" s="353" t="s">
        <v>31</v>
      </c>
      <c r="K451" s="1"/>
      <c r="L451" s="2" t="s">
        <v>31</v>
      </c>
      <c r="M451" s="2"/>
      <c r="N451" s="353" t="s">
        <v>31</v>
      </c>
      <c r="O451" s="1"/>
      <c r="P451" s="2" t="s">
        <v>31</v>
      </c>
      <c r="Q451" s="2"/>
      <c r="R451" s="353" t="s">
        <v>31</v>
      </c>
      <c r="S451" s="1"/>
      <c r="T451" s="2" t="s">
        <v>31</v>
      </c>
      <c r="U451" s="2"/>
      <c r="V451" s="353" t="s">
        <v>31</v>
      </c>
      <c r="W451" s="1"/>
      <c r="X451" s="2" t="s">
        <v>31</v>
      </c>
      <c r="Y451" s="20"/>
      <c r="Z451" s="74"/>
      <c r="AA451" s="74"/>
      <c r="AB451" s="74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U451" s="84"/>
    </row>
    <row r="452" spans="1:47" hidden="1">
      <c r="A452" s="1"/>
      <c r="B452" s="1"/>
      <c r="C452" s="21"/>
      <c r="D452" s="337" t="s">
        <v>31</v>
      </c>
      <c r="E452" s="2"/>
      <c r="F452" s="2"/>
      <c r="G452" s="337" t="s">
        <v>31</v>
      </c>
      <c r="H452" s="1"/>
      <c r="I452" s="2"/>
      <c r="J452" s="353" t="s">
        <v>31</v>
      </c>
      <c r="K452" s="1"/>
      <c r="L452" s="2" t="s">
        <v>31</v>
      </c>
      <c r="M452" s="2"/>
      <c r="N452" s="353" t="s">
        <v>31</v>
      </c>
      <c r="O452" s="1"/>
      <c r="P452" s="2" t="s">
        <v>31</v>
      </c>
      <c r="Q452" s="2"/>
      <c r="R452" s="353" t="s">
        <v>31</v>
      </c>
      <c r="S452" s="1"/>
      <c r="T452" s="2" t="s">
        <v>31</v>
      </c>
      <c r="U452" s="2"/>
      <c r="V452" s="353" t="s">
        <v>31</v>
      </c>
      <c r="W452" s="1"/>
      <c r="X452" s="2" t="s">
        <v>31</v>
      </c>
      <c r="Y452" s="20"/>
      <c r="Z452" s="74"/>
      <c r="AA452" s="74"/>
      <c r="AB452" s="74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U452" s="84"/>
    </row>
    <row r="453" spans="1:47" hidden="1">
      <c r="A453" s="293" t="s">
        <v>417</v>
      </c>
      <c r="B453" s="1"/>
      <c r="C453" s="1"/>
      <c r="D453" s="2"/>
      <c r="E453" s="2"/>
      <c r="F453" s="1" t="s">
        <v>31</v>
      </c>
      <c r="G453" s="2"/>
      <c r="H453" s="1"/>
      <c r="I453" s="1"/>
      <c r="J453" s="2"/>
      <c r="K453" s="1"/>
      <c r="L453" s="1"/>
      <c r="M453" s="1"/>
      <c r="N453" s="2"/>
      <c r="O453" s="1"/>
      <c r="P453" s="1"/>
      <c r="Q453" s="1"/>
      <c r="R453" s="2"/>
      <c r="S453" s="1"/>
      <c r="T453" s="1"/>
      <c r="U453" s="1"/>
      <c r="V453" s="2"/>
      <c r="W453" s="1"/>
      <c r="X453" s="1"/>
      <c r="Y453" s="20"/>
      <c r="Z453" s="74"/>
      <c r="AA453" s="74"/>
      <c r="AB453" s="74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U453" s="84"/>
    </row>
    <row r="454" spans="1:47" hidden="1">
      <c r="A454" s="1" t="s">
        <v>410</v>
      </c>
      <c r="B454" s="1"/>
      <c r="C454" s="1"/>
      <c r="D454" s="2"/>
      <c r="E454" s="2"/>
      <c r="F454" s="1"/>
      <c r="G454" s="2"/>
      <c r="H454" s="1"/>
      <c r="I454" s="1"/>
      <c r="J454" s="2"/>
      <c r="K454" s="1"/>
      <c r="L454" s="1"/>
      <c r="M454" s="1"/>
      <c r="N454" s="2"/>
      <c r="O454" s="1"/>
      <c r="P454" s="1"/>
      <c r="Q454" s="1"/>
      <c r="R454" s="2"/>
      <c r="S454" s="1"/>
      <c r="T454" s="1"/>
      <c r="U454" s="1"/>
      <c r="V454" s="2"/>
      <c r="W454" s="1"/>
      <c r="X454" s="1"/>
      <c r="Y454" s="20"/>
      <c r="Z454" s="74"/>
      <c r="AA454" s="74"/>
      <c r="AB454" s="74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</row>
    <row r="455" spans="1:47" hidden="1">
      <c r="A455" s="1" t="s">
        <v>418</v>
      </c>
      <c r="B455" s="1"/>
      <c r="C455" s="1"/>
      <c r="D455" s="2"/>
      <c r="E455" s="2"/>
      <c r="F455" s="1"/>
      <c r="G455" s="2"/>
      <c r="H455" s="1"/>
      <c r="I455" s="1"/>
      <c r="J455" s="2"/>
      <c r="K455" s="1"/>
      <c r="L455" s="1"/>
      <c r="M455" s="1"/>
      <c r="N455" s="2"/>
      <c r="O455" s="1"/>
      <c r="P455" s="1"/>
      <c r="Q455" s="1"/>
      <c r="R455" s="2"/>
      <c r="S455" s="1"/>
      <c r="T455" s="1"/>
      <c r="U455" s="1"/>
      <c r="V455" s="2"/>
      <c r="W455" s="1"/>
      <c r="X455" s="1"/>
      <c r="Y455" s="20"/>
      <c r="Z455" s="74"/>
      <c r="AA455" s="74"/>
      <c r="AB455" s="74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</row>
    <row r="456" spans="1:47" hidden="1">
      <c r="A456" s="1" t="s">
        <v>393</v>
      </c>
      <c r="B456" s="1"/>
      <c r="C456" s="319"/>
      <c r="D456" s="2"/>
      <c r="E456" s="2"/>
      <c r="F456" s="1"/>
      <c r="G456" s="2"/>
      <c r="H456" s="1"/>
      <c r="I456" s="1"/>
      <c r="J456" s="2"/>
      <c r="K456" s="1"/>
      <c r="L456" s="1"/>
      <c r="M456" s="1"/>
      <c r="N456" s="2"/>
      <c r="O456" s="1"/>
      <c r="P456" s="1"/>
      <c r="Q456" s="1"/>
      <c r="R456" s="2"/>
      <c r="S456" s="1"/>
      <c r="T456" s="1"/>
      <c r="U456" s="1"/>
      <c r="V456" s="2"/>
      <c r="W456" s="1"/>
      <c r="X456" s="1"/>
      <c r="Y456" s="20"/>
      <c r="Z456" s="74"/>
      <c r="AA456" s="74"/>
      <c r="AB456" s="74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</row>
    <row r="457" spans="1:47" hidden="1">
      <c r="A457" s="1" t="s">
        <v>390</v>
      </c>
      <c r="B457" s="1"/>
      <c r="C457" s="319">
        <f t="shared" ref="C457:C466" si="133">C492+C527</f>
        <v>1</v>
      </c>
      <c r="D457" s="298">
        <v>104.52000000000001</v>
      </c>
      <c r="E457" s="321"/>
      <c r="F457" s="2">
        <f>F492+F527</f>
        <v>105</v>
      </c>
      <c r="G457" s="298">
        <v>104.52000000000001</v>
      </c>
      <c r="H457" s="323"/>
      <c r="I457" s="2">
        <f>I492+I527</f>
        <v>105</v>
      </c>
      <c r="J457" s="298">
        <f>$J$169</f>
        <v>120</v>
      </c>
      <c r="K457" s="323"/>
      <c r="L457" s="2">
        <f>L492+L527</f>
        <v>120</v>
      </c>
      <c r="M457" s="2"/>
      <c r="N457" s="298">
        <f>$N$169</f>
        <v>120</v>
      </c>
      <c r="O457" s="323"/>
      <c r="P457" s="2">
        <f>P492+P527</f>
        <v>120</v>
      </c>
      <c r="Q457" s="2"/>
      <c r="R457" s="298" t="str">
        <f>$R$169</f>
        <v xml:space="preserve"> </v>
      </c>
      <c r="S457" s="323"/>
      <c r="T457" s="2">
        <f>T492+T527</f>
        <v>0</v>
      </c>
      <c r="U457" s="2"/>
      <c r="V457" s="298" t="str">
        <f>$V$169</f>
        <v xml:space="preserve"> </v>
      </c>
      <c r="W457" s="323"/>
      <c r="X457" s="2">
        <f>X492+X527</f>
        <v>0</v>
      </c>
      <c r="Y457" s="20"/>
      <c r="Z457" s="74"/>
      <c r="AA457" s="74"/>
      <c r="AB457" s="74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</row>
    <row r="458" spans="1:47" hidden="1">
      <c r="A458" s="1" t="s">
        <v>391</v>
      </c>
      <c r="B458" s="1"/>
      <c r="C458" s="319">
        <f t="shared" si="133"/>
        <v>86.216438356164403</v>
      </c>
      <c r="D458" s="298">
        <v>155.76</v>
      </c>
      <c r="E458" s="324"/>
      <c r="F458" s="2">
        <f>F493+F528</f>
        <v>13429</v>
      </c>
      <c r="G458" s="298">
        <v>155.76</v>
      </c>
      <c r="H458" s="325"/>
      <c r="I458" s="2">
        <f>I493+I528</f>
        <v>13429</v>
      </c>
      <c r="J458" s="298">
        <f>$J$170</f>
        <v>180</v>
      </c>
      <c r="K458" s="325"/>
      <c r="L458" s="2">
        <f>L493+L528</f>
        <v>15519</v>
      </c>
      <c r="M458" s="2"/>
      <c r="N458" s="298">
        <f>$N$170</f>
        <v>180</v>
      </c>
      <c r="O458" s="325"/>
      <c r="P458" s="2">
        <f>P493+P528</f>
        <v>15519</v>
      </c>
      <c r="Q458" s="2"/>
      <c r="R458" s="298" t="str">
        <f>$R$170</f>
        <v xml:space="preserve"> </v>
      </c>
      <c r="S458" s="325"/>
      <c r="T458" s="2">
        <f>T493+T528</f>
        <v>0</v>
      </c>
      <c r="U458" s="2"/>
      <c r="V458" s="298" t="str">
        <f>$V$170</f>
        <v xml:space="preserve"> </v>
      </c>
      <c r="W458" s="325"/>
      <c r="X458" s="2">
        <f>X493+X528</f>
        <v>0</v>
      </c>
      <c r="Y458" s="20"/>
      <c r="Z458" s="74"/>
      <c r="AA458" s="74"/>
      <c r="AB458" s="74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</row>
    <row r="459" spans="1:47" hidden="1">
      <c r="A459" s="1" t="s">
        <v>392</v>
      </c>
      <c r="B459" s="1"/>
      <c r="C459" s="319">
        <f t="shared" si="133"/>
        <v>3360.78082191781</v>
      </c>
      <c r="D459" s="298">
        <v>11.040000000000001</v>
      </c>
      <c r="E459" s="324"/>
      <c r="F459" s="2">
        <f>F494+F529</f>
        <v>37103</v>
      </c>
      <c r="G459" s="298">
        <v>11.040000000000001</v>
      </c>
      <c r="H459" s="325"/>
      <c r="I459" s="2">
        <f>I494+I529</f>
        <v>37103</v>
      </c>
      <c r="J459" s="298">
        <f>$J$171</f>
        <v>12</v>
      </c>
      <c r="K459" s="325"/>
      <c r="L459" s="2">
        <f>L494+L529</f>
        <v>40329</v>
      </c>
      <c r="M459" s="2"/>
      <c r="N459" s="298">
        <f>$N$171</f>
        <v>12</v>
      </c>
      <c r="O459" s="325"/>
      <c r="P459" s="2">
        <f>P494+P529</f>
        <v>40329</v>
      </c>
      <c r="Q459" s="2"/>
      <c r="R459" s="298" t="str">
        <f>$R$171</f>
        <v xml:space="preserve"> </v>
      </c>
      <c r="S459" s="325"/>
      <c r="T459" s="2">
        <f>T494+T529</f>
        <v>0</v>
      </c>
      <c r="U459" s="2"/>
      <c r="V459" s="298" t="str">
        <f>$V$171</f>
        <v xml:space="preserve"> </v>
      </c>
      <c r="W459" s="325"/>
      <c r="X459" s="2">
        <f>X494+X529</f>
        <v>0</v>
      </c>
      <c r="Y459" s="20"/>
      <c r="Z459" s="74"/>
      <c r="AA459" s="74"/>
      <c r="AB459" s="74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</row>
    <row r="460" spans="1:47" hidden="1">
      <c r="A460" s="1" t="s">
        <v>394</v>
      </c>
      <c r="B460" s="1"/>
      <c r="C460" s="319">
        <f t="shared" si="133"/>
        <v>87.216438356164403</v>
      </c>
      <c r="D460" s="298"/>
      <c r="E460" s="321"/>
      <c r="F460" s="2"/>
      <c r="G460" s="298"/>
      <c r="H460" s="323"/>
      <c r="I460" s="2"/>
      <c r="J460" s="298"/>
      <c r="K460" s="323"/>
      <c r="L460" s="2"/>
      <c r="M460" s="2"/>
      <c r="N460" s="298"/>
      <c r="O460" s="323"/>
      <c r="P460" s="2"/>
      <c r="Q460" s="2"/>
      <c r="R460" s="298"/>
      <c r="S460" s="323"/>
      <c r="T460" s="2"/>
      <c r="U460" s="2"/>
      <c r="V460" s="298"/>
      <c r="W460" s="323"/>
      <c r="X460" s="2"/>
      <c r="Y460" s="20"/>
      <c r="Z460" s="74"/>
      <c r="AA460" s="74"/>
      <c r="AB460" s="74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</row>
    <row r="461" spans="1:47" hidden="1">
      <c r="A461" s="1" t="s">
        <v>419</v>
      </c>
      <c r="B461" s="1"/>
      <c r="C461" s="319">
        <f t="shared" si="133"/>
        <v>1020.2583333333331</v>
      </c>
      <c r="D461" s="298"/>
      <c r="E461" s="321"/>
      <c r="F461" s="2"/>
      <c r="G461" s="298"/>
      <c r="H461" s="323"/>
      <c r="I461" s="2"/>
      <c r="J461" s="298"/>
      <c r="K461" s="323"/>
      <c r="L461" s="2"/>
      <c r="M461" s="2"/>
      <c r="N461" s="298"/>
      <c r="O461" s="323"/>
      <c r="P461" s="2"/>
      <c r="Q461" s="2"/>
      <c r="R461" s="298"/>
      <c r="S461" s="323"/>
      <c r="T461" s="2"/>
      <c r="U461" s="2"/>
      <c r="V461" s="298"/>
      <c r="W461" s="323"/>
      <c r="X461" s="2"/>
      <c r="Y461" s="20"/>
      <c r="Z461" s="74"/>
      <c r="AA461" s="74"/>
      <c r="AB461" s="74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</row>
    <row r="462" spans="1:47" hidden="1">
      <c r="A462" s="1" t="s">
        <v>395</v>
      </c>
      <c r="B462" s="1"/>
      <c r="C462" s="319">
        <f t="shared" si="133"/>
        <v>9001.8205882352995</v>
      </c>
      <c r="D462" s="326">
        <v>3.4</v>
      </c>
      <c r="E462" s="323"/>
      <c r="F462" s="2">
        <f>F497+F532</f>
        <v>30606</v>
      </c>
      <c r="G462" s="326">
        <v>3.61</v>
      </c>
      <c r="H462" s="323"/>
      <c r="I462" s="2">
        <f>I497+I532</f>
        <v>32497</v>
      </c>
      <c r="J462" s="326">
        <f ca="1">$J$178</f>
        <v>3.77</v>
      </c>
      <c r="K462" s="323"/>
      <c r="L462" s="2">
        <f ca="1">L497+L532</f>
        <v>33937</v>
      </c>
      <c r="M462" s="2"/>
      <c r="N462" s="326">
        <f ca="1">$N$178</f>
        <v>0.81</v>
      </c>
      <c r="O462" s="323"/>
      <c r="P462" s="2">
        <f ca="1">P497+P532</f>
        <v>7291</v>
      </c>
      <c r="Q462" s="2"/>
      <c r="R462" s="326">
        <f ca="1">$R$178</f>
        <v>1.06</v>
      </c>
      <c r="S462" s="323"/>
      <c r="T462" s="2">
        <f ca="1">T497+T532</f>
        <v>9542</v>
      </c>
      <c r="U462" s="2"/>
      <c r="V462" s="326">
        <f ca="1">$V$178</f>
        <v>1.9</v>
      </c>
      <c r="W462" s="323"/>
      <c r="X462" s="2">
        <f ca="1">X497+X532</f>
        <v>17104</v>
      </c>
      <c r="Y462" s="20"/>
      <c r="Z462" s="74"/>
      <c r="AA462" s="74"/>
      <c r="AB462" s="74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</row>
    <row r="463" spans="1:47" hidden="1">
      <c r="A463" s="1" t="s">
        <v>397</v>
      </c>
      <c r="B463" s="1"/>
      <c r="C463" s="319">
        <f t="shared" si="133"/>
        <v>153159</v>
      </c>
      <c r="D463" s="299">
        <v>9.766</v>
      </c>
      <c r="E463" s="323" t="s">
        <v>374</v>
      </c>
      <c r="F463" s="2">
        <f>F498+F533</f>
        <v>14958</v>
      </c>
      <c r="G463" s="299">
        <v>10.359</v>
      </c>
      <c r="H463" s="323" t="s">
        <v>374</v>
      </c>
      <c r="I463" s="2">
        <f>I498+I533</f>
        <v>15866</v>
      </c>
      <c r="J463" s="299">
        <f ca="1">$J$179</f>
        <v>6.282</v>
      </c>
      <c r="K463" s="323" t="s">
        <v>374</v>
      </c>
      <c r="L463" s="2">
        <f ca="1">L498+L533</f>
        <v>9622</v>
      </c>
      <c r="M463" s="2"/>
      <c r="N463" s="299">
        <f ca="1">$N$179</f>
        <v>1.3483746810352102</v>
      </c>
      <c r="O463" s="323" t="s">
        <v>374</v>
      </c>
      <c r="P463" s="2">
        <f ca="1">P498+P533</f>
        <v>2065</v>
      </c>
      <c r="Q463" s="2"/>
      <c r="R463" s="299">
        <f ca="1">$R$179</f>
        <v>1.7708525176705459</v>
      </c>
      <c r="S463" s="323" t="s">
        <v>374</v>
      </c>
      <c r="T463" s="2">
        <f ca="1">T498+T533</f>
        <v>2712</v>
      </c>
      <c r="U463" s="2"/>
      <c r="V463" s="299">
        <f ca="1">$V$179</f>
        <v>3.162955363125258</v>
      </c>
      <c r="W463" s="323" t="s">
        <v>374</v>
      </c>
      <c r="X463" s="2">
        <f ca="1">X498+X533</f>
        <v>4844</v>
      </c>
      <c r="Y463" s="20"/>
      <c r="Z463" s="74"/>
      <c r="AA463" s="74"/>
      <c r="AB463" s="74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</row>
    <row r="464" spans="1:47" hidden="1">
      <c r="A464" s="1" t="s">
        <v>398</v>
      </c>
      <c r="B464" s="1"/>
      <c r="C464" s="319">
        <f t="shared" si="133"/>
        <v>143166</v>
      </c>
      <c r="D464" s="299">
        <v>6.7460000000000004</v>
      </c>
      <c r="E464" s="323" t="s">
        <v>374</v>
      </c>
      <c r="F464" s="2">
        <f>F499+F534</f>
        <v>9658</v>
      </c>
      <c r="G464" s="299">
        <v>7.1559999999999997</v>
      </c>
      <c r="H464" s="323" t="s">
        <v>374</v>
      </c>
      <c r="I464" s="2">
        <f>I499+I534</f>
        <v>10245</v>
      </c>
      <c r="J464" s="299">
        <f ca="1">$J$180</f>
        <v>4.3410000000000002</v>
      </c>
      <c r="K464" s="323" t="s">
        <v>374</v>
      </c>
      <c r="L464" s="2">
        <f ca="1">L499+L534</f>
        <v>6215</v>
      </c>
      <c r="M464" s="2"/>
      <c r="N464" s="299">
        <f ca="1">$N$180</f>
        <v>0.93175626548296309</v>
      </c>
      <c r="O464" s="323" t="s">
        <v>374</v>
      </c>
      <c r="P464" s="2">
        <f ca="1">P499+P534</f>
        <v>1334</v>
      </c>
      <c r="Q464" s="2"/>
      <c r="R464" s="299">
        <f ca="1">$R$180</f>
        <v>1.2240066282869231</v>
      </c>
      <c r="S464" s="323" t="s">
        <v>374</v>
      </c>
      <c r="T464" s="2">
        <f ca="1">T499+T534</f>
        <v>1753</v>
      </c>
      <c r="U464" s="2"/>
      <c r="V464" s="299">
        <f ca="1">$V$180</f>
        <v>2.1849800075654815</v>
      </c>
      <c r="W464" s="323" t="s">
        <v>374</v>
      </c>
      <c r="X464" s="2">
        <f ca="1">X499+X534</f>
        <v>3129</v>
      </c>
      <c r="Y464" s="20"/>
      <c r="Z464" s="74"/>
      <c r="AA464" s="74"/>
      <c r="AB464" s="74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</row>
    <row r="465" spans="1:47" hidden="1">
      <c r="A465" s="1" t="s">
        <v>399</v>
      </c>
      <c r="B465" s="1"/>
      <c r="C465" s="319">
        <f t="shared" si="133"/>
        <v>173680</v>
      </c>
      <c r="D465" s="299">
        <v>5.8120000000000003</v>
      </c>
      <c r="E465" s="323" t="s">
        <v>374</v>
      </c>
      <c r="F465" s="2">
        <f>F500+F535</f>
        <v>10094</v>
      </c>
      <c r="G465" s="299">
        <v>6.1660000000000004</v>
      </c>
      <c r="H465" s="323" t="s">
        <v>374</v>
      </c>
      <c r="I465" s="2">
        <f>I500+I535</f>
        <v>10709</v>
      </c>
      <c r="J465" s="299">
        <f ca="1">$J$181</f>
        <v>3.74</v>
      </c>
      <c r="K465" s="323" t="s">
        <v>374</v>
      </c>
      <c r="L465" s="2">
        <f ca="1">L500+L535</f>
        <v>6496</v>
      </c>
      <c r="M465" s="2"/>
      <c r="N465" s="299">
        <f ca="1">$N$181</f>
        <v>0.80275718206159852</v>
      </c>
      <c r="O465" s="323" t="s">
        <v>374</v>
      </c>
      <c r="P465" s="2">
        <f ca="1">P500+P535</f>
        <v>1394</v>
      </c>
      <c r="Q465" s="2"/>
      <c r="R465" s="299">
        <f ca="1">$R$181</f>
        <v>1.0536847359511734</v>
      </c>
      <c r="S465" s="323" t="s">
        <v>374</v>
      </c>
      <c r="T465" s="2">
        <f ca="1">T500+T535</f>
        <v>1830</v>
      </c>
      <c r="U465" s="2"/>
      <c r="V465" s="299">
        <f ca="1">$V$181</f>
        <v>1.8834755557989509</v>
      </c>
      <c r="W465" s="323" t="s">
        <v>374</v>
      </c>
      <c r="X465" s="2">
        <f ca="1">X500+X535</f>
        <v>3271</v>
      </c>
      <c r="Y465" s="20"/>
      <c r="Z465" s="74"/>
      <c r="AA465" s="74"/>
      <c r="AB465" s="74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</row>
    <row r="466" spans="1:47" hidden="1">
      <c r="A466" s="1" t="s">
        <v>400</v>
      </c>
      <c r="B466" s="1"/>
      <c r="C466" s="319">
        <f t="shared" si="133"/>
        <v>1100.8816666666701</v>
      </c>
      <c r="D466" s="330">
        <v>56</v>
      </c>
      <c r="E466" s="321" t="s">
        <v>374</v>
      </c>
      <c r="F466" s="2">
        <f>F501+F536</f>
        <v>616</v>
      </c>
      <c r="G466" s="330">
        <v>56</v>
      </c>
      <c r="H466" s="323" t="s">
        <v>374</v>
      </c>
      <c r="I466" s="2">
        <f>I501+I536</f>
        <v>616</v>
      </c>
      <c r="J466" s="330">
        <f>$J$182</f>
        <v>56</v>
      </c>
      <c r="K466" s="323" t="s">
        <v>374</v>
      </c>
      <c r="L466" s="2">
        <f>L501+L536</f>
        <v>616</v>
      </c>
      <c r="M466" s="2"/>
      <c r="N466" s="330" t="str">
        <f>$N$182</f>
        <v xml:space="preserve"> </v>
      </c>
      <c r="O466" s="323" t="s">
        <v>374</v>
      </c>
      <c r="P466" s="2">
        <f>P501+P536</f>
        <v>0</v>
      </c>
      <c r="Q466" s="2"/>
      <c r="R466" s="330">
        <f ca="1">$R$182</f>
        <v>11</v>
      </c>
      <c r="S466" s="323" t="s">
        <v>374</v>
      </c>
      <c r="T466" s="2">
        <f ca="1">T501+T536</f>
        <v>121</v>
      </c>
      <c r="U466" s="2"/>
      <c r="V466" s="330">
        <f ca="1">$V$182</f>
        <v>45</v>
      </c>
      <c r="W466" s="323" t="s">
        <v>374</v>
      </c>
      <c r="X466" s="2">
        <f ca="1">X501+X536</f>
        <v>495</v>
      </c>
      <c r="Y466" s="20"/>
      <c r="Z466" s="74"/>
      <c r="AA466" s="74"/>
      <c r="AB466" s="74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</row>
    <row r="467" spans="1:47" s="1184" customFormat="1" hidden="1">
      <c r="A467" s="1005" t="s">
        <v>1032</v>
      </c>
      <c r="C467" s="1026">
        <f>C463</f>
        <v>153159</v>
      </c>
      <c r="D467" s="269"/>
      <c r="E467" s="1185"/>
      <c r="F467" s="1203"/>
      <c r="G467" s="269"/>
      <c r="H467" s="1185"/>
      <c r="I467" s="1203"/>
      <c r="J467" s="1230">
        <f>J183</f>
        <v>4.5289999999999999</v>
      </c>
      <c r="K467" s="1009" t="s">
        <v>374</v>
      </c>
      <c r="L467" s="2">
        <f t="shared" ref="L467:L469" si="134">L502+L537</f>
        <v>6936</v>
      </c>
      <c r="M467" s="2"/>
      <c r="N467" s="1230" t="str">
        <f>N183</f>
        <v xml:space="preserve"> </v>
      </c>
      <c r="O467" s="1009" t="s">
        <v>374</v>
      </c>
      <c r="P467" s="2">
        <f t="shared" ref="P467:P469" si="135">P502+P537</f>
        <v>0</v>
      </c>
      <c r="Q467" s="2"/>
      <c r="R467" s="1230" t="str">
        <f>R183</f>
        <v xml:space="preserve"> </v>
      </c>
      <c r="S467" s="1009" t="s">
        <v>374</v>
      </c>
      <c r="T467" s="2">
        <f t="shared" ref="T467:T469" si="136">T502+T537</f>
        <v>0</v>
      </c>
      <c r="U467" s="2"/>
      <c r="V467" s="1230">
        <f>V183</f>
        <v>4.5289999999999999</v>
      </c>
      <c r="W467" s="1009" t="s">
        <v>374</v>
      </c>
      <c r="X467" s="2">
        <f t="shared" ref="X467:X469" si="137">X502+X537</f>
        <v>6936</v>
      </c>
      <c r="Z467" s="815"/>
      <c r="AC467" s="1205"/>
      <c r="AD467" s="1205"/>
      <c r="AI467" s="1185"/>
      <c r="AJ467" s="1185"/>
      <c r="AK467" s="1185"/>
      <c r="AL467" s="1185"/>
      <c r="AM467" s="1185"/>
      <c r="AN467" s="1185"/>
      <c r="AO467" s="1185"/>
      <c r="AP467" s="1185"/>
      <c r="AQ467" s="1185"/>
      <c r="AR467" s="1185"/>
      <c r="AS467" s="1185"/>
      <c r="AU467" s="1204"/>
    </row>
    <row r="468" spans="1:47" s="1184" customFormat="1" hidden="1">
      <c r="A468" s="1005" t="s">
        <v>1033</v>
      </c>
      <c r="C468" s="1026">
        <f t="shared" ref="C468:C469" si="138">C464</f>
        <v>143166</v>
      </c>
      <c r="D468" s="269"/>
      <c r="E468" s="1185"/>
      <c r="F468" s="1203"/>
      <c r="G468" s="269"/>
      <c r="H468" s="1185"/>
      <c r="I468" s="1203"/>
      <c r="J468" s="1230">
        <f>J184</f>
        <v>3.1270000000000002</v>
      </c>
      <c r="K468" s="1009" t="s">
        <v>374</v>
      </c>
      <c r="L468" s="2">
        <f t="shared" si="134"/>
        <v>4477</v>
      </c>
      <c r="M468" s="2"/>
      <c r="N468" s="1230" t="str">
        <f>N184</f>
        <v xml:space="preserve"> </v>
      </c>
      <c r="O468" s="1009" t="s">
        <v>374</v>
      </c>
      <c r="P468" s="2">
        <f t="shared" si="135"/>
        <v>0</v>
      </c>
      <c r="Q468" s="2"/>
      <c r="R468" s="1230" t="str">
        <f>R184</f>
        <v xml:space="preserve"> </v>
      </c>
      <c r="S468" s="1009" t="s">
        <v>374</v>
      </c>
      <c r="T468" s="2">
        <f t="shared" si="136"/>
        <v>0</v>
      </c>
      <c r="U468" s="2"/>
      <c r="V468" s="1230">
        <f>V184</f>
        <v>3.1270000000000002</v>
      </c>
      <c r="W468" s="1009" t="s">
        <v>374</v>
      </c>
      <c r="X468" s="2">
        <f t="shared" si="137"/>
        <v>4477</v>
      </c>
      <c r="Z468" s="815"/>
      <c r="AC468" s="1205"/>
      <c r="AD468" s="1205"/>
      <c r="AI468" s="1185"/>
      <c r="AJ468" s="1185"/>
      <c r="AK468" s="1185"/>
      <c r="AL468" s="1185"/>
      <c r="AM468" s="1185"/>
      <c r="AN468" s="1185"/>
      <c r="AO468" s="1185"/>
      <c r="AP468" s="1185"/>
      <c r="AQ468" s="1185"/>
      <c r="AR468" s="1185"/>
      <c r="AS468" s="1185"/>
      <c r="AU468" s="1204"/>
    </row>
    <row r="469" spans="1:47" s="1184" customFormat="1" hidden="1">
      <c r="A469" s="1005" t="s">
        <v>1034</v>
      </c>
      <c r="C469" s="1026">
        <f t="shared" si="138"/>
        <v>173680</v>
      </c>
      <c r="D469" s="269"/>
      <c r="E469" s="1185"/>
      <c r="F469" s="1203"/>
      <c r="G469" s="269"/>
      <c r="H469" s="1185"/>
      <c r="I469" s="1203"/>
      <c r="J469" s="1230">
        <f>J185</f>
        <v>2.6950000000000003</v>
      </c>
      <c r="K469" s="1009" t="s">
        <v>374</v>
      </c>
      <c r="L469" s="2">
        <f t="shared" si="134"/>
        <v>4681</v>
      </c>
      <c r="M469" s="2"/>
      <c r="N469" s="1230" t="str">
        <f>N185</f>
        <v xml:space="preserve"> </v>
      </c>
      <c r="O469" s="1009" t="s">
        <v>374</v>
      </c>
      <c r="P469" s="2">
        <f t="shared" si="135"/>
        <v>0</v>
      </c>
      <c r="Q469" s="2"/>
      <c r="R469" s="1230" t="str">
        <f>R185</f>
        <v xml:space="preserve"> </v>
      </c>
      <c r="S469" s="1009" t="s">
        <v>374</v>
      </c>
      <c r="T469" s="2">
        <f t="shared" si="136"/>
        <v>0</v>
      </c>
      <c r="U469" s="2"/>
      <c r="V469" s="1230">
        <f>V185</f>
        <v>2.6950000000000003</v>
      </c>
      <c r="W469" s="1009" t="s">
        <v>374</v>
      </c>
      <c r="X469" s="2">
        <f t="shared" si="137"/>
        <v>4681</v>
      </c>
      <c r="Y469" s="1005" t="s">
        <v>31</v>
      </c>
      <c r="Z469" s="815"/>
      <c r="AC469" s="1205"/>
      <c r="AD469" s="1205"/>
      <c r="AI469" s="1185"/>
      <c r="AJ469" s="1185"/>
      <c r="AK469" s="1185"/>
      <c r="AL469" s="1185"/>
      <c r="AM469" s="1185"/>
      <c r="AN469" s="1185"/>
      <c r="AO469" s="1185"/>
      <c r="AP469" s="1185"/>
      <c r="AQ469" s="1185"/>
      <c r="AR469" s="1185"/>
      <c r="AS469" s="1185"/>
      <c r="AU469" s="1204"/>
    </row>
    <row r="470" spans="1:47" hidden="1">
      <c r="A470" s="331" t="s">
        <v>401</v>
      </c>
      <c r="B470" s="1"/>
      <c r="C470" s="319"/>
      <c r="D470" s="332">
        <v>-0.01</v>
      </c>
      <c r="E470" s="321"/>
      <c r="F470" s="2"/>
      <c r="G470" s="332">
        <v>-0.01</v>
      </c>
      <c r="H470" s="323"/>
      <c r="I470" s="2"/>
      <c r="J470" s="332">
        <v>-0.01</v>
      </c>
      <c r="K470" s="323"/>
      <c r="L470" s="2"/>
      <c r="M470" s="2"/>
      <c r="N470" s="332">
        <v>-0.01</v>
      </c>
      <c r="O470" s="323"/>
      <c r="P470" s="2"/>
      <c r="Q470" s="2"/>
      <c r="R470" s="332">
        <v>-0.01</v>
      </c>
      <c r="S470" s="323"/>
      <c r="T470" s="2"/>
      <c r="U470" s="2"/>
      <c r="V470" s="332">
        <v>-0.01</v>
      </c>
      <c r="W470" s="323"/>
      <c r="X470" s="2"/>
      <c r="Y470" s="20"/>
      <c r="Z470" s="74"/>
      <c r="AA470" s="74"/>
      <c r="AB470" s="74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</row>
    <row r="471" spans="1:47" hidden="1">
      <c r="A471" s="1" t="s">
        <v>390</v>
      </c>
      <c r="B471" s="1"/>
      <c r="C471" s="319">
        <v>0</v>
      </c>
      <c r="D471" s="334">
        <v>104.52000000000001</v>
      </c>
      <c r="E471" s="321"/>
      <c r="F471" s="2">
        <f t="shared" ref="F471:F480" si="139">F506+F541</f>
        <v>0</v>
      </c>
      <c r="G471" s="334">
        <v>104.52000000000001</v>
      </c>
      <c r="H471" s="321"/>
      <c r="I471" s="2">
        <f t="shared" ref="I471:I480" si="140">I506+I541</f>
        <v>0</v>
      </c>
      <c r="J471" s="334">
        <f>J457</f>
        <v>120</v>
      </c>
      <c r="K471" s="321"/>
      <c r="L471" s="2">
        <f t="shared" ref="L471:L480" si="141">L506+L541</f>
        <v>0</v>
      </c>
      <c r="M471" s="2"/>
      <c r="N471" s="334">
        <f>N457</f>
        <v>120</v>
      </c>
      <c r="O471" s="321"/>
      <c r="P471" s="2">
        <f t="shared" ref="P471:P480" si="142">P506+P541</f>
        <v>0</v>
      </c>
      <c r="Q471" s="2"/>
      <c r="R471" s="334" t="str">
        <f>R457</f>
        <v xml:space="preserve"> </v>
      </c>
      <c r="S471" s="321"/>
      <c r="T471" s="2">
        <f t="shared" ref="T471:T480" si="143">T506+T541</f>
        <v>0</v>
      </c>
      <c r="U471" s="2"/>
      <c r="V471" s="334" t="str">
        <f>V457</f>
        <v xml:space="preserve"> </v>
      </c>
      <c r="W471" s="321"/>
      <c r="X471" s="2">
        <f t="shared" ref="X471:X480" si="144">X506+X541</f>
        <v>0</v>
      </c>
      <c r="Y471" s="20"/>
      <c r="Z471" s="74"/>
      <c r="AA471" s="74"/>
      <c r="AB471" s="74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</row>
    <row r="472" spans="1:47" hidden="1">
      <c r="A472" s="1" t="s">
        <v>391</v>
      </c>
      <c r="B472" s="1"/>
      <c r="C472" s="319">
        <v>0</v>
      </c>
      <c r="D472" s="334">
        <v>155.76</v>
      </c>
      <c r="E472" s="321"/>
      <c r="F472" s="2">
        <f t="shared" si="139"/>
        <v>0</v>
      </c>
      <c r="G472" s="334">
        <v>155.76</v>
      </c>
      <c r="H472" s="321"/>
      <c r="I472" s="2">
        <f t="shared" si="140"/>
        <v>0</v>
      </c>
      <c r="J472" s="334">
        <f>J458</f>
        <v>180</v>
      </c>
      <c r="K472" s="321"/>
      <c r="L472" s="2">
        <f t="shared" si="141"/>
        <v>0</v>
      </c>
      <c r="M472" s="2"/>
      <c r="N472" s="334">
        <f>N458</f>
        <v>180</v>
      </c>
      <c r="O472" s="321"/>
      <c r="P472" s="2">
        <f t="shared" si="142"/>
        <v>0</v>
      </c>
      <c r="Q472" s="2"/>
      <c r="R472" s="334" t="str">
        <f>R458</f>
        <v xml:space="preserve"> </v>
      </c>
      <c r="S472" s="321"/>
      <c r="T472" s="2">
        <f t="shared" si="143"/>
        <v>0</v>
      </c>
      <c r="U472" s="2"/>
      <c r="V472" s="334" t="str">
        <f>V458</f>
        <v xml:space="preserve"> </v>
      </c>
      <c r="W472" s="321"/>
      <c r="X472" s="2">
        <f t="shared" si="144"/>
        <v>0</v>
      </c>
      <c r="Y472" s="20"/>
      <c r="Z472" s="74"/>
      <c r="AA472" s="32" t="s">
        <v>31</v>
      </c>
      <c r="AB472" s="74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</row>
    <row r="473" spans="1:47" hidden="1">
      <c r="A473" s="1" t="s">
        <v>402</v>
      </c>
      <c r="B473" s="1"/>
      <c r="C473" s="319">
        <v>0</v>
      </c>
      <c r="D473" s="334">
        <v>11.040000000000001</v>
      </c>
      <c r="E473" s="321"/>
      <c r="F473" s="2">
        <f t="shared" si="139"/>
        <v>0</v>
      </c>
      <c r="G473" s="334">
        <v>11.040000000000001</v>
      </c>
      <c r="H473" s="321"/>
      <c r="I473" s="2">
        <f t="shared" si="140"/>
        <v>0</v>
      </c>
      <c r="J473" s="334">
        <f>J459</f>
        <v>12</v>
      </c>
      <c r="K473" s="321"/>
      <c r="L473" s="2">
        <f t="shared" si="141"/>
        <v>0</v>
      </c>
      <c r="M473" s="2"/>
      <c r="N473" s="334">
        <f>N459</f>
        <v>12</v>
      </c>
      <c r="O473" s="321"/>
      <c r="P473" s="2">
        <f t="shared" si="142"/>
        <v>0</v>
      </c>
      <c r="Q473" s="2"/>
      <c r="R473" s="334" t="str">
        <f>R459</f>
        <v xml:space="preserve"> </v>
      </c>
      <c r="S473" s="321"/>
      <c r="T473" s="2">
        <f t="shared" si="143"/>
        <v>0</v>
      </c>
      <c r="U473" s="2"/>
      <c r="V473" s="334" t="str">
        <f>V459</f>
        <v xml:space="preserve"> </v>
      </c>
      <c r="W473" s="321"/>
      <c r="X473" s="2">
        <f t="shared" si="144"/>
        <v>0</v>
      </c>
      <c r="Y473" s="20"/>
      <c r="Z473" s="74"/>
      <c r="AA473" s="74"/>
      <c r="AB473" s="74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</row>
    <row r="474" spans="1:47" hidden="1">
      <c r="A474" s="1" t="s">
        <v>403</v>
      </c>
      <c r="B474" s="1"/>
      <c r="C474" s="319">
        <v>0</v>
      </c>
      <c r="D474" s="334">
        <v>3.4</v>
      </c>
      <c r="E474" s="323"/>
      <c r="F474" s="2">
        <f t="shared" si="139"/>
        <v>0</v>
      </c>
      <c r="G474" s="334">
        <v>3.61</v>
      </c>
      <c r="H474" s="323"/>
      <c r="I474" s="2">
        <f t="shared" si="140"/>
        <v>0</v>
      </c>
      <c r="J474" s="334">
        <f ca="1">J462</f>
        <v>3.77</v>
      </c>
      <c r="K474" s="323"/>
      <c r="L474" s="2">
        <f t="shared" ca="1" si="141"/>
        <v>0</v>
      </c>
      <c r="M474" s="2"/>
      <c r="N474" s="334">
        <f ca="1">N462</f>
        <v>0.81</v>
      </c>
      <c r="O474" s="323"/>
      <c r="P474" s="2">
        <f t="shared" ca="1" si="142"/>
        <v>0</v>
      </c>
      <c r="Q474" s="2"/>
      <c r="R474" s="334">
        <f ca="1">R462</f>
        <v>1.06</v>
      </c>
      <c r="S474" s="323"/>
      <c r="T474" s="2">
        <f t="shared" ca="1" si="143"/>
        <v>0</v>
      </c>
      <c r="U474" s="2"/>
      <c r="V474" s="334">
        <f ca="1">V462</f>
        <v>1.9</v>
      </c>
      <c r="W474" s="323"/>
      <c r="X474" s="2">
        <f t="shared" ca="1" si="144"/>
        <v>0</v>
      </c>
      <c r="Y474" s="20"/>
      <c r="Z474" s="74"/>
      <c r="AA474" s="74"/>
      <c r="AB474" s="74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</row>
    <row r="475" spans="1:47" hidden="1">
      <c r="A475" s="1" t="s">
        <v>405</v>
      </c>
      <c r="B475" s="1"/>
      <c r="C475" s="319">
        <v>0</v>
      </c>
      <c r="D475" s="335">
        <v>9.766</v>
      </c>
      <c r="E475" s="323" t="s">
        <v>374</v>
      </c>
      <c r="F475" s="2">
        <f t="shared" si="139"/>
        <v>0</v>
      </c>
      <c r="G475" s="335">
        <v>10.359</v>
      </c>
      <c r="H475" s="323" t="s">
        <v>374</v>
      </c>
      <c r="I475" s="2">
        <f t="shared" si="140"/>
        <v>0</v>
      </c>
      <c r="J475" s="335">
        <f ca="1">J463</f>
        <v>6.282</v>
      </c>
      <c r="K475" s="323" t="s">
        <v>374</v>
      </c>
      <c r="L475" s="2">
        <f t="shared" ca="1" si="141"/>
        <v>0</v>
      </c>
      <c r="M475" s="2"/>
      <c r="N475" s="335">
        <f ca="1">N463</f>
        <v>1.3483746810352102</v>
      </c>
      <c r="O475" s="323" t="s">
        <v>374</v>
      </c>
      <c r="P475" s="2">
        <f t="shared" ca="1" si="142"/>
        <v>0</v>
      </c>
      <c r="Q475" s="2"/>
      <c r="R475" s="335">
        <f ca="1">R463</f>
        <v>1.7708525176705459</v>
      </c>
      <c r="S475" s="323" t="s">
        <v>374</v>
      </c>
      <c r="T475" s="2">
        <f t="shared" ca="1" si="143"/>
        <v>0</v>
      </c>
      <c r="U475" s="2"/>
      <c r="V475" s="335">
        <f ca="1">V463</f>
        <v>3.162955363125258</v>
      </c>
      <c r="W475" s="323" t="s">
        <v>374</v>
      </c>
      <c r="X475" s="2">
        <f t="shared" ca="1" si="144"/>
        <v>0</v>
      </c>
      <c r="Y475" s="20"/>
      <c r="Z475" s="74"/>
      <c r="AA475" s="74"/>
      <c r="AB475" s="74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</row>
    <row r="476" spans="1:47" hidden="1">
      <c r="A476" s="1" t="s">
        <v>398</v>
      </c>
      <c r="B476" s="1"/>
      <c r="C476" s="319">
        <v>0</v>
      </c>
      <c r="D476" s="335">
        <v>6.7460000000000004</v>
      </c>
      <c r="E476" s="323" t="s">
        <v>374</v>
      </c>
      <c r="F476" s="2">
        <f t="shared" si="139"/>
        <v>0</v>
      </c>
      <c r="G476" s="335">
        <v>7.1559999999999997</v>
      </c>
      <c r="H476" s="323" t="s">
        <v>374</v>
      </c>
      <c r="I476" s="2">
        <f t="shared" si="140"/>
        <v>0</v>
      </c>
      <c r="J476" s="335">
        <f ca="1">J464</f>
        <v>4.3410000000000002</v>
      </c>
      <c r="K476" s="323" t="s">
        <v>374</v>
      </c>
      <c r="L476" s="2">
        <f t="shared" ca="1" si="141"/>
        <v>0</v>
      </c>
      <c r="M476" s="2"/>
      <c r="N476" s="335">
        <f ca="1">N464</f>
        <v>0.93175626548296309</v>
      </c>
      <c r="O476" s="323" t="s">
        <v>374</v>
      </c>
      <c r="P476" s="2">
        <f t="shared" ca="1" si="142"/>
        <v>0</v>
      </c>
      <c r="Q476" s="2"/>
      <c r="R476" s="335">
        <f ca="1">R464</f>
        <v>1.2240066282869231</v>
      </c>
      <c r="S476" s="323" t="s">
        <v>374</v>
      </c>
      <c r="T476" s="2">
        <f t="shared" ca="1" si="143"/>
        <v>0</v>
      </c>
      <c r="U476" s="2"/>
      <c r="V476" s="335">
        <f ca="1">V464</f>
        <v>2.1849800075654815</v>
      </c>
      <c r="W476" s="323" t="s">
        <v>374</v>
      </c>
      <c r="X476" s="2">
        <f t="shared" ca="1" si="144"/>
        <v>0</v>
      </c>
      <c r="Y476" s="20"/>
      <c r="Z476" s="74"/>
      <c r="AA476" s="74"/>
      <c r="AB476" s="74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</row>
    <row r="477" spans="1:47" hidden="1">
      <c r="A477" s="1" t="s">
        <v>399</v>
      </c>
      <c r="B477" s="1"/>
      <c r="C477" s="319">
        <v>0</v>
      </c>
      <c r="D477" s="335">
        <v>5.8120000000000003</v>
      </c>
      <c r="E477" s="323" t="s">
        <v>374</v>
      </c>
      <c r="F477" s="2">
        <f t="shared" si="139"/>
        <v>0</v>
      </c>
      <c r="G477" s="335">
        <v>6.1660000000000004</v>
      </c>
      <c r="H477" s="323" t="s">
        <v>374</v>
      </c>
      <c r="I477" s="2">
        <f t="shared" si="140"/>
        <v>0</v>
      </c>
      <c r="J477" s="335">
        <f ca="1">J465</f>
        <v>3.74</v>
      </c>
      <c r="K477" s="323" t="s">
        <v>374</v>
      </c>
      <c r="L477" s="2">
        <f t="shared" ca="1" si="141"/>
        <v>0</v>
      </c>
      <c r="M477" s="2"/>
      <c r="N477" s="335">
        <f ca="1">N465</f>
        <v>0.80275718206159852</v>
      </c>
      <c r="O477" s="323" t="s">
        <v>374</v>
      </c>
      <c r="P477" s="2">
        <f t="shared" ca="1" si="142"/>
        <v>0</v>
      </c>
      <c r="Q477" s="2"/>
      <c r="R477" s="335">
        <f ca="1">R465</f>
        <v>1.0536847359511734</v>
      </c>
      <c r="S477" s="323" t="s">
        <v>374</v>
      </c>
      <c r="T477" s="2">
        <f t="shared" ca="1" si="143"/>
        <v>0</v>
      </c>
      <c r="U477" s="2"/>
      <c r="V477" s="335">
        <f ca="1">V465</f>
        <v>1.8834755557989509</v>
      </c>
      <c r="W477" s="323" t="s">
        <v>374</v>
      </c>
      <c r="X477" s="2">
        <f t="shared" ca="1" si="144"/>
        <v>0</v>
      </c>
      <c r="Y477" s="20"/>
      <c r="Z477" s="74"/>
      <c r="AA477" s="74"/>
      <c r="AB477" s="74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</row>
    <row r="478" spans="1:47" hidden="1">
      <c r="A478" s="1" t="s">
        <v>400</v>
      </c>
      <c r="B478" s="1"/>
      <c r="C478" s="319">
        <v>0</v>
      </c>
      <c r="D478" s="336">
        <v>56</v>
      </c>
      <c r="E478" s="323" t="s">
        <v>374</v>
      </c>
      <c r="F478" s="2">
        <f t="shared" si="139"/>
        <v>0</v>
      </c>
      <c r="G478" s="336">
        <v>56</v>
      </c>
      <c r="H478" s="323" t="s">
        <v>374</v>
      </c>
      <c r="I478" s="2">
        <f t="shared" si="140"/>
        <v>0</v>
      </c>
      <c r="J478" s="336">
        <f>J466</f>
        <v>56</v>
      </c>
      <c r="K478" s="323" t="s">
        <v>374</v>
      </c>
      <c r="L478" s="2">
        <f t="shared" si="141"/>
        <v>0</v>
      </c>
      <c r="M478" s="2"/>
      <c r="N478" s="336" t="str">
        <f>N466</f>
        <v xml:space="preserve"> </v>
      </c>
      <c r="O478" s="323" t="s">
        <v>374</v>
      </c>
      <c r="P478" s="2">
        <f t="shared" si="142"/>
        <v>0</v>
      </c>
      <c r="Q478" s="2"/>
      <c r="R478" s="336">
        <f ca="1">R466</f>
        <v>11</v>
      </c>
      <c r="S478" s="323" t="s">
        <v>374</v>
      </c>
      <c r="T478" s="2">
        <f t="shared" ca="1" si="143"/>
        <v>0</v>
      </c>
      <c r="U478" s="2"/>
      <c r="V478" s="336">
        <f ca="1">V466</f>
        <v>45</v>
      </c>
      <c r="W478" s="323" t="s">
        <v>374</v>
      </c>
      <c r="X478" s="2">
        <f t="shared" ca="1" si="144"/>
        <v>0</v>
      </c>
      <c r="Y478" s="20"/>
      <c r="Z478" s="74"/>
      <c r="AA478" s="74"/>
      <c r="AB478" s="74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</row>
    <row r="479" spans="1:47" hidden="1">
      <c r="A479" s="1" t="s">
        <v>407</v>
      </c>
      <c r="B479" s="1"/>
      <c r="C479" s="319">
        <v>0</v>
      </c>
      <c r="D479" s="337">
        <v>60</v>
      </c>
      <c r="E479" s="321"/>
      <c r="F479" s="2">
        <f t="shared" si="139"/>
        <v>0</v>
      </c>
      <c r="G479" s="337">
        <v>60</v>
      </c>
      <c r="H479" s="323"/>
      <c r="I479" s="2">
        <f t="shared" si="140"/>
        <v>0</v>
      </c>
      <c r="J479" s="337">
        <f>$J$198</f>
        <v>60</v>
      </c>
      <c r="K479" s="323"/>
      <c r="L479" s="2">
        <f t="shared" si="141"/>
        <v>0</v>
      </c>
      <c r="M479" s="2"/>
      <c r="N479" s="337" t="str">
        <f>$N$198</f>
        <v xml:space="preserve"> </v>
      </c>
      <c r="O479" s="323"/>
      <c r="P479" s="2">
        <f t="shared" si="142"/>
        <v>0</v>
      </c>
      <c r="Q479" s="2"/>
      <c r="R479" s="337">
        <f ca="1">$R$198</f>
        <v>11.86</v>
      </c>
      <c r="S479" s="323"/>
      <c r="T479" s="2">
        <f t="shared" ca="1" si="143"/>
        <v>0</v>
      </c>
      <c r="U479" s="2"/>
      <c r="V479" s="337">
        <f ca="1">$V$198</f>
        <v>48.14</v>
      </c>
      <c r="W479" s="323"/>
      <c r="X479" s="2">
        <f t="shared" ca="1" si="144"/>
        <v>0</v>
      </c>
      <c r="Y479" s="20"/>
      <c r="Z479" s="74"/>
      <c r="AA479" s="74"/>
      <c r="AB479" s="74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</row>
    <row r="480" spans="1:47" hidden="1">
      <c r="A480" s="1" t="s">
        <v>408</v>
      </c>
      <c r="B480" s="1"/>
      <c r="C480" s="319">
        <v>0</v>
      </c>
      <c r="D480" s="339">
        <v>-30</v>
      </c>
      <c r="E480" s="321" t="s">
        <v>374</v>
      </c>
      <c r="F480" s="2">
        <f t="shared" si="139"/>
        <v>0</v>
      </c>
      <c r="G480" s="339">
        <v>-30</v>
      </c>
      <c r="H480" s="323" t="s">
        <v>374</v>
      </c>
      <c r="I480" s="2">
        <f t="shared" si="140"/>
        <v>0</v>
      </c>
      <c r="J480" s="339">
        <f>$J$199</f>
        <v>-30</v>
      </c>
      <c r="K480" s="323" t="s">
        <v>374</v>
      </c>
      <c r="L480" s="2">
        <f t="shared" si="141"/>
        <v>0</v>
      </c>
      <c r="M480" s="2"/>
      <c r="N480" s="339">
        <f>$N$199</f>
        <v>-30</v>
      </c>
      <c r="O480" s="323" t="s">
        <v>374</v>
      </c>
      <c r="P480" s="2">
        <f t="shared" si="142"/>
        <v>0</v>
      </c>
      <c r="Q480" s="2"/>
      <c r="R480" s="339" t="str">
        <f>$R$199</f>
        <v xml:space="preserve"> </v>
      </c>
      <c r="S480" s="323" t="s">
        <v>374</v>
      </c>
      <c r="T480" s="2">
        <f t="shared" si="143"/>
        <v>0</v>
      </c>
      <c r="U480" s="2"/>
      <c r="V480" s="339" t="str">
        <f>$V$199</f>
        <v xml:space="preserve"> </v>
      </c>
      <c r="W480" s="323" t="s">
        <v>374</v>
      </c>
      <c r="X480" s="2">
        <f t="shared" si="144"/>
        <v>0</v>
      </c>
      <c r="Y480" s="20"/>
      <c r="Z480" s="74"/>
      <c r="AA480" s="74"/>
      <c r="AB480" s="74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</row>
    <row r="481" spans="1:47" s="1184" customFormat="1" hidden="1">
      <c r="A481" s="1005" t="s">
        <v>1032</v>
      </c>
      <c r="C481" s="1202">
        <f>C475</f>
        <v>0</v>
      </c>
      <c r="D481" s="269"/>
      <c r="E481" s="1185"/>
      <c r="F481" s="1203"/>
      <c r="G481" s="269"/>
      <c r="H481" s="1185"/>
      <c r="I481" s="1203"/>
      <c r="J481" s="1230">
        <f>J183</f>
        <v>4.5289999999999999</v>
      </c>
      <c r="K481" s="1009" t="s">
        <v>374</v>
      </c>
      <c r="L481" s="1203">
        <f>L522+L562</f>
        <v>0</v>
      </c>
      <c r="M481" s="1203"/>
      <c r="N481" s="1230" t="str">
        <f>N183</f>
        <v xml:space="preserve"> </v>
      </c>
      <c r="O481" s="1009" t="s">
        <v>374</v>
      </c>
      <c r="P481" s="1203">
        <f>P522+P562</f>
        <v>0</v>
      </c>
      <c r="Q481" s="1203"/>
      <c r="R481" s="1230" t="str">
        <f>R183</f>
        <v xml:space="preserve"> </v>
      </c>
      <c r="S481" s="1009" t="s">
        <v>374</v>
      </c>
      <c r="T481" s="1203">
        <f>T522+T562</f>
        <v>0</v>
      </c>
      <c r="U481" s="1203"/>
      <c r="V481" s="1230">
        <f>V183</f>
        <v>4.5289999999999999</v>
      </c>
      <c r="W481" s="1009" t="s">
        <v>374</v>
      </c>
      <c r="X481" s="1203">
        <f>X522+X562</f>
        <v>0</v>
      </c>
      <c r="Z481" s="815"/>
      <c r="AC481" s="1205"/>
      <c r="AD481" s="1205"/>
      <c r="AI481" s="1185"/>
      <c r="AJ481" s="1185"/>
      <c r="AK481" s="1185"/>
      <c r="AL481" s="1185"/>
      <c r="AM481" s="1185"/>
      <c r="AN481" s="1185"/>
      <c r="AO481" s="1185"/>
      <c r="AP481" s="1185"/>
      <c r="AQ481" s="1185"/>
      <c r="AR481" s="1185"/>
      <c r="AS481" s="1185"/>
      <c r="AU481" s="1204"/>
    </row>
    <row r="482" spans="1:47" s="1184" customFormat="1" hidden="1">
      <c r="A482" s="1005" t="s">
        <v>1033</v>
      </c>
      <c r="C482" s="1202">
        <f>C476</f>
        <v>0</v>
      </c>
      <c r="D482" s="269"/>
      <c r="E482" s="1185"/>
      <c r="F482" s="1203"/>
      <c r="G482" s="269"/>
      <c r="H482" s="1185"/>
      <c r="I482" s="1203"/>
      <c r="J482" s="1230">
        <f>J184</f>
        <v>3.1270000000000002</v>
      </c>
      <c r="K482" s="1009" t="s">
        <v>374</v>
      </c>
      <c r="L482" s="1203">
        <f>L523+L563</f>
        <v>0</v>
      </c>
      <c r="M482" s="1203"/>
      <c r="N482" s="1230" t="str">
        <f>N184</f>
        <v xml:space="preserve"> </v>
      </c>
      <c r="O482" s="1009" t="s">
        <v>374</v>
      </c>
      <c r="P482" s="1203">
        <f>P523+P563</f>
        <v>0</v>
      </c>
      <c r="Q482" s="1203"/>
      <c r="R482" s="1230" t="str">
        <f>R184</f>
        <v xml:space="preserve"> </v>
      </c>
      <c r="S482" s="1009" t="s">
        <v>374</v>
      </c>
      <c r="T482" s="1203">
        <f>T523+T563</f>
        <v>0</v>
      </c>
      <c r="U482" s="1203"/>
      <c r="V482" s="1230">
        <f>V184</f>
        <v>3.1270000000000002</v>
      </c>
      <c r="W482" s="1009" t="s">
        <v>374</v>
      </c>
      <c r="X482" s="1203">
        <f>X523+X563</f>
        <v>0</v>
      </c>
      <c r="Z482" s="815"/>
      <c r="AC482" s="1205"/>
      <c r="AD482" s="1205"/>
      <c r="AI482" s="1185"/>
      <c r="AJ482" s="1185"/>
      <c r="AK482" s="1185"/>
      <c r="AL482" s="1185"/>
      <c r="AM482" s="1185"/>
      <c r="AN482" s="1185"/>
      <c r="AO482" s="1185"/>
      <c r="AP482" s="1185"/>
      <c r="AQ482" s="1185"/>
      <c r="AR482" s="1185"/>
      <c r="AS482" s="1185"/>
      <c r="AU482" s="1204"/>
    </row>
    <row r="483" spans="1:47" s="1184" customFormat="1" hidden="1">
      <c r="A483" s="1005" t="s">
        <v>1034</v>
      </c>
      <c r="C483" s="1202">
        <f>C477</f>
        <v>0</v>
      </c>
      <c r="D483" s="269"/>
      <c r="E483" s="1185"/>
      <c r="F483" s="1203"/>
      <c r="G483" s="269"/>
      <c r="H483" s="1185"/>
      <c r="I483" s="1203"/>
      <c r="J483" s="1230">
        <f>J185</f>
        <v>2.6950000000000003</v>
      </c>
      <c r="K483" s="1009" t="s">
        <v>374</v>
      </c>
      <c r="L483" s="1203">
        <f>L524+L564</f>
        <v>0</v>
      </c>
      <c r="M483" s="1203"/>
      <c r="N483" s="1230" t="str">
        <f>N185</f>
        <v xml:space="preserve"> </v>
      </c>
      <c r="O483" s="1009" t="s">
        <v>374</v>
      </c>
      <c r="P483" s="1203">
        <f>P524+P564</f>
        <v>0</v>
      </c>
      <c r="Q483" s="1203"/>
      <c r="R483" s="1230" t="str">
        <f>R185</f>
        <v xml:space="preserve"> </v>
      </c>
      <c r="S483" s="1009" t="s">
        <v>374</v>
      </c>
      <c r="T483" s="1203">
        <f>T524+T564</f>
        <v>0</v>
      </c>
      <c r="U483" s="1203"/>
      <c r="V483" s="1230">
        <f>V185</f>
        <v>2.6950000000000003</v>
      </c>
      <c r="W483" s="1009" t="s">
        <v>374</v>
      </c>
      <c r="X483" s="1203">
        <f>X524+X564</f>
        <v>0</v>
      </c>
      <c r="Z483" s="815"/>
      <c r="AC483" s="1205"/>
      <c r="AD483" s="1205"/>
      <c r="AI483" s="1185"/>
      <c r="AJ483" s="1185"/>
      <c r="AK483" s="1185"/>
      <c r="AL483" s="1185"/>
      <c r="AM483" s="1185"/>
      <c r="AN483" s="1185"/>
      <c r="AO483" s="1185"/>
      <c r="AP483" s="1185"/>
      <c r="AQ483" s="1185"/>
      <c r="AR483" s="1185"/>
      <c r="AS483" s="1185"/>
      <c r="AU483" s="1204"/>
    </row>
    <row r="484" spans="1:47" hidden="1">
      <c r="A484" s="1" t="s">
        <v>381</v>
      </c>
      <c r="B484" s="1"/>
      <c r="C484" s="319">
        <f>C519+C554</f>
        <v>470005</v>
      </c>
      <c r="D484" s="324"/>
      <c r="E484" s="2"/>
      <c r="F484" s="2">
        <f t="shared" ref="F484" si="145">F519+F554</f>
        <v>116569</v>
      </c>
      <c r="G484" s="324"/>
      <c r="H484" s="323"/>
      <c r="I484" s="2">
        <f>I519+I554</f>
        <v>120570</v>
      </c>
      <c r="J484" s="2"/>
      <c r="K484" s="323"/>
      <c r="L484" s="2">
        <f t="shared" ref="L484" ca="1" si="146">L519+L554</f>
        <v>128948</v>
      </c>
      <c r="M484" s="2"/>
      <c r="N484" s="2"/>
      <c r="O484" s="323"/>
      <c r="P484" s="2">
        <f t="shared" ref="P484" ca="1" si="147">P519+P554</f>
        <v>68052</v>
      </c>
      <c r="Q484" s="2"/>
      <c r="R484" s="2"/>
      <c r="S484" s="323"/>
      <c r="T484" s="2">
        <f t="shared" ref="T484" ca="1" si="148">T519+T554</f>
        <v>15958</v>
      </c>
      <c r="U484" s="2"/>
      <c r="V484" s="2"/>
      <c r="W484" s="323"/>
      <c r="X484" s="2">
        <f t="shared" ref="X484" ca="1" si="149">X519+X554</f>
        <v>44937</v>
      </c>
      <c r="Y484" s="20"/>
      <c r="Z484" s="74"/>
      <c r="AA484" s="74"/>
      <c r="AB484" s="74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</row>
    <row r="485" spans="1:47" hidden="1">
      <c r="A485" s="1" t="s">
        <v>363</v>
      </c>
      <c r="B485" s="1"/>
      <c r="C485" s="340">
        <f ca="1">C520+C555</f>
        <v>-1455.4651470486108</v>
      </c>
      <c r="D485" s="309"/>
      <c r="E485" s="309"/>
      <c r="F485" s="341">
        <f ca="1">I485</f>
        <v>-342.84775965875946</v>
      </c>
      <c r="G485" s="309"/>
      <c r="H485" s="309"/>
      <c r="I485" s="341">
        <f ca="1">I520+I555</f>
        <v>-342.84775965875946</v>
      </c>
      <c r="J485" s="309"/>
      <c r="K485" s="309"/>
      <c r="L485" s="341">
        <f ca="1">I485</f>
        <v>-342.84775965875946</v>
      </c>
      <c r="M485" s="322"/>
      <c r="N485" s="309"/>
      <c r="O485" s="309"/>
      <c r="P485" s="341">
        <f ca="1">P204/L204*L485</f>
        <v>-67.586059757941641</v>
      </c>
      <c r="Q485" s="322"/>
      <c r="R485" s="309"/>
      <c r="S485" s="309"/>
      <c r="T485" s="341">
        <f ca="1">T204/L204*L485</f>
        <v>-54.428310964762375</v>
      </c>
      <c r="U485" s="322"/>
      <c r="V485" s="309"/>
      <c r="W485" s="309"/>
      <c r="X485" s="341">
        <f ca="1">X204/L204*L485</f>
        <v>-220.83338893605546</v>
      </c>
      <c r="Y485" s="444"/>
      <c r="Z485" s="287"/>
      <c r="AA485" s="74"/>
      <c r="AB485" s="74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</row>
    <row r="486" spans="1:47" ht="16.5" hidden="1" thickBot="1">
      <c r="A486" s="1" t="s">
        <v>382</v>
      </c>
      <c r="B486" s="1"/>
      <c r="C486" s="311">
        <f ca="1">SUM(C484:C485)</f>
        <v>468549.53485295142</v>
      </c>
      <c r="D486" s="342"/>
      <c r="E486" s="343"/>
      <c r="F486" s="344">
        <f ca="1">F484+F485</f>
        <v>116226.15224034124</v>
      </c>
      <c r="G486" s="342"/>
      <c r="H486" s="345"/>
      <c r="I486" s="344">
        <f ca="1">I484+I485</f>
        <v>120227.15224034124</v>
      </c>
      <c r="J486" s="342"/>
      <c r="K486" s="345"/>
      <c r="L486" s="344">
        <f ca="1">L484+L485</f>
        <v>128605.15224034124</v>
      </c>
      <c r="M486" s="344"/>
      <c r="N486" s="342"/>
      <c r="O486" s="345"/>
      <c r="P486" s="344">
        <f ca="1">P484+P485</f>
        <v>67984.413940242055</v>
      </c>
      <c r="Q486" s="344"/>
      <c r="R486" s="342"/>
      <c r="S486" s="345"/>
      <c r="T486" s="344">
        <f ca="1">T484+T485</f>
        <v>15903.571689035238</v>
      </c>
      <c r="U486" s="344"/>
      <c r="V486" s="342"/>
      <c r="W486" s="345"/>
      <c r="X486" s="344">
        <f ca="1">X484+X485</f>
        <v>44716.166611063942</v>
      </c>
      <c r="Y486" s="411"/>
      <c r="Z486" s="470"/>
      <c r="AA486" s="74"/>
      <c r="AB486" s="74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</row>
    <row r="487" spans="1:47" ht="16.5" hidden="1" thickTop="1">
      <c r="A487" s="1"/>
      <c r="B487" s="1"/>
      <c r="C487" s="21"/>
      <c r="D487" s="337" t="s">
        <v>31</v>
      </c>
      <c r="E487" s="2"/>
      <c r="F487" s="2"/>
      <c r="G487" s="337" t="s">
        <v>31</v>
      </c>
      <c r="H487" s="1"/>
      <c r="I487" s="2"/>
      <c r="J487" s="353" t="s">
        <v>31</v>
      </c>
      <c r="K487" s="1"/>
      <c r="L487" s="2" t="s">
        <v>31</v>
      </c>
      <c r="M487" s="2"/>
      <c r="N487" s="353" t="s">
        <v>31</v>
      </c>
      <c r="O487" s="1"/>
      <c r="P487" s="2" t="s">
        <v>31</v>
      </c>
      <c r="Q487" s="2"/>
      <c r="R487" s="353" t="s">
        <v>31</v>
      </c>
      <c r="S487" s="1"/>
      <c r="T487" s="2" t="s">
        <v>31</v>
      </c>
      <c r="U487" s="2"/>
      <c r="V487" s="353" t="s">
        <v>31</v>
      </c>
      <c r="W487" s="1"/>
      <c r="X487" s="2" t="s">
        <v>31</v>
      </c>
      <c r="Y487" s="20"/>
      <c r="Z487" s="74"/>
      <c r="AA487" s="74"/>
      <c r="AB487" s="74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</row>
    <row r="488" spans="1:47" hidden="1">
      <c r="A488" s="293" t="s">
        <v>417</v>
      </c>
      <c r="B488" s="1"/>
      <c r="C488" s="1"/>
      <c r="D488" s="2"/>
      <c r="E488" s="2"/>
      <c r="F488" s="1" t="s">
        <v>31</v>
      </c>
      <c r="G488" s="2"/>
      <c r="H488" s="1"/>
      <c r="I488" s="1"/>
      <c r="J488" s="2"/>
      <c r="K488" s="1"/>
      <c r="L488" s="1"/>
      <c r="M488" s="1"/>
      <c r="N488" s="2"/>
      <c r="O488" s="1"/>
      <c r="P488" s="1"/>
      <c r="Q488" s="1"/>
      <c r="R488" s="2"/>
      <c r="S488" s="1"/>
      <c r="T488" s="1"/>
      <c r="U488" s="1"/>
      <c r="V488" s="2"/>
      <c r="W488" s="1"/>
      <c r="X488" s="1"/>
      <c r="Y488" s="20"/>
      <c r="Z488" s="74"/>
      <c r="AA488" s="74"/>
      <c r="AB488" s="74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</row>
    <row r="489" spans="1:47" hidden="1">
      <c r="A489" s="1" t="s">
        <v>411</v>
      </c>
      <c r="B489" s="1"/>
      <c r="C489" s="1"/>
      <c r="D489" s="2"/>
      <c r="E489" s="2"/>
      <c r="F489" s="1"/>
      <c r="G489" s="2"/>
      <c r="H489" s="1"/>
      <c r="I489" s="1"/>
      <c r="J489" s="2"/>
      <c r="K489" s="1"/>
      <c r="L489" s="1"/>
      <c r="M489" s="1"/>
      <c r="N489" s="2"/>
      <c r="O489" s="1"/>
      <c r="P489" s="1"/>
      <c r="Q489" s="1"/>
      <c r="R489" s="2"/>
      <c r="S489" s="1"/>
      <c r="T489" s="1"/>
      <c r="U489" s="1"/>
      <c r="V489" s="2"/>
      <c r="W489" s="1"/>
      <c r="X489" s="1"/>
      <c r="Y489" s="20"/>
      <c r="Z489" s="74"/>
      <c r="AA489" s="74"/>
      <c r="AB489" s="74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</row>
    <row r="490" spans="1:47" hidden="1">
      <c r="A490" s="1" t="s">
        <v>418</v>
      </c>
      <c r="B490" s="1"/>
      <c r="C490" s="1"/>
      <c r="D490" s="2"/>
      <c r="E490" s="2"/>
      <c r="F490" s="1"/>
      <c r="G490" s="2"/>
      <c r="H490" s="1"/>
      <c r="I490" s="1"/>
      <c r="J490" s="2"/>
      <c r="K490" s="1"/>
      <c r="L490" s="1"/>
      <c r="M490" s="1"/>
      <c r="N490" s="2"/>
      <c r="O490" s="1"/>
      <c r="P490" s="1"/>
      <c r="Q490" s="1"/>
      <c r="R490" s="2"/>
      <c r="S490" s="1"/>
      <c r="T490" s="1"/>
      <c r="U490" s="1"/>
      <c r="V490" s="2"/>
      <c r="W490" s="1"/>
      <c r="X490" s="1"/>
      <c r="Y490" s="20"/>
      <c r="Z490" s="74"/>
      <c r="AA490" s="74"/>
      <c r="AB490" s="74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</row>
    <row r="491" spans="1:47" hidden="1">
      <c r="A491" s="1" t="s">
        <v>393</v>
      </c>
      <c r="B491" s="1"/>
      <c r="C491" s="319"/>
      <c r="D491" s="2"/>
      <c r="E491" s="2"/>
      <c r="F491" s="1"/>
      <c r="G491" s="2"/>
      <c r="H491" s="1"/>
      <c r="I491" s="1"/>
      <c r="J491" s="2"/>
      <c r="K491" s="1"/>
      <c r="L491" s="1"/>
      <c r="M491" s="1"/>
      <c r="N491" s="2"/>
      <c r="O491" s="1"/>
      <c r="P491" s="1"/>
      <c r="Q491" s="1"/>
      <c r="R491" s="2"/>
      <c r="S491" s="1"/>
      <c r="T491" s="1"/>
      <c r="U491" s="1"/>
      <c r="V491" s="2"/>
      <c r="W491" s="1"/>
      <c r="X491" s="1"/>
      <c r="Y491" s="20"/>
      <c r="Z491" s="74"/>
      <c r="AA491" s="74"/>
      <c r="AB491" s="74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</row>
    <row r="492" spans="1:47" hidden="1">
      <c r="A492" s="1" t="s">
        <v>390</v>
      </c>
      <c r="B492" s="1"/>
      <c r="C492" s="319">
        <f>[49]Sheet1!$F$2</f>
        <v>1</v>
      </c>
      <c r="D492" s="298">
        <v>104.52000000000001</v>
      </c>
      <c r="E492" s="321"/>
      <c r="F492" s="2">
        <f>ROUND(D492*$C492,0)</f>
        <v>105</v>
      </c>
      <c r="G492" s="298">
        <v>104.52000000000001</v>
      </c>
      <c r="H492" s="323"/>
      <c r="I492" s="2">
        <f>ROUND(G492*$C492,0)</f>
        <v>105</v>
      </c>
      <c r="J492" s="298">
        <f>$J$169</f>
        <v>120</v>
      </c>
      <c r="K492" s="323"/>
      <c r="L492" s="2">
        <f>ROUND(J492*$C492,0)</f>
        <v>120</v>
      </c>
      <c r="M492" s="2"/>
      <c r="N492" s="298">
        <f>$N$169</f>
        <v>120</v>
      </c>
      <c r="O492" s="323"/>
      <c r="P492" s="2">
        <f>ROUND(N492*$C492,0)</f>
        <v>120</v>
      </c>
      <c r="Q492" s="2"/>
      <c r="R492" s="298" t="str">
        <f>$R$169</f>
        <v xml:space="preserve"> </v>
      </c>
      <c r="S492" s="323"/>
      <c r="T492" s="2">
        <f>ROUND(R492*$C492,0)</f>
        <v>0</v>
      </c>
      <c r="U492" s="2"/>
      <c r="V492" s="298" t="str">
        <f>$V$169</f>
        <v xml:space="preserve"> </v>
      </c>
      <c r="W492" s="323"/>
      <c r="X492" s="2">
        <f>ROUND(V492*$C492,0)</f>
        <v>0</v>
      </c>
      <c r="Y492" s="20"/>
      <c r="Z492" s="74"/>
      <c r="AA492" s="74"/>
      <c r="AB492" s="74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</row>
    <row r="493" spans="1:47" hidden="1">
      <c r="A493" s="1" t="s">
        <v>391</v>
      </c>
      <c r="B493" s="1"/>
      <c r="C493" s="319">
        <f>[49]Sheet1!$F$3</f>
        <v>85.216438356164403</v>
      </c>
      <c r="D493" s="298">
        <v>155.76</v>
      </c>
      <c r="E493" s="324"/>
      <c r="F493" s="2">
        <f>ROUND(D493*$C493,0)</f>
        <v>13273</v>
      </c>
      <c r="G493" s="298">
        <v>155.76</v>
      </c>
      <c r="H493" s="325"/>
      <c r="I493" s="2">
        <f t="shared" ref="I493:I494" si="150">ROUND(G493*$C493,0)</f>
        <v>13273</v>
      </c>
      <c r="J493" s="298">
        <f>$J$170</f>
        <v>180</v>
      </c>
      <c r="K493" s="325"/>
      <c r="L493" s="2">
        <f>ROUND(J493*$C493,0)</f>
        <v>15339</v>
      </c>
      <c r="M493" s="2"/>
      <c r="N493" s="298">
        <f>$N$170</f>
        <v>180</v>
      </c>
      <c r="O493" s="325"/>
      <c r="P493" s="2">
        <f>ROUND(N493*$C493,0)</f>
        <v>15339</v>
      </c>
      <c r="Q493" s="2"/>
      <c r="R493" s="298" t="str">
        <f>$R$170</f>
        <v xml:space="preserve"> </v>
      </c>
      <c r="S493" s="325"/>
      <c r="T493" s="2">
        <f>ROUND(R493*$C493,0)</f>
        <v>0</v>
      </c>
      <c r="U493" s="2"/>
      <c r="V493" s="298" t="str">
        <f>$V$170</f>
        <v xml:space="preserve"> </v>
      </c>
      <c r="W493" s="325"/>
      <c r="X493" s="2">
        <f>ROUND(V493*$C493,0)</f>
        <v>0</v>
      </c>
      <c r="Y493" s="20"/>
      <c r="Z493" s="74"/>
      <c r="AA493" s="74"/>
      <c r="AB493" s="74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</row>
    <row r="494" spans="1:47" hidden="1">
      <c r="A494" s="1" t="s">
        <v>392</v>
      </c>
      <c r="B494" s="1"/>
      <c r="C494" s="319">
        <f>[49]Sheet1!$G$6</f>
        <v>3285.78082191781</v>
      </c>
      <c r="D494" s="298">
        <v>11.040000000000001</v>
      </c>
      <c r="E494" s="324"/>
      <c r="F494" s="2">
        <f>ROUND(D494*$C494,0)</f>
        <v>36275</v>
      </c>
      <c r="G494" s="298">
        <v>11.040000000000001</v>
      </c>
      <c r="H494" s="325"/>
      <c r="I494" s="2">
        <f t="shared" si="150"/>
        <v>36275</v>
      </c>
      <c r="J494" s="298">
        <f>$J$171</f>
        <v>12</v>
      </c>
      <c r="K494" s="325"/>
      <c r="L494" s="2">
        <f>ROUND(J494*$C494,0)</f>
        <v>39429</v>
      </c>
      <c r="M494" s="2"/>
      <c r="N494" s="298">
        <f>$N$171</f>
        <v>12</v>
      </c>
      <c r="O494" s="325"/>
      <c r="P494" s="2">
        <f>ROUND(N494*$C494,0)</f>
        <v>39429</v>
      </c>
      <c r="Q494" s="2"/>
      <c r="R494" s="298" t="str">
        <f>$R$171</f>
        <v xml:space="preserve"> </v>
      </c>
      <c r="S494" s="325"/>
      <c r="T494" s="2">
        <f>ROUND(R494*$C494,0)</f>
        <v>0</v>
      </c>
      <c r="U494" s="2"/>
      <c r="V494" s="298" t="str">
        <f>$V$171</f>
        <v xml:space="preserve"> </v>
      </c>
      <c r="W494" s="325"/>
      <c r="X494" s="2">
        <f>ROUND(V494*$C494,0)</f>
        <v>0</v>
      </c>
      <c r="Y494" s="20"/>
      <c r="Z494" s="74"/>
      <c r="AA494" s="74"/>
      <c r="AB494" s="74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</row>
    <row r="495" spans="1:47" hidden="1">
      <c r="A495" s="1" t="s">
        <v>394</v>
      </c>
      <c r="B495" s="1"/>
      <c r="C495" s="319">
        <f>SUM(C492:C493)</f>
        <v>86.216438356164403</v>
      </c>
      <c r="D495" s="298"/>
      <c r="E495" s="321"/>
      <c r="F495" s="2"/>
      <c r="G495" s="298"/>
      <c r="H495" s="323"/>
      <c r="I495" s="2"/>
      <c r="J495" s="298"/>
      <c r="K495" s="323"/>
      <c r="L495" s="2"/>
      <c r="M495" s="2"/>
      <c r="N495" s="298"/>
      <c r="O495" s="323"/>
      <c r="P495" s="2"/>
      <c r="Q495" s="2"/>
      <c r="R495" s="298"/>
      <c r="S495" s="323"/>
      <c r="T495" s="2"/>
      <c r="U495" s="2"/>
      <c r="V495" s="298"/>
      <c r="W495" s="323"/>
      <c r="X495" s="2"/>
      <c r="Y495" s="20"/>
      <c r="Z495" s="74"/>
      <c r="AA495" s="74"/>
      <c r="AB495" s="74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</row>
    <row r="496" spans="1:47" hidden="1">
      <c r="A496" s="1" t="s">
        <v>419</v>
      </c>
      <c r="B496" s="1"/>
      <c r="C496" s="319">
        <f>[49]Sheet1!$E$6</f>
        <v>1009.0816666666664</v>
      </c>
      <c r="D496" s="298"/>
      <c r="E496" s="321"/>
      <c r="F496" s="2"/>
      <c r="G496" s="298"/>
      <c r="H496" s="323"/>
      <c r="I496" s="2"/>
      <c r="J496" s="298"/>
      <c r="K496" s="323"/>
      <c r="L496" s="2"/>
      <c r="M496" s="2"/>
      <c r="N496" s="298"/>
      <c r="O496" s="323"/>
      <c r="P496" s="2"/>
      <c r="Q496" s="2"/>
      <c r="R496" s="298"/>
      <c r="S496" s="323"/>
      <c r="T496" s="2"/>
      <c r="U496" s="2"/>
      <c r="V496" s="298"/>
      <c r="W496" s="323"/>
      <c r="X496" s="2"/>
      <c r="Y496" s="20"/>
      <c r="Z496" s="74"/>
      <c r="AA496" s="74"/>
      <c r="AB496" s="74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</row>
    <row r="497" spans="1:47" hidden="1">
      <c r="A497" s="1" t="s">
        <v>395</v>
      </c>
      <c r="B497" s="1"/>
      <c r="C497" s="319">
        <f>[49]Sheet1!$L$6</f>
        <v>8708.8205882352995</v>
      </c>
      <c r="D497" s="326">
        <v>3.4</v>
      </c>
      <c r="E497" s="323"/>
      <c r="F497" s="2">
        <f>ROUND(D497*$C497,0)</f>
        <v>29610</v>
      </c>
      <c r="G497" s="326">
        <v>3.61</v>
      </c>
      <c r="H497" s="323"/>
      <c r="I497" s="2">
        <f>ROUND(G497*C497,0)</f>
        <v>31439</v>
      </c>
      <c r="J497" s="326">
        <f ca="1">$J$178</f>
        <v>3.77</v>
      </c>
      <c r="K497" s="323"/>
      <c r="L497" s="2">
        <f ca="1">ROUND(J497*$C497,0)</f>
        <v>32832</v>
      </c>
      <c r="M497" s="2"/>
      <c r="N497" s="326">
        <f ca="1">$N$178</f>
        <v>0.81</v>
      </c>
      <c r="O497" s="323"/>
      <c r="P497" s="2">
        <f ca="1">ROUND(N497*$C497,0)</f>
        <v>7054</v>
      </c>
      <c r="Q497" s="2"/>
      <c r="R497" s="326">
        <f ca="1">$R$178</f>
        <v>1.06</v>
      </c>
      <c r="S497" s="323"/>
      <c r="T497" s="2">
        <f ca="1">ROUND(R497*$C497,0)</f>
        <v>9231</v>
      </c>
      <c r="U497" s="2"/>
      <c r="V497" s="326">
        <f ca="1">$V$178</f>
        <v>1.9</v>
      </c>
      <c r="W497" s="323"/>
      <c r="X497" s="2">
        <f ca="1">ROUND(V497*$C497,0)</f>
        <v>16547</v>
      </c>
      <c r="Y497" s="20"/>
      <c r="Z497" s="74"/>
      <c r="AA497" s="74"/>
      <c r="AB497" s="74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</row>
    <row r="498" spans="1:47" hidden="1">
      <c r="A498" s="1" t="s">
        <v>397</v>
      </c>
      <c r="B498" s="1"/>
      <c r="C498" s="319">
        <f>[49]Sheet1!$I$6</f>
        <v>146926</v>
      </c>
      <c r="D498" s="299">
        <v>9.766</v>
      </c>
      <c r="E498" s="323" t="s">
        <v>374</v>
      </c>
      <c r="F498" s="2">
        <f>ROUND(D498*$C498/100,0)</f>
        <v>14349</v>
      </c>
      <c r="G498" s="299">
        <v>10.359</v>
      </c>
      <c r="H498" s="323" t="s">
        <v>374</v>
      </c>
      <c r="I498" s="2">
        <f>ROUND(G498*C498/100,0)</f>
        <v>15220</v>
      </c>
      <c r="J498" s="299">
        <f ca="1">$J$179</f>
        <v>6.282</v>
      </c>
      <c r="K498" s="323" t="s">
        <v>374</v>
      </c>
      <c r="L498" s="2">
        <f ca="1">ROUND(J498*$C498/100,0)</f>
        <v>9230</v>
      </c>
      <c r="M498" s="2"/>
      <c r="N498" s="299">
        <f ca="1">$N$179</f>
        <v>1.3483746810352102</v>
      </c>
      <c r="O498" s="323" t="s">
        <v>374</v>
      </c>
      <c r="P498" s="2">
        <f ca="1">ROUND(N498*$C498/100,0)</f>
        <v>1981</v>
      </c>
      <c r="Q498" s="2"/>
      <c r="R498" s="299">
        <f ca="1">$R$179</f>
        <v>1.7708525176705459</v>
      </c>
      <c r="S498" s="323" t="s">
        <v>374</v>
      </c>
      <c r="T498" s="2">
        <f ca="1">ROUND(R498*$C498/100,0)</f>
        <v>2602</v>
      </c>
      <c r="U498" s="2"/>
      <c r="V498" s="299">
        <f ca="1">$V$179</f>
        <v>3.162955363125258</v>
      </c>
      <c r="W498" s="323" t="s">
        <v>374</v>
      </c>
      <c r="X498" s="2">
        <f ca="1">ROUND(V498*$C498/100,0)</f>
        <v>4647</v>
      </c>
      <c r="Y498" s="20"/>
      <c r="Z498" s="74"/>
      <c r="AA498" s="74"/>
      <c r="AB498" s="74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</row>
    <row r="499" spans="1:47" hidden="1">
      <c r="A499" s="1" t="s">
        <v>398</v>
      </c>
      <c r="B499" s="1"/>
      <c r="C499" s="319">
        <f>[49]Sheet1!$J$6</f>
        <v>139847</v>
      </c>
      <c r="D499" s="299">
        <v>6.7460000000000004</v>
      </c>
      <c r="E499" s="323" t="s">
        <v>374</v>
      </c>
      <c r="F499" s="2">
        <f>ROUND(D499*$C499/100,0)</f>
        <v>9434</v>
      </c>
      <c r="G499" s="299">
        <v>7.1559999999999997</v>
      </c>
      <c r="H499" s="323" t="s">
        <v>374</v>
      </c>
      <c r="I499" s="2">
        <f t="shared" ref="I499:I501" si="151">ROUND(G499*C499/100,0)</f>
        <v>10007</v>
      </c>
      <c r="J499" s="299">
        <f ca="1">$J$180</f>
        <v>4.3410000000000002</v>
      </c>
      <c r="K499" s="323" t="s">
        <v>374</v>
      </c>
      <c r="L499" s="2">
        <f ca="1">ROUND(J499*$C499/100,0)</f>
        <v>6071</v>
      </c>
      <c r="M499" s="2"/>
      <c r="N499" s="299">
        <f ca="1">$N$180</f>
        <v>0.93175626548296309</v>
      </c>
      <c r="O499" s="323" t="s">
        <v>374</v>
      </c>
      <c r="P499" s="2">
        <f ca="1">ROUND(N499*$C499/100,0)</f>
        <v>1303</v>
      </c>
      <c r="Q499" s="2"/>
      <c r="R499" s="299">
        <f ca="1">$R$180</f>
        <v>1.2240066282869231</v>
      </c>
      <c r="S499" s="323" t="s">
        <v>374</v>
      </c>
      <c r="T499" s="2">
        <f ca="1">ROUND(R499*$C499/100,0)</f>
        <v>1712</v>
      </c>
      <c r="U499" s="2"/>
      <c r="V499" s="299">
        <f ca="1">$V$180</f>
        <v>2.1849800075654815</v>
      </c>
      <c r="W499" s="323" t="s">
        <v>374</v>
      </c>
      <c r="X499" s="2">
        <f ca="1">ROUND(V499*$C499/100,0)</f>
        <v>3056</v>
      </c>
      <c r="Y499" s="20"/>
      <c r="Z499" s="74"/>
      <c r="AA499" s="74"/>
      <c r="AB499" s="74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</row>
    <row r="500" spans="1:47" hidden="1">
      <c r="A500" s="1" t="s">
        <v>399</v>
      </c>
      <c r="B500" s="1"/>
      <c r="C500" s="319">
        <f>[49]Sheet1!$K$6</f>
        <v>173680</v>
      </c>
      <c r="D500" s="299">
        <v>5.8120000000000003</v>
      </c>
      <c r="E500" s="323" t="s">
        <v>374</v>
      </c>
      <c r="F500" s="2">
        <f>ROUND(D500*$C500/100,0)</f>
        <v>10094</v>
      </c>
      <c r="G500" s="299">
        <v>6.1660000000000004</v>
      </c>
      <c r="H500" s="323" t="s">
        <v>374</v>
      </c>
      <c r="I500" s="2">
        <f t="shared" si="151"/>
        <v>10709</v>
      </c>
      <c r="J500" s="299">
        <f ca="1">$J$181</f>
        <v>3.74</v>
      </c>
      <c r="K500" s="323" t="s">
        <v>374</v>
      </c>
      <c r="L500" s="2">
        <f ca="1">ROUND(J500*$C500/100,0)</f>
        <v>6496</v>
      </c>
      <c r="M500" s="2"/>
      <c r="N500" s="299">
        <f ca="1">$N$181</f>
        <v>0.80275718206159852</v>
      </c>
      <c r="O500" s="323" t="s">
        <v>374</v>
      </c>
      <c r="P500" s="2">
        <f ca="1">ROUND(N500*$C500/100,0)</f>
        <v>1394</v>
      </c>
      <c r="Q500" s="2"/>
      <c r="R500" s="299">
        <f ca="1">$R$181</f>
        <v>1.0536847359511734</v>
      </c>
      <c r="S500" s="323" t="s">
        <v>374</v>
      </c>
      <c r="T500" s="2">
        <f ca="1">ROUND(R500*$C500/100,0)</f>
        <v>1830</v>
      </c>
      <c r="U500" s="2"/>
      <c r="V500" s="299">
        <f ca="1">$V$181</f>
        <v>1.8834755557989509</v>
      </c>
      <c r="W500" s="323" t="s">
        <v>374</v>
      </c>
      <c r="X500" s="2">
        <f ca="1">ROUND(V500*$C500/100,0)</f>
        <v>3271</v>
      </c>
      <c r="Y500" s="20"/>
      <c r="Z500" s="74"/>
      <c r="AA500" s="74"/>
      <c r="AB500" s="74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</row>
    <row r="501" spans="1:47" hidden="1">
      <c r="A501" s="1" t="s">
        <v>400</v>
      </c>
      <c r="B501" s="1"/>
      <c r="C501" s="319">
        <f>[49]Sheet1!$M$6</f>
        <v>1100.8816666666701</v>
      </c>
      <c r="D501" s="330">
        <v>56</v>
      </c>
      <c r="E501" s="321" t="s">
        <v>374</v>
      </c>
      <c r="F501" s="2">
        <f>ROUND(D501*$C501/100,0)</f>
        <v>616</v>
      </c>
      <c r="G501" s="330">
        <v>56</v>
      </c>
      <c r="H501" s="323" t="s">
        <v>374</v>
      </c>
      <c r="I501" s="2">
        <f t="shared" si="151"/>
        <v>616</v>
      </c>
      <c r="J501" s="330">
        <f>$J$182</f>
        <v>56</v>
      </c>
      <c r="K501" s="323" t="s">
        <v>374</v>
      </c>
      <c r="L501" s="2">
        <f>ROUND(J501*$C501/100,0)</f>
        <v>616</v>
      </c>
      <c r="M501" s="2"/>
      <c r="N501" s="330" t="str">
        <f>$N$182</f>
        <v xml:space="preserve"> </v>
      </c>
      <c r="O501" s="323" t="s">
        <v>374</v>
      </c>
      <c r="P501" s="2">
        <f>ROUND(N501*$C501/100,0)</f>
        <v>0</v>
      </c>
      <c r="Q501" s="2"/>
      <c r="R501" s="330">
        <f ca="1">$R$182</f>
        <v>11</v>
      </c>
      <c r="S501" s="323" t="s">
        <v>374</v>
      </c>
      <c r="T501" s="2">
        <f ca="1">ROUND(R501*$C501/100,0)</f>
        <v>121</v>
      </c>
      <c r="U501" s="2"/>
      <c r="V501" s="330">
        <f ca="1">$V$182</f>
        <v>45</v>
      </c>
      <c r="W501" s="323" t="s">
        <v>374</v>
      </c>
      <c r="X501" s="2">
        <f ca="1">ROUND(V501*$C501/100,0)</f>
        <v>495</v>
      </c>
      <c r="Y501" s="20"/>
      <c r="Z501" s="74"/>
      <c r="AA501" s="74"/>
      <c r="AB501" s="74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</row>
    <row r="502" spans="1:47" s="1184" customFormat="1" hidden="1">
      <c r="A502" s="1005" t="s">
        <v>1032</v>
      </c>
      <c r="C502" s="1202">
        <f>C498</f>
        <v>146926</v>
      </c>
      <c r="D502" s="269"/>
      <c r="E502" s="1185"/>
      <c r="F502" s="1203"/>
      <c r="G502" s="269"/>
      <c r="H502" s="1185"/>
      <c r="I502" s="1203"/>
      <c r="J502" s="1230">
        <f>J183</f>
        <v>4.5289999999999999</v>
      </c>
      <c r="K502" s="1009" t="s">
        <v>374</v>
      </c>
      <c r="L502" s="1203">
        <f t="shared" ref="L502:L504" si="152">ROUND(J502*$C502/100,0)</f>
        <v>6654</v>
      </c>
      <c r="M502" s="1203"/>
      <c r="N502" s="1230" t="str">
        <f>N183</f>
        <v xml:space="preserve"> </v>
      </c>
      <c r="O502" s="1009" t="s">
        <v>374</v>
      </c>
      <c r="P502" s="1203">
        <f t="shared" ref="P502:P504" si="153">ROUND(N502*$C502/100,0)</f>
        <v>0</v>
      </c>
      <c r="Q502" s="1203"/>
      <c r="R502" s="1230" t="str">
        <f>R183</f>
        <v xml:space="preserve"> </v>
      </c>
      <c r="S502" s="1009" t="s">
        <v>374</v>
      </c>
      <c r="T502" s="1203">
        <f t="shared" ref="T502:T504" si="154">ROUND(R502*$C502/100,0)</f>
        <v>0</v>
      </c>
      <c r="U502" s="1203"/>
      <c r="V502" s="1230">
        <f>V183</f>
        <v>4.5289999999999999</v>
      </c>
      <c r="W502" s="1009" t="s">
        <v>374</v>
      </c>
      <c r="X502" s="1203">
        <f t="shared" ref="X502:X504" si="155">ROUND(V502*$C502/100,0)</f>
        <v>6654</v>
      </c>
      <c r="Z502" s="815"/>
      <c r="AC502" s="1205"/>
      <c r="AD502" s="1205"/>
      <c r="AI502" s="1185"/>
      <c r="AJ502" s="1185"/>
      <c r="AK502" s="1185"/>
      <c r="AL502" s="1185"/>
      <c r="AM502" s="1185"/>
      <c r="AN502" s="1185"/>
      <c r="AO502" s="1185"/>
      <c r="AP502" s="1185"/>
      <c r="AQ502" s="1185"/>
      <c r="AR502" s="1185"/>
      <c r="AS502" s="1185"/>
      <c r="AU502" s="1204"/>
    </row>
    <row r="503" spans="1:47" s="1184" customFormat="1" hidden="1">
      <c r="A503" s="1005" t="s">
        <v>1033</v>
      </c>
      <c r="C503" s="1202">
        <f t="shared" ref="C503:C504" si="156">C499</f>
        <v>139847</v>
      </c>
      <c r="D503" s="269"/>
      <c r="E503" s="1185"/>
      <c r="F503" s="1203"/>
      <c r="G503" s="269"/>
      <c r="H503" s="1185"/>
      <c r="I503" s="1203"/>
      <c r="J503" s="1230">
        <f>J184</f>
        <v>3.1270000000000002</v>
      </c>
      <c r="K503" s="1009" t="s">
        <v>374</v>
      </c>
      <c r="L503" s="1203">
        <f t="shared" si="152"/>
        <v>4373</v>
      </c>
      <c r="M503" s="1203"/>
      <c r="N503" s="1230" t="str">
        <f>N184</f>
        <v xml:space="preserve"> </v>
      </c>
      <c r="O503" s="1009" t="s">
        <v>374</v>
      </c>
      <c r="P503" s="1203">
        <f t="shared" si="153"/>
        <v>0</v>
      </c>
      <c r="Q503" s="1203"/>
      <c r="R503" s="1230" t="str">
        <f>R184</f>
        <v xml:space="preserve"> </v>
      </c>
      <c r="S503" s="1009" t="s">
        <v>374</v>
      </c>
      <c r="T503" s="1203">
        <f t="shared" si="154"/>
        <v>0</v>
      </c>
      <c r="U503" s="1203"/>
      <c r="V503" s="1230">
        <f>V184</f>
        <v>3.1270000000000002</v>
      </c>
      <c r="W503" s="1009" t="s">
        <v>374</v>
      </c>
      <c r="X503" s="1203">
        <f t="shared" si="155"/>
        <v>4373</v>
      </c>
      <c r="Z503" s="815"/>
      <c r="AC503" s="1205"/>
      <c r="AD503" s="1205"/>
      <c r="AI503" s="1185"/>
      <c r="AJ503" s="1185"/>
      <c r="AK503" s="1185"/>
      <c r="AL503" s="1185"/>
      <c r="AM503" s="1185"/>
      <c r="AN503" s="1185"/>
      <c r="AO503" s="1185"/>
      <c r="AP503" s="1185"/>
      <c r="AQ503" s="1185"/>
      <c r="AR503" s="1185"/>
      <c r="AS503" s="1185"/>
      <c r="AU503" s="1204"/>
    </row>
    <row r="504" spans="1:47" s="1184" customFormat="1" hidden="1">
      <c r="A504" s="1005" t="s">
        <v>1034</v>
      </c>
      <c r="C504" s="1202">
        <f t="shared" si="156"/>
        <v>173680</v>
      </c>
      <c r="D504" s="269"/>
      <c r="E504" s="1185"/>
      <c r="F504" s="1203"/>
      <c r="G504" s="269"/>
      <c r="H504" s="1185"/>
      <c r="I504" s="1203"/>
      <c r="J504" s="1230">
        <f>J185</f>
        <v>2.6950000000000003</v>
      </c>
      <c r="K504" s="1009" t="s">
        <v>374</v>
      </c>
      <c r="L504" s="1203">
        <f t="shared" si="152"/>
        <v>4681</v>
      </c>
      <c r="M504" s="1203"/>
      <c r="N504" s="1230" t="str">
        <f>N185</f>
        <v xml:space="preserve"> </v>
      </c>
      <c r="O504" s="1009" t="s">
        <v>374</v>
      </c>
      <c r="P504" s="1203">
        <f t="shared" si="153"/>
        <v>0</v>
      </c>
      <c r="Q504" s="1203"/>
      <c r="R504" s="1230" t="str">
        <f>R185</f>
        <v xml:space="preserve"> </v>
      </c>
      <c r="S504" s="1009" t="s">
        <v>374</v>
      </c>
      <c r="T504" s="1203">
        <f t="shared" si="154"/>
        <v>0</v>
      </c>
      <c r="U504" s="1203"/>
      <c r="V504" s="1230">
        <f>V185</f>
        <v>2.6950000000000003</v>
      </c>
      <c r="W504" s="1009" t="s">
        <v>374</v>
      </c>
      <c r="X504" s="1203">
        <f t="shared" si="155"/>
        <v>4681</v>
      </c>
      <c r="Z504" s="815"/>
      <c r="AC504" s="1205"/>
      <c r="AD504" s="1205"/>
      <c r="AI504" s="1185"/>
      <c r="AJ504" s="1185"/>
      <c r="AK504" s="1185"/>
      <c r="AL504" s="1185"/>
      <c r="AM504" s="1185"/>
      <c r="AN504" s="1185"/>
      <c r="AO504" s="1185"/>
      <c r="AP504" s="1185"/>
      <c r="AQ504" s="1185"/>
      <c r="AR504" s="1185"/>
      <c r="AS504" s="1185"/>
      <c r="AU504" s="1204"/>
    </row>
    <row r="505" spans="1:47" hidden="1">
      <c r="A505" s="331" t="s">
        <v>401</v>
      </c>
      <c r="B505" s="1"/>
      <c r="C505" s="319"/>
      <c r="D505" s="332">
        <v>-0.01</v>
      </c>
      <c r="E505" s="321"/>
      <c r="F505" s="2"/>
      <c r="G505" s="332">
        <v>-0.01</v>
      </c>
      <c r="H505" s="323"/>
      <c r="I505" s="2"/>
      <c r="J505" s="332">
        <v>-0.01</v>
      </c>
      <c r="K505" s="323"/>
      <c r="L505" s="2"/>
      <c r="M505" s="2"/>
      <c r="N505" s="332">
        <v>-0.01</v>
      </c>
      <c r="O505" s="323"/>
      <c r="P505" s="2"/>
      <c r="Q505" s="2"/>
      <c r="R505" s="332">
        <v>-0.01</v>
      </c>
      <c r="S505" s="323"/>
      <c r="T505" s="2"/>
      <c r="U505" s="2"/>
      <c r="V505" s="332">
        <v>-0.01</v>
      </c>
      <c r="W505" s="323"/>
      <c r="X505" s="2"/>
      <c r="Y505" s="20"/>
      <c r="Z505" s="74"/>
      <c r="AA505" s="74"/>
      <c r="AB505" s="74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</row>
    <row r="506" spans="1:47" hidden="1">
      <c r="A506" s="1" t="s">
        <v>390</v>
      </c>
      <c r="B506" s="1"/>
      <c r="C506" s="319">
        <v>0</v>
      </c>
      <c r="D506" s="334">
        <v>104.52000000000001</v>
      </c>
      <c r="E506" s="321"/>
      <c r="F506" s="2">
        <f>-ROUND(D506*$C506/100,0)</f>
        <v>0</v>
      </c>
      <c r="G506" s="334">
        <v>104.52000000000001</v>
      </c>
      <c r="H506" s="321"/>
      <c r="I506" s="2">
        <f>-ROUND(G506*$C506/100,0)</f>
        <v>0</v>
      </c>
      <c r="J506" s="334">
        <f>J492</f>
        <v>120</v>
      </c>
      <c r="K506" s="321"/>
      <c r="L506" s="2">
        <f>-ROUND(J506*$C506/100,0)</f>
        <v>0</v>
      </c>
      <c r="M506" s="2"/>
      <c r="N506" s="334">
        <f>N492</f>
        <v>120</v>
      </c>
      <c r="O506" s="321"/>
      <c r="P506" s="2">
        <f>-ROUND(N506*$C506/100,0)</f>
        <v>0</v>
      </c>
      <c r="Q506" s="2"/>
      <c r="R506" s="334" t="str">
        <f>R492</f>
        <v xml:space="preserve"> </v>
      </c>
      <c r="S506" s="321"/>
      <c r="T506" s="2">
        <f>-ROUND(R506*$C506/100,0)</f>
        <v>0</v>
      </c>
      <c r="U506" s="2"/>
      <c r="V506" s="334" t="str">
        <f>V492</f>
        <v xml:space="preserve"> </v>
      </c>
      <c r="W506" s="321"/>
      <c r="X506" s="2">
        <f>-ROUND(V506*$C506/100,0)</f>
        <v>0</v>
      </c>
      <c r="Y506" s="20"/>
      <c r="Z506" s="74"/>
      <c r="AA506" s="74"/>
      <c r="AB506" s="74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</row>
    <row r="507" spans="1:47" hidden="1">
      <c r="A507" s="1" t="s">
        <v>391</v>
      </c>
      <c r="B507" s="1"/>
      <c r="C507" s="319">
        <v>0</v>
      </c>
      <c r="D507" s="334">
        <v>155.76</v>
      </c>
      <c r="E507" s="321"/>
      <c r="F507" s="2">
        <f>-ROUND(D507*$C507/100,0)</f>
        <v>0</v>
      </c>
      <c r="G507" s="334">
        <v>155.76</v>
      </c>
      <c r="H507" s="321"/>
      <c r="I507" s="2">
        <f t="shared" ref="I507:I509" si="157">-ROUND(G507*$C507/100,0)</f>
        <v>0</v>
      </c>
      <c r="J507" s="334">
        <f>J493</f>
        <v>180</v>
      </c>
      <c r="K507" s="321"/>
      <c r="L507" s="2">
        <f>-ROUND(J507*$C507/100,0)</f>
        <v>0</v>
      </c>
      <c r="M507" s="2"/>
      <c r="N507" s="334">
        <f>N493</f>
        <v>180</v>
      </c>
      <c r="O507" s="321"/>
      <c r="P507" s="2">
        <f>-ROUND(N507*$C507/100,0)</f>
        <v>0</v>
      </c>
      <c r="Q507" s="2"/>
      <c r="R507" s="334" t="str">
        <f>R493</f>
        <v xml:space="preserve"> </v>
      </c>
      <c r="S507" s="321"/>
      <c r="T507" s="2">
        <f>-ROUND(R507*$C507/100,0)</f>
        <v>0</v>
      </c>
      <c r="U507" s="2"/>
      <c r="V507" s="334" t="str">
        <f>V493</f>
        <v xml:space="preserve"> </v>
      </c>
      <c r="W507" s="321"/>
      <c r="X507" s="2">
        <f>-ROUND(V507*$C507/100,0)</f>
        <v>0</v>
      </c>
      <c r="Y507" s="20"/>
      <c r="Z507" s="74"/>
      <c r="AA507" s="74"/>
      <c r="AB507" s="74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</row>
    <row r="508" spans="1:47" hidden="1">
      <c r="A508" s="1" t="s">
        <v>402</v>
      </c>
      <c r="B508" s="1"/>
      <c r="C508" s="319">
        <v>0</v>
      </c>
      <c r="D508" s="334">
        <v>11.040000000000001</v>
      </c>
      <c r="E508" s="321"/>
      <c r="F508" s="2">
        <f>-ROUND(D508*$C508/100,0)</f>
        <v>0</v>
      </c>
      <c r="G508" s="334">
        <v>11.040000000000001</v>
      </c>
      <c r="H508" s="321"/>
      <c r="I508" s="2">
        <f t="shared" si="157"/>
        <v>0</v>
      </c>
      <c r="J508" s="334">
        <f>J494</f>
        <v>12</v>
      </c>
      <c r="K508" s="321"/>
      <c r="L508" s="2">
        <f>-ROUND(J508*$C508/100,0)</f>
        <v>0</v>
      </c>
      <c r="M508" s="2"/>
      <c r="N508" s="334">
        <f>N494</f>
        <v>12</v>
      </c>
      <c r="O508" s="321"/>
      <c r="P508" s="2">
        <f>-ROUND(N508*$C508/100,0)</f>
        <v>0</v>
      </c>
      <c r="Q508" s="2"/>
      <c r="R508" s="334" t="str">
        <f>R494</f>
        <v xml:space="preserve"> </v>
      </c>
      <c r="S508" s="321"/>
      <c r="T508" s="2">
        <f>-ROUND(R508*$C508/100,0)</f>
        <v>0</v>
      </c>
      <c r="U508" s="2"/>
      <c r="V508" s="334" t="str">
        <f>V494</f>
        <v xml:space="preserve"> </v>
      </c>
      <c r="W508" s="321"/>
      <c r="X508" s="2">
        <f>-ROUND(V508*$C508/100,0)</f>
        <v>0</v>
      </c>
      <c r="Y508" s="20"/>
      <c r="Z508" s="74"/>
      <c r="AA508" s="74"/>
      <c r="AB508" s="74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</row>
    <row r="509" spans="1:47" hidden="1">
      <c r="A509" s="1" t="s">
        <v>403</v>
      </c>
      <c r="B509" s="1"/>
      <c r="C509" s="319">
        <v>0</v>
      </c>
      <c r="D509" s="334">
        <v>3.4</v>
      </c>
      <c r="E509" s="323"/>
      <c r="F509" s="2">
        <f>-ROUND(D509*$C509/100,0)</f>
        <v>0</v>
      </c>
      <c r="G509" s="334">
        <v>3.61</v>
      </c>
      <c r="H509" s="323"/>
      <c r="I509" s="2">
        <f t="shared" si="157"/>
        <v>0</v>
      </c>
      <c r="J509" s="334">
        <f ca="1">J497</f>
        <v>3.77</v>
      </c>
      <c r="K509" s="323"/>
      <c r="L509" s="2">
        <f ca="1">-ROUND(J509*$C509/100,0)</f>
        <v>0</v>
      </c>
      <c r="M509" s="2"/>
      <c r="N509" s="334">
        <f ca="1">N497</f>
        <v>0.81</v>
      </c>
      <c r="O509" s="323"/>
      <c r="P509" s="2">
        <f ca="1">-ROUND(N509*$C509/100,0)</f>
        <v>0</v>
      </c>
      <c r="Q509" s="2"/>
      <c r="R509" s="334">
        <f ca="1">R497</f>
        <v>1.06</v>
      </c>
      <c r="S509" s="323"/>
      <c r="T509" s="2">
        <f ca="1">-ROUND(R509*$C509/100,0)</f>
        <v>0</v>
      </c>
      <c r="U509" s="2"/>
      <c r="V509" s="334">
        <f ca="1">V497</f>
        <v>1.9</v>
      </c>
      <c r="W509" s="323"/>
      <c r="X509" s="2">
        <f ca="1">-ROUND(V509*$C509/100,0)</f>
        <v>0</v>
      </c>
      <c r="Y509" s="20"/>
      <c r="Z509" s="74"/>
      <c r="AA509" s="74"/>
      <c r="AB509" s="74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</row>
    <row r="510" spans="1:47" hidden="1">
      <c r="A510" s="1" t="s">
        <v>405</v>
      </c>
      <c r="B510" s="1"/>
      <c r="C510" s="319">
        <v>0</v>
      </c>
      <c r="D510" s="335">
        <v>9.766</v>
      </c>
      <c r="E510" s="323" t="s">
        <v>374</v>
      </c>
      <c r="F510" s="2">
        <f>ROUND(D510*$C510/100*D505,0)</f>
        <v>0</v>
      </c>
      <c r="G510" s="335">
        <v>10.359</v>
      </c>
      <c r="H510" s="323" t="s">
        <v>374</v>
      </c>
      <c r="I510" s="2">
        <f>ROUND(G510*$C510/100*G505,0)</f>
        <v>0</v>
      </c>
      <c r="J510" s="335">
        <f ca="1">J498</f>
        <v>6.282</v>
      </c>
      <c r="K510" s="323" t="s">
        <v>374</v>
      </c>
      <c r="L510" s="2">
        <f ca="1">ROUND(J510*$C510/100*J505,0)</f>
        <v>0</v>
      </c>
      <c r="M510" s="2"/>
      <c r="N510" s="335">
        <f ca="1">N498</f>
        <v>1.3483746810352102</v>
      </c>
      <c r="O510" s="323" t="s">
        <v>374</v>
      </c>
      <c r="P510" s="2">
        <f ca="1">ROUND(N510*$C510/100*N505,0)</f>
        <v>0</v>
      </c>
      <c r="Q510" s="2"/>
      <c r="R510" s="335">
        <f ca="1">R498</f>
        <v>1.7708525176705459</v>
      </c>
      <c r="S510" s="323" t="s">
        <v>374</v>
      </c>
      <c r="T510" s="2">
        <f ca="1">ROUND(R510*$C510/100*R505,0)</f>
        <v>0</v>
      </c>
      <c r="U510" s="2"/>
      <c r="V510" s="335">
        <f ca="1">V498</f>
        <v>3.162955363125258</v>
      </c>
      <c r="W510" s="323" t="s">
        <v>374</v>
      </c>
      <c r="X510" s="2">
        <f ca="1">ROUND(V510*$C510/100*V505,0)</f>
        <v>0</v>
      </c>
      <c r="Y510" s="20"/>
      <c r="Z510" s="74"/>
      <c r="AA510" s="74"/>
      <c r="AB510" s="74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</row>
    <row r="511" spans="1:47" hidden="1">
      <c r="A511" s="1" t="s">
        <v>398</v>
      </c>
      <c r="B511" s="1"/>
      <c r="C511" s="319">
        <v>0</v>
      </c>
      <c r="D511" s="335">
        <v>6.7460000000000004</v>
      </c>
      <c r="E511" s="323" t="s">
        <v>374</v>
      </c>
      <c r="F511" s="2">
        <f>ROUND(D511*$C511/100*D505,0)</f>
        <v>0</v>
      </c>
      <c r="G511" s="335">
        <v>7.1559999999999997</v>
      </c>
      <c r="H511" s="323" t="s">
        <v>374</v>
      </c>
      <c r="I511" s="2">
        <f>ROUND(G511*$C511/100*G505,0)</f>
        <v>0</v>
      </c>
      <c r="J511" s="335">
        <f ca="1">J499</f>
        <v>4.3410000000000002</v>
      </c>
      <c r="K511" s="323" t="s">
        <v>374</v>
      </c>
      <c r="L511" s="2">
        <f ca="1">ROUND(J511*$C511/100*J505,0)</f>
        <v>0</v>
      </c>
      <c r="M511" s="2"/>
      <c r="N511" s="335">
        <f ca="1">N499</f>
        <v>0.93175626548296309</v>
      </c>
      <c r="O511" s="323" t="s">
        <v>374</v>
      </c>
      <c r="P511" s="2">
        <f ca="1">ROUND(N511*$C511/100*N505,0)</f>
        <v>0</v>
      </c>
      <c r="Q511" s="2"/>
      <c r="R511" s="335">
        <f ca="1">R499</f>
        <v>1.2240066282869231</v>
      </c>
      <c r="S511" s="323" t="s">
        <v>374</v>
      </c>
      <c r="T511" s="2">
        <f ca="1">ROUND(R511*$C511/100*R505,0)</f>
        <v>0</v>
      </c>
      <c r="U511" s="2"/>
      <c r="V511" s="335">
        <f ca="1">V499</f>
        <v>2.1849800075654815</v>
      </c>
      <c r="W511" s="323" t="s">
        <v>374</v>
      </c>
      <c r="X511" s="2">
        <f ca="1">ROUND(V511*$C511/100*V505,0)</f>
        <v>0</v>
      </c>
      <c r="Y511" s="20"/>
      <c r="Z511" s="74"/>
      <c r="AA511" s="74"/>
      <c r="AB511" s="74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</row>
    <row r="512" spans="1:47" hidden="1">
      <c r="A512" s="1" t="s">
        <v>399</v>
      </c>
      <c r="B512" s="1"/>
      <c r="C512" s="319">
        <v>0</v>
      </c>
      <c r="D512" s="335">
        <v>5.8120000000000003</v>
      </c>
      <c r="E512" s="323" t="s">
        <v>374</v>
      </c>
      <c r="F512" s="2">
        <f>ROUND(D512*$C512/100*D505,0)</f>
        <v>0</v>
      </c>
      <c r="G512" s="335">
        <v>6.1660000000000004</v>
      </c>
      <c r="H512" s="323" t="s">
        <v>374</v>
      </c>
      <c r="I512" s="2">
        <f>ROUND(G512*$C512/100*G505,0)</f>
        <v>0</v>
      </c>
      <c r="J512" s="335">
        <f ca="1">J500</f>
        <v>3.74</v>
      </c>
      <c r="K512" s="323" t="s">
        <v>374</v>
      </c>
      <c r="L512" s="2">
        <f ca="1">ROUND(J512*$C512/100*J505,0)</f>
        <v>0</v>
      </c>
      <c r="M512" s="2"/>
      <c r="N512" s="335">
        <f ca="1">N500</f>
        <v>0.80275718206159852</v>
      </c>
      <c r="O512" s="323" t="s">
        <v>374</v>
      </c>
      <c r="P512" s="2">
        <f ca="1">ROUND(N512*$C512/100*N505,0)</f>
        <v>0</v>
      </c>
      <c r="Q512" s="2"/>
      <c r="R512" s="335">
        <f ca="1">R500</f>
        <v>1.0536847359511734</v>
      </c>
      <c r="S512" s="323" t="s">
        <v>374</v>
      </c>
      <c r="T512" s="2">
        <f ca="1">ROUND(R512*$C512/100*R505,0)</f>
        <v>0</v>
      </c>
      <c r="U512" s="2"/>
      <c r="V512" s="335">
        <f ca="1">V500</f>
        <v>1.8834755557989509</v>
      </c>
      <c r="W512" s="323" t="s">
        <v>374</v>
      </c>
      <c r="X512" s="2">
        <f ca="1">ROUND(V512*$C512/100*V505,0)</f>
        <v>0</v>
      </c>
      <c r="Y512" s="20"/>
      <c r="Z512" s="74"/>
      <c r="AA512" s="74"/>
      <c r="AB512" s="74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</row>
    <row r="513" spans="1:47" hidden="1">
      <c r="A513" s="1" t="s">
        <v>400</v>
      </c>
      <c r="B513" s="1"/>
      <c r="C513" s="319">
        <v>0</v>
      </c>
      <c r="D513" s="336">
        <v>56</v>
      </c>
      <c r="E513" s="323" t="s">
        <v>374</v>
      </c>
      <c r="F513" s="2">
        <f>ROUND(D513*$C513/100*D505,0)</f>
        <v>0</v>
      </c>
      <c r="G513" s="336">
        <v>56</v>
      </c>
      <c r="H513" s="323" t="s">
        <v>374</v>
      </c>
      <c r="I513" s="2">
        <f>ROUND(G513*$C513/100*G505,0)</f>
        <v>0</v>
      </c>
      <c r="J513" s="336">
        <f>J501</f>
        <v>56</v>
      </c>
      <c r="K513" s="323" t="s">
        <v>374</v>
      </c>
      <c r="L513" s="2">
        <f>ROUND(J513*$C513/100*J505,0)</f>
        <v>0</v>
      </c>
      <c r="M513" s="2"/>
      <c r="N513" s="336" t="str">
        <f>N501</f>
        <v xml:space="preserve"> </v>
      </c>
      <c r="O513" s="323" t="s">
        <v>374</v>
      </c>
      <c r="P513" s="2">
        <f>ROUND(N513*$C513/100*N505,0)</f>
        <v>0</v>
      </c>
      <c r="Q513" s="2"/>
      <c r="R513" s="336">
        <f ca="1">R501</f>
        <v>11</v>
      </c>
      <c r="S513" s="323" t="s">
        <v>374</v>
      </c>
      <c r="T513" s="2">
        <f ca="1">ROUND(R513*$C513/100*R505,0)</f>
        <v>0</v>
      </c>
      <c r="U513" s="2"/>
      <c r="V513" s="336">
        <f ca="1">V501</f>
        <v>45</v>
      </c>
      <c r="W513" s="323" t="s">
        <v>374</v>
      </c>
      <c r="X513" s="2">
        <f ca="1">ROUND(V513*$C513/100*V505,0)</f>
        <v>0</v>
      </c>
      <c r="Y513" s="20"/>
      <c r="Z513" s="74"/>
      <c r="AA513" s="74"/>
      <c r="AB513" s="74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</row>
    <row r="514" spans="1:47" hidden="1">
      <c r="A514" s="1" t="s">
        <v>407</v>
      </c>
      <c r="B514" s="1"/>
      <c r="C514" s="319">
        <v>0</v>
      </c>
      <c r="D514" s="337">
        <v>60</v>
      </c>
      <c r="E514" s="321"/>
      <c r="F514" s="2">
        <f>ROUND(D514*$C514,0)</f>
        <v>0</v>
      </c>
      <c r="G514" s="337">
        <v>60</v>
      </c>
      <c r="H514" s="323"/>
      <c r="I514" s="2">
        <f>ROUND(G514*C514,0)</f>
        <v>0</v>
      </c>
      <c r="J514" s="337">
        <f>$J$198</f>
        <v>60</v>
      </c>
      <c r="K514" s="323"/>
      <c r="L514" s="2">
        <f>ROUND(J514*$C514,0)</f>
        <v>0</v>
      </c>
      <c r="M514" s="2"/>
      <c r="N514" s="337" t="str">
        <f>$N$198</f>
        <v xml:space="preserve"> </v>
      </c>
      <c r="O514" s="323"/>
      <c r="P514" s="2">
        <f>ROUND(N514*$C514,0)</f>
        <v>0</v>
      </c>
      <c r="Q514" s="2"/>
      <c r="R514" s="337">
        <f ca="1">$R$198</f>
        <v>11.86</v>
      </c>
      <c r="S514" s="323"/>
      <c r="T514" s="2">
        <f ca="1">ROUND(R514*$C514,0)</f>
        <v>0</v>
      </c>
      <c r="U514" s="2"/>
      <c r="V514" s="337">
        <f ca="1">$V$198</f>
        <v>48.14</v>
      </c>
      <c r="W514" s="323"/>
      <c r="X514" s="2">
        <f ca="1">ROUND(V514*$C514,0)</f>
        <v>0</v>
      </c>
      <c r="Y514" s="20"/>
      <c r="Z514" s="74"/>
      <c r="AA514" s="74"/>
      <c r="AB514" s="74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</row>
    <row r="515" spans="1:47" hidden="1">
      <c r="A515" s="1" t="s">
        <v>408</v>
      </c>
      <c r="B515" s="1"/>
      <c r="C515" s="319">
        <v>0</v>
      </c>
      <c r="D515" s="339">
        <v>-30</v>
      </c>
      <c r="E515" s="321" t="s">
        <v>374</v>
      </c>
      <c r="F515" s="2">
        <f>ROUND(D515*$C515/100,0)</f>
        <v>0</v>
      </c>
      <c r="G515" s="339">
        <v>-30</v>
      </c>
      <c r="H515" s="323" t="s">
        <v>374</v>
      </c>
      <c r="I515" s="2">
        <f>ROUND(G515*C515/100,0)</f>
        <v>0</v>
      </c>
      <c r="J515" s="339">
        <f>$J$199</f>
        <v>-30</v>
      </c>
      <c r="K515" s="323" t="s">
        <v>374</v>
      </c>
      <c r="L515" s="2">
        <f>ROUND(J515*$C515/100,0)</f>
        <v>0</v>
      </c>
      <c r="M515" s="2"/>
      <c r="N515" s="339">
        <f>$N$199</f>
        <v>-30</v>
      </c>
      <c r="O515" s="323" t="s">
        <v>374</v>
      </c>
      <c r="P515" s="2">
        <f>ROUND(N515*$C515/100,0)</f>
        <v>0</v>
      </c>
      <c r="Q515" s="2"/>
      <c r="R515" s="339" t="str">
        <f>$R$199</f>
        <v xml:space="preserve"> </v>
      </c>
      <c r="S515" s="323" t="s">
        <v>374</v>
      </c>
      <c r="T515" s="2">
        <f>ROUND(R515*$C515/100,0)</f>
        <v>0</v>
      </c>
      <c r="U515" s="2"/>
      <c r="V515" s="339" t="str">
        <f>$V$199</f>
        <v xml:space="preserve"> </v>
      </c>
      <c r="W515" s="323" t="s">
        <v>374</v>
      </c>
      <c r="X515" s="2">
        <f>ROUND(V515*$C515/100,0)</f>
        <v>0</v>
      </c>
      <c r="Y515" s="20"/>
      <c r="Z515" s="74"/>
      <c r="AA515" s="74"/>
      <c r="AB515" s="74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</row>
    <row r="516" spans="1:47" s="1184" customFormat="1" hidden="1">
      <c r="A516" s="1005" t="s">
        <v>1032</v>
      </c>
      <c r="C516" s="1202">
        <f>C510</f>
        <v>0</v>
      </c>
      <c r="D516" s="269"/>
      <c r="E516" s="1185"/>
      <c r="F516" s="1203"/>
      <c r="G516" s="269"/>
      <c r="H516" s="1185"/>
      <c r="I516" s="1203"/>
      <c r="J516" s="1230">
        <f>J183</f>
        <v>4.5289999999999999</v>
      </c>
      <c r="K516" s="1009" t="s">
        <v>374</v>
      </c>
      <c r="L516" s="2">
        <f>ROUND(J516*$C516/100*J505,0)</f>
        <v>0</v>
      </c>
      <c r="M516" s="2"/>
      <c r="N516" s="1230" t="str">
        <f>N183</f>
        <v xml:space="preserve"> </v>
      </c>
      <c r="O516" s="1009" t="s">
        <v>374</v>
      </c>
      <c r="P516" s="2">
        <f>ROUND(N516*$C516/100*N505,0)</f>
        <v>0</v>
      </c>
      <c r="Q516" s="2"/>
      <c r="R516" s="1230" t="str">
        <f>R183</f>
        <v xml:space="preserve"> </v>
      </c>
      <c r="S516" s="1009" t="s">
        <v>374</v>
      </c>
      <c r="T516" s="2">
        <f>ROUND(R516*$C516/100*R505,0)</f>
        <v>0</v>
      </c>
      <c r="U516" s="2"/>
      <c r="V516" s="1230">
        <f>V183</f>
        <v>4.5289999999999999</v>
      </c>
      <c r="W516" s="1009" t="s">
        <v>374</v>
      </c>
      <c r="X516" s="2">
        <f>ROUND(V516*$C516/100*V505,0)</f>
        <v>0</v>
      </c>
      <c r="Z516" s="815"/>
      <c r="AC516" s="1205"/>
      <c r="AD516" s="1205"/>
      <c r="AI516" s="1185"/>
      <c r="AJ516" s="1185"/>
      <c r="AK516" s="1185"/>
      <c r="AL516" s="1185"/>
      <c r="AM516" s="1185"/>
      <c r="AN516" s="1185"/>
      <c r="AO516" s="1185"/>
      <c r="AP516" s="1185"/>
      <c r="AQ516" s="1185"/>
      <c r="AR516" s="1185"/>
      <c r="AS516" s="1185"/>
      <c r="AU516" s="1204"/>
    </row>
    <row r="517" spans="1:47" s="1184" customFormat="1" hidden="1">
      <c r="A517" s="1005" t="s">
        <v>1033</v>
      </c>
      <c r="C517" s="1202">
        <f t="shared" ref="C517:C518" si="158">C511</f>
        <v>0</v>
      </c>
      <c r="D517" s="269"/>
      <c r="E517" s="1185"/>
      <c r="F517" s="1203"/>
      <c r="G517" s="269"/>
      <c r="H517" s="1185"/>
      <c r="I517" s="1203"/>
      <c r="J517" s="1230">
        <f>J184</f>
        <v>3.1270000000000002</v>
      </c>
      <c r="K517" s="1009" t="s">
        <v>374</v>
      </c>
      <c r="L517" s="2">
        <f>ROUND(J517*$C517/100*J505,0)</f>
        <v>0</v>
      </c>
      <c r="M517" s="2"/>
      <c r="N517" s="1230" t="str">
        <f>N184</f>
        <v xml:space="preserve"> </v>
      </c>
      <c r="O517" s="1009" t="s">
        <v>374</v>
      </c>
      <c r="P517" s="2">
        <f>ROUND(N517*$C517/100*N505,0)</f>
        <v>0</v>
      </c>
      <c r="Q517" s="2"/>
      <c r="R517" s="1230" t="str">
        <f>R184</f>
        <v xml:space="preserve"> </v>
      </c>
      <c r="S517" s="1009" t="s">
        <v>374</v>
      </c>
      <c r="T517" s="2">
        <f>ROUND(R517*$C517/100*R505,0)</f>
        <v>0</v>
      </c>
      <c r="U517" s="2"/>
      <c r="V517" s="1230">
        <f>V184</f>
        <v>3.1270000000000002</v>
      </c>
      <c r="W517" s="1009" t="s">
        <v>374</v>
      </c>
      <c r="X517" s="2">
        <f>ROUND(V517*$C517/100*V505,0)</f>
        <v>0</v>
      </c>
      <c r="Z517" s="815"/>
      <c r="AC517" s="1205"/>
      <c r="AD517" s="1205"/>
      <c r="AI517" s="1185"/>
      <c r="AJ517" s="1185"/>
      <c r="AK517" s="1185"/>
      <c r="AL517" s="1185"/>
      <c r="AM517" s="1185"/>
      <c r="AN517" s="1185"/>
      <c r="AO517" s="1185"/>
      <c r="AP517" s="1185"/>
      <c r="AQ517" s="1185"/>
      <c r="AR517" s="1185"/>
      <c r="AS517" s="1185"/>
      <c r="AU517" s="1204"/>
    </row>
    <row r="518" spans="1:47" s="1184" customFormat="1" hidden="1">
      <c r="A518" s="1005" t="s">
        <v>1034</v>
      </c>
      <c r="C518" s="1202">
        <f t="shared" si="158"/>
        <v>0</v>
      </c>
      <c r="D518" s="269"/>
      <c r="E518" s="1185"/>
      <c r="F518" s="1203"/>
      <c r="G518" s="269"/>
      <c r="H518" s="1185"/>
      <c r="I518" s="1203"/>
      <c r="J518" s="1230">
        <f>J185</f>
        <v>2.6950000000000003</v>
      </c>
      <c r="K518" s="1009" t="s">
        <v>374</v>
      </c>
      <c r="L518" s="2">
        <f>ROUND(J518*$C518/100*J505,0)</f>
        <v>0</v>
      </c>
      <c r="M518" s="2"/>
      <c r="N518" s="1230" t="str">
        <f>N185</f>
        <v xml:space="preserve"> </v>
      </c>
      <c r="O518" s="1009" t="s">
        <v>374</v>
      </c>
      <c r="P518" s="2">
        <f>ROUND(N518*$C518/100*N505,0)</f>
        <v>0</v>
      </c>
      <c r="Q518" s="2"/>
      <c r="R518" s="1230" t="str">
        <f>R185</f>
        <v xml:space="preserve"> </v>
      </c>
      <c r="S518" s="1009" t="s">
        <v>374</v>
      </c>
      <c r="T518" s="2">
        <f>ROUND(R518*$C518/100*R505,0)</f>
        <v>0</v>
      </c>
      <c r="U518" s="2"/>
      <c r="V518" s="1230">
        <f>V185</f>
        <v>2.6950000000000003</v>
      </c>
      <c r="W518" s="1009" t="s">
        <v>374</v>
      </c>
      <c r="X518" s="2">
        <f>ROUND(V518*$C518/100*V505,0)</f>
        <v>0</v>
      </c>
      <c r="Z518" s="815"/>
      <c r="AC518" s="1205"/>
      <c r="AD518" s="1205"/>
      <c r="AI518" s="1185"/>
      <c r="AJ518" s="1185"/>
      <c r="AK518" s="1185"/>
      <c r="AL518" s="1185"/>
      <c r="AM518" s="1185"/>
      <c r="AN518" s="1185"/>
      <c r="AO518" s="1185"/>
      <c r="AP518" s="1185"/>
      <c r="AQ518" s="1185"/>
      <c r="AR518" s="1185"/>
      <c r="AS518" s="1185"/>
      <c r="AU518" s="1204"/>
    </row>
    <row r="519" spans="1:47" hidden="1">
      <c r="A519" s="1" t="s">
        <v>381</v>
      </c>
      <c r="B519" s="1"/>
      <c r="C519" s="319">
        <f>SUM(C498:C500)</f>
        <v>460453</v>
      </c>
      <c r="D519" s="330"/>
      <c r="E519" s="2"/>
      <c r="F519" s="2">
        <f>SUM(F492:F515)</f>
        <v>113756</v>
      </c>
      <c r="G519" s="330"/>
      <c r="H519" s="323"/>
      <c r="I519" s="2">
        <f>SUM(I492:I515)</f>
        <v>117644</v>
      </c>
      <c r="J519" s="330"/>
      <c r="K519" s="323"/>
      <c r="L519" s="2">
        <f ca="1">SUM(L492:L518)</f>
        <v>125841</v>
      </c>
      <c r="M519" s="2"/>
      <c r="N519" s="330"/>
      <c r="O519" s="323"/>
      <c r="P519" s="2">
        <f ca="1">SUM(P492:P518)</f>
        <v>66620</v>
      </c>
      <c r="Q519" s="2"/>
      <c r="R519" s="330"/>
      <c r="S519" s="323"/>
      <c r="T519" s="2">
        <f ca="1">SUM(T492:T518)</f>
        <v>15496</v>
      </c>
      <c r="U519" s="2"/>
      <c r="V519" s="330"/>
      <c r="W519" s="323"/>
      <c r="X519" s="2">
        <f ca="1">SUM(X492:X518)</f>
        <v>43724</v>
      </c>
      <c r="Y519" s="20"/>
      <c r="Z519" s="74"/>
      <c r="AA519" s="74"/>
      <c r="AB519" s="74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</row>
    <row r="520" spans="1:47" hidden="1">
      <c r="A520" s="1" t="s">
        <v>363</v>
      </c>
      <c r="B520" s="1"/>
      <c r="C520" s="349">
        <f>'Table 2'!H43</f>
        <v>-1302.4656054484105</v>
      </c>
      <c r="D520" s="309"/>
      <c r="E520" s="309"/>
      <c r="F520" s="341">
        <f>I520</f>
        <v>-281.50082946927245</v>
      </c>
      <c r="G520" s="309"/>
      <c r="H520" s="309"/>
      <c r="I520" s="341">
        <f>'Table 3'!E43</f>
        <v>-281.50082946927245</v>
      </c>
      <c r="J520" s="309"/>
      <c r="K520" s="309"/>
      <c r="L520" s="341">
        <f>I520</f>
        <v>-281.50082946927245</v>
      </c>
      <c r="M520" s="322"/>
      <c r="N520" s="309"/>
      <c r="O520" s="309"/>
      <c r="P520" s="341">
        <f ca="1">P204/L204*L520</f>
        <v>-55.492653361237451</v>
      </c>
      <c r="Q520" s="322"/>
      <c r="R520" s="309"/>
      <c r="S520" s="309"/>
      <c r="T520" s="341">
        <f ca="1">T204/L204*L520</f>
        <v>-44.689265866698079</v>
      </c>
      <c r="U520" s="322"/>
      <c r="V520" s="309"/>
      <c r="W520" s="309"/>
      <c r="X520" s="341">
        <f ca="1">X204/L204*L520</f>
        <v>-181.31891024133694</v>
      </c>
      <c r="Y520" s="444"/>
      <c r="Z520" s="287"/>
      <c r="AA520" s="74"/>
      <c r="AB520" s="74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</row>
    <row r="521" spans="1:47" ht="16.5" hidden="1" thickBot="1">
      <c r="A521" s="1" t="s">
        <v>382</v>
      </c>
      <c r="B521" s="1"/>
      <c r="C521" s="311">
        <f>SUM(C519:C520)</f>
        <v>459150.53439455159</v>
      </c>
      <c r="D521" s="342"/>
      <c r="E521" s="343"/>
      <c r="F521" s="344">
        <f>F519+F520</f>
        <v>113474.49917053073</v>
      </c>
      <c r="G521" s="342"/>
      <c r="H521" s="345"/>
      <c r="I521" s="344">
        <f>I519+I520</f>
        <v>117362.49917053073</v>
      </c>
      <c r="J521" s="342"/>
      <c r="K521" s="345"/>
      <c r="L521" s="344">
        <f ca="1">L519+L520</f>
        <v>125559.49917053073</v>
      </c>
      <c r="M521" s="344"/>
      <c r="N521" s="342"/>
      <c r="O521" s="345"/>
      <c r="P521" s="344">
        <f ca="1">P519+P520</f>
        <v>66564.507346638769</v>
      </c>
      <c r="Q521" s="344"/>
      <c r="R521" s="342"/>
      <c r="S521" s="345"/>
      <c r="T521" s="344">
        <f ca="1">T519+T520</f>
        <v>15451.310734133302</v>
      </c>
      <c r="U521" s="344"/>
      <c r="V521" s="342"/>
      <c r="W521" s="345"/>
      <c r="X521" s="344">
        <f ca="1">X519+X520</f>
        <v>43542.681089758662</v>
      </c>
      <c r="Y521" s="411"/>
      <c r="Z521" s="470"/>
      <c r="AA521" s="74"/>
      <c r="AB521" s="74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</row>
    <row r="522" spans="1:47" ht="16.5" hidden="1" thickTop="1">
      <c r="A522" s="1"/>
      <c r="B522" s="1"/>
      <c r="C522" s="21"/>
      <c r="D522" s="337" t="s">
        <v>31</v>
      </c>
      <c r="E522" s="2"/>
      <c r="F522" s="2"/>
      <c r="G522" s="337" t="s">
        <v>31</v>
      </c>
      <c r="H522" s="1"/>
      <c r="I522" s="2"/>
      <c r="J522" s="353" t="s">
        <v>31</v>
      </c>
      <c r="K522" s="1"/>
      <c r="L522" s="2" t="s">
        <v>31</v>
      </c>
      <c r="M522" s="2"/>
      <c r="N522" s="353" t="s">
        <v>31</v>
      </c>
      <c r="O522" s="1"/>
      <c r="P522" s="2" t="s">
        <v>31</v>
      </c>
      <c r="Q522" s="2"/>
      <c r="R522" s="353" t="s">
        <v>31</v>
      </c>
      <c r="S522" s="1"/>
      <c r="T522" s="2" t="s">
        <v>31</v>
      </c>
      <c r="U522" s="2"/>
      <c r="V522" s="353" t="s">
        <v>31</v>
      </c>
      <c r="W522" s="1"/>
      <c r="X522" s="2" t="s">
        <v>31</v>
      </c>
      <c r="Y522" s="20"/>
      <c r="Z522" s="74"/>
      <c r="AA522" s="74"/>
      <c r="AB522" s="74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</row>
    <row r="523" spans="1:47" hidden="1">
      <c r="A523" s="293" t="s">
        <v>417</v>
      </c>
      <c r="B523" s="1"/>
      <c r="C523" s="1"/>
      <c r="D523" s="2"/>
      <c r="E523" s="2"/>
      <c r="F523" s="1" t="s">
        <v>31</v>
      </c>
      <c r="G523" s="2"/>
      <c r="H523" s="1"/>
      <c r="I523" s="1"/>
      <c r="J523" s="2"/>
      <c r="K523" s="1"/>
      <c r="L523" s="1"/>
      <c r="M523" s="1"/>
      <c r="N523" s="2"/>
      <c r="O523" s="1"/>
      <c r="P523" s="1"/>
      <c r="Q523" s="1"/>
      <c r="R523" s="2"/>
      <c r="S523" s="1"/>
      <c r="T523" s="1"/>
      <c r="U523" s="1"/>
      <c r="V523" s="2"/>
      <c r="W523" s="1"/>
      <c r="X523" s="1"/>
      <c r="Y523" s="20"/>
      <c r="Z523" s="74"/>
      <c r="AA523" s="74"/>
      <c r="AB523" s="74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</row>
    <row r="524" spans="1:47" hidden="1">
      <c r="A524" s="1" t="s">
        <v>414</v>
      </c>
      <c r="B524" s="1"/>
      <c r="C524" s="1"/>
      <c r="D524" s="2"/>
      <c r="E524" s="2"/>
      <c r="F524" s="1"/>
      <c r="G524" s="2"/>
      <c r="H524" s="1"/>
      <c r="I524" s="1"/>
      <c r="J524" s="2"/>
      <c r="K524" s="1"/>
      <c r="L524" s="1"/>
      <c r="M524" s="1"/>
      <c r="N524" s="2"/>
      <c r="O524" s="1"/>
      <c r="P524" s="1"/>
      <c r="Q524" s="1"/>
      <c r="R524" s="2"/>
      <c r="S524" s="1"/>
      <c r="T524" s="1"/>
      <c r="U524" s="1"/>
      <c r="V524" s="2"/>
      <c r="W524" s="1"/>
      <c r="X524" s="1"/>
      <c r="Y524" s="20"/>
      <c r="Z524" s="74"/>
      <c r="AA524" s="74"/>
      <c r="AB524" s="74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</row>
    <row r="525" spans="1:47" hidden="1">
      <c r="A525" s="1" t="s">
        <v>418</v>
      </c>
      <c r="B525" s="1"/>
      <c r="C525" s="1"/>
      <c r="D525" s="2"/>
      <c r="E525" s="2"/>
      <c r="F525" s="1"/>
      <c r="G525" s="2"/>
      <c r="H525" s="1"/>
      <c r="I525" s="1"/>
      <c r="J525" s="2"/>
      <c r="K525" s="1"/>
      <c r="L525" s="1"/>
      <c r="M525" s="1"/>
      <c r="N525" s="2"/>
      <c r="O525" s="1"/>
      <c r="P525" s="1"/>
      <c r="Q525" s="1"/>
      <c r="R525" s="2"/>
      <c r="S525" s="1"/>
      <c r="T525" s="1"/>
      <c r="U525" s="1"/>
      <c r="V525" s="2"/>
      <c r="W525" s="1"/>
      <c r="X525" s="1"/>
      <c r="Y525" s="20"/>
      <c r="Z525" s="74"/>
      <c r="AA525" s="74"/>
      <c r="AB525" s="74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</row>
    <row r="526" spans="1:47" hidden="1">
      <c r="A526" s="1" t="s">
        <v>393</v>
      </c>
      <c r="B526" s="1"/>
      <c r="C526" s="319"/>
      <c r="D526" s="2"/>
      <c r="E526" s="2"/>
      <c r="F526" s="1"/>
      <c r="G526" s="2"/>
      <c r="H526" s="1"/>
      <c r="I526" s="1"/>
      <c r="J526" s="2"/>
      <c r="K526" s="1"/>
      <c r="L526" s="1"/>
      <c r="M526" s="1"/>
      <c r="N526" s="2"/>
      <c r="O526" s="1"/>
      <c r="P526" s="1"/>
      <c r="Q526" s="1"/>
      <c r="R526" s="2"/>
      <c r="S526" s="1"/>
      <c r="T526" s="1"/>
      <c r="U526" s="1"/>
      <c r="V526" s="2"/>
      <c r="W526" s="1"/>
      <c r="X526" s="1"/>
      <c r="Y526" s="20"/>
      <c r="Z526" s="74"/>
      <c r="AA526" s="74"/>
      <c r="AB526" s="74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</row>
    <row r="527" spans="1:47" hidden="1">
      <c r="A527" s="1" t="s">
        <v>390</v>
      </c>
      <c r="B527" s="1"/>
      <c r="C527" s="319">
        <v>0</v>
      </c>
      <c r="D527" s="298">
        <v>104.52000000000001</v>
      </c>
      <c r="E527" s="321"/>
      <c r="F527" s="2">
        <f>ROUND(D527*$C527,0)</f>
        <v>0</v>
      </c>
      <c r="G527" s="298">
        <v>104.52000000000001</v>
      </c>
      <c r="H527" s="323"/>
      <c r="I527" s="2">
        <f>ROUND(G527*$C527,0)</f>
        <v>0</v>
      </c>
      <c r="J527" s="298">
        <f>$J$169</f>
        <v>120</v>
      </c>
      <c r="K527" s="323"/>
      <c r="L527" s="2">
        <f>ROUND(J527*$C527,0)</f>
        <v>0</v>
      </c>
      <c r="M527" s="2"/>
      <c r="N527" s="298">
        <f>$N$169</f>
        <v>120</v>
      </c>
      <c r="O527" s="323"/>
      <c r="P527" s="2">
        <f>ROUND(N527*$C527,0)</f>
        <v>0</v>
      </c>
      <c r="Q527" s="2"/>
      <c r="R527" s="298" t="str">
        <f>$R$169</f>
        <v xml:space="preserve"> </v>
      </c>
      <c r="S527" s="323"/>
      <c r="T527" s="2">
        <f>ROUND(R527*$C527,0)</f>
        <v>0</v>
      </c>
      <c r="U527" s="2"/>
      <c r="V527" s="298" t="str">
        <f>$V$169</f>
        <v xml:space="preserve"> </v>
      </c>
      <c r="W527" s="323"/>
      <c r="X527" s="2">
        <f>ROUND(V527*$C527,0)</f>
        <v>0</v>
      </c>
      <c r="Y527" s="20"/>
      <c r="Z527" s="74"/>
      <c r="AA527" s="74"/>
      <c r="AB527" s="74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</row>
    <row r="528" spans="1:47" hidden="1">
      <c r="A528" s="1" t="s">
        <v>391</v>
      </c>
      <c r="B528" s="1"/>
      <c r="C528" s="319">
        <f>[49]Sheet1!$F$7</f>
        <v>1</v>
      </c>
      <c r="D528" s="298">
        <v>155.76</v>
      </c>
      <c r="E528" s="324"/>
      <c r="F528" s="2">
        <f>ROUND(D528*$C528,0)</f>
        <v>156</v>
      </c>
      <c r="G528" s="298">
        <v>155.76</v>
      </c>
      <c r="H528" s="325"/>
      <c r="I528" s="2">
        <f t="shared" ref="I528:I529" si="159">ROUND(G528*$C528,0)</f>
        <v>156</v>
      </c>
      <c r="J528" s="298">
        <f>$J$170</f>
        <v>180</v>
      </c>
      <c r="K528" s="325"/>
      <c r="L528" s="2">
        <f>ROUND(J528*$C528,0)</f>
        <v>180</v>
      </c>
      <c r="M528" s="2"/>
      <c r="N528" s="298">
        <f>$N$170</f>
        <v>180</v>
      </c>
      <c r="O528" s="325"/>
      <c r="P528" s="2">
        <f>ROUND(N528*$C528,0)</f>
        <v>180</v>
      </c>
      <c r="Q528" s="2"/>
      <c r="R528" s="298" t="str">
        <f>$R$170</f>
        <v xml:space="preserve"> </v>
      </c>
      <c r="S528" s="325"/>
      <c r="T528" s="2">
        <f>ROUND(R528*$C528,0)</f>
        <v>0</v>
      </c>
      <c r="U528" s="2"/>
      <c r="V528" s="298" t="str">
        <f>$V$170</f>
        <v xml:space="preserve"> </v>
      </c>
      <c r="W528" s="325"/>
      <c r="X528" s="2">
        <f>ROUND(V528*$C528,0)</f>
        <v>0</v>
      </c>
      <c r="Y528" s="20"/>
      <c r="Z528" s="74"/>
      <c r="AA528" s="74"/>
      <c r="AB528" s="74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</row>
    <row r="529" spans="1:47" hidden="1">
      <c r="A529" s="1" t="s">
        <v>392</v>
      </c>
      <c r="B529" s="1"/>
      <c r="C529" s="319">
        <f>[49]Sheet1!$G$7</f>
        <v>75</v>
      </c>
      <c r="D529" s="298">
        <v>11.040000000000001</v>
      </c>
      <c r="E529" s="324"/>
      <c r="F529" s="2">
        <f>ROUND(D529*$C529,0)</f>
        <v>828</v>
      </c>
      <c r="G529" s="298">
        <v>11.040000000000001</v>
      </c>
      <c r="H529" s="325"/>
      <c r="I529" s="2">
        <f t="shared" si="159"/>
        <v>828</v>
      </c>
      <c r="J529" s="298">
        <f>$J$171</f>
        <v>12</v>
      </c>
      <c r="K529" s="325"/>
      <c r="L529" s="2">
        <f>ROUND(J529*$C529,0)</f>
        <v>900</v>
      </c>
      <c r="M529" s="2"/>
      <c r="N529" s="298">
        <f>$N$171</f>
        <v>12</v>
      </c>
      <c r="O529" s="325"/>
      <c r="P529" s="2">
        <f>ROUND(N529*$C529,0)</f>
        <v>900</v>
      </c>
      <c r="Q529" s="2"/>
      <c r="R529" s="298" t="str">
        <f>$R$171</f>
        <v xml:space="preserve"> </v>
      </c>
      <c r="S529" s="325"/>
      <c r="T529" s="2">
        <f>ROUND(R529*$C529,0)</f>
        <v>0</v>
      </c>
      <c r="U529" s="2"/>
      <c r="V529" s="298" t="str">
        <f>$V$171</f>
        <v xml:space="preserve"> </v>
      </c>
      <c r="W529" s="325"/>
      <c r="X529" s="2">
        <f>ROUND(V529*$C529,0)</f>
        <v>0</v>
      </c>
      <c r="Y529" s="20"/>
      <c r="Z529" s="74"/>
      <c r="AA529" s="74"/>
      <c r="AB529" s="74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</row>
    <row r="530" spans="1:47" hidden="1">
      <c r="A530" s="1" t="s">
        <v>394</v>
      </c>
      <c r="B530" s="1"/>
      <c r="C530" s="319">
        <f>SUM(C527:C528)</f>
        <v>1</v>
      </c>
      <c r="D530" s="298"/>
      <c r="E530" s="321"/>
      <c r="F530" s="2"/>
      <c r="G530" s="298"/>
      <c r="H530" s="323"/>
      <c r="I530" s="2"/>
      <c r="J530" s="298"/>
      <c r="K530" s="323"/>
      <c r="L530" s="2"/>
      <c r="M530" s="2"/>
      <c r="N530" s="298"/>
      <c r="O530" s="323"/>
      <c r="P530" s="2"/>
      <c r="Q530" s="2"/>
      <c r="R530" s="298"/>
      <c r="S530" s="323"/>
      <c r="T530" s="2"/>
      <c r="U530" s="2"/>
      <c r="V530" s="298"/>
      <c r="W530" s="323"/>
      <c r="X530" s="2"/>
      <c r="Y530" s="20"/>
      <c r="Z530" s="74"/>
      <c r="AA530" s="74"/>
      <c r="AB530" s="74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</row>
    <row r="531" spans="1:47" hidden="1">
      <c r="A531" s="1" t="s">
        <v>419</v>
      </c>
      <c r="B531" s="1"/>
      <c r="C531" s="319">
        <f>[49]Sheet1!$E$7</f>
        <v>11.1766666666667</v>
      </c>
      <c r="D531" s="298"/>
      <c r="E531" s="321"/>
      <c r="F531" s="2"/>
      <c r="G531" s="298"/>
      <c r="H531" s="323"/>
      <c r="I531" s="2"/>
      <c r="J531" s="298"/>
      <c r="K531" s="323"/>
      <c r="L531" s="2"/>
      <c r="M531" s="2"/>
      <c r="N531" s="298"/>
      <c r="O531" s="323"/>
      <c r="P531" s="2"/>
      <c r="Q531" s="2"/>
      <c r="R531" s="298"/>
      <c r="S531" s="323"/>
      <c r="T531" s="2"/>
      <c r="U531" s="2"/>
      <c r="V531" s="298"/>
      <c r="W531" s="323"/>
      <c r="X531" s="2"/>
      <c r="Y531" s="20"/>
      <c r="Z531" s="74"/>
      <c r="AA531" s="74"/>
      <c r="AB531" s="74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</row>
    <row r="532" spans="1:47" hidden="1">
      <c r="A532" s="1" t="s">
        <v>395</v>
      </c>
      <c r="B532" s="1"/>
      <c r="C532" s="319">
        <f>[49]Sheet1!$L$7</f>
        <v>293</v>
      </c>
      <c r="D532" s="326">
        <v>3.4</v>
      </c>
      <c r="E532" s="323"/>
      <c r="F532" s="2">
        <f>ROUND(D532*$C532,0)</f>
        <v>996</v>
      </c>
      <c r="G532" s="326">
        <v>3.61</v>
      </c>
      <c r="H532" s="323"/>
      <c r="I532" s="2">
        <f>ROUND(G532*C532,0)</f>
        <v>1058</v>
      </c>
      <c r="J532" s="326">
        <f ca="1">$J$178</f>
        <v>3.77</v>
      </c>
      <c r="K532" s="323"/>
      <c r="L532" s="2">
        <f ca="1">ROUND(J532*$C532,0)</f>
        <v>1105</v>
      </c>
      <c r="M532" s="2"/>
      <c r="N532" s="326">
        <f ca="1">$N$178</f>
        <v>0.81</v>
      </c>
      <c r="O532" s="323"/>
      <c r="P532" s="2">
        <f ca="1">ROUND(N532*$C532,0)</f>
        <v>237</v>
      </c>
      <c r="Q532" s="2"/>
      <c r="R532" s="326">
        <f ca="1">$R$178</f>
        <v>1.06</v>
      </c>
      <c r="S532" s="323"/>
      <c r="T532" s="2">
        <f ca="1">ROUND(R532*$C532,0)</f>
        <v>311</v>
      </c>
      <c r="U532" s="2"/>
      <c r="V532" s="326">
        <f ca="1">$V$178</f>
        <v>1.9</v>
      </c>
      <c r="W532" s="323"/>
      <c r="X532" s="2">
        <f ca="1">ROUND(V532*$C532,0)</f>
        <v>557</v>
      </c>
      <c r="Y532" s="20"/>
      <c r="Z532" s="74"/>
      <c r="AA532" s="74"/>
      <c r="AB532" s="74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</row>
    <row r="533" spans="1:47" hidden="1">
      <c r="A533" s="1" t="s">
        <v>397</v>
      </c>
      <c r="B533" s="1"/>
      <c r="C533" s="319">
        <f>[49]Sheet1!$I$7</f>
        <v>6233</v>
      </c>
      <c r="D533" s="299">
        <v>9.766</v>
      </c>
      <c r="E533" s="323" t="s">
        <v>374</v>
      </c>
      <c r="F533" s="2">
        <f>ROUND(D533*$C533/100,0)</f>
        <v>609</v>
      </c>
      <c r="G533" s="299">
        <v>10.359</v>
      </c>
      <c r="H533" s="323" t="s">
        <v>374</v>
      </c>
      <c r="I533" s="2">
        <f>ROUND(G533*C533/100,0)</f>
        <v>646</v>
      </c>
      <c r="J533" s="299">
        <f ca="1">$J$179</f>
        <v>6.282</v>
      </c>
      <c r="K533" s="323" t="s">
        <v>374</v>
      </c>
      <c r="L533" s="2">
        <f ca="1">ROUND(J533*$C533/100,0)</f>
        <v>392</v>
      </c>
      <c r="M533" s="2"/>
      <c r="N533" s="299">
        <f ca="1">$N$179</f>
        <v>1.3483746810352102</v>
      </c>
      <c r="O533" s="323" t="s">
        <v>374</v>
      </c>
      <c r="P533" s="2">
        <f ca="1">ROUND(N533*$C533/100,0)</f>
        <v>84</v>
      </c>
      <c r="Q533" s="2"/>
      <c r="R533" s="299">
        <f ca="1">$R$179</f>
        <v>1.7708525176705459</v>
      </c>
      <c r="S533" s="323" t="s">
        <v>374</v>
      </c>
      <c r="T533" s="2">
        <f ca="1">ROUND(R533*$C533/100,0)</f>
        <v>110</v>
      </c>
      <c r="U533" s="2"/>
      <c r="V533" s="299">
        <f ca="1">$V$179</f>
        <v>3.162955363125258</v>
      </c>
      <c r="W533" s="323" t="s">
        <v>374</v>
      </c>
      <c r="X533" s="2">
        <f ca="1">ROUND(V533*$C533/100,0)</f>
        <v>197</v>
      </c>
      <c r="Y533" s="20"/>
      <c r="Z533" s="74"/>
      <c r="AA533" s="74"/>
      <c r="AB533" s="74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</row>
    <row r="534" spans="1:47" hidden="1">
      <c r="A534" s="1" t="s">
        <v>398</v>
      </c>
      <c r="B534" s="1"/>
      <c r="C534" s="319">
        <f>[49]Sheet1!$J$7</f>
        <v>3319</v>
      </c>
      <c r="D534" s="299">
        <v>6.7460000000000004</v>
      </c>
      <c r="E534" s="323" t="s">
        <v>374</v>
      </c>
      <c r="F534" s="2">
        <f>ROUND(D534*$C534/100,0)</f>
        <v>224</v>
      </c>
      <c r="G534" s="299">
        <v>7.1559999999999997</v>
      </c>
      <c r="H534" s="323" t="s">
        <v>374</v>
      </c>
      <c r="I534" s="2">
        <f t="shared" ref="I534:I536" si="160">ROUND(G534*C534/100,0)</f>
        <v>238</v>
      </c>
      <c r="J534" s="299">
        <f ca="1">$J$180</f>
        <v>4.3410000000000002</v>
      </c>
      <c r="K534" s="323" t="s">
        <v>374</v>
      </c>
      <c r="L534" s="2">
        <f ca="1">ROUND(J534*$C534/100,0)</f>
        <v>144</v>
      </c>
      <c r="M534" s="2"/>
      <c r="N534" s="299">
        <f ca="1">$N$180</f>
        <v>0.93175626548296309</v>
      </c>
      <c r="O534" s="323" t="s">
        <v>374</v>
      </c>
      <c r="P534" s="2">
        <f ca="1">ROUND(N534*$C534/100,0)</f>
        <v>31</v>
      </c>
      <c r="Q534" s="2"/>
      <c r="R534" s="299">
        <f ca="1">$R$180</f>
        <v>1.2240066282869231</v>
      </c>
      <c r="S534" s="323" t="s">
        <v>374</v>
      </c>
      <c r="T534" s="2">
        <f ca="1">ROUND(R534*$C534/100,0)</f>
        <v>41</v>
      </c>
      <c r="U534" s="2"/>
      <c r="V534" s="299">
        <f ca="1">$V$180</f>
        <v>2.1849800075654815</v>
      </c>
      <c r="W534" s="323" t="s">
        <v>374</v>
      </c>
      <c r="X534" s="2">
        <f ca="1">ROUND(V534*$C534/100,0)</f>
        <v>73</v>
      </c>
      <c r="Y534" s="20"/>
      <c r="Z534" s="74"/>
      <c r="AA534" s="74"/>
      <c r="AB534" s="74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</row>
    <row r="535" spans="1:47" hidden="1">
      <c r="A535" s="1" t="s">
        <v>399</v>
      </c>
      <c r="B535" s="1"/>
      <c r="C535" s="319">
        <v>0</v>
      </c>
      <c r="D535" s="299">
        <v>5.8120000000000003</v>
      </c>
      <c r="E535" s="323" t="s">
        <v>374</v>
      </c>
      <c r="F535" s="2">
        <f>ROUND(D535*$C535/100,0)</f>
        <v>0</v>
      </c>
      <c r="G535" s="299">
        <v>6.1660000000000004</v>
      </c>
      <c r="H535" s="323" t="s">
        <v>374</v>
      </c>
      <c r="I535" s="2">
        <f t="shared" si="160"/>
        <v>0</v>
      </c>
      <c r="J535" s="299">
        <f ca="1">$J$181</f>
        <v>3.74</v>
      </c>
      <c r="K535" s="323" t="s">
        <v>374</v>
      </c>
      <c r="L535" s="2">
        <f ca="1">ROUND(J535*$C535/100,0)</f>
        <v>0</v>
      </c>
      <c r="M535" s="2"/>
      <c r="N535" s="299">
        <f ca="1">$N$181</f>
        <v>0.80275718206159852</v>
      </c>
      <c r="O535" s="323" t="s">
        <v>374</v>
      </c>
      <c r="P535" s="2">
        <f ca="1">ROUND(N535*$C535/100,0)</f>
        <v>0</v>
      </c>
      <c r="Q535" s="2"/>
      <c r="R535" s="299">
        <f ca="1">$R$181</f>
        <v>1.0536847359511734</v>
      </c>
      <c r="S535" s="323" t="s">
        <v>374</v>
      </c>
      <c r="T535" s="2">
        <f ca="1">ROUND(R535*$C535/100,0)</f>
        <v>0</v>
      </c>
      <c r="U535" s="2"/>
      <c r="V535" s="299">
        <f ca="1">$V$181</f>
        <v>1.8834755557989509</v>
      </c>
      <c r="W535" s="323" t="s">
        <v>374</v>
      </c>
      <c r="X535" s="2">
        <f ca="1">ROUND(V535*$C535/100,0)</f>
        <v>0</v>
      </c>
      <c r="Y535" s="20"/>
      <c r="Z535" s="74"/>
      <c r="AA535" s="74"/>
      <c r="AB535" s="74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</row>
    <row r="536" spans="1:47" hidden="1">
      <c r="A536" s="1" t="s">
        <v>400</v>
      </c>
      <c r="B536" s="1"/>
      <c r="C536" s="319">
        <v>0</v>
      </c>
      <c r="D536" s="330">
        <v>56</v>
      </c>
      <c r="E536" s="321" t="s">
        <v>374</v>
      </c>
      <c r="F536" s="2">
        <f>ROUND(D536*$C536/100,0)</f>
        <v>0</v>
      </c>
      <c r="G536" s="330">
        <v>56</v>
      </c>
      <c r="H536" s="323" t="s">
        <v>374</v>
      </c>
      <c r="I536" s="2">
        <f t="shared" si="160"/>
        <v>0</v>
      </c>
      <c r="J536" s="330">
        <f>$J$182</f>
        <v>56</v>
      </c>
      <c r="K536" s="323" t="s">
        <v>374</v>
      </c>
      <c r="L536" s="2">
        <f>ROUND(J536*$C536/100,0)</f>
        <v>0</v>
      </c>
      <c r="M536" s="2"/>
      <c r="N536" s="330" t="str">
        <f>$N$182</f>
        <v xml:space="preserve"> </v>
      </c>
      <c r="O536" s="323" t="s">
        <v>374</v>
      </c>
      <c r="P536" s="2">
        <f>ROUND(N536*$C536/100,0)</f>
        <v>0</v>
      </c>
      <c r="Q536" s="2"/>
      <c r="R536" s="330">
        <f ca="1">$R$182</f>
        <v>11</v>
      </c>
      <c r="S536" s="323" t="s">
        <v>374</v>
      </c>
      <c r="T536" s="2">
        <f ca="1">ROUND(R536*$C536/100,0)</f>
        <v>0</v>
      </c>
      <c r="U536" s="2"/>
      <c r="V536" s="330">
        <f ca="1">$V$182</f>
        <v>45</v>
      </c>
      <c r="W536" s="323" t="s">
        <v>374</v>
      </c>
      <c r="X536" s="2">
        <f ca="1">ROUND(V536*$C536/100,0)</f>
        <v>0</v>
      </c>
      <c r="Y536" s="20"/>
      <c r="Z536" s="74"/>
      <c r="AA536" s="74"/>
      <c r="AB536" s="74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</row>
    <row r="537" spans="1:47" s="1184" customFormat="1" hidden="1">
      <c r="A537" s="1005" t="s">
        <v>1032</v>
      </c>
      <c r="C537" s="1202">
        <f>C533</f>
        <v>6233</v>
      </c>
      <c r="D537" s="269"/>
      <c r="E537" s="1185"/>
      <c r="F537" s="1203"/>
      <c r="G537" s="269"/>
      <c r="H537" s="1185"/>
      <c r="I537" s="1203"/>
      <c r="J537" s="1230">
        <f>J183</f>
        <v>4.5289999999999999</v>
      </c>
      <c r="K537" s="1009" t="s">
        <v>374</v>
      </c>
      <c r="L537" s="1203">
        <f t="shared" ref="L537:L539" si="161">ROUND(J537*$C537/100,0)</f>
        <v>282</v>
      </c>
      <c r="M537" s="1203"/>
      <c r="N537" s="1230" t="str">
        <f>N183</f>
        <v xml:space="preserve"> </v>
      </c>
      <c r="O537" s="1009" t="s">
        <v>374</v>
      </c>
      <c r="P537" s="1203">
        <f t="shared" ref="P537:P539" si="162">ROUND(N537*$C537/100,0)</f>
        <v>0</v>
      </c>
      <c r="Q537" s="1203"/>
      <c r="R537" s="1230" t="str">
        <f>R183</f>
        <v xml:space="preserve"> </v>
      </c>
      <c r="S537" s="1009" t="s">
        <v>374</v>
      </c>
      <c r="T537" s="1203">
        <f t="shared" ref="T537:T539" si="163">ROUND(R537*$C537/100,0)</f>
        <v>0</v>
      </c>
      <c r="U537" s="1203"/>
      <c r="V537" s="1230">
        <f>V183</f>
        <v>4.5289999999999999</v>
      </c>
      <c r="W537" s="1009" t="s">
        <v>374</v>
      </c>
      <c r="X537" s="1203">
        <f t="shared" ref="X537:X539" si="164">ROUND(V537*$C537/100,0)</f>
        <v>282</v>
      </c>
      <c r="Z537" s="815"/>
      <c r="AC537" s="1205"/>
      <c r="AD537" s="1205"/>
      <c r="AI537" s="1185"/>
      <c r="AJ537" s="1185"/>
      <c r="AK537" s="1185"/>
      <c r="AL537" s="1185"/>
      <c r="AM537" s="1185"/>
      <c r="AN537" s="1185"/>
      <c r="AO537" s="1185"/>
      <c r="AP537" s="1185"/>
      <c r="AQ537" s="1185"/>
      <c r="AR537" s="1185"/>
      <c r="AS537" s="1185"/>
      <c r="AU537" s="1204"/>
    </row>
    <row r="538" spans="1:47" s="1184" customFormat="1" hidden="1">
      <c r="A538" s="1005" t="s">
        <v>1033</v>
      </c>
      <c r="C538" s="1202">
        <f>C534</f>
        <v>3319</v>
      </c>
      <c r="D538" s="269"/>
      <c r="E538" s="1185"/>
      <c r="F538" s="1203"/>
      <c r="G538" s="269"/>
      <c r="H538" s="1185"/>
      <c r="I538" s="1203"/>
      <c r="J538" s="1230">
        <f>J184</f>
        <v>3.1270000000000002</v>
      </c>
      <c r="K538" s="1009" t="s">
        <v>374</v>
      </c>
      <c r="L538" s="1203">
        <f t="shared" si="161"/>
        <v>104</v>
      </c>
      <c r="M538" s="1203"/>
      <c r="N538" s="1230" t="str">
        <f>N184</f>
        <v xml:space="preserve"> </v>
      </c>
      <c r="O538" s="1009" t="s">
        <v>374</v>
      </c>
      <c r="P538" s="1203">
        <f t="shared" si="162"/>
        <v>0</v>
      </c>
      <c r="Q538" s="1203"/>
      <c r="R538" s="1230" t="str">
        <f>R184</f>
        <v xml:space="preserve"> </v>
      </c>
      <c r="S538" s="1009" t="s">
        <v>374</v>
      </c>
      <c r="T538" s="1203">
        <f t="shared" si="163"/>
        <v>0</v>
      </c>
      <c r="U538" s="1203"/>
      <c r="V538" s="1230">
        <f>V184</f>
        <v>3.1270000000000002</v>
      </c>
      <c r="W538" s="1009" t="s">
        <v>374</v>
      </c>
      <c r="X538" s="1203">
        <f t="shared" si="164"/>
        <v>104</v>
      </c>
      <c r="Z538" s="815"/>
      <c r="AC538" s="1205"/>
      <c r="AD538" s="1205"/>
      <c r="AI538" s="1185"/>
      <c r="AJ538" s="1185"/>
      <c r="AK538" s="1185"/>
      <c r="AL538" s="1185"/>
      <c r="AM538" s="1185"/>
      <c r="AN538" s="1185"/>
      <c r="AO538" s="1185"/>
      <c r="AP538" s="1185"/>
      <c r="AQ538" s="1185"/>
      <c r="AR538" s="1185"/>
      <c r="AS538" s="1185"/>
      <c r="AU538" s="1204"/>
    </row>
    <row r="539" spans="1:47" s="1184" customFormat="1" hidden="1">
      <c r="A539" s="1005" t="s">
        <v>1034</v>
      </c>
      <c r="C539" s="1202">
        <f>C535</f>
        <v>0</v>
      </c>
      <c r="D539" s="269"/>
      <c r="E539" s="1185"/>
      <c r="F539" s="1203"/>
      <c r="G539" s="269"/>
      <c r="H539" s="1185"/>
      <c r="I539" s="1203"/>
      <c r="J539" s="1230">
        <f>J185</f>
        <v>2.6950000000000003</v>
      </c>
      <c r="K539" s="1009" t="s">
        <v>374</v>
      </c>
      <c r="L539" s="1203">
        <f t="shared" si="161"/>
        <v>0</v>
      </c>
      <c r="M539" s="1203"/>
      <c r="N539" s="1230" t="str">
        <f>N185</f>
        <v xml:space="preserve"> </v>
      </c>
      <c r="O539" s="1009" t="s">
        <v>374</v>
      </c>
      <c r="P539" s="1203">
        <f t="shared" si="162"/>
        <v>0</v>
      </c>
      <c r="Q539" s="1203"/>
      <c r="R539" s="1230" t="str">
        <f>R185</f>
        <v xml:space="preserve"> </v>
      </c>
      <c r="S539" s="1009" t="s">
        <v>374</v>
      </c>
      <c r="T539" s="1203">
        <f t="shared" si="163"/>
        <v>0</v>
      </c>
      <c r="U539" s="1203"/>
      <c r="V539" s="1230">
        <f>V185</f>
        <v>2.6950000000000003</v>
      </c>
      <c r="W539" s="1009" t="s">
        <v>374</v>
      </c>
      <c r="X539" s="1203">
        <f t="shared" si="164"/>
        <v>0</v>
      </c>
      <c r="Z539" s="815"/>
      <c r="AC539" s="1205"/>
      <c r="AD539" s="1205"/>
      <c r="AI539" s="1185"/>
      <c r="AJ539" s="1185"/>
      <c r="AK539" s="1185"/>
      <c r="AL539" s="1185"/>
      <c r="AM539" s="1185"/>
      <c r="AN539" s="1185"/>
      <c r="AO539" s="1185"/>
      <c r="AP539" s="1185"/>
      <c r="AQ539" s="1185"/>
      <c r="AR539" s="1185"/>
      <c r="AS539" s="1185"/>
      <c r="AU539" s="1204"/>
    </row>
    <row r="540" spans="1:47" hidden="1">
      <c r="A540" s="331" t="s">
        <v>401</v>
      </c>
      <c r="B540" s="1"/>
      <c r="C540" s="319"/>
      <c r="D540" s="332">
        <v>-0.01</v>
      </c>
      <c r="E540" s="321"/>
      <c r="F540" s="2"/>
      <c r="G540" s="332">
        <v>-0.01</v>
      </c>
      <c r="H540" s="323"/>
      <c r="I540" s="2"/>
      <c r="J540" s="332">
        <v>-0.01</v>
      </c>
      <c r="K540" s="323"/>
      <c r="L540" s="2"/>
      <c r="M540" s="2"/>
      <c r="N540" s="332">
        <v>-0.01</v>
      </c>
      <c r="O540" s="323"/>
      <c r="P540" s="2"/>
      <c r="Q540" s="2"/>
      <c r="R540" s="332">
        <v>-0.01</v>
      </c>
      <c r="S540" s="323"/>
      <c r="T540" s="2"/>
      <c r="U540" s="2"/>
      <c r="V540" s="332">
        <v>-0.01</v>
      </c>
      <c r="W540" s="323"/>
      <c r="X540" s="2"/>
      <c r="Y540" s="20"/>
      <c r="Z540" s="74"/>
      <c r="AA540" s="74"/>
      <c r="AB540" s="74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</row>
    <row r="541" spans="1:47" hidden="1">
      <c r="A541" s="1" t="s">
        <v>390</v>
      </c>
      <c r="B541" s="1"/>
      <c r="C541" s="319">
        <v>0</v>
      </c>
      <c r="D541" s="334">
        <v>104.52000000000001</v>
      </c>
      <c r="E541" s="321"/>
      <c r="F541" s="2">
        <f>-ROUND(D541*$C541/100,0)</f>
        <v>0</v>
      </c>
      <c r="G541" s="334">
        <v>104.52000000000001</v>
      </c>
      <c r="H541" s="321"/>
      <c r="I541" s="2">
        <f>-ROUND(G541*$C541/100,0)</f>
        <v>0</v>
      </c>
      <c r="J541" s="334">
        <f>J527</f>
        <v>120</v>
      </c>
      <c r="K541" s="321"/>
      <c r="L541" s="2">
        <f>-ROUND(J541*$C541/100,0)</f>
        <v>0</v>
      </c>
      <c r="M541" s="2"/>
      <c r="N541" s="334">
        <f>N527</f>
        <v>120</v>
      </c>
      <c r="O541" s="321"/>
      <c r="P541" s="2">
        <f>-ROUND(N541*$C541/100,0)</f>
        <v>0</v>
      </c>
      <c r="Q541" s="2"/>
      <c r="R541" s="334" t="str">
        <f>R527</f>
        <v xml:space="preserve"> </v>
      </c>
      <c r="S541" s="321"/>
      <c r="T541" s="2">
        <f>-ROUND(R541*$C541/100,0)</f>
        <v>0</v>
      </c>
      <c r="U541" s="2"/>
      <c r="V541" s="334" t="str">
        <f>V527</f>
        <v xml:space="preserve"> </v>
      </c>
      <c r="W541" s="321"/>
      <c r="X541" s="2">
        <f>-ROUND(V541*$C541/100,0)</f>
        <v>0</v>
      </c>
      <c r="Y541" s="20"/>
      <c r="Z541" s="74"/>
      <c r="AA541" s="74"/>
      <c r="AB541" s="74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</row>
    <row r="542" spans="1:47" hidden="1">
      <c r="A542" s="1" t="s">
        <v>391</v>
      </c>
      <c r="B542" s="1"/>
      <c r="C542" s="319">
        <v>0</v>
      </c>
      <c r="D542" s="334">
        <v>155.76</v>
      </c>
      <c r="E542" s="321"/>
      <c r="F542" s="2">
        <f>-ROUND(D542*$C542/100,0)</f>
        <v>0</v>
      </c>
      <c r="G542" s="334">
        <v>155.76</v>
      </c>
      <c r="H542" s="321"/>
      <c r="I542" s="2">
        <f t="shared" ref="I542:I544" si="165">-ROUND(G542*$C542/100,0)</f>
        <v>0</v>
      </c>
      <c r="J542" s="334">
        <f>J528</f>
        <v>180</v>
      </c>
      <c r="K542" s="321"/>
      <c r="L542" s="2">
        <f>-ROUND(J542*$C542/100,0)</f>
        <v>0</v>
      </c>
      <c r="M542" s="2"/>
      <c r="N542" s="334">
        <f>N528</f>
        <v>180</v>
      </c>
      <c r="O542" s="321"/>
      <c r="P542" s="2">
        <f>-ROUND(N542*$C542/100,0)</f>
        <v>0</v>
      </c>
      <c r="Q542" s="2"/>
      <c r="R542" s="334" t="str">
        <f>R528</f>
        <v xml:space="preserve"> </v>
      </c>
      <c r="S542" s="321"/>
      <c r="T542" s="2">
        <f>-ROUND(R542*$C542/100,0)</f>
        <v>0</v>
      </c>
      <c r="U542" s="2"/>
      <c r="V542" s="334" t="str">
        <f>V528</f>
        <v xml:space="preserve"> </v>
      </c>
      <c r="W542" s="321"/>
      <c r="X542" s="2">
        <f>-ROUND(V542*$C542/100,0)</f>
        <v>0</v>
      </c>
      <c r="Y542" s="20"/>
      <c r="Z542" s="74"/>
      <c r="AA542" s="74"/>
      <c r="AB542" s="74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</row>
    <row r="543" spans="1:47" hidden="1">
      <c r="A543" s="1" t="s">
        <v>402</v>
      </c>
      <c r="B543" s="1"/>
      <c r="C543" s="319">
        <v>0</v>
      </c>
      <c r="D543" s="334">
        <v>11.040000000000001</v>
      </c>
      <c r="E543" s="321"/>
      <c r="F543" s="2">
        <f>-ROUND(D543*$C543/100,0)</f>
        <v>0</v>
      </c>
      <c r="G543" s="334">
        <v>11.040000000000001</v>
      </c>
      <c r="H543" s="321"/>
      <c r="I543" s="2">
        <f t="shared" si="165"/>
        <v>0</v>
      </c>
      <c r="J543" s="334">
        <f>J529</f>
        <v>12</v>
      </c>
      <c r="K543" s="321"/>
      <c r="L543" s="2">
        <f>-ROUND(J543*$C543/100,0)</f>
        <v>0</v>
      </c>
      <c r="M543" s="2"/>
      <c r="N543" s="334">
        <f>N529</f>
        <v>12</v>
      </c>
      <c r="O543" s="321"/>
      <c r="P543" s="2">
        <f>-ROUND(N543*$C543/100,0)</f>
        <v>0</v>
      </c>
      <c r="Q543" s="2"/>
      <c r="R543" s="334" t="str">
        <f>R529</f>
        <v xml:space="preserve"> </v>
      </c>
      <c r="S543" s="321"/>
      <c r="T543" s="2">
        <f>-ROUND(R543*$C543/100,0)</f>
        <v>0</v>
      </c>
      <c r="U543" s="2"/>
      <c r="V543" s="334" t="str">
        <f>V529</f>
        <v xml:space="preserve"> </v>
      </c>
      <c r="W543" s="321"/>
      <c r="X543" s="2">
        <f>-ROUND(V543*$C543/100,0)</f>
        <v>0</v>
      </c>
      <c r="Y543" s="20"/>
      <c r="Z543" s="74"/>
      <c r="AA543" s="74"/>
      <c r="AB543" s="74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</row>
    <row r="544" spans="1:47" hidden="1">
      <c r="A544" s="1" t="s">
        <v>403</v>
      </c>
      <c r="B544" s="1"/>
      <c r="C544" s="319">
        <v>0</v>
      </c>
      <c r="D544" s="334">
        <v>3.4</v>
      </c>
      <c r="E544" s="323"/>
      <c r="F544" s="2">
        <f>-ROUND(D544*$C544/100,0)</f>
        <v>0</v>
      </c>
      <c r="G544" s="334">
        <v>3.61</v>
      </c>
      <c r="H544" s="323"/>
      <c r="I544" s="2">
        <f t="shared" si="165"/>
        <v>0</v>
      </c>
      <c r="J544" s="334">
        <f ca="1">J532</f>
        <v>3.77</v>
      </c>
      <c r="K544" s="323"/>
      <c r="L544" s="2">
        <f ca="1">-ROUND(J544*$C544/100,0)</f>
        <v>0</v>
      </c>
      <c r="M544" s="2"/>
      <c r="N544" s="334">
        <f ca="1">N532</f>
        <v>0.81</v>
      </c>
      <c r="O544" s="323"/>
      <c r="P544" s="2">
        <f ca="1">-ROUND(N544*$C544/100,0)</f>
        <v>0</v>
      </c>
      <c r="Q544" s="2"/>
      <c r="R544" s="334">
        <f ca="1">R532</f>
        <v>1.06</v>
      </c>
      <c r="S544" s="323"/>
      <c r="T544" s="2">
        <f ca="1">-ROUND(R544*$C544/100,0)</f>
        <v>0</v>
      </c>
      <c r="U544" s="2"/>
      <c r="V544" s="334">
        <f ca="1">V532</f>
        <v>1.9</v>
      </c>
      <c r="W544" s="323"/>
      <c r="X544" s="2">
        <f ca="1">-ROUND(V544*$C544/100,0)</f>
        <v>0</v>
      </c>
      <c r="Y544" s="20"/>
      <c r="Z544" s="74"/>
      <c r="AA544" s="74"/>
      <c r="AB544" s="74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</row>
    <row r="545" spans="1:47" hidden="1">
      <c r="A545" s="1" t="s">
        <v>405</v>
      </c>
      <c r="B545" s="1"/>
      <c r="C545" s="319">
        <v>0</v>
      </c>
      <c r="D545" s="335">
        <v>9.766</v>
      </c>
      <c r="E545" s="323" t="s">
        <v>374</v>
      </c>
      <c r="F545" s="2">
        <f>ROUND(D545*$C545/100*D540,0)</f>
        <v>0</v>
      </c>
      <c r="G545" s="335">
        <v>10.359</v>
      </c>
      <c r="H545" s="323" t="s">
        <v>374</v>
      </c>
      <c r="I545" s="2">
        <f>ROUND(G545*$C545/100*G540,0)</f>
        <v>0</v>
      </c>
      <c r="J545" s="335">
        <f ca="1">J533</f>
        <v>6.282</v>
      </c>
      <c r="K545" s="323" t="s">
        <v>374</v>
      </c>
      <c r="L545" s="2">
        <f ca="1">ROUND(J545*$C545/100*J540,0)</f>
        <v>0</v>
      </c>
      <c r="M545" s="2"/>
      <c r="N545" s="335">
        <f ca="1">N533</f>
        <v>1.3483746810352102</v>
      </c>
      <c r="O545" s="323" t="s">
        <v>374</v>
      </c>
      <c r="P545" s="2">
        <f ca="1">ROUND(N545*$C545/100*N540,0)</f>
        <v>0</v>
      </c>
      <c r="Q545" s="2"/>
      <c r="R545" s="335">
        <f ca="1">R533</f>
        <v>1.7708525176705459</v>
      </c>
      <c r="S545" s="323" t="s">
        <v>374</v>
      </c>
      <c r="T545" s="2">
        <f ca="1">ROUND(R545*$C545/100*R540,0)</f>
        <v>0</v>
      </c>
      <c r="U545" s="2"/>
      <c r="V545" s="335">
        <f ca="1">V533</f>
        <v>3.162955363125258</v>
      </c>
      <c r="W545" s="323" t="s">
        <v>374</v>
      </c>
      <c r="X545" s="2">
        <f ca="1">ROUND(V545*$C545/100*V540,0)</f>
        <v>0</v>
      </c>
      <c r="Y545" s="20"/>
      <c r="Z545" s="74"/>
      <c r="AA545" s="74"/>
      <c r="AB545" s="74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</row>
    <row r="546" spans="1:47" hidden="1">
      <c r="A546" s="1" t="s">
        <v>398</v>
      </c>
      <c r="B546" s="1"/>
      <c r="C546" s="319">
        <v>0</v>
      </c>
      <c r="D546" s="335">
        <v>6.7460000000000004</v>
      </c>
      <c r="E546" s="323" t="s">
        <v>374</v>
      </c>
      <c r="F546" s="2">
        <f>ROUND(D546*$C546/100*D540,0)</f>
        <v>0</v>
      </c>
      <c r="G546" s="335">
        <v>7.1559999999999997</v>
      </c>
      <c r="H546" s="323" t="s">
        <v>374</v>
      </c>
      <c r="I546" s="2">
        <f>ROUND(G546*$C546/100*G540,0)</f>
        <v>0</v>
      </c>
      <c r="J546" s="335">
        <f ca="1">J534</f>
        <v>4.3410000000000002</v>
      </c>
      <c r="K546" s="323" t="s">
        <v>374</v>
      </c>
      <c r="L546" s="2">
        <f ca="1">ROUND(J546*$C546/100*J540,0)</f>
        <v>0</v>
      </c>
      <c r="M546" s="2"/>
      <c r="N546" s="335">
        <f ca="1">N534</f>
        <v>0.93175626548296309</v>
      </c>
      <c r="O546" s="323" t="s">
        <v>374</v>
      </c>
      <c r="P546" s="2">
        <f ca="1">ROUND(N546*$C546/100*N540,0)</f>
        <v>0</v>
      </c>
      <c r="Q546" s="2"/>
      <c r="R546" s="335">
        <f ca="1">R534</f>
        <v>1.2240066282869231</v>
      </c>
      <c r="S546" s="323" t="s">
        <v>374</v>
      </c>
      <c r="T546" s="2">
        <f ca="1">ROUND(R546*$C546/100*R540,0)</f>
        <v>0</v>
      </c>
      <c r="U546" s="2"/>
      <c r="V546" s="335">
        <f ca="1">V534</f>
        <v>2.1849800075654815</v>
      </c>
      <c r="W546" s="323" t="s">
        <v>374</v>
      </c>
      <c r="X546" s="2">
        <f ca="1">ROUND(V546*$C546/100*V540,0)</f>
        <v>0</v>
      </c>
      <c r="Y546" s="20"/>
      <c r="Z546" s="74"/>
      <c r="AA546" s="74"/>
      <c r="AB546" s="74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</row>
    <row r="547" spans="1:47" hidden="1">
      <c r="A547" s="1" t="s">
        <v>399</v>
      </c>
      <c r="B547" s="1"/>
      <c r="C547" s="319">
        <v>0</v>
      </c>
      <c r="D547" s="335">
        <v>5.8120000000000003</v>
      </c>
      <c r="E547" s="323" t="s">
        <v>374</v>
      </c>
      <c r="F547" s="2">
        <f>ROUND(D547*$C547/100*D540,0)</f>
        <v>0</v>
      </c>
      <c r="G547" s="335">
        <v>6.1660000000000004</v>
      </c>
      <c r="H547" s="323" t="s">
        <v>374</v>
      </c>
      <c r="I547" s="2">
        <f>ROUND(G547*$C547/100*G540,0)</f>
        <v>0</v>
      </c>
      <c r="J547" s="335">
        <f ca="1">J535</f>
        <v>3.74</v>
      </c>
      <c r="K547" s="323" t="s">
        <v>374</v>
      </c>
      <c r="L547" s="2">
        <f ca="1">ROUND(J547*$C547/100*J540,0)</f>
        <v>0</v>
      </c>
      <c r="M547" s="2"/>
      <c r="N547" s="335">
        <f ca="1">N535</f>
        <v>0.80275718206159852</v>
      </c>
      <c r="O547" s="323" t="s">
        <v>374</v>
      </c>
      <c r="P547" s="2">
        <f ca="1">ROUND(N547*$C547/100*N540,0)</f>
        <v>0</v>
      </c>
      <c r="Q547" s="2"/>
      <c r="R547" s="335">
        <f ca="1">R535</f>
        <v>1.0536847359511734</v>
      </c>
      <c r="S547" s="323" t="s">
        <v>374</v>
      </c>
      <c r="T547" s="2">
        <f ca="1">ROUND(R547*$C547/100*R540,0)</f>
        <v>0</v>
      </c>
      <c r="U547" s="2"/>
      <c r="V547" s="335">
        <f ca="1">V535</f>
        <v>1.8834755557989509</v>
      </c>
      <c r="W547" s="323" t="s">
        <v>374</v>
      </c>
      <c r="X547" s="2">
        <f ca="1">ROUND(V547*$C547/100*V540,0)</f>
        <v>0</v>
      </c>
      <c r="Y547" s="20"/>
      <c r="Z547" s="74"/>
      <c r="AA547" s="74"/>
      <c r="AB547" s="74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</row>
    <row r="548" spans="1:47" hidden="1">
      <c r="A548" s="1" t="s">
        <v>400</v>
      </c>
      <c r="B548" s="1"/>
      <c r="C548" s="319">
        <v>0</v>
      </c>
      <c r="D548" s="336">
        <v>56</v>
      </c>
      <c r="E548" s="323" t="s">
        <v>374</v>
      </c>
      <c r="F548" s="2">
        <f>ROUND(D548*$C548/100*D540,0)</f>
        <v>0</v>
      </c>
      <c r="G548" s="336">
        <v>56</v>
      </c>
      <c r="H548" s="323" t="s">
        <v>374</v>
      </c>
      <c r="I548" s="2">
        <f>ROUND(G548*$C548/100*G540,0)</f>
        <v>0</v>
      </c>
      <c r="J548" s="336">
        <f>J536</f>
        <v>56</v>
      </c>
      <c r="K548" s="323" t="s">
        <v>374</v>
      </c>
      <c r="L548" s="2">
        <f>ROUND(J548*$C548/100*J540,0)</f>
        <v>0</v>
      </c>
      <c r="M548" s="2"/>
      <c r="N548" s="336" t="str">
        <f>N536</f>
        <v xml:space="preserve"> </v>
      </c>
      <c r="O548" s="323" t="s">
        <v>374</v>
      </c>
      <c r="P548" s="2">
        <f>ROUND(N548*$C548/100*N540,0)</f>
        <v>0</v>
      </c>
      <c r="Q548" s="2"/>
      <c r="R548" s="336">
        <f ca="1">R536</f>
        <v>11</v>
      </c>
      <c r="S548" s="323" t="s">
        <v>374</v>
      </c>
      <c r="T548" s="2">
        <f ca="1">ROUND(R548*$C548/100*R540,0)</f>
        <v>0</v>
      </c>
      <c r="U548" s="2"/>
      <c r="V548" s="336">
        <f ca="1">V536</f>
        <v>45</v>
      </c>
      <c r="W548" s="323" t="s">
        <v>374</v>
      </c>
      <c r="X548" s="2">
        <f ca="1">ROUND(V548*$C548/100*V540,0)</f>
        <v>0</v>
      </c>
      <c r="Y548" s="20"/>
      <c r="Z548" s="74"/>
      <c r="AA548" s="74"/>
      <c r="AB548" s="74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</row>
    <row r="549" spans="1:47" hidden="1">
      <c r="A549" s="1" t="s">
        <v>407</v>
      </c>
      <c r="B549" s="1"/>
      <c r="C549" s="319">
        <v>0</v>
      </c>
      <c r="D549" s="337">
        <v>60</v>
      </c>
      <c r="E549" s="321"/>
      <c r="F549" s="2">
        <f>ROUND(D549*$C549,0)</f>
        <v>0</v>
      </c>
      <c r="G549" s="337">
        <v>60</v>
      </c>
      <c r="H549" s="323"/>
      <c r="I549" s="2">
        <f>ROUND(G549*C549,0)</f>
        <v>0</v>
      </c>
      <c r="J549" s="337">
        <f>$J$198</f>
        <v>60</v>
      </c>
      <c r="K549" s="323"/>
      <c r="L549" s="2">
        <f>ROUND(J549*$C549,0)</f>
        <v>0</v>
      </c>
      <c r="M549" s="2"/>
      <c r="N549" s="337" t="str">
        <f>$N$198</f>
        <v xml:space="preserve"> </v>
      </c>
      <c r="O549" s="323"/>
      <c r="P549" s="2">
        <f>ROUND(N549*$C549,0)</f>
        <v>0</v>
      </c>
      <c r="Q549" s="2"/>
      <c r="R549" s="337">
        <f ca="1">$R$198</f>
        <v>11.86</v>
      </c>
      <c r="S549" s="323"/>
      <c r="T549" s="2">
        <f ca="1">ROUND(R549*$C549,0)</f>
        <v>0</v>
      </c>
      <c r="U549" s="2"/>
      <c r="V549" s="337">
        <f ca="1">$V$198</f>
        <v>48.14</v>
      </c>
      <c r="W549" s="323"/>
      <c r="X549" s="2">
        <f ca="1">ROUND(V549*$C549,0)</f>
        <v>0</v>
      </c>
      <c r="Y549" s="20"/>
      <c r="Z549" s="74"/>
      <c r="AA549" s="74"/>
      <c r="AB549" s="74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</row>
    <row r="550" spans="1:47" hidden="1">
      <c r="A550" s="1" t="s">
        <v>408</v>
      </c>
      <c r="B550" s="1"/>
      <c r="C550" s="319">
        <v>0</v>
      </c>
      <c r="D550" s="339">
        <v>-30</v>
      </c>
      <c r="E550" s="321" t="s">
        <v>374</v>
      </c>
      <c r="F550" s="2">
        <f>ROUND(D550*$C550/100,0)</f>
        <v>0</v>
      </c>
      <c r="G550" s="339">
        <v>-30</v>
      </c>
      <c r="H550" s="323" t="s">
        <v>374</v>
      </c>
      <c r="I550" s="2">
        <f>ROUND(G550*C550/100,0)</f>
        <v>0</v>
      </c>
      <c r="J550" s="339">
        <f>$J$199</f>
        <v>-30</v>
      </c>
      <c r="K550" s="323" t="s">
        <v>374</v>
      </c>
      <c r="L550" s="2">
        <f>ROUND(J550*$C550/100,0)</f>
        <v>0</v>
      </c>
      <c r="M550" s="2"/>
      <c r="N550" s="339">
        <f>$N$199</f>
        <v>-30</v>
      </c>
      <c r="O550" s="323" t="s">
        <v>374</v>
      </c>
      <c r="P550" s="2">
        <f>ROUND(N550*$C550/100,0)</f>
        <v>0</v>
      </c>
      <c r="Q550" s="2"/>
      <c r="R550" s="339" t="str">
        <f>$R$199</f>
        <v xml:space="preserve"> </v>
      </c>
      <c r="S550" s="323" t="s">
        <v>374</v>
      </c>
      <c r="T550" s="2">
        <f>ROUND(R550*$C550/100,0)</f>
        <v>0</v>
      </c>
      <c r="U550" s="2"/>
      <c r="V550" s="339" t="str">
        <f>$V$199</f>
        <v xml:space="preserve"> </v>
      </c>
      <c r="W550" s="323" t="s">
        <v>374</v>
      </c>
      <c r="X550" s="2">
        <f>ROUND(V550*$C550/100,0)</f>
        <v>0</v>
      </c>
      <c r="Y550" s="20"/>
      <c r="Z550" s="74"/>
      <c r="AA550" s="74"/>
      <c r="AB550" s="74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</row>
    <row r="551" spans="1:47" s="1184" customFormat="1" hidden="1">
      <c r="A551" s="1005" t="s">
        <v>1032</v>
      </c>
      <c r="C551" s="1202">
        <f>C545</f>
        <v>0</v>
      </c>
      <c r="D551" s="269"/>
      <c r="E551" s="1185"/>
      <c r="F551" s="1203"/>
      <c r="G551" s="269"/>
      <c r="H551" s="1185"/>
      <c r="I551" s="1203"/>
      <c r="J551" s="1230">
        <f>J183</f>
        <v>4.5289999999999999</v>
      </c>
      <c r="K551" s="1009" t="s">
        <v>374</v>
      </c>
      <c r="L551" s="2">
        <f>ROUND(J551*$C551/100*J540,0)</f>
        <v>0</v>
      </c>
      <c r="M551" s="2"/>
      <c r="N551" s="1230" t="str">
        <f>N183</f>
        <v xml:space="preserve"> </v>
      </c>
      <c r="O551" s="1009" t="s">
        <v>374</v>
      </c>
      <c r="P551" s="2">
        <f>ROUND(N551*$C551/100*N540,0)</f>
        <v>0</v>
      </c>
      <c r="Q551" s="2"/>
      <c r="R551" s="1230" t="str">
        <f>R183</f>
        <v xml:space="preserve"> </v>
      </c>
      <c r="S551" s="1009" t="s">
        <v>374</v>
      </c>
      <c r="T551" s="2">
        <f>ROUND(R551*$C551/100*R540,0)</f>
        <v>0</v>
      </c>
      <c r="U551" s="2"/>
      <c r="V551" s="1230">
        <f>V183</f>
        <v>4.5289999999999999</v>
      </c>
      <c r="W551" s="1009" t="s">
        <v>374</v>
      </c>
      <c r="X551" s="2">
        <f>ROUND(V551*$C551/100*V540,0)</f>
        <v>0</v>
      </c>
      <c r="Z551" s="815"/>
      <c r="AC551" s="1205"/>
      <c r="AD551" s="1205"/>
      <c r="AI551" s="1185"/>
      <c r="AJ551" s="1185"/>
      <c r="AK551" s="1185"/>
      <c r="AL551" s="1185"/>
      <c r="AM551" s="1185"/>
      <c r="AN551" s="1185"/>
      <c r="AO551" s="1185"/>
      <c r="AP551" s="1185"/>
      <c r="AQ551" s="1185"/>
      <c r="AR551" s="1185"/>
      <c r="AS551" s="1185"/>
      <c r="AU551" s="1204"/>
    </row>
    <row r="552" spans="1:47" s="1184" customFormat="1" hidden="1">
      <c r="A552" s="1005" t="s">
        <v>1033</v>
      </c>
      <c r="C552" s="1202">
        <f>C546</f>
        <v>0</v>
      </c>
      <c r="D552" s="269"/>
      <c r="E552" s="1185"/>
      <c r="F552" s="1203"/>
      <c r="G552" s="269"/>
      <c r="H552" s="1185"/>
      <c r="I552" s="1203"/>
      <c r="J552" s="1230">
        <f>J184</f>
        <v>3.1270000000000002</v>
      </c>
      <c r="K552" s="1009" t="s">
        <v>374</v>
      </c>
      <c r="L552" s="2">
        <f>ROUND(J552*$C552/100*J540,0)</f>
        <v>0</v>
      </c>
      <c r="M552" s="2"/>
      <c r="N552" s="1230" t="str">
        <f>N184</f>
        <v xml:space="preserve"> </v>
      </c>
      <c r="O552" s="1009" t="s">
        <v>374</v>
      </c>
      <c r="P552" s="2">
        <f>ROUND(N552*$C552/100*N540,0)</f>
        <v>0</v>
      </c>
      <c r="Q552" s="2"/>
      <c r="R552" s="1230" t="str">
        <f>R184</f>
        <v xml:space="preserve"> </v>
      </c>
      <c r="S552" s="1009" t="s">
        <v>374</v>
      </c>
      <c r="T552" s="2">
        <f>ROUND(R552*$C552/100*R540,0)</f>
        <v>0</v>
      </c>
      <c r="U552" s="2"/>
      <c r="V552" s="1230">
        <f>V184</f>
        <v>3.1270000000000002</v>
      </c>
      <c r="W552" s="1009" t="s">
        <v>374</v>
      </c>
      <c r="X552" s="2">
        <f>ROUND(V552*$C552/100*V540,0)</f>
        <v>0</v>
      </c>
      <c r="Z552" s="815"/>
      <c r="AC552" s="1205"/>
      <c r="AD552" s="1205"/>
      <c r="AI552" s="1185"/>
      <c r="AJ552" s="1185"/>
      <c r="AK552" s="1185"/>
      <c r="AL552" s="1185"/>
      <c r="AM552" s="1185"/>
      <c r="AN552" s="1185"/>
      <c r="AO552" s="1185"/>
      <c r="AP552" s="1185"/>
      <c r="AQ552" s="1185"/>
      <c r="AR552" s="1185"/>
      <c r="AS552" s="1185"/>
      <c r="AU552" s="1204"/>
    </row>
    <row r="553" spans="1:47" s="1184" customFormat="1" hidden="1">
      <c r="A553" s="1005" t="s">
        <v>1034</v>
      </c>
      <c r="C553" s="1202">
        <f>C547</f>
        <v>0</v>
      </c>
      <c r="D553" s="269"/>
      <c r="E553" s="1185"/>
      <c r="F553" s="1203"/>
      <c r="G553" s="269"/>
      <c r="H553" s="1185"/>
      <c r="I553" s="1203"/>
      <c r="J553" s="1230">
        <f>J185</f>
        <v>2.6950000000000003</v>
      </c>
      <c r="K553" s="1009" t="s">
        <v>374</v>
      </c>
      <c r="L553" s="2">
        <f>ROUND(J553*$C553/100*J540,0)</f>
        <v>0</v>
      </c>
      <c r="M553" s="2"/>
      <c r="N553" s="1230" t="str">
        <f>N185</f>
        <v xml:space="preserve"> </v>
      </c>
      <c r="O553" s="1009" t="s">
        <v>374</v>
      </c>
      <c r="P553" s="2">
        <f>ROUND(N553*$C553/100*N540,0)</f>
        <v>0</v>
      </c>
      <c r="Q553" s="2"/>
      <c r="R553" s="1230" t="str">
        <f>R185</f>
        <v xml:space="preserve"> </v>
      </c>
      <c r="S553" s="1009" t="s">
        <v>374</v>
      </c>
      <c r="T553" s="2">
        <f>ROUND(R553*$C553/100*R540,0)</f>
        <v>0</v>
      </c>
      <c r="U553" s="2"/>
      <c r="V553" s="1230">
        <f>V185</f>
        <v>2.6950000000000003</v>
      </c>
      <c r="W553" s="1009" t="s">
        <v>374</v>
      </c>
      <c r="X553" s="2">
        <f>ROUND(V553*$C553/100*V540,0)</f>
        <v>0</v>
      </c>
      <c r="Z553" s="815"/>
      <c r="AC553" s="1205"/>
      <c r="AD553" s="1205"/>
      <c r="AI553" s="1185"/>
      <c r="AJ553" s="1185"/>
      <c r="AK553" s="1185"/>
      <c r="AL553" s="1185"/>
      <c r="AM553" s="1185"/>
      <c r="AN553" s="1185"/>
      <c r="AO553" s="1185"/>
      <c r="AP553" s="1185"/>
      <c r="AQ553" s="1185"/>
      <c r="AR553" s="1185"/>
      <c r="AS553" s="1185"/>
      <c r="AU553" s="1204"/>
    </row>
    <row r="554" spans="1:47" hidden="1">
      <c r="A554" s="1" t="s">
        <v>381</v>
      </c>
      <c r="B554" s="1"/>
      <c r="C554" s="319">
        <f>SUM(C533:C535)</f>
        <v>9552</v>
      </c>
      <c r="D554" s="330"/>
      <c r="E554" s="2"/>
      <c r="F554" s="2">
        <f>SUM(F527:F550)</f>
        <v>2813</v>
      </c>
      <c r="G554" s="330"/>
      <c r="H554" s="323"/>
      <c r="I554" s="2">
        <f>SUM(I527:I550)</f>
        <v>2926</v>
      </c>
      <c r="J554" s="330"/>
      <c r="K554" s="323"/>
      <c r="L554" s="2">
        <f ca="1">SUM(L527:L553)</f>
        <v>3107</v>
      </c>
      <c r="M554" s="2"/>
      <c r="N554" s="330"/>
      <c r="O554" s="323"/>
      <c r="P554" s="2">
        <f ca="1">SUM(P527:P553)</f>
        <v>1432</v>
      </c>
      <c r="Q554" s="2"/>
      <c r="R554" s="330"/>
      <c r="S554" s="323"/>
      <c r="T554" s="2">
        <f ca="1">SUM(T527:T553)</f>
        <v>462</v>
      </c>
      <c r="U554" s="2"/>
      <c r="V554" s="330"/>
      <c r="W554" s="323"/>
      <c r="X554" s="2">
        <f ca="1">SUM(X527:X553)</f>
        <v>1213</v>
      </c>
      <c r="Y554" s="20"/>
      <c r="Z554" s="74"/>
      <c r="AA554" s="74"/>
      <c r="AB554" s="74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</row>
    <row r="555" spans="1:47" hidden="1">
      <c r="A555" s="1" t="s">
        <v>363</v>
      </c>
      <c r="B555" s="1"/>
      <c r="C555" s="349">
        <f ca="1">'Table 2'!H73</f>
        <v>-152.99954160020027</v>
      </c>
      <c r="D555" s="309"/>
      <c r="E555" s="309"/>
      <c r="F555" s="341">
        <f ca="1">I555</f>
        <v>-61.346930189487033</v>
      </c>
      <c r="G555" s="309"/>
      <c r="H555" s="309"/>
      <c r="I555" s="341">
        <f ca="1">'Table 3'!E73</f>
        <v>-61.346930189487033</v>
      </c>
      <c r="J555" s="309"/>
      <c r="K555" s="309"/>
      <c r="L555" s="341">
        <f ca="1">I555</f>
        <v>-61.346930189487033</v>
      </c>
      <c r="M555" s="322"/>
      <c r="N555" s="309"/>
      <c r="O555" s="309"/>
      <c r="P555" s="341">
        <f ca="1">P204/L204*L555</f>
        <v>-12.093406396704198</v>
      </c>
      <c r="Q555" s="322"/>
      <c r="R555" s="309"/>
      <c r="S555" s="309"/>
      <c r="T555" s="341">
        <f ca="1">T204/L204*L555</f>
        <v>-9.7390450980643006</v>
      </c>
      <c r="U555" s="322"/>
      <c r="V555" s="309"/>
      <c r="W555" s="309"/>
      <c r="X555" s="341">
        <f ca="1">X204/L204*L555</f>
        <v>-39.514478694718534</v>
      </c>
      <c r="Y555" s="444"/>
      <c r="Z555" s="287"/>
      <c r="AA555" s="74"/>
      <c r="AB555" s="74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</row>
    <row r="556" spans="1:47" ht="16.5" hidden="1" thickBot="1">
      <c r="A556" s="1" t="s">
        <v>382</v>
      </c>
      <c r="B556" s="1"/>
      <c r="C556" s="311">
        <f ca="1">SUM(C554:C555)</f>
        <v>9399.0004583997998</v>
      </c>
      <c r="D556" s="342"/>
      <c r="E556" s="343"/>
      <c r="F556" s="344">
        <f ca="1">F554+F555</f>
        <v>2751.653069810513</v>
      </c>
      <c r="G556" s="342"/>
      <c r="H556" s="345"/>
      <c r="I556" s="344">
        <f ca="1">I554+I555</f>
        <v>2864.653069810513</v>
      </c>
      <c r="J556" s="342"/>
      <c r="K556" s="345"/>
      <c r="L556" s="344">
        <f ca="1">L554+L555</f>
        <v>3045.653069810513</v>
      </c>
      <c r="M556" s="344"/>
      <c r="N556" s="342"/>
      <c r="O556" s="345"/>
      <c r="P556" s="344">
        <f ca="1">P554+P555</f>
        <v>1419.9065936032957</v>
      </c>
      <c r="Q556" s="344"/>
      <c r="R556" s="342"/>
      <c r="S556" s="345"/>
      <c r="T556" s="344">
        <f ca="1">T554+T555</f>
        <v>452.26095490193569</v>
      </c>
      <c r="U556" s="344"/>
      <c r="V556" s="342"/>
      <c r="W556" s="345"/>
      <c r="X556" s="344">
        <f ca="1">X554+X555</f>
        <v>1173.4855213052815</v>
      </c>
      <c r="Y556" s="411"/>
      <c r="Z556" s="470"/>
      <c r="AA556" s="74"/>
      <c r="AB556" s="74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</row>
    <row r="557" spans="1:47" ht="16.5" hidden="1" thickTop="1">
      <c r="A557" s="1"/>
      <c r="B557" s="1"/>
      <c r="C557" s="21"/>
      <c r="D557" s="337" t="s">
        <v>31</v>
      </c>
      <c r="E557" s="2"/>
      <c r="F557" s="2"/>
      <c r="G557" s="337" t="s">
        <v>31</v>
      </c>
      <c r="H557" s="1"/>
      <c r="I557" s="2"/>
      <c r="J557" s="353" t="s">
        <v>31</v>
      </c>
      <c r="K557" s="1"/>
      <c r="L557" s="2" t="s">
        <v>31</v>
      </c>
      <c r="M557" s="2"/>
      <c r="N557" s="353" t="s">
        <v>31</v>
      </c>
      <c r="O557" s="1"/>
      <c r="P557" s="2" t="s">
        <v>31</v>
      </c>
      <c r="Q557" s="2"/>
      <c r="R557" s="353" t="s">
        <v>31</v>
      </c>
      <c r="S557" s="1"/>
      <c r="T557" s="2" t="s">
        <v>31</v>
      </c>
      <c r="U557" s="2"/>
      <c r="V557" s="353" t="s">
        <v>31</v>
      </c>
      <c r="W557" s="1"/>
      <c r="X557" s="2" t="s">
        <v>31</v>
      </c>
      <c r="Y557" s="20"/>
      <c r="Z557" s="74"/>
      <c r="AA557" s="74"/>
      <c r="AB557" s="74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</row>
    <row r="558" spans="1:47">
      <c r="A558" s="293" t="s">
        <v>420</v>
      </c>
      <c r="B558" s="1"/>
      <c r="C558" s="354"/>
      <c r="D558" s="2"/>
      <c r="E558" s="2"/>
      <c r="F558" s="1"/>
      <c r="G558" s="2"/>
      <c r="H558" s="1"/>
      <c r="I558" s="1"/>
      <c r="J558" s="2"/>
      <c r="K558" s="1"/>
      <c r="L558" s="2" t="s">
        <v>31</v>
      </c>
      <c r="M558" s="2"/>
      <c r="N558" s="2"/>
      <c r="O558" s="1"/>
      <c r="P558" s="2" t="s">
        <v>31</v>
      </c>
      <c r="Q558" s="2"/>
      <c r="R558" s="2"/>
      <c r="S558" s="1"/>
      <c r="T558" s="2" t="s">
        <v>31</v>
      </c>
      <c r="U558" s="2"/>
      <c r="V558" s="2"/>
      <c r="W558" s="1"/>
      <c r="X558" s="2" t="s">
        <v>31</v>
      </c>
      <c r="Y558" s="20"/>
      <c r="Z558" s="74"/>
      <c r="AA558" s="74"/>
      <c r="AB558" s="74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</row>
    <row r="559" spans="1:47">
      <c r="A559" s="323" t="s">
        <v>335</v>
      </c>
      <c r="B559" s="1"/>
      <c r="C559" s="1" t="s">
        <v>31</v>
      </c>
      <c r="D559" s="2"/>
      <c r="E559" s="2"/>
      <c r="F559" s="1"/>
      <c r="G559" s="2"/>
      <c r="H559" s="1"/>
      <c r="I559" s="1"/>
      <c r="J559" s="2"/>
      <c r="K559" s="1"/>
      <c r="L559" s="1"/>
      <c r="M559" s="1"/>
      <c r="N559" s="2"/>
      <c r="O559" s="1"/>
      <c r="P559" s="1"/>
      <c r="Q559" s="1"/>
      <c r="R559" s="2"/>
      <c r="S559" s="1"/>
      <c r="T559" s="1"/>
      <c r="U559" s="1"/>
      <c r="V559" s="2"/>
      <c r="W559" s="1"/>
      <c r="X559" s="1"/>
      <c r="Y559" s="20"/>
      <c r="Z559" s="74"/>
      <c r="AA559" s="74"/>
      <c r="AB559" s="74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</row>
    <row r="560" spans="1:47">
      <c r="A560" s="323"/>
      <c r="B560" s="1"/>
      <c r="C560" s="1"/>
      <c r="D560" s="2"/>
      <c r="E560" s="2"/>
      <c r="F560" s="1"/>
      <c r="G560" s="2"/>
      <c r="H560" s="1"/>
      <c r="I560" s="1"/>
      <c r="J560" s="2"/>
      <c r="K560" s="1"/>
      <c r="L560" s="1"/>
      <c r="M560" s="1"/>
      <c r="N560" s="2"/>
      <c r="O560" s="1"/>
      <c r="P560" s="1"/>
      <c r="Q560" s="1"/>
      <c r="R560" s="2"/>
      <c r="S560" s="1"/>
      <c r="T560" s="1"/>
      <c r="U560" s="1"/>
      <c r="V560" s="2"/>
      <c r="W560" s="1"/>
      <c r="X560" s="1"/>
      <c r="Y560" s="20"/>
      <c r="Z560" s="74"/>
      <c r="AA560" s="74"/>
      <c r="AB560" s="74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</row>
    <row r="561" spans="1:47">
      <c r="A561" s="323" t="s">
        <v>393</v>
      </c>
      <c r="B561" s="1"/>
      <c r="C561" s="319"/>
      <c r="D561" s="2"/>
      <c r="E561" s="2"/>
      <c r="F561" s="1"/>
      <c r="G561" s="2"/>
      <c r="H561" s="1"/>
      <c r="I561" s="1"/>
      <c r="J561" s="2"/>
      <c r="K561" s="1"/>
      <c r="L561" s="1"/>
      <c r="M561" s="1"/>
      <c r="N561" s="2"/>
      <c r="O561" s="1"/>
      <c r="P561" s="1"/>
      <c r="Q561" s="1"/>
      <c r="R561" s="2"/>
      <c r="S561" s="1"/>
      <c r="T561" s="1"/>
      <c r="U561" s="1"/>
      <c r="V561" s="2"/>
      <c r="W561" s="1"/>
      <c r="X561" s="1"/>
      <c r="Y561" s="20"/>
      <c r="Z561" s="74"/>
      <c r="AA561" s="74"/>
      <c r="AB561" s="74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</row>
    <row r="562" spans="1:47">
      <c r="A562" s="323" t="s">
        <v>421</v>
      </c>
      <c r="B562" s="1"/>
      <c r="C562" s="319">
        <v>0</v>
      </c>
      <c r="D562" s="355">
        <v>259</v>
      </c>
      <c r="E562" s="323"/>
      <c r="F562" s="321">
        <f t="shared" ref="F562:F564" si="166">ROUND(D562*$C562,0)</f>
        <v>0</v>
      </c>
      <c r="G562" s="355">
        <v>259</v>
      </c>
      <c r="H562" s="323"/>
      <c r="I562" s="321">
        <f>ROUND(E562*$C562,0)</f>
        <v>0</v>
      </c>
      <c r="J562" s="355">
        <f>'Rate Design Work'!J561</f>
        <v>259</v>
      </c>
      <c r="K562" s="323"/>
      <c r="L562" s="321">
        <f>ROUND(J562*$C562,0)</f>
        <v>0</v>
      </c>
      <c r="M562" s="321"/>
      <c r="N562" s="355">
        <f>'Rate Design Work'!N561</f>
        <v>259</v>
      </c>
      <c r="O562" s="323"/>
      <c r="P562" s="321">
        <f>'Rate Design Work'!P561</f>
        <v>0</v>
      </c>
      <c r="Q562" s="321"/>
      <c r="R562" s="355" t="str">
        <f>'Rate Design Work'!R561</f>
        <v xml:space="preserve"> </v>
      </c>
      <c r="S562" s="323"/>
      <c r="T562" s="321">
        <f>'Rate Design Work'!T561</f>
        <v>0</v>
      </c>
      <c r="U562" s="321"/>
      <c r="V562" s="355" t="str">
        <f>'Rate Design Work'!V561</f>
        <v xml:space="preserve"> </v>
      </c>
      <c r="W562" s="323"/>
      <c r="X562" s="321">
        <f>'Rate Design Work'!X561</f>
        <v>0</v>
      </c>
      <c r="Y562" s="20"/>
      <c r="Z562" s="74"/>
      <c r="AA562" s="74"/>
      <c r="AB562" s="74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</row>
    <row r="563" spans="1:47">
      <c r="A563" s="323" t="s">
        <v>422</v>
      </c>
      <c r="B563" s="1"/>
      <c r="C563" s="319">
        <v>0</v>
      </c>
      <c r="D563" s="355">
        <v>96</v>
      </c>
      <c r="E563" s="323"/>
      <c r="F563" s="321">
        <f t="shared" si="166"/>
        <v>0</v>
      </c>
      <c r="G563" s="355">
        <v>96</v>
      </c>
      <c r="H563" s="323"/>
      <c r="I563" s="321">
        <f>ROUND(E563*$C563,0)</f>
        <v>0</v>
      </c>
      <c r="J563" s="355">
        <f>'Rate Design Work'!J562</f>
        <v>96</v>
      </c>
      <c r="K563" s="323"/>
      <c r="L563" s="321">
        <f>ROUND(J563*$C563,0)</f>
        <v>0</v>
      </c>
      <c r="M563" s="321"/>
      <c r="N563" s="355">
        <f>'Rate Design Work'!N562</f>
        <v>96</v>
      </c>
      <c r="O563" s="323"/>
      <c r="P563" s="321">
        <f>'Rate Design Work'!P562</f>
        <v>0</v>
      </c>
      <c r="Q563" s="321"/>
      <c r="R563" s="355" t="str">
        <f>'Rate Design Work'!R562</f>
        <v xml:space="preserve"> </v>
      </c>
      <c r="S563" s="323"/>
      <c r="T563" s="321">
        <f>'Rate Design Work'!T562</f>
        <v>0</v>
      </c>
      <c r="U563" s="321"/>
      <c r="V563" s="355" t="str">
        <f>'Rate Design Work'!V562</f>
        <v xml:space="preserve"> </v>
      </c>
      <c r="W563" s="323"/>
      <c r="X563" s="321">
        <f>'Rate Design Work'!X562</f>
        <v>0</v>
      </c>
      <c r="Y563" s="20"/>
      <c r="Z563" s="74"/>
      <c r="AA563" s="74"/>
      <c r="AB563" s="74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</row>
    <row r="564" spans="1:47">
      <c r="A564" s="323" t="s">
        <v>423</v>
      </c>
      <c r="B564" s="1"/>
      <c r="C564" s="319">
        <v>0</v>
      </c>
      <c r="D564" s="355">
        <v>192</v>
      </c>
      <c r="E564" s="325"/>
      <c r="F564" s="321">
        <f t="shared" si="166"/>
        <v>0</v>
      </c>
      <c r="G564" s="355">
        <v>192</v>
      </c>
      <c r="H564" s="325"/>
      <c r="I564" s="321">
        <f>ROUND(E564*$C564,0)</f>
        <v>0</v>
      </c>
      <c r="J564" s="355">
        <f>'Rate Design Work'!J563</f>
        <v>192</v>
      </c>
      <c r="K564" s="325"/>
      <c r="L564" s="321">
        <f>ROUND(J564*$C564,0)</f>
        <v>0</v>
      </c>
      <c r="M564" s="321"/>
      <c r="N564" s="355">
        <f>'Rate Design Work'!N563</f>
        <v>192</v>
      </c>
      <c r="O564" s="325"/>
      <c r="P564" s="321">
        <f>'Rate Design Work'!P563</f>
        <v>0</v>
      </c>
      <c r="Q564" s="321"/>
      <c r="R564" s="355" t="str">
        <f>'Rate Design Work'!R563</f>
        <v xml:space="preserve"> </v>
      </c>
      <c r="S564" s="325"/>
      <c r="T564" s="321">
        <f>'Rate Design Work'!T563</f>
        <v>0</v>
      </c>
      <c r="U564" s="321"/>
      <c r="V564" s="355" t="str">
        <f>'Rate Design Work'!V563</f>
        <v xml:space="preserve"> </v>
      </c>
      <c r="W564" s="325"/>
      <c r="X564" s="321">
        <f>'Rate Design Work'!X563</f>
        <v>0</v>
      </c>
      <c r="Y564" s="20"/>
      <c r="Z564" s="74"/>
      <c r="AA564" s="74"/>
      <c r="AB564" s="74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</row>
    <row r="565" spans="1:47">
      <c r="A565" s="323" t="s">
        <v>394</v>
      </c>
      <c r="B565" s="1"/>
      <c r="C565" s="319">
        <f>SUM(C562:C564)</f>
        <v>0</v>
      </c>
      <c r="D565" s="355"/>
      <c r="E565" s="323"/>
      <c r="F565" s="321"/>
      <c r="G565" s="355"/>
      <c r="H565" s="323"/>
      <c r="I565" s="321"/>
      <c r="J565" s="355"/>
      <c r="K565" s="323"/>
      <c r="L565" s="321"/>
      <c r="M565" s="321"/>
      <c r="N565" s="355"/>
      <c r="O565" s="323"/>
      <c r="P565" s="321"/>
      <c r="Q565" s="321"/>
      <c r="R565" s="355"/>
      <c r="S565" s="323"/>
      <c r="T565" s="321"/>
      <c r="U565" s="321"/>
      <c r="V565" s="355"/>
      <c r="W565" s="323"/>
      <c r="X565" s="321"/>
      <c r="Y565" s="20"/>
      <c r="Z565" s="74"/>
      <c r="AA565" s="74"/>
      <c r="AB565" s="74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</row>
    <row r="566" spans="1:47">
      <c r="A566" s="323" t="s">
        <v>422</v>
      </c>
      <c r="B566" s="1"/>
      <c r="C566" s="319">
        <v>0</v>
      </c>
      <c r="D566" s="355">
        <v>1.7</v>
      </c>
      <c r="E566" s="323" t="s">
        <v>31</v>
      </c>
      <c r="F566" s="321">
        <f>ROUND(D566*$C566,0)</f>
        <v>0</v>
      </c>
      <c r="G566" s="355">
        <v>1.7</v>
      </c>
      <c r="H566" s="323" t="s">
        <v>31</v>
      </c>
      <c r="I566" s="321">
        <f>ROUND(E566*$C566,0)</f>
        <v>0</v>
      </c>
      <c r="J566" s="355">
        <f ca="1">'Rate Design Work'!J565</f>
        <v>1.89</v>
      </c>
      <c r="K566" s="323" t="s">
        <v>31</v>
      </c>
      <c r="L566" s="321">
        <f ca="1">ROUND(J566*$C566,0)</f>
        <v>0</v>
      </c>
      <c r="M566" s="321"/>
      <c r="N566" s="355">
        <f ca="1">'Rate Design Work'!N565</f>
        <v>1.89</v>
      </c>
      <c r="O566" s="323" t="s">
        <v>31</v>
      </c>
      <c r="P566" s="321">
        <f ca="1">'Rate Design Work'!P565</f>
        <v>0</v>
      </c>
      <c r="Q566" s="321"/>
      <c r="R566" s="355" t="str">
        <f>'Rate Design Work'!R565</f>
        <v xml:space="preserve"> </v>
      </c>
      <c r="S566" s="323" t="s">
        <v>31</v>
      </c>
      <c r="T566" s="321">
        <f>'Rate Design Work'!T565</f>
        <v>0</v>
      </c>
      <c r="U566" s="321"/>
      <c r="V566" s="355" t="str">
        <f>'Rate Design Work'!V565</f>
        <v xml:space="preserve"> </v>
      </c>
      <c r="W566" s="323" t="s">
        <v>31</v>
      </c>
      <c r="X566" s="321">
        <f>'Rate Design Work'!X565</f>
        <v>0</v>
      </c>
      <c r="Y566" s="20"/>
      <c r="Z566" s="74"/>
      <c r="AA566" s="74"/>
      <c r="AB566" s="74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</row>
    <row r="567" spans="1:47">
      <c r="A567" s="323" t="s">
        <v>423</v>
      </c>
      <c r="B567" s="1"/>
      <c r="C567" s="319">
        <v>0</v>
      </c>
      <c r="D567" s="355">
        <v>1.39</v>
      </c>
      <c r="E567" s="323" t="s">
        <v>31</v>
      </c>
      <c r="F567" s="321">
        <f>ROUND(D567*$C567,0)</f>
        <v>0</v>
      </c>
      <c r="G567" s="355">
        <v>1.39</v>
      </c>
      <c r="H567" s="323" t="s">
        <v>31</v>
      </c>
      <c r="I567" s="321">
        <f>ROUND(E567*$C567,0)</f>
        <v>0</v>
      </c>
      <c r="J567" s="355">
        <f ca="1">'Rate Design Work'!J566</f>
        <v>1.55</v>
      </c>
      <c r="K567" s="323" t="s">
        <v>31</v>
      </c>
      <c r="L567" s="321">
        <f ca="1">ROUND(J567*$C567,0)</f>
        <v>0</v>
      </c>
      <c r="M567" s="321"/>
      <c r="N567" s="355">
        <f ca="1">'Rate Design Work'!N566</f>
        <v>1.55</v>
      </c>
      <c r="O567" s="323" t="s">
        <v>31</v>
      </c>
      <c r="P567" s="321">
        <f ca="1">'Rate Design Work'!P566</f>
        <v>0</v>
      </c>
      <c r="Q567" s="321"/>
      <c r="R567" s="355" t="str">
        <f>'Rate Design Work'!R566</f>
        <v xml:space="preserve"> </v>
      </c>
      <c r="S567" s="323" t="s">
        <v>31</v>
      </c>
      <c r="T567" s="321">
        <f>'Rate Design Work'!T566</f>
        <v>0</v>
      </c>
      <c r="U567" s="321"/>
      <c r="V567" s="355" t="str">
        <f>'Rate Design Work'!V566</f>
        <v xml:space="preserve"> </v>
      </c>
      <c r="W567" s="323" t="s">
        <v>31</v>
      </c>
      <c r="X567" s="321">
        <f>'Rate Design Work'!X566</f>
        <v>0</v>
      </c>
      <c r="Y567" s="20"/>
      <c r="Z567" s="74"/>
      <c r="AA567" s="74"/>
      <c r="AB567" s="74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</row>
    <row r="568" spans="1:47">
      <c r="A568" s="309" t="s">
        <v>424</v>
      </c>
      <c r="B568" s="1"/>
      <c r="C568" s="319"/>
      <c r="D568" s="355"/>
      <c r="E568" s="323"/>
      <c r="F568" s="321"/>
      <c r="G568" s="355"/>
      <c r="H568" s="323"/>
      <c r="I568" s="321"/>
      <c r="J568" s="355"/>
      <c r="K568" s="323"/>
      <c r="L568" s="321"/>
      <c r="M568" s="321"/>
      <c r="N568" s="355"/>
      <c r="O568" s="323"/>
      <c r="P568" s="321"/>
      <c r="Q568" s="321"/>
      <c r="R568" s="355"/>
      <c r="S568" s="323"/>
      <c r="T568" s="321"/>
      <c r="U568" s="321"/>
      <c r="V568" s="355"/>
      <c r="W568" s="323"/>
      <c r="X568" s="321"/>
      <c r="Y568" s="20"/>
      <c r="Z568" s="74"/>
      <c r="AA568" s="74"/>
      <c r="AB568" s="74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</row>
    <row r="569" spans="1:47">
      <c r="A569" s="309" t="s">
        <v>425</v>
      </c>
      <c r="B569" s="1"/>
      <c r="C569" s="319">
        <v>0</v>
      </c>
      <c r="D569" s="355">
        <v>4.4400000000000004</v>
      </c>
      <c r="E569" s="323"/>
      <c r="F569" s="321">
        <f>ROUND(D569*$C569,0)</f>
        <v>0</v>
      </c>
      <c r="G569" s="355">
        <v>4.72</v>
      </c>
      <c r="H569" s="323"/>
      <c r="I569" s="321">
        <f>ROUND(E569*$C569,0)</f>
        <v>0</v>
      </c>
      <c r="J569" s="355">
        <f ca="1">'Rate Design Work'!J568</f>
        <v>5.87</v>
      </c>
      <c r="K569" s="323"/>
      <c r="L569" s="321">
        <f ca="1">ROUND(J569*$C569,0)</f>
        <v>0</v>
      </c>
      <c r="M569" s="321"/>
      <c r="N569" s="355">
        <f ca="1">'Rate Design Work'!N568</f>
        <v>0.95</v>
      </c>
      <c r="O569" s="323"/>
      <c r="P569" s="321">
        <f ca="1">'Rate Design Work'!P568</f>
        <v>0</v>
      </c>
      <c r="Q569" s="321"/>
      <c r="R569" s="355">
        <f ca="1">'Rate Design Work'!R568</f>
        <v>0.98</v>
      </c>
      <c r="S569" s="323"/>
      <c r="T569" s="321">
        <f ca="1">'Rate Design Work'!T568</f>
        <v>0</v>
      </c>
      <c r="U569" s="321"/>
      <c r="V569" s="355">
        <f ca="1">'Rate Design Work'!V568</f>
        <v>3.94</v>
      </c>
      <c r="W569" s="323"/>
      <c r="X569" s="321">
        <f ca="1">'Rate Design Work'!X568</f>
        <v>0</v>
      </c>
      <c r="Y569" s="20"/>
      <c r="Z569" s="74"/>
      <c r="AA569" s="74"/>
      <c r="AB569" s="74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</row>
    <row r="570" spans="1:47">
      <c r="A570" s="323" t="s">
        <v>426</v>
      </c>
      <c r="B570" s="1"/>
      <c r="C570" s="319"/>
      <c r="D570" s="356"/>
      <c r="E570" s="321"/>
      <c r="F570" s="321"/>
      <c r="G570" s="356"/>
      <c r="H570" s="321"/>
      <c r="I570" s="321"/>
      <c r="J570" s="356"/>
      <c r="K570" s="321"/>
      <c r="L570" s="321"/>
      <c r="M570" s="321"/>
      <c r="N570" s="356"/>
      <c r="O570" s="321"/>
      <c r="P570" s="321"/>
      <c r="Q570" s="321"/>
      <c r="R570" s="356"/>
      <c r="S570" s="321"/>
      <c r="T570" s="321"/>
      <c r="U570" s="321"/>
      <c r="V570" s="356"/>
      <c r="W570" s="321"/>
      <c r="X570" s="321"/>
      <c r="Y570" s="20"/>
      <c r="Z570" s="74"/>
      <c r="AA570" s="74"/>
      <c r="AB570" s="74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</row>
    <row r="571" spans="1:47">
      <c r="A571" s="323" t="s">
        <v>427</v>
      </c>
      <c r="B571" s="1"/>
      <c r="C571" s="319">
        <v>0</v>
      </c>
      <c r="D571" s="335">
        <v>5.2939999999999996</v>
      </c>
      <c r="E571" s="321" t="s">
        <v>374</v>
      </c>
      <c r="F571" s="321">
        <f>ROUND($C571*D571/100,0)</f>
        <v>0</v>
      </c>
      <c r="G571" s="335">
        <v>5.6289999999999996</v>
      </c>
      <c r="H571" s="321" t="s">
        <v>374</v>
      </c>
      <c r="I571" s="321">
        <f>ROUND($C571*E571/100,0)</f>
        <v>0</v>
      </c>
      <c r="J571" s="335">
        <f ca="1">'Rate Design Work'!J570</f>
        <v>2.6779999999999999</v>
      </c>
      <c r="K571" s="321" t="s">
        <v>374</v>
      </c>
      <c r="L571" s="321">
        <f ca="1">ROUND($C571*J571/100,0)</f>
        <v>0</v>
      </c>
      <c r="M571" s="321"/>
      <c r="N571" s="335" t="str">
        <f>'Rate Design Work'!N570</f>
        <v xml:space="preserve"> </v>
      </c>
      <c r="O571" s="321" t="s">
        <v>374</v>
      </c>
      <c r="P571" s="321">
        <f>'Rate Design Work'!P570</f>
        <v>0</v>
      </c>
      <c r="Q571" s="321"/>
      <c r="R571" s="335">
        <f ca="1">'Rate Design Work'!R570</f>
        <v>1.2070000000000001</v>
      </c>
      <c r="S571" s="321" t="s">
        <v>374</v>
      </c>
      <c r="T571" s="321">
        <f ca="1">'Rate Design Work'!T570</f>
        <v>0</v>
      </c>
      <c r="U571" s="321"/>
      <c r="V571" s="335">
        <f ca="1">'Rate Design Work'!V570</f>
        <v>1.4710000000000001</v>
      </c>
      <c r="W571" s="321" t="s">
        <v>374</v>
      </c>
      <c r="X571" s="321">
        <f ca="1">'Rate Design Work'!X570</f>
        <v>0</v>
      </c>
      <c r="Y571" s="20"/>
      <c r="Z571" s="74"/>
      <c r="AA571" s="74"/>
      <c r="AB571" s="74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</row>
    <row r="572" spans="1:47">
      <c r="A572" s="323" t="s">
        <v>399</v>
      </c>
      <c r="B572" s="1"/>
      <c r="C572" s="319">
        <v>0</v>
      </c>
      <c r="D572" s="335">
        <v>4.8520000000000003</v>
      </c>
      <c r="E572" s="321" t="s">
        <v>374</v>
      </c>
      <c r="F572" s="321">
        <f>ROUND($C572*D572/100,0)</f>
        <v>0</v>
      </c>
      <c r="G572" s="335">
        <v>5.157</v>
      </c>
      <c r="H572" s="321" t="s">
        <v>374</v>
      </c>
      <c r="I572" s="321">
        <f>ROUND($C572*E572/100,0)</f>
        <v>0</v>
      </c>
      <c r="J572" s="335">
        <f ca="1">'Rate Design Work'!J571</f>
        <v>2.452</v>
      </c>
      <c r="K572" s="321" t="s">
        <v>374</v>
      </c>
      <c r="L572" s="321">
        <f ca="1">ROUND($C572*J572/100,0)</f>
        <v>0</v>
      </c>
      <c r="M572" s="321"/>
      <c r="N572" s="335" t="str">
        <f>'Rate Design Work'!N571</f>
        <v xml:space="preserve"> </v>
      </c>
      <c r="O572" s="321" t="s">
        <v>374</v>
      </c>
      <c r="P572" s="321">
        <f>'Rate Design Work'!P571</f>
        <v>0</v>
      </c>
      <c r="Q572" s="321"/>
      <c r="R572" s="335">
        <f ca="1">'Rate Design Work'!R571</f>
        <v>1.105</v>
      </c>
      <c r="S572" s="321" t="s">
        <v>374</v>
      </c>
      <c r="T572" s="321">
        <f ca="1">'Rate Design Work'!T571</f>
        <v>0</v>
      </c>
      <c r="U572" s="321"/>
      <c r="V572" s="335">
        <f ca="1">'Rate Design Work'!V571</f>
        <v>1.347</v>
      </c>
      <c r="W572" s="321" t="s">
        <v>374</v>
      </c>
      <c r="X572" s="321">
        <f ca="1">'Rate Design Work'!X571</f>
        <v>0</v>
      </c>
      <c r="Y572" s="20"/>
      <c r="Z572" s="74"/>
      <c r="AA572" s="74"/>
      <c r="AB572" s="74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</row>
    <row r="573" spans="1:47">
      <c r="A573" s="323" t="s">
        <v>400</v>
      </c>
      <c r="B573" s="1"/>
      <c r="C573" s="319">
        <v>0</v>
      </c>
      <c r="D573" s="336">
        <v>56</v>
      </c>
      <c r="E573" s="321" t="s">
        <v>374</v>
      </c>
      <c r="F573" s="321">
        <f>ROUND(D573*$C573/100,0)</f>
        <v>0</v>
      </c>
      <c r="G573" s="362">
        <v>56</v>
      </c>
      <c r="H573" s="321" t="s">
        <v>374</v>
      </c>
      <c r="I573" s="321">
        <f>ROUND(E573*$C573/100,0)</f>
        <v>0</v>
      </c>
      <c r="J573" s="362">
        <f>'Rate Design Work'!J572</f>
        <v>56</v>
      </c>
      <c r="K573" s="321" t="s">
        <v>374</v>
      </c>
      <c r="L573" s="321">
        <f>ROUND(J573*$C573,0)</f>
        <v>0</v>
      </c>
      <c r="M573" s="321"/>
      <c r="N573" s="362" t="str">
        <f>'Rate Design Work'!N572</f>
        <v xml:space="preserve"> </v>
      </c>
      <c r="O573" s="321" t="s">
        <v>374</v>
      </c>
      <c r="P573" s="321">
        <f>'Rate Design Work'!P572</f>
        <v>0</v>
      </c>
      <c r="Q573" s="321"/>
      <c r="R573" s="362">
        <f ca="1">'Rate Design Work'!R572</f>
        <v>11</v>
      </c>
      <c r="S573" s="321" t="s">
        <v>374</v>
      </c>
      <c r="T573" s="321">
        <f ca="1">'Rate Design Work'!T572</f>
        <v>0</v>
      </c>
      <c r="U573" s="321"/>
      <c r="V573" s="362">
        <f ca="1">'Rate Design Work'!V572</f>
        <v>45</v>
      </c>
      <c r="W573" s="321" t="s">
        <v>374</v>
      </c>
      <c r="X573" s="321">
        <f ca="1">'Rate Design Work'!X572</f>
        <v>0</v>
      </c>
      <c r="Y573" s="20"/>
      <c r="Z573" s="74"/>
      <c r="AA573" s="74"/>
      <c r="AB573" s="74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</row>
    <row r="574" spans="1:47">
      <c r="A574" s="323" t="s">
        <v>428</v>
      </c>
      <c r="B574" s="1"/>
      <c r="C574" s="319">
        <v>0</v>
      </c>
      <c r="D574" s="1179">
        <v>56</v>
      </c>
      <c r="E574" s="321"/>
      <c r="F574" s="321">
        <f>ROUND($C574*D574/100,0)</f>
        <v>0</v>
      </c>
      <c r="G574" s="612">
        <v>0.06</v>
      </c>
      <c r="H574" s="321" t="s">
        <v>374</v>
      </c>
      <c r="I574" s="321">
        <f>ROUND($C574*E574/100,0)</f>
        <v>0</v>
      </c>
      <c r="J574" s="336">
        <f>'Rate Design Work'!J573</f>
        <v>0.06</v>
      </c>
      <c r="K574" s="321" t="s">
        <v>374</v>
      </c>
      <c r="L574" s="321">
        <f>ROUND($C574*J574/100,0)</f>
        <v>0</v>
      </c>
      <c r="M574" s="321"/>
      <c r="N574" s="336" t="str">
        <f>'Rate Design Work'!N573</f>
        <v xml:space="preserve"> </v>
      </c>
      <c r="O574" s="321" t="s">
        <v>374</v>
      </c>
      <c r="P574" s="321">
        <f>'Rate Design Work'!P573</f>
        <v>0</v>
      </c>
      <c r="Q574" s="321"/>
      <c r="R574" s="336">
        <f ca="1">'Rate Design Work'!R573</f>
        <v>1.1785714285714285E-2</v>
      </c>
      <c r="S574" s="321" t="s">
        <v>374</v>
      </c>
      <c r="T574" s="321">
        <f ca="1">'Rate Design Work'!T573</f>
        <v>0</v>
      </c>
      <c r="U574" s="321"/>
      <c r="V574" s="336">
        <f ca="1">'Rate Design Work'!V573</f>
        <v>4.8214285714285716E-2</v>
      </c>
      <c r="W574" s="321" t="s">
        <v>374</v>
      </c>
      <c r="X574" s="321">
        <f ca="1">'Rate Design Work'!X573</f>
        <v>0</v>
      </c>
      <c r="Y574" s="20"/>
      <c r="Z574" s="74"/>
      <c r="AA574" s="74"/>
      <c r="AB574" s="74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</row>
    <row r="575" spans="1:47" s="1184" customFormat="1">
      <c r="A575" s="1005" t="s">
        <v>1026</v>
      </c>
      <c r="C575" s="1202">
        <f>C571+C572</f>
        <v>0</v>
      </c>
      <c r="D575" s="269"/>
      <c r="E575" s="1185"/>
      <c r="F575" s="1203"/>
      <c r="G575" s="269"/>
      <c r="H575" s="1185"/>
      <c r="I575" s="1203"/>
      <c r="J575" s="335">
        <f>'Rate Design Work'!J574</f>
        <v>3.415</v>
      </c>
      <c r="K575" s="1041" t="s">
        <v>374</v>
      </c>
      <c r="L575" s="1041">
        <f t="shared" ref="L575:L576" si="167">ROUND($C575*J575/100,0)</f>
        <v>0</v>
      </c>
      <c r="M575" s="1041"/>
      <c r="N575" s="335" t="str">
        <f>'Rate Design Work'!N574</f>
        <v xml:space="preserve"> </v>
      </c>
      <c r="O575" s="1041" t="s">
        <v>374</v>
      </c>
      <c r="P575" s="321">
        <f>'Rate Design Work'!P574</f>
        <v>0</v>
      </c>
      <c r="Q575" s="1041"/>
      <c r="R575" s="335" t="str">
        <f>'Rate Design Work'!R574</f>
        <v xml:space="preserve"> </v>
      </c>
      <c r="S575" s="1041" t="s">
        <v>374</v>
      </c>
      <c r="T575" s="321">
        <f>'Rate Design Work'!T574</f>
        <v>0</v>
      </c>
      <c r="U575" s="1041"/>
      <c r="V575" s="335">
        <f>'Rate Design Work'!V574</f>
        <v>3.415</v>
      </c>
      <c r="W575" s="1041" t="s">
        <v>374</v>
      </c>
      <c r="X575" s="321">
        <f>'Rate Design Work'!X574</f>
        <v>0</v>
      </c>
      <c r="Z575" s="815"/>
      <c r="AC575" s="1205"/>
      <c r="AD575" s="1205"/>
      <c r="AI575" s="1185"/>
      <c r="AJ575" s="1185"/>
      <c r="AK575" s="1185"/>
      <c r="AL575" s="1185"/>
      <c r="AM575" s="1185"/>
      <c r="AN575" s="1185"/>
      <c r="AO575" s="1185"/>
      <c r="AP575" s="1185"/>
      <c r="AQ575" s="1185"/>
      <c r="AR575" s="1185"/>
      <c r="AS575" s="1185"/>
      <c r="AU575" s="1204"/>
    </row>
    <row r="576" spans="1:47" s="1184" customFormat="1">
      <c r="A576" s="1005" t="s">
        <v>1027</v>
      </c>
      <c r="C576" s="1202">
        <f>C572+C573</f>
        <v>0</v>
      </c>
      <c r="D576" s="269"/>
      <c r="E576" s="1185"/>
      <c r="F576" s="1203"/>
      <c r="G576" s="269"/>
      <c r="H576" s="1185"/>
      <c r="I576" s="1203"/>
      <c r="J576" s="335">
        <f>'Rate Design Work'!J575</f>
        <v>3.1309999999999998</v>
      </c>
      <c r="K576" s="1185"/>
      <c r="L576" s="1041">
        <f t="shared" si="167"/>
        <v>0</v>
      </c>
      <c r="M576" s="1041"/>
      <c r="N576" s="335" t="str">
        <f>'Rate Design Work'!N575</f>
        <v xml:space="preserve"> </v>
      </c>
      <c r="O576" s="1185"/>
      <c r="P576" s="321">
        <f>'Rate Design Work'!P575</f>
        <v>0</v>
      </c>
      <c r="Q576" s="1041"/>
      <c r="R576" s="335" t="str">
        <f>'Rate Design Work'!R575</f>
        <v xml:space="preserve"> </v>
      </c>
      <c r="S576" s="1185"/>
      <c r="T576" s="321">
        <f>'Rate Design Work'!T575</f>
        <v>0</v>
      </c>
      <c r="U576" s="1041"/>
      <c r="V576" s="335">
        <f>'Rate Design Work'!V575</f>
        <v>3.1309999999999998</v>
      </c>
      <c r="W576" s="1185"/>
      <c r="X576" s="321">
        <f>'Rate Design Work'!X575</f>
        <v>0</v>
      </c>
      <c r="Z576" s="815"/>
      <c r="AC576" s="1205"/>
      <c r="AD576" s="1205"/>
      <c r="AI576" s="1185"/>
      <c r="AJ576" s="1185"/>
      <c r="AK576" s="1185"/>
      <c r="AL576" s="1185"/>
      <c r="AM576" s="1185"/>
      <c r="AN576" s="1185"/>
      <c r="AO576" s="1185"/>
      <c r="AP576" s="1185"/>
      <c r="AQ576" s="1185"/>
      <c r="AR576" s="1185"/>
      <c r="AS576" s="1185"/>
      <c r="AU576" s="1204"/>
    </row>
    <row r="577" spans="1:45">
      <c r="A577" s="360" t="s">
        <v>401</v>
      </c>
      <c r="B577" s="1" t="s">
        <v>31</v>
      </c>
      <c r="C577" s="319"/>
      <c r="D577" s="332">
        <v>-0.01</v>
      </c>
      <c r="E577" s="361"/>
      <c r="F577" s="361"/>
      <c r="G577" s="332">
        <v>-0.01</v>
      </c>
      <c r="H577" s="361"/>
      <c r="I577" s="361"/>
      <c r="J577" s="332">
        <v>-0.01</v>
      </c>
      <c r="K577" s="361"/>
      <c r="L577" s="2"/>
      <c r="M577" s="2"/>
      <c r="N577" s="332">
        <v>-0.01</v>
      </c>
      <c r="O577" s="361"/>
      <c r="P577" s="2"/>
      <c r="Q577" s="2"/>
      <c r="R577" s="332">
        <v>-0.01</v>
      </c>
      <c r="S577" s="361"/>
      <c r="T577" s="2"/>
      <c r="U577" s="2"/>
      <c r="V577" s="332">
        <v>-0.01</v>
      </c>
      <c r="W577" s="361"/>
      <c r="X577" s="2"/>
      <c r="Y577" s="20"/>
      <c r="Z577" s="74"/>
      <c r="AA577" s="74"/>
      <c r="AB577" s="74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</row>
    <row r="578" spans="1:45">
      <c r="A578" s="323" t="s">
        <v>421</v>
      </c>
      <c r="B578" s="1"/>
      <c r="C578" s="319">
        <v>0</v>
      </c>
      <c r="D578" s="355">
        <v>259</v>
      </c>
      <c r="E578" s="323"/>
      <c r="F578" s="321">
        <f t="shared" ref="F578:F583" si="168">ROUND(D578*$C578*$D$577,0)</f>
        <v>0</v>
      </c>
      <c r="G578" s="355">
        <v>259</v>
      </c>
      <c r="H578" s="323"/>
      <c r="I578" s="321">
        <f t="shared" ref="I578:I583" si="169">ROUND(E578*$C578*$D$577,0)</f>
        <v>0</v>
      </c>
      <c r="J578" s="304">
        <f>J562</f>
        <v>259</v>
      </c>
      <c r="K578" s="323"/>
      <c r="L578" s="321">
        <f t="shared" ref="L578:L583" si="170">ROUND(J578*$C578*$D$577,0)</f>
        <v>0</v>
      </c>
      <c r="M578" s="321"/>
      <c r="N578" s="304">
        <f>N562</f>
        <v>259</v>
      </c>
      <c r="O578" s="323"/>
      <c r="P578" s="321">
        <f>'Rate Design Work'!P577</f>
        <v>0</v>
      </c>
      <c r="Q578" s="321"/>
      <c r="R578" s="304" t="str">
        <f>R562</f>
        <v xml:space="preserve"> </v>
      </c>
      <c r="S578" s="323"/>
      <c r="T578" s="321">
        <f>'Rate Design Work'!T577</f>
        <v>0</v>
      </c>
      <c r="U578" s="321"/>
      <c r="V578" s="304" t="str">
        <f>V562</f>
        <v xml:space="preserve"> </v>
      </c>
      <c r="W578" s="323"/>
      <c r="X578" s="321">
        <f>'Rate Design Work'!X577</f>
        <v>0</v>
      </c>
      <c r="Y578" s="20"/>
      <c r="Z578" s="74"/>
      <c r="AA578" s="74"/>
      <c r="AB578" s="74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</row>
    <row r="579" spans="1:45">
      <c r="A579" s="323" t="s">
        <v>422</v>
      </c>
      <c r="B579" s="1"/>
      <c r="C579" s="319">
        <v>0</v>
      </c>
      <c r="D579" s="355">
        <v>96</v>
      </c>
      <c r="E579" s="323"/>
      <c r="F579" s="321">
        <f t="shared" si="168"/>
        <v>0</v>
      </c>
      <c r="G579" s="355">
        <v>96</v>
      </c>
      <c r="H579" s="323"/>
      <c r="I579" s="321">
        <f t="shared" si="169"/>
        <v>0</v>
      </c>
      <c r="J579" s="304">
        <f>J563</f>
        <v>96</v>
      </c>
      <c r="K579" s="323"/>
      <c r="L579" s="321">
        <f t="shared" si="170"/>
        <v>0</v>
      </c>
      <c r="M579" s="321"/>
      <c r="N579" s="304">
        <f>N563</f>
        <v>96</v>
      </c>
      <c r="O579" s="323"/>
      <c r="P579" s="321">
        <f>'Rate Design Work'!P578</f>
        <v>0</v>
      </c>
      <c r="Q579" s="321"/>
      <c r="R579" s="304" t="str">
        <f>R563</f>
        <v xml:space="preserve"> </v>
      </c>
      <c r="S579" s="323"/>
      <c r="T579" s="321">
        <f>'Rate Design Work'!T578</f>
        <v>0</v>
      </c>
      <c r="U579" s="321"/>
      <c r="V579" s="304" t="str">
        <f>V563</f>
        <v xml:space="preserve"> </v>
      </c>
      <c r="W579" s="323"/>
      <c r="X579" s="321">
        <f>'Rate Design Work'!X578</f>
        <v>0</v>
      </c>
      <c r="Y579" s="20"/>
      <c r="Z579" s="74"/>
      <c r="AA579" s="74"/>
      <c r="AB579" s="74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</row>
    <row r="580" spans="1:45">
      <c r="A580" s="323" t="s">
        <v>423</v>
      </c>
      <c r="B580" s="1"/>
      <c r="C580" s="319">
        <v>0</v>
      </c>
      <c r="D580" s="355">
        <v>192</v>
      </c>
      <c r="E580" s="325"/>
      <c r="F580" s="321">
        <f t="shared" si="168"/>
        <v>0</v>
      </c>
      <c r="G580" s="355">
        <v>192</v>
      </c>
      <c r="H580" s="325"/>
      <c r="I580" s="321">
        <f t="shared" si="169"/>
        <v>0</v>
      </c>
      <c r="J580" s="304">
        <f>J564</f>
        <v>192</v>
      </c>
      <c r="K580" s="325"/>
      <c r="L580" s="321">
        <f t="shared" si="170"/>
        <v>0</v>
      </c>
      <c r="M580" s="321"/>
      <c r="N580" s="304">
        <f>N564</f>
        <v>192</v>
      </c>
      <c r="O580" s="325"/>
      <c r="P580" s="321">
        <f>'Rate Design Work'!P579</f>
        <v>0</v>
      </c>
      <c r="Q580" s="321"/>
      <c r="R580" s="304" t="str">
        <f>R564</f>
        <v xml:space="preserve"> </v>
      </c>
      <c r="S580" s="325"/>
      <c r="T580" s="321">
        <f>'Rate Design Work'!T579</f>
        <v>0</v>
      </c>
      <c r="U580" s="321"/>
      <c r="V580" s="304" t="str">
        <f>V564</f>
        <v xml:space="preserve"> </v>
      </c>
      <c r="W580" s="325"/>
      <c r="X580" s="321">
        <f>'Rate Design Work'!X579</f>
        <v>0</v>
      </c>
      <c r="Y580" s="20"/>
      <c r="Z580" s="74"/>
      <c r="AA580" s="74"/>
      <c r="AB580" s="74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</row>
    <row r="581" spans="1:45">
      <c r="A581" s="323" t="s">
        <v>422</v>
      </c>
      <c r="B581" s="1"/>
      <c r="C581" s="319">
        <v>0</v>
      </c>
      <c r="D581" s="355">
        <v>1.7</v>
      </c>
      <c r="E581" s="323" t="s">
        <v>31</v>
      </c>
      <c r="F581" s="321">
        <f t="shared" si="168"/>
        <v>0</v>
      </c>
      <c r="G581" s="355">
        <v>1.7</v>
      </c>
      <c r="H581" s="323" t="s">
        <v>31</v>
      </c>
      <c r="I581" s="321">
        <f t="shared" si="169"/>
        <v>0</v>
      </c>
      <c r="J581" s="304">
        <f ca="1">J566</f>
        <v>1.89</v>
      </c>
      <c r="K581" s="323" t="s">
        <v>31</v>
      </c>
      <c r="L581" s="321">
        <f t="shared" ca="1" si="170"/>
        <v>0</v>
      </c>
      <c r="M581" s="321"/>
      <c r="N581" s="304">
        <f ca="1">N566</f>
        <v>1.89</v>
      </c>
      <c r="O581" s="323" t="s">
        <v>31</v>
      </c>
      <c r="P581" s="321">
        <f ca="1">'Rate Design Work'!P580</f>
        <v>0</v>
      </c>
      <c r="Q581" s="321"/>
      <c r="R581" s="304" t="str">
        <f>R566</f>
        <v xml:space="preserve"> </v>
      </c>
      <c r="S581" s="323" t="s">
        <v>31</v>
      </c>
      <c r="T581" s="321">
        <f>'Rate Design Work'!T580</f>
        <v>0</v>
      </c>
      <c r="U581" s="321"/>
      <c r="V581" s="304" t="str">
        <f>V566</f>
        <v xml:space="preserve"> </v>
      </c>
      <c r="W581" s="323" t="s">
        <v>31</v>
      </c>
      <c r="X581" s="321">
        <f>'Rate Design Work'!X580</f>
        <v>0</v>
      </c>
      <c r="Y581" s="20"/>
      <c r="Z581" s="74"/>
      <c r="AA581" s="74"/>
      <c r="AB581" s="74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</row>
    <row r="582" spans="1:45">
      <c r="A582" s="323" t="s">
        <v>423</v>
      </c>
      <c r="B582" s="1"/>
      <c r="C582" s="319">
        <v>0</v>
      </c>
      <c r="D582" s="355">
        <v>1.39</v>
      </c>
      <c r="E582" s="323" t="s">
        <v>31</v>
      </c>
      <c r="F582" s="321">
        <f t="shared" si="168"/>
        <v>0</v>
      </c>
      <c r="G582" s="355">
        <v>1.39</v>
      </c>
      <c r="H582" s="323" t="s">
        <v>31</v>
      </c>
      <c r="I582" s="321">
        <f t="shared" si="169"/>
        <v>0</v>
      </c>
      <c r="J582" s="304">
        <f ca="1">J567</f>
        <v>1.55</v>
      </c>
      <c r="K582" s="323" t="s">
        <v>31</v>
      </c>
      <c r="L582" s="321">
        <f t="shared" ca="1" si="170"/>
        <v>0</v>
      </c>
      <c r="M582" s="321"/>
      <c r="N582" s="304">
        <f ca="1">N567</f>
        <v>1.55</v>
      </c>
      <c r="O582" s="323" t="s">
        <v>31</v>
      </c>
      <c r="P582" s="321">
        <f ca="1">'Rate Design Work'!P581</f>
        <v>0</v>
      </c>
      <c r="Q582" s="321"/>
      <c r="R582" s="304" t="str">
        <f>R567</f>
        <v xml:space="preserve"> </v>
      </c>
      <c r="S582" s="323" t="s">
        <v>31</v>
      </c>
      <c r="T582" s="321">
        <f>'Rate Design Work'!T581</f>
        <v>0</v>
      </c>
      <c r="U582" s="321"/>
      <c r="V582" s="304" t="str">
        <f>V567</f>
        <v xml:space="preserve"> </v>
      </c>
      <c r="W582" s="323" t="s">
        <v>31</v>
      </c>
      <c r="X582" s="321">
        <f>'Rate Design Work'!X581</f>
        <v>0</v>
      </c>
      <c r="Y582" s="20"/>
      <c r="Z582" s="74"/>
      <c r="AA582" s="74"/>
      <c r="AB582" s="74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</row>
    <row r="583" spans="1:45">
      <c r="A583" s="309" t="s">
        <v>425</v>
      </c>
      <c r="B583" s="1"/>
      <c r="C583" s="319">
        <v>0</v>
      </c>
      <c r="D583" s="355">
        <v>4.4400000000000004</v>
      </c>
      <c r="E583" s="323"/>
      <c r="F583" s="321">
        <f t="shared" si="168"/>
        <v>0</v>
      </c>
      <c r="G583" s="355">
        <v>4.72</v>
      </c>
      <c r="H583" s="323"/>
      <c r="I583" s="321">
        <f t="shared" si="169"/>
        <v>0</v>
      </c>
      <c r="J583" s="304">
        <f ca="1">J569</f>
        <v>5.87</v>
      </c>
      <c r="K583" s="323"/>
      <c r="L583" s="321">
        <f t="shared" ca="1" si="170"/>
        <v>0</v>
      </c>
      <c r="M583" s="321"/>
      <c r="N583" s="304">
        <f ca="1">N569</f>
        <v>0.95</v>
      </c>
      <c r="O583" s="323"/>
      <c r="P583" s="321">
        <f ca="1">'Rate Design Work'!P582</f>
        <v>0</v>
      </c>
      <c r="Q583" s="321"/>
      <c r="R583" s="304">
        <f ca="1">R569</f>
        <v>0.98</v>
      </c>
      <c r="S583" s="323"/>
      <c r="T583" s="321">
        <f ca="1">'Rate Design Work'!T582</f>
        <v>0</v>
      </c>
      <c r="U583" s="321"/>
      <c r="V583" s="304">
        <f ca="1">V569</f>
        <v>3.94</v>
      </c>
      <c r="W583" s="323"/>
      <c r="X583" s="321">
        <f ca="1">'Rate Design Work'!X582</f>
        <v>0</v>
      </c>
      <c r="Y583" s="20"/>
      <c r="Z583" s="74"/>
      <c r="AA583" s="74"/>
      <c r="AB583" s="74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</row>
    <row r="584" spans="1:45">
      <c r="A584" s="323" t="s">
        <v>427</v>
      </c>
      <c r="B584" s="1"/>
      <c r="C584" s="319">
        <v>0</v>
      </c>
      <c r="D584" s="334">
        <v>0</v>
      </c>
      <c r="E584" s="321" t="s">
        <v>374</v>
      </c>
      <c r="F584" s="321">
        <f>ROUND(D584/100*$C584*D577,0)</f>
        <v>0</v>
      </c>
      <c r="G584" s="334">
        <v>0</v>
      </c>
      <c r="H584" s="321" t="s">
        <v>374</v>
      </c>
      <c r="I584" s="321">
        <f>ROUND(E584/100*$C584*E577,0)</f>
        <v>0</v>
      </c>
      <c r="J584" s="304">
        <f>J570</f>
        <v>0</v>
      </c>
      <c r="K584" s="321" t="s">
        <v>374</v>
      </c>
      <c r="L584" s="321">
        <f>ROUND(J584/100*$C584*D577,0)</f>
        <v>0</v>
      </c>
      <c r="M584" s="321"/>
      <c r="N584" s="304">
        <f>N570</f>
        <v>0</v>
      </c>
      <c r="O584" s="321" t="s">
        <v>374</v>
      </c>
      <c r="P584" s="321">
        <f>'Rate Design Work'!P583</f>
        <v>0</v>
      </c>
      <c r="Q584" s="321"/>
      <c r="R584" s="304">
        <f>R570</f>
        <v>0</v>
      </c>
      <c r="S584" s="321" t="s">
        <v>374</v>
      </c>
      <c r="T584" s="321">
        <f>'Rate Design Work'!T583</f>
        <v>0</v>
      </c>
      <c r="U584" s="321"/>
      <c r="V584" s="304">
        <f>V570</f>
        <v>0</v>
      </c>
      <c r="W584" s="321" t="s">
        <v>374</v>
      </c>
      <c r="X584" s="321">
        <f>'Rate Design Work'!X583</f>
        <v>0</v>
      </c>
      <c r="Y584" s="20"/>
      <c r="Z584" s="74"/>
      <c r="AA584" s="74"/>
      <c r="AB584" s="74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</row>
    <row r="585" spans="1:45">
      <c r="A585" s="323" t="s">
        <v>399</v>
      </c>
      <c r="B585" s="1"/>
      <c r="C585" s="319">
        <v>0</v>
      </c>
      <c r="D585" s="990">
        <v>4.8520000000000003</v>
      </c>
      <c r="E585" s="321" t="s">
        <v>374</v>
      </c>
      <c r="F585" s="321">
        <f>ROUND(D585/100*$C585*D577,0)</f>
        <v>0</v>
      </c>
      <c r="G585" s="990">
        <v>5.157</v>
      </c>
      <c r="H585" s="321" t="s">
        <v>374</v>
      </c>
      <c r="I585" s="321">
        <f>ROUND(E585/100*$C585*E577,0)</f>
        <v>0</v>
      </c>
      <c r="J585" s="374">
        <f ca="1">J572</f>
        <v>2.452</v>
      </c>
      <c r="K585" s="321" t="s">
        <v>374</v>
      </c>
      <c r="L585" s="321">
        <f ca="1">ROUND(J585/100*$C585*D577,0)</f>
        <v>0</v>
      </c>
      <c r="M585" s="321"/>
      <c r="N585" s="374" t="str">
        <f>N572</f>
        <v xml:space="preserve"> </v>
      </c>
      <c r="O585" s="321" t="s">
        <v>374</v>
      </c>
      <c r="P585" s="321">
        <f>'Rate Design Work'!P584</f>
        <v>0</v>
      </c>
      <c r="Q585" s="321"/>
      <c r="R585" s="374">
        <f ca="1">R572</f>
        <v>1.105</v>
      </c>
      <c r="S585" s="321" t="s">
        <v>374</v>
      </c>
      <c r="T585" s="321">
        <f ca="1">'Rate Design Work'!T584</f>
        <v>0</v>
      </c>
      <c r="U585" s="321"/>
      <c r="V585" s="374">
        <f ca="1">V572</f>
        <v>1.347</v>
      </c>
      <c r="W585" s="321" t="s">
        <v>374</v>
      </c>
      <c r="X585" s="321">
        <f ca="1">'Rate Design Work'!X584</f>
        <v>0</v>
      </c>
      <c r="Y585" s="20"/>
      <c r="Z585" s="74"/>
      <c r="AA585" s="74"/>
      <c r="AB585" s="74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</row>
    <row r="586" spans="1:45">
      <c r="A586" s="309" t="s">
        <v>429</v>
      </c>
      <c r="B586" s="1"/>
      <c r="C586" s="319">
        <v>0</v>
      </c>
      <c r="D586" s="336">
        <v>56</v>
      </c>
      <c r="E586" s="321" t="s">
        <v>374</v>
      </c>
      <c r="F586" s="321">
        <f>ROUND(D586*$C586*$D$577,0)</f>
        <v>0</v>
      </c>
      <c r="G586" s="1176">
        <v>56</v>
      </c>
      <c r="H586" s="321" t="s">
        <v>374</v>
      </c>
      <c r="I586" s="321">
        <f>ROUND(E586*$C586*$D$577,0)</f>
        <v>0</v>
      </c>
      <c r="J586" s="375">
        <f>J573</f>
        <v>56</v>
      </c>
      <c r="K586" s="321" t="s">
        <v>374</v>
      </c>
      <c r="L586" s="321">
        <f>ROUND(J586*$C586*$D$577,0)</f>
        <v>0</v>
      </c>
      <c r="M586" s="321"/>
      <c r="N586" s="375" t="str">
        <f>N573</f>
        <v xml:space="preserve"> </v>
      </c>
      <c r="O586" s="321" t="s">
        <v>374</v>
      </c>
      <c r="P586" s="321">
        <f>'Rate Design Work'!P585</f>
        <v>0</v>
      </c>
      <c r="Q586" s="321"/>
      <c r="R586" s="375">
        <f ca="1">R573</f>
        <v>11</v>
      </c>
      <c r="S586" s="321" t="s">
        <v>374</v>
      </c>
      <c r="T586" s="321">
        <f ca="1">'Rate Design Work'!T585</f>
        <v>0</v>
      </c>
      <c r="U586" s="321"/>
      <c r="V586" s="375">
        <f ca="1">V573</f>
        <v>45</v>
      </c>
      <c r="W586" s="321" t="s">
        <v>374</v>
      </c>
      <c r="X586" s="321">
        <f ca="1">'Rate Design Work'!X585</f>
        <v>0</v>
      </c>
      <c r="Y586" s="20"/>
      <c r="Z586" s="74"/>
      <c r="AA586" s="74"/>
      <c r="AB586" s="74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</row>
    <row r="587" spans="1:45">
      <c r="A587" s="309" t="s">
        <v>430</v>
      </c>
      <c r="B587" s="1"/>
      <c r="C587" s="319">
        <v>0</v>
      </c>
      <c r="D587" s="474">
        <v>0.06</v>
      </c>
      <c r="E587" s="321" t="s">
        <v>374</v>
      </c>
      <c r="F587" s="321">
        <f>ROUND(D587/100*$C587*D577,0)</f>
        <v>0</v>
      </c>
      <c r="G587" s="1177">
        <v>0.06</v>
      </c>
      <c r="H587" s="321" t="s">
        <v>374</v>
      </c>
      <c r="I587" s="321">
        <f>ROUND(E587/100*$C587*E577,0)</f>
        <v>0</v>
      </c>
      <c r="J587" s="612">
        <f>J574</f>
        <v>0.06</v>
      </c>
      <c r="K587" s="321" t="s">
        <v>374</v>
      </c>
      <c r="L587" s="321">
        <f>ROUND(J587/100*$C587*J577,0)</f>
        <v>0</v>
      </c>
      <c r="M587" s="321"/>
      <c r="N587" s="612" t="str">
        <f>N574</f>
        <v xml:space="preserve"> </v>
      </c>
      <c r="O587" s="321" t="s">
        <v>374</v>
      </c>
      <c r="P587" s="321">
        <f>'Rate Design Work'!P586</f>
        <v>0</v>
      </c>
      <c r="Q587" s="321"/>
      <c r="R587" s="612">
        <f ca="1">R574</f>
        <v>1.1785714285714285E-2</v>
      </c>
      <c r="S587" s="321" t="s">
        <v>374</v>
      </c>
      <c r="T587" s="321">
        <f ca="1">'Rate Design Work'!T586</f>
        <v>0</v>
      </c>
      <c r="U587" s="321"/>
      <c r="V587" s="612">
        <f ca="1">V574</f>
        <v>4.8214285714285716E-2</v>
      </c>
      <c r="W587" s="321" t="s">
        <v>374</v>
      </c>
      <c r="X587" s="321">
        <f ca="1">'Rate Design Work'!X586</f>
        <v>0</v>
      </c>
      <c r="Y587" s="20"/>
      <c r="Z587" s="74"/>
      <c r="AA587" s="74"/>
      <c r="AB587" s="74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</row>
    <row r="588" spans="1:45">
      <c r="A588" s="323" t="s">
        <v>431</v>
      </c>
      <c r="B588" s="1"/>
      <c r="C588" s="319">
        <v>0</v>
      </c>
      <c r="D588" s="363">
        <v>60</v>
      </c>
      <c r="E588" s="361" t="s">
        <v>31</v>
      </c>
      <c r="F588" s="321">
        <f>ROUND(D588*$C588,0)</f>
        <v>0</v>
      </c>
      <c r="G588" s="363">
        <v>60</v>
      </c>
      <c r="H588" s="364" t="s">
        <v>31</v>
      </c>
      <c r="I588" s="321">
        <f>ROUND(E588*$C588,0)</f>
        <v>0</v>
      </c>
      <c r="J588" s="363">
        <v>60</v>
      </c>
      <c r="K588" s="364" t="s">
        <v>31</v>
      </c>
      <c r="L588" s="321">
        <f>ROUND(J588*$C588,0)</f>
        <v>0</v>
      </c>
      <c r="M588" s="321"/>
      <c r="N588" s="363">
        <v>60</v>
      </c>
      <c r="O588" s="364" t="s">
        <v>31</v>
      </c>
      <c r="P588" s="321">
        <f>'Rate Design Work'!P587</f>
        <v>0</v>
      </c>
      <c r="Q588" s="321"/>
      <c r="R588" s="363">
        <v>60</v>
      </c>
      <c r="S588" s="364" t="s">
        <v>31</v>
      </c>
      <c r="T588" s="321">
        <f>'Rate Design Work'!T587</f>
        <v>0</v>
      </c>
      <c r="U588" s="321"/>
      <c r="V588" s="363">
        <v>60</v>
      </c>
      <c r="W588" s="364" t="s">
        <v>31</v>
      </c>
      <c r="X588" s="321">
        <f>'Rate Design Work'!X587</f>
        <v>0</v>
      </c>
      <c r="Y588" s="20"/>
      <c r="Z588" s="74"/>
      <c r="AA588" s="74"/>
      <c r="AB588" s="74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</row>
    <row r="589" spans="1:45">
      <c r="A589" s="323" t="s">
        <v>432</v>
      </c>
      <c r="B589" s="1"/>
      <c r="C589" s="319">
        <v>0</v>
      </c>
      <c r="D589" s="336">
        <v>-30</v>
      </c>
      <c r="E589" s="321" t="s">
        <v>374</v>
      </c>
      <c r="F589" s="321">
        <f>ROUND(D589*$C589*$D$577,0)</f>
        <v>0</v>
      </c>
      <c r="G589" s="336">
        <v>-30</v>
      </c>
      <c r="H589" s="321" t="s">
        <v>374</v>
      </c>
      <c r="I589" s="321">
        <f>ROUND(E589*$C589*$D$577,0)</f>
        <v>0</v>
      </c>
      <c r="J589" s="336">
        <v>-30</v>
      </c>
      <c r="K589" s="321" t="s">
        <v>374</v>
      </c>
      <c r="L589" s="321">
        <f>ROUND(J589*$C589*$D$577,0)</f>
        <v>0</v>
      </c>
      <c r="M589" s="321"/>
      <c r="N589" s="336">
        <v>-30</v>
      </c>
      <c r="O589" s="321" t="s">
        <v>374</v>
      </c>
      <c r="P589" s="321">
        <f>'Rate Design Work'!P588</f>
        <v>0</v>
      </c>
      <c r="Q589" s="321"/>
      <c r="R589" s="336">
        <v>-30</v>
      </c>
      <c r="S589" s="321" t="s">
        <v>374</v>
      </c>
      <c r="T589" s="321">
        <f>'Rate Design Work'!T588</f>
        <v>0</v>
      </c>
      <c r="U589" s="321"/>
      <c r="V589" s="336">
        <v>-30</v>
      </c>
      <c r="W589" s="321" t="s">
        <v>374</v>
      </c>
      <c r="X589" s="321">
        <f>'Rate Design Work'!X588</f>
        <v>0</v>
      </c>
      <c r="Y589" s="20"/>
      <c r="Z589" s="74"/>
      <c r="AA589" s="74"/>
      <c r="AB589" s="74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</row>
    <row r="590" spans="1:45">
      <c r="A590" s="309" t="s">
        <v>433</v>
      </c>
      <c r="B590" s="1"/>
      <c r="C590" s="319">
        <v>0</v>
      </c>
      <c r="D590" s="334">
        <v>2.2200000000000002</v>
      </c>
      <c r="E590" s="321"/>
      <c r="F590" s="321"/>
      <c r="G590" s="334">
        <v>2.36</v>
      </c>
      <c r="H590" s="321"/>
      <c r="I590" s="321"/>
      <c r="J590" s="355">
        <f ca="1">J583/2</f>
        <v>2.9350000000000001</v>
      </c>
      <c r="K590" s="321"/>
      <c r="L590" s="321">
        <f ca="1">ROUND($C590*J590,0)</f>
        <v>0</v>
      </c>
      <c r="M590" s="321"/>
      <c r="N590" s="355">
        <f ca="1">N583/2</f>
        <v>0.47499999999999998</v>
      </c>
      <c r="O590" s="321"/>
      <c r="P590" s="321">
        <f ca="1">'Rate Design Work'!P589</f>
        <v>0</v>
      </c>
      <c r="Q590" s="321"/>
      <c r="R590" s="355">
        <f ca="1">R583/2</f>
        <v>0.49</v>
      </c>
      <c r="S590" s="321"/>
      <c r="T590" s="321">
        <f ca="1">'Rate Design Work'!T589</f>
        <v>0</v>
      </c>
      <c r="U590" s="321"/>
      <c r="V590" s="355">
        <f ca="1">V583/2</f>
        <v>1.97</v>
      </c>
      <c r="W590" s="321"/>
      <c r="X590" s="321">
        <f ca="1">'Rate Design Work'!X589</f>
        <v>0</v>
      </c>
      <c r="Y590" s="20"/>
      <c r="Z590" s="74"/>
      <c r="AA590" s="74"/>
      <c r="AB590" s="74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</row>
    <row r="591" spans="1:45">
      <c r="A591" s="309" t="s">
        <v>434</v>
      </c>
      <c r="B591" s="1"/>
      <c r="C591" s="319">
        <v>0</v>
      </c>
      <c r="D591" s="334">
        <v>17.760000000000002</v>
      </c>
      <c r="E591" s="321"/>
      <c r="F591" s="321"/>
      <c r="G591" s="334">
        <v>18.88</v>
      </c>
      <c r="H591" s="321"/>
      <c r="I591" s="321"/>
      <c r="J591" s="355">
        <f ca="1">J583*4</f>
        <v>23.48</v>
      </c>
      <c r="K591" s="321"/>
      <c r="L591" s="321">
        <f ca="1">ROUND($C591*J591,0)</f>
        <v>0</v>
      </c>
      <c r="M591" s="321"/>
      <c r="N591" s="355">
        <f ca="1">N583*4</f>
        <v>3.8</v>
      </c>
      <c r="O591" s="321"/>
      <c r="P591" s="321">
        <f ca="1">'Rate Design Work'!P590</f>
        <v>0</v>
      </c>
      <c r="Q591" s="321"/>
      <c r="R591" s="355">
        <f ca="1">R583*4</f>
        <v>3.92</v>
      </c>
      <c r="S591" s="321"/>
      <c r="T591" s="321">
        <f ca="1">'Rate Design Work'!T590</f>
        <v>0</v>
      </c>
      <c r="U591" s="321"/>
      <c r="V591" s="355">
        <f ca="1">V583*4</f>
        <v>15.76</v>
      </c>
      <c r="W591" s="321"/>
      <c r="X591" s="321">
        <f ca="1">'Rate Design Work'!X590</f>
        <v>0</v>
      </c>
      <c r="Y591" s="20"/>
      <c r="Z591" s="74"/>
      <c r="AA591" s="74"/>
      <c r="AB591" s="74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</row>
    <row r="592" spans="1:45">
      <c r="A592" s="3" t="s">
        <v>435</v>
      </c>
      <c r="B592" s="303"/>
      <c r="C592" s="319">
        <v>0</v>
      </c>
      <c r="D592" s="335">
        <v>19.408000000000001</v>
      </c>
      <c r="E592" s="321" t="s">
        <v>374</v>
      </c>
      <c r="F592" s="321">
        <f>ROUND($C592*D592/100,0)</f>
        <v>0</v>
      </c>
      <c r="G592" s="335">
        <v>20.628</v>
      </c>
      <c r="H592" s="321" t="s">
        <v>374</v>
      </c>
      <c r="I592" s="321">
        <f>ROUND($C592*E592/100,0)</f>
        <v>0</v>
      </c>
      <c r="J592" s="335">
        <f ca="1">(J572)*4</f>
        <v>9.8079999999999998</v>
      </c>
      <c r="K592" s="321" t="s">
        <v>374</v>
      </c>
      <c r="L592" s="321">
        <f ca="1">ROUND($C592*J592/100,0)</f>
        <v>0</v>
      </c>
      <c r="M592" s="321"/>
      <c r="N592" s="335">
        <f>(N572)*4</f>
        <v>0</v>
      </c>
      <c r="O592" s="321" t="s">
        <v>374</v>
      </c>
      <c r="P592" s="321">
        <f>'Rate Design Work'!P591</f>
        <v>0</v>
      </c>
      <c r="Q592" s="321"/>
      <c r="R592" s="335">
        <f ca="1">(R572)*4</f>
        <v>4.42</v>
      </c>
      <c r="S592" s="321" t="s">
        <v>374</v>
      </c>
      <c r="T592" s="321">
        <f ca="1">'Rate Design Work'!T591</f>
        <v>0</v>
      </c>
      <c r="U592" s="321"/>
      <c r="V592" s="335">
        <f ca="1">(V572)*4</f>
        <v>5.3879999999999999</v>
      </c>
      <c r="W592" s="321" t="s">
        <v>374</v>
      </c>
      <c r="X592" s="321">
        <f ca="1">'Rate Design Work'!X591</f>
        <v>0</v>
      </c>
      <c r="Y592" s="7" t="s">
        <v>74</v>
      </c>
      <c r="Z592" s="74"/>
      <c r="AA592" s="74"/>
      <c r="AB592" s="74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</row>
    <row r="593" spans="1:47" s="1184" customFormat="1">
      <c r="A593" s="1005" t="s">
        <v>1026</v>
      </c>
      <c r="C593" s="1202">
        <f>C584+C585</f>
        <v>0</v>
      </c>
      <c r="D593" s="269"/>
      <c r="E593" s="1185"/>
      <c r="F593" s="1203"/>
      <c r="G593" s="269"/>
      <c r="H593" s="1185"/>
      <c r="I593" s="1203"/>
      <c r="J593" s="1230">
        <f>J616</f>
        <v>3.415</v>
      </c>
      <c r="K593" s="1009" t="s">
        <v>374</v>
      </c>
      <c r="L593" s="1041">
        <f t="shared" ref="L593:L594" si="171">ROUND($C593*J593/100,0)</f>
        <v>0</v>
      </c>
      <c r="M593" s="1041"/>
      <c r="N593" s="1230" t="str">
        <f>N616</f>
        <v xml:space="preserve"> </v>
      </c>
      <c r="O593" s="1009" t="s">
        <v>374</v>
      </c>
      <c r="P593" s="321">
        <f>'Rate Design Work'!P592</f>
        <v>0</v>
      </c>
      <c r="Q593" s="1041"/>
      <c r="R593" s="1230" t="str">
        <f>R616</f>
        <v xml:space="preserve"> </v>
      </c>
      <c r="S593" s="1009" t="s">
        <v>374</v>
      </c>
      <c r="T593" s="321">
        <f>'Rate Design Work'!T592</f>
        <v>0</v>
      </c>
      <c r="U593" s="1041"/>
      <c r="V593" s="1230">
        <f>V616</f>
        <v>3.415</v>
      </c>
      <c r="W593" s="1009" t="s">
        <v>374</v>
      </c>
      <c r="X593" s="321">
        <f>'Rate Design Work'!X592</f>
        <v>0</v>
      </c>
      <c r="Z593" s="815"/>
      <c r="AC593" s="1205"/>
      <c r="AD593" s="1205"/>
      <c r="AI593" s="1185"/>
      <c r="AJ593" s="1185"/>
      <c r="AK593" s="1185"/>
      <c r="AL593" s="1185"/>
      <c r="AM593" s="1185"/>
      <c r="AN593" s="1185"/>
      <c r="AO593" s="1185"/>
      <c r="AP593" s="1185"/>
      <c r="AQ593" s="1185"/>
      <c r="AR593" s="1185"/>
      <c r="AS593" s="1185"/>
      <c r="AU593" s="1204"/>
    </row>
    <row r="594" spans="1:47" s="1184" customFormat="1">
      <c r="A594" s="1005" t="s">
        <v>1027</v>
      </c>
      <c r="C594" s="1202">
        <f>C585+C586</f>
        <v>0</v>
      </c>
      <c r="D594" s="269"/>
      <c r="E594" s="1185"/>
      <c r="F594" s="1203"/>
      <c r="G594" s="269"/>
      <c r="H594" s="1185"/>
      <c r="I594" s="1203"/>
      <c r="J594" s="1230">
        <f>J617</f>
        <v>3.1309999999999998</v>
      </c>
      <c r="K594" s="1009" t="s">
        <v>374</v>
      </c>
      <c r="L594" s="1041">
        <f t="shared" si="171"/>
        <v>0</v>
      </c>
      <c r="M594" s="1041"/>
      <c r="N594" s="1230" t="str">
        <f>N617</f>
        <v xml:space="preserve"> </v>
      </c>
      <c r="O594" s="1009" t="s">
        <v>374</v>
      </c>
      <c r="P594" s="321">
        <f>'Rate Design Work'!P593</f>
        <v>0</v>
      </c>
      <c r="Q594" s="1041"/>
      <c r="R594" s="1230" t="str">
        <f>R617</f>
        <v xml:space="preserve"> </v>
      </c>
      <c r="S594" s="1009" t="s">
        <v>374</v>
      </c>
      <c r="T594" s="321">
        <f>'Rate Design Work'!T593</f>
        <v>0</v>
      </c>
      <c r="U594" s="1041"/>
      <c r="V594" s="1230">
        <f>V617</f>
        <v>3.1309999999999998</v>
      </c>
      <c r="W594" s="1009" t="s">
        <v>374</v>
      </c>
      <c r="X594" s="321">
        <f>'Rate Design Work'!X593</f>
        <v>0</v>
      </c>
      <c r="Z594" s="815"/>
      <c r="AC594" s="1205"/>
      <c r="AD594" s="1205"/>
      <c r="AI594" s="1185"/>
      <c r="AJ594" s="1185"/>
      <c r="AK594" s="1185"/>
      <c r="AL594" s="1185"/>
      <c r="AM594" s="1185"/>
      <c r="AN594" s="1185"/>
      <c r="AO594" s="1185"/>
      <c r="AP594" s="1185"/>
      <c r="AQ594" s="1185"/>
      <c r="AR594" s="1185"/>
      <c r="AS594" s="1185"/>
      <c r="AU594" s="1204"/>
    </row>
    <row r="595" spans="1:47">
      <c r="A595" s="1" t="s">
        <v>381</v>
      </c>
      <c r="B595" s="1"/>
      <c r="C595" s="319">
        <f>SUM(C571:C572)</f>
        <v>0</v>
      </c>
      <c r="D595" s="330"/>
      <c r="E595" s="2"/>
      <c r="F595" s="2">
        <f>SUM(F562:F592)</f>
        <v>0</v>
      </c>
      <c r="G595" s="330"/>
      <c r="H595" s="323"/>
      <c r="I595" s="2">
        <f>SUM(I562:I592)</f>
        <v>0</v>
      </c>
      <c r="J595" s="330"/>
      <c r="K595" s="323"/>
      <c r="L595" s="2">
        <f ca="1">SUM(L562:L594)</f>
        <v>0</v>
      </c>
      <c r="M595" s="2"/>
      <c r="N595" s="330"/>
      <c r="O595" s="323"/>
      <c r="P595" s="2">
        <f ca="1">SUM(P562:P594)</f>
        <v>0</v>
      </c>
      <c r="Q595" s="2"/>
      <c r="R595" s="330"/>
      <c r="S595" s="323"/>
      <c r="T595" s="2">
        <f ca="1">SUM(T562:T594)</f>
        <v>0</v>
      </c>
      <c r="U595" s="2"/>
      <c r="V595" s="330"/>
      <c r="W595" s="323"/>
      <c r="X595" s="2">
        <f ca="1">SUM(X562:X594)</f>
        <v>0</v>
      </c>
      <c r="Y595" s="20"/>
      <c r="Z595" s="74"/>
      <c r="AA595" s="74"/>
      <c r="AB595" s="74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</row>
    <row r="596" spans="1:47">
      <c r="A596" s="1" t="s">
        <v>363</v>
      </c>
      <c r="B596" s="1"/>
      <c r="C596" s="349">
        <v>0</v>
      </c>
      <c r="D596" s="309"/>
      <c r="E596" s="309"/>
      <c r="F596" s="310">
        <v>0</v>
      </c>
      <c r="G596" s="309"/>
      <c r="H596" s="309"/>
      <c r="I596" s="310">
        <v>0</v>
      </c>
      <c r="J596" s="309"/>
      <c r="K596" s="309"/>
      <c r="L596" s="310">
        <v>0</v>
      </c>
      <c r="M596" s="51"/>
      <c r="N596" s="309"/>
      <c r="O596" s="309"/>
      <c r="P596" s="310">
        <v>0</v>
      </c>
      <c r="Q596" s="51"/>
      <c r="R596" s="309"/>
      <c r="S596" s="309"/>
      <c r="T596" s="310">
        <v>0</v>
      </c>
      <c r="U596" s="51"/>
      <c r="V596" s="309"/>
      <c r="W596" s="309"/>
      <c r="X596" s="310">
        <v>0</v>
      </c>
      <c r="Y596" s="444"/>
      <c r="Z596" s="287"/>
      <c r="AA596" s="74"/>
      <c r="AB596" s="74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</row>
    <row r="597" spans="1:47" ht="16.5" thickBot="1">
      <c r="A597" s="1" t="s">
        <v>382</v>
      </c>
      <c r="B597" s="1"/>
      <c r="C597" s="366">
        <f>SUM(C595:C596)</f>
        <v>0</v>
      </c>
      <c r="D597" s="342"/>
      <c r="E597" s="343"/>
      <c r="F597" s="344">
        <f>SUM(F595:F596)</f>
        <v>0</v>
      </c>
      <c r="G597" s="342"/>
      <c r="H597" s="345"/>
      <c r="I597" s="344">
        <f>SUM(I595:I596)</f>
        <v>0</v>
      </c>
      <c r="J597" s="342"/>
      <c r="K597" s="345"/>
      <c r="L597" s="344">
        <f ca="1">SUM(L595:L596)</f>
        <v>0</v>
      </c>
      <c r="M597" s="344"/>
      <c r="N597" s="342"/>
      <c r="O597" s="345"/>
      <c r="P597" s="344">
        <f ca="1">SUM(P595:P596)</f>
        <v>0</v>
      </c>
      <c r="Q597" s="344"/>
      <c r="R597" s="342"/>
      <c r="S597" s="345"/>
      <c r="T597" s="344">
        <f ca="1">SUM(T595:T596)</f>
        <v>0</v>
      </c>
      <c r="U597" s="344"/>
      <c r="V597" s="342"/>
      <c r="W597" s="345"/>
      <c r="X597" s="344">
        <f ca="1">SUM(X595:X596)</f>
        <v>0</v>
      </c>
      <c r="Y597" s="411"/>
      <c r="Z597" s="470"/>
      <c r="AA597" s="74"/>
      <c r="AB597" s="74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</row>
    <row r="598" spans="1:47" ht="16.5" thickTop="1">
      <c r="A598" s="1"/>
      <c r="B598" s="367"/>
      <c r="C598" s="21"/>
      <c r="D598" s="337"/>
      <c r="E598" s="2"/>
      <c r="F598" s="2"/>
      <c r="G598" s="337"/>
      <c r="H598" s="1"/>
      <c r="I598" s="2"/>
      <c r="J598" s="337"/>
      <c r="K598" s="1"/>
      <c r="L598" s="2"/>
      <c r="M598" s="2"/>
      <c r="N598" s="337"/>
      <c r="O598" s="1"/>
      <c r="P598" s="2"/>
      <c r="Q598" s="2"/>
      <c r="R598" s="337"/>
      <c r="S598" s="1"/>
      <c r="T598" s="2"/>
      <c r="U598" s="2"/>
      <c r="V598" s="337"/>
      <c r="W598" s="1"/>
      <c r="X598" s="2"/>
      <c r="Y598" s="20"/>
      <c r="Z598" s="74"/>
      <c r="AA598" s="74"/>
      <c r="AB598" s="74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</row>
    <row r="599" spans="1:47">
      <c r="A599" s="293" t="s">
        <v>436</v>
      </c>
      <c r="B599" s="1"/>
      <c r="C599" s="1"/>
      <c r="D599" s="2"/>
      <c r="E599" s="2"/>
      <c r="F599" s="1" t="s">
        <v>31</v>
      </c>
      <c r="G599" s="2"/>
      <c r="H599" s="1"/>
      <c r="I599" s="1"/>
      <c r="J599" s="2"/>
      <c r="K599" s="1"/>
      <c r="L599" s="1"/>
      <c r="M599" s="1"/>
      <c r="N599" s="2"/>
      <c r="O599" s="1"/>
      <c r="P599" s="1"/>
      <c r="Q599" s="1"/>
      <c r="R599" s="2"/>
      <c r="S599" s="1"/>
      <c r="T599" s="1"/>
      <c r="U599" s="1"/>
      <c r="V599" s="2"/>
      <c r="W599" s="1"/>
      <c r="X599" s="1"/>
      <c r="Y599" s="20"/>
      <c r="Z599" s="74"/>
      <c r="AA599" s="74"/>
      <c r="AB599" s="74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</row>
    <row r="600" spans="1:47">
      <c r="A600" s="309" t="s">
        <v>437</v>
      </c>
      <c r="B600" s="1"/>
      <c r="C600" s="1"/>
      <c r="D600" s="2"/>
      <c r="E600" s="2"/>
      <c r="F600" s="1"/>
      <c r="G600" s="2"/>
      <c r="H600" s="1"/>
      <c r="I600" s="1"/>
      <c r="J600" s="2"/>
      <c r="K600" s="1"/>
      <c r="L600" s="1"/>
      <c r="M600" s="1"/>
      <c r="N600" s="2"/>
      <c r="O600" s="1"/>
      <c r="P600" s="1"/>
      <c r="Q600" s="1"/>
      <c r="R600" s="2"/>
      <c r="S600" s="1"/>
      <c r="T600" s="1"/>
      <c r="U600" s="1"/>
      <c r="V600" s="2"/>
      <c r="W600" s="1"/>
      <c r="X600" s="1"/>
      <c r="Y600" s="20"/>
      <c r="Z600" s="74"/>
      <c r="AA600" s="74"/>
      <c r="AB600" s="74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</row>
    <row r="601" spans="1:47">
      <c r="A601" s="323"/>
      <c r="B601" s="1"/>
      <c r="C601" s="1"/>
      <c r="D601" s="2"/>
      <c r="E601" s="2"/>
      <c r="F601" s="1"/>
      <c r="G601" s="2"/>
      <c r="H601" s="1"/>
      <c r="I601" s="1"/>
      <c r="J601" s="2"/>
      <c r="K601" s="1"/>
      <c r="L601" s="1"/>
      <c r="M601" s="1"/>
      <c r="N601" s="2"/>
      <c r="O601" s="1"/>
      <c r="P601" s="1"/>
      <c r="Q601" s="1"/>
      <c r="R601" s="2"/>
      <c r="S601" s="1"/>
      <c r="T601" s="1"/>
      <c r="U601" s="1"/>
      <c r="V601" s="2"/>
      <c r="W601" s="1"/>
      <c r="X601" s="1"/>
      <c r="Y601" s="20"/>
      <c r="AA601" s="74"/>
      <c r="AB601" s="74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</row>
    <row r="602" spans="1:47">
      <c r="A602" s="323" t="s">
        <v>393</v>
      </c>
      <c r="B602" s="1"/>
      <c r="C602" s="319"/>
      <c r="D602" s="2"/>
      <c r="E602" s="2"/>
      <c r="F602" s="1"/>
      <c r="G602" s="2"/>
      <c r="H602" s="1"/>
      <c r="I602" s="1"/>
      <c r="J602" s="2"/>
      <c r="K602" s="1"/>
      <c r="L602" s="1"/>
      <c r="M602" s="1"/>
      <c r="N602" s="2"/>
      <c r="O602" s="1"/>
      <c r="P602" s="1"/>
      <c r="Q602" s="1"/>
      <c r="R602" s="2"/>
      <c r="S602" s="1"/>
      <c r="T602" s="1"/>
      <c r="U602" s="1"/>
      <c r="V602" s="2"/>
      <c r="W602" s="1"/>
      <c r="X602" s="1"/>
      <c r="Y602" s="20"/>
      <c r="Z602" s="74"/>
      <c r="AA602" s="40" t="s">
        <v>252</v>
      </c>
      <c r="AB602" s="40"/>
      <c r="AC602" s="20"/>
      <c r="AD602" s="20"/>
      <c r="AE602" s="20"/>
      <c r="AF602" s="20"/>
      <c r="AG602" s="20"/>
      <c r="AH602" s="20"/>
      <c r="AI602" s="20"/>
      <c r="AK602" s="20"/>
      <c r="AL602" s="20"/>
      <c r="AM602" s="20"/>
      <c r="AN602" s="20"/>
      <c r="AO602" s="20"/>
      <c r="AP602" s="20"/>
      <c r="AQ602" s="20"/>
      <c r="AR602" s="20"/>
      <c r="AS602" s="20"/>
    </row>
    <row r="603" spans="1:47">
      <c r="A603" s="323" t="s">
        <v>421</v>
      </c>
      <c r="B603" s="1"/>
      <c r="C603" s="319">
        <f>C645+C683</f>
        <v>316.43333333333368</v>
      </c>
      <c r="D603" s="298">
        <v>259</v>
      </c>
      <c r="E603" s="323"/>
      <c r="F603" s="321">
        <f>F645+F683</f>
        <v>81956</v>
      </c>
      <c r="G603" s="298">
        <v>259</v>
      </c>
      <c r="H603" s="323"/>
      <c r="I603" s="321">
        <f>I645+I683</f>
        <v>81956</v>
      </c>
      <c r="J603" s="301">
        <f>'Rate Design Work'!J602</f>
        <v>259</v>
      </c>
      <c r="K603" s="323"/>
      <c r="L603" s="321">
        <f>L645+L683</f>
        <v>81956</v>
      </c>
      <c r="M603" s="321"/>
      <c r="N603" s="301">
        <f>'Rate Design Work'!N602</f>
        <v>259</v>
      </c>
      <c r="O603" s="323"/>
      <c r="P603" s="321">
        <f>'Rate Design Work'!P602</f>
        <v>81956</v>
      </c>
      <c r="Q603" s="321"/>
      <c r="R603" s="301" t="str">
        <f>'Rate Design Work'!R602</f>
        <v xml:space="preserve"> </v>
      </c>
      <c r="S603" s="323"/>
      <c r="T603" s="321">
        <f>'Rate Design Work'!T602</f>
        <v>0</v>
      </c>
      <c r="U603" s="2"/>
      <c r="V603" s="301" t="str">
        <f>'Rate Design Work'!V602</f>
        <v xml:space="preserve"> </v>
      </c>
      <c r="W603" s="1"/>
      <c r="X603" s="2">
        <f>'Rate Design Work'!X602</f>
        <v>0</v>
      </c>
      <c r="AA603" s="55">
        <f>(J603-G603)/G603</f>
        <v>0</v>
      </c>
      <c r="AB603" s="55"/>
      <c r="AJ603" s="53"/>
      <c r="AK603" s="53"/>
      <c r="AN603" s="20"/>
      <c r="AO603" s="20"/>
      <c r="AP603" s="20"/>
      <c r="AQ603" s="20"/>
      <c r="AR603" s="20"/>
      <c r="AS603" s="20"/>
    </row>
    <row r="604" spans="1:47">
      <c r="A604" s="323" t="s">
        <v>422</v>
      </c>
      <c r="B604" s="1"/>
      <c r="C604" s="319">
        <f>C646+C684</f>
        <v>8726.8666666666722</v>
      </c>
      <c r="D604" s="298">
        <v>96</v>
      </c>
      <c r="E604" s="323"/>
      <c r="F604" s="321">
        <f>F646+F684</f>
        <v>837779</v>
      </c>
      <c r="G604" s="298">
        <v>96</v>
      </c>
      <c r="H604" s="323"/>
      <c r="I604" s="321">
        <f>I646+I684</f>
        <v>837779</v>
      </c>
      <c r="J604" s="301">
        <f>'Rate Design Work'!J603</f>
        <v>96</v>
      </c>
      <c r="K604" s="323"/>
      <c r="L604" s="321">
        <f>L646+L684</f>
        <v>837779</v>
      </c>
      <c r="M604" s="321"/>
      <c r="N604" s="301">
        <f>'Rate Design Work'!N603</f>
        <v>96</v>
      </c>
      <c r="O604" s="323"/>
      <c r="P604" s="321">
        <f>'Rate Design Work'!P603</f>
        <v>837779</v>
      </c>
      <c r="Q604" s="321"/>
      <c r="R604" s="301" t="str">
        <f>'Rate Design Work'!R603</f>
        <v xml:space="preserve"> </v>
      </c>
      <c r="S604" s="323"/>
      <c r="T604" s="321">
        <f>'Rate Design Work'!T603</f>
        <v>0</v>
      </c>
      <c r="U604" s="2"/>
      <c r="V604" s="301" t="str">
        <f>'Rate Design Work'!V603</f>
        <v xml:space="preserve"> </v>
      </c>
      <c r="W604" s="1"/>
      <c r="X604" s="2">
        <f>'Rate Design Work'!X603</f>
        <v>0</v>
      </c>
      <c r="AA604" s="55">
        <f>(J604-G604)/G604</f>
        <v>0</v>
      </c>
      <c r="AB604" s="55"/>
      <c r="AD604" s="84"/>
      <c r="AE604" s="736"/>
      <c r="AF604" s="84"/>
      <c r="AG604" s="736"/>
      <c r="AH604" s="84"/>
      <c r="AI604" s="84"/>
      <c r="AJ604" s="736"/>
      <c r="AK604" s="736"/>
      <c r="AM604" s="237"/>
      <c r="AN604" s="20"/>
      <c r="AO604" s="20"/>
      <c r="AP604" s="20"/>
      <c r="AQ604" s="20"/>
      <c r="AR604" s="20"/>
      <c r="AS604" s="20"/>
    </row>
    <row r="605" spans="1:47">
      <c r="A605" s="323" t="s">
        <v>423</v>
      </c>
      <c r="B605" s="1"/>
      <c r="C605" s="319">
        <f>C647+C685</f>
        <v>3603.6666666666661</v>
      </c>
      <c r="D605" s="298">
        <v>192</v>
      </c>
      <c r="E605" s="325"/>
      <c r="F605" s="321">
        <f>F647+F685</f>
        <v>691904</v>
      </c>
      <c r="G605" s="298">
        <v>192</v>
      </c>
      <c r="H605" s="325"/>
      <c r="I605" s="321">
        <f>I647+I685</f>
        <v>691904</v>
      </c>
      <c r="J605" s="301">
        <f>'Rate Design Work'!J604</f>
        <v>192</v>
      </c>
      <c r="K605" s="325"/>
      <c r="L605" s="321">
        <f>L647+L685</f>
        <v>691904</v>
      </c>
      <c r="M605" s="321"/>
      <c r="N605" s="301">
        <f>'Rate Design Work'!N604</f>
        <v>192</v>
      </c>
      <c r="O605" s="325"/>
      <c r="P605" s="321">
        <f>'Rate Design Work'!P604</f>
        <v>691904</v>
      </c>
      <c r="Q605" s="321"/>
      <c r="R605" s="301" t="str">
        <f>'Rate Design Work'!R604</f>
        <v xml:space="preserve"> </v>
      </c>
      <c r="S605" s="325"/>
      <c r="T605" s="321">
        <f>'Rate Design Work'!T604</f>
        <v>0</v>
      </c>
      <c r="U605" s="2"/>
      <c r="V605" s="301" t="str">
        <f>'Rate Design Work'!V604</f>
        <v xml:space="preserve"> </v>
      </c>
      <c r="W605" s="1"/>
      <c r="X605" s="2">
        <f>'Rate Design Work'!X604</f>
        <v>0</v>
      </c>
      <c r="AA605" s="55">
        <f>(J605-G605)/G605</f>
        <v>0</v>
      </c>
      <c r="AB605" s="55"/>
      <c r="AD605" s="84"/>
      <c r="AE605" s="736"/>
      <c r="AF605" s="84"/>
      <c r="AG605" s="736"/>
      <c r="AH605" s="84"/>
      <c r="AI605" s="84"/>
      <c r="AJ605" s="736"/>
      <c r="AK605" s="736"/>
      <c r="AM605" s="237"/>
      <c r="AN605" s="20"/>
      <c r="AO605" s="20"/>
      <c r="AP605" s="20"/>
      <c r="AQ605" s="20"/>
      <c r="AR605" s="20"/>
      <c r="AS605" s="20"/>
    </row>
    <row r="606" spans="1:47">
      <c r="A606" s="323" t="s">
        <v>394</v>
      </c>
      <c r="B606" s="1"/>
      <c r="C606" s="319">
        <f>SUM(C603:C605)</f>
        <v>12646.966666666673</v>
      </c>
      <c r="D606" s="298"/>
      <c r="E606" s="323"/>
      <c r="F606" s="321"/>
      <c r="G606" s="298"/>
      <c r="H606" s="323"/>
      <c r="I606" s="321"/>
      <c r="J606" s="301"/>
      <c r="K606" s="323"/>
      <c r="L606" s="321"/>
      <c r="M606" s="321"/>
      <c r="N606" s="301"/>
      <c r="O606" s="323"/>
      <c r="P606" s="321"/>
      <c r="Q606" s="321"/>
      <c r="R606" s="301"/>
      <c r="S606" s="323"/>
      <c r="T606" s="321"/>
      <c r="U606" s="321"/>
      <c r="V606" s="301"/>
      <c r="W606" s="323"/>
      <c r="X606" s="321"/>
      <c r="AD606" s="84"/>
      <c r="AE606" s="736"/>
      <c r="AF606" s="84"/>
      <c r="AG606" s="736"/>
      <c r="AH606" s="84"/>
      <c r="AI606" s="84"/>
      <c r="AJ606" s="736"/>
      <c r="AK606" s="736"/>
      <c r="AM606" s="237"/>
      <c r="AN606" s="20"/>
      <c r="AO606" s="20"/>
      <c r="AP606" s="20"/>
      <c r="AQ606" s="20"/>
      <c r="AR606" s="20"/>
      <c r="AS606" s="20"/>
    </row>
    <row r="607" spans="1:47">
      <c r="A607" s="323" t="s">
        <v>422</v>
      </c>
      <c r="B607" s="1"/>
      <c r="C607" s="319">
        <f>C649+C687</f>
        <v>1502047</v>
      </c>
      <c r="D607" s="298">
        <v>1.7</v>
      </c>
      <c r="E607" s="323" t="s">
        <v>31</v>
      </c>
      <c r="F607" s="321">
        <f>F649+F687</f>
        <v>2553480</v>
      </c>
      <c r="G607" s="298">
        <v>1.7</v>
      </c>
      <c r="H607" s="323" t="s">
        <v>31</v>
      </c>
      <c r="I607" s="321">
        <f>I649+I687</f>
        <v>2553480</v>
      </c>
      <c r="J607" s="301">
        <f ca="1">'Rate Design Work'!J606</f>
        <v>1.89</v>
      </c>
      <c r="K607" s="323" t="s">
        <v>31</v>
      </c>
      <c r="L607" s="321">
        <f ca="1">L649+L687</f>
        <v>2838869</v>
      </c>
      <c r="M607" s="321"/>
      <c r="N607" s="301">
        <f ca="1">'Rate Design Work'!N606</f>
        <v>1.89</v>
      </c>
      <c r="O607" s="323" t="s">
        <v>31</v>
      </c>
      <c r="P607" s="321">
        <f ca="1">'Rate Design Work'!P606</f>
        <v>2838869</v>
      </c>
      <c r="Q607" s="321"/>
      <c r="R607" s="301" t="str">
        <f>'Rate Design Work'!R606</f>
        <v xml:space="preserve"> </v>
      </c>
      <c r="S607" s="323" t="s">
        <v>31</v>
      </c>
      <c r="T607" s="321">
        <f>'Rate Design Work'!T606</f>
        <v>0</v>
      </c>
      <c r="U607" s="2"/>
      <c r="V607" s="301" t="str">
        <f>'Rate Design Work'!V606</f>
        <v xml:space="preserve"> </v>
      </c>
      <c r="W607" s="1"/>
      <c r="X607" s="2">
        <f>'Rate Design Work'!X606</f>
        <v>0</v>
      </c>
      <c r="Z607" s="88" t="s">
        <v>31</v>
      </c>
      <c r="AA607" s="55">
        <f ca="1">(J607-G607)/G607</f>
        <v>0.11176470588235292</v>
      </c>
      <c r="AB607" s="55"/>
      <c r="AD607" s="84"/>
      <c r="AE607" s="737"/>
      <c r="AF607" s="84"/>
      <c r="AG607" s="737"/>
      <c r="AH607" s="84"/>
      <c r="AI607" s="84"/>
      <c r="AJ607" s="737"/>
      <c r="AK607" s="737"/>
      <c r="AM607" s="20"/>
      <c r="AN607" s="20"/>
      <c r="AO607" s="20"/>
      <c r="AP607" s="20"/>
      <c r="AQ607" s="20"/>
      <c r="AR607" s="20"/>
      <c r="AS607" s="20"/>
    </row>
    <row r="608" spans="1:47">
      <c r="A608" s="323" t="s">
        <v>423</v>
      </c>
      <c r="B608" s="1"/>
      <c r="C608" s="319">
        <f>C650+C688</f>
        <v>1828696</v>
      </c>
      <c r="D608" s="298">
        <v>1.39</v>
      </c>
      <c r="E608" s="323" t="s">
        <v>31</v>
      </c>
      <c r="F608" s="321">
        <f>F650+F688</f>
        <v>2541887</v>
      </c>
      <c r="G608" s="298">
        <v>1.39</v>
      </c>
      <c r="H608" s="323" t="s">
        <v>31</v>
      </c>
      <c r="I608" s="321">
        <f>I650+I688</f>
        <v>2541887</v>
      </c>
      <c r="J608" s="301">
        <f ca="1">'Rate Design Work'!J607</f>
        <v>1.55</v>
      </c>
      <c r="K608" s="323" t="s">
        <v>31</v>
      </c>
      <c r="L608" s="321">
        <f ca="1">L650+L688</f>
        <v>2834479</v>
      </c>
      <c r="M608" s="321"/>
      <c r="N608" s="301">
        <f ca="1">'Rate Design Work'!N607</f>
        <v>1.55</v>
      </c>
      <c r="O608" s="323" t="s">
        <v>31</v>
      </c>
      <c r="P608" s="321">
        <f ca="1">'Rate Design Work'!P607</f>
        <v>2834479</v>
      </c>
      <c r="Q608" s="321"/>
      <c r="R608" s="301" t="str">
        <f>'Rate Design Work'!R607</f>
        <v xml:space="preserve"> </v>
      </c>
      <c r="S608" s="323" t="s">
        <v>31</v>
      </c>
      <c r="T608" s="321">
        <f>'Rate Design Work'!T607</f>
        <v>0</v>
      </c>
      <c r="U608" s="2"/>
      <c r="V608" s="301" t="str">
        <f>'Rate Design Work'!V607</f>
        <v xml:space="preserve"> </v>
      </c>
      <c r="W608" s="1"/>
      <c r="X608" s="2">
        <f>'Rate Design Work'!X607</f>
        <v>0</v>
      </c>
      <c r="AA608" s="55">
        <f ca="1">(J608-G608)/G608</f>
        <v>0.11510791366906487</v>
      </c>
      <c r="AB608" s="55"/>
      <c r="AD608" s="84"/>
      <c r="AE608" s="84"/>
      <c r="AM608" s="20"/>
      <c r="AN608" s="20"/>
      <c r="AO608" s="20"/>
      <c r="AP608" s="20"/>
      <c r="AQ608" s="20"/>
      <c r="AR608" s="20"/>
      <c r="AS608" s="20"/>
    </row>
    <row r="609" spans="1:47">
      <c r="A609" s="309" t="s">
        <v>424</v>
      </c>
      <c r="B609" s="1"/>
      <c r="C609" s="319"/>
      <c r="D609" s="355"/>
      <c r="E609" s="323"/>
      <c r="F609" s="321"/>
      <c r="G609" s="355"/>
      <c r="H609" s="323"/>
      <c r="I609" s="321"/>
      <c r="J609" s="304"/>
      <c r="K609" s="323"/>
      <c r="L609" s="321"/>
      <c r="M609" s="321"/>
      <c r="N609" s="304"/>
      <c r="O609" s="323"/>
      <c r="P609" s="321"/>
      <c r="Q609" s="321"/>
      <c r="R609" s="304"/>
      <c r="S609" s="323"/>
      <c r="T609" s="321"/>
      <c r="U609" s="321"/>
      <c r="V609" s="304"/>
      <c r="W609" s="323"/>
      <c r="X609" s="321"/>
      <c r="AC609" s="69"/>
      <c r="AM609" s="20"/>
      <c r="AN609" s="20"/>
      <c r="AO609" s="20"/>
      <c r="AP609" s="20"/>
      <c r="AQ609" s="20"/>
      <c r="AR609" s="20"/>
      <c r="AS609" s="20"/>
    </row>
    <row r="610" spans="1:47">
      <c r="A610" s="309" t="s">
        <v>425</v>
      </c>
      <c r="B610" s="1"/>
      <c r="C610" s="319">
        <f>C652+C690</f>
        <v>2516583.5</v>
      </c>
      <c r="D610" s="298">
        <v>4.4400000000000004</v>
      </c>
      <c r="E610" s="323"/>
      <c r="F610" s="321">
        <f>F652+F690</f>
        <v>11173631</v>
      </c>
      <c r="G610" s="298">
        <v>4.72</v>
      </c>
      <c r="H610" s="323"/>
      <c r="I610" s="321">
        <f>I652+I690</f>
        <v>11878274</v>
      </c>
      <c r="J610" s="301">
        <f ca="1">'Rate Design Work'!J609</f>
        <v>5.87</v>
      </c>
      <c r="K610" s="323"/>
      <c r="L610" s="321">
        <f ca="1">L652+L690</f>
        <v>14772345</v>
      </c>
      <c r="M610" s="321"/>
      <c r="N610" s="301">
        <f ca="1">'Rate Design Work'!N609</f>
        <v>0.95</v>
      </c>
      <c r="O610" s="323"/>
      <c r="P610" s="321">
        <f ca="1">'Rate Design Work'!P609</f>
        <v>2396111.3892841926</v>
      </c>
      <c r="Q610" s="321"/>
      <c r="R610" s="301">
        <f ca="1">'Rate Design Work'!R609</f>
        <v>0.98</v>
      </c>
      <c r="S610" s="323"/>
      <c r="T610" s="321">
        <f ca="1">'Rate Design Work'!T609</f>
        <v>2465184.7435978642</v>
      </c>
      <c r="U610" s="321"/>
      <c r="V610" s="301">
        <f ca="1">'Rate Design Work'!V609</f>
        <v>3.94</v>
      </c>
      <c r="W610" s="323"/>
      <c r="X610" s="2">
        <f ca="1">'Rate Design Work'!X609</f>
        <v>9911048.8671179432</v>
      </c>
      <c r="AA610" s="55">
        <f ca="1">(J610-G610)/G610</f>
        <v>0.24364406779661027</v>
      </c>
      <c r="AB610" s="55"/>
      <c r="AC610" s="69"/>
      <c r="AM610" s="20"/>
      <c r="AN610" s="20"/>
      <c r="AO610" s="20"/>
      <c r="AP610" s="20"/>
      <c r="AQ610" s="20"/>
      <c r="AR610" s="20"/>
      <c r="AS610" s="20"/>
    </row>
    <row r="611" spans="1:47">
      <c r="A611" s="309" t="s">
        <v>441</v>
      </c>
      <c r="B611" s="1"/>
      <c r="C611" s="319">
        <f>C653+C691</f>
        <v>1998.6666666666692</v>
      </c>
      <c r="D611" s="369">
        <v>4.4400000000000004</v>
      </c>
      <c r="E611" s="323"/>
      <c r="F611" s="321">
        <f>F653+F691</f>
        <v>8874</v>
      </c>
      <c r="G611" s="369">
        <v>4.72</v>
      </c>
      <c r="H611" s="323"/>
      <c r="I611" s="321">
        <f>I653+I691</f>
        <v>9434</v>
      </c>
      <c r="J611" s="805">
        <f ca="1">J610</f>
        <v>5.87</v>
      </c>
      <c r="K611" s="323"/>
      <c r="L611" s="321">
        <f ca="1">L653+L691</f>
        <v>11732</v>
      </c>
      <c r="M611" s="321"/>
      <c r="N611" s="805">
        <f ca="1">N610</f>
        <v>0.95</v>
      </c>
      <c r="O611" s="323"/>
      <c r="P611" s="321">
        <f ca="1">'Rate Design Work'!P610</f>
        <v>1898.7333333333356</v>
      </c>
      <c r="Q611" s="321"/>
      <c r="R611" s="805">
        <f ca="1">R610</f>
        <v>0.98</v>
      </c>
      <c r="S611" s="323"/>
      <c r="T611" s="321">
        <f ca="1">'Rate Design Work'!T610</f>
        <v>1958.6933333333359</v>
      </c>
      <c r="U611" s="321"/>
      <c r="V611" s="805">
        <f ca="1">V610</f>
        <v>3.94</v>
      </c>
      <c r="W611" s="323"/>
      <c r="X611" s="2">
        <f ca="1">'Rate Design Work'!X610</f>
        <v>7874.7466666666769</v>
      </c>
      <c r="AA611" s="55">
        <f ca="1">(J611-G611)/G611</f>
        <v>0.24364406779661027</v>
      </c>
      <c r="AB611" s="55"/>
      <c r="AC611" s="69"/>
      <c r="AM611" s="20"/>
      <c r="AN611" s="20"/>
      <c r="AO611" s="20"/>
      <c r="AP611" s="20"/>
      <c r="AQ611" s="20"/>
      <c r="AR611" s="20"/>
      <c r="AS611" s="20"/>
    </row>
    <row r="612" spans="1:47">
      <c r="A612" s="323" t="s">
        <v>426</v>
      </c>
      <c r="B612" s="1"/>
      <c r="C612" s="319"/>
      <c r="D612" s="298"/>
      <c r="E612" s="323"/>
      <c r="F612" s="321"/>
      <c r="G612" s="298"/>
      <c r="H612" s="323"/>
      <c r="I612" s="321"/>
      <c r="J612" s="301"/>
      <c r="K612" s="323"/>
      <c r="L612" s="321"/>
      <c r="M612" s="321"/>
      <c r="N612" s="301"/>
      <c r="O612" s="323"/>
      <c r="P612" s="321"/>
      <c r="Q612" s="321"/>
      <c r="R612" s="301"/>
      <c r="S612" s="323"/>
      <c r="T612" s="321"/>
      <c r="U612" s="321"/>
      <c r="V612" s="301"/>
      <c r="W612" s="323"/>
      <c r="X612" s="321"/>
      <c r="AC612" s="88" t="s">
        <v>31</v>
      </c>
      <c r="AM612" s="20"/>
      <c r="AN612" s="20"/>
      <c r="AO612" s="20"/>
      <c r="AP612" s="20"/>
      <c r="AQ612" s="20"/>
      <c r="AR612" s="20"/>
      <c r="AS612" s="20"/>
    </row>
    <row r="613" spans="1:47">
      <c r="A613" s="323" t="s">
        <v>427</v>
      </c>
      <c r="B613" s="319"/>
      <c r="C613" s="319">
        <f>C655+C693</f>
        <v>396791152.47443527</v>
      </c>
      <c r="D613" s="327">
        <v>5.2919999999999998</v>
      </c>
      <c r="E613" s="323" t="s">
        <v>374</v>
      </c>
      <c r="F613" s="321">
        <f>F655+F693</f>
        <v>20998188</v>
      </c>
      <c r="G613" s="327">
        <v>5.6289999999999996</v>
      </c>
      <c r="H613" s="323" t="s">
        <v>374</v>
      </c>
      <c r="I613" s="321">
        <f>I655+I693</f>
        <v>22335374</v>
      </c>
      <c r="J613" s="806">
        <f ca="1">'Rate Design Work'!J612</f>
        <v>2.6779999999999999</v>
      </c>
      <c r="K613" s="323" t="s">
        <v>374</v>
      </c>
      <c r="L613" s="321">
        <f ca="1">L655+L693</f>
        <v>10626067</v>
      </c>
      <c r="M613" s="321"/>
      <c r="N613" s="806" t="str">
        <f>'Rate Design Work'!N612</f>
        <v xml:space="preserve"> </v>
      </c>
      <c r="O613" s="323" t="s">
        <v>31</v>
      </c>
      <c r="P613" s="321">
        <f>'Rate Design Work'!P612</f>
        <v>0</v>
      </c>
      <c r="Q613" s="321"/>
      <c r="R613" s="806">
        <f ca="1">'Rate Design Work'!R612</f>
        <v>1.2070000000000001</v>
      </c>
      <c r="S613" s="323" t="s">
        <v>374</v>
      </c>
      <c r="T613" s="321">
        <f ca="1">'Rate Design Work'!T612</f>
        <v>4789221.4770080782</v>
      </c>
      <c r="U613" s="321"/>
      <c r="V613" s="806">
        <f ca="1">'Rate Design Work'!V612</f>
        <v>1.4710000000000001</v>
      </c>
      <c r="W613" s="323" t="s">
        <v>374</v>
      </c>
      <c r="X613" s="2">
        <f ca="1">'Rate Design Work'!X612</f>
        <v>5836844.1281186156</v>
      </c>
      <c r="AA613" s="55">
        <f ca="1">((J613+J616)-G613)/G613</f>
        <v>8.2430271806715305E-2</v>
      </c>
      <c r="AB613" s="55"/>
      <c r="AC613" s="69"/>
      <c r="AM613" s="20"/>
      <c r="AN613" s="20"/>
      <c r="AO613" s="20"/>
      <c r="AP613" s="20"/>
      <c r="AQ613" s="20"/>
      <c r="AR613" s="20"/>
      <c r="AS613" s="20"/>
    </row>
    <row r="614" spans="1:47">
      <c r="A614" s="323" t="s">
        <v>399</v>
      </c>
      <c r="B614" s="319"/>
      <c r="C614" s="319">
        <f>C656+C694</f>
        <v>502951619.70132762</v>
      </c>
      <c r="D614" s="327">
        <v>4.8499999999999996</v>
      </c>
      <c r="E614" s="323" t="s">
        <v>374</v>
      </c>
      <c r="F614" s="321">
        <f>F656+F694</f>
        <v>24393153</v>
      </c>
      <c r="G614" s="327">
        <v>5.157</v>
      </c>
      <c r="H614" s="323" t="s">
        <v>374</v>
      </c>
      <c r="I614" s="321">
        <f>I656+I694</f>
        <v>25937215</v>
      </c>
      <c r="J614" s="806">
        <f ca="1">'Rate Design Work'!J613</f>
        <v>2.452</v>
      </c>
      <c r="K614" s="323" t="s">
        <v>374</v>
      </c>
      <c r="L614" s="321">
        <f ca="1">L656+L694</f>
        <v>12332374</v>
      </c>
      <c r="M614" s="321"/>
      <c r="N614" s="806" t="str">
        <f>'Rate Design Work'!N613</f>
        <v xml:space="preserve"> </v>
      </c>
      <c r="O614" s="323" t="s">
        <v>31</v>
      </c>
      <c r="P614" s="321">
        <f>'Rate Design Work'!P613</f>
        <v>0</v>
      </c>
      <c r="Q614" s="321"/>
      <c r="R614" s="806">
        <f ca="1">'Rate Design Work'!R613</f>
        <v>1.105</v>
      </c>
      <c r="S614" s="323" t="s">
        <v>374</v>
      </c>
      <c r="T614" s="321">
        <f ca="1">'Rate Design Work'!T613</f>
        <v>5558262.5653777653</v>
      </c>
      <c r="U614" s="321"/>
      <c r="V614" s="806">
        <f ca="1">'Rate Design Work'!V613</f>
        <v>1.347</v>
      </c>
      <c r="W614" s="323" t="s">
        <v>374</v>
      </c>
      <c r="X614" s="2">
        <f ca="1">'Rate Design Work'!X613</f>
        <v>6774109.8157636942</v>
      </c>
      <c r="AA614" s="55">
        <f ca="1">((J614+J617)-G614)/G614</f>
        <v>8.2606166375799914E-2</v>
      </c>
      <c r="AB614" s="55"/>
      <c r="AC614" s="69"/>
      <c r="AN614" s="20"/>
      <c r="AO614" s="20"/>
      <c r="AP614" s="20"/>
      <c r="AQ614" s="20"/>
      <c r="AR614" s="20"/>
      <c r="AS614" s="20"/>
    </row>
    <row r="615" spans="1:47">
      <c r="A615" s="323" t="s">
        <v>400</v>
      </c>
      <c r="B615" s="1"/>
      <c r="C615" s="319">
        <f>C657+C695</f>
        <v>497319.56666666747</v>
      </c>
      <c r="D615" s="612">
        <v>56</v>
      </c>
      <c r="E615" s="323" t="s">
        <v>374</v>
      </c>
      <c r="F615" s="321">
        <f>F657+F695</f>
        <v>278499</v>
      </c>
      <c r="G615" s="612">
        <v>56</v>
      </c>
      <c r="H615" s="323" t="s">
        <v>374</v>
      </c>
      <c r="I615" s="321">
        <f>I657+I695</f>
        <v>278499</v>
      </c>
      <c r="J615" s="612">
        <f>'Rate Design Work'!J614</f>
        <v>56</v>
      </c>
      <c r="K615" s="323" t="s">
        <v>374</v>
      </c>
      <c r="L615" s="321">
        <f>L657+L695</f>
        <v>278499</v>
      </c>
      <c r="M615" s="321"/>
      <c r="N615" s="612" t="str">
        <f>'Rate Design Work'!N614</f>
        <v xml:space="preserve"> </v>
      </c>
      <c r="O615" s="323" t="s">
        <v>31</v>
      </c>
      <c r="P615" s="321">
        <f>'Rate Design Work'!P614</f>
        <v>0</v>
      </c>
      <c r="Q615" s="321"/>
      <c r="R615" s="612">
        <f ca="1">'Rate Design Work'!R614</f>
        <v>11</v>
      </c>
      <c r="S615" s="323" t="s">
        <v>374</v>
      </c>
      <c r="T615" s="321">
        <f ca="1">'Rate Design Work'!T614</f>
        <v>55209.346114693821</v>
      </c>
      <c r="U615" s="321"/>
      <c r="V615" s="612">
        <f ca="1">'Rate Design Work'!V614</f>
        <v>45</v>
      </c>
      <c r="W615" s="323" t="s">
        <v>374</v>
      </c>
      <c r="X615" s="2">
        <f ca="1">'Rate Design Work'!X614</f>
        <v>223289.65388530618</v>
      </c>
      <c r="AA615" s="55">
        <f>(J615-G615)/G615</f>
        <v>0</v>
      </c>
      <c r="AB615" s="55"/>
      <c r="AC615" s="69"/>
      <c r="AN615" s="20"/>
      <c r="AO615" s="20"/>
      <c r="AP615" s="20"/>
      <c r="AQ615" s="20"/>
      <c r="AR615" s="20"/>
      <c r="AS615" s="20"/>
    </row>
    <row r="616" spans="1:47" s="1184" customFormat="1">
      <c r="A616" s="1005" t="s">
        <v>1026</v>
      </c>
      <c r="C616" s="1026">
        <f>C613</f>
        <v>396791152.47443527</v>
      </c>
      <c r="D616" s="269"/>
      <c r="E616" s="1185"/>
      <c r="F616" s="1203"/>
      <c r="G616" s="269"/>
      <c r="H616" s="1185"/>
      <c r="I616" s="1203"/>
      <c r="J616" s="806">
        <f>'Rate Design Work'!J615</f>
        <v>3.415</v>
      </c>
      <c r="K616" s="1041" t="s">
        <v>374</v>
      </c>
      <c r="L616" s="1041">
        <f>L658+L696</f>
        <v>13550418</v>
      </c>
      <c r="M616" s="1041"/>
      <c r="N616" s="806" t="str">
        <f>'Rate Design Work'!N615</f>
        <v xml:space="preserve"> </v>
      </c>
      <c r="O616" s="1041" t="s">
        <v>31</v>
      </c>
      <c r="P616" s="321">
        <f>'Rate Design Work'!P615</f>
        <v>0</v>
      </c>
      <c r="Q616" s="1041"/>
      <c r="R616" s="806" t="str">
        <f>'Rate Design Work'!R615</f>
        <v xml:space="preserve"> </v>
      </c>
      <c r="S616" s="1041" t="s">
        <v>31</v>
      </c>
      <c r="T616" s="321">
        <f>'Rate Design Work'!T615</f>
        <v>0</v>
      </c>
      <c r="U616" s="1041"/>
      <c r="V616" s="806">
        <f>'Rate Design Work'!V615</f>
        <v>3.415</v>
      </c>
      <c r="W616" s="1041" t="s">
        <v>374</v>
      </c>
      <c r="X616" s="2">
        <f>'Rate Design Work'!X615</f>
        <v>13550418</v>
      </c>
      <c r="Y616" s="1204">
        <f>'NPC Spread'!F33</f>
        <v>29291580.401307046</v>
      </c>
      <c r="Z616" s="815" t="s">
        <v>913</v>
      </c>
      <c r="AC616" s="1205"/>
      <c r="AD616" s="1205"/>
      <c r="AI616" s="1185"/>
      <c r="AJ616" s="1185"/>
      <c r="AK616" s="1185"/>
      <c r="AL616" s="1185"/>
      <c r="AM616" s="1185"/>
      <c r="AN616" s="1185"/>
      <c r="AO616" s="1185"/>
      <c r="AP616" s="1185"/>
      <c r="AQ616" s="1185"/>
      <c r="AR616" s="1185"/>
      <c r="AS616" s="1185"/>
      <c r="AU616" s="1204"/>
    </row>
    <row r="617" spans="1:47" s="1184" customFormat="1">
      <c r="A617" s="1005" t="s">
        <v>1027</v>
      </c>
      <c r="C617" s="1026">
        <f>C614</f>
        <v>502951619.70132762</v>
      </c>
      <c r="D617" s="269"/>
      <c r="E617" s="1185"/>
      <c r="F617" s="1203"/>
      <c r="G617" s="269"/>
      <c r="H617" s="1185"/>
      <c r="I617" s="1203"/>
      <c r="J617" s="806">
        <f>'Rate Design Work'!J616</f>
        <v>3.1309999999999998</v>
      </c>
      <c r="K617" s="1041" t="s">
        <v>374</v>
      </c>
      <c r="L617" s="1041">
        <f>L659+L697</f>
        <v>15747415</v>
      </c>
      <c r="M617" s="1041"/>
      <c r="N617" s="806" t="str">
        <f>'Rate Design Work'!N616</f>
        <v xml:space="preserve"> </v>
      </c>
      <c r="O617" s="1041" t="s">
        <v>31</v>
      </c>
      <c r="P617" s="321">
        <f>'Rate Design Work'!P616</f>
        <v>0</v>
      </c>
      <c r="Q617" s="1041"/>
      <c r="R617" s="806" t="str">
        <f>'Rate Design Work'!R616</f>
        <v xml:space="preserve"> </v>
      </c>
      <c r="S617" s="1041" t="s">
        <v>31</v>
      </c>
      <c r="T617" s="321">
        <f>'Rate Design Work'!T616</f>
        <v>0</v>
      </c>
      <c r="U617" s="1041"/>
      <c r="V617" s="806">
        <f>'Rate Design Work'!V616</f>
        <v>3.1309999999999998</v>
      </c>
      <c r="W617" s="1041" t="s">
        <v>374</v>
      </c>
      <c r="X617" s="2">
        <f>'Rate Design Work'!X616</f>
        <v>15747415</v>
      </c>
      <c r="Y617" s="1005" t="s">
        <v>31</v>
      </c>
      <c r="Z617" s="815"/>
      <c r="AC617" s="1205"/>
      <c r="AD617" s="1205"/>
      <c r="AI617" s="1185"/>
      <c r="AJ617" s="1185"/>
      <c r="AK617" s="1185"/>
      <c r="AL617" s="1185"/>
      <c r="AM617" s="1185"/>
      <c r="AN617" s="1185"/>
      <c r="AO617" s="1185"/>
      <c r="AP617" s="1185"/>
      <c r="AQ617" s="1185"/>
      <c r="AR617" s="1185"/>
      <c r="AS617" s="1185"/>
      <c r="AU617" s="1204"/>
    </row>
    <row r="618" spans="1:47" s="1184" customFormat="1">
      <c r="A618" s="1509" t="s">
        <v>926</v>
      </c>
      <c r="B618" s="1510"/>
      <c r="C618" s="1517"/>
      <c r="D618" s="1512"/>
      <c r="E618" s="1513"/>
      <c r="F618" s="1514"/>
      <c r="G618" s="1520">
        <f>G613</f>
        <v>5.6289999999999996</v>
      </c>
      <c r="H618" s="1518" t="s">
        <v>374</v>
      </c>
      <c r="I618" s="1514"/>
      <c r="J618" s="1520">
        <f ca="1">J613+J616</f>
        <v>6.093</v>
      </c>
      <c r="K618" s="1518" t="s">
        <v>374</v>
      </c>
      <c r="L618" s="1521"/>
      <c r="M618" s="1521"/>
      <c r="N618" s="1520">
        <f>N613+N616</f>
        <v>0</v>
      </c>
      <c r="O618" s="1518" t="s">
        <v>31</v>
      </c>
      <c r="P618" s="1521"/>
      <c r="Q618" s="1521"/>
      <c r="R618" s="1520">
        <f ca="1">R613+R616</f>
        <v>1.2070000000000001</v>
      </c>
      <c r="S618" s="1518" t="s">
        <v>374</v>
      </c>
      <c r="T618" s="1521"/>
      <c r="U618" s="1521"/>
      <c r="V618" s="1520">
        <f ca="1">V613+V616</f>
        <v>4.8860000000000001</v>
      </c>
      <c r="W618" s="1518" t="s">
        <v>374</v>
      </c>
      <c r="X618" s="1521"/>
      <c r="Y618" s="1005"/>
      <c r="Z618" s="815"/>
      <c r="AA618" s="55">
        <f ca="1">(J618-G618)/G618</f>
        <v>8.2430271806715305E-2</v>
      </c>
      <c r="AC618" s="1205"/>
      <c r="AD618" s="1205"/>
      <c r="AI618" s="1185"/>
      <c r="AJ618" s="1185"/>
      <c r="AK618" s="1185"/>
      <c r="AL618" s="1185"/>
      <c r="AM618" s="1185"/>
      <c r="AN618" s="1185"/>
      <c r="AO618" s="1185"/>
      <c r="AP618" s="1185"/>
      <c r="AQ618" s="1185"/>
      <c r="AR618" s="1185"/>
      <c r="AS618" s="1185"/>
      <c r="AU618" s="1204"/>
    </row>
    <row r="619" spans="1:47" s="1184" customFormat="1">
      <c r="A619" s="1509" t="s">
        <v>927</v>
      </c>
      <c r="B619" s="1510"/>
      <c r="C619" s="1517"/>
      <c r="D619" s="1512"/>
      <c r="E619" s="1513"/>
      <c r="F619" s="1514"/>
      <c r="G619" s="1520">
        <f>G614</f>
        <v>5.157</v>
      </c>
      <c r="H619" s="1518" t="s">
        <v>374</v>
      </c>
      <c r="I619" s="1514"/>
      <c r="J619" s="1520">
        <f ca="1">J614+J617</f>
        <v>5.5830000000000002</v>
      </c>
      <c r="K619" s="1518" t="s">
        <v>374</v>
      </c>
      <c r="L619" s="1521"/>
      <c r="M619" s="1521"/>
      <c r="N619" s="1520">
        <f>N614+N617</f>
        <v>0</v>
      </c>
      <c r="O619" s="1518" t="s">
        <v>31</v>
      </c>
      <c r="P619" s="1521"/>
      <c r="Q619" s="1521"/>
      <c r="R619" s="1520">
        <f ca="1">R614+R617</f>
        <v>1.105</v>
      </c>
      <c r="S619" s="1518" t="s">
        <v>374</v>
      </c>
      <c r="T619" s="1521"/>
      <c r="U619" s="1521"/>
      <c r="V619" s="1520">
        <f ca="1">V614+V617</f>
        <v>4.4779999999999998</v>
      </c>
      <c r="W619" s="1518" t="s">
        <v>374</v>
      </c>
      <c r="X619" s="1521"/>
      <c r="Y619" s="1005"/>
      <c r="Z619" s="815"/>
      <c r="AA619" s="55">
        <f ca="1">(J619-G619)/G619</f>
        <v>8.2606166375799914E-2</v>
      </c>
      <c r="AC619" s="1205"/>
      <c r="AD619" s="1205"/>
      <c r="AI619" s="1185"/>
      <c r="AJ619" s="1185"/>
      <c r="AK619" s="1185"/>
      <c r="AL619" s="1185"/>
      <c r="AM619" s="1185"/>
      <c r="AN619" s="1185"/>
      <c r="AO619" s="1185"/>
      <c r="AP619" s="1185"/>
      <c r="AQ619" s="1185"/>
      <c r="AR619" s="1185"/>
      <c r="AS619" s="1185"/>
      <c r="AU619" s="1204"/>
    </row>
    <row r="620" spans="1:47">
      <c r="A620" s="360" t="s">
        <v>401</v>
      </c>
      <c r="B620" s="1"/>
      <c r="C620" s="319"/>
      <c r="D620" s="332">
        <v>-0.01</v>
      </c>
      <c r="E620" s="2"/>
      <c r="F620" s="321"/>
      <c r="G620" s="332">
        <v>-0.01</v>
      </c>
      <c r="H620" s="1"/>
      <c r="I620" s="321"/>
      <c r="J620" s="807">
        <v>-0.01</v>
      </c>
      <c r="K620" s="1"/>
      <c r="L620" s="321"/>
      <c r="M620" s="321"/>
      <c r="N620" s="807">
        <v>-0.01</v>
      </c>
      <c r="O620" s="1"/>
      <c r="P620" s="321"/>
      <c r="Q620" s="321"/>
      <c r="R620" s="807">
        <v>-0.01</v>
      </c>
      <c r="S620" s="1"/>
      <c r="T620" s="321"/>
      <c r="U620" s="321"/>
      <c r="V620" s="807">
        <v>-0.01</v>
      </c>
      <c r="W620" s="1"/>
      <c r="X620" s="321"/>
      <c r="AN620" s="20"/>
      <c r="AO620" s="20"/>
      <c r="AP620" s="20"/>
      <c r="AQ620" s="20"/>
      <c r="AR620" s="20"/>
      <c r="AS620" s="20"/>
    </row>
    <row r="621" spans="1:47">
      <c r="A621" s="323" t="s">
        <v>421</v>
      </c>
      <c r="B621" s="1"/>
      <c r="C621" s="319">
        <f t="shared" ref="C621:C632" si="172">C661+C699</f>
        <v>0.46666666666666701</v>
      </c>
      <c r="D621" s="304">
        <v>259</v>
      </c>
      <c r="E621" s="364"/>
      <c r="F621" s="321">
        <f t="shared" ref="F621:F632" si="173">F661+F699</f>
        <v>-1</v>
      </c>
      <c r="G621" s="304">
        <v>259</v>
      </c>
      <c r="H621" s="293"/>
      <c r="I621" s="321">
        <f t="shared" ref="I621:I632" si="174">I661+I699</f>
        <v>-1</v>
      </c>
      <c r="J621" s="304">
        <f>J603</f>
        <v>259</v>
      </c>
      <c r="K621" s="293"/>
      <c r="L621" s="321">
        <f t="shared" ref="L621:L635" si="175">L661+L699</f>
        <v>-1</v>
      </c>
      <c r="M621" s="321"/>
      <c r="N621" s="304">
        <f>N603</f>
        <v>259</v>
      </c>
      <c r="O621" s="293"/>
      <c r="P621" s="321">
        <f>'Rate Design Work'!P620</f>
        <v>-1</v>
      </c>
      <c r="Q621" s="321"/>
      <c r="R621" s="304" t="str">
        <f>R603</f>
        <v xml:space="preserve"> </v>
      </c>
      <c r="S621" s="293"/>
      <c r="T621" s="321">
        <f>'Rate Design Work'!T620</f>
        <v>0</v>
      </c>
      <c r="U621" s="321"/>
      <c r="V621" s="304" t="str">
        <f>V603</f>
        <v xml:space="preserve"> </v>
      </c>
      <c r="W621" s="293"/>
      <c r="X621" s="2">
        <f>'Rate Design Work'!X620</f>
        <v>0</v>
      </c>
      <c r="Z621" s="88" t="s">
        <v>31</v>
      </c>
      <c r="AN621" s="20"/>
      <c r="AO621" s="20"/>
      <c r="AP621" s="20"/>
      <c r="AQ621" s="20"/>
      <c r="AR621" s="20"/>
      <c r="AS621" s="20"/>
    </row>
    <row r="622" spans="1:47">
      <c r="A622" s="323" t="s">
        <v>422</v>
      </c>
      <c r="B622" s="1"/>
      <c r="C622" s="319">
        <f t="shared" si="172"/>
        <v>68.599999999999994</v>
      </c>
      <c r="D622" s="304">
        <v>96</v>
      </c>
      <c r="E622" s="364"/>
      <c r="F622" s="321">
        <f t="shared" si="173"/>
        <v>-66</v>
      </c>
      <c r="G622" s="304">
        <v>96</v>
      </c>
      <c r="H622" s="293"/>
      <c r="I622" s="321">
        <f t="shared" si="174"/>
        <v>-66</v>
      </c>
      <c r="J622" s="304">
        <f>J604</f>
        <v>96</v>
      </c>
      <c r="K622" s="293"/>
      <c r="L622" s="321">
        <f t="shared" si="175"/>
        <v>-66</v>
      </c>
      <c r="M622" s="321"/>
      <c r="N622" s="304">
        <f>N604</f>
        <v>96</v>
      </c>
      <c r="O622" s="293"/>
      <c r="P622" s="321">
        <f>'Rate Design Work'!P621</f>
        <v>-66</v>
      </c>
      <c r="Q622" s="321"/>
      <c r="R622" s="304" t="str">
        <f>R604</f>
        <v xml:space="preserve"> </v>
      </c>
      <c r="S622" s="293"/>
      <c r="T622" s="321">
        <f>'Rate Design Work'!T621</f>
        <v>0</v>
      </c>
      <c r="U622" s="321"/>
      <c r="V622" s="304" t="str">
        <f>V604</f>
        <v xml:space="preserve"> </v>
      </c>
      <c r="W622" s="293"/>
      <c r="X622" s="2">
        <f>'Rate Design Work'!X621</f>
        <v>0</v>
      </c>
      <c r="Z622" s="371"/>
      <c r="AM622" s="20"/>
      <c r="AN622" s="20"/>
      <c r="AO622" s="20"/>
      <c r="AP622" s="20"/>
      <c r="AQ622" s="20"/>
      <c r="AR622" s="20"/>
      <c r="AS622" s="20"/>
    </row>
    <row r="623" spans="1:47">
      <c r="A623" s="323" t="s">
        <v>423</v>
      </c>
      <c r="B623" s="1"/>
      <c r="C623" s="319">
        <f t="shared" si="172"/>
        <v>82</v>
      </c>
      <c r="D623" s="304">
        <v>192</v>
      </c>
      <c r="E623" s="372"/>
      <c r="F623" s="321">
        <f t="shared" si="173"/>
        <v>-157</v>
      </c>
      <c r="G623" s="304">
        <v>192</v>
      </c>
      <c r="H623" s="373"/>
      <c r="I623" s="321">
        <f t="shared" si="174"/>
        <v>-157</v>
      </c>
      <c r="J623" s="304">
        <f>J605</f>
        <v>192</v>
      </c>
      <c r="K623" s="373"/>
      <c r="L623" s="321">
        <f t="shared" si="175"/>
        <v>-157</v>
      </c>
      <c r="M623" s="321"/>
      <c r="N623" s="304">
        <f>N605</f>
        <v>192</v>
      </c>
      <c r="O623" s="373"/>
      <c r="P623" s="321">
        <f>'Rate Design Work'!P622</f>
        <v>-157</v>
      </c>
      <c r="Q623" s="321"/>
      <c r="R623" s="304" t="str">
        <f>R605</f>
        <v xml:space="preserve"> </v>
      </c>
      <c r="S623" s="373"/>
      <c r="T623" s="321">
        <f>'Rate Design Work'!T622</f>
        <v>0</v>
      </c>
      <c r="U623" s="321"/>
      <c r="V623" s="304" t="str">
        <f>V605</f>
        <v xml:space="preserve"> </v>
      </c>
      <c r="W623" s="373"/>
      <c r="X623" s="2">
        <f>'Rate Design Work'!X622</f>
        <v>0</v>
      </c>
      <c r="Z623" s="1527" t="s">
        <v>31</v>
      </c>
      <c r="AM623" s="20"/>
      <c r="AN623" s="20"/>
      <c r="AO623" s="20"/>
      <c r="AP623" s="20"/>
      <c r="AQ623" s="20"/>
      <c r="AR623" s="20"/>
      <c r="AS623" s="20"/>
    </row>
    <row r="624" spans="1:47">
      <c r="A624" s="323" t="s">
        <v>422</v>
      </c>
      <c r="B624" s="1"/>
      <c r="C624" s="319">
        <f t="shared" si="172"/>
        <v>10765</v>
      </c>
      <c r="D624" s="304">
        <v>1.7</v>
      </c>
      <c r="E624" s="364"/>
      <c r="F624" s="321">
        <f t="shared" si="173"/>
        <v>-183</v>
      </c>
      <c r="G624" s="304">
        <v>1.7</v>
      </c>
      <c r="H624" s="293"/>
      <c r="I624" s="321">
        <f t="shared" si="174"/>
        <v>-183</v>
      </c>
      <c r="J624" s="304">
        <f ca="1">J607</f>
        <v>1.89</v>
      </c>
      <c r="K624" s="293"/>
      <c r="L624" s="321">
        <f t="shared" ca="1" si="175"/>
        <v>-203</v>
      </c>
      <c r="M624" s="321"/>
      <c r="N624" s="304">
        <f ca="1">N607</f>
        <v>1.89</v>
      </c>
      <c r="O624" s="293"/>
      <c r="P624" s="321">
        <f ca="1">'Rate Design Work'!P623</f>
        <v>-203</v>
      </c>
      <c r="Q624" s="321"/>
      <c r="R624" s="304" t="str">
        <f>R607</f>
        <v xml:space="preserve"> </v>
      </c>
      <c r="S624" s="293"/>
      <c r="T624" s="321">
        <f>'Rate Design Work'!T623</f>
        <v>0</v>
      </c>
      <c r="U624" s="321"/>
      <c r="V624" s="304" t="str">
        <f>V607</f>
        <v xml:space="preserve"> </v>
      </c>
      <c r="W624" s="293"/>
      <c r="X624" s="2">
        <f>'Rate Design Work'!X623</f>
        <v>0</v>
      </c>
      <c r="AM624" s="20"/>
      <c r="AN624" s="20"/>
      <c r="AO624" s="20"/>
      <c r="AP624" s="20"/>
      <c r="AQ624" s="20"/>
      <c r="AR624" s="20"/>
      <c r="AS624" s="20"/>
    </row>
    <row r="625" spans="1:47">
      <c r="A625" s="323" t="s">
        <v>423</v>
      </c>
      <c r="B625" s="1"/>
      <c r="C625" s="319">
        <f t="shared" si="172"/>
        <v>57957</v>
      </c>
      <c r="D625" s="304">
        <v>1.39</v>
      </c>
      <c r="E625" s="364" t="s">
        <v>31</v>
      </c>
      <c r="F625" s="321">
        <f t="shared" si="173"/>
        <v>-806</v>
      </c>
      <c r="G625" s="304">
        <v>1.39</v>
      </c>
      <c r="H625" s="293"/>
      <c r="I625" s="321">
        <f t="shared" si="174"/>
        <v>-806</v>
      </c>
      <c r="J625" s="304">
        <f ca="1">J608</f>
        <v>1.55</v>
      </c>
      <c r="K625" s="293"/>
      <c r="L625" s="321">
        <f t="shared" ca="1" si="175"/>
        <v>-898</v>
      </c>
      <c r="M625" s="321"/>
      <c r="N625" s="304">
        <f ca="1">N608</f>
        <v>1.55</v>
      </c>
      <c r="O625" s="293"/>
      <c r="P625" s="321">
        <f ca="1">'Rate Design Work'!P624</f>
        <v>-898</v>
      </c>
      <c r="Q625" s="321"/>
      <c r="R625" s="304" t="str">
        <f>R608</f>
        <v xml:space="preserve"> </v>
      </c>
      <c r="S625" s="293"/>
      <c r="T625" s="321">
        <f>'Rate Design Work'!T624</f>
        <v>0</v>
      </c>
      <c r="U625" s="321"/>
      <c r="V625" s="304" t="str">
        <f>V608</f>
        <v xml:space="preserve"> </v>
      </c>
      <c r="W625" s="293"/>
      <c r="X625" s="2">
        <f>'Rate Design Work'!X624</f>
        <v>0</v>
      </c>
      <c r="Z625" s="88" t="s">
        <v>31</v>
      </c>
      <c r="AM625" s="20"/>
      <c r="AN625" s="20"/>
      <c r="AO625" s="20"/>
      <c r="AP625" s="20"/>
      <c r="AQ625" s="20"/>
      <c r="AR625" s="20"/>
      <c r="AS625" s="20"/>
    </row>
    <row r="626" spans="1:47">
      <c r="A626" s="309" t="s">
        <v>425</v>
      </c>
      <c r="B626" s="1"/>
      <c r="C626" s="319">
        <f t="shared" si="172"/>
        <v>44958</v>
      </c>
      <c r="D626" s="304">
        <v>4.4400000000000004</v>
      </c>
      <c r="E626" s="364" t="s">
        <v>31</v>
      </c>
      <c r="F626" s="321">
        <f t="shared" si="173"/>
        <v>-1996</v>
      </c>
      <c r="G626" s="304">
        <v>4.72</v>
      </c>
      <c r="H626" s="293"/>
      <c r="I626" s="321">
        <f t="shared" si="174"/>
        <v>-2122</v>
      </c>
      <c r="J626" s="304">
        <f ca="1">J610</f>
        <v>5.87</v>
      </c>
      <c r="K626" s="293"/>
      <c r="L626" s="321">
        <f t="shared" ca="1" si="175"/>
        <v>-2639</v>
      </c>
      <c r="M626" s="321"/>
      <c r="N626" s="304">
        <f ca="1">N610</f>
        <v>0.95</v>
      </c>
      <c r="O626" s="293"/>
      <c r="P626" s="321">
        <f ca="1">'Rate Design Work'!P625</f>
        <v>-427.101</v>
      </c>
      <c r="Q626" s="321"/>
      <c r="R626" s="304">
        <f ca="1">R610</f>
        <v>0.98</v>
      </c>
      <c r="S626" s="293"/>
      <c r="T626" s="321">
        <f ca="1">'Rate Design Work'!T625</f>
        <v>-440.58839999999998</v>
      </c>
      <c r="U626" s="321"/>
      <c r="V626" s="304">
        <f ca="1">V610</f>
        <v>3.94</v>
      </c>
      <c r="W626" s="293"/>
      <c r="X626" s="2">
        <f ca="1">'Rate Design Work'!X625</f>
        <v>-1771.3452</v>
      </c>
      <c r="AM626" s="20"/>
      <c r="AN626" s="20"/>
      <c r="AO626" s="20"/>
      <c r="AP626" s="20"/>
      <c r="AQ626" s="20"/>
      <c r="AR626" s="20"/>
      <c r="AS626" s="20"/>
    </row>
    <row r="627" spans="1:47">
      <c r="A627" s="309" t="s">
        <v>441</v>
      </c>
      <c r="B627" s="1"/>
      <c r="C627" s="319">
        <f t="shared" si="172"/>
        <v>384.33333333333331</v>
      </c>
      <c r="D627" s="304">
        <v>4.4400000000000004</v>
      </c>
      <c r="E627" s="364" t="s">
        <v>31</v>
      </c>
      <c r="F627" s="321">
        <f t="shared" si="173"/>
        <v>-17</v>
      </c>
      <c r="G627" s="304">
        <v>4.72</v>
      </c>
      <c r="H627" s="293"/>
      <c r="I627" s="321">
        <f t="shared" si="174"/>
        <v>-18</v>
      </c>
      <c r="J627" s="304">
        <f ca="1">J611</f>
        <v>5.87</v>
      </c>
      <c r="K627" s="293"/>
      <c r="L627" s="321">
        <f t="shared" ca="1" si="175"/>
        <v>-23</v>
      </c>
      <c r="M627" s="321"/>
      <c r="N627" s="304">
        <f ca="1">N611</f>
        <v>0.95</v>
      </c>
      <c r="O627" s="293"/>
      <c r="P627" s="321">
        <f ca="1">'Rate Design Work'!P626</f>
        <v>-3.6511666666666662</v>
      </c>
      <c r="Q627" s="321"/>
      <c r="R627" s="304">
        <f ca="1">R611</f>
        <v>0.98</v>
      </c>
      <c r="S627" s="293"/>
      <c r="T627" s="321">
        <f ca="1">'Rate Design Work'!T626</f>
        <v>-3.7664666666666666</v>
      </c>
      <c r="U627" s="321"/>
      <c r="V627" s="304">
        <f ca="1">V611</f>
        <v>3.94</v>
      </c>
      <c r="W627" s="293"/>
      <c r="X627" s="2">
        <f ca="1">'Rate Design Work'!X626</f>
        <v>-15.142733333333334</v>
      </c>
      <c r="AM627" s="20"/>
      <c r="AN627" s="20"/>
      <c r="AO627" s="20"/>
      <c r="AP627" s="20"/>
      <c r="AQ627" s="20"/>
      <c r="AR627" s="20"/>
      <c r="AS627" s="20"/>
    </row>
    <row r="628" spans="1:47">
      <c r="A628" s="323" t="s">
        <v>427</v>
      </c>
      <c r="B628" s="1"/>
      <c r="C628" s="319">
        <f t="shared" si="172"/>
        <v>5159480</v>
      </c>
      <c r="D628" s="374">
        <v>5.2919999999999998</v>
      </c>
      <c r="E628" s="321" t="s">
        <v>374</v>
      </c>
      <c r="F628" s="321">
        <f t="shared" si="173"/>
        <v>-2732</v>
      </c>
      <c r="G628" s="374">
        <v>5.6289999999999996</v>
      </c>
      <c r="H628" s="323" t="s">
        <v>374</v>
      </c>
      <c r="I628" s="321">
        <f t="shared" si="174"/>
        <v>-2904</v>
      </c>
      <c r="J628" s="374">
        <f ca="1">J613</f>
        <v>2.6779999999999999</v>
      </c>
      <c r="K628" s="323" t="s">
        <v>374</v>
      </c>
      <c r="L628" s="321">
        <f t="shared" ca="1" si="175"/>
        <v>-1382</v>
      </c>
      <c r="M628" s="321"/>
      <c r="N628" s="374" t="str">
        <f>N613</f>
        <v xml:space="preserve"> </v>
      </c>
      <c r="O628" s="323" t="s">
        <v>31</v>
      </c>
      <c r="P628" s="321">
        <f>'Rate Design Work'!P627</f>
        <v>0</v>
      </c>
      <c r="Q628" s="321"/>
      <c r="R628" s="374">
        <f ca="1">R613</f>
        <v>1.2070000000000001</v>
      </c>
      <c r="S628" s="323" t="s">
        <v>374</v>
      </c>
      <c r="T628" s="321">
        <f ca="1">'Rate Design Work'!T627</f>
        <v>-622.749236</v>
      </c>
      <c r="U628" s="321"/>
      <c r="V628" s="374">
        <f ca="1">V613</f>
        <v>1.4710000000000001</v>
      </c>
      <c r="W628" s="323" t="s">
        <v>374</v>
      </c>
      <c r="X628" s="2">
        <f ca="1">'Rate Design Work'!X627</f>
        <v>-758.95950800000003</v>
      </c>
      <c r="AM628" s="20"/>
      <c r="AN628" s="20"/>
      <c r="AO628" s="20"/>
      <c r="AP628" s="20"/>
      <c r="AQ628" s="20"/>
      <c r="AR628" s="20"/>
      <c r="AS628" s="20"/>
    </row>
    <row r="629" spans="1:47">
      <c r="A629" s="323" t="s">
        <v>399</v>
      </c>
      <c r="B629" s="1"/>
      <c r="C629" s="319">
        <f t="shared" si="172"/>
        <v>11810179</v>
      </c>
      <c r="D629" s="374">
        <v>4.8499999999999996</v>
      </c>
      <c r="E629" s="321" t="s">
        <v>374</v>
      </c>
      <c r="F629" s="321">
        <f t="shared" si="173"/>
        <v>-5730</v>
      </c>
      <c r="G629" s="374">
        <v>5.157</v>
      </c>
      <c r="H629" s="323" t="s">
        <v>374</v>
      </c>
      <c r="I629" s="321">
        <f t="shared" si="174"/>
        <v>-6090</v>
      </c>
      <c r="J629" s="374">
        <f ca="1">J614</f>
        <v>2.452</v>
      </c>
      <c r="K629" s="323" t="s">
        <v>374</v>
      </c>
      <c r="L629" s="321">
        <f t="shared" ca="1" si="175"/>
        <v>-2896</v>
      </c>
      <c r="M629" s="321"/>
      <c r="N629" s="374" t="str">
        <f>N614</f>
        <v xml:space="preserve"> </v>
      </c>
      <c r="O629" s="323" t="s">
        <v>31</v>
      </c>
      <c r="P629" s="321">
        <f>'Rate Design Work'!P628</f>
        <v>0</v>
      </c>
      <c r="Q629" s="321"/>
      <c r="R629" s="374">
        <f ca="1">R614</f>
        <v>1.105</v>
      </c>
      <c r="S629" s="323" t="s">
        <v>374</v>
      </c>
      <c r="T629" s="321">
        <f ca="1">'Rate Design Work'!T628</f>
        <v>-1305.0247795</v>
      </c>
      <c r="U629" s="321"/>
      <c r="V629" s="374">
        <f ca="1">V614</f>
        <v>1.347</v>
      </c>
      <c r="W629" s="323" t="s">
        <v>374</v>
      </c>
      <c r="X629" s="2">
        <f ca="1">'Rate Design Work'!X628</f>
        <v>-1590.8311113</v>
      </c>
      <c r="AM629" s="20"/>
      <c r="AN629" s="20"/>
      <c r="AO629" s="20"/>
      <c r="AP629" s="20"/>
      <c r="AQ629" s="20"/>
      <c r="AR629" s="20"/>
      <c r="AS629" s="20"/>
    </row>
    <row r="630" spans="1:47">
      <c r="A630" s="323" t="s">
        <v>400</v>
      </c>
      <c r="B630" s="1"/>
      <c r="C630" s="319">
        <f t="shared" si="172"/>
        <v>8797.9666666666708</v>
      </c>
      <c r="D630" s="375">
        <v>56</v>
      </c>
      <c r="E630" s="321" t="s">
        <v>374</v>
      </c>
      <c r="F630" s="321">
        <f t="shared" si="173"/>
        <v>-50</v>
      </c>
      <c r="G630" s="375">
        <v>56</v>
      </c>
      <c r="H630" s="323" t="s">
        <v>374</v>
      </c>
      <c r="I630" s="321">
        <f t="shared" si="174"/>
        <v>-50</v>
      </c>
      <c r="J630" s="375">
        <f>J615</f>
        <v>56</v>
      </c>
      <c r="K630" s="323" t="s">
        <v>374</v>
      </c>
      <c r="L630" s="321">
        <f t="shared" si="175"/>
        <v>-50</v>
      </c>
      <c r="M630" s="321"/>
      <c r="N630" s="375" t="str">
        <f>N615</f>
        <v xml:space="preserve"> </v>
      </c>
      <c r="O630" s="323" t="s">
        <v>31</v>
      </c>
      <c r="P630" s="321">
        <f>'Rate Design Work'!P629</f>
        <v>0</v>
      </c>
      <c r="Q630" s="321"/>
      <c r="R630" s="375">
        <f ca="1">R615</f>
        <v>11</v>
      </c>
      <c r="S630" s="323" t="s">
        <v>374</v>
      </c>
      <c r="T630" s="321">
        <f ca="1">'Rate Design Work'!T629</f>
        <v>-9</v>
      </c>
      <c r="U630" s="321"/>
      <c r="V630" s="375">
        <f ca="1">V615</f>
        <v>45</v>
      </c>
      <c r="W630" s="323" t="s">
        <v>374</v>
      </c>
      <c r="X630" s="2">
        <f ca="1">'Rate Design Work'!X629</f>
        <v>-39</v>
      </c>
      <c r="AM630" s="20"/>
      <c r="AN630" s="20"/>
      <c r="AO630" s="20"/>
      <c r="AP630" s="20"/>
      <c r="AQ630" s="20"/>
      <c r="AR630" s="20"/>
      <c r="AS630" s="20"/>
    </row>
    <row r="631" spans="1:47">
      <c r="A631" s="323" t="s">
        <v>443</v>
      </c>
      <c r="B631" s="1"/>
      <c r="C631" s="319">
        <f t="shared" si="172"/>
        <v>150.6</v>
      </c>
      <c r="D631" s="298">
        <v>60</v>
      </c>
      <c r="E631" s="364" t="s">
        <v>31</v>
      </c>
      <c r="F631" s="321">
        <f t="shared" si="173"/>
        <v>9036</v>
      </c>
      <c r="G631" s="298">
        <v>60</v>
      </c>
      <c r="H631" s="1"/>
      <c r="I631" s="321">
        <f t="shared" si="174"/>
        <v>9036</v>
      </c>
      <c r="J631" s="298">
        <f>'Rate Design Work'!J630</f>
        <v>60</v>
      </c>
      <c r="K631" s="1"/>
      <c r="L631" s="321">
        <f t="shared" si="175"/>
        <v>9036</v>
      </c>
      <c r="M631" s="321"/>
      <c r="N631" s="298" t="str">
        <f>'Rate Design Work'!N630</f>
        <v xml:space="preserve"> </v>
      </c>
      <c r="O631" s="1"/>
      <c r="P631" s="321">
        <f>'Rate Design Work'!P630</f>
        <v>0</v>
      </c>
      <c r="Q631" s="321"/>
      <c r="R631" s="298">
        <f ca="1">'Rate Design Work'!R630</f>
        <v>11.894336305988995</v>
      </c>
      <c r="S631" s="1"/>
      <c r="T631" s="321">
        <f ca="1">'Rate Design Work'!T630</f>
        <v>1791.2870476819426</v>
      </c>
      <c r="U631" s="321"/>
      <c r="V631" s="298">
        <f ca="1">'Rate Design Work'!V630</f>
        <v>48.105663694011</v>
      </c>
      <c r="W631" s="1"/>
      <c r="X631" s="2">
        <f ca="1">'Rate Design Work'!X630</f>
        <v>7244.7129523180565</v>
      </c>
      <c r="AM631" s="20"/>
      <c r="AN631" s="20"/>
      <c r="AO631" s="20"/>
      <c r="AP631" s="20"/>
      <c r="AQ631" s="20"/>
      <c r="AR631" s="20"/>
      <c r="AS631" s="20"/>
    </row>
    <row r="632" spans="1:47">
      <c r="A632" s="323" t="s">
        <v>444</v>
      </c>
      <c r="B632" s="1"/>
      <c r="C632" s="319">
        <f t="shared" si="172"/>
        <v>68722</v>
      </c>
      <c r="D632" s="339">
        <v>-30</v>
      </c>
      <c r="E632" s="321" t="s">
        <v>374</v>
      </c>
      <c r="F632" s="321">
        <f t="shared" si="173"/>
        <v>-20617</v>
      </c>
      <c r="G632" s="339">
        <v>-30</v>
      </c>
      <c r="H632" s="321" t="s">
        <v>374</v>
      </c>
      <c r="I632" s="321">
        <f t="shared" si="174"/>
        <v>-20617</v>
      </c>
      <c r="J632" s="339">
        <f>'Rate Design Work'!J631</f>
        <v>-30</v>
      </c>
      <c r="K632" s="321" t="s">
        <v>374</v>
      </c>
      <c r="L632" s="321">
        <f t="shared" si="175"/>
        <v>-20617</v>
      </c>
      <c r="M632" s="321"/>
      <c r="N632" s="339">
        <f>'Rate Design Work'!N631</f>
        <v>-30</v>
      </c>
      <c r="O632" s="321" t="s">
        <v>374</v>
      </c>
      <c r="P632" s="321">
        <f>'Rate Design Work'!P631</f>
        <v>-20617</v>
      </c>
      <c r="Q632" s="321"/>
      <c r="R632" s="1587" t="s">
        <v>31</v>
      </c>
      <c r="S632" s="321" t="s">
        <v>31</v>
      </c>
      <c r="T632" s="321">
        <f>'Rate Design Work'!T631</f>
        <v>0</v>
      </c>
      <c r="U632" s="321"/>
      <c r="V632" s="339">
        <f>'Blocking - detail'!U505</f>
        <v>0</v>
      </c>
      <c r="W632" s="321" t="s">
        <v>31</v>
      </c>
      <c r="X632" s="2">
        <f>'Rate Design Work'!X631</f>
        <v>0</v>
      </c>
      <c r="AM632" s="20"/>
      <c r="AN632" s="20"/>
      <c r="AO632" s="20"/>
      <c r="AP632" s="20"/>
      <c r="AQ632" s="20"/>
      <c r="AR632" s="20"/>
      <c r="AS632" s="20"/>
    </row>
    <row r="633" spans="1:47" s="1184" customFormat="1">
      <c r="A633" s="1005" t="s">
        <v>1026</v>
      </c>
      <c r="C633" s="1026">
        <f>C628</f>
        <v>5159480</v>
      </c>
      <c r="D633" s="269"/>
      <c r="E633" s="1185"/>
      <c r="F633" s="1203"/>
      <c r="G633" s="269"/>
      <c r="H633" s="1185"/>
      <c r="I633" s="1203"/>
      <c r="J633" s="1230">
        <f>J616</f>
        <v>3.415</v>
      </c>
      <c r="K633" s="1041" t="s">
        <v>374</v>
      </c>
      <c r="L633" s="321">
        <f t="shared" si="175"/>
        <v>-1762</v>
      </c>
      <c r="M633" s="321"/>
      <c r="N633" s="1230" t="str">
        <f>N616</f>
        <v xml:space="preserve"> </v>
      </c>
      <c r="O633" s="1041" t="s">
        <v>31</v>
      </c>
      <c r="P633" s="321">
        <f>'Rate Design Work'!P632</f>
        <v>0</v>
      </c>
      <c r="Q633" s="321"/>
      <c r="R633" s="1230" t="str">
        <f>R616</f>
        <v xml:space="preserve"> </v>
      </c>
      <c r="S633" s="1041" t="s">
        <v>31</v>
      </c>
      <c r="T633" s="321">
        <f>'Rate Design Work'!T632</f>
        <v>0</v>
      </c>
      <c r="U633" s="321"/>
      <c r="V633" s="1230">
        <f>V616</f>
        <v>3.415</v>
      </c>
      <c r="W633" s="1041" t="s">
        <v>374</v>
      </c>
      <c r="X633" s="2">
        <f>'Rate Design Work'!X632</f>
        <v>-1762</v>
      </c>
      <c r="Y633" s="1184" t="s">
        <v>31</v>
      </c>
      <c r="Z633" s="815"/>
      <c r="AC633" s="1205"/>
      <c r="AD633" s="1205"/>
      <c r="AI633" s="1185"/>
      <c r="AJ633" s="1185"/>
      <c r="AK633" s="1185"/>
      <c r="AL633" s="1185"/>
      <c r="AM633" s="1185"/>
      <c r="AN633" s="1185"/>
      <c r="AO633" s="1185"/>
      <c r="AP633" s="1185"/>
      <c r="AQ633" s="1185"/>
      <c r="AR633" s="1185"/>
      <c r="AS633" s="1185"/>
      <c r="AU633" s="1204"/>
    </row>
    <row r="634" spans="1:47" s="1184" customFormat="1">
      <c r="A634" s="1005" t="s">
        <v>1027</v>
      </c>
      <c r="C634" s="1026">
        <f>C629</f>
        <v>11810179</v>
      </c>
      <c r="D634" s="269"/>
      <c r="E634" s="1185"/>
      <c r="F634" s="1203"/>
      <c r="G634" s="269"/>
      <c r="H634" s="1185"/>
      <c r="I634" s="1203"/>
      <c r="J634" s="1230">
        <f>J617</f>
        <v>3.1309999999999998</v>
      </c>
      <c r="K634" s="1041" t="s">
        <v>374</v>
      </c>
      <c r="L634" s="321">
        <f t="shared" si="175"/>
        <v>-3698</v>
      </c>
      <c r="M634" s="321"/>
      <c r="N634" s="1230" t="str">
        <f>N617</f>
        <v xml:space="preserve"> </v>
      </c>
      <c r="O634" s="1041" t="s">
        <v>31</v>
      </c>
      <c r="P634" s="321">
        <f>'Rate Design Work'!P633</f>
        <v>0</v>
      </c>
      <c r="Q634" s="321"/>
      <c r="R634" s="1230" t="str">
        <f>R617</f>
        <v xml:space="preserve"> </v>
      </c>
      <c r="S634" s="1041" t="s">
        <v>31</v>
      </c>
      <c r="T634" s="321">
        <f>'Rate Design Work'!T633</f>
        <v>0</v>
      </c>
      <c r="U634" s="321"/>
      <c r="V634" s="1230">
        <f>V617</f>
        <v>3.1309999999999998</v>
      </c>
      <c r="W634" s="1041" t="s">
        <v>374</v>
      </c>
      <c r="X634" s="2">
        <f>'Rate Design Work'!X633</f>
        <v>-3698</v>
      </c>
      <c r="Y634" s="1184" t="s">
        <v>31</v>
      </c>
      <c r="Z634" s="815"/>
      <c r="AC634" s="1205"/>
      <c r="AD634" s="1205"/>
      <c r="AI634" s="1185"/>
      <c r="AJ634" s="1185"/>
      <c r="AK634" s="1185"/>
      <c r="AL634" s="1185"/>
      <c r="AM634" s="1185"/>
      <c r="AN634" s="1185"/>
      <c r="AO634" s="1185"/>
      <c r="AP634" s="1185"/>
      <c r="AQ634" s="1185"/>
      <c r="AR634" s="1185"/>
      <c r="AS634" s="1185"/>
      <c r="AU634" s="1204"/>
    </row>
    <row r="635" spans="1:47">
      <c r="A635" s="1" t="s">
        <v>381</v>
      </c>
      <c r="B635" s="65"/>
      <c r="C635" s="319">
        <f>C675+C713</f>
        <v>899742772.17576289</v>
      </c>
      <c r="D635" s="324"/>
      <c r="E635" s="2"/>
      <c r="F635" s="2">
        <f t="shared" ref="F635" si="176">F675+F713</f>
        <v>63536032</v>
      </c>
      <c r="G635" s="324"/>
      <c r="H635" s="1"/>
      <c r="I635" s="2">
        <f>I675+I713</f>
        <v>67121824</v>
      </c>
      <c r="J635" s="2"/>
      <c r="K635" s="1"/>
      <c r="L635" s="2">
        <f t="shared" ca="1" si="175"/>
        <v>74578481</v>
      </c>
      <c r="M635" s="2"/>
      <c r="N635" s="2"/>
      <c r="O635" s="1"/>
      <c r="P635" s="2">
        <f ca="1">SUM(P603:P634)</f>
        <v>9660624.3704508599</v>
      </c>
      <c r="Q635" s="2"/>
      <c r="R635" s="2"/>
      <c r="S635" s="1"/>
      <c r="T635" s="2">
        <f ca="1">SUM(T603:T634)</f>
        <v>12869246.983597249</v>
      </c>
      <c r="U635" s="2"/>
      <c r="V635" s="2"/>
      <c r="W635" s="1"/>
      <c r="X635" s="2">
        <f ca="1">SUM(X603:X634)</f>
        <v>52048609.645951904</v>
      </c>
      <c r="AA635" s="804"/>
      <c r="AB635" s="804"/>
      <c r="AM635" s="20"/>
      <c r="AN635" s="20"/>
      <c r="AO635" s="20"/>
      <c r="AP635" s="20"/>
      <c r="AQ635" s="20"/>
      <c r="AR635" s="20"/>
      <c r="AS635" s="20"/>
    </row>
    <row r="636" spans="1:47">
      <c r="A636" s="1" t="s">
        <v>363</v>
      </c>
      <c r="B636" s="25"/>
      <c r="C636" s="340">
        <f ca="1">C676+C714</f>
        <v>-3969620.9678243943</v>
      </c>
      <c r="D636" s="309"/>
      <c r="E636" s="309"/>
      <c r="F636" s="310">
        <f ca="1">I636</f>
        <v>-311647.89596808294</v>
      </c>
      <c r="G636" s="309"/>
      <c r="H636" s="309"/>
      <c r="I636" s="310">
        <f ca="1">I676+I714</f>
        <v>-311647.89596808294</v>
      </c>
      <c r="J636" s="309"/>
      <c r="K636" s="309"/>
      <c r="L636" s="310">
        <f ca="1">I636</f>
        <v>-311647.89596808294</v>
      </c>
      <c r="M636" s="51"/>
      <c r="N636" s="309"/>
      <c r="O636" s="309"/>
      <c r="P636" s="310">
        <f ca="1">$L$636*Y640/($Y$640+$Z$640+$AA$640)</f>
        <v>-40369.731568936026</v>
      </c>
      <c r="Q636" s="51"/>
      <c r="R636" s="309"/>
      <c r="S636" s="309"/>
      <c r="T636" s="310">
        <f ca="1">$L$636*Z640/($Y$640+$Z$640+$AA$640)</f>
        <v>-53777.89533058041</v>
      </c>
      <c r="U636" s="51"/>
      <c r="V636" s="309"/>
      <c r="W636" s="309"/>
      <c r="X636" s="310">
        <f ca="1">$L$636*AA640/($Y$640+$Z$640+$AA$640)</f>
        <v>-217500.2690685665</v>
      </c>
      <c r="Y636" s="289"/>
      <c r="Z636" s="290"/>
      <c r="AM636" s="20"/>
      <c r="AN636" s="20"/>
      <c r="AO636" s="20"/>
      <c r="AP636" s="20"/>
      <c r="AQ636" s="20"/>
      <c r="AR636" s="20"/>
      <c r="AS636" s="20"/>
    </row>
    <row r="637" spans="1:47" ht="16.5" thickBot="1">
      <c r="A637" s="1" t="s">
        <v>382</v>
      </c>
      <c r="B637" s="1"/>
      <c r="C637" s="366">
        <f ca="1">SUM(C635)+C636</f>
        <v>895773151.20793855</v>
      </c>
      <c r="D637" s="342"/>
      <c r="E637" s="343"/>
      <c r="F637" s="344">
        <f ca="1">F635+F636</f>
        <v>63224384.10403192</v>
      </c>
      <c r="G637" s="342"/>
      <c r="H637" s="345"/>
      <c r="I637" s="344">
        <f ca="1">I635+I636</f>
        <v>66810176.10403192</v>
      </c>
      <c r="J637" s="342"/>
      <c r="K637" s="345"/>
      <c r="L637" s="344">
        <f ca="1">L635+L636</f>
        <v>74266833.10403192</v>
      </c>
      <c r="M637" s="344"/>
      <c r="N637" s="342"/>
      <c r="O637" s="345"/>
      <c r="P637" s="344">
        <f ca="1">P635+P636</f>
        <v>9620254.6388819236</v>
      </c>
      <c r="Q637" s="344"/>
      <c r="R637" s="342"/>
      <c r="S637" s="345"/>
      <c r="T637" s="344">
        <f ca="1">T635+T636</f>
        <v>12815469.088266669</v>
      </c>
      <c r="U637" s="344"/>
      <c r="V637" s="342"/>
      <c r="W637" s="345"/>
      <c r="X637" s="344">
        <f ca="1">X635+X636</f>
        <v>51831109.376883335</v>
      </c>
      <c r="Y637" s="784" t="s">
        <v>409</v>
      </c>
      <c r="Z637" s="1129">
        <f ca="1">'Rate Spread targets'!Q24*1000</f>
        <v>74266982.95100601</v>
      </c>
      <c r="AA637" s="818">
        <f ca="1">'Rate Spread targets'!V24-0.091</f>
        <v>2.0611842413989376E-2</v>
      </c>
      <c r="AB637" s="777"/>
      <c r="AC637" s="55" t="s">
        <v>31</v>
      </c>
      <c r="AM637" s="20"/>
      <c r="AN637" s="20"/>
      <c r="AO637" s="20"/>
      <c r="AP637" s="20"/>
      <c r="AQ637" s="20"/>
      <c r="AR637" s="20"/>
      <c r="AS637" s="20"/>
    </row>
    <row r="638" spans="1:47" ht="16.5" thickTop="1">
      <c r="A638" s="1"/>
      <c r="B638" s="1"/>
      <c r="C638" s="26"/>
      <c r="D638" s="351"/>
      <c r="E638" s="352"/>
      <c r="F638" s="322"/>
      <c r="G638" s="351"/>
      <c r="H638" s="23"/>
      <c r="I638" s="322"/>
      <c r="J638" s="351"/>
      <c r="K638" s="23"/>
      <c r="L638" s="322"/>
      <c r="M638" s="322"/>
      <c r="N638" s="351"/>
      <c r="O638" s="23"/>
      <c r="P638" s="322"/>
      <c r="Q638" s="322"/>
      <c r="R638" s="351"/>
      <c r="S638" s="23"/>
      <c r="T638" s="322"/>
      <c r="U638" s="322"/>
      <c r="V638" s="351"/>
      <c r="W638" s="23"/>
      <c r="X638" s="1673" t="s">
        <v>31</v>
      </c>
      <c r="Y638" s="112" t="s">
        <v>263</v>
      </c>
      <c r="Z638" s="811">
        <f ca="1">Z637-L637</f>
        <v>149.84697408974171</v>
      </c>
      <c r="AA638" s="814" t="s">
        <v>31</v>
      </c>
      <c r="AB638" s="777"/>
      <c r="AC638" s="55"/>
      <c r="AM638" s="20"/>
      <c r="AN638" s="20"/>
      <c r="AO638" s="20"/>
      <c r="AP638" s="20"/>
      <c r="AQ638" s="20"/>
      <c r="AR638" s="20"/>
      <c r="AS638" s="20"/>
    </row>
    <row r="639" spans="1:47" hidden="1">
      <c r="A639" s="1"/>
      <c r="B639" s="1"/>
      <c r="C639" s="26"/>
      <c r="D639" s="351"/>
      <c r="E639" s="352"/>
      <c r="F639" s="322"/>
      <c r="G639" s="351"/>
      <c r="H639" s="23"/>
      <c r="I639" s="322"/>
      <c r="J639" s="351"/>
      <c r="K639" s="23"/>
      <c r="L639" s="322"/>
      <c r="M639" s="322"/>
      <c r="N639" s="351"/>
      <c r="O639" s="23"/>
      <c r="P639" s="322"/>
      <c r="Q639" s="322"/>
      <c r="R639" s="351"/>
      <c r="S639" s="23"/>
      <c r="T639" s="322"/>
      <c r="U639" s="322"/>
      <c r="V639" s="351"/>
      <c r="W639" s="23"/>
      <c r="X639" s="1673" t="s">
        <v>31</v>
      </c>
      <c r="Y639" s="1581">
        <f>'Exh No.__(JRS-17) p11'!J35+'Exh No.__(JRS-17) p11'!K35+'Exh No.__(JRS-17) p11'!L35</f>
        <v>0.12953635205376279</v>
      </c>
      <c r="Z639" s="1585">
        <f>'Exh No.__(JRS-17) p11'!I35</f>
        <v>0.17255978951350925</v>
      </c>
      <c r="AA639" s="744">
        <f>'Exh No.__(JRS-17) p11'!H35</f>
        <v>0.69790385843272817</v>
      </c>
      <c r="AB639" s="777"/>
      <c r="AC639" s="55"/>
      <c r="AM639" s="20"/>
      <c r="AN639" s="20"/>
      <c r="AO639" s="20"/>
      <c r="AP639" s="20"/>
      <c r="AQ639" s="20"/>
      <c r="AR639" s="20"/>
      <c r="AS639" s="20"/>
    </row>
    <row r="640" spans="1:47" hidden="1">
      <c r="A640" s="1"/>
      <c r="B640" s="1"/>
      <c r="C640" s="21"/>
      <c r="D640" s="337" t="s">
        <v>31</v>
      </c>
      <c r="E640" s="2"/>
      <c r="F640" s="2"/>
      <c r="G640" s="337" t="s">
        <v>31</v>
      </c>
      <c r="H640" s="1"/>
      <c r="I640" s="2" t="s">
        <v>31</v>
      </c>
      <c r="J640" s="353" t="s">
        <v>31</v>
      </c>
      <c r="K640" s="1"/>
      <c r="L640" s="2" t="s">
        <v>31</v>
      </c>
      <c r="M640" s="2"/>
      <c r="N640" s="353" t="s">
        <v>31</v>
      </c>
      <c r="O640" s="1"/>
      <c r="P640" s="2" t="s">
        <v>31</v>
      </c>
      <c r="Q640" s="2"/>
      <c r="R640" s="353" t="s">
        <v>31</v>
      </c>
      <c r="S640" s="1"/>
      <c r="T640" s="2" t="s">
        <v>31</v>
      </c>
      <c r="U640" s="2"/>
      <c r="V640" s="353" t="s">
        <v>31</v>
      </c>
      <c r="W640" s="1"/>
      <c r="X640" s="2" t="s">
        <v>31</v>
      </c>
      <c r="Y640" s="1204">
        <f ca="1">Y639*$L$637</f>
        <v>9620254.6388819236</v>
      </c>
      <c r="Z640" s="1204">
        <f t="shared" ref="Z640:AA640" ca="1" si="177">Z639*$L$637</f>
        <v>12815469.088266669</v>
      </c>
      <c r="AA640" s="1204">
        <f t="shared" ca="1" si="177"/>
        <v>51831109.376883343</v>
      </c>
      <c r="AB640" s="1272" t="s">
        <v>409</v>
      </c>
      <c r="AM640" s="20"/>
      <c r="AN640" s="20"/>
      <c r="AO640" s="20"/>
      <c r="AP640" s="20"/>
      <c r="AQ640" s="20"/>
      <c r="AR640" s="20"/>
      <c r="AS640" s="20"/>
    </row>
    <row r="641" spans="1:45" hidden="1">
      <c r="A641" s="293" t="s">
        <v>436</v>
      </c>
      <c r="B641" s="1"/>
      <c r="C641" s="1"/>
      <c r="D641" s="2"/>
      <c r="E641" s="2"/>
      <c r="F641" s="1" t="s">
        <v>31</v>
      </c>
      <c r="G641" s="2"/>
      <c r="H641" s="1"/>
      <c r="I641" s="1"/>
      <c r="J641" s="2"/>
      <c r="K641" s="1"/>
      <c r="L641" s="1"/>
      <c r="M641" s="1"/>
      <c r="N641" s="2"/>
      <c r="O641" s="1"/>
      <c r="P641" s="1"/>
      <c r="Q641" s="1"/>
      <c r="R641" s="2"/>
      <c r="S641" s="1"/>
      <c r="T641" s="1"/>
      <c r="U641" s="1"/>
      <c r="V641" s="2"/>
      <c r="W641" s="1"/>
      <c r="X641" s="1"/>
      <c r="AM641" s="20"/>
      <c r="AN641" s="20"/>
      <c r="AO641" s="20"/>
      <c r="AP641" s="20"/>
      <c r="AQ641" s="20"/>
      <c r="AR641" s="20"/>
      <c r="AS641" s="20"/>
    </row>
    <row r="642" spans="1:45" hidden="1">
      <c r="A642" s="309" t="s">
        <v>445</v>
      </c>
      <c r="B642" s="1"/>
      <c r="C642" s="1"/>
      <c r="D642" s="2"/>
      <c r="E642" s="2"/>
      <c r="F642" s="1"/>
      <c r="G642" s="2"/>
      <c r="H642" s="1"/>
      <c r="I642" s="1"/>
      <c r="J642" s="2"/>
      <c r="K642" s="1"/>
      <c r="L642" s="1"/>
      <c r="M642" s="1"/>
      <c r="N642" s="2"/>
      <c r="O642" s="1"/>
      <c r="P642" s="1"/>
      <c r="Q642" s="1"/>
      <c r="R642" s="2"/>
      <c r="S642" s="1"/>
      <c r="T642" s="1"/>
      <c r="U642" s="1"/>
      <c r="V642" s="2"/>
      <c r="W642" s="1"/>
      <c r="X642" s="1"/>
      <c r="Z642" s="276" t="s">
        <v>31</v>
      </c>
      <c r="AM642" s="20"/>
      <c r="AN642" s="20"/>
      <c r="AO642" s="20"/>
      <c r="AP642" s="20"/>
      <c r="AQ642" s="20"/>
      <c r="AR642" s="20"/>
      <c r="AS642" s="20"/>
    </row>
    <row r="643" spans="1:45" hidden="1">
      <c r="A643" s="323"/>
      <c r="B643" s="1"/>
      <c r="C643" s="1"/>
      <c r="D643" s="2"/>
      <c r="E643" s="2"/>
      <c r="F643" s="1"/>
      <c r="G643" s="2"/>
      <c r="H643" s="1"/>
      <c r="I643" s="1"/>
      <c r="J643" s="2"/>
      <c r="K643" s="1"/>
      <c r="L643" s="1"/>
      <c r="M643" s="1"/>
      <c r="N643" s="2"/>
      <c r="O643" s="1"/>
      <c r="P643" s="1"/>
      <c r="Q643" s="1"/>
      <c r="R643" s="2"/>
      <c r="S643" s="1"/>
      <c r="T643" s="1"/>
      <c r="U643" s="1"/>
      <c r="V643" s="2"/>
      <c r="W643" s="1"/>
      <c r="X643" s="1"/>
      <c r="Y643" s="20"/>
      <c r="Z643" s="74"/>
      <c r="AA643" s="74"/>
      <c r="AB643" s="74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</row>
    <row r="644" spans="1:45" hidden="1">
      <c r="A644" s="323" t="s">
        <v>393</v>
      </c>
      <c r="B644" s="1"/>
      <c r="C644" s="319"/>
      <c r="D644" s="2"/>
      <c r="E644" s="2"/>
      <c r="F644" s="1"/>
      <c r="G644" s="2"/>
      <c r="H644" s="1"/>
      <c r="I644" s="1"/>
      <c r="J644" s="2"/>
      <c r="K644" s="1"/>
      <c r="L644" s="1"/>
      <c r="M644" s="1"/>
      <c r="N644" s="2"/>
      <c r="O644" s="1"/>
      <c r="P644" s="1"/>
      <c r="Q644" s="1"/>
      <c r="R644" s="2"/>
      <c r="S644" s="1"/>
      <c r="T644" s="1"/>
      <c r="U644" s="1"/>
      <c r="V644" s="2"/>
      <c r="W644" s="1"/>
      <c r="X644" s="1"/>
      <c r="Y644" s="20"/>
      <c r="Z644" s="74"/>
      <c r="AA644" s="74"/>
      <c r="AB644" s="74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</row>
    <row r="645" spans="1:45" hidden="1">
      <c r="A645" s="323" t="s">
        <v>421</v>
      </c>
      <c r="B645" s="1"/>
      <c r="C645" s="319">
        <f>[50]Sheet1!$E$2+[50]Sheet1!$E$5+[50]Sheet1!$E$8+[50]Sheet1!$E$11</f>
        <v>268.23333333333369</v>
      </c>
      <c r="D645" s="298">
        <v>259</v>
      </c>
      <c r="E645" s="323"/>
      <c r="F645" s="321">
        <f>ROUND(D645*$C645,0)</f>
        <v>69472</v>
      </c>
      <c r="G645" s="298">
        <v>259</v>
      </c>
      <c r="H645" s="323"/>
      <c r="I645" s="321">
        <f>ROUND(G645*C645,0)</f>
        <v>69472</v>
      </c>
      <c r="J645" s="298">
        <f>$J$603</f>
        <v>259</v>
      </c>
      <c r="K645" s="323"/>
      <c r="L645" s="321">
        <f>ROUND(J645*$C645,0)</f>
        <v>69472</v>
      </c>
      <c r="M645" s="321"/>
      <c r="N645" s="298">
        <f>$N$603</f>
        <v>259</v>
      </c>
      <c r="O645" s="323"/>
      <c r="P645" s="321">
        <f>ROUND(N645*$C645,0)</f>
        <v>69472</v>
      </c>
      <c r="Q645" s="321"/>
      <c r="R645" s="298" t="str">
        <f>$R$603</f>
        <v xml:space="preserve"> </v>
      </c>
      <c r="S645" s="323"/>
      <c r="T645" s="321">
        <f>ROUND(R645*$C645,0)</f>
        <v>0</v>
      </c>
      <c r="U645" s="321"/>
      <c r="V645" s="298" t="str">
        <f>$V$603</f>
        <v xml:space="preserve"> </v>
      </c>
      <c r="W645" s="323"/>
      <c r="X645" s="321">
        <f>ROUND(V645*$C645,0)</f>
        <v>0</v>
      </c>
      <c r="AA645" s="74"/>
      <c r="AB645" s="74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</row>
    <row r="646" spans="1:45" hidden="1">
      <c r="A646" s="323" t="s">
        <v>422</v>
      </c>
      <c r="B646" s="1"/>
      <c r="C646" s="319">
        <f>[50]Sheet1!$E$3+[50]Sheet1!$E$6+[50]Sheet1!$E$9+[50]Sheet1!$E$12</f>
        <v>7728.2333333333399</v>
      </c>
      <c r="D646" s="298">
        <v>96</v>
      </c>
      <c r="E646" s="323"/>
      <c r="F646" s="321">
        <f>ROUND(D646*$C646,0)</f>
        <v>741910</v>
      </c>
      <c r="G646" s="298">
        <v>96</v>
      </c>
      <c r="H646" s="323"/>
      <c r="I646" s="321">
        <f>ROUND(G646*C646,0)</f>
        <v>741910</v>
      </c>
      <c r="J646" s="298">
        <f>$J$604</f>
        <v>96</v>
      </c>
      <c r="K646" s="323"/>
      <c r="L646" s="321">
        <f>ROUND(J646*$C646,0)</f>
        <v>741910</v>
      </c>
      <c r="M646" s="321"/>
      <c r="N646" s="298">
        <f>$N$604</f>
        <v>96</v>
      </c>
      <c r="O646" s="323"/>
      <c r="P646" s="321">
        <f>ROUND(N646*$C646,0)</f>
        <v>741910</v>
      </c>
      <c r="Q646" s="321"/>
      <c r="R646" s="298" t="str">
        <f>$R$604</f>
        <v xml:space="preserve"> </v>
      </c>
      <c r="S646" s="323"/>
      <c r="T646" s="321">
        <f>ROUND(R646*$C646,0)</f>
        <v>0</v>
      </c>
      <c r="U646" s="321"/>
      <c r="V646" s="298" t="str">
        <f>$V$604</f>
        <v xml:space="preserve"> </v>
      </c>
      <c r="W646" s="323"/>
      <c r="X646" s="321">
        <f>ROUND(V646*$C646,0)</f>
        <v>0</v>
      </c>
      <c r="AA646" s="74"/>
      <c r="AB646" s="74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</row>
    <row r="647" spans="1:45" hidden="1">
      <c r="A647" s="323" t="s">
        <v>423</v>
      </c>
      <c r="B647" s="1"/>
      <c r="C647" s="319">
        <f>[50]Sheet1!$E$4+[50]Sheet1!$E$7+[50]Sheet1!$E$10</f>
        <v>3062.6</v>
      </c>
      <c r="D647" s="298">
        <v>192</v>
      </c>
      <c r="E647" s="325"/>
      <c r="F647" s="321">
        <f>ROUND(D647*$C647,0)</f>
        <v>588019</v>
      </c>
      <c r="G647" s="298">
        <v>192</v>
      </c>
      <c r="H647" s="325"/>
      <c r="I647" s="321">
        <f>ROUND(G647*C647,0)</f>
        <v>588019</v>
      </c>
      <c r="J647" s="298">
        <f>$J$605</f>
        <v>192</v>
      </c>
      <c r="K647" s="325"/>
      <c r="L647" s="321">
        <f>ROUND(J647*$C647,0)</f>
        <v>588019</v>
      </c>
      <c r="M647" s="321"/>
      <c r="N647" s="298">
        <f>$N$605</f>
        <v>192</v>
      </c>
      <c r="O647" s="325"/>
      <c r="P647" s="321">
        <f>ROUND(N647*$C647,0)</f>
        <v>588019</v>
      </c>
      <c r="Q647" s="321"/>
      <c r="R647" s="298" t="str">
        <f>$R$605</f>
        <v xml:space="preserve"> </v>
      </c>
      <c r="S647" s="325"/>
      <c r="T647" s="321">
        <f>ROUND(R647*$C647,0)</f>
        <v>0</v>
      </c>
      <c r="U647" s="321"/>
      <c r="V647" s="298" t="str">
        <f>$V$605</f>
        <v xml:space="preserve"> </v>
      </c>
      <c r="W647" s="325"/>
      <c r="X647" s="321">
        <f>ROUND(V647*$C647,0)</f>
        <v>0</v>
      </c>
      <c r="AA647" s="74"/>
      <c r="AB647" s="74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</row>
    <row r="648" spans="1:45" hidden="1">
      <c r="A648" s="323" t="s">
        <v>394</v>
      </c>
      <c r="B648" s="1"/>
      <c r="C648" s="319">
        <f>SUM(C645:C647)</f>
        <v>11059.066666666673</v>
      </c>
      <c r="D648" s="298"/>
      <c r="E648" s="323"/>
      <c r="F648" s="321"/>
      <c r="G648" s="298"/>
      <c r="H648" s="323"/>
      <c r="I648" s="321"/>
      <c r="J648" s="298"/>
      <c r="K648" s="323"/>
      <c r="L648" s="321"/>
      <c r="M648" s="321"/>
      <c r="N648" s="298"/>
      <c r="O648" s="323"/>
      <c r="P648" s="321"/>
      <c r="Q648" s="321"/>
      <c r="R648" s="298"/>
      <c r="S648" s="323"/>
      <c r="T648" s="321"/>
      <c r="U648" s="321"/>
      <c r="V648" s="298"/>
      <c r="W648" s="323"/>
      <c r="X648" s="321"/>
      <c r="AA648" s="74"/>
      <c r="AB648" s="74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</row>
    <row r="649" spans="1:45" hidden="1">
      <c r="A649" s="323" t="s">
        <v>422</v>
      </c>
      <c r="B649" s="1"/>
      <c r="C649" s="319">
        <f>[50]Sheet1!$F$3+[50]Sheet1!$F$6+[50]Sheet1!$F$9+[50]Sheet1!$F$12</f>
        <v>1332188</v>
      </c>
      <c r="D649" s="298">
        <v>1.7</v>
      </c>
      <c r="E649" s="323" t="s">
        <v>31</v>
      </c>
      <c r="F649" s="321">
        <f>ROUND(D649*$C649,0)</f>
        <v>2264720</v>
      </c>
      <c r="G649" s="298">
        <v>1.7</v>
      </c>
      <c r="H649" s="323" t="s">
        <v>31</v>
      </c>
      <c r="I649" s="321">
        <f t="shared" ref="I649:I650" si="178">ROUND(G649*C649,0)</f>
        <v>2264720</v>
      </c>
      <c r="J649" s="298">
        <f ca="1">$J$607</f>
        <v>1.89</v>
      </c>
      <c r="K649" s="323" t="s">
        <v>31</v>
      </c>
      <c r="L649" s="321">
        <f ca="1">ROUND(J649*$C649,0)</f>
        <v>2517835</v>
      </c>
      <c r="M649" s="321"/>
      <c r="N649" s="298">
        <f ca="1">$N$607</f>
        <v>1.89</v>
      </c>
      <c r="O649" s="323" t="s">
        <v>31</v>
      </c>
      <c r="P649" s="321">
        <f ca="1">ROUND(N649*$C649,0)</f>
        <v>2517835</v>
      </c>
      <c r="Q649" s="321"/>
      <c r="R649" s="298" t="str">
        <f>$R$607</f>
        <v xml:space="preserve"> </v>
      </c>
      <c r="S649" s="323" t="s">
        <v>31</v>
      </c>
      <c r="T649" s="321">
        <f>ROUND(R649*$C649,0)</f>
        <v>0</v>
      </c>
      <c r="U649" s="321"/>
      <c r="V649" s="298" t="str">
        <f>$V$607</f>
        <v xml:space="preserve"> </v>
      </c>
      <c r="W649" s="323" t="s">
        <v>31</v>
      </c>
      <c r="X649" s="321">
        <f>ROUND(V649*$C649,0)</f>
        <v>0</v>
      </c>
      <c r="AA649" s="74"/>
      <c r="AB649" s="74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</row>
    <row r="650" spans="1:45" hidden="1">
      <c r="A650" s="323" t="s">
        <v>423</v>
      </c>
      <c r="B650" s="1"/>
      <c r="C650" s="319">
        <f>[50]Sheet1!$F$4+[50]Sheet1!$F$7+[50]Sheet1!$F$10</f>
        <v>1526782</v>
      </c>
      <c r="D650" s="298">
        <v>1.39</v>
      </c>
      <c r="E650" s="323" t="s">
        <v>31</v>
      </c>
      <c r="F650" s="321">
        <f>ROUND(D650*$C650,0)</f>
        <v>2122227</v>
      </c>
      <c r="G650" s="298">
        <v>1.39</v>
      </c>
      <c r="H650" s="323" t="s">
        <v>31</v>
      </c>
      <c r="I650" s="321">
        <f t="shared" si="178"/>
        <v>2122227</v>
      </c>
      <c r="J650" s="298">
        <f ca="1">$J$608</f>
        <v>1.55</v>
      </c>
      <c r="K650" s="323" t="s">
        <v>31</v>
      </c>
      <c r="L650" s="321">
        <f ca="1">ROUND(J650*$C650,0)</f>
        <v>2366512</v>
      </c>
      <c r="M650" s="321"/>
      <c r="N650" s="298">
        <f ca="1">$N$608</f>
        <v>1.55</v>
      </c>
      <c r="O650" s="323" t="s">
        <v>31</v>
      </c>
      <c r="P650" s="321">
        <f ca="1">ROUND(N650*$C650,0)</f>
        <v>2366512</v>
      </c>
      <c r="Q650" s="321"/>
      <c r="R650" s="298" t="str">
        <f>$R$608</f>
        <v xml:space="preserve"> </v>
      </c>
      <c r="S650" s="323" t="s">
        <v>31</v>
      </c>
      <c r="T650" s="321">
        <f>ROUND(R650*$C650,0)</f>
        <v>0</v>
      </c>
      <c r="U650" s="321"/>
      <c r="V650" s="298" t="str">
        <f>$V$608</f>
        <v xml:space="preserve"> </v>
      </c>
      <c r="W650" s="323" t="s">
        <v>31</v>
      </c>
      <c r="X650" s="321">
        <f>ROUND(V650*$C650,0)</f>
        <v>0</v>
      </c>
      <c r="AA650" s="74"/>
      <c r="AB650" s="74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</row>
    <row r="651" spans="1:45" hidden="1">
      <c r="A651" s="309" t="s">
        <v>424</v>
      </c>
      <c r="B651" s="1"/>
      <c r="C651" s="319"/>
      <c r="D651" s="355"/>
      <c r="E651" s="323"/>
      <c r="F651" s="321"/>
      <c r="G651" s="355"/>
      <c r="H651" s="323"/>
      <c r="I651" s="321"/>
      <c r="J651" s="355"/>
      <c r="K651" s="323"/>
      <c r="L651" s="321"/>
      <c r="M651" s="321"/>
      <c r="N651" s="355"/>
      <c r="O651" s="323"/>
      <c r="P651" s="321"/>
      <c r="Q651" s="321"/>
      <c r="R651" s="355"/>
      <c r="S651" s="323"/>
      <c r="T651" s="321"/>
      <c r="U651" s="321"/>
      <c r="V651" s="355"/>
      <c r="W651" s="323"/>
      <c r="X651" s="321"/>
      <c r="AA651" s="74"/>
      <c r="AB651" s="74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</row>
    <row r="652" spans="1:45" hidden="1">
      <c r="A652" s="309" t="s">
        <v>425</v>
      </c>
      <c r="B652" s="1"/>
      <c r="C652" s="319">
        <f>[50]Sheet1!$I$22+[50]Sheet1!$I$24</f>
        <v>2162284</v>
      </c>
      <c r="D652" s="298">
        <v>4.4400000000000004</v>
      </c>
      <c r="E652" s="323"/>
      <c r="F652" s="321">
        <f>ROUND(D652*$C652,0)</f>
        <v>9600541</v>
      </c>
      <c r="G652" s="298">
        <v>4.72</v>
      </c>
      <c r="H652" s="323"/>
      <c r="I652" s="321">
        <f t="shared" ref="I652:I653" si="179">ROUND(G652*C652,0)</f>
        <v>10205980</v>
      </c>
      <c r="J652" s="298">
        <f ca="1">$J$610</f>
        <v>5.87</v>
      </c>
      <c r="K652" s="323"/>
      <c r="L652" s="321">
        <f ca="1">ROUND(J652*$C652,0)</f>
        <v>12692607</v>
      </c>
      <c r="M652" s="321"/>
      <c r="N652" s="298">
        <f ca="1">$N$610</f>
        <v>0.95</v>
      </c>
      <c r="O652" s="323"/>
      <c r="P652" s="321">
        <f ca="1">ROUND(N652*$C652,0)</f>
        <v>2054170</v>
      </c>
      <c r="Q652" s="321"/>
      <c r="R652" s="298">
        <f ca="1">$R$610</f>
        <v>0.98</v>
      </c>
      <c r="S652" s="323"/>
      <c r="T652" s="321">
        <f ca="1">ROUND(R652*$C652,0)</f>
        <v>2119038</v>
      </c>
      <c r="U652" s="321"/>
      <c r="V652" s="298">
        <f ca="1">$V$610</f>
        <v>3.94</v>
      </c>
      <c r="W652" s="323"/>
      <c r="X652" s="321">
        <f ca="1">ROUND(V652*$C652,0)</f>
        <v>8519399</v>
      </c>
      <c r="AA652" s="74"/>
      <c r="AB652" s="74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</row>
    <row r="653" spans="1:45" hidden="1">
      <c r="A653" s="309" t="s">
        <v>441</v>
      </c>
      <c r="B653" s="1"/>
      <c r="C653" s="319">
        <f>[50]Sheet1!$J$22+[50]Sheet1!$J$24</f>
        <v>1056.3333333333362</v>
      </c>
      <c r="D653" s="369">
        <v>4.4400000000000004</v>
      </c>
      <c r="E653" s="323"/>
      <c r="F653" s="321">
        <f>ROUND(D653*$C653,0)</f>
        <v>4690</v>
      </c>
      <c r="G653" s="369">
        <v>4.72</v>
      </c>
      <c r="H653" s="323"/>
      <c r="I653" s="321">
        <f t="shared" si="179"/>
        <v>4986</v>
      </c>
      <c r="J653" s="369">
        <f ca="1">J652</f>
        <v>5.87</v>
      </c>
      <c r="K653" s="323"/>
      <c r="L653" s="321">
        <f ca="1">ROUND(J653*$C653,0)</f>
        <v>6201</v>
      </c>
      <c r="M653" s="321"/>
      <c r="N653" s="369">
        <f ca="1">N652</f>
        <v>0.95</v>
      </c>
      <c r="O653" s="323"/>
      <c r="P653" s="321">
        <f ca="1">ROUND(N653*$C653,0)</f>
        <v>1004</v>
      </c>
      <c r="Q653" s="321"/>
      <c r="R653" s="369">
        <f ca="1">R652</f>
        <v>0.98</v>
      </c>
      <c r="S653" s="323"/>
      <c r="T653" s="321">
        <f ca="1">ROUND(R653*$C653,0)</f>
        <v>1035</v>
      </c>
      <c r="U653" s="321"/>
      <c r="V653" s="369">
        <f ca="1">V652</f>
        <v>3.94</v>
      </c>
      <c r="W653" s="323"/>
      <c r="X653" s="321">
        <f ca="1">ROUND(V653*$C653,0)</f>
        <v>4162</v>
      </c>
      <c r="AA653" s="74"/>
      <c r="AB653" s="74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</row>
    <row r="654" spans="1:45" hidden="1">
      <c r="A654" s="323" t="s">
        <v>426</v>
      </c>
      <c r="B654" s="1"/>
      <c r="C654" s="319"/>
      <c r="D654" s="298"/>
      <c r="E654" s="323"/>
      <c r="F654" s="321"/>
      <c r="G654" s="298"/>
      <c r="H654" s="323"/>
      <c r="I654" s="321"/>
      <c r="J654" s="298"/>
      <c r="K654" s="323"/>
      <c r="L654" s="321"/>
      <c r="M654" s="321"/>
      <c r="N654" s="298"/>
      <c r="O654" s="323"/>
      <c r="P654" s="321"/>
      <c r="Q654" s="321"/>
      <c r="R654" s="298"/>
      <c r="S654" s="323"/>
      <c r="T654" s="321"/>
      <c r="U654" s="321"/>
      <c r="V654" s="298"/>
      <c r="W654" s="323"/>
      <c r="X654" s="321"/>
      <c r="AA654" s="74"/>
      <c r="AB654" s="74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</row>
    <row r="655" spans="1:45" hidden="1">
      <c r="A655" s="323" t="s">
        <v>427</v>
      </c>
      <c r="B655" s="319"/>
      <c r="C655" s="319">
        <f>[50]Sheet1!$H$22+[50]Sheet1!$H$24+Temperature!C110*1000</f>
        <v>352966596.14110196</v>
      </c>
      <c r="D655" s="328">
        <v>5.2919999999999998</v>
      </c>
      <c r="E655" s="323" t="s">
        <v>374</v>
      </c>
      <c r="F655" s="321">
        <f>ROUND(D655*$C655/100,0)</f>
        <v>18678992</v>
      </c>
      <c r="G655" s="328">
        <v>5.6289999999999996</v>
      </c>
      <c r="H655" s="323" t="s">
        <v>374</v>
      </c>
      <c r="I655" s="321">
        <f>ROUND(G655*C655/100,0)</f>
        <v>19868490</v>
      </c>
      <c r="J655" s="327">
        <f ca="1">$J$613</f>
        <v>2.6779999999999999</v>
      </c>
      <c r="K655" s="323" t="s">
        <v>374</v>
      </c>
      <c r="L655" s="321">
        <f ca="1">ROUND(J655*$C655/100,0)</f>
        <v>9452445</v>
      </c>
      <c r="M655" s="321"/>
      <c r="N655" s="327" t="str">
        <f>$N$613</f>
        <v xml:space="preserve"> </v>
      </c>
      <c r="O655" s="323" t="s">
        <v>374</v>
      </c>
      <c r="P655" s="321">
        <f>ROUND(N655*$C655/100,0)</f>
        <v>0</v>
      </c>
      <c r="Q655" s="321"/>
      <c r="R655" s="327">
        <f ca="1">$R$613</f>
        <v>1.2070000000000001</v>
      </c>
      <c r="S655" s="323" t="s">
        <v>374</v>
      </c>
      <c r="T655" s="321">
        <f ca="1">ROUND(R655*$C655/100,0)</f>
        <v>4260307</v>
      </c>
      <c r="U655" s="321"/>
      <c r="V655" s="327">
        <f ca="1">$V$613</f>
        <v>1.4710000000000001</v>
      </c>
      <c r="W655" s="323" t="s">
        <v>374</v>
      </c>
      <c r="X655" s="321">
        <f ca="1">ROUND(V655*$C655/100,0)</f>
        <v>5192139</v>
      </c>
      <c r="AA655" s="74"/>
      <c r="AB655" s="74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</row>
    <row r="656" spans="1:45" hidden="1">
      <c r="A656" s="323" t="s">
        <v>399</v>
      </c>
      <c r="B656" s="319"/>
      <c r="C656" s="319">
        <f>[50]Sheet1!$G$22+[50]Sheet1!$G$24-C655+Temperature!B110*1000</f>
        <v>441168417.03466094</v>
      </c>
      <c r="D656" s="328">
        <v>4.8499999999999996</v>
      </c>
      <c r="E656" s="323" t="s">
        <v>374</v>
      </c>
      <c r="F656" s="321">
        <f>ROUND(D656*$C656/100,0)</f>
        <v>21396668</v>
      </c>
      <c r="G656" s="328">
        <v>5.157</v>
      </c>
      <c r="H656" s="323" t="s">
        <v>374</v>
      </c>
      <c r="I656" s="321">
        <f t="shared" ref="I656:I657" si="180">ROUND(G656*C656/100,0)</f>
        <v>22751055</v>
      </c>
      <c r="J656" s="327">
        <f ca="1">$J$614</f>
        <v>2.452</v>
      </c>
      <c r="K656" s="323" t="s">
        <v>374</v>
      </c>
      <c r="L656" s="321">
        <f ca="1">ROUND(J656*$C656/100,0)</f>
        <v>10817450</v>
      </c>
      <c r="M656" s="321"/>
      <c r="N656" s="327" t="str">
        <f>$N$614</f>
        <v xml:space="preserve"> </v>
      </c>
      <c r="O656" s="323" t="s">
        <v>374</v>
      </c>
      <c r="P656" s="321">
        <f>ROUND(N656*$C656/100,0)</f>
        <v>0</v>
      </c>
      <c r="Q656" s="321"/>
      <c r="R656" s="327">
        <f ca="1">$R$614</f>
        <v>1.105</v>
      </c>
      <c r="S656" s="323" t="s">
        <v>374</v>
      </c>
      <c r="T656" s="321">
        <f ca="1">ROUND(R656*$C656/100,0)</f>
        <v>4874911</v>
      </c>
      <c r="U656" s="321"/>
      <c r="V656" s="327">
        <f ca="1">$V$614</f>
        <v>1.347</v>
      </c>
      <c r="W656" s="323" t="s">
        <v>374</v>
      </c>
      <c r="X656" s="321">
        <f ca="1">ROUND(V656*$C656/100,0)</f>
        <v>5942539</v>
      </c>
      <c r="AA656" s="74"/>
      <c r="AB656" s="74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</row>
    <row r="657" spans="1:47" hidden="1">
      <c r="A657" s="323" t="s">
        <v>400</v>
      </c>
      <c r="B657" s="1"/>
      <c r="C657" s="319">
        <f>[50]Sheet1!$K$22+[50]Sheet1!$K$24</f>
        <v>386507.60000000073</v>
      </c>
      <c r="D657" s="991">
        <v>56</v>
      </c>
      <c r="E657" s="323" t="s">
        <v>374</v>
      </c>
      <c r="F657" s="321">
        <f>ROUND(D657*$C657/100,0)</f>
        <v>216444</v>
      </c>
      <c r="G657" s="991">
        <v>56</v>
      </c>
      <c r="H657" s="323" t="s">
        <v>374</v>
      </c>
      <c r="I657" s="321">
        <f t="shared" si="180"/>
        <v>216444</v>
      </c>
      <c r="J657" s="475">
        <f>$J$615</f>
        <v>56</v>
      </c>
      <c r="K657" s="323" t="s">
        <v>374</v>
      </c>
      <c r="L657" s="321">
        <f>ROUND(J657*$C657/100,0)</f>
        <v>216444</v>
      </c>
      <c r="M657" s="321"/>
      <c r="N657" s="475" t="str">
        <f>$N$615</f>
        <v xml:space="preserve"> </v>
      </c>
      <c r="O657" s="323" t="s">
        <v>374</v>
      </c>
      <c r="P657" s="321">
        <f>ROUND(N657*$C657/100,0)</f>
        <v>0</v>
      </c>
      <c r="Q657" s="321"/>
      <c r="R657" s="475">
        <f ca="1">$R$615</f>
        <v>11</v>
      </c>
      <c r="S657" s="323" t="s">
        <v>374</v>
      </c>
      <c r="T657" s="321">
        <f ca="1">ROUND(R657*$C657/100,0)</f>
        <v>42516</v>
      </c>
      <c r="U657" s="321"/>
      <c r="V657" s="475">
        <f ca="1">$V$615</f>
        <v>45</v>
      </c>
      <c r="W657" s="323" t="s">
        <v>374</v>
      </c>
      <c r="X657" s="321">
        <f ca="1">ROUND(V657*$C657/100,0)</f>
        <v>173928</v>
      </c>
      <c r="AA657" s="74"/>
      <c r="AB657" s="74"/>
      <c r="AC657" s="7" t="s">
        <v>31</v>
      </c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</row>
    <row r="658" spans="1:47" s="1184" customFormat="1" hidden="1">
      <c r="A658" s="1005" t="s">
        <v>1026</v>
      </c>
      <c r="C658" s="1202">
        <f>C655</f>
        <v>352966596.14110196</v>
      </c>
      <c r="D658" s="269"/>
      <c r="E658" s="1185"/>
      <c r="F658" s="1203"/>
      <c r="G658" s="269"/>
      <c r="H658" s="1185"/>
      <c r="I658" s="1203"/>
      <c r="J658" s="1230">
        <f>J616</f>
        <v>3.415</v>
      </c>
      <c r="K658" s="1041" t="s">
        <v>374</v>
      </c>
      <c r="L658" s="1041">
        <f t="shared" ref="L658:L659" si="181">ROUND(J658*$C658/100,0)</f>
        <v>12053809</v>
      </c>
      <c r="M658" s="1041"/>
      <c r="N658" s="1230" t="str">
        <f>N616</f>
        <v xml:space="preserve"> </v>
      </c>
      <c r="O658" s="1041" t="s">
        <v>374</v>
      </c>
      <c r="P658" s="1041">
        <f t="shared" ref="P658:P659" si="182">ROUND(N658*$C658/100,0)</f>
        <v>0</v>
      </c>
      <c r="Q658" s="1041"/>
      <c r="R658" s="1230" t="str">
        <f>R616</f>
        <v xml:space="preserve"> </v>
      </c>
      <c r="S658" s="1041" t="s">
        <v>374</v>
      </c>
      <c r="T658" s="1041">
        <f t="shared" ref="T658:T659" si="183">ROUND(R658*$C658/100,0)</f>
        <v>0</v>
      </c>
      <c r="U658" s="1041"/>
      <c r="V658" s="1230">
        <f>V616</f>
        <v>3.415</v>
      </c>
      <c r="W658" s="1041" t="s">
        <v>374</v>
      </c>
      <c r="X658" s="1041">
        <f t="shared" ref="X658:X659" si="184">ROUND(V658*$C658/100,0)</f>
        <v>12053809</v>
      </c>
      <c r="Z658" s="1190"/>
      <c r="AA658" s="1274"/>
      <c r="AB658" s="1186"/>
      <c r="AC658" s="1205"/>
      <c r="AD658" s="1205"/>
      <c r="AI658" s="1185"/>
      <c r="AJ658" s="1185"/>
      <c r="AK658" s="1185"/>
      <c r="AL658" s="1185"/>
      <c r="AM658" s="1185"/>
      <c r="AN658" s="1185"/>
      <c r="AO658" s="1185"/>
      <c r="AP658" s="1185"/>
      <c r="AQ658" s="1185"/>
      <c r="AR658" s="1185"/>
      <c r="AS658" s="1185"/>
      <c r="AU658" s="1204"/>
    </row>
    <row r="659" spans="1:47" s="1184" customFormat="1" hidden="1">
      <c r="A659" s="1005" t="s">
        <v>1027</v>
      </c>
      <c r="C659" s="1202">
        <f>C656</f>
        <v>441168417.03466094</v>
      </c>
      <c r="D659" s="269"/>
      <c r="E659" s="1185"/>
      <c r="F659" s="1203"/>
      <c r="G659" s="269"/>
      <c r="H659" s="1185"/>
      <c r="I659" s="1203"/>
      <c r="J659" s="1230">
        <f>J617</f>
        <v>3.1309999999999998</v>
      </c>
      <c r="K659" s="1041" t="s">
        <v>374</v>
      </c>
      <c r="L659" s="1041">
        <f t="shared" si="181"/>
        <v>13812983</v>
      </c>
      <c r="M659" s="1041"/>
      <c r="N659" s="1230" t="str">
        <f>N617</f>
        <v xml:space="preserve"> </v>
      </c>
      <c r="O659" s="1041" t="s">
        <v>374</v>
      </c>
      <c r="P659" s="1041">
        <f t="shared" si="182"/>
        <v>0</v>
      </c>
      <c r="Q659" s="1041"/>
      <c r="R659" s="1230" t="str">
        <f>R617</f>
        <v xml:space="preserve"> </v>
      </c>
      <c r="S659" s="1041" t="s">
        <v>374</v>
      </c>
      <c r="T659" s="1041">
        <f t="shared" si="183"/>
        <v>0</v>
      </c>
      <c r="U659" s="1041"/>
      <c r="V659" s="1230">
        <f>V617</f>
        <v>3.1309999999999998</v>
      </c>
      <c r="W659" s="1041" t="s">
        <v>374</v>
      </c>
      <c r="X659" s="1041">
        <f t="shared" si="184"/>
        <v>13812983</v>
      </c>
      <c r="Z659" s="1190"/>
      <c r="AA659" s="1274"/>
      <c r="AB659" s="1186"/>
      <c r="AC659" s="1205"/>
      <c r="AD659" s="1205"/>
      <c r="AI659" s="1185"/>
      <c r="AJ659" s="1185"/>
      <c r="AK659" s="1185"/>
      <c r="AL659" s="1185"/>
      <c r="AM659" s="1185"/>
      <c r="AN659" s="1185"/>
      <c r="AO659" s="1185"/>
      <c r="AP659" s="1185"/>
      <c r="AQ659" s="1185"/>
      <c r="AR659" s="1185"/>
      <c r="AS659" s="1185"/>
      <c r="AU659" s="1204"/>
    </row>
    <row r="660" spans="1:47" hidden="1">
      <c r="A660" s="360" t="s">
        <v>401</v>
      </c>
      <c r="B660" s="1"/>
      <c r="C660" s="319"/>
      <c r="D660" s="332">
        <v>-0.01</v>
      </c>
      <c r="E660" s="2"/>
      <c r="F660" s="321"/>
      <c r="G660" s="332">
        <v>-0.01</v>
      </c>
      <c r="H660" s="1"/>
      <c r="I660" s="321"/>
      <c r="J660" s="332">
        <v>-0.01</v>
      </c>
      <c r="K660" s="1"/>
      <c r="L660" s="321"/>
      <c r="M660" s="321"/>
      <c r="N660" s="332">
        <v>-0.01</v>
      </c>
      <c r="O660" s="1"/>
      <c r="P660" s="321"/>
      <c r="Q660" s="321"/>
      <c r="R660" s="332">
        <v>-0.01</v>
      </c>
      <c r="S660" s="1"/>
      <c r="T660" s="321"/>
      <c r="U660" s="321"/>
      <c r="V660" s="332">
        <v>-0.01</v>
      </c>
      <c r="W660" s="1"/>
      <c r="X660" s="321"/>
      <c r="AA660" s="416"/>
      <c r="AB660" s="74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</row>
    <row r="661" spans="1:47" hidden="1">
      <c r="A661" s="323" t="s">
        <v>421</v>
      </c>
      <c r="B661" s="21"/>
      <c r="C661" s="319">
        <f>[50]Sheet1!$E$5</f>
        <v>0.46666666666666701</v>
      </c>
      <c r="D661" s="304">
        <v>259</v>
      </c>
      <c r="E661" s="364"/>
      <c r="F661" s="321">
        <f>ROUND(D661*$C661*D660,0)</f>
        <v>-1</v>
      </c>
      <c r="G661" s="304">
        <v>259</v>
      </c>
      <c r="H661" s="293"/>
      <c r="I661" s="321">
        <f>ROUND(G661*C661*$G$660,0)</f>
        <v>-1</v>
      </c>
      <c r="J661" s="304">
        <f>J645</f>
        <v>259</v>
      </c>
      <c r="K661" s="293"/>
      <c r="L661" s="321">
        <f>ROUND(J661*$C661*J660,0)</f>
        <v>-1</v>
      </c>
      <c r="M661" s="321"/>
      <c r="N661" s="304">
        <f>N645</f>
        <v>259</v>
      </c>
      <c r="O661" s="293"/>
      <c r="P661" s="321">
        <f>ROUND(N661*$C661*N660,0)</f>
        <v>-1</v>
      </c>
      <c r="Q661" s="321"/>
      <c r="R661" s="304" t="str">
        <f>R645</f>
        <v xml:space="preserve"> </v>
      </c>
      <c r="S661" s="293"/>
      <c r="T661" s="321">
        <f>ROUND(R661*$C661*R660,0)</f>
        <v>0</v>
      </c>
      <c r="U661" s="321"/>
      <c r="V661" s="304" t="str">
        <f>V645</f>
        <v xml:space="preserve"> </v>
      </c>
      <c r="W661" s="293"/>
      <c r="X661" s="321">
        <f>ROUND(V661*$C661*V660,0)</f>
        <v>0</v>
      </c>
      <c r="AA661" s="416"/>
      <c r="AB661" s="74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</row>
    <row r="662" spans="1:47" hidden="1">
      <c r="A662" s="323" t="s">
        <v>422</v>
      </c>
      <c r="B662" s="1"/>
      <c r="C662" s="319">
        <f>[50]Sheet1!$E$6</f>
        <v>47.6</v>
      </c>
      <c r="D662" s="304">
        <v>96</v>
      </c>
      <c r="E662" s="364"/>
      <c r="F662" s="321">
        <f>ROUND(D662*$C662*D660,0)</f>
        <v>-46</v>
      </c>
      <c r="G662" s="304">
        <v>96</v>
      </c>
      <c r="H662" s="293"/>
      <c r="I662" s="321">
        <f t="shared" ref="I662:I667" si="185">ROUND(G662*C662*$G$660,0)</f>
        <v>-46</v>
      </c>
      <c r="J662" s="304">
        <f>J646</f>
        <v>96</v>
      </c>
      <c r="K662" s="293"/>
      <c r="L662" s="321">
        <f>ROUND(J662*$C662*J660,0)</f>
        <v>-46</v>
      </c>
      <c r="M662" s="321"/>
      <c r="N662" s="304">
        <f>N646</f>
        <v>96</v>
      </c>
      <c r="O662" s="293"/>
      <c r="P662" s="321">
        <f>ROUND(N662*$C662*N660,0)</f>
        <v>-46</v>
      </c>
      <c r="Q662" s="321"/>
      <c r="R662" s="304" t="str">
        <f>R646</f>
        <v xml:space="preserve"> </v>
      </c>
      <c r="S662" s="293"/>
      <c r="T662" s="321">
        <f>ROUND(R662*$C662*R660,0)</f>
        <v>0</v>
      </c>
      <c r="U662" s="321"/>
      <c r="V662" s="304" t="str">
        <f>V646</f>
        <v xml:space="preserve"> </v>
      </c>
      <c r="W662" s="293"/>
      <c r="X662" s="321">
        <f>ROUND(V662*$C662*V660,0)</f>
        <v>0</v>
      </c>
      <c r="AA662" s="416"/>
      <c r="AB662" s="74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</row>
    <row r="663" spans="1:47" hidden="1">
      <c r="A663" s="323" t="s">
        <v>423</v>
      </c>
      <c r="B663" s="1"/>
      <c r="C663" s="319">
        <f>[50]Sheet1!$E$7</f>
        <v>82</v>
      </c>
      <c r="D663" s="304">
        <v>192</v>
      </c>
      <c r="E663" s="372"/>
      <c r="F663" s="321">
        <f>ROUND(D663*$C663*D660,0)</f>
        <v>-157</v>
      </c>
      <c r="G663" s="304">
        <v>192</v>
      </c>
      <c r="H663" s="373"/>
      <c r="I663" s="321">
        <f t="shared" si="185"/>
        <v>-157</v>
      </c>
      <c r="J663" s="304">
        <f>J647</f>
        <v>192</v>
      </c>
      <c r="K663" s="373"/>
      <c r="L663" s="321">
        <f>ROUND(J663*$C663*J660,0)</f>
        <v>-157</v>
      </c>
      <c r="M663" s="321"/>
      <c r="N663" s="304">
        <f>N647</f>
        <v>192</v>
      </c>
      <c r="O663" s="373"/>
      <c r="P663" s="321">
        <f>ROUND(N663*$C663*N660,0)</f>
        <v>-157</v>
      </c>
      <c r="Q663" s="321"/>
      <c r="R663" s="304" t="str">
        <f>R647</f>
        <v xml:space="preserve"> </v>
      </c>
      <c r="S663" s="373"/>
      <c r="T663" s="321">
        <f>ROUND(R663*$C663*R660,0)</f>
        <v>0</v>
      </c>
      <c r="U663" s="321"/>
      <c r="V663" s="304" t="str">
        <f>V647</f>
        <v xml:space="preserve"> </v>
      </c>
      <c r="W663" s="373"/>
      <c r="X663" s="321">
        <f>ROUND(V663*$C663*V660,0)</f>
        <v>0</v>
      </c>
      <c r="AA663" s="416"/>
      <c r="AB663" s="74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</row>
    <row r="664" spans="1:47" hidden="1">
      <c r="A664" s="323" t="s">
        <v>422</v>
      </c>
      <c r="B664" s="1"/>
      <c r="C664" s="319">
        <f>[50]Sheet1!$F$6</f>
        <v>8428</v>
      </c>
      <c r="D664" s="304">
        <v>1.7</v>
      </c>
      <c r="E664" s="364"/>
      <c r="F664" s="321">
        <f>ROUND(D664*$C664*D660,0)</f>
        <v>-143</v>
      </c>
      <c r="G664" s="304">
        <v>1.7</v>
      </c>
      <c r="H664" s="293"/>
      <c r="I664" s="321">
        <f t="shared" si="185"/>
        <v>-143</v>
      </c>
      <c r="J664" s="304">
        <f ca="1">J649</f>
        <v>1.89</v>
      </c>
      <c r="K664" s="293"/>
      <c r="L664" s="321">
        <f ca="1">ROUND(J664*$C664*J660,0)</f>
        <v>-159</v>
      </c>
      <c r="M664" s="321"/>
      <c r="N664" s="304">
        <f ca="1">N649</f>
        <v>1.89</v>
      </c>
      <c r="O664" s="293"/>
      <c r="P664" s="321">
        <f ca="1">ROUND(N664*$C664*N660,0)</f>
        <v>-159</v>
      </c>
      <c r="Q664" s="321"/>
      <c r="R664" s="304" t="str">
        <f>R649</f>
        <v xml:space="preserve"> </v>
      </c>
      <c r="S664" s="293"/>
      <c r="T664" s="321">
        <f>ROUND(R664*$C664*R660,0)</f>
        <v>0</v>
      </c>
      <c r="U664" s="321"/>
      <c r="V664" s="304" t="str">
        <f>V649</f>
        <v xml:space="preserve"> </v>
      </c>
      <c r="W664" s="293"/>
      <c r="X664" s="321">
        <f>ROUND(V664*$C664*V660,0)</f>
        <v>0</v>
      </c>
      <c r="AA664" s="416"/>
      <c r="AB664" s="74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</row>
    <row r="665" spans="1:47" hidden="1">
      <c r="A665" s="323" t="s">
        <v>423</v>
      </c>
      <c r="B665" s="1"/>
      <c r="C665" s="319">
        <f>[50]Sheet1!$F$7</f>
        <v>57957</v>
      </c>
      <c r="D665" s="304">
        <v>1.39</v>
      </c>
      <c r="E665" s="364" t="s">
        <v>31</v>
      </c>
      <c r="F665" s="321">
        <f>ROUND(D665*$C665*D660,0)</f>
        <v>-806</v>
      </c>
      <c r="G665" s="304">
        <v>1.39</v>
      </c>
      <c r="H665" s="293"/>
      <c r="I665" s="321">
        <f t="shared" si="185"/>
        <v>-806</v>
      </c>
      <c r="J665" s="304">
        <f ca="1">J650</f>
        <v>1.55</v>
      </c>
      <c r="K665" s="293"/>
      <c r="L665" s="321">
        <f ca="1">ROUND(J665*$C665*J660,0)</f>
        <v>-898</v>
      </c>
      <c r="M665" s="321"/>
      <c r="N665" s="304">
        <f ca="1">N650</f>
        <v>1.55</v>
      </c>
      <c r="O665" s="293"/>
      <c r="P665" s="321">
        <f ca="1">ROUND(N665*$C665*N660,0)</f>
        <v>-898</v>
      </c>
      <c r="Q665" s="321"/>
      <c r="R665" s="304" t="str">
        <f>R650</f>
        <v xml:space="preserve"> </v>
      </c>
      <c r="S665" s="293"/>
      <c r="T665" s="321">
        <f>ROUND(R665*$C665*R660,0)</f>
        <v>0</v>
      </c>
      <c r="U665" s="321"/>
      <c r="V665" s="304" t="str">
        <f>V650</f>
        <v xml:space="preserve"> </v>
      </c>
      <c r="W665" s="293"/>
      <c r="X665" s="321">
        <f>ROUND(V665*$C665*V660,0)</f>
        <v>0</v>
      </c>
      <c r="AA665" s="416"/>
      <c r="AB665" s="74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</row>
    <row r="666" spans="1:47" hidden="1">
      <c r="A666" s="309" t="s">
        <v>425</v>
      </c>
      <c r="B666" s="1"/>
      <c r="C666" s="319">
        <f>[50]Sheet1!$I$5+[50]Sheet1!$I$6+[50]Sheet1!$I$7</f>
        <v>42970.5</v>
      </c>
      <c r="D666" s="304">
        <v>4.4400000000000004</v>
      </c>
      <c r="E666" s="364" t="s">
        <v>31</v>
      </c>
      <c r="F666" s="321">
        <f>ROUND(D666*$C666*D660,0)</f>
        <v>-1908</v>
      </c>
      <c r="G666" s="304">
        <v>4.72</v>
      </c>
      <c r="H666" s="293"/>
      <c r="I666" s="321">
        <f t="shared" si="185"/>
        <v>-2028</v>
      </c>
      <c r="J666" s="304">
        <f ca="1">J652</f>
        <v>5.87</v>
      </c>
      <c r="K666" s="293"/>
      <c r="L666" s="321">
        <f ca="1">ROUND(J666*$C666*J660,0)</f>
        <v>-2522</v>
      </c>
      <c r="M666" s="321"/>
      <c r="N666" s="304">
        <f ca="1">N652</f>
        <v>0.95</v>
      </c>
      <c r="O666" s="293"/>
      <c r="P666" s="321">
        <f ca="1">ROUND(N666*$C666*N660,0)</f>
        <v>-408</v>
      </c>
      <c r="Q666" s="321"/>
      <c r="R666" s="304">
        <f ca="1">R652</f>
        <v>0.98</v>
      </c>
      <c r="S666" s="293"/>
      <c r="T666" s="321">
        <f ca="1">ROUND(R666*$C666*R660,0)</f>
        <v>-421</v>
      </c>
      <c r="U666" s="321"/>
      <c r="V666" s="304">
        <f ca="1">V652</f>
        <v>3.94</v>
      </c>
      <c r="W666" s="293"/>
      <c r="X666" s="321">
        <f ca="1">ROUND(V666*$C666*V660,0)</f>
        <v>-1693</v>
      </c>
      <c r="AA666" s="416"/>
      <c r="AB666" s="74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</row>
    <row r="667" spans="1:47" hidden="1">
      <c r="A667" s="309" t="s">
        <v>441</v>
      </c>
      <c r="B667" s="1"/>
      <c r="C667" s="319">
        <f>[50]Sheet1!$J$5+[50]Sheet1!$J$6+[50]Sheet1!$J$7</f>
        <v>384.33333333333331</v>
      </c>
      <c r="D667" s="304">
        <v>4.4400000000000004</v>
      </c>
      <c r="E667" s="364" t="s">
        <v>31</v>
      </c>
      <c r="F667" s="321">
        <f>ROUND(D667*$C667*D660,0)</f>
        <v>-17</v>
      </c>
      <c r="G667" s="304">
        <v>4.72</v>
      </c>
      <c r="H667" s="293"/>
      <c r="I667" s="321">
        <f t="shared" si="185"/>
        <v>-18</v>
      </c>
      <c r="J667" s="304">
        <f ca="1">J653</f>
        <v>5.87</v>
      </c>
      <c r="K667" s="293"/>
      <c r="L667" s="321">
        <f ca="1">ROUND(J667*$C667*J660,0)</f>
        <v>-23</v>
      </c>
      <c r="M667" s="321"/>
      <c r="N667" s="304">
        <f ca="1">N653</f>
        <v>0.95</v>
      </c>
      <c r="O667" s="293"/>
      <c r="P667" s="321">
        <f ca="1">ROUND(N667*$C667*N660,0)</f>
        <v>-4</v>
      </c>
      <c r="Q667" s="321"/>
      <c r="R667" s="304">
        <f ca="1">R653</f>
        <v>0.98</v>
      </c>
      <c r="S667" s="293"/>
      <c r="T667" s="321">
        <f ca="1">ROUND(R667*$C667*R660,0)</f>
        <v>-4</v>
      </c>
      <c r="U667" s="321"/>
      <c r="V667" s="304">
        <f ca="1">V653</f>
        <v>3.94</v>
      </c>
      <c r="W667" s="293"/>
      <c r="X667" s="321">
        <f ca="1">ROUND(V667*$C667*V660,0)</f>
        <v>-15</v>
      </c>
      <c r="AA667" s="416"/>
      <c r="AB667" s="74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</row>
    <row r="668" spans="1:47" hidden="1">
      <c r="A668" s="323" t="s">
        <v>427</v>
      </c>
      <c r="B668" s="1"/>
      <c r="C668" s="319">
        <f>[50]Sheet1!$H$5+[50]Sheet1!$H$6+[50]Sheet1!$H$7</f>
        <v>4425080</v>
      </c>
      <c r="D668" s="374">
        <v>5.2939999999999996</v>
      </c>
      <c r="E668" s="321" t="s">
        <v>374</v>
      </c>
      <c r="F668" s="321">
        <f>ROUND(D668*$C668/100*D660,0)</f>
        <v>-2343</v>
      </c>
      <c r="G668" s="374">
        <v>5.6289999999999996</v>
      </c>
      <c r="H668" s="323" t="s">
        <v>374</v>
      </c>
      <c r="I668" s="321">
        <f>ROUND(G668*C668/100*$G$660,0)</f>
        <v>-2491</v>
      </c>
      <c r="J668" s="374">
        <f ca="1">J655</f>
        <v>2.6779999999999999</v>
      </c>
      <c r="K668" s="323" t="s">
        <v>374</v>
      </c>
      <c r="L668" s="321">
        <f ca="1">ROUND(J668*$C668/100*J660,0)</f>
        <v>-1185</v>
      </c>
      <c r="M668" s="321"/>
      <c r="N668" s="374" t="str">
        <f>N655</f>
        <v xml:space="preserve"> </v>
      </c>
      <c r="O668" s="323" t="s">
        <v>374</v>
      </c>
      <c r="P668" s="321">
        <f>ROUND(N668*$C668/100*N660,0)</f>
        <v>0</v>
      </c>
      <c r="Q668" s="321"/>
      <c r="R668" s="374">
        <f ca="1">R655</f>
        <v>1.2070000000000001</v>
      </c>
      <c r="S668" s="323" t="s">
        <v>374</v>
      </c>
      <c r="T668" s="321">
        <f ca="1">ROUND(R668*$C668/100*R660,0)</f>
        <v>-534</v>
      </c>
      <c r="U668" s="321"/>
      <c r="V668" s="374">
        <f ca="1">V655</f>
        <v>1.4710000000000001</v>
      </c>
      <c r="W668" s="323" t="s">
        <v>374</v>
      </c>
      <c r="X668" s="321">
        <f ca="1">ROUND(V668*$C668/100*V660,0)</f>
        <v>-651</v>
      </c>
      <c r="AA668" s="416"/>
      <c r="AB668" s="74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</row>
    <row r="669" spans="1:47" hidden="1">
      <c r="A669" s="323" t="s">
        <v>399</v>
      </c>
      <c r="B669" s="1"/>
      <c r="C669" s="319">
        <f>[50]Sheet1!$G$5+[50]Sheet1!$G$6+[50]Sheet1!$G$7-C668</f>
        <v>11577379</v>
      </c>
      <c r="D669" s="374">
        <v>4.8520000000000003</v>
      </c>
      <c r="E669" s="321" t="s">
        <v>374</v>
      </c>
      <c r="F669" s="321">
        <f>ROUND(D669*$C669/100*D660,0)</f>
        <v>-5617</v>
      </c>
      <c r="G669" s="374">
        <v>5.157</v>
      </c>
      <c r="H669" s="323" t="s">
        <v>374</v>
      </c>
      <c r="I669" s="321">
        <f>ROUND(G669*C669/100*$G$660,0)</f>
        <v>-5970</v>
      </c>
      <c r="J669" s="374">
        <f ca="1">J656</f>
        <v>2.452</v>
      </c>
      <c r="K669" s="323" t="s">
        <v>374</v>
      </c>
      <c r="L669" s="321">
        <f ca="1">ROUND(J669*$C669/100*J660,0)</f>
        <v>-2839</v>
      </c>
      <c r="M669" s="321"/>
      <c r="N669" s="374" t="str">
        <f>N656</f>
        <v xml:space="preserve"> </v>
      </c>
      <c r="O669" s="323" t="s">
        <v>374</v>
      </c>
      <c r="P669" s="321">
        <f>ROUND(N669*$C669/100*N660,0)</f>
        <v>0</v>
      </c>
      <c r="Q669" s="321"/>
      <c r="R669" s="374">
        <f ca="1">R656</f>
        <v>1.105</v>
      </c>
      <c r="S669" s="323" t="s">
        <v>374</v>
      </c>
      <c r="T669" s="321">
        <f ca="1">ROUND(R669*$C669/100*R660,0)</f>
        <v>-1279</v>
      </c>
      <c r="U669" s="321"/>
      <c r="V669" s="374">
        <f ca="1">V656</f>
        <v>1.347</v>
      </c>
      <c r="W669" s="323" t="s">
        <v>374</v>
      </c>
      <c r="X669" s="321">
        <f ca="1">ROUND(V669*$C669/100*V660,0)</f>
        <v>-1559</v>
      </c>
      <c r="AA669" s="416"/>
      <c r="AB669" s="74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</row>
    <row r="670" spans="1:47" hidden="1">
      <c r="A670" s="323" t="s">
        <v>400</v>
      </c>
      <c r="B670" s="1"/>
      <c r="C670" s="319">
        <f>[50]Sheet1!$K$5+[50]Sheet1!$K$6+[50]Sheet1!$K$7</f>
        <v>7635.9666666666699</v>
      </c>
      <c r="D670" s="375">
        <v>56</v>
      </c>
      <c r="E670" s="321" t="s">
        <v>374</v>
      </c>
      <c r="F670" s="321">
        <f>ROUND(D670*$C670/100*D660,0)</f>
        <v>-43</v>
      </c>
      <c r="G670" s="375">
        <v>56</v>
      </c>
      <c r="H670" s="323" t="s">
        <v>374</v>
      </c>
      <c r="I670" s="321">
        <f>ROUND(G670*C670/100*$G$660,0)</f>
        <v>-43</v>
      </c>
      <c r="J670" s="375">
        <f>J657</f>
        <v>56</v>
      </c>
      <c r="K670" s="323" t="s">
        <v>374</v>
      </c>
      <c r="L670" s="321">
        <f>ROUND(J670*$C670/100*J660,0)</f>
        <v>-43</v>
      </c>
      <c r="M670" s="321"/>
      <c r="N670" s="375" t="str">
        <f>N657</f>
        <v xml:space="preserve"> </v>
      </c>
      <c r="O670" s="323" t="s">
        <v>374</v>
      </c>
      <c r="P670" s="321">
        <f>ROUND(N670*$C670/100*N660,0)</f>
        <v>0</v>
      </c>
      <c r="Q670" s="321"/>
      <c r="R670" s="375">
        <f ca="1">R657</f>
        <v>11</v>
      </c>
      <c r="S670" s="323" t="s">
        <v>374</v>
      </c>
      <c r="T670" s="321">
        <f ca="1">ROUND(R670*$C670/100*R660,0)</f>
        <v>-8</v>
      </c>
      <c r="U670" s="321"/>
      <c r="V670" s="375">
        <f ca="1">V657</f>
        <v>45</v>
      </c>
      <c r="W670" s="323" t="s">
        <v>374</v>
      </c>
      <c r="X670" s="321">
        <f ca="1">ROUND(V670*$C670/100*V660,0)</f>
        <v>-34</v>
      </c>
      <c r="AA670" s="416"/>
      <c r="AB670" s="74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</row>
    <row r="671" spans="1:47" hidden="1">
      <c r="A671" s="323" t="s">
        <v>443</v>
      </c>
      <c r="B671" s="1"/>
      <c r="C671" s="319">
        <f>[50]Sheet1!$E$6+[50]Sheet1!$E$7</f>
        <v>129.6</v>
      </c>
      <c r="D671" s="298">
        <v>60</v>
      </c>
      <c r="E671" s="364" t="s">
        <v>31</v>
      </c>
      <c r="F671" s="321">
        <f>ROUND(D671*$C671,0)</f>
        <v>7776</v>
      </c>
      <c r="G671" s="298">
        <v>60</v>
      </c>
      <c r="H671" s="1"/>
      <c r="I671" s="321">
        <f>ROUND(G671*C671,0)</f>
        <v>7776</v>
      </c>
      <c r="J671" s="298">
        <f>$J$631</f>
        <v>60</v>
      </c>
      <c r="K671" s="1"/>
      <c r="L671" s="321">
        <f>ROUND(J671*$C671,0)</f>
        <v>7776</v>
      </c>
      <c r="M671" s="321"/>
      <c r="N671" s="298" t="str">
        <f>$N$631</f>
        <v xml:space="preserve"> </v>
      </c>
      <c r="O671" s="1"/>
      <c r="P671" s="321">
        <f>ROUND(N671*$C671,0)</f>
        <v>0</v>
      </c>
      <c r="Q671" s="321"/>
      <c r="R671" s="298">
        <f ca="1">$R$631</f>
        <v>11.894336305988995</v>
      </c>
      <c r="S671" s="1"/>
      <c r="T671" s="321">
        <f ca="1">ROUND(R671*$C671,0)</f>
        <v>1542</v>
      </c>
      <c r="U671" s="321"/>
      <c r="V671" s="298">
        <f ca="1">$V$631</f>
        <v>48.105663694011</v>
      </c>
      <c r="W671" s="1"/>
      <c r="X671" s="321">
        <f ca="1">ROUND(V671*$C671,0)</f>
        <v>6234</v>
      </c>
      <c r="AA671" s="3"/>
      <c r="AB671" s="105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</row>
    <row r="672" spans="1:47" hidden="1">
      <c r="A672" s="323" t="s">
        <v>444</v>
      </c>
      <c r="B672" s="305"/>
      <c r="C672" s="319">
        <f>[50]Sheet1!$F$6+[50]Sheet1!$F$7</f>
        <v>66385</v>
      </c>
      <c r="D672" s="339">
        <v>-30</v>
      </c>
      <c r="E672" s="321" t="s">
        <v>374</v>
      </c>
      <c r="F672" s="321">
        <f>ROUND(D672*$C672/100,0)</f>
        <v>-19916</v>
      </c>
      <c r="G672" s="339">
        <v>-30</v>
      </c>
      <c r="H672" s="321" t="s">
        <v>374</v>
      </c>
      <c r="I672" s="321">
        <f>-ROUND(G672*C672*$G$660,0)</f>
        <v>-19916</v>
      </c>
      <c r="J672" s="339">
        <f>$J$632</f>
        <v>-30</v>
      </c>
      <c r="K672" s="321" t="s">
        <v>374</v>
      </c>
      <c r="L672" s="321">
        <f>ROUND(J672*$C672/100,0)</f>
        <v>-19916</v>
      </c>
      <c r="M672" s="321"/>
      <c r="N672" s="339">
        <f>$N$632</f>
        <v>-30</v>
      </c>
      <c r="O672" s="321" t="s">
        <v>374</v>
      </c>
      <c r="P672" s="321">
        <f>ROUND(N672*$C672/100,0)</f>
        <v>-19916</v>
      </c>
      <c r="Q672" s="321"/>
      <c r="R672" s="339" t="str">
        <f>$R$632</f>
        <v xml:space="preserve"> </v>
      </c>
      <c r="S672" s="321" t="s">
        <v>374</v>
      </c>
      <c r="T672" s="321">
        <f>ROUND(R672*$C672/100,0)</f>
        <v>0</v>
      </c>
      <c r="U672" s="321"/>
      <c r="V672" s="339">
        <f>$V$632</f>
        <v>0</v>
      </c>
      <c r="W672" s="321" t="s">
        <v>374</v>
      </c>
      <c r="X672" s="321">
        <f>ROUND(V672*$C672/100,0)</f>
        <v>0</v>
      </c>
      <c r="AA672" s="3"/>
      <c r="AB672" s="105"/>
      <c r="AC672" s="7" t="s">
        <v>31</v>
      </c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</row>
    <row r="673" spans="1:47" s="1184" customFormat="1" hidden="1">
      <c r="A673" s="1005" t="s">
        <v>1026</v>
      </c>
      <c r="C673" s="1202">
        <f>C668</f>
        <v>4425080</v>
      </c>
      <c r="D673" s="269"/>
      <c r="E673" s="1185"/>
      <c r="F673" s="1203"/>
      <c r="G673" s="269"/>
      <c r="H673" s="1185"/>
      <c r="I673" s="1203"/>
      <c r="J673" s="1230">
        <f>J658</f>
        <v>3.415</v>
      </c>
      <c r="K673" s="1041" t="s">
        <v>374</v>
      </c>
      <c r="L673" s="1041">
        <f>ROUND(J673*$C673/100*J660,0)</f>
        <v>-1511</v>
      </c>
      <c r="M673" s="1041"/>
      <c r="N673" s="1230" t="str">
        <f>N658</f>
        <v xml:space="preserve"> </v>
      </c>
      <c r="O673" s="1041" t="s">
        <v>374</v>
      </c>
      <c r="P673" s="1041">
        <f>ROUND(N673*$C673/100*N660,0)</f>
        <v>0</v>
      </c>
      <c r="Q673" s="1041"/>
      <c r="R673" s="1230" t="str">
        <f>R658</f>
        <v xml:space="preserve"> </v>
      </c>
      <c r="S673" s="1041" t="s">
        <v>374</v>
      </c>
      <c r="T673" s="1041">
        <f>ROUND(R673*$C673/100*R660,0)</f>
        <v>0</v>
      </c>
      <c r="U673" s="1041"/>
      <c r="V673" s="1230">
        <f>V658</f>
        <v>3.415</v>
      </c>
      <c r="W673" s="1041" t="s">
        <v>374</v>
      </c>
      <c r="X673" s="1041">
        <f>ROUND(V673*$C673/100*V660,0)</f>
        <v>-1511</v>
      </c>
      <c r="Z673" s="1190"/>
      <c r="AA673" s="1274"/>
      <c r="AB673" s="1186"/>
      <c r="AC673" s="1205"/>
      <c r="AD673" s="1205"/>
      <c r="AI673" s="1185"/>
      <c r="AJ673" s="1185"/>
      <c r="AK673" s="1185"/>
      <c r="AL673" s="1185"/>
      <c r="AM673" s="1185"/>
      <c r="AN673" s="1185"/>
      <c r="AO673" s="1185"/>
      <c r="AP673" s="1185"/>
      <c r="AQ673" s="1185"/>
      <c r="AR673" s="1185"/>
      <c r="AS673" s="1185"/>
      <c r="AU673" s="1204"/>
    </row>
    <row r="674" spans="1:47" s="1184" customFormat="1" hidden="1">
      <c r="A674" s="1005" t="s">
        <v>1027</v>
      </c>
      <c r="C674" s="1202">
        <f>C669</f>
        <v>11577379</v>
      </c>
      <c r="D674" s="269"/>
      <c r="E674" s="1185"/>
      <c r="F674" s="1203"/>
      <c r="G674" s="269"/>
      <c r="H674" s="1185"/>
      <c r="I674" s="1203"/>
      <c r="J674" s="1230">
        <f>J659</f>
        <v>3.1309999999999998</v>
      </c>
      <c r="K674" s="1041" t="s">
        <v>374</v>
      </c>
      <c r="L674" s="1041">
        <f>ROUND(J674*$C674/100*J660,0)</f>
        <v>-3625</v>
      </c>
      <c r="M674" s="1041"/>
      <c r="N674" s="1230" t="str">
        <f>N659</f>
        <v xml:space="preserve"> </v>
      </c>
      <c r="O674" s="1041" t="s">
        <v>374</v>
      </c>
      <c r="P674" s="1041">
        <f>ROUND(N674*$C674/100*N660,0)</f>
        <v>0</v>
      </c>
      <c r="Q674" s="1041"/>
      <c r="R674" s="1230" t="str">
        <f>R659</f>
        <v xml:space="preserve"> </v>
      </c>
      <c r="S674" s="1041" t="s">
        <v>374</v>
      </c>
      <c r="T674" s="1041">
        <f>ROUND(R674*$C674/100*R660,0)</f>
        <v>0</v>
      </c>
      <c r="U674" s="1041"/>
      <c r="V674" s="1230">
        <f>V659</f>
        <v>3.1309999999999998</v>
      </c>
      <c r="W674" s="1041" t="s">
        <v>374</v>
      </c>
      <c r="X674" s="1041">
        <f>ROUND(V674*$C674/100*V660,0)</f>
        <v>-3625</v>
      </c>
      <c r="Z674" s="1190"/>
      <c r="AA674" s="1274"/>
      <c r="AB674" s="1186"/>
      <c r="AC674" s="1205"/>
      <c r="AD674" s="1205"/>
      <c r="AI674" s="1185"/>
      <c r="AJ674" s="1185"/>
      <c r="AK674" s="1185"/>
      <c r="AL674" s="1185"/>
      <c r="AM674" s="1185"/>
      <c r="AN674" s="1185"/>
      <c r="AO674" s="1185"/>
      <c r="AP674" s="1185"/>
      <c r="AQ674" s="1185"/>
      <c r="AR674" s="1185"/>
      <c r="AS674" s="1185"/>
      <c r="AU674" s="1204"/>
    </row>
    <row r="675" spans="1:47" hidden="1">
      <c r="A675" s="1" t="s">
        <v>381</v>
      </c>
      <c r="B675" s="307"/>
      <c r="C675" s="319">
        <f>SUM(C655:C656)</f>
        <v>794135013.17576289</v>
      </c>
      <c r="D675" s="330"/>
      <c r="E675" s="2"/>
      <c r="F675" s="2">
        <f>SUM(F645:F672)</f>
        <v>55660462</v>
      </c>
      <c r="G675" s="330"/>
      <c r="H675" s="1"/>
      <c r="I675" s="2">
        <f>SUM(I645:I672)</f>
        <v>58809460</v>
      </c>
      <c r="J675" s="330"/>
      <c r="K675" s="1"/>
      <c r="L675" s="2">
        <f ca="1">SUM(L645:L674)</f>
        <v>65310538</v>
      </c>
      <c r="M675" s="2"/>
      <c r="N675" s="330"/>
      <c r="O675" s="1"/>
      <c r="P675" s="2">
        <f ca="1">SUM(P645:P674)</f>
        <v>8317333</v>
      </c>
      <c r="Q675" s="2"/>
      <c r="R675" s="330"/>
      <c r="S675" s="1"/>
      <c r="T675" s="2">
        <f ca="1">SUM(T645:T674)</f>
        <v>11297103</v>
      </c>
      <c r="U675" s="2"/>
      <c r="V675" s="330"/>
      <c r="W675" s="1"/>
      <c r="X675" s="2">
        <f ca="1">SUM(X645:X674)</f>
        <v>45696105</v>
      </c>
      <c r="AA675" s="416"/>
      <c r="AB675" s="74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</row>
    <row r="676" spans="1:47" hidden="1">
      <c r="A676" s="1" t="s">
        <v>363</v>
      </c>
      <c r="B676" s="1"/>
      <c r="C676" s="349">
        <f>'Table 2'!H46</f>
        <v>-2278044.4690362429</v>
      </c>
      <c r="D676" s="309"/>
      <c r="E676" s="309"/>
      <c r="F676" s="310">
        <f>I676</f>
        <v>-139476.06740318847</v>
      </c>
      <c r="G676" s="309"/>
      <c r="H676" s="309"/>
      <c r="I676" s="310">
        <f>'Table 3'!E46</f>
        <v>-139476.06740318847</v>
      </c>
      <c r="J676" s="309"/>
      <c r="K676" s="309"/>
      <c r="L676" s="310">
        <f>I676</f>
        <v>-139476.06740318847</v>
      </c>
      <c r="M676" s="51"/>
      <c r="N676" s="309"/>
      <c r="O676" s="309"/>
      <c r="P676" s="310">
        <f ca="1">P636/L636*L676</f>
        <v>-18067.220970213766</v>
      </c>
      <c r="Q676" s="51"/>
      <c r="R676" s="309"/>
      <c r="S676" s="309"/>
      <c r="T676" s="310">
        <f ca="1">T636/L636*L676</f>
        <v>-24067.960833266228</v>
      </c>
      <c r="U676" s="51"/>
      <c r="V676" s="309"/>
      <c r="W676" s="309"/>
      <c r="X676" s="310">
        <f ca="1">X636/L636*L676</f>
        <v>-97340.885599708461</v>
      </c>
      <c r="Y676" s="444"/>
      <c r="Z676" s="287"/>
      <c r="AA676" s="416"/>
      <c r="AB676" s="74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</row>
    <row r="677" spans="1:47" ht="16.5" hidden="1" thickBot="1">
      <c r="A677" s="1" t="s">
        <v>382</v>
      </c>
      <c r="B677" s="1"/>
      <c r="C677" s="366">
        <f>SUM(C675)+C676</f>
        <v>791856968.70672667</v>
      </c>
      <c r="D677" s="342"/>
      <c r="E677" s="343"/>
      <c r="F677" s="344">
        <f>F675+F676</f>
        <v>55520985.93259681</v>
      </c>
      <c r="G677" s="342"/>
      <c r="H677" s="345"/>
      <c r="I677" s="344">
        <f>I675+I676</f>
        <v>58669983.93259681</v>
      </c>
      <c r="J677" s="342"/>
      <c r="K677" s="345"/>
      <c r="L677" s="344">
        <f ca="1">L675+L676</f>
        <v>65171061.93259681</v>
      </c>
      <c r="M677" s="344"/>
      <c r="N677" s="342"/>
      <c r="O677" s="345"/>
      <c r="P677" s="344">
        <f ca="1">P675+P676</f>
        <v>8299265.7790297866</v>
      </c>
      <c r="Q677" s="344"/>
      <c r="R677" s="342"/>
      <c r="S677" s="345"/>
      <c r="T677" s="344">
        <f ca="1">T675+T676</f>
        <v>11273035.039166734</v>
      </c>
      <c r="U677" s="344"/>
      <c r="V677" s="342"/>
      <c r="W677" s="345"/>
      <c r="X677" s="344">
        <f ca="1">X675+X676</f>
        <v>45598764.11440029</v>
      </c>
      <c r="Y677" s="411"/>
      <c r="Z677" s="470"/>
      <c r="AA677" s="416"/>
      <c r="AB677" s="74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</row>
    <row r="678" spans="1:47" ht="16.5" hidden="1" thickTop="1">
      <c r="A678" s="1"/>
      <c r="B678" s="1"/>
      <c r="C678" s="21"/>
      <c r="D678" s="337" t="s">
        <v>31</v>
      </c>
      <c r="E678" s="2"/>
      <c r="F678" s="2"/>
      <c r="G678" s="337" t="s">
        <v>31</v>
      </c>
      <c r="H678" s="1"/>
      <c r="I678" s="2"/>
      <c r="J678" s="353" t="s">
        <v>31</v>
      </c>
      <c r="K678" s="1"/>
      <c r="L678" s="2" t="s">
        <v>31</v>
      </c>
      <c r="M678" s="2"/>
      <c r="N678" s="353" t="s">
        <v>31</v>
      </c>
      <c r="O678" s="1"/>
      <c r="P678" s="2" t="s">
        <v>31</v>
      </c>
      <c r="Q678" s="2"/>
      <c r="R678" s="353" t="s">
        <v>31</v>
      </c>
      <c r="S678" s="1"/>
      <c r="T678" s="2" t="s">
        <v>31</v>
      </c>
      <c r="U678" s="2"/>
      <c r="V678" s="353" t="s">
        <v>31</v>
      </c>
      <c r="W678" s="1"/>
      <c r="X678" s="2" t="s">
        <v>31</v>
      </c>
      <c r="Y678" s="20"/>
      <c r="Z678" s="74"/>
      <c r="AA678" s="416"/>
      <c r="AB678" s="74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</row>
    <row r="679" spans="1:47" hidden="1">
      <c r="A679" s="293" t="s">
        <v>436</v>
      </c>
      <c r="B679" s="1"/>
      <c r="C679" s="1"/>
      <c r="D679" s="2"/>
      <c r="E679" s="2"/>
      <c r="F679" s="1" t="s">
        <v>31</v>
      </c>
      <c r="G679" s="2"/>
      <c r="H679" s="1"/>
      <c r="I679" s="1"/>
      <c r="J679" s="2"/>
      <c r="K679" s="1"/>
      <c r="L679" s="1"/>
      <c r="M679" s="1"/>
      <c r="N679" s="2"/>
      <c r="O679" s="1"/>
      <c r="P679" s="1"/>
      <c r="Q679" s="1"/>
      <c r="R679" s="2"/>
      <c r="S679" s="1"/>
      <c r="T679" s="1"/>
      <c r="U679" s="1"/>
      <c r="V679" s="2"/>
      <c r="W679" s="1"/>
      <c r="X679" s="1"/>
      <c r="Y679" s="20"/>
      <c r="Z679" s="74"/>
      <c r="AA679" s="416"/>
      <c r="AB679" s="74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</row>
    <row r="680" spans="1:47" hidden="1">
      <c r="A680" s="309" t="s">
        <v>446</v>
      </c>
      <c r="B680" s="1"/>
      <c r="C680" s="1"/>
      <c r="D680" s="2"/>
      <c r="E680" s="2"/>
      <c r="F680" s="1"/>
      <c r="G680" s="2"/>
      <c r="H680" s="1"/>
      <c r="I680" s="1"/>
      <c r="J680" s="2"/>
      <c r="K680" s="1"/>
      <c r="L680" s="1"/>
      <c r="M680" s="1"/>
      <c r="N680" s="2"/>
      <c r="O680" s="1"/>
      <c r="P680" s="1"/>
      <c r="Q680" s="1"/>
      <c r="R680" s="2"/>
      <c r="S680" s="1"/>
      <c r="T680" s="1"/>
      <c r="U680" s="1"/>
      <c r="V680" s="2"/>
      <c r="W680" s="1"/>
      <c r="X680" s="1"/>
      <c r="Y680" s="20"/>
      <c r="Z680" s="74"/>
      <c r="AA680" s="416"/>
      <c r="AB680" s="74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</row>
    <row r="681" spans="1:47" hidden="1">
      <c r="A681" s="323"/>
      <c r="B681" s="1"/>
      <c r="C681" s="1"/>
      <c r="D681" s="2"/>
      <c r="E681" s="2"/>
      <c r="F681" s="1"/>
      <c r="G681" s="2"/>
      <c r="H681" s="1"/>
      <c r="I681" s="1"/>
      <c r="J681" s="2"/>
      <c r="K681" s="1"/>
      <c r="L681" s="1"/>
      <c r="M681" s="1"/>
      <c r="N681" s="2"/>
      <c r="O681" s="1"/>
      <c r="P681" s="1"/>
      <c r="Q681" s="1"/>
      <c r="R681" s="2"/>
      <c r="S681" s="1"/>
      <c r="T681" s="1"/>
      <c r="U681" s="1"/>
      <c r="V681" s="2"/>
      <c r="W681" s="1"/>
      <c r="X681" s="1"/>
      <c r="Y681" s="20"/>
      <c r="Z681" s="74"/>
      <c r="AA681" s="416"/>
      <c r="AB681" s="74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</row>
    <row r="682" spans="1:47" hidden="1">
      <c r="A682" s="323" t="s">
        <v>393</v>
      </c>
      <c r="B682" s="21"/>
      <c r="C682" s="319"/>
      <c r="D682" s="2"/>
      <c r="E682" s="2"/>
      <c r="F682" s="1"/>
      <c r="G682" s="2"/>
      <c r="H682" s="1"/>
      <c r="I682" s="1"/>
      <c r="J682" s="2"/>
      <c r="K682" s="1"/>
      <c r="L682" s="1"/>
      <c r="M682" s="1"/>
      <c r="N682" s="2"/>
      <c r="O682" s="1"/>
      <c r="P682" s="1"/>
      <c r="Q682" s="1"/>
      <c r="R682" s="2"/>
      <c r="S682" s="1"/>
      <c r="T682" s="1"/>
      <c r="U682" s="1"/>
      <c r="V682" s="2"/>
      <c r="W682" s="1"/>
      <c r="X682" s="1"/>
      <c r="Y682" s="20"/>
      <c r="Z682" s="74"/>
      <c r="AA682" s="416"/>
      <c r="AB682" s="74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</row>
    <row r="683" spans="1:47" hidden="1">
      <c r="A683" s="323" t="s">
        <v>421</v>
      </c>
      <c r="B683" s="1"/>
      <c r="C683" s="319">
        <f>[50]Sheet1!$E$13+[50]Sheet1!$E$17</f>
        <v>48.2</v>
      </c>
      <c r="D683" s="298">
        <v>259</v>
      </c>
      <c r="E683" s="323"/>
      <c r="F683" s="321">
        <f>ROUND(D683*$C683,0)</f>
        <v>12484</v>
      </c>
      <c r="G683" s="298">
        <v>259</v>
      </c>
      <c r="H683" s="323"/>
      <c r="I683" s="321">
        <f>ROUND(G683*C683,0)</f>
        <v>12484</v>
      </c>
      <c r="J683" s="298">
        <f>$J$603</f>
        <v>259</v>
      </c>
      <c r="K683" s="323"/>
      <c r="L683" s="321">
        <f>ROUND(J683*$C683,0)</f>
        <v>12484</v>
      </c>
      <c r="M683" s="321"/>
      <c r="N683" s="298">
        <f>$N$603</f>
        <v>259</v>
      </c>
      <c r="O683" s="323"/>
      <c r="P683" s="321">
        <f>ROUND(N683*$C683,0)</f>
        <v>12484</v>
      </c>
      <c r="Q683" s="321"/>
      <c r="R683" s="298" t="str">
        <f>$R$603</f>
        <v xml:space="preserve"> </v>
      </c>
      <c r="S683" s="323"/>
      <c r="T683" s="321">
        <f>ROUND(R683*$C683,0)</f>
        <v>0</v>
      </c>
      <c r="U683" s="321"/>
      <c r="V683" s="298" t="str">
        <f>$V$603</f>
        <v xml:space="preserve"> </v>
      </c>
      <c r="W683" s="323"/>
      <c r="X683" s="321">
        <f>ROUND(V683*$C683,0)</f>
        <v>0</v>
      </c>
      <c r="Y683" s="20"/>
      <c r="Z683" s="74"/>
      <c r="AA683" s="416"/>
      <c r="AB683" s="74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</row>
    <row r="684" spans="1:47" hidden="1">
      <c r="A684" s="323" t="s">
        <v>422</v>
      </c>
      <c r="B684" s="1"/>
      <c r="C684" s="319">
        <f>[50]Sheet1!$E$14+[50]Sheet1!$E$16+[50]Sheet1!$E$18</f>
        <v>998.63333333333298</v>
      </c>
      <c r="D684" s="298">
        <v>96</v>
      </c>
      <c r="E684" s="323"/>
      <c r="F684" s="321">
        <f>ROUND(D684*$C684,0)</f>
        <v>95869</v>
      </c>
      <c r="G684" s="298">
        <v>96</v>
      </c>
      <c r="H684" s="323"/>
      <c r="I684" s="321">
        <f>ROUND(G684*C684,0)</f>
        <v>95869</v>
      </c>
      <c r="J684" s="298">
        <f>$J$604</f>
        <v>96</v>
      </c>
      <c r="K684" s="323"/>
      <c r="L684" s="321">
        <f>ROUND(J684*$C684,0)</f>
        <v>95869</v>
      </c>
      <c r="M684" s="321"/>
      <c r="N684" s="298">
        <f>$N$604</f>
        <v>96</v>
      </c>
      <c r="O684" s="323"/>
      <c r="P684" s="321">
        <f>ROUND(N684*$C684,0)</f>
        <v>95869</v>
      </c>
      <c r="Q684" s="321"/>
      <c r="R684" s="298" t="str">
        <f>$R$604</f>
        <v xml:space="preserve"> </v>
      </c>
      <c r="S684" s="323"/>
      <c r="T684" s="321">
        <f>ROUND(R684*$C684,0)</f>
        <v>0</v>
      </c>
      <c r="U684" s="321"/>
      <c r="V684" s="298" t="str">
        <f>$V$604</f>
        <v xml:space="preserve"> </v>
      </c>
      <c r="W684" s="323"/>
      <c r="X684" s="321">
        <f>ROUND(V684*$C684,0)</f>
        <v>0</v>
      </c>
      <c r="Y684" s="20"/>
      <c r="Z684" s="74"/>
      <c r="AA684" s="416"/>
      <c r="AB684" s="74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</row>
    <row r="685" spans="1:47" hidden="1">
      <c r="A685" s="323" t="s">
        <v>423</v>
      </c>
      <c r="B685" s="1"/>
      <c r="C685" s="319">
        <f>[50]Sheet1!$E$15+[50]Sheet1!$E$19</f>
        <v>541.06666666666626</v>
      </c>
      <c r="D685" s="298">
        <v>192</v>
      </c>
      <c r="E685" s="325"/>
      <c r="F685" s="321">
        <f>ROUND(D685*$C685,0)</f>
        <v>103885</v>
      </c>
      <c r="G685" s="298">
        <v>192</v>
      </c>
      <c r="H685" s="325"/>
      <c r="I685" s="321">
        <f>ROUND(G685*C685,0)</f>
        <v>103885</v>
      </c>
      <c r="J685" s="298">
        <f>$J$605</f>
        <v>192</v>
      </c>
      <c r="K685" s="325"/>
      <c r="L685" s="321">
        <f>ROUND(J685*$C685,0)</f>
        <v>103885</v>
      </c>
      <c r="M685" s="321"/>
      <c r="N685" s="298">
        <f>$N$605</f>
        <v>192</v>
      </c>
      <c r="O685" s="325"/>
      <c r="P685" s="321">
        <f>ROUND(N685*$C685,0)</f>
        <v>103885</v>
      </c>
      <c r="Q685" s="321"/>
      <c r="R685" s="298" t="str">
        <f>$R$605</f>
        <v xml:space="preserve"> </v>
      </c>
      <c r="S685" s="325"/>
      <c r="T685" s="321">
        <f>ROUND(R685*$C685,0)</f>
        <v>0</v>
      </c>
      <c r="U685" s="321"/>
      <c r="V685" s="298" t="str">
        <f>$V$605</f>
        <v xml:space="preserve"> </v>
      </c>
      <c r="W685" s="325"/>
      <c r="X685" s="321">
        <f>ROUND(V685*$C685,0)</f>
        <v>0</v>
      </c>
      <c r="Y685" s="20"/>
      <c r="Z685" s="74"/>
      <c r="AA685" s="416"/>
      <c r="AB685" s="74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</row>
    <row r="686" spans="1:47" hidden="1">
      <c r="A686" s="323" t="s">
        <v>394</v>
      </c>
      <c r="B686" s="1"/>
      <c r="C686" s="319">
        <f>SUM(C683:C685)</f>
        <v>1587.8999999999992</v>
      </c>
      <c r="D686" s="298"/>
      <c r="E686" s="323"/>
      <c r="F686" s="321"/>
      <c r="G686" s="298"/>
      <c r="H686" s="323"/>
      <c r="I686" s="321"/>
      <c r="J686" s="298"/>
      <c r="K686" s="323"/>
      <c r="L686" s="321"/>
      <c r="M686" s="321"/>
      <c r="N686" s="298"/>
      <c r="O686" s="323"/>
      <c r="P686" s="321"/>
      <c r="Q686" s="321"/>
      <c r="R686" s="298"/>
      <c r="S686" s="323"/>
      <c r="T686" s="321"/>
      <c r="U686" s="321"/>
      <c r="V686" s="298"/>
      <c r="W686" s="323"/>
      <c r="X686" s="321"/>
      <c r="Y686" s="20"/>
      <c r="Z686" s="74"/>
      <c r="AA686" s="3"/>
      <c r="AB686" s="105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</row>
    <row r="687" spans="1:47" hidden="1">
      <c r="A687" s="323" t="s">
        <v>422</v>
      </c>
      <c r="B687" s="1"/>
      <c r="C687" s="319">
        <f>[50]Sheet1!$F$14+[50]Sheet1!$F$16+[50]Sheet1!$F$18</f>
        <v>169859</v>
      </c>
      <c r="D687" s="298">
        <v>1.7</v>
      </c>
      <c r="E687" s="323" t="s">
        <v>31</v>
      </c>
      <c r="F687" s="321">
        <f>ROUND(D687*$C687,0)</f>
        <v>288760</v>
      </c>
      <c r="G687" s="298">
        <v>1.7</v>
      </c>
      <c r="H687" s="323" t="s">
        <v>31</v>
      </c>
      <c r="I687" s="321">
        <f t="shared" ref="I687:I688" si="186">ROUND(G687*C687,0)</f>
        <v>288760</v>
      </c>
      <c r="J687" s="298">
        <f ca="1">$J$607</f>
        <v>1.89</v>
      </c>
      <c r="K687" s="323" t="s">
        <v>31</v>
      </c>
      <c r="L687" s="321">
        <f ca="1">ROUND(J687*$C687,0)</f>
        <v>321034</v>
      </c>
      <c r="M687" s="321"/>
      <c r="N687" s="298">
        <f ca="1">$N$607</f>
        <v>1.89</v>
      </c>
      <c r="O687" s="323" t="s">
        <v>31</v>
      </c>
      <c r="P687" s="321">
        <f ca="1">ROUND(N687*$C687,0)</f>
        <v>321034</v>
      </c>
      <c r="Q687" s="321"/>
      <c r="R687" s="298" t="str">
        <f>$R$607</f>
        <v xml:space="preserve"> </v>
      </c>
      <c r="S687" s="323" t="s">
        <v>31</v>
      </c>
      <c r="T687" s="321">
        <f>ROUND(R687*$C687,0)</f>
        <v>0</v>
      </c>
      <c r="U687" s="321"/>
      <c r="V687" s="298" t="str">
        <f>$V$607</f>
        <v xml:space="preserve"> </v>
      </c>
      <c r="W687" s="323" t="s">
        <v>31</v>
      </c>
      <c r="X687" s="321">
        <f>ROUND(V687*$C687,0)</f>
        <v>0</v>
      </c>
      <c r="Y687" s="20"/>
      <c r="Z687" s="74"/>
      <c r="AA687" s="3"/>
      <c r="AB687" s="105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</row>
    <row r="688" spans="1:47" hidden="1">
      <c r="A688" s="323" t="s">
        <v>423</v>
      </c>
      <c r="B688" s="1"/>
      <c r="C688" s="319">
        <f>[50]Sheet1!$F$15+[50]Sheet1!$F$19</f>
        <v>301914</v>
      </c>
      <c r="D688" s="298">
        <v>1.39</v>
      </c>
      <c r="E688" s="323" t="s">
        <v>31</v>
      </c>
      <c r="F688" s="321">
        <f>ROUND(D688*$C688,0)</f>
        <v>419660</v>
      </c>
      <c r="G688" s="298">
        <v>1.39</v>
      </c>
      <c r="H688" s="323" t="s">
        <v>31</v>
      </c>
      <c r="I688" s="321">
        <f t="shared" si="186"/>
        <v>419660</v>
      </c>
      <c r="J688" s="298">
        <f ca="1">$J$608</f>
        <v>1.55</v>
      </c>
      <c r="K688" s="323" t="s">
        <v>31</v>
      </c>
      <c r="L688" s="321">
        <f ca="1">ROUND(J688*$C688,0)</f>
        <v>467967</v>
      </c>
      <c r="M688" s="321"/>
      <c r="N688" s="298">
        <f ca="1">$N$608</f>
        <v>1.55</v>
      </c>
      <c r="O688" s="323" t="s">
        <v>31</v>
      </c>
      <c r="P688" s="321">
        <f ca="1">ROUND(N688*$C688,0)</f>
        <v>467967</v>
      </c>
      <c r="Q688" s="321"/>
      <c r="R688" s="298" t="str">
        <f>$R$608</f>
        <v xml:space="preserve"> </v>
      </c>
      <c r="S688" s="323" t="s">
        <v>31</v>
      </c>
      <c r="T688" s="321">
        <f>ROUND(R688*$C688,0)</f>
        <v>0</v>
      </c>
      <c r="U688" s="321"/>
      <c r="V688" s="298" t="str">
        <f>$V$608</f>
        <v xml:space="preserve"> </v>
      </c>
      <c r="W688" s="323" t="s">
        <v>31</v>
      </c>
      <c r="X688" s="321">
        <f>ROUND(V688*$C688,0)</f>
        <v>0</v>
      </c>
      <c r="Y688" s="20"/>
      <c r="Z688" s="74"/>
      <c r="AA688" s="416"/>
      <c r="AB688" s="74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</row>
    <row r="689" spans="1:47" hidden="1">
      <c r="A689" s="309" t="s">
        <v>424</v>
      </c>
      <c r="B689" s="1"/>
      <c r="C689" s="319"/>
      <c r="D689" s="355"/>
      <c r="E689" s="323"/>
      <c r="F689" s="321"/>
      <c r="G689" s="355"/>
      <c r="H689" s="323"/>
      <c r="I689" s="321"/>
      <c r="J689" s="355"/>
      <c r="K689" s="323"/>
      <c r="L689" s="321"/>
      <c r="M689" s="321"/>
      <c r="N689" s="355"/>
      <c r="O689" s="323"/>
      <c r="P689" s="321"/>
      <c r="Q689" s="321"/>
      <c r="R689" s="355"/>
      <c r="S689" s="323"/>
      <c r="T689" s="321"/>
      <c r="U689" s="321"/>
      <c r="V689" s="355"/>
      <c r="W689" s="323"/>
      <c r="X689" s="321"/>
      <c r="Y689" s="20"/>
      <c r="Z689" s="74"/>
      <c r="AA689" s="74"/>
      <c r="AB689" s="74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</row>
    <row r="690" spans="1:47" hidden="1">
      <c r="A690" s="309" t="s">
        <v>425</v>
      </c>
      <c r="B690" s="1"/>
      <c r="C690" s="319">
        <f>[50]Sheet1!$I$23</f>
        <v>354299.5</v>
      </c>
      <c r="D690" s="298">
        <v>4.4400000000000004</v>
      </c>
      <c r="E690" s="323"/>
      <c r="F690" s="321">
        <f>ROUND(D690*$C690,0)</f>
        <v>1573090</v>
      </c>
      <c r="G690" s="298">
        <v>4.72</v>
      </c>
      <c r="H690" s="323"/>
      <c r="I690" s="321">
        <f t="shared" ref="I690:I691" si="187">ROUND(G690*C690,0)</f>
        <v>1672294</v>
      </c>
      <c r="J690" s="298">
        <f ca="1">$J$610</f>
        <v>5.87</v>
      </c>
      <c r="K690" s="323"/>
      <c r="L690" s="321">
        <f ca="1">ROUND(J690*$C690,0)</f>
        <v>2079738</v>
      </c>
      <c r="M690" s="321"/>
      <c r="N690" s="298">
        <f ca="1">$N$610</f>
        <v>0.95</v>
      </c>
      <c r="O690" s="323"/>
      <c r="P690" s="321">
        <f ca="1">ROUND(N690*$C690,0)</f>
        <v>336585</v>
      </c>
      <c r="Q690" s="321"/>
      <c r="R690" s="298">
        <f ca="1">$R$610</f>
        <v>0.98</v>
      </c>
      <c r="S690" s="323"/>
      <c r="T690" s="321">
        <f ca="1">ROUND(R690*$C690,0)</f>
        <v>347214</v>
      </c>
      <c r="U690" s="321"/>
      <c r="V690" s="298">
        <f ca="1">$V$610</f>
        <v>3.94</v>
      </c>
      <c r="W690" s="323"/>
      <c r="X690" s="321">
        <f ca="1">ROUND(V690*$C690,0)</f>
        <v>1395940</v>
      </c>
      <c r="Y690" s="20"/>
      <c r="Z690" s="74"/>
      <c r="AA690" s="74"/>
      <c r="AB690" s="74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</row>
    <row r="691" spans="1:47" hidden="1">
      <c r="A691" s="309" t="s">
        <v>441</v>
      </c>
      <c r="B691" s="1"/>
      <c r="C691" s="319">
        <f>[50]Sheet1!$J$23</f>
        <v>942.33333333333303</v>
      </c>
      <c r="D691" s="369">
        <v>4.4400000000000004</v>
      </c>
      <c r="E691" s="323"/>
      <c r="F691" s="321">
        <f>ROUND(D691*$C691,0)</f>
        <v>4184</v>
      </c>
      <c r="G691" s="369">
        <v>4.72</v>
      </c>
      <c r="H691" s="323"/>
      <c r="I691" s="321">
        <f t="shared" si="187"/>
        <v>4448</v>
      </c>
      <c r="J691" s="369">
        <f ca="1">J690</f>
        <v>5.87</v>
      </c>
      <c r="K691" s="323"/>
      <c r="L691" s="321">
        <f ca="1">ROUND(J691*$C691,0)</f>
        <v>5531</v>
      </c>
      <c r="M691" s="321"/>
      <c r="N691" s="369">
        <f ca="1">N690</f>
        <v>0.95</v>
      </c>
      <c r="O691" s="323"/>
      <c r="P691" s="321">
        <f ca="1">ROUND(N691*$C691,0)</f>
        <v>895</v>
      </c>
      <c r="Q691" s="321"/>
      <c r="R691" s="369">
        <f ca="1">R690</f>
        <v>0.98</v>
      </c>
      <c r="S691" s="323"/>
      <c r="T691" s="321">
        <f ca="1">ROUND(R691*$C691,0)</f>
        <v>923</v>
      </c>
      <c r="U691" s="321"/>
      <c r="V691" s="369">
        <f ca="1">V690</f>
        <v>3.94</v>
      </c>
      <c r="W691" s="323"/>
      <c r="X691" s="321">
        <f ca="1">ROUND(V691*$C691,0)</f>
        <v>3713</v>
      </c>
      <c r="Y691" s="20"/>
      <c r="Z691" s="74"/>
      <c r="AA691" s="74"/>
      <c r="AB691" s="74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</row>
    <row r="692" spans="1:47" hidden="1">
      <c r="A692" s="323" t="s">
        <v>426</v>
      </c>
      <c r="B692" s="1"/>
      <c r="C692" s="319"/>
      <c r="D692" s="298"/>
      <c r="E692" s="323"/>
      <c r="F692" s="321"/>
      <c r="G692" s="298"/>
      <c r="H692" s="323"/>
      <c r="I692" s="321"/>
      <c r="J692" s="298"/>
      <c r="K692" s="323"/>
      <c r="L692" s="321"/>
      <c r="M692" s="321"/>
      <c r="N692" s="298"/>
      <c r="O692" s="323"/>
      <c r="P692" s="321"/>
      <c r="Q692" s="321"/>
      <c r="R692" s="298"/>
      <c r="S692" s="323"/>
      <c r="T692" s="321"/>
      <c r="U692" s="321"/>
      <c r="V692" s="298"/>
      <c r="W692" s="323"/>
      <c r="X692" s="321"/>
      <c r="Y692" s="20"/>
      <c r="Z692" s="74"/>
      <c r="AA692" s="74"/>
      <c r="AB692" s="74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</row>
    <row r="693" spans="1:47" hidden="1">
      <c r="A693" s="323" t="s">
        <v>427</v>
      </c>
      <c r="B693" s="1"/>
      <c r="C693" s="319">
        <f>[50]Sheet1!$H$23</f>
        <v>43824556.333333328</v>
      </c>
      <c r="D693" s="328">
        <v>5.2919999999999998</v>
      </c>
      <c r="E693" s="323" t="s">
        <v>374</v>
      </c>
      <c r="F693" s="321">
        <f>ROUND(D693*$C693/100,0)</f>
        <v>2319196</v>
      </c>
      <c r="G693" s="328">
        <v>5.6289999999999996</v>
      </c>
      <c r="H693" s="323" t="s">
        <v>374</v>
      </c>
      <c r="I693" s="321">
        <f>ROUND(G693*C693/100,0)</f>
        <v>2466884</v>
      </c>
      <c r="J693" s="327">
        <f ca="1">$J$613</f>
        <v>2.6779999999999999</v>
      </c>
      <c r="K693" s="323" t="s">
        <v>374</v>
      </c>
      <c r="L693" s="321">
        <f ca="1">ROUND(J693*$C693/100,0)</f>
        <v>1173622</v>
      </c>
      <c r="M693" s="321"/>
      <c r="N693" s="327" t="str">
        <f>$N$613</f>
        <v xml:space="preserve"> </v>
      </c>
      <c r="O693" s="323" t="s">
        <v>374</v>
      </c>
      <c r="P693" s="321">
        <f>ROUND(N693*$C693/100,0)</f>
        <v>0</v>
      </c>
      <c r="Q693" s="321"/>
      <c r="R693" s="327">
        <f ca="1">$R$613</f>
        <v>1.2070000000000001</v>
      </c>
      <c r="S693" s="323" t="s">
        <v>374</v>
      </c>
      <c r="T693" s="321">
        <f ca="1">ROUND(R693*$C693/100,0)</f>
        <v>528962</v>
      </c>
      <c r="U693" s="321"/>
      <c r="V693" s="327">
        <f ca="1">$V$613</f>
        <v>1.4710000000000001</v>
      </c>
      <c r="W693" s="323" t="s">
        <v>374</v>
      </c>
      <c r="X693" s="321">
        <f ca="1">ROUND(V693*$C693/100,0)</f>
        <v>644659</v>
      </c>
      <c r="Y693" s="20"/>
      <c r="Z693" s="74"/>
      <c r="AA693" s="74"/>
      <c r="AB693" s="74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</row>
    <row r="694" spans="1:47" hidden="1">
      <c r="A694" s="323" t="s">
        <v>399</v>
      </c>
      <c r="B694" s="1"/>
      <c r="C694" s="319">
        <f>[50]Sheet1!$G$23-C693</f>
        <v>61783202.666666672</v>
      </c>
      <c r="D694" s="328">
        <v>4.8499999999999996</v>
      </c>
      <c r="E694" s="323" t="s">
        <v>374</v>
      </c>
      <c r="F694" s="321">
        <f>ROUND(D694*$C694/100,0)</f>
        <v>2996485</v>
      </c>
      <c r="G694" s="328">
        <v>5.157</v>
      </c>
      <c r="H694" s="323" t="s">
        <v>374</v>
      </c>
      <c r="I694" s="321">
        <f t="shared" ref="I694:I695" si="188">ROUND(G694*C694/100,0)</f>
        <v>3186160</v>
      </c>
      <c r="J694" s="327">
        <f ca="1">$J$614</f>
        <v>2.452</v>
      </c>
      <c r="K694" s="323" t="s">
        <v>374</v>
      </c>
      <c r="L694" s="321">
        <f ca="1">ROUND(J694*$C694/100,0)</f>
        <v>1514924</v>
      </c>
      <c r="M694" s="321"/>
      <c r="N694" s="327" t="str">
        <f>$N$614</f>
        <v xml:space="preserve"> </v>
      </c>
      <c r="O694" s="323" t="s">
        <v>374</v>
      </c>
      <c r="P694" s="321">
        <f>ROUND(N694*$C694/100,0)</f>
        <v>0</v>
      </c>
      <c r="Q694" s="321"/>
      <c r="R694" s="327">
        <f ca="1">$R$614</f>
        <v>1.105</v>
      </c>
      <c r="S694" s="323" t="s">
        <v>374</v>
      </c>
      <c r="T694" s="321">
        <f ca="1">ROUND(R694*$C694/100,0)</f>
        <v>682704</v>
      </c>
      <c r="U694" s="321"/>
      <c r="V694" s="327">
        <f ca="1">$V$614</f>
        <v>1.347</v>
      </c>
      <c r="W694" s="323" t="s">
        <v>374</v>
      </c>
      <c r="X694" s="321">
        <f ca="1">ROUND(V694*$C694/100,0)</f>
        <v>832220</v>
      </c>
      <c r="Y694" s="20"/>
      <c r="Z694" s="74"/>
      <c r="AA694" s="74"/>
      <c r="AB694" s="74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</row>
    <row r="695" spans="1:47" hidden="1">
      <c r="A695" s="323" t="s">
        <v>400</v>
      </c>
      <c r="B695" s="1"/>
      <c r="C695" s="319">
        <f>[50]Sheet1!$K$23</f>
        <v>110811.9666666667</v>
      </c>
      <c r="D695" s="991">
        <v>56</v>
      </c>
      <c r="E695" s="323" t="s">
        <v>374</v>
      </c>
      <c r="F695" s="321">
        <f>ROUND(D695*$C695/100,0)</f>
        <v>62055</v>
      </c>
      <c r="G695" s="991">
        <v>56</v>
      </c>
      <c r="H695" s="323" t="s">
        <v>374</v>
      </c>
      <c r="I695" s="321">
        <f t="shared" si="188"/>
        <v>62055</v>
      </c>
      <c r="J695" s="475">
        <f>$J$615</f>
        <v>56</v>
      </c>
      <c r="K695" s="323" t="s">
        <v>374</v>
      </c>
      <c r="L695" s="321">
        <f>ROUND(J695*$C695/100,0)</f>
        <v>62055</v>
      </c>
      <c r="M695" s="321"/>
      <c r="N695" s="475" t="str">
        <f>$N$615</f>
        <v xml:space="preserve"> </v>
      </c>
      <c r="O695" s="323" t="s">
        <v>374</v>
      </c>
      <c r="P695" s="321">
        <f>ROUND(N695*$C695/100,0)</f>
        <v>0</v>
      </c>
      <c r="Q695" s="321"/>
      <c r="R695" s="475">
        <f ca="1">$R$615</f>
        <v>11</v>
      </c>
      <c r="S695" s="323" t="s">
        <v>374</v>
      </c>
      <c r="T695" s="321">
        <f ca="1">ROUND(R695*$C695/100,0)</f>
        <v>12189</v>
      </c>
      <c r="U695" s="321"/>
      <c r="V695" s="475">
        <f ca="1">$V$615</f>
        <v>45</v>
      </c>
      <c r="W695" s="323" t="s">
        <v>374</v>
      </c>
      <c r="X695" s="321">
        <f ca="1">ROUND(V695*$C695/100,0)</f>
        <v>49865</v>
      </c>
      <c r="Y695" s="20"/>
      <c r="Z695" s="74"/>
      <c r="AA695" s="74"/>
      <c r="AB695" s="74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</row>
    <row r="696" spans="1:47" s="1184" customFormat="1" hidden="1">
      <c r="A696" s="1005" t="s">
        <v>1026</v>
      </c>
      <c r="C696" s="1202">
        <f>C693</f>
        <v>43824556.333333328</v>
      </c>
      <c r="D696" s="269"/>
      <c r="E696" s="1185"/>
      <c r="F696" s="1203"/>
      <c r="G696" s="269"/>
      <c r="H696" s="1185"/>
      <c r="I696" s="1203"/>
      <c r="J696" s="1230">
        <f>J616</f>
        <v>3.415</v>
      </c>
      <c r="K696" s="1041" t="s">
        <v>374</v>
      </c>
      <c r="L696" s="1041">
        <f t="shared" ref="L696:L697" si="189">ROUND(J696*$C696/100,0)</f>
        <v>1496609</v>
      </c>
      <c r="M696" s="1041"/>
      <c r="N696" s="1230" t="str">
        <f>N616</f>
        <v xml:space="preserve"> </v>
      </c>
      <c r="O696" s="1041" t="s">
        <v>374</v>
      </c>
      <c r="P696" s="1041">
        <f t="shared" ref="P696:P697" si="190">ROUND(N696*$C696/100,0)</f>
        <v>0</v>
      </c>
      <c r="Q696" s="1041"/>
      <c r="R696" s="1230" t="str">
        <f>R616</f>
        <v xml:space="preserve"> </v>
      </c>
      <c r="S696" s="1041" t="s">
        <v>374</v>
      </c>
      <c r="T696" s="1041">
        <f t="shared" ref="T696:T697" si="191">ROUND(R696*$C696/100,0)</f>
        <v>0</v>
      </c>
      <c r="U696" s="1041"/>
      <c r="V696" s="1230">
        <f>V616</f>
        <v>3.415</v>
      </c>
      <c r="W696" s="1041" t="s">
        <v>374</v>
      </c>
      <c r="X696" s="1041">
        <f t="shared" ref="X696:X697" si="192">ROUND(V696*$C696/100,0)</f>
        <v>1496609</v>
      </c>
      <c r="Z696" s="815"/>
      <c r="AC696" s="1205"/>
      <c r="AD696" s="1205"/>
      <c r="AI696" s="1185"/>
      <c r="AJ696" s="1185"/>
      <c r="AK696" s="1185"/>
      <c r="AL696" s="1185"/>
      <c r="AM696" s="1185"/>
      <c r="AN696" s="1185"/>
      <c r="AO696" s="1185"/>
      <c r="AP696" s="1185"/>
      <c r="AQ696" s="1185"/>
      <c r="AR696" s="1185"/>
      <c r="AS696" s="1185"/>
      <c r="AU696" s="1204"/>
    </row>
    <row r="697" spans="1:47" s="1184" customFormat="1" hidden="1">
      <c r="A697" s="1005" t="s">
        <v>1027</v>
      </c>
      <c r="C697" s="1202">
        <f>C694</f>
        <v>61783202.666666672</v>
      </c>
      <c r="D697" s="269"/>
      <c r="E697" s="1185"/>
      <c r="F697" s="1203"/>
      <c r="G697" s="269"/>
      <c r="H697" s="1185"/>
      <c r="I697" s="1203"/>
      <c r="J697" s="1230">
        <f>J617</f>
        <v>3.1309999999999998</v>
      </c>
      <c r="K697" s="1041" t="s">
        <v>374</v>
      </c>
      <c r="L697" s="1041">
        <f t="shared" si="189"/>
        <v>1934432</v>
      </c>
      <c r="M697" s="1041"/>
      <c r="N697" s="1230" t="str">
        <f>N617</f>
        <v xml:space="preserve"> </v>
      </c>
      <c r="O697" s="1041" t="s">
        <v>374</v>
      </c>
      <c r="P697" s="1041">
        <f t="shared" si="190"/>
        <v>0</v>
      </c>
      <c r="Q697" s="1041"/>
      <c r="R697" s="1230" t="str">
        <f>R617</f>
        <v xml:space="preserve"> </v>
      </c>
      <c r="S697" s="1041" t="s">
        <v>374</v>
      </c>
      <c r="T697" s="1041">
        <f t="shared" si="191"/>
        <v>0</v>
      </c>
      <c r="U697" s="1041"/>
      <c r="V697" s="1230">
        <f>V617</f>
        <v>3.1309999999999998</v>
      </c>
      <c r="W697" s="1041" t="s">
        <v>374</v>
      </c>
      <c r="X697" s="1041">
        <f t="shared" si="192"/>
        <v>1934432</v>
      </c>
      <c r="Z697" s="815"/>
      <c r="AC697" s="1205"/>
      <c r="AD697" s="1205"/>
      <c r="AI697" s="1185"/>
      <c r="AJ697" s="1185"/>
      <c r="AK697" s="1185"/>
      <c r="AL697" s="1185"/>
      <c r="AM697" s="1185"/>
      <c r="AN697" s="1185"/>
      <c r="AO697" s="1185"/>
      <c r="AP697" s="1185"/>
      <c r="AQ697" s="1185"/>
      <c r="AR697" s="1185"/>
      <c r="AS697" s="1185"/>
      <c r="AU697" s="1204"/>
    </row>
    <row r="698" spans="1:47" hidden="1">
      <c r="A698" s="360" t="s">
        <v>401</v>
      </c>
      <c r="B698" s="1"/>
      <c r="C698" s="319"/>
      <c r="D698" s="332">
        <v>-0.01</v>
      </c>
      <c r="E698" s="2"/>
      <c r="F698" s="321"/>
      <c r="G698" s="332">
        <v>-0.01</v>
      </c>
      <c r="H698" s="1"/>
      <c r="I698" s="321"/>
      <c r="J698" s="332">
        <v>-0.01</v>
      </c>
      <c r="K698" s="1"/>
      <c r="L698" s="321"/>
      <c r="M698" s="321"/>
      <c r="N698" s="332">
        <v>-0.01</v>
      </c>
      <c r="O698" s="1"/>
      <c r="P698" s="321"/>
      <c r="Q698" s="321"/>
      <c r="R698" s="332">
        <v>-0.01</v>
      </c>
      <c r="S698" s="1"/>
      <c r="T698" s="321"/>
      <c r="U698" s="321"/>
      <c r="V698" s="332">
        <v>-0.01</v>
      </c>
      <c r="W698" s="1"/>
      <c r="X698" s="321"/>
      <c r="Y698" s="20"/>
      <c r="Z698" s="74"/>
      <c r="AA698" s="74"/>
      <c r="AB698" s="74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</row>
    <row r="699" spans="1:47" hidden="1">
      <c r="A699" s="323" t="s">
        <v>421</v>
      </c>
      <c r="B699" s="1"/>
      <c r="C699" s="319">
        <v>0</v>
      </c>
      <c r="D699" s="304">
        <v>259</v>
      </c>
      <c r="E699" s="364"/>
      <c r="F699" s="321">
        <f>ROUND(D699*$C699*D698,0)</f>
        <v>0</v>
      </c>
      <c r="G699" s="304">
        <v>259</v>
      </c>
      <c r="H699" s="293"/>
      <c r="I699" s="321">
        <f>ROUND(G699*C699*$G$660,0)</f>
        <v>0</v>
      </c>
      <c r="J699" s="304">
        <f>J683</f>
        <v>259</v>
      </c>
      <c r="K699" s="293"/>
      <c r="L699" s="321">
        <f>ROUND(J699*$C699*J698,0)</f>
        <v>0</v>
      </c>
      <c r="M699" s="321"/>
      <c r="N699" s="304">
        <f>N683</f>
        <v>259</v>
      </c>
      <c r="O699" s="293"/>
      <c r="P699" s="321">
        <f>ROUND(N699*$C699*N698,0)</f>
        <v>0</v>
      </c>
      <c r="Q699" s="321"/>
      <c r="R699" s="304" t="str">
        <f>R683</f>
        <v xml:space="preserve"> </v>
      </c>
      <c r="S699" s="293"/>
      <c r="T699" s="321">
        <f>ROUND(R699*$C699*R698,0)</f>
        <v>0</v>
      </c>
      <c r="U699" s="321"/>
      <c r="V699" s="304" t="str">
        <f>V683</f>
        <v xml:space="preserve"> </v>
      </c>
      <c r="W699" s="293"/>
      <c r="X699" s="321">
        <f>ROUND(V699*$C699*V698,0)</f>
        <v>0</v>
      </c>
      <c r="Y699" s="20"/>
      <c r="Z699" s="74"/>
      <c r="AA699" s="74"/>
      <c r="AB699" s="74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</row>
    <row r="700" spans="1:47" hidden="1">
      <c r="A700" s="323" t="s">
        <v>422</v>
      </c>
      <c r="B700" s="1"/>
      <c r="C700" s="319">
        <f>[50]Sheet1!$E$16</f>
        <v>21</v>
      </c>
      <c r="D700" s="304">
        <v>96</v>
      </c>
      <c r="E700" s="364"/>
      <c r="F700" s="321">
        <f>ROUND(D700*$C700*D698,0)</f>
        <v>-20</v>
      </c>
      <c r="G700" s="304">
        <v>96</v>
      </c>
      <c r="H700" s="293"/>
      <c r="I700" s="321">
        <f t="shared" ref="I700:I705" si="193">ROUND(G700*C700*$G$660,0)</f>
        <v>-20</v>
      </c>
      <c r="J700" s="304">
        <f>J684</f>
        <v>96</v>
      </c>
      <c r="K700" s="293"/>
      <c r="L700" s="321">
        <f>ROUND(J700*$C700*J698,0)</f>
        <v>-20</v>
      </c>
      <c r="M700" s="321"/>
      <c r="N700" s="304">
        <f>N684</f>
        <v>96</v>
      </c>
      <c r="O700" s="293"/>
      <c r="P700" s="321">
        <f>ROUND(N700*$C700*N698,0)</f>
        <v>-20</v>
      </c>
      <c r="Q700" s="321"/>
      <c r="R700" s="304" t="str">
        <f>R684</f>
        <v xml:space="preserve"> </v>
      </c>
      <c r="S700" s="293"/>
      <c r="T700" s="321">
        <f>ROUND(R700*$C700*R698,0)</f>
        <v>0</v>
      </c>
      <c r="U700" s="321"/>
      <c r="V700" s="304" t="str">
        <f>V684</f>
        <v xml:space="preserve"> </v>
      </c>
      <c r="W700" s="293"/>
      <c r="X700" s="321">
        <f>ROUND(V700*$C700*V698,0)</f>
        <v>0</v>
      </c>
      <c r="Y700" s="20"/>
      <c r="Z700" s="74"/>
      <c r="AA700" s="74"/>
      <c r="AB700" s="74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</row>
    <row r="701" spans="1:47" hidden="1">
      <c r="A701" s="323" t="s">
        <v>423</v>
      </c>
      <c r="B701" s="1"/>
      <c r="C701" s="319">
        <v>0</v>
      </c>
      <c r="D701" s="304">
        <v>192</v>
      </c>
      <c r="E701" s="372"/>
      <c r="F701" s="321">
        <f>ROUND(D701*$C701*D698,0)</f>
        <v>0</v>
      </c>
      <c r="G701" s="304">
        <v>192</v>
      </c>
      <c r="H701" s="373"/>
      <c r="I701" s="321">
        <f t="shared" si="193"/>
        <v>0</v>
      </c>
      <c r="J701" s="304">
        <f>J685</f>
        <v>192</v>
      </c>
      <c r="K701" s="373"/>
      <c r="L701" s="321">
        <f>ROUND(J701*$C701*J698,0)</f>
        <v>0</v>
      </c>
      <c r="M701" s="321"/>
      <c r="N701" s="304">
        <f>N685</f>
        <v>192</v>
      </c>
      <c r="O701" s="373"/>
      <c r="P701" s="321">
        <f>ROUND(N701*$C701*N698,0)</f>
        <v>0</v>
      </c>
      <c r="Q701" s="321"/>
      <c r="R701" s="304" t="str">
        <f>R685</f>
        <v xml:space="preserve"> </v>
      </c>
      <c r="S701" s="373"/>
      <c r="T701" s="321">
        <f>ROUND(R701*$C701*R698,0)</f>
        <v>0</v>
      </c>
      <c r="U701" s="321"/>
      <c r="V701" s="304" t="str">
        <f>V685</f>
        <v xml:space="preserve"> </v>
      </c>
      <c r="W701" s="373"/>
      <c r="X701" s="321">
        <f>ROUND(V701*$C701*V698,0)</f>
        <v>0</v>
      </c>
      <c r="Y701" s="20"/>
      <c r="Z701" s="74"/>
      <c r="AA701" s="74"/>
      <c r="AB701" s="74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</row>
    <row r="702" spans="1:47" hidden="1">
      <c r="A702" s="323" t="s">
        <v>422</v>
      </c>
      <c r="B702" s="1"/>
      <c r="C702" s="319">
        <f>[50]Sheet1!$F$16</f>
        <v>2337</v>
      </c>
      <c r="D702" s="304">
        <v>1.7</v>
      </c>
      <c r="E702" s="364"/>
      <c r="F702" s="321">
        <f>ROUND(D702*$C702*D698,0)</f>
        <v>-40</v>
      </c>
      <c r="G702" s="304">
        <v>1.7</v>
      </c>
      <c r="H702" s="293"/>
      <c r="I702" s="321">
        <f t="shared" si="193"/>
        <v>-40</v>
      </c>
      <c r="J702" s="304">
        <f ca="1">J687</f>
        <v>1.89</v>
      </c>
      <c r="K702" s="293"/>
      <c r="L702" s="321">
        <f ca="1">ROUND(J702*$C702*J698,0)</f>
        <v>-44</v>
      </c>
      <c r="M702" s="321"/>
      <c r="N702" s="304">
        <f ca="1">N687</f>
        <v>1.89</v>
      </c>
      <c r="O702" s="293"/>
      <c r="P702" s="321">
        <f ca="1">ROUND(N702*$C702*N698,0)</f>
        <v>-44</v>
      </c>
      <c r="Q702" s="321"/>
      <c r="R702" s="304" t="str">
        <f>R687</f>
        <v xml:space="preserve"> </v>
      </c>
      <c r="S702" s="293"/>
      <c r="T702" s="321">
        <f>ROUND(R702*$C702*R698,0)</f>
        <v>0</v>
      </c>
      <c r="U702" s="321"/>
      <c r="V702" s="304" t="str">
        <f>V687</f>
        <v xml:space="preserve"> </v>
      </c>
      <c r="W702" s="293"/>
      <c r="X702" s="321">
        <f>ROUND(V702*$C702*V698,0)</f>
        <v>0</v>
      </c>
      <c r="Y702" s="20"/>
      <c r="Z702" s="74"/>
      <c r="AA702" s="74"/>
      <c r="AB702" s="74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</row>
    <row r="703" spans="1:47" hidden="1">
      <c r="A703" s="323" t="s">
        <v>423</v>
      </c>
      <c r="B703" s="1"/>
      <c r="C703" s="319">
        <v>0</v>
      </c>
      <c r="D703" s="304">
        <v>1.39</v>
      </c>
      <c r="E703" s="364" t="s">
        <v>31</v>
      </c>
      <c r="F703" s="321">
        <f>ROUND(D703*$C703*D698,0)</f>
        <v>0</v>
      </c>
      <c r="G703" s="304">
        <v>1.39</v>
      </c>
      <c r="H703" s="293"/>
      <c r="I703" s="321">
        <f t="shared" si="193"/>
        <v>0</v>
      </c>
      <c r="J703" s="304">
        <f ca="1">J688</f>
        <v>1.55</v>
      </c>
      <c r="K703" s="293"/>
      <c r="L703" s="321">
        <f ca="1">ROUND(J703*$C703*J698,0)</f>
        <v>0</v>
      </c>
      <c r="M703" s="321"/>
      <c r="N703" s="304">
        <f ca="1">N688</f>
        <v>1.55</v>
      </c>
      <c r="O703" s="293"/>
      <c r="P703" s="321">
        <f ca="1">ROUND(N703*$C703*N698,0)</f>
        <v>0</v>
      </c>
      <c r="Q703" s="321"/>
      <c r="R703" s="304" t="str">
        <f>R688</f>
        <v xml:space="preserve"> </v>
      </c>
      <c r="S703" s="293"/>
      <c r="T703" s="321">
        <f>ROUND(R703*$C703*R698,0)</f>
        <v>0</v>
      </c>
      <c r="U703" s="321"/>
      <c r="V703" s="304" t="str">
        <f>V688</f>
        <v xml:space="preserve"> </v>
      </c>
      <c r="W703" s="293"/>
      <c r="X703" s="321">
        <f>ROUND(V703*$C703*V698,0)</f>
        <v>0</v>
      </c>
      <c r="Y703" s="20"/>
      <c r="Z703" s="74"/>
      <c r="AA703" s="74"/>
      <c r="AB703" s="74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</row>
    <row r="704" spans="1:47" hidden="1">
      <c r="A704" s="309" t="s">
        <v>425</v>
      </c>
      <c r="B704" s="1"/>
      <c r="C704" s="319">
        <f>[50]Sheet1!$I$16</f>
        <v>1987.5</v>
      </c>
      <c r="D704" s="304">
        <v>4.4400000000000004</v>
      </c>
      <c r="E704" s="364" t="s">
        <v>31</v>
      </c>
      <c r="F704" s="321">
        <f>ROUND(D704*$C704*D698,0)</f>
        <v>-88</v>
      </c>
      <c r="G704" s="304">
        <v>4.72</v>
      </c>
      <c r="H704" s="293"/>
      <c r="I704" s="321">
        <f t="shared" si="193"/>
        <v>-94</v>
      </c>
      <c r="J704" s="304">
        <f ca="1">J690</f>
        <v>5.87</v>
      </c>
      <c r="K704" s="293"/>
      <c r="L704" s="321">
        <f ca="1">ROUND(J704*$C704*J698,0)</f>
        <v>-117</v>
      </c>
      <c r="M704" s="321"/>
      <c r="N704" s="304">
        <f ca="1">N690</f>
        <v>0.95</v>
      </c>
      <c r="O704" s="293"/>
      <c r="P704" s="321">
        <f ca="1">ROUND(N704*$C704*N698,0)</f>
        <v>-19</v>
      </c>
      <c r="Q704" s="321"/>
      <c r="R704" s="304">
        <f ca="1">R690</f>
        <v>0.98</v>
      </c>
      <c r="S704" s="293"/>
      <c r="T704" s="321">
        <f ca="1">ROUND(R704*$C704*R698,0)</f>
        <v>-19</v>
      </c>
      <c r="U704" s="321"/>
      <c r="V704" s="304">
        <f ca="1">V690</f>
        <v>3.94</v>
      </c>
      <c r="W704" s="293"/>
      <c r="X704" s="321">
        <f ca="1">ROUND(V704*$C704*V698,0)</f>
        <v>-78</v>
      </c>
      <c r="Y704" s="20"/>
      <c r="Z704" s="74"/>
      <c r="AA704" s="74"/>
      <c r="AB704" s="74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</row>
    <row r="705" spans="1:47" hidden="1">
      <c r="A705" s="309" t="s">
        <v>441</v>
      </c>
      <c r="B705" s="1"/>
      <c r="C705" s="319">
        <f>[50]Sheet1!$J$16</f>
        <v>0</v>
      </c>
      <c r="D705" s="304">
        <v>4.4400000000000004</v>
      </c>
      <c r="E705" s="364" t="s">
        <v>31</v>
      </c>
      <c r="F705" s="321">
        <f>ROUND(D705*$C705*D698,0)</f>
        <v>0</v>
      </c>
      <c r="G705" s="304">
        <v>4.72</v>
      </c>
      <c r="H705" s="293"/>
      <c r="I705" s="321">
        <f t="shared" si="193"/>
        <v>0</v>
      </c>
      <c r="J705" s="304">
        <f ca="1">J691</f>
        <v>5.87</v>
      </c>
      <c r="K705" s="293"/>
      <c r="L705" s="321">
        <f ca="1">ROUND(J705*$C705*J698,0)</f>
        <v>0</v>
      </c>
      <c r="M705" s="321"/>
      <c r="N705" s="304">
        <f ca="1">N691</f>
        <v>0.95</v>
      </c>
      <c r="O705" s="293"/>
      <c r="P705" s="321">
        <f ca="1">ROUND(N705*$C705*N698,0)</f>
        <v>0</v>
      </c>
      <c r="Q705" s="321"/>
      <c r="R705" s="304">
        <f ca="1">R691</f>
        <v>0.98</v>
      </c>
      <c r="S705" s="293"/>
      <c r="T705" s="321">
        <f ca="1">ROUND(R705*$C705*R698,0)</f>
        <v>0</v>
      </c>
      <c r="U705" s="321"/>
      <c r="V705" s="304">
        <f ca="1">V691</f>
        <v>3.94</v>
      </c>
      <c r="W705" s="293"/>
      <c r="X705" s="321">
        <f ca="1">ROUND(V705*$C705*V698,0)</f>
        <v>0</v>
      </c>
      <c r="Y705" s="20"/>
      <c r="Z705" s="74"/>
      <c r="AA705" s="74"/>
      <c r="AB705" s="74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</row>
    <row r="706" spans="1:47" hidden="1">
      <c r="A706" s="323" t="s">
        <v>427</v>
      </c>
      <c r="B706" s="1"/>
      <c r="C706" s="319">
        <f>[50]Sheet1!$H$16</f>
        <v>734400</v>
      </c>
      <c r="D706" s="374">
        <v>5.2939999999999996</v>
      </c>
      <c r="E706" s="321" t="s">
        <v>374</v>
      </c>
      <c r="F706" s="321">
        <f>ROUND(D706*$C706/100*D698,0)</f>
        <v>-389</v>
      </c>
      <c r="G706" s="374">
        <v>5.6289999999999996</v>
      </c>
      <c r="H706" s="323" t="s">
        <v>374</v>
      </c>
      <c r="I706" s="321">
        <f>ROUND(G706*C706/100*$G$660,0)</f>
        <v>-413</v>
      </c>
      <c r="J706" s="374">
        <f ca="1">J693</f>
        <v>2.6779999999999999</v>
      </c>
      <c r="K706" s="323" t="s">
        <v>374</v>
      </c>
      <c r="L706" s="321">
        <f ca="1">ROUND(J706*$C706/100*J698,0)</f>
        <v>-197</v>
      </c>
      <c r="M706" s="321"/>
      <c r="N706" s="374" t="str">
        <f>N693</f>
        <v xml:space="preserve"> </v>
      </c>
      <c r="O706" s="323" t="s">
        <v>374</v>
      </c>
      <c r="P706" s="321">
        <f>ROUND(N706*$C706/100*N698,0)</f>
        <v>0</v>
      </c>
      <c r="Q706" s="321"/>
      <c r="R706" s="374">
        <f ca="1">R693</f>
        <v>1.2070000000000001</v>
      </c>
      <c r="S706" s="323" t="s">
        <v>374</v>
      </c>
      <c r="T706" s="321">
        <f ca="1">ROUND(R706*$C706/100*R698,0)</f>
        <v>-89</v>
      </c>
      <c r="U706" s="321"/>
      <c r="V706" s="374">
        <f ca="1">V693</f>
        <v>1.4710000000000001</v>
      </c>
      <c r="W706" s="323" t="s">
        <v>374</v>
      </c>
      <c r="X706" s="321">
        <f ca="1">ROUND(V706*$C706/100*V698,0)</f>
        <v>-108</v>
      </c>
      <c r="Y706" s="20"/>
      <c r="Z706" s="74"/>
      <c r="AA706" s="74"/>
      <c r="AB706" s="74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</row>
    <row r="707" spans="1:47" hidden="1">
      <c r="A707" s="323" t="s">
        <v>399</v>
      </c>
      <c r="B707" s="1"/>
      <c r="C707" s="319">
        <f>[50]Sheet1!$G$16-C706</f>
        <v>232800</v>
      </c>
      <c r="D707" s="374">
        <v>4.8520000000000003</v>
      </c>
      <c r="E707" s="321" t="s">
        <v>374</v>
      </c>
      <c r="F707" s="321">
        <f>ROUND(D707*$C707/100*D698,0)</f>
        <v>-113</v>
      </c>
      <c r="G707" s="374">
        <v>5.157</v>
      </c>
      <c r="H707" s="323" t="s">
        <v>374</v>
      </c>
      <c r="I707" s="321">
        <f>ROUND(G707*C707/100*$G$660,0)</f>
        <v>-120</v>
      </c>
      <c r="J707" s="374">
        <f ca="1">J694</f>
        <v>2.452</v>
      </c>
      <c r="K707" s="323" t="s">
        <v>374</v>
      </c>
      <c r="L707" s="321">
        <f ca="1">ROUND(J707*$C707/100*J698,0)</f>
        <v>-57</v>
      </c>
      <c r="M707" s="321"/>
      <c r="N707" s="374" t="str">
        <f>N694</f>
        <v xml:space="preserve"> </v>
      </c>
      <c r="O707" s="323" t="s">
        <v>374</v>
      </c>
      <c r="P707" s="321">
        <f>ROUND(N707*$C707/100*N698,0)</f>
        <v>0</v>
      </c>
      <c r="Q707" s="321"/>
      <c r="R707" s="374">
        <f ca="1">R694</f>
        <v>1.105</v>
      </c>
      <c r="S707" s="323" t="s">
        <v>374</v>
      </c>
      <c r="T707" s="321">
        <f ca="1">ROUND(R707*$C707/100*R698,0)</f>
        <v>-26</v>
      </c>
      <c r="U707" s="321"/>
      <c r="V707" s="374">
        <f ca="1">V694</f>
        <v>1.347</v>
      </c>
      <c r="W707" s="323" t="s">
        <v>374</v>
      </c>
      <c r="X707" s="321">
        <f ca="1">ROUND(V707*$C707/100*V698,0)</f>
        <v>-31</v>
      </c>
      <c r="Y707" s="20"/>
      <c r="Z707" s="74"/>
      <c r="AA707" s="74"/>
      <c r="AB707" s="74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</row>
    <row r="708" spans="1:47" hidden="1">
      <c r="A708" s="323" t="s">
        <v>400</v>
      </c>
      <c r="B708" s="1"/>
      <c r="C708" s="319">
        <f>[50]Sheet1!$K$16</f>
        <v>1162</v>
      </c>
      <c r="D708" s="375">
        <v>56</v>
      </c>
      <c r="E708" s="321" t="s">
        <v>374</v>
      </c>
      <c r="F708" s="321">
        <f>ROUND(D708*$C708/100*D698,0)</f>
        <v>-7</v>
      </c>
      <c r="G708" s="375">
        <v>56</v>
      </c>
      <c r="H708" s="323" t="s">
        <v>374</v>
      </c>
      <c r="I708" s="321">
        <f>ROUND(G708*C708/100*$G$660,0)</f>
        <v>-7</v>
      </c>
      <c r="J708" s="375">
        <f>J695</f>
        <v>56</v>
      </c>
      <c r="K708" s="323" t="s">
        <v>374</v>
      </c>
      <c r="L708" s="321">
        <f>ROUND(J708*$C708/100*J698,0)</f>
        <v>-7</v>
      </c>
      <c r="M708" s="321"/>
      <c r="N708" s="375" t="str">
        <f>N695</f>
        <v xml:space="preserve"> </v>
      </c>
      <c r="O708" s="323" t="s">
        <v>374</v>
      </c>
      <c r="P708" s="321">
        <f>ROUND(N708*$C708/100*N698,0)</f>
        <v>0</v>
      </c>
      <c r="Q708" s="321"/>
      <c r="R708" s="375">
        <f ca="1">R695</f>
        <v>11</v>
      </c>
      <c r="S708" s="323" t="s">
        <v>374</v>
      </c>
      <c r="T708" s="321">
        <f ca="1">ROUND(R708*$C708/100*R698,0)</f>
        <v>-1</v>
      </c>
      <c r="U708" s="321"/>
      <c r="V708" s="375">
        <f ca="1">V695</f>
        <v>45</v>
      </c>
      <c r="W708" s="323" t="s">
        <v>374</v>
      </c>
      <c r="X708" s="321">
        <f ca="1">ROUND(V708*$C708/100*V698,0)</f>
        <v>-5</v>
      </c>
      <c r="Y708" s="20"/>
      <c r="Z708" s="74"/>
      <c r="AA708" s="74"/>
      <c r="AB708" s="74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</row>
    <row r="709" spans="1:47" hidden="1">
      <c r="A709" s="323" t="s">
        <v>443</v>
      </c>
      <c r="B709" s="1"/>
      <c r="C709" s="319">
        <f>[50]Sheet1!$E$16</f>
        <v>21</v>
      </c>
      <c r="D709" s="298">
        <v>60</v>
      </c>
      <c r="E709" s="364" t="s">
        <v>31</v>
      </c>
      <c r="F709" s="321">
        <f>ROUND(D709*$C709,0)</f>
        <v>1260</v>
      </c>
      <c r="G709" s="298">
        <v>60</v>
      </c>
      <c r="H709" s="1"/>
      <c r="I709" s="321">
        <f>ROUND(G709*C709,0)</f>
        <v>1260</v>
      </c>
      <c r="J709" s="298">
        <f>$J$631</f>
        <v>60</v>
      </c>
      <c r="K709" s="1"/>
      <c r="L709" s="321">
        <f>ROUND(J709*$C709,0)</f>
        <v>1260</v>
      </c>
      <c r="M709" s="321"/>
      <c r="N709" s="298" t="str">
        <f>$N$631</f>
        <v xml:space="preserve"> </v>
      </c>
      <c r="O709" s="1"/>
      <c r="P709" s="321">
        <f>ROUND(N709*$C709,0)</f>
        <v>0</v>
      </c>
      <c r="Q709" s="321"/>
      <c r="R709" s="298">
        <f ca="1">$R$631</f>
        <v>11.894336305988995</v>
      </c>
      <c r="S709" s="1"/>
      <c r="T709" s="321">
        <f ca="1">ROUND(R709*$C709,0)</f>
        <v>250</v>
      </c>
      <c r="U709" s="321"/>
      <c r="V709" s="298">
        <f ca="1">$V$631</f>
        <v>48.105663694011</v>
      </c>
      <c r="W709" s="1"/>
      <c r="X709" s="321">
        <f ca="1">ROUND(V709*$C709,0)</f>
        <v>1010</v>
      </c>
      <c r="Y709" s="20"/>
      <c r="Z709" s="74"/>
      <c r="AA709" s="74"/>
      <c r="AB709" s="74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</row>
    <row r="710" spans="1:47" hidden="1">
      <c r="A710" s="323" t="s">
        <v>444</v>
      </c>
      <c r="B710" s="1"/>
      <c r="C710" s="319">
        <f>[50]Sheet1!$F$16</f>
        <v>2337</v>
      </c>
      <c r="D710" s="339">
        <v>-30</v>
      </c>
      <c r="E710" s="321" t="s">
        <v>374</v>
      </c>
      <c r="F710" s="321">
        <f>ROUND(D710*$C710/100,0)</f>
        <v>-701</v>
      </c>
      <c r="G710" s="339">
        <v>-30</v>
      </c>
      <c r="H710" s="321" t="s">
        <v>374</v>
      </c>
      <c r="I710" s="321">
        <f>-ROUND(G710*C710*$G$660,0)</f>
        <v>-701</v>
      </c>
      <c r="J710" s="339">
        <f>$J$632</f>
        <v>-30</v>
      </c>
      <c r="K710" s="321" t="s">
        <v>374</v>
      </c>
      <c r="L710" s="321">
        <f>ROUND(J710*$C710/100,0)</f>
        <v>-701</v>
      </c>
      <c r="M710" s="321"/>
      <c r="N710" s="339">
        <f>$N$632</f>
        <v>-30</v>
      </c>
      <c r="O710" s="321" t="s">
        <v>374</v>
      </c>
      <c r="P710" s="321">
        <f>ROUND(N710*$C710/100,0)</f>
        <v>-701</v>
      </c>
      <c r="Q710" s="321"/>
      <c r="R710" s="339" t="str">
        <f>$R$632</f>
        <v xml:space="preserve"> </v>
      </c>
      <c r="S710" s="321" t="s">
        <v>374</v>
      </c>
      <c r="T710" s="321">
        <f>ROUND(R710*$C710/100,0)</f>
        <v>0</v>
      </c>
      <c r="U710" s="321"/>
      <c r="V710" s="339">
        <f>$V$632</f>
        <v>0</v>
      </c>
      <c r="W710" s="321" t="s">
        <v>374</v>
      </c>
      <c r="X710" s="321">
        <f>ROUND(V710*$C710/100,0)</f>
        <v>0</v>
      </c>
      <c r="Y710" s="20"/>
      <c r="Z710" s="74"/>
      <c r="AA710" s="74"/>
      <c r="AB710" s="74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</row>
    <row r="711" spans="1:47" s="1184" customFormat="1" hidden="1">
      <c r="A711" s="1005" t="s">
        <v>1026</v>
      </c>
      <c r="C711" s="1202">
        <f>C706</f>
        <v>734400</v>
      </c>
      <c r="D711" s="269"/>
      <c r="E711" s="1185"/>
      <c r="F711" s="1203"/>
      <c r="G711" s="269"/>
      <c r="H711" s="1185"/>
      <c r="I711" s="1203"/>
      <c r="J711" s="1230">
        <f>J696</f>
        <v>3.415</v>
      </c>
      <c r="K711" s="1041" t="s">
        <v>374</v>
      </c>
      <c r="L711" s="1041">
        <f>ROUND(J711*$C711/100*J698,0)</f>
        <v>-251</v>
      </c>
      <c r="M711" s="1041"/>
      <c r="N711" s="1230" t="str">
        <f>N696</f>
        <v xml:space="preserve"> </v>
      </c>
      <c r="O711" s="1041" t="s">
        <v>374</v>
      </c>
      <c r="P711" s="1041">
        <f>ROUND(N711*$C711/100*N698,0)</f>
        <v>0</v>
      </c>
      <c r="Q711" s="1041"/>
      <c r="R711" s="1230" t="str">
        <f>R696</f>
        <v xml:space="preserve"> </v>
      </c>
      <c r="S711" s="1041" t="s">
        <v>374</v>
      </c>
      <c r="T711" s="1041">
        <f>ROUND(R711*$C711/100*R698,0)</f>
        <v>0</v>
      </c>
      <c r="U711" s="1041"/>
      <c r="V711" s="1230">
        <f>V696</f>
        <v>3.415</v>
      </c>
      <c r="W711" s="1041" t="s">
        <v>374</v>
      </c>
      <c r="X711" s="1041">
        <f>ROUND(V711*$C711/100*V698,0)</f>
        <v>-251</v>
      </c>
      <c r="Z711" s="815"/>
      <c r="AC711" s="1205"/>
      <c r="AD711" s="1205"/>
      <c r="AI711" s="1185"/>
      <c r="AJ711" s="1185"/>
      <c r="AK711" s="1185"/>
      <c r="AL711" s="1185"/>
      <c r="AM711" s="1185"/>
      <c r="AN711" s="1185"/>
      <c r="AO711" s="1185"/>
      <c r="AP711" s="1185"/>
      <c r="AQ711" s="1185"/>
      <c r="AR711" s="1185"/>
      <c r="AS711" s="1185"/>
      <c r="AU711" s="1204"/>
    </row>
    <row r="712" spans="1:47" s="1184" customFormat="1" hidden="1">
      <c r="A712" s="1005" t="s">
        <v>1027</v>
      </c>
      <c r="C712" s="1202">
        <f>C707</f>
        <v>232800</v>
      </c>
      <c r="D712" s="269"/>
      <c r="E712" s="1185"/>
      <c r="F712" s="1203"/>
      <c r="G712" s="269"/>
      <c r="H712" s="1185"/>
      <c r="I712" s="1203"/>
      <c r="J712" s="1230">
        <f>J697</f>
        <v>3.1309999999999998</v>
      </c>
      <c r="K712" s="1041" t="s">
        <v>374</v>
      </c>
      <c r="L712" s="1041">
        <f>ROUND(J712*$C712/100*J698,0)</f>
        <v>-73</v>
      </c>
      <c r="M712" s="1041"/>
      <c r="N712" s="1230" t="str">
        <f>N697</f>
        <v xml:space="preserve"> </v>
      </c>
      <c r="O712" s="1041" t="s">
        <v>374</v>
      </c>
      <c r="P712" s="1041">
        <f>ROUND(N712*$C712/100*N698,0)</f>
        <v>0</v>
      </c>
      <c r="Q712" s="1041"/>
      <c r="R712" s="1230" t="str">
        <f>R697</f>
        <v xml:space="preserve"> </v>
      </c>
      <c r="S712" s="1041" t="s">
        <v>374</v>
      </c>
      <c r="T712" s="1041">
        <f>ROUND(R712*$C712/100*R698,0)</f>
        <v>0</v>
      </c>
      <c r="U712" s="1041"/>
      <c r="V712" s="1230">
        <f>V697</f>
        <v>3.1309999999999998</v>
      </c>
      <c r="W712" s="1041" t="s">
        <v>374</v>
      </c>
      <c r="X712" s="1041">
        <f>ROUND(V712*$C712/100*V698,0)</f>
        <v>-73</v>
      </c>
      <c r="Z712" s="815"/>
      <c r="AC712" s="1205"/>
      <c r="AD712" s="1205"/>
      <c r="AI712" s="1185"/>
      <c r="AJ712" s="1185"/>
      <c r="AK712" s="1185"/>
      <c r="AL712" s="1185"/>
      <c r="AM712" s="1185"/>
      <c r="AN712" s="1185"/>
      <c r="AO712" s="1185"/>
      <c r="AP712" s="1185"/>
      <c r="AQ712" s="1185"/>
      <c r="AR712" s="1185"/>
      <c r="AS712" s="1185"/>
      <c r="AU712" s="1204"/>
    </row>
    <row r="713" spans="1:47" hidden="1">
      <c r="A713" s="1" t="s">
        <v>381</v>
      </c>
      <c r="B713" s="1"/>
      <c r="C713" s="319">
        <f>SUM(C693:C694)</f>
        <v>105607759</v>
      </c>
      <c r="D713" s="330"/>
      <c r="E713" s="2"/>
      <c r="F713" s="2">
        <f>SUM(F683:F710)</f>
        <v>7875570</v>
      </c>
      <c r="G713" s="330"/>
      <c r="H713" s="1"/>
      <c r="I713" s="2">
        <f>SUM(I683:I710)</f>
        <v>8312364</v>
      </c>
      <c r="J713" s="330"/>
      <c r="K713" s="1"/>
      <c r="L713" s="2">
        <f ca="1">SUM(L683:L712)</f>
        <v>9267943</v>
      </c>
      <c r="M713" s="2"/>
      <c r="N713" s="330"/>
      <c r="O713" s="1"/>
      <c r="P713" s="2">
        <f ca="1">SUM(P683:P712)</f>
        <v>1337935</v>
      </c>
      <c r="Q713" s="2"/>
      <c r="R713" s="330"/>
      <c r="S713" s="1"/>
      <c r="T713" s="2">
        <f ca="1">SUM(T683:T712)</f>
        <v>1572107</v>
      </c>
      <c r="U713" s="2"/>
      <c r="V713" s="330"/>
      <c r="W713" s="1"/>
      <c r="X713" s="2">
        <f ca="1">SUM(X683:X712)</f>
        <v>6357902</v>
      </c>
      <c r="Y713" s="20"/>
      <c r="Z713" s="74"/>
      <c r="AA713" s="74"/>
      <c r="AB713" s="74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</row>
    <row r="714" spans="1:47" hidden="1">
      <c r="A714" s="1" t="s">
        <v>363</v>
      </c>
      <c r="B714" s="1"/>
      <c r="C714" s="349">
        <f ca="1">'Table 2'!H76</f>
        <v>-1691576.4987881514</v>
      </c>
      <c r="D714" s="309"/>
      <c r="E714" s="309"/>
      <c r="F714" s="310">
        <f ca="1">I714</f>
        <v>-172171.8285648945</v>
      </c>
      <c r="G714" s="309"/>
      <c r="H714" s="309"/>
      <c r="I714" s="310">
        <f ca="1">'Table 3'!E76</f>
        <v>-172171.8285648945</v>
      </c>
      <c r="J714" s="309"/>
      <c r="K714" s="309"/>
      <c r="L714" s="310">
        <f ca="1">I714</f>
        <v>-172171.8285648945</v>
      </c>
      <c r="M714" s="51"/>
      <c r="N714" s="309"/>
      <c r="O714" s="309"/>
      <c r="P714" s="310">
        <f ca="1">P636/L636*L714</f>
        <v>-22302.510598722263</v>
      </c>
      <c r="Q714" s="51"/>
      <c r="R714" s="309"/>
      <c r="S714" s="309"/>
      <c r="T714" s="310">
        <f ca="1">T636/L636*L714</f>
        <v>-29709.934497314189</v>
      </c>
      <c r="U714" s="51"/>
      <c r="V714" s="309"/>
      <c r="W714" s="309"/>
      <c r="X714" s="310">
        <f ca="1">X636/L636*L714</f>
        <v>-120159.38346885804</v>
      </c>
      <c r="Y714" s="444"/>
      <c r="Z714" s="287"/>
      <c r="AA714" s="74"/>
      <c r="AB714" s="74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</row>
    <row r="715" spans="1:47" ht="16.5" hidden="1" thickBot="1">
      <c r="A715" s="1" t="s">
        <v>382</v>
      </c>
      <c r="B715" s="1"/>
      <c r="C715" s="366">
        <f ca="1">SUM(C713)+C714</f>
        <v>103916182.50121185</v>
      </c>
      <c r="D715" s="342"/>
      <c r="E715" s="343"/>
      <c r="F715" s="344">
        <f ca="1">F713+F714</f>
        <v>7703398.1714351056</v>
      </c>
      <c r="G715" s="342"/>
      <c r="H715" s="345"/>
      <c r="I715" s="344">
        <f ca="1">I713+I714</f>
        <v>8140192.1714351056</v>
      </c>
      <c r="J715" s="342"/>
      <c r="K715" s="345"/>
      <c r="L715" s="344">
        <f ca="1">L713+L714</f>
        <v>9095771.1714351047</v>
      </c>
      <c r="M715" s="344"/>
      <c r="N715" s="342"/>
      <c r="O715" s="345"/>
      <c r="P715" s="344">
        <f ca="1">P713+P714</f>
        <v>1315632.4894012776</v>
      </c>
      <c r="Q715" s="344"/>
      <c r="R715" s="342"/>
      <c r="S715" s="345"/>
      <c r="T715" s="344">
        <f ca="1">T713+T714</f>
        <v>1542397.0655026857</v>
      </c>
      <c r="U715" s="344"/>
      <c r="V715" s="342"/>
      <c r="W715" s="345"/>
      <c r="X715" s="344">
        <f ca="1">X713+X714</f>
        <v>6237742.616531142</v>
      </c>
      <c r="Y715" s="411"/>
      <c r="Z715" s="470"/>
      <c r="AA715" s="74"/>
      <c r="AB715" s="74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</row>
    <row r="716" spans="1:47" ht="16.5" hidden="1" thickTop="1">
      <c r="A716" s="303"/>
      <c r="B716" s="378"/>
      <c r="C716" s="303"/>
      <c r="D716" s="1"/>
      <c r="E716" s="21"/>
      <c r="F716" s="379"/>
      <c r="G716" s="1"/>
      <c r="H716" s="303"/>
      <c r="I716" s="379"/>
      <c r="J716" s="303"/>
      <c r="K716" s="303"/>
      <c r="L716" s="303"/>
      <c r="M716" s="303"/>
      <c r="N716" s="303"/>
      <c r="O716" s="303"/>
      <c r="P716" s="303"/>
      <c r="Q716" s="303"/>
      <c r="R716" s="303"/>
      <c r="S716" s="303"/>
      <c r="T716" s="303"/>
      <c r="U716" s="303"/>
      <c r="V716" s="303"/>
      <c r="W716" s="303"/>
      <c r="X716" s="303"/>
      <c r="Y716" s="20"/>
      <c r="Z716" s="74"/>
      <c r="AA716" s="74"/>
      <c r="AB716" s="74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</row>
    <row r="717" spans="1:47">
      <c r="A717" s="293" t="s">
        <v>447</v>
      </c>
      <c r="B717" s="1"/>
      <c r="C717" s="21"/>
      <c r="D717" s="337"/>
      <c r="E717" s="2"/>
      <c r="F717" s="2"/>
      <c r="G717" s="337"/>
      <c r="H717" s="1"/>
      <c r="I717" s="2"/>
      <c r="J717" s="337"/>
      <c r="K717" s="1"/>
      <c r="L717" s="2"/>
      <c r="M717" s="2"/>
      <c r="N717" s="337"/>
      <c r="O717" s="1"/>
      <c r="P717" s="2"/>
      <c r="Q717" s="2"/>
      <c r="R717" s="337"/>
      <c r="S717" s="1"/>
      <c r="T717" s="2"/>
      <c r="U717" s="2"/>
      <c r="V717" s="337"/>
      <c r="W717" s="1"/>
      <c r="X717" s="2"/>
      <c r="Y717" s="20"/>
      <c r="Z717" s="74"/>
      <c r="AA717" s="74"/>
      <c r="AB717" s="74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</row>
    <row r="718" spans="1:47">
      <c r="A718" s="309" t="s">
        <v>448</v>
      </c>
      <c r="B718" s="1"/>
      <c r="C718" s="21"/>
      <c r="D718" s="337"/>
      <c r="E718" s="2"/>
      <c r="F718" s="2"/>
      <c r="G718" s="337"/>
      <c r="H718" s="1"/>
      <c r="I718" s="2"/>
      <c r="J718" s="337"/>
      <c r="K718" s="1"/>
      <c r="L718" s="2"/>
      <c r="M718" s="2"/>
      <c r="N718" s="337"/>
      <c r="O718" s="1"/>
      <c r="P718" s="2"/>
      <c r="Q718" s="2"/>
      <c r="R718" s="337"/>
      <c r="S718" s="1"/>
      <c r="T718" s="2"/>
      <c r="U718" s="2"/>
      <c r="V718" s="337"/>
      <c r="W718" s="1"/>
      <c r="X718" s="2"/>
      <c r="Y718" s="20"/>
      <c r="Z718" s="74"/>
      <c r="AA718" s="74"/>
      <c r="AB718" s="74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</row>
    <row r="719" spans="1:47">
      <c r="A719" s="323"/>
      <c r="B719" s="1"/>
      <c r="C719" s="21"/>
      <c r="D719" s="337"/>
      <c r="E719" s="2"/>
      <c r="F719" s="380"/>
      <c r="G719" s="337"/>
      <c r="H719" s="1"/>
      <c r="I719" s="380"/>
      <c r="J719" s="337"/>
      <c r="K719" s="1"/>
      <c r="L719" s="381"/>
      <c r="M719" s="381"/>
      <c r="N719" s="337"/>
      <c r="O719" s="1"/>
      <c r="P719" s="381"/>
      <c r="Q719" s="381"/>
      <c r="R719" s="337"/>
      <c r="S719" s="1"/>
      <c r="T719" s="381"/>
      <c r="U719" s="381"/>
      <c r="V719" s="337"/>
      <c r="W719" s="1"/>
      <c r="X719" s="381"/>
      <c r="Y719" s="20"/>
      <c r="Z719" s="74"/>
      <c r="AA719" s="74"/>
      <c r="AB719" s="74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</row>
    <row r="720" spans="1:47">
      <c r="A720" s="309" t="s">
        <v>449</v>
      </c>
      <c r="B720" s="1"/>
      <c r="C720" s="319"/>
      <c r="D720" s="2" t="s">
        <v>31</v>
      </c>
      <c r="E720" s="2"/>
      <c r="F720" s="1"/>
      <c r="G720" s="2" t="s">
        <v>31</v>
      </c>
      <c r="H720" s="1"/>
      <c r="I720" s="1"/>
      <c r="J720" s="2" t="s">
        <v>31</v>
      </c>
      <c r="K720" s="1"/>
      <c r="L720" s="1"/>
      <c r="M720" s="1"/>
      <c r="N720" s="2" t="s">
        <v>31</v>
      </c>
      <c r="O720" s="1"/>
      <c r="P720" s="1"/>
      <c r="Q720" s="1"/>
      <c r="R720" s="2" t="s">
        <v>31</v>
      </c>
      <c r="S720" s="1"/>
      <c r="T720" s="1"/>
      <c r="U720" s="1"/>
      <c r="V720" s="2" t="s">
        <v>31</v>
      </c>
      <c r="W720" s="1"/>
      <c r="X720" s="1"/>
      <c r="Y720" s="20"/>
      <c r="Z720" s="74"/>
      <c r="AA720" s="20"/>
      <c r="AB720" s="20"/>
      <c r="AC720" s="20"/>
      <c r="AD720" s="20"/>
      <c r="AE720" s="20"/>
      <c r="AF720" s="20"/>
      <c r="AG720" s="20"/>
      <c r="AH720" s="20"/>
      <c r="AI720" s="20"/>
      <c r="AM720" s="20"/>
      <c r="AN720" s="20"/>
      <c r="AO720" s="20"/>
      <c r="AP720" s="20"/>
      <c r="AQ720" s="20"/>
      <c r="AR720" s="20"/>
      <c r="AS720" s="20"/>
    </row>
    <row r="721" spans="1:45">
      <c r="A721" s="309" t="s">
        <v>450</v>
      </c>
      <c r="B721" s="1"/>
      <c r="C721" s="319">
        <f>C775+C828</f>
        <v>1050.4737336553778</v>
      </c>
      <c r="D721" s="337">
        <v>0</v>
      </c>
      <c r="E721" s="324"/>
      <c r="F721" s="321">
        <f>F775+F828</f>
        <v>0</v>
      </c>
      <c r="G721" s="337">
        <v>0</v>
      </c>
      <c r="H721" s="324"/>
      <c r="I721" s="321">
        <f>I775+I828</f>
        <v>0</v>
      </c>
      <c r="J721" s="337">
        <f>'Rate Design Work'!J720</f>
        <v>0</v>
      </c>
      <c r="K721" s="324"/>
      <c r="L721" s="321">
        <f>L775+L828</f>
        <v>0</v>
      </c>
      <c r="M721" s="321"/>
      <c r="N721" s="337">
        <f>'Rate Design Work'!N720</f>
        <v>0</v>
      </c>
      <c r="O721" s="324"/>
      <c r="P721" s="321">
        <f>'Rate Design Work'!P720</f>
        <v>0</v>
      </c>
      <c r="Q721" s="321"/>
      <c r="R721" s="337" t="str">
        <f>'Rate Design Work'!R720</f>
        <v xml:space="preserve"> </v>
      </c>
      <c r="S721" s="324"/>
      <c r="T721" s="321">
        <f>'Rate Design Work'!T720</f>
        <v>0</v>
      </c>
      <c r="U721" s="321"/>
      <c r="V721" s="337" t="str">
        <f>'Rate Design Work'!V720</f>
        <v xml:space="preserve"> </v>
      </c>
      <c r="W721" s="324"/>
      <c r="X721" s="321">
        <f>'Rate Design Work'!X720</f>
        <v>0</v>
      </c>
      <c r="AA721" s="14"/>
      <c r="AB721" s="14"/>
      <c r="AN721" s="20"/>
      <c r="AO721" s="20"/>
      <c r="AP721" s="20"/>
      <c r="AQ721" s="20"/>
      <c r="AR721" s="20"/>
      <c r="AS721" s="20"/>
    </row>
    <row r="722" spans="1:45">
      <c r="A722" s="309" t="s">
        <v>451</v>
      </c>
      <c r="B722" s="1"/>
      <c r="C722" s="319"/>
      <c r="D722" s="337"/>
      <c r="E722" s="324"/>
      <c r="F722" s="321"/>
      <c r="G722" s="337"/>
      <c r="H722" s="324"/>
      <c r="I722" s="321"/>
      <c r="J722" s="337"/>
      <c r="K722" s="324"/>
      <c r="L722" s="321"/>
      <c r="M722" s="321"/>
      <c r="N722" s="337"/>
      <c r="O722" s="324"/>
      <c r="P722" s="321"/>
      <c r="Q722" s="321"/>
      <c r="R722" s="337"/>
      <c r="S722" s="324"/>
      <c r="T722" s="321"/>
      <c r="U722" s="321"/>
      <c r="V722" s="337"/>
      <c r="W722" s="324"/>
      <c r="X722" s="321"/>
      <c r="AD722" s="84"/>
      <c r="AE722" s="666"/>
      <c r="AF722" s="84"/>
      <c r="AG722" s="666"/>
      <c r="AH722" s="84"/>
      <c r="AI722" s="84"/>
      <c r="AJ722" s="237"/>
      <c r="AN722" s="20"/>
      <c r="AO722" s="20"/>
      <c r="AP722" s="20"/>
      <c r="AQ722" s="20"/>
      <c r="AR722" s="20"/>
      <c r="AS722" s="20"/>
    </row>
    <row r="723" spans="1:45">
      <c r="A723" s="309" t="s">
        <v>452</v>
      </c>
      <c r="B723" s="1"/>
      <c r="C723" s="319">
        <f t="shared" ref="C723:C728" si="194">C777+C830</f>
        <v>3761.846699801777</v>
      </c>
      <c r="D723" s="337">
        <v>0</v>
      </c>
      <c r="E723" s="324"/>
      <c r="F723" s="321">
        <f>F777+F830</f>
        <v>0</v>
      </c>
      <c r="G723" s="337">
        <v>0</v>
      </c>
      <c r="H723" s="324"/>
      <c r="I723" s="321">
        <f>I777+I830</f>
        <v>0</v>
      </c>
      <c r="J723" s="337">
        <f>'Rate Design Work'!J722</f>
        <v>0</v>
      </c>
      <c r="K723" s="324"/>
      <c r="L723" s="321">
        <f>L777+L830</f>
        <v>0</v>
      </c>
      <c r="M723" s="321"/>
      <c r="N723" s="337">
        <f>'Rate Design Work'!N722</f>
        <v>0</v>
      </c>
      <c r="O723" s="324"/>
      <c r="P723" s="321">
        <f>'Rate Design Work'!P722</f>
        <v>0</v>
      </c>
      <c r="Q723" s="321"/>
      <c r="R723" s="337" t="str">
        <f>'Rate Design Work'!R722</f>
        <v xml:space="preserve"> </v>
      </c>
      <c r="S723" s="324"/>
      <c r="T723" s="321">
        <f>'Rate Design Work'!T722</f>
        <v>0</v>
      </c>
      <c r="U723" s="321"/>
      <c r="V723" s="337" t="str">
        <f>'Rate Design Work'!V722</f>
        <v xml:space="preserve"> </v>
      </c>
      <c r="W723" s="324"/>
      <c r="X723" s="321">
        <f>'Rate Design Work'!X722</f>
        <v>0</v>
      </c>
      <c r="Y723" s="53"/>
      <c r="AA723" s="792" t="s">
        <v>643</v>
      </c>
      <c r="AB723" s="792"/>
      <c r="AD723" s="84"/>
      <c r="AE723" s="666"/>
      <c r="AF723" s="84"/>
      <c r="AG723" s="666"/>
      <c r="AH723" s="84"/>
      <c r="AI723" s="84"/>
      <c r="AJ723" s="237"/>
      <c r="AN723" s="20"/>
      <c r="AO723" s="20"/>
      <c r="AP723" s="20"/>
      <c r="AQ723" s="20"/>
      <c r="AR723" s="20"/>
      <c r="AS723" s="20"/>
    </row>
    <row r="724" spans="1:45">
      <c r="A724" s="309" t="s">
        <v>453</v>
      </c>
      <c r="B724" s="1"/>
      <c r="C724" s="319">
        <f t="shared" si="194"/>
        <v>421.7095485187607</v>
      </c>
      <c r="D724" s="337">
        <v>357</v>
      </c>
      <c r="E724" s="324"/>
      <c r="F724" s="321">
        <f>F778+F831</f>
        <v>150550</v>
      </c>
      <c r="G724" s="337">
        <v>357</v>
      </c>
      <c r="H724" s="324"/>
      <c r="I724" s="321">
        <f>I778+I831</f>
        <v>150550</v>
      </c>
      <c r="J724" s="337">
        <f ca="1">'Rate Design Work'!J723</f>
        <v>375</v>
      </c>
      <c r="K724" s="324"/>
      <c r="L724" s="321">
        <f ca="1">L778+L831</f>
        <v>158141</v>
      </c>
      <c r="M724" s="321"/>
      <c r="N724" s="337">
        <f ca="1">'Rate Design Work'!N723</f>
        <v>375</v>
      </c>
      <c r="O724" s="324"/>
      <c r="P724" s="321">
        <f ca="1">'Rate Design Work'!P723</f>
        <v>158141</v>
      </c>
      <c r="Q724" s="321"/>
      <c r="R724" s="337" t="str">
        <f>'Rate Design Work'!R723</f>
        <v xml:space="preserve"> </v>
      </c>
      <c r="S724" s="324"/>
      <c r="T724" s="321">
        <f>'Rate Design Work'!T723</f>
        <v>0</v>
      </c>
      <c r="U724" s="321"/>
      <c r="V724" s="337" t="str">
        <f>'Rate Design Work'!V723</f>
        <v xml:space="preserve"> </v>
      </c>
      <c r="W724" s="324"/>
      <c r="X724" s="321">
        <f>'Rate Design Work'!X723</f>
        <v>0</v>
      </c>
      <c r="Y724" s="69"/>
      <c r="AA724" s="14">
        <f ca="1">(J724-G724)/G724</f>
        <v>5.0420168067226892E-2</v>
      </c>
      <c r="AB724" s="14"/>
      <c r="AC724" s="329"/>
      <c r="AD724" s="84"/>
      <c r="AE724" s="320"/>
      <c r="AF724" s="84"/>
      <c r="AG724" s="320"/>
      <c r="AH724" s="84"/>
      <c r="AI724" s="84"/>
      <c r="AJ724" s="744"/>
      <c r="AN724" s="20"/>
      <c r="AO724" s="20"/>
      <c r="AP724" s="20"/>
      <c r="AQ724" s="20"/>
      <c r="AR724" s="20"/>
      <c r="AS724" s="20"/>
    </row>
    <row r="725" spans="1:45">
      <c r="A725" s="309" t="s">
        <v>454</v>
      </c>
      <c r="B725" s="1"/>
      <c r="C725" s="319">
        <f t="shared" si="194"/>
        <v>13</v>
      </c>
      <c r="D725" s="337">
        <v>1457</v>
      </c>
      <c r="E725" s="324"/>
      <c r="F725" s="321">
        <f>F779+F832</f>
        <v>18941</v>
      </c>
      <c r="G725" s="337">
        <v>1457</v>
      </c>
      <c r="H725" s="324"/>
      <c r="I725" s="321">
        <f>I779+I832</f>
        <v>18941</v>
      </c>
      <c r="J725" s="337">
        <f ca="1">'Rate Design Work'!J724</f>
        <v>1530</v>
      </c>
      <c r="K725" s="324"/>
      <c r="L725" s="321">
        <f ca="1">L779+L832</f>
        <v>19890</v>
      </c>
      <c r="M725" s="321"/>
      <c r="N725" s="337">
        <f ca="1">'Rate Design Work'!N724</f>
        <v>1530</v>
      </c>
      <c r="O725" s="324"/>
      <c r="P725" s="321">
        <f ca="1">'Rate Design Work'!P724</f>
        <v>19890</v>
      </c>
      <c r="Q725" s="321"/>
      <c r="R725" s="337" t="str">
        <f>'Rate Design Work'!R724</f>
        <v xml:space="preserve"> </v>
      </c>
      <c r="S725" s="324"/>
      <c r="T725" s="321">
        <f>'Rate Design Work'!T724</f>
        <v>0</v>
      </c>
      <c r="U725" s="321"/>
      <c r="V725" s="337" t="str">
        <f>'Rate Design Work'!V724</f>
        <v xml:space="preserve"> </v>
      </c>
      <c r="W725" s="324"/>
      <c r="X725" s="321">
        <f>'Rate Design Work'!X724</f>
        <v>0</v>
      </c>
      <c r="Y725" s="69"/>
      <c r="AA725" s="14">
        <f ca="1">(J725-G725)/G725</f>
        <v>5.0102951269732326E-2</v>
      </c>
      <c r="AB725" s="14"/>
      <c r="AD725" s="84"/>
      <c r="AE725" s="84"/>
      <c r="AJ725" s="20"/>
      <c r="AM725" s="20"/>
      <c r="AN725" s="20"/>
      <c r="AO725" s="20"/>
      <c r="AP725" s="20"/>
      <c r="AQ725" s="20"/>
      <c r="AR725" s="20"/>
      <c r="AS725" s="20"/>
    </row>
    <row r="726" spans="1:45">
      <c r="A726" s="309" t="s">
        <v>362</v>
      </c>
      <c r="B726" s="1"/>
      <c r="C726" s="319">
        <f t="shared" si="194"/>
        <v>5247.0299819759166</v>
      </c>
      <c r="D726" s="337"/>
      <c r="E726" s="324"/>
      <c r="F726" s="321"/>
      <c r="G726" s="337"/>
      <c r="H726" s="324"/>
      <c r="I726" s="321"/>
      <c r="J726" s="337"/>
      <c r="K726" s="324"/>
      <c r="L726" s="321"/>
      <c r="M726" s="321"/>
      <c r="N726" s="337"/>
      <c r="O726" s="324"/>
      <c r="P726" s="321"/>
      <c r="Q726" s="321"/>
      <c r="R726" s="337"/>
      <c r="S726" s="324"/>
      <c r="T726" s="321"/>
      <c r="U726" s="321"/>
      <c r="V726" s="337"/>
      <c r="W726" s="324"/>
      <c r="X726" s="321"/>
      <c r="Y726" s="69"/>
      <c r="AA726" s="320"/>
      <c r="AB726" s="320"/>
      <c r="AC726" s="69"/>
      <c r="AJ726" s="329"/>
      <c r="AK726" s="329"/>
      <c r="AL726" s="20"/>
      <c r="AM726" s="20"/>
      <c r="AN726" s="20"/>
      <c r="AO726" s="20"/>
      <c r="AP726" s="20"/>
      <c r="AQ726" s="20"/>
      <c r="AR726" s="20"/>
      <c r="AS726" s="20"/>
    </row>
    <row r="727" spans="1:45">
      <c r="A727" s="309" t="s">
        <v>455</v>
      </c>
      <c r="B727" s="1"/>
      <c r="C727" s="319">
        <f t="shared" si="194"/>
        <v>38716.743333333157</v>
      </c>
      <c r="D727" s="337"/>
      <c r="E727" s="324"/>
      <c r="F727" s="321"/>
      <c r="G727" s="337"/>
      <c r="H727" s="324"/>
      <c r="I727" s="321"/>
      <c r="J727" s="337"/>
      <c r="K727" s="324"/>
      <c r="L727" s="321"/>
      <c r="M727" s="321"/>
      <c r="N727" s="337"/>
      <c r="O727" s="324"/>
      <c r="P727" s="321"/>
      <c r="Q727" s="321"/>
      <c r="R727" s="337"/>
      <c r="S727" s="324"/>
      <c r="T727" s="321"/>
      <c r="U727" s="321"/>
      <c r="V727" s="337"/>
      <c r="W727" s="324"/>
      <c r="X727" s="321"/>
      <c r="Y727" s="69"/>
      <c r="AC727" s="69"/>
      <c r="AL727" s="20"/>
      <c r="AM727" s="20"/>
      <c r="AN727" s="20"/>
      <c r="AO727" s="20"/>
      <c r="AP727" s="20"/>
      <c r="AQ727" s="20"/>
      <c r="AR727" s="20"/>
      <c r="AS727" s="20"/>
    </row>
    <row r="728" spans="1:45">
      <c r="A728" s="309" t="s">
        <v>104</v>
      </c>
      <c r="B728" s="1"/>
      <c r="C728" s="319">
        <f t="shared" si="194"/>
        <v>5792</v>
      </c>
      <c r="D728" s="337"/>
      <c r="E728" s="321"/>
      <c r="F728" s="321"/>
      <c r="G728" s="337"/>
      <c r="H728" s="321"/>
      <c r="I728" s="321"/>
      <c r="J728" s="337"/>
      <c r="K728" s="321"/>
      <c r="L728" s="740" t="s">
        <v>31</v>
      </c>
      <c r="M728" s="740"/>
      <c r="N728" s="337"/>
      <c r="O728" s="321"/>
      <c r="P728" s="740" t="s">
        <v>31</v>
      </c>
      <c r="Q728" s="740"/>
      <c r="R728" s="337"/>
      <c r="S728" s="321"/>
      <c r="T728" s="740" t="s">
        <v>31</v>
      </c>
      <c r="U728" s="740"/>
      <c r="V728" s="337"/>
      <c r="W728" s="321"/>
      <c r="X728" s="740" t="s">
        <v>31</v>
      </c>
      <c r="Y728" s="69"/>
      <c r="AA728" s="320"/>
      <c r="AB728" s="320"/>
      <c r="AC728" s="294"/>
      <c r="AL728" s="20"/>
      <c r="AM728" s="20"/>
      <c r="AN728" s="20"/>
      <c r="AO728" s="20"/>
      <c r="AP728" s="20"/>
      <c r="AQ728" s="20"/>
      <c r="AR728" s="20"/>
      <c r="AS728" s="20"/>
    </row>
    <row r="729" spans="1:45">
      <c r="A729" s="309" t="s">
        <v>456</v>
      </c>
      <c r="B729" s="1"/>
      <c r="C729" s="319"/>
      <c r="D729" s="337"/>
      <c r="E729" s="324"/>
      <c r="F729" s="321"/>
      <c r="G729" s="337"/>
      <c r="H729" s="324"/>
      <c r="I729" s="321"/>
      <c r="J729" s="337"/>
      <c r="K729" s="324"/>
      <c r="L729" s="321"/>
      <c r="M729" s="321"/>
      <c r="N729" s="337"/>
      <c r="O729" s="324"/>
      <c r="P729" s="321"/>
      <c r="Q729" s="321"/>
      <c r="R729" s="337"/>
      <c r="S729" s="324"/>
      <c r="T729" s="321"/>
      <c r="U729" s="321"/>
      <c r="V729" s="337"/>
      <c r="W729" s="324"/>
      <c r="X729" s="321"/>
      <c r="Y729" s="69"/>
      <c r="AA729" s="320"/>
      <c r="AB729" s="320"/>
      <c r="AC729" s="69"/>
      <c r="AL729" s="20"/>
      <c r="AM729" s="20"/>
      <c r="AN729" s="20"/>
      <c r="AO729" s="20"/>
      <c r="AP729" s="20"/>
      <c r="AQ729" s="20"/>
      <c r="AR729" s="20"/>
      <c r="AS729" s="20"/>
    </row>
    <row r="730" spans="1:45">
      <c r="A730" s="309" t="s">
        <v>457</v>
      </c>
      <c r="B730" s="1"/>
      <c r="C730" s="319">
        <f>C784+C837</f>
        <v>3152.4964645755495</v>
      </c>
      <c r="D730" s="337">
        <v>23.87</v>
      </c>
      <c r="E730" s="324"/>
      <c r="F730" s="321">
        <f>F784+F837</f>
        <v>75251</v>
      </c>
      <c r="G730" s="337">
        <v>25.265901957370488</v>
      </c>
      <c r="H730" s="324"/>
      <c r="I730" s="321">
        <f>I784+I837</f>
        <v>79651</v>
      </c>
      <c r="J730" s="337">
        <f ca="1">'Rate Design Work'!J729</f>
        <v>26.524302109100866</v>
      </c>
      <c r="K730" s="324"/>
      <c r="L730" s="321">
        <f ca="1">L784+L837</f>
        <v>83618</v>
      </c>
      <c r="M730" s="321"/>
      <c r="N730" s="337">
        <f ca="1">'Rate Design Work'!N729</f>
        <v>26.524302109100866</v>
      </c>
      <c r="O730" s="324"/>
      <c r="P730" s="321">
        <f ca="1">'Rate Design Work'!P729</f>
        <v>83618</v>
      </c>
      <c r="Q730" s="321"/>
      <c r="R730" s="337" t="str">
        <f>'Rate Design Work'!R729</f>
        <v xml:space="preserve"> </v>
      </c>
      <c r="S730" s="324"/>
      <c r="T730" s="321">
        <f>'Rate Design Work'!T729</f>
        <v>0</v>
      </c>
      <c r="U730" s="321"/>
      <c r="V730" s="337" t="str">
        <f>'Rate Design Work'!V729</f>
        <v xml:space="preserve"> </v>
      </c>
      <c r="W730" s="324"/>
      <c r="X730" s="321">
        <f>'Rate Design Work'!X729</f>
        <v>0</v>
      </c>
      <c r="Y730" s="376"/>
      <c r="AA730" s="14">
        <f ca="1">(J730-G730)/G730</f>
        <v>4.980626275893868E-2</v>
      </c>
      <c r="AB730" s="14"/>
      <c r="AC730" s="69"/>
      <c r="AN730" s="20"/>
      <c r="AO730" s="20"/>
      <c r="AP730" s="20"/>
      <c r="AQ730" s="20"/>
      <c r="AR730" s="20"/>
      <c r="AS730" s="20"/>
    </row>
    <row r="731" spans="1:45">
      <c r="A731" s="309" t="s">
        <v>458</v>
      </c>
      <c r="B731" s="1"/>
      <c r="C731" s="319"/>
      <c r="D731" s="337"/>
      <c r="E731" s="324"/>
      <c r="F731" s="321"/>
      <c r="G731" s="337"/>
      <c r="H731" s="324"/>
      <c r="I731" s="321"/>
      <c r="J731" s="337"/>
      <c r="K731" s="324"/>
      <c r="L731" s="321"/>
      <c r="M731" s="321"/>
      <c r="N731" s="337"/>
      <c r="O731" s="324"/>
      <c r="P731" s="321"/>
      <c r="Q731" s="321"/>
      <c r="R731" s="337"/>
      <c r="S731" s="324"/>
      <c r="T731" s="321"/>
      <c r="U731" s="321"/>
      <c r="V731" s="337"/>
      <c r="W731" s="324"/>
      <c r="X731" s="321"/>
      <c r="Y731" s="376"/>
      <c r="AA731" s="320"/>
      <c r="AB731" s="320"/>
      <c r="AC731" s="69"/>
      <c r="AN731" s="20"/>
      <c r="AO731" s="20"/>
      <c r="AP731" s="20"/>
      <c r="AQ731" s="20"/>
      <c r="AR731" s="20"/>
      <c r="AS731" s="20"/>
    </row>
    <row r="732" spans="1:45">
      <c r="A732" s="309" t="s">
        <v>452</v>
      </c>
      <c r="B732" s="1"/>
      <c r="C732" s="319">
        <f>C786+C839</f>
        <v>51992.896589696982</v>
      </c>
      <c r="D732" s="337">
        <v>23.79</v>
      </c>
      <c r="E732" s="324"/>
      <c r="F732" s="321">
        <f>F786+F839</f>
        <v>1236911</v>
      </c>
      <c r="G732" s="337">
        <v>25.171223609796559</v>
      </c>
      <c r="H732" s="324"/>
      <c r="I732" s="321">
        <f>I786+I839</f>
        <v>1308725</v>
      </c>
      <c r="J732" s="337">
        <f ca="1">'Rate Design Work'!J731</f>
        <v>26.414908186870086</v>
      </c>
      <c r="K732" s="324"/>
      <c r="L732" s="321">
        <f ca="1">L786+L839</f>
        <v>1373387</v>
      </c>
      <c r="M732" s="321"/>
      <c r="N732" s="337">
        <f ca="1">'Rate Design Work'!N731</f>
        <v>26.414908186870086</v>
      </c>
      <c r="O732" s="324"/>
      <c r="P732" s="321">
        <f ca="1">'Rate Design Work'!P731</f>
        <v>1373387</v>
      </c>
      <c r="Q732" s="321"/>
      <c r="R732" s="337" t="str">
        <f>'Rate Design Work'!R731</f>
        <v xml:space="preserve"> </v>
      </c>
      <c r="S732" s="324"/>
      <c r="T732" s="321">
        <f>'Rate Design Work'!T731</f>
        <v>0</v>
      </c>
      <c r="U732" s="321"/>
      <c r="V732" s="337" t="str">
        <f>'Rate Design Work'!V731</f>
        <v xml:space="preserve"> </v>
      </c>
      <c r="W732" s="324"/>
      <c r="X732" s="321">
        <f>'Rate Design Work'!X731</f>
        <v>0</v>
      </c>
      <c r="Y732" s="376"/>
      <c r="AA732" s="14">
        <f ca="1">(J732-G732)/G732</f>
        <v>4.9408983701113705E-2</v>
      </c>
      <c r="AB732" s="14"/>
      <c r="AC732" s="69"/>
      <c r="AN732" s="20"/>
      <c r="AO732" s="20"/>
      <c r="AP732" s="20"/>
      <c r="AQ732" s="20"/>
      <c r="AR732" s="20"/>
      <c r="AS732" s="20"/>
    </row>
    <row r="733" spans="1:45">
      <c r="A733" s="309" t="s">
        <v>453</v>
      </c>
      <c r="B733" s="1"/>
      <c r="C733" s="319">
        <f>C787+C840</f>
        <v>40499.362465837236</v>
      </c>
      <c r="D733" s="337">
        <v>16.559999999999999</v>
      </c>
      <c r="E733" s="324"/>
      <c r="F733" s="321">
        <f>F787+F840</f>
        <v>670669</v>
      </c>
      <c r="G733" s="337">
        <v>17.5284179478029</v>
      </c>
      <c r="H733" s="324"/>
      <c r="I733" s="321">
        <f>I787+I840</f>
        <v>709890</v>
      </c>
      <c r="J733" s="337">
        <f ca="1">'Rate Design Work'!J732</f>
        <v>18.401442937859667</v>
      </c>
      <c r="K733" s="324"/>
      <c r="L733" s="321">
        <f ca="1">L787+L840</f>
        <v>745247</v>
      </c>
      <c r="M733" s="321"/>
      <c r="N733" s="337">
        <f ca="1">'Rate Design Work'!N732</f>
        <v>18.401442937859667</v>
      </c>
      <c r="O733" s="324"/>
      <c r="P733" s="321">
        <f ca="1">'Rate Design Work'!P732</f>
        <v>745247</v>
      </c>
      <c r="Q733" s="321"/>
      <c r="R733" s="337" t="str">
        <f>'Rate Design Work'!R732</f>
        <v xml:space="preserve"> </v>
      </c>
      <c r="S733" s="324"/>
      <c r="T733" s="321">
        <f>'Rate Design Work'!T732</f>
        <v>0</v>
      </c>
      <c r="U733" s="321"/>
      <c r="V733" s="337" t="str">
        <f>'Rate Design Work'!V732</f>
        <v xml:space="preserve"> </v>
      </c>
      <c r="W733" s="324"/>
      <c r="X733" s="321">
        <f>'Rate Design Work'!X732</f>
        <v>0</v>
      </c>
      <c r="Y733" s="376"/>
      <c r="AA733" s="14">
        <f ca="1">(J733-G733)/G733</f>
        <v>4.980626275893859E-2</v>
      </c>
      <c r="AB733" s="14"/>
      <c r="AC733" s="69"/>
      <c r="AF733" s="84"/>
      <c r="AG733" s="84"/>
      <c r="AH733" s="84"/>
      <c r="AI733" s="84"/>
      <c r="AJ733" s="84"/>
      <c r="AK733" s="237"/>
      <c r="AL733" s="20" t="s">
        <v>31</v>
      </c>
      <c r="AM733" s="20"/>
      <c r="AN733" s="20"/>
      <c r="AO733" s="20"/>
      <c r="AP733" s="20"/>
      <c r="AQ733" s="20"/>
      <c r="AR733" s="20"/>
      <c r="AS733" s="20"/>
    </row>
    <row r="734" spans="1:45">
      <c r="A734" s="309" t="s">
        <v>454</v>
      </c>
      <c r="B734" s="1" t="s">
        <v>31</v>
      </c>
      <c r="C734" s="319">
        <f>C788+C841</f>
        <v>5276</v>
      </c>
      <c r="D734" s="337">
        <v>12.96</v>
      </c>
      <c r="E734" s="324"/>
      <c r="F734" s="321">
        <f>F788+F841</f>
        <v>68377</v>
      </c>
      <c r="G734" s="337">
        <v>13.717892306976186</v>
      </c>
      <c r="H734" s="324"/>
      <c r="I734" s="321">
        <f>I788+I841</f>
        <v>72376</v>
      </c>
      <c r="J734" s="337">
        <f ca="1">'Rate Design Work'!J733</f>
        <v>14.401129255716265</v>
      </c>
      <c r="K734" s="324"/>
      <c r="L734" s="321">
        <f ca="1">L788+L841</f>
        <v>75981</v>
      </c>
      <c r="M734" s="321"/>
      <c r="N734" s="337">
        <f ca="1">'Rate Design Work'!N733</f>
        <v>14.401129255716265</v>
      </c>
      <c r="O734" s="324"/>
      <c r="P734" s="321">
        <f ca="1">'Rate Design Work'!P733</f>
        <v>75981</v>
      </c>
      <c r="Q734" s="321"/>
      <c r="R734" s="337" t="str">
        <f>'Rate Design Work'!R733</f>
        <v xml:space="preserve"> </v>
      </c>
      <c r="S734" s="324"/>
      <c r="T734" s="321">
        <f>'Rate Design Work'!T733</f>
        <v>0</v>
      </c>
      <c r="U734" s="321"/>
      <c r="V734" s="337" t="str">
        <f>'Rate Design Work'!V733</f>
        <v xml:space="preserve"> </v>
      </c>
      <c r="W734" s="324"/>
      <c r="X734" s="321">
        <f>'Rate Design Work'!X733</f>
        <v>0</v>
      </c>
      <c r="Y734" s="376"/>
      <c r="AA734" s="14">
        <f ca="1">(J734-G734)/G734</f>
        <v>4.9806262758938673E-2</v>
      </c>
      <c r="AB734" s="14"/>
      <c r="AC734" s="69"/>
      <c r="AL734" s="20" t="s">
        <v>31</v>
      </c>
      <c r="AM734" s="20"/>
      <c r="AN734" s="20"/>
      <c r="AO734" s="20"/>
      <c r="AP734" s="20"/>
      <c r="AQ734" s="20"/>
      <c r="AR734" s="20"/>
      <c r="AS734" s="20"/>
    </row>
    <row r="735" spans="1:45">
      <c r="A735" s="309" t="s">
        <v>460</v>
      </c>
      <c r="B735" s="1"/>
      <c r="C735" s="319">
        <f>C789+C842</f>
        <v>590.57780050582846</v>
      </c>
      <c r="D735" s="337">
        <v>71.61</v>
      </c>
      <c r="E735" s="324"/>
      <c r="F735" s="321">
        <f>F789+F842</f>
        <v>42292</v>
      </c>
      <c r="G735" s="337">
        <v>75.797705872111464</v>
      </c>
      <c r="H735" s="324"/>
      <c r="I735" s="321">
        <f>I789+I842</f>
        <v>44765</v>
      </c>
      <c r="J735" s="337">
        <f ca="1">'Rate Design Work'!J734</f>
        <v>79.572906327302604</v>
      </c>
      <c r="K735" s="324"/>
      <c r="L735" s="321">
        <f ca="1">L789+L842</f>
        <v>46994</v>
      </c>
      <c r="M735" s="321"/>
      <c r="N735" s="337">
        <f ca="1">'Rate Design Work'!N734</f>
        <v>79.572906327302604</v>
      </c>
      <c r="O735" s="324"/>
      <c r="P735" s="321">
        <f ca="1">'Rate Design Work'!P734</f>
        <v>46994</v>
      </c>
      <c r="Q735" s="321"/>
      <c r="R735" s="337" t="str">
        <f>'Rate Design Work'!R734</f>
        <v xml:space="preserve"> </v>
      </c>
      <c r="S735" s="324"/>
      <c r="T735" s="321">
        <f>'Rate Design Work'!T734</f>
        <v>0</v>
      </c>
      <c r="U735" s="321"/>
      <c r="V735" s="337" t="str">
        <f>'Rate Design Work'!V734</f>
        <v xml:space="preserve"> </v>
      </c>
      <c r="W735" s="324"/>
      <c r="X735" s="321">
        <f>'Rate Design Work'!X734</f>
        <v>0</v>
      </c>
      <c r="Y735" s="69"/>
      <c r="AA735" s="14">
        <f ca="1">(J735-G735)/G735</f>
        <v>4.980626275893877E-2</v>
      </c>
      <c r="AB735" s="14"/>
      <c r="AC735" s="69"/>
      <c r="AL735" s="20"/>
      <c r="AM735" s="20"/>
      <c r="AN735" s="20"/>
      <c r="AO735" s="20"/>
      <c r="AP735" s="20"/>
      <c r="AQ735" s="20"/>
      <c r="AR735" s="20"/>
      <c r="AS735" s="20"/>
    </row>
    <row r="736" spans="1:45">
      <c r="A736" s="309" t="s">
        <v>461</v>
      </c>
      <c r="B736" s="1"/>
      <c r="C736" s="319">
        <f>C790+C843</f>
        <v>1018.0903941811775</v>
      </c>
      <c r="D736" s="337">
        <v>142.74</v>
      </c>
      <c r="E736" s="324"/>
      <c r="F736" s="321">
        <f>F790+F843</f>
        <v>145322</v>
      </c>
      <c r="G736" s="337">
        <v>151.02734165877936</v>
      </c>
      <c r="H736" s="324"/>
      <c r="I736" s="321">
        <f>I790+I843</f>
        <v>153760</v>
      </c>
      <c r="J736" s="337">
        <f ca="1">'Rate Design Work'!J735</f>
        <v>158.4894491212205</v>
      </c>
      <c r="K736" s="324"/>
      <c r="L736" s="321">
        <f ca="1">L790+L843</f>
        <v>161356</v>
      </c>
      <c r="M736" s="321"/>
      <c r="N736" s="337">
        <f ca="1">'Rate Design Work'!N735</f>
        <v>158.4894491212205</v>
      </c>
      <c r="O736" s="324"/>
      <c r="P736" s="321">
        <f ca="1">'Rate Design Work'!P735</f>
        <v>161356</v>
      </c>
      <c r="Q736" s="321"/>
      <c r="R736" s="337" t="str">
        <f>'Rate Design Work'!R735</f>
        <v xml:space="preserve"> </v>
      </c>
      <c r="S736" s="324"/>
      <c r="T736" s="321">
        <f>'Rate Design Work'!T735</f>
        <v>0</v>
      </c>
      <c r="U736" s="321"/>
      <c r="V736" s="337" t="str">
        <f>'Rate Design Work'!V735</f>
        <v xml:space="preserve"> </v>
      </c>
      <c r="W736" s="324"/>
      <c r="X736" s="321">
        <f>'Rate Design Work'!X735</f>
        <v>0</v>
      </c>
      <c r="Y736" s="69"/>
      <c r="AA736" s="14">
        <f ca="1">(J736-G736)/G736</f>
        <v>4.9408983701113567E-2</v>
      </c>
      <c r="AB736" s="14"/>
      <c r="AC736" s="69"/>
      <c r="AL736" s="20"/>
      <c r="AM736" s="20"/>
      <c r="AN736" s="20"/>
      <c r="AO736" s="20"/>
      <c r="AP736" s="20"/>
      <c r="AQ736" s="20"/>
      <c r="AR736" s="20"/>
      <c r="AS736" s="20"/>
    </row>
    <row r="737" spans="1:47">
      <c r="A737" s="309" t="s">
        <v>462</v>
      </c>
      <c r="B737" s="1"/>
      <c r="C737" s="319"/>
      <c r="D737" s="337"/>
      <c r="E737" s="324"/>
      <c r="F737" s="321"/>
      <c r="G737" s="337"/>
      <c r="H737" s="324"/>
      <c r="I737" s="321"/>
      <c r="J737" s="337"/>
      <c r="K737" s="324"/>
      <c r="L737" s="321"/>
      <c r="M737" s="321"/>
      <c r="N737" s="337"/>
      <c r="O737" s="324"/>
      <c r="P737" s="321"/>
      <c r="Q737" s="321"/>
      <c r="R737" s="337"/>
      <c r="S737" s="324"/>
      <c r="T737" s="321"/>
      <c r="U737" s="321"/>
      <c r="V737" s="337"/>
      <c r="W737" s="324"/>
      <c r="X737" s="321"/>
      <c r="Y737" s="69"/>
      <c r="AA737" s="3"/>
      <c r="AB737" s="3"/>
      <c r="AC737" s="69"/>
      <c r="AL737" s="20"/>
      <c r="AM737" s="20"/>
      <c r="AN737" s="20"/>
      <c r="AO737" s="20"/>
      <c r="AP737" s="20"/>
      <c r="AQ737" s="20"/>
      <c r="AR737" s="20"/>
      <c r="AS737" s="20"/>
    </row>
    <row r="738" spans="1:47">
      <c r="A738" s="309" t="s">
        <v>457</v>
      </c>
      <c r="B738" s="1"/>
      <c r="C738" s="319">
        <f>C792+C845</f>
        <v>41.301659380740766</v>
      </c>
      <c r="D738" s="363">
        <v>-23.87</v>
      </c>
      <c r="E738" s="324"/>
      <c r="F738" s="321">
        <f>F792+F845</f>
        <v>-986</v>
      </c>
      <c r="G738" s="363">
        <v>-25.265901957370488</v>
      </c>
      <c r="H738" s="324"/>
      <c r="I738" s="321">
        <f>I792+I845</f>
        <v>-1043</v>
      </c>
      <c r="J738" s="363">
        <f ca="1">-J730</f>
        <v>-26.524302109100866</v>
      </c>
      <c r="K738" s="324"/>
      <c r="L738" s="321">
        <f ca="1">L792+L845</f>
        <v>-1095</v>
      </c>
      <c r="M738" s="321"/>
      <c r="N738" s="363">
        <f ca="1">-N730</f>
        <v>-26.524302109100866</v>
      </c>
      <c r="O738" s="324"/>
      <c r="P738" s="321">
        <f ca="1">'Rate Design Work'!P737</f>
        <v>-1095</v>
      </c>
      <c r="Q738" s="321"/>
      <c r="R738" s="363">
        <f>-R730</f>
        <v>0</v>
      </c>
      <c r="S738" s="324"/>
      <c r="T738" s="321">
        <f>'Rate Design Work'!T737</f>
        <v>0</v>
      </c>
      <c r="U738" s="321"/>
      <c r="V738" s="363">
        <f>-V730</f>
        <v>0</v>
      </c>
      <c r="W738" s="324"/>
      <c r="X738" s="321">
        <f>'Rate Design Work'!X737</f>
        <v>0</v>
      </c>
      <c r="Y738" s="69"/>
      <c r="AA738" s="3"/>
      <c r="AB738" s="3"/>
      <c r="AC738" s="69"/>
      <c r="AL738" s="20"/>
      <c r="AM738" s="20"/>
      <c r="AN738" s="20"/>
      <c r="AO738" s="20"/>
      <c r="AP738" s="20"/>
      <c r="AQ738" s="20"/>
      <c r="AR738" s="20"/>
      <c r="AS738" s="20"/>
    </row>
    <row r="739" spans="1:47">
      <c r="A739" s="309" t="s">
        <v>463</v>
      </c>
      <c r="B739" s="1"/>
      <c r="C739" s="319">
        <f>C793+C846</f>
        <v>311.0071403485303</v>
      </c>
      <c r="D739" s="363">
        <v>-23.79</v>
      </c>
      <c r="E739" s="324"/>
      <c r="F739" s="321">
        <f>F793+F846</f>
        <v>-7399</v>
      </c>
      <c r="G739" s="363">
        <v>-25.171223609796559</v>
      </c>
      <c r="H739" s="324"/>
      <c r="I739" s="321">
        <f>I793+I846</f>
        <v>-7828</v>
      </c>
      <c r="J739" s="363">
        <f ca="1">-J732</f>
        <v>-26.414908186870086</v>
      </c>
      <c r="K739" s="324"/>
      <c r="L739" s="321">
        <f ca="1">L793+L846</f>
        <v>-8215</v>
      </c>
      <c r="M739" s="321"/>
      <c r="N739" s="363">
        <f ca="1">-N732</f>
        <v>-26.414908186870086</v>
      </c>
      <c r="O739" s="324"/>
      <c r="P739" s="321">
        <f ca="1">'Rate Design Work'!P738</f>
        <v>-8215</v>
      </c>
      <c r="Q739" s="321"/>
      <c r="R739" s="363">
        <f>-R732</f>
        <v>0</v>
      </c>
      <c r="S739" s="324"/>
      <c r="T739" s="321">
        <f>'Rate Design Work'!T738</f>
        <v>0</v>
      </c>
      <c r="U739" s="321"/>
      <c r="V739" s="363">
        <f>-V732</f>
        <v>0</v>
      </c>
      <c r="W739" s="324"/>
      <c r="X739" s="321">
        <f>'Rate Design Work'!X738</f>
        <v>0</v>
      </c>
      <c r="Y739" s="69"/>
      <c r="AA739" s="3"/>
      <c r="AB739" s="3"/>
      <c r="AC739" s="69"/>
      <c r="AL739" s="20"/>
      <c r="AM739" s="20"/>
      <c r="AN739" s="20"/>
      <c r="AO739" s="20"/>
      <c r="AP739" s="20"/>
      <c r="AQ739" s="20"/>
      <c r="AR739" s="20"/>
      <c r="AS739" s="20"/>
    </row>
    <row r="740" spans="1:47">
      <c r="A740" s="323" t="s">
        <v>426</v>
      </c>
      <c r="B740" s="1"/>
      <c r="C740" s="319">
        <f>C794+C847</f>
        <v>0</v>
      </c>
      <c r="D740" s="337"/>
      <c r="E740" s="321"/>
      <c r="F740" s="321"/>
      <c r="G740" s="337"/>
      <c r="H740" s="321"/>
      <c r="I740" s="321"/>
      <c r="J740" s="337"/>
      <c r="K740" s="321"/>
      <c r="L740" s="321"/>
      <c r="M740" s="321"/>
      <c r="N740" s="337"/>
      <c r="O740" s="321"/>
      <c r="P740" s="321"/>
      <c r="Q740" s="883" t="s">
        <v>31</v>
      </c>
      <c r="R740" s="337"/>
      <c r="S740" s="321"/>
      <c r="T740" s="321"/>
      <c r="U740" s="321"/>
      <c r="V740" s="337"/>
      <c r="W740" s="321"/>
      <c r="X740" s="321"/>
      <c r="Y740" s="69"/>
      <c r="AA740" s="3"/>
      <c r="AB740" s="3"/>
      <c r="AC740" s="69"/>
      <c r="AD740" s="3" t="s">
        <v>31</v>
      </c>
      <c r="AL740" s="20"/>
      <c r="AM740" s="20"/>
      <c r="AN740" s="20"/>
      <c r="AO740" s="20"/>
      <c r="AP740" s="20"/>
      <c r="AQ740" s="20"/>
      <c r="AR740" s="20"/>
      <c r="AS740" s="20"/>
    </row>
    <row r="741" spans="1:47">
      <c r="A741" s="309" t="s">
        <v>464</v>
      </c>
      <c r="B741" s="1"/>
      <c r="C741" s="319">
        <f>C795+C848</f>
        <v>148745366.55847031</v>
      </c>
      <c r="D741" s="383">
        <v>6.4390000000000001</v>
      </c>
      <c r="E741" s="321" t="s">
        <v>374</v>
      </c>
      <c r="F741" s="321">
        <f>F795+F848</f>
        <v>9577714</v>
      </c>
      <c r="G741" s="383">
        <v>6.8159999999999998</v>
      </c>
      <c r="H741" s="321" t="s">
        <v>374</v>
      </c>
      <c r="I741" s="321">
        <f>I795+I848</f>
        <v>10138484</v>
      </c>
      <c r="J741" s="383">
        <f ca="1">'Rate Design Work'!J740</f>
        <v>3.9140000000000001</v>
      </c>
      <c r="K741" s="321" t="s">
        <v>374</v>
      </c>
      <c r="L741" s="321">
        <f ca="1">L795+L848</f>
        <v>5821893</v>
      </c>
      <c r="M741" s="321"/>
      <c r="N741" s="383">
        <f ca="1">'Rate Design Work'!N740</f>
        <v>0.10011647788394891</v>
      </c>
      <c r="O741" s="883" t="s">
        <v>31</v>
      </c>
      <c r="P741" s="321">
        <f ca="1">'Rate Design Work'!P740</f>
        <v>148918.62201390968</v>
      </c>
      <c r="Q741" s="321"/>
      <c r="R741" s="383">
        <f ca="1">'Rate Design Work'!R740</f>
        <v>1.3911559920341985</v>
      </c>
      <c r="S741" s="321" t="s">
        <v>374</v>
      </c>
      <c r="T741" s="321">
        <f ca="1">'Rate Design Work'!T740</f>
        <v>2069280.0797513926</v>
      </c>
      <c r="U741" s="321"/>
      <c r="V741" s="383">
        <f ca="1">'Rate Design Work'!V740</f>
        <v>2.4227485087524854</v>
      </c>
      <c r="W741" s="321" t="s">
        <v>374</v>
      </c>
      <c r="X741" s="321">
        <f ca="1">'Rate Design Work'!X740</f>
        <v>3603726.1501337579</v>
      </c>
      <c r="Y741" s="338"/>
      <c r="AA741" s="14">
        <f ca="1">((J741+J743)-G741)/G741</f>
        <v>4.9735915492957805E-2</v>
      </c>
      <c r="AB741" s="14"/>
      <c r="AC741" s="69"/>
      <c r="AL741" s="20"/>
      <c r="AM741" s="20"/>
      <c r="AN741" s="20"/>
      <c r="AO741" s="20"/>
      <c r="AP741" s="20"/>
      <c r="AQ741" s="20"/>
      <c r="AR741" s="20"/>
      <c r="AS741" s="20"/>
    </row>
    <row r="742" spans="1:47">
      <c r="A742" s="323" t="s">
        <v>400</v>
      </c>
      <c r="B742" s="1"/>
      <c r="C742" s="319">
        <f>C796+C849</f>
        <v>54173</v>
      </c>
      <c r="D742" s="614">
        <v>56</v>
      </c>
      <c r="E742" s="323" t="s">
        <v>374</v>
      </c>
      <c r="F742" s="321">
        <f>F796+F849</f>
        <v>30337</v>
      </c>
      <c r="G742" s="614">
        <v>56</v>
      </c>
      <c r="H742" s="323" t="s">
        <v>374</v>
      </c>
      <c r="I742" s="321">
        <f>I796+I849</f>
        <v>30337</v>
      </c>
      <c r="J742" s="614">
        <f>'Rate Design Work'!J741</f>
        <v>56</v>
      </c>
      <c r="K742" s="323" t="s">
        <v>374</v>
      </c>
      <c r="L742" s="321">
        <f>L796+L849</f>
        <v>30337</v>
      </c>
      <c r="M742" s="321"/>
      <c r="N742" s="614" t="str">
        <f>'Rate Design Work'!N741</f>
        <v xml:space="preserve"> </v>
      </c>
      <c r="O742" s="421" t="s">
        <v>31</v>
      </c>
      <c r="P742" s="321">
        <f>'Rate Design Work'!P741</f>
        <v>0</v>
      </c>
      <c r="Q742" s="321"/>
      <c r="R742" s="614">
        <f ca="1">'Rate Design Work'!R741</f>
        <v>11</v>
      </c>
      <c r="S742" s="323" t="s">
        <v>374</v>
      </c>
      <c r="T742" s="321">
        <f ca="1">'Rate Design Work'!T741</f>
        <v>5982.1505242850199</v>
      </c>
      <c r="U742" s="321"/>
      <c r="V742" s="614">
        <f ca="1">'Rate Design Work'!V741</f>
        <v>45</v>
      </c>
      <c r="W742" s="323" t="s">
        <v>374</v>
      </c>
      <c r="X742" s="321">
        <f ca="1">'Rate Design Work'!X741</f>
        <v>24354.849475714978</v>
      </c>
      <c r="AA742" s="14">
        <f>(J742-G742)/G742</f>
        <v>0</v>
      </c>
      <c r="AB742" s="14"/>
      <c r="AC742" s="69"/>
      <c r="AL742" s="20"/>
      <c r="AM742" s="20"/>
      <c r="AN742" s="20"/>
      <c r="AO742" s="20"/>
      <c r="AP742" s="20"/>
      <c r="AQ742" s="20"/>
      <c r="AR742" s="20"/>
      <c r="AS742" s="20"/>
    </row>
    <row r="743" spans="1:47" s="1184" customFormat="1">
      <c r="A743" s="1005" t="s">
        <v>1035</v>
      </c>
      <c r="C743" s="1026">
        <f>C741</f>
        <v>148745366.55847031</v>
      </c>
      <c r="D743" s="269"/>
      <c r="E743" s="1185"/>
      <c r="F743" s="1203"/>
      <c r="G743" s="269"/>
      <c r="H743" s="1185"/>
      <c r="I743" s="1203"/>
      <c r="J743" s="1230">
        <f>'Rate Design Work'!J742</f>
        <v>3.2410000000000001</v>
      </c>
      <c r="K743" s="1009" t="s">
        <v>374</v>
      </c>
      <c r="L743" s="1041">
        <f>L797+L850</f>
        <v>4820837</v>
      </c>
      <c r="M743" s="1041"/>
      <c r="N743" s="1230" t="str">
        <f>'Rate Design Work'!N742</f>
        <v xml:space="preserve"> </v>
      </c>
      <c r="O743" s="1009" t="s">
        <v>31</v>
      </c>
      <c r="P743" s="321">
        <f>'Rate Design Work'!P742</f>
        <v>0</v>
      </c>
      <c r="Q743" s="1041"/>
      <c r="R743" s="1230" t="str">
        <f>'Rate Design Work'!R742</f>
        <v xml:space="preserve"> </v>
      </c>
      <c r="S743" s="1009" t="s">
        <v>31</v>
      </c>
      <c r="T743" s="1041">
        <f>T797+T850</f>
        <v>0</v>
      </c>
      <c r="U743" s="1041"/>
      <c r="V743" s="1230">
        <f>'Rate Design Work'!V742</f>
        <v>3.2410000000000001</v>
      </c>
      <c r="W743" s="1009" t="s">
        <v>374</v>
      </c>
      <c r="X743" s="321">
        <f>'Rate Design Work'!X742</f>
        <v>4820837</v>
      </c>
      <c r="Y743" s="1204">
        <f>'NPC Spread'!I33</f>
        <v>4820591.7626756122</v>
      </c>
      <c r="Z743" s="815" t="s">
        <v>913</v>
      </c>
      <c r="AC743" s="1205"/>
      <c r="AD743" s="1205"/>
      <c r="AI743" s="1185"/>
      <c r="AJ743" s="1185"/>
      <c r="AK743" s="1185"/>
      <c r="AL743" s="1185"/>
      <c r="AM743" s="1185"/>
      <c r="AN743" s="1185"/>
      <c r="AO743" s="1185"/>
      <c r="AP743" s="1185"/>
      <c r="AQ743" s="1185"/>
      <c r="AR743" s="1185"/>
      <c r="AS743" s="1185"/>
      <c r="AU743" s="1204"/>
    </row>
    <row r="744" spans="1:47" s="1184" customFormat="1">
      <c r="A744" s="1509" t="s">
        <v>929</v>
      </c>
      <c r="B744" s="1510"/>
      <c r="C744" s="1517"/>
      <c r="D744" s="1512"/>
      <c r="E744" s="1513"/>
      <c r="F744" s="1514"/>
      <c r="G744" s="1522">
        <f>G741</f>
        <v>6.8159999999999998</v>
      </c>
      <c r="H744" s="1518" t="s">
        <v>374</v>
      </c>
      <c r="I744" s="1514"/>
      <c r="J744" s="1515">
        <f ca="1">J741+J743</f>
        <v>7.1550000000000002</v>
      </c>
      <c r="K744" s="1518" t="s">
        <v>374</v>
      </c>
      <c r="L744" s="1521"/>
      <c r="M744" s="1521"/>
      <c r="N744" s="1515">
        <f ca="1">N741+N743</f>
        <v>0.10011647788394891</v>
      </c>
      <c r="O744" s="1518" t="s">
        <v>374</v>
      </c>
      <c r="P744" s="1521"/>
      <c r="Q744" s="1521"/>
      <c r="R744" s="1515">
        <f ca="1">R741+R743</f>
        <v>1.3911559920341985</v>
      </c>
      <c r="S744" s="1518" t="s">
        <v>374</v>
      </c>
      <c r="T744" s="1521"/>
      <c r="U744" s="1521"/>
      <c r="V744" s="1515">
        <f ca="1">V741+V743</f>
        <v>5.6637485087524855</v>
      </c>
      <c r="W744" s="1518" t="s">
        <v>374</v>
      </c>
      <c r="X744" s="1521"/>
      <c r="Y744" s="1204"/>
      <c r="Z744" s="815"/>
      <c r="AA744" s="55">
        <f ca="1">(J744-G744)/G744</f>
        <v>4.9735915492957805E-2</v>
      </c>
      <c r="AC744" s="1205"/>
      <c r="AD744" s="1205"/>
      <c r="AI744" s="1185"/>
      <c r="AJ744" s="1185"/>
      <c r="AK744" s="1185"/>
      <c r="AL744" s="1185"/>
      <c r="AM744" s="1185"/>
      <c r="AN744" s="1185"/>
      <c r="AO744" s="1185"/>
      <c r="AP744" s="1185"/>
      <c r="AQ744" s="1185"/>
      <c r="AR744" s="1185"/>
      <c r="AS744" s="1185"/>
      <c r="AU744" s="1204"/>
    </row>
    <row r="745" spans="1:47">
      <c r="A745" s="360" t="s">
        <v>401</v>
      </c>
      <c r="B745" s="1"/>
      <c r="C745" s="319"/>
      <c r="D745" s="332">
        <v>-0.01</v>
      </c>
      <c r="E745" s="2"/>
      <c r="F745" s="321"/>
      <c r="G745" s="332">
        <v>-0.01</v>
      </c>
      <c r="H745" s="1"/>
      <c r="I745" s="321"/>
      <c r="J745" s="332">
        <v>-0.01</v>
      </c>
      <c r="K745" s="1"/>
      <c r="L745" s="321"/>
      <c r="M745" s="321"/>
      <c r="N745" s="332">
        <v>-0.01</v>
      </c>
      <c r="O745" s="1"/>
      <c r="P745" s="321"/>
      <c r="Q745" s="321"/>
      <c r="R745" s="332">
        <v>-0.01</v>
      </c>
      <c r="S745" s="1"/>
      <c r="T745" s="321"/>
      <c r="U745" s="321"/>
      <c r="V745" s="332">
        <v>-0.01</v>
      </c>
      <c r="W745" s="1"/>
      <c r="X745" s="321"/>
      <c r="AL745" s="20"/>
      <c r="AM745" s="20"/>
      <c r="AN745" s="20"/>
      <c r="AO745" s="20"/>
      <c r="AP745" s="20"/>
      <c r="AQ745" s="20"/>
      <c r="AR745" s="20"/>
      <c r="AS745" s="20"/>
    </row>
    <row r="746" spans="1:47">
      <c r="A746" s="309" t="s">
        <v>390</v>
      </c>
      <c r="B746" s="1"/>
      <c r="C746" s="319">
        <f>C799+C852</f>
        <v>0</v>
      </c>
      <c r="D746" s="384">
        <v>0</v>
      </c>
      <c r="E746" s="324"/>
      <c r="F746" s="321">
        <f>F799+F852</f>
        <v>0</v>
      </c>
      <c r="G746" s="384">
        <v>0</v>
      </c>
      <c r="H746" s="324"/>
      <c r="I746" s="321">
        <f>I799+I852</f>
        <v>0</v>
      </c>
      <c r="J746" s="384">
        <f>J721</f>
        <v>0</v>
      </c>
      <c r="K746" s="324"/>
      <c r="L746" s="321">
        <f>L799+L852</f>
        <v>0</v>
      </c>
      <c r="M746" s="321"/>
      <c r="N746" s="384">
        <f>N721</f>
        <v>0</v>
      </c>
      <c r="O746" s="324"/>
      <c r="P746" s="321">
        <f>'Rate Design Work'!P745</f>
        <v>0</v>
      </c>
      <c r="Q746" s="321"/>
      <c r="R746" s="384" t="str">
        <f>R721</f>
        <v xml:space="preserve"> </v>
      </c>
      <c r="S746" s="324"/>
      <c r="T746" s="321">
        <f>'Rate Design Work'!T745</f>
        <v>0</v>
      </c>
      <c r="U746" s="321"/>
      <c r="V746" s="384" t="str">
        <f>V721</f>
        <v xml:space="preserve"> </v>
      </c>
      <c r="W746" s="324"/>
      <c r="X746" s="321">
        <f>'Rate Design Work'!X745</f>
        <v>0</v>
      </c>
      <c r="AL746" s="20"/>
      <c r="AM746" s="20"/>
      <c r="AN746" s="20"/>
      <c r="AO746" s="20"/>
      <c r="AP746" s="20"/>
      <c r="AQ746" s="20"/>
      <c r="AR746" s="20"/>
      <c r="AS746" s="20"/>
    </row>
    <row r="747" spans="1:47">
      <c r="A747" s="309" t="s">
        <v>391</v>
      </c>
      <c r="B747" s="1"/>
      <c r="C747" s="319"/>
      <c r="D747" s="384"/>
      <c r="E747" s="324"/>
      <c r="F747" s="321"/>
      <c r="G747" s="384"/>
      <c r="H747" s="324"/>
      <c r="I747" s="321"/>
      <c r="J747" s="384"/>
      <c r="K747" s="324"/>
      <c r="L747" s="321"/>
      <c r="M747" s="321"/>
      <c r="N747" s="384"/>
      <c r="O747" s="324"/>
      <c r="P747" s="321"/>
      <c r="Q747" s="321"/>
      <c r="R747" s="384"/>
      <c r="S747" s="324"/>
      <c r="T747" s="321"/>
      <c r="U747" s="321"/>
      <c r="V747" s="384"/>
      <c r="W747" s="324"/>
      <c r="X747" s="321"/>
      <c r="AL747" s="20"/>
      <c r="AM747" s="20"/>
      <c r="AN747" s="20"/>
      <c r="AO747" s="20"/>
      <c r="AP747" s="20"/>
      <c r="AQ747" s="20"/>
      <c r="AR747" s="20"/>
      <c r="AS747" s="20"/>
    </row>
    <row r="748" spans="1:47">
      <c r="A748" s="309" t="s">
        <v>452</v>
      </c>
      <c r="B748" s="1"/>
      <c r="C748" s="319">
        <f>C801+C854</f>
        <v>1.00272540556427</v>
      </c>
      <c r="D748" s="384">
        <v>0</v>
      </c>
      <c r="E748" s="324"/>
      <c r="F748" s="321">
        <f>F801+F854</f>
        <v>0</v>
      </c>
      <c r="G748" s="384">
        <v>0</v>
      </c>
      <c r="H748" s="324"/>
      <c r="I748" s="321">
        <f>I801+I854</f>
        <v>0</v>
      </c>
      <c r="J748" s="384">
        <f>J723</f>
        <v>0</v>
      </c>
      <c r="K748" s="324"/>
      <c r="L748" s="321">
        <f>L801+L854</f>
        <v>0</v>
      </c>
      <c r="M748" s="321"/>
      <c r="N748" s="384">
        <f>N723</f>
        <v>0</v>
      </c>
      <c r="O748" s="324"/>
      <c r="P748" s="321">
        <f>'Rate Design Work'!P747</f>
        <v>0</v>
      </c>
      <c r="Q748" s="321"/>
      <c r="R748" s="384" t="str">
        <f>R723</f>
        <v xml:space="preserve"> </v>
      </c>
      <c r="S748" s="324"/>
      <c r="T748" s="321">
        <f>'Rate Design Work'!T747</f>
        <v>0</v>
      </c>
      <c r="U748" s="321"/>
      <c r="V748" s="384" t="str">
        <f>V723</f>
        <v xml:space="preserve"> </v>
      </c>
      <c r="W748" s="324"/>
      <c r="X748" s="321">
        <f>'Rate Design Work'!X747</f>
        <v>0</v>
      </c>
      <c r="AL748" s="20"/>
      <c r="AM748" s="20"/>
      <c r="AN748" s="20"/>
      <c r="AO748" s="20"/>
      <c r="AP748" s="20"/>
      <c r="AQ748" s="20"/>
      <c r="AR748" s="20"/>
      <c r="AS748" s="20"/>
    </row>
    <row r="749" spans="1:47">
      <c r="A749" s="309" t="s">
        <v>453</v>
      </c>
      <c r="B749" s="1"/>
      <c r="C749" s="319">
        <f>C802+C855</f>
        <v>0</v>
      </c>
      <c r="D749" s="384">
        <v>357</v>
      </c>
      <c r="E749" s="324"/>
      <c r="F749" s="321">
        <f>F802+F855</f>
        <v>0</v>
      </c>
      <c r="G749" s="384">
        <v>357</v>
      </c>
      <c r="H749" s="324"/>
      <c r="I749" s="321">
        <f>I802+I855</f>
        <v>0</v>
      </c>
      <c r="J749" s="384">
        <f ca="1">J724</f>
        <v>375</v>
      </c>
      <c r="K749" s="324"/>
      <c r="L749" s="321">
        <f ca="1">L802+L855</f>
        <v>0</v>
      </c>
      <c r="M749" s="321"/>
      <c r="N749" s="384">
        <f ca="1">N724</f>
        <v>375</v>
      </c>
      <c r="O749" s="324"/>
      <c r="P749" s="321">
        <f ca="1">'Rate Design Work'!P748</f>
        <v>0</v>
      </c>
      <c r="Q749" s="321"/>
      <c r="R749" s="384" t="str">
        <f>R724</f>
        <v xml:space="preserve"> </v>
      </c>
      <c r="S749" s="324"/>
      <c r="T749" s="321">
        <f>'Rate Design Work'!T748</f>
        <v>0</v>
      </c>
      <c r="U749" s="321"/>
      <c r="V749" s="384" t="str">
        <f>V724</f>
        <v xml:space="preserve"> </v>
      </c>
      <c r="W749" s="324"/>
      <c r="X749" s="321">
        <f>'Rate Design Work'!X748</f>
        <v>0</v>
      </c>
      <c r="AL749" s="20"/>
      <c r="AM749" s="20"/>
      <c r="AN749" s="20"/>
      <c r="AO749" s="20"/>
      <c r="AP749" s="20"/>
      <c r="AQ749" s="20"/>
      <c r="AR749" s="20"/>
      <c r="AS749" s="20"/>
    </row>
    <row r="750" spans="1:47">
      <c r="A750" s="309" t="s">
        <v>454</v>
      </c>
      <c r="B750" s="1"/>
      <c r="C750" s="319">
        <f>C803+C856</f>
        <v>0</v>
      </c>
      <c r="D750" s="384">
        <v>1457</v>
      </c>
      <c r="E750" s="324"/>
      <c r="F750" s="321">
        <f>F803+F856</f>
        <v>0</v>
      </c>
      <c r="G750" s="384">
        <v>1457</v>
      </c>
      <c r="H750" s="324"/>
      <c r="I750" s="321">
        <f>I803+I856</f>
        <v>0</v>
      </c>
      <c r="J750" s="384">
        <f ca="1">J725</f>
        <v>1530</v>
      </c>
      <c r="K750" s="324"/>
      <c r="L750" s="321">
        <f ca="1">L803+L856</f>
        <v>0</v>
      </c>
      <c r="M750" s="321"/>
      <c r="N750" s="384">
        <f ca="1">N725</f>
        <v>1530</v>
      </c>
      <c r="O750" s="324"/>
      <c r="P750" s="321">
        <f ca="1">'Rate Design Work'!P749</f>
        <v>0</v>
      </c>
      <c r="Q750" s="321"/>
      <c r="R750" s="384" t="str">
        <f>R725</f>
        <v xml:space="preserve"> </v>
      </c>
      <c r="S750" s="324"/>
      <c r="T750" s="321">
        <f>'Rate Design Work'!T749</f>
        <v>0</v>
      </c>
      <c r="U750" s="321"/>
      <c r="V750" s="384" t="str">
        <f>V725</f>
        <v xml:space="preserve"> </v>
      </c>
      <c r="W750" s="324"/>
      <c r="X750" s="321">
        <f>'Rate Design Work'!X749</f>
        <v>0</v>
      </c>
      <c r="AL750" s="20"/>
      <c r="AM750" s="20"/>
      <c r="AN750" s="20"/>
      <c r="AO750" s="20"/>
      <c r="AP750" s="20"/>
      <c r="AQ750" s="20"/>
      <c r="AR750" s="20"/>
      <c r="AS750" s="20"/>
    </row>
    <row r="751" spans="1:47">
      <c r="A751" s="309" t="s">
        <v>390</v>
      </c>
      <c r="B751" s="1"/>
      <c r="C751" s="319">
        <f>C804+C857</f>
        <v>0</v>
      </c>
      <c r="D751" s="384">
        <v>23.87</v>
      </c>
      <c r="E751" s="324"/>
      <c r="F751" s="321">
        <f>F804+F857</f>
        <v>0</v>
      </c>
      <c r="G751" s="384">
        <v>25.265901957370488</v>
      </c>
      <c r="H751" s="324"/>
      <c r="I751" s="321">
        <f>I804+I857</f>
        <v>0</v>
      </c>
      <c r="J751" s="384">
        <f ca="1">J730</f>
        <v>26.524302109100866</v>
      </c>
      <c r="K751" s="324"/>
      <c r="L751" s="321">
        <f ca="1">L804+L857</f>
        <v>0</v>
      </c>
      <c r="M751" s="321"/>
      <c r="N751" s="384">
        <f ca="1">N730</f>
        <v>26.524302109100866</v>
      </c>
      <c r="O751" s="324"/>
      <c r="P751" s="321">
        <f ca="1">'Rate Design Work'!P750</f>
        <v>0</v>
      </c>
      <c r="Q751" s="321"/>
      <c r="R751" s="384" t="str">
        <f>R730</f>
        <v xml:space="preserve"> </v>
      </c>
      <c r="S751" s="324"/>
      <c r="T751" s="321">
        <f>'Rate Design Work'!T750</f>
        <v>0</v>
      </c>
      <c r="U751" s="321"/>
      <c r="V751" s="384" t="str">
        <f>V730</f>
        <v xml:space="preserve"> </v>
      </c>
      <c r="W751" s="324"/>
      <c r="X751" s="321">
        <f>'Rate Design Work'!X750</f>
        <v>0</v>
      </c>
      <c r="AL751" s="20"/>
      <c r="AM751" s="20"/>
      <c r="AN751" s="20"/>
      <c r="AO751" s="20"/>
      <c r="AP751" s="20"/>
      <c r="AQ751" s="20"/>
      <c r="AR751" s="20"/>
      <c r="AS751" s="20"/>
    </row>
    <row r="752" spans="1:47">
      <c r="A752" s="309" t="s">
        <v>391</v>
      </c>
      <c r="B752" s="1"/>
      <c r="C752" s="319"/>
      <c r="D752" s="384"/>
      <c r="E752" s="324"/>
      <c r="F752" s="321"/>
      <c r="G752" s="384"/>
      <c r="H752" s="324"/>
      <c r="I752" s="321"/>
      <c r="J752" s="384"/>
      <c r="K752" s="324"/>
      <c r="L752" s="321"/>
      <c r="M752" s="321"/>
      <c r="N752" s="384"/>
      <c r="O752" s="324"/>
      <c r="P752" s="321"/>
      <c r="Q752" s="321"/>
      <c r="R752" s="384"/>
      <c r="S752" s="324"/>
      <c r="T752" s="321"/>
      <c r="U752" s="321"/>
      <c r="V752" s="384"/>
      <c r="W752" s="324"/>
      <c r="X752" s="321"/>
      <c r="AL752" s="20"/>
      <c r="AM752" s="20"/>
      <c r="AN752" s="20"/>
      <c r="AO752" s="20"/>
      <c r="AP752" s="20"/>
      <c r="AQ752" s="20"/>
      <c r="AR752" s="20"/>
      <c r="AS752" s="20"/>
    </row>
    <row r="753" spans="1:47">
      <c r="A753" s="309" t="s">
        <v>452</v>
      </c>
      <c r="B753" s="1"/>
      <c r="C753" s="319">
        <f>C806+C859</f>
        <v>30.440941572089098</v>
      </c>
      <c r="D753" s="384">
        <v>23.79</v>
      </c>
      <c r="E753" s="324"/>
      <c r="F753" s="321">
        <f>F806+F859</f>
        <v>-7</v>
      </c>
      <c r="G753" s="384">
        <v>25.171223609796559</v>
      </c>
      <c r="H753" s="324"/>
      <c r="I753" s="321">
        <f>I806+I859</f>
        <v>-8</v>
      </c>
      <c r="J753" s="384">
        <f ca="1">J732</f>
        <v>26.414908186870086</v>
      </c>
      <c r="K753" s="324"/>
      <c r="L753" s="321">
        <f ca="1">L806+L859</f>
        <v>-8</v>
      </c>
      <c r="M753" s="321"/>
      <c r="N753" s="384">
        <f ca="1">N732</f>
        <v>26.414908186870086</v>
      </c>
      <c r="O753" s="324"/>
      <c r="P753" s="321">
        <f ca="1">'Rate Design Work'!P752</f>
        <v>-8</v>
      </c>
      <c r="Q753" s="321"/>
      <c r="R753" s="384" t="str">
        <f>R732</f>
        <v xml:space="preserve"> </v>
      </c>
      <c r="S753" s="324"/>
      <c r="T753" s="321">
        <f>'Rate Design Work'!T752</f>
        <v>0</v>
      </c>
      <c r="U753" s="321"/>
      <c r="V753" s="384" t="str">
        <f>V732</f>
        <v xml:space="preserve"> </v>
      </c>
      <c r="W753" s="324"/>
      <c r="X753" s="321">
        <f>'Rate Design Work'!X752</f>
        <v>0</v>
      </c>
      <c r="AL753" s="20"/>
      <c r="AM753" s="20"/>
      <c r="AN753" s="20"/>
      <c r="AO753" s="20"/>
      <c r="AP753" s="20"/>
      <c r="AQ753" s="20"/>
      <c r="AR753" s="20"/>
      <c r="AS753" s="20"/>
    </row>
    <row r="754" spans="1:47">
      <c r="A754" s="309" t="s">
        <v>453</v>
      </c>
      <c r="B754" s="1"/>
      <c r="C754" s="319">
        <f>C807+C860</f>
        <v>0</v>
      </c>
      <c r="D754" s="384">
        <v>16.559999999999999</v>
      </c>
      <c r="E754" s="324"/>
      <c r="F754" s="321">
        <f>F807+F860</f>
        <v>0</v>
      </c>
      <c r="G754" s="384">
        <v>17.5284179478029</v>
      </c>
      <c r="H754" s="324"/>
      <c r="I754" s="321">
        <f>I807+I860</f>
        <v>0</v>
      </c>
      <c r="J754" s="384">
        <f ca="1">J733</f>
        <v>18.401442937859667</v>
      </c>
      <c r="K754" s="324"/>
      <c r="L754" s="321">
        <f ca="1">L807+L860</f>
        <v>0</v>
      </c>
      <c r="M754" s="321"/>
      <c r="N754" s="384">
        <f ca="1">N733</f>
        <v>18.401442937859667</v>
      </c>
      <c r="O754" s="324"/>
      <c r="P754" s="321">
        <f ca="1">'Rate Design Work'!P753</f>
        <v>0</v>
      </c>
      <c r="Q754" s="321"/>
      <c r="R754" s="384" t="str">
        <f>R733</f>
        <v xml:space="preserve"> </v>
      </c>
      <c r="S754" s="324"/>
      <c r="T754" s="321">
        <f>'Rate Design Work'!T753</f>
        <v>0</v>
      </c>
      <c r="U754" s="321"/>
      <c r="V754" s="384" t="str">
        <f>V733</f>
        <v xml:space="preserve"> </v>
      </c>
      <c r="W754" s="324"/>
      <c r="X754" s="321">
        <f>'Rate Design Work'!X753</f>
        <v>0</v>
      </c>
      <c r="AL754" s="20"/>
      <c r="AM754" s="20"/>
      <c r="AN754" s="20"/>
      <c r="AO754" s="20"/>
      <c r="AP754" s="20"/>
      <c r="AQ754" s="20"/>
      <c r="AR754" s="20"/>
      <c r="AS754" s="20"/>
    </row>
    <row r="755" spans="1:47">
      <c r="A755" s="309" t="s">
        <v>454</v>
      </c>
      <c r="B755" s="1"/>
      <c r="C755" s="319">
        <f>C808+C861</f>
        <v>0</v>
      </c>
      <c r="D755" s="384">
        <v>12.96</v>
      </c>
      <c r="E755" s="324"/>
      <c r="F755" s="321">
        <f>F808+F861</f>
        <v>0</v>
      </c>
      <c r="G755" s="384">
        <v>13.717892306976186</v>
      </c>
      <c r="H755" s="324"/>
      <c r="I755" s="321">
        <f>I808+I861</f>
        <v>0</v>
      </c>
      <c r="J755" s="384">
        <f ca="1">J734</f>
        <v>14.401129255716265</v>
      </c>
      <c r="K755" s="324"/>
      <c r="L755" s="321">
        <f ca="1">L808+L861</f>
        <v>0</v>
      </c>
      <c r="M755" s="321"/>
      <c r="N755" s="384">
        <f ca="1">N734</f>
        <v>14.401129255716265</v>
      </c>
      <c r="O755" s="324"/>
      <c r="P755" s="321">
        <f ca="1">'Rate Design Work'!P754</f>
        <v>0</v>
      </c>
      <c r="Q755" s="321"/>
      <c r="R755" s="384" t="str">
        <f>R734</f>
        <v xml:space="preserve"> </v>
      </c>
      <c r="S755" s="324"/>
      <c r="T755" s="321">
        <f>'Rate Design Work'!T754</f>
        <v>0</v>
      </c>
      <c r="U755" s="321"/>
      <c r="V755" s="384" t="str">
        <f>V734</f>
        <v xml:space="preserve"> </v>
      </c>
      <c r="W755" s="324"/>
      <c r="X755" s="321">
        <f>'Rate Design Work'!X754</f>
        <v>0</v>
      </c>
      <c r="AL755" s="20"/>
      <c r="AM755" s="20"/>
      <c r="AN755" s="20"/>
      <c r="AO755" s="20"/>
      <c r="AP755" s="20"/>
      <c r="AQ755" s="20"/>
      <c r="AR755" s="20"/>
      <c r="AS755" s="20"/>
    </row>
    <row r="756" spans="1:47">
      <c r="A756" s="309" t="s">
        <v>465</v>
      </c>
      <c r="B756" s="1"/>
      <c r="C756" s="319">
        <f>C809+C862</f>
        <v>0</v>
      </c>
      <c r="D756" s="353">
        <v>71.61</v>
      </c>
      <c r="E756" s="324"/>
      <c r="F756" s="321">
        <f>F809+F862</f>
        <v>0</v>
      </c>
      <c r="G756" s="353">
        <v>75.797705872111464</v>
      </c>
      <c r="H756" s="324"/>
      <c r="I756" s="321">
        <f>I809+I862</f>
        <v>0</v>
      </c>
      <c r="J756" s="353">
        <f ca="1">J735</f>
        <v>79.572906327302604</v>
      </c>
      <c r="K756" s="324"/>
      <c r="L756" s="321">
        <f ca="1">L809+L862</f>
        <v>0</v>
      </c>
      <c r="M756" s="321"/>
      <c r="N756" s="353">
        <f ca="1">N735</f>
        <v>79.572906327302604</v>
      </c>
      <c r="O756" s="324"/>
      <c r="P756" s="321">
        <f ca="1">'Rate Design Work'!P755</f>
        <v>0</v>
      </c>
      <c r="Q756" s="321"/>
      <c r="R756" s="353" t="str">
        <f>R735</f>
        <v xml:space="preserve"> </v>
      </c>
      <c r="S756" s="324"/>
      <c r="T756" s="321">
        <f>'Rate Design Work'!T755</f>
        <v>0</v>
      </c>
      <c r="U756" s="321"/>
      <c r="V756" s="353" t="str">
        <f>V735</f>
        <v xml:space="preserve"> </v>
      </c>
      <c r="W756" s="324"/>
      <c r="X756" s="321">
        <f>'Rate Design Work'!X755</f>
        <v>0</v>
      </c>
      <c r="AL756" s="20"/>
      <c r="AM756" s="20"/>
      <c r="AN756" s="20"/>
      <c r="AO756" s="20"/>
      <c r="AP756" s="20"/>
      <c r="AQ756" s="20"/>
      <c r="AR756" s="20"/>
      <c r="AS756" s="20"/>
    </row>
    <row r="757" spans="1:47">
      <c r="A757" s="309" t="s">
        <v>466</v>
      </c>
      <c r="B757" s="1"/>
      <c r="C757" s="319">
        <f>C810+C863</f>
        <v>0</v>
      </c>
      <c r="D757" s="353">
        <v>142.74</v>
      </c>
      <c r="E757" s="324"/>
      <c r="F757" s="321">
        <f>F810+F863</f>
        <v>0</v>
      </c>
      <c r="G757" s="353">
        <v>151.02734165877936</v>
      </c>
      <c r="H757" s="324"/>
      <c r="I757" s="321">
        <f>I810+I863</f>
        <v>0</v>
      </c>
      <c r="J757" s="353">
        <f ca="1">J736</f>
        <v>158.4894491212205</v>
      </c>
      <c r="K757" s="324"/>
      <c r="L757" s="321">
        <f ca="1">L810+L863</f>
        <v>0</v>
      </c>
      <c r="M757" s="321"/>
      <c r="N757" s="353">
        <f ca="1">N736</f>
        <v>158.4894491212205</v>
      </c>
      <c r="O757" s="324"/>
      <c r="P757" s="321">
        <f ca="1">'Rate Design Work'!P756</f>
        <v>0</v>
      </c>
      <c r="Q757" s="321"/>
      <c r="R757" s="353" t="str">
        <f>R736</f>
        <v xml:space="preserve"> </v>
      </c>
      <c r="S757" s="324"/>
      <c r="T757" s="321">
        <f>'Rate Design Work'!T756</f>
        <v>0</v>
      </c>
      <c r="U757" s="321"/>
      <c r="V757" s="353" t="str">
        <f>V736</f>
        <v xml:space="preserve"> </v>
      </c>
      <c r="W757" s="324"/>
      <c r="X757" s="321">
        <f>'Rate Design Work'!X756</f>
        <v>0</v>
      </c>
      <c r="AL757" s="20"/>
      <c r="AM757" s="20"/>
      <c r="AN757" s="20"/>
      <c r="AO757" s="20"/>
      <c r="AP757" s="20"/>
      <c r="AQ757" s="20"/>
      <c r="AR757" s="20"/>
      <c r="AS757" s="20"/>
    </row>
    <row r="758" spans="1:47">
      <c r="A758" s="309" t="s">
        <v>462</v>
      </c>
      <c r="B758" s="1"/>
      <c r="C758" s="319"/>
      <c r="D758" s="337"/>
      <c r="E758" s="324"/>
      <c r="F758" s="321"/>
      <c r="G758" s="337"/>
      <c r="H758" s="324"/>
      <c r="I758" s="321"/>
      <c r="J758" s="337"/>
      <c r="K758" s="324"/>
      <c r="L758" s="321"/>
      <c r="M758" s="321"/>
      <c r="N758" s="337"/>
      <c r="O758" s="324"/>
      <c r="P758" s="321"/>
      <c r="Q758" s="321"/>
      <c r="R758" s="337"/>
      <c r="S758" s="324"/>
      <c r="T758" s="321"/>
      <c r="U758" s="321"/>
      <c r="V758" s="337"/>
      <c r="W758" s="324"/>
      <c r="X758" s="321"/>
      <c r="AL758" s="20"/>
      <c r="AM758" s="20"/>
      <c r="AN758" s="20"/>
      <c r="AO758" s="20"/>
      <c r="AP758" s="20"/>
      <c r="AQ758" s="20"/>
      <c r="AR758" s="20"/>
      <c r="AS758" s="20"/>
    </row>
    <row r="759" spans="1:47">
      <c r="A759" s="309" t="s">
        <v>457</v>
      </c>
      <c r="B759" s="1"/>
      <c r="C759" s="319">
        <f>C812+C865</f>
        <v>0</v>
      </c>
      <c r="D759" s="363">
        <v>-23.87</v>
      </c>
      <c r="E759" s="324"/>
      <c r="F759" s="321">
        <f>F812+F865</f>
        <v>0</v>
      </c>
      <c r="G759" s="363">
        <v>-25.265901957370488</v>
      </c>
      <c r="H759" s="324"/>
      <c r="I759" s="321">
        <f>I812+I865</f>
        <v>0</v>
      </c>
      <c r="J759" s="363">
        <f ca="1">J738</f>
        <v>-26.524302109100866</v>
      </c>
      <c r="K759" s="324"/>
      <c r="L759" s="321">
        <f ca="1">L812+L865</f>
        <v>0</v>
      </c>
      <c r="M759" s="321"/>
      <c r="N759" s="363">
        <f ca="1">N738</f>
        <v>-26.524302109100866</v>
      </c>
      <c r="O759" s="324"/>
      <c r="P759" s="321">
        <f ca="1">'Rate Design Work'!P758</f>
        <v>0</v>
      </c>
      <c r="Q759" s="321"/>
      <c r="R759" s="363">
        <f>R738</f>
        <v>0</v>
      </c>
      <c r="S759" s="324"/>
      <c r="T759" s="321">
        <f>'Rate Design Work'!T758</f>
        <v>0</v>
      </c>
      <c r="U759" s="321"/>
      <c r="V759" s="363">
        <f>V738</f>
        <v>0</v>
      </c>
      <c r="W759" s="324"/>
      <c r="X759" s="321">
        <f>'Rate Design Work'!X758</f>
        <v>0</v>
      </c>
      <c r="AL759" s="20"/>
      <c r="AM759" s="20"/>
      <c r="AN759" s="20"/>
      <c r="AO759" s="20"/>
      <c r="AP759" s="20"/>
      <c r="AQ759" s="20"/>
      <c r="AR759" s="20"/>
      <c r="AS759" s="20"/>
    </row>
    <row r="760" spans="1:47">
      <c r="A760" s="309" t="s">
        <v>463</v>
      </c>
      <c r="B760" s="1"/>
      <c r="C760" s="319">
        <f>C813+C866</f>
        <v>0</v>
      </c>
      <c r="D760" s="363">
        <v>-23.79</v>
      </c>
      <c r="E760" s="324"/>
      <c r="F760" s="321">
        <f>F813+F866</f>
        <v>0</v>
      </c>
      <c r="G760" s="363">
        <v>-25.171223609796559</v>
      </c>
      <c r="H760" s="324"/>
      <c r="I760" s="321">
        <f>I813+I866</f>
        <v>0</v>
      </c>
      <c r="J760" s="363">
        <f ca="1">J739</f>
        <v>-26.414908186870086</v>
      </c>
      <c r="K760" s="324"/>
      <c r="L760" s="321">
        <f ca="1">L813+L866</f>
        <v>0</v>
      </c>
      <c r="M760" s="321"/>
      <c r="N760" s="363">
        <f ca="1">N739</f>
        <v>-26.414908186870086</v>
      </c>
      <c r="O760" s="324"/>
      <c r="P760" s="321">
        <f ca="1">'Rate Design Work'!P759</f>
        <v>0</v>
      </c>
      <c r="Q760" s="321"/>
      <c r="R760" s="363">
        <f>R739</f>
        <v>0</v>
      </c>
      <c r="S760" s="324"/>
      <c r="T760" s="321">
        <f>'Rate Design Work'!T759</f>
        <v>0</v>
      </c>
      <c r="U760" s="321"/>
      <c r="V760" s="363">
        <f>V739</f>
        <v>0</v>
      </c>
      <c r="W760" s="324"/>
      <c r="X760" s="321">
        <f>'Rate Design Work'!X759</f>
        <v>0</v>
      </c>
      <c r="AL760" s="20"/>
      <c r="AM760" s="20"/>
      <c r="AN760" s="20"/>
      <c r="AO760" s="20"/>
      <c r="AP760" s="20"/>
      <c r="AQ760" s="20"/>
      <c r="AR760" s="20"/>
      <c r="AS760" s="20"/>
    </row>
    <row r="761" spans="1:47">
      <c r="A761" s="323" t="s">
        <v>426</v>
      </c>
      <c r="B761" s="1"/>
      <c r="C761" s="319"/>
      <c r="D761" s="384"/>
      <c r="E761" s="321"/>
      <c r="F761" s="321"/>
      <c r="G761" s="384"/>
      <c r="H761" s="321"/>
      <c r="I761" s="321"/>
      <c r="J761" s="384"/>
      <c r="K761" s="321"/>
      <c r="L761" s="321"/>
      <c r="M761" s="321"/>
      <c r="N761" s="384"/>
      <c r="O761" s="321"/>
      <c r="P761" s="321"/>
      <c r="Q761" s="321"/>
      <c r="R761" s="384"/>
      <c r="S761" s="321"/>
      <c r="T761" s="321"/>
      <c r="U761" s="321"/>
      <c r="V761" s="384"/>
      <c r="W761" s="321"/>
      <c r="X761" s="321"/>
      <c r="AL761" s="20"/>
      <c r="AM761" s="20"/>
      <c r="AN761" s="20"/>
      <c r="AO761" s="20"/>
      <c r="AP761" s="20"/>
      <c r="AQ761" s="20"/>
      <c r="AR761" s="20"/>
      <c r="AS761" s="20"/>
    </row>
    <row r="762" spans="1:47">
      <c r="A762" s="309" t="s">
        <v>464</v>
      </c>
      <c r="B762" s="1"/>
      <c r="C762" s="319">
        <f>C815+C868</f>
        <v>32140</v>
      </c>
      <c r="D762" s="385">
        <v>6.4390000000000001</v>
      </c>
      <c r="E762" s="321" t="s">
        <v>374</v>
      </c>
      <c r="F762" s="321">
        <f>F815+F868</f>
        <v>-21</v>
      </c>
      <c r="G762" s="385">
        <v>6.8159999999999998</v>
      </c>
      <c r="H762" s="321" t="s">
        <v>374</v>
      </c>
      <c r="I762" s="321">
        <f>I815+I868</f>
        <v>-22</v>
      </c>
      <c r="J762" s="385">
        <f ca="1">J741</f>
        <v>3.9140000000000001</v>
      </c>
      <c r="K762" s="321" t="s">
        <v>374</v>
      </c>
      <c r="L762" s="321">
        <f t="shared" ref="L762:L769" ca="1" si="195">L815+L868</f>
        <v>-13</v>
      </c>
      <c r="M762" s="321"/>
      <c r="N762" s="385">
        <f ca="1">N741</f>
        <v>0.10011647788394891</v>
      </c>
      <c r="O762" s="883" t="s">
        <v>31</v>
      </c>
      <c r="P762" s="321">
        <f ca="1">'Rate Design Work'!P761</f>
        <v>-32.177435991901177</v>
      </c>
      <c r="Q762" s="321"/>
      <c r="R762" s="385">
        <f ca="1">R741</f>
        <v>1.3911559920341985</v>
      </c>
      <c r="S762" s="321" t="s">
        <v>374</v>
      </c>
      <c r="T762" s="321">
        <f ca="1">'Rate Design Work'!T761</f>
        <v>-4.4711753583979137</v>
      </c>
      <c r="U762" s="321"/>
      <c r="V762" s="385">
        <f ca="1">V741</f>
        <v>2.4227485087524854</v>
      </c>
      <c r="W762" s="321" t="s">
        <v>374</v>
      </c>
      <c r="X762" s="321">
        <f ca="1">'Rate Design Work'!X761</f>
        <v>-7.786713707130489</v>
      </c>
      <c r="AL762" s="20"/>
      <c r="AM762" s="20"/>
      <c r="AN762" s="20"/>
      <c r="AO762" s="20"/>
      <c r="AP762" s="20"/>
      <c r="AQ762" s="20"/>
      <c r="AR762" s="20"/>
      <c r="AS762" s="20"/>
    </row>
    <row r="763" spans="1:47">
      <c r="A763" s="323" t="s">
        <v>400</v>
      </c>
      <c r="B763" s="1"/>
      <c r="C763" s="319">
        <f>C816+C869</f>
        <v>0</v>
      </c>
      <c r="D763" s="375">
        <v>56</v>
      </c>
      <c r="E763" s="321" t="s">
        <v>374</v>
      </c>
      <c r="F763" s="321">
        <f>F816+F869</f>
        <v>0</v>
      </c>
      <c r="G763" s="375">
        <v>56</v>
      </c>
      <c r="H763" s="323" t="s">
        <v>374</v>
      </c>
      <c r="I763" s="321">
        <f>I816+I869</f>
        <v>0</v>
      </c>
      <c r="J763" s="375">
        <f>J742</f>
        <v>56</v>
      </c>
      <c r="K763" s="323" t="s">
        <v>374</v>
      </c>
      <c r="L763" s="321">
        <f t="shared" si="195"/>
        <v>0</v>
      </c>
      <c r="M763" s="321"/>
      <c r="N763" s="375" t="str">
        <f>N742</f>
        <v xml:space="preserve"> </v>
      </c>
      <c r="O763" s="421" t="s">
        <v>31</v>
      </c>
      <c r="P763" s="321">
        <f>'Rate Design Work'!P762</f>
        <v>0</v>
      </c>
      <c r="Q763" s="321"/>
      <c r="R763" s="375">
        <f ca="1">R742</f>
        <v>11</v>
      </c>
      <c r="S763" s="323" t="s">
        <v>374</v>
      </c>
      <c r="T763" s="321">
        <f ca="1">'Rate Design Work'!T762</f>
        <v>0</v>
      </c>
      <c r="U763" s="321"/>
      <c r="V763" s="375">
        <f ca="1">V742</f>
        <v>45</v>
      </c>
      <c r="W763" s="323" t="s">
        <v>374</v>
      </c>
      <c r="X763" s="321">
        <f ca="1">'Rate Design Work'!X762</f>
        <v>0</v>
      </c>
      <c r="AL763" s="20"/>
      <c r="AM763" s="20"/>
      <c r="AN763" s="20"/>
      <c r="AO763" s="20"/>
      <c r="AP763" s="20"/>
      <c r="AQ763" s="20"/>
      <c r="AR763" s="20"/>
      <c r="AS763" s="20"/>
    </row>
    <row r="764" spans="1:47">
      <c r="A764" s="323" t="s">
        <v>443</v>
      </c>
      <c r="B764" s="1"/>
      <c r="C764" s="319">
        <f>C817+C870</f>
        <v>12</v>
      </c>
      <c r="D764" s="337">
        <v>60</v>
      </c>
      <c r="E764" s="364" t="s">
        <v>31</v>
      </c>
      <c r="F764" s="321">
        <f>F817+F870</f>
        <v>720</v>
      </c>
      <c r="G764" s="337">
        <v>60</v>
      </c>
      <c r="H764" s="1"/>
      <c r="I764" s="321">
        <f>I817+I870</f>
        <v>720</v>
      </c>
      <c r="J764" s="337">
        <f>'Blocking - detail'!I623</f>
        <v>60</v>
      </c>
      <c r="K764" s="1"/>
      <c r="L764" s="321">
        <f t="shared" si="195"/>
        <v>720</v>
      </c>
      <c r="M764" s="321"/>
      <c r="N764" s="337" t="str">
        <f>'Rate Design Work'!N763</f>
        <v xml:space="preserve"> </v>
      </c>
      <c r="O764" s="1"/>
      <c r="P764" s="321">
        <f>'Rate Design Work'!P763</f>
        <v>0</v>
      </c>
      <c r="Q764" s="321"/>
      <c r="R764" s="337">
        <f ca="1">'Rate Design Work'!R763</f>
        <v>11.831395044239747</v>
      </c>
      <c r="S764" s="1"/>
      <c r="T764" s="321">
        <f ca="1">'Rate Design Work'!T763</f>
        <v>141.97674053087695</v>
      </c>
      <c r="U764" s="321"/>
      <c r="V764" s="337">
        <f ca="1">'Rate Design Work'!V763</f>
        <v>48.168604955760252</v>
      </c>
      <c r="W764" s="1"/>
      <c r="X764" s="321">
        <f ca="1">'Rate Design Work'!X763</f>
        <v>578.02325946912299</v>
      </c>
      <c r="AL764" s="20"/>
      <c r="AM764" s="20"/>
      <c r="AN764" s="20"/>
      <c r="AO764" s="20"/>
      <c r="AP764" s="20"/>
      <c r="AQ764" s="20"/>
      <c r="AR764" s="20"/>
      <c r="AS764" s="20"/>
    </row>
    <row r="765" spans="1:47">
      <c r="A765" s="323" t="s">
        <v>444</v>
      </c>
      <c r="B765" s="1"/>
      <c r="C765" s="319">
        <f>C818+C871</f>
        <v>30.440941572089098</v>
      </c>
      <c r="D765" s="614">
        <v>-30</v>
      </c>
      <c r="E765" s="321" t="s">
        <v>374</v>
      </c>
      <c r="F765" s="321">
        <f>F818+F871</f>
        <v>-913</v>
      </c>
      <c r="G765" s="614">
        <v>-30</v>
      </c>
      <c r="H765" s="321" t="s">
        <v>374</v>
      </c>
      <c r="I765" s="321">
        <f>I818+I871</f>
        <v>-9</v>
      </c>
      <c r="J765" s="478">
        <f>'Blocking - detail'!I624</f>
        <v>-30</v>
      </c>
      <c r="K765" s="321" t="s">
        <v>374</v>
      </c>
      <c r="L765" s="321">
        <f t="shared" si="195"/>
        <v>-9</v>
      </c>
      <c r="M765" s="321"/>
      <c r="N765" s="478">
        <f>'Rate Design Work'!N764</f>
        <v>-30</v>
      </c>
      <c r="O765" s="321" t="s">
        <v>374</v>
      </c>
      <c r="P765" s="321">
        <f>'Rate Design Work'!P764</f>
        <v>-9</v>
      </c>
      <c r="Q765" s="321"/>
      <c r="R765" s="478">
        <f>'Blocking - detail'!Q624</f>
        <v>0</v>
      </c>
      <c r="S765" s="883" t="s">
        <v>31</v>
      </c>
      <c r="T765" s="321">
        <f>'Rate Design Work'!T764</f>
        <v>0</v>
      </c>
      <c r="U765" s="321"/>
      <c r="V765" s="478">
        <f>'Blocking - detail'!U624</f>
        <v>0</v>
      </c>
      <c r="W765" s="883" t="s">
        <v>31</v>
      </c>
      <c r="X765" s="321">
        <f>'Rate Design Work'!X764</f>
        <v>0</v>
      </c>
      <c r="AL765" s="20"/>
      <c r="AM765" s="20"/>
      <c r="AN765" s="20"/>
      <c r="AO765" s="20"/>
      <c r="AP765" s="20"/>
      <c r="AQ765" s="20"/>
      <c r="AR765" s="20"/>
      <c r="AS765" s="20"/>
    </row>
    <row r="766" spans="1:47" s="1184" customFormat="1">
      <c r="A766" s="1005" t="s">
        <v>1035</v>
      </c>
      <c r="C766" s="1026">
        <f>C762</f>
        <v>32140</v>
      </c>
      <c r="D766" s="269"/>
      <c r="E766" s="1185"/>
      <c r="F766" s="1203"/>
      <c r="G766" s="269"/>
      <c r="H766" s="1185"/>
      <c r="I766" s="1203"/>
      <c r="J766" s="1230">
        <f>J743</f>
        <v>3.2410000000000001</v>
      </c>
      <c r="K766" s="1041" t="s">
        <v>374</v>
      </c>
      <c r="L766" s="1041">
        <f t="shared" si="195"/>
        <v>-10</v>
      </c>
      <c r="M766" s="1041"/>
      <c r="N766" s="1230" t="str">
        <f>N743</f>
        <v xml:space="preserve"> </v>
      </c>
      <c r="O766" s="1041" t="s">
        <v>31</v>
      </c>
      <c r="P766" s="321">
        <f>'Rate Design Work'!P765</f>
        <v>0</v>
      </c>
      <c r="Q766" s="1041"/>
      <c r="R766" s="1230" t="str">
        <f>R743</f>
        <v xml:space="preserve"> </v>
      </c>
      <c r="S766" s="1041" t="s">
        <v>31</v>
      </c>
      <c r="T766" s="321">
        <f>'Rate Design Work'!T765</f>
        <v>0</v>
      </c>
      <c r="U766" s="1041"/>
      <c r="V766" s="1230">
        <f>V743</f>
        <v>3.2410000000000001</v>
      </c>
      <c r="W766" s="1041" t="s">
        <v>374</v>
      </c>
      <c r="X766" s="321">
        <f>'Rate Design Work'!X765</f>
        <v>-10.416574000000001</v>
      </c>
      <c r="Z766" s="815"/>
      <c r="AA766" s="1184" t="s">
        <v>31</v>
      </c>
      <c r="AC766" s="1205"/>
      <c r="AD766" s="1205"/>
      <c r="AI766" s="1185"/>
      <c r="AJ766" s="1185"/>
      <c r="AK766" s="1185"/>
      <c r="AL766" s="1185"/>
      <c r="AM766" s="1185"/>
      <c r="AN766" s="1185"/>
      <c r="AO766" s="1185"/>
      <c r="AP766" s="1185"/>
      <c r="AQ766" s="1185"/>
      <c r="AR766" s="1185"/>
      <c r="AS766" s="1185"/>
      <c r="AU766" s="1204"/>
    </row>
    <row r="767" spans="1:47">
      <c r="A767" s="1" t="s">
        <v>381</v>
      </c>
      <c r="B767" s="1"/>
      <c r="C767" s="319">
        <f>C820+C873</f>
        <v>148745366.55847031</v>
      </c>
      <c r="D767" s="324"/>
      <c r="E767" s="2"/>
      <c r="F767" s="2">
        <f t="shared" ref="F767" si="196">F820+F873</f>
        <v>12007758</v>
      </c>
      <c r="G767" s="324"/>
      <c r="H767" s="323"/>
      <c r="I767" s="2">
        <f>I820+I873</f>
        <v>12699289</v>
      </c>
      <c r="J767" s="2"/>
      <c r="K767" s="323"/>
      <c r="L767" s="1041">
        <f t="shared" ca="1" si="195"/>
        <v>13329051</v>
      </c>
      <c r="M767" s="1041"/>
      <c r="N767" s="2"/>
      <c r="O767" s="323"/>
      <c r="P767" s="1041">
        <f ca="1">SUM(P721:P766)</f>
        <v>2804173.4445779179</v>
      </c>
      <c r="Q767" s="1041"/>
      <c r="R767" s="2"/>
      <c r="S767" s="323"/>
      <c r="T767" s="1041">
        <f ca="1">SUM(T721:T766)</f>
        <v>2075399.73584085</v>
      </c>
      <c r="U767" s="1041"/>
      <c r="V767" s="2"/>
      <c r="W767" s="323"/>
      <c r="X767" s="1041">
        <f ca="1">SUM(X721:X766)</f>
        <v>8449477.8195812348</v>
      </c>
      <c r="AA767" s="276"/>
      <c r="AB767" s="276"/>
      <c r="AL767" s="20"/>
      <c r="AM767" s="20"/>
      <c r="AN767" s="20"/>
      <c r="AO767" s="20"/>
      <c r="AP767" s="20"/>
      <c r="AQ767" s="20"/>
      <c r="AR767" s="20"/>
      <c r="AS767" s="20"/>
    </row>
    <row r="768" spans="1:47" ht="14.25" customHeight="1">
      <c r="A768" s="1" t="s">
        <v>363</v>
      </c>
      <c r="B768" s="1"/>
      <c r="C768" s="340">
        <f>C821+C874</f>
        <v>-212000</v>
      </c>
      <c r="D768" s="309"/>
      <c r="E768" s="309"/>
      <c r="F768" s="310">
        <f ca="1">I768</f>
        <v>-33000.000000000007</v>
      </c>
      <c r="G768" s="309"/>
      <c r="H768" s="309"/>
      <c r="I768" s="310">
        <f ca="1">I821+I874</f>
        <v>-33000.000000000007</v>
      </c>
      <c r="J768" s="309"/>
      <c r="K768" s="309"/>
      <c r="L768" s="1528">
        <f t="shared" ca="1" si="195"/>
        <v>-33000.000000000007</v>
      </c>
      <c r="M768" s="1040"/>
      <c r="N768" s="309"/>
      <c r="O768" s="309"/>
      <c r="P768" s="1528">
        <f ca="1">'Rate Design Work'!P767</f>
        <v>-6942.5590517337869</v>
      </c>
      <c r="Q768" s="51"/>
      <c r="R768" s="309"/>
      <c r="S768" s="309"/>
      <c r="T768" s="1528">
        <f ca="1">'Rate Design Work'!T767</f>
        <v>-5138.2646283481126</v>
      </c>
      <c r="U768" s="51"/>
      <c r="V768" s="309"/>
      <c r="W768" s="309"/>
      <c r="X768" s="1528">
        <f ca="1">'Rate Design Work'!X767</f>
        <v>-20919.176319918108</v>
      </c>
      <c r="AL768" s="20"/>
      <c r="AM768" s="20"/>
      <c r="AN768" s="20"/>
      <c r="AO768" s="20"/>
      <c r="AP768" s="20"/>
      <c r="AQ768" s="20"/>
      <c r="AR768" s="20"/>
      <c r="AS768" s="20"/>
    </row>
    <row r="769" spans="1:45" ht="17.25" customHeight="1" thickBot="1">
      <c r="A769" s="1" t="s">
        <v>382</v>
      </c>
      <c r="B769" s="1"/>
      <c r="C769" s="366">
        <f>SUM(C767:C768)</f>
        <v>148533366.55847031</v>
      </c>
      <c r="D769" s="342"/>
      <c r="E769" s="343"/>
      <c r="F769" s="344">
        <f ca="1">F767+F768</f>
        <v>11974758</v>
      </c>
      <c r="G769" s="342"/>
      <c r="H769" s="345"/>
      <c r="I769" s="344">
        <f ca="1">I767+I768</f>
        <v>12666289</v>
      </c>
      <c r="J769" s="342"/>
      <c r="K769" s="345"/>
      <c r="L769" s="344">
        <f t="shared" ca="1" si="195"/>
        <v>13296051</v>
      </c>
      <c r="M769" s="344"/>
      <c r="N769" s="342"/>
      <c r="O769" s="345"/>
      <c r="P769" s="344">
        <f ca="1">SUM(P767:P768)</f>
        <v>2797230.885526184</v>
      </c>
      <c r="Q769" s="344"/>
      <c r="R769" s="342"/>
      <c r="S769" s="345"/>
      <c r="T769" s="344">
        <f ca="1">SUM(T767:T768)</f>
        <v>2070261.4712125019</v>
      </c>
      <c r="U769" s="344"/>
      <c r="V769" s="342"/>
      <c r="W769" s="345"/>
      <c r="X769" s="344">
        <f ca="1">SUM(X767:X768)</f>
        <v>8428558.6432613172</v>
      </c>
      <c r="Y769" s="784" t="s">
        <v>364</v>
      </c>
      <c r="Z769" s="809">
        <f ca="1">'Rate Spread targets'!Q25*1000</f>
        <v>13296516.203664655</v>
      </c>
      <c r="AA769" s="818">
        <f ca="1">'Rate Spread targets'!V25-0.3722</f>
        <v>-0.32244373724106135</v>
      </c>
      <c r="AB769" s="777"/>
      <c r="AC769" s="320" t="s">
        <v>31</v>
      </c>
      <c r="AD769" s="320"/>
      <c r="AL769" s="20"/>
      <c r="AM769" s="20"/>
      <c r="AN769" s="20"/>
      <c r="AO769" s="20"/>
      <c r="AP769" s="20"/>
      <c r="AQ769" s="20"/>
      <c r="AR769" s="20"/>
      <c r="AS769" s="20"/>
    </row>
    <row r="770" spans="1:45" ht="16.5" thickTop="1">
      <c r="A770" s="1"/>
      <c r="B770" s="1"/>
      <c r="C770" s="26"/>
      <c r="D770" s="351" t="s">
        <v>31</v>
      </c>
      <c r="E770" s="352"/>
      <c r="F770" s="322"/>
      <c r="G770" s="351" t="s">
        <v>31</v>
      </c>
      <c r="H770" s="23"/>
      <c r="I770" s="322"/>
      <c r="J770" s="386" t="s">
        <v>31</v>
      </c>
      <c r="K770" s="23"/>
      <c r="L770" s="272" t="s">
        <v>31</v>
      </c>
      <c r="M770" s="272"/>
      <c r="N770" s="386" t="s">
        <v>31</v>
      </c>
      <c r="O770" s="23"/>
      <c r="P770" s="272" t="s">
        <v>31</v>
      </c>
      <c r="Q770" s="272"/>
      <c r="R770" s="386" t="s">
        <v>31</v>
      </c>
      <c r="S770" s="23"/>
      <c r="T770" s="272" t="s">
        <v>31</v>
      </c>
      <c r="U770" s="272"/>
      <c r="V770" s="386" t="s">
        <v>31</v>
      </c>
      <c r="W770" s="23"/>
      <c r="X770" s="272" t="s">
        <v>31</v>
      </c>
      <c r="Y770" s="112" t="s">
        <v>263</v>
      </c>
      <c r="Z770" s="811">
        <f ca="1">Z769-L769</f>
        <v>465.20366465486586</v>
      </c>
      <c r="AA770" s="813" t="s">
        <v>31</v>
      </c>
      <c r="AB770" s="823"/>
      <c r="AL770" s="20"/>
      <c r="AM770" s="20"/>
      <c r="AN770" s="20"/>
      <c r="AO770" s="20"/>
      <c r="AP770" s="20"/>
      <c r="AQ770" s="20"/>
      <c r="AR770" s="20"/>
      <c r="AS770" s="20"/>
    </row>
    <row r="771" spans="1:45" hidden="1">
      <c r="A771" s="293" t="s">
        <v>447</v>
      </c>
      <c r="B771" s="1"/>
      <c r="C771" s="21"/>
      <c r="D771" s="337"/>
      <c r="E771" s="2"/>
      <c r="F771" s="2"/>
      <c r="G771" s="337"/>
      <c r="H771" s="1"/>
      <c r="I771" s="2"/>
      <c r="J771" s="337"/>
      <c r="K771" s="1"/>
      <c r="L771" s="2"/>
      <c r="M771" s="2"/>
      <c r="N771" s="337"/>
      <c r="O771" s="1"/>
      <c r="P771" s="2"/>
      <c r="Q771" s="2"/>
      <c r="R771" s="337"/>
      <c r="S771" s="1"/>
      <c r="T771" s="2"/>
      <c r="U771" s="2"/>
      <c r="V771" s="337"/>
      <c r="W771" s="1"/>
      <c r="X771" s="2" t="s">
        <v>31</v>
      </c>
      <c r="AL771" s="20"/>
      <c r="AM771" s="20"/>
      <c r="AN771" s="20"/>
      <c r="AO771" s="20"/>
      <c r="AP771" s="20"/>
      <c r="AQ771" s="20"/>
      <c r="AR771" s="20"/>
      <c r="AS771" s="20"/>
    </row>
    <row r="772" spans="1:45" hidden="1">
      <c r="A772" s="309" t="s">
        <v>196</v>
      </c>
      <c r="B772" s="1"/>
      <c r="C772" s="21"/>
      <c r="D772" s="337"/>
      <c r="E772" s="2"/>
      <c r="F772" s="2"/>
      <c r="G772" s="337"/>
      <c r="H772" s="1"/>
      <c r="I772" s="2"/>
      <c r="J772" s="337"/>
      <c r="K772" s="1"/>
      <c r="L772" s="2"/>
      <c r="M772" s="2"/>
      <c r="N772" s="337"/>
      <c r="O772" s="1"/>
      <c r="P772" s="2"/>
      <c r="Q772" s="2"/>
      <c r="R772" s="337"/>
      <c r="S772" s="1"/>
      <c r="T772" s="2"/>
      <c r="U772" s="2"/>
      <c r="V772" s="337"/>
      <c r="W772" s="1"/>
      <c r="X772" s="2"/>
      <c r="Y772" s="84"/>
      <c r="Z772" s="346" t="s">
        <v>31</v>
      </c>
      <c r="AA772" s="237"/>
      <c r="AB772" s="237"/>
      <c r="AL772" s="20"/>
      <c r="AM772" s="20"/>
      <c r="AN772" s="20"/>
      <c r="AO772" s="20"/>
      <c r="AP772" s="20"/>
      <c r="AQ772" s="20"/>
      <c r="AR772" s="20"/>
      <c r="AS772" s="20"/>
    </row>
    <row r="773" spans="1:45" hidden="1">
      <c r="A773" s="323"/>
      <c r="B773" s="1"/>
      <c r="C773" s="21"/>
      <c r="D773" s="337"/>
      <c r="E773" s="2"/>
      <c r="F773" s="380"/>
      <c r="G773" s="337"/>
      <c r="H773" s="1"/>
      <c r="I773" s="380"/>
      <c r="J773" s="337"/>
      <c r="K773" s="1"/>
      <c r="L773" s="381"/>
      <c r="M773" s="381"/>
      <c r="N773" s="337"/>
      <c r="O773" s="1"/>
      <c r="P773" s="381"/>
      <c r="Q773" s="381"/>
      <c r="R773" s="337"/>
      <c r="S773" s="1"/>
      <c r="T773" s="381"/>
      <c r="U773" s="381"/>
      <c r="V773" s="337"/>
      <c r="W773" s="1"/>
      <c r="X773" s="381"/>
      <c r="Y773" s="20"/>
      <c r="Z773" s="74"/>
      <c r="AA773" s="74"/>
      <c r="AB773" s="74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</row>
    <row r="774" spans="1:45" hidden="1">
      <c r="A774" s="309" t="s">
        <v>449</v>
      </c>
      <c r="B774" s="1"/>
      <c r="C774" s="319"/>
      <c r="D774" s="2" t="s">
        <v>31</v>
      </c>
      <c r="E774" s="2"/>
      <c r="F774" s="1"/>
      <c r="G774" s="2" t="s">
        <v>31</v>
      </c>
      <c r="H774" s="1"/>
      <c r="I774" s="1"/>
      <c r="J774" s="2" t="s">
        <v>31</v>
      </c>
      <c r="K774" s="1"/>
      <c r="L774" s="1"/>
      <c r="M774" s="1"/>
      <c r="N774" s="2" t="s">
        <v>31</v>
      </c>
      <c r="O774" s="1"/>
      <c r="P774" s="1"/>
      <c r="Q774" s="1"/>
      <c r="R774" s="2" t="s">
        <v>31</v>
      </c>
      <c r="S774" s="1"/>
      <c r="T774" s="1"/>
      <c r="U774" s="1"/>
      <c r="V774" s="2" t="s">
        <v>31</v>
      </c>
      <c r="W774" s="1"/>
      <c r="X774" s="1"/>
      <c r="Y774" s="20"/>
      <c r="Z774" s="74"/>
      <c r="AA774" s="74"/>
      <c r="AB774" s="74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</row>
    <row r="775" spans="1:45" hidden="1">
      <c r="A775" s="309" t="s">
        <v>450</v>
      </c>
      <c r="B775" s="1"/>
      <c r="C775" s="319">
        <f>[51]Sheet1!$G$4+[51]Sheet1!$G$12</f>
        <v>986.1395345211788</v>
      </c>
      <c r="D775" s="337">
        <v>0</v>
      </c>
      <c r="E775" s="324"/>
      <c r="F775" s="321">
        <f>ROUND(D775*$C775,0)</f>
        <v>0</v>
      </c>
      <c r="G775" s="337">
        <v>0</v>
      </c>
      <c r="H775" s="324"/>
      <c r="I775" s="321">
        <f>ROUND(G775*C775,0)</f>
        <v>0</v>
      </c>
      <c r="J775" s="337">
        <f>$J$721</f>
        <v>0</v>
      </c>
      <c r="K775" s="324"/>
      <c r="L775" s="321">
        <f>ROUND(J775*$C775,0)</f>
        <v>0</v>
      </c>
      <c r="M775" s="321"/>
      <c r="N775" s="337">
        <f>$J$721</f>
        <v>0</v>
      </c>
      <c r="O775" s="324"/>
      <c r="P775" s="321">
        <f>ROUND(N775*$C775,0)</f>
        <v>0</v>
      </c>
      <c r="Q775" s="321"/>
      <c r="R775" s="337" t="str">
        <f>$R$721</f>
        <v xml:space="preserve"> </v>
      </c>
      <c r="S775" s="324"/>
      <c r="T775" s="321">
        <f>ROUND(R775*$C775,0)</f>
        <v>0</v>
      </c>
      <c r="U775" s="321"/>
      <c r="V775" s="337" t="str">
        <f>$V$721</f>
        <v xml:space="preserve"> </v>
      </c>
      <c r="W775" s="324"/>
      <c r="X775" s="321">
        <f>ROUND(V775*$C775,0)</f>
        <v>0</v>
      </c>
      <c r="Y775" s="20"/>
      <c r="Z775" s="74"/>
      <c r="AA775" s="74"/>
      <c r="AB775" s="74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</row>
    <row r="776" spans="1:45" hidden="1">
      <c r="A776" s="309" t="s">
        <v>451</v>
      </c>
      <c r="B776" s="1"/>
      <c r="C776" s="319"/>
      <c r="D776" s="337"/>
      <c r="E776" s="324"/>
      <c r="F776" s="321"/>
      <c r="G776" s="337"/>
      <c r="H776" s="324"/>
      <c r="I776" s="321"/>
      <c r="J776" s="337"/>
      <c r="K776" s="324"/>
      <c r="L776" s="321"/>
      <c r="M776" s="321"/>
      <c r="N776" s="337"/>
      <c r="O776" s="324"/>
      <c r="P776" s="321"/>
      <c r="Q776" s="321"/>
      <c r="R776" s="337"/>
      <c r="S776" s="324"/>
      <c r="T776" s="321"/>
      <c r="U776" s="321"/>
      <c r="V776" s="337"/>
      <c r="W776" s="324"/>
      <c r="X776" s="321"/>
      <c r="Y776" s="20"/>
      <c r="Z776" s="74"/>
      <c r="AA776" s="74"/>
      <c r="AB776" s="74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</row>
    <row r="777" spans="1:45" hidden="1">
      <c r="A777" s="309" t="s">
        <v>452</v>
      </c>
      <c r="B777" s="1"/>
      <c r="C777" s="319">
        <f>[51]Sheet1!$G$3+[51]Sheet1!$G$2+[51]Sheet1!$G$5+[51]Sheet1!$G$13</f>
        <v>3633.5207084889003</v>
      </c>
      <c r="D777" s="337">
        <v>0</v>
      </c>
      <c r="E777" s="324"/>
      <c r="F777" s="321">
        <f>ROUND(D777*$C777,0)</f>
        <v>0</v>
      </c>
      <c r="G777" s="337">
        <v>0</v>
      </c>
      <c r="H777" s="324"/>
      <c r="I777" s="321">
        <f t="shared" ref="I777:I779" si="197">ROUND(G777*C777,0)</f>
        <v>0</v>
      </c>
      <c r="J777" s="337">
        <f>$J$723</f>
        <v>0</v>
      </c>
      <c r="K777" s="324"/>
      <c r="L777" s="321">
        <f>ROUND(J777*$C777,0)</f>
        <v>0</v>
      </c>
      <c r="M777" s="321"/>
      <c r="N777" s="337">
        <f>$J$723</f>
        <v>0</v>
      </c>
      <c r="O777" s="324"/>
      <c r="P777" s="321">
        <f>ROUND(N777*$C777,0)</f>
        <v>0</v>
      </c>
      <c r="Q777" s="321"/>
      <c r="R777" s="337" t="str">
        <f>$R$723</f>
        <v xml:space="preserve"> </v>
      </c>
      <c r="S777" s="324"/>
      <c r="T777" s="321">
        <f>ROUND(R777*$C777,0)</f>
        <v>0</v>
      </c>
      <c r="U777" s="321"/>
      <c r="V777" s="337" t="str">
        <f>$V$723</f>
        <v xml:space="preserve"> </v>
      </c>
      <c r="W777" s="324"/>
      <c r="X777" s="321">
        <f>ROUND(V777*$C777,0)</f>
        <v>0</v>
      </c>
      <c r="Y777" s="20"/>
      <c r="Z777" s="74"/>
      <c r="AA777" s="74"/>
      <c r="AB777" s="74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</row>
    <row r="778" spans="1:45" hidden="1">
      <c r="A778" s="309" t="s">
        <v>453</v>
      </c>
      <c r="B778" s="1"/>
      <c r="C778" s="319">
        <f>[51]Sheet1!$G$6</f>
        <v>410.813657710592</v>
      </c>
      <c r="D778" s="337">
        <v>357</v>
      </c>
      <c r="E778" s="324"/>
      <c r="F778" s="321">
        <f>ROUND(D778*$C778,0)</f>
        <v>146660</v>
      </c>
      <c r="G778" s="337">
        <v>357</v>
      </c>
      <c r="H778" s="324"/>
      <c r="I778" s="321">
        <f t="shared" si="197"/>
        <v>146660</v>
      </c>
      <c r="J778" s="337">
        <f ca="1">$J$724</f>
        <v>375</v>
      </c>
      <c r="K778" s="324"/>
      <c r="L778" s="321">
        <f ca="1">ROUND(J778*$C778,0)</f>
        <v>154055</v>
      </c>
      <c r="M778" s="321"/>
      <c r="N778" s="337">
        <f ca="1">$J$724</f>
        <v>375</v>
      </c>
      <c r="O778" s="324"/>
      <c r="P778" s="321">
        <f ca="1">ROUND(N778*$C778,0)</f>
        <v>154055</v>
      </c>
      <c r="Q778" s="321"/>
      <c r="R778" s="337" t="str">
        <f>$R$724</f>
        <v xml:space="preserve"> </v>
      </c>
      <c r="S778" s="324"/>
      <c r="T778" s="321">
        <f>ROUND(R778*$C778,0)</f>
        <v>0</v>
      </c>
      <c r="U778" s="321"/>
      <c r="V778" s="337" t="str">
        <f>$V$724</f>
        <v xml:space="preserve"> </v>
      </c>
      <c r="W778" s="324"/>
      <c r="X778" s="321">
        <f>ROUND(V778*$C778,0)</f>
        <v>0</v>
      </c>
      <c r="Y778" s="20"/>
      <c r="Z778" s="74"/>
      <c r="AA778" s="74"/>
      <c r="AB778" s="74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</row>
    <row r="779" spans="1:45" hidden="1">
      <c r="A779" s="309" t="s">
        <v>454</v>
      </c>
      <c r="B779" s="1"/>
      <c r="C779" s="319">
        <f>[51]Sheet1!$G$7</f>
        <v>12</v>
      </c>
      <c r="D779" s="337">
        <v>1457</v>
      </c>
      <c r="E779" s="324"/>
      <c r="F779" s="321">
        <f>ROUND(D779*$C779,0)</f>
        <v>17484</v>
      </c>
      <c r="G779" s="337">
        <v>1457</v>
      </c>
      <c r="H779" s="324"/>
      <c r="I779" s="321">
        <f t="shared" si="197"/>
        <v>17484</v>
      </c>
      <c r="J779" s="337">
        <f ca="1">$J$725</f>
        <v>1530</v>
      </c>
      <c r="K779" s="324"/>
      <c r="L779" s="321">
        <f ca="1">ROUND(J779*$C779,0)</f>
        <v>18360</v>
      </c>
      <c r="M779" s="321"/>
      <c r="N779" s="337">
        <f ca="1">$J$725</f>
        <v>1530</v>
      </c>
      <c r="O779" s="324"/>
      <c r="P779" s="321">
        <f ca="1">ROUND(N779*$C779,0)</f>
        <v>18360</v>
      </c>
      <c r="Q779" s="321"/>
      <c r="R779" s="337" t="str">
        <f>$R$725</f>
        <v xml:space="preserve"> </v>
      </c>
      <c r="S779" s="324"/>
      <c r="T779" s="321">
        <f>ROUND(R779*$C779,0)</f>
        <v>0</v>
      </c>
      <c r="U779" s="321"/>
      <c r="V779" s="337" t="str">
        <f>$V$725</f>
        <v xml:space="preserve"> </v>
      </c>
      <c r="W779" s="324"/>
      <c r="X779" s="321">
        <f>ROUND(V779*$C779,0)</f>
        <v>0</v>
      </c>
      <c r="Y779" s="20"/>
      <c r="Z779" s="74"/>
      <c r="AA779" s="74"/>
      <c r="AB779" s="74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</row>
    <row r="780" spans="1:45" hidden="1">
      <c r="A780" s="309" t="s">
        <v>362</v>
      </c>
      <c r="B780" s="1"/>
      <c r="C780" s="319">
        <f>SUM(C775:C779)</f>
        <v>5042.4739007206717</v>
      </c>
      <c r="D780" s="337"/>
      <c r="E780" s="324"/>
      <c r="F780" s="321"/>
      <c r="G780" s="337"/>
      <c r="H780" s="324"/>
      <c r="I780" s="321"/>
      <c r="J780" s="337"/>
      <c r="K780" s="324"/>
      <c r="L780" s="321"/>
      <c r="M780" s="321"/>
      <c r="N780" s="337"/>
      <c r="O780" s="324"/>
      <c r="P780" s="321"/>
      <c r="Q780" s="321"/>
      <c r="R780" s="337"/>
      <c r="S780" s="324"/>
      <c r="T780" s="321"/>
      <c r="U780" s="321"/>
      <c r="V780" s="337"/>
      <c r="W780" s="324"/>
      <c r="X780" s="321"/>
      <c r="Y780" s="20"/>
      <c r="Z780" s="74"/>
      <c r="AA780" s="74"/>
      <c r="AB780" s="74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</row>
    <row r="781" spans="1:45" hidden="1">
      <c r="A781" s="309" t="s">
        <v>455</v>
      </c>
      <c r="B781" s="1"/>
      <c r="C781" s="319">
        <f>[51]Sheet1!$F$15</f>
        <v>37159.493333333157</v>
      </c>
      <c r="D781" s="337"/>
      <c r="E781" s="321"/>
      <c r="F781" s="321"/>
      <c r="G781" s="337"/>
      <c r="H781" s="321"/>
      <c r="I781" s="321"/>
      <c r="J781" s="337"/>
      <c r="K781" s="321"/>
      <c r="L781" s="321"/>
      <c r="M781" s="321"/>
      <c r="N781" s="337"/>
      <c r="O781" s="321"/>
      <c r="P781" s="321"/>
      <c r="Q781" s="321"/>
      <c r="R781" s="337"/>
      <c r="S781" s="321"/>
      <c r="T781" s="321"/>
      <c r="U781" s="321"/>
      <c r="V781" s="337"/>
      <c r="W781" s="321"/>
      <c r="X781" s="321"/>
      <c r="Y781" s="20"/>
      <c r="Z781" s="74"/>
      <c r="AA781" s="74"/>
      <c r="AB781" s="74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</row>
    <row r="782" spans="1:45" hidden="1">
      <c r="A782" s="309" t="s">
        <v>104</v>
      </c>
      <c r="B782" s="1"/>
      <c r="C782" s="319">
        <f>[51]Sheet1!$D$15</f>
        <v>5567</v>
      </c>
      <c r="D782" s="337"/>
      <c r="E782" s="321"/>
      <c r="F782" s="321"/>
      <c r="G782" s="337"/>
      <c r="H782" s="321"/>
      <c r="I782" s="321"/>
      <c r="J782" s="337"/>
      <c r="K782" s="321"/>
      <c r="L782" s="321"/>
      <c r="M782" s="321"/>
      <c r="N782" s="337"/>
      <c r="O782" s="321"/>
      <c r="P782" s="321"/>
      <c r="Q782" s="321"/>
      <c r="R782" s="337"/>
      <c r="S782" s="321"/>
      <c r="T782" s="321"/>
      <c r="U782" s="321"/>
      <c r="V782" s="337"/>
      <c r="W782" s="321"/>
      <c r="X782" s="321"/>
      <c r="Y782" s="20"/>
      <c r="Z782" s="74"/>
      <c r="AA782" s="74"/>
      <c r="AB782" s="74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</row>
    <row r="783" spans="1:45" hidden="1">
      <c r="A783" s="309" t="s">
        <v>456</v>
      </c>
      <c r="B783" s="1"/>
      <c r="C783" s="319"/>
      <c r="D783" s="337"/>
      <c r="E783" s="324"/>
      <c r="F783" s="321"/>
      <c r="G783" s="337"/>
      <c r="H783" s="324"/>
      <c r="I783" s="321"/>
      <c r="J783" s="337"/>
      <c r="K783" s="324"/>
      <c r="L783" s="321"/>
      <c r="M783" s="321"/>
      <c r="N783" s="337"/>
      <c r="O783" s="324"/>
      <c r="P783" s="321"/>
      <c r="Q783" s="321"/>
      <c r="R783" s="337"/>
      <c r="S783" s="324"/>
      <c r="T783" s="321"/>
      <c r="U783" s="321"/>
      <c r="V783" s="337"/>
      <c r="W783" s="324"/>
      <c r="X783" s="321"/>
      <c r="Y783" s="20"/>
      <c r="Z783" s="74"/>
      <c r="AA783" s="74"/>
      <c r="AB783" s="74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</row>
    <row r="784" spans="1:45" hidden="1">
      <c r="A784" s="309" t="s">
        <v>457</v>
      </c>
      <c r="B784" s="1"/>
      <c r="C784" s="319">
        <f>[51]Sheet1!$J$4+[51]Sheet1!$J$12</f>
        <v>2927.8802098625206</v>
      </c>
      <c r="D784" s="337">
        <v>23.87</v>
      </c>
      <c r="E784" s="324"/>
      <c r="F784" s="321">
        <f>ROUND(D784*$C784,0)</f>
        <v>69889</v>
      </c>
      <c r="G784" s="337">
        <v>25.265901957370488</v>
      </c>
      <c r="H784" s="324"/>
      <c r="I784" s="321">
        <f>ROUND(G784*C784,0)</f>
        <v>73976</v>
      </c>
      <c r="J784" s="337">
        <f ca="1">$J$730</f>
        <v>26.524302109100866</v>
      </c>
      <c r="K784" s="324"/>
      <c r="L784" s="321">
        <f ca="1">ROUND(J784*$C784,0)</f>
        <v>77660</v>
      </c>
      <c r="M784" s="321"/>
      <c r="N784" s="337">
        <f ca="1">$N$730</f>
        <v>26.524302109100866</v>
      </c>
      <c r="O784" s="324"/>
      <c r="P784" s="321">
        <f ca="1">ROUND(N784*$C784,0)</f>
        <v>77660</v>
      </c>
      <c r="Q784" s="321"/>
      <c r="R784" s="337" t="str">
        <f>$R$730</f>
        <v xml:space="preserve"> </v>
      </c>
      <c r="S784" s="324"/>
      <c r="T784" s="321">
        <f>ROUND(R784*$C784,0)</f>
        <v>0</v>
      </c>
      <c r="U784" s="321"/>
      <c r="V784" s="337" t="str">
        <f>$V$730</f>
        <v xml:space="preserve"> </v>
      </c>
      <c r="W784" s="324"/>
      <c r="X784" s="321">
        <f>ROUND(V784*$C784,0)</f>
        <v>0</v>
      </c>
      <c r="Y784" s="20"/>
      <c r="Z784" s="74"/>
      <c r="AA784" s="74"/>
      <c r="AB784" s="74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</row>
    <row r="785" spans="1:47" hidden="1">
      <c r="A785" s="309" t="s">
        <v>458</v>
      </c>
      <c r="B785" s="1"/>
      <c r="C785" s="319"/>
      <c r="D785" s="337"/>
      <c r="E785" s="324"/>
      <c r="F785" s="321"/>
      <c r="G785" s="337"/>
      <c r="H785" s="324"/>
      <c r="I785" s="321"/>
      <c r="J785" s="337"/>
      <c r="K785" s="324"/>
      <c r="L785" s="321"/>
      <c r="M785" s="321"/>
      <c r="N785" s="337"/>
      <c r="O785" s="324"/>
      <c r="P785" s="321"/>
      <c r="Q785" s="321"/>
      <c r="R785" s="337"/>
      <c r="S785" s="324"/>
      <c r="T785" s="321"/>
      <c r="U785" s="321"/>
      <c r="V785" s="337"/>
      <c r="W785" s="324"/>
      <c r="X785" s="321"/>
      <c r="Y785" s="20"/>
      <c r="Z785" s="74"/>
      <c r="AA785" s="74"/>
      <c r="AB785" s="74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</row>
    <row r="786" spans="1:47" hidden="1">
      <c r="A786" s="309" t="s">
        <v>452</v>
      </c>
      <c r="B786" s="1"/>
      <c r="C786" s="319">
        <f>[51]Sheet1!$J$2+[51]Sheet1!$J$3+[51]Sheet1!$J$5+[51]Sheet1!$J$13</f>
        <v>50218.019750688989</v>
      </c>
      <c r="D786" s="337">
        <v>23.79</v>
      </c>
      <c r="E786" s="324"/>
      <c r="F786" s="321">
        <f>ROUND(D786*$C786,0)</f>
        <v>1194687</v>
      </c>
      <c r="G786" s="337">
        <v>25.171223609796559</v>
      </c>
      <c r="H786" s="324"/>
      <c r="I786" s="321">
        <f t="shared" ref="I786:I790" si="198">ROUND(G786*C786,0)</f>
        <v>1264049</v>
      </c>
      <c r="J786" s="337">
        <f ca="1">$J$732</f>
        <v>26.414908186870086</v>
      </c>
      <c r="K786" s="324"/>
      <c r="L786" s="321">
        <f ca="1">ROUND(J786*$C786,0)</f>
        <v>1326504</v>
      </c>
      <c r="M786" s="321"/>
      <c r="N786" s="337">
        <f ca="1">$N$732</f>
        <v>26.414908186870086</v>
      </c>
      <c r="O786" s="324"/>
      <c r="P786" s="321">
        <f ca="1">ROUND(N786*$C786,0)</f>
        <v>1326504</v>
      </c>
      <c r="Q786" s="321"/>
      <c r="R786" s="337" t="str">
        <f>$R$732</f>
        <v xml:space="preserve"> </v>
      </c>
      <c r="S786" s="324"/>
      <c r="T786" s="321">
        <f>ROUND(R786*$C786,0)</f>
        <v>0</v>
      </c>
      <c r="U786" s="321"/>
      <c r="V786" s="337" t="str">
        <f>$V$732</f>
        <v xml:space="preserve"> </v>
      </c>
      <c r="W786" s="324"/>
      <c r="X786" s="321">
        <f>ROUND(V786*$C786,0)</f>
        <v>0</v>
      </c>
      <c r="Y786" s="20"/>
      <c r="Z786" s="74"/>
      <c r="AA786" s="74"/>
      <c r="AB786" s="74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</row>
    <row r="787" spans="1:47" hidden="1">
      <c r="A787" s="309" t="s">
        <v>453</v>
      </c>
      <c r="B787" s="1"/>
      <c r="C787" s="319">
        <f>[51]Sheet1!$J$6</f>
        <v>39269.471947631697</v>
      </c>
      <c r="D787" s="337">
        <v>16.559999999999999</v>
      </c>
      <c r="E787" s="324"/>
      <c r="F787" s="321">
        <f>ROUND(D787*$C787,0)</f>
        <v>650302</v>
      </c>
      <c r="G787" s="337">
        <v>17.5284179478029</v>
      </c>
      <c r="H787" s="324"/>
      <c r="I787" s="321">
        <f t="shared" si="198"/>
        <v>688332</v>
      </c>
      <c r="J787" s="337">
        <f ca="1">$J$733</f>
        <v>18.401442937859667</v>
      </c>
      <c r="K787" s="324"/>
      <c r="L787" s="321">
        <f ca="1">ROUND(J787*$C787,0)</f>
        <v>722615</v>
      </c>
      <c r="M787" s="321"/>
      <c r="N787" s="337">
        <f ca="1">$N$733</f>
        <v>18.401442937859667</v>
      </c>
      <c r="O787" s="324"/>
      <c r="P787" s="321">
        <f ca="1">ROUND(N787*$C787,0)</f>
        <v>722615</v>
      </c>
      <c r="Q787" s="321"/>
      <c r="R787" s="337" t="str">
        <f>$R$733</f>
        <v xml:space="preserve"> </v>
      </c>
      <c r="S787" s="324"/>
      <c r="T787" s="321">
        <f>ROUND(R787*$C787,0)</f>
        <v>0</v>
      </c>
      <c r="U787" s="321"/>
      <c r="V787" s="337" t="str">
        <f>$V$733</f>
        <v xml:space="preserve"> </v>
      </c>
      <c r="W787" s="324"/>
      <c r="X787" s="321">
        <f>ROUND(V787*$C787,0)</f>
        <v>0</v>
      </c>
      <c r="Y787" s="20"/>
      <c r="Z787" s="74"/>
      <c r="AA787" s="74"/>
      <c r="AB787" s="74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</row>
    <row r="788" spans="1:47" hidden="1">
      <c r="A788" s="309" t="s">
        <v>454</v>
      </c>
      <c r="B788" s="1"/>
      <c r="C788" s="319">
        <f>[51]Sheet1!$J$7</f>
        <v>4943</v>
      </c>
      <c r="D788" s="337">
        <v>12.96</v>
      </c>
      <c r="E788" s="324"/>
      <c r="F788" s="321">
        <f>ROUND(D788*$C788,0)</f>
        <v>64061</v>
      </c>
      <c r="G788" s="337">
        <v>13.717892306976186</v>
      </c>
      <c r="H788" s="324"/>
      <c r="I788" s="321">
        <f t="shared" si="198"/>
        <v>67808</v>
      </c>
      <c r="J788" s="337">
        <f ca="1">$J$734</f>
        <v>14.401129255716265</v>
      </c>
      <c r="K788" s="324"/>
      <c r="L788" s="321">
        <f ca="1">ROUND(J788*$C788,0)</f>
        <v>71185</v>
      </c>
      <c r="M788" s="321"/>
      <c r="N788" s="337">
        <f ca="1">$N$734</f>
        <v>14.401129255716265</v>
      </c>
      <c r="O788" s="324"/>
      <c r="P788" s="321">
        <f ca="1">ROUND(N788*$C788,0)</f>
        <v>71185</v>
      </c>
      <c r="Q788" s="321"/>
      <c r="R788" s="337" t="str">
        <f>$R$734</f>
        <v xml:space="preserve"> </v>
      </c>
      <c r="S788" s="324"/>
      <c r="T788" s="321">
        <f>ROUND(R788*$C788,0)</f>
        <v>0</v>
      </c>
      <c r="U788" s="321"/>
      <c r="V788" s="337" t="str">
        <f>$V$734</f>
        <v xml:space="preserve"> </v>
      </c>
      <c r="W788" s="324"/>
      <c r="X788" s="321">
        <f>ROUND(V788*$C788,0)</f>
        <v>0</v>
      </c>
      <c r="Y788" s="20"/>
      <c r="Z788" s="74"/>
      <c r="AA788" s="74"/>
      <c r="AB788" s="74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</row>
    <row r="789" spans="1:47" hidden="1">
      <c r="A789" s="309" t="s">
        <v>460</v>
      </c>
      <c r="B789" s="1"/>
      <c r="C789" s="319">
        <f>[51]Sheet1!$H$4</f>
        <v>555.50384435445301</v>
      </c>
      <c r="D789" s="337">
        <v>71.61</v>
      </c>
      <c r="E789" s="324"/>
      <c r="F789" s="321">
        <f>ROUND(D789*$C789,0)</f>
        <v>39780</v>
      </c>
      <c r="G789" s="337">
        <v>75.797705872111464</v>
      </c>
      <c r="H789" s="324"/>
      <c r="I789" s="321">
        <f t="shared" si="198"/>
        <v>42106</v>
      </c>
      <c r="J789" s="337">
        <f ca="1">$J$735</f>
        <v>79.572906327302604</v>
      </c>
      <c r="K789" s="324"/>
      <c r="L789" s="321">
        <f ca="1">ROUND(J789*$C789,0)</f>
        <v>44203</v>
      </c>
      <c r="M789" s="321"/>
      <c r="N789" s="337">
        <f ca="1">$N$735</f>
        <v>79.572906327302604</v>
      </c>
      <c r="O789" s="324"/>
      <c r="P789" s="321">
        <f ca="1">ROUND(N789*$C789,0)</f>
        <v>44203</v>
      </c>
      <c r="Q789" s="321"/>
      <c r="R789" s="337" t="str">
        <f>$R$735</f>
        <v xml:space="preserve"> </v>
      </c>
      <c r="S789" s="324"/>
      <c r="T789" s="321">
        <f>ROUND(R789*$C789,0)</f>
        <v>0</v>
      </c>
      <c r="U789" s="321"/>
      <c r="V789" s="337" t="str">
        <f>$V$735</f>
        <v xml:space="preserve"> </v>
      </c>
      <c r="W789" s="324"/>
      <c r="X789" s="321">
        <f>ROUND(V789*$C789,0)</f>
        <v>0</v>
      </c>
      <c r="Y789" s="20"/>
      <c r="Z789" s="74"/>
      <c r="AA789" s="74"/>
      <c r="AB789" s="74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</row>
    <row r="790" spans="1:47" hidden="1">
      <c r="A790" s="309" t="s">
        <v>461</v>
      </c>
      <c r="B790" s="1"/>
      <c r="C790" s="319">
        <f>[51]Sheet1!$H$5</f>
        <v>986.11783988665604</v>
      </c>
      <c r="D790" s="337">
        <v>142.74</v>
      </c>
      <c r="E790" s="324"/>
      <c r="F790" s="321">
        <f>ROUND(D790*$C790,0)</f>
        <v>140758</v>
      </c>
      <c r="G790" s="337">
        <v>151.02734165877936</v>
      </c>
      <c r="H790" s="324"/>
      <c r="I790" s="321">
        <f t="shared" si="198"/>
        <v>148931</v>
      </c>
      <c r="J790" s="337">
        <f ca="1">$J$736</f>
        <v>158.4894491212205</v>
      </c>
      <c r="K790" s="324"/>
      <c r="L790" s="321">
        <f ca="1">ROUND(J790*$C790,0)</f>
        <v>156289</v>
      </c>
      <c r="M790" s="321"/>
      <c r="N790" s="337">
        <f ca="1">$N$736</f>
        <v>158.4894491212205</v>
      </c>
      <c r="O790" s="324"/>
      <c r="P790" s="321">
        <f ca="1">ROUND(N790*$C790,0)</f>
        <v>156289</v>
      </c>
      <c r="Q790" s="321"/>
      <c r="R790" s="337" t="str">
        <f>$R$736</f>
        <v xml:space="preserve"> </v>
      </c>
      <c r="S790" s="324"/>
      <c r="T790" s="321">
        <f>ROUND(R790*$C790,0)</f>
        <v>0</v>
      </c>
      <c r="U790" s="321"/>
      <c r="V790" s="337" t="str">
        <f>$V$736</f>
        <v xml:space="preserve"> </v>
      </c>
      <c r="W790" s="324"/>
      <c r="X790" s="321">
        <f>ROUND(V790*$C790,0)</f>
        <v>0</v>
      </c>
      <c r="Y790" s="20"/>
      <c r="Z790" s="74"/>
      <c r="AA790" s="74"/>
      <c r="AB790" s="74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</row>
    <row r="791" spans="1:47" hidden="1">
      <c r="A791" s="309" t="s">
        <v>462</v>
      </c>
      <c r="B791" s="1"/>
      <c r="C791" s="319"/>
      <c r="D791" s="337"/>
      <c r="E791" s="324"/>
      <c r="F791" s="321"/>
      <c r="G791" s="337"/>
      <c r="H791" s="324"/>
      <c r="I791" s="321"/>
      <c r="J791" s="337"/>
      <c r="K791" s="324"/>
      <c r="L791" s="321"/>
      <c r="M791" s="321"/>
      <c r="N791" s="337"/>
      <c r="O791" s="324"/>
      <c r="P791" s="321"/>
      <c r="Q791" s="321"/>
      <c r="R791" s="337"/>
      <c r="S791" s="324"/>
      <c r="T791" s="321"/>
      <c r="U791" s="321"/>
      <c r="V791" s="337"/>
      <c r="W791" s="324"/>
      <c r="X791" s="321"/>
      <c r="Y791" s="20"/>
      <c r="Z791" s="74"/>
      <c r="AA791" s="74"/>
      <c r="AB791" s="74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</row>
    <row r="792" spans="1:47" hidden="1">
      <c r="A792" s="309" t="s">
        <v>457</v>
      </c>
      <c r="B792" s="1"/>
      <c r="C792" s="319">
        <f>[51]Sheet1!$K$4</f>
        <v>38.986619581829999</v>
      </c>
      <c r="D792" s="363">
        <v>-23.87</v>
      </c>
      <c r="E792" s="324"/>
      <c r="F792" s="321">
        <f>ROUND(D792*$C792,0)</f>
        <v>-931</v>
      </c>
      <c r="G792" s="363">
        <v>-25.265901957370488</v>
      </c>
      <c r="H792" s="324"/>
      <c r="I792" s="321">
        <f t="shared" ref="I792:I793" si="199">ROUND(G792*C792,0)</f>
        <v>-985</v>
      </c>
      <c r="J792" s="363">
        <f ca="1">-J784</f>
        <v>-26.524302109100866</v>
      </c>
      <c r="K792" s="324"/>
      <c r="L792" s="321">
        <f ca="1">ROUND(J792*$C792,0)</f>
        <v>-1034</v>
      </c>
      <c r="M792" s="321"/>
      <c r="N792" s="363">
        <f ca="1">-N784</f>
        <v>-26.524302109100866</v>
      </c>
      <c r="O792" s="324"/>
      <c r="P792" s="321">
        <f ca="1">ROUND(N792*$C792,0)</f>
        <v>-1034</v>
      </c>
      <c r="Q792" s="321"/>
      <c r="R792" s="363">
        <f>-R784</f>
        <v>0</v>
      </c>
      <c r="S792" s="324"/>
      <c r="T792" s="321">
        <f>ROUND(R792*$C792,0)</f>
        <v>0</v>
      </c>
      <c r="U792" s="321"/>
      <c r="V792" s="363">
        <f>-V784</f>
        <v>0</v>
      </c>
      <c r="W792" s="324"/>
      <c r="X792" s="321">
        <f>ROUND(V792*$C792,0)</f>
        <v>0</v>
      </c>
      <c r="Y792" s="20"/>
      <c r="Z792" s="74"/>
      <c r="AA792" s="74"/>
      <c r="AB792" s="74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</row>
    <row r="793" spans="1:47" hidden="1">
      <c r="A793" s="309" t="s">
        <v>463</v>
      </c>
      <c r="B793" s="1"/>
      <c r="C793" s="319">
        <f>[51]Sheet1!$K$5</f>
        <v>305.04833412742897</v>
      </c>
      <c r="D793" s="363">
        <v>-23.79</v>
      </c>
      <c r="E793" s="324"/>
      <c r="F793" s="321">
        <f>ROUND(D793*$C793,0)</f>
        <v>-7257</v>
      </c>
      <c r="G793" s="363">
        <v>-25.171223609796559</v>
      </c>
      <c r="H793" s="324"/>
      <c r="I793" s="321">
        <f t="shared" si="199"/>
        <v>-7678</v>
      </c>
      <c r="J793" s="363">
        <f ca="1">-J786</f>
        <v>-26.414908186870086</v>
      </c>
      <c r="K793" s="324"/>
      <c r="L793" s="321">
        <f ca="1">ROUND(J793*$C793,0)</f>
        <v>-8058</v>
      </c>
      <c r="M793" s="321"/>
      <c r="N793" s="363">
        <f ca="1">-N786</f>
        <v>-26.414908186870086</v>
      </c>
      <c r="O793" s="324"/>
      <c r="P793" s="321">
        <f ca="1">ROUND(N793*$C793,0)</f>
        <v>-8058</v>
      </c>
      <c r="Q793" s="321"/>
      <c r="R793" s="363">
        <f>-R786</f>
        <v>0</v>
      </c>
      <c r="S793" s="324"/>
      <c r="T793" s="321">
        <f>ROUND(R793*$C793,0)</f>
        <v>0</v>
      </c>
      <c r="U793" s="321"/>
      <c r="V793" s="363">
        <f>-V786</f>
        <v>0</v>
      </c>
      <c r="W793" s="324"/>
      <c r="X793" s="321">
        <f>ROUND(V793*$C793,0)</f>
        <v>0</v>
      </c>
      <c r="Y793" s="20"/>
      <c r="Z793" s="74"/>
      <c r="AA793" s="74"/>
      <c r="AB793" s="74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</row>
    <row r="794" spans="1:47" hidden="1">
      <c r="A794" s="323" t="s">
        <v>426</v>
      </c>
      <c r="B794" s="1"/>
      <c r="C794" s="64" t="s">
        <v>31</v>
      </c>
      <c r="D794" s="337"/>
      <c r="E794" s="321"/>
      <c r="F794" s="321"/>
      <c r="G794" s="337"/>
      <c r="H794" s="321"/>
      <c r="I794" s="321"/>
      <c r="J794" s="337"/>
      <c r="K794" s="321"/>
      <c r="L794" s="321"/>
      <c r="M794" s="321"/>
      <c r="N794" s="337"/>
      <c r="O794" s="321"/>
      <c r="P794" s="321"/>
      <c r="Q794" s="321"/>
      <c r="R794" s="337"/>
      <c r="S794" s="321"/>
      <c r="T794" s="321"/>
      <c r="U794" s="321"/>
      <c r="V794" s="337"/>
      <c r="W794" s="321"/>
      <c r="X794" s="321"/>
      <c r="Y794" s="20"/>
      <c r="Z794" s="74"/>
      <c r="AA794" s="74"/>
      <c r="AB794" s="74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</row>
    <row r="795" spans="1:47" hidden="1">
      <c r="A795" s="309" t="s">
        <v>464</v>
      </c>
      <c r="B795" s="1"/>
      <c r="C795" s="319">
        <f>[51]Sheet1!$L$15+Temperature!B92*1000</f>
        <v>143271776.55847031</v>
      </c>
      <c r="D795" s="382">
        <v>6.4390000000000001</v>
      </c>
      <c r="E795" s="321" t="s">
        <v>374</v>
      </c>
      <c r="F795" s="321">
        <f>ROUND(D795/100*$C795,0)</f>
        <v>9225270</v>
      </c>
      <c r="G795" s="382">
        <v>6.8159999999999998</v>
      </c>
      <c r="H795" s="321" t="s">
        <v>374</v>
      </c>
      <c r="I795" s="321">
        <f>ROUND(G795/100*C795,0)</f>
        <v>9765404</v>
      </c>
      <c r="J795" s="382">
        <f ca="1">$J$741</f>
        <v>3.9140000000000001</v>
      </c>
      <c r="K795" s="321" t="s">
        <v>374</v>
      </c>
      <c r="L795" s="321">
        <f ca="1">ROUND(J795/100*$C795,0)</f>
        <v>5607657</v>
      </c>
      <c r="M795" s="321"/>
      <c r="N795" s="382">
        <f ca="1">$N$741</f>
        <v>0.10011647788394891</v>
      </c>
      <c r="O795" s="321" t="s">
        <v>374</v>
      </c>
      <c r="P795" s="321">
        <f ca="1">ROUND(N795/100*$C795,0)</f>
        <v>143439</v>
      </c>
      <c r="Q795" s="321"/>
      <c r="R795" s="382">
        <f ca="1">$R$741</f>
        <v>1.3911559920341985</v>
      </c>
      <c r="S795" s="321" t="s">
        <v>374</v>
      </c>
      <c r="T795" s="321">
        <f ca="1">ROUND(R795/100*$C795,0)</f>
        <v>1993134</v>
      </c>
      <c r="U795" s="321"/>
      <c r="V795" s="382">
        <f ca="1">$V$741</f>
        <v>2.4227485087524854</v>
      </c>
      <c r="W795" s="321" t="s">
        <v>374</v>
      </c>
      <c r="X795" s="321">
        <f ca="1">ROUND(V795/100*$C795,0)</f>
        <v>3471115</v>
      </c>
      <c r="Y795" s="20"/>
      <c r="Z795" s="74"/>
      <c r="AA795" s="74"/>
      <c r="AB795" s="74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</row>
    <row r="796" spans="1:47" hidden="1">
      <c r="A796" s="323" t="s">
        <v>400</v>
      </c>
      <c r="B796" s="1"/>
      <c r="C796" s="275">
        <f>[51]Sheet1!$M$15</f>
        <v>52896</v>
      </c>
      <c r="D796" s="339">
        <v>56</v>
      </c>
      <c r="E796" s="323" t="s">
        <v>374</v>
      </c>
      <c r="F796" s="321">
        <f>ROUND(D796*$C796/100,0)</f>
        <v>29622</v>
      </c>
      <c r="G796" s="339">
        <v>56</v>
      </c>
      <c r="H796" s="323" t="s">
        <v>374</v>
      </c>
      <c r="I796" s="321">
        <f>ROUND(G796/100*C796,0)</f>
        <v>29622</v>
      </c>
      <c r="J796" s="339">
        <f>$J$742</f>
        <v>56</v>
      </c>
      <c r="K796" s="323" t="s">
        <v>374</v>
      </c>
      <c r="L796" s="321">
        <f>ROUND(J796*$C796/100,0)</f>
        <v>29622</v>
      </c>
      <c r="M796" s="321"/>
      <c r="N796" s="339" t="str">
        <f>$N$742</f>
        <v xml:space="preserve"> </v>
      </c>
      <c r="O796" s="323" t="s">
        <v>374</v>
      </c>
      <c r="P796" s="321">
        <f>ROUND(N796*$C796/100,0)</f>
        <v>0</v>
      </c>
      <c r="Q796" s="321"/>
      <c r="R796" s="339">
        <f ca="1">$R$742</f>
        <v>11</v>
      </c>
      <c r="S796" s="323" t="s">
        <v>374</v>
      </c>
      <c r="T796" s="321">
        <f ca="1">ROUND(R796*$C796/100,0)</f>
        <v>5819</v>
      </c>
      <c r="U796" s="321"/>
      <c r="V796" s="339">
        <f ca="1">$V$742</f>
        <v>45</v>
      </c>
      <c r="W796" s="323" t="s">
        <v>374</v>
      </c>
      <c r="X796" s="321">
        <f ca="1">ROUND(V796*$C796/100,0)</f>
        <v>23803</v>
      </c>
      <c r="Y796" s="20"/>
      <c r="Z796" s="74"/>
      <c r="AA796" s="74"/>
      <c r="AB796" s="74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</row>
    <row r="797" spans="1:47" s="1184" customFormat="1" hidden="1">
      <c r="A797" s="1005" t="s">
        <v>1035</v>
      </c>
      <c r="C797" s="1202">
        <f>C795</f>
        <v>143271776.55847031</v>
      </c>
      <c r="D797" s="269"/>
      <c r="E797" s="1185"/>
      <c r="F797" s="1203"/>
      <c r="G797" s="269"/>
      <c r="H797" s="1185"/>
      <c r="I797" s="1203"/>
      <c r="J797" s="1230">
        <f>J743</f>
        <v>3.2410000000000001</v>
      </c>
      <c r="K797" s="1041" t="s">
        <v>374</v>
      </c>
      <c r="L797" s="1041">
        <f>ROUND(J797*$C797/100,0)</f>
        <v>4643438</v>
      </c>
      <c r="M797" s="1041"/>
      <c r="N797" s="1230" t="str">
        <f>N743</f>
        <v xml:space="preserve"> </v>
      </c>
      <c r="O797" s="1041" t="s">
        <v>374</v>
      </c>
      <c r="P797" s="1041">
        <f>ROUND(N797*$C797/100,0)</f>
        <v>0</v>
      </c>
      <c r="Q797" s="1041"/>
      <c r="R797" s="1230" t="str">
        <f>R743</f>
        <v xml:space="preserve"> </v>
      </c>
      <c r="S797" s="1041" t="s">
        <v>374</v>
      </c>
      <c r="T797" s="1041">
        <f>ROUND(R797*$C797/100,0)</f>
        <v>0</v>
      </c>
      <c r="U797" s="1041"/>
      <c r="V797" s="1230">
        <f>V743</f>
        <v>3.2410000000000001</v>
      </c>
      <c r="W797" s="1041" t="s">
        <v>374</v>
      </c>
      <c r="X797" s="1041">
        <f>ROUND(V797*$C797/100,0)</f>
        <v>4643438</v>
      </c>
      <c r="Z797" s="815"/>
      <c r="AC797" s="1205"/>
      <c r="AD797" s="1205"/>
      <c r="AI797" s="1185"/>
      <c r="AJ797" s="1185"/>
      <c r="AK797" s="1185"/>
      <c r="AL797" s="1185"/>
      <c r="AM797" s="1185"/>
      <c r="AN797" s="1185"/>
      <c r="AO797" s="1185"/>
      <c r="AP797" s="1185"/>
      <c r="AQ797" s="1185"/>
      <c r="AR797" s="1185"/>
      <c r="AS797" s="1185"/>
      <c r="AU797" s="1204"/>
    </row>
    <row r="798" spans="1:47" hidden="1">
      <c r="A798" s="360" t="s">
        <v>401</v>
      </c>
      <c r="B798" s="1"/>
      <c r="C798" s="319"/>
      <c r="D798" s="332">
        <v>-0.01</v>
      </c>
      <c r="E798" s="2"/>
      <c r="F798" s="321"/>
      <c r="G798" s="332">
        <v>-0.01</v>
      </c>
      <c r="H798" s="1"/>
      <c r="I798" s="321"/>
      <c r="J798" s="332">
        <v>-0.01</v>
      </c>
      <c r="K798" s="1"/>
      <c r="L798" s="321"/>
      <c r="M798" s="321"/>
      <c r="N798" s="332">
        <v>-0.01</v>
      </c>
      <c r="O798" s="1"/>
      <c r="P798" s="321"/>
      <c r="Q798" s="321"/>
      <c r="R798" s="332">
        <v>-0.01</v>
      </c>
      <c r="S798" s="1"/>
      <c r="T798" s="321"/>
      <c r="U798" s="321"/>
      <c r="V798" s="332">
        <v>-0.01</v>
      </c>
      <c r="W798" s="1"/>
      <c r="X798" s="321"/>
      <c r="Y798" s="20"/>
      <c r="Z798" s="74"/>
      <c r="AA798" s="74"/>
      <c r="AB798" s="74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</row>
    <row r="799" spans="1:47" hidden="1">
      <c r="A799" s="309" t="s">
        <v>390</v>
      </c>
      <c r="B799" s="1"/>
      <c r="C799" s="319">
        <v>0</v>
      </c>
      <c r="D799" s="384">
        <v>0</v>
      </c>
      <c r="E799" s="324"/>
      <c r="F799" s="321">
        <f>ROUND(D799*$C799*$D$745,0)</f>
        <v>0</v>
      </c>
      <c r="G799" s="384">
        <v>0</v>
      </c>
      <c r="H799" s="324"/>
      <c r="I799" s="321">
        <f>ROUND(G799*C799*$G$745,0)</f>
        <v>0</v>
      </c>
      <c r="J799" s="384">
        <f>J775</f>
        <v>0</v>
      </c>
      <c r="K799" s="324"/>
      <c r="L799" s="321">
        <f>ROUND(J799*$C799*$J$798,0)</f>
        <v>0</v>
      </c>
      <c r="M799" s="321"/>
      <c r="N799" s="384">
        <f>N775</f>
        <v>0</v>
      </c>
      <c r="O799" s="324"/>
      <c r="P799" s="321">
        <f>ROUND(N799*$C799*$J$798,0)</f>
        <v>0</v>
      </c>
      <c r="Q799" s="321"/>
      <c r="R799" s="384" t="str">
        <f>R775</f>
        <v xml:space="preserve"> </v>
      </c>
      <c r="S799" s="324"/>
      <c r="T799" s="321">
        <f>ROUND(R799*$C799*$J$798,0)</f>
        <v>0</v>
      </c>
      <c r="U799" s="321"/>
      <c r="V799" s="384" t="str">
        <f>V775</f>
        <v xml:space="preserve"> </v>
      </c>
      <c r="W799" s="324"/>
      <c r="X799" s="321">
        <f>ROUND(V799*$C799*$J$798,0)</f>
        <v>0</v>
      </c>
      <c r="Y799" s="20"/>
      <c r="Z799" s="74"/>
      <c r="AA799" s="74"/>
      <c r="AB799" s="74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</row>
    <row r="800" spans="1:47" hidden="1">
      <c r="A800" s="309" t="s">
        <v>391</v>
      </c>
      <c r="B800" s="1"/>
      <c r="C800" s="319"/>
      <c r="D800" s="384"/>
      <c r="E800" s="324"/>
      <c r="F800" s="321"/>
      <c r="G800" s="384"/>
      <c r="H800" s="324"/>
      <c r="I800" s="321"/>
      <c r="J800" s="384"/>
      <c r="K800" s="324"/>
      <c r="L800" s="321"/>
      <c r="M800" s="321"/>
      <c r="N800" s="384"/>
      <c r="O800" s="324"/>
      <c r="P800" s="321"/>
      <c r="Q800" s="321"/>
      <c r="R800" s="384"/>
      <c r="S800" s="324"/>
      <c r="T800" s="321"/>
      <c r="U800" s="321"/>
      <c r="V800" s="384"/>
      <c r="W800" s="324"/>
      <c r="X800" s="321"/>
      <c r="Y800" s="20"/>
      <c r="Z800" s="74"/>
      <c r="AA800" s="74"/>
      <c r="AB800" s="74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</row>
    <row r="801" spans="1:45" hidden="1">
      <c r="A801" s="309" t="s">
        <v>452</v>
      </c>
      <c r="B801" s="1"/>
      <c r="C801" s="319">
        <f>[51]Sheet1!$G$2+[51]Sheet1!$G$3</f>
        <v>1.00272540556427</v>
      </c>
      <c r="D801" s="384">
        <v>0</v>
      </c>
      <c r="E801" s="324"/>
      <c r="F801" s="321">
        <f>ROUND(D801*$C801*$D$745,0)</f>
        <v>0</v>
      </c>
      <c r="G801" s="384">
        <v>0</v>
      </c>
      <c r="H801" s="324"/>
      <c r="I801" s="321">
        <f t="shared" ref="I801:I804" si="200">ROUND(G801*C801*$G$745,0)</f>
        <v>0</v>
      </c>
      <c r="J801" s="384">
        <f>J777</f>
        <v>0</v>
      </c>
      <c r="K801" s="324"/>
      <c r="L801" s="321">
        <f>ROUND(J801*$C801*$J$798,0)</f>
        <v>0</v>
      </c>
      <c r="M801" s="321"/>
      <c r="N801" s="384">
        <f>N777</f>
        <v>0</v>
      </c>
      <c r="O801" s="324"/>
      <c r="P801" s="321">
        <f>ROUND(N801*$C801*$J$798,0)</f>
        <v>0</v>
      </c>
      <c r="Q801" s="321"/>
      <c r="R801" s="384" t="str">
        <f>R777</f>
        <v xml:space="preserve"> </v>
      </c>
      <c r="S801" s="324"/>
      <c r="T801" s="321">
        <f>ROUND(R801*$C801*$J$798,0)</f>
        <v>0</v>
      </c>
      <c r="U801" s="321"/>
      <c r="V801" s="384" t="str">
        <f>V777</f>
        <v xml:space="preserve"> </v>
      </c>
      <c r="W801" s="324"/>
      <c r="X801" s="321">
        <f>ROUND(V801*$C801*$J$798,0)</f>
        <v>0</v>
      </c>
      <c r="Y801" s="20"/>
      <c r="Z801" s="74"/>
      <c r="AA801" s="74"/>
      <c r="AB801" s="74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</row>
    <row r="802" spans="1:45" hidden="1">
      <c r="A802" s="309" t="s">
        <v>453</v>
      </c>
      <c r="B802" s="1"/>
      <c r="C802" s="319">
        <v>0</v>
      </c>
      <c r="D802" s="384">
        <v>357</v>
      </c>
      <c r="E802" s="324"/>
      <c r="F802" s="321">
        <f>ROUND(D802*$C802*$D$745,0)</f>
        <v>0</v>
      </c>
      <c r="G802" s="384">
        <v>357</v>
      </c>
      <c r="H802" s="324"/>
      <c r="I802" s="321">
        <f t="shared" si="200"/>
        <v>0</v>
      </c>
      <c r="J802" s="384">
        <f ca="1">J778</f>
        <v>375</v>
      </c>
      <c r="K802" s="324"/>
      <c r="L802" s="321">
        <f ca="1">ROUND(J802*$C802*$J$798,0)</f>
        <v>0</v>
      </c>
      <c r="M802" s="321"/>
      <c r="N802" s="384">
        <f ca="1">N778</f>
        <v>375</v>
      </c>
      <c r="O802" s="324"/>
      <c r="P802" s="321">
        <f ca="1">ROUND(N802*$C802*$J$798,0)</f>
        <v>0</v>
      </c>
      <c r="Q802" s="321"/>
      <c r="R802" s="384" t="str">
        <f>R778</f>
        <v xml:space="preserve"> </v>
      </c>
      <c r="S802" s="324"/>
      <c r="T802" s="321">
        <f>ROUND(R802*$C802*$J$798,0)</f>
        <v>0</v>
      </c>
      <c r="U802" s="321"/>
      <c r="V802" s="384" t="str">
        <f>V778</f>
        <v xml:space="preserve"> </v>
      </c>
      <c r="W802" s="324"/>
      <c r="X802" s="321">
        <f>ROUND(V802*$C802*$J$798,0)</f>
        <v>0</v>
      </c>
      <c r="Y802" s="20"/>
      <c r="Z802" s="74"/>
      <c r="AA802" s="74"/>
      <c r="AB802" s="74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</row>
    <row r="803" spans="1:45" hidden="1">
      <c r="A803" s="309" t="s">
        <v>454</v>
      </c>
      <c r="B803" s="1"/>
      <c r="C803" s="319">
        <v>0</v>
      </c>
      <c r="D803" s="384">
        <v>1457</v>
      </c>
      <c r="E803" s="324"/>
      <c r="F803" s="321">
        <f>ROUND(D803*$C803*$D$745,0)</f>
        <v>0</v>
      </c>
      <c r="G803" s="384">
        <v>1457</v>
      </c>
      <c r="H803" s="324"/>
      <c r="I803" s="321">
        <f t="shared" si="200"/>
        <v>0</v>
      </c>
      <c r="J803" s="384">
        <f ca="1">J779</f>
        <v>1530</v>
      </c>
      <c r="K803" s="324"/>
      <c r="L803" s="321">
        <f ca="1">ROUND(J803*$C803*$J$798,0)</f>
        <v>0</v>
      </c>
      <c r="M803" s="321"/>
      <c r="N803" s="384">
        <f ca="1">N779</f>
        <v>1530</v>
      </c>
      <c r="O803" s="324"/>
      <c r="P803" s="321">
        <f ca="1">ROUND(N803*$C803*$J$798,0)</f>
        <v>0</v>
      </c>
      <c r="Q803" s="321"/>
      <c r="R803" s="384" t="str">
        <f>R779</f>
        <v xml:space="preserve"> </v>
      </c>
      <c r="S803" s="324"/>
      <c r="T803" s="321">
        <f>ROUND(R803*$C803*$J$798,0)</f>
        <v>0</v>
      </c>
      <c r="U803" s="321"/>
      <c r="V803" s="384" t="str">
        <f>V779</f>
        <v xml:space="preserve"> </v>
      </c>
      <c r="W803" s="324"/>
      <c r="X803" s="321">
        <f>ROUND(V803*$C803*$J$798,0)</f>
        <v>0</v>
      </c>
      <c r="Y803" s="20"/>
      <c r="Z803" s="74"/>
      <c r="AA803" s="74"/>
      <c r="AB803" s="74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</row>
    <row r="804" spans="1:45" hidden="1">
      <c r="A804" s="309" t="s">
        <v>390</v>
      </c>
      <c r="B804" s="1"/>
      <c r="C804" s="319">
        <v>0</v>
      </c>
      <c r="D804" s="384">
        <v>23.87</v>
      </c>
      <c r="E804" s="324"/>
      <c r="F804" s="321">
        <f>ROUND(D804*$C804*$D$745,0)</f>
        <v>0</v>
      </c>
      <c r="G804" s="384">
        <v>25.265901957370488</v>
      </c>
      <c r="H804" s="324"/>
      <c r="I804" s="321">
        <f t="shared" si="200"/>
        <v>0</v>
      </c>
      <c r="J804" s="384">
        <f ca="1">J784</f>
        <v>26.524302109100866</v>
      </c>
      <c r="K804" s="324"/>
      <c r="L804" s="321">
        <f ca="1">ROUND(J804*$C804*$J$798,0)</f>
        <v>0</v>
      </c>
      <c r="M804" s="321"/>
      <c r="N804" s="384">
        <f ca="1">N784</f>
        <v>26.524302109100866</v>
      </c>
      <c r="O804" s="324"/>
      <c r="P804" s="321">
        <f ca="1">ROUND(N804*$C804*$J$798,0)</f>
        <v>0</v>
      </c>
      <c r="Q804" s="321"/>
      <c r="R804" s="384" t="str">
        <f>R784</f>
        <v xml:space="preserve"> </v>
      </c>
      <c r="S804" s="324"/>
      <c r="T804" s="321">
        <f>ROUND(R804*$C804*$J$798,0)</f>
        <v>0</v>
      </c>
      <c r="U804" s="321"/>
      <c r="V804" s="384" t="str">
        <f>V784</f>
        <v xml:space="preserve"> </v>
      </c>
      <c r="W804" s="324"/>
      <c r="X804" s="321">
        <f>ROUND(V804*$C804*$J$798,0)</f>
        <v>0</v>
      </c>
      <c r="Y804" s="20"/>
      <c r="Z804" s="74"/>
      <c r="AA804" s="74"/>
      <c r="AB804" s="74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</row>
    <row r="805" spans="1:45" hidden="1">
      <c r="A805" s="309" t="s">
        <v>391</v>
      </c>
      <c r="B805" s="1"/>
      <c r="C805" s="319"/>
      <c r="D805" s="384"/>
      <c r="E805" s="324"/>
      <c r="F805" s="321"/>
      <c r="G805" s="384"/>
      <c r="H805" s="324"/>
      <c r="I805" s="321"/>
      <c r="J805" s="384"/>
      <c r="K805" s="324"/>
      <c r="L805" s="321"/>
      <c r="M805" s="321"/>
      <c r="N805" s="384"/>
      <c r="O805" s="324"/>
      <c r="P805" s="321"/>
      <c r="Q805" s="321"/>
      <c r="R805" s="384"/>
      <c r="S805" s="324"/>
      <c r="T805" s="321"/>
      <c r="U805" s="321"/>
      <c r="V805" s="384"/>
      <c r="W805" s="324"/>
      <c r="X805" s="321"/>
      <c r="Y805" s="20"/>
      <c r="Z805" s="74"/>
      <c r="AA805" s="74"/>
      <c r="AB805" s="74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</row>
    <row r="806" spans="1:45" hidden="1">
      <c r="A806" s="309" t="s">
        <v>452</v>
      </c>
      <c r="B806" s="1"/>
      <c r="C806" s="319">
        <f>[51]Sheet1!$J$2+[51]Sheet1!$J$3</f>
        <v>30.440941572089098</v>
      </c>
      <c r="D806" s="384">
        <v>23.79</v>
      </c>
      <c r="E806" s="324"/>
      <c r="F806" s="321">
        <f>ROUND(D806*$C806*$D$745,0)</f>
        <v>-7</v>
      </c>
      <c r="G806" s="384">
        <v>25.171223609796559</v>
      </c>
      <c r="H806" s="324"/>
      <c r="I806" s="321">
        <f t="shared" ref="I806:I810" si="201">ROUND(G806*C806*$G$745,0)</f>
        <v>-8</v>
      </c>
      <c r="J806" s="384">
        <f ca="1">J786</f>
        <v>26.414908186870086</v>
      </c>
      <c r="K806" s="324"/>
      <c r="L806" s="321">
        <f ca="1">ROUND(J806*$C806*$J$798,0)</f>
        <v>-8</v>
      </c>
      <c r="M806" s="321"/>
      <c r="N806" s="384">
        <f ca="1">N786</f>
        <v>26.414908186870086</v>
      </c>
      <c r="O806" s="324"/>
      <c r="P806" s="321">
        <f ca="1">ROUND(N806*$C806*$J$798,0)</f>
        <v>-8</v>
      </c>
      <c r="Q806" s="321"/>
      <c r="R806" s="384" t="str">
        <f>R786</f>
        <v xml:space="preserve"> </v>
      </c>
      <c r="S806" s="324"/>
      <c r="T806" s="321">
        <f>ROUND(R806*$C806*$J$798,0)</f>
        <v>0</v>
      </c>
      <c r="U806" s="321"/>
      <c r="V806" s="384" t="str">
        <f>V786</f>
        <v xml:space="preserve"> </v>
      </c>
      <c r="W806" s="324"/>
      <c r="X806" s="321">
        <f>ROUND(V806*$C806*$J$798,0)</f>
        <v>0</v>
      </c>
      <c r="Y806" s="20"/>
      <c r="Z806" s="74"/>
      <c r="AA806" s="74"/>
      <c r="AB806" s="74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</row>
    <row r="807" spans="1:45" hidden="1">
      <c r="A807" s="309" t="s">
        <v>453</v>
      </c>
      <c r="B807" s="1"/>
      <c r="C807" s="319">
        <v>0</v>
      </c>
      <c r="D807" s="384">
        <v>16.559999999999999</v>
      </c>
      <c r="E807" s="324"/>
      <c r="F807" s="321">
        <f>ROUND(D807*$C807*$D$745,0)</f>
        <v>0</v>
      </c>
      <c r="G807" s="384">
        <v>17.5284179478029</v>
      </c>
      <c r="H807" s="324"/>
      <c r="I807" s="321">
        <f t="shared" si="201"/>
        <v>0</v>
      </c>
      <c r="J807" s="384">
        <f ca="1">J787</f>
        <v>18.401442937859667</v>
      </c>
      <c r="K807" s="324"/>
      <c r="L807" s="321">
        <f ca="1">ROUND(J807*$C807*$J$798,0)</f>
        <v>0</v>
      </c>
      <c r="M807" s="321"/>
      <c r="N807" s="384">
        <f ca="1">N787</f>
        <v>18.401442937859667</v>
      </c>
      <c r="O807" s="324"/>
      <c r="P807" s="321">
        <f ca="1">ROUND(N807*$C807*$J$798,0)</f>
        <v>0</v>
      </c>
      <c r="Q807" s="321"/>
      <c r="R807" s="384" t="str">
        <f>R787</f>
        <v xml:space="preserve"> </v>
      </c>
      <c r="S807" s="324"/>
      <c r="T807" s="321">
        <f>ROUND(R807*$C807*$J$798,0)</f>
        <v>0</v>
      </c>
      <c r="U807" s="321"/>
      <c r="V807" s="384" t="str">
        <f>V787</f>
        <v xml:space="preserve"> </v>
      </c>
      <c r="W807" s="324"/>
      <c r="X807" s="321">
        <f>ROUND(V807*$C807*$J$798,0)</f>
        <v>0</v>
      </c>
      <c r="Y807" s="20"/>
      <c r="Z807" s="74"/>
      <c r="AA807" s="74"/>
      <c r="AB807" s="74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</row>
    <row r="808" spans="1:45" hidden="1">
      <c r="A808" s="309" t="s">
        <v>454</v>
      </c>
      <c r="B808" s="1"/>
      <c r="C808" s="319">
        <v>0</v>
      </c>
      <c r="D808" s="384">
        <v>12.96</v>
      </c>
      <c r="E808" s="324"/>
      <c r="F808" s="321">
        <f>ROUND(D808*$C808*$D$745,0)</f>
        <v>0</v>
      </c>
      <c r="G808" s="384">
        <v>13.717892306976186</v>
      </c>
      <c r="H808" s="324"/>
      <c r="I808" s="321">
        <f t="shared" si="201"/>
        <v>0</v>
      </c>
      <c r="J808" s="384">
        <f ca="1">J788</f>
        <v>14.401129255716265</v>
      </c>
      <c r="K808" s="324"/>
      <c r="L808" s="321">
        <f t="shared" ref="L808:L813" ca="1" si="202">ROUND(J808*$C808*$J$798,0)</f>
        <v>0</v>
      </c>
      <c r="M808" s="321"/>
      <c r="N808" s="384">
        <f ca="1">N788</f>
        <v>14.401129255716265</v>
      </c>
      <c r="O808" s="324"/>
      <c r="P808" s="321">
        <f t="shared" ref="P808:P810" ca="1" si="203">ROUND(N808*$C808*$J$798,0)</f>
        <v>0</v>
      </c>
      <c r="Q808" s="321"/>
      <c r="R808" s="384" t="str">
        <f>R788</f>
        <v xml:space="preserve"> </v>
      </c>
      <c r="S808" s="324"/>
      <c r="T808" s="321">
        <f t="shared" ref="T808:T810" si="204">ROUND(R808*$C808*$J$798,0)</f>
        <v>0</v>
      </c>
      <c r="U808" s="321"/>
      <c r="V808" s="384" t="str">
        <f>V788</f>
        <v xml:space="preserve"> </v>
      </c>
      <c r="W808" s="324"/>
      <c r="X808" s="321">
        <f t="shared" ref="X808:X810" si="205">ROUND(V808*$C808*$J$798,0)</f>
        <v>0</v>
      </c>
      <c r="Y808" s="20"/>
      <c r="Z808" s="74"/>
      <c r="AA808" s="74"/>
      <c r="AB808" s="74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</row>
    <row r="809" spans="1:45" hidden="1">
      <c r="A809" s="309" t="s">
        <v>465</v>
      </c>
      <c r="B809" s="1"/>
      <c r="C809" s="319">
        <v>0</v>
      </c>
      <c r="D809" s="353">
        <v>71.61</v>
      </c>
      <c r="E809" s="324"/>
      <c r="F809" s="321">
        <f>ROUND(D809*$C809*$D$745,0)</f>
        <v>0</v>
      </c>
      <c r="G809" s="353">
        <v>75.797705872111464</v>
      </c>
      <c r="H809" s="324"/>
      <c r="I809" s="321">
        <f t="shared" si="201"/>
        <v>0</v>
      </c>
      <c r="J809" s="353">
        <f ca="1">J789</f>
        <v>79.572906327302604</v>
      </c>
      <c r="K809" s="324"/>
      <c r="L809" s="321">
        <f t="shared" ca="1" si="202"/>
        <v>0</v>
      </c>
      <c r="M809" s="321"/>
      <c r="N809" s="353">
        <f ca="1">N789</f>
        <v>79.572906327302604</v>
      </c>
      <c r="O809" s="324"/>
      <c r="P809" s="321">
        <f t="shared" ca="1" si="203"/>
        <v>0</v>
      </c>
      <c r="Q809" s="321"/>
      <c r="R809" s="353" t="str">
        <f>R789</f>
        <v xml:space="preserve"> </v>
      </c>
      <c r="S809" s="324"/>
      <c r="T809" s="321">
        <f t="shared" si="204"/>
        <v>0</v>
      </c>
      <c r="U809" s="321"/>
      <c r="V809" s="353" t="str">
        <f>V789</f>
        <v xml:space="preserve"> </v>
      </c>
      <c r="W809" s="324"/>
      <c r="X809" s="321">
        <f t="shared" si="205"/>
        <v>0</v>
      </c>
      <c r="Y809" s="20"/>
      <c r="Z809" s="74"/>
      <c r="AA809" s="74"/>
      <c r="AB809" s="74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</row>
    <row r="810" spans="1:45" hidden="1">
      <c r="A810" s="309" t="s">
        <v>466</v>
      </c>
      <c r="B810" s="1"/>
      <c r="C810" s="319">
        <v>0</v>
      </c>
      <c r="D810" s="353">
        <v>142.74</v>
      </c>
      <c r="E810" s="324"/>
      <c r="F810" s="321">
        <f>ROUND(D810*$C810*$D$745,0)</f>
        <v>0</v>
      </c>
      <c r="G810" s="353">
        <v>151.02734165877936</v>
      </c>
      <c r="H810" s="324"/>
      <c r="I810" s="321">
        <f t="shared" si="201"/>
        <v>0</v>
      </c>
      <c r="J810" s="353">
        <f ca="1">J790</f>
        <v>158.4894491212205</v>
      </c>
      <c r="K810" s="324"/>
      <c r="L810" s="321">
        <f t="shared" ca="1" si="202"/>
        <v>0</v>
      </c>
      <c r="M810" s="321"/>
      <c r="N810" s="353">
        <f ca="1">N790</f>
        <v>158.4894491212205</v>
      </c>
      <c r="O810" s="324"/>
      <c r="P810" s="321">
        <f t="shared" ca="1" si="203"/>
        <v>0</v>
      </c>
      <c r="Q810" s="321"/>
      <c r="R810" s="353" t="str">
        <f>R790</f>
        <v xml:space="preserve"> </v>
      </c>
      <c r="S810" s="324"/>
      <c r="T810" s="321">
        <f t="shared" si="204"/>
        <v>0</v>
      </c>
      <c r="U810" s="321"/>
      <c r="V810" s="353" t="str">
        <f>V790</f>
        <v xml:space="preserve"> </v>
      </c>
      <c r="W810" s="324"/>
      <c r="X810" s="321">
        <f t="shared" si="205"/>
        <v>0</v>
      </c>
      <c r="Y810" s="20"/>
      <c r="Z810" s="74"/>
      <c r="AA810" s="74"/>
      <c r="AB810" s="74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</row>
    <row r="811" spans="1:45" hidden="1">
      <c r="A811" s="309" t="s">
        <v>462</v>
      </c>
      <c r="B811" s="1"/>
      <c r="C811" s="319"/>
      <c r="D811" s="337"/>
      <c r="E811" s="324"/>
      <c r="F811" s="321"/>
      <c r="G811" s="337"/>
      <c r="H811" s="324"/>
      <c r="I811" s="321"/>
      <c r="J811" s="337"/>
      <c r="K811" s="324"/>
      <c r="L811" s="321"/>
      <c r="M811" s="321"/>
      <c r="N811" s="337"/>
      <c r="O811" s="324"/>
      <c r="P811" s="321"/>
      <c r="Q811" s="321"/>
      <c r="R811" s="337"/>
      <c r="S811" s="324"/>
      <c r="T811" s="321"/>
      <c r="U811" s="321"/>
      <c r="V811" s="337"/>
      <c r="W811" s="324"/>
      <c r="X811" s="321"/>
      <c r="Y811" s="20"/>
      <c r="Z811" s="74"/>
      <c r="AA811" s="74"/>
      <c r="AB811" s="74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</row>
    <row r="812" spans="1:45" hidden="1">
      <c r="A812" s="309" t="s">
        <v>457</v>
      </c>
      <c r="B812" s="1"/>
      <c r="C812" s="319">
        <v>0</v>
      </c>
      <c r="D812" s="363">
        <v>-23.87</v>
      </c>
      <c r="E812" s="324"/>
      <c r="F812" s="321">
        <f>ROUND(D812*$C812*$D$745,0)</f>
        <v>0</v>
      </c>
      <c r="G812" s="363">
        <v>-25.265901957370488</v>
      </c>
      <c r="H812" s="324"/>
      <c r="I812" s="321">
        <f t="shared" ref="I812:I813" si="206">ROUND(G812*C812*$G$745,0)</f>
        <v>0</v>
      </c>
      <c r="J812" s="363">
        <f ca="1">J792</f>
        <v>-26.524302109100866</v>
      </c>
      <c r="K812" s="324"/>
      <c r="L812" s="321">
        <f t="shared" ca="1" si="202"/>
        <v>0</v>
      </c>
      <c r="M812" s="321"/>
      <c r="N812" s="363">
        <f ca="1">N792</f>
        <v>-26.524302109100866</v>
      </c>
      <c r="O812" s="324"/>
      <c r="P812" s="321">
        <f t="shared" ref="P812:P813" ca="1" si="207">ROUND(N812*$C812*$J$798,0)</f>
        <v>0</v>
      </c>
      <c r="Q812" s="321"/>
      <c r="R812" s="363">
        <f>R792</f>
        <v>0</v>
      </c>
      <c r="S812" s="324"/>
      <c r="T812" s="321">
        <f t="shared" ref="T812:T813" si="208">ROUND(R812*$C812*$J$798,0)</f>
        <v>0</v>
      </c>
      <c r="U812" s="321"/>
      <c r="V812" s="363">
        <f>V792</f>
        <v>0</v>
      </c>
      <c r="W812" s="324"/>
      <c r="X812" s="321">
        <f t="shared" ref="X812:X813" si="209">ROUND(V812*$C812*$J$798,0)</f>
        <v>0</v>
      </c>
      <c r="Y812" s="20"/>
      <c r="Z812" s="74"/>
      <c r="AA812" s="74"/>
      <c r="AB812" s="74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</row>
    <row r="813" spans="1:45" hidden="1">
      <c r="A813" s="309" t="s">
        <v>463</v>
      </c>
      <c r="B813" s="1"/>
      <c r="C813" s="319">
        <v>0</v>
      </c>
      <c r="D813" s="363">
        <v>-23.79</v>
      </c>
      <c r="E813" s="324"/>
      <c r="F813" s="321">
        <f>ROUND(D813*$C813*$D$745,0)</f>
        <v>0</v>
      </c>
      <c r="G813" s="363">
        <v>-25.171223609796559</v>
      </c>
      <c r="H813" s="324"/>
      <c r="I813" s="321">
        <f t="shared" si="206"/>
        <v>0</v>
      </c>
      <c r="J813" s="363">
        <f ca="1">J793</f>
        <v>-26.414908186870086</v>
      </c>
      <c r="K813" s="324"/>
      <c r="L813" s="321">
        <f t="shared" ca="1" si="202"/>
        <v>0</v>
      </c>
      <c r="M813" s="321"/>
      <c r="N813" s="363">
        <f ca="1">N793</f>
        <v>-26.414908186870086</v>
      </c>
      <c r="O813" s="324"/>
      <c r="P813" s="321">
        <f t="shared" ca="1" si="207"/>
        <v>0</v>
      </c>
      <c r="Q813" s="321"/>
      <c r="R813" s="363">
        <f>R793</f>
        <v>0</v>
      </c>
      <c r="S813" s="324"/>
      <c r="T813" s="321">
        <f t="shared" si="208"/>
        <v>0</v>
      </c>
      <c r="U813" s="321"/>
      <c r="V813" s="363">
        <f>V793</f>
        <v>0</v>
      </c>
      <c r="W813" s="324"/>
      <c r="X813" s="321">
        <f t="shared" si="209"/>
        <v>0</v>
      </c>
      <c r="Y813" s="20"/>
      <c r="Z813" s="74"/>
      <c r="AA813" s="74"/>
      <c r="AB813" s="74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</row>
    <row r="814" spans="1:45" hidden="1">
      <c r="A814" s="323" t="s">
        <v>426</v>
      </c>
      <c r="B814" s="1"/>
      <c r="C814" s="319"/>
      <c r="D814" s="384"/>
      <c r="E814" s="321"/>
      <c r="F814" s="321"/>
      <c r="G814" s="384"/>
      <c r="H814" s="321"/>
      <c r="I814" s="321"/>
      <c r="J814" s="384"/>
      <c r="K814" s="321"/>
      <c r="L814" s="321"/>
      <c r="M814" s="321"/>
      <c r="N814" s="384"/>
      <c r="O814" s="321"/>
      <c r="P814" s="321"/>
      <c r="Q814" s="321"/>
      <c r="R814" s="384"/>
      <c r="S814" s="321"/>
      <c r="T814" s="321"/>
      <c r="U814" s="321"/>
      <c r="V814" s="384"/>
      <c r="W814" s="321"/>
      <c r="X814" s="321"/>
      <c r="Y814" s="20"/>
      <c r="Z814" s="74"/>
      <c r="AA814" s="74"/>
      <c r="AB814" s="74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</row>
    <row r="815" spans="1:45" hidden="1">
      <c r="A815" s="309" t="s">
        <v>464</v>
      </c>
      <c r="B815" s="1"/>
      <c r="C815" s="319">
        <f>[51]Sheet1!$L$2+[51]Sheet1!$L$3</f>
        <v>32140</v>
      </c>
      <c r="D815" s="385">
        <v>6.4390000000000001</v>
      </c>
      <c r="E815" s="321" t="s">
        <v>374</v>
      </c>
      <c r="F815" s="321">
        <f>ROUND(D815/100*$C815*$D$745,0)</f>
        <v>-21</v>
      </c>
      <c r="G815" s="385">
        <v>6.8159999999999998</v>
      </c>
      <c r="H815" s="321" t="s">
        <v>374</v>
      </c>
      <c r="I815" s="321">
        <f>ROUND(G815*C815/100*G798,0)</f>
        <v>-22</v>
      </c>
      <c r="J815" s="385">
        <f ca="1">J795</f>
        <v>3.9140000000000001</v>
      </c>
      <c r="K815" s="321" t="s">
        <v>374</v>
      </c>
      <c r="L815" s="321">
        <f ca="1">ROUND(J815/100*$C815*$J$798,0)</f>
        <v>-13</v>
      </c>
      <c r="M815" s="321"/>
      <c r="N815" s="385">
        <f ca="1">N795</f>
        <v>0.10011647788394891</v>
      </c>
      <c r="O815" s="321" t="s">
        <v>374</v>
      </c>
      <c r="P815" s="321">
        <f ca="1">ROUND(N815/100*$C815*$J$798,0)</f>
        <v>0</v>
      </c>
      <c r="Q815" s="321"/>
      <c r="R815" s="385">
        <f ca="1">R795</f>
        <v>1.3911559920341985</v>
      </c>
      <c r="S815" s="321" t="s">
        <v>374</v>
      </c>
      <c r="T815" s="321">
        <f ca="1">ROUND(R815/100*$C815*$J$798,0)</f>
        <v>-4</v>
      </c>
      <c r="U815" s="321"/>
      <c r="V815" s="385">
        <f ca="1">V795</f>
        <v>2.4227485087524854</v>
      </c>
      <c r="W815" s="321" t="s">
        <v>374</v>
      </c>
      <c r="X815" s="321">
        <f ca="1">ROUND(V815/100*$C815*$J$798,0)</f>
        <v>-8</v>
      </c>
      <c r="Y815" s="20"/>
      <c r="Z815" s="74"/>
      <c r="AA815" s="74"/>
      <c r="AB815" s="74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</row>
    <row r="816" spans="1:45" hidden="1">
      <c r="A816" s="323" t="s">
        <v>400</v>
      </c>
      <c r="B816" s="1"/>
      <c r="C816" s="319">
        <v>0</v>
      </c>
      <c r="D816" s="375">
        <v>56</v>
      </c>
      <c r="E816" s="321" t="s">
        <v>374</v>
      </c>
      <c r="F816" s="321">
        <f>ROUND(D816/100*$C816*$D$745,0)</f>
        <v>0</v>
      </c>
      <c r="G816" s="375">
        <v>56</v>
      </c>
      <c r="H816" s="323" t="s">
        <v>374</v>
      </c>
      <c r="I816" s="321">
        <f t="shared" ref="I816" si="210">ROUND(G816*C816,0)</f>
        <v>0</v>
      </c>
      <c r="J816" s="375">
        <f>J796</f>
        <v>56</v>
      </c>
      <c r="K816" s="323" t="s">
        <v>374</v>
      </c>
      <c r="L816" s="321">
        <f>ROUND(J816/100*$C816*$J$798,0)</f>
        <v>0</v>
      </c>
      <c r="M816" s="321"/>
      <c r="N816" s="375" t="str">
        <f>N796</f>
        <v xml:space="preserve"> </v>
      </c>
      <c r="O816" s="323" t="s">
        <v>374</v>
      </c>
      <c r="P816" s="321">
        <f>ROUND(N816/100*$C816*$J$798,0)</f>
        <v>0</v>
      </c>
      <c r="Q816" s="321"/>
      <c r="R816" s="375">
        <f ca="1">R796</f>
        <v>11</v>
      </c>
      <c r="S816" s="323" t="s">
        <v>374</v>
      </c>
      <c r="T816" s="321">
        <f ca="1">ROUND(R816/100*$C816*$J$798,0)</f>
        <v>0</v>
      </c>
      <c r="U816" s="321"/>
      <c r="V816" s="375">
        <f ca="1">V796</f>
        <v>45</v>
      </c>
      <c r="W816" s="323" t="s">
        <v>374</v>
      </c>
      <c r="X816" s="321">
        <f ca="1">ROUND(V816/100*$C816*$J$798,0)</f>
        <v>0</v>
      </c>
      <c r="Y816" s="20"/>
      <c r="Z816" s="74"/>
      <c r="AA816" s="74"/>
      <c r="AB816" s="74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</row>
    <row r="817" spans="1:47" hidden="1">
      <c r="A817" s="323" t="s">
        <v>443</v>
      </c>
      <c r="B817" s="1"/>
      <c r="C817" s="319">
        <f>[51]Sheet1!$E$2+[51]Sheet1!$E$3</f>
        <v>12</v>
      </c>
      <c r="D817" s="298">
        <v>60</v>
      </c>
      <c r="E817" s="364" t="s">
        <v>31</v>
      </c>
      <c r="F817" s="321">
        <f>ROUND(D817*$C817,0)</f>
        <v>720</v>
      </c>
      <c r="G817" s="298">
        <v>60</v>
      </c>
      <c r="H817" s="1"/>
      <c r="I817" s="321">
        <f>ROUND(G817*$C817,0)</f>
        <v>720</v>
      </c>
      <c r="J817" s="298">
        <f>$J$764</f>
        <v>60</v>
      </c>
      <c r="K817" s="1"/>
      <c r="L817" s="321">
        <f>ROUND(J817*$C817,0)</f>
        <v>720</v>
      </c>
      <c r="M817" s="321"/>
      <c r="N817" s="298" t="str">
        <f>$N$764</f>
        <v xml:space="preserve"> </v>
      </c>
      <c r="O817" s="1"/>
      <c r="P817" s="321">
        <f>ROUND(N817*$C817,0)</f>
        <v>0</v>
      </c>
      <c r="Q817" s="321"/>
      <c r="R817" s="298">
        <f ca="1">$R$764</f>
        <v>11.831395044239747</v>
      </c>
      <c r="S817" s="1"/>
      <c r="T817" s="321">
        <f ca="1">ROUND(R817*$C817,0)</f>
        <v>142</v>
      </c>
      <c r="U817" s="321"/>
      <c r="V817" s="298">
        <f ca="1">$V$764</f>
        <v>48.168604955760252</v>
      </c>
      <c r="W817" s="1"/>
      <c r="X817" s="321">
        <f ca="1">ROUND(V817*$C817,0)</f>
        <v>578</v>
      </c>
      <c r="Y817" s="20"/>
      <c r="Z817" s="74"/>
      <c r="AA817" s="74"/>
      <c r="AB817" s="74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</row>
    <row r="818" spans="1:47" hidden="1">
      <c r="A818" s="323" t="s">
        <v>444</v>
      </c>
      <c r="B818" s="1"/>
      <c r="C818" s="319">
        <v>30.440941572089098</v>
      </c>
      <c r="D818" s="339">
        <v>-30</v>
      </c>
      <c r="E818" s="321" t="s">
        <v>374</v>
      </c>
      <c r="F818" s="321">
        <f>ROUND(D818*$C818,0)</f>
        <v>-913</v>
      </c>
      <c r="G818" s="339">
        <v>-30</v>
      </c>
      <c r="H818" s="321" t="s">
        <v>374</v>
      </c>
      <c r="I818" s="321">
        <f>ROUND(G818*$C818/100,0)</f>
        <v>-9</v>
      </c>
      <c r="J818" s="339">
        <f>$J$765</f>
        <v>-30</v>
      </c>
      <c r="K818" s="321" t="s">
        <v>374</v>
      </c>
      <c r="L818" s="321">
        <f>ROUND(J818*$C818/100,0)</f>
        <v>-9</v>
      </c>
      <c r="M818" s="321"/>
      <c r="N818" s="339">
        <f>$N$765</f>
        <v>-30</v>
      </c>
      <c r="O818" s="321" t="s">
        <v>374</v>
      </c>
      <c r="P818" s="321">
        <f>ROUND(N818*$C818/100,0)</f>
        <v>-9</v>
      </c>
      <c r="Q818" s="321"/>
      <c r="R818" s="339">
        <f>$R$765</f>
        <v>0</v>
      </c>
      <c r="S818" s="321" t="s">
        <v>374</v>
      </c>
      <c r="T818" s="321">
        <f>ROUND(R818*$C818/100,0)</f>
        <v>0</v>
      </c>
      <c r="U818" s="321"/>
      <c r="V818" s="339">
        <f>$V$765</f>
        <v>0</v>
      </c>
      <c r="W818" s="321" t="s">
        <v>374</v>
      </c>
      <c r="X818" s="321">
        <f>ROUND(V818*$C818/100,0)</f>
        <v>0</v>
      </c>
      <c r="Y818" s="20"/>
      <c r="Z818" s="74"/>
      <c r="AA818" s="74"/>
      <c r="AB818" s="74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</row>
    <row r="819" spans="1:47" s="1184" customFormat="1" hidden="1">
      <c r="A819" s="1005" t="s">
        <v>1035</v>
      </c>
      <c r="C819" s="1202">
        <f>C815</f>
        <v>32140</v>
      </c>
      <c r="D819" s="269"/>
      <c r="E819" s="1185"/>
      <c r="F819" s="1203"/>
      <c r="G819" s="269"/>
      <c r="H819" s="1185"/>
      <c r="I819" s="1203"/>
      <c r="J819" s="1230">
        <f>J766</f>
        <v>3.2410000000000001</v>
      </c>
      <c r="K819" s="1041" t="s">
        <v>374</v>
      </c>
      <c r="L819" s="321">
        <f>ROUND(J819/100*$C819*$J$798,0)</f>
        <v>-10</v>
      </c>
      <c r="M819" s="321"/>
      <c r="N819" s="1230" t="str">
        <f>N766</f>
        <v xml:space="preserve"> </v>
      </c>
      <c r="O819" s="1041" t="s">
        <v>374</v>
      </c>
      <c r="P819" s="321">
        <f>ROUND(N819/100*$C819*$J$798,0)</f>
        <v>0</v>
      </c>
      <c r="Q819" s="321"/>
      <c r="R819" s="1230" t="str">
        <f>R766</f>
        <v xml:space="preserve"> </v>
      </c>
      <c r="S819" s="1041" t="s">
        <v>374</v>
      </c>
      <c r="T819" s="321">
        <f>ROUND(R819/100*$C819*$J$798,0)</f>
        <v>0</v>
      </c>
      <c r="U819" s="321"/>
      <c r="V819" s="1230">
        <f>V766</f>
        <v>3.2410000000000001</v>
      </c>
      <c r="W819" s="1041" t="s">
        <v>374</v>
      </c>
      <c r="X819" s="321">
        <f>ROUND(V819/100*$C819*$J$798,0)</f>
        <v>-10</v>
      </c>
      <c r="Z819" s="815"/>
      <c r="AC819" s="1205"/>
      <c r="AD819" s="1205"/>
      <c r="AI819" s="1185"/>
      <c r="AJ819" s="1185"/>
      <c r="AK819" s="1185"/>
      <c r="AL819" s="1185"/>
      <c r="AM819" s="1185"/>
      <c r="AN819" s="1185"/>
      <c r="AO819" s="1185"/>
      <c r="AP819" s="1185"/>
      <c r="AQ819" s="1185"/>
      <c r="AR819" s="1185"/>
      <c r="AS819" s="1185"/>
      <c r="AU819" s="1204"/>
    </row>
    <row r="820" spans="1:47" hidden="1">
      <c r="A820" s="1" t="s">
        <v>381</v>
      </c>
      <c r="B820" s="1"/>
      <c r="C820" s="319">
        <f>SUM(C795:C795)</f>
        <v>143271776.55847031</v>
      </c>
      <c r="D820" s="330"/>
      <c r="E820" s="2"/>
      <c r="F820" s="2">
        <f>SUM(F775:F818)</f>
        <v>11570104</v>
      </c>
      <c r="G820" s="330"/>
      <c r="H820" s="323"/>
      <c r="I820" s="2">
        <f>SUM(I775:I818)</f>
        <v>12236390</v>
      </c>
      <c r="J820" s="330"/>
      <c r="K820" s="323"/>
      <c r="L820" s="2">
        <f ca="1">SUM(L775:L819)</f>
        <v>12843176</v>
      </c>
      <c r="M820" s="2"/>
      <c r="N820" s="330"/>
      <c r="O820" s="323"/>
      <c r="P820" s="2">
        <f ca="1">SUM(P775:P819)</f>
        <v>2705201</v>
      </c>
      <c r="Q820" s="2"/>
      <c r="R820" s="330"/>
      <c r="S820" s="323"/>
      <c r="T820" s="2">
        <f ca="1">SUM(T775:T819)</f>
        <v>1999091</v>
      </c>
      <c r="U820" s="2"/>
      <c r="V820" s="330"/>
      <c r="W820" s="323"/>
      <c r="X820" s="2">
        <f ca="1">SUM(X775:X819)</f>
        <v>8138916</v>
      </c>
      <c r="Y820" s="20"/>
      <c r="Z820" s="74"/>
      <c r="AA820" s="74"/>
      <c r="AB820" s="74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</row>
    <row r="821" spans="1:47" hidden="1">
      <c r="A821" s="1" t="s">
        <v>363</v>
      </c>
      <c r="B821" s="1"/>
      <c r="C821" s="349">
        <f>'Table 2'!H101</f>
        <v>-204808.5383765107</v>
      </c>
      <c r="D821" s="309"/>
      <c r="E821" s="309"/>
      <c r="F821" s="310">
        <f ca="1">I821</f>
        <v>-31873.500853653604</v>
      </c>
      <c r="G821" s="309"/>
      <c r="H821" s="309"/>
      <c r="I821" s="310">
        <f ca="1">'Table 3'!E101</f>
        <v>-31873.500853653604</v>
      </c>
      <c r="J821" s="309"/>
      <c r="K821" s="309"/>
      <c r="L821" s="310">
        <f ca="1">I821</f>
        <v>-31873.500853653604</v>
      </c>
      <c r="M821" s="51"/>
      <c r="N821" s="309"/>
      <c r="O821" s="309"/>
      <c r="P821" s="310">
        <f ca="1">P768/L768*L821</f>
        <v>-6705.5655109690106</v>
      </c>
      <c r="Q821" s="51"/>
      <c r="R821" s="309"/>
      <c r="S821" s="309"/>
      <c r="T821" s="310">
        <f ca="1">T768/L768*L821</f>
        <v>-4962.8630914530804</v>
      </c>
      <c r="U821" s="51"/>
      <c r="V821" s="309"/>
      <c r="W821" s="309"/>
      <c r="X821" s="310">
        <f ca="1">X768/L768*L821</f>
        <v>-20205.072251231515</v>
      </c>
      <c r="Y821" s="444"/>
      <c r="Z821" s="287"/>
      <c r="AA821" s="74"/>
      <c r="AB821" s="74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</row>
    <row r="822" spans="1:47" ht="16.5" hidden="1" thickBot="1">
      <c r="A822" s="1" t="s">
        <v>382</v>
      </c>
      <c r="B822" s="1"/>
      <c r="C822" s="366">
        <f>SUM(C820:C821)</f>
        <v>143066968.0200938</v>
      </c>
      <c r="D822" s="342"/>
      <c r="E822" s="343"/>
      <c r="F822" s="344">
        <f ca="1">F820+F821</f>
        <v>11538230.499146346</v>
      </c>
      <c r="G822" s="342"/>
      <c r="H822" s="345"/>
      <c r="I822" s="344">
        <f ca="1">I820+I821</f>
        <v>12204516.499146346</v>
      </c>
      <c r="J822" s="342"/>
      <c r="K822" s="345"/>
      <c r="L822" s="344">
        <f ca="1">L820+L821</f>
        <v>12811302.499146346</v>
      </c>
      <c r="M822" s="344"/>
      <c r="N822" s="342"/>
      <c r="O822" s="345"/>
      <c r="P822" s="344">
        <f ca="1">P820+P821</f>
        <v>2698495.4344890309</v>
      </c>
      <c r="Q822" s="344"/>
      <c r="R822" s="342"/>
      <c r="S822" s="345"/>
      <c r="T822" s="344">
        <f ca="1">T820+T821</f>
        <v>1994128.136908547</v>
      </c>
      <c r="U822" s="344"/>
      <c r="V822" s="342"/>
      <c r="W822" s="345"/>
      <c r="X822" s="344">
        <f ca="1">X820+X821</f>
        <v>8118710.9277487686</v>
      </c>
      <c r="Y822" s="411"/>
      <c r="Z822" s="470"/>
      <c r="AA822" s="74"/>
      <c r="AB822" s="74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</row>
    <row r="823" spans="1:47" ht="16.5" hidden="1" thickTop="1">
      <c r="A823" s="1"/>
      <c r="B823" s="1"/>
      <c r="C823" s="26"/>
      <c r="D823" s="351" t="s">
        <v>31</v>
      </c>
      <c r="E823" s="352"/>
      <c r="F823" s="322"/>
      <c r="G823" s="351" t="s">
        <v>31</v>
      </c>
      <c r="H823" s="23"/>
      <c r="I823" s="322"/>
      <c r="J823" s="386" t="s">
        <v>31</v>
      </c>
      <c r="K823" s="23"/>
      <c r="L823" s="272" t="s">
        <v>31</v>
      </c>
      <c r="M823" s="272"/>
      <c r="N823" s="386" t="s">
        <v>31</v>
      </c>
      <c r="O823" s="23"/>
      <c r="P823" s="272" t="s">
        <v>31</v>
      </c>
      <c r="Q823" s="272"/>
      <c r="R823" s="386" t="s">
        <v>31</v>
      </c>
      <c r="S823" s="23"/>
      <c r="T823" s="272" t="s">
        <v>31</v>
      </c>
      <c r="U823" s="272"/>
      <c r="V823" s="386" t="s">
        <v>31</v>
      </c>
      <c r="W823" s="23"/>
      <c r="X823" s="272" t="s">
        <v>31</v>
      </c>
      <c r="Y823" s="20"/>
      <c r="Z823" s="74"/>
      <c r="AA823" s="74"/>
      <c r="AB823" s="74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</row>
    <row r="824" spans="1:47" hidden="1">
      <c r="A824" s="293" t="s">
        <v>467</v>
      </c>
      <c r="B824" s="1"/>
      <c r="C824" s="21"/>
      <c r="D824" s="337"/>
      <c r="E824" s="2"/>
      <c r="F824" s="2"/>
      <c r="G824" s="337"/>
      <c r="H824" s="1"/>
      <c r="I824" s="2"/>
      <c r="J824" s="337"/>
      <c r="K824" s="1"/>
      <c r="L824" s="2"/>
      <c r="M824" s="2"/>
      <c r="N824" s="337"/>
      <c r="O824" s="1"/>
      <c r="P824" s="2"/>
      <c r="Q824" s="2"/>
      <c r="R824" s="337"/>
      <c r="S824" s="1"/>
      <c r="T824" s="2"/>
      <c r="U824" s="2"/>
      <c r="V824" s="337"/>
      <c r="W824" s="1"/>
      <c r="X824" s="2"/>
      <c r="Y824" s="20"/>
      <c r="Z824" s="74"/>
      <c r="AA824" s="74"/>
      <c r="AB824" s="74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</row>
    <row r="825" spans="1:47" hidden="1">
      <c r="A825" s="309" t="s">
        <v>468</v>
      </c>
      <c r="B825" s="1"/>
      <c r="C825" s="21"/>
      <c r="D825" s="337"/>
      <c r="E825" s="2"/>
      <c r="F825" s="2"/>
      <c r="G825" s="337"/>
      <c r="H825" s="1"/>
      <c r="I825" s="2"/>
      <c r="J825" s="337"/>
      <c r="K825" s="1"/>
      <c r="L825" s="2"/>
      <c r="M825" s="2"/>
      <c r="N825" s="337"/>
      <c r="O825" s="1"/>
      <c r="P825" s="2"/>
      <c r="Q825" s="2"/>
      <c r="R825" s="337"/>
      <c r="S825" s="1"/>
      <c r="T825" s="2"/>
      <c r="U825" s="2"/>
      <c r="V825" s="337"/>
      <c r="W825" s="1"/>
      <c r="X825" s="2"/>
      <c r="Y825" s="20"/>
      <c r="Z825" s="74"/>
      <c r="AA825" s="74"/>
      <c r="AB825" s="74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</row>
    <row r="826" spans="1:47" hidden="1">
      <c r="A826" s="323"/>
      <c r="B826" s="1"/>
      <c r="C826" s="21"/>
      <c r="D826" s="337"/>
      <c r="E826" s="2"/>
      <c r="F826" s="380"/>
      <c r="G826" s="337"/>
      <c r="H826" s="1"/>
      <c r="I826" s="380"/>
      <c r="J826" s="337"/>
      <c r="K826" s="1"/>
      <c r="L826" s="381"/>
      <c r="M826" s="381"/>
      <c r="N826" s="337"/>
      <c r="O826" s="1"/>
      <c r="P826" s="381"/>
      <c r="Q826" s="381"/>
      <c r="R826" s="337"/>
      <c r="S826" s="1"/>
      <c r="T826" s="381"/>
      <c r="U826" s="381"/>
      <c r="V826" s="337"/>
      <c r="W826" s="1"/>
      <c r="X826" s="381"/>
      <c r="Y826" s="20"/>
      <c r="Z826" s="74"/>
      <c r="AA826" s="74"/>
      <c r="AB826" s="74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</row>
    <row r="827" spans="1:47" hidden="1">
      <c r="A827" s="309" t="s">
        <v>449</v>
      </c>
      <c r="B827" s="1"/>
      <c r="C827" s="319"/>
      <c r="D827" s="2" t="s">
        <v>31</v>
      </c>
      <c r="E827" s="2"/>
      <c r="F827" s="1"/>
      <c r="G827" s="2" t="s">
        <v>31</v>
      </c>
      <c r="H827" s="1"/>
      <c r="I827" s="1"/>
      <c r="J827" s="2" t="s">
        <v>31</v>
      </c>
      <c r="K827" s="1"/>
      <c r="L827" s="1"/>
      <c r="M827" s="1"/>
      <c r="N827" s="2" t="s">
        <v>31</v>
      </c>
      <c r="O827" s="1"/>
      <c r="P827" s="1"/>
      <c r="Q827" s="1"/>
      <c r="R827" s="2" t="s">
        <v>31</v>
      </c>
      <c r="S827" s="1"/>
      <c r="T827" s="1"/>
      <c r="U827" s="1"/>
      <c r="V827" s="2" t="s">
        <v>31</v>
      </c>
      <c r="W827" s="1"/>
      <c r="X827" s="1"/>
      <c r="Y827" s="20"/>
      <c r="Z827" s="74"/>
      <c r="AA827" s="74"/>
      <c r="AB827" s="74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</row>
    <row r="828" spans="1:47" hidden="1">
      <c r="A828" s="309" t="s">
        <v>450</v>
      </c>
      <c r="B828" s="1"/>
      <c r="C828" s="319">
        <f>[51]Sheet1!$G$8</f>
        <v>64.334199134199096</v>
      </c>
      <c r="D828" s="337">
        <v>0</v>
      </c>
      <c r="E828" s="324"/>
      <c r="F828" s="321">
        <f>ROUND(D828*$C828,0)</f>
        <v>0</v>
      </c>
      <c r="G828" s="337">
        <v>0</v>
      </c>
      <c r="H828" s="324"/>
      <c r="I828" s="321">
        <f>ROUND(G828*C828,0)</f>
        <v>0</v>
      </c>
      <c r="J828" s="337">
        <f>$J$721</f>
        <v>0</v>
      </c>
      <c r="K828" s="324"/>
      <c r="L828" s="321">
        <f>ROUND(J828*$C828,0)</f>
        <v>0</v>
      </c>
      <c r="M828" s="321"/>
      <c r="N828" s="337">
        <f>$N$721</f>
        <v>0</v>
      </c>
      <c r="O828" s="324"/>
      <c r="P828" s="321">
        <f>ROUND(N828*$C828,0)</f>
        <v>0</v>
      </c>
      <c r="Q828" s="321"/>
      <c r="R828" s="337" t="str">
        <f>$R$721</f>
        <v xml:space="preserve"> </v>
      </c>
      <c r="S828" s="324"/>
      <c r="T828" s="321">
        <f>ROUND(R828*$C828,0)</f>
        <v>0</v>
      </c>
      <c r="U828" s="321"/>
      <c r="V828" s="337" t="str">
        <f>$V$721</f>
        <v xml:space="preserve"> </v>
      </c>
      <c r="W828" s="324"/>
      <c r="X828" s="321">
        <f>ROUND(V828*$C828,0)</f>
        <v>0</v>
      </c>
      <c r="Y828" s="20"/>
      <c r="Z828" s="74"/>
      <c r="AA828" s="74"/>
      <c r="AB828" s="74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</row>
    <row r="829" spans="1:47" hidden="1">
      <c r="A829" s="309" t="s">
        <v>451</v>
      </c>
      <c r="B829" s="1"/>
      <c r="C829" s="319"/>
      <c r="D829" s="337"/>
      <c r="E829" s="324"/>
      <c r="F829" s="321"/>
      <c r="G829" s="337"/>
      <c r="H829" s="324"/>
      <c r="I829" s="321"/>
      <c r="J829" s="337"/>
      <c r="K829" s="324"/>
      <c r="L829" s="321"/>
      <c r="M829" s="321"/>
      <c r="N829" s="337"/>
      <c r="O829" s="324"/>
      <c r="P829" s="321"/>
      <c r="Q829" s="321"/>
      <c r="R829" s="337"/>
      <c r="S829" s="324"/>
      <c r="T829" s="321"/>
      <c r="U829" s="321"/>
      <c r="V829" s="337"/>
      <c r="W829" s="324"/>
      <c r="X829" s="321"/>
      <c r="Y829" s="20"/>
      <c r="Z829" s="74"/>
      <c r="AA829" s="74"/>
      <c r="AB829" s="74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</row>
    <row r="830" spans="1:47" hidden="1">
      <c r="A830" s="309" t="s">
        <v>452</v>
      </c>
      <c r="B830" s="1"/>
      <c r="C830" s="319">
        <f>[51]Sheet1!$G$9</f>
        <v>128.32599131287699</v>
      </c>
      <c r="D830" s="337">
        <v>0</v>
      </c>
      <c r="E830" s="324"/>
      <c r="F830" s="321">
        <f>ROUND(D830*$C830,0)</f>
        <v>0</v>
      </c>
      <c r="G830" s="337">
        <v>0</v>
      </c>
      <c r="H830" s="324"/>
      <c r="I830" s="321">
        <f t="shared" ref="I830:I832" si="211">ROUND(G830*C830,0)</f>
        <v>0</v>
      </c>
      <c r="J830" s="337">
        <f>$J$723</f>
        <v>0</v>
      </c>
      <c r="K830" s="324"/>
      <c r="L830" s="321">
        <f>ROUND(J830*$C830,0)</f>
        <v>0</v>
      </c>
      <c r="M830" s="321"/>
      <c r="N830" s="337">
        <f>$N$723</f>
        <v>0</v>
      </c>
      <c r="O830" s="324"/>
      <c r="P830" s="321">
        <f>ROUND(N830*$C830,0)</f>
        <v>0</v>
      </c>
      <c r="Q830" s="321"/>
      <c r="R830" s="337" t="str">
        <f>$R$723</f>
        <v xml:space="preserve"> </v>
      </c>
      <c r="S830" s="324"/>
      <c r="T830" s="321">
        <f>ROUND(R830*$C830,0)</f>
        <v>0</v>
      </c>
      <c r="U830" s="321"/>
      <c r="V830" s="337" t="str">
        <f>$V$723</f>
        <v xml:space="preserve"> </v>
      </c>
      <c r="W830" s="324"/>
      <c r="X830" s="321">
        <f>ROUND(V830*$C830,0)</f>
        <v>0</v>
      </c>
      <c r="Y830" s="20"/>
      <c r="Z830" s="74"/>
      <c r="AA830" s="74"/>
      <c r="AB830" s="74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</row>
    <row r="831" spans="1:47" hidden="1">
      <c r="A831" s="309" t="s">
        <v>453</v>
      </c>
      <c r="B831" s="1"/>
      <c r="C831" s="319">
        <f>[51]Sheet1!$G$10</f>
        <v>10.8958908081687</v>
      </c>
      <c r="D831" s="337">
        <v>357</v>
      </c>
      <c r="E831" s="324"/>
      <c r="F831" s="321">
        <f>ROUND(D831*$C831,0)</f>
        <v>3890</v>
      </c>
      <c r="G831" s="337">
        <v>357</v>
      </c>
      <c r="H831" s="324"/>
      <c r="I831" s="321">
        <f t="shared" si="211"/>
        <v>3890</v>
      </c>
      <c r="J831" s="337">
        <f ca="1">$J$724</f>
        <v>375</v>
      </c>
      <c r="K831" s="324"/>
      <c r="L831" s="321">
        <f ca="1">ROUND(J831*$C831,0)</f>
        <v>4086</v>
      </c>
      <c r="M831" s="321"/>
      <c r="N831" s="337">
        <f ca="1">$N$724</f>
        <v>375</v>
      </c>
      <c r="O831" s="324"/>
      <c r="P831" s="321">
        <f ca="1">ROUND(N831*$C831,0)</f>
        <v>4086</v>
      </c>
      <c r="Q831" s="321"/>
      <c r="R831" s="337" t="str">
        <f>$R$724</f>
        <v xml:space="preserve"> </v>
      </c>
      <c r="S831" s="324"/>
      <c r="T831" s="321">
        <f>ROUND(R831*$C831,0)</f>
        <v>0</v>
      </c>
      <c r="U831" s="321"/>
      <c r="V831" s="337" t="str">
        <f>$V$724</f>
        <v xml:space="preserve"> </v>
      </c>
      <c r="W831" s="324"/>
      <c r="X831" s="321">
        <f>ROUND(V831*$C831,0)</f>
        <v>0</v>
      </c>
      <c r="Y831" s="20"/>
      <c r="Z831" s="74"/>
      <c r="AA831" s="74"/>
      <c r="AB831" s="74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</row>
    <row r="832" spans="1:47" hidden="1">
      <c r="A832" s="309" t="s">
        <v>454</v>
      </c>
      <c r="B832" s="1"/>
      <c r="C832" s="319">
        <f>[51]Sheet1!$G$11</f>
        <v>1</v>
      </c>
      <c r="D832" s="337">
        <v>1457</v>
      </c>
      <c r="E832" s="324"/>
      <c r="F832" s="321">
        <f>ROUND(D832*$C832,0)</f>
        <v>1457</v>
      </c>
      <c r="G832" s="337">
        <v>1457</v>
      </c>
      <c r="H832" s="324"/>
      <c r="I832" s="321">
        <f t="shared" si="211"/>
        <v>1457</v>
      </c>
      <c r="J832" s="337">
        <f ca="1">$J$725</f>
        <v>1530</v>
      </c>
      <c r="K832" s="324"/>
      <c r="L832" s="321">
        <f ca="1">ROUND(J832*$C832,0)</f>
        <v>1530</v>
      </c>
      <c r="M832" s="321"/>
      <c r="N832" s="337">
        <f ca="1">$N$725</f>
        <v>1530</v>
      </c>
      <c r="O832" s="324"/>
      <c r="P832" s="321">
        <f ca="1">ROUND(N832*$C832,0)</f>
        <v>1530</v>
      </c>
      <c r="Q832" s="321"/>
      <c r="R832" s="337" t="str">
        <f>$R$725</f>
        <v xml:space="preserve"> </v>
      </c>
      <c r="S832" s="324"/>
      <c r="T832" s="321">
        <f>ROUND(R832*$C832,0)</f>
        <v>0</v>
      </c>
      <c r="U832" s="321"/>
      <c r="V832" s="337" t="str">
        <f>$V$725</f>
        <v xml:space="preserve"> </v>
      </c>
      <c r="W832" s="324"/>
      <c r="X832" s="321">
        <f>ROUND(V832*$C832,0)</f>
        <v>0</v>
      </c>
      <c r="Y832" s="20"/>
      <c r="Z832" s="74"/>
      <c r="AA832" s="74"/>
      <c r="AB832" s="74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</row>
    <row r="833" spans="1:45" hidden="1">
      <c r="A833" s="309" t="s">
        <v>362</v>
      </c>
      <c r="B833" s="1"/>
      <c r="C833" s="319">
        <f>SUM(C828:C832)</f>
        <v>204.55608125524481</v>
      </c>
      <c r="D833" s="337"/>
      <c r="E833" s="324"/>
      <c r="F833" s="321"/>
      <c r="G833" s="337"/>
      <c r="H833" s="324"/>
      <c r="I833" s="321"/>
      <c r="J833" s="337"/>
      <c r="K833" s="324"/>
      <c r="L833" s="321"/>
      <c r="M833" s="321"/>
      <c r="N833" s="337"/>
      <c r="O833" s="324"/>
      <c r="P833" s="321"/>
      <c r="Q833" s="321"/>
      <c r="R833" s="337"/>
      <c r="S833" s="324"/>
      <c r="T833" s="321"/>
      <c r="U833" s="321"/>
      <c r="V833" s="337"/>
      <c r="W833" s="324"/>
      <c r="X833" s="321"/>
      <c r="Y833" s="20"/>
      <c r="Z833" s="74"/>
      <c r="AA833" s="74"/>
      <c r="AB833" s="74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</row>
    <row r="834" spans="1:45" hidden="1">
      <c r="A834" s="309" t="s">
        <v>455</v>
      </c>
      <c r="B834" s="1"/>
      <c r="C834" s="319">
        <f>[51]Sheet1!$F$16</f>
        <v>1557.2500000000005</v>
      </c>
      <c r="D834" s="337"/>
      <c r="E834" s="321"/>
      <c r="F834" s="321"/>
      <c r="G834" s="337"/>
      <c r="H834" s="321"/>
      <c r="I834" s="321"/>
      <c r="J834" s="337"/>
      <c r="K834" s="321"/>
      <c r="L834" s="321"/>
      <c r="M834" s="321"/>
      <c r="N834" s="337"/>
      <c r="O834" s="321"/>
      <c r="P834" s="321"/>
      <c r="Q834" s="321"/>
      <c r="R834" s="337"/>
      <c r="S834" s="321"/>
      <c r="T834" s="321"/>
      <c r="U834" s="321"/>
      <c r="V834" s="337"/>
      <c r="W834" s="321"/>
      <c r="X834" s="321"/>
      <c r="Y834" s="20"/>
      <c r="Z834" s="74"/>
      <c r="AA834" s="74"/>
      <c r="AB834" s="74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</row>
    <row r="835" spans="1:45" hidden="1">
      <c r="A835" s="309" t="s">
        <v>104</v>
      </c>
      <c r="B835" s="1"/>
      <c r="C835" s="319">
        <f>[51]Sheet1!$D$16</f>
        <v>225</v>
      </c>
      <c r="D835" s="337"/>
      <c r="E835" s="321"/>
      <c r="F835" s="321"/>
      <c r="G835" s="337"/>
      <c r="H835" s="321"/>
      <c r="I835" s="321"/>
      <c r="J835" s="337"/>
      <c r="K835" s="321"/>
      <c r="L835" s="321"/>
      <c r="M835" s="321"/>
      <c r="N835" s="337"/>
      <c r="O835" s="321"/>
      <c r="P835" s="321"/>
      <c r="Q835" s="321"/>
      <c r="R835" s="337"/>
      <c r="S835" s="321"/>
      <c r="T835" s="321"/>
      <c r="U835" s="321"/>
      <c r="V835" s="337"/>
      <c r="W835" s="321"/>
      <c r="X835" s="321"/>
      <c r="Y835" s="20"/>
      <c r="Z835" s="74"/>
      <c r="AA835" s="74"/>
      <c r="AB835" s="74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</row>
    <row r="836" spans="1:45" hidden="1">
      <c r="A836" s="309" t="s">
        <v>456</v>
      </c>
      <c r="B836" s="1"/>
      <c r="C836" s="319"/>
      <c r="D836" s="337"/>
      <c r="E836" s="324"/>
      <c r="F836" s="321"/>
      <c r="G836" s="337"/>
      <c r="H836" s="324"/>
      <c r="I836" s="321"/>
      <c r="J836" s="337"/>
      <c r="K836" s="324"/>
      <c r="L836" s="321"/>
      <c r="M836" s="321"/>
      <c r="N836" s="337"/>
      <c r="O836" s="324"/>
      <c r="P836" s="321"/>
      <c r="Q836" s="321"/>
      <c r="R836" s="337"/>
      <c r="S836" s="324"/>
      <c r="T836" s="321"/>
      <c r="U836" s="321"/>
      <c r="V836" s="337"/>
      <c r="W836" s="324"/>
      <c r="X836" s="321"/>
      <c r="Y836" s="20"/>
      <c r="Z836" s="74"/>
      <c r="AA836" s="74"/>
      <c r="AB836" s="74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</row>
    <row r="837" spans="1:45" hidden="1">
      <c r="A837" s="309" t="s">
        <v>457</v>
      </c>
      <c r="B837" s="1"/>
      <c r="C837" s="319">
        <f>[51]Sheet1!$J$8</f>
        <v>224.61625471302901</v>
      </c>
      <c r="D837" s="337">
        <v>23.87</v>
      </c>
      <c r="E837" s="324"/>
      <c r="F837" s="321">
        <f>ROUND(D837*$C837,0)</f>
        <v>5362</v>
      </c>
      <c r="G837" s="337">
        <v>25.265901957370488</v>
      </c>
      <c r="H837" s="324"/>
      <c r="I837" s="321">
        <f>ROUND(G837*C837,0)</f>
        <v>5675</v>
      </c>
      <c r="J837" s="337">
        <f ca="1">$J$730</f>
        <v>26.524302109100866</v>
      </c>
      <c r="K837" s="324"/>
      <c r="L837" s="321">
        <f ca="1">ROUND(J837*$C837,0)</f>
        <v>5958</v>
      </c>
      <c r="M837" s="321"/>
      <c r="N837" s="337">
        <f ca="1">$N$730</f>
        <v>26.524302109100866</v>
      </c>
      <c r="O837" s="324"/>
      <c r="P837" s="321">
        <f ca="1">ROUND(N837*$C837,0)</f>
        <v>5958</v>
      </c>
      <c r="Q837" s="321"/>
      <c r="R837" s="337" t="str">
        <f>$R$730</f>
        <v xml:space="preserve"> </v>
      </c>
      <c r="S837" s="324"/>
      <c r="T837" s="321">
        <f>ROUND(R837*$C837,0)</f>
        <v>0</v>
      </c>
      <c r="U837" s="321"/>
      <c r="V837" s="337" t="str">
        <f>$V$730</f>
        <v xml:space="preserve"> </v>
      </c>
      <c r="W837" s="324"/>
      <c r="X837" s="321">
        <f>ROUND(V837*$C837,0)</f>
        <v>0</v>
      </c>
      <c r="Y837" s="20"/>
      <c r="Z837" s="74"/>
      <c r="AA837" s="74"/>
      <c r="AB837" s="74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</row>
    <row r="838" spans="1:45" hidden="1">
      <c r="A838" s="309" t="s">
        <v>458</v>
      </c>
      <c r="B838" s="1"/>
      <c r="C838" s="319"/>
      <c r="D838" s="337"/>
      <c r="E838" s="324"/>
      <c r="F838" s="321"/>
      <c r="G838" s="337"/>
      <c r="H838" s="324"/>
      <c r="I838" s="321"/>
      <c r="J838" s="337"/>
      <c r="K838" s="324"/>
      <c r="L838" s="321"/>
      <c r="M838" s="321"/>
      <c r="N838" s="337"/>
      <c r="O838" s="324"/>
      <c r="P838" s="321"/>
      <c r="Q838" s="321"/>
      <c r="R838" s="337"/>
      <c r="S838" s="324"/>
      <c r="T838" s="321"/>
      <c r="U838" s="321"/>
      <c r="V838" s="337"/>
      <c r="W838" s="324"/>
      <c r="X838" s="321"/>
      <c r="Y838" s="20"/>
      <c r="Z838" s="74"/>
      <c r="AA838" s="74"/>
      <c r="AB838" s="74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</row>
    <row r="839" spans="1:45" hidden="1">
      <c r="A839" s="309" t="s">
        <v>452</v>
      </c>
      <c r="B839" s="1"/>
      <c r="C839" s="319">
        <f>[51]Sheet1!$J$9</f>
        <v>1774.8768390079899</v>
      </c>
      <c r="D839" s="337">
        <v>23.79</v>
      </c>
      <c r="E839" s="324"/>
      <c r="F839" s="321">
        <f>ROUND(D839*$C839,0)</f>
        <v>42224</v>
      </c>
      <c r="G839" s="337">
        <v>25.171223609796559</v>
      </c>
      <c r="H839" s="324"/>
      <c r="I839" s="321">
        <f t="shared" ref="I839:I843" si="212">ROUND(G839*C839,0)</f>
        <v>44676</v>
      </c>
      <c r="J839" s="337">
        <f ca="1">$J$732</f>
        <v>26.414908186870086</v>
      </c>
      <c r="K839" s="324"/>
      <c r="L839" s="321">
        <f ca="1">ROUND(J839*$C839,0)</f>
        <v>46883</v>
      </c>
      <c r="M839" s="321"/>
      <c r="N839" s="337">
        <f ca="1">$N$732</f>
        <v>26.414908186870086</v>
      </c>
      <c r="O839" s="324"/>
      <c r="P839" s="321">
        <f ca="1">ROUND(N839*$C839,0)</f>
        <v>46883</v>
      </c>
      <c r="Q839" s="321"/>
      <c r="R839" s="337" t="str">
        <f>$R$732</f>
        <v xml:space="preserve"> </v>
      </c>
      <c r="S839" s="324"/>
      <c r="T839" s="321">
        <f>ROUND(R839*$C839,0)</f>
        <v>0</v>
      </c>
      <c r="U839" s="321"/>
      <c r="V839" s="337" t="str">
        <f>$V$732</f>
        <v xml:space="preserve"> </v>
      </c>
      <c r="W839" s="324"/>
      <c r="X839" s="321">
        <f>ROUND(V839*$C839,0)</f>
        <v>0</v>
      </c>
      <c r="Y839" s="20"/>
      <c r="Z839" s="74"/>
      <c r="AA839" s="74"/>
      <c r="AB839" s="74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</row>
    <row r="840" spans="1:45" hidden="1">
      <c r="A840" s="309" t="s">
        <v>453</v>
      </c>
      <c r="B840" s="1"/>
      <c r="C840" s="319">
        <f>[51]Sheet1!$J$10</f>
        <v>1229.89051820554</v>
      </c>
      <c r="D840" s="337">
        <v>16.559999999999999</v>
      </c>
      <c r="E840" s="324"/>
      <c r="F840" s="321">
        <f>ROUND(D840*$C840,0)</f>
        <v>20367</v>
      </c>
      <c r="G840" s="337">
        <v>17.5284179478029</v>
      </c>
      <c r="H840" s="324"/>
      <c r="I840" s="321">
        <f t="shared" si="212"/>
        <v>21558</v>
      </c>
      <c r="J840" s="337">
        <f ca="1">$J$733</f>
        <v>18.401442937859667</v>
      </c>
      <c r="K840" s="324"/>
      <c r="L840" s="321">
        <f ca="1">ROUND(J840*$C840,0)</f>
        <v>22632</v>
      </c>
      <c r="M840" s="321"/>
      <c r="N840" s="337">
        <f ca="1">$N$733</f>
        <v>18.401442937859667</v>
      </c>
      <c r="O840" s="324"/>
      <c r="P840" s="321">
        <f ca="1">ROUND(N840*$C840,0)</f>
        <v>22632</v>
      </c>
      <c r="Q840" s="321"/>
      <c r="R840" s="337" t="str">
        <f>$R$733</f>
        <v xml:space="preserve"> </v>
      </c>
      <c r="S840" s="324"/>
      <c r="T840" s="321">
        <f>ROUND(R840*$C840,0)</f>
        <v>0</v>
      </c>
      <c r="U840" s="321"/>
      <c r="V840" s="337" t="str">
        <f>$V$733</f>
        <v xml:space="preserve"> </v>
      </c>
      <c r="W840" s="324"/>
      <c r="X840" s="321">
        <f>ROUND(V840*$C840,0)</f>
        <v>0</v>
      </c>
      <c r="Y840" s="20"/>
      <c r="Z840" s="74"/>
      <c r="AA840" s="74"/>
      <c r="AB840" s="74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</row>
    <row r="841" spans="1:45" hidden="1">
      <c r="A841" s="309" t="s">
        <v>454</v>
      </c>
      <c r="B841" s="1"/>
      <c r="C841" s="319">
        <f>[51]Sheet1!$J$11</f>
        <v>333</v>
      </c>
      <c r="D841" s="337">
        <v>12.96</v>
      </c>
      <c r="E841" s="324"/>
      <c r="F841" s="321">
        <f>ROUND(D841*$C841,0)</f>
        <v>4316</v>
      </c>
      <c r="G841" s="337">
        <v>13.717892306976186</v>
      </c>
      <c r="H841" s="324"/>
      <c r="I841" s="321">
        <f t="shared" si="212"/>
        <v>4568</v>
      </c>
      <c r="J841" s="337">
        <f ca="1">$J$734</f>
        <v>14.401129255716265</v>
      </c>
      <c r="K841" s="324"/>
      <c r="L841" s="321">
        <f ca="1">ROUND(J841*$C841,0)</f>
        <v>4796</v>
      </c>
      <c r="M841" s="321"/>
      <c r="N841" s="337">
        <f ca="1">$N$734</f>
        <v>14.401129255716265</v>
      </c>
      <c r="O841" s="324"/>
      <c r="P841" s="321">
        <f ca="1">ROUND(N841*$C841,0)</f>
        <v>4796</v>
      </c>
      <c r="Q841" s="321"/>
      <c r="R841" s="337" t="str">
        <f>$R$734</f>
        <v xml:space="preserve"> </v>
      </c>
      <c r="S841" s="324"/>
      <c r="T841" s="321">
        <f>ROUND(R841*$C841,0)</f>
        <v>0</v>
      </c>
      <c r="U841" s="321"/>
      <c r="V841" s="337" t="str">
        <f>$V$734</f>
        <v xml:space="preserve"> </v>
      </c>
      <c r="W841" s="324"/>
      <c r="X841" s="321">
        <f>ROUND(V841*$C841,0)</f>
        <v>0</v>
      </c>
      <c r="Y841" s="20"/>
      <c r="Z841" s="74"/>
      <c r="AA841" s="74"/>
      <c r="AB841" s="74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</row>
    <row r="842" spans="1:45" hidden="1">
      <c r="A842" s="309" t="s">
        <v>460</v>
      </c>
      <c r="B842" s="1"/>
      <c r="C842" s="319">
        <f>[51]Sheet1!$H$8</f>
        <v>35.073956151375498</v>
      </c>
      <c r="D842" s="337">
        <v>71.61</v>
      </c>
      <c r="E842" s="324"/>
      <c r="F842" s="321">
        <f>ROUND(D842*$C842,0)</f>
        <v>2512</v>
      </c>
      <c r="G842" s="337">
        <v>75.797705872111464</v>
      </c>
      <c r="H842" s="324"/>
      <c r="I842" s="321">
        <f t="shared" si="212"/>
        <v>2659</v>
      </c>
      <c r="J842" s="337">
        <f ca="1">$J$735</f>
        <v>79.572906327302604</v>
      </c>
      <c r="K842" s="324"/>
      <c r="L842" s="321">
        <f ca="1">ROUND(J842*$C842,0)</f>
        <v>2791</v>
      </c>
      <c r="M842" s="321"/>
      <c r="N842" s="337">
        <f ca="1">$N$735</f>
        <v>79.572906327302604</v>
      </c>
      <c r="O842" s="324"/>
      <c r="P842" s="321">
        <f ca="1">ROUND(N842*$C842,0)</f>
        <v>2791</v>
      </c>
      <c r="Q842" s="321"/>
      <c r="R842" s="337" t="str">
        <f>$R$735</f>
        <v xml:space="preserve"> </v>
      </c>
      <c r="S842" s="324"/>
      <c r="T842" s="321">
        <f>ROUND(R842*$C842,0)</f>
        <v>0</v>
      </c>
      <c r="U842" s="321"/>
      <c r="V842" s="337" t="str">
        <f>$V$735</f>
        <v xml:space="preserve"> </v>
      </c>
      <c r="W842" s="324"/>
      <c r="X842" s="321">
        <f>ROUND(V842*$C842,0)</f>
        <v>0</v>
      </c>
      <c r="Y842" s="20"/>
      <c r="Z842" s="74"/>
      <c r="AA842" s="74"/>
      <c r="AB842" s="74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</row>
    <row r="843" spans="1:45" hidden="1">
      <c r="A843" s="309" t="s">
        <v>461</v>
      </c>
      <c r="B843" s="1"/>
      <c r="C843" s="319">
        <f>[51]Sheet1!$H$9</f>
        <v>31.972554294521501</v>
      </c>
      <c r="D843" s="337">
        <v>142.74</v>
      </c>
      <c r="E843" s="324"/>
      <c r="F843" s="321">
        <f>ROUND(D843*$C843,0)</f>
        <v>4564</v>
      </c>
      <c r="G843" s="337">
        <v>151.02734165877936</v>
      </c>
      <c r="H843" s="324"/>
      <c r="I843" s="321">
        <f t="shared" si="212"/>
        <v>4829</v>
      </c>
      <c r="J843" s="337">
        <f ca="1">$J$736</f>
        <v>158.4894491212205</v>
      </c>
      <c r="K843" s="324"/>
      <c r="L843" s="321">
        <f ca="1">ROUND(J843*$C843,0)</f>
        <v>5067</v>
      </c>
      <c r="M843" s="321"/>
      <c r="N843" s="337">
        <f ca="1">$N$736</f>
        <v>158.4894491212205</v>
      </c>
      <c r="O843" s="324"/>
      <c r="P843" s="321">
        <f ca="1">ROUND(N843*$C843,0)</f>
        <v>5067</v>
      </c>
      <c r="Q843" s="321"/>
      <c r="R843" s="337" t="str">
        <f>$R$736</f>
        <v xml:space="preserve"> </v>
      </c>
      <c r="S843" s="324"/>
      <c r="T843" s="321">
        <f>ROUND(R843*$C843,0)</f>
        <v>0</v>
      </c>
      <c r="U843" s="321"/>
      <c r="V843" s="337" t="str">
        <f>$V$736</f>
        <v xml:space="preserve"> </v>
      </c>
      <c r="W843" s="324"/>
      <c r="X843" s="321">
        <f>ROUND(V843*$C843,0)</f>
        <v>0</v>
      </c>
      <c r="Y843" s="20"/>
      <c r="Z843" s="74"/>
      <c r="AA843" s="74"/>
      <c r="AB843" s="74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</row>
    <row r="844" spans="1:45" hidden="1">
      <c r="A844" s="309" t="s">
        <v>462</v>
      </c>
      <c r="B844" s="1"/>
      <c r="C844" s="319"/>
      <c r="D844" s="337"/>
      <c r="E844" s="324"/>
      <c r="F844" s="321"/>
      <c r="G844" s="337"/>
      <c r="H844" s="324"/>
      <c r="I844" s="321"/>
      <c r="J844" s="337"/>
      <c r="K844" s="324"/>
      <c r="L844" s="321"/>
      <c r="M844" s="321"/>
      <c r="N844" s="337"/>
      <c r="O844" s="324"/>
      <c r="P844" s="321"/>
      <c r="Q844" s="321"/>
      <c r="R844" s="337"/>
      <c r="S844" s="324"/>
      <c r="T844" s="321"/>
      <c r="U844" s="321"/>
      <c r="V844" s="337"/>
      <c r="W844" s="324"/>
      <c r="X844" s="321"/>
      <c r="Y844" s="20"/>
      <c r="Z844" s="74"/>
      <c r="AA844" s="74"/>
      <c r="AB844" s="74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</row>
    <row r="845" spans="1:45" hidden="1">
      <c r="A845" s="309" t="s">
        <v>457</v>
      </c>
      <c r="B845" s="1"/>
      <c r="C845" s="319">
        <f>[51]Sheet1!$K$8</f>
        <v>2.3150397989107701</v>
      </c>
      <c r="D845" s="363">
        <v>-23.87</v>
      </c>
      <c r="E845" s="324"/>
      <c r="F845" s="321">
        <f>ROUND(D845*$C845,0)</f>
        <v>-55</v>
      </c>
      <c r="G845" s="363">
        <v>-25.265901957370488</v>
      </c>
      <c r="H845" s="324"/>
      <c r="I845" s="321">
        <f t="shared" ref="I845:I846" si="213">ROUND(G845*C845,0)</f>
        <v>-58</v>
      </c>
      <c r="J845" s="363">
        <f ca="1">-J837</f>
        <v>-26.524302109100866</v>
      </c>
      <c r="K845" s="324"/>
      <c r="L845" s="321">
        <f ca="1">ROUND(J845*$C845,0)</f>
        <v>-61</v>
      </c>
      <c r="M845" s="321"/>
      <c r="N845" s="363">
        <f ca="1">-N837</f>
        <v>-26.524302109100866</v>
      </c>
      <c r="O845" s="324"/>
      <c r="P845" s="321">
        <f ca="1">ROUND(N845*$C845,0)</f>
        <v>-61</v>
      </c>
      <c r="Q845" s="321"/>
      <c r="R845" s="363">
        <f>-R837</f>
        <v>0</v>
      </c>
      <c r="S845" s="324"/>
      <c r="T845" s="321">
        <f>ROUND(R845*$C845,0)</f>
        <v>0</v>
      </c>
      <c r="U845" s="321"/>
      <c r="V845" s="363">
        <f>-V837</f>
        <v>0</v>
      </c>
      <c r="W845" s="324"/>
      <c r="X845" s="321">
        <f>ROUND(V845*$C845,0)</f>
        <v>0</v>
      </c>
      <c r="Y845" s="20"/>
      <c r="Z845" s="74"/>
      <c r="AA845" s="74"/>
      <c r="AB845" s="74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</row>
    <row r="846" spans="1:45" hidden="1">
      <c r="A846" s="309" t="s">
        <v>463</v>
      </c>
      <c r="B846" s="1"/>
      <c r="C846" s="319">
        <f>[51]Sheet1!$K$9</f>
        <v>5.9588062211013</v>
      </c>
      <c r="D846" s="363">
        <v>-23.79</v>
      </c>
      <c r="E846" s="324"/>
      <c r="F846" s="321">
        <f>ROUND(D846*$C846,0)</f>
        <v>-142</v>
      </c>
      <c r="G846" s="363">
        <v>-25.171223609796559</v>
      </c>
      <c r="H846" s="324"/>
      <c r="I846" s="321">
        <f t="shared" si="213"/>
        <v>-150</v>
      </c>
      <c r="J846" s="363">
        <f ca="1">-J839</f>
        <v>-26.414908186870086</v>
      </c>
      <c r="K846" s="324"/>
      <c r="L846" s="321">
        <f ca="1">ROUND(J846*$C846,0)</f>
        <v>-157</v>
      </c>
      <c r="M846" s="321"/>
      <c r="N846" s="363">
        <f ca="1">-N839</f>
        <v>-26.414908186870086</v>
      </c>
      <c r="O846" s="324"/>
      <c r="P846" s="321">
        <f ca="1">ROUND(N846*$C846,0)</f>
        <v>-157</v>
      </c>
      <c r="Q846" s="321"/>
      <c r="R846" s="363">
        <f>-R839</f>
        <v>0</v>
      </c>
      <c r="S846" s="324"/>
      <c r="T846" s="321">
        <f>ROUND(R846*$C846,0)</f>
        <v>0</v>
      </c>
      <c r="U846" s="321"/>
      <c r="V846" s="363">
        <f>-V839</f>
        <v>0</v>
      </c>
      <c r="W846" s="324"/>
      <c r="X846" s="321">
        <f>ROUND(V846*$C846,0)</f>
        <v>0</v>
      </c>
      <c r="Y846" s="20"/>
      <c r="Z846" s="74"/>
      <c r="AA846" s="74"/>
      <c r="AB846" s="74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</row>
    <row r="847" spans="1:45" hidden="1">
      <c r="A847" s="323" t="s">
        <v>426</v>
      </c>
      <c r="B847" s="1"/>
      <c r="C847" s="319"/>
      <c r="D847" s="337"/>
      <c r="E847" s="321"/>
      <c r="F847" s="321"/>
      <c r="G847" s="337"/>
      <c r="H847" s="321"/>
      <c r="I847" s="321"/>
      <c r="J847" s="337"/>
      <c r="K847" s="321"/>
      <c r="L847" s="321"/>
      <c r="M847" s="321"/>
      <c r="N847" s="337"/>
      <c r="O847" s="321"/>
      <c r="P847" s="321"/>
      <c r="Q847" s="321"/>
      <c r="R847" s="337"/>
      <c r="S847" s="321"/>
      <c r="T847" s="321"/>
      <c r="U847" s="321"/>
      <c r="V847" s="337"/>
      <c r="W847" s="321"/>
      <c r="X847" s="321"/>
      <c r="Y847" s="20"/>
      <c r="Z847" s="74"/>
      <c r="AA847" s="74"/>
      <c r="AB847" s="74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</row>
    <row r="848" spans="1:45" hidden="1">
      <c r="A848" s="309" t="s">
        <v>464</v>
      </c>
      <c r="B848" s="1"/>
      <c r="C848" s="319">
        <f>[51]Sheet1!$L$16</f>
        <v>5473590</v>
      </c>
      <c r="D848" s="382">
        <v>6.4390000000000001</v>
      </c>
      <c r="E848" s="321" t="s">
        <v>374</v>
      </c>
      <c r="F848" s="321">
        <f>ROUND(D848/100*$C848,0)</f>
        <v>352444</v>
      </c>
      <c r="G848" s="382">
        <v>6.8159999999999998</v>
      </c>
      <c r="H848" s="321" t="s">
        <v>374</v>
      </c>
      <c r="I848" s="321">
        <f>ROUND(G848/100*C848,0)</f>
        <v>373080</v>
      </c>
      <c r="J848" s="382">
        <f ca="1">$J$741</f>
        <v>3.9140000000000001</v>
      </c>
      <c r="K848" s="321" t="s">
        <v>374</v>
      </c>
      <c r="L848" s="321">
        <f ca="1">ROUND(J848/100*$C848,0)</f>
        <v>214236</v>
      </c>
      <c r="M848" s="321"/>
      <c r="N848" s="382">
        <f ca="1">$N$741</f>
        <v>0.10011647788394891</v>
      </c>
      <c r="O848" s="321" t="s">
        <v>374</v>
      </c>
      <c r="P848" s="321">
        <f ca="1">ROUND(N848/100*$C848,0)</f>
        <v>5480</v>
      </c>
      <c r="Q848" s="321"/>
      <c r="R848" s="382">
        <f ca="1">$R$741</f>
        <v>1.3911559920341985</v>
      </c>
      <c r="S848" s="321" t="s">
        <v>374</v>
      </c>
      <c r="T848" s="321">
        <f ca="1">ROUND(R848/100*$C848,0)</f>
        <v>76146</v>
      </c>
      <c r="U848" s="321"/>
      <c r="V848" s="382">
        <f ca="1">$V$741</f>
        <v>2.4227485087524854</v>
      </c>
      <c r="W848" s="321" t="s">
        <v>374</v>
      </c>
      <c r="X848" s="321">
        <f ca="1">ROUND(V848/100*$C848,0)</f>
        <v>132611</v>
      </c>
      <c r="Y848" s="20"/>
      <c r="Z848" s="74"/>
      <c r="AA848" s="74"/>
      <c r="AB848" s="74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</row>
    <row r="849" spans="1:47" hidden="1">
      <c r="A849" s="323" t="s">
        <v>400</v>
      </c>
      <c r="B849" s="1"/>
      <c r="C849" s="319">
        <f>[51]Sheet1!$M$16</f>
        <v>1277</v>
      </c>
      <c r="D849" s="339">
        <v>56</v>
      </c>
      <c r="E849" s="323" t="s">
        <v>374</v>
      </c>
      <c r="F849" s="321">
        <f>ROUND(D849*$C849/100,0)</f>
        <v>715</v>
      </c>
      <c r="G849" s="339">
        <v>56</v>
      </c>
      <c r="H849" s="323" t="s">
        <v>374</v>
      </c>
      <c r="I849" s="321">
        <f>ROUND(G849*C849/100,0)</f>
        <v>715</v>
      </c>
      <c r="J849" s="339">
        <f>$J$742</f>
        <v>56</v>
      </c>
      <c r="K849" s="323" t="s">
        <v>374</v>
      </c>
      <c r="L849" s="321">
        <f>ROUND(J849*$C849/100,0)</f>
        <v>715</v>
      </c>
      <c r="M849" s="321"/>
      <c r="N849" s="339" t="str">
        <f>$N$742</f>
        <v xml:space="preserve"> </v>
      </c>
      <c r="O849" s="323" t="s">
        <v>374</v>
      </c>
      <c r="P849" s="321">
        <f>ROUND(N849*$C849/100,0)</f>
        <v>0</v>
      </c>
      <c r="Q849" s="321"/>
      <c r="R849" s="339">
        <f ca="1">$R$742</f>
        <v>11</v>
      </c>
      <c r="S849" s="323" t="s">
        <v>374</v>
      </c>
      <c r="T849" s="321">
        <f ca="1">ROUND(R849*$C849/100,0)</f>
        <v>140</v>
      </c>
      <c r="U849" s="321"/>
      <c r="V849" s="339">
        <f ca="1">$V$742</f>
        <v>45</v>
      </c>
      <c r="W849" s="323" t="s">
        <v>374</v>
      </c>
      <c r="X849" s="321">
        <f ca="1">ROUND(V849*$C849/100,0)</f>
        <v>575</v>
      </c>
      <c r="Y849" s="20"/>
      <c r="Z849" s="74"/>
      <c r="AA849" s="74"/>
      <c r="AB849" s="74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</row>
    <row r="850" spans="1:47" s="1184" customFormat="1" hidden="1">
      <c r="A850" s="1005" t="s">
        <v>1035</v>
      </c>
      <c r="C850" s="1202">
        <f>C848</f>
        <v>5473590</v>
      </c>
      <c r="D850" s="269"/>
      <c r="E850" s="1185"/>
      <c r="F850" s="1203"/>
      <c r="G850" s="269"/>
      <c r="H850" s="1185"/>
      <c r="I850" s="1203"/>
      <c r="J850" s="1316">
        <f>J743</f>
        <v>3.2410000000000001</v>
      </c>
      <c r="K850" s="1041" t="s">
        <v>374</v>
      </c>
      <c r="L850" s="1041">
        <f>ROUND(J850*$C850/100,0)</f>
        <v>177399</v>
      </c>
      <c r="M850" s="1041"/>
      <c r="N850" s="1316" t="str">
        <f>N743</f>
        <v xml:space="preserve"> </v>
      </c>
      <c r="O850" s="1041" t="s">
        <v>374</v>
      </c>
      <c r="P850" s="1041">
        <f>ROUND(N850*$C850/100,0)</f>
        <v>0</v>
      </c>
      <c r="Q850" s="1041"/>
      <c r="R850" s="1316" t="str">
        <f>R743</f>
        <v xml:space="preserve"> </v>
      </c>
      <c r="S850" s="1041" t="s">
        <v>374</v>
      </c>
      <c r="T850" s="1041">
        <f>ROUND(R850*$C850/100,0)</f>
        <v>0</v>
      </c>
      <c r="U850" s="1041"/>
      <c r="V850" s="1316">
        <f>V743</f>
        <v>3.2410000000000001</v>
      </c>
      <c r="W850" s="1041" t="s">
        <v>374</v>
      </c>
      <c r="X850" s="1041">
        <f>ROUND(V850*$C850/100,0)</f>
        <v>177399</v>
      </c>
      <c r="Z850" s="815"/>
      <c r="AC850" s="1205"/>
      <c r="AD850" s="1205"/>
      <c r="AI850" s="1185"/>
      <c r="AJ850" s="1185"/>
      <c r="AK850" s="1185"/>
      <c r="AL850" s="1185"/>
      <c r="AM850" s="1185"/>
      <c r="AN850" s="1185"/>
      <c r="AO850" s="1185"/>
      <c r="AP850" s="1185"/>
      <c r="AQ850" s="1185"/>
      <c r="AR850" s="1185"/>
      <c r="AS850" s="1185"/>
      <c r="AU850" s="1204"/>
    </row>
    <row r="851" spans="1:47" hidden="1">
      <c r="A851" s="360" t="s">
        <v>401</v>
      </c>
      <c r="B851" s="1"/>
      <c r="C851" s="319"/>
      <c r="D851" s="332">
        <v>-0.01</v>
      </c>
      <c r="E851" s="2"/>
      <c r="F851" s="321"/>
      <c r="G851" s="332">
        <v>-0.01</v>
      </c>
      <c r="H851" s="1"/>
      <c r="I851" s="321"/>
      <c r="J851" s="332">
        <v>-0.01</v>
      </c>
      <c r="K851" s="1"/>
      <c r="L851" s="321"/>
      <c r="M851" s="321"/>
      <c r="N851" s="332">
        <v>-0.01</v>
      </c>
      <c r="O851" s="1"/>
      <c r="P851" s="321"/>
      <c r="Q851" s="321"/>
      <c r="R851" s="332">
        <v>-0.01</v>
      </c>
      <c r="S851" s="1"/>
      <c r="T851" s="321"/>
      <c r="U851" s="321"/>
      <c r="V851" s="332">
        <v>-0.01</v>
      </c>
      <c r="W851" s="1"/>
      <c r="X851" s="321"/>
      <c r="Y851" s="20"/>
      <c r="Z851" s="74"/>
      <c r="AA851" s="74"/>
      <c r="AB851" s="74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</row>
    <row r="852" spans="1:47" hidden="1">
      <c r="A852" s="309" t="s">
        <v>390</v>
      </c>
      <c r="B852" s="1"/>
      <c r="C852" s="319">
        <v>0</v>
      </c>
      <c r="D852" s="384">
        <v>0</v>
      </c>
      <c r="E852" s="324"/>
      <c r="F852" s="321">
        <f>ROUND(D852*$C852*$D$745,0)</f>
        <v>0</v>
      </c>
      <c r="G852" s="384">
        <v>0</v>
      </c>
      <c r="H852" s="324"/>
      <c r="I852" s="321">
        <f>ROUND(G852*C852,0)</f>
        <v>0</v>
      </c>
      <c r="J852" s="384">
        <f>J828</f>
        <v>0</v>
      </c>
      <c r="K852" s="324"/>
      <c r="L852" s="321">
        <f>ROUND(J852*$C852*$J$851,0)</f>
        <v>0</v>
      </c>
      <c r="M852" s="321"/>
      <c r="N852" s="384">
        <f>N828</f>
        <v>0</v>
      </c>
      <c r="O852" s="324"/>
      <c r="P852" s="321">
        <f>ROUND(N852*$C852*$J$851,0)</f>
        <v>0</v>
      </c>
      <c r="Q852" s="321"/>
      <c r="R852" s="384" t="str">
        <f>R828</f>
        <v xml:space="preserve"> </v>
      </c>
      <c r="S852" s="324"/>
      <c r="T852" s="321">
        <f>ROUND(R852*$C852*$J$851,0)</f>
        <v>0</v>
      </c>
      <c r="U852" s="321"/>
      <c r="V852" s="384" t="str">
        <f>V828</f>
        <v xml:space="preserve"> </v>
      </c>
      <c r="W852" s="324"/>
      <c r="X852" s="321">
        <f>ROUND(V852*$C852*$J$851,0)</f>
        <v>0</v>
      </c>
      <c r="Y852" s="20"/>
      <c r="Z852" s="74"/>
      <c r="AA852" s="74"/>
      <c r="AB852" s="74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</row>
    <row r="853" spans="1:47" hidden="1">
      <c r="A853" s="309" t="s">
        <v>391</v>
      </c>
      <c r="B853" s="1"/>
      <c r="C853" s="319"/>
      <c r="D853" s="384"/>
      <c r="E853" s="324"/>
      <c r="F853" s="321"/>
      <c r="G853" s="384"/>
      <c r="H853" s="324"/>
      <c r="I853" s="321"/>
      <c r="J853" s="384"/>
      <c r="K853" s="324"/>
      <c r="L853" s="321"/>
      <c r="M853" s="321"/>
      <c r="N853" s="384"/>
      <c r="O853" s="324"/>
      <c r="P853" s="321"/>
      <c r="Q853" s="321"/>
      <c r="R853" s="384"/>
      <c r="S853" s="324"/>
      <c r="T853" s="321"/>
      <c r="U853" s="321"/>
      <c r="V853" s="384"/>
      <c r="W853" s="324"/>
      <c r="X853" s="321"/>
      <c r="Y853" s="20"/>
      <c r="Z853" s="74"/>
      <c r="AA853" s="74"/>
      <c r="AB853" s="74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</row>
    <row r="854" spans="1:47" hidden="1">
      <c r="A854" s="309" t="s">
        <v>452</v>
      </c>
      <c r="B854" s="1"/>
      <c r="C854" s="319">
        <v>0</v>
      </c>
      <c r="D854" s="384">
        <v>0</v>
      </c>
      <c r="E854" s="324"/>
      <c r="F854" s="321">
        <f>ROUND(D854*$C854*$D$745,0)</f>
        <v>0</v>
      </c>
      <c r="G854" s="384">
        <v>0</v>
      </c>
      <c r="H854" s="324"/>
      <c r="I854" s="321">
        <f t="shared" ref="I854:I857" si="214">ROUND(G854*C854,0)</f>
        <v>0</v>
      </c>
      <c r="J854" s="384">
        <f>J830</f>
        <v>0</v>
      </c>
      <c r="K854" s="324"/>
      <c r="L854" s="321">
        <f t="shared" ref="L854:L857" si="215">ROUND(J854*$C854*$J$851,0)</f>
        <v>0</v>
      </c>
      <c r="M854" s="321"/>
      <c r="N854" s="384">
        <f>N830</f>
        <v>0</v>
      </c>
      <c r="O854" s="324"/>
      <c r="P854" s="321">
        <f t="shared" ref="P854:P857" si="216">ROUND(N854*$C854*$J$851,0)</f>
        <v>0</v>
      </c>
      <c r="Q854" s="321"/>
      <c r="R854" s="384" t="str">
        <f>R830</f>
        <v xml:space="preserve"> </v>
      </c>
      <c r="S854" s="324"/>
      <c r="T854" s="321">
        <f t="shared" ref="T854:T857" si="217">ROUND(R854*$C854*$J$851,0)</f>
        <v>0</v>
      </c>
      <c r="U854" s="321"/>
      <c r="V854" s="384" t="str">
        <f>V830</f>
        <v xml:space="preserve"> </v>
      </c>
      <c r="W854" s="324"/>
      <c r="X854" s="321">
        <f t="shared" ref="X854:X857" si="218">ROUND(V854*$C854*$J$851,0)</f>
        <v>0</v>
      </c>
      <c r="Y854" s="20"/>
      <c r="Z854" s="74"/>
      <c r="AA854" s="74"/>
      <c r="AB854" s="74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</row>
    <row r="855" spans="1:47" hidden="1">
      <c r="A855" s="309" t="s">
        <v>453</v>
      </c>
      <c r="B855" s="1"/>
      <c r="C855" s="319">
        <v>0</v>
      </c>
      <c r="D855" s="384">
        <v>357</v>
      </c>
      <c r="E855" s="324"/>
      <c r="F855" s="321">
        <f>ROUND(D855*$C855*$D$745,0)</f>
        <v>0</v>
      </c>
      <c r="G855" s="384">
        <v>357</v>
      </c>
      <c r="H855" s="324"/>
      <c r="I855" s="321">
        <f t="shared" si="214"/>
        <v>0</v>
      </c>
      <c r="J855" s="384">
        <f ca="1">J831</f>
        <v>375</v>
      </c>
      <c r="K855" s="324"/>
      <c r="L855" s="321">
        <f t="shared" ca="1" si="215"/>
        <v>0</v>
      </c>
      <c r="M855" s="321"/>
      <c r="N855" s="384">
        <f ca="1">N831</f>
        <v>375</v>
      </c>
      <c r="O855" s="324"/>
      <c r="P855" s="321">
        <f t="shared" ca="1" si="216"/>
        <v>0</v>
      </c>
      <c r="Q855" s="321"/>
      <c r="R855" s="384" t="str">
        <f>R831</f>
        <v xml:space="preserve"> </v>
      </c>
      <c r="S855" s="324"/>
      <c r="T855" s="321">
        <f t="shared" si="217"/>
        <v>0</v>
      </c>
      <c r="U855" s="321"/>
      <c r="V855" s="384" t="str">
        <f>V831</f>
        <v xml:space="preserve"> </v>
      </c>
      <c r="W855" s="324"/>
      <c r="X855" s="321">
        <f t="shared" si="218"/>
        <v>0</v>
      </c>
      <c r="Y855" s="20"/>
      <c r="Z855" s="74"/>
      <c r="AA855" s="74"/>
      <c r="AB855" s="74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</row>
    <row r="856" spans="1:47" hidden="1">
      <c r="A856" s="309" t="s">
        <v>454</v>
      </c>
      <c r="B856" s="1"/>
      <c r="C856" s="319">
        <v>0</v>
      </c>
      <c r="D856" s="384">
        <v>1457</v>
      </c>
      <c r="E856" s="324"/>
      <c r="F856" s="321">
        <f>ROUND(D856*$C856*$D$745,0)</f>
        <v>0</v>
      </c>
      <c r="G856" s="384">
        <v>1457</v>
      </c>
      <c r="H856" s="324"/>
      <c r="I856" s="321">
        <f t="shared" si="214"/>
        <v>0</v>
      </c>
      <c r="J856" s="384">
        <f ca="1">J832</f>
        <v>1530</v>
      </c>
      <c r="K856" s="324"/>
      <c r="L856" s="321">
        <f t="shared" ca="1" si="215"/>
        <v>0</v>
      </c>
      <c r="M856" s="321"/>
      <c r="N856" s="384">
        <f ca="1">N832</f>
        <v>1530</v>
      </c>
      <c r="O856" s="324"/>
      <c r="P856" s="321">
        <f t="shared" ca="1" si="216"/>
        <v>0</v>
      </c>
      <c r="Q856" s="321"/>
      <c r="R856" s="384" t="str">
        <f>R832</f>
        <v xml:space="preserve"> </v>
      </c>
      <c r="S856" s="324"/>
      <c r="T856" s="321">
        <f t="shared" si="217"/>
        <v>0</v>
      </c>
      <c r="U856" s="321"/>
      <c r="V856" s="384" t="str">
        <f>V832</f>
        <v xml:space="preserve"> </v>
      </c>
      <c r="W856" s="324"/>
      <c r="X856" s="321">
        <f t="shared" si="218"/>
        <v>0</v>
      </c>
      <c r="Y856" s="20"/>
      <c r="Z856" s="74"/>
      <c r="AA856" s="74"/>
      <c r="AB856" s="74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</row>
    <row r="857" spans="1:47" hidden="1">
      <c r="A857" s="309" t="s">
        <v>390</v>
      </c>
      <c r="B857" s="1"/>
      <c r="C857" s="319">
        <v>0</v>
      </c>
      <c r="D857" s="384">
        <v>23.87</v>
      </c>
      <c r="E857" s="324"/>
      <c r="F857" s="321">
        <f>ROUND(D857*$C857*$D$745,0)</f>
        <v>0</v>
      </c>
      <c r="G857" s="384">
        <v>25.265901957370488</v>
      </c>
      <c r="H857" s="324"/>
      <c r="I857" s="321">
        <f t="shared" si="214"/>
        <v>0</v>
      </c>
      <c r="J857" s="384">
        <f ca="1">J837</f>
        <v>26.524302109100866</v>
      </c>
      <c r="K857" s="324"/>
      <c r="L857" s="321">
        <f t="shared" ca="1" si="215"/>
        <v>0</v>
      </c>
      <c r="M857" s="321"/>
      <c r="N857" s="384">
        <f ca="1">N837</f>
        <v>26.524302109100866</v>
      </c>
      <c r="O857" s="324"/>
      <c r="P857" s="321">
        <f t="shared" ca="1" si="216"/>
        <v>0</v>
      </c>
      <c r="Q857" s="321"/>
      <c r="R857" s="384" t="str">
        <f>R837</f>
        <v xml:space="preserve"> </v>
      </c>
      <c r="S857" s="324"/>
      <c r="T857" s="321">
        <f t="shared" si="217"/>
        <v>0</v>
      </c>
      <c r="U857" s="321"/>
      <c r="V857" s="384" t="str">
        <f>V837</f>
        <v xml:space="preserve"> </v>
      </c>
      <c r="W857" s="324"/>
      <c r="X857" s="321">
        <f t="shared" si="218"/>
        <v>0</v>
      </c>
      <c r="Y857" s="20"/>
      <c r="Z857" s="74"/>
      <c r="AA857" s="74"/>
      <c r="AB857" s="74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</row>
    <row r="858" spans="1:47" hidden="1">
      <c r="A858" s="309" t="s">
        <v>391</v>
      </c>
      <c r="B858" s="1"/>
      <c r="C858" s="319"/>
      <c r="D858" s="384"/>
      <c r="E858" s="324"/>
      <c r="F858" s="321"/>
      <c r="G858" s="384"/>
      <c r="H858" s="324"/>
      <c r="I858" s="321"/>
      <c r="J858" s="384"/>
      <c r="K858" s="324"/>
      <c r="L858" s="321"/>
      <c r="M858" s="321"/>
      <c r="N858" s="384"/>
      <c r="O858" s="324"/>
      <c r="P858" s="321"/>
      <c r="Q858" s="321"/>
      <c r="R858" s="384"/>
      <c r="S858" s="324"/>
      <c r="T858" s="321"/>
      <c r="U858" s="321"/>
      <c r="V858" s="384"/>
      <c r="W858" s="324"/>
      <c r="X858" s="321"/>
      <c r="Y858" s="20"/>
      <c r="Z858" s="74"/>
      <c r="AA858" s="74"/>
      <c r="AB858" s="74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</row>
    <row r="859" spans="1:47" hidden="1">
      <c r="A859" s="309" t="s">
        <v>452</v>
      </c>
      <c r="B859" s="1"/>
      <c r="C859" s="319">
        <v>0</v>
      </c>
      <c r="D859" s="384">
        <v>23.79</v>
      </c>
      <c r="E859" s="324"/>
      <c r="F859" s="321">
        <f>ROUND(D859*$C859*$D$745,0)</f>
        <v>0</v>
      </c>
      <c r="G859" s="384">
        <v>25.171223609796559</v>
      </c>
      <c r="H859" s="324"/>
      <c r="I859" s="321">
        <f>ROUND(G859*$C859*$G$745,0)</f>
        <v>0</v>
      </c>
      <c r="J859" s="384">
        <f ca="1">J839</f>
        <v>26.414908186870086</v>
      </c>
      <c r="K859" s="324"/>
      <c r="L859" s="321">
        <f t="shared" ref="L859:L863" ca="1" si="219">ROUND(J859*$C859*$J$851,0)</f>
        <v>0</v>
      </c>
      <c r="M859" s="321"/>
      <c r="N859" s="384">
        <f ca="1">N839</f>
        <v>26.414908186870086</v>
      </c>
      <c r="O859" s="324"/>
      <c r="P859" s="321">
        <f t="shared" ref="P859:P863" ca="1" si="220">ROUND(N859*$C859*$J$851,0)</f>
        <v>0</v>
      </c>
      <c r="Q859" s="321"/>
      <c r="R859" s="384" t="str">
        <f>R839</f>
        <v xml:space="preserve"> </v>
      </c>
      <c r="S859" s="324"/>
      <c r="T859" s="321">
        <f t="shared" ref="T859:T863" si="221">ROUND(R859*$C859*$J$851,0)</f>
        <v>0</v>
      </c>
      <c r="U859" s="321"/>
      <c r="V859" s="384" t="str">
        <f>V839</f>
        <v xml:space="preserve"> </v>
      </c>
      <c r="W859" s="324"/>
      <c r="X859" s="321">
        <f t="shared" ref="X859:X863" si="222">ROUND(V859*$C859*$J$851,0)</f>
        <v>0</v>
      </c>
      <c r="Y859" s="20"/>
      <c r="Z859" s="74"/>
      <c r="AA859" s="74"/>
      <c r="AB859" s="74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</row>
    <row r="860" spans="1:47" hidden="1">
      <c r="A860" s="309" t="s">
        <v>453</v>
      </c>
      <c r="B860" s="1"/>
      <c r="C860" s="319">
        <v>0</v>
      </c>
      <c r="D860" s="384">
        <v>16.559999999999999</v>
      </c>
      <c r="E860" s="324"/>
      <c r="F860" s="321">
        <f>ROUND(D860*$C860*$D$745,0)</f>
        <v>0</v>
      </c>
      <c r="G860" s="384">
        <v>17.5284179478029</v>
      </c>
      <c r="H860" s="324"/>
      <c r="I860" s="321">
        <f t="shared" ref="I860:I863" si="223">ROUND(G860*$C860*$G$745,0)</f>
        <v>0</v>
      </c>
      <c r="J860" s="384">
        <f ca="1">J840</f>
        <v>18.401442937859667</v>
      </c>
      <c r="K860" s="324"/>
      <c r="L860" s="321">
        <f t="shared" ca="1" si="219"/>
        <v>0</v>
      </c>
      <c r="M860" s="321"/>
      <c r="N860" s="384">
        <f ca="1">N840</f>
        <v>18.401442937859667</v>
      </c>
      <c r="O860" s="324"/>
      <c r="P860" s="321">
        <f t="shared" ca="1" si="220"/>
        <v>0</v>
      </c>
      <c r="Q860" s="321"/>
      <c r="R860" s="384" t="str">
        <f>R840</f>
        <v xml:space="preserve"> </v>
      </c>
      <c r="S860" s="324"/>
      <c r="T860" s="321">
        <f t="shared" si="221"/>
        <v>0</v>
      </c>
      <c r="U860" s="321"/>
      <c r="V860" s="384" t="str">
        <f>V840</f>
        <v xml:space="preserve"> </v>
      </c>
      <c r="W860" s="324"/>
      <c r="X860" s="321">
        <f t="shared" si="222"/>
        <v>0</v>
      </c>
      <c r="Y860" s="20"/>
      <c r="Z860" s="74"/>
      <c r="AA860" s="74"/>
      <c r="AB860" s="74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</row>
    <row r="861" spans="1:47" hidden="1">
      <c r="A861" s="309" t="s">
        <v>454</v>
      </c>
      <c r="B861" s="1"/>
      <c r="C861" s="319">
        <v>0</v>
      </c>
      <c r="D861" s="384">
        <v>12.96</v>
      </c>
      <c r="E861" s="324"/>
      <c r="F861" s="321">
        <f>ROUND(D861*$C861*$D$745,0)</f>
        <v>0</v>
      </c>
      <c r="G861" s="384">
        <v>13.717892306976186</v>
      </c>
      <c r="H861" s="324"/>
      <c r="I861" s="321">
        <f t="shared" si="223"/>
        <v>0</v>
      </c>
      <c r="J861" s="384">
        <f ca="1">J841</f>
        <v>14.401129255716265</v>
      </c>
      <c r="K861" s="324"/>
      <c r="L861" s="321">
        <f t="shared" ca="1" si="219"/>
        <v>0</v>
      </c>
      <c r="M861" s="321"/>
      <c r="N861" s="384">
        <f ca="1">N841</f>
        <v>14.401129255716265</v>
      </c>
      <c r="O861" s="324"/>
      <c r="P861" s="321">
        <f t="shared" ca="1" si="220"/>
        <v>0</v>
      </c>
      <c r="Q861" s="321"/>
      <c r="R861" s="384" t="str">
        <f>R841</f>
        <v xml:space="preserve"> </v>
      </c>
      <c r="S861" s="324"/>
      <c r="T861" s="321">
        <f t="shared" si="221"/>
        <v>0</v>
      </c>
      <c r="U861" s="321"/>
      <c r="V861" s="384" t="str">
        <f>V841</f>
        <v xml:space="preserve"> </v>
      </c>
      <c r="W861" s="324"/>
      <c r="X861" s="321">
        <f t="shared" si="222"/>
        <v>0</v>
      </c>
      <c r="Y861" s="20"/>
      <c r="Z861" s="74"/>
      <c r="AA861" s="74"/>
      <c r="AB861" s="74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</row>
    <row r="862" spans="1:47" hidden="1">
      <c r="A862" s="309" t="s">
        <v>465</v>
      </c>
      <c r="B862" s="1"/>
      <c r="C862" s="319">
        <v>0</v>
      </c>
      <c r="D862" s="353">
        <v>71.61</v>
      </c>
      <c r="E862" s="324"/>
      <c r="F862" s="321">
        <f>ROUND(D862*$C862*$D$745,0)</f>
        <v>0</v>
      </c>
      <c r="G862" s="353">
        <v>75.797705872111464</v>
      </c>
      <c r="H862" s="324"/>
      <c r="I862" s="321">
        <f t="shared" si="223"/>
        <v>0</v>
      </c>
      <c r="J862" s="353">
        <f ca="1">J842</f>
        <v>79.572906327302604</v>
      </c>
      <c r="K862" s="324"/>
      <c r="L862" s="321">
        <f t="shared" ca="1" si="219"/>
        <v>0</v>
      </c>
      <c r="M862" s="321"/>
      <c r="N862" s="353">
        <f ca="1">N842</f>
        <v>79.572906327302604</v>
      </c>
      <c r="O862" s="324"/>
      <c r="P862" s="321">
        <f t="shared" ca="1" si="220"/>
        <v>0</v>
      </c>
      <c r="Q862" s="321"/>
      <c r="R862" s="353" t="str">
        <f>R842</f>
        <v xml:space="preserve"> </v>
      </c>
      <c r="S862" s="324"/>
      <c r="T862" s="321">
        <f t="shared" si="221"/>
        <v>0</v>
      </c>
      <c r="U862" s="321"/>
      <c r="V862" s="353" t="str">
        <f>V842</f>
        <v xml:space="preserve"> </v>
      </c>
      <c r="W862" s="324"/>
      <c r="X862" s="321">
        <f t="shared" si="222"/>
        <v>0</v>
      </c>
      <c r="Y862" s="20"/>
      <c r="Z862" s="74"/>
      <c r="AA862" s="74"/>
      <c r="AB862" s="74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</row>
    <row r="863" spans="1:47" hidden="1">
      <c r="A863" s="309" t="s">
        <v>466</v>
      </c>
      <c r="B863" s="1"/>
      <c r="C863" s="319">
        <v>0</v>
      </c>
      <c r="D863" s="353">
        <v>142.74</v>
      </c>
      <c r="E863" s="324"/>
      <c r="F863" s="321">
        <f>ROUND(D863*$C863*$D$745,0)</f>
        <v>0</v>
      </c>
      <c r="G863" s="353">
        <v>151.02734165877936</v>
      </c>
      <c r="H863" s="324"/>
      <c r="I863" s="321">
        <f t="shared" si="223"/>
        <v>0</v>
      </c>
      <c r="J863" s="353">
        <f ca="1">J843</f>
        <v>158.4894491212205</v>
      </c>
      <c r="K863" s="324"/>
      <c r="L863" s="321">
        <f t="shared" ca="1" si="219"/>
        <v>0</v>
      </c>
      <c r="M863" s="321"/>
      <c r="N863" s="353">
        <f ca="1">N843</f>
        <v>158.4894491212205</v>
      </c>
      <c r="O863" s="324"/>
      <c r="P863" s="321">
        <f t="shared" ca="1" si="220"/>
        <v>0</v>
      </c>
      <c r="Q863" s="321"/>
      <c r="R863" s="353" t="str">
        <f>R843</f>
        <v xml:space="preserve"> </v>
      </c>
      <c r="S863" s="324"/>
      <c r="T863" s="321">
        <f t="shared" si="221"/>
        <v>0</v>
      </c>
      <c r="U863" s="321"/>
      <c r="V863" s="353" t="str">
        <f>V843</f>
        <v xml:space="preserve"> </v>
      </c>
      <c r="W863" s="324"/>
      <c r="X863" s="321">
        <f t="shared" si="222"/>
        <v>0</v>
      </c>
      <c r="Y863" s="20"/>
      <c r="Z863" s="74"/>
      <c r="AA863" s="74"/>
      <c r="AB863" s="74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</row>
    <row r="864" spans="1:47" hidden="1">
      <c r="A864" s="309" t="s">
        <v>462</v>
      </c>
      <c r="B864" s="1"/>
      <c r="C864" s="319"/>
      <c r="D864" s="337"/>
      <c r="E864" s="324"/>
      <c r="F864" s="321"/>
      <c r="G864" s="337"/>
      <c r="H864" s="324"/>
      <c r="I864" s="321"/>
      <c r="J864" s="337"/>
      <c r="K864" s="324"/>
      <c r="L864" s="321"/>
      <c r="M864" s="321"/>
      <c r="N864" s="337"/>
      <c r="O864" s="324"/>
      <c r="P864" s="321"/>
      <c r="Q864" s="321"/>
      <c r="R864" s="337"/>
      <c r="S864" s="324"/>
      <c r="T864" s="321"/>
      <c r="U864" s="321"/>
      <c r="V864" s="337"/>
      <c r="W864" s="324"/>
      <c r="X864" s="321"/>
      <c r="Y864" s="20"/>
      <c r="Z864" s="74"/>
      <c r="AA864" s="74"/>
      <c r="AB864" s="74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</row>
    <row r="865" spans="1:47" hidden="1">
      <c r="A865" s="309" t="s">
        <v>457</v>
      </c>
      <c r="B865" s="1"/>
      <c r="C865" s="319">
        <v>0</v>
      </c>
      <c r="D865" s="363">
        <v>-23.87</v>
      </c>
      <c r="E865" s="324"/>
      <c r="F865" s="321">
        <f>ROUND(D865*$C865*$D$745,0)</f>
        <v>0</v>
      </c>
      <c r="G865" s="363">
        <v>-25.265901957370488</v>
      </c>
      <c r="H865" s="324"/>
      <c r="I865" s="321">
        <f t="shared" ref="I865:I866" si="224">ROUND(G865*$C865*$G$745,0)</f>
        <v>0</v>
      </c>
      <c r="J865" s="363">
        <f ca="1">J845</f>
        <v>-26.524302109100866</v>
      </c>
      <c r="K865" s="324"/>
      <c r="L865" s="321">
        <f t="shared" ref="L865:L866" ca="1" si="225">ROUND(J865*$C865*$J$851,0)</f>
        <v>0</v>
      </c>
      <c r="M865" s="321"/>
      <c r="N865" s="363">
        <f ca="1">N845</f>
        <v>-26.524302109100866</v>
      </c>
      <c r="O865" s="324"/>
      <c r="P865" s="321">
        <f t="shared" ref="P865:P866" ca="1" si="226">ROUND(N865*$C865*$J$851,0)</f>
        <v>0</v>
      </c>
      <c r="Q865" s="321"/>
      <c r="R865" s="363">
        <f>R845</f>
        <v>0</v>
      </c>
      <c r="S865" s="324"/>
      <c r="T865" s="321">
        <f t="shared" ref="T865:T866" si="227">ROUND(R865*$C865*$J$851,0)</f>
        <v>0</v>
      </c>
      <c r="U865" s="321"/>
      <c r="V865" s="363">
        <f>V845</f>
        <v>0</v>
      </c>
      <c r="W865" s="324"/>
      <c r="X865" s="321">
        <f t="shared" ref="X865:X866" si="228">ROUND(V865*$C865*$J$851,0)</f>
        <v>0</v>
      </c>
      <c r="Y865" s="20"/>
      <c r="Z865" s="74"/>
      <c r="AA865" s="74"/>
      <c r="AB865" s="74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</row>
    <row r="866" spans="1:47" hidden="1">
      <c r="A866" s="309" t="s">
        <v>463</v>
      </c>
      <c r="B866" s="1"/>
      <c r="C866" s="319">
        <v>0</v>
      </c>
      <c r="D866" s="363">
        <v>-23.79</v>
      </c>
      <c r="E866" s="324"/>
      <c r="F866" s="321">
        <f>ROUND(D866*$C866*$D$745,0)</f>
        <v>0</v>
      </c>
      <c r="G866" s="363">
        <v>-25.171223609796559</v>
      </c>
      <c r="H866" s="324"/>
      <c r="I866" s="321">
        <f t="shared" si="224"/>
        <v>0</v>
      </c>
      <c r="J866" s="363">
        <f ca="1">J846</f>
        <v>-26.414908186870086</v>
      </c>
      <c r="K866" s="324"/>
      <c r="L866" s="321">
        <f t="shared" ca="1" si="225"/>
        <v>0</v>
      </c>
      <c r="M866" s="321"/>
      <c r="N866" s="363">
        <f ca="1">N846</f>
        <v>-26.414908186870086</v>
      </c>
      <c r="O866" s="324"/>
      <c r="P866" s="321">
        <f t="shared" ca="1" si="226"/>
        <v>0</v>
      </c>
      <c r="Q866" s="321"/>
      <c r="R866" s="363">
        <f>R846</f>
        <v>0</v>
      </c>
      <c r="S866" s="324"/>
      <c r="T866" s="321">
        <f t="shared" si="227"/>
        <v>0</v>
      </c>
      <c r="U866" s="321"/>
      <c r="V866" s="363">
        <f>V846</f>
        <v>0</v>
      </c>
      <c r="W866" s="324"/>
      <c r="X866" s="321">
        <f t="shared" si="228"/>
        <v>0</v>
      </c>
      <c r="Y866" s="20"/>
      <c r="Z866" s="74"/>
      <c r="AA866" s="74"/>
      <c r="AB866" s="74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</row>
    <row r="867" spans="1:47" hidden="1">
      <c r="A867" s="323" t="s">
        <v>426</v>
      </c>
      <c r="B867" s="1"/>
      <c r="C867" s="319"/>
      <c r="D867" s="384"/>
      <c r="E867" s="321"/>
      <c r="F867" s="321"/>
      <c r="G867" s="384"/>
      <c r="H867" s="321"/>
      <c r="I867" s="321"/>
      <c r="J867" s="384"/>
      <c r="K867" s="321"/>
      <c r="L867" s="321"/>
      <c r="M867" s="321"/>
      <c r="N867" s="384"/>
      <c r="O867" s="321"/>
      <c r="P867" s="321"/>
      <c r="Q867" s="321"/>
      <c r="R867" s="384"/>
      <c r="S867" s="321"/>
      <c r="T867" s="321"/>
      <c r="U867" s="321"/>
      <c r="V867" s="384"/>
      <c r="W867" s="321"/>
      <c r="X867" s="321"/>
      <c r="Y867" s="20"/>
      <c r="Z867" s="74"/>
      <c r="AA867" s="74"/>
      <c r="AB867" s="74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</row>
    <row r="868" spans="1:47" hidden="1">
      <c r="A868" s="309" t="s">
        <v>464</v>
      </c>
      <c r="B868" s="1"/>
      <c r="C868" s="319">
        <v>0</v>
      </c>
      <c r="D868" s="385">
        <v>6.4390000000000001</v>
      </c>
      <c r="E868" s="321" t="s">
        <v>374</v>
      </c>
      <c r="F868" s="321">
        <f>ROUND(D868/100*$C868*$D$745,0)</f>
        <v>0</v>
      </c>
      <c r="G868" s="385">
        <v>6.8159999999999998</v>
      </c>
      <c r="H868" s="321" t="s">
        <v>374</v>
      </c>
      <c r="I868" s="321">
        <f>ROUND(G868/100*C868*$G$745,0)</f>
        <v>0</v>
      </c>
      <c r="J868" s="385">
        <f ca="1">J848</f>
        <v>3.9140000000000001</v>
      </c>
      <c r="K868" s="321" t="s">
        <v>374</v>
      </c>
      <c r="L868" s="321">
        <f ca="1">ROUND(J868/100*$C868*$J$851,0)</f>
        <v>0</v>
      </c>
      <c r="M868" s="321"/>
      <c r="N868" s="385">
        <f ca="1">N848</f>
        <v>0.10011647788394891</v>
      </c>
      <c r="O868" s="321" t="s">
        <v>374</v>
      </c>
      <c r="P868" s="321">
        <f ca="1">ROUND(N868/100*$C868*$J$851,0)</f>
        <v>0</v>
      </c>
      <c r="Q868" s="321"/>
      <c r="R868" s="385">
        <f ca="1">R848</f>
        <v>1.3911559920341985</v>
      </c>
      <c r="S868" s="321" t="s">
        <v>374</v>
      </c>
      <c r="T868" s="321">
        <f ca="1">ROUND(R868/100*$C868*$J$851,0)</f>
        <v>0</v>
      </c>
      <c r="U868" s="321"/>
      <c r="V868" s="385">
        <f ca="1">V848</f>
        <v>2.4227485087524854</v>
      </c>
      <c r="W868" s="321" t="s">
        <v>374</v>
      </c>
      <c r="X868" s="321">
        <f ca="1">ROUND(V868/100*$C868*$J$851,0)</f>
        <v>0</v>
      </c>
      <c r="Y868" s="20"/>
      <c r="Z868" s="74"/>
      <c r="AA868" s="74"/>
      <c r="AB868" s="74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</row>
    <row r="869" spans="1:47" hidden="1">
      <c r="A869" s="323" t="s">
        <v>400</v>
      </c>
      <c r="B869" s="1"/>
      <c r="C869" s="319">
        <v>0</v>
      </c>
      <c r="D869" s="375">
        <v>56</v>
      </c>
      <c r="E869" s="321" t="s">
        <v>374</v>
      </c>
      <c r="F869" s="321">
        <f>ROUND(D869/100*$C869*$D$745,0)</f>
        <v>0</v>
      </c>
      <c r="G869" s="375">
        <v>56</v>
      </c>
      <c r="H869" s="323" t="s">
        <v>374</v>
      </c>
      <c r="I869" s="321">
        <f>ROUND(G869/100*C869*$G$745,0)</f>
        <v>0</v>
      </c>
      <c r="J869" s="375">
        <f>J849</f>
        <v>56</v>
      </c>
      <c r="K869" s="323" t="s">
        <v>374</v>
      </c>
      <c r="L869" s="321">
        <f>ROUND(J869/100*$C869*$J$851,0)</f>
        <v>0</v>
      </c>
      <c r="M869" s="321"/>
      <c r="N869" s="375" t="str">
        <f>N849</f>
        <v xml:space="preserve"> </v>
      </c>
      <c r="O869" s="323" t="s">
        <v>374</v>
      </c>
      <c r="P869" s="321">
        <f>ROUND(N869/100*$C869*$J$851,0)</f>
        <v>0</v>
      </c>
      <c r="Q869" s="321"/>
      <c r="R869" s="375">
        <f ca="1">R849</f>
        <v>11</v>
      </c>
      <c r="S869" s="323" t="s">
        <v>374</v>
      </c>
      <c r="T869" s="321">
        <f ca="1">ROUND(R869/100*$C869*$J$851,0)</f>
        <v>0</v>
      </c>
      <c r="U869" s="321"/>
      <c r="V869" s="375">
        <f ca="1">V849</f>
        <v>45</v>
      </c>
      <c r="W869" s="323" t="s">
        <v>374</v>
      </c>
      <c r="X869" s="321">
        <f ca="1">ROUND(V869/100*$C869*$J$851,0)</f>
        <v>0</v>
      </c>
      <c r="Y869" s="20"/>
      <c r="Z869" s="74"/>
      <c r="AA869" s="74"/>
      <c r="AB869" s="74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</row>
    <row r="870" spans="1:47" hidden="1">
      <c r="A870" s="323" t="s">
        <v>443</v>
      </c>
      <c r="B870" s="1"/>
      <c r="C870" s="319">
        <v>0</v>
      </c>
      <c r="D870" s="298">
        <v>60</v>
      </c>
      <c r="E870" s="364" t="s">
        <v>31</v>
      </c>
      <c r="F870" s="321">
        <f>ROUND(D870*$C870,0)</f>
        <v>0</v>
      </c>
      <c r="G870" s="298">
        <v>60</v>
      </c>
      <c r="H870" s="1"/>
      <c r="I870" s="321">
        <f>ROUND(G870*$C870,0)</f>
        <v>0</v>
      </c>
      <c r="J870" s="298">
        <f>$J$764</f>
        <v>60</v>
      </c>
      <c r="K870" s="1"/>
      <c r="L870" s="321">
        <f>ROUND(J870*$C870,0)</f>
        <v>0</v>
      </c>
      <c r="M870" s="321"/>
      <c r="N870" s="298" t="str">
        <f>$N$764</f>
        <v xml:space="preserve"> </v>
      </c>
      <c r="O870" s="1"/>
      <c r="P870" s="321">
        <f>ROUND(N870*$C870,0)</f>
        <v>0</v>
      </c>
      <c r="Q870" s="321"/>
      <c r="R870" s="298">
        <f ca="1">$R$764</f>
        <v>11.831395044239747</v>
      </c>
      <c r="S870" s="1"/>
      <c r="T870" s="321">
        <f ca="1">ROUND(R870*$C870,0)</f>
        <v>0</v>
      </c>
      <c r="U870" s="321"/>
      <c r="V870" s="298">
        <f ca="1">$V$764</f>
        <v>48.168604955760252</v>
      </c>
      <c r="W870" s="1"/>
      <c r="X870" s="321">
        <f ca="1">ROUND(V870*$C870,0)</f>
        <v>0</v>
      </c>
      <c r="Y870" s="20"/>
      <c r="Z870" s="32" t="s">
        <v>31</v>
      </c>
      <c r="AA870" s="74"/>
      <c r="AB870" s="74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</row>
    <row r="871" spans="1:47" hidden="1">
      <c r="A871" s="323" t="s">
        <v>444</v>
      </c>
      <c r="B871" s="1"/>
      <c r="C871" s="319">
        <v>0</v>
      </c>
      <c r="D871" s="339">
        <v>-30</v>
      </c>
      <c r="E871" s="321" t="s">
        <v>374</v>
      </c>
      <c r="F871" s="321">
        <f>ROUND(D871*$C871/100,0)</f>
        <v>0</v>
      </c>
      <c r="G871" s="339">
        <v>-30</v>
      </c>
      <c r="H871" s="321" t="s">
        <v>374</v>
      </c>
      <c r="I871" s="321">
        <f>ROUND(G871*$C871/100,0)</f>
        <v>0</v>
      </c>
      <c r="J871" s="339">
        <f>$J$765</f>
        <v>-30</v>
      </c>
      <c r="K871" s="321" t="s">
        <v>374</v>
      </c>
      <c r="L871" s="321">
        <f>ROUND(J871*$C871/100,0)</f>
        <v>0</v>
      </c>
      <c r="M871" s="321"/>
      <c r="N871" s="339">
        <f>$N$765</f>
        <v>-30</v>
      </c>
      <c r="O871" s="321" t="s">
        <v>374</v>
      </c>
      <c r="P871" s="321">
        <f>ROUND(N871*$C871/100,0)</f>
        <v>0</v>
      </c>
      <c r="Q871" s="321"/>
      <c r="R871" s="339">
        <f>$R$765</f>
        <v>0</v>
      </c>
      <c r="S871" s="321" t="s">
        <v>374</v>
      </c>
      <c r="T871" s="321">
        <f>ROUND(R871*$C871/100,0)</f>
        <v>0</v>
      </c>
      <c r="U871" s="321"/>
      <c r="V871" s="339">
        <f>$V$765</f>
        <v>0</v>
      </c>
      <c r="W871" s="321" t="s">
        <v>374</v>
      </c>
      <c r="X871" s="321">
        <f>ROUND(V871*$C871/100,0)</f>
        <v>0</v>
      </c>
      <c r="Y871" s="20"/>
      <c r="Z871" s="74"/>
      <c r="AA871" s="74"/>
      <c r="AB871" s="74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</row>
    <row r="872" spans="1:47" s="1184" customFormat="1" hidden="1">
      <c r="A872" s="1005" t="s">
        <v>1035</v>
      </c>
      <c r="C872" s="1202">
        <f>C868</f>
        <v>0</v>
      </c>
      <c r="D872" s="269"/>
      <c r="E872" s="1185"/>
      <c r="F872" s="1203"/>
      <c r="G872" s="269"/>
      <c r="H872" s="1185"/>
      <c r="I872" s="1203"/>
      <c r="J872" s="1316">
        <f>J766</f>
        <v>3.2410000000000001</v>
      </c>
      <c r="K872" s="1041" t="s">
        <v>374</v>
      </c>
      <c r="L872" s="321">
        <f>ROUND(J872/100*$C872*$J$851,0)</f>
        <v>0</v>
      </c>
      <c r="M872" s="321"/>
      <c r="N872" s="1316" t="str">
        <f>N766</f>
        <v xml:space="preserve"> </v>
      </c>
      <c r="O872" s="1041" t="s">
        <v>374</v>
      </c>
      <c r="P872" s="321">
        <f>ROUND(N872/100*$C872*$J$851,0)</f>
        <v>0</v>
      </c>
      <c r="Q872" s="321"/>
      <c r="R872" s="1316" t="str">
        <f>R766</f>
        <v xml:space="preserve"> </v>
      </c>
      <c r="S872" s="1041" t="s">
        <v>374</v>
      </c>
      <c r="T872" s="321">
        <f>ROUND(R872/100*$C872*$J$851,0)</f>
        <v>0</v>
      </c>
      <c r="U872" s="321"/>
      <c r="V872" s="1316">
        <f>V766</f>
        <v>3.2410000000000001</v>
      </c>
      <c r="W872" s="1041" t="s">
        <v>374</v>
      </c>
      <c r="X872" s="321">
        <f>ROUND(V872/100*$C872*$J$851,0)</f>
        <v>0</v>
      </c>
      <c r="Z872" s="815"/>
      <c r="AC872" s="1205"/>
      <c r="AD872" s="1205"/>
      <c r="AI872" s="1185"/>
      <c r="AJ872" s="1185"/>
      <c r="AK872" s="1185"/>
      <c r="AL872" s="1185"/>
      <c r="AM872" s="1185"/>
      <c r="AN872" s="1185"/>
      <c r="AO872" s="1185"/>
      <c r="AP872" s="1185"/>
      <c r="AQ872" s="1185"/>
      <c r="AR872" s="1185"/>
      <c r="AS872" s="1185"/>
      <c r="AU872" s="1204"/>
    </row>
    <row r="873" spans="1:47" hidden="1">
      <c r="A873" s="1" t="s">
        <v>381</v>
      </c>
      <c r="B873" s="1"/>
      <c r="C873" s="319">
        <f>SUM(C848:C848)</f>
        <v>5473590</v>
      </c>
      <c r="D873" s="330"/>
      <c r="E873" s="2"/>
      <c r="F873" s="2">
        <f>SUM(F828:F871)</f>
        <v>437654</v>
      </c>
      <c r="G873" s="330"/>
      <c r="H873" s="323"/>
      <c r="I873" s="2">
        <f>SUM(I828:I871)</f>
        <v>462899</v>
      </c>
      <c r="J873" s="330"/>
      <c r="K873" s="323"/>
      <c r="L873" s="2">
        <f ca="1">SUM(L828:L872)</f>
        <v>485875</v>
      </c>
      <c r="M873" s="2"/>
      <c r="N873" s="330"/>
      <c r="O873" s="323"/>
      <c r="P873" s="2">
        <f ca="1">SUM(P828:P872)</f>
        <v>99005</v>
      </c>
      <c r="Q873" s="2"/>
      <c r="R873" s="330"/>
      <c r="S873" s="323"/>
      <c r="T873" s="2">
        <f ca="1">SUM(T828:T872)</f>
        <v>76286</v>
      </c>
      <c r="U873" s="2"/>
      <c r="V873" s="330"/>
      <c r="W873" s="323"/>
      <c r="X873" s="2">
        <f ca="1">SUM(X828:X872)</f>
        <v>310585</v>
      </c>
      <c r="Y873" s="20"/>
      <c r="Z873" s="74"/>
      <c r="AA873" s="74"/>
      <c r="AB873" s="74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</row>
    <row r="874" spans="1:47" hidden="1">
      <c r="A874" s="1" t="s">
        <v>363</v>
      </c>
      <c r="B874" s="1"/>
      <c r="C874" s="349">
        <f>'Table 2'!H102</f>
        <v>-7191.4616234892947</v>
      </c>
      <c r="D874" s="309"/>
      <c r="E874" s="309"/>
      <c r="F874" s="310">
        <f ca="1">I874</f>
        <v>-1126.4991463464028</v>
      </c>
      <c r="G874" s="309"/>
      <c r="H874" s="309"/>
      <c r="I874" s="310">
        <f ca="1">'Table 3'!E102</f>
        <v>-1126.4991463464028</v>
      </c>
      <c r="J874" s="309"/>
      <c r="K874" s="309"/>
      <c r="L874" s="310">
        <f ca="1">I874</f>
        <v>-1126.4991463464028</v>
      </c>
      <c r="M874" s="51"/>
      <c r="N874" s="309"/>
      <c r="O874" s="309"/>
      <c r="P874" s="310">
        <f ca="1">P768/L768*L874</f>
        <v>-236.99354076477576</v>
      </c>
      <c r="Q874" s="51"/>
      <c r="R874" s="309"/>
      <c r="S874" s="309"/>
      <c r="T874" s="310">
        <f ca="1">T768/L768*L874</f>
        <v>-175.40153689503225</v>
      </c>
      <c r="U874" s="51"/>
      <c r="V874" s="309"/>
      <c r="W874" s="309"/>
      <c r="X874" s="310">
        <f ca="1">X768/L768*L874</f>
        <v>-714.10406868659481</v>
      </c>
      <c r="Y874" s="444"/>
      <c r="Z874" s="287"/>
      <c r="AA874" s="74"/>
      <c r="AB874" s="74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</row>
    <row r="875" spans="1:47" ht="16.5" hidden="1" thickBot="1">
      <c r="A875" s="1" t="s">
        <v>382</v>
      </c>
      <c r="B875" s="1"/>
      <c r="C875" s="366">
        <f>SUM(C873:C874)</f>
        <v>5466398.5383765111</v>
      </c>
      <c r="D875" s="342"/>
      <c r="E875" s="343"/>
      <c r="F875" s="344">
        <f ca="1">F873+F874</f>
        <v>436527.50085365359</v>
      </c>
      <c r="G875" s="342"/>
      <c r="H875" s="345"/>
      <c r="I875" s="344">
        <f ca="1">I873+I874</f>
        <v>461772.50085365359</v>
      </c>
      <c r="J875" s="342"/>
      <c r="K875" s="345"/>
      <c r="L875" s="344">
        <f ca="1">L873+L874</f>
        <v>484748.50085365359</v>
      </c>
      <c r="M875" s="344"/>
      <c r="N875" s="342"/>
      <c r="O875" s="345"/>
      <c r="P875" s="344">
        <f ca="1">P873+P874</f>
        <v>98768.006459235228</v>
      </c>
      <c r="Q875" s="344"/>
      <c r="R875" s="342"/>
      <c r="S875" s="345"/>
      <c r="T875" s="344">
        <f ca="1">T873+T874</f>
        <v>76110.598463104965</v>
      </c>
      <c r="U875" s="344"/>
      <c r="V875" s="342"/>
      <c r="W875" s="345"/>
      <c r="X875" s="344">
        <f ca="1">X873+X874</f>
        <v>309870.8959313134</v>
      </c>
      <c r="Y875" s="411"/>
      <c r="Z875" s="470"/>
      <c r="AA875" s="74"/>
      <c r="AB875" s="74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</row>
    <row r="876" spans="1:47" ht="16.5" hidden="1" thickTop="1">
      <c r="A876" s="1"/>
      <c r="B876" s="1"/>
      <c r="C876" s="26"/>
      <c r="D876" s="351"/>
      <c r="E876" s="352"/>
      <c r="F876" s="322"/>
      <c r="G876" s="351"/>
      <c r="H876" s="23"/>
      <c r="I876" s="322"/>
      <c r="J876" s="351"/>
      <c r="K876" s="23"/>
      <c r="L876" s="322"/>
      <c r="M876" s="322"/>
      <c r="N876" s="351"/>
      <c r="O876" s="23"/>
      <c r="P876" s="322"/>
      <c r="Q876" s="322"/>
      <c r="R876" s="351"/>
      <c r="S876" s="23"/>
      <c r="T876" s="322"/>
      <c r="U876" s="322"/>
      <c r="V876" s="351"/>
      <c r="W876" s="23"/>
      <c r="X876" s="322"/>
      <c r="Y876" s="1586">
        <f>'Exh No.__(JRS-17) p11'!J39+'Exh No.__(JRS-17) p11'!K39+'Exh No.__(JRS-17) p11'!L39</f>
        <v>0.21038057732526627</v>
      </c>
      <c r="Z876" s="1586">
        <f>'Exh No.__(JRS-17) p11'!I39</f>
        <v>0.15570498873782163</v>
      </c>
      <c r="AA876" s="1586">
        <f>'Exh No.__(JRS-17) p11'!H39</f>
        <v>0.63391443393691227</v>
      </c>
      <c r="AB876" s="74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</row>
    <row r="877" spans="1:47" hidden="1">
      <c r="A877" s="1"/>
      <c r="B877" s="1"/>
      <c r="C877" s="26"/>
      <c r="D877" s="351"/>
      <c r="E877" s="352"/>
      <c r="F877" s="322"/>
      <c r="G877" s="351"/>
      <c r="H877" s="23"/>
      <c r="I877" s="322"/>
      <c r="J877" s="351"/>
      <c r="K877" s="23"/>
      <c r="L877" s="322"/>
      <c r="M877" s="322"/>
      <c r="N877" s="351"/>
      <c r="O877" s="23"/>
      <c r="P877" s="322"/>
      <c r="Q877" s="322"/>
      <c r="R877" s="351"/>
      <c r="S877" s="23"/>
      <c r="T877" s="322"/>
      <c r="U877" s="322"/>
      <c r="V877" s="351"/>
      <c r="W877" s="23"/>
      <c r="X877" s="322"/>
      <c r="Y877" s="411">
        <f ca="1">Y876*$L$769</f>
        <v>2797230.885526184</v>
      </c>
      <c r="Z877" s="411">
        <f t="shared" ref="Z877:AA877" ca="1" si="229">Z876*$L$769</f>
        <v>2070261.4712125019</v>
      </c>
      <c r="AA877" s="411">
        <f t="shared" ca="1" si="229"/>
        <v>8428558.6432613172</v>
      </c>
      <c r="AB877" s="32" t="s">
        <v>409</v>
      </c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</row>
    <row r="878" spans="1:47" hidden="1">
      <c r="A878" s="303"/>
      <c r="B878" s="378"/>
      <c r="C878" s="303"/>
      <c r="D878" s="1"/>
      <c r="E878" s="21"/>
      <c r="F878" s="379"/>
      <c r="G878" s="1"/>
      <c r="H878" s="303"/>
      <c r="I878" s="379" t="s">
        <v>31</v>
      </c>
      <c r="J878" s="303"/>
      <c r="K878" s="303"/>
      <c r="L878" s="303"/>
      <c r="M878" s="303"/>
      <c r="N878" s="303"/>
      <c r="O878" s="303"/>
      <c r="P878" s="303"/>
      <c r="Q878" s="303"/>
      <c r="R878" s="303"/>
      <c r="S878" s="303"/>
      <c r="T878" s="303"/>
      <c r="U878" s="303"/>
      <c r="V878" s="303"/>
      <c r="W878" s="303"/>
      <c r="X878" s="303"/>
      <c r="Y878" s="20"/>
      <c r="Z878" s="74"/>
      <c r="AA878" s="74"/>
      <c r="AB878" s="74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</row>
    <row r="879" spans="1:47">
      <c r="A879" s="293" t="s">
        <v>469</v>
      </c>
      <c r="B879" s="1"/>
      <c r="C879" s="1"/>
      <c r="D879" s="2"/>
      <c r="E879" s="2"/>
      <c r="F879" s="1"/>
      <c r="G879" s="2"/>
      <c r="H879" s="1"/>
      <c r="I879" s="1"/>
      <c r="J879" s="2"/>
      <c r="K879" s="1"/>
      <c r="L879" s="1"/>
      <c r="M879" s="1"/>
      <c r="N879" s="2"/>
      <c r="O879" s="1"/>
      <c r="P879" s="1"/>
      <c r="Q879" s="1"/>
      <c r="R879" s="2"/>
      <c r="S879" s="1"/>
      <c r="T879" s="1"/>
      <c r="U879" s="1"/>
      <c r="V879" s="2"/>
      <c r="W879" s="1"/>
      <c r="X879" s="1"/>
      <c r="Y879" s="20"/>
      <c r="Z879" s="74"/>
      <c r="AA879" s="74"/>
      <c r="AB879" s="74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</row>
    <row r="880" spans="1:47">
      <c r="A880" s="421" t="s">
        <v>1061</v>
      </c>
      <c r="B880" s="1"/>
      <c r="C880" s="1"/>
      <c r="D880" s="2"/>
      <c r="E880" s="2"/>
      <c r="F880" s="1"/>
      <c r="G880" s="2"/>
      <c r="H880" s="1"/>
      <c r="I880" s="1"/>
      <c r="J880" s="2"/>
      <c r="K880" s="1"/>
      <c r="L880" s="1"/>
      <c r="M880" s="1"/>
      <c r="N880" s="2"/>
      <c r="O880" s="1"/>
      <c r="P880" s="1"/>
      <c r="Q880" s="1"/>
      <c r="R880" s="2"/>
      <c r="S880" s="1"/>
      <c r="T880" s="1"/>
      <c r="U880" s="1"/>
      <c r="V880" s="2"/>
      <c r="W880" s="1"/>
      <c r="X880" s="1"/>
      <c r="Y880" s="20"/>
      <c r="Z880" s="74"/>
      <c r="AA880" s="74"/>
      <c r="AB880" s="74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</row>
    <row r="881" spans="1:47">
      <c r="A881" s="323"/>
      <c r="B881" s="1"/>
      <c r="C881" s="1"/>
      <c r="D881" s="2"/>
      <c r="E881" s="2"/>
      <c r="F881" s="1"/>
      <c r="G881" s="2"/>
      <c r="H881" s="1"/>
      <c r="I881" s="1"/>
      <c r="J881" s="2"/>
      <c r="K881" s="1"/>
      <c r="L881" s="1"/>
      <c r="M881" s="1"/>
      <c r="N881" s="2"/>
      <c r="O881" s="1"/>
      <c r="P881" s="1"/>
      <c r="Q881" s="1"/>
      <c r="R881" s="2"/>
      <c r="S881" s="1"/>
      <c r="T881" s="1"/>
      <c r="U881" s="1"/>
      <c r="V881" s="2"/>
      <c r="W881" s="1"/>
      <c r="X881" s="1"/>
      <c r="Y881" s="20"/>
      <c r="Z881" s="74"/>
      <c r="AA881" s="74"/>
      <c r="AB881" s="74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</row>
    <row r="882" spans="1:47">
      <c r="A882" s="323" t="s">
        <v>393</v>
      </c>
      <c r="B882" s="1"/>
      <c r="C882" s="319"/>
      <c r="D882" s="2"/>
      <c r="E882" s="2"/>
      <c r="F882" s="1"/>
      <c r="G882" s="2"/>
      <c r="H882" s="1"/>
      <c r="I882" s="1"/>
      <c r="J882" s="2"/>
      <c r="K882" s="1"/>
      <c r="L882" s="1"/>
      <c r="M882" s="1"/>
      <c r="N882" s="2"/>
      <c r="O882" s="1"/>
      <c r="P882" s="1"/>
      <c r="Q882" s="1"/>
      <c r="R882" s="2"/>
      <c r="S882" s="1"/>
      <c r="T882" s="1"/>
      <c r="U882" s="1"/>
      <c r="V882" s="2"/>
      <c r="W882" s="1"/>
      <c r="X882" s="1"/>
      <c r="Y882" s="20"/>
      <c r="Z882" s="74"/>
      <c r="AA882" s="74"/>
      <c r="AB882" s="74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</row>
    <row r="883" spans="1:47">
      <c r="A883" s="323" t="s">
        <v>471</v>
      </c>
      <c r="B883" s="1"/>
      <c r="C883" s="319">
        <f>[52]Sheet1!$E$2</f>
        <v>12</v>
      </c>
      <c r="D883" s="384">
        <v>1386</v>
      </c>
      <c r="E883" s="337"/>
      <c r="F883" s="2">
        <f>ROUND(D883*$C883,0)</f>
        <v>16632</v>
      </c>
      <c r="G883" s="384">
        <v>1386</v>
      </c>
      <c r="H883" s="321"/>
      <c r="I883" s="2">
        <f>ROUND(G883*C883,0)</f>
        <v>16632</v>
      </c>
      <c r="J883" s="384">
        <f>J962</f>
        <v>1386</v>
      </c>
      <c r="K883" s="321"/>
      <c r="L883" s="2">
        <f>ROUND(J883*$C883,0)</f>
        <v>16632</v>
      </c>
      <c r="M883" s="2"/>
      <c r="N883" s="384">
        <f>N962</f>
        <v>1386</v>
      </c>
      <c r="O883" s="321"/>
      <c r="P883" s="2">
        <f>'Rate Design Work'!P882</f>
        <v>16632</v>
      </c>
      <c r="Q883" s="2"/>
      <c r="R883" s="384" t="str">
        <f>R962</f>
        <v xml:space="preserve"> </v>
      </c>
      <c r="S883" s="321"/>
      <c r="T883" s="2">
        <f>'Rate Design Work'!T882</f>
        <v>0</v>
      </c>
      <c r="U883" s="2"/>
      <c r="V883" s="384" t="str">
        <f>V962</f>
        <v xml:space="preserve"> </v>
      </c>
      <c r="W883" s="321"/>
      <c r="X883" s="2">
        <f>'Rate Design Work'!X882</f>
        <v>0</v>
      </c>
      <c r="Z883" s="14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</row>
    <row r="884" spans="1:47">
      <c r="A884" s="323" t="s">
        <v>472</v>
      </c>
      <c r="B884" s="1"/>
      <c r="C884" s="319">
        <v>0</v>
      </c>
      <c r="D884" s="384">
        <v>1675</v>
      </c>
      <c r="E884" s="337"/>
      <c r="F884" s="2">
        <f>ROUND(D884*$C884,0)</f>
        <v>0</v>
      </c>
      <c r="G884" s="384">
        <v>1675</v>
      </c>
      <c r="H884" s="324"/>
      <c r="I884" s="2">
        <f>ROUND(G884*C884,0)</f>
        <v>0</v>
      </c>
      <c r="J884" s="384">
        <f>J963</f>
        <v>1675</v>
      </c>
      <c r="K884" s="324"/>
      <c r="L884" s="2">
        <f>ROUND(J884*$C884,0)</f>
        <v>0</v>
      </c>
      <c r="M884" s="2"/>
      <c r="N884" s="384">
        <f>N963</f>
        <v>1675</v>
      </c>
      <c r="O884" s="324"/>
      <c r="P884" s="2">
        <f>'Rate Design Work'!P883</f>
        <v>0</v>
      </c>
      <c r="Q884" s="2"/>
      <c r="R884" s="384" t="str">
        <f>R963</f>
        <v xml:space="preserve"> </v>
      </c>
      <c r="S884" s="324"/>
      <c r="T884" s="2">
        <f>'Rate Design Work'!T883</f>
        <v>0</v>
      </c>
      <c r="U884" s="2"/>
      <c r="V884" s="384" t="str">
        <f>V963</f>
        <v xml:space="preserve"> </v>
      </c>
      <c r="W884" s="324"/>
      <c r="X884" s="2">
        <f>'Rate Design Work'!X883</f>
        <v>0</v>
      </c>
      <c r="Z884" s="14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</row>
    <row r="885" spans="1:47">
      <c r="A885" s="323" t="s">
        <v>394</v>
      </c>
      <c r="B885" s="1"/>
      <c r="C885" s="319">
        <f>SUM(C883:C884)</f>
        <v>12</v>
      </c>
      <c r="D885" s="384" t="s">
        <v>31</v>
      </c>
      <c r="E885" s="337"/>
      <c r="F885" s="2" t="s">
        <v>31</v>
      </c>
      <c r="G885" s="384" t="s">
        <v>31</v>
      </c>
      <c r="H885" s="321"/>
      <c r="I885" s="2" t="s">
        <v>31</v>
      </c>
      <c r="J885" s="384" t="str">
        <f>Z926</f>
        <v xml:space="preserve"> </v>
      </c>
      <c r="K885" s="321"/>
      <c r="L885" s="2" t="s">
        <v>31</v>
      </c>
      <c r="M885" s="2"/>
      <c r="N885" s="384">
        <f>AC926</f>
        <v>0</v>
      </c>
      <c r="O885" s="321"/>
      <c r="P885" s="2" t="s">
        <v>31</v>
      </c>
      <c r="Q885" s="2"/>
      <c r="R885" s="384">
        <f>AG926</f>
        <v>0</v>
      </c>
      <c r="S885" s="321"/>
      <c r="T885" s="2" t="s">
        <v>31</v>
      </c>
      <c r="U885" s="2"/>
      <c r="V885" s="384">
        <f>AK926</f>
        <v>0</v>
      </c>
      <c r="W885" s="321"/>
      <c r="X885" s="2" t="s">
        <v>31</v>
      </c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</row>
    <row r="886" spans="1:47">
      <c r="A886" s="323" t="s">
        <v>473</v>
      </c>
      <c r="B886" s="1"/>
      <c r="C886" s="319">
        <f>[52]Sheet1!$F$2</f>
        <v>22168</v>
      </c>
      <c r="D886" s="384">
        <v>1.06</v>
      </c>
      <c r="E886" s="337"/>
      <c r="F886" s="2">
        <f>ROUND(D886*$C886,0)</f>
        <v>23498</v>
      </c>
      <c r="G886" s="384">
        <v>1.06</v>
      </c>
      <c r="H886" s="321"/>
      <c r="I886" s="2">
        <f t="shared" ref="I886:I888" si="230">ROUND(G886*C886,0)</f>
        <v>23498</v>
      </c>
      <c r="J886" s="384">
        <f ca="1">J965</f>
        <v>1.18</v>
      </c>
      <c r="K886" s="321"/>
      <c r="L886" s="2">
        <f ca="1">ROUND(J886*$C886,0)</f>
        <v>26158</v>
      </c>
      <c r="M886" s="2"/>
      <c r="N886" s="384">
        <f ca="1">N965</f>
        <v>1.18</v>
      </c>
      <c r="O886" s="321"/>
      <c r="P886" s="2">
        <f ca="1">'Rate Design Work'!P885</f>
        <v>26158</v>
      </c>
      <c r="Q886" s="2"/>
      <c r="R886" s="384" t="str">
        <f>R965</f>
        <v xml:space="preserve"> </v>
      </c>
      <c r="S886" s="321"/>
      <c r="T886" s="2">
        <f>'Rate Design Work'!T885</f>
        <v>0</v>
      </c>
      <c r="U886" s="2"/>
      <c r="V886" s="384" t="str">
        <f>V965</f>
        <v xml:space="preserve"> </v>
      </c>
      <c r="W886" s="321"/>
      <c r="X886" s="2">
        <f>'Rate Design Work'!X885</f>
        <v>0</v>
      </c>
      <c r="Z886" s="14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</row>
    <row r="887" spans="1:47">
      <c r="A887" s="323" t="s">
        <v>474</v>
      </c>
      <c r="B887" s="1"/>
      <c r="C887" s="319">
        <v>0</v>
      </c>
      <c r="D887" s="384">
        <v>0.96</v>
      </c>
      <c r="E887" s="337"/>
      <c r="F887" s="2">
        <f>ROUND(D887*$C887,0)</f>
        <v>0</v>
      </c>
      <c r="G887" s="384">
        <v>0.96</v>
      </c>
      <c r="H887" s="321"/>
      <c r="I887" s="2">
        <f t="shared" si="230"/>
        <v>0</v>
      </c>
      <c r="J887" s="384">
        <f ca="1">J966</f>
        <v>1.07</v>
      </c>
      <c r="K887" s="321"/>
      <c r="L887" s="2">
        <f ca="1">ROUND(J887*$C887,0)</f>
        <v>0</v>
      </c>
      <c r="M887" s="2"/>
      <c r="N887" s="384">
        <f ca="1">N966</f>
        <v>1.07</v>
      </c>
      <c r="O887" s="321"/>
      <c r="P887" s="2">
        <f ca="1">'Rate Design Work'!P886</f>
        <v>0</v>
      </c>
      <c r="Q887" s="2"/>
      <c r="R887" s="384" t="str">
        <f>R966</f>
        <v xml:space="preserve"> </v>
      </c>
      <c r="S887" s="321"/>
      <c r="T887" s="2">
        <f>'Rate Design Work'!T886</f>
        <v>0</v>
      </c>
      <c r="U887" s="2"/>
      <c r="V887" s="384" t="str">
        <f>V966</f>
        <v xml:space="preserve"> </v>
      </c>
      <c r="W887" s="321"/>
      <c r="X887" s="2">
        <f>'Rate Design Work'!X886</f>
        <v>0</v>
      </c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</row>
    <row r="888" spans="1:47">
      <c r="A888" s="309" t="s">
        <v>403</v>
      </c>
      <c r="B888" s="1"/>
      <c r="C888" s="319">
        <f>[52]Sheet1!$H$2</f>
        <v>18457.411764705899</v>
      </c>
      <c r="D888" s="384">
        <v>7.12</v>
      </c>
      <c r="E888" s="337"/>
      <c r="F888" s="2">
        <f>ROUND(D888*$C888,0)</f>
        <v>131417</v>
      </c>
      <c r="G888" s="384">
        <v>7.55</v>
      </c>
      <c r="H888" s="321"/>
      <c r="I888" s="2">
        <f t="shared" si="230"/>
        <v>139353</v>
      </c>
      <c r="J888" s="384">
        <f ca="1">J967</f>
        <v>8.48</v>
      </c>
      <c r="K888" s="321"/>
      <c r="L888" s="2">
        <f ca="1">ROUND(J888*$C888,0)</f>
        <v>156519</v>
      </c>
      <c r="M888" s="2"/>
      <c r="N888" s="384">
        <f ca="1">N967</f>
        <v>1.1100000000000001</v>
      </c>
      <c r="O888" s="321"/>
      <c r="P888" s="2">
        <f ca="1">'Rate Design Work'!P887</f>
        <v>20488</v>
      </c>
      <c r="Q888" s="2"/>
      <c r="R888" s="384">
        <f ca="1">R967</f>
        <v>1.46</v>
      </c>
      <c r="S888" s="321"/>
      <c r="T888" s="2">
        <f ca="1">'Rate Design Work'!T887</f>
        <v>26948</v>
      </c>
      <c r="U888" s="2"/>
      <c r="V888" s="384">
        <f ca="1">V967</f>
        <v>5.91</v>
      </c>
      <c r="W888" s="321"/>
      <c r="X888" s="2">
        <f ca="1">'Rate Design Work'!X887</f>
        <v>109083</v>
      </c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</row>
    <row r="889" spans="1:47">
      <c r="A889" s="323" t="s">
        <v>426</v>
      </c>
      <c r="B889" s="1"/>
      <c r="C889" s="319"/>
      <c r="D889" s="384"/>
      <c r="E889" s="337"/>
      <c r="F889" s="2"/>
      <c r="G889" s="384"/>
      <c r="H889" s="321"/>
      <c r="I889" s="2"/>
      <c r="J889" s="384"/>
      <c r="K889" s="321"/>
      <c r="L889" s="2"/>
      <c r="M889" s="2"/>
      <c r="N889" s="384"/>
      <c r="O889" s="321"/>
      <c r="P889" s="2"/>
      <c r="Q889" s="2"/>
      <c r="R889" s="384"/>
      <c r="S889" s="321"/>
      <c r="T889" s="2"/>
      <c r="U889" s="2"/>
      <c r="V889" s="384"/>
      <c r="W889" s="321"/>
      <c r="X889" s="2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</row>
    <row r="890" spans="1:47">
      <c r="A890" s="323" t="s">
        <v>464</v>
      </c>
      <c r="B890" s="1"/>
      <c r="C890" s="319">
        <f>[52]Sheet1!$G$2</f>
        <v>2027000</v>
      </c>
      <c r="D890" s="387">
        <v>4.2460000000000004</v>
      </c>
      <c r="E890" s="321" t="s">
        <v>374</v>
      </c>
      <c r="F890" s="2">
        <f>ROUND(D890/100*$C890,0)</f>
        <v>86066</v>
      </c>
      <c r="G890" s="387">
        <v>4.5140000000000002</v>
      </c>
      <c r="H890" s="321" t="s">
        <v>374</v>
      </c>
      <c r="I890" s="2">
        <f>ROUND(G890/100*C890,0)</f>
        <v>91499</v>
      </c>
      <c r="J890" s="387">
        <f ca="1">J969</f>
        <v>2.0669999999999997</v>
      </c>
      <c r="K890" s="321" t="s">
        <v>374</v>
      </c>
      <c r="L890" s="2">
        <f ca="1">ROUND(J890/100*$C890,0)</f>
        <v>41898</v>
      </c>
      <c r="M890" s="2"/>
      <c r="N890" s="387" t="str">
        <f>N969</f>
        <v xml:space="preserve"> </v>
      </c>
      <c r="O890" s="321" t="s">
        <v>31</v>
      </c>
      <c r="P890" s="2">
        <f>'Rate Design Work'!P889</f>
        <v>0</v>
      </c>
      <c r="Q890" s="2"/>
      <c r="R890" s="387">
        <f ca="1">R969</f>
        <v>0.995</v>
      </c>
      <c r="S890" s="321" t="s">
        <v>374</v>
      </c>
      <c r="T890" s="2">
        <f ca="1">'Rate Design Work'!T889</f>
        <v>20169</v>
      </c>
      <c r="U890" s="2"/>
      <c r="V890" s="387">
        <f ca="1">V969</f>
        <v>1.0720000000000001</v>
      </c>
      <c r="W890" s="321" t="s">
        <v>374</v>
      </c>
      <c r="X890" s="2">
        <f ca="1">'Rate Design Work'!X889</f>
        <v>21729</v>
      </c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</row>
    <row r="891" spans="1:47">
      <c r="A891" s="323" t="s">
        <v>400</v>
      </c>
      <c r="B891" s="1"/>
      <c r="C891" s="319">
        <f>[52]Sheet1!$J$2</f>
        <v>9916</v>
      </c>
      <c r="D891" s="384">
        <v>0.55000000000000004</v>
      </c>
      <c r="E891" s="321"/>
      <c r="F891" s="2">
        <f>ROUND(D891*$C891,0)</f>
        <v>5454</v>
      </c>
      <c r="G891" s="384">
        <v>0.55000000000000004</v>
      </c>
      <c r="H891" s="321"/>
      <c r="I891" s="2">
        <f>ROUND(G891*C891,0)</f>
        <v>5454</v>
      </c>
      <c r="J891" s="384">
        <f>J970</f>
        <v>0.55000000000000004</v>
      </c>
      <c r="K891" s="321"/>
      <c r="L891" s="2">
        <f>ROUND(J891*$C891,0)</f>
        <v>5454</v>
      </c>
      <c r="M891" s="2"/>
      <c r="N891" s="384" t="str">
        <f>N970</f>
        <v xml:space="preserve"> </v>
      </c>
      <c r="O891" s="321"/>
      <c r="P891" s="2">
        <f>'Rate Design Work'!P890</f>
        <v>0</v>
      </c>
      <c r="Q891" s="2"/>
      <c r="R891" s="384">
        <f ca="1">R970</f>
        <v>0.11</v>
      </c>
      <c r="S891" s="321"/>
      <c r="T891" s="2">
        <f ca="1">'Rate Design Work'!T890</f>
        <v>1091</v>
      </c>
      <c r="U891" s="2"/>
      <c r="V891" s="384">
        <f ca="1">V970</f>
        <v>0.44</v>
      </c>
      <c r="W891" s="321"/>
      <c r="X891" s="2">
        <f ca="1">'Rate Design Work'!X890</f>
        <v>4363</v>
      </c>
      <c r="Y891" s="319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</row>
    <row r="892" spans="1:47">
      <c r="A892" s="309" t="s">
        <v>428</v>
      </c>
      <c r="B892" s="1"/>
      <c r="C892" s="319">
        <v>0</v>
      </c>
      <c r="D892" s="388">
        <v>5.9999999999999995E-4</v>
      </c>
      <c r="E892" s="321"/>
      <c r="F892" s="2">
        <f>ROUND(D892*$C892,0)</f>
        <v>0</v>
      </c>
      <c r="G892" s="388">
        <v>5.9999999999999995E-4</v>
      </c>
      <c r="H892" s="321"/>
      <c r="I892" s="2">
        <f>ROUND(G892*C892,0)</f>
        <v>0</v>
      </c>
      <c r="J892" s="388">
        <v>5.9999999999999995E-4</v>
      </c>
      <c r="K892" s="321"/>
      <c r="L892" s="2">
        <f>ROUND(J892*$C892,0)</f>
        <v>0</v>
      </c>
      <c r="M892" s="2"/>
      <c r="N892" s="388">
        <v>0</v>
      </c>
      <c r="O892" s="321"/>
      <c r="P892" s="2">
        <f>'Rate Design Work'!P891</f>
        <v>0</v>
      </c>
      <c r="Q892" s="2"/>
      <c r="R892" s="388">
        <f ca="1">R891/J891*J892</f>
        <v>1.1999999999999998E-4</v>
      </c>
      <c r="S892" s="321"/>
      <c r="T892" s="2">
        <f>'Rate Design Work'!T891</f>
        <v>0</v>
      </c>
      <c r="U892" s="2"/>
      <c r="V892" s="388">
        <f ca="1">V891/J891*J892</f>
        <v>4.799999999999999E-4</v>
      </c>
      <c r="W892" s="321"/>
      <c r="X892" s="2">
        <f>'Rate Design Work'!X891</f>
        <v>0</v>
      </c>
      <c r="Y892" s="319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</row>
    <row r="893" spans="1:47">
      <c r="A893" s="309" t="s">
        <v>433</v>
      </c>
      <c r="B893" s="1"/>
      <c r="C893" s="319">
        <f>[52]Sheet1!$R$2</f>
        <v>5796</v>
      </c>
      <c r="D893" s="334">
        <v>3.56</v>
      </c>
      <c r="E893" s="321"/>
      <c r="F893" s="321">
        <f>ROUND(D893*$C893,0)</f>
        <v>20634</v>
      </c>
      <c r="G893" s="334">
        <v>3.7749999999999999</v>
      </c>
      <c r="H893" s="321"/>
      <c r="I893" s="321">
        <f>ROUND(G893*$C893,0)</f>
        <v>21880</v>
      </c>
      <c r="J893" s="334">
        <f ca="1">ROUND(J888/2,3)</f>
        <v>4.24</v>
      </c>
      <c r="K893" s="321"/>
      <c r="L893" s="321">
        <f ca="1">ROUND($C893*J893,0)</f>
        <v>24575</v>
      </c>
      <c r="M893" s="321"/>
      <c r="N893" s="334">
        <f ca="1">ROUND(N888/2,3)</f>
        <v>0.55500000000000005</v>
      </c>
      <c r="O893" s="321"/>
      <c r="P893" s="2">
        <f ca="1">'Rate Design Work'!P892</f>
        <v>3217</v>
      </c>
      <c r="Q893" s="321"/>
      <c r="R893" s="334">
        <f ca="1">ROUND(R888/2,3)</f>
        <v>0.73</v>
      </c>
      <c r="S893" s="321"/>
      <c r="T893" s="2">
        <f ca="1">'Rate Design Work'!T892</f>
        <v>4231</v>
      </c>
      <c r="U893" s="321"/>
      <c r="V893" s="334">
        <f ca="1">ROUND(V888/2,3)</f>
        <v>2.9550000000000001</v>
      </c>
      <c r="W893" s="321"/>
      <c r="X893" s="2">
        <f ca="1">'Rate Design Work'!X892</f>
        <v>17127</v>
      </c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</row>
    <row r="894" spans="1:47">
      <c r="A894" s="309" t="s">
        <v>434</v>
      </c>
      <c r="B894" s="1"/>
      <c r="C894" s="319">
        <f>[52]Sheet1!$P$2</f>
        <v>0</v>
      </c>
      <c r="D894" s="334">
        <v>28.48</v>
      </c>
      <c r="E894" s="321"/>
      <c r="F894" s="321">
        <f>ROUND(D894*$C894,0)</f>
        <v>0</v>
      </c>
      <c r="G894" s="334">
        <v>30.2</v>
      </c>
      <c r="H894" s="321"/>
      <c r="I894" s="321">
        <f>ROUND(G894*$C894,0)</f>
        <v>0</v>
      </c>
      <c r="J894" s="334">
        <f ca="1">J888*4</f>
        <v>33.92</v>
      </c>
      <c r="K894" s="321"/>
      <c r="L894" s="321">
        <f ca="1">ROUND($C894*J894,0)</f>
        <v>0</v>
      </c>
      <c r="M894" s="321"/>
      <c r="N894" s="334">
        <f ca="1">N888*4</f>
        <v>4.4400000000000004</v>
      </c>
      <c r="O894" s="321"/>
      <c r="P894" s="2">
        <f ca="1">'Rate Design Work'!P893</f>
        <v>0</v>
      </c>
      <c r="Q894" s="321"/>
      <c r="R894" s="334">
        <f ca="1">R888*4</f>
        <v>5.84</v>
      </c>
      <c r="S894" s="321"/>
      <c r="T894" s="2">
        <f ca="1">'Rate Design Work'!T893</f>
        <v>0</v>
      </c>
      <c r="U894" s="321"/>
      <c r="V894" s="334">
        <f ca="1">V888*4</f>
        <v>23.64</v>
      </c>
      <c r="W894" s="321"/>
      <c r="X894" s="2">
        <f ca="1">'Rate Design Work'!X893</f>
        <v>0</v>
      </c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</row>
    <row r="895" spans="1:47">
      <c r="A895" s="3" t="s">
        <v>435</v>
      </c>
      <c r="B895" s="303"/>
      <c r="C895" s="319">
        <f>[52]Sheet1!$Q$2</f>
        <v>0</v>
      </c>
      <c r="D895" s="392">
        <v>16.984000000000002</v>
      </c>
      <c r="E895" s="321" t="s">
        <v>374</v>
      </c>
      <c r="F895" s="321">
        <f>ROUND($C895*D895/100,0)</f>
        <v>0</v>
      </c>
      <c r="G895" s="392">
        <v>18.056000000000001</v>
      </c>
      <c r="H895" s="321" t="s">
        <v>374</v>
      </c>
      <c r="I895" s="321">
        <f>ROUND($C895*G895/100,0)</f>
        <v>0</v>
      </c>
      <c r="J895" s="392">
        <f ca="1">(J890+J896)*4</f>
        <v>20.071999999999999</v>
      </c>
      <c r="K895" s="321" t="s">
        <v>374</v>
      </c>
      <c r="L895" s="321">
        <f ca="1">ROUND($C895*J895/100,0)</f>
        <v>0</v>
      </c>
      <c r="M895" s="321"/>
      <c r="N895" s="392" t="s">
        <v>31</v>
      </c>
      <c r="O895" s="321" t="s">
        <v>31</v>
      </c>
      <c r="P895" s="2">
        <f>'Rate Design Work'!P894</f>
        <v>0</v>
      </c>
      <c r="Q895" s="321"/>
      <c r="R895" s="392">
        <f ca="1">(R890+R896)*4</f>
        <v>3.98</v>
      </c>
      <c r="S895" s="321" t="s">
        <v>374</v>
      </c>
      <c r="T895" s="2">
        <f ca="1">'Rate Design Work'!T894</f>
        <v>0</v>
      </c>
      <c r="U895" s="321"/>
      <c r="V895" s="392">
        <f ca="1">(V890+V896)*4</f>
        <v>16.091999999999999</v>
      </c>
      <c r="W895" s="321" t="s">
        <v>374</v>
      </c>
      <c r="X895" s="2">
        <f ca="1">'Rate Design Work'!X894</f>
        <v>0</v>
      </c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</row>
    <row r="896" spans="1:47" s="1184" customFormat="1">
      <c r="A896" s="1005" t="s">
        <v>1035</v>
      </c>
      <c r="C896" s="1202">
        <f>C890</f>
        <v>2027000</v>
      </c>
      <c r="D896" s="269"/>
      <c r="E896" s="1185"/>
      <c r="F896" s="1203"/>
      <c r="G896" s="269"/>
      <c r="H896" s="1185"/>
      <c r="I896" s="1203"/>
      <c r="J896" s="1317">
        <f>J951</f>
        <v>2.9510000000000001</v>
      </c>
      <c r="K896" s="1041" t="s">
        <v>374</v>
      </c>
      <c r="L896" s="1203">
        <f>ROUND(J896/100*$C896,0)</f>
        <v>59817</v>
      </c>
      <c r="M896" s="1203"/>
      <c r="N896" s="1317" t="str">
        <f>N951</f>
        <v xml:space="preserve"> </v>
      </c>
      <c r="O896" s="1041" t="s">
        <v>31</v>
      </c>
      <c r="P896" s="2">
        <f>'Rate Design Work'!P895</f>
        <v>0</v>
      </c>
      <c r="Q896" s="1203"/>
      <c r="R896" s="1317" t="str">
        <f>R951</f>
        <v xml:space="preserve"> </v>
      </c>
      <c r="S896" s="1041" t="s">
        <v>31</v>
      </c>
      <c r="T896" s="2">
        <f>'Rate Design Work'!T895</f>
        <v>0</v>
      </c>
      <c r="U896" s="1203"/>
      <c r="V896" s="1317">
        <f>V951</f>
        <v>2.9510000000000001</v>
      </c>
      <c r="W896" s="1041" t="s">
        <v>374</v>
      </c>
      <c r="X896" s="2">
        <f>'Rate Design Work'!X895</f>
        <v>59817</v>
      </c>
      <c r="Z896" s="815"/>
      <c r="AC896" s="1205"/>
      <c r="AD896" s="1205"/>
      <c r="AI896" s="1185"/>
      <c r="AJ896" s="1185"/>
      <c r="AK896" s="1185"/>
      <c r="AL896" s="1185"/>
      <c r="AM896" s="1185"/>
      <c r="AN896" s="1185"/>
      <c r="AO896" s="1185"/>
      <c r="AP896" s="1185"/>
      <c r="AQ896" s="1185"/>
      <c r="AR896" s="1185"/>
      <c r="AS896" s="1185"/>
      <c r="AU896" s="1204"/>
    </row>
    <row r="897" spans="1:48">
      <c r="A897" s="1" t="s">
        <v>381</v>
      </c>
      <c r="B897" s="1"/>
      <c r="C897" s="319">
        <f>C890+C895</f>
        <v>2027000</v>
      </c>
      <c r="D897" s="330"/>
      <c r="E897" s="2"/>
      <c r="F897" s="2">
        <f>SUM(F883:F895)</f>
        <v>283701</v>
      </c>
      <c r="G897" s="330"/>
      <c r="H897" s="1"/>
      <c r="I897" s="2">
        <f>SUM(I883:I895)</f>
        <v>298316</v>
      </c>
      <c r="J897" s="330"/>
      <c r="K897" s="1"/>
      <c r="L897" s="2">
        <f ca="1">SUM(L883:L896)</f>
        <v>331053</v>
      </c>
      <c r="M897" s="2"/>
      <c r="N897" s="330"/>
      <c r="O897" s="1"/>
      <c r="P897" s="2">
        <f ca="1">SUM(P883:P896)</f>
        <v>66495</v>
      </c>
      <c r="Q897" s="2"/>
      <c r="R897" s="330"/>
      <c r="S897" s="1"/>
      <c r="T897" s="2">
        <f ca="1">SUM(T883:T896)</f>
        <v>52439</v>
      </c>
      <c r="U897" s="2"/>
      <c r="V897" s="330"/>
      <c r="W897" s="1"/>
      <c r="X897" s="2">
        <f ca="1">SUM(X883:X896)</f>
        <v>212119</v>
      </c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</row>
    <row r="898" spans="1:48">
      <c r="A898" s="1" t="s">
        <v>363</v>
      </c>
      <c r="B898" s="1"/>
      <c r="C898" s="319">
        <f ca="1">'Table 2'!H79</f>
        <v>-32467.553478183199</v>
      </c>
      <c r="D898" s="309"/>
      <c r="E898" s="309"/>
      <c r="F898" s="341">
        <f ca="1">I898</f>
        <v>-6187.9871972134688</v>
      </c>
      <c r="G898" s="309"/>
      <c r="H898" s="309"/>
      <c r="I898" s="341">
        <f ca="1">'Table 3'!E79</f>
        <v>-6187.9871972134688</v>
      </c>
      <c r="J898" s="309"/>
      <c r="K898" s="309"/>
      <c r="L898" s="341">
        <f ca="1">I898</f>
        <v>-6187.9871972134688</v>
      </c>
      <c r="M898" s="322"/>
      <c r="N898" s="309"/>
      <c r="O898" s="309"/>
      <c r="P898" s="764">
        <f ca="1">$L$898*Y956/(Y956+$Z$956+$AA$956)</f>
        <v>-678.70208216607148</v>
      </c>
      <c r="Q898" s="51"/>
      <c r="R898" s="309"/>
      <c r="S898" s="309"/>
      <c r="T898" s="764">
        <f ca="1">$L$898*Z956/(Y956+$Z$956+$AA$956)</f>
        <v>-1091.9688477532522</v>
      </c>
      <c r="U898" s="51"/>
      <c r="V898" s="309"/>
      <c r="W898" s="309"/>
      <c r="X898" s="764">
        <f ca="1">$L$898*AA956/($Y$956+$Z$956+$AA$956)</f>
        <v>-4417.3162672941453</v>
      </c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</row>
    <row r="899" spans="1:48" ht="16.5" thickBot="1">
      <c r="A899" s="1" t="s">
        <v>382</v>
      </c>
      <c r="B899" s="1"/>
      <c r="C899" s="393">
        <f ca="1">SUM(C897)+C898</f>
        <v>1994532.4465218168</v>
      </c>
      <c r="D899" s="342"/>
      <c r="E899" s="343"/>
      <c r="F899" s="344">
        <f ca="1">F897+F898</f>
        <v>277513.01280278654</v>
      </c>
      <c r="G899" s="342"/>
      <c r="H899" s="345"/>
      <c r="I899" s="344">
        <f ca="1">I897+I898</f>
        <v>292128.01280278654</v>
      </c>
      <c r="J899" s="342"/>
      <c r="K899" s="345"/>
      <c r="L899" s="344">
        <f ca="1">L897+L898</f>
        <v>324865.01280278654</v>
      </c>
      <c r="M899" s="344"/>
      <c r="N899" s="342"/>
      <c r="O899" s="345"/>
      <c r="P899" s="344">
        <f ca="1">P897+P898</f>
        <v>65816.29791783393</v>
      </c>
      <c r="Q899" s="344"/>
      <c r="R899" s="342"/>
      <c r="S899" s="345"/>
      <c r="T899" s="344">
        <f ca="1">T897+T898</f>
        <v>51347.031152246745</v>
      </c>
      <c r="U899" s="344"/>
      <c r="V899" s="342"/>
      <c r="W899" s="345"/>
      <c r="X899" s="344">
        <f ca="1">X897+X898</f>
        <v>207701.68373270586</v>
      </c>
      <c r="Y899" s="784" t="s">
        <v>364</v>
      </c>
      <c r="Z899" s="809">
        <f ca="1">'Rate Spread targets'!Q26*1000</f>
        <v>324732.95853244304</v>
      </c>
      <c r="AA899" s="818">
        <f ca="1">'Rate Spread targets'!V26</f>
        <v>0.11161184241398937</v>
      </c>
      <c r="AB899" s="777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</row>
    <row r="900" spans="1:48" ht="16.5" thickTop="1">
      <c r="A900" s="1"/>
      <c r="B900" s="1"/>
      <c r="C900" s="21"/>
      <c r="D900" s="337"/>
      <c r="E900" s="2"/>
      <c r="F900" s="2"/>
      <c r="G900" s="337"/>
      <c r="H900" s="1"/>
      <c r="I900" s="2"/>
      <c r="J900" s="337"/>
      <c r="K900" s="1"/>
      <c r="L900" s="380"/>
      <c r="M900" s="380"/>
      <c r="N900" s="337"/>
      <c r="O900" s="1"/>
      <c r="P900" s="380"/>
      <c r="Q900" s="380"/>
      <c r="R900" s="337"/>
      <c r="S900" s="1"/>
      <c r="T900" s="380"/>
      <c r="U900" s="380"/>
      <c r="V900" s="337"/>
      <c r="W900" s="1"/>
      <c r="X900" s="380"/>
      <c r="Y900" s="112" t="s">
        <v>263</v>
      </c>
      <c r="Z900" s="811">
        <f ca="1">Z899-L899</f>
        <v>-132.05427034350578</v>
      </c>
      <c r="AA900" s="816" t="s">
        <v>31</v>
      </c>
      <c r="AB900" s="826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</row>
    <row r="901" spans="1:48">
      <c r="A901" s="293" t="s">
        <v>476</v>
      </c>
      <c r="B901" s="1"/>
      <c r="C901" s="1"/>
      <c r="D901" s="2"/>
      <c r="E901" s="2"/>
      <c r="F901" s="1"/>
      <c r="G901" s="2"/>
      <c r="H901" s="1"/>
      <c r="I901" s="1"/>
      <c r="J901" s="2"/>
      <c r="K901" s="1"/>
      <c r="L901" s="1"/>
      <c r="M901" s="1"/>
      <c r="N901" s="2"/>
      <c r="O901" s="1"/>
      <c r="P901" s="1"/>
      <c r="Q901" s="1"/>
      <c r="R901" s="2"/>
      <c r="S901" s="1"/>
      <c r="T901" s="1"/>
      <c r="U901" s="1"/>
      <c r="V901" s="2"/>
      <c r="W901" s="1"/>
      <c r="X901" s="1"/>
      <c r="Y901" s="20"/>
      <c r="Z901" s="74"/>
      <c r="AA901" s="74"/>
      <c r="AB901" s="74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</row>
    <row r="902" spans="1:48">
      <c r="A902" s="309" t="s">
        <v>477</v>
      </c>
      <c r="B902" s="1"/>
      <c r="C902" s="1"/>
      <c r="D902" s="2"/>
      <c r="E902" s="2"/>
      <c r="F902" s="1"/>
      <c r="G902" s="2"/>
      <c r="H902" s="1"/>
      <c r="I902" s="1"/>
      <c r="J902" s="2"/>
      <c r="K902" s="1"/>
      <c r="L902" s="1"/>
      <c r="M902" s="1"/>
      <c r="N902" s="2"/>
      <c r="O902" s="1"/>
      <c r="P902" s="1"/>
      <c r="Q902" s="1"/>
      <c r="R902" s="2"/>
      <c r="S902" s="1"/>
      <c r="T902" s="1"/>
      <c r="U902" s="1"/>
      <c r="V902" s="2"/>
      <c r="W902" s="1"/>
      <c r="X902" s="1"/>
      <c r="Y902" s="20"/>
      <c r="Z902" s="74"/>
      <c r="AA902" s="74"/>
      <c r="AB902" s="74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</row>
    <row r="903" spans="1:48">
      <c r="A903" s="323"/>
      <c r="B903" s="1"/>
      <c r="C903" s="1"/>
      <c r="D903" s="2"/>
      <c r="E903" s="2"/>
      <c r="F903" s="1"/>
      <c r="G903" s="2"/>
      <c r="H903" s="1"/>
      <c r="I903" s="1"/>
      <c r="J903" s="2"/>
      <c r="K903" s="1"/>
      <c r="L903" s="1"/>
      <c r="M903" s="1"/>
      <c r="N903" s="2"/>
      <c r="O903" s="1"/>
      <c r="P903" s="1"/>
      <c r="Q903" s="1"/>
      <c r="R903" s="2"/>
      <c r="S903" s="1"/>
      <c r="T903" s="1"/>
      <c r="U903" s="1"/>
      <c r="V903" s="2"/>
      <c r="W903" s="1"/>
      <c r="X903" s="1"/>
      <c r="Y903" s="20"/>
      <c r="Z903" s="74"/>
      <c r="AA903" s="74"/>
      <c r="AB903" s="74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</row>
    <row r="904" spans="1:48">
      <c r="A904" s="323" t="s">
        <v>393</v>
      </c>
      <c r="B904" s="1"/>
      <c r="C904" s="319"/>
      <c r="D904" s="2"/>
      <c r="E904" s="2"/>
      <c r="F904" s="1"/>
      <c r="G904" s="2"/>
      <c r="H904" s="1"/>
      <c r="I904" s="1"/>
      <c r="J904" s="2"/>
      <c r="K904" s="1"/>
      <c r="L904" s="1"/>
      <c r="M904" s="1"/>
      <c r="N904" s="2"/>
      <c r="O904" s="1"/>
      <c r="P904" s="1"/>
      <c r="Q904" s="1"/>
      <c r="R904" s="2"/>
      <c r="S904" s="1"/>
      <c r="T904" s="1"/>
      <c r="U904" s="1"/>
      <c r="V904" s="2"/>
      <c r="W904" s="1"/>
      <c r="X904" s="1"/>
      <c r="Y904" s="20"/>
      <c r="Z904" s="74"/>
      <c r="AA904" s="74"/>
      <c r="AB904" s="74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</row>
    <row r="905" spans="1:48">
      <c r="A905" s="323" t="s">
        <v>471</v>
      </c>
      <c r="B905" s="1"/>
      <c r="C905" s="319">
        <f t="shared" ref="C905:C910" si="231">C924+C1093</f>
        <v>732.15151515151501</v>
      </c>
      <c r="D905" s="337"/>
      <c r="E905" s="337"/>
      <c r="F905" s="2">
        <f>F924+F1093</f>
        <v>1019061</v>
      </c>
      <c r="G905" s="337"/>
      <c r="H905" s="321"/>
      <c r="I905" s="2">
        <f>I924+I1093</f>
        <v>1019061</v>
      </c>
      <c r="J905" s="337"/>
      <c r="K905" s="321"/>
      <c r="L905" s="2">
        <f>L924+L1093</f>
        <v>1019061</v>
      </c>
      <c r="M905" s="2"/>
      <c r="N905" s="337"/>
      <c r="O905" s="321"/>
      <c r="P905" s="2">
        <f>P924+P1093</f>
        <v>1019061</v>
      </c>
      <c r="Q905" s="2"/>
      <c r="R905" s="337"/>
      <c r="S905" s="321"/>
      <c r="T905" s="2">
        <f>T924+T1093</f>
        <v>0</v>
      </c>
      <c r="U905" s="2"/>
      <c r="V905" s="337"/>
      <c r="W905" s="321"/>
      <c r="X905" s="2">
        <f>X924+X1093</f>
        <v>0</v>
      </c>
      <c r="Z905" s="55" t="s">
        <v>31</v>
      </c>
      <c r="AA905" s="3"/>
      <c r="AB905" s="3"/>
      <c r="AJ905" s="329"/>
      <c r="AK905" s="329"/>
      <c r="AQ905" s="20"/>
      <c r="AR905" s="20"/>
      <c r="AS905" s="20"/>
      <c r="AT905" s="20"/>
      <c r="AU905" s="20"/>
      <c r="AV905" s="20"/>
    </row>
    <row r="906" spans="1:48">
      <c r="A906" s="323" t="s">
        <v>472</v>
      </c>
      <c r="B906" s="1"/>
      <c r="C906" s="319">
        <f t="shared" si="231"/>
        <v>12</v>
      </c>
      <c r="D906" s="337"/>
      <c r="E906" s="337"/>
      <c r="F906" s="2">
        <f>F925+F1094</f>
        <v>30336</v>
      </c>
      <c r="G906" s="337"/>
      <c r="H906" s="324"/>
      <c r="I906" s="2">
        <f>I925+I1094</f>
        <v>30336</v>
      </c>
      <c r="J906" s="337"/>
      <c r="K906" s="324"/>
      <c r="L906" s="2">
        <f ca="1">L925+L1094</f>
        <v>32964</v>
      </c>
      <c r="M906" s="2"/>
      <c r="N906" s="337"/>
      <c r="O906" s="324"/>
      <c r="P906" s="2">
        <f ca="1">P925+P1094</f>
        <v>32964</v>
      </c>
      <c r="Q906" s="2"/>
      <c r="R906" s="337"/>
      <c r="S906" s="324"/>
      <c r="T906" s="2">
        <f>T925+T1094</f>
        <v>0</v>
      </c>
      <c r="U906" s="2"/>
      <c r="V906" s="337"/>
      <c r="W906" s="324"/>
      <c r="X906" s="2">
        <f>X925+X1094</f>
        <v>0</v>
      </c>
      <c r="Z906" s="55" t="s">
        <v>31</v>
      </c>
      <c r="AA906" s="3"/>
      <c r="AB906" s="3"/>
      <c r="AC906" s="106"/>
      <c r="AD906" s="106"/>
      <c r="AE906" s="106"/>
      <c r="AF906" s="106"/>
      <c r="AG906" s="106"/>
      <c r="AH906" s="106"/>
      <c r="AI906" s="237"/>
      <c r="AJ906" s="329"/>
      <c r="AK906" s="329"/>
      <c r="AQ906" s="20"/>
      <c r="AR906" s="20"/>
      <c r="AS906" s="20"/>
      <c r="AT906" s="20"/>
      <c r="AU906" s="20"/>
      <c r="AV906" s="20"/>
    </row>
    <row r="907" spans="1:48">
      <c r="A907" s="323" t="s">
        <v>394</v>
      </c>
      <c r="B907" s="1"/>
      <c r="C907" s="319">
        <f t="shared" si="231"/>
        <v>744.15151515151501</v>
      </c>
      <c r="D907" s="337"/>
      <c r="E907" s="337"/>
      <c r="F907" s="2"/>
      <c r="G907" s="337"/>
      <c r="H907" s="321"/>
      <c r="I907" s="2"/>
      <c r="J907" s="337"/>
      <c r="K907" s="321"/>
      <c r="L907" s="2"/>
      <c r="M907" s="2"/>
      <c r="N907" s="337"/>
      <c r="O907" s="321"/>
      <c r="P907" s="2"/>
      <c r="Q907" s="2"/>
      <c r="R907" s="337"/>
      <c r="S907" s="321"/>
      <c r="T907" s="2"/>
      <c r="U907" s="2"/>
      <c r="V907" s="337"/>
      <c r="W907" s="321"/>
      <c r="X907" s="2"/>
      <c r="Z907" s="320"/>
      <c r="AA907" s="3"/>
      <c r="AB907" s="3"/>
      <c r="AC907" s="106"/>
      <c r="AD907" s="106"/>
      <c r="AE907" s="106"/>
      <c r="AF907" s="106"/>
      <c r="AG907" s="106"/>
      <c r="AH907" s="106"/>
      <c r="AI907" s="237"/>
      <c r="AQ907" s="20"/>
      <c r="AR907" s="20"/>
      <c r="AS907" s="20"/>
      <c r="AT907" s="20"/>
      <c r="AU907" s="20"/>
      <c r="AV907" s="20"/>
    </row>
    <row r="908" spans="1:48">
      <c r="A908" s="323" t="s">
        <v>473</v>
      </c>
      <c r="B908" s="1"/>
      <c r="C908" s="319">
        <f t="shared" si="231"/>
        <v>1083307.8484848479</v>
      </c>
      <c r="D908" s="337"/>
      <c r="E908" s="337"/>
      <c r="F908" s="2">
        <f>F927+F1096</f>
        <v>1030814</v>
      </c>
      <c r="G908" s="337"/>
      <c r="H908" s="321"/>
      <c r="I908" s="2">
        <f>I927+I1096</f>
        <v>1030814</v>
      </c>
      <c r="J908" s="337"/>
      <c r="K908" s="321"/>
      <c r="L908" s="2">
        <f ca="1">L927+L1096</f>
        <v>1151944</v>
      </c>
      <c r="M908" s="2"/>
      <c r="N908" s="337"/>
      <c r="O908" s="321"/>
      <c r="P908" s="2">
        <f ca="1">P927+P1096</f>
        <v>1151944</v>
      </c>
      <c r="Q908" s="2"/>
      <c r="R908" s="337"/>
      <c r="S908" s="321"/>
      <c r="T908" s="2">
        <f>T927+T1096</f>
        <v>0</v>
      </c>
      <c r="U908" s="2"/>
      <c r="V908" s="337"/>
      <c r="W908" s="321"/>
      <c r="X908" s="2">
        <f>X927+X1096</f>
        <v>0</v>
      </c>
      <c r="Z908" s="55" t="s">
        <v>31</v>
      </c>
      <c r="AA908" s="3"/>
      <c r="AB908" s="3"/>
      <c r="AC908" s="106"/>
      <c r="AD908" s="106"/>
      <c r="AE908" s="106"/>
      <c r="AF908" s="106"/>
      <c r="AG908" s="106"/>
      <c r="AH908" s="106"/>
      <c r="AI908" s="237"/>
      <c r="AQ908" s="20"/>
      <c r="AR908" s="20"/>
      <c r="AS908" s="20"/>
      <c r="AT908" s="20"/>
      <c r="AU908" s="20"/>
      <c r="AV908" s="20"/>
    </row>
    <row r="909" spans="1:48">
      <c r="A909" s="323" t="s">
        <v>474</v>
      </c>
      <c r="B909" s="1"/>
      <c r="C909" s="319">
        <f t="shared" si="231"/>
        <v>693243</v>
      </c>
      <c r="D909" s="337"/>
      <c r="E909" s="337"/>
      <c r="F909" s="2">
        <f>F928+F1097</f>
        <v>159446</v>
      </c>
      <c r="G909" s="337"/>
      <c r="H909" s="321"/>
      <c r="I909" s="2">
        <f>I928+I1097</f>
        <v>159446</v>
      </c>
      <c r="J909" s="337"/>
      <c r="K909" s="321"/>
      <c r="L909" s="2">
        <f ca="1">L928+L1097</f>
        <v>187176</v>
      </c>
      <c r="M909" s="2"/>
      <c r="N909" s="337"/>
      <c r="O909" s="321"/>
      <c r="P909" s="2">
        <f ca="1">P928+P1097</f>
        <v>187176</v>
      </c>
      <c r="Q909" s="2"/>
      <c r="R909" s="337"/>
      <c r="S909" s="321"/>
      <c r="T909" s="2">
        <f>T928+T1097</f>
        <v>0</v>
      </c>
      <c r="U909" s="2"/>
      <c r="V909" s="337"/>
      <c r="W909" s="321"/>
      <c r="X909" s="2">
        <f>X928+X1097</f>
        <v>0</v>
      </c>
      <c r="Z909" s="55" t="s">
        <v>31</v>
      </c>
      <c r="AA909" s="3"/>
      <c r="AB909" s="3"/>
      <c r="AC909" s="106"/>
      <c r="AD909" s="106"/>
      <c r="AE909" s="106"/>
      <c r="AF909" s="106"/>
      <c r="AG909" s="106"/>
      <c r="AH909" s="106"/>
      <c r="AI909" s="237"/>
      <c r="AQ909" s="20"/>
      <c r="AR909" s="20"/>
      <c r="AS909" s="20"/>
      <c r="AT909" s="20"/>
      <c r="AU909" s="20"/>
      <c r="AV909" s="20"/>
    </row>
    <row r="910" spans="1:48">
      <c r="A910" s="309" t="s">
        <v>403</v>
      </c>
      <c r="B910" s="1"/>
      <c r="C910" s="319">
        <f t="shared" si="231"/>
        <v>1561051.3030303041</v>
      </c>
      <c r="D910" s="337"/>
      <c r="E910" s="337"/>
      <c r="F910" s="2">
        <f>F929+F1098</f>
        <v>10975647</v>
      </c>
      <c r="G910" s="337"/>
      <c r="H910" s="321"/>
      <c r="I910" s="2">
        <f>I929+I1098</f>
        <v>11622887</v>
      </c>
      <c r="J910" s="337"/>
      <c r="K910" s="321"/>
      <c r="L910" s="2">
        <f ca="1">L929+L1098</f>
        <v>13052432</v>
      </c>
      <c r="M910" s="2"/>
      <c r="N910" s="337"/>
      <c r="O910" s="321"/>
      <c r="P910" s="2">
        <f ca="1">P929+P1098</f>
        <v>1835249.2226843834</v>
      </c>
      <c r="Q910" s="2"/>
      <c r="R910" s="337"/>
      <c r="S910" s="321"/>
      <c r="T910" s="2">
        <f ca="1">T929+T1098</f>
        <v>2222754.7920219256</v>
      </c>
      <c r="U910" s="2"/>
      <c r="V910" s="337"/>
      <c r="W910" s="321"/>
      <c r="X910" s="2">
        <f ca="1">X929+X1098</f>
        <v>8994427.985293692</v>
      </c>
      <c r="Z910" s="55" t="s">
        <v>31</v>
      </c>
      <c r="AA910" s="3"/>
      <c r="AB910" s="3"/>
      <c r="AC910" s="106"/>
      <c r="AD910" s="106"/>
      <c r="AE910" s="106"/>
      <c r="AF910" s="106"/>
      <c r="AG910" s="106"/>
      <c r="AH910" s="106"/>
      <c r="AI910" s="237"/>
      <c r="AQ910" s="20"/>
      <c r="AR910" s="20"/>
      <c r="AS910" s="20"/>
      <c r="AT910" s="20"/>
      <c r="AU910" s="20"/>
      <c r="AV910" s="20"/>
    </row>
    <row r="911" spans="1:48">
      <c r="A911" s="323" t="s">
        <v>426</v>
      </c>
      <c r="B911" s="1"/>
      <c r="C911" s="319"/>
      <c r="D911" s="337"/>
      <c r="E911" s="337"/>
      <c r="F911" s="2"/>
      <c r="G911" s="337"/>
      <c r="H911" s="321"/>
      <c r="I911" s="2"/>
      <c r="J911" s="337"/>
      <c r="K911" s="321"/>
      <c r="L911" s="2"/>
      <c r="M911" s="2"/>
      <c r="N911" s="337"/>
      <c r="O911" s="321"/>
      <c r="P911" s="2"/>
      <c r="Q911" s="2"/>
      <c r="R911" s="337"/>
      <c r="S911" s="321"/>
      <c r="T911" s="2"/>
      <c r="U911" s="2"/>
      <c r="V911" s="337"/>
      <c r="W911" s="321"/>
      <c r="X911" s="2"/>
      <c r="Z911" s="320"/>
      <c r="AL911" s="20"/>
      <c r="AM911" s="20"/>
      <c r="AN911" s="20"/>
      <c r="AO911" s="20"/>
      <c r="AP911" s="20"/>
      <c r="AQ911" s="20"/>
      <c r="AR911" s="20"/>
      <c r="AS911" s="20"/>
    </row>
    <row r="912" spans="1:48">
      <c r="A912" s="323" t="s">
        <v>464</v>
      </c>
      <c r="B912" s="1"/>
      <c r="C912" s="319">
        <f>C931+C1100</f>
        <v>846205772.82823956</v>
      </c>
      <c r="D912" s="992"/>
      <c r="E912" s="321"/>
      <c r="F912" s="2">
        <f>F931+F1100</f>
        <v>35623151</v>
      </c>
      <c r="G912" s="992"/>
      <c r="H912" s="321"/>
      <c r="I912" s="2">
        <f>I931+I1100</f>
        <v>37776458</v>
      </c>
      <c r="J912" s="395"/>
      <c r="K912" s="321"/>
      <c r="L912" s="2">
        <f ca="1">L931+L1100</f>
        <v>16827705</v>
      </c>
      <c r="M912" s="2"/>
      <c r="N912" s="395"/>
      <c r="O912" s="321"/>
      <c r="P912" s="2">
        <f>P931+P1100</f>
        <v>0</v>
      </c>
      <c r="Q912" s="2"/>
      <c r="R912" s="395"/>
      <c r="S912" s="321"/>
      <c r="T912" s="2">
        <f ca="1">T931+T1100</f>
        <v>8299313.8948233891</v>
      </c>
      <c r="U912" s="2"/>
      <c r="V912" s="395"/>
      <c r="W912" s="321"/>
      <c r="X912" s="2">
        <f ca="1">X931+X1100</f>
        <v>8528391.105176609</v>
      </c>
      <c r="Z912" s="55" t="s">
        <v>31</v>
      </c>
      <c r="AL912" s="20"/>
      <c r="AM912" s="20"/>
      <c r="AN912" s="20"/>
      <c r="AO912" s="20"/>
      <c r="AP912" s="20"/>
      <c r="AQ912" s="20"/>
      <c r="AR912" s="20"/>
      <c r="AS912" s="20"/>
    </row>
    <row r="913" spans="1:47">
      <c r="A913" s="323" t="s">
        <v>400</v>
      </c>
      <c r="B913" s="1"/>
      <c r="C913" s="319">
        <f>C932+C1101</f>
        <v>365869.4545454543</v>
      </c>
      <c r="D913" s="337"/>
      <c r="E913" s="321"/>
      <c r="F913" s="2">
        <f>F932+F1101</f>
        <v>197389</v>
      </c>
      <c r="G913" s="337"/>
      <c r="H913" s="321"/>
      <c r="I913" s="2">
        <f>I932+I1101</f>
        <v>197389</v>
      </c>
      <c r="J913" s="337"/>
      <c r="K913" s="321"/>
      <c r="L913" s="2">
        <f>L932+L1101</f>
        <v>197389</v>
      </c>
      <c r="M913" s="2"/>
      <c r="N913" s="337"/>
      <c r="O913" s="321"/>
      <c r="P913" s="2">
        <f>P932+P1101</f>
        <v>0</v>
      </c>
      <c r="Q913" s="2"/>
      <c r="R913" s="337"/>
      <c r="S913" s="321"/>
      <c r="T913" s="2">
        <f ca="1">T932+T1101</f>
        <v>39112.4774124779</v>
      </c>
      <c r="U913" s="2"/>
      <c r="V913" s="337"/>
      <c r="W913" s="321"/>
      <c r="X913" s="2">
        <f ca="1">X932+X1101</f>
        <v>158276.52258752211</v>
      </c>
      <c r="Y913" s="320"/>
      <c r="Z913" s="55" t="s">
        <v>31</v>
      </c>
      <c r="AL913" s="20"/>
      <c r="AM913" s="20"/>
      <c r="AN913" s="20"/>
      <c r="AO913" s="20"/>
      <c r="AP913" s="20"/>
      <c r="AQ913" s="20"/>
      <c r="AR913" s="20"/>
      <c r="AS913" s="20"/>
    </row>
    <row r="914" spans="1:47" s="1184" customFormat="1">
      <c r="A914" s="1005" t="s">
        <v>1035</v>
      </c>
      <c r="C914" s="1026">
        <f>C934+C1117</f>
        <v>390931772.82823956</v>
      </c>
      <c r="D914" s="269"/>
      <c r="E914" s="1185"/>
      <c r="F914" s="1203"/>
      <c r="G914" s="269"/>
      <c r="H914" s="1185"/>
      <c r="I914" s="1203"/>
      <c r="J914" s="265"/>
      <c r="K914" s="1185"/>
      <c r="L914" s="1203">
        <f ca="1">L934+L1117</f>
        <v>29276382</v>
      </c>
      <c r="M914" s="1203"/>
      <c r="N914" s="265"/>
      <c r="O914" s="1185"/>
      <c r="P914" s="1203">
        <f ca="1">P934+P1117</f>
        <v>3211050.8293612809</v>
      </c>
      <c r="Q914" s="1203"/>
      <c r="R914" s="265"/>
      <c r="S914" s="1185"/>
      <c r="T914" s="1203">
        <f ca="1">T934+T1117</f>
        <v>5166283.6557451254</v>
      </c>
      <c r="U914" s="1203"/>
      <c r="V914" s="265"/>
      <c r="W914" s="1185"/>
      <c r="X914" s="1203">
        <f ca="1">X934+X1117</f>
        <v>20899047.514893595</v>
      </c>
      <c r="Z914" s="815"/>
      <c r="AC914" s="1205"/>
      <c r="AD914" s="1205"/>
      <c r="AI914" s="1185"/>
      <c r="AJ914" s="1185"/>
      <c r="AK914" s="1185"/>
      <c r="AL914" s="1185"/>
      <c r="AM914" s="1185"/>
      <c r="AN914" s="1185"/>
      <c r="AO914" s="1185"/>
      <c r="AP914" s="1185"/>
      <c r="AQ914" s="1185"/>
      <c r="AR914" s="1185"/>
      <c r="AS914" s="1185"/>
      <c r="AU914" s="1204"/>
    </row>
    <row r="915" spans="1:47">
      <c r="A915" s="1" t="s">
        <v>381</v>
      </c>
      <c r="B915" s="1"/>
      <c r="C915" s="319">
        <f>C934+C1104</f>
        <v>846205772.82823956</v>
      </c>
      <c r="D915" s="324"/>
      <c r="E915" s="2"/>
      <c r="F915" s="2">
        <f>F934+F1104</f>
        <v>49035844</v>
      </c>
      <c r="G915" s="324"/>
      <c r="H915" s="1"/>
      <c r="I915" s="2">
        <f>I934+I1104</f>
        <v>51836391</v>
      </c>
      <c r="J915" s="2"/>
      <c r="K915" s="1"/>
      <c r="L915" s="2">
        <f ca="1">L934+L1104</f>
        <v>57526097</v>
      </c>
      <c r="M915" s="2"/>
      <c r="N915" s="2"/>
      <c r="O915" s="1"/>
      <c r="P915" s="2">
        <f ca="1">P934+P1104</f>
        <v>4226394.2226843834</v>
      </c>
      <c r="Q915" s="2"/>
      <c r="R915" s="2"/>
      <c r="S915" s="1"/>
      <c r="T915" s="2">
        <f ca="1">T934+T1104</f>
        <v>10561181.164257793</v>
      </c>
      <c r="U915" s="2"/>
      <c r="V915" s="2"/>
      <c r="W915" s="1"/>
      <c r="X915" s="2">
        <f ca="1">X934+X1104</f>
        <v>42738521.613057822</v>
      </c>
      <c r="AL915" s="20"/>
      <c r="AM915" s="20"/>
      <c r="AN915" s="20"/>
      <c r="AO915" s="20"/>
      <c r="AP915" s="20"/>
      <c r="AQ915" s="20"/>
      <c r="AR915" s="20"/>
      <c r="AS915" s="20"/>
    </row>
    <row r="916" spans="1:47">
      <c r="A916" s="1" t="s">
        <v>363</v>
      </c>
      <c r="B916" s="1"/>
      <c r="C916" s="340">
        <f ca="1">C935+C1105</f>
        <v>-11321735.570943061</v>
      </c>
      <c r="D916" s="309"/>
      <c r="E916" s="309"/>
      <c r="F916" s="764">
        <f ca="1">I916</f>
        <v>-860116.38955672784</v>
      </c>
      <c r="G916" s="309"/>
      <c r="H916" s="309"/>
      <c r="I916" s="764">
        <f ca="1">I935+I1105</f>
        <v>-860116.38955672784</v>
      </c>
      <c r="J916" s="309"/>
      <c r="K916" s="309"/>
      <c r="L916" s="764">
        <f ca="1">L935+L1105</f>
        <v>-860116.38955672784</v>
      </c>
      <c r="M916" s="51"/>
      <c r="N916" s="309"/>
      <c r="O916" s="309"/>
      <c r="P916" s="764">
        <f ca="1">P935+P1105</f>
        <v>-55597.249040667724</v>
      </c>
      <c r="Q916" s="51"/>
      <c r="R916" s="309"/>
      <c r="S916" s="309"/>
      <c r="T916" s="764">
        <f ca="1">T935+T1105</f>
        <v>-159402.28236072973</v>
      </c>
      <c r="U916" s="51"/>
      <c r="V916" s="309"/>
      <c r="W916" s="309"/>
      <c r="X916" s="764">
        <f ca="1">X935+X1105</f>
        <v>-645116.85815533041</v>
      </c>
      <c r="AC916" s="276"/>
      <c r="AD916" s="276"/>
      <c r="AL916" s="20"/>
      <c r="AM916" s="20"/>
      <c r="AN916" s="20"/>
      <c r="AO916" s="20"/>
      <c r="AP916" s="20"/>
      <c r="AQ916" s="20"/>
      <c r="AR916" s="20"/>
      <c r="AS916" s="20"/>
    </row>
    <row r="917" spans="1:47" ht="16.5" thickBot="1">
      <c r="A917" s="1" t="s">
        <v>382</v>
      </c>
      <c r="B917" s="1"/>
      <c r="C917" s="767">
        <f ca="1">SUM(C915:C916)</f>
        <v>834884037.25729644</v>
      </c>
      <c r="D917" s="342"/>
      <c r="E917" s="343"/>
      <c r="F917" s="765">
        <f ca="1">F915+F916</f>
        <v>48175727.610443272</v>
      </c>
      <c r="G917" s="342"/>
      <c r="H917" s="345"/>
      <c r="I917" s="765">
        <f ca="1">I915+I916</f>
        <v>50976274.610443272</v>
      </c>
      <c r="J917" s="342"/>
      <c r="K917" s="345"/>
      <c r="L917" s="765">
        <f ca="1">L915+L916</f>
        <v>56665980.610443272</v>
      </c>
      <c r="M917" s="51"/>
      <c r="N917" s="342"/>
      <c r="O917" s="345"/>
      <c r="P917" s="765">
        <f ca="1">P915+P916</f>
        <v>4170796.9736437155</v>
      </c>
      <c r="Q917" s="51"/>
      <c r="R917" s="342"/>
      <c r="S917" s="345"/>
      <c r="T917" s="765">
        <f ca="1">T915+T916</f>
        <v>10401778.881897064</v>
      </c>
      <c r="U917" s="51"/>
      <c r="V917" s="342"/>
      <c r="W917" s="345"/>
      <c r="X917" s="765">
        <f ca="1">X915+X916</f>
        <v>42093404.754902489</v>
      </c>
      <c r="Y917" s="784" t="s">
        <v>364</v>
      </c>
      <c r="Z917" s="809">
        <f ca="1">('Rate Spread targets'!Q26+'Rate Spread targets'!Q27+'Rate Spread targets'!Q28)*1000</f>
        <v>56990563.497648761</v>
      </c>
      <c r="AA917" s="818">
        <f ca="1">'Rate Spread targets'!V27</f>
        <v>0.11161184241398937</v>
      </c>
      <c r="AB917" s="777"/>
      <c r="AL917" s="20"/>
      <c r="AM917" s="20"/>
      <c r="AN917" s="20"/>
      <c r="AO917" s="20"/>
      <c r="AP917" s="20"/>
      <c r="AQ917" s="20"/>
      <c r="AR917" s="20"/>
      <c r="AS917" s="20"/>
    </row>
    <row r="918" spans="1:47" ht="16.5" thickTop="1">
      <c r="A918" s="1"/>
      <c r="B918" s="1"/>
      <c r="C918" s="21"/>
      <c r="D918" s="337" t="s">
        <v>31</v>
      </c>
      <c r="E918" s="2"/>
      <c r="F918" s="2"/>
      <c r="G918" s="337" t="s">
        <v>31</v>
      </c>
      <c r="H918" s="1"/>
      <c r="I918" s="2"/>
      <c r="J918" s="353" t="s">
        <v>31</v>
      </c>
      <c r="K918" s="1"/>
      <c r="L918" s="2" t="s">
        <v>31</v>
      </c>
      <c r="M918" s="2"/>
      <c r="N918" s="353" t="s">
        <v>31</v>
      </c>
      <c r="O918" s="1"/>
      <c r="P918" s="2" t="s">
        <v>31</v>
      </c>
      <c r="Q918" s="2"/>
      <c r="R918" s="353" t="s">
        <v>31</v>
      </c>
      <c r="S918" s="1"/>
      <c r="T918" s="2" t="s">
        <v>31</v>
      </c>
      <c r="U918" s="2"/>
      <c r="V918" s="353" t="s">
        <v>31</v>
      </c>
      <c r="W918" s="1"/>
      <c r="X918" s="2" t="s">
        <v>31</v>
      </c>
      <c r="Y918" s="112" t="s">
        <v>263</v>
      </c>
      <c r="Z918" s="811">
        <f ca="1">Z917-L917-L899</f>
        <v>-282.12559729756322</v>
      </c>
      <c r="AA918" s="814" t="s">
        <v>31</v>
      </c>
      <c r="AB918" s="825"/>
      <c r="AL918" s="20"/>
      <c r="AM918" s="20"/>
      <c r="AN918" s="20"/>
      <c r="AO918" s="20"/>
      <c r="AP918" s="20"/>
      <c r="AQ918" s="20"/>
      <c r="AR918" s="20"/>
      <c r="AS918" s="20"/>
    </row>
    <row r="919" spans="1:47">
      <c r="A919" s="1"/>
      <c r="B919" s="1"/>
      <c r="C919" s="21"/>
      <c r="D919" s="337"/>
      <c r="E919" s="2"/>
      <c r="F919" s="2"/>
      <c r="G919" s="337"/>
      <c r="H919" s="1"/>
      <c r="I919" s="2" t="s">
        <v>31</v>
      </c>
      <c r="J919" s="337"/>
      <c r="K919" s="1"/>
      <c r="L919" s="380"/>
      <c r="M919" s="380"/>
      <c r="N919" s="337"/>
      <c r="O919" s="1"/>
      <c r="P919" s="380"/>
      <c r="Q919" s="380"/>
      <c r="R919" s="337"/>
      <c r="S919" s="1"/>
      <c r="T919" s="380"/>
      <c r="U919" s="380"/>
      <c r="V919" s="337"/>
      <c r="W919" s="1"/>
      <c r="X919" s="380"/>
      <c r="AA919" s="74"/>
      <c r="AB919" s="74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</row>
    <row r="920" spans="1:47">
      <c r="A920" s="293" t="s">
        <v>476</v>
      </c>
      <c r="B920" s="1"/>
      <c r="C920" s="1"/>
      <c r="D920" s="2"/>
      <c r="E920" s="2"/>
      <c r="F920" s="1"/>
      <c r="G920" s="2"/>
      <c r="H920" s="1"/>
      <c r="I920" s="1"/>
      <c r="J920" s="2"/>
      <c r="K920" s="1"/>
      <c r="L920" s="1"/>
      <c r="M920" s="1"/>
      <c r="N920" s="2"/>
      <c r="O920" s="1"/>
      <c r="P920" s="1"/>
      <c r="Q920" s="1"/>
      <c r="R920" s="2"/>
      <c r="S920" s="1"/>
      <c r="T920" s="1"/>
      <c r="U920" s="1"/>
      <c r="V920" s="2"/>
      <c r="W920" s="1"/>
      <c r="X920" s="1"/>
      <c r="Y920" s="416"/>
      <c r="Z920" s="74"/>
      <c r="AA920" s="74"/>
      <c r="AB920" s="74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</row>
    <row r="921" spans="1:47">
      <c r="A921" s="309" t="s">
        <v>478</v>
      </c>
      <c r="B921" s="1"/>
      <c r="C921" s="1"/>
      <c r="D921" s="2"/>
      <c r="E921" s="2"/>
      <c r="F921" s="1"/>
      <c r="G921" s="2"/>
      <c r="H921" s="1"/>
      <c r="I921" s="1"/>
      <c r="J921" s="2"/>
      <c r="K921" s="1"/>
      <c r="L921" s="1"/>
      <c r="M921" s="1"/>
      <c r="N921" s="2"/>
      <c r="O921" s="1"/>
      <c r="P921" s="1"/>
      <c r="Q921" s="1"/>
      <c r="R921" s="2"/>
      <c r="S921" s="1"/>
      <c r="T921" s="1"/>
      <c r="U921" s="1"/>
      <c r="V921" s="2"/>
      <c r="W921" s="1"/>
      <c r="X921" s="1"/>
      <c r="Y921" s="20"/>
      <c r="AA921" s="74"/>
      <c r="AB921" s="74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</row>
    <row r="922" spans="1:47">
      <c r="A922" s="323"/>
      <c r="B922" s="1"/>
      <c r="C922" s="1"/>
      <c r="D922" s="2"/>
      <c r="E922" s="2"/>
      <c r="F922" s="1"/>
      <c r="G922" s="2"/>
      <c r="H922" s="1"/>
      <c r="I922" s="1"/>
      <c r="J922" s="2"/>
      <c r="K922" s="1"/>
      <c r="L922" s="1"/>
      <c r="M922" s="1"/>
      <c r="N922" s="2"/>
      <c r="O922" s="1"/>
      <c r="P922" s="1"/>
      <c r="Q922" s="1"/>
      <c r="R922" s="2"/>
      <c r="S922" s="1"/>
      <c r="T922" s="1"/>
      <c r="U922" s="1"/>
      <c r="V922" s="2"/>
      <c r="W922" s="1"/>
      <c r="X922" s="1"/>
      <c r="Y922" s="20"/>
      <c r="Z922" s="74"/>
      <c r="AA922" s="74"/>
      <c r="AB922" s="74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</row>
    <row r="923" spans="1:47">
      <c r="A923" s="323" t="s">
        <v>393</v>
      </c>
      <c r="B923" s="1"/>
      <c r="C923" s="319"/>
      <c r="D923" s="2"/>
      <c r="E923" s="2"/>
      <c r="F923" s="1"/>
      <c r="G923" s="2"/>
      <c r="H923" s="1"/>
      <c r="I923" s="1"/>
      <c r="J923" s="2"/>
      <c r="K923" s="1"/>
      <c r="L923" s="1"/>
      <c r="M923" s="1"/>
      <c r="N923" s="2"/>
      <c r="O923" s="1"/>
      <c r="P923" s="1"/>
      <c r="Q923" s="1"/>
      <c r="R923" s="2"/>
      <c r="S923" s="1"/>
      <c r="T923" s="1"/>
      <c r="U923" s="1"/>
      <c r="V923" s="2"/>
      <c r="W923" s="1"/>
      <c r="X923" s="1"/>
      <c r="AA923" s="20"/>
      <c r="AB923" s="20"/>
      <c r="AC923" s="69" t="s">
        <v>31</v>
      </c>
      <c r="AK923" s="19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</row>
    <row r="924" spans="1:47">
      <c r="A924" s="323" t="s">
        <v>471</v>
      </c>
      <c r="B924" s="1"/>
      <c r="C924" s="319">
        <f>C942+C999</f>
        <v>732.15151515151501</v>
      </c>
      <c r="D924" s="413"/>
      <c r="E924" s="337"/>
      <c r="F924" s="2">
        <f>F1056+F1075</f>
        <v>1019061</v>
      </c>
      <c r="G924" s="413"/>
      <c r="H924" s="321"/>
      <c r="I924" s="321">
        <f>I942+I999</f>
        <v>1019061</v>
      </c>
      <c r="K924" s="321"/>
      <c r="L924" s="321">
        <f>L942+L999</f>
        <v>1019061</v>
      </c>
      <c r="M924" s="2"/>
      <c r="O924" s="321"/>
      <c r="P924" s="321">
        <f>P942+P999</f>
        <v>1019061</v>
      </c>
      <c r="Q924" s="2"/>
      <c r="S924" s="321"/>
      <c r="T924" s="321">
        <f>T942+T999</f>
        <v>0</v>
      </c>
      <c r="U924" s="2"/>
      <c r="W924" s="321"/>
      <c r="X924" s="321">
        <f>X942+X999</f>
        <v>0</v>
      </c>
      <c r="Z924" s="337">
        <f>J962</f>
        <v>1386</v>
      </c>
      <c r="AA924" s="14">
        <f>(Z924-G942)/G942</f>
        <v>0</v>
      </c>
      <c r="AB924" s="14"/>
      <c r="AE924" s="106"/>
      <c r="AF924" s="237"/>
      <c r="AG924" s="106"/>
      <c r="AH924" s="237"/>
      <c r="AI924" s="106"/>
      <c r="AJ924" s="106"/>
      <c r="AK924" s="735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</row>
    <row r="925" spans="1:47">
      <c r="A925" s="323" t="s">
        <v>472</v>
      </c>
      <c r="B925" s="1"/>
      <c r="C925" s="319">
        <f>C943+C1000</f>
        <v>0</v>
      </c>
      <c r="D925" s="413"/>
      <c r="E925" s="337"/>
      <c r="F925" s="2">
        <f>F1057+F1076</f>
        <v>0</v>
      </c>
      <c r="G925" s="413"/>
      <c r="H925" s="324"/>
      <c r="I925" s="321">
        <f>I943+I1000</f>
        <v>0</v>
      </c>
      <c r="K925" s="324"/>
      <c r="L925" s="321">
        <f>L943+L1000</f>
        <v>0</v>
      </c>
      <c r="M925" s="2"/>
      <c r="O925" s="324"/>
      <c r="P925" s="321">
        <f>P943+P1000</f>
        <v>0</v>
      </c>
      <c r="Q925" s="2"/>
      <c r="S925" s="324"/>
      <c r="T925" s="321">
        <f>T943+T1000</f>
        <v>0</v>
      </c>
      <c r="U925" s="2"/>
      <c r="W925" s="324"/>
      <c r="X925" s="321">
        <f>X943+X1000</f>
        <v>0</v>
      </c>
      <c r="Z925" s="337">
        <f>J963</f>
        <v>1675</v>
      </c>
      <c r="AA925" s="14">
        <f>(Z925-G943)/G943</f>
        <v>0</v>
      </c>
      <c r="AB925" s="14"/>
      <c r="AE925" s="106"/>
      <c r="AF925" s="237"/>
      <c r="AG925" s="106"/>
      <c r="AH925" s="237"/>
      <c r="AI925" s="106"/>
      <c r="AJ925" s="106"/>
      <c r="AK925" s="735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</row>
    <row r="926" spans="1:47">
      <c r="A926" s="323" t="s">
        <v>394</v>
      </c>
      <c r="B926" s="1"/>
      <c r="C926" s="319">
        <f t="shared" ref="C926" si="232">C1058+C1077</f>
        <v>732.15151515151501</v>
      </c>
      <c r="D926" s="413"/>
      <c r="E926" s="337"/>
      <c r="F926" s="2"/>
      <c r="G926" s="413"/>
      <c r="H926" s="321"/>
      <c r="I926" s="321">
        <f t="shared" ref="I926" si="233">I1058+I1077</f>
        <v>0</v>
      </c>
      <c r="K926" s="321"/>
      <c r="L926" s="321">
        <f t="shared" ref="L926" si="234">L1058+L1077</f>
        <v>0</v>
      </c>
      <c r="M926" s="2"/>
      <c r="O926" s="321"/>
      <c r="P926" s="321">
        <f t="shared" ref="P926" si="235">P1058+P1077</f>
        <v>0</v>
      </c>
      <c r="Q926" s="2"/>
      <c r="S926" s="321"/>
      <c r="T926" s="321">
        <f t="shared" ref="T926" si="236">T1058+T1077</f>
        <v>0</v>
      </c>
      <c r="U926" s="2"/>
      <c r="W926" s="321"/>
      <c r="X926" s="321">
        <f t="shared" ref="X926" si="237">X1058+X1077</f>
        <v>0</v>
      </c>
      <c r="Z926" s="337" t="s">
        <v>31</v>
      </c>
      <c r="AA926" s="320"/>
      <c r="AB926" s="320"/>
      <c r="AE926" s="106"/>
      <c r="AF926" s="237"/>
      <c r="AG926" s="106"/>
      <c r="AH926" s="237"/>
      <c r="AI926" s="106"/>
      <c r="AJ926" s="106"/>
      <c r="AK926" s="735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</row>
    <row r="927" spans="1:47">
      <c r="A927" s="323" t="s">
        <v>473</v>
      </c>
      <c r="B927" s="1"/>
      <c r="C927" s="319">
        <f>C945+C1002</f>
        <v>1083307.8484848479</v>
      </c>
      <c r="D927" s="413"/>
      <c r="E927" s="337"/>
      <c r="F927" s="2">
        <f>F1059+F1078</f>
        <v>1030814</v>
      </c>
      <c r="G927" s="413"/>
      <c r="H927" s="321"/>
      <c r="I927" s="321">
        <f>I945+I1002</f>
        <v>1030814</v>
      </c>
      <c r="K927" s="321"/>
      <c r="L927" s="321">
        <f ca="1">L945+L1002</f>
        <v>1151944</v>
      </c>
      <c r="M927" s="2"/>
      <c r="O927" s="321"/>
      <c r="P927" s="321">
        <f ca="1">P945+P1002</f>
        <v>1151944</v>
      </c>
      <c r="Q927" s="2"/>
      <c r="S927" s="321"/>
      <c r="T927" s="321">
        <f>T945+T1002</f>
        <v>0</v>
      </c>
      <c r="U927" s="2"/>
      <c r="W927" s="321"/>
      <c r="X927" s="321">
        <f>X945+X1002</f>
        <v>0</v>
      </c>
      <c r="Z927" s="337">
        <f ca="1">J965</f>
        <v>1.18</v>
      </c>
      <c r="AA927" s="14">
        <f ca="1">(Z927-G945)/G945</f>
        <v>0.11320754716981121</v>
      </c>
      <c r="AB927" s="14"/>
      <c r="AE927" s="106"/>
      <c r="AF927" s="237"/>
      <c r="AG927" s="106"/>
      <c r="AH927" s="237"/>
      <c r="AI927" s="106"/>
      <c r="AJ927" s="106"/>
      <c r="AK927" s="735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</row>
    <row r="928" spans="1:47">
      <c r="A928" s="323" t="s">
        <v>474</v>
      </c>
      <c r="B928" s="1"/>
      <c r="C928" s="319">
        <f>C946+C1003</f>
        <v>0</v>
      </c>
      <c r="D928" s="413"/>
      <c r="E928" s="337"/>
      <c r="F928" s="2">
        <f>F1060+F1079</f>
        <v>0</v>
      </c>
      <c r="G928" s="413"/>
      <c r="H928" s="321"/>
      <c r="I928" s="321">
        <f>I946+I1003</f>
        <v>0</v>
      </c>
      <c r="K928" s="321"/>
      <c r="L928" s="321">
        <f ca="1">L946+L1003</f>
        <v>0</v>
      </c>
      <c r="M928" s="2"/>
      <c r="O928" s="321"/>
      <c r="P928" s="321">
        <f ca="1">P946+P1003</f>
        <v>0</v>
      </c>
      <c r="Q928" s="2"/>
      <c r="S928" s="321"/>
      <c r="T928" s="321">
        <f>T946+T1003</f>
        <v>0</v>
      </c>
      <c r="U928" s="2"/>
      <c r="W928" s="321"/>
      <c r="X928" s="321">
        <f>X946+X1003</f>
        <v>0</v>
      </c>
      <c r="Z928" s="337">
        <f ca="1">J966</f>
        <v>1.07</v>
      </c>
      <c r="AA928" s="14">
        <f ca="1">(Z928-G946)/G946</f>
        <v>0.11458333333333344</v>
      </c>
      <c r="AB928" s="14"/>
      <c r="AE928" s="106"/>
      <c r="AF928" s="237"/>
      <c r="AG928" s="106"/>
      <c r="AH928" s="237"/>
      <c r="AI928" s="106"/>
      <c r="AJ928" s="106"/>
      <c r="AK928" s="735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</row>
    <row r="929" spans="1:47">
      <c r="A929" s="309" t="s">
        <v>403</v>
      </c>
      <c r="B929" s="1"/>
      <c r="C929" s="319">
        <f>C947+C1004</f>
        <v>879355.30303030403</v>
      </c>
      <c r="D929" s="323"/>
      <c r="E929" s="319">
        <f>E1061+E1080</f>
        <v>0</v>
      </c>
      <c r="F929" s="319">
        <f>F1061+F1080</f>
        <v>6237860</v>
      </c>
      <c r="G929" s="413"/>
      <c r="H929" s="321"/>
      <c r="I929" s="321">
        <f>I947+I1004</f>
        <v>6612421</v>
      </c>
      <c r="K929" s="321"/>
      <c r="L929" s="321">
        <f ca="1">L947+L1004</f>
        <v>7428440</v>
      </c>
      <c r="M929" s="2"/>
      <c r="O929" s="321"/>
      <c r="P929" s="321">
        <f ca="1">P947+P1004</f>
        <v>1040045.8293612811</v>
      </c>
      <c r="Q929" s="2"/>
      <c r="S929" s="321"/>
      <c r="T929" s="321">
        <f ca="1">T947+T1004</f>
        <v>1266212.8163330569</v>
      </c>
      <c r="U929" s="2"/>
      <c r="W929" s="321"/>
      <c r="X929" s="321">
        <f ca="1">X947+X1004</f>
        <v>5122181.3543056622</v>
      </c>
      <c r="Z929" s="337">
        <f ca="1">J967</f>
        <v>8.48</v>
      </c>
      <c r="AA929" s="14">
        <f ca="1">(Z929-G947)/G947</f>
        <v>0.12317880794701995</v>
      </c>
      <c r="AB929" s="14"/>
      <c r="AD929" s="74"/>
      <c r="AE929" s="739"/>
      <c r="AF929" s="735"/>
      <c r="AG929" s="739"/>
      <c r="AH929" s="735"/>
      <c r="AI929" s="739"/>
      <c r="AJ929" s="74"/>
      <c r="AK929" s="735"/>
      <c r="AL929" s="20"/>
      <c r="AM929" s="20"/>
      <c r="AN929" s="20"/>
      <c r="AO929" s="20"/>
      <c r="AP929" s="20"/>
      <c r="AQ929" s="20"/>
      <c r="AR929" s="20"/>
      <c r="AS929" s="20"/>
    </row>
    <row r="930" spans="1:47">
      <c r="A930" s="323" t="s">
        <v>426</v>
      </c>
      <c r="B930" s="1"/>
      <c r="C930" s="64" t="s">
        <v>31</v>
      </c>
      <c r="D930" s="413"/>
      <c r="E930" s="337"/>
      <c r="F930" s="2"/>
      <c r="G930" s="413"/>
      <c r="H930" s="321"/>
      <c r="I930" s="883" t="s">
        <v>31</v>
      </c>
      <c r="K930" s="321"/>
      <c r="L930" s="883" t="s">
        <v>31</v>
      </c>
      <c r="M930" s="2"/>
      <c r="O930" s="321"/>
      <c r="P930" s="883" t="s">
        <v>31</v>
      </c>
      <c r="Q930" s="2"/>
      <c r="S930" s="321"/>
      <c r="T930" s="883" t="s">
        <v>31</v>
      </c>
      <c r="U930" s="2"/>
      <c r="W930" s="321"/>
      <c r="X930" s="883" t="s">
        <v>31</v>
      </c>
      <c r="Z930" s="337" t="s">
        <v>31</v>
      </c>
      <c r="AA930" s="320"/>
      <c r="AB930" s="320"/>
      <c r="AD930" s="74"/>
      <c r="AE930" s="20"/>
      <c r="AF930" s="20"/>
      <c r="AG930" s="416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</row>
    <row r="931" spans="1:47">
      <c r="A931" s="323" t="s">
        <v>464</v>
      </c>
      <c r="B931" s="1"/>
      <c r="C931" s="319">
        <f>C949+C1006</f>
        <v>390931772.82823956</v>
      </c>
      <c r="D931" s="413"/>
      <c r="E931" s="321"/>
      <c r="F931" s="2">
        <f>F1063+F1082</f>
        <v>16560829</v>
      </c>
      <c r="G931" s="413"/>
      <c r="H931" s="321"/>
      <c r="I931" s="321">
        <f>I949+I1006</f>
        <v>17607820</v>
      </c>
      <c r="K931" s="321"/>
      <c r="L931" s="321">
        <f ca="1">L949+L1006</f>
        <v>7685803</v>
      </c>
      <c r="M931" s="2"/>
      <c r="O931" s="321"/>
      <c r="P931" s="321">
        <f>P949+P1006</f>
        <v>0</v>
      </c>
      <c r="Q931" s="2"/>
      <c r="S931" s="321"/>
      <c r="T931" s="321">
        <f ca="1">T949+T1006</f>
        <v>3880204.3378129657</v>
      </c>
      <c r="U931" s="2"/>
      <c r="W931" s="321"/>
      <c r="X931" s="321">
        <f ca="1">X949+X1006</f>
        <v>3805598.6621870347</v>
      </c>
      <c r="Z931" s="808" t="s">
        <v>31</v>
      </c>
      <c r="AA931" s="55" t="s">
        <v>31</v>
      </c>
      <c r="AB931" s="14"/>
      <c r="AD931" s="74"/>
      <c r="AE931" s="20"/>
      <c r="AF931" s="20"/>
      <c r="AG931" s="739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</row>
    <row r="932" spans="1:47">
      <c r="A932" s="323" t="s">
        <v>400</v>
      </c>
      <c r="B932" s="1"/>
      <c r="C932" s="319">
        <f>C950+C1007</f>
        <v>182554.4545454543</v>
      </c>
      <c r="D932" s="413"/>
      <c r="E932" s="321"/>
      <c r="F932" s="2">
        <f>F1064+F1083</f>
        <v>100232</v>
      </c>
      <c r="G932" s="413"/>
      <c r="H932" s="321"/>
      <c r="I932" s="321">
        <f>I950+I1007</f>
        <v>100232</v>
      </c>
      <c r="K932" s="321"/>
      <c r="L932" s="321">
        <f>L950+L1007</f>
        <v>100232</v>
      </c>
      <c r="M932" s="2"/>
      <c r="O932" s="321"/>
      <c r="P932" s="321">
        <f>P950+P1007</f>
        <v>0</v>
      </c>
      <c r="Q932" s="2"/>
      <c r="S932" s="321"/>
      <c r="T932" s="321">
        <f ca="1">T950+T1007</f>
        <v>19866.501599103089</v>
      </c>
      <c r="U932" s="2"/>
      <c r="W932" s="321"/>
      <c r="X932" s="321">
        <f ca="1">X950+X1007</f>
        <v>80365.498400896904</v>
      </c>
      <c r="Z932" s="337">
        <f>J950</f>
        <v>0.55000000000000004</v>
      </c>
      <c r="AA932" s="14">
        <f>(Z932-G950)/G950</f>
        <v>0</v>
      </c>
      <c r="AB932" s="14"/>
      <c r="AD932" s="74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</row>
    <row r="933" spans="1:47" s="1184" customFormat="1">
      <c r="A933" s="1005" t="s">
        <v>1035</v>
      </c>
      <c r="C933" s="319">
        <f>C951+C1008</f>
        <v>390931772.82823956</v>
      </c>
      <c r="D933" s="269"/>
      <c r="E933" s="1185"/>
      <c r="F933" s="1203"/>
      <c r="G933" s="269"/>
      <c r="H933" s="1185"/>
      <c r="I933" s="321">
        <f>I951+I1008</f>
        <v>0</v>
      </c>
      <c r="J933" s="265"/>
      <c r="K933" s="1185"/>
      <c r="L933" s="321">
        <f>L951+L1008</f>
        <v>11890902</v>
      </c>
      <c r="M933" s="1203"/>
      <c r="N933" s="265"/>
      <c r="O933" s="1185"/>
      <c r="P933" s="321">
        <f>P951+P1008</f>
        <v>0</v>
      </c>
      <c r="Q933" s="1203"/>
      <c r="R933" s="265"/>
      <c r="S933" s="1185"/>
      <c r="T933" s="321">
        <f>T951+T1008</f>
        <v>0</v>
      </c>
      <c r="U933" s="1203"/>
      <c r="V933" s="265"/>
      <c r="W933" s="1185"/>
      <c r="X933" s="321">
        <f>X951+X1008</f>
        <v>11890902</v>
      </c>
      <c r="Z933" s="815"/>
      <c r="AC933" s="1205"/>
      <c r="AD933" s="1205"/>
      <c r="AI933" s="1185"/>
      <c r="AJ933" s="1185"/>
      <c r="AK933" s="1185"/>
      <c r="AL933" s="1185"/>
      <c r="AM933" s="1185"/>
      <c r="AN933" s="1185"/>
      <c r="AO933" s="1185"/>
      <c r="AP933" s="1185"/>
      <c r="AQ933" s="1185"/>
      <c r="AR933" s="1185"/>
      <c r="AS933" s="1185"/>
      <c r="AU933" s="1204"/>
    </row>
    <row r="934" spans="1:47">
      <c r="A934" s="1" t="s">
        <v>381</v>
      </c>
      <c r="B934" s="1"/>
      <c r="C934" s="319">
        <f>C953+C1010</f>
        <v>390931772.82823956</v>
      </c>
      <c r="D934" s="324"/>
      <c r="E934" s="2"/>
      <c r="F934" s="2">
        <f>F1066+F1085</f>
        <v>24948796</v>
      </c>
      <c r="G934" s="324"/>
      <c r="H934" s="1"/>
      <c r="I934" s="321">
        <f>I953+I1010</f>
        <v>26370348</v>
      </c>
      <c r="J934" s="2"/>
      <c r="K934" s="1"/>
      <c r="L934" s="321">
        <f ca="1">L953+L1010</f>
        <v>29276382</v>
      </c>
      <c r="M934" s="2"/>
      <c r="N934" s="2"/>
      <c r="O934" s="1"/>
      <c r="P934" s="321">
        <f ca="1">P953+P1010</f>
        <v>3211050.8293612809</v>
      </c>
      <c r="Q934" s="2"/>
      <c r="R934" s="2"/>
      <c r="S934" s="1"/>
      <c r="T934" s="321">
        <f ca="1">T953+T1010</f>
        <v>5166283.6557451254</v>
      </c>
      <c r="U934" s="2"/>
      <c r="V934" s="2"/>
      <c r="W934" s="1"/>
      <c r="X934" s="321">
        <f ca="1">X953+X1010</f>
        <v>20899047.514893595</v>
      </c>
      <c r="Y934" s="20"/>
      <c r="AA934" s="74"/>
      <c r="AB934" s="74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</row>
    <row r="935" spans="1:47">
      <c r="A935" s="1" t="s">
        <v>363</v>
      </c>
      <c r="B935" s="1"/>
      <c r="C935" s="308">
        <f ca="1">C954+C1011</f>
        <v>-4029366.0878516054</v>
      </c>
      <c r="D935" s="309"/>
      <c r="E935" s="309"/>
      <c r="F935" s="764">
        <f ca="1">I935</f>
        <v>-334737.78451534611</v>
      </c>
      <c r="G935" s="309"/>
      <c r="H935" s="309"/>
      <c r="I935" s="764">
        <f ca="1">I954+I1011</f>
        <v>-334737.78451534611</v>
      </c>
      <c r="J935" s="309"/>
      <c r="K935" s="309"/>
      <c r="L935" s="764">
        <f ca="1">L954+L1011</f>
        <v>-334737.78451534611</v>
      </c>
      <c r="M935" s="51"/>
      <c r="N935" s="309"/>
      <c r="O935" s="309"/>
      <c r="P935" s="764">
        <f ca="1">P954+P1011</f>
        <v>-36714.237455521659</v>
      </c>
      <c r="Q935" s="51"/>
      <c r="R935" s="309"/>
      <c r="S935" s="309"/>
      <c r="T935" s="764">
        <f ca="1">T954+T1011</f>
        <v>-59069.8107813311</v>
      </c>
      <c r="U935" s="51"/>
      <c r="V935" s="309"/>
      <c r="W935" s="309"/>
      <c r="X935" s="764">
        <f ca="1">X954+X1011</f>
        <v>-238953.73627849336</v>
      </c>
      <c r="Y935" s="444"/>
      <c r="Z935" s="287"/>
      <c r="AA935" s="74"/>
      <c r="AB935" s="74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</row>
    <row r="936" spans="1:47" ht="16.5" thickBot="1">
      <c r="A936" s="1" t="s">
        <v>382</v>
      </c>
      <c r="B936" s="1"/>
      <c r="C936" s="1594">
        <f ca="1">C955+C1012</f>
        <v>386902406.74038792</v>
      </c>
      <c r="D936" s="342"/>
      <c r="E936" s="343"/>
      <c r="F936" s="766">
        <f ca="1">F1068+F1087</f>
        <v>24614058.215484656</v>
      </c>
      <c r="G936" s="342"/>
      <c r="H936" s="345"/>
      <c r="I936" s="766">
        <f ca="1">I955+I1012</f>
        <v>26035610.215484656</v>
      </c>
      <c r="J936" s="342"/>
      <c r="K936" s="345"/>
      <c r="L936" s="766">
        <f ca="1">L955+L1012</f>
        <v>28941644.215484656</v>
      </c>
      <c r="M936" s="51"/>
      <c r="N936" s="342"/>
      <c r="O936" s="345"/>
      <c r="P936" s="766">
        <f ca="1">P955+P1012</f>
        <v>3174336.5919057596</v>
      </c>
      <c r="Q936" s="51"/>
      <c r="R936" s="342"/>
      <c r="S936" s="345"/>
      <c r="T936" s="766">
        <f ca="1">T955+T1012</f>
        <v>5107213.8449637936</v>
      </c>
      <c r="U936" s="51"/>
      <c r="V936" s="342"/>
      <c r="W936" s="345"/>
      <c r="X936" s="766">
        <f ca="1">X955+X1012</f>
        <v>20660093.778615098</v>
      </c>
      <c r="Y936" s="784" t="s">
        <v>364</v>
      </c>
      <c r="Z936" s="809">
        <f ca="1">('Rate Spread targets'!Q27+'Rate Spread targets'!Q26)*1000</f>
        <v>29266225.598539826</v>
      </c>
      <c r="AA936" s="818">
        <f ca="1">'Rate Spread targets'!V27-0.4107</f>
        <v>-0.29908815758601065</v>
      </c>
      <c r="AB936" s="777"/>
      <c r="AC936" s="69" t="s">
        <v>721</v>
      </c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</row>
    <row r="937" spans="1:47" ht="16.5" thickTop="1">
      <c r="A937" s="1"/>
      <c r="B937" s="1"/>
      <c r="C937" s="350"/>
      <c r="D937" s="351"/>
      <c r="E937" s="352"/>
      <c r="F937" s="51"/>
      <c r="G937" s="351"/>
      <c r="H937" s="23"/>
      <c r="I937" s="51"/>
      <c r="J937" s="351"/>
      <c r="K937" s="23"/>
      <c r="L937" s="51"/>
      <c r="M937" s="51"/>
      <c r="N937" s="351"/>
      <c r="O937" s="23"/>
      <c r="P937" s="51"/>
      <c r="Q937" s="51"/>
      <c r="R937" s="351"/>
      <c r="S937" s="23"/>
      <c r="T937" s="51"/>
      <c r="U937" s="51"/>
      <c r="V937" s="351"/>
      <c r="W937" s="23"/>
      <c r="X937" s="51" t="s">
        <v>31</v>
      </c>
      <c r="Y937" s="787" t="s">
        <v>263</v>
      </c>
      <c r="Z937" s="812">
        <f ca="1">Z936-L899-L955-L1012</f>
        <v>-283.62974761705846</v>
      </c>
      <c r="AA937" s="785"/>
      <c r="AB937" s="74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</row>
    <row r="938" spans="1:47">
      <c r="A938" s="293" t="s">
        <v>476</v>
      </c>
      <c r="B938" s="1"/>
      <c r="C938" s="1"/>
      <c r="D938" s="2"/>
      <c r="E938" s="2"/>
      <c r="F938" s="1"/>
      <c r="G938" s="2"/>
      <c r="H938" s="1"/>
      <c r="I938" s="1"/>
      <c r="J938" s="2"/>
      <c r="K938" s="1"/>
      <c r="N938" s="2"/>
      <c r="O938" s="1"/>
      <c r="R938" s="2"/>
      <c r="S938" s="1"/>
      <c r="V938" s="2"/>
      <c r="W938" s="1"/>
      <c r="AA938" s="74"/>
      <c r="AB938" s="74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</row>
    <row r="939" spans="1:47">
      <c r="A939" s="309" t="s">
        <v>698</v>
      </c>
      <c r="B939" s="1"/>
      <c r="C939" s="1"/>
      <c r="D939" s="2"/>
      <c r="E939" s="2"/>
      <c r="F939" s="1"/>
      <c r="G939" s="2"/>
      <c r="H939" s="1"/>
      <c r="I939" s="1"/>
      <c r="J939" s="2"/>
      <c r="K939" s="1"/>
      <c r="L939" s="1"/>
      <c r="M939" s="1"/>
      <c r="N939" s="2"/>
      <c r="O939" s="1"/>
      <c r="P939" s="1"/>
      <c r="Q939" s="1"/>
      <c r="R939" s="2"/>
      <c r="S939" s="1"/>
      <c r="T939" s="1"/>
      <c r="U939" s="1"/>
      <c r="V939" s="2"/>
      <c r="W939" s="1"/>
      <c r="X939" s="1"/>
      <c r="Y939" s="2">
        <f ca="1">L899+L955+L1012</f>
        <v>29266509.228287444</v>
      </c>
      <c r="Z939" s="32" t="s">
        <v>721</v>
      </c>
      <c r="AA939" s="827">
        <f ca="1">(Y939-(I936+I899))/(I936+I899)</f>
        <v>0.11162261545287173</v>
      </c>
      <c r="AB939" s="74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</row>
    <row r="940" spans="1:47">
      <c r="A940" s="323"/>
      <c r="B940" s="1"/>
      <c r="C940" s="1"/>
      <c r="D940" s="2"/>
      <c r="E940" s="2"/>
      <c r="F940" s="1"/>
      <c r="G940" s="2"/>
      <c r="H940" s="1"/>
      <c r="I940" s="1"/>
      <c r="J940" s="2"/>
      <c r="K940" s="1"/>
      <c r="L940" s="1"/>
      <c r="M940" s="1"/>
      <c r="N940" s="2"/>
      <c r="O940" s="1"/>
      <c r="P940" s="1"/>
      <c r="Q940" s="1"/>
      <c r="R940" s="2"/>
      <c r="S940" s="1"/>
      <c r="T940" s="1"/>
      <c r="U940" s="1"/>
      <c r="V940" s="2"/>
      <c r="W940" s="1"/>
      <c r="X940" s="1"/>
      <c r="Y940" s="20"/>
      <c r="Z940" s="74"/>
      <c r="AA940" s="74"/>
      <c r="AB940" s="74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</row>
    <row r="941" spans="1:47">
      <c r="A941" s="323" t="s">
        <v>393</v>
      </c>
      <c r="B941" s="1"/>
      <c r="C941" s="319"/>
      <c r="D941" s="2"/>
      <c r="E941" s="2"/>
      <c r="F941" s="1"/>
      <c r="G941" s="2"/>
      <c r="H941" s="1"/>
      <c r="I941" s="1"/>
      <c r="J941" s="2"/>
      <c r="K941" s="1"/>
      <c r="L941" s="1"/>
      <c r="M941" s="1"/>
      <c r="N941" s="2"/>
      <c r="O941" s="1"/>
      <c r="P941" s="1"/>
      <c r="Q941" s="1"/>
      <c r="R941" s="2"/>
      <c r="S941" s="1"/>
      <c r="T941" s="1"/>
      <c r="U941" s="1"/>
      <c r="V941" s="2"/>
      <c r="W941" s="1"/>
      <c r="X941" s="1"/>
      <c r="Y941" s="20"/>
      <c r="Z941" s="74"/>
      <c r="AA941" s="74"/>
      <c r="AB941" s="74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</row>
    <row r="942" spans="1:47">
      <c r="A942" s="323" t="s">
        <v>471</v>
      </c>
      <c r="B942" s="1"/>
      <c r="C942" s="319">
        <f t="shared" ref="C942:C947" si="238">C962+C980</f>
        <v>601.87878787878799</v>
      </c>
      <c r="D942" s="337">
        <v>1386</v>
      </c>
      <c r="E942" s="337"/>
      <c r="F942" s="2">
        <f>ROUND(D942*$C942,0)</f>
        <v>834204</v>
      </c>
      <c r="G942" s="337">
        <v>1386</v>
      </c>
      <c r="H942" s="321"/>
      <c r="I942" s="2">
        <f>ROUND(G942*C942,0)</f>
        <v>834204</v>
      </c>
      <c r="J942" s="326">
        <f>'Rate Design Work'!J941</f>
        <v>1386</v>
      </c>
      <c r="K942" s="321"/>
      <c r="L942" s="2">
        <f>ROUND(J942*$C942,0)</f>
        <v>834204</v>
      </c>
      <c r="M942" s="2"/>
      <c r="N942" s="326">
        <f>'Rate Design Work'!N941</f>
        <v>1386</v>
      </c>
      <c r="O942" s="321"/>
      <c r="P942" s="2">
        <f>'Rate Design Work'!P941</f>
        <v>834204</v>
      </c>
      <c r="Q942" s="2"/>
      <c r="R942" s="326" t="str">
        <f>'Rate Design Work'!R941</f>
        <v xml:space="preserve"> </v>
      </c>
      <c r="S942" s="321"/>
      <c r="T942" s="2">
        <f>'Rate Design Work'!T941</f>
        <v>0</v>
      </c>
      <c r="U942" s="2"/>
      <c r="V942" s="326" t="str">
        <f>'Rate Design Work'!V941</f>
        <v xml:space="preserve"> </v>
      </c>
      <c r="W942" s="321"/>
      <c r="X942" s="2">
        <f>'Rate Design Work'!X941</f>
        <v>0</v>
      </c>
      <c r="Y942" s="458" t="s">
        <v>31</v>
      </c>
      <c r="AA942" s="827">
        <f>(J942-G942)/G942</f>
        <v>0</v>
      </c>
      <c r="AB942" s="777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</row>
    <row r="943" spans="1:47">
      <c r="A943" s="323" t="s">
        <v>472</v>
      </c>
      <c r="B943" s="1"/>
      <c r="C943" s="319">
        <f t="shared" si="238"/>
        <v>0</v>
      </c>
      <c r="D943" s="337">
        <v>1675</v>
      </c>
      <c r="E943" s="337"/>
      <c r="F943" s="2">
        <f>ROUND(D943*$C943,0)</f>
        <v>0</v>
      </c>
      <c r="G943" s="337">
        <v>1675</v>
      </c>
      <c r="H943" s="324"/>
      <c r="I943" s="2">
        <f>ROUND(G943*C943,0)</f>
        <v>0</v>
      </c>
      <c r="J943" s="326">
        <f>'Rate Design Work'!J942</f>
        <v>1675</v>
      </c>
      <c r="K943" s="324"/>
      <c r="L943" s="2">
        <f>ROUND(J943*$C943,0)</f>
        <v>0</v>
      </c>
      <c r="M943" s="2"/>
      <c r="N943" s="326">
        <f>'Rate Design Work'!N942</f>
        <v>1675</v>
      </c>
      <c r="O943" s="1580"/>
      <c r="P943" s="2">
        <f>'Rate Design Work'!P942</f>
        <v>0</v>
      </c>
      <c r="Q943" s="2"/>
      <c r="R943" s="326" t="str">
        <f>'Rate Design Work'!R942</f>
        <v xml:space="preserve"> </v>
      </c>
      <c r="S943" s="1580"/>
      <c r="T943" s="2">
        <f>'Rate Design Work'!T942</f>
        <v>0</v>
      </c>
      <c r="U943" s="2"/>
      <c r="V943" s="326" t="str">
        <f>'Rate Design Work'!V942</f>
        <v xml:space="preserve"> </v>
      </c>
      <c r="W943" s="1580"/>
      <c r="X943" s="2">
        <f>'Rate Design Work'!X942</f>
        <v>0</v>
      </c>
      <c r="Y943" s="20"/>
      <c r="AA943" s="827">
        <f>(J943-G943)/G943</f>
        <v>0</v>
      </c>
      <c r="AB943" s="777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</row>
    <row r="944" spans="1:47">
      <c r="A944" s="323" t="s">
        <v>394</v>
      </c>
      <c r="B944" s="1"/>
      <c r="C944" s="319">
        <f t="shared" si="238"/>
        <v>601.87878787878799</v>
      </c>
      <c r="D944" s="337" t="s">
        <v>31</v>
      </c>
      <c r="E944" s="337"/>
      <c r="F944" s="2" t="s">
        <v>31</v>
      </c>
      <c r="G944" s="337" t="s">
        <v>31</v>
      </c>
      <c r="H944" s="321"/>
      <c r="I944" s="2" t="s">
        <v>31</v>
      </c>
      <c r="J944" s="326" t="s">
        <v>31</v>
      </c>
      <c r="K944" s="321"/>
      <c r="L944" s="2" t="s">
        <v>31</v>
      </c>
      <c r="M944" s="2"/>
      <c r="N944" s="326" t="s">
        <v>31</v>
      </c>
      <c r="O944" s="321"/>
      <c r="P944" s="2" t="s">
        <v>31</v>
      </c>
      <c r="Q944" s="2"/>
      <c r="R944" s="326" t="s">
        <v>31</v>
      </c>
      <c r="S944" s="321"/>
      <c r="T944" s="2" t="s">
        <v>31</v>
      </c>
      <c r="U944" s="2"/>
      <c r="V944" s="326" t="s">
        <v>31</v>
      </c>
      <c r="W944" s="321"/>
      <c r="X944" s="2" t="s">
        <v>31</v>
      </c>
      <c r="Y944" s="20"/>
      <c r="AA944" s="1588"/>
      <c r="AB944" s="74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</row>
    <row r="945" spans="1:47">
      <c r="A945" s="323" t="s">
        <v>473</v>
      </c>
      <c r="B945" s="1"/>
      <c r="C945" s="319">
        <f t="shared" si="238"/>
        <v>861624.39393939299</v>
      </c>
      <c r="D945" s="337">
        <v>1.06</v>
      </c>
      <c r="E945" s="337"/>
      <c r="F945" s="2">
        <f>ROUND(D945*$C945,0)</f>
        <v>913322</v>
      </c>
      <c r="G945" s="337">
        <v>1.06</v>
      </c>
      <c r="H945" s="321"/>
      <c r="I945" s="2">
        <f t="shared" ref="I945:I947" si="239">ROUND(G945*C945,0)</f>
        <v>913322</v>
      </c>
      <c r="J945" s="326">
        <f ca="1">'Rate Design Work'!J944</f>
        <v>1.18</v>
      </c>
      <c r="K945" s="321"/>
      <c r="L945" s="2">
        <f ca="1">ROUND(J945*$C945,0)</f>
        <v>1016717</v>
      </c>
      <c r="M945" s="2"/>
      <c r="N945" s="326">
        <f ca="1">'Rate Design Work'!N944</f>
        <v>1.18</v>
      </c>
      <c r="O945" s="321"/>
      <c r="P945" s="2">
        <f ca="1">'Rate Design Work'!P944</f>
        <v>1016717</v>
      </c>
      <c r="Q945" s="2"/>
      <c r="R945" s="326" t="str">
        <f>'Rate Design Work'!R944</f>
        <v xml:space="preserve"> </v>
      </c>
      <c r="S945" s="321"/>
      <c r="T945" s="2">
        <f>'Rate Design Work'!T944</f>
        <v>0</v>
      </c>
      <c r="U945" s="2"/>
      <c r="V945" s="326" t="str">
        <f>'Rate Design Work'!V944</f>
        <v xml:space="preserve"> </v>
      </c>
      <c r="W945" s="321"/>
      <c r="X945" s="2">
        <f>'Rate Design Work'!X944</f>
        <v>0</v>
      </c>
      <c r="Y945" s="20"/>
      <c r="AA945" s="827">
        <f ca="1">(J945-G945)/G945</f>
        <v>0.11320754716981121</v>
      </c>
      <c r="AB945" s="777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</row>
    <row r="946" spans="1:47">
      <c r="A946" s="323" t="s">
        <v>474</v>
      </c>
      <c r="B946" s="1"/>
      <c r="C946" s="319">
        <f t="shared" si="238"/>
        <v>0</v>
      </c>
      <c r="D946" s="337">
        <v>0.96</v>
      </c>
      <c r="E946" s="337"/>
      <c r="F946" s="2">
        <f>ROUND(D946*$C946,0)</f>
        <v>0</v>
      </c>
      <c r="G946" s="337">
        <v>0.96</v>
      </c>
      <c r="H946" s="321"/>
      <c r="I946" s="2">
        <f t="shared" si="239"/>
        <v>0</v>
      </c>
      <c r="J946" s="326">
        <f ca="1">'Rate Design Work'!J945</f>
        <v>1.07</v>
      </c>
      <c r="K946" s="321"/>
      <c r="L946" s="2">
        <f ca="1">ROUND(J946*$C946,0)</f>
        <v>0</v>
      </c>
      <c r="M946" s="2"/>
      <c r="N946" s="326">
        <f ca="1">'Rate Design Work'!N945</f>
        <v>1.07</v>
      </c>
      <c r="O946" s="321"/>
      <c r="P946" s="2">
        <f ca="1">'Rate Design Work'!P945</f>
        <v>0</v>
      </c>
      <c r="Q946" s="2"/>
      <c r="R946" s="326" t="str">
        <f>'Rate Design Work'!R945</f>
        <v xml:space="preserve"> </v>
      </c>
      <c r="S946" s="321"/>
      <c r="T946" s="2">
        <f>'Rate Design Work'!T945</f>
        <v>0</v>
      </c>
      <c r="U946" s="2"/>
      <c r="V946" s="326" t="str">
        <f>'Rate Design Work'!V945</f>
        <v xml:space="preserve"> </v>
      </c>
      <c r="W946" s="321"/>
      <c r="X946" s="2">
        <f>'Rate Design Work'!X945</f>
        <v>0</v>
      </c>
      <c r="Y946" s="20"/>
      <c r="AA946" s="827">
        <f ca="1">(J946-G946)/G946</f>
        <v>0.11458333333333344</v>
      </c>
      <c r="AB946" s="777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</row>
    <row r="947" spans="1:47">
      <c r="A947" s="309" t="s">
        <v>403</v>
      </c>
      <c r="B947" s="1"/>
      <c r="C947" s="319">
        <f t="shared" si="238"/>
        <v>701278.81818181905</v>
      </c>
      <c r="D947" s="337">
        <v>7.12</v>
      </c>
      <c r="E947" s="337"/>
      <c r="F947" s="2">
        <f>ROUND(D947*$C947,0)</f>
        <v>4993105</v>
      </c>
      <c r="G947" s="337">
        <v>7.55</v>
      </c>
      <c r="H947" s="321"/>
      <c r="I947" s="2">
        <f t="shared" si="239"/>
        <v>5294655</v>
      </c>
      <c r="J947" s="326">
        <f ca="1">'Rate Design Work'!J946</f>
        <v>8.48</v>
      </c>
      <c r="K947" s="321"/>
      <c r="L947" s="2">
        <f ca="1">ROUND(J947*$C947,0)</f>
        <v>5946844</v>
      </c>
      <c r="M947" s="2"/>
      <c r="N947" s="326">
        <f ca="1">'Rate Design Work'!N946</f>
        <v>1.1100000000000001</v>
      </c>
      <c r="O947" s="321"/>
      <c r="P947" s="2">
        <f ca="1">'Rate Design Work'!P946</f>
        <v>777242.31863625185</v>
      </c>
      <c r="Q947" s="2"/>
      <c r="R947" s="326">
        <f ca="1">'Rate Design Work'!R946</f>
        <v>1.46</v>
      </c>
      <c r="S947" s="321"/>
      <c r="T947" s="2">
        <f ca="1">'Rate Design Work'!T946</f>
        <v>1024641.8316459706</v>
      </c>
      <c r="U947" s="2"/>
      <c r="V947" s="326">
        <f ca="1">'Rate Design Work'!V946</f>
        <v>5.91</v>
      </c>
      <c r="W947" s="321"/>
      <c r="X947" s="2">
        <f ca="1">'Rate Design Work'!X946</f>
        <v>4144959.8497177777</v>
      </c>
      <c r="Y947" s="20"/>
      <c r="AA947" s="827">
        <f ca="1">(J947-G947)/G947</f>
        <v>0.12317880794701995</v>
      </c>
      <c r="AB947" s="777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</row>
    <row r="948" spans="1:47">
      <c r="A948" s="323" t="s">
        <v>426</v>
      </c>
      <c r="B948" s="1"/>
      <c r="C948" s="319"/>
      <c r="D948" s="337" t="s">
        <v>31</v>
      </c>
      <c r="E948" s="337"/>
      <c r="F948" s="2"/>
      <c r="G948" s="337" t="s">
        <v>31</v>
      </c>
      <c r="H948" s="321"/>
      <c r="I948" s="2"/>
      <c r="J948" s="326" t="s">
        <v>31</v>
      </c>
      <c r="K948" s="321"/>
      <c r="L948" s="2"/>
      <c r="M948" s="2"/>
      <c r="N948" s="326" t="s">
        <v>31</v>
      </c>
      <c r="O948" s="321"/>
      <c r="P948" s="2"/>
      <c r="Q948" s="2"/>
      <c r="R948" s="326" t="s">
        <v>31</v>
      </c>
      <c r="S948" s="321"/>
      <c r="T948" s="2"/>
      <c r="U948" s="2"/>
      <c r="V948" s="326" t="s">
        <v>31</v>
      </c>
      <c r="W948" s="321"/>
      <c r="X948" s="2"/>
      <c r="Y948" s="20"/>
      <c r="AA948" s="1588"/>
      <c r="AB948" s="74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</row>
    <row r="949" spans="1:47">
      <c r="A949" s="323" t="s">
        <v>464</v>
      </c>
      <c r="B949" s="1"/>
      <c r="C949" s="319">
        <f>C969+C987</f>
        <v>320313336.81593531</v>
      </c>
      <c r="D949" s="395">
        <v>4.2460000000000004</v>
      </c>
      <c r="E949" s="321" t="s">
        <v>374</v>
      </c>
      <c r="F949" s="2">
        <f>ROUND(D949/100*$C949,0)</f>
        <v>13600504</v>
      </c>
      <c r="G949" s="395">
        <v>4.5140000000000002</v>
      </c>
      <c r="H949" s="321" t="s">
        <v>374</v>
      </c>
      <c r="I949" s="2">
        <f>ROUND(G949/100*C949,0)</f>
        <v>14458944</v>
      </c>
      <c r="J949" s="808">
        <f ca="1">'Rate Design Work'!J948</f>
        <v>2.0669999999999997</v>
      </c>
      <c r="K949" s="321" t="s">
        <v>374</v>
      </c>
      <c r="L949" s="2">
        <f ca="1">ROUND(J949/100*$C949,0)</f>
        <v>6620877</v>
      </c>
      <c r="M949" s="2"/>
      <c r="N949" s="808" t="str">
        <f>'Rate Design Work'!N948</f>
        <v xml:space="preserve"> </v>
      </c>
      <c r="O949" s="883" t="s">
        <v>31</v>
      </c>
      <c r="P949" s="2">
        <f>'Rate Design Work'!P948</f>
        <v>0</v>
      </c>
      <c r="Q949" s="2"/>
      <c r="R949" s="808">
        <f ca="1">'Rate Design Work'!R948</f>
        <v>0.995</v>
      </c>
      <c r="S949" s="321" t="s">
        <v>374</v>
      </c>
      <c r="T949" s="2">
        <f ca="1">'Rate Design Work'!T948</f>
        <v>3185816.0761922523</v>
      </c>
      <c r="U949" s="2"/>
      <c r="V949" s="808">
        <f ca="1">'Rate Design Work'!V948</f>
        <v>1.0720000000000001</v>
      </c>
      <c r="W949" s="321" t="s">
        <v>374</v>
      </c>
      <c r="X949" s="2">
        <f ca="1">'Rate Design Work'!X948</f>
        <v>3435060.9238077477</v>
      </c>
      <c r="Y949" s="20"/>
      <c r="AA949" s="827">
        <f ca="1">((J949+J951)-G949)/G949</f>
        <v>0.11165263624280007</v>
      </c>
      <c r="AB949" s="777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</row>
    <row r="950" spans="1:47">
      <c r="A950" s="323" t="s">
        <v>400</v>
      </c>
      <c r="B950" s="1"/>
      <c r="C950" s="319">
        <f>C970+C988</f>
        <v>165243.12121212101</v>
      </c>
      <c r="D950" s="337">
        <v>0.55000000000000004</v>
      </c>
      <c r="E950" s="321"/>
      <c r="F950" s="2">
        <f>ROUND(D950*$C950,0)</f>
        <v>90884</v>
      </c>
      <c r="G950" s="337">
        <v>0.55000000000000004</v>
      </c>
      <c r="H950" s="321"/>
      <c r="I950" s="2">
        <f>ROUND(G950*C950,0)</f>
        <v>90884</v>
      </c>
      <c r="J950" s="326">
        <f>'Rate Design Work'!J949</f>
        <v>0.55000000000000004</v>
      </c>
      <c r="K950" s="321"/>
      <c r="L950" s="2">
        <f>ROUND(J950*$C950,0)</f>
        <v>90884</v>
      </c>
      <c r="M950" s="2"/>
      <c r="N950" s="326" t="str">
        <f>'Rate Design Work'!N949</f>
        <v xml:space="preserve"> </v>
      </c>
      <c r="O950" s="321"/>
      <c r="P950" s="2">
        <f>'Rate Design Work'!P949</f>
        <v>0</v>
      </c>
      <c r="Q950" s="2"/>
      <c r="R950" s="326">
        <f ca="1">'Rate Design Work'!R949</f>
        <v>0.11</v>
      </c>
      <c r="S950" s="321"/>
      <c r="T950" s="2">
        <f ca="1">'Rate Design Work'!T949</f>
        <v>18013.679576710882</v>
      </c>
      <c r="U950" s="2"/>
      <c r="V950" s="326">
        <f ca="1">'Rate Design Work'!V949</f>
        <v>0.44</v>
      </c>
      <c r="W950" s="321"/>
      <c r="X950" s="2">
        <f ca="1">'Rate Design Work'!X949</f>
        <v>72870.320423289115</v>
      </c>
      <c r="Y950" s="20"/>
      <c r="AA950" s="827">
        <f>(J950-G950)/G950</f>
        <v>0</v>
      </c>
      <c r="AB950" s="777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</row>
    <row r="951" spans="1:47" s="1184" customFormat="1">
      <c r="A951" s="1005" t="s">
        <v>1035</v>
      </c>
      <c r="C951" s="1026">
        <f>C972+C989</f>
        <v>320313336.81593531</v>
      </c>
      <c r="D951" s="269"/>
      <c r="E951" s="1185"/>
      <c r="F951" s="1203"/>
      <c r="G951" s="269"/>
      <c r="H951" s="1185"/>
      <c r="I951" s="1203"/>
      <c r="J951" s="1230">
        <f>'Rate Design Work'!J950</f>
        <v>2.9510000000000001</v>
      </c>
      <c r="K951" s="1041" t="s">
        <v>374</v>
      </c>
      <c r="L951" s="1203">
        <f>ROUND(J951/100*$C951,0)</f>
        <v>9452447</v>
      </c>
      <c r="M951" s="1203"/>
      <c r="N951" s="1230" t="str">
        <f>'Rate Design Work'!N950</f>
        <v xml:space="preserve"> </v>
      </c>
      <c r="O951" s="1041" t="s">
        <v>31</v>
      </c>
      <c r="P951" s="2">
        <f>'Rate Design Work'!P950</f>
        <v>0</v>
      </c>
      <c r="Q951" s="1041"/>
      <c r="R951" s="1230" t="str">
        <f>'Rate Design Work'!R950</f>
        <v xml:space="preserve"> </v>
      </c>
      <c r="S951" s="1041" t="s">
        <v>31</v>
      </c>
      <c r="T951" s="2">
        <f>'Rate Design Work'!T950</f>
        <v>0</v>
      </c>
      <c r="U951" s="1041"/>
      <c r="V951" s="1230">
        <f>'Rate Design Work'!V950</f>
        <v>2.9510000000000001</v>
      </c>
      <c r="W951" s="1041" t="s">
        <v>374</v>
      </c>
      <c r="X951" s="2">
        <f>'Rate Design Work'!X950</f>
        <v>9452447</v>
      </c>
      <c r="Y951" s="1204">
        <f>'NPC Spread'!G47</f>
        <v>9512953.169853868</v>
      </c>
      <c r="Z951" s="815" t="s">
        <v>913</v>
      </c>
      <c r="AC951" s="1205"/>
      <c r="AD951" s="1205"/>
      <c r="AI951" s="1185"/>
      <c r="AJ951" s="1185"/>
      <c r="AK951" s="1185"/>
      <c r="AL951" s="1185"/>
      <c r="AM951" s="1185"/>
      <c r="AN951" s="1185"/>
      <c r="AO951" s="1185"/>
      <c r="AP951" s="1185"/>
      <c r="AQ951" s="1185"/>
      <c r="AR951" s="1185"/>
      <c r="AS951" s="1185"/>
      <c r="AU951" s="1204"/>
    </row>
    <row r="952" spans="1:47" s="1510" customFormat="1">
      <c r="A952" s="1509" t="s">
        <v>929</v>
      </c>
      <c r="C952" s="1517"/>
      <c r="D952" s="1512"/>
      <c r="E952" s="1513"/>
      <c r="F952" s="1514"/>
      <c r="G952" s="1523">
        <f>G949</f>
        <v>4.5140000000000002</v>
      </c>
      <c r="H952" s="1521" t="s">
        <v>374</v>
      </c>
      <c r="I952" s="1514"/>
      <c r="J952" s="1515">
        <f ca="1">J949+J951</f>
        <v>5.0179999999999998</v>
      </c>
      <c r="K952" s="1521" t="s">
        <v>374</v>
      </c>
      <c r="L952" s="1514"/>
      <c r="M952" s="1514"/>
      <c r="N952" s="1526" t="s">
        <v>31</v>
      </c>
      <c r="O952" s="1521" t="s">
        <v>31</v>
      </c>
      <c r="P952" s="1521"/>
      <c r="Q952" s="1521"/>
      <c r="R952" s="1526">
        <f ca="1">R949+R951</f>
        <v>0.995</v>
      </c>
      <c r="S952" s="1521" t="s">
        <v>374</v>
      </c>
      <c r="T952" s="1521"/>
      <c r="U952" s="1521"/>
      <c r="V952" s="1526">
        <f ca="1">V949+V951</f>
        <v>4.0229999999999997</v>
      </c>
      <c r="W952" s="1521" t="s">
        <v>374</v>
      </c>
      <c r="X952" s="1521"/>
      <c r="Y952" s="1590"/>
      <c r="Z952" s="1591"/>
      <c r="AA952" s="1592">
        <f ca="1">(J952-G952)/G952</f>
        <v>0.11165263624280007</v>
      </c>
      <c r="AC952" s="1593"/>
      <c r="AD952" s="1593"/>
      <c r="AI952" s="1513"/>
      <c r="AJ952" s="1513"/>
      <c r="AK952" s="1513"/>
      <c r="AL952" s="1513"/>
      <c r="AM952" s="1513"/>
      <c r="AN952" s="1513"/>
      <c r="AO952" s="1513"/>
      <c r="AP952" s="1513"/>
      <c r="AQ952" s="1513"/>
      <c r="AR952" s="1513"/>
      <c r="AS952" s="1513"/>
      <c r="AU952" s="1590"/>
    </row>
    <row r="953" spans="1:47">
      <c r="A953" s="1" t="s">
        <v>381</v>
      </c>
      <c r="B953" s="1"/>
      <c r="C953" s="319">
        <f>C949</f>
        <v>320313336.81593531</v>
      </c>
      <c r="D953" s="330"/>
      <c r="E953" s="2"/>
      <c r="F953" s="2">
        <f>SUM(F942:F950)</f>
        <v>20432019</v>
      </c>
      <c r="G953" s="330"/>
      <c r="H953" s="1"/>
      <c r="I953" s="2">
        <f>SUM(I942:I950)</f>
        <v>21592009</v>
      </c>
      <c r="J953" s="330"/>
      <c r="K953" s="1"/>
      <c r="L953" s="2">
        <f ca="1">SUM(L942:L952)</f>
        <v>23961973</v>
      </c>
      <c r="M953" s="2"/>
      <c r="N953" s="803"/>
      <c r="O953" s="1"/>
      <c r="P953" s="2">
        <f ca="1">SUM(P942:P952)</f>
        <v>2628163.3186362516</v>
      </c>
      <c r="Q953" s="2"/>
      <c r="R953" s="803"/>
      <c r="S953" s="1"/>
      <c r="T953" s="2">
        <f ca="1">SUM(T942:T952)</f>
        <v>4228471.5874149334</v>
      </c>
      <c r="U953" s="2"/>
      <c r="V953" s="803"/>
      <c r="W953" s="1"/>
      <c r="X953" s="2">
        <f ca="1">SUM(X942:X952)</f>
        <v>17105338.093948815</v>
      </c>
      <c r="Y953" s="20"/>
      <c r="Z953" s="74"/>
      <c r="AA953" s="74"/>
      <c r="AB953" s="74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</row>
    <row r="954" spans="1:47">
      <c r="A954" s="1" t="s">
        <v>363</v>
      </c>
      <c r="B954" s="1"/>
      <c r="C954" s="319">
        <f ca="1">C973+C991</f>
        <v>-3730095.0495166555</v>
      </c>
      <c r="D954" s="309"/>
      <c r="E954" s="309"/>
      <c r="F954" s="1589">
        <f ca="1">I954</f>
        <v>-313022.78765037033</v>
      </c>
      <c r="G954" s="309"/>
      <c r="H954" s="309"/>
      <c r="I954" s="340">
        <f ca="1">I973+I991</f>
        <v>-313022.78765037033</v>
      </c>
      <c r="J954" s="309"/>
      <c r="K954" s="309"/>
      <c r="L954" s="341">
        <f ca="1">I954</f>
        <v>-313022.78765037033</v>
      </c>
      <c r="M954" s="322"/>
      <c r="N954" s="309"/>
      <c r="O954" s="309"/>
      <c r="P954" s="764">
        <f ca="1">$L$954*Y957/($Y957+$Z$957+$AA$957)</f>
        <v>-34332.523803443401</v>
      </c>
      <c r="Q954" s="51"/>
      <c r="R954" s="309"/>
      <c r="S954" s="309"/>
      <c r="T954" s="764">
        <f ca="1">$L$954*Z957/($Y957+$Z$957+$AA$957)</f>
        <v>-55237.853902640243</v>
      </c>
      <c r="U954" s="51"/>
      <c r="V954" s="309"/>
      <c r="W954" s="309"/>
      <c r="X954" s="764">
        <f ca="1">$L$954*AA957/($Y957+$Z$957+$AA$957)</f>
        <v>-223452.40994428669</v>
      </c>
      <c r="Y954" s="444"/>
      <c r="Z954" s="287"/>
      <c r="AA954" s="74"/>
      <c r="AB954" s="74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</row>
    <row r="955" spans="1:47" ht="18" customHeight="1" thickBot="1">
      <c r="A955" s="1" t="s">
        <v>382</v>
      </c>
      <c r="B955" s="1"/>
      <c r="C955" s="393">
        <f ca="1">SUM(C953)+C954</f>
        <v>316583241.76641864</v>
      </c>
      <c r="D955" s="342"/>
      <c r="E955" s="343"/>
      <c r="F955" s="344">
        <f ca="1">F953+F954</f>
        <v>20118996.212349631</v>
      </c>
      <c r="G955" s="342"/>
      <c r="H955" s="345"/>
      <c r="I955" s="344">
        <f ca="1">I953+I954</f>
        <v>21278986.212349631</v>
      </c>
      <c r="J955" s="342"/>
      <c r="K955" s="345"/>
      <c r="L955" s="344">
        <f ca="1">L953+L954</f>
        <v>23648950.212349631</v>
      </c>
      <c r="M955" s="344"/>
      <c r="N955" s="342"/>
      <c r="O955" s="345"/>
      <c r="P955" s="344">
        <f ca="1">P953+P954</f>
        <v>2593830.7948328084</v>
      </c>
      <c r="Q955" s="344"/>
      <c r="R955" s="342"/>
      <c r="S955" s="345"/>
      <c r="T955" s="344">
        <f ca="1">T953+T954</f>
        <v>4173233.7335122931</v>
      </c>
      <c r="U955" s="344"/>
      <c r="V955" s="342"/>
      <c r="W955" s="345"/>
      <c r="X955" s="344">
        <f ca="1">X953+X954</f>
        <v>16881885.684004527</v>
      </c>
      <c r="Y955" s="7" t="s">
        <v>31</v>
      </c>
      <c r="Z955" s="32" t="s">
        <v>31</v>
      </c>
      <c r="AA955" s="74"/>
      <c r="AB955" s="74"/>
      <c r="AC955" s="801" t="s">
        <v>31</v>
      </c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</row>
    <row r="956" spans="1:47" ht="16.5" hidden="1" thickTop="1">
      <c r="A956" s="1"/>
      <c r="B956" s="1"/>
      <c r="C956" s="21"/>
      <c r="D956" s="337"/>
      <c r="E956" s="2"/>
      <c r="F956" s="2"/>
      <c r="G956" s="337"/>
      <c r="H956" s="1"/>
      <c r="I956" s="2" t="s">
        <v>31</v>
      </c>
      <c r="J956" s="337"/>
      <c r="K956" s="1"/>
      <c r="L956" s="380"/>
      <c r="M956" s="380"/>
      <c r="N956" s="337"/>
      <c r="O956" s="1"/>
      <c r="P956" s="380"/>
      <c r="Q956" s="380"/>
      <c r="R956" s="337"/>
      <c r="S956" s="1"/>
      <c r="T956" s="380"/>
      <c r="U956" s="380"/>
      <c r="V956" s="337"/>
      <c r="W956" s="1"/>
      <c r="X956" s="380"/>
      <c r="Y956" s="1579">
        <f>'Exh No.__(JRS-17) p11'!J36+'Exh No.__(JRS-17) p11'!K36+'Exh No.__(JRS-17) p11'!L36</f>
        <v>0.10968058926684592</v>
      </c>
      <c r="Z956" s="1579">
        <f>'Exh No.__(JRS-17) p11'!I36</f>
        <v>0.17646591903825851</v>
      </c>
      <c r="AA956" s="1579">
        <f>'Exh No.__(JRS-17) p11'!H36</f>
        <v>0.71385349169489565</v>
      </c>
      <c r="AB956" s="74"/>
      <c r="AC956" s="7" t="s">
        <v>31</v>
      </c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</row>
    <row r="957" spans="1:47" hidden="1">
      <c r="A957" s="1"/>
      <c r="B957" s="1"/>
      <c r="C957" s="21"/>
      <c r="D957" s="337"/>
      <c r="E957" s="2"/>
      <c r="F957" s="2"/>
      <c r="G957" s="337"/>
      <c r="H957" s="1"/>
      <c r="I957" s="2"/>
      <c r="J957" s="337"/>
      <c r="K957" s="1"/>
      <c r="L957" s="380"/>
      <c r="M957" s="380"/>
      <c r="N957" s="337"/>
      <c r="O957" s="1"/>
      <c r="P957" s="380"/>
      <c r="Q957" s="380"/>
      <c r="R957" s="337"/>
      <c r="S957" s="1"/>
      <c r="T957" s="380"/>
      <c r="U957" s="380"/>
      <c r="V957" s="337"/>
      <c r="W957" s="1"/>
      <c r="X957" s="380"/>
      <c r="Y957" s="411">
        <f ca="1">Y956*L955</f>
        <v>2593830.7948328084</v>
      </c>
      <c r="Z957" s="411">
        <f ca="1">Z956*L955</f>
        <v>4173233.7335122963</v>
      </c>
      <c r="AA957" s="411">
        <f ca="1">AA956*L955</f>
        <v>16881885.684004527</v>
      </c>
      <c r="AB957" s="74" t="s">
        <v>958</v>
      </c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</row>
    <row r="958" spans="1:47" hidden="1">
      <c r="A958" s="293" t="s">
        <v>476</v>
      </c>
      <c r="B958" s="1"/>
      <c r="C958" s="1"/>
      <c r="D958" s="2"/>
      <c r="E958" s="2"/>
      <c r="F958" s="1"/>
      <c r="G958" s="2"/>
      <c r="H958" s="1"/>
      <c r="I958" s="1"/>
      <c r="J958" s="2"/>
      <c r="K958" s="1"/>
      <c r="L958" s="1"/>
      <c r="M958" s="1"/>
      <c r="N958" s="2"/>
      <c r="O958" s="1"/>
      <c r="P958" s="1"/>
      <c r="Q958" s="1"/>
      <c r="R958" s="2"/>
      <c r="S958" s="1"/>
      <c r="T958" s="1"/>
      <c r="U958" s="1"/>
      <c r="V958" s="2"/>
      <c r="W958" s="1"/>
      <c r="X958" s="1"/>
      <c r="Y958" s="20"/>
      <c r="Z958" s="74"/>
      <c r="AA958" s="74"/>
      <c r="AB958" s="74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</row>
    <row r="959" spans="1:47" hidden="1">
      <c r="A959" s="309" t="s">
        <v>697</v>
      </c>
      <c r="B959" s="1"/>
      <c r="C959" s="1"/>
      <c r="D959" s="2"/>
      <c r="E959" s="2"/>
      <c r="F959" s="1"/>
      <c r="G959" s="2"/>
      <c r="H959" s="1"/>
      <c r="I959" s="1"/>
      <c r="J959" s="2"/>
      <c r="K959" s="1"/>
      <c r="L959" s="1"/>
      <c r="M959" s="1"/>
      <c r="N959" s="2"/>
      <c r="O959" s="1"/>
      <c r="P959" s="1"/>
      <c r="Q959" s="1"/>
      <c r="R959" s="2"/>
      <c r="S959" s="1"/>
      <c r="T959" s="1"/>
      <c r="U959" s="1"/>
      <c r="V959" s="2"/>
      <c r="W959" s="1"/>
      <c r="X959" s="1"/>
      <c r="Y959" s="20"/>
      <c r="Z959" s="74"/>
      <c r="AA959" s="74"/>
      <c r="AB959" s="74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</row>
    <row r="960" spans="1:47" hidden="1">
      <c r="A960" s="323"/>
      <c r="B960" s="1"/>
      <c r="C960" s="1"/>
      <c r="D960" s="2"/>
      <c r="E960" s="2"/>
      <c r="F960" s="1"/>
      <c r="G960" s="2"/>
      <c r="H960" s="1"/>
      <c r="I960" s="1"/>
      <c r="J960" s="2"/>
      <c r="K960" s="1"/>
      <c r="L960" s="1"/>
      <c r="M960" s="1"/>
      <c r="N960" s="2"/>
      <c r="O960" s="1"/>
      <c r="P960" s="1"/>
      <c r="Q960" s="1"/>
      <c r="R960" s="2"/>
      <c r="S960" s="1"/>
      <c r="T960" s="1"/>
      <c r="U960" s="1"/>
      <c r="V960" s="2"/>
      <c r="W960" s="1"/>
      <c r="X960" s="1"/>
      <c r="Y960" s="20"/>
      <c r="Z960" s="74"/>
      <c r="AA960" s="74"/>
      <c r="AB960" s="74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</row>
    <row r="961" spans="1:47" hidden="1">
      <c r="A961" s="323" t="s">
        <v>393</v>
      </c>
      <c r="B961" s="1"/>
      <c r="C961" s="319"/>
      <c r="D961" s="2"/>
      <c r="E961" s="2"/>
      <c r="F961" s="1"/>
      <c r="G961" s="2"/>
      <c r="H961" s="1"/>
      <c r="I961" s="1"/>
      <c r="J961" s="2"/>
      <c r="K961" s="1"/>
      <c r="L961" s="1"/>
      <c r="M961" s="1"/>
      <c r="N961" s="2"/>
      <c r="O961" s="1"/>
      <c r="P961" s="1"/>
      <c r="Q961" s="1"/>
      <c r="R961" s="2"/>
      <c r="S961" s="1"/>
      <c r="T961" s="1"/>
      <c r="U961" s="1"/>
      <c r="V961" s="2"/>
      <c r="W961" s="1"/>
      <c r="X961" s="1"/>
      <c r="Y961" s="20"/>
      <c r="Z961" s="74" t="s">
        <v>31</v>
      </c>
      <c r="AA961" s="74"/>
      <c r="AB961" s="74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</row>
    <row r="962" spans="1:47" hidden="1">
      <c r="A962" s="323" t="s">
        <v>471</v>
      </c>
      <c r="B962" s="1"/>
      <c r="C962" s="319">
        <f>[53]Sheet1!$E$3</f>
        <v>263.39393939393898</v>
      </c>
      <c r="D962" s="337">
        <v>1386</v>
      </c>
      <c r="E962" s="337"/>
      <c r="F962" s="2">
        <f>ROUND(D962*$C962,0)</f>
        <v>365064</v>
      </c>
      <c r="G962" s="337">
        <v>1386</v>
      </c>
      <c r="H962" s="321"/>
      <c r="I962" s="2">
        <f>ROUND(G962*C962,0)</f>
        <v>365064</v>
      </c>
      <c r="J962" s="337">
        <f>J942</f>
        <v>1386</v>
      </c>
      <c r="K962" s="321"/>
      <c r="L962" s="2">
        <f>ROUND(J962*$C962,0)</f>
        <v>365064</v>
      </c>
      <c r="M962" s="2"/>
      <c r="N962" s="337">
        <f>N942</f>
        <v>1386</v>
      </c>
      <c r="O962" s="321"/>
      <c r="P962" s="2">
        <f>ROUND(N962*$C962,0)</f>
        <v>365064</v>
      </c>
      <c r="Q962" s="2"/>
      <c r="R962" s="337" t="str">
        <f>R942</f>
        <v xml:space="preserve"> </v>
      </c>
      <c r="S962" s="321"/>
      <c r="T962" s="2">
        <f>ROUND(R962*$C962,0)</f>
        <v>0</v>
      </c>
      <c r="U962" s="2"/>
      <c r="V962" s="337" t="str">
        <f>V942</f>
        <v xml:space="preserve"> </v>
      </c>
      <c r="W962" s="321"/>
      <c r="X962" s="2">
        <f>ROUND(V962*$C962,0)</f>
        <v>0</v>
      </c>
      <c r="Y962" s="20"/>
      <c r="Z962" s="74"/>
      <c r="AA962" s="74"/>
      <c r="AB962" s="74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</row>
    <row r="963" spans="1:47" hidden="1">
      <c r="A963" s="323" t="s">
        <v>472</v>
      </c>
      <c r="B963" s="1"/>
      <c r="C963" s="319">
        <v>0</v>
      </c>
      <c r="D963" s="337">
        <v>1675</v>
      </c>
      <c r="E963" s="337"/>
      <c r="F963" s="2">
        <f>ROUND(D963*$C963,0)</f>
        <v>0</v>
      </c>
      <c r="G963" s="337">
        <v>1675</v>
      </c>
      <c r="H963" s="324"/>
      <c r="I963" s="2">
        <f>ROUND(G963*C963,0)</f>
        <v>0</v>
      </c>
      <c r="J963" s="337">
        <f>J943</f>
        <v>1675</v>
      </c>
      <c r="K963" s="324"/>
      <c r="L963" s="2">
        <f>ROUND(J963*$C963,0)</f>
        <v>0</v>
      </c>
      <c r="M963" s="2"/>
      <c r="N963" s="337">
        <f>N943</f>
        <v>1675</v>
      </c>
      <c r="O963" s="324"/>
      <c r="P963" s="2">
        <f>ROUND(N963*$C963,0)</f>
        <v>0</v>
      </c>
      <c r="Q963" s="2"/>
      <c r="R963" s="337" t="str">
        <f>R943</f>
        <v xml:space="preserve"> </v>
      </c>
      <c r="S963" s="324"/>
      <c r="T963" s="2">
        <f>ROUND(R963*$C963,0)</f>
        <v>0</v>
      </c>
      <c r="U963" s="2"/>
      <c r="V963" s="337" t="str">
        <f>V943</f>
        <v xml:space="preserve"> </v>
      </c>
      <c r="W963" s="324"/>
      <c r="X963" s="2">
        <f>ROUND(V963*$C963,0)</f>
        <v>0</v>
      </c>
      <c r="Y963" s="20"/>
      <c r="Z963" s="74"/>
      <c r="AA963" s="74"/>
      <c r="AB963" s="74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</row>
    <row r="964" spans="1:47" hidden="1">
      <c r="A964" s="323" t="s">
        <v>394</v>
      </c>
      <c r="B964" s="1"/>
      <c r="C964" s="319">
        <f>SUM(C962:C963)</f>
        <v>263.39393939393898</v>
      </c>
      <c r="D964" s="337" t="s">
        <v>31</v>
      </c>
      <c r="E964" s="337"/>
      <c r="F964" s="2" t="s">
        <v>31</v>
      </c>
      <c r="G964" s="337" t="s">
        <v>31</v>
      </c>
      <c r="H964" s="321"/>
      <c r="I964" s="2" t="s">
        <v>31</v>
      </c>
      <c r="J964" s="337" t="s">
        <v>31</v>
      </c>
      <c r="K964" s="321"/>
      <c r="L964" s="2" t="s">
        <v>31</v>
      </c>
      <c r="M964" s="2"/>
      <c r="N964" s="337" t="s">
        <v>31</v>
      </c>
      <c r="O964" s="321"/>
      <c r="P964" s="2" t="s">
        <v>31</v>
      </c>
      <c r="Q964" s="2"/>
      <c r="R964" s="337" t="s">
        <v>31</v>
      </c>
      <c r="S964" s="321"/>
      <c r="T964" s="2" t="s">
        <v>31</v>
      </c>
      <c r="U964" s="2"/>
      <c r="V964" s="337" t="s">
        <v>31</v>
      </c>
      <c r="W964" s="321"/>
      <c r="X964" s="2" t="s">
        <v>31</v>
      </c>
      <c r="Y964" s="20"/>
      <c r="Z964" s="74"/>
      <c r="AA964" s="74"/>
      <c r="AB964" s="74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</row>
    <row r="965" spans="1:47" hidden="1">
      <c r="A965" s="323" t="s">
        <v>473</v>
      </c>
      <c r="B965" s="1"/>
      <c r="C965" s="319">
        <f>[53]Sheet1!$G$3</f>
        <v>315169.15151515102</v>
      </c>
      <c r="D965" s="337">
        <v>1.06</v>
      </c>
      <c r="E965" s="337"/>
      <c r="F965" s="2">
        <f>ROUND(D965*$C965,0)</f>
        <v>334079</v>
      </c>
      <c r="G965" s="337">
        <v>1.06</v>
      </c>
      <c r="H965" s="321"/>
      <c r="I965" s="2">
        <f t="shared" ref="I965:I967" si="240">ROUND(G965*C965,0)</f>
        <v>334079</v>
      </c>
      <c r="J965" s="337">
        <f ca="1">J945</f>
        <v>1.18</v>
      </c>
      <c r="K965" s="321"/>
      <c r="L965" s="2">
        <f ca="1">ROUND(J965*$C965,0)</f>
        <v>371900</v>
      </c>
      <c r="M965" s="2"/>
      <c r="N965" s="337">
        <f ca="1">N945</f>
        <v>1.18</v>
      </c>
      <c r="O965" s="321"/>
      <c r="P965" s="2">
        <f ca="1">ROUND(N965*$C965,0)</f>
        <v>371900</v>
      </c>
      <c r="Q965" s="2"/>
      <c r="R965" s="337" t="str">
        <f>R945</f>
        <v xml:space="preserve"> </v>
      </c>
      <c r="S965" s="321"/>
      <c r="T965" s="2">
        <f>ROUND(R965*$C965,0)</f>
        <v>0</v>
      </c>
      <c r="U965" s="2"/>
      <c r="V965" s="337" t="str">
        <f>V945</f>
        <v xml:space="preserve"> </v>
      </c>
      <c r="W965" s="321"/>
      <c r="X965" s="2">
        <f>ROUND(V965*$C965,0)</f>
        <v>0</v>
      </c>
      <c r="Y965" s="20"/>
      <c r="Z965" s="74"/>
      <c r="AA965" s="74"/>
      <c r="AB965" s="74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</row>
    <row r="966" spans="1:47" hidden="1">
      <c r="A966" s="323" t="s">
        <v>474</v>
      </c>
      <c r="B966" s="1"/>
      <c r="C966" s="319">
        <v>0</v>
      </c>
      <c r="D966" s="337">
        <v>0.96</v>
      </c>
      <c r="E966" s="337"/>
      <c r="F966" s="2">
        <f>ROUND(D966*$C966,0)</f>
        <v>0</v>
      </c>
      <c r="G966" s="337">
        <v>0.96</v>
      </c>
      <c r="H966" s="321"/>
      <c r="I966" s="2">
        <f t="shared" si="240"/>
        <v>0</v>
      </c>
      <c r="J966" s="337">
        <f ca="1">J946</f>
        <v>1.07</v>
      </c>
      <c r="K966" s="321"/>
      <c r="L966" s="2">
        <f ca="1">ROUND(J966*$C966,0)</f>
        <v>0</v>
      </c>
      <c r="M966" s="2"/>
      <c r="N966" s="337">
        <f ca="1">N946</f>
        <v>1.07</v>
      </c>
      <c r="O966" s="321"/>
      <c r="P966" s="2">
        <f ca="1">ROUND(N966*$C966,0)</f>
        <v>0</v>
      </c>
      <c r="Q966" s="2"/>
      <c r="R966" s="337" t="str">
        <f>R946</f>
        <v xml:space="preserve"> </v>
      </c>
      <c r="S966" s="321"/>
      <c r="T966" s="2">
        <f>ROUND(R966*$C966,0)</f>
        <v>0</v>
      </c>
      <c r="U966" s="2"/>
      <c r="V966" s="337" t="str">
        <f>V946</f>
        <v xml:space="preserve"> </v>
      </c>
      <c r="W966" s="321"/>
      <c r="X966" s="2">
        <f>ROUND(V966*$C966,0)</f>
        <v>0</v>
      </c>
      <c r="Y966" s="20"/>
      <c r="Z966" s="74"/>
      <c r="AA966" s="74"/>
      <c r="AB966" s="74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</row>
    <row r="967" spans="1:47" hidden="1">
      <c r="A967" s="309" t="s">
        <v>403</v>
      </c>
      <c r="B967" s="1"/>
      <c r="C967" s="319">
        <f>[53]Sheet1!$J$3</f>
        <v>234019.363636364</v>
      </c>
      <c r="D967" s="337">
        <v>7.12</v>
      </c>
      <c r="E967" s="337"/>
      <c r="F967" s="2">
        <f>ROUND(D967*$C967,0)</f>
        <v>1666218</v>
      </c>
      <c r="G967" s="337">
        <v>7.55</v>
      </c>
      <c r="H967" s="321"/>
      <c r="I967" s="2">
        <f t="shared" si="240"/>
        <v>1766846</v>
      </c>
      <c r="J967" s="337">
        <f ca="1">J947</f>
        <v>8.48</v>
      </c>
      <c r="K967" s="321"/>
      <c r="L967" s="2">
        <f ca="1">ROUND(J967*$C967,0)</f>
        <v>1984484</v>
      </c>
      <c r="M967" s="2"/>
      <c r="N967" s="337">
        <f ca="1">N947</f>
        <v>1.1100000000000001</v>
      </c>
      <c r="O967" s="321"/>
      <c r="P967" s="2">
        <f ca="1">ROUND(N967*$C967,0)</f>
        <v>259761</v>
      </c>
      <c r="Q967" s="2"/>
      <c r="R967" s="337">
        <f ca="1">R947</f>
        <v>1.46</v>
      </c>
      <c r="S967" s="321"/>
      <c r="T967" s="2">
        <f ca="1">ROUND(R967*$C967,0)</f>
        <v>341668</v>
      </c>
      <c r="U967" s="2"/>
      <c r="V967" s="337">
        <f ca="1">V947</f>
        <v>5.91</v>
      </c>
      <c r="W967" s="321"/>
      <c r="X967" s="2">
        <f ca="1">ROUND(V967*$C967,0)</f>
        <v>1383054</v>
      </c>
      <c r="Y967" s="20"/>
      <c r="Z967" s="74"/>
      <c r="AA967" s="74"/>
      <c r="AB967" s="74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</row>
    <row r="968" spans="1:47" hidden="1">
      <c r="A968" s="323" t="s">
        <v>426</v>
      </c>
      <c r="B968" s="1"/>
      <c r="C968" s="319"/>
      <c r="D968" s="337" t="s">
        <v>31</v>
      </c>
      <c r="E968" s="337"/>
      <c r="F968" s="2"/>
      <c r="G968" s="337" t="s">
        <v>31</v>
      </c>
      <c r="H968" s="321"/>
      <c r="I968" s="2"/>
      <c r="J968" s="337" t="s">
        <v>31</v>
      </c>
      <c r="K968" s="321"/>
      <c r="L968" s="2"/>
      <c r="M968" s="2"/>
      <c r="N968" s="337" t="s">
        <v>31</v>
      </c>
      <c r="O968" s="321"/>
      <c r="P968" s="2"/>
      <c r="Q968" s="2"/>
      <c r="R968" s="337" t="s">
        <v>31</v>
      </c>
      <c r="S968" s="321"/>
      <c r="T968" s="2"/>
      <c r="U968" s="2"/>
      <c r="V968" s="337" t="s">
        <v>31</v>
      </c>
      <c r="W968" s="321"/>
      <c r="X968" s="2"/>
      <c r="Y968" s="20"/>
      <c r="Z968" s="74"/>
      <c r="AA968" s="74"/>
      <c r="AB968" s="74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</row>
    <row r="969" spans="1:47" hidden="1">
      <c r="A969" s="323" t="s">
        <v>464</v>
      </c>
      <c r="B969" s="1"/>
      <c r="C969" s="319">
        <f>[53]Sheet1!$H$3+Temperature!B127*1000</f>
        <v>106526781.81593531</v>
      </c>
      <c r="D969" s="395">
        <v>4.2460000000000004</v>
      </c>
      <c r="E969" s="321" t="s">
        <v>374</v>
      </c>
      <c r="F969" s="2">
        <f>ROUND(D969/100*$C969,0)</f>
        <v>4523127</v>
      </c>
      <c r="G969" s="395">
        <v>4.5140000000000002</v>
      </c>
      <c r="H969" s="321" t="s">
        <v>374</v>
      </c>
      <c r="I969" s="2">
        <f>ROUND(G969/100*C969,0)</f>
        <v>4808619</v>
      </c>
      <c r="J969" s="395">
        <f ca="1">J949</f>
        <v>2.0669999999999997</v>
      </c>
      <c r="K969" s="321" t="s">
        <v>374</v>
      </c>
      <c r="L969" s="2">
        <f ca="1">ROUND(J969/100*$C969,0)</f>
        <v>2201909</v>
      </c>
      <c r="M969" s="2"/>
      <c r="N969" s="395" t="str">
        <f>N949</f>
        <v xml:space="preserve"> </v>
      </c>
      <c r="O969" s="321" t="s">
        <v>374</v>
      </c>
      <c r="P969" s="2">
        <f>ROUND(N969/100*$C969,0)</f>
        <v>0</v>
      </c>
      <c r="Q969" s="2"/>
      <c r="R969" s="395">
        <f ca="1">R949</f>
        <v>0.995</v>
      </c>
      <c r="S969" s="321" t="s">
        <v>374</v>
      </c>
      <c r="T969" s="2">
        <f ca="1">ROUND(R969/100*$C969,0)</f>
        <v>1059941</v>
      </c>
      <c r="U969" s="2"/>
      <c r="V969" s="395">
        <f ca="1">V949</f>
        <v>1.0720000000000001</v>
      </c>
      <c r="W969" s="321" t="s">
        <v>374</v>
      </c>
      <c r="X969" s="2">
        <f ca="1">ROUND(V969/100*$C969,0)</f>
        <v>1141967</v>
      </c>
      <c r="Y969" s="20"/>
      <c r="Z969" s="74"/>
      <c r="AA969" s="74"/>
      <c r="AB969" s="74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</row>
    <row r="970" spans="1:47" hidden="1">
      <c r="A970" s="323" t="s">
        <v>400</v>
      </c>
      <c r="B970" s="1"/>
      <c r="C970" s="319">
        <f>[53]Sheet1!$L$3</f>
        <v>29387</v>
      </c>
      <c r="D970" s="337">
        <v>0.55000000000000004</v>
      </c>
      <c r="E970" s="321"/>
      <c r="F970" s="2">
        <f>ROUND(D970*$C970,0)</f>
        <v>16163</v>
      </c>
      <c r="G970" s="337">
        <v>0.55000000000000004</v>
      </c>
      <c r="H970" s="321"/>
      <c r="I970" s="2">
        <f>ROUND(G970*C970,0)</f>
        <v>16163</v>
      </c>
      <c r="J970" s="337">
        <f>J950</f>
        <v>0.55000000000000004</v>
      </c>
      <c r="K970" s="321"/>
      <c r="L970" s="2">
        <f>ROUND(J970*$C970,0)</f>
        <v>16163</v>
      </c>
      <c r="M970" s="2"/>
      <c r="N970" s="337" t="str">
        <f>N950</f>
        <v xml:space="preserve"> </v>
      </c>
      <c r="O970" s="321"/>
      <c r="P970" s="2">
        <f>ROUND(N970*$C970,0)</f>
        <v>0</v>
      </c>
      <c r="Q970" s="2"/>
      <c r="R970" s="337">
        <f ca="1">R950</f>
        <v>0.11</v>
      </c>
      <c r="S970" s="321"/>
      <c r="T970" s="2">
        <f ca="1">ROUND(R970*$C970,0)</f>
        <v>3233</v>
      </c>
      <c r="U970" s="2"/>
      <c r="V970" s="337">
        <f ca="1">V950</f>
        <v>0.44</v>
      </c>
      <c r="W970" s="321"/>
      <c r="X970" s="2">
        <f ca="1">ROUND(V970*$C970,0)</f>
        <v>12930</v>
      </c>
      <c r="Y970" s="20"/>
      <c r="Z970" s="74"/>
      <c r="AA970" s="74"/>
      <c r="AB970" s="74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</row>
    <row r="971" spans="1:47" s="1184" customFormat="1" hidden="1">
      <c r="A971" s="1005" t="s">
        <v>1035</v>
      </c>
      <c r="C971" s="1202">
        <f>C969</f>
        <v>106526781.81593531</v>
      </c>
      <c r="D971" s="269"/>
      <c r="E971" s="1185"/>
      <c r="F971" s="1203"/>
      <c r="G971" s="269"/>
      <c r="H971" s="1185"/>
      <c r="I971" s="1203"/>
      <c r="J971" s="1230">
        <f>J951</f>
        <v>2.9510000000000001</v>
      </c>
      <c r="K971" s="1041" t="s">
        <v>374</v>
      </c>
      <c r="L971" s="1203">
        <f>ROUND(J971*$C971/100,0)</f>
        <v>3143605</v>
      </c>
      <c r="M971" s="1203"/>
      <c r="N971" s="1230" t="str">
        <f>N951</f>
        <v xml:space="preserve"> </v>
      </c>
      <c r="O971" s="1041" t="s">
        <v>374</v>
      </c>
      <c r="P971" s="1203">
        <f>ROUND(N971*$C971/100,0)</f>
        <v>0</v>
      </c>
      <c r="Q971" s="1203"/>
      <c r="R971" s="1230" t="str">
        <f>R951</f>
        <v xml:space="preserve"> </v>
      </c>
      <c r="S971" s="1041" t="s">
        <v>374</v>
      </c>
      <c r="T971" s="1203">
        <f>ROUND(R971*$C971/100,0)</f>
        <v>0</v>
      </c>
      <c r="U971" s="1203"/>
      <c r="V971" s="1230">
        <f>V951</f>
        <v>2.9510000000000001</v>
      </c>
      <c r="W971" s="1041" t="s">
        <v>374</v>
      </c>
      <c r="X971" s="1203">
        <f>ROUND(V971*$C971/100,0)</f>
        <v>3143605</v>
      </c>
      <c r="Z971" s="815"/>
      <c r="AC971" s="1205"/>
      <c r="AD971" s="1205"/>
      <c r="AI971" s="1185"/>
      <c r="AJ971" s="1185"/>
      <c r="AK971" s="1185"/>
      <c r="AL971" s="1185"/>
      <c r="AM971" s="1185"/>
      <c r="AN971" s="1185"/>
      <c r="AO971" s="1185"/>
      <c r="AP971" s="1185"/>
      <c r="AQ971" s="1185"/>
      <c r="AR971" s="1185"/>
      <c r="AS971" s="1185"/>
      <c r="AU971" s="1204"/>
    </row>
    <row r="972" spans="1:47" hidden="1">
      <c r="A972" s="1" t="s">
        <v>381</v>
      </c>
      <c r="B972" s="1"/>
      <c r="C972" s="319">
        <f>C969</f>
        <v>106526781.81593531</v>
      </c>
      <c r="D972" s="330"/>
      <c r="E972" s="2"/>
      <c r="F972" s="2">
        <f>SUM(F962:F970)</f>
        <v>6904651</v>
      </c>
      <c r="G972" s="330"/>
      <c r="H972" s="1"/>
      <c r="I972" s="2">
        <f>SUM(I962:I970)</f>
        <v>7290771</v>
      </c>
      <c r="J972" s="330"/>
      <c r="K972" s="1"/>
      <c r="L972" s="2">
        <f ca="1">SUM(L962:L971)</f>
        <v>8083125</v>
      </c>
      <c r="M972" s="2"/>
      <c r="N972" s="330"/>
      <c r="O972" s="1"/>
      <c r="P972" s="2">
        <f ca="1">SUM(P962:P971)</f>
        <v>996725</v>
      </c>
      <c r="Q972" s="2"/>
      <c r="R972" s="330"/>
      <c r="S972" s="1"/>
      <c r="T972" s="2">
        <f ca="1">SUM(T962:T971)</f>
        <v>1404842</v>
      </c>
      <c r="U972" s="2"/>
      <c r="V972" s="330"/>
      <c r="W972" s="1"/>
      <c r="X972" s="2">
        <f ca="1">SUM(X962:X971)</f>
        <v>5681556</v>
      </c>
      <c r="Y972" s="20"/>
      <c r="Z972" s="74"/>
      <c r="AA972" s="777"/>
      <c r="AB972" s="777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</row>
    <row r="973" spans="1:47" hidden="1">
      <c r="A973" s="1" t="s">
        <v>363</v>
      </c>
      <c r="B973" s="1"/>
      <c r="C973" s="319">
        <f>C972/($C$972+$C$1030)*$C$1067</f>
        <v>-305760.36408051598</v>
      </c>
      <c r="D973" s="309"/>
      <c r="E973" s="309"/>
      <c r="F973" s="764">
        <f>I973</f>
        <v>-17282.278191490568</v>
      </c>
      <c r="G973" s="309"/>
      <c r="H973" s="309"/>
      <c r="I973" s="340">
        <f>I972/($I$972+$I$1030)*$I$1067</f>
        <v>-17282.278191490568</v>
      </c>
      <c r="J973" s="309"/>
      <c r="K973" s="309"/>
      <c r="L973" s="341">
        <f>I973</f>
        <v>-17282.278191490568</v>
      </c>
      <c r="M973" s="322"/>
      <c r="N973" s="309"/>
      <c r="O973" s="309"/>
      <c r="P973" s="341">
        <f ca="1">$L$973*Y957/($Y957+$Z$957+$AA$957)</f>
        <v>-1895.5304559162455</v>
      </c>
      <c r="Q973" s="51"/>
      <c r="R973" s="309"/>
      <c r="S973" s="309"/>
      <c r="T973" s="341">
        <f ca="1">$L$973*Z957/($Y957+$Z$957+$AA$957)</f>
        <v>-3049.7331041362349</v>
      </c>
      <c r="U973" s="51"/>
      <c r="V973" s="309"/>
      <c r="W973" s="309"/>
      <c r="X973" s="341">
        <f ca="1">$L$973*AA957/($Y957+$Z$957+$AA$957)</f>
        <v>-12337.014631438087</v>
      </c>
      <c r="Y973" s="444"/>
      <c r="Z973" s="777" t="s">
        <v>31</v>
      </c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</row>
    <row r="974" spans="1:47" ht="16.5" hidden="1" thickBot="1">
      <c r="A974" s="1" t="s">
        <v>382</v>
      </c>
      <c r="B974" s="1"/>
      <c r="C974" s="393">
        <f>SUM(C972)+C973</f>
        <v>106221021.4518548</v>
      </c>
      <c r="D974" s="342"/>
      <c r="E974" s="343"/>
      <c r="F974" s="344">
        <f>F972+F973</f>
        <v>6887368.721808509</v>
      </c>
      <c r="G974" s="342"/>
      <c r="H974" s="345"/>
      <c r="I974" s="344">
        <f>I972+I973</f>
        <v>7273488.721808509</v>
      </c>
      <c r="J974" s="342"/>
      <c r="K974" s="345"/>
      <c r="L974" s="344">
        <f ca="1">L972+L973</f>
        <v>8065842.721808509</v>
      </c>
      <c r="M974" s="344"/>
      <c r="N974" s="342"/>
      <c r="O974" s="345"/>
      <c r="P974" s="344">
        <f ca="1">P972+P973</f>
        <v>994829.46954408381</v>
      </c>
      <c r="Q974" s="344"/>
      <c r="R974" s="342"/>
      <c r="S974" s="345"/>
      <c r="T974" s="344">
        <f ca="1">T972+T973</f>
        <v>1401792.2668958637</v>
      </c>
      <c r="U974" s="344"/>
      <c r="V974" s="342"/>
      <c r="W974" s="345"/>
      <c r="X974" s="344">
        <f ca="1">X972+X973</f>
        <v>5669218.9853685619</v>
      </c>
      <c r="Y974" s="411"/>
      <c r="Z974" s="777" t="s">
        <v>31</v>
      </c>
      <c r="AA974" s="74"/>
      <c r="AB974" s="74"/>
      <c r="AC974" s="801" t="s">
        <v>31</v>
      </c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</row>
    <row r="975" spans="1:47" ht="16.5" hidden="1" thickTop="1">
      <c r="A975" s="1"/>
      <c r="B975" s="1"/>
      <c r="C975" s="21"/>
      <c r="D975" s="337"/>
      <c r="E975" s="2"/>
      <c r="F975" s="2"/>
      <c r="G975" s="337"/>
      <c r="H975" s="1"/>
      <c r="I975" s="2"/>
      <c r="J975" s="337"/>
      <c r="K975" s="1"/>
      <c r="L975" s="380"/>
      <c r="M975" s="380"/>
      <c r="N975" s="337"/>
      <c r="O975" s="1"/>
      <c r="P975" s="380"/>
      <c r="Q975" s="380"/>
      <c r="R975" s="337"/>
      <c r="S975" s="1"/>
      <c r="T975" s="380"/>
      <c r="U975" s="380"/>
      <c r="V975" s="337"/>
      <c r="W975" s="1"/>
      <c r="X975" s="380"/>
      <c r="Y975" s="20"/>
      <c r="Z975" s="74"/>
      <c r="AA975" s="74"/>
      <c r="AB975" s="74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</row>
    <row r="976" spans="1:47" hidden="1">
      <c r="A976" s="293" t="s">
        <v>476</v>
      </c>
      <c r="B976" s="1"/>
      <c r="C976" s="1"/>
      <c r="D976" s="2"/>
      <c r="E976" s="2"/>
      <c r="F976" s="1"/>
      <c r="G976" s="2"/>
      <c r="H976" s="1"/>
      <c r="I976" s="1"/>
      <c r="J976" s="2"/>
      <c r="K976" s="1"/>
      <c r="L976" s="1"/>
      <c r="M976" s="1"/>
      <c r="N976" s="2"/>
      <c r="O976" s="1"/>
      <c r="P976" s="1"/>
      <c r="Q976" s="1"/>
      <c r="R976" s="2"/>
      <c r="S976" s="1"/>
      <c r="T976" s="1"/>
      <c r="U976" s="1"/>
      <c r="V976" s="2"/>
      <c r="W976" s="1"/>
      <c r="X976" s="1"/>
      <c r="Y976" s="20"/>
      <c r="Z976" s="74"/>
      <c r="AA976" s="74"/>
      <c r="AB976" s="74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</row>
    <row r="977" spans="1:47" hidden="1">
      <c r="A977" s="309" t="s">
        <v>696</v>
      </c>
      <c r="B977" s="1"/>
      <c r="C977" s="1"/>
      <c r="D977" s="2"/>
      <c r="E977" s="2"/>
      <c r="F977" s="1"/>
      <c r="G977" s="2"/>
      <c r="H977" s="1"/>
      <c r="I977" s="1"/>
      <c r="J977" s="2"/>
      <c r="K977" s="1"/>
      <c r="L977" s="1"/>
      <c r="M977" s="1"/>
      <c r="N977" s="2"/>
      <c r="O977" s="1"/>
      <c r="P977" s="1"/>
      <c r="Q977" s="1"/>
      <c r="R977" s="2"/>
      <c r="S977" s="1"/>
      <c r="T977" s="1"/>
      <c r="U977" s="1"/>
      <c r="V977" s="2"/>
      <c r="W977" s="1"/>
      <c r="X977" s="1"/>
      <c r="Y977" s="20"/>
      <c r="Z977" s="74"/>
      <c r="AA977" s="74"/>
      <c r="AB977" s="74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</row>
    <row r="978" spans="1:47" hidden="1">
      <c r="A978" s="323"/>
      <c r="B978" s="1"/>
      <c r="C978" s="1"/>
      <c r="D978" s="2"/>
      <c r="E978" s="2"/>
      <c r="F978" s="1"/>
      <c r="G978" s="2"/>
      <c r="H978" s="1"/>
      <c r="I978" s="1"/>
      <c r="J978" s="2"/>
      <c r="K978" s="1"/>
      <c r="L978" s="1"/>
      <c r="M978" s="1"/>
      <c r="N978" s="2"/>
      <c r="O978" s="1"/>
      <c r="P978" s="1"/>
      <c r="Q978" s="1"/>
      <c r="R978" s="2"/>
      <c r="S978" s="1"/>
      <c r="T978" s="1"/>
      <c r="U978" s="1"/>
      <c r="V978" s="2"/>
      <c r="W978" s="1"/>
      <c r="X978" s="1"/>
      <c r="Y978" s="20"/>
      <c r="Z978" s="74"/>
      <c r="AA978" s="74"/>
      <c r="AB978" s="74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</row>
    <row r="979" spans="1:47" hidden="1">
      <c r="A979" s="323" t="s">
        <v>393</v>
      </c>
      <c r="B979" s="1"/>
      <c r="C979" s="319"/>
      <c r="D979" s="2"/>
      <c r="E979" s="2"/>
      <c r="F979" s="1"/>
      <c r="G979" s="2"/>
      <c r="H979" s="1"/>
      <c r="I979" s="1"/>
      <c r="J979" s="2"/>
      <c r="K979" s="1"/>
      <c r="L979" s="1"/>
      <c r="M979" s="1"/>
      <c r="N979" s="2"/>
      <c r="O979" s="1"/>
      <c r="P979" s="1"/>
      <c r="Q979" s="1"/>
      <c r="R979" s="2"/>
      <c r="S979" s="1"/>
      <c r="T979" s="1"/>
      <c r="U979" s="1"/>
      <c r="V979" s="2"/>
      <c r="W979" s="1"/>
      <c r="X979" s="1"/>
      <c r="Y979" s="20"/>
      <c r="Z979" s="74"/>
      <c r="AA979" s="74"/>
      <c r="AB979" s="74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</row>
    <row r="980" spans="1:47" hidden="1">
      <c r="A980" s="323" t="s">
        <v>471</v>
      </c>
      <c r="B980" s="1"/>
      <c r="C980" s="319">
        <f>[53]Sheet1!$E$6</f>
        <v>338.48484848484901</v>
      </c>
      <c r="D980" s="337">
        <v>1386</v>
      </c>
      <c r="E980" s="337"/>
      <c r="F980" s="2">
        <f>ROUND(D980*$C980,0)</f>
        <v>469140</v>
      </c>
      <c r="G980" s="337">
        <v>1386</v>
      </c>
      <c r="H980" s="321"/>
      <c r="I980" s="2">
        <f>ROUND(G980*C980,0)</f>
        <v>469140</v>
      </c>
      <c r="J980" s="337">
        <f>J942</f>
        <v>1386</v>
      </c>
      <c r="K980" s="321"/>
      <c r="L980" s="2">
        <f>ROUND(J980*$C980,0)</f>
        <v>469140</v>
      </c>
      <c r="M980" s="2"/>
      <c r="N980" s="337">
        <f>N942</f>
        <v>1386</v>
      </c>
      <c r="O980" s="321"/>
      <c r="P980" s="2">
        <f>ROUND(N980*$C980,0)</f>
        <v>469140</v>
      </c>
      <c r="Q980" s="2"/>
      <c r="R980" s="337" t="str">
        <f>R942</f>
        <v xml:space="preserve"> </v>
      </c>
      <c r="S980" s="321"/>
      <c r="T980" s="2">
        <f>ROUND(R980*$C980,0)</f>
        <v>0</v>
      </c>
      <c r="U980" s="2"/>
      <c r="V980" s="337" t="str">
        <f>V942</f>
        <v xml:space="preserve"> </v>
      </c>
      <c r="W980" s="321"/>
      <c r="X980" s="2">
        <f>ROUND(V980*$C980,0)</f>
        <v>0</v>
      </c>
      <c r="Y980" s="20"/>
      <c r="Z980" s="74"/>
      <c r="AA980" s="74"/>
      <c r="AB980" s="74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</row>
    <row r="981" spans="1:47" hidden="1">
      <c r="A981" s="323" t="s">
        <v>472</v>
      </c>
      <c r="B981" s="1"/>
      <c r="C981" s="319">
        <v>0</v>
      </c>
      <c r="D981" s="337">
        <v>1675</v>
      </c>
      <c r="E981" s="337"/>
      <c r="F981" s="2">
        <f>ROUND(D981*$C981,0)</f>
        <v>0</v>
      </c>
      <c r="G981" s="337">
        <v>1675</v>
      </c>
      <c r="H981" s="324"/>
      <c r="I981" s="2">
        <f>ROUND(G981*C981,0)</f>
        <v>0</v>
      </c>
      <c r="J981" s="337">
        <f>J943</f>
        <v>1675</v>
      </c>
      <c r="K981" s="324"/>
      <c r="L981" s="2">
        <f>ROUND(J981*$C981,0)</f>
        <v>0</v>
      </c>
      <c r="M981" s="2"/>
      <c r="N981" s="337">
        <f>N943</f>
        <v>1675</v>
      </c>
      <c r="O981" s="324"/>
      <c r="P981" s="2">
        <f>ROUND(N981*$C981,0)</f>
        <v>0</v>
      </c>
      <c r="Q981" s="2"/>
      <c r="R981" s="337" t="str">
        <f>R943</f>
        <v xml:space="preserve"> </v>
      </c>
      <c r="S981" s="324"/>
      <c r="T981" s="2">
        <f>ROUND(R981*$C981,0)</f>
        <v>0</v>
      </c>
      <c r="U981" s="2"/>
      <c r="V981" s="337" t="str">
        <f>V943</f>
        <v xml:space="preserve"> </v>
      </c>
      <c r="W981" s="324"/>
      <c r="X981" s="2">
        <f>ROUND(V981*$C981,0)</f>
        <v>0</v>
      </c>
      <c r="Y981" s="20"/>
      <c r="Z981" s="74"/>
      <c r="AA981" s="74"/>
      <c r="AB981" s="74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</row>
    <row r="982" spans="1:47" hidden="1">
      <c r="A982" s="323" t="s">
        <v>394</v>
      </c>
      <c r="B982" s="1"/>
      <c r="C982" s="319">
        <f>SUM(C980:C981)</f>
        <v>338.48484848484901</v>
      </c>
      <c r="D982" s="337" t="s">
        <v>31</v>
      </c>
      <c r="E982" s="337"/>
      <c r="F982" s="2" t="s">
        <v>31</v>
      </c>
      <c r="G982" s="337" t="s">
        <v>31</v>
      </c>
      <c r="H982" s="321"/>
      <c r="I982" s="2" t="s">
        <v>31</v>
      </c>
      <c r="J982" s="337" t="s">
        <v>31</v>
      </c>
      <c r="K982" s="321"/>
      <c r="L982" s="2" t="s">
        <v>31</v>
      </c>
      <c r="M982" s="2"/>
      <c r="N982" s="337" t="s">
        <v>31</v>
      </c>
      <c r="O982" s="321"/>
      <c r="P982" s="2" t="s">
        <v>31</v>
      </c>
      <c r="Q982" s="2"/>
      <c r="R982" s="337" t="s">
        <v>31</v>
      </c>
      <c r="S982" s="321"/>
      <c r="T982" s="2" t="s">
        <v>31</v>
      </c>
      <c r="U982" s="2"/>
      <c r="V982" s="337" t="s">
        <v>31</v>
      </c>
      <c r="W982" s="321"/>
      <c r="X982" s="2" t="s">
        <v>31</v>
      </c>
      <c r="Y982" s="20"/>
      <c r="Z982" s="74"/>
      <c r="AA982" s="74"/>
      <c r="AB982" s="74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</row>
    <row r="983" spans="1:47" hidden="1">
      <c r="A983" s="323" t="s">
        <v>473</v>
      </c>
      <c r="B983" s="1"/>
      <c r="C983" s="319">
        <f>[53]Sheet1!$G$6</f>
        <v>546455.24242424197</v>
      </c>
      <c r="D983" s="337">
        <v>1.06</v>
      </c>
      <c r="E983" s="337"/>
      <c r="F983" s="2">
        <f>ROUND(D983*$C983,0)</f>
        <v>579243</v>
      </c>
      <c r="G983" s="337">
        <v>1.06</v>
      </c>
      <c r="H983" s="321"/>
      <c r="I983" s="2">
        <f t="shared" ref="I983:I985" si="241">ROUND(G983*C983,0)</f>
        <v>579243</v>
      </c>
      <c r="J983" s="337">
        <f ca="1">J945</f>
        <v>1.18</v>
      </c>
      <c r="K983" s="321"/>
      <c r="L983" s="2">
        <f ca="1">ROUND(J983*$C983,0)</f>
        <v>644817</v>
      </c>
      <c r="M983" s="2"/>
      <c r="N983" s="337">
        <f ca="1">N945</f>
        <v>1.18</v>
      </c>
      <c r="O983" s="321"/>
      <c r="P983" s="2">
        <f ca="1">ROUND(N983*$C983,0)</f>
        <v>644817</v>
      </c>
      <c r="Q983" s="2"/>
      <c r="R983" s="337" t="str">
        <f>R945</f>
        <v xml:space="preserve"> </v>
      </c>
      <c r="S983" s="321"/>
      <c r="T983" s="2">
        <f>ROUND(R983*$C983,0)</f>
        <v>0</v>
      </c>
      <c r="U983" s="2"/>
      <c r="V983" s="337" t="str">
        <f>V945</f>
        <v xml:space="preserve"> </v>
      </c>
      <c r="W983" s="321"/>
      <c r="X983" s="2">
        <f>ROUND(V983*$C983,0)</f>
        <v>0</v>
      </c>
      <c r="Y983" s="20"/>
      <c r="Z983" s="74"/>
      <c r="AA983" s="74"/>
      <c r="AB983" s="74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</row>
    <row r="984" spans="1:47" hidden="1">
      <c r="A984" s="323" t="s">
        <v>474</v>
      </c>
      <c r="B984" s="1"/>
      <c r="C984" s="319">
        <v>0</v>
      </c>
      <c r="D984" s="337">
        <v>0.96</v>
      </c>
      <c r="E984" s="337"/>
      <c r="F984" s="2">
        <f>ROUND(D984*$C984,0)</f>
        <v>0</v>
      </c>
      <c r="G984" s="337">
        <v>0.96</v>
      </c>
      <c r="H984" s="321"/>
      <c r="I984" s="2">
        <f t="shared" si="241"/>
        <v>0</v>
      </c>
      <c r="J984" s="337">
        <f ca="1">J946</f>
        <v>1.07</v>
      </c>
      <c r="K984" s="321"/>
      <c r="L984" s="2">
        <f ca="1">ROUND(J984*$C984,0)</f>
        <v>0</v>
      </c>
      <c r="M984" s="2"/>
      <c r="N984" s="337">
        <f ca="1">N946</f>
        <v>1.07</v>
      </c>
      <c r="O984" s="321"/>
      <c r="P984" s="2">
        <f ca="1">ROUND(N984*$C984,0)</f>
        <v>0</v>
      </c>
      <c r="Q984" s="2"/>
      <c r="R984" s="337" t="str">
        <f>R946</f>
        <v xml:space="preserve"> </v>
      </c>
      <c r="S984" s="321"/>
      <c r="T984" s="2">
        <f>ROUND(R984*$C984,0)</f>
        <v>0</v>
      </c>
      <c r="U984" s="2"/>
      <c r="V984" s="337" t="str">
        <f>V946</f>
        <v xml:space="preserve"> </v>
      </c>
      <c r="W984" s="321"/>
      <c r="X984" s="2">
        <f>ROUND(V984*$C984,0)</f>
        <v>0</v>
      </c>
      <c r="Y984" s="20"/>
      <c r="Z984" s="74"/>
      <c r="AA984" s="74"/>
      <c r="AB984" s="74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</row>
    <row r="985" spans="1:47" hidden="1">
      <c r="A985" s="309" t="s">
        <v>403</v>
      </c>
      <c r="B985" s="1"/>
      <c r="C985" s="319">
        <f>[53]Sheet1!$J$6</f>
        <v>467259.454545455</v>
      </c>
      <c r="D985" s="337">
        <v>7.12</v>
      </c>
      <c r="E985" s="337"/>
      <c r="F985" s="2">
        <f>ROUND(D985*$C985,0)</f>
        <v>3326887</v>
      </c>
      <c r="G985" s="337">
        <v>7.55</v>
      </c>
      <c r="H985" s="321"/>
      <c r="I985" s="2">
        <f t="shared" si="241"/>
        <v>3527809</v>
      </c>
      <c r="J985" s="337">
        <f ca="1">J947</f>
        <v>8.48</v>
      </c>
      <c r="K985" s="321"/>
      <c r="L985" s="2">
        <f ca="1">ROUND(J985*$C985,0)</f>
        <v>3962360</v>
      </c>
      <c r="M985" s="2"/>
      <c r="N985" s="337">
        <f ca="1">N947</f>
        <v>1.1100000000000001</v>
      </c>
      <c r="O985" s="321"/>
      <c r="P985" s="2">
        <f ca="1">ROUND(N985*$C985,0)</f>
        <v>518658</v>
      </c>
      <c r="Q985" s="2"/>
      <c r="R985" s="337">
        <f ca="1">R947</f>
        <v>1.46</v>
      </c>
      <c r="S985" s="321"/>
      <c r="T985" s="2">
        <f ca="1">ROUND(R985*$C985,0)</f>
        <v>682199</v>
      </c>
      <c r="U985" s="2"/>
      <c r="V985" s="337">
        <f ca="1">V947</f>
        <v>5.91</v>
      </c>
      <c r="W985" s="321"/>
      <c r="X985" s="2">
        <f ca="1">ROUND(V985*$C985,0)</f>
        <v>2761503</v>
      </c>
      <c r="Y985" s="20"/>
      <c r="Z985" s="74"/>
      <c r="AA985" s="74"/>
      <c r="AB985" s="74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</row>
    <row r="986" spans="1:47" hidden="1">
      <c r="A986" s="323" t="s">
        <v>426</v>
      </c>
      <c r="B986" s="1"/>
      <c r="C986" s="319"/>
      <c r="D986" s="337" t="s">
        <v>31</v>
      </c>
      <c r="E986" s="337"/>
      <c r="F986" s="2"/>
      <c r="G986" s="337" t="s">
        <v>31</v>
      </c>
      <c r="H986" s="321"/>
      <c r="I986" s="2"/>
      <c r="J986" s="337" t="s">
        <v>31</v>
      </c>
      <c r="K986" s="321"/>
      <c r="L986" s="2"/>
      <c r="M986" s="2"/>
      <c r="N986" s="337" t="s">
        <v>31</v>
      </c>
      <c r="O986" s="321"/>
      <c r="P986" s="2"/>
      <c r="Q986" s="2"/>
      <c r="R986" s="337" t="s">
        <v>31</v>
      </c>
      <c r="S986" s="321"/>
      <c r="T986" s="2"/>
      <c r="U986" s="2"/>
      <c r="V986" s="337" t="s">
        <v>31</v>
      </c>
      <c r="W986" s="321"/>
      <c r="X986" s="2"/>
      <c r="Y986" s="20"/>
      <c r="Z986" s="74"/>
      <c r="AA986" s="74"/>
      <c r="AB986" s="74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</row>
    <row r="987" spans="1:47" hidden="1">
      <c r="A987" s="323" t="s">
        <v>464</v>
      </c>
      <c r="B987" s="1"/>
      <c r="C987" s="319">
        <f>[53]Sheet1!$H$6</f>
        <v>213786555</v>
      </c>
      <c r="D987" s="395">
        <v>4.2460000000000004</v>
      </c>
      <c r="E987" s="321" t="s">
        <v>374</v>
      </c>
      <c r="F987" s="2">
        <f>ROUND(D987/100*$C987,0)</f>
        <v>9077377</v>
      </c>
      <c r="G987" s="395">
        <v>4.5140000000000002</v>
      </c>
      <c r="H987" s="321" t="s">
        <v>374</v>
      </c>
      <c r="I987" s="2">
        <f>ROUND(G987/100*C987,0)</f>
        <v>9650325</v>
      </c>
      <c r="J987" s="395">
        <f ca="1">J949</f>
        <v>2.0669999999999997</v>
      </c>
      <c r="K987" s="321" t="s">
        <v>374</v>
      </c>
      <c r="L987" s="2">
        <f ca="1">ROUND(J987/100*$C987,0)</f>
        <v>4418968</v>
      </c>
      <c r="M987" s="2"/>
      <c r="N987" s="395" t="str">
        <f>N949</f>
        <v xml:space="preserve"> </v>
      </c>
      <c r="O987" s="321" t="s">
        <v>374</v>
      </c>
      <c r="P987" s="2">
        <f>ROUND(N987/100*$C987,0)</f>
        <v>0</v>
      </c>
      <c r="Q987" s="2"/>
      <c r="R987" s="395">
        <f ca="1">R949</f>
        <v>0.995</v>
      </c>
      <c r="S987" s="321" t="s">
        <v>374</v>
      </c>
      <c r="T987" s="2">
        <f ca="1">ROUND(R987/100*$C987,0)</f>
        <v>2127176</v>
      </c>
      <c r="U987" s="2"/>
      <c r="V987" s="395">
        <f ca="1">V949</f>
        <v>1.0720000000000001</v>
      </c>
      <c r="W987" s="321" t="s">
        <v>374</v>
      </c>
      <c r="X987" s="2">
        <f ca="1">ROUND(V987/100*$C987,0)</f>
        <v>2291792</v>
      </c>
      <c r="Y987" s="20"/>
      <c r="Z987" s="74"/>
      <c r="AA987" s="74"/>
      <c r="AB987" s="74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</row>
    <row r="988" spans="1:47" hidden="1">
      <c r="A988" s="323" t="s">
        <v>400</v>
      </c>
      <c r="B988" s="1"/>
      <c r="C988" s="319">
        <f>[53]Sheet1!$L$6</f>
        <v>135856.12121212101</v>
      </c>
      <c r="D988" s="337">
        <v>0.55000000000000004</v>
      </c>
      <c r="E988" s="321"/>
      <c r="F988" s="2">
        <f>ROUND(D988*$C988,0)</f>
        <v>74721</v>
      </c>
      <c r="G988" s="337">
        <v>0.55000000000000004</v>
      </c>
      <c r="H988" s="321"/>
      <c r="I988" s="2">
        <f>ROUND(G988*C988,0)</f>
        <v>74721</v>
      </c>
      <c r="J988" s="337">
        <f>J950</f>
        <v>0.55000000000000004</v>
      </c>
      <c r="K988" s="321"/>
      <c r="L988" s="2">
        <f>ROUND(J988*$C988,0)</f>
        <v>74721</v>
      </c>
      <c r="M988" s="2"/>
      <c r="N988" s="337" t="str">
        <f>N950</f>
        <v xml:space="preserve"> </v>
      </c>
      <c r="O988" s="321"/>
      <c r="P988" s="2">
        <f>ROUND(N988*$C988,0)</f>
        <v>0</v>
      </c>
      <c r="Q988" s="2"/>
      <c r="R988" s="337">
        <f ca="1">R950</f>
        <v>0.11</v>
      </c>
      <c r="S988" s="321"/>
      <c r="T988" s="2">
        <f ca="1">ROUND(R988*$C988,0)</f>
        <v>14944</v>
      </c>
      <c r="U988" s="2"/>
      <c r="V988" s="337">
        <f ca="1">V950</f>
        <v>0.44</v>
      </c>
      <c r="W988" s="321"/>
      <c r="X988" s="2">
        <f ca="1">ROUND(V988*$C988,0)</f>
        <v>59777</v>
      </c>
      <c r="Y988" s="20"/>
      <c r="Z988" s="74"/>
      <c r="AA988" s="74"/>
      <c r="AB988" s="74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</row>
    <row r="989" spans="1:47" s="1184" customFormat="1" hidden="1">
      <c r="A989" s="1005" t="s">
        <v>1035</v>
      </c>
      <c r="C989" s="1202">
        <f>C987</f>
        <v>213786555</v>
      </c>
      <c r="D989" s="269"/>
      <c r="E989" s="1185"/>
      <c r="F989" s="1203"/>
      <c r="G989" s="269"/>
      <c r="H989" s="1185"/>
      <c r="I989" s="1203"/>
      <c r="J989" s="1230">
        <f>J951</f>
        <v>2.9510000000000001</v>
      </c>
      <c r="K989" s="1041" t="s">
        <v>374</v>
      </c>
      <c r="L989" s="1203">
        <f>ROUND(J989*$C989/100,0)</f>
        <v>6308841</v>
      </c>
      <c r="M989" s="1203"/>
      <c r="N989" s="1230" t="str">
        <f>N951</f>
        <v xml:space="preserve"> </v>
      </c>
      <c r="O989" s="1041" t="s">
        <v>374</v>
      </c>
      <c r="P989" s="1203">
        <f>ROUND(N989*$C989/100,0)</f>
        <v>0</v>
      </c>
      <c r="Q989" s="1203"/>
      <c r="R989" s="1230" t="str">
        <f>R951</f>
        <v xml:space="preserve"> </v>
      </c>
      <c r="S989" s="1041" t="s">
        <v>374</v>
      </c>
      <c r="T989" s="1203">
        <f>ROUND(R989*$C989/100,0)</f>
        <v>0</v>
      </c>
      <c r="U989" s="1203"/>
      <c r="V989" s="1230">
        <f>V951</f>
        <v>2.9510000000000001</v>
      </c>
      <c r="W989" s="1041" t="s">
        <v>374</v>
      </c>
      <c r="X989" s="1203">
        <f>ROUND(V989*$C989/100,0)</f>
        <v>6308841</v>
      </c>
      <c r="Z989" s="815"/>
      <c r="AC989" s="1205"/>
      <c r="AD989" s="1205"/>
      <c r="AI989" s="1185"/>
      <c r="AJ989" s="1185"/>
      <c r="AK989" s="1185"/>
      <c r="AL989" s="1185"/>
      <c r="AM989" s="1185"/>
      <c r="AN989" s="1185"/>
      <c r="AO989" s="1185"/>
      <c r="AP989" s="1185"/>
      <c r="AQ989" s="1185"/>
      <c r="AR989" s="1185"/>
      <c r="AS989" s="1185"/>
      <c r="AU989" s="1204"/>
    </row>
    <row r="990" spans="1:47" hidden="1">
      <c r="A990" s="1" t="s">
        <v>381</v>
      </c>
      <c r="B990" s="1"/>
      <c r="C990" s="319">
        <f>C987</f>
        <v>213786555</v>
      </c>
      <c r="D990" s="330"/>
      <c r="E990" s="2"/>
      <c r="F990" s="2">
        <f>SUM(F980:F988)</f>
        <v>13527368</v>
      </c>
      <c r="G990" s="330"/>
      <c r="H990" s="1"/>
      <c r="I990" s="2">
        <f>SUM(I980:I988)</f>
        <v>14301238</v>
      </c>
      <c r="J990" s="330"/>
      <c r="K990" s="1"/>
      <c r="L990" s="2">
        <f ca="1">SUM(L980:L989)</f>
        <v>15878847</v>
      </c>
      <c r="M990" s="2"/>
      <c r="N990" s="330"/>
      <c r="O990" s="1"/>
      <c r="P990" s="2">
        <f ca="1">SUM(P980:P989)</f>
        <v>1632615</v>
      </c>
      <c r="Q990" s="2"/>
      <c r="R990" s="330"/>
      <c r="S990" s="1"/>
      <c r="T990" s="2">
        <f ca="1">SUM(T980:T989)</f>
        <v>2824319</v>
      </c>
      <c r="U990" s="2"/>
      <c r="V990" s="330"/>
      <c r="W990" s="1"/>
      <c r="X990" s="2">
        <f ca="1">SUM(X980:X989)</f>
        <v>11421913</v>
      </c>
      <c r="Y990" s="7" t="s">
        <v>31</v>
      </c>
      <c r="Z990" s="74"/>
      <c r="AA990" s="74"/>
      <c r="AB990" s="74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</row>
    <row r="991" spans="1:47" hidden="1">
      <c r="A991" s="1" t="s">
        <v>363</v>
      </c>
      <c r="B991" s="1"/>
      <c r="C991" s="319">
        <f ca="1">C990/($C$990+$C$1048)*$C$1086</f>
        <v>-3424334.6854361393</v>
      </c>
      <c r="D991" s="309"/>
      <c r="E991" s="309"/>
      <c r="F991" s="764">
        <f ca="1">I991</f>
        <v>-295740.50945887977</v>
      </c>
      <c r="G991" s="309"/>
      <c r="H991" s="309"/>
      <c r="I991" s="340">
        <f ca="1">I990/($I$990+$I$1048)*$I$1086</f>
        <v>-295740.50945887977</v>
      </c>
      <c r="J991" s="309"/>
      <c r="K991" s="309"/>
      <c r="L991" s="341">
        <f ca="1">I991</f>
        <v>-295740.50945887977</v>
      </c>
      <c r="M991" s="322"/>
      <c r="N991" s="309"/>
      <c r="O991" s="309"/>
      <c r="P991" s="341">
        <f ca="1">$L$991*Y957/($Y957+$Z$957+$AA$957)</f>
        <v>-32436.993347527154</v>
      </c>
      <c r="Q991" s="51"/>
      <c r="R991" s="309"/>
      <c r="S991" s="309"/>
      <c r="T991" s="341">
        <f ca="1">$L$991*Z957/($Y957+$Z$957+$AA$957)</f>
        <v>-52188.120798504002</v>
      </c>
      <c r="U991" s="51"/>
      <c r="V991" s="309"/>
      <c r="W991" s="309"/>
      <c r="X991" s="341">
        <f ca="1">$L$991*AA957/($Y957+$Z$957+$AA$957)</f>
        <v>-211115.39531284862</v>
      </c>
      <c r="Y991" s="444"/>
      <c r="Z991" s="287"/>
      <c r="AA991" s="74"/>
      <c r="AB991" s="74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</row>
    <row r="992" spans="1:47" ht="16.5" hidden="1" thickBot="1">
      <c r="A992" s="1" t="s">
        <v>382</v>
      </c>
      <c r="B992" s="1"/>
      <c r="C992" s="393">
        <f ca="1">SUM(C990)+C991</f>
        <v>210362220.31456387</v>
      </c>
      <c r="D992" s="342"/>
      <c r="E992" s="343"/>
      <c r="F992" s="344">
        <f ca="1">F990+F991</f>
        <v>13231627.490541121</v>
      </c>
      <c r="G992" s="342"/>
      <c r="H992" s="345"/>
      <c r="I992" s="344">
        <f ca="1">I990+I991</f>
        <v>14005497.490541121</v>
      </c>
      <c r="J992" s="342"/>
      <c r="K992" s="345"/>
      <c r="L992" s="344">
        <f ca="1">L990+L991</f>
        <v>15583106.490541121</v>
      </c>
      <c r="M992" s="344"/>
      <c r="N992" s="342"/>
      <c r="O992" s="345"/>
      <c r="P992" s="344">
        <f ca="1">P990+P991</f>
        <v>1600178.0066524728</v>
      </c>
      <c r="Q992" s="344"/>
      <c r="R992" s="342"/>
      <c r="S992" s="345"/>
      <c r="T992" s="344">
        <f ca="1">T990+T991</f>
        <v>2772130.879201496</v>
      </c>
      <c r="U992" s="344"/>
      <c r="V992" s="342"/>
      <c r="W992" s="345"/>
      <c r="X992" s="344">
        <f ca="1">X990+X991</f>
        <v>11210797.604687151</v>
      </c>
      <c r="Y992" s="411"/>
      <c r="Z992" s="470"/>
      <c r="AA992" s="74"/>
      <c r="AB992" s="74"/>
      <c r="AC992" s="801" t="s">
        <v>31</v>
      </c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</row>
    <row r="993" spans="1:47" ht="16.5" hidden="1" thickTop="1">
      <c r="A993" s="1"/>
      <c r="B993" s="1"/>
      <c r="C993" s="21"/>
      <c r="D993" s="337"/>
      <c r="E993" s="2"/>
      <c r="F993" s="2"/>
      <c r="G993" s="337"/>
      <c r="H993" s="1"/>
      <c r="I993" s="2"/>
      <c r="J993" s="337"/>
      <c r="K993" s="1"/>
      <c r="L993" s="380"/>
      <c r="M993" s="380"/>
      <c r="N993" s="337"/>
      <c r="O993" s="1"/>
      <c r="P993" s="380"/>
      <c r="Q993" s="380"/>
      <c r="R993" s="337"/>
      <c r="S993" s="1"/>
      <c r="T993" s="380"/>
      <c r="U993" s="380"/>
      <c r="V993" s="337"/>
      <c r="W993" s="1"/>
      <c r="X993" s="380"/>
      <c r="Z993" s="74"/>
      <c r="AA993" s="777" t="s">
        <v>31</v>
      </c>
      <c r="AB993" s="777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</row>
    <row r="994" spans="1:47" ht="16.5" thickTop="1">
      <c r="A994" s="1"/>
      <c r="B994" s="1"/>
      <c r="C994" s="21"/>
      <c r="D994" s="337"/>
      <c r="E994" s="2"/>
      <c r="F994" s="2"/>
      <c r="G994" s="337"/>
      <c r="H994" s="1"/>
      <c r="I994" s="2"/>
      <c r="J994" s="337"/>
      <c r="K994" s="1"/>
      <c r="L994" s="380"/>
      <c r="M994" s="380"/>
      <c r="N994" s="337"/>
      <c r="O994" s="1"/>
      <c r="P994" s="380"/>
      <c r="Q994" s="380"/>
      <c r="R994" s="337"/>
      <c r="S994" s="1"/>
      <c r="T994" s="380"/>
      <c r="U994" s="380"/>
      <c r="V994" s="337"/>
      <c r="W994" s="1"/>
      <c r="X994" s="380"/>
      <c r="Z994" s="74"/>
      <c r="AA994" s="777"/>
      <c r="AB994" s="777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</row>
    <row r="995" spans="1:47">
      <c r="A995" s="293" t="s">
        <v>476</v>
      </c>
      <c r="B995" s="1"/>
      <c r="C995" s="1"/>
      <c r="D995" s="2"/>
      <c r="E995" s="2"/>
      <c r="F995" s="1"/>
      <c r="G995" s="2"/>
      <c r="H995" s="1"/>
      <c r="I995" s="1"/>
      <c r="J995" s="2"/>
      <c r="K995" s="1"/>
      <c r="L995" s="1"/>
      <c r="M995" s="1"/>
      <c r="N995" s="2"/>
      <c r="O995" s="1"/>
      <c r="P995" s="1"/>
      <c r="Q995" s="1"/>
      <c r="R995" s="2"/>
      <c r="S995" s="1"/>
      <c r="T995" s="1"/>
      <c r="U995" s="1"/>
      <c r="V995" s="2"/>
      <c r="W995" s="1"/>
      <c r="X995" s="1"/>
      <c r="Y995" s="20"/>
      <c r="Z995" s="74"/>
      <c r="AA995" s="74"/>
      <c r="AB995" s="74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</row>
    <row r="996" spans="1:47">
      <c r="A996" s="309" t="s">
        <v>699</v>
      </c>
      <c r="B996" s="1"/>
      <c r="C996" s="1"/>
      <c r="D996" s="2"/>
      <c r="E996" s="2"/>
      <c r="F996" s="1"/>
      <c r="G996" s="2"/>
      <c r="H996" s="1"/>
      <c r="I996" s="1"/>
      <c r="J996" s="2"/>
      <c r="K996" s="1"/>
      <c r="L996" s="1"/>
      <c r="M996" s="1"/>
      <c r="N996" s="2"/>
      <c r="O996" s="1"/>
      <c r="P996" s="1"/>
      <c r="Q996" s="1"/>
      <c r="R996" s="2"/>
      <c r="S996" s="1"/>
      <c r="T996" s="1"/>
      <c r="U996" s="1"/>
      <c r="V996" s="2"/>
      <c r="W996" s="1"/>
      <c r="X996" s="1"/>
      <c r="Y996" s="20"/>
      <c r="Z996" s="74"/>
      <c r="AA996" s="74"/>
      <c r="AB996" s="74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</row>
    <row r="997" spans="1:47">
      <c r="A997" s="1" t="s">
        <v>31</v>
      </c>
      <c r="B997" s="1"/>
      <c r="C997" s="1"/>
      <c r="D997" s="2"/>
      <c r="E997" s="2"/>
      <c r="F997" s="1"/>
      <c r="G997" s="2"/>
      <c r="H997" s="1"/>
      <c r="I997" s="1"/>
      <c r="J997" s="2"/>
      <c r="K997" s="1"/>
      <c r="L997" s="1"/>
      <c r="M997" s="1"/>
      <c r="N997" s="2"/>
      <c r="O997" s="1"/>
      <c r="P997" s="1"/>
      <c r="Q997" s="1"/>
      <c r="R997" s="2"/>
      <c r="S997" s="1"/>
      <c r="T997" s="1"/>
      <c r="U997" s="1"/>
      <c r="V997" s="2"/>
      <c r="W997" s="1"/>
      <c r="X997" s="1"/>
      <c r="Y997" s="20"/>
      <c r="Z997" s="74"/>
      <c r="AA997" s="74"/>
      <c r="AB997" s="74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</row>
    <row r="998" spans="1:47">
      <c r="A998" s="323" t="s">
        <v>393</v>
      </c>
      <c r="B998" s="1"/>
      <c r="C998" s="319"/>
      <c r="D998" s="2"/>
      <c r="E998" s="2"/>
      <c r="F998" s="1"/>
      <c r="G998" s="2"/>
      <c r="H998" s="1"/>
      <c r="I998" s="1"/>
      <c r="J998" s="2"/>
      <c r="K998" s="1"/>
      <c r="L998" s="1"/>
      <c r="M998" s="1"/>
      <c r="N998" s="2"/>
      <c r="O998" s="1"/>
      <c r="P998" s="1"/>
      <c r="Q998" s="1"/>
      <c r="R998" s="2"/>
      <c r="S998" s="1"/>
      <c r="T998" s="1"/>
      <c r="U998" s="1"/>
      <c r="V998" s="2"/>
      <c r="W998" s="1"/>
      <c r="X998" s="1"/>
      <c r="Z998" s="74"/>
      <c r="AA998" s="74"/>
      <c r="AB998" s="74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</row>
    <row r="999" spans="1:47">
      <c r="A999" s="323" t="s">
        <v>471</v>
      </c>
      <c r="B999" s="1"/>
      <c r="C999" s="319">
        <f t="shared" ref="C999:C1004" si="242">C1020+C1038</f>
        <v>130.272727272727</v>
      </c>
      <c r="D999" s="337">
        <v>1419</v>
      </c>
      <c r="E999" s="337"/>
      <c r="F999" s="2">
        <f>ROUND(D999*$C999,0)</f>
        <v>184857</v>
      </c>
      <c r="G999" s="337">
        <v>1419</v>
      </c>
      <c r="H999" s="321"/>
      <c r="I999" s="2">
        <f>ROUND(G999*C999,0)</f>
        <v>184857</v>
      </c>
      <c r="J999" s="326">
        <f>'Rate Design Work'!J997</f>
        <v>1419</v>
      </c>
      <c r="K999" s="321"/>
      <c r="L999" s="2">
        <f>ROUND(J999*$C999,0)</f>
        <v>184857</v>
      </c>
      <c r="M999" s="2"/>
      <c r="N999" s="326">
        <f>'Rate Design Work'!N997</f>
        <v>1419</v>
      </c>
      <c r="O999" s="321"/>
      <c r="P999" s="2">
        <f>'Rate Design Work'!P997</f>
        <v>184857</v>
      </c>
      <c r="Q999" s="2"/>
      <c r="R999" s="326" t="str">
        <f>'Rate Design Work'!R997</f>
        <v xml:space="preserve"> </v>
      </c>
      <c r="S999" s="321"/>
      <c r="T999" s="2">
        <f>'Rate Design Work'!T997</f>
        <v>0</v>
      </c>
      <c r="U999" s="2"/>
      <c r="V999" s="326" t="str">
        <f>'Rate Design Work'!V997</f>
        <v xml:space="preserve"> </v>
      </c>
      <c r="W999" s="321"/>
      <c r="X999" s="2">
        <f>'Rate Design Work'!X997</f>
        <v>0</v>
      </c>
      <c r="Y999" s="20"/>
      <c r="AA999" s="827">
        <f>(J999-G999)/G999</f>
        <v>0</v>
      </c>
      <c r="AB999" s="777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</row>
    <row r="1000" spans="1:47">
      <c r="A1000" s="323" t="s">
        <v>472</v>
      </c>
      <c r="B1000" s="1"/>
      <c r="C1000" s="319">
        <f t="shared" si="242"/>
        <v>0</v>
      </c>
      <c r="D1000" s="337">
        <v>1707</v>
      </c>
      <c r="E1000" s="337"/>
      <c r="F1000" s="2">
        <f>ROUND(D1000*$C1000,0)</f>
        <v>0</v>
      </c>
      <c r="G1000" s="337">
        <v>1707</v>
      </c>
      <c r="H1000" s="324"/>
      <c r="I1000" s="2">
        <f>ROUND(G1000*C1000,0)</f>
        <v>0</v>
      </c>
      <c r="J1000" s="326">
        <f>'Rate Design Work'!J998</f>
        <v>1707</v>
      </c>
      <c r="K1000" s="324"/>
      <c r="L1000" s="2">
        <f>ROUND(J1000*$C1000,0)</f>
        <v>0</v>
      </c>
      <c r="M1000" s="2"/>
      <c r="N1000" s="326">
        <f>'Rate Design Work'!N998</f>
        <v>1707</v>
      </c>
      <c r="O1000" s="1580"/>
      <c r="P1000" s="2">
        <f>'Rate Design Work'!P998</f>
        <v>0</v>
      </c>
      <c r="Q1000" s="2"/>
      <c r="R1000" s="326" t="str">
        <f>'Rate Design Work'!R998</f>
        <v xml:space="preserve"> </v>
      </c>
      <c r="S1000" s="1580"/>
      <c r="T1000" s="2">
        <f>'Rate Design Work'!T998</f>
        <v>0</v>
      </c>
      <c r="U1000" s="2"/>
      <c r="V1000" s="326" t="str">
        <f>'Rate Design Work'!V998</f>
        <v xml:space="preserve"> </v>
      </c>
      <c r="W1000" s="1580"/>
      <c r="X1000" s="2">
        <f>'Rate Design Work'!X998</f>
        <v>0</v>
      </c>
      <c r="Y1000" s="20"/>
      <c r="AA1000" s="827">
        <f>(J1000-G1000)/G1000</f>
        <v>0</v>
      </c>
      <c r="AB1000" s="777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</row>
    <row r="1001" spans="1:47">
      <c r="A1001" s="323" t="s">
        <v>394</v>
      </c>
      <c r="B1001" s="1"/>
      <c r="C1001" s="319">
        <f t="shared" si="242"/>
        <v>130.272727272727</v>
      </c>
      <c r="D1001" s="337" t="s">
        <v>31</v>
      </c>
      <c r="E1001" s="337"/>
      <c r="F1001" s="2" t="s">
        <v>31</v>
      </c>
      <c r="G1001" s="337" t="s">
        <v>31</v>
      </c>
      <c r="H1001" s="321"/>
      <c r="I1001" s="2" t="s">
        <v>31</v>
      </c>
      <c r="J1001" s="326" t="s">
        <v>31</v>
      </c>
      <c r="K1001" s="321"/>
      <c r="L1001" s="2" t="s">
        <v>31</v>
      </c>
      <c r="M1001" s="2"/>
      <c r="N1001" s="326" t="s">
        <v>31</v>
      </c>
      <c r="O1001" s="321"/>
      <c r="P1001" s="2" t="s">
        <v>31</v>
      </c>
      <c r="Q1001" s="2"/>
      <c r="R1001" s="326" t="s">
        <v>31</v>
      </c>
      <c r="S1001" s="321"/>
      <c r="T1001" s="2" t="s">
        <v>31</v>
      </c>
      <c r="U1001" s="2"/>
      <c r="V1001" s="326" t="s">
        <v>31</v>
      </c>
      <c r="W1001" s="321"/>
      <c r="X1001" s="2" t="s">
        <v>31</v>
      </c>
      <c r="Y1001" s="20"/>
      <c r="AA1001" s="1588"/>
      <c r="AB1001" s="74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</row>
    <row r="1002" spans="1:47">
      <c r="A1002" s="323" t="s">
        <v>473</v>
      </c>
      <c r="B1002" s="1"/>
      <c r="C1002" s="319">
        <f t="shared" si="242"/>
        <v>221683.454545455</v>
      </c>
      <c r="D1002" s="337">
        <v>0.53</v>
      </c>
      <c r="E1002" s="337"/>
      <c r="F1002" s="2">
        <f>ROUND(D1002*$C1002,0)</f>
        <v>117492</v>
      </c>
      <c r="G1002" s="337">
        <v>0.53</v>
      </c>
      <c r="H1002" s="321"/>
      <c r="I1002" s="2">
        <f t="shared" ref="I1002:I1004" si="243">ROUND(G1002*C1002,0)</f>
        <v>117492</v>
      </c>
      <c r="J1002" s="326">
        <f ca="1">'Rate Design Work'!J1000</f>
        <v>0.61</v>
      </c>
      <c r="K1002" s="321"/>
      <c r="L1002" s="2">
        <f ca="1">ROUND(J1002*$C1002,0)</f>
        <v>135227</v>
      </c>
      <c r="M1002" s="2"/>
      <c r="N1002" s="326">
        <f ca="1">'Rate Design Work'!N1000</f>
        <v>0.61</v>
      </c>
      <c r="O1002" s="321"/>
      <c r="P1002" s="2">
        <f ca="1">'Rate Design Work'!P1000</f>
        <v>135227</v>
      </c>
      <c r="Q1002" s="2"/>
      <c r="R1002" s="326" t="str">
        <f>'Rate Design Work'!R1000</f>
        <v xml:space="preserve"> </v>
      </c>
      <c r="S1002" s="321"/>
      <c r="T1002" s="2">
        <f>'Rate Design Work'!T1000</f>
        <v>0</v>
      </c>
      <c r="U1002" s="2"/>
      <c r="V1002" s="326" t="str">
        <f>'Rate Design Work'!V1000</f>
        <v xml:space="preserve"> </v>
      </c>
      <c r="W1002" s="321"/>
      <c r="X1002" s="2">
        <f>'Rate Design Work'!X1000</f>
        <v>0</v>
      </c>
      <c r="AA1002" s="827">
        <f ca="1">(J1002-G1002)/G1002</f>
        <v>0.15094339622641501</v>
      </c>
      <c r="AB1002" s="777"/>
      <c r="AC1002" s="20" t="s">
        <v>31</v>
      </c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</row>
    <row r="1003" spans="1:47">
      <c r="A1003" s="323" t="s">
        <v>474</v>
      </c>
      <c r="B1003" s="1"/>
      <c r="C1003" s="319">
        <f t="shared" si="242"/>
        <v>0</v>
      </c>
      <c r="D1003" s="337">
        <v>0.43</v>
      </c>
      <c r="E1003" s="337"/>
      <c r="F1003" s="2">
        <f>ROUND(D1003*$C1003,0)</f>
        <v>0</v>
      </c>
      <c r="G1003" s="337">
        <v>0.43</v>
      </c>
      <c r="H1003" s="321"/>
      <c r="I1003" s="2">
        <f t="shared" si="243"/>
        <v>0</v>
      </c>
      <c r="J1003" s="326">
        <f ca="1">'Rate Design Work'!J1001</f>
        <v>0.48</v>
      </c>
      <c r="K1003" s="321"/>
      <c r="L1003" s="2">
        <f ca="1">ROUND(J1003*$C1003,0)</f>
        <v>0</v>
      </c>
      <c r="M1003" s="2"/>
      <c r="N1003" s="326">
        <f ca="1">'Rate Design Work'!N1001</f>
        <v>0.48</v>
      </c>
      <c r="O1003" s="321"/>
      <c r="P1003" s="2">
        <f ca="1">'Rate Design Work'!P1001</f>
        <v>0</v>
      </c>
      <c r="Q1003" s="2"/>
      <c r="R1003" s="326" t="str">
        <f>'Rate Design Work'!R1001</f>
        <v xml:space="preserve"> </v>
      </c>
      <c r="S1003" s="321"/>
      <c r="T1003" s="2">
        <f>'Rate Design Work'!T1001</f>
        <v>0</v>
      </c>
      <c r="U1003" s="2"/>
      <c r="V1003" s="326" t="str">
        <f>'Rate Design Work'!V1001</f>
        <v xml:space="preserve"> </v>
      </c>
      <c r="W1003" s="321"/>
      <c r="X1003" s="2">
        <f>'Rate Design Work'!X1001</f>
        <v>0</v>
      </c>
      <c r="Y1003" s="20"/>
      <c r="AA1003" s="827">
        <f ca="1">(J1003-G1003)/G1003</f>
        <v>0.11627906976744183</v>
      </c>
      <c r="AB1003" s="777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</row>
    <row r="1004" spans="1:47">
      <c r="A1004" s="309" t="s">
        <v>403</v>
      </c>
      <c r="B1004" s="1"/>
      <c r="C1004" s="319">
        <f t="shared" si="242"/>
        <v>178076.48484848501</v>
      </c>
      <c r="D1004" s="337">
        <v>6.99</v>
      </c>
      <c r="E1004" s="337"/>
      <c r="F1004" s="2">
        <f>ROUND(D1004*$C1004,0)</f>
        <v>1244755</v>
      </c>
      <c r="G1004" s="337">
        <v>7.4</v>
      </c>
      <c r="H1004" s="321"/>
      <c r="I1004" s="2">
        <f t="shared" si="243"/>
        <v>1317766</v>
      </c>
      <c r="J1004" s="326">
        <f ca="1">'Rate Design Work'!J1002</f>
        <v>8.32</v>
      </c>
      <c r="K1004" s="321"/>
      <c r="L1004" s="2">
        <f ca="1">ROUND(J1004*$C1004,0)</f>
        <v>1481596</v>
      </c>
      <c r="M1004" s="2"/>
      <c r="N1004" s="326">
        <f ca="1">'Rate Design Work'!N1002</f>
        <v>1.4757900850785193</v>
      </c>
      <c r="O1004" s="321"/>
      <c r="P1004" s="2">
        <f ca="1">'Rate Design Work'!P1002</f>
        <v>262803.51072502934</v>
      </c>
      <c r="Q1004" s="2"/>
      <c r="R1004" s="326">
        <f ca="1">'Rate Design Work'!R1002</f>
        <v>1.356557464016797</v>
      </c>
      <c r="S1004" s="321"/>
      <c r="T1004" s="2">
        <f ca="1">'Rate Design Work'!T1002</f>
        <v>241570.9846870864</v>
      </c>
      <c r="U1004" s="2"/>
      <c r="V1004" s="326">
        <f ca="1">'Rate Design Work'!V1002</f>
        <v>5.4776504633351539</v>
      </c>
      <c r="W1004" s="321"/>
      <c r="X1004" s="2">
        <f ca="1">'Rate Design Work'!X1002</f>
        <v>977221.50458788429</v>
      </c>
      <c r="Y1004" s="20"/>
      <c r="AA1004" s="827">
        <f ca="1">(J1004-G1004)/G1004</f>
        <v>0.1243243243243243</v>
      </c>
      <c r="AB1004" s="777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</row>
    <row r="1005" spans="1:47">
      <c r="A1005" s="323" t="s">
        <v>426</v>
      </c>
      <c r="B1005" s="1"/>
      <c r="C1005" s="319"/>
      <c r="D1005" s="337" t="s">
        <v>31</v>
      </c>
      <c r="E1005" s="337"/>
      <c r="F1005" s="2"/>
      <c r="G1005" s="337" t="s">
        <v>31</v>
      </c>
      <c r="H1005" s="321"/>
      <c r="I1005" s="2"/>
      <c r="J1005" s="326" t="s">
        <v>31</v>
      </c>
      <c r="K1005" s="321"/>
      <c r="L1005" s="2"/>
      <c r="M1005" s="2"/>
      <c r="N1005" s="326" t="s">
        <v>31</v>
      </c>
      <c r="O1005" s="321"/>
      <c r="P1005" s="2"/>
      <c r="Q1005" s="2"/>
      <c r="R1005" s="326" t="s">
        <v>31</v>
      </c>
      <c r="S1005" s="321"/>
      <c r="T1005" s="2"/>
      <c r="U1005" s="2"/>
      <c r="V1005" s="326" t="s">
        <v>31</v>
      </c>
      <c r="W1005" s="321"/>
      <c r="X1005" s="2"/>
      <c r="Y1005" s="20"/>
      <c r="AA1005" s="1588"/>
      <c r="AB1005" s="74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</row>
    <row r="1006" spans="1:47">
      <c r="A1006" s="323" t="s">
        <v>464</v>
      </c>
      <c r="B1006" s="1"/>
      <c r="C1006" s="319">
        <f>C1027+C1045</f>
        <v>70618436.012304217</v>
      </c>
      <c r="D1006" s="395">
        <v>4.1920000000000002</v>
      </c>
      <c r="E1006" s="321" t="s">
        <v>374</v>
      </c>
      <c r="F1006" s="2">
        <f>ROUND(D1006/100*$C1006,0)</f>
        <v>2960325</v>
      </c>
      <c r="G1006" s="395">
        <v>4.4589999999999996</v>
      </c>
      <c r="H1006" s="321" t="s">
        <v>374</v>
      </c>
      <c r="I1006" s="2">
        <f>ROUND(G1006/100*C1006,0)</f>
        <v>3148876</v>
      </c>
      <c r="J1006" s="808">
        <f ca="1">'Rate Design Work'!J1004</f>
        <v>1.508</v>
      </c>
      <c r="K1006" s="321" t="s">
        <v>374</v>
      </c>
      <c r="L1006" s="2">
        <f ca="1">ROUND(J1006/100*$C1006,0)</f>
        <v>1064926</v>
      </c>
      <c r="M1006" s="2"/>
      <c r="N1006" s="808" t="str">
        <f>'Rate Design Work'!N1004</f>
        <v xml:space="preserve"> </v>
      </c>
      <c r="O1006" s="883" t="s">
        <v>31</v>
      </c>
      <c r="P1006" s="2">
        <f>'Rate Design Work'!P1004</f>
        <v>0</v>
      </c>
      <c r="Q1006" s="2"/>
      <c r="R1006" s="808">
        <f ca="1">'Rate Design Work'!R1004</f>
        <v>0.98299999999999998</v>
      </c>
      <c r="S1006" s="321" t="s">
        <v>374</v>
      </c>
      <c r="T1006" s="2">
        <f ca="1">'Rate Design Work'!T1004</f>
        <v>694388.26162071317</v>
      </c>
      <c r="U1006" s="2"/>
      <c r="V1006" s="808">
        <f ca="1">'Rate Design Work'!V1004</f>
        <v>0.52500000000000002</v>
      </c>
      <c r="W1006" s="321" t="s">
        <v>374</v>
      </c>
      <c r="X1006" s="2">
        <f ca="1">'Rate Design Work'!X1004</f>
        <v>370537.73837928689</v>
      </c>
      <c r="Y1006" s="20"/>
      <c r="AA1006" s="827">
        <f ca="1">((J1006+J1008)-G1006)/G1006</f>
        <v>0.1125812962547658</v>
      </c>
      <c r="AB1006" s="777"/>
      <c r="AC1006" s="20"/>
      <c r="AD1006" s="20"/>
      <c r="AE1006" s="20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</row>
    <row r="1007" spans="1:47">
      <c r="A1007" s="323" t="s">
        <v>400</v>
      </c>
      <c r="B1007" s="1"/>
      <c r="C1007" s="319">
        <f>C1028+C1046</f>
        <v>17311.333333333299</v>
      </c>
      <c r="D1007" s="337">
        <v>0.54</v>
      </c>
      <c r="E1007" s="321"/>
      <c r="F1007" s="2">
        <f>ROUND(D1007*$C1007,0)</f>
        <v>9348</v>
      </c>
      <c r="G1007" s="337">
        <v>0.54</v>
      </c>
      <c r="H1007" s="321"/>
      <c r="I1007" s="2">
        <f>ROUND(G1007*C1007,0)</f>
        <v>9348</v>
      </c>
      <c r="J1007" s="326">
        <f>'Rate Design Work'!J1005</f>
        <v>0.54</v>
      </c>
      <c r="K1007" s="321"/>
      <c r="L1007" s="2">
        <f>ROUND(J1007*$C1007,0)</f>
        <v>9348</v>
      </c>
      <c r="M1007" s="2"/>
      <c r="N1007" s="326" t="str">
        <f>'Rate Design Work'!N1005</f>
        <v xml:space="preserve"> </v>
      </c>
      <c r="O1007" s="321"/>
      <c r="P1007" s="2">
        <f>'Rate Design Work'!P1005</f>
        <v>0</v>
      </c>
      <c r="Q1007" s="2"/>
      <c r="R1007" s="326">
        <f ca="1">'Rate Design Work'!R1005</f>
        <v>0.11</v>
      </c>
      <c r="S1007" s="321"/>
      <c r="T1007" s="2">
        <f ca="1">'Rate Design Work'!T1005</f>
        <v>1852.8220223922069</v>
      </c>
      <c r="U1007" s="2"/>
      <c r="V1007" s="326">
        <f ca="1">'Rate Design Work'!V1005</f>
        <v>0.43</v>
      </c>
      <c r="W1007" s="321"/>
      <c r="X1007" s="2">
        <f ca="1">'Rate Design Work'!X1005</f>
        <v>7495.1779776077929</v>
      </c>
      <c r="Y1007" s="20"/>
      <c r="AA1007" s="827">
        <f>(J1007-G1007)/G1007</f>
        <v>0</v>
      </c>
      <c r="AB1007" s="777"/>
      <c r="AC1007" s="20"/>
      <c r="AD1007" s="20"/>
      <c r="AE1007" s="20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</row>
    <row r="1008" spans="1:47" s="1184" customFormat="1">
      <c r="A1008" s="1005" t="s">
        <v>1035</v>
      </c>
      <c r="C1008" s="1202">
        <f>C1006</f>
        <v>70618436.012304217</v>
      </c>
      <c r="D1008" s="269"/>
      <c r="E1008" s="1185"/>
      <c r="F1008" s="1203"/>
      <c r="G1008" s="269"/>
      <c r="H1008" s="1185"/>
      <c r="I1008" s="1203"/>
      <c r="J1008" s="1230">
        <f>'Rate Design Work'!J1006</f>
        <v>3.4529999999999998</v>
      </c>
      <c r="K1008" s="1041" t="s">
        <v>374</v>
      </c>
      <c r="L1008" s="1203">
        <f>ROUND(J1008/100*$C1008,0)</f>
        <v>2438455</v>
      </c>
      <c r="M1008" s="1203"/>
      <c r="N1008" s="1230" t="str">
        <f>'Rate Design Work'!N1006</f>
        <v xml:space="preserve"> </v>
      </c>
      <c r="O1008" s="1041" t="s">
        <v>31</v>
      </c>
      <c r="P1008" s="2">
        <f>'Rate Design Work'!P1006</f>
        <v>0</v>
      </c>
      <c r="Q1008" s="1041"/>
      <c r="R1008" s="1230" t="str">
        <f>'Rate Design Work'!R1006</f>
        <v xml:space="preserve"> </v>
      </c>
      <c r="S1008" s="1041" t="s">
        <v>31</v>
      </c>
      <c r="T1008" s="2">
        <f>'Rate Design Work'!T1006</f>
        <v>0</v>
      </c>
      <c r="U1008" s="1041"/>
      <c r="V1008" s="1230">
        <f>'Rate Design Work'!V1006</f>
        <v>3.4529999999999998</v>
      </c>
      <c r="W1008" s="1041" t="s">
        <v>374</v>
      </c>
      <c r="X1008" s="2">
        <f>'Rate Design Work'!X1006</f>
        <v>2438455</v>
      </c>
      <c r="Y1008" s="1204">
        <f>'NPC Spread'!G48</f>
        <v>2438646.2051787861</v>
      </c>
      <c r="Z1008" s="815" t="s">
        <v>913</v>
      </c>
      <c r="AC1008" s="1205"/>
      <c r="AD1008" s="1205"/>
      <c r="AI1008" s="1185"/>
      <c r="AJ1008" s="1185"/>
      <c r="AK1008" s="1185"/>
      <c r="AL1008" s="1185"/>
      <c r="AM1008" s="1185"/>
      <c r="AN1008" s="1185"/>
      <c r="AO1008" s="1185"/>
      <c r="AP1008" s="1185"/>
      <c r="AQ1008" s="1185"/>
      <c r="AR1008" s="1185"/>
      <c r="AS1008" s="1185"/>
      <c r="AU1008" s="1204"/>
    </row>
    <row r="1009" spans="1:47" s="1510" customFormat="1">
      <c r="A1009" s="1509" t="s">
        <v>929</v>
      </c>
      <c r="C1009" s="1524"/>
      <c r="D1009" s="1512"/>
      <c r="E1009" s="1513"/>
      <c r="F1009" s="1514"/>
      <c r="G1009" s="1523">
        <f>G1006</f>
        <v>4.4589999999999996</v>
      </c>
      <c r="H1009" s="1521" t="s">
        <v>374</v>
      </c>
      <c r="I1009" s="1514"/>
      <c r="J1009" s="1515">
        <f ca="1">J1006+J1008</f>
        <v>4.9610000000000003</v>
      </c>
      <c r="K1009" s="1521" t="s">
        <v>374</v>
      </c>
      <c r="L1009" s="1514"/>
      <c r="M1009" s="1514"/>
      <c r="N1009" s="1526" t="s">
        <v>31</v>
      </c>
      <c r="O1009" s="1521" t="s">
        <v>31</v>
      </c>
      <c r="P1009" s="1521"/>
      <c r="Q1009" s="1521"/>
      <c r="R1009" s="1526">
        <f ca="1">R1006+R1008</f>
        <v>0.98299999999999998</v>
      </c>
      <c r="S1009" s="1521" t="s">
        <v>374</v>
      </c>
      <c r="T1009" s="1521"/>
      <c r="U1009" s="1521"/>
      <c r="V1009" s="1526">
        <f ca="1">V1006+V1008</f>
        <v>3.9779999999999998</v>
      </c>
      <c r="W1009" s="1521" t="s">
        <v>374</v>
      </c>
      <c r="X1009" s="1521"/>
      <c r="Y1009" s="1590"/>
      <c r="Z1009" s="1591"/>
      <c r="AA1009" s="1592">
        <f ca="1">(J1009-G1009)/G1009</f>
        <v>0.1125812962547658</v>
      </c>
      <c r="AC1009" s="1593"/>
      <c r="AD1009" s="1593"/>
      <c r="AI1009" s="1513"/>
      <c r="AJ1009" s="1513"/>
      <c r="AK1009" s="1513"/>
      <c r="AL1009" s="1513"/>
      <c r="AM1009" s="1513"/>
      <c r="AN1009" s="1513"/>
      <c r="AO1009" s="1513"/>
      <c r="AP1009" s="1513"/>
      <c r="AQ1009" s="1513"/>
      <c r="AR1009" s="1513"/>
      <c r="AS1009" s="1513"/>
      <c r="AU1009" s="1590"/>
    </row>
    <row r="1010" spans="1:47">
      <c r="A1010" s="1" t="s">
        <v>381</v>
      </c>
      <c r="B1010" s="1"/>
      <c r="C1010" s="319">
        <f>C1006</f>
        <v>70618436.012304217</v>
      </c>
      <c r="D1010" s="330"/>
      <c r="E1010" s="2"/>
      <c r="F1010" s="2">
        <f>SUM(F999:F1007)</f>
        <v>4516777</v>
      </c>
      <c r="G1010" s="330"/>
      <c r="H1010" s="1"/>
      <c r="I1010" s="2">
        <f>SUM(I999:I1007)</f>
        <v>4778339</v>
      </c>
      <c r="J1010" s="330"/>
      <c r="K1010" s="1"/>
      <c r="L1010" s="2">
        <f ca="1">SUM(L999:L1009)</f>
        <v>5314409</v>
      </c>
      <c r="M1010" s="2"/>
      <c r="N1010" s="803"/>
      <c r="O1010" s="1"/>
      <c r="P1010" s="2">
        <f ca="1">SUM(P999:P1009)</f>
        <v>582887.51072502928</v>
      </c>
      <c r="Q1010" s="2"/>
      <c r="R1010" s="803"/>
      <c r="S1010" s="1"/>
      <c r="T1010" s="2">
        <f ca="1">SUM(T999:T1009)</f>
        <v>937812.06833019177</v>
      </c>
      <c r="U1010" s="2"/>
      <c r="V1010" s="803"/>
      <c r="W1010" s="1"/>
      <c r="X1010" s="2">
        <f ca="1">SUM(X999:X1009)</f>
        <v>3793709.4209447792</v>
      </c>
      <c r="Y1010" s="20"/>
      <c r="Z1010" s="74"/>
      <c r="AA1010" s="74"/>
      <c r="AB1010" s="74"/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</row>
    <row r="1011" spans="1:47">
      <c r="A1011" s="1" t="s">
        <v>363</v>
      </c>
      <c r="B1011" s="1"/>
      <c r="C1011" s="319">
        <f ca="1">C1031+C1049</f>
        <v>-299271.03833494976</v>
      </c>
      <c r="D1011" s="309"/>
      <c r="E1011" s="309"/>
      <c r="F1011" s="1589">
        <f ca="1">I1011</f>
        <v>-21714.996864975801</v>
      </c>
      <c r="G1011" s="309"/>
      <c r="H1011" s="309"/>
      <c r="I1011" s="340">
        <f ca="1">I1031+I1049</f>
        <v>-21714.996864975801</v>
      </c>
      <c r="J1011" s="309"/>
      <c r="K1011" s="309"/>
      <c r="L1011" s="341">
        <f ca="1">I1011</f>
        <v>-21714.996864975801</v>
      </c>
      <c r="M1011" s="322"/>
      <c r="N1011" s="309"/>
      <c r="O1011" s="309"/>
      <c r="P1011" s="764">
        <f ca="1">$L$1011*Y1014/(Y1014+$Z$1014+$AA$1014)</f>
        <v>-2381.7136520782569</v>
      </c>
      <c r="Q1011" s="51"/>
      <c r="R1011" s="309"/>
      <c r="S1011" s="309"/>
      <c r="T1011" s="764">
        <f ca="1">$L$1011*Z1014/(Y1014+$Z$1014+$AA$1014)</f>
        <v>-3831.9568786908562</v>
      </c>
      <c r="U1011" s="51"/>
      <c r="V1011" s="309"/>
      <c r="W1011" s="309"/>
      <c r="X1011" s="764">
        <f ca="1">$L$1011*AA1014/(Y1014+$Z$1014+$AA$1014)</f>
        <v>-15501.326334206688</v>
      </c>
      <c r="Y1011" s="444"/>
      <c r="Z1011" s="287"/>
      <c r="AA1011" s="74"/>
      <c r="AB1011" s="74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</row>
    <row r="1012" spans="1:47" ht="16.5" thickBot="1">
      <c r="A1012" s="1" t="s">
        <v>382</v>
      </c>
      <c r="B1012" s="1"/>
      <c r="C1012" s="393">
        <f ca="1">SUM(C1010)+C1011</f>
        <v>70319164.973969266</v>
      </c>
      <c r="D1012" s="342"/>
      <c r="E1012" s="343"/>
      <c r="F1012" s="344">
        <f ca="1">F1010+F1011</f>
        <v>4495062.0031350246</v>
      </c>
      <c r="G1012" s="342"/>
      <c r="H1012" s="345"/>
      <c r="I1012" s="344">
        <f ca="1">I1010+I1011</f>
        <v>4756624.0031350246</v>
      </c>
      <c r="J1012" s="342"/>
      <c r="K1012" s="345"/>
      <c r="L1012" s="344">
        <f ca="1">L1010+L1011</f>
        <v>5292694.0031350246</v>
      </c>
      <c r="M1012" s="344"/>
      <c r="N1012" s="342"/>
      <c r="O1012" s="345"/>
      <c r="P1012" s="344">
        <f ca="1">SUM(P1010:P1011)</f>
        <v>580505.79707295098</v>
      </c>
      <c r="Q1012" s="344"/>
      <c r="R1012" s="342"/>
      <c r="S1012" s="345"/>
      <c r="T1012" s="344">
        <f ca="1">SUM(T1010:T1011)</f>
        <v>933980.11145150091</v>
      </c>
      <c r="U1012" s="344"/>
      <c r="V1012" s="342"/>
      <c r="W1012" s="345"/>
      <c r="X1012" s="344">
        <f ca="1">SUM(X1010:X1011)</f>
        <v>3778208.0946105723</v>
      </c>
      <c r="Y1012" s="411" t="s">
        <v>31</v>
      </c>
      <c r="Z1012" s="777" t="s">
        <v>31</v>
      </c>
      <c r="AA1012" s="728">
        <f ca="1">(L1012-I1012)/I1012</f>
        <v>0.11269967936222912</v>
      </c>
      <c r="AB1012" s="74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</row>
    <row r="1013" spans="1:47" ht="16.5" hidden="1" thickTop="1">
      <c r="A1013" s="1"/>
      <c r="B1013" s="1"/>
      <c r="C1013" s="21"/>
      <c r="D1013" s="337" t="s">
        <v>31</v>
      </c>
      <c r="E1013" s="2"/>
      <c r="F1013" s="2"/>
      <c r="G1013" s="337" t="s">
        <v>31</v>
      </c>
      <c r="H1013" s="1"/>
      <c r="I1013" s="2"/>
      <c r="J1013" s="353" t="s">
        <v>31</v>
      </c>
      <c r="K1013" s="1"/>
      <c r="L1013" s="2" t="s">
        <v>31</v>
      </c>
      <c r="M1013" s="2"/>
      <c r="N1013" s="353" t="s">
        <v>31</v>
      </c>
      <c r="O1013" s="1"/>
      <c r="P1013" s="2" t="s">
        <v>31</v>
      </c>
      <c r="Q1013" s="2"/>
      <c r="R1013" s="353" t="s">
        <v>31</v>
      </c>
      <c r="S1013" s="1"/>
      <c r="T1013" s="2" t="s">
        <v>31</v>
      </c>
      <c r="U1013" s="2"/>
      <c r="V1013" s="353" t="s">
        <v>31</v>
      </c>
      <c r="W1013" s="1"/>
      <c r="X1013" s="2" t="s">
        <v>31</v>
      </c>
      <c r="Y1013" s="1579">
        <f>Y956</f>
        <v>0.10968058926684592</v>
      </c>
      <c r="Z1013" s="1579">
        <f>Z956</f>
        <v>0.17646591903825851</v>
      </c>
      <c r="AA1013" s="1579">
        <f>AA956</f>
        <v>0.71385349169489565</v>
      </c>
      <c r="AB1013" s="74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</row>
    <row r="1014" spans="1:47" hidden="1">
      <c r="A1014" s="1"/>
      <c r="B1014" s="1"/>
      <c r="C1014" s="21"/>
      <c r="D1014" s="337" t="s">
        <v>31</v>
      </c>
      <c r="E1014" s="2"/>
      <c r="F1014" s="2"/>
      <c r="G1014" s="337" t="s">
        <v>31</v>
      </c>
      <c r="H1014" s="1"/>
      <c r="I1014" s="2"/>
      <c r="J1014" s="353" t="s">
        <v>31</v>
      </c>
      <c r="K1014" s="1"/>
      <c r="L1014" s="2" t="s">
        <v>31</v>
      </c>
      <c r="M1014" s="2"/>
      <c r="N1014" s="353" t="s">
        <v>31</v>
      </c>
      <c r="O1014" s="1"/>
      <c r="P1014" s="2" t="s">
        <v>31</v>
      </c>
      <c r="Q1014" s="2"/>
      <c r="R1014" s="353" t="s">
        <v>31</v>
      </c>
      <c r="S1014" s="1"/>
      <c r="T1014" s="2" t="s">
        <v>31</v>
      </c>
      <c r="U1014" s="2"/>
      <c r="V1014" s="353" t="s">
        <v>31</v>
      </c>
      <c r="W1014" s="1"/>
      <c r="X1014" s="2" t="s">
        <v>31</v>
      </c>
      <c r="Y1014" s="411">
        <f ca="1">Y1013*L1012</f>
        <v>580505.7970729511</v>
      </c>
      <c r="Z1014" s="411">
        <f ca="1">Z1013*L1012</f>
        <v>933980.11145150161</v>
      </c>
      <c r="AA1014" s="411">
        <f ca="1">AA1013*L1012</f>
        <v>3778208.0946105723</v>
      </c>
      <c r="AB1014" s="74" t="s">
        <v>958</v>
      </c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</row>
    <row r="1015" spans="1:47" hidden="1">
      <c r="A1015" s="1"/>
      <c r="B1015" s="1"/>
      <c r="C1015" s="21"/>
      <c r="D1015" s="337"/>
      <c r="E1015" s="2"/>
      <c r="F1015" s="2"/>
      <c r="G1015" s="337"/>
      <c r="H1015" s="1"/>
      <c r="I1015" s="2"/>
      <c r="J1015" s="337"/>
      <c r="K1015" s="1"/>
      <c r="L1015" s="380"/>
      <c r="M1015" s="380"/>
      <c r="N1015" s="337"/>
      <c r="O1015" s="1"/>
      <c r="P1015" s="380"/>
      <c r="Q1015" s="380"/>
      <c r="R1015" s="337"/>
      <c r="S1015" s="1"/>
      <c r="T1015" s="380"/>
      <c r="U1015" s="380"/>
      <c r="V1015" s="337"/>
      <c r="W1015" s="1"/>
      <c r="X1015" s="380"/>
      <c r="Y1015" s="20"/>
      <c r="Z1015" s="74"/>
      <c r="AA1015" s="74"/>
      <c r="AB1015" s="74"/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</row>
    <row r="1016" spans="1:47" hidden="1">
      <c r="A1016" s="293" t="s">
        <v>476</v>
      </c>
      <c r="B1016" s="1"/>
      <c r="C1016" s="1"/>
      <c r="D1016" s="2"/>
      <c r="E1016" s="2"/>
      <c r="F1016" s="1"/>
      <c r="G1016" s="2"/>
      <c r="H1016" s="1"/>
      <c r="I1016" s="1"/>
      <c r="J1016" s="2"/>
      <c r="K1016" s="1"/>
      <c r="L1016" s="1"/>
      <c r="M1016" s="1"/>
      <c r="N1016" s="2"/>
      <c r="O1016" s="1"/>
      <c r="P1016" s="1"/>
      <c r="Q1016" s="1"/>
      <c r="R1016" s="2"/>
      <c r="S1016" s="1"/>
      <c r="T1016" s="1"/>
      <c r="U1016" s="1"/>
      <c r="V1016" s="2"/>
      <c r="W1016" s="1"/>
      <c r="X1016" s="1"/>
      <c r="Y1016" s="20"/>
      <c r="Z1016" s="74"/>
      <c r="AA1016" s="74"/>
      <c r="AB1016" s="74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</row>
    <row r="1017" spans="1:47" hidden="1">
      <c r="A1017" s="309" t="s">
        <v>695</v>
      </c>
      <c r="B1017" s="1"/>
      <c r="C1017" s="1"/>
      <c r="D1017" s="2"/>
      <c r="E1017" s="2"/>
      <c r="F1017" s="1"/>
      <c r="G1017" s="2"/>
      <c r="H1017" s="1"/>
      <c r="I1017" s="1"/>
      <c r="J1017" s="2"/>
      <c r="K1017" s="1"/>
      <c r="L1017" s="1"/>
      <c r="M1017" s="1"/>
      <c r="N1017" s="2"/>
      <c r="O1017" s="1"/>
      <c r="P1017" s="1"/>
      <c r="Q1017" s="1"/>
      <c r="R1017" s="2"/>
      <c r="S1017" s="1"/>
      <c r="T1017" s="1"/>
      <c r="U1017" s="1"/>
      <c r="V1017" s="2"/>
      <c r="W1017" s="1"/>
      <c r="X1017" s="1"/>
      <c r="Y1017" s="20"/>
      <c r="Z1017" s="74"/>
      <c r="AA1017" s="74"/>
      <c r="AB1017" s="74"/>
      <c r="AC1017" s="20"/>
      <c r="AD1017" s="20"/>
      <c r="AE1017" s="20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</row>
    <row r="1018" spans="1:47" hidden="1">
      <c r="A1018" s="1" t="s">
        <v>31</v>
      </c>
      <c r="B1018" s="1"/>
      <c r="C1018" s="1"/>
      <c r="D1018" s="2"/>
      <c r="E1018" s="2"/>
      <c r="F1018" s="1"/>
      <c r="G1018" s="2"/>
      <c r="H1018" s="1"/>
      <c r="I1018" s="1"/>
      <c r="J1018" s="2"/>
      <c r="K1018" s="1"/>
      <c r="L1018" s="1"/>
      <c r="M1018" s="1"/>
      <c r="N1018" s="2"/>
      <c r="O1018" s="1"/>
      <c r="P1018" s="1"/>
      <c r="Q1018" s="1"/>
      <c r="R1018" s="2"/>
      <c r="S1018" s="1"/>
      <c r="T1018" s="1"/>
      <c r="U1018" s="1"/>
      <c r="V1018" s="2"/>
      <c r="W1018" s="1"/>
      <c r="X1018" s="1"/>
      <c r="Y1018" s="20"/>
      <c r="Z1018" s="74"/>
      <c r="AA1018" s="74"/>
      <c r="AB1018" s="74"/>
      <c r="AC1018" s="20"/>
      <c r="AD1018" s="20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</row>
    <row r="1019" spans="1:47" hidden="1">
      <c r="A1019" s="323" t="s">
        <v>393</v>
      </c>
      <c r="B1019" s="1"/>
      <c r="C1019" s="319"/>
      <c r="D1019" s="2"/>
      <c r="E1019" s="2"/>
      <c r="F1019" s="1"/>
      <c r="G1019" s="2"/>
      <c r="H1019" s="1"/>
      <c r="I1019" s="1"/>
      <c r="J1019" s="2"/>
      <c r="K1019" s="1"/>
      <c r="L1019" s="1"/>
      <c r="M1019" s="1"/>
      <c r="N1019" s="2"/>
      <c r="O1019" s="1"/>
      <c r="P1019" s="1"/>
      <c r="Q1019" s="1"/>
      <c r="R1019" s="2"/>
      <c r="S1019" s="1"/>
      <c r="T1019" s="1"/>
      <c r="U1019" s="1"/>
      <c r="V1019" s="2"/>
      <c r="W1019" s="1"/>
      <c r="X1019" s="1"/>
      <c r="Z1019" s="74"/>
      <c r="AA1019" s="74"/>
      <c r="AB1019" s="74"/>
      <c r="AC1019" s="20"/>
      <c r="AD1019" s="20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</row>
    <row r="1020" spans="1:47" hidden="1">
      <c r="A1020" s="323" t="s">
        <v>471</v>
      </c>
      <c r="B1020" s="1"/>
      <c r="C1020" s="319">
        <f>[53]Sheet1!$E$2+[53]Sheet1!$E$4</f>
        <v>106.272727272727</v>
      </c>
      <c r="D1020" s="337">
        <v>1419</v>
      </c>
      <c r="E1020" s="337"/>
      <c r="F1020" s="2">
        <f>ROUND(D1020*$C1020,0)</f>
        <v>150801</v>
      </c>
      <c r="G1020" s="337">
        <v>1419</v>
      </c>
      <c r="H1020" s="321"/>
      <c r="I1020" s="2">
        <f>ROUND(G1020*C1020,0)</f>
        <v>150801</v>
      </c>
      <c r="J1020" s="337">
        <f>J999</f>
        <v>1419</v>
      </c>
      <c r="K1020" s="321"/>
      <c r="L1020" s="2">
        <f>ROUND(J1020*$C1020,0)</f>
        <v>150801</v>
      </c>
      <c r="M1020" s="2"/>
      <c r="N1020" s="337">
        <f>N999</f>
        <v>1419</v>
      </c>
      <c r="O1020" s="321"/>
      <c r="P1020" s="2">
        <f>ROUND(N1020*$C1020,0)</f>
        <v>150801</v>
      </c>
      <c r="Q1020" s="2"/>
      <c r="R1020" s="337" t="str">
        <f>R999</f>
        <v xml:space="preserve"> </v>
      </c>
      <c r="S1020" s="321"/>
      <c r="T1020" s="2">
        <f>ROUND(R1020*$C1020,0)</f>
        <v>0</v>
      </c>
      <c r="U1020" s="2"/>
      <c r="V1020" s="337" t="str">
        <f>V999</f>
        <v xml:space="preserve"> </v>
      </c>
      <c r="W1020" s="321"/>
      <c r="X1020" s="2">
        <f>ROUND(V1020*$C1020,0)</f>
        <v>0</v>
      </c>
      <c r="Y1020" s="20"/>
      <c r="Z1020" s="74"/>
      <c r="AA1020" s="74"/>
      <c r="AB1020" s="74"/>
      <c r="AC1020" s="20"/>
      <c r="AD1020" s="20"/>
      <c r="AE1020" s="20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</row>
    <row r="1021" spans="1:47" hidden="1">
      <c r="A1021" s="323" t="s">
        <v>472</v>
      </c>
      <c r="B1021" s="1"/>
      <c r="C1021" s="319">
        <v>0</v>
      </c>
      <c r="D1021" s="337">
        <v>1707</v>
      </c>
      <c r="E1021" s="337"/>
      <c r="F1021" s="2">
        <f>ROUND(D1021*$C1021,0)</f>
        <v>0</v>
      </c>
      <c r="G1021" s="337">
        <v>1707</v>
      </c>
      <c r="H1021" s="324"/>
      <c r="I1021" s="2">
        <f>ROUND(G1021*C1021,0)</f>
        <v>0</v>
      </c>
      <c r="J1021" s="337">
        <f>J1000</f>
        <v>1707</v>
      </c>
      <c r="K1021" s="324"/>
      <c r="L1021" s="2">
        <f>ROUND(J1021*$C1021,0)</f>
        <v>0</v>
      </c>
      <c r="M1021" s="2"/>
      <c r="N1021" s="337">
        <f>N1000</f>
        <v>1707</v>
      </c>
      <c r="O1021" s="324"/>
      <c r="P1021" s="2">
        <f>ROUND(N1021*$C1021,0)</f>
        <v>0</v>
      </c>
      <c r="Q1021" s="2"/>
      <c r="R1021" s="337" t="str">
        <f>R1000</f>
        <v xml:space="preserve"> </v>
      </c>
      <c r="S1021" s="324"/>
      <c r="T1021" s="2">
        <f>ROUND(R1021*$C1021,0)</f>
        <v>0</v>
      </c>
      <c r="U1021" s="2"/>
      <c r="V1021" s="337" t="str">
        <f>V1000</f>
        <v xml:space="preserve"> </v>
      </c>
      <c r="W1021" s="324"/>
      <c r="X1021" s="2">
        <f>ROUND(V1021*$C1021,0)</f>
        <v>0</v>
      </c>
      <c r="Y1021" s="20"/>
      <c r="Z1021" s="74"/>
      <c r="AA1021" s="74"/>
      <c r="AB1021" s="74"/>
      <c r="AC1021" s="20"/>
      <c r="AD1021" s="20"/>
      <c r="AE1021" s="20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</row>
    <row r="1022" spans="1:47" hidden="1">
      <c r="A1022" s="323" t="s">
        <v>394</v>
      </c>
      <c r="B1022" s="1"/>
      <c r="C1022" s="319">
        <f>SUM(C1020:C1021)</f>
        <v>106.272727272727</v>
      </c>
      <c r="D1022" s="337" t="s">
        <v>31</v>
      </c>
      <c r="E1022" s="337"/>
      <c r="F1022" s="2" t="s">
        <v>31</v>
      </c>
      <c r="G1022" s="337" t="s">
        <v>31</v>
      </c>
      <c r="H1022" s="321"/>
      <c r="I1022" s="2" t="s">
        <v>31</v>
      </c>
      <c r="J1022" s="337" t="s">
        <v>31</v>
      </c>
      <c r="K1022" s="321"/>
      <c r="L1022" s="2" t="s">
        <v>31</v>
      </c>
      <c r="M1022" s="2"/>
      <c r="N1022" s="337" t="s">
        <v>31</v>
      </c>
      <c r="O1022" s="321"/>
      <c r="P1022" s="2" t="s">
        <v>31</v>
      </c>
      <c r="Q1022" s="2"/>
      <c r="R1022" s="337" t="s">
        <v>31</v>
      </c>
      <c r="S1022" s="321"/>
      <c r="T1022" s="2" t="s">
        <v>31</v>
      </c>
      <c r="U1022" s="2"/>
      <c r="V1022" s="337" t="s">
        <v>31</v>
      </c>
      <c r="W1022" s="321"/>
      <c r="X1022" s="2" t="s">
        <v>31</v>
      </c>
      <c r="Y1022" s="20"/>
      <c r="Z1022" s="74"/>
      <c r="AA1022" s="74"/>
      <c r="AB1022" s="74"/>
      <c r="AC1022" s="20"/>
      <c r="AD1022" s="20"/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</row>
    <row r="1023" spans="1:47" hidden="1">
      <c r="A1023" s="323" t="s">
        <v>473</v>
      </c>
      <c r="B1023" s="1"/>
      <c r="C1023" s="319">
        <f>[53]Sheet1!$G$2+[53]Sheet1!$G$4</f>
        <v>191834.454545455</v>
      </c>
      <c r="D1023" s="337">
        <v>0.53</v>
      </c>
      <c r="E1023" s="337"/>
      <c r="F1023" s="2">
        <f>ROUND(D1023*$C1023,0)</f>
        <v>101672</v>
      </c>
      <c r="G1023" s="337">
        <v>0.53</v>
      </c>
      <c r="H1023" s="321"/>
      <c r="I1023" s="2">
        <f t="shared" ref="I1023:I1025" si="244">ROUND(G1023*C1023,0)</f>
        <v>101672</v>
      </c>
      <c r="J1023" s="337">
        <f ca="1">J1002</f>
        <v>0.61</v>
      </c>
      <c r="K1023" s="321"/>
      <c r="L1023" s="2">
        <f ca="1">ROUND(J1023*$C1023,0)</f>
        <v>117019</v>
      </c>
      <c r="M1023" s="2"/>
      <c r="N1023" s="337">
        <f ca="1">N1002</f>
        <v>0.61</v>
      </c>
      <c r="O1023" s="321"/>
      <c r="P1023" s="2">
        <f ca="1">ROUND(N1023*$C1023,0)</f>
        <v>117019</v>
      </c>
      <c r="Q1023" s="2"/>
      <c r="R1023" s="337" t="str">
        <f>R1002</f>
        <v xml:space="preserve"> </v>
      </c>
      <c r="S1023" s="321"/>
      <c r="T1023" s="2">
        <f>ROUND(R1023*$C1023,0)</f>
        <v>0</v>
      </c>
      <c r="U1023" s="2"/>
      <c r="V1023" s="337" t="str">
        <f>V1002</f>
        <v xml:space="preserve"> </v>
      </c>
      <c r="W1023" s="321"/>
      <c r="X1023" s="2">
        <f>ROUND(V1023*$C1023,0)</f>
        <v>0</v>
      </c>
      <c r="Y1023" s="7" t="s">
        <v>31</v>
      </c>
      <c r="Z1023" s="74"/>
      <c r="AA1023" s="74" t="s">
        <v>31</v>
      </c>
      <c r="AB1023" s="74"/>
      <c r="AC1023" s="20"/>
      <c r="AD1023" s="20"/>
      <c r="AE1023" s="20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</row>
    <row r="1024" spans="1:47" hidden="1">
      <c r="A1024" s="323" t="s">
        <v>474</v>
      </c>
      <c r="B1024" s="1"/>
      <c r="C1024" s="319">
        <v>0</v>
      </c>
      <c r="D1024" s="337">
        <v>0.43</v>
      </c>
      <c r="E1024" s="337"/>
      <c r="F1024" s="2">
        <f>ROUND(D1024*$C1024,0)</f>
        <v>0</v>
      </c>
      <c r="G1024" s="337">
        <v>0.43</v>
      </c>
      <c r="H1024" s="321"/>
      <c r="I1024" s="2">
        <f t="shared" si="244"/>
        <v>0</v>
      </c>
      <c r="J1024" s="337">
        <f ca="1">J1003</f>
        <v>0.48</v>
      </c>
      <c r="K1024" s="321"/>
      <c r="L1024" s="2">
        <f ca="1">ROUND(J1024*$C1024,0)</f>
        <v>0</v>
      </c>
      <c r="M1024" s="2"/>
      <c r="N1024" s="337">
        <f ca="1">N1003</f>
        <v>0.48</v>
      </c>
      <c r="O1024" s="321"/>
      <c r="P1024" s="2">
        <f ca="1">ROUND(N1024*$C1024,0)</f>
        <v>0</v>
      </c>
      <c r="Q1024" s="2"/>
      <c r="R1024" s="337" t="str">
        <f>R1003</f>
        <v xml:space="preserve"> </v>
      </c>
      <c r="S1024" s="321"/>
      <c r="T1024" s="2">
        <f>ROUND(R1024*$C1024,0)</f>
        <v>0</v>
      </c>
      <c r="U1024" s="2"/>
      <c r="V1024" s="337" t="str">
        <f>V1003</f>
        <v xml:space="preserve"> </v>
      </c>
      <c r="W1024" s="321"/>
      <c r="X1024" s="2">
        <f>ROUND(V1024*$C1024,0)</f>
        <v>0</v>
      </c>
      <c r="Y1024" s="20"/>
      <c r="Z1024" s="74"/>
      <c r="AA1024" s="74"/>
      <c r="AB1024" s="74"/>
      <c r="AC1024" s="20"/>
      <c r="AD1024" s="20"/>
      <c r="AE1024" s="20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</row>
    <row r="1025" spans="1:47" hidden="1">
      <c r="A1025" s="309" t="s">
        <v>403</v>
      </c>
      <c r="B1025" s="1"/>
      <c r="C1025" s="319">
        <f>[53]Sheet1!$J$2+[53]Sheet1!$J$4</f>
        <v>152726.48484848501</v>
      </c>
      <c r="D1025" s="337">
        <v>6.99</v>
      </c>
      <c r="E1025" s="337"/>
      <c r="F1025" s="2">
        <f>ROUND(D1025*$C1025,0)</f>
        <v>1067558</v>
      </c>
      <c r="G1025" s="337">
        <v>7.4</v>
      </c>
      <c r="H1025" s="321"/>
      <c r="I1025" s="2">
        <f t="shared" si="244"/>
        <v>1130176</v>
      </c>
      <c r="J1025" s="337">
        <f ca="1">J1004</f>
        <v>8.32</v>
      </c>
      <c r="K1025" s="321"/>
      <c r="L1025" s="2">
        <f ca="1">ROUND(J1025*$C1025,0)</f>
        <v>1270684</v>
      </c>
      <c r="M1025" s="2"/>
      <c r="N1025" s="337">
        <f ca="1">N1004</f>
        <v>1.4757900850785193</v>
      </c>
      <c r="O1025" s="321"/>
      <c r="P1025" s="2">
        <f ca="1">ROUND(N1025*$C1025,0)</f>
        <v>225392</v>
      </c>
      <c r="Q1025" s="2"/>
      <c r="R1025" s="337">
        <f ca="1">R1004</f>
        <v>1.356557464016797</v>
      </c>
      <c r="S1025" s="321"/>
      <c r="T1025" s="2">
        <f ca="1">ROUND(R1025*$C1025,0)</f>
        <v>207182</v>
      </c>
      <c r="U1025" s="2"/>
      <c r="V1025" s="337">
        <f ca="1">V1004</f>
        <v>5.4776504633351539</v>
      </c>
      <c r="W1025" s="321"/>
      <c r="X1025" s="2">
        <f ca="1">ROUND(V1025*$C1025,0)</f>
        <v>836582</v>
      </c>
      <c r="Y1025" s="20"/>
      <c r="Z1025" s="74"/>
      <c r="AA1025" s="74"/>
      <c r="AB1025" s="74"/>
      <c r="AC1025" s="20"/>
      <c r="AD1025" s="20"/>
      <c r="AE1025" s="20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</row>
    <row r="1026" spans="1:47" hidden="1">
      <c r="A1026" s="323" t="s">
        <v>426</v>
      </c>
      <c r="B1026" s="1"/>
      <c r="C1026" s="319"/>
      <c r="D1026" s="337" t="s">
        <v>31</v>
      </c>
      <c r="E1026" s="337"/>
      <c r="F1026" s="2"/>
      <c r="G1026" s="337" t="s">
        <v>31</v>
      </c>
      <c r="H1026" s="321"/>
      <c r="I1026" s="2"/>
      <c r="J1026" s="337" t="s">
        <v>31</v>
      </c>
      <c r="K1026" s="321"/>
      <c r="L1026" s="2"/>
      <c r="M1026" s="2"/>
      <c r="N1026" s="337" t="s">
        <v>31</v>
      </c>
      <c r="O1026" s="321"/>
      <c r="P1026" s="2"/>
      <c r="Q1026" s="2"/>
      <c r="R1026" s="337" t="s">
        <v>31</v>
      </c>
      <c r="S1026" s="321"/>
      <c r="T1026" s="2"/>
      <c r="U1026" s="2"/>
      <c r="V1026" s="337" t="s">
        <v>31</v>
      </c>
      <c r="W1026" s="321"/>
      <c r="X1026" s="2"/>
      <c r="Y1026" s="20"/>
      <c r="Z1026" s="74"/>
      <c r="AA1026" s="74"/>
      <c r="AB1026" s="74"/>
      <c r="AC1026" s="20"/>
      <c r="AD1026" s="20"/>
      <c r="AE1026" s="20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</row>
    <row r="1027" spans="1:47" hidden="1">
      <c r="A1027" s="323" t="s">
        <v>464</v>
      </c>
      <c r="B1027" s="1"/>
      <c r="C1027" s="319">
        <f>[53]Sheet1!$H$2+[53]Sheet1!$H$4+Temperature!F127*1000</f>
        <v>63272636.012304217</v>
      </c>
      <c r="D1027" s="395">
        <v>4.1920000000000002</v>
      </c>
      <c r="E1027" s="321" t="s">
        <v>374</v>
      </c>
      <c r="F1027" s="2">
        <f>ROUND(D1027/100*$C1027,0)</f>
        <v>2652389</v>
      </c>
      <c r="G1027" s="395">
        <v>4.4589999999999996</v>
      </c>
      <c r="H1027" s="321" t="s">
        <v>374</v>
      </c>
      <c r="I1027" s="2">
        <f>ROUND(G1027/100*C1027,0)</f>
        <v>2821327</v>
      </c>
      <c r="J1027" s="395">
        <f ca="1">J1006</f>
        <v>1.508</v>
      </c>
      <c r="K1027" s="321" t="s">
        <v>374</v>
      </c>
      <c r="L1027" s="2">
        <f ca="1">ROUND(J1027/100*$C1027,0)</f>
        <v>954151</v>
      </c>
      <c r="M1027" s="2"/>
      <c r="N1027" s="395" t="str">
        <f>N1006</f>
        <v xml:space="preserve"> </v>
      </c>
      <c r="O1027" s="321" t="s">
        <v>374</v>
      </c>
      <c r="P1027" s="2">
        <f>ROUND(N1027/100*$C1027,0)</f>
        <v>0</v>
      </c>
      <c r="Q1027" s="2"/>
      <c r="R1027" s="395">
        <f ca="1">R1006</f>
        <v>0.98299999999999998</v>
      </c>
      <c r="S1027" s="321" t="s">
        <v>374</v>
      </c>
      <c r="T1027" s="2">
        <f ca="1">ROUND(R1027/100*$C1027,0)</f>
        <v>621970</v>
      </c>
      <c r="U1027" s="2"/>
      <c r="V1027" s="395">
        <f ca="1">V1006</f>
        <v>0.52500000000000002</v>
      </c>
      <c r="W1027" s="321" t="s">
        <v>374</v>
      </c>
      <c r="X1027" s="2">
        <f ca="1">ROUND(V1027/100*$C1027,0)</f>
        <v>332181</v>
      </c>
      <c r="Y1027" s="20"/>
      <c r="Z1027" s="74"/>
      <c r="AA1027" s="74"/>
      <c r="AB1027" s="74"/>
      <c r="AC1027" s="20"/>
      <c r="AD1027" s="20"/>
      <c r="AE1027" s="20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</row>
    <row r="1028" spans="1:47" hidden="1">
      <c r="A1028" s="323" t="s">
        <v>400</v>
      </c>
      <c r="B1028" s="1"/>
      <c r="C1028" s="319">
        <f>[53]Sheet1!$L$2+[53]Sheet1!$L$4</f>
        <v>12916.333333333299</v>
      </c>
      <c r="D1028" s="337">
        <v>0.54</v>
      </c>
      <c r="E1028" s="321"/>
      <c r="F1028" s="2">
        <f>ROUND(D1028*$C1028,0)</f>
        <v>6975</v>
      </c>
      <c r="G1028" s="337">
        <v>0.54</v>
      </c>
      <c r="H1028" s="321"/>
      <c r="I1028" s="2">
        <f>ROUND(G1028*C1028,0)</f>
        <v>6975</v>
      </c>
      <c r="J1028" s="337">
        <f>J1007</f>
        <v>0.54</v>
      </c>
      <c r="K1028" s="321"/>
      <c r="L1028" s="2">
        <f>ROUND(J1028*$C1028,0)</f>
        <v>6975</v>
      </c>
      <c r="M1028" s="2"/>
      <c r="N1028" s="337" t="str">
        <f>N1007</f>
        <v xml:space="preserve"> </v>
      </c>
      <c r="O1028" s="321"/>
      <c r="P1028" s="2">
        <f>ROUND(N1028*$C1028,0)</f>
        <v>0</v>
      </c>
      <c r="Q1028" s="2"/>
      <c r="R1028" s="337">
        <f ca="1">R1007</f>
        <v>0.11</v>
      </c>
      <c r="S1028" s="321"/>
      <c r="T1028" s="2">
        <f ca="1">ROUND(R1028*$C1028,0)</f>
        <v>1421</v>
      </c>
      <c r="U1028" s="2"/>
      <c r="V1028" s="337">
        <f ca="1">V1007</f>
        <v>0.43</v>
      </c>
      <c r="W1028" s="321"/>
      <c r="X1028" s="2">
        <f ca="1">ROUND(V1028*$C1028,0)</f>
        <v>5554</v>
      </c>
      <c r="Y1028" s="20"/>
      <c r="Z1028" s="74"/>
      <c r="AA1028" s="74"/>
      <c r="AB1028" s="74"/>
      <c r="AC1028" s="20"/>
      <c r="AD1028" s="20"/>
      <c r="AE1028" s="20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</row>
    <row r="1029" spans="1:47" s="1184" customFormat="1" hidden="1">
      <c r="A1029" s="1005" t="s">
        <v>1035</v>
      </c>
      <c r="C1029" s="1202">
        <f>C1027</f>
        <v>63272636.012304217</v>
      </c>
      <c r="D1029" s="269"/>
      <c r="E1029" s="1185"/>
      <c r="F1029" s="1203"/>
      <c r="G1029" s="269"/>
      <c r="H1029" s="1185"/>
      <c r="I1029" s="1203"/>
      <c r="J1029" s="1230">
        <f>J1008</f>
        <v>3.4529999999999998</v>
      </c>
      <c r="K1029" s="1041" t="s">
        <v>374</v>
      </c>
      <c r="L1029" s="1203">
        <f>ROUND(J1029/100*$C1029,0)</f>
        <v>2184804</v>
      </c>
      <c r="M1029" s="1203"/>
      <c r="N1029" s="1230" t="str">
        <f>N1008</f>
        <v xml:space="preserve"> </v>
      </c>
      <c r="O1029" s="1041" t="s">
        <v>374</v>
      </c>
      <c r="P1029" s="1203">
        <f>ROUND(N1029/100*$C1029,0)</f>
        <v>0</v>
      </c>
      <c r="Q1029" s="1203"/>
      <c r="R1029" s="1230" t="str">
        <f>R1008</f>
        <v xml:space="preserve"> </v>
      </c>
      <c r="S1029" s="1041" t="s">
        <v>374</v>
      </c>
      <c r="T1029" s="1203">
        <f>ROUND(R1029/100*$C1029,0)</f>
        <v>0</v>
      </c>
      <c r="U1029" s="1203"/>
      <c r="V1029" s="1230">
        <f>V1008</f>
        <v>3.4529999999999998</v>
      </c>
      <c r="W1029" s="1041" t="s">
        <v>374</v>
      </c>
      <c r="X1029" s="1203">
        <f>ROUND(V1029/100*$C1029,0)</f>
        <v>2184804</v>
      </c>
      <c r="Z1029" s="815"/>
      <c r="AC1029" s="1205"/>
      <c r="AD1029" s="1205"/>
      <c r="AI1029" s="1185"/>
      <c r="AJ1029" s="1185"/>
      <c r="AK1029" s="1185"/>
      <c r="AL1029" s="1185"/>
      <c r="AM1029" s="1185"/>
      <c r="AN1029" s="1185"/>
      <c r="AO1029" s="1185"/>
      <c r="AP1029" s="1185"/>
      <c r="AQ1029" s="1185"/>
      <c r="AR1029" s="1185"/>
      <c r="AS1029" s="1185"/>
      <c r="AU1029" s="1204"/>
    </row>
    <row r="1030" spans="1:47" hidden="1">
      <c r="A1030" s="1" t="s">
        <v>381</v>
      </c>
      <c r="B1030" s="1"/>
      <c r="C1030" s="319">
        <f>C1027</f>
        <v>63272636.012304217</v>
      </c>
      <c r="D1030" s="330"/>
      <c r="E1030" s="2"/>
      <c r="F1030" s="2">
        <f>SUM(F1020:F1028)</f>
        <v>3979395</v>
      </c>
      <c r="G1030" s="330"/>
      <c r="H1030" s="1"/>
      <c r="I1030" s="2">
        <f>SUM(I1020:I1028)</f>
        <v>4210951</v>
      </c>
      <c r="J1030" s="330"/>
      <c r="K1030" s="1"/>
      <c r="L1030" s="2">
        <f ca="1">SUM(L1020:L1029)</f>
        <v>4684434</v>
      </c>
      <c r="M1030" s="2"/>
      <c r="N1030" s="330"/>
      <c r="O1030" s="1"/>
      <c r="P1030" s="2">
        <f ca="1">SUM(P1020:P1029)</f>
        <v>493212</v>
      </c>
      <c r="Q1030" s="2"/>
      <c r="R1030" s="330"/>
      <c r="S1030" s="1"/>
      <c r="T1030" s="2">
        <f ca="1">SUM(T1020:T1029)</f>
        <v>830573</v>
      </c>
      <c r="U1030" s="2"/>
      <c r="V1030" s="330"/>
      <c r="W1030" s="1"/>
      <c r="X1030" s="2">
        <f ca="1">SUM(X1020:X1029)</f>
        <v>3359121</v>
      </c>
      <c r="Y1030" s="20"/>
      <c r="Z1030" s="74"/>
      <c r="AA1030" s="74"/>
      <c r="AB1030" s="74"/>
      <c r="AC1030" s="20"/>
      <c r="AD1030" s="20"/>
      <c r="AE1030" s="20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</row>
    <row r="1031" spans="1:47" hidden="1">
      <c r="A1031" s="1" t="s">
        <v>363</v>
      </c>
      <c r="B1031" s="1"/>
      <c r="C1031" s="319">
        <f>C1030/($C$972+$C$1030)*$C$1067</f>
        <v>-181609.39337193142</v>
      </c>
      <c r="D1031" s="309"/>
      <c r="E1031" s="309"/>
      <c r="F1031" s="764">
        <f>I1031</f>
        <v>-9981.7737565389725</v>
      </c>
      <c r="G1031" s="309"/>
      <c r="H1031" s="309"/>
      <c r="I1031" s="340">
        <f>I1030/($I$972+$I$1030)*$I$1067</f>
        <v>-9981.7737565389725</v>
      </c>
      <c r="J1031" s="309"/>
      <c r="K1031" s="309"/>
      <c r="L1031" s="341">
        <f>I1031</f>
        <v>-9981.7737565389725</v>
      </c>
      <c r="M1031" s="322"/>
      <c r="N1031" s="309"/>
      <c r="O1031" s="309"/>
      <c r="P1031" s="341">
        <f ca="1">$L$1031*Y1014/(Y1014+$Z$1014+$AA$1014)</f>
        <v>-1094.8068275455325</v>
      </c>
      <c r="Q1031" s="51"/>
      <c r="R1031" s="309"/>
      <c r="S1031" s="309"/>
      <c r="T1031" s="341">
        <f ca="1">$L$1031*Z1014/(Y1014+$Z$1014+$AA$1014)</f>
        <v>-1761.4428795796198</v>
      </c>
      <c r="U1031" s="51"/>
      <c r="V1031" s="309"/>
      <c r="W1031" s="309"/>
      <c r="X1031" s="341">
        <f ca="1">$L$1031*AA1014/(Y1014+$Z$1014+$AA$1014)</f>
        <v>-7125.5240494138188</v>
      </c>
      <c r="Y1031" s="444"/>
      <c r="Z1031" s="287"/>
      <c r="AA1031" s="74"/>
      <c r="AB1031" s="74"/>
      <c r="AC1031" s="20"/>
      <c r="AD1031" s="20"/>
      <c r="AE1031" s="20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</row>
    <row r="1032" spans="1:47" ht="16.5" hidden="1" thickBot="1">
      <c r="A1032" s="1" t="s">
        <v>382</v>
      </c>
      <c r="B1032" s="1"/>
      <c r="C1032" s="393">
        <f>SUM(C1030)+C1031</f>
        <v>63091026.618932284</v>
      </c>
      <c r="D1032" s="342"/>
      <c r="E1032" s="343"/>
      <c r="F1032" s="344">
        <f>F1030+F1031</f>
        <v>3969413.226243461</v>
      </c>
      <c r="G1032" s="342"/>
      <c r="H1032" s="345"/>
      <c r="I1032" s="344">
        <f>I1030+I1031</f>
        <v>4200969.2262434615</v>
      </c>
      <c r="J1032" s="342"/>
      <c r="K1032" s="345"/>
      <c r="L1032" s="344">
        <f ca="1">L1030+L1031</f>
        <v>4674452.2262434615</v>
      </c>
      <c r="M1032" s="344"/>
      <c r="N1032" s="342"/>
      <c r="O1032" s="345"/>
      <c r="P1032" s="344">
        <f ca="1">P1030+P1031</f>
        <v>492117.19317245448</v>
      </c>
      <c r="Q1032" s="344"/>
      <c r="R1032" s="342"/>
      <c r="S1032" s="345"/>
      <c r="T1032" s="344">
        <f ca="1">T1030+T1031</f>
        <v>828811.55712042039</v>
      </c>
      <c r="U1032" s="344"/>
      <c r="V1032" s="342"/>
      <c r="W1032" s="345"/>
      <c r="X1032" s="344">
        <f ca="1">X1030+X1031</f>
        <v>3351995.4759505861</v>
      </c>
      <c r="Y1032" s="411" t="s">
        <v>31</v>
      </c>
      <c r="Z1032" s="470"/>
      <c r="AA1032" s="74"/>
      <c r="AB1032" s="74"/>
      <c r="AC1032" s="801" t="s">
        <v>31</v>
      </c>
      <c r="AD1032" s="20"/>
      <c r="AE1032" s="20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</row>
    <row r="1033" spans="1:47" ht="16.5" hidden="1" thickTop="1">
      <c r="A1033" s="1"/>
      <c r="B1033" s="1"/>
      <c r="C1033" s="21"/>
      <c r="D1033" s="337" t="s">
        <v>31</v>
      </c>
      <c r="E1033" s="2"/>
      <c r="F1033" s="2"/>
      <c r="G1033" s="337" t="s">
        <v>31</v>
      </c>
      <c r="H1033" s="1"/>
      <c r="I1033" s="2"/>
      <c r="J1033" s="353" t="s">
        <v>31</v>
      </c>
      <c r="K1033" s="1"/>
      <c r="L1033" s="2" t="s">
        <v>31</v>
      </c>
      <c r="M1033" s="2"/>
      <c r="N1033" s="353" t="s">
        <v>31</v>
      </c>
      <c r="O1033" s="1"/>
      <c r="P1033" s="2" t="s">
        <v>31</v>
      </c>
      <c r="Q1033" s="2"/>
      <c r="R1033" s="353" t="s">
        <v>31</v>
      </c>
      <c r="S1033" s="1"/>
      <c r="T1033" s="2" t="s">
        <v>31</v>
      </c>
      <c r="U1033" s="2"/>
      <c r="V1033" s="353" t="s">
        <v>31</v>
      </c>
      <c r="W1033" s="1"/>
      <c r="X1033" s="2" t="s">
        <v>31</v>
      </c>
      <c r="Y1033" s="20"/>
      <c r="Z1033" s="74"/>
      <c r="AA1033" s="74"/>
      <c r="AB1033" s="74"/>
      <c r="AC1033" s="20"/>
      <c r="AD1033" s="20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</row>
    <row r="1034" spans="1:47" hidden="1">
      <c r="A1034" s="293" t="s">
        <v>476</v>
      </c>
      <c r="B1034" s="1"/>
      <c r="C1034" s="1"/>
      <c r="D1034" s="2"/>
      <c r="E1034" s="2"/>
      <c r="F1034" s="1"/>
      <c r="G1034" s="2"/>
      <c r="H1034" s="1"/>
      <c r="I1034" s="1"/>
      <c r="J1034" s="2"/>
      <c r="K1034" s="1"/>
      <c r="L1034" s="1"/>
      <c r="M1034" s="1"/>
      <c r="N1034" s="2"/>
      <c r="O1034" s="1"/>
      <c r="P1034" s="1"/>
      <c r="Q1034" s="1"/>
      <c r="R1034" s="2"/>
      <c r="S1034" s="1"/>
      <c r="T1034" s="1"/>
      <c r="U1034" s="1"/>
      <c r="V1034" s="2"/>
      <c r="W1034" s="1"/>
      <c r="X1034" s="1"/>
      <c r="Y1034" s="20"/>
      <c r="Z1034" s="74"/>
      <c r="AA1034" s="74"/>
      <c r="AB1034" s="74"/>
      <c r="AC1034" s="20"/>
      <c r="AD1034" s="20"/>
      <c r="AE1034" s="20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</row>
    <row r="1035" spans="1:47" hidden="1">
      <c r="A1035" s="309" t="s">
        <v>694</v>
      </c>
      <c r="B1035" s="1"/>
      <c r="C1035" s="1"/>
      <c r="D1035" s="2"/>
      <c r="E1035" s="2"/>
      <c r="F1035" s="1"/>
      <c r="G1035" s="2"/>
      <c r="H1035" s="1"/>
      <c r="I1035" s="1"/>
      <c r="J1035" s="2"/>
      <c r="K1035" s="1"/>
      <c r="L1035" s="1"/>
      <c r="M1035" s="1"/>
      <c r="N1035" s="2"/>
      <c r="O1035" s="1"/>
      <c r="P1035" s="1"/>
      <c r="Q1035" s="1"/>
      <c r="R1035" s="2"/>
      <c r="S1035" s="1"/>
      <c r="T1035" s="1"/>
      <c r="U1035" s="1"/>
      <c r="V1035" s="2"/>
      <c r="W1035" s="1"/>
      <c r="X1035" s="1"/>
      <c r="Y1035" s="20"/>
      <c r="Z1035" s="74"/>
      <c r="AA1035" s="74"/>
      <c r="AB1035" s="74"/>
      <c r="AC1035" s="20"/>
      <c r="AD1035" s="20"/>
      <c r="AE1035" s="20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</row>
    <row r="1036" spans="1:47" hidden="1">
      <c r="A1036" s="1" t="s">
        <v>31</v>
      </c>
      <c r="B1036" s="1"/>
      <c r="C1036" s="1"/>
      <c r="D1036" s="2"/>
      <c r="E1036" s="2"/>
      <c r="F1036" s="1"/>
      <c r="G1036" s="2"/>
      <c r="H1036" s="1"/>
      <c r="I1036" s="1"/>
      <c r="J1036" s="2"/>
      <c r="K1036" s="1"/>
      <c r="L1036" s="1"/>
      <c r="M1036" s="1"/>
      <c r="N1036" s="2"/>
      <c r="O1036" s="1"/>
      <c r="P1036" s="1"/>
      <c r="Q1036" s="1"/>
      <c r="R1036" s="2"/>
      <c r="S1036" s="1"/>
      <c r="T1036" s="1"/>
      <c r="U1036" s="1"/>
      <c r="V1036" s="2"/>
      <c r="W1036" s="1"/>
      <c r="X1036" s="1"/>
      <c r="Y1036" s="20"/>
      <c r="Z1036" s="74"/>
      <c r="AA1036" s="74"/>
      <c r="AB1036" s="74"/>
      <c r="AC1036" s="20"/>
      <c r="AD1036" s="20"/>
      <c r="AE1036" s="20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</row>
    <row r="1037" spans="1:47" hidden="1">
      <c r="A1037" s="323" t="s">
        <v>393</v>
      </c>
      <c r="B1037" s="1"/>
      <c r="C1037" s="319"/>
      <c r="D1037" s="2"/>
      <c r="E1037" s="2"/>
      <c r="F1037" s="1"/>
      <c r="G1037" s="2"/>
      <c r="H1037" s="1"/>
      <c r="I1037" s="1"/>
      <c r="J1037" s="2"/>
      <c r="K1037" s="1"/>
      <c r="L1037" s="1"/>
      <c r="M1037" s="1"/>
      <c r="N1037" s="2"/>
      <c r="O1037" s="1"/>
      <c r="P1037" s="1"/>
      <c r="Q1037" s="1"/>
      <c r="R1037" s="2"/>
      <c r="S1037" s="1"/>
      <c r="T1037" s="1"/>
      <c r="U1037" s="1"/>
      <c r="V1037" s="2"/>
      <c r="W1037" s="1"/>
      <c r="X1037" s="1"/>
      <c r="Z1037" s="74"/>
      <c r="AA1037" s="74"/>
      <c r="AB1037" s="74"/>
      <c r="AC1037" s="20"/>
      <c r="AD1037" s="20"/>
      <c r="AE1037" s="20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</row>
    <row r="1038" spans="1:47" hidden="1">
      <c r="A1038" s="323" t="s">
        <v>471</v>
      </c>
      <c r="B1038" s="1"/>
      <c r="C1038" s="319">
        <f>[53]Sheet1!$E$5</f>
        <v>24</v>
      </c>
      <c r="D1038" s="337">
        <v>1419</v>
      </c>
      <c r="E1038" s="337"/>
      <c r="F1038" s="2">
        <f>ROUND(D1038*$C1038,0)</f>
        <v>34056</v>
      </c>
      <c r="G1038" s="337">
        <v>1419</v>
      </c>
      <c r="H1038" s="321"/>
      <c r="I1038" s="2">
        <f>ROUND(G1038*C1038,0)</f>
        <v>34056</v>
      </c>
      <c r="J1038" s="337">
        <f>J999</f>
        <v>1419</v>
      </c>
      <c r="K1038" s="321"/>
      <c r="L1038" s="2">
        <f>ROUND(J1038*$C1038,0)</f>
        <v>34056</v>
      </c>
      <c r="M1038" s="2"/>
      <c r="N1038" s="337">
        <f>N999</f>
        <v>1419</v>
      </c>
      <c r="O1038" s="321"/>
      <c r="P1038" s="2">
        <f>ROUND(N1038*$C1038,0)</f>
        <v>34056</v>
      </c>
      <c r="Q1038" s="2"/>
      <c r="R1038" s="337" t="str">
        <f>R999</f>
        <v xml:space="preserve"> </v>
      </c>
      <c r="S1038" s="321"/>
      <c r="T1038" s="2">
        <f>ROUND(R1038*$C1038,0)</f>
        <v>0</v>
      </c>
      <c r="U1038" s="2"/>
      <c r="V1038" s="337" t="str">
        <f>V999</f>
        <v xml:space="preserve"> </v>
      </c>
      <c r="W1038" s="321"/>
      <c r="X1038" s="2">
        <f>ROUND(V1038*$C1038,0)</f>
        <v>0</v>
      </c>
      <c r="Y1038" s="20"/>
      <c r="Z1038" s="74"/>
      <c r="AA1038" s="74"/>
      <c r="AB1038" s="74"/>
      <c r="AC1038" s="20"/>
      <c r="AD1038" s="20"/>
      <c r="AE1038" s="20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</row>
    <row r="1039" spans="1:47" hidden="1">
      <c r="A1039" s="323" t="s">
        <v>472</v>
      </c>
      <c r="B1039" s="1"/>
      <c r="C1039" s="319">
        <v>0</v>
      </c>
      <c r="D1039" s="337">
        <v>1707</v>
      </c>
      <c r="E1039" s="337"/>
      <c r="F1039" s="2">
        <f>ROUND(D1039*$C1039,0)</f>
        <v>0</v>
      </c>
      <c r="G1039" s="337">
        <v>1707</v>
      </c>
      <c r="H1039" s="324"/>
      <c r="I1039" s="2">
        <f>ROUND(G1039*C1039,0)</f>
        <v>0</v>
      </c>
      <c r="J1039" s="337">
        <f>J1000</f>
        <v>1707</v>
      </c>
      <c r="K1039" s="324"/>
      <c r="L1039" s="2">
        <f>ROUND(J1039*$C1039,0)</f>
        <v>0</v>
      </c>
      <c r="M1039" s="2"/>
      <c r="N1039" s="337">
        <f>N1000</f>
        <v>1707</v>
      </c>
      <c r="O1039" s="324"/>
      <c r="P1039" s="2">
        <f>ROUND(N1039*$C1039,0)</f>
        <v>0</v>
      </c>
      <c r="Q1039" s="2"/>
      <c r="R1039" s="337" t="str">
        <f>R1000</f>
        <v xml:space="preserve"> </v>
      </c>
      <c r="S1039" s="324"/>
      <c r="T1039" s="2">
        <f>ROUND(R1039*$C1039,0)</f>
        <v>0</v>
      </c>
      <c r="U1039" s="2"/>
      <c r="V1039" s="337" t="str">
        <f>V1000</f>
        <v xml:space="preserve"> </v>
      </c>
      <c r="W1039" s="324"/>
      <c r="X1039" s="2">
        <f>ROUND(V1039*$C1039,0)</f>
        <v>0</v>
      </c>
      <c r="Y1039" s="20"/>
      <c r="Z1039" s="74"/>
      <c r="AA1039" s="74"/>
      <c r="AB1039" s="74"/>
      <c r="AC1039" s="20"/>
      <c r="AD1039" s="20"/>
      <c r="AE1039" s="20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</row>
    <row r="1040" spans="1:47" hidden="1">
      <c r="A1040" s="323" t="s">
        <v>394</v>
      </c>
      <c r="B1040" s="1"/>
      <c r="C1040" s="319">
        <f>SUM(C1038:C1039)</f>
        <v>24</v>
      </c>
      <c r="D1040" s="337" t="s">
        <v>31</v>
      </c>
      <c r="E1040" s="337"/>
      <c r="F1040" s="2" t="s">
        <v>31</v>
      </c>
      <c r="G1040" s="337" t="s">
        <v>31</v>
      </c>
      <c r="H1040" s="321"/>
      <c r="I1040" s="2" t="s">
        <v>31</v>
      </c>
      <c r="J1040" s="337" t="s">
        <v>31</v>
      </c>
      <c r="K1040" s="321"/>
      <c r="L1040" s="2" t="s">
        <v>31</v>
      </c>
      <c r="M1040" s="2"/>
      <c r="N1040" s="337" t="s">
        <v>31</v>
      </c>
      <c r="O1040" s="321"/>
      <c r="P1040" s="2" t="s">
        <v>31</v>
      </c>
      <c r="Q1040" s="2"/>
      <c r="R1040" s="337" t="s">
        <v>31</v>
      </c>
      <c r="S1040" s="321"/>
      <c r="T1040" s="2" t="s">
        <v>31</v>
      </c>
      <c r="U1040" s="2"/>
      <c r="V1040" s="337" t="s">
        <v>31</v>
      </c>
      <c r="W1040" s="321"/>
      <c r="X1040" s="2" t="s">
        <v>31</v>
      </c>
      <c r="Y1040" s="20"/>
      <c r="Z1040" s="74"/>
      <c r="AA1040" s="74"/>
      <c r="AB1040" s="74"/>
      <c r="AC1040" s="20"/>
      <c r="AD1040" s="20"/>
      <c r="AE1040" s="20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  <c r="AQ1040" s="20"/>
      <c r="AR1040" s="20"/>
      <c r="AS1040" s="20"/>
    </row>
    <row r="1041" spans="1:47" hidden="1">
      <c r="A1041" s="323" t="s">
        <v>473</v>
      </c>
      <c r="B1041" s="1"/>
      <c r="C1041" s="319">
        <f>[53]Sheet1!$G$5</f>
        <v>29849</v>
      </c>
      <c r="D1041" s="337">
        <v>0.53</v>
      </c>
      <c r="E1041" s="337"/>
      <c r="F1041" s="2">
        <f>ROUND(D1041*$C1041,0)</f>
        <v>15820</v>
      </c>
      <c r="G1041" s="337">
        <v>0.53</v>
      </c>
      <c r="H1041" s="321"/>
      <c r="I1041" s="2">
        <f t="shared" ref="I1041:I1043" si="245">ROUND(G1041*C1041,0)</f>
        <v>15820</v>
      </c>
      <c r="J1041" s="337">
        <f ca="1">J1002</f>
        <v>0.61</v>
      </c>
      <c r="K1041" s="321"/>
      <c r="L1041" s="2">
        <f ca="1">ROUND(J1041*$C1041,0)</f>
        <v>18208</v>
      </c>
      <c r="M1041" s="2"/>
      <c r="N1041" s="337">
        <f ca="1">N1002</f>
        <v>0.61</v>
      </c>
      <c r="O1041" s="321"/>
      <c r="P1041" s="2">
        <f ca="1">ROUND(N1041*$C1041,0)</f>
        <v>18208</v>
      </c>
      <c r="Q1041" s="2"/>
      <c r="R1041" s="337" t="str">
        <f>R1002</f>
        <v xml:space="preserve"> </v>
      </c>
      <c r="S1041" s="321"/>
      <c r="T1041" s="2">
        <f>ROUND(R1041*$C1041,0)</f>
        <v>0</v>
      </c>
      <c r="U1041" s="2"/>
      <c r="V1041" s="337" t="str">
        <f>V1002</f>
        <v xml:space="preserve"> </v>
      </c>
      <c r="W1041" s="321"/>
      <c r="X1041" s="2">
        <f>ROUND(V1041*$C1041,0)</f>
        <v>0</v>
      </c>
      <c r="Y1041" s="7" t="s">
        <v>31</v>
      </c>
      <c r="Z1041" s="74"/>
      <c r="AA1041" s="74" t="s">
        <v>31</v>
      </c>
      <c r="AB1041" s="74"/>
      <c r="AC1041" s="20"/>
      <c r="AD1041" s="20"/>
      <c r="AE1041" s="20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  <c r="AQ1041" s="20"/>
      <c r="AR1041" s="20"/>
      <c r="AS1041" s="20"/>
    </row>
    <row r="1042" spans="1:47" hidden="1">
      <c r="A1042" s="323" t="s">
        <v>474</v>
      </c>
      <c r="B1042" s="1"/>
      <c r="C1042" s="319">
        <v>0</v>
      </c>
      <c r="D1042" s="337">
        <v>0.43</v>
      </c>
      <c r="E1042" s="337"/>
      <c r="F1042" s="2">
        <f>ROUND(D1042*$C1042,0)</f>
        <v>0</v>
      </c>
      <c r="G1042" s="337">
        <v>0.43</v>
      </c>
      <c r="H1042" s="321"/>
      <c r="I1042" s="2">
        <f t="shared" si="245"/>
        <v>0</v>
      </c>
      <c r="J1042" s="337">
        <f ca="1">J1003</f>
        <v>0.48</v>
      </c>
      <c r="K1042" s="321"/>
      <c r="L1042" s="2">
        <f ca="1">ROUND(J1042*$C1042,0)</f>
        <v>0</v>
      </c>
      <c r="M1042" s="2"/>
      <c r="N1042" s="337">
        <f ca="1">N1003</f>
        <v>0.48</v>
      </c>
      <c r="O1042" s="321"/>
      <c r="P1042" s="2">
        <f ca="1">ROUND(N1042*$C1042,0)</f>
        <v>0</v>
      </c>
      <c r="Q1042" s="2"/>
      <c r="R1042" s="337" t="str">
        <f>R1003</f>
        <v xml:space="preserve"> </v>
      </c>
      <c r="S1042" s="321"/>
      <c r="T1042" s="2">
        <f>ROUND(R1042*$C1042,0)</f>
        <v>0</v>
      </c>
      <c r="U1042" s="2"/>
      <c r="V1042" s="337" t="str">
        <f>V1003</f>
        <v xml:space="preserve"> </v>
      </c>
      <c r="W1042" s="321"/>
      <c r="X1042" s="2">
        <f>ROUND(V1042*$C1042,0)</f>
        <v>0</v>
      </c>
      <c r="Y1042" s="20"/>
      <c r="Z1042" s="74"/>
      <c r="AA1042" s="74"/>
      <c r="AB1042" s="74"/>
      <c r="AC1042" s="20"/>
      <c r="AD1042" s="20"/>
      <c r="AE1042" s="20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</row>
    <row r="1043" spans="1:47" hidden="1">
      <c r="A1043" s="309" t="s">
        <v>403</v>
      </c>
      <c r="B1043" s="1"/>
      <c r="C1043" s="319">
        <f>[53]Sheet1!$J$5</f>
        <v>25350</v>
      </c>
      <c r="D1043" s="337">
        <v>6.99</v>
      </c>
      <c r="E1043" s="337"/>
      <c r="F1043" s="2">
        <f>ROUND(D1043*$C1043,0)</f>
        <v>177197</v>
      </c>
      <c r="G1043" s="337">
        <v>7.4</v>
      </c>
      <c r="H1043" s="321"/>
      <c r="I1043" s="2">
        <f t="shared" si="245"/>
        <v>187590</v>
      </c>
      <c r="J1043" s="337">
        <f ca="1">J1004</f>
        <v>8.32</v>
      </c>
      <c r="K1043" s="321"/>
      <c r="L1043" s="2">
        <f ca="1">ROUND(J1043*$C1043,0)</f>
        <v>210912</v>
      </c>
      <c r="M1043" s="2"/>
      <c r="N1043" s="337">
        <f ca="1">N1004</f>
        <v>1.4757900850785193</v>
      </c>
      <c r="O1043" s="321"/>
      <c r="P1043" s="2">
        <f ca="1">ROUND(N1043*$C1043,0)</f>
        <v>37411</v>
      </c>
      <c r="Q1043" s="2"/>
      <c r="R1043" s="337">
        <f ca="1">R1004</f>
        <v>1.356557464016797</v>
      </c>
      <c r="S1043" s="321"/>
      <c r="T1043" s="2">
        <f ca="1">ROUND(R1043*$C1043,0)</f>
        <v>34389</v>
      </c>
      <c r="U1043" s="2"/>
      <c r="V1043" s="337">
        <f ca="1">V1004</f>
        <v>5.4776504633351539</v>
      </c>
      <c r="W1043" s="321"/>
      <c r="X1043" s="2">
        <f ca="1">ROUND(V1043*$C1043,0)</f>
        <v>138858</v>
      </c>
      <c r="Y1043" s="20"/>
      <c r="Z1043" s="74"/>
      <c r="AA1043" s="74"/>
      <c r="AB1043" s="74"/>
      <c r="AC1043" s="20"/>
      <c r="AD1043" s="20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</row>
    <row r="1044" spans="1:47" hidden="1">
      <c r="A1044" s="323" t="s">
        <v>426</v>
      </c>
      <c r="B1044" s="1"/>
      <c r="C1044" s="319"/>
      <c r="D1044" s="337" t="s">
        <v>31</v>
      </c>
      <c r="E1044" s="337"/>
      <c r="F1044" s="2"/>
      <c r="G1044" s="337" t="s">
        <v>31</v>
      </c>
      <c r="H1044" s="321"/>
      <c r="I1044" s="2"/>
      <c r="J1044" s="337" t="s">
        <v>31</v>
      </c>
      <c r="K1044" s="321"/>
      <c r="L1044" s="2"/>
      <c r="M1044" s="2"/>
      <c r="N1044" s="337" t="s">
        <v>31</v>
      </c>
      <c r="O1044" s="321"/>
      <c r="P1044" s="2"/>
      <c r="Q1044" s="2"/>
      <c r="R1044" s="337" t="s">
        <v>31</v>
      </c>
      <c r="S1044" s="321"/>
      <c r="T1044" s="2"/>
      <c r="U1044" s="2"/>
      <c r="V1044" s="337" t="s">
        <v>31</v>
      </c>
      <c r="W1044" s="321"/>
      <c r="X1044" s="2"/>
      <c r="Y1044" s="20"/>
      <c r="Z1044" s="74"/>
      <c r="AA1044" s="74"/>
      <c r="AB1044" s="74"/>
      <c r="AC1044" s="20"/>
      <c r="AD1044" s="20"/>
      <c r="AE1044" s="20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</row>
    <row r="1045" spans="1:47" hidden="1">
      <c r="A1045" s="323" t="s">
        <v>464</v>
      </c>
      <c r="B1045" s="1"/>
      <c r="C1045" s="319">
        <f>[53]Sheet1!$H$5</f>
        <v>7345800</v>
      </c>
      <c r="D1045" s="395">
        <v>4.1920000000000002</v>
      </c>
      <c r="E1045" s="321" t="s">
        <v>374</v>
      </c>
      <c r="F1045" s="2">
        <f>ROUND(D1045/100*$C1045,0)</f>
        <v>307936</v>
      </c>
      <c r="G1045" s="395">
        <v>4.4589999999999996</v>
      </c>
      <c r="H1045" s="321" t="s">
        <v>374</v>
      </c>
      <c r="I1045" s="2">
        <f>ROUND(G1045/100*C1045,0)</f>
        <v>327549</v>
      </c>
      <c r="J1045" s="395">
        <f ca="1">J1006</f>
        <v>1.508</v>
      </c>
      <c r="K1045" s="321" t="s">
        <v>374</v>
      </c>
      <c r="L1045" s="2">
        <f ca="1">ROUND(J1045/100*$C1045,0)</f>
        <v>110775</v>
      </c>
      <c r="M1045" s="2"/>
      <c r="N1045" s="395" t="str">
        <f>N1006</f>
        <v xml:space="preserve"> </v>
      </c>
      <c r="O1045" s="321" t="s">
        <v>374</v>
      </c>
      <c r="P1045" s="2">
        <f>ROUND(N1045/100*$C1045,0)</f>
        <v>0</v>
      </c>
      <c r="Q1045" s="2"/>
      <c r="R1045" s="395">
        <f ca="1">R1006</f>
        <v>0.98299999999999998</v>
      </c>
      <c r="S1045" s="321" t="s">
        <v>374</v>
      </c>
      <c r="T1045" s="2">
        <f ca="1">ROUND(R1045/100*$C1045,0)</f>
        <v>72209</v>
      </c>
      <c r="U1045" s="2"/>
      <c r="V1045" s="395">
        <f ca="1">V1006</f>
        <v>0.52500000000000002</v>
      </c>
      <c r="W1045" s="321" t="s">
        <v>374</v>
      </c>
      <c r="X1045" s="2">
        <f ca="1">ROUND(V1045/100*$C1045,0)</f>
        <v>38565</v>
      </c>
      <c r="Y1045" s="20"/>
      <c r="Z1045" s="74"/>
      <c r="AA1045" s="74"/>
      <c r="AB1045" s="74"/>
      <c r="AC1045" s="20"/>
      <c r="AD1045" s="20"/>
      <c r="AE1045" s="20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</row>
    <row r="1046" spans="1:47" hidden="1">
      <c r="A1046" s="323" t="s">
        <v>400</v>
      </c>
      <c r="B1046" s="1"/>
      <c r="C1046" s="319">
        <f>[53]Sheet1!$L$5</f>
        <v>4395</v>
      </c>
      <c r="D1046" s="337">
        <v>0.54</v>
      </c>
      <c r="E1046" s="321"/>
      <c r="F1046" s="2">
        <f>ROUND(D1046*$C1046,0)</f>
        <v>2373</v>
      </c>
      <c r="G1046" s="337">
        <v>0.54</v>
      </c>
      <c r="H1046" s="321"/>
      <c r="I1046" s="2">
        <f>ROUND(G1046*C1046,0)</f>
        <v>2373</v>
      </c>
      <c r="J1046" s="337">
        <f>J1007</f>
        <v>0.54</v>
      </c>
      <c r="K1046" s="321"/>
      <c r="L1046" s="2">
        <f>ROUND(J1046*$C1046,0)</f>
        <v>2373</v>
      </c>
      <c r="M1046" s="2"/>
      <c r="N1046" s="337" t="str">
        <f>N1007</f>
        <v xml:space="preserve"> </v>
      </c>
      <c r="O1046" s="321"/>
      <c r="P1046" s="2">
        <f>ROUND(N1046*$C1046,0)</f>
        <v>0</v>
      </c>
      <c r="Q1046" s="2"/>
      <c r="R1046" s="337">
        <f ca="1">R1007</f>
        <v>0.11</v>
      </c>
      <c r="S1046" s="321"/>
      <c r="T1046" s="2">
        <f ca="1">ROUND(R1046*$C1046,0)</f>
        <v>483</v>
      </c>
      <c r="U1046" s="2"/>
      <c r="V1046" s="337">
        <f ca="1">V1007</f>
        <v>0.43</v>
      </c>
      <c r="W1046" s="321"/>
      <c r="X1046" s="2">
        <f ca="1">ROUND(V1046*$C1046,0)</f>
        <v>1890</v>
      </c>
      <c r="Y1046" s="20"/>
      <c r="Z1046" s="74"/>
      <c r="AA1046" s="74"/>
      <c r="AB1046" s="74"/>
      <c r="AC1046" s="20"/>
      <c r="AD1046" s="20"/>
      <c r="AE1046" s="20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</row>
    <row r="1047" spans="1:47" s="1184" customFormat="1" hidden="1">
      <c r="A1047" s="1005" t="s">
        <v>1035</v>
      </c>
      <c r="C1047" s="1202">
        <f>C1045</f>
        <v>7345800</v>
      </c>
      <c r="D1047" s="269"/>
      <c r="E1047" s="1185"/>
      <c r="F1047" s="1203"/>
      <c r="G1047" s="269"/>
      <c r="H1047" s="1185"/>
      <c r="I1047" s="1203"/>
      <c r="J1047" s="1230">
        <f>J1008</f>
        <v>3.4529999999999998</v>
      </c>
      <c r="K1047" s="1041" t="s">
        <v>374</v>
      </c>
      <c r="L1047" s="1203">
        <f>ROUND(J1047/100*$C1047,0)</f>
        <v>253650</v>
      </c>
      <c r="M1047" s="1203"/>
      <c r="N1047" s="1230" t="str">
        <f>N1008</f>
        <v xml:space="preserve"> </v>
      </c>
      <c r="O1047" s="1041" t="s">
        <v>374</v>
      </c>
      <c r="P1047" s="1203">
        <f>ROUND(N1047/100*$C1047,0)</f>
        <v>0</v>
      </c>
      <c r="Q1047" s="1203"/>
      <c r="R1047" s="1230" t="str">
        <f>R1008</f>
        <v xml:space="preserve"> </v>
      </c>
      <c r="S1047" s="1041" t="s">
        <v>374</v>
      </c>
      <c r="T1047" s="1203">
        <f>ROUND(R1047/100*$C1047,0)</f>
        <v>0</v>
      </c>
      <c r="U1047" s="1203"/>
      <c r="V1047" s="1230">
        <f>V1008</f>
        <v>3.4529999999999998</v>
      </c>
      <c r="W1047" s="1041" t="s">
        <v>374</v>
      </c>
      <c r="X1047" s="1203">
        <f>ROUND(V1047/100*$C1047,0)</f>
        <v>253650</v>
      </c>
      <c r="Z1047" s="815"/>
      <c r="AC1047" s="1205"/>
      <c r="AD1047" s="1205"/>
      <c r="AI1047" s="1185"/>
      <c r="AJ1047" s="1185"/>
      <c r="AK1047" s="1185"/>
      <c r="AL1047" s="1185"/>
      <c r="AM1047" s="1185"/>
      <c r="AN1047" s="1185"/>
      <c r="AO1047" s="1185"/>
      <c r="AP1047" s="1185"/>
      <c r="AQ1047" s="1185"/>
      <c r="AR1047" s="1185"/>
      <c r="AS1047" s="1185"/>
      <c r="AU1047" s="1204"/>
    </row>
    <row r="1048" spans="1:47" hidden="1">
      <c r="A1048" s="1" t="s">
        <v>381</v>
      </c>
      <c r="B1048" s="1"/>
      <c r="C1048" s="319">
        <f>C1045</f>
        <v>7345800</v>
      </c>
      <c r="D1048" s="330"/>
      <c r="E1048" s="2"/>
      <c r="F1048" s="2">
        <f>SUM(F1038:F1046)</f>
        <v>537382</v>
      </c>
      <c r="G1048" s="330"/>
      <c r="H1048" s="1"/>
      <c r="I1048" s="2">
        <f>SUM(I1038:I1046)</f>
        <v>567388</v>
      </c>
      <c r="J1048" s="330"/>
      <c r="K1048" s="1"/>
      <c r="L1048" s="2">
        <f ca="1">SUM(L1038:L1047)</f>
        <v>629974</v>
      </c>
      <c r="M1048" s="2"/>
      <c r="N1048" s="330"/>
      <c r="O1048" s="1"/>
      <c r="P1048" s="2">
        <f ca="1">SUM(P1038:P1047)</f>
        <v>89675</v>
      </c>
      <c r="Q1048" s="2"/>
      <c r="R1048" s="330"/>
      <c r="S1048" s="1"/>
      <c r="T1048" s="2">
        <f ca="1">SUM(T1038:T1047)</f>
        <v>107081</v>
      </c>
      <c r="U1048" s="2"/>
      <c r="V1048" s="330"/>
      <c r="W1048" s="1"/>
      <c r="X1048" s="2">
        <f ca="1">SUM(X1038:X1047)</f>
        <v>432963</v>
      </c>
      <c r="Y1048" s="20"/>
      <c r="Z1048" s="74"/>
      <c r="AA1048" s="74"/>
      <c r="AB1048" s="74"/>
      <c r="AC1048" s="20"/>
      <c r="AD1048" s="20"/>
      <c r="AE1048" s="20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</row>
    <row r="1049" spans="1:47" hidden="1">
      <c r="A1049" s="1" t="s">
        <v>363</v>
      </c>
      <c r="B1049" s="1"/>
      <c r="C1049" s="319">
        <f ca="1">C1048/($C$990+$C$1048)*$C$1086</f>
        <v>-117661.64496301836</v>
      </c>
      <c r="D1049" s="309"/>
      <c r="E1049" s="309"/>
      <c r="F1049" s="764">
        <f ca="1">I1049</f>
        <v>-11733.223108436829</v>
      </c>
      <c r="G1049" s="309"/>
      <c r="H1049" s="309"/>
      <c r="I1049" s="340">
        <f ca="1">I1048/($I$990+$I$1048)*$I$1086</f>
        <v>-11733.223108436829</v>
      </c>
      <c r="J1049" s="309"/>
      <c r="K1049" s="309"/>
      <c r="L1049" s="341">
        <f ca="1">I1049</f>
        <v>-11733.223108436829</v>
      </c>
      <c r="M1049" s="322"/>
      <c r="N1049" s="309"/>
      <c r="O1049" s="309"/>
      <c r="P1049" s="341">
        <f ca="1">$L$1049*Y1014/(Y1014+$Z$1014+$AA$1014)</f>
        <v>-1286.9068245327246</v>
      </c>
      <c r="Q1049" s="51"/>
      <c r="R1049" s="309"/>
      <c r="S1049" s="309"/>
      <c r="T1049" s="341">
        <f ca="1">$L$1049*Z1014/(Y1014+$Z$1014+$AA$1014)</f>
        <v>-2070.5139991112374</v>
      </c>
      <c r="U1049" s="51"/>
      <c r="V1049" s="309"/>
      <c r="W1049" s="309"/>
      <c r="X1049" s="341">
        <f ca="1">$L$1049*AA1014/(Y1014+$Z$1014+$AA$1014)</f>
        <v>-8375.802284792866</v>
      </c>
      <c r="Y1049" s="444"/>
      <c r="Z1049" s="287"/>
      <c r="AA1049" s="74"/>
      <c r="AB1049" s="74"/>
      <c r="AC1049" s="20"/>
      <c r="AD1049" s="20"/>
      <c r="AE1049" s="20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</row>
    <row r="1050" spans="1:47" ht="16.5" hidden="1" thickBot="1">
      <c r="A1050" s="1" t="s">
        <v>382</v>
      </c>
      <c r="B1050" s="1"/>
      <c r="C1050" s="393">
        <f ca="1">SUM(C1048)+C1049</f>
        <v>7228138.3550369814</v>
      </c>
      <c r="D1050" s="342"/>
      <c r="E1050" s="343"/>
      <c r="F1050" s="344">
        <f ca="1">F1048+F1049</f>
        <v>525648.7768915632</v>
      </c>
      <c r="G1050" s="342"/>
      <c r="H1050" s="345"/>
      <c r="I1050" s="344">
        <f ca="1">I1048+I1049</f>
        <v>555654.7768915632</v>
      </c>
      <c r="J1050" s="342"/>
      <c r="K1050" s="345"/>
      <c r="L1050" s="344">
        <f ca="1">L1048+L1049</f>
        <v>618240.7768915632</v>
      </c>
      <c r="M1050" s="344"/>
      <c r="N1050" s="342"/>
      <c r="O1050" s="345"/>
      <c r="P1050" s="344">
        <f ca="1">P1048+P1049</f>
        <v>88388.093175467278</v>
      </c>
      <c r="Q1050" s="344"/>
      <c r="R1050" s="342"/>
      <c r="S1050" s="345"/>
      <c r="T1050" s="344">
        <f ca="1">T1048+T1049</f>
        <v>105010.48600088876</v>
      </c>
      <c r="U1050" s="344"/>
      <c r="V1050" s="342"/>
      <c r="W1050" s="345"/>
      <c r="X1050" s="344">
        <f ca="1">X1048+X1049</f>
        <v>424587.19771520712</v>
      </c>
      <c r="Y1050" s="411" t="s">
        <v>31</v>
      </c>
      <c r="Z1050" s="470"/>
      <c r="AA1050" s="74"/>
      <c r="AB1050" s="74"/>
      <c r="AC1050" s="801" t="s">
        <v>31</v>
      </c>
      <c r="AD1050" s="20"/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</row>
    <row r="1051" spans="1:47" ht="16.5" hidden="1" thickTop="1">
      <c r="A1051" s="1"/>
      <c r="B1051" s="1"/>
      <c r="C1051" s="21"/>
      <c r="D1051" s="337" t="s">
        <v>31</v>
      </c>
      <c r="E1051" s="2"/>
      <c r="F1051" s="2"/>
      <c r="G1051" s="337" t="s">
        <v>31</v>
      </c>
      <c r="H1051" s="1"/>
      <c r="I1051" s="2"/>
      <c r="J1051" s="353" t="s">
        <v>31</v>
      </c>
      <c r="K1051" s="1"/>
      <c r="L1051" s="2" t="s">
        <v>31</v>
      </c>
      <c r="M1051" s="2"/>
      <c r="N1051" s="353" t="s">
        <v>31</v>
      </c>
      <c r="O1051" s="1"/>
      <c r="P1051" s="2" t="s">
        <v>31</v>
      </c>
      <c r="Q1051" s="2"/>
      <c r="R1051" s="353" t="s">
        <v>31</v>
      </c>
      <c r="S1051" s="1"/>
      <c r="T1051" s="2" t="s">
        <v>31</v>
      </c>
      <c r="U1051" s="2"/>
      <c r="V1051" s="353" t="s">
        <v>31</v>
      </c>
      <c r="W1051" s="1"/>
      <c r="X1051" s="2" t="s">
        <v>31</v>
      </c>
      <c r="Y1051" s="20"/>
      <c r="Z1051" s="74"/>
      <c r="AA1051" s="74"/>
      <c r="AB1051" s="74"/>
      <c r="AC1051" s="20"/>
      <c r="AD1051" s="20"/>
      <c r="AE1051" s="20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20"/>
      <c r="AS1051" s="20"/>
    </row>
    <row r="1052" spans="1:47" hidden="1">
      <c r="A1052" s="293" t="s">
        <v>476</v>
      </c>
      <c r="B1052" s="1"/>
      <c r="C1052" s="1"/>
      <c r="D1052" s="2"/>
      <c r="E1052" s="2"/>
      <c r="F1052" s="1"/>
      <c r="G1052" s="2"/>
      <c r="H1052" s="1"/>
      <c r="I1052" s="1"/>
      <c r="J1052" s="2"/>
      <c r="K1052" s="1"/>
      <c r="L1052" s="1"/>
      <c r="M1052" s="1"/>
      <c r="N1052" s="2"/>
      <c r="O1052" s="1"/>
      <c r="P1052" s="1"/>
      <c r="Q1052" s="1"/>
      <c r="R1052" s="2"/>
      <c r="S1052" s="1"/>
      <c r="T1052" s="1"/>
      <c r="U1052" s="1"/>
      <c r="V1052" s="2"/>
      <c r="W1052" s="1"/>
      <c r="X1052" s="1"/>
      <c r="Y1052" s="20"/>
      <c r="Z1052" s="74"/>
      <c r="AA1052" s="74"/>
      <c r="AB1052" s="74"/>
      <c r="AC1052" s="20"/>
      <c r="AD1052" s="20"/>
      <c r="AE1052" s="20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20"/>
      <c r="AS1052" s="20"/>
    </row>
    <row r="1053" spans="1:47" hidden="1">
      <c r="A1053" s="309" t="s">
        <v>700</v>
      </c>
      <c r="B1053" s="1"/>
      <c r="C1053" s="1"/>
      <c r="D1053" s="2"/>
      <c r="E1053" s="2"/>
      <c r="F1053" s="1"/>
      <c r="G1053" s="2"/>
      <c r="H1053" s="1"/>
      <c r="I1053" s="1"/>
      <c r="J1053" s="2"/>
      <c r="K1053" s="1"/>
      <c r="L1053" s="1"/>
      <c r="M1053" s="1"/>
      <c r="N1053" s="2"/>
      <c r="O1053" s="1"/>
      <c r="P1053" s="1"/>
      <c r="Q1053" s="1"/>
      <c r="R1053" s="2"/>
      <c r="S1053" s="1"/>
      <c r="T1053" s="1"/>
      <c r="U1053" s="1"/>
      <c r="V1053" s="2"/>
      <c r="W1053" s="1"/>
      <c r="X1053" s="1"/>
      <c r="Y1053" s="20"/>
      <c r="Z1053" s="74"/>
      <c r="AA1053" s="74"/>
      <c r="AB1053" s="74"/>
      <c r="AC1053" s="20"/>
      <c r="AD1053" s="20"/>
      <c r="AE1053" s="20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</row>
    <row r="1054" spans="1:47" hidden="1">
      <c r="A1054" s="323"/>
      <c r="B1054" s="1"/>
      <c r="C1054" s="1"/>
      <c r="D1054" s="2"/>
      <c r="E1054" s="2"/>
      <c r="F1054" s="1"/>
      <c r="G1054" s="2"/>
      <c r="H1054" s="1"/>
      <c r="I1054" s="1"/>
      <c r="J1054" s="2"/>
      <c r="K1054" s="1"/>
      <c r="L1054" s="1"/>
      <c r="M1054" s="1"/>
      <c r="N1054" s="2"/>
      <c r="O1054" s="1"/>
      <c r="P1054" s="1"/>
      <c r="Q1054" s="1"/>
      <c r="R1054" s="2"/>
      <c r="S1054" s="1"/>
      <c r="T1054" s="1"/>
      <c r="U1054" s="1"/>
      <c r="V1054" s="2"/>
      <c r="W1054" s="1"/>
      <c r="X1054" s="1"/>
      <c r="Y1054" s="20"/>
      <c r="Z1054" s="74"/>
      <c r="AA1054" s="74"/>
      <c r="AB1054" s="74"/>
      <c r="AC1054" s="20"/>
      <c r="AD1054" s="20"/>
      <c r="AE1054" s="20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</row>
    <row r="1055" spans="1:47" hidden="1">
      <c r="A1055" s="323" t="s">
        <v>393</v>
      </c>
      <c r="B1055" s="1"/>
      <c r="C1055" s="319"/>
      <c r="D1055" s="2"/>
      <c r="E1055" s="2"/>
      <c r="F1055" s="1"/>
      <c r="G1055" s="2"/>
      <c r="H1055" s="1"/>
      <c r="I1055" s="1"/>
      <c r="J1055" s="2"/>
      <c r="K1055" s="1"/>
      <c r="L1055" s="1"/>
      <c r="M1055" s="1"/>
      <c r="N1055" s="2"/>
      <c r="O1055" s="1"/>
      <c r="P1055" s="1"/>
      <c r="Q1055" s="1"/>
      <c r="R1055" s="2"/>
      <c r="S1055" s="1"/>
      <c r="T1055" s="1"/>
      <c r="U1055" s="1"/>
      <c r="V1055" s="2"/>
      <c r="W1055" s="1"/>
      <c r="X1055" s="1"/>
      <c r="Y1055" s="20"/>
      <c r="Z1055" s="74"/>
      <c r="AA1055" s="74"/>
      <c r="AB1055" s="74"/>
      <c r="AC1055" s="20"/>
      <c r="AD1055" s="20"/>
      <c r="AE1055" s="20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</row>
    <row r="1056" spans="1:47" hidden="1">
      <c r="A1056" s="323" t="s">
        <v>471</v>
      </c>
      <c r="B1056" s="1"/>
      <c r="C1056" s="319">
        <f t="shared" ref="C1056:C1061" si="246">C1020+C962</f>
        <v>369.66666666666595</v>
      </c>
      <c r="D1056" s="337"/>
      <c r="E1056" s="337"/>
      <c r="F1056" s="2">
        <f>F1020+F962</f>
        <v>515865</v>
      </c>
      <c r="G1056" s="337"/>
      <c r="H1056" s="321"/>
      <c r="I1056" s="2">
        <f>I1020+I962</f>
        <v>515865</v>
      </c>
      <c r="J1056" s="337"/>
      <c r="K1056" s="321"/>
      <c r="L1056" s="2">
        <f>L1020+L962</f>
        <v>515865</v>
      </c>
      <c r="M1056" s="2"/>
      <c r="N1056" s="337"/>
      <c r="O1056" s="321"/>
      <c r="P1056" s="2">
        <f>P1020+P962</f>
        <v>515865</v>
      </c>
      <c r="Q1056" s="2"/>
      <c r="R1056" s="337"/>
      <c r="S1056" s="321"/>
      <c r="T1056" s="2">
        <f>T1020+T962</f>
        <v>0</v>
      </c>
      <c r="U1056" s="2"/>
      <c r="V1056" s="337"/>
      <c r="W1056" s="321"/>
      <c r="X1056" s="2">
        <f>X1020+X962</f>
        <v>0</v>
      </c>
      <c r="Y1056" s="20"/>
      <c r="Z1056" s="74"/>
      <c r="AA1056" s="74"/>
      <c r="AB1056" s="74"/>
      <c r="AC1056" s="20"/>
      <c r="AD1056" s="20"/>
      <c r="AE1056" s="20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  <c r="AQ1056" s="20"/>
      <c r="AR1056" s="20"/>
      <c r="AS1056" s="20"/>
    </row>
    <row r="1057" spans="1:47" hidden="1">
      <c r="A1057" s="323" t="s">
        <v>472</v>
      </c>
      <c r="B1057" s="1"/>
      <c r="C1057" s="319">
        <f t="shared" si="246"/>
        <v>0</v>
      </c>
      <c r="D1057" s="337"/>
      <c r="E1057" s="337"/>
      <c r="F1057" s="2">
        <f>F1021+F963</f>
        <v>0</v>
      </c>
      <c r="G1057" s="337"/>
      <c r="H1057" s="324"/>
      <c r="I1057" s="2">
        <f>I1021+I963</f>
        <v>0</v>
      </c>
      <c r="J1057" s="337"/>
      <c r="K1057" s="324"/>
      <c r="L1057" s="2">
        <f>L1021+L963</f>
        <v>0</v>
      </c>
      <c r="M1057" s="2"/>
      <c r="N1057" s="337"/>
      <c r="O1057" s="324"/>
      <c r="P1057" s="2">
        <f>P1021+P963</f>
        <v>0</v>
      </c>
      <c r="Q1057" s="2"/>
      <c r="R1057" s="337"/>
      <c r="S1057" s="324"/>
      <c r="T1057" s="2">
        <f>T1021+T963</f>
        <v>0</v>
      </c>
      <c r="U1057" s="2"/>
      <c r="V1057" s="337"/>
      <c r="W1057" s="324"/>
      <c r="X1057" s="2">
        <f>X1021+X963</f>
        <v>0</v>
      </c>
      <c r="Y1057" s="20"/>
      <c r="Z1057" s="74"/>
      <c r="AA1057" s="74"/>
      <c r="AB1057" s="74"/>
      <c r="AC1057" s="20"/>
      <c r="AD1057" s="20"/>
      <c r="AE1057" s="20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  <c r="AQ1057" s="20"/>
      <c r="AR1057" s="20"/>
      <c r="AS1057" s="20"/>
    </row>
    <row r="1058" spans="1:47" hidden="1">
      <c r="A1058" s="323" t="s">
        <v>394</v>
      </c>
      <c r="B1058" s="1"/>
      <c r="C1058" s="319">
        <f t="shared" si="246"/>
        <v>369.66666666666595</v>
      </c>
      <c r="D1058" s="337"/>
      <c r="E1058" s="337"/>
      <c r="F1058" s="2" t="s">
        <v>31</v>
      </c>
      <c r="G1058" s="337"/>
      <c r="H1058" s="321"/>
      <c r="I1058" s="2" t="s">
        <v>31</v>
      </c>
      <c r="J1058" s="337"/>
      <c r="K1058" s="321"/>
      <c r="L1058" s="2" t="s">
        <v>31</v>
      </c>
      <c r="M1058" s="2"/>
      <c r="N1058" s="337"/>
      <c r="O1058" s="321"/>
      <c r="P1058" s="2" t="s">
        <v>31</v>
      </c>
      <c r="Q1058" s="2"/>
      <c r="R1058" s="337"/>
      <c r="S1058" s="321"/>
      <c r="T1058" s="2" t="s">
        <v>31</v>
      </c>
      <c r="U1058" s="2"/>
      <c r="V1058" s="337"/>
      <c r="W1058" s="321"/>
      <c r="X1058" s="2" t="s">
        <v>31</v>
      </c>
      <c r="Y1058" s="20"/>
      <c r="Z1058" s="74"/>
      <c r="AA1058" s="74"/>
      <c r="AB1058" s="74"/>
      <c r="AC1058" s="20"/>
      <c r="AD1058" s="20"/>
      <c r="AE1058" s="20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  <c r="AQ1058" s="20"/>
      <c r="AR1058" s="20"/>
      <c r="AS1058" s="20"/>
    </row>
    <row r="1059" spans="1:47" hidden="1">
      <c r="A1059" s="323" t="s">
        <v>473</v>
      </c>
      <c r="B1059" s="1"/>
      <c r="C1059" s="319">
        <f t="shared" si="246"/>
        <v>507003.60606060602</v>
      </c>
      <c r="D1059" s="337"/>
      <c r="E1059" s="337"/>
      <c r="F1059" s="2">
        <f>F1023+F965</f>
        <v>435751</v>
      </c>
      <c r="G1059" s="337"/>
      <c r="H1059" s="321"/>
      <c r="I1059" s="2">
        <f>I1023+I965</f>
        <v>435751</v>
      </c>
      <c r="J1059" s="337"/>
      <c r="K1059" s="321"/>
      <c r="L1059" s="2">
        <f ca="1">L1023+L965</f>
        <v>488919</v>
      </c>
      <c r="M1059" s="2"/>
      <c r="N1059" s="337"/>
      <c r="O1059" s="321"/>
      <c r="P1059" s="2">
        <f ca="1">P1023+P965</f>
        <v>488919</v>
      </c>
      <c r="Q1059" s="2"/>
      <c r="R1059" s="337"/>
      <c r="S1059" s="321"/>
      <c r="T1059" s="2">
        <f>T1023+T965</f>
        <v>0</v>
      </c>
      <c r="U1059" s="2"/>
      <c r="V1059" s="337"/>
      <c r="W1059" s="321"/>
      <c r="X1059" s="2">
        <f>X1023+X965</f>
        <v>0</v>
      </c>
      <c r="Y1059" s="20"/>
      <c r="Z1059" s="74"/>
      <c r="AA1059" s="74"/>
      <c r="AB1059" s="74"/>
      <c r="AC1059" s="20"/>
      <c r="AD1059" s="20"/>
      <c r="AE1059" s="20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  <c r="AQ1059" s="20"/>
      <c r="AR1059" s="20"/>
      <c r="AS1059" s="20"/>
    </row>
    <row r="1060" spans="1:47" hidden="1">
      <c r="A1060" s="323" t="s">
        <v>474</v>
      </c>
      <c r="B1060" s="1"/>
      <c r="C1060" s="319">
        <f t="shared" si="246"/>
        <v>0</v>
      </c>
      <c r="D1060" s="337"/>
      <c r="E1060" s="337"/>
      <c r="F1060" s="2">
        <f>F1024+F966</f>
        <v>0</v>
      </c>
      <c r="G1060" s="337"/>
      <c r="H1060" s="321"/>
      <c r="I1060" s="2">
        <f>I1024+I966</f>
        <v>0</v>
      </c>
      <c r="J1060" s="337"/>
      <c r="K1060" s="321"/>
      <c r="L1060" s="2">
        <f ca="1">L1024+L966</f>
        <v>0</v>
      </c>
      <c r="M1060" s="2"/>
      <c r="N1060" s="337"/>
      <c r="O1060" s="321"/>
      <c r="P1060" s="2">
        <f ca="1">P1024+P966</f>
        <v>0</v>
      </c>
      <c r="Q1060" s="2"/>
      <c r="R1060" s="337"/>
      <c r="S1060" s="321"/>
      <c r="T1060" s="2">
        <f>T1024+T966</f>
        <v>0</v>
      </c>
      <c r="U1060" s="2"/>
      <c r="V1060" s="337"/>
      <c r="W1060" s="321"/>
      <c r="X1060" s="2">
        <f>X1024+X966</f>
        <v>0</v>
      </c>
      <c r="Y1060" s="20"/>
      <c r="Z1060" s="74"/>
      <c r="AA1060" s="74"/>
      <c r="AB1060" s="74"/>
      <c r="AC1060" s="20"/>
      <c r="AD1060" s="20"/>
      <c r="AE1060" s="20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  <c r="AQ1060" s="20"/>
      <c r="AR1060" s="20"/>
      <c r="AS1060" s="20"/>
    </row>
    <row r="1061" spans="1:47" hidden="1">
      <c r="A1061" s="309" t="s">
        <v>403</v>
      </c>
      <c r="B1061" s="1"/>
      <c r="C1061" s="319">
        <f t="shared" si="246"/>
        <v>386745.84848484898</v>
      </c>
      <c r="D1061" s="337"/>
      <c r="E1061" s="337"/>
      <c r="F1061" s="2">
        <f>F1025+F967</f>
        <v>2733776</v>
      </c>
      <c r="G1061" s="337"/>
      <c r="H1061" s="321"/>
      <c r="I1061" s="2">
        <f>I1025+I967</f>
        <v>2897022</v>
      </c>
      <c r="J1061" s="337"/>
      <c r="K1061" s="321"/>
      <c r="L1061" s="2">
        <f ca="1">L1025+L967</f>
        <v>3255168</v>
      </c>
      <c r="M1061" s="2"/>
      <c r="N1061" s="337"/>
      <c r="O1061" s="321"/>
      <c r="P1061" s="2">
        <f ca="1">P1025+P967</f>
        <v>485153</v>
      </c>
      <c r="Q1061" s="2"/>
      <c r="R1061" s="337"/>
      <c r="S1061" s="321"/>
      <c r="T1061" s="2">
        <f ca="1">T1025+T967</f>
        <v>548850</v>
      </c>
      <c r="U1061" s="2"/>
      <c r="V1061" s="337"/>
      <c r="W1061" s="321"/>
      <c r="X1061" s="2">
        <f ca="1">X1025+X967</f>
        <v>2219636</v>
      </c>
      <c r="Y1061" s="20"/>
      <c r="Z1061" s="74"/>
      <c r="AA1061" s="74"/>
      <c r="AB1061" s="74"/>
      <c r="AC1061" s="20"/>
      <c r="AD1061" s="20"/>
      <c r="AE1061" s="20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</row>
    <row r="1062" spans="1:47" hidden="1">
      <c r="A1062" s="323" t="s">
        <v>426</v>
      </c>
      <c r="B1062" s="1"/>
      <c r="C1062" s="319"/>
      <c r="D1062" s="337"/>
      <c r="E1062" s="337"/>
      <c r="F1062" s="2"/>
      <c r="G1062" s="337"/>
      <c r="H1062" s="321"/>
      <c r="I1062" s="2"/>
      <c r="J1062" s="337"/>
      <c r="K1062" s="321"/>
      <c r="L1062" s="2"/>
      <c r="M1062" s="2"/>
      <c r="N1062" s="337"/>
      <c r="O1062" s="321"/>
      <c r="P1062" s="2"/>
      <c r="Q1062" s="2"/>
      <c r="R1062" s="337"/>
      <c r="S1062" s="321"/>
      <c r="T1062" s="2"/>
      <c r="U1062" s="2"/>
      <c r="V1062" s="337"/>
      <c r="W1062" s="321"/>
      <c r="X1062" s="2"/>
      <c r="Y1062" s="20"/>
      <c r="Z1062" s="74"/>
      <c r="AA1062" s="74"/>
      <c r="AB1062" s="74"/>
      <c r="AC1062" s="20"/>
      <c r="AD1062" s="20"/>
      <c r="AE1062" s="20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</row>
    <row r="1063" spans="1:47" hidden="1">
      <c r="A1063" s="323" t="s">
        <v>464</v>
      </c>
      <c r="B1063" s="1"/>
      <c r="C1063" s="319">
        <f>C1027+C969</f>
        <v>169799417.82823953</v>
      </c>
      <c r="D1063" s="395"/>
      <c r="E1063" s="263" t="s">
        <v>31</v>
      </c>
      <c r="F1063" s="2">
        <f>F1027+F969</f>
        <v>7175516</v>
      </c>
      <c r="G1063" s="395"/>
      <c r="H1063" s="321"/>
      <c r="I1063" s="2">
        <f>I1027+I969</f>
        <v>7629946</v>
      </c>
      <c r="J1063" s="395"/>
      <c r="K1063" s="321"/>
      <c r="L1063" s="2">
        <f ca="1">L1027+L969</f>
        <v>3156060</v>
      </c>
      <c r="M1063" s="2"/>
      <c r="N1063" s="395"/>
      <c r="O1063" s="321"/>
      <c r="P1063" s="2">
        <f>P1027+P969</f>
        <v>0</v>
      </c>
      <c r="Q1063" s="2"/>
      <c r="R1063" s="395"/>
      <c r="S1063" s="321"/>
      <c r="T1063" s="2">
        <f ca="1">T1027+T969</f>
        <v>1681911</v>
      </c>
      <c r="U1063" s="2"/>
      <c r="V1063" s="395"/>
      <c r="W1063" s="321"/>
      <c r="X1063" s="2">
        <f ca="1">X1027+X969</f>
        <v>1474148</v>
      </c>
      <c r="Y1063" s="20"/>
      <c r="Z1063" s="74"/>
      <c r="AA1063" s="74"/>
      <c r="AB1063" s="74"/>
      <c r="AC1063" s="20"/>
      <c r="AD1063" s="20"/>
      <c r="AE1063" s="20"/>
      <c r="AF1063" s="20"/>
      <c r="AG1063" s="20"/>
      <c r="AH1063" s="20"/>
      <c r="AI1063" s="20"/>
      <c r="AJ1063" s="20"/>
      <c r="AK1063" s="20"/>
      <c r="AL1063" s="20"/>
      <c r="AM1063" s="20"/>
      <c r="AN1063" s="20"/>
      <c r="AO1063" s="20"/>
      <c r="AP1063" s="20"/>
      <c r="AQ1063" s="20"/>
      <c r="AR1063" s="20"/>
      <c r="AS1063" s="20"/>
    </row>
    <row r="1064" spans="1:47" hidden="1">
      <c r="A1064" s="323" t="s">
        <v>400</v>
      </c>
      <c r="B1064" s="1"/>
      <c r="C1064" s="319">
        <f>C1028+C970</f>
        <v>42303.333333333299</v>
      </c>
      <c r="D1064" s="337"/>
      <c r="E1064" s="321"/>
      <c r="F1064" s="2">
        <f>F1028+F970</f>
        <v>23138</v>
      </c>
      <c r="G1064" s="337"/>
      <c r="H1064" s="321"/>
      <c r="I1064" s="2">
        <f>I1028+I970</f>
        <v>23138</v>
      </c>
      <c r="J1064" s="337"/>
      <c r="K1064" s="321"/>
      <c r="L1064" s="2">
        <f>L1028+L970</f>
        <v>23138</v>
      </c>
      <c r="M1064" s="2"/>
      <c r="N1064" s="337"/>
      <c r="O1064" s="321"/>
      <c r="P1064" s="2">
        <f>P1028+P970</f>
        <v>0</v>
      </c>
      <c r="Q1064" s="2"/>
      <c r="R1064" s="337"/>
      <c r="S1064" s="321"/>
      <c r="T1064" s="2">
        <f ca="1">T1028+T970</f>
        <v>4654</v>
      </c>
      <c r="U1064" s="2"/>
      <c r="V1064" s="337"/>
      <c r="W1064" s="321"/>
      <c r="X1064" s="2">
        <f ca="1">X1028+X970</f>
        <v>18484</v>
      </c>
      <c r="Y1064" s="20"/>
      <c r="Z1064" s="74"/>
      <c r="AA1064" s="74"/>
      <c r="AB1064" s="74"/>
      <c r="AC1064" s="20"/>
      <c r="AD1064" s="20"/>
      <c r="AE1064" s="20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  <c r="AQ1064" s="20"/>
      <c r="AR1064" s="20"/>
      <c r="AS1064" s="20"/>
    </row>
    <row r="1065" spans="1:47" s="1184" customFormat="1" hidden="1">
      <c r="A1065" s="1005" t="s">
        <v>1035</v>
      </c>
      <c r="C1065" s="1026">
        <f>C1029+C971</f>
        <v>169799417.82823953</v>
      </c>
      <c r="D1065" s="269"/>
      <c r="E1065" s="1185"/>
      <c r="F1065" s="1203"/>
      <c r="G1065" s="269"/>
      <c r="H1065" s="1185"/>
      <c r="I1065" s="1203"/>
      <c r="J1065" s="265"/>
      <c r="K1065" s="1185"/>
      <c r="L1065" s="1203">
        <f>L1029+L971</f>
        <v>5328409</v>
      </c>
      <c r="M1065" s="1203"/>
      <c r="N1065" s="265"/>
      <c r="O1065" s="1185"/>
      <c r="P1065" s="1203">
        <f>P1029+P971</f>
        <v>0</v>
      </c>
      <c r="Q1065" s="1203"/>
      <c r="R1065" s="265"/>
      <c r="S1065" s="1185"/>
      <c r="T1065" s="1203">
        <f>T1029+T971</f>
        <v>0</v>
      </c>
      <c r="U1065" s="1203"/>
      <c r="V1065" s="265"/>
      <c r="W1065" s="1185"/>
      <c r="X1065" s="1203">
        <f>X1029+X971</f>
        <v>5328409</v>
      </c>
      <c r="Z1065" s="815"/>
      <c r="AC1065" s="1205"/>
      <c r="AD1065" s="1205"/>
      <c r="AI1065" s="1185"/>
      <c r="AJ1065" s="1185"/>
      <c r="AK1065" s="1185"/>
      <c r="AL1065" s="1185"/>
      <c r="AM1065" s="1185"/>
      <c r="AN1065" s="1185"/>
      <c r="AO1065" s="1185"/>
      <c r="AP1065" s="1185"/>
      <c r="AQ1065" s="1185"/>
      <c r="AR1065" s="1185"/>
      <c r="AS1065" s="1185"/>
      <c r="AU1065" s="1204"/>
    </row>
    <row r="1066" spans="1:47" hidden="1">
      <c r="A1066" s="1" t="s">
        <v>381</v>
      </c>
      <c r="B1066" s="1"/>
      <c r="C1066" s="319">
        <f>C1030+C972</f>
        <v>169799417.82823953</v>
      </c>
      <c r="D1066" s="330"/>
      <c r="E1066" s="2"/>
      <c r="F1066" s="2">
        <f>F1030+F972</f>
        <v>10884046</v>
      </c>
      <c r="G1066" s="330"/>
      <c r="H1066" s="1"/>
      <c r="I1066" s="2">
        <f>I1030+I972</f>
        <v>11501722</v>
      </c>
      <c r="J1066" s="330"/>
      <c r="K1066" s="1"/>
      <c r="L1066" s="2">
        <f ca="1">L1030+L972</f>
        <v>12767559</v>
      </c>
      <c r="M1066" s="2"/>
      <c r="N1066" s="330"/>
      <c r="O1066" s="1"/>
      <c r="P1066" s="2">
        <f ca="1">P1030+P972</f>
        <v>1489937</v>
      </c>
      <c r="Q1066" s="2"/>
      <c r="R1066" s="330"/>
      <c r="S1066" s="1"/>
      <c r="T1066" s="2">
        <f ca="1">T1030+T972</f>
        <v>2235415</v>
      </c>
      <c r="U1066" s="2"/>
      <c r="V1066" s="330"/>
      <c r="W1066" s="1"/>
      <c r="X1066" s="2">
        <f ca="1">X1030+X972</f>
        <v>9040677</v>
      </c>
      <c r="Y1066" s="20"/>
      <c r="Z1066" s="74"/>
      <c r="AA1066" s="74"/>
      <c r="AB1066" s="74"/>
      <c r="AC1066" s="20"/>
      <c r="AD1066" s="20"/>
      <c r="AE1066" s="20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</row>
    <row r="1067" spans="1:47" hidden="1">
      <c r="A1067" s="1" t="s">
        <v>363</v>
      </c>
      <c r="B1067" s="1"/>
      <c r="C1067" s="340">
        <f>'Table 2'!H49</f>
        <v>-487369.75745244743</v>
      </c>
      <c r="D1067" s="309"/>
      <c r="E1067" s="309"/>
      <c r="F1067" s="764">
        <f>I1067</f>
        <v>-27264.051948029541</v>
      </c>
      <c r="G1067" s="309"/>
      <c r="H1067" s="309"/>
      <c r="I1067" s="764">
        <f>'Table 3'!E49</f>
        <v>-27264.051948029541</v>
      </c>
      <c r="J1067" s="309"/>
      <c r="K1067" s="309"/>
      <c r="L1067" s="764">
        <f>I1067</f>
        <v>-27264.051948029541</v>
      </c>
      <c r="M1067" s="51"/>
      <c r="N1067" s="309"/>
      <c r="O1067" s="309"/>
      <c r="P1067" s="764">
        <f ca="1">$L$1067*Y1014/(Y1014+$Z$1014+$AA$1014)</f>
        <v>-2990.3372834617776</v>
      </c>
      <c r="Q1067" s="51"/>
      <c r="R1067" s="309"/>
      <c r="S1067" s="309"/>
      <c r="T1067" s="764">
        <f ca="1">$L$1067*Z1014/(Y1014+$Z$1014+$AA$1014)</f>
        <v>-4811.1759837158543</v>
      </c>
      <c r="U1067" s="51"/>
      <c r="V1067" s="309"/>
      <c r="W1067" s="309"/>
      <c r="X1067" s="764">
        <f ca="1">$L$1067*AA1014/(Y1014+$Z$1014+$AA$1014)</f>
        <v>-19462.538680851907</v>
      </c>
      <c r="Y1067" s="444"/>
      <c r="Z1067" s="287"/>
      <c r="AA1067" s="74"/>
      <c r="AB1067" s="74"/>
      <c r="AC1067" s="20"/>
      <c r="AD1067" s="20"/>
      <c r="AE1067" s="20"/>
      <c r="AF1067" s="20"/>
      <c r="AG1067" s="20"/>
      <c r="AH1067" s="20"/>
      <c r="AI1067" s="20"/>
      <c r="AJ1067" s="20"/>
      <c r="AK1067" s="20"/>
      <c r="AL1067" s="20"/>
      <c r="AM1067" s="20"/>
      <c r="AN1067" s="20"/>
      <c r="AO1067" s="20"/>
      <c r="AP1067" s="20"/>
      <c r="AQ1067" s="20"/>
      <c r="AR1067" s="20"/>
      <c r="AS1067" s="20"/>
    </row>
    <row r="1068" spans="1:47" ht="16.5" hidden="1" thickBot="1">
      <c r="A1068" s="1" t="s">
        <v>382</v>
      </c>
      <c r="B1068" s="1"/>
      <c r="C1068" s="763">
        <f>C1066+C1067</f>
        <v>169312048.07078707</v>
      </c>
      <c r="D1068" s="342"/>
      <c r="E1068" s="343"/>
      <c r="F1068" s="766">
        <f>F1066+F1067</f>
        <v>10856781.94805197</v>
      </c>
      <c r="G1068" s="342"/>
      <c r="H1068" s="345"/>
      <c r="I1068" s="766">
        <f>I1066+I1067</f>
        <v>11474457.94805197</v>
      </c>
      <c r="J1068" s="342"/>
      <c r="K1068" s="345"/>
      <c r="L1068" s="766">
        <f ca="1">L1066+L1067</f>
        <v>12740294.94805197</v>
      </c>
      <c r="M1068" s="51"/>
      <c r="N1068" s="342"/>
      <c r="O1068" s="345"/>
      <c r="P1068" s="766">
        <f ca="1">P1066+P1067</f>
        <v>1486946.6627165382</v>
      </c>
      <c r="Q1068" s="51"/>
      <c r="R1068" s="342"/>
      <c r="S1068" s="345"/>
      <c r="T1068" s="766">
        <f ca="1">T1066+T1067</f>
        <v>2230603.8240162842</v>
      </c>
      <c r="U1068" s="51"/>
      <c r="V1068" s="342"/>
      <c r="W1068" s="345"/>
      <c r="X1068" s="766">
        <f ca="1">X1066+X1067</f>
        <v>9021214.4613191485</v>
      </c>
      <c r="Y1068" s="411"/>
      <c r="Z1068" s="470"/>
      <c r="AA1068" s="74"/>
      <c r="AB1068" s="74"/>
      <c r="AC1068" s="20"/>
      <c r="AD1068" s="20"/>
      <c r="AE1068" s="20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</row>
    <row r="1069" spans="1:47" ht="16.5" hidden="1" thickTop="1">
      <c r="A1069" s="1"/>
      <c r="B1069" s="1"/>
      <c r="C1069" s="21"/>
      <c r="D1069" s="337" t="s">
        <v>31</v>
      </c>
      <c r="E1069" s="2"/>
      <c r="F1069" s="2"/>
      <c r="G1069" s="337" t="s">
        <v>31</v>
      </c>
      <c r="H1069" s="1"/>
      <c r="I1069" s="2"/>
      <c r="J1069" s="353" t="s">
        <v>31</v>
      </c>
      <c r="K1069" s="1"/>
      <c r="L1069" s="2" t="s">
        <v>31</v>
      </c>
      <c r="M1069" s="2"/>
      <c r="N1069" s="353" t="s">
        <v>31</v>
      </c>
      <c r="O1069" s="1"/>
      <c r="P1069" s="2" t="s">
        <v>31</v>
      </c>
      <c r="Q1069" s="2"/>
      <c r="R1069" s="353" t="s">
        <v>31</v>
      </c>
      <c r="S1069" s="1"/>
      <c r="T1069" s="2" t="s">
        <v>31</v>
      </c>
      <c r="U1069" s="2"/>
      <c r="V1069" s="353" t="s">
        <v>31</v>
      </c>
      <c r="W1069" s="1"/>
      <c r="X1069" s="2" t="s">
        <v>31</v>
      </c>
      <c r="Y1069" s="20"/>
      <c r="Z1069" s="74"/>
      <c r="AA1069" s="74"/>
      <c r="AB1069" s="74"/>
      <c r="AC1069" s="20"/>
      <c r="AD1069" s="20"/>
      <c r="AE1069" s="20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</row>
    <row r="1070" spans="1:47" hidden="1">
      <c r="A1070" s="1"/>
      <c r="B1070" s="1"/>
      <c r="C1070" s="21"/>
      <c r="D1070" s="337"/>
      <c r="E1070" s="2"/>
      <c r="F1070" s="2"/>
      <c r="G1070" s="337"/>
      <c r="H1070" s="1"/>
      <c r="I1070" s="2"/>
      <c r="J1070" s="337"/>
      <c r="K1070" s="1"/>
      <c r="L1070" s="380"/>
      <c r="M1070" s="380"/>
      <c r="N1070" s="337"/>
      <c r="O1070" s="1"/>
      <c r="P1070" s="380"/>
      <c r="Q1070" s="380"/>
      <c r="R1070" s="337"/>
      <c r="S1070" s="1"/>
      <c r="T1070" s="380"/>
      <c r="U1070" s="380"/>
      <c r="V1070" s="337"/>
      <c r="W1070" s="1"/>
      <c r="X1070" s="380"/>
      <c r="Y1070" s="20"/>
      <c r="Z1070" s="74"/>
      <c r="AA1070" s="74"/>
      <c r="AB1070" s="74"/>
      <c r="AC1070" s="20"/>
      <c r="AD1070" s="20"/>
      <c r="AE1070" s="20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</row>
    <row r="1071" spans="1:47" hidden="1">
      <c r="A1071" s="293" t="s">
        <v>476</v>
      </c>
      <c r="B1071" s="1"/>
      <c r="C1071" s="1"/>
      <c r="D1071" s="2"/>
      <c r="E1071" s="2"/>
      <c r="F1071" s="1"/>
      <c r="G1071" s="2"/>
      <c r="H1071" s="1"/>
      <c r="I1071" s="1"/>
      <c r="J1071" s="2"/>
      <c r="K1071" s="1"/>
      <c r="L1071" s="1"/>
      <c r="M1071" s="1"/>
      <c r="N1071" s="2"/>
      <c r="O1071" s="1"/>
      <c r="P1071" s="1"/>
      <c r="Q1071" s="1"/>
      <c r="R1071" s="2"/>
      <c r="S1071" s="1"/>
      <c r="T1071" s="1"/>
      <c r="U1071" s="1"/>
      <c r="V1071" s="2"/>
      <c r="W1071" s="1"/>
      <c r="X1071" s="1"/>
      <c r="Y1071" s="20"/>
      <c r="Z1071" s="74"/>
      <c r="AA1071" s="74"/>
      <c r="AB1071" s="74"/>
      <c r="AC1071" s="20"/>
      <c r="AD1071" s="20"/>
      <c r="AE1071" s="20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</row>
    <row r="1072" spans="1:47" hidden="1">
      <c r="A1072" s="309" t="s">
        <v>701</v>
      </c>
      <c r="B1072" s="1"/>
      <c r="C1072" s="1"/>
      <c r="D1072" s="2"/>
      <c r="E1072" s="2"/>
      <c r="F1072" s="1"/>
      <c r="G1072" s="2"/>
      <c r="H1072" s="1"/>
      <c r="I1072" s="1"/>
      <c r="J1072" s="2"/>
      <c r="K1072" s="1"/>
      <c r="L1072" s="1"/>
      <c r="M1072" s="1"/>
      <c r="N1072" s="2"/>
      <c r="O1072" s="1"/>
      <c r="P1072" s="1"/>
      <c r="Q1072" s="1"/>
      <c r="R1072" s="2"/>
      <c r="S1072" s="1"/>
      <c r="T1072" s="1"/>
      <c r="U1072" s="1"/>
      <c r="V1072" s="2"/>
      <c r="W1072" s="1"/>
      <c r="X1072" s="1"/>
      <c r="Y1072" s="20"/>
      <c r="Z1072" s="74"/>
      <c r="AA1072" s="74"/>
      <c r="AB1072" s="74"/>
      <c r="AC1072" s="20"/>
      <c r="AD1072" s="20"/>
      <c r="AE1072" s="20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</row>
    <row r="1073" spans="1:47" hidden="1">
      <c r="A1073" s="323"/>
      <c r="B1073" s="1"/>
      <c r="C1073" s="1"/>
      <c r="D1073" s="2"/>
      <c r="E1073" s="2"/>
      <c r="F1073" s="1"/>
      <c r="G1073" s="2"/>
      <c r="H1073" s="1"/>
      <c r="I1073" s="1"/>
      <c r="J1073" s="2"/>
      <c r="K1073" s="1"/>
      <c r="L1073" s="1"/>
      <c r="M1073" s="1"/>
      <c r="N1073" s="2"/>
      <c r="O1073" s="1"/>
      <c r="P1073" s="1"/>
      <c r="Q1073" s="1"/>
      <c r="R1073" s="2"/>
      <c r="S1073" s="1"/>
      <c r="T1073" s="1"/>
      <c r="U1073" s="1"/>
      <c r="V1073" s="2"/>
      <c r="W1073" s="1"/>
      <c r="X1073" s="1"/>
      <c r="Y1073" s="20"/>
      <c r="Z1073" s="74"/>
      <c r="AA1073" s="74"/>
      <c r="AB1073" s="74"/>
      <c r="AC1073" s="20"/>
      <c r="AD1073" s="20"/>
      <c r="AE1073" s="20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</row>
    <row r="1074" spans="1:47" hidden="1">
      <c r="A1074" s="323" t="s">
        <v>393</v>
      </c>
      <c r="B1074" s="1"/>
      <c r="C1074" s="319"/>
      <c r="D1074" s="2"/>
      <c r="E1074" s="2"/>
      <c r="F1074" s="1"/>
      <c r="G1074" s="2"/>
      <c r="H1074" s="1"/>
      <c r="I1074" s="1"/>
      <c r="J1074" s="2"/>
      <c r="K1074" s="1"/>
      <c r="L1074" s="1"/>
      <c r="M1074" s="1"/>
      <c r="N1074" s="2"/>
      <c r="O1074" s="1"/>
      <c r="P1074" s="1"/>
      <c r="Q1074" s="1"/>
      <c r="R1074" s="2"/>
      <c r="S1074" s="1"/>
      <c r="T1074" s="1"/>
      <c r="U1074" s="1"/>
      <c r="V1074" s="2"/>
      <c r="W1074" s="1"/>
      <c r="X1074" s="1"/>
      <c r="Y1074" s="20"/>
      <c r="Z1074" s="74"/>
      <c r="AA1074" s="74"/>
      <c r="AB1074" s="74"/>
      <c r="AC1074" s="20"/>
      <c r="AD1074" s="20"/>
      <c r="AE1074" s="20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  <c r="AQ1074" s="20"/>
      <c r="AR1074" s="20"/>
      <c r="AS1074" s="20"/>
    </row>
    <row r="1075" spans="1:47" hidden="1">
      <c r="A1075" s="323" t="s">
        <v>471</v>
      </c>
      <c r="B1075" s="1"/>
      <c r="C1075" s="319">
        <f t="shared" ref="C1075:C1080" si="247">C1038+C980</f>
        <v>362.48484848484901</v>
      </c>
      <c r="D1075" s="337"/>
      <c r="E1075" s="337"/>
      <c r="F1075" s="2">
        <f>F1038+F980</f>
        <v>503196</v>
      </c>
      <c r="G1075" s="337"/>
      <c r="H1075" s="321"/>
      <c r="I1075" s="2">
        <f>I1038+I980</f>
        <v>503196</v>
      </c>
      <c r="J1075" s="337"/>
      <c r="K1075" s="321"/>
      <c r="L1075" s="2">
        <f>L1038+L980</f>
        <v>503196</v>
      </c>
      <c r="M1075" s="2"/>
      <c r="N1075" s="337"/>
      <c r="O1075" s="321"/>
      <c r="P1075" s="2">
        <f>P1038+P980</f>
        <v>503196</v>
      </c>
      <c r="Q1075" s="2"/>
      <c r="R1075" s="337"/>
      <c r="S1075" s="321"/>
      <c r="T1075" s="2">
        <f>T1038+T980</f>
        <v>0</v>
      </c>
      <c r="U1075" s="2"/>
      <c r="V1075" s="337"/>
      <c r="W1075" s="321"/>
      <c r="X1075" s="2">
        <f>X1038+X980</f>
        <v>0</v>
      </c>
      <c r="Y1075" s="20"/>
      <c r="Z1075" s="74"/>
      <c r="AA1075" s="74"/>
      <c r="AB1075" s="74"/>
      <c r="AC1075" s="20"/>
      <c r="AD1075" s="20"/>
      <c r="AE1075" s="20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  <c r="AQ1075" s="20"/>
      <c r="AR1075" s="20"/>
      <c r="AS1075" s="20"/>
    </row>
    <row r="1076" spans="1:47" hidden="1">
      <c r="A1076" s="323" t="s">
        <v>472</v>
      </c>
      <c r="B1076" s="1"/>
      <c r="C1076" s="319">
        <f t="shared" si="247"/>
        <v>0</v>
      </c>
      <c r="D1076" s="337"/>
      <c r="E1076" s="337"/>
      <c r="F1076" s="2">
        <f>F1039+F981</f>
        <v>0</v>
      </c>
      <c r="G1076" s="337"/>
      <c r="H1076" s="324"/>
      <c r="I1076" s="2">
        <f>I1039+I981</f>
        <v>0</v>
      </c>
      <c r="J1076" s="337"/>
      <c r="K1076" s="324"/>
      <c r="L1076" s="2">
        <f>L1039+L981</f>
        <v>0</v>
      </c>
      <c r="M1076" s="2"/>
      <c r="N1076" s="337"/>
      <c r="O1076" s="324"/>
      <c r="P1076" s="2">
        <f>P1039+P981</f>
        <v>0</v>
      </c>
      <c r="Q1076" s="2"/>
      <c r="R1076" s="337"/>
      <c r="S1076" s="324"/>
      <c r="T1076" s="2">
        <f>T1039+T981</f>
        <v>0</v>
      </c>
      <c r="U1076" s="2"/>
      <c r="V1076" s="337"/>
      <c r="W1076" s="324"/>
      <c r="X1076" s="2">
        <f>X1039+X981</f>
        <v>0</v>
      </c>
      <c r="Y1076" s="20"/>
      <c r="Z1076" s="74"/>
      <c r="AA1076" s="74"/>
      <c r="AB1076" s="74"/>
      <c r="AC1076" s="20"/>
      <c r="AD1076" s="20"/>
      <c r="AE1076" s="20"/>
      <c r="AF1076" s="20"/>
      <c r="AG1076" s="20"/>
      <c r="AH1076" s="20"/>
      <c r="AI1076" s="20"/>
      <c r="AJ1076" s="20"/>
      <c r="AK1076" s="20"/>
      <c r="AL1076" s="20"/>
      <c r="AM1076" s="20"/>
      <c r="AN1076" s="20"/>
      <c r="AO1076" s="20"/>
      <c r="AP1076" s="20"/>
      <c r="AQ1076" s="20"/>
      <c r="AR1076" s="20"/>
      <c r="AS1076" s="20"/>
    </row>
    <row r="1077" spans="1:47" hidden="1">
      <c r="A1077" s="323" t="s">
        <v>394</v>
      </c>
      <c r="B1077" s="1"/>
      <c r="C1077" s="319">
        <f t="shared" si="247"/>
        <v>362.48484848484901</v>
      </c>
      <c r="D1077" s="337"/>
      <c r="E1077" s="337"/>
      <c r="F1077" s="2" t="s">
        <v>31</v>
      </c>
      <c r="G1077" s="337"/>
      <c r="H1077" s="321"/>
      <c r="I1077" s="2" t="s">
        <v>31</v>
      </c>
      <c r="J1077" s="337"/>
      <c r="K1077" s="321"/>
      <c r="L1077" s="2" t="s">
        <v>31</v>
      </c>
      <c r="M1077" s="2"/>
      <c r="N1077" s="337"/>
      <c r="O1077" s="321"/>
      <c r="P1077" s="2" t="s">
        <v>31</v>
      </c>
      <c r="Q1077" s="2"/>
      <c r="R1077" s="337"/>
      <c r="S1077" s="321"/>
      <c r="T1077" s="2" t="s">
        <v>31</v>
      </c>
      <c r="U1077" s="2"/>
      <c r="V1077" s="337"/>
      <c r="W1077" s="321"/>
      <c r="X1077" s="2" t="s">
        <v>31</v>
      </c>
      <c r="Y1077" s="20"/>
      <c r="Z1077" s="74"/>
      <c r="AA1077" s="74"/>
      <c r="AB1077" s="74"/>
      <c r="AC1077" s="20"/>
      <c r="AD1077" s="20"/>
      <c r="AE1077" s="20"/>
      <c r="AF1077" s="20"/>
      <c r="AG1077" s="20"/>
      <c r="AH1077" s="20"/>
      <c r="AI1077" s="20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</row>
    <row r="1078" spans="1:47" hidden="1">
      <c r="A1078" s="323" t="s">
        <v>473</v>
      </c>
      <c r="B1078" s="1"/>
      <c r="C1078" s="319">
        <f t="shared" si="247"/>
        <v>576304.24242424197</v>
      </c>
      <c r="D1078" s="337"/>
      <c r="E1078" s="337"/>
      <c r="F1078" s="2">
        <f>F1041+F983</f>
        <v>595063</v>
      </c>
      <c r="G1078" s="337"/>
      <c r="H1078" s="321"/>
      <c r="I1078" s="2">
        <f>I1041+I983</f>
        <v>595063</v>
      </c>
      <c r="J1078" s="337"/>
      <c r="K1078" s="321"/>
      <c r="L1078" s="2">
        <f ca="1">L1041+L983</f>
        <v>663025</v>
      </c>
      <c r="M1078" s="2"/>
      <c r="N1078" s="337"/>
      <c r="O1078" s="321"/>
      <c r="P1078" s="2">
        <f ca="1">P1041+P983</f>
        <v>663025</v>
      </c>
      <c r="Q1078" s="2"/>
      <c r="R1078" s="337"/>
      <c r="S1078" s="321"/>
      <c r="T1078" s="2">
        <f>T1041+T983</f>
        <v>0</v>
      </c>
      <c r="U1078" s="2"/>
      <c r="V1078" s="337"/>
      <c r="W1078" s="321"/>
      <c r="X1078" s="2">
        <f>X1041+X983</f>
        <v>0</v>
      </c>
      <c r="Y1078" s="20"/>
      <c r="Z1078" s="74"/>
      <c r="AA1078" s="74"/>
      <c r="AB1078" s="74"/>
      <c r="AC1078" s="20"/>
      <c r="AD1078" s="20"/>
      <c r="AE1078" s="20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"/>
      <c r="AP1078" s="20"/>
      <c r="AQ1078" s="20"/>
      <c r="AR1078" s="20"/>
      <c r="AS1078" s="20"/>
    </row>
    <row r="1079" spans="1:47" hidden="1">
      <c r="A1079" s="323" t="s">
        <v>474</v>
      </c>
      <c r="B1079" s="1"/>
      <c r="C1079" s="319">
        <f t="shared" si="247"/>
        <v>0</v>
      </c>
      <c r="D1079" s="337"/>
      <c r="E1079" s="337"/>
      <c r="F1079" s="2">
        <f>F1042+F984</f>
        <v>0</v>
      </c>
      <c r="G1079" s="337"/>
      <c r="H1079" s="321"/>
      <c r="I1079" s="2">
        <f>I1042+I984</f>
        <v>0</v>
      </c>
      <c r="J1079" s="337"/>
      <c r="K1079" s="321"/>
      <c r="L1079" s="2">
        <f ca="1">L1042+L984</f>
        <v>0</v>
      </c>
      <c r="M1079" s="2"/>
      <c r="N1079" s="337"/>
      <c r="O1079" s="321"/>
      <c r="P1079" s="2">
        <f ca="1">P1042+P984</f>
        <v>0</v>
      </c>
      <c r="Q1079" s="2"/>
      <c r="R1079" s="337"/>
      <c r="S1079" s="321"/>
      <c r="T1079" s="2">
        <f>T1042+T984</f>
        <v>0</v>
      </c>
      <c r="U1079" s="2"/>
      <c r="V1079" s="337"/>
      <c r="W1079" s="321"/>
      <c r="X1079" s="2">
        <f>X1042+X984</f>
        <v>0</v>
      </c>
      <c r="Y1079" s="20"/>
      <c r="Z1079" s="74"/>
      <c r="AA1079" s="74"/>
      <c r="AB1079" s="74"/>
      <c r="AC1079" s="20"/>
      <c r="AD1079" s="20"/>
      <c r="AE1079" s="20"/>
      <c r="AF1079" s="20"/>
      <c r="AG1079" s="20"/>
      <c r="AH1079" s="20"/>
      <c r="AI1079" s="20"/>
      <c r="AJ1079" s="20"/>
      <c r="AK1079" s="20"/>
      <c r="AL1079" s="20"/>
      <c r="AM1079" s="20"/>
      <c r="AN1079" s="20"/>
      <c r="AO1079" s="20"/>
      <c r="AP1079" s="20"/>
      <c r="AQ1079" s="20"/>
      <c r="AR1079" s="20"/>
      <c r="AS1079" s="20"/>
    </row>
    <row r="1080" spans="1:47" hidden="1">
      <c r="A1080" s="309" t="s">
        <v>403</v>
      </c>
      <c r="B1080" s="1"/>
      <c r="C1080" s="319">
        <f t="shared" si="247"/>
        <v>492609.454545455</v>
      </c>
      <c r="D1080" s="337"/>
      <c r="E1080" s="337"/>
      <c r="F1080" s="2">
        <f>F1043+F985</f>
        <v>3504084</v>
      </c>
      <c r="G1080" s="337"/>
      <c r="H1080" s="321"/>
      <c r="I1080" s="2">
        <f>I1043+I985</f>
        <v>3715399</v>
      </c>
      <c r="J1080" s="337"/>
      <c r="K1080" s="321"/>
      <c r="L1080" s="2">
        <f ca="1">L1043+L985</f>
        <v>4173272</v>
      </c>
      <c r="M1080" s="2"/>
      <c r="N1080" s="337"/>
      <c r="O1080" s="321"/>
      <c r="P1080" s="2">
        <f ca="1">P1043+P985</f>
        <v>556069</v>
      </c>
      <c r="Q1080" s="2"/>
      <c r="R1080" s="337"/>
      <c r="S1080" s="321"/>
      <c r="T1080" s="2">
        <f ca="1">T1043+T985</f>
        <v>716588</v>
      </c>
      <c r="U1080" s="2"/>
      <c r="V1080" s="337"/>
      <c r="W1080" s="321"/>
      <c r="X1080" s="2">
        <f ca="1">X1043+X985</f>
        <v>2900361</v>
      </c>
      <c r="Y1080" s="20"/>
      <c r="Z1080" s="74"/>
      <c r="AA1080" s="74"/>
      <c r="AB1080" s="74"/>
      <c r="AC1080" s="20"/>
      <c r="AD1080" s="20"/>
      <c r="AE1080" s="20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/>
      <c r="AP1080" s="20"/>
      <c r="AQ1080" s="20"/>
      <c r="AR1080" s="20"/>
      <c r="AS1080" s="20"/>
    </row>
    <row r="1081" spans="1:47" hidden="1">
      <c r="A1081" s="323" t="s">
        <v>426</v>
      </c>
      <c r="B1081" s="1"/>
      <c r="C1081" s="319"/>
      <c r="D1081" s="337"/>
      <c r="E1081" s="337"/>
      <c r="F1081" s="2"/>
      <c r="G1081" s="337"/>
      <c r="H1081" s="321"/>
      <c r="I1081" s="2"/>
      <c r="J1081" s="337"/>
      <c r="K1081" s="321"/>
      <c r="L1081" s="2"/>
      <c r="M1081" s="2"/>
      <c r="N1081" s="337"/>
      <c r="O1081" s="321"/>
      <c r="P1081" s="2"/>
      <c r="Q1081" s="2"/>
      <c r="R1081" s="337"/>
      <c r="S1081" s="321"/>
      <c r="T1081" s="2"/>
      <c r="U1081" s="2"/>
      <c r="V1081" s="337"/>
      <c r="W1081" s="321"/>
      <c r="X1081" s="2"/>
      <c r="Y1081" s="20"/>
      <c r="Z1081" s="74"/>
      <c r="AA1081" s="74"/>
      <c r="AB1081" s="74"/>
      <c r="AC1081" s="20"/>
      <c r="AD1081" s="20"/>
      <c r="AE1081" s="20"/>
      <c r="AF1081" s="20"/>
      <c r="AG1081" s="20"/>
      <c r="AH1081" s="20"/>
      <c r="AI1081" s="20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</row>
    <row r="1082" spans="1:47" hidden="1">
      <c r="A1082" s="323" t="s">
        <v>464</v>
      </c>
      <c r="B1082" s="1"/>
      <c r="C1082" s="319">
        <f>C1045+C987</f>
        <v>221132355</v>
      </c>
      <c r="D1082" s="395"/>
      <c r="E1082" s="321"/>
      <c r="F1082" s="2">
        <f>F1045+F987</f>
        <v>9385313</v>
      </c>
      <c r="G1082" s="395"/>
      <c r="H1082" s="321"/>
      <c r="I1082" s="2">
        <f>I1045+I987</f>
        <v>9977874</v>
      </c>
      <c r="J1082" s="395"/>
      <c r="K1082" s="321"/>
      <c r="L1082" s="2">
        <f ca="1">L1045+L987</f>
        <v>4529743</v>
      </c>
      <c r="M1082" s="2"/>
      <c r="N1082" s="395"/>
      <c r="O1082" s="321"/>
      <c r="P1082" s="2">
        <f>P1045+P987</f>
        <v>0</v>
      </c>
      <c r="Q1082" s="2"/>
      <c r="R1082" s="395"/>
      <c r="S1082" s="321"/>
      <c r="T1082" s="2">
        <f ca="1">T1045+T987</f>
        <v>2199385</v>
      </c>
      <c r="U1082" s="2"/>
      <c r="V1082" s="395"/>
      <c r="W1082" s="321"/>
      <c r="X1082" s="2">
        <f ca="1">X1045+X987</f>
        <v>2330357</v>
      </c>
      <c r="Y1082" s="20"/>
      <c r="Z1082" s="74"/>
      <c r="AA1082" s="74"/>
      <c r="AB1082" s="74"/>
      <c r="AC1082" s="20"/>
      <c r="AD1082" s="20"/>
      <c r="AE1082" s="20"/>
      <c r="AF1082" s="20"/>
      <c r="AG1082" s="20"/>
      <c r="AH1082" s="20"/>
      <c r="AI1082" s="20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</row>
    <row r="1083" spans="1:47" hidden="1">
      <c r="A1083" s="323" t="s">
        <v>400</v>
      </c>
      <c r="B1083" s="1"/>
      <c r="C1083" s="319">
        <f>C1046+C988</f>
        <v>140251.12121212101</v>
      </c>
      <c r="D1083" s="337"/>
      <c r="E1083" s="321"/>
      <c r="F1083" s="2">
        <f>F1046+F988</f>
        <v>77094</v>
      </c>
      <c r="G1083" s="337"/>
      <c r="H1083" s="321"/>
      <c r="I1083" s="2">
        <f>I1046+I988</f>
        <v>77094</v>
      </c>
      <c r="J1083" s="337"/>
      <c r="K1083" s="321"/>
      <c r="L1083" s="2">
        <f>L1046+L988</f>
        <v>77094</v>
      </c>
      <c r="M1083" s="2"/>
      <c r="N1083" s="337"/>
      <c r="O1083" s="321"/>
      <c r="P1083" s="2">
        <f>P1046+P988</f>
        <v>0</v>
      </c>
      <c r="Q1083" s="2"/>
      <c r="R1083" s="337"/>
      <c r="S1083" s="321"/>
      <c r="T1083" s="2">
        <f ca="1">T1046+T988</f>
        <v>15427</v>
      </c>
      <c r="U1083" s="2"/>
      <c r="V1083" s="337"/>
      <c r="W1083" s="321"/>
      <c r="X1083" s="2">
        <f ca="1">X1046+X988</f>
        <v>61667</v>
      </c>
      <c r="Y1083" s="20"/>
      <c r="Z1083" s="74"/>
      <c r="AA1083" s="74"/>
      <c r="AB1083" s="74"/>
      <c r="AC1083" s="20"/>
      <c r="AD1083" s="20"/>
      <c r="AE1083" s="20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</row>
    <row r="1084" spans="1:47" s="1184" customFormat="1" hidden="1">
      <c r="A1084" s="1005" t="s">
        <v>1035</v>
      </c>
      <c r="C1084" s="1026">
        <f>C1047+C989</f>
        <v>221132355</v>
      </c>
      <c r="D1084" s="269"/>
      <c r="E1084" s="1185"/>
      <c r="F1084" s="1203"/>
      <c r="G1084" s="269"/>
      <c r="H1084" s="1185"/>
      <c r="I1084" s="1203"/>
      <c r="J1084" s="265"/>
      <c r="K1084" s="1185"/>
      <c r="L1084" s="1203">
        <f>L1047+L989</f>
        <v>6562491</v>
      </c>
      <c r="M1084" s="1203"/>
      <c r="N1084" s="265"/>
      <c r="O1084" s="1185"/>
      <c r="P1084" s="1203">
        <f>P1047+P989</f>
        <v>0</v>
      </c>
      <c r="Q1084" s="1203"/>
      <c r="R1084" s="265"/>
      <c r="S1084" s="1185"/>
      <c r="T1084" s="1203">
        <f>T1047+T989</f>
        <v>0</v>
      </c>
      <c r="U1084" s="1203"/>
      <c r="V1084" s="265"/>
      <c r="W1084" s="1185"/>
      <c r="X1084" s="1203">
        <f>X1047+X989</f>
        <v>6562491</v>
      </c>
      <c r="Z1084" s="815"/>
      <c r="AC1084" s="1205"/>
      <c r="AD1084" s="1205"/>
      <c r="AI1084" s="1185"/>
      <c r="AJ1084" s="1185"/>
      <c r="AK1084" s="1185"/>
      <c r="AL1084" s="1185"/>
      <c r="AM1084" s="1185"/>
      <c r="AN1084" s="1185"/>
      <c r="AO1084" s="1185"/>
      <c r="AP1084" s="1185"/>
      <c r="AQ1084" s="1185"/>
      <c r="AR1084" s="1185"/>
      <c r="AS1084" s="1185"/>
      <c r="AU1084" s="1204"/>
    </row>
    <row r="1085" spans="1:47" hidden="1">
      <c r="A1085" s="1" t="s">
        <v>381</v>
      </c>
      <c r="B1085" s="1"/>
      <c r="C1085" s="350">
        <f>C1048+C990</f>
        <v>221132355</v>
      </c>
      <c r="D1085" s="330"/>
      <c r="E1085" s="2"/>
      <c r="F1085" s="51">
        <f>F1048+F990</f>
        <v>14064750</v>
      </c>
      <c r="G1085" s="330"/>
      <c r="H1085" s="1"/>
      <c r="I1085" s="51">
        <f>I1048+I990</f>
        <v>14868626</v>
      </c>
      <c r="J1085" s="330"/>
      <c r="K1085" s="1"/>
      <c r="L1085" s="51">
        <f ca="1">L1048+L990</f>
        <v>16508821</v>
      </c>
      <c r="M1085" s="51"/>
      <c r="N1085" s="330"/>
      <c r="O1085" s="1"/>
      <c r="P1085" s="51">
        <f ca="1">P1048+P990</f>
        <v>1722290</v>
      </c>
      <c r="Q1085" s="51"/>
      <c r="R1085" s="330"/>
      <c r="S1085" s="1"/>
      <c r="T1085" s="51">
        <f ca="1">T1048+T990</f>
        <v>2931400</v>
      </c>
      <c r="U1085" s="51"/>
      <c r="V1085" s="330"/>
      <c r="W1085" s="1"/>
      <c r="X1085" s="51">
        <f ca="1">X1048+X990</f>
        <v>11854876</v>
      </c>
      <c r="Y1085" s="20"/>
      <c r="Z1085" s="74"/>
      <c r="AA1085" s="74"/>
      <c r="AB1085" s="74"/>
      <c r="AC1085" s="20"/>
      <c r="AD1085" s="20"/>
      <c r="AE1085" s="20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</row>
    <row r="1086" spans="1:47" hidden="1">
      <c r="A1086" s="1" t="s">
        <v>363</v>
      </c>
      <c r="B1086" s="1"/>
      <c r="C1086" s="340">
        <f ca="1">'Table 2'!H80</f>
        <v>-3541996.3303991579</v>
      </c>
      <c r="D1086" s="309"/>
      <c r="E1086" s="309"/>
      <c r="F1086" s="764">
        <f ca="1">I1086</f>
        <v>-307473.73256731662</v>
      </c>
      <c r="G1086" s="309"/>
      <c r="H1086" s="309"/>
      <c r="I1086" s="764">
        <f ca="1">'Table 3'!E80</f>
        <v>-307473.73256731662</v>
      </c>
      <c r="J1086" s="309"/>
      <c r="K1086" s="309"/>
      <c r="L1086" s="764">
        <f ca="1">I1086</f>
        <v>-307473.73256731662</v>
      </c>
      <c r="M1086" s="51"/>
      <c r="N1086" s="309"/>
      <c r="O1086" s="309"/>
      <c r="P1086" s="764">
        <f ca="1">$L$1086*Y1014/(Y1014+$Z$1014+$AA$1014)</f>
        <v>-33723.900172059868</v>
      </c>
      <c r="Q1086" s="51"/>
      <c r="R1086" s="309"/>
      <c r="S1086" s="309"/>
      <c r="T1086" s="764">
        <f ca="1">$L$1086*Z1014/(Y1014+$Z$1014+$AA$1014)</f>
        <v>-54258.634797615239</v>
      </c>
      <c r="U1086" s="51"/>
      <c r="V1086" s="309"/>
      <c r="W1086" s="309"/>
      <c r="X1086" s="764">
        <f ca="1">$L$1086*AA1014/(Y1014+$Z$1014+$AA$1014)</f>
        <v>-219491.19759764147</v>
      </c>
      <c r="Y1086" s="444"/>
      <c r="Z1086" s="287"/>
      <c r="AA1086" s="74"/>
      <c r="AB1086" s="74"/>
      <c r="AC1086" s="20"/>
      <c r="AD1086" s="20"/>
      <c r="AE1086" s="20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</row>
    <row r="1087" spans="1:47" ht="16.5" hidden="1" thickBot="1">
      <c r="A1087" s="1" t="s">
        <v>382</v>
      </c>
      <c r="B1087" s="1"/>
      <c r="C1087" s="763">
        <f ca="1">C1085+C1086</f>
        <v>217590358.66960084</v>
      </c>
      <c r="D1087" s="342"/>
      <c r="E1087" s="343"/>
      <c r="F1087" s="765">
        <f ca="1">F1085+F1086</f>
        <v>13757276.267432684</v>
      </c>
      <c r="G1087" s="342"/>
      <c r="H1087" s="345"/>
      <c r="I1087" s="765">
        <f ca="1">I1085+I1086</f>
        <v>14561152.267432684</v>
      </c>
      <c r="J1087" s="342"/>
      <c r="K1087" s="345"/>
      <c r="L1087" s="765">
        <f ca="1">L1085+L1086</f>
        <v>16201347.267432684</v>
      </c>
      <c r="M1087" s="51"/>
      <c r="N1087" s="342"/>
      <c r="O1087" s="345"/>
      <c r="P1087" s="765">
        <f ca="1">P1085+P1086</f>
        <v>1688566.0998279401</v>
      </c>
      <c r="Q1087" s="51"/>
      <c r="R1087" s="342"/>
      <c r="S1087" s="345"/>
      <c r="T1087" s="765">
        <f ca="1">T1085+T1086</f>
        <v>2877141.3652023845</v>
      </c>
      <c r="U1087" s="51"/>
      <c r="V1087" s="342"/>
      <c r="W1087" s="345"/>
      <c r="X1087" s="765">
        <f ca="1">X1085+X1086</f>
        <v>11635384.802402359</v>
      </c>
      <c r="Y1087" s="411"/>
      <c r="Z1087" s="470"/>
      <c r="AA1087" s="74"/>
      <c r="AB1087" s="74"/>
      <c r="AC1087" s="20"/>
      <c r="AD1087" s="20"/>
      <c r="AE1087" s="20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</row>
    <row r="1088" spans="1:47" ht="16.5" hidden="1" thickTop="1">
      <c r="A1088" s="1"/>
      <c r="B1088" s="1"/>
      <c r="C1088" s="21"/>
      <c r="D1088" s="337" t="s">
        <v>31</v>
      </c>
      <c r="E1088" s="2"/>
      <c r="F1088" s="2"/>
      <c r="G1088" s="337" t="s">
        <v>31</v>
      </c>
      <c r="H1088" s="1"/>
      <c r="I1088" s="2"/>
      <c r="J1088" s="353" t="s">
        <v>31</v>
      </c>
      <c r="K1088" s="1"/>
      <c r="L1088" s="2" t="s">
        <v>31</v>
      </c>
      <c r="M1088" s="2"/>
      <c r="N1088" s="353" t="s">
        <v>31</v>
      </c>
      <c r="O1088" s="1"/>
      <c r="P1088" s="2" t="s">
        <v>31</v>
      </c>
      <c r="Q1088" s="2"/>
      <c r="R1088" s="353" t="s">
        <v>31</v>
      </c>
      <c r="S1088" s="1"/>
      <c r="T1088" s="2" t="s">
        <v>31</v>
      </c>
      <c r="U1088" s="2"/>
      <c r="V1088" s="353" t="s">
        <v>31</v>
      </c>
      <c r="W1088" s="1"/>
      <c r="X1088" s="2" t="s">
        <v>31</v>
      </c>
      <c r="Y1088" s="20"/>
      <c r="Z1088" s="74"/>
      <c r="AA1088" s="74"/>
      <c r="AB1088" s="74"/>
      <c r="AC1088" s="20"/>
      <c r="AD1088" s="20"/>
      <c r="AE1088" s="20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</row>
    <row r="1089" spans="1:47" ht="16.5" thickTop="1">
      <c r="A1089" s="293" t="s">
        <v>476</v>
      </c>
      <c r="B1089" s="1"/>
      <c r="C1089" s="1"/>
      <c r="D1089" s="2"/>
      <c r="E1089" s="2"/>
      <c r="F1089" s="1"/>
      <c r="G1089" s="2"/>
      <c r="H1089" s="1"/>
      <c r="I1089" s="1"/>
      <c r="J1089" s="2"/>
      <c r="K1089" s="1"/>
      <c r="L1089" s="1"/>
      <c r="M1089" s="1"/>
      <c r="N1089" s="2"/>
      <c r="O1089" s="1"/>
      <c r="P1089" s="1"/>
      <c r="Q1089" s="1"/>
      <c r="R1089" s="2"/>
      <c r="S1089" s="1"/>
      <c r="T1089" s="1"/>
      <c r="U1089" s="1"/>
      <c r="V1089" s="2"/>
      <c r="W1089" s="1"/>
      <c r="X1089" s="1"/>
      <c r="Y1089" s="20"/>
      <c r="Z1089" s="74"/>
      <c r="AA1089" s="74"/>
      <c r="AB1089" s="74"/>
      <c r="AC1089" s="20"/>
      <c r="AD1089" s="20"/>
      <c r="AE1089" s="20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</row>
    <row r="1090" spans="1:47">
      <c r="A1090" s="421" t="s">
        <v>838</v>
      </c>
      <c r="B1090" s="1"/>
      <c r="C1090" s="1"/>
      <c r="D1090" s="2"/>
      <c r="E1090" s="2"/>
      <c r="F1090" s="1"/>
      <c r="G1090" s="2"/>
      <c r="H1090" s="1"/>
      <c r="I1090" s="1"/>
      <c r="J1090" s="2"/>
      <c r="K1090" s="1"/>
      <c r="L1090" s="1"/>
      <c r="M1090" s="1"/>
      <c r="N1090" s="2"/>
      <c r="O1090" s="1"/>
      <c r="P1090" s="1"/>
      <c r="Q1090" s="1"/>
      <c r="R1090" s="2"/>
      <c r="S1090" s="1"/>
      <c r="T1090" s="1"/>
      <c r="U1090" s="1"/>
      <c r="V1090" s="2"/>
      <c r="W1090" s="1"/>
      <c r="X1090" s="1"/>
      <c r="Y1090" s="20"/>
      <c r="Z1090" s="74"/>
      <c r="AA1090" s="74"/>
      <c r="AB1090" s="74"/>
      <c r="AC1090" s="20"/>
      <c r="AD1090" s="20"/>
      <c r="AE1090" s="20"/>
      <c r="AF1090" s="20"/>
      <c r="AG1090" s="20"/>
      <c r="AH1090" s="20"/>
      <c r="AI1090" s="20"/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</row>
    <row r="1091" spans="1:47">
      <c r="A1091" s="323"/>
      <c r="B1091" s="1"/>
      <c r="C1091" s="1"/>
      <c r="D1091" s="2"/>
      <c r="E1091" s="2"/>
      <c r="F1091" s="1"/>
      <c r="G1091" s="2"/>
      <c r="H1091" s="1"/>
      <c r="I1091" s="1"/>
      <c r="J1091" s="2"/>
      <c r="K1091" s="1"/>
      <c r="L1091" s="1"/>
      <c r="M1091" s="1"/>
      <c r="N1091" s="2"/>
      <c r="O1091" s="1"/>
      <c r="P1091" s="1"/>
      <c r="Q1091" s="1"/>
      <c r="R1091" s="2"/>
      <c r="S1091" s="1"/>
      <c r="T1091" s="1"/>
      <c r="U1091" s="1"/>
      <c r="V1091" s="2"/>
      <c r="W1091" s="1"/>
      <c r="X1091" s="1"/>
      <c r="Y1091" s="20"/>
      <c r="Z1091" s="74"/>
      <c r="AA1091" s="74"/>
      <c r="AB1091" s="74"/>
      <c r="AC1091" s="20"/>
      <c r="AD1091" s="20"/>
      <c r="AE1091" s="20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</row>
    <row r="1092" spans="1:47">
      <c r="A1092" s="323" t="s">
        <v>393</v>
      </c>
      <c r="B1092" s="1"/>
      <c r="C1092" s="319"/>
      <c r="D1092" s="2"/>
      <c r="E1092" s="2"/>
      <c r="F1092" s="1"/>
      <c r="G1092" s="2"/>
      <c r="H1092" s="1"/>
      <c r="I1092" s="1"/>
      <c r="J1092" s="2"/>
      <c r="K1092" s="1"/>
      <c r="L1092" s="1" t="s">
        <v>31</v>
      </c>
      <c r="M1092" s="1"/>
      <c r="N1092" s="2"/>
      <c r="O1092" s="1"/>
      <c r="P1092" s="1"/>
      <c r="Q1092" s="1"/>
      <c r="R1092" s="2"/>
      <c r="S1092" s="1"/>
      <c r="T1092" s="1"/>
      <c r="U1092" s="1"/>
      <c r="V1092" s="2"/>
      <c r="W1092" s="1"/>
      <c r="X1092" s="1"/>
      <c r="Y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</row>
    <row r="1093" spans="1:47">
      <c r="A1093" s="309" t="s">
        <v>673</v>
      </c>
      <c r="B1093" s="1"/>
      <c r="C1093" s="319">
        <v>0</v>
      </c>
      <c r="D1093" s="337" t="s">
        <v>31</v>
      </c>
      <c r="E1093" s="337"/>
      <c r="F1093" s="2">
        <f>ROUND(D1093*$C1093,0)</f>
        <v>0</v>
      </c>
      <c r="G1093" s="337" t="s">
        <v>31</v>
      </c>
      <c r="H1093" s="321"/>
      <c r="I1093" s="2">
        <f>ROUND(C1093*G1093,0)</f>
        <v>0</v>
      </c>
      <c r="J1093" s="337" t="s">
        <v>31</v>
      </c>
      <c r="K1093" s="321"/>
      <c r="L1093" s="2">
        <f>ROUND(J1093*$C1093,0)</f>
        <v>0</v>
      </c>
      <c r="M1093" s="2"/>
      <c r="N1093" s="326" t="s">
        <v>31</v>
      </c>
      <c r="O1093" s="321"/>
      <c r="P1093" s="2">
        <f>'Rate Design Work'!P1091</f>
        <v>0</v>
      </c>
      <c r="Q1093" s="2"/>
      <c r="R1093" s="326" t="s">
        <v>31</v>
      </c>
      <c r="S1093" s="321"/>
      <c r="T1093" s="2">
        <f>'Rate Design Work'!T1091</f>
        <v>0</v>
      </c>
      <c r="U1093" s="2"/>
      <c r="V1093" s="326" t="s">
        <v>31</v>
      </c>
      <c r="W1093" s="321"/>
      <c r="X1093" s="2">
        <f>'Rate Design Work'!X1091</f>
        <v>0</v>
      </c>
      <c r="Y1093" s="20"/>
      <c r="AA1093" s="778"/>
      <c r="AB1093" s="778"/>
      <c r="AD1093" s="106"/>
      <c r="AE1093" s="735"/>
      <c r="AF1093" s="106"/>
      <c r="AG1093" s="735"/>
      <c r="AH1093" s="106"/>
      <c r="AI1093" s="106"/>
      <c r="AJ1093" s="735"/>
      <c r="AK1093" s="20"/>
      <c r="AL1093" s="20"/>
      <c r="AM1093" s="20"/>
      <c r="AN1093" s="20"/>
      <c r="AO1093" s="20"/>
      <c r="AP1093" s="20"/>
      <c r="AQ1093" s="20"/>
      <c r="AR1093" s="20"/>
      <c r="AS1093" s="20"/>
    </row>
    <row r="1094" spans="1:47">
      <c r="A1094" s="309" t="s">
        <v>674</v>
      </c>
      <c r="B1094" s="1"/>
      <c r="C1094" s="319">
        <f>[54]Sheet1!$D$2</f>
        <v>12</v>
      </c>
      <c r="D1094" s="337">
        <v>2528</v>
      </c>
      <c r="E1094" s="337"/>
      <c r="F1094" s="2">
        <f>ROUND(D1094*$C1094,0)</f>
        <v>30336</v>
      </c>
      <c r="G1094" s="337">
        <v>2528</v>
      </c>
      <c r="H1094" s="324"/>
      <c r="I1094" s="2">
        <f>ROUND(C1094*G1094,0)</f>
        <v>30336</v>
      </c>
      <c r="J1094" s="326">
        <f ca="1">'Rate Design Work'!J1092</f>
        <v>2747</v>
      </c>
      <c r="K1094" s="324"/>
      <c r="L1094" s="2">
        <f ca="1">ROUND(J1094*$C1094,0)</f>
        <v>32964</v>
      </c>
      <c r="M1094" s="2"/>
      <c r="N1094" s="326">
        <f ca="1">'Rate Design Work'!N1092</f>
        <v>2747</v>
      </c>
      <c r="O1094" s="1580"/>
      <c r="P1094" s="2">
        <f ca="1">'Rate Design Work'!P1092</f>
        <v>32964</v>
      </c>
      <c r="Q1094" s="2"/>
      <c r="R1094" s="326" t="str">
        <f>'Rate Design Work'!R1092</f>
        <v xml:space="preserve"> </v>
      </c>
      <c r="S1094" s="1580"/>
      <c r="T1094" s="2">
        <f>'Rate Design Work'!T1092</f>
        <v>0</v>
      </c>
      <c r="U1094" s="2"/>
      <c r="V1094" s="326" t="str">
        <f>'Rate Design Work'!V1092</f>
        <v xml:space="preserve"> </v>
      </c>
      <c r="W1094" s="1580"/>
      <c r="X1094" s="2">
        <f>'Rate Design Work'!X1092</f>
        <v>0</v>
      </c>
      <c r="Y1094" s="20"/>
      <c r="AA1094" s="827">
        <f ca="1">(J1094-G1094)/G1094</f>
        <v>8.6629746835443042E-2</v>
      </c>
      <c r="AB1094" s="777"/>
      <c r="AD1094" s="106"/>
      <c r="AE1094" s="735"/>
      <c r="AF1094" s="106"/>
      <c r="AG1094" s="735"/>
      <c r="AH1094" s="106"/>
      <c r="AI1094" s="106"/>
      <c r="AJ1094" s="735"/>
      <c r="AK1094" s="20"/>
      <c r="AL1094" s="20"/>
      <c r="AM1094" s="20"/>
      <c r="AN1094" s="20"/>
      <c r="AO1094" s="20"/>
      <c r="AP1094" s="20"/>
      <c r="AQ1094" s="20"/>
      <c r="AR1094" s="20"/>
      <c r="AS1094" s="20"/>
    </row>
    <row r="1095" spans="1:47">
      <c r="A1095" s="323" t="s">
        <v>394</v>
      </c>
      <c r="B1095" s="1"/>
      <c r="C1095" s="319">
        <f>SUM(C1093:C1094)</f>
        <v>12</v>
      </c>
      <c r="D1095" s="337" t="s">
        <v>31</v>
      </c>
      <c r="E1095" s="337"/>
      <c r="F1095" s="2" t="s">
        <v>31</v>
      </c>
      <c r="G1095" s="337" t="s">
        <v>31</v>
      </c>
      <c r="H1095" s="321"/>
      <c r="I1095" s="2" t="s">
        <v>31</v>
      </c>
      <c r="J1095" s="337" t="s">
        <v>31</v>
      </c>
      <c r="K1095" s="321"/>
      <c r="L1095" s="2" t="s">
        <v>31</v>
      </c>
      <c r="M1095" s="2"/>
      <c r="N1095" s="337" t="s">
        <v>31</v>
      </c>
      <c r="O1095" s="321"/>
      <c r="P1095" s="2" t="s">
        <v>31</v>
      </c>
      <c r="Q1095" s="2"/>
      <c r="R1095" s="337" t="s">
        <v>31</v>
      </c>
      <c r="S1095" s="321"/>
      <c r="T1095" s="2" t="s">
        <v>31</v>
      </c>
      <c r="U1095" s="2"/>
      <c r="V1095" s="337" t="s">
        <v>31</v>
      </c>
      <c r="W1095" s="321"/>
      <c r="X1095" s="2" t="s">
        <v>31</v>
      </c>
      <c r="Y1095" s="20"/>
      <c r="AA1095" s="394"/>
      <c r="AD1095" s="106"/>
      <c r="AE1095" s="735"/>
      <c r="AF1095" s="106"/>
      <c r="AG1095" s="735"/>
      <c r="AH1095" s="106"/>
      <c r="AI1095" s="106"/>
      <c r="AJ1095" s="735"/>
      <c r="AK1095" s="20"/>
      <c r="AL1095" s="20"/>
      <c r="AM1095" s="20"/>
      <c r="AN1095" s="20"/>
      <c r="AO1095" s="20"/>
      <c r="AP1095" s="20"/>
      <c r="AQ1095" s="20"/>
      <c r="AR1095" s="20"/>
      <c r="AS1095" s="20"/>
    </row>
    <row r="1096" spans="1:47">
      <c r="A1096" s="323" t="s">
        <v>473</v>
      </c>
      <c r="B1096" s="1"/>
      <c r="C1096" s="319">
        <v>0</v>
      </c>
      <c r="D1096" s="337" t="s">
        <v>31</v>
      </c>
      <c r="E1096" s="337"/>
      <c r="F1096" s="2">
        <f>ROUND(D1096*$C1096,0)</f>
        <v>0</v>
      </c>
      <c r="G1096" s="337" t="s">
        <v>31</v>
      </c>
      <c r="H1096" s="321"/>
      <c r="I1096" s="2">
        <f t="shared" ref="I1096:I1098" si="248">ROUND(C1096*G1096,0)</f>
        <v>0</v>
      </c>
      <c r="J1096" s="337" t="s">
        <v>31</v>
      </c>
      <c r="K1096" s="321"/>
      <c r="L1096" s="2">
        <f>ROUND(J1096*$C1096,0)</f>
        <v>0</v>
      </c>
      <c r="M1096" s="2"/>
      <c r="N1096" s="337" t="s">
        <v>31</v>
      </c>
      <c r="O1096" s="321"/>
      <c r="P1096" s="2">
        <f>'Rate Design Work'!P1094</f>
        <v>0</v>
      </c>
      <c r="Q1096" s="2"/>
      <c r="R1096" s="337" t="s">
        <v>31</v>
      </c>
      <c r="S1096" s="321"/>
      <c r="T1096" s="2">
        <f>'Rate Design Work'!T1094</f>
        <v>0</v>
      </c>
      <c r="U1096" s="2"/>
      <c r="V1096" s="337" t="s">
        <v>31</v>
      </c>
      <c r="W1096" s="321"/>
      <c r="X1096" s="2">
        <f>'Rate Design Work'!X1094</f>
        <v>0</v>
      </c>
      <c r="Y1096" s="20"/>
      <c r="AA1096" s="394"/>
      <c r="AD1096" s="106"/>
      <c r="AE1096" s="735"/>
      <c r="AF1096" s="106"/>
      <c r="AG1096" s="735"/>
      <c r="AH1096" s="106"/>
      <c r="AI1096" s="106"/>
      <c r="AJ1096" s="735"/>
      <c r="AK1096" s="20"/>
      <c r="AL1096" s="20"/>
      <c r="AM1096" s="20"/>
      <c r="AN1096" s="20"/>
      <c r="AO1096" s="20"/>
      <c r="AP1096" s="20"/>
      <c r="AQ1096" s="20"/>
      <c r="AR1096" s="20"/>
      <c r="AS1096" s="20"/>
    </row>
    <row r="1097" spans="1:47">
      <c r="A1097" s="309" t="s">
        <v>675</v>
      </c>
      <c r="B1097" s="1"/>
      <c r="C1097" s="319">
        <f>[54]Sheet1!$E$2</f>
        <v>693243</v>
      </c>
      <c r="D1097" s="337">
        <v>0.23</v>
      </c>
      <c r="E1097" s="337"/>
      <c r="F1097" s="2">
        <f>ROUND(D1097*$C1097,0)</f>
        <v>159446</v>
      </c>
      <c r="G1097" s="337">
        <v>0.23</v>
      </c>
      <c r="H1097" s="321"/>
      <c r="I1097" s="2">
        <f t="shared" si="248"/>
        <v>159446</v>
      </c>
      <c r="J1097" s="326">
        <f ca="1">'Rate Design Work'!J1095</f>
        <v>0.27</v>
      </c>
      <c r="K1097" s="321"/>
      <c r="L1097" s="2">
        <f ca="1">ROUND(J1097*$C1097,0)</f>
        <v>187176</v>
      </c>
      <c r="M1097" s="2"/>
      <c r="N1097" s="326">
        <f ca="1">'Rate Design Work'!N1095</f>
        <v>0.27</v>
      </c>
      <c r="O1097" s="321"/>
      <c r="P1097" s="2">
        <f ca="1">'Rate Design Work'!P1095</f>
        <v>187176</v>
      </c>
      <c r="Q1097" s="2"/>
      <c r="R1097" s="326" t="str">
        <f>'Rate Design Work'!R1095</f>
        <v xml:space="preserve"> </v>
      </c>
      <c r="S1097" s="321"/>
      <c r="T1097" s="2">
        <f>'Rate Design Work'!T1095</f>
        <v>0</v>
      </c>
      <c r="U1097" s="2"/>
      <c r="V1097" s="326" t="str">
        <f>'Rate Design Work'!V1095</f>
        <v xml:space="preserve"> </v>
      </c>
      <c r="W1097" s="321"/>
      <c r="X1097" s="2">
        <f>'Rate Design Work'!X1095</f>
        <v>0</v>
      </c>
      <c r="Y1097" s="20"/>
      <c r="AA1097" s="827">
        <f ca="1">(J1097-G1097)/G1097</f>
        <v>0.17391304347826089</v>
      </c>
      <c r="AB1097" s="777"/>
      <c r="AD1097" s="106"/>
      <c r="AE1097" s="735"/>
      <c r="AF1097" s="106"/>
      <c r="AG1097" s="735"/>
      <c r="AH1097" s="106"/>
      <c r="AI1097" s="106"/>
      <c r="AJ1097" s="735"/>
      <c r="AK1097" s="20"/>
      <c r="AL1097" s="20"/>
      <c r="AM1097" s="20"/>
      <c r="AN1097" s="20"/>
      <c r="AO1097" s="20"/>
      <c r="AP1097" s="20"/>
      <c r="AQ1097" s="20"/>
      <c r="AR1097" s="20"/>
      <c r="AS1097" s="20"/>
    </row>
    <row r="1098" spans="1:47">
      <c r="A1098" s="309" t="s">
        <v>403</v>
      </c>
      <c r="B1098" s="1"/>
      <c r="C1098" s="319">
        <f>[54]Sheet1!$G$2</f>
        <v>681696</v>
      </c>
      <c r="D1098" s="337">
        <v>6.95</v>
      </c>
      <c r="E1098" s="337"/>
      <c r="F1098" s="2">
        <f>ROUND(D1098*$C1098,0)</f>
        <v>4737787</v>
      </c>
      <c r="G1098" s="337">
        <v>7.35</v>
      </c>
      <c r="H1098" s="321"/>
      <c r="I1098" s="2">
        <f t="shared" si="248"/>
        <v>5010466</v>
      </c>
      <c r="J1098" s="326">
        <f ca="1">'Rate Design Work'!J1096</f>
        <v>8.25</v>
      </c>
      <c r="K1098" s="321"/>
      <c r="L1098" s="2">
        <f ca="1">ROUND(J1098*$C1098,0)</f>
        <v>5623992</v>
      </c>
      <c r="M1098" s="2"/>
      <c r="N1098" s="326">
        <f ca="1">'Rate Design Work'!N1096</f>
        <v>1.1665073483240362</v>
      </c>
      <c r="O1098" s="321"/>
      <c r="P1098" s="2">
        <f ca="1">'Rate Design Work'!P1096</f>
        <v>795203.39332310227</v>
      </c>
      <c r="Q1098" s="2"/>
      <c r="R1098" s="326">
        <f ca="1">'Rate Design Work'!R1096</f>
        <v>1.4031796808091419</v>
      </c>
      <c r="S1098" s="321"/>
      <c r="T1098" s="2">
        <f ca="1">'Rate Design Work'!T1096</f>
        <v>956541.97568886878</v>
      </c>
      <c r="U1098" s="2"/>
      <c r="V1098" s="326">
        <f ca="1">'Rate Design Work'!V1096</f>
        <v>5.6803129708668223</v>
      </c>
      <c r="W1098" s="321"/>
      <c r="X1098" s="2">
        <f ca="1">'Rate Design Work'!X1096</f>
        <v>3872246.6309880293</v>
      </c>
      <c r="Y1098" s="20"/>
      <c r="AA1098" s="827">
        <f ca="1">(J1098-G1098)/G1098</f>
        <v>0.12244897959183679</v>
      </c>
      <c r="AB1098" s="777"/>
      <c r="AC1098" s="74"/>
      <c r="AD1098" s="739"/>
      <c r="AE1098" s="735"/>
      <c r="AF1098" s="739"/>
      <c r="AG1098" s="735"/>
      <c r="AH1098" s="739"/>
      <c r="AI1098" s="74"/>
      <c r="AJ1098" s="735"/>
      <c r="AK1098" s="20"/>
      <c r="AL1098" s="20"/>
      <c r="AM1098" s="20"/>
      <c r="AN1098" s="20"/>
      <c r="AO1098" s="20"/>
      <c r="AP1098" s="20"/>
      <c r="AQ1098" s="20"/>
      <c r="AR1098" s="20"/>
      <c r="AS1098" s="20"/>
    </row>
    <row r="1099" spans="1:47">
      <c r="A1099" s="323" t="s">
        <v>426</v>
      </c>
      <c r="B1099" s="1"/>
      <c r="C1099" s="275" t="s">
        <v>31</v>
      </c>
      <c r="D1099" s="337" t="s">
        <v>31</v>
      </c>
      <c r="E1099" s="337"/>
      <c r="F1099" s="2"/>
      <c r="G1099" s="413" t="s">
        <v>31</v>
      </c>
      <c r="H1099" s="321"/>
      <c r="I1099" s="2"/>
      <c r="J1099" s="413" t="s">
        <v>31</v>
      </c>
      <c r="K1099" s="321"/>
      <c r="L1099" s="2"/>
      <c r="M1099" s="2"/>
      <c r="N1099" s="413" t="s">
        <v>31</v>
      </c>
      <c r="O1099" s="321"/>
      <c r="P1099" s="2"/>
      <c r="Q1099" s="2"/>
      <c r="R1099" s="413" t="s">
        <v>31</v>
      </c>
      <c r="S1099" s="321"/>
      <c r="T1099" s="2"/>
      <c r="U1099" s="2"/>
      <c r="V1099" s="413" t="s">
        <v>31</v>
      </c>
      <c r="W1099" s="321"/>
      <c r="X1099" s="2"/>
      <c r="Y1099" s="20"/>
      <c r="AA1099" s="394"/>
      <c r="AC1099" s="74"/>
      <c r="AD1099" s="20"/>
      <c r="AE1099" s="20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</row>
    <row r="1100" spans="1:47">
      <c r="A1100" s="323" t="s">
        <v>464</v>
      </c>
      <c r="B1100" s="1"/>
      <c r="C1100" s="319">
        <f>[54]Sheet1!$F$2</f>
        <v>455274000</v>
      </c>
      <c r="D1100" s="413">
        <v>4.1870000000000003</v>
      </c>
      <c r="E1100" s="321" t="s">
        <v>374</v>
      </c>
      <c r="F1100" s="2">
        <f>ROUND(D1100/100*$C1100,0)</f>
        <v>19062322</v>
      </c>
      <c r="G1100" s="382">
        <v>4.43</v>
      </c>
      <c r="H1100" s="321" t="s">
        <v>374</v>
      </c>
      <c r="I1100" s="2">
        <f>ROUND(C1100/100*G1100,0)</f>
        <v>20168638</v>
      </c>
      <c r="J1100" s="382">
        <f ca="1">'Rate Design Work'!J1098</f>
        <v>2.008</v>
      </c>
      <c r="K1100" s="321" t="s">
        <v>374</v>
      </c>
      <c r="L1100" s="2">
        <f ca="1">ROUND(J1100/100*$C1100,0)</f>
        <v>9141902</v>
      </c>
      <c r="M1100" s="2"/>
      <c r="N1100" s="382" t="str">
        <f>'Rate Design Work'!N1098</f>
        <v xml:space="preserve"> </v>
      </c>
      <c r="O1100" s="883" t="s">
        <v>31</v>
      </c>
      <c r="P1100" s="2">
        <f>'Rate Design Work'!P1098</f>
        <v>0</v>
      </c>
      <c r="Q1100" s="2"/>
      <c r="R1100" s="382">
        <f ca="1">'Rate Design Work'!R1098</f>
        <v>0.97099999999999997</v>
      </c>
      <c r="S1100" s="321" t="s">
        <v>374</v>
      </c>
      <c r="T1100" s="2">
        <f ca="1">'Rate Design Work'!T1098</f>
        <v>4419109.5570104234</v>
      </c>
      <c r="U1100" s="2"/>
      <c r="V1100" s="382">
        <f ca="1">'Rate Design Work'!V1098</f>
        <v>1.0369999999999999</v>
      </c>
      <c r="W1100" s="321" t="s">
        <v>374</v>
      </c>
      <c r="X1100" s="2">
        <f ca="1">'Rate Design Work'!X1098</f>
        <v>4722792.4429895738</v>
      </c>
      <c r="Y1100" s="20"/>
      <c r="AA1100" s="827">
        <f ca="1">((J1100+J1102)-G1100)/G1100</f>
        <v>0.10609480812641099</v>
      </c>
      <c r="AB1100" s="777"/>
      <c r="AC1100" s="74"/>
      <c r="AD1100" s="20"/>
      <c r="AE1100" s="20"/>
      <c r="AF1100" s="20"/>
      <c r="AG1100" s="20"/>
      <c r="AH1100" s="20"/>
      <c r="AI1100" s="20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</row>
    <row r="1101" spans="1:47">
      <c r="A1101" s="323" t="s">
        <v>400</v>
      </c>
      <c r="B1101" s="1"/>
      <c r="C1101" s="319">
        <f>[54]Sheet1!$H$2</f>
        <v>183315</v>
      </c>
      <c r="D1101" s="337">
        <v>0.53</v>
      </c>
      <c r="E1101" s="321"/>
      <c r="F1101" s="2">
        <f>ROUND(D1101*$C1101,0)</f>
        <v>97157</v>
      </c>
      <c r="G1101" s="337">
        <v>0.53</v>
      </c>
      <c r="H1101" s="321"/>
      <c r="I1101" s="2">
        <f>ROUND(C1101*G1101,0)</f>
        <v>97157</v>
      </c>
      <c r="J1101" s="326">
        <f>'Rate Design Work'!J1099</f>
        <v>0.53</v>
      </c>
      <c r="K1101" s="321"/>
      <c r="L1101" s="2">
        <f>ROUND(J1101*$C1101,0)</f>
        <v>97157</v>
      </c>
      <c r="M1101" s="2"/>
      <c r="N1101" s="326" t="str">
        <f>'Rate Design Work'!N1099</f>
        <v xml:space="preserve"> </v>
      </c>
      <c r="O1101" s="321"/>
      <c r="P1101" s="2">
        <f>'Rate Design Work'!P1099</f>
        <v>0</v>
      </c>
      <c r="Q1101" s="2"/>
      <c r="R1101" s="326">
        <f ca="1">'Rate Design Work'!R1099</f>
        <v>0.1</v>
      </c>
      <c r="S1101" s="321"/>
      <c r="T1101" s="2">
        <f ca="1">'Rate Design Work'!T1099</f>
        <v>19245.975813374811</v>
      </c>
      <c r="U1101" s="2"/>
      <c r="V1101" s="326">
        <f ca="1">'Rate Design Work'!V1099</f>
        <v>0.43</v>
      </c>
      <c r="W1101" s="321"/>
      <c r="X1101" s="2">
        <f ca="1">'Rate Design Work'!X1099</f>
        <v>77911.024186625189</v>
      </c>
      <c r="Y1101" s="20"/>
      <c r="AA1101" s="827">
        <f>(J1101-G1101)/G1101</f>
        <v>0</v>
      </c>
      <c r="AB1101" s="777"/>
      <c r="AC1101" s="74"/>
      <c r="AD1101" s="20"/>
      <c r="AE1101" s="20"/>
      <c r="AF1101" s="20"/>
      <c r="AG1101" s="20"/>
      <c r="AH1101" s="20"/>
      <c r="AI1101" s="20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</row>
    <row r="1102" spans="1:47" s="1184" customFormat="1">
      <c r="A1102" s="1005" t="s">
        <v>1035</v>
      </c>
      <c r="C1102" s="1202">
        <f>C1100</f>
        <v>455274000</v>
      </c>
      <c r="D1102" s="269"/>
      <c r="E1102" s="1185"/>
      <c r="F1102" s="1203"/>
      <c r="G1102" s="269"/>
      <c r="H1102" s="1185"/>
      <c r="I1102" s="1203"/>
      <c r="J1102" s="1230">
        <f>'Rate Design Work'!J1100</f>
        <v>2.8919999999999999</v>
      </c>
      <c r="K1102" s="1041" t="s">
        <v>374</v>
      </c>
      <c r="L1102" s="1041">
        <f>ROUND(J1102*$C1102/100,0)</f>
        <v>13166524</v>
      </c>
      <c r="M1102" s="1041"/>
      <c r="N1102" s="1230" t="str">
        <f>'Rate Design Work'!N1100</f>
        <v xml:space="preserve"> </v>
      </c>
      <c r="O1102" s="1041" t="s">
        <v>31</v>
      </c>
      <c r="P1102" s="2">
        <f>'Rate Design Work'!P1100</f>
        <v>0</v>
      </c>
      <c r="Q1102" s="1041"/>
      <c r="R1102" s="1230" t="str">
        <f>'Rate Design Work'!R1100</f>
        <v xml:space="preserve"> </v>
      </c>
      <c r="S1102" s="1041" t="s">
        <v>31</v>
      </c>
      <c r="T1102" s="2">
        <f>'Rate Design Work'!T1100</f>
        <v>0</v>
      </c>
      <c r="U1102" s="1041"/>
      <c r="V1102" s="1230">
        <f>'Rate Design Work'!V1100</f>
        <v>2.8919999999999999</v>
      </c>
      <c r="W1102" s="1041" t="s">
        <v>374</v>
      </c>
      <c r="X1102" s="2">
        <f>'Rate Design Work'!X1100</f>
        <v>13166524</v>
      </c>
      <c r="Y1102" s="1204">
        <f>'NPC Spread'!H33</f>
        <v>13164524.379283957</v>
      </c>
      <c r="Z1102" s="815" t="s">
        <v>913</v>
      </c>
      <c r="AC1102" s="1205"/>
      <c r="AD1102" s="1205"/>
      <c r="AI1102" s="1185"/>
      <c r="AJ1102" s="1185"/>
      <c r="AK1102" s="1185"/>
      <c r="AL1102" s="1185"/>
      <c r="AM1102" s="1185"/>
      <c r="AN1102" s="1185"/>
      <c r="AO1102" s="1185"/>
      <c r="AP1102" s="1185"/>
      <c r="AQ1102" s="1185"/>
      <c r="AR1102" s="1185"/>
      <c r="AS1102" s="1185"/>
      <c r="AU1102" s="1204"/>
    </row>
    <row r="1103" spans="1:47" s="1184" customFormat="1">
      <c r="A1103" s="1509" t="s">
        <v>929</v>
      </c>
      <c r="B1103" s="1510"/>
      <c r="C1103" s="1524"/>
      <c r="D1103" s="1512"/>
      <c r="E1103" s="1513"/>
      <c r="F1103" s="1514"/>
      <c r="G1103" s="1526">
        <f>G1100</f>
        <v>4.43</v>
      </c>
      <c r="H1103" s="1521" t="s">
        <v>374</v>
      </c>
      <c r="I1103" s="1514"/>
      <c r="J1103" s="1526">
        <f ca="1">J1100+J1102</f>
        <v>4.9000000000000004</v>
      </c>
      <c r="K1103" s="1521" t="s">
        <v>374</v>
      </c>
      <c r="L1103" s="1521"/>
      <c r="M1103" s="1521"/>
      <c r="N1103" s="1526" t="s">
        <v>31</v>
      </c>
      <c r="O1103" s="1521" t="s">
        <v>31</v>
      </c>
      <c r="P1103" s="1521"/>
      <c r="Q1103" s="1521"/>
      <c r="R1103" s="1526">
        <f ca="1">R1100+R1102</f>
        <v>0.97099999999999997</v>
      </c>
      <c r="S1103" s="1521" t="s">
        <v>374</v>
      </c>
      <c r="T1103" s="1521"/>
      <c r="U1103" s="1521"/>
      <c r="V1103" s="1526">
        <f ca="1">V1100+V1102</f>
        <v>3.9289999999999998</v>
      </c>
      <c r="W1103" s="1521" t="s">
        <v>374</v>
      </c>
      <c r="X1103" s="1521"/>
      <c r="Y1103" s="1204"/>
      <c r="Z1103" s="815"/>
      <c r="AA1103" s="827">
        <f ca="1">(J1103-G1103)/G1103</f>
        <v>0.10609480812641099</v>
      </c>
      <c r="AC1103" s="1205"/>
      <c r="AD1103" s="1205"/>
      <c r="AI1103" s="1185"/>
      <c r="AJ1103" s="1185"/>
      <c r="AK1103" s="1185"/>
      <c r="AL1103" s="1185"/>
      <c r="AM1103" s="1185"/>
      <c r="AN1103" s="1185"/>
      <c r="AO1103" s="1185"/>
      <c r="AP1103" s="1185"/>
      <c r="AQ1103" s="1185"/>
      <c r="AR1103" s="1185"/>
      <c r="AS1103" s="1185"/>
      <c r="AU1103" s="1204"/>
    </row>
    <row r="1104" spans="1:47">
      <c r="A1104" s="1" t="s">
        <v>381</v>
      </c>
      <c r="B1104" s="1"/>
      <c r="C1104" s="319">
        <f>C1100</f>
        <v>455274000</v>
      </c>
      <c r="D1104" s="330"/>
      <c r="E1104" s="2"/>
      <c r="F1104" s="2">
        <f>SUM(F1093:F1101)</f>
        <v>24087048</v>
      </c>
      <c r="G1104" s="330"/>
      <c r="H1104" s="1"/>
      <c r="I1104" s="2">
        <f>SUM(I1093:I1101)</f>
        <v>25466043</v>
      </c>
      <c r="J1104" s="330"/>
      <c r="K1104" s="1"/>
      <c r="L1104" s="2">
        <f ca="1">SUM(L1093:L1103)</f>
        <v>28249715</v>
      </c>
      <c r="M1104" s="2"/>
      <c r="N1104" s="803"/>
      <c r="O1104" s="1"/>
      <c r="P1104" s="2">
        <f ca="1">SUM(P1093:P1103)</f>
        <v>1015343.3933231023</v>
      </c>
      <c r="Q1104" s="2"/>
      <c r="R1104" s="803"/>
      <c r="S1104" s="1"/>
      <c r="T1104" s="2">
        <f ca="1">SUM(T1093:T1103)</f>
        <v>5394897.5085126674</v>
      </c>
      <c r="U1104" s="2"/>
      <c r="V1104" s="803"/>
      <c r="W1104" s="1"/>
      <c r="X1104" s="2">
        <f ca="1">SUM(X1093:X1103)</f>
        <v>21839474.098164231</v>
      </c>
      <c r="Y1104" s="20"/>
      <c r="Z1104" s="74"/>
      <c r="AA1104" s="74"/>
      <c r="AB1104" s="74"/>
      <c r="AC1104" s="20"/>
      <c r="AD1104" s="20"/>
      <c r="AE1104" s="20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</row>
    <row r="1105" spans="1:45">
      <c r="A1105" s="1" t="s">
        <v>363</v>
      </c>
      <c r="B1105" s="1"/>
      <c r="C1105" s="319">
        <f ca="1">'Table 2'!H81</f>
        <v>-7292369.4830914559</v>
      </c>
      <c r="D1105" s="309"/>
      <c r="E1105" s="309"/>
      <c r="F1105" s="341">
        <f ca="1">I1105</f>
        <v>-525378.60504138179</v>
      </c>
      <c r="G1105" s="309"/>
      <c r="H1105" s="309"/>
      <c r="I1105" s="341">
        <f ca="1">'Table 3'!E81</f>
        <v>-525378.60504138179</v>
      </c>
      <c r="J1105" s="309"/>
      <c r="K1105" s="309"/>
      <c r="L1105" s="341">
        <f ca="1">I1105</f>
        <v>-525378.60504138179</v>
      </c>
      <c r="M1105" s="322"/>
      <c r="N1105" s="309"/>
      <c r="O1105" s="309"/>
      <c r="P1105" s="341">
        <f ca="1">$L$1105*Y1108/($Y1108+$Z$1108+$AA$1108)</f>
        <v>-18883.011585146065</v>
      </c>
      <c r="Q1105" s="51"/>
      <c r="R1105" s="309"/>
      <c r="S1105" s="309"/>
      <c r="T1105" s="341">
        <f ca="1">$L$1105*Z1109/($Y$1109+$Z$1109+$AA$1109)</f>
        <v>-100332.47157939864</v>
      </c>
      <c r="U1105" s="51"/>
      <c r="V1105" s="309"/>
      <c r="W1105" s="309"/>
      <c r="X1105" s="341">
        <f ca="1">$L$1105*AA1109/($Y$1109+$Z$1109+$AA$1109)</f>
        <v>-406163.12187683705</v>
      </c>
      <c r="Y1105" s="444"/>
      <c r="Z1105" s="287"/>
      <c r="AC1105" s="20"/>
      <c r="AD1105" s="20"/>
      <c r="AE1105" s="20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</row>
    <row r="1106" spans="1:45" ht="16.5" thickBot="1">
      <c r="A1106" s="1" t="s">
        <v>382</v>
      </c>
      <c r="B1106" s="1"/>
      <c r="C1106" s="393">
        <f ca="1">SUM(C1104)+C1105</f>
        <v>447981630.51690853</v>
      </c>
      <c r="D1106" s="342"/>
      <c r="E1106" s="343"/>
      <c r="F1106" s="344">
        <f ca="1">F1104+F1105</f>
        <v>23561669.394958619</v>
      </c>
      <c r="G1106" s="342"/>
      <c r="H1106" s="345"/>
      <c r="I1106" s="344">
        <f ca="1">I1104+I1105</f>
        <v>24940664.394958619</v>
      </c>
      <c r="J1106" s="342"/>
      <c r="K1106" s="345"/>
      <c r="L1106" s="344">
        <f ca="1">L1104+L1105</f>
        <v>27724336.394958619</v>
      </c>
      <c r="M1106" s="344"/>
      <c r="N1106" s="342"/>
      <c r="O1106" s="345"/>
      <c r="P1106" s="344">
        <f ca="1">P1104+P1105</f>
        <v>996460.3817379562</v>
      </c>
      <c r="Q1106" s="344"/>
      <c r="R1106" s="342"/>
      <c r="S1106" s="345"/>
      <c r="T1106" s="344">
        <f ca="1">T1104+T1105</f>
        <v>5294565.0369332684</v>
      </c>
      <c r="U1106" s="344"/>
      <c r="V1106" s="342"/>
      <c r="W1106" s="345"/>
      <c r="X1106" s="344">
        <f ca="1">X1104+X1105</f>
        <v>21433310.976287395</v>
      </c>
      <c r="Y1106" s="784" t="s">
        <v>364</v>
      </c>
      <c r="Z1106" s="809">
        <f ca="1">'Rate Spread targets'!Q28*1000</f>
        <v>27724337.899108935</v>
      </c>
      <c r="AA1106" s="818">
        <f ca="1">'Rate Spread targets'!V28-0.0009</f>
        <v>0.11071184241398938</v>
      </c>
      <c r="AB1106" s="777"/>
      <c r="AC1106" s="801" t="s">
        <v>31</v>
      </c>
      <c r="AD1106" s="20"/>
      <c r="AE1106" s="20"/>
      <c r="AF1106" s="20"/>
      <c r="AG1106" s="20"/>
      <c r="AH1106" s="20"/>
      <c r="AI1106" s="20"/>
      <c r="AJ1106" s="20"/>
      <c r="AK1106" s="20"/>
      <c r="AL1106" s="20"/>
      <c r="AM1106" s="20"/>
      <c r="AN1106" s="20"/>
      <c r="AO1106" s="20"/>
      <c r="AP1106" s="20"/>
      <c r="AQ1106" s="20"/>
      <c r="AR1106" s="20"/>
      <c r="AS1106" s="20"/>
    </row>
    <row r="1107" spans="1:45" ht="16.5" thickTop="1">
      <c r="A1107" s="1"/>
      <c r="B1107" s="1"/>
      <c r="C1107" s="21"/>
      <c r="D1107" s="337" t="s">
        <v>31</v>
      </c>
      <c r="E1107" s="2"/>
      <c r="F1107" s="380" t="s">
        <v>31</v>
      </c>
      <c r="G1107" s="337" t="s">
        <v>31</v>
      </c>
      <c r="H1107" s="1"/>
      <c r="I1107" s="2"/>
      <c r="J1107" s="353" t="s">
        <v>31</v>
      </c>
      <c r="K1107" s="1"/>
      <c r="L1107" s="2" t="s">
        <v>31</v>
      </c>
      <c r="M1107" s="2"/>
      <c r="N1107" s="353" t="s">
        <v>31</v>
      </c>
      <c r="O1107" s="1"/>
      <c r="P1107" s="2" t="s">
        <v>31</v>
      </c>
      <c r="Q1107" s="2"/>
      <c r="R1107" s="353" t="s">
        <v>31</v>
      </c>
      <c r="S1107" s="1"/>
      <c r="T1107" s="2" t="s">
        <v>31</v>
      </c>
      <c r="U1107" s="2"/>
      <c r="V1107" s="353" t="s">
        <v>31</v>
      </c>
      <c r="W1107" s="1"/>
      <c r="X1107" s="2" t="s">
        <v>31</v>
      </c>
      <c r="Y1107" s="112" t="s">
        <v>263</v>
      </c>
      <c r="Z1107" s="812">
        <f ca="1">Z1106-L1106</f>
        <v>1.504150316119194</v>
      </c>
      <c r="AA1107" s="785"/>
      <c r="AB1107" s="74"/>
      <c r="AC1107" s="20"/>
      <c r="AD1107" s="20"/>
      <c r="AE1107" s="20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</row>
    <row r="1108" spans="1:45" hidden="1">
      <c r="A1108" s="1"/>
      <c r="B1108" s="1"/>
      <c r="C1108" s="21"/>
      <c r="D1108" s="337"/>
      <c r="E1108" s="2"/>
      <c r="F1108" s="380"/>
      <c r="G1108" s="337"/>
      <c r="H1108" s="1"/>
      <c r="I1108" s="2"/>
      <c r="J1108" s="353"/>
      <c r="K1108" s="1"/>
      <c r="L1108" s="2"/>
      <c r="M1108" s="2"/>
      <c r="N1108" s="353"/>
      <c r="O1108" s="1"/>
      <c r="P1108" s="2"/>
      <c r="Q1108" s="2"/>
      <c r="R1108" s="353"/>
      <c r="S1108" s="1"/>
      <c r="T1108" s="2"/>
      <c r="U1108" s="2"/>
      <c r="V1108" s="353"/>
      <c r="W1108" s="1"/>
      <c r="X1108" s="2"/>
      <c r="Y1108" s="1579">
        <f>'Exh No.__(JRS-17) p11'!J38+'Exh No.__(JRS-17) p11'!K38+'Exh No.__(JRS-17) p11'!L38</f>
        <v>3.5941721653584904E-2</v>
      </c>
      <c r="Z1108" s="1579">
        <f>'Exh No.__(JRS-17) p11'!I38</f>
        <v>0.19097174992783705</v>
      </c>
      <c r="AA1108" s="1579">
        <f>'Exh No.__(JRS-17) p11'!H38</f>
        <v>0.77308652841857795</v>
      </c>
      <c r="AB1108" s="74"/>
      <c r="AC1108" s="20"/>
      <c r="AD1108" s="20"/>
      <c r="AE1108" s="20"/>
      <c r="AF1108" s="20"/>
      <c r="AG1108" s="20"/>
      <c r="AH1108" s="20"/>
      <c r="AI1108" s="20"/>
      <c r="AJ1108" s="20"/>
      <c r="AK1108" s="20"/>
      <c r="AL1108" s="20"/>
      <c r="AM1108" s="20"/>
      <c r="AN1108" s="20"/>
      <c r="AO1108" s="20"/>
      <c r="AP1108" s="20"/>
      <c r="AQ1108" s="20"/>
      <c r="AR1108" s="20"/>
      <c r="AS1108" s="20"/>
    </row>
    <row r="1109" spans="1:45" hidden="1">
      <c r="A1109" s="1"/>
      <c r="B1109" s="1"/>
      <c r="C1109" s="21"/>
      <c r="D1109" s="337"/>
      <c r="E1109" s="2"/>
      <c r="F1109" s="380"/>
      <c r="G1109" s="337"/>
      <c r="H1109" s="1"/>
      <c r="I1109" s="2"/>
      <c r="J1109" s="353"/>
      <c r="K1109" s="1"/>
      <c r="L1109" s="2"/>
      <c r="M1109" s="2"/>
      <c r="N1109" s="353"/>
      <c r="O1109" s="1"/>
      <c r="P1109" s="2"/>
      <c r="Q1109" s="2"/>
      <c r="R1109" s="353"/>
      <c r="S1109" s="1"/>
      <c r="T1109" s="2"/>
      <c r="U1109" s="2"/>
      <c r="V1109" s="353"/>
      <c r="W1109" s="1"/>
      <c r="X1109" s="2"/>
      <c r="Y1109" s="411">
        <f ca="1">Y1108*L1106</f>
        <v>996460.3817379562</v>
      </c>
      <c r="Z1109" s="411">
        <f ca="1">Z1108*L1106</f>
        <v>5294565.0369332684</v>
      </c>
      <c r="AA1109" s="411">
        <f ca="1">AA1108*L1106</f>
        <v>21433310.976287391</v>
      </c>
      <c r="AB1109" s="74" t="s">
        <v>958</v>
      </c>
      <c r="AC1109" s="20"/>
      <c r="AD1109" s="20"/>
      <c r="AE1109" s="20"/>
      <c r="AF1109" s="20"/>
      <c r="AG1109" s="20"/>
      <c r="AH1109" s="20"/>
      <c r="AI1109" s="20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</row>
    <row r="1110" spans="1:45">
      <c r="A1110" s="293" t="s">
        <v>482</v>
      </c>
      <c r="B1110" s="1"/>
      <c r="C1110" s="1"/>
      <c r="D1110" s="1"/>
      <c r="E1110" s="1"/>
      <c r="F1110" s="2"/>
      <c r="G1110" s="1"/>
      <c r="H1110" s="1"/>
      <c r="I1110" s="2"/>
      <c r="J1110" s="1"/>
      <c r="K1110" s="1"/>
      <c r="L1110" s="1"/>
      <c r="M1110" s="1"/>
      <c r="N1110" s="1"/>
      <c r="O1110" s="1"/>
      <c r="P1110" s="2" t="s">
        <v>31</v>
      </c>
      <c r="Q1110" s="1"/>
      <c r="R1110" s="1"/>
      <c r="S1110" s="1"/>
      <c r="T1110" s="2" t="s">
        <v>31</v>
      </c>
      <c r="U1110" s="1"/>
      <c r="V1110" s="1"/>
      <c r="W1110" s="1"/>
      <c r="X1110" s="2" t="s">
        <v>31</v>
      </c>
      <c r="Z1110" s="3"/>
      <c r="AA1110" s="3"/>
      <c r="AB1110" s="3"/>
      <c r="AC1110" s="20"/>
      <c r="AD1110" s="20"/>
      <c r="AE1110" s="20"/>
      <c r="AF1110" s="20"/>
      <c r="AG1110" s="20"/>
      <c r="AH1110" s="20"/>
      <c r="AI1110" s="20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</row>
    <row r="1111" spans="1:45">
      <c r="A1111" s="1" t="s">
        <v>591</v>
      </c>
      <c r="B1111" s="1"/>
      <c r="C1111" s="1"/>
      <c r="D1111" s="1"/>
      <c r="E1111" s="1"/>
      <c r="F1111" s="2"/>
      <c r="G1111" s="1"/>
      <c r="H1111" s="1"/>
      <c r="I1111" s="2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Z1111" s="3"/>
      <c r="AA1111" s="3"/>
      <c r="AB1111" s="278"/>
      <c r="AC1111" s="278"/>
      <c r="AD1111" s="278"/>
      <c r="AE1111" s="278"/>
      <c r="AF1111" s="278"/>
      <c r="AG1111" s="278"/>
      <c r="AH1111" s="278"/>
      <c r="AI1111" s="278"/>
      <c r="AJ1111" s="278"/>
      <c r="AK1111" s="278"/>
      <c r="AL1111" s="278"/>
      <c r="AM1111" s="278"/>
      <c r="AN1111" s="278"/>
      <c r="AO1111" s="20"/>
      <c r="AP1111" s="20"/>
      <c r="AQ1111" s="20"/>
      <c r="AR1111" s="20"/>
      <c r="AS1111" s="20"/>
    </row>
    <row r="1112" spans="1:45">
      <c r="A1112" s="1" t="s">
        <v>592</v>
      </c>
      <c r="B1112" s="1"/>
      <c r="C1112" s="1"/>
      <c r="D1112" s="1"/>
      <c r="E1112" s="1"/>
      <c r="F1112" s="2"/>
      <c r="G1112" s="1"/>
      <c r="H1112" s="1"/>
      <c r="I1112" s="2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278"/>
      <c r="Z1112" s="278"/>
      <c r="AA1112" s="411" t="s">
        <v>31</v>
      </c>
      <c r="AB1112" s="278"/>
      <c r="AC1112" s="278"/>
      <c r="AD1112" s="278"/>
      <c r="AE1112" s="278"/>
      <c r="AF1112" s="278"/>
      <c r="AG1112" s="278"/>
      <c r="AH1112" s="278"/>
      <c r="AI1112" s="278"/>
      <c r="AJ1112" s="278"/>
      <c r="AK1112" s="278"/>
      <c r="AL1112" s="278"/>
      <c r="AM1112" s="278"/>
      <c r="AN1112" s="278"/>
      <c r="AO1112" s="20"/>
      <c r="AP1112" s="20"/>
      <c r="AQ1112" s="20"/>
      <c r="AR1112" s="20"/>
      <c r="AS1112" s="20"/>
    </row>
    <row r="1113" spans="1:45">
      <c r="A1113" s="1" t="s">
        <v>484</v>
      </c>
      <c r="B1113" s="1"/>
      <c r="C1113" s="1"/>
      <c r="D1113" s="1"/>
      <c r="E1113" s="1"/>
      <c r="F1113" s="2"/>
      <c r="G1113" s="1"/>
      <c r="H1113" s="1"/>
      <c r="I1113" s="2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278"/>
      <c r="Z1113" s="278"/>
      <c r="AA1113" s="74"/>
      <c r="AB1113" s="74"/>
      <c r="AC1113" s="279"/>
      <c r="AD1113" s="279"/>
      <c r="AE1113" s="280"/>
      <c r="AF1113" s="280"/>
      <c r="AG1113" s="280"/>
      <c r="AH1113" s="280"/>
      <c r="AI1113" s="281"/>
      <c r="AJ1113" s="282"/>
      <c r="AK1113" s="278"/>
      <c r="AL1113" s="278"/>
      <c r="AM1113" s="278"/>
      <c r="AN1113" s="278"/>
      <c r="AO1113" s="20"/>
      <c r="AP1113" s="20"/>
      <c r="AQ1113" s="20"/>
      <c r="AR1113" s="20"/>
      <c r="AS1113" s="20"/>
    </row>
    <row r="1114" spans="1:45">
      <c r="A1114" s="3" t="s">
        <v>358</v>
      </c>
      <c r="C1114" s="264">
        <f>[55]Sheet1!$F$8</f>
        <v>14351.0304600299</v>
      </c>
      <c r="D1114" s="265">
        <v>8.4600000000000009</v>
      </c>
      <c r="F1114" s="2">
        <f t="shared" ref="F1114:F1123" si="249">ROUND(D1114*$C1114,0)</f>
        <v>121410</v>
      </c>
      <c r="G1114" s="265">
        <v>8.4600000000000009</v>
      </c>
      <c r="I1114" s="2">
        <f>ROUND(C1114*G1114,0)</f>
        <v>121410</v>
      </c>
      <c r="J1114" s="265">
        <f>'Rate Design Work'!J1112</f>
        <v>8.84</v>
      </c>
      <c r="L1114" s="2">
        <f>ROUND(J1114*$C1114,0)</f>
        <v>126863</v>
      </c>
      <c r="M1114" s="2"/>
      <c r="N1114" s="265">
        <f>'Rate Design Work'!N1112</f>
        <v>5.17</v>
      </c>
      <c r="P1114" s="2">
        <f>'Rate Design Work'!P1112</f>
        <v>74243.026537641359</v>
      </c>
      <c r="Q1114" s="2"/>
      <c r="R1114" s="265">
        <f>'Rate Design Work'!R1112</f>
        <v>0.72</v>
      </c>
      <c r="T1114" s="2">
        <f>'Rate Design Work'!T1112</f>
        <v>10399.584982016033</v>
      </c>
      <c r="U1114" s="2"/>
      <c r="V1114" s="265">
        <f>'Rate Design Work'!V1112</f>
        <v>2.9499999999999997</v>
      </c>
      <c r="X1114" s="2">
        <f>'Rate Design Work'!X1112</f>
        <v>42220.388480342619</v>
      </c>
      <c r="AA1114" s="281"/>
      <c r="AB1114" s="281"/>
      <c r="AC1114" s="74"/>
      <c r="AD1114" s="403"/>
      <c r="AE1114" s="403"/>
      <c r="AF1114" s="283"/>
      <c r="AG1114" s="283"/>
      <c r="AH1114" s="283"/>
      <c r="AI1114" s="284"/>
      <c r="AJ1114" s="278"/>
      <c r="AK1114" s="281"/>
      <c r="AL1114" s="281"/>
      <c r="AM1114" s="285"/>
      <c r="AN1114" s="281"/>
      <c r="AO1114" s="20"/>
      <c r="AP1114" s="20"/>
      <c r="AQ1114" s="20"/>
      <c r="AR1114" s="20"/>
      <c r="AS1114" s="20"/>
    </row>
    <row r="1115" spans="1:45">
      <c r="A1115" s="3" t="s">
        <v>485</v>
      </c>
      <c r="C1115" s="264">
        <f>[55]Sheet1!$F$2+[55]Sheet1!$F$4</f>
        <v>17709.609827367789</v>
      </c>
      <c r="D1115" s="265">
        <v>10.15</v>
      </c>
      <c r="F1115" s="2">
        <f t="shared" si="249"/>
        <v>179753</v>
      </c>
      <c r="G1115" s="265">
        <v>10.15</v>
      </c>
      <c r="I1115" s="2">
        <f t="shared" ref="I1115:I1136" si="250">ROUND(C1115*G1115,0)</f>
        <v>179753</v>
      </c>
      <c r="J1115" s="265">
        <f>'Rate Design Work'!J1113</f>
        <v>10.61</v>
      </c>
      <c r="L1115" s="2">
        <f t="shared" ref="L1115:L1133" si="251">ROUND(J1115*$C1115,0)</f>
        <v>187899</v>
      </c>
      <c r="M1115" s="2"/>
      <c r="N1115" s="265">
        <f>'Rate Design Work'!N1113</f>
        <v>6.21</v>
      </c>
      <c r="P1115" s="2">
        <f>'Rate Design Work'!P1113</f>
        <v>109962.64035531459</v>
      </c>
      <c r="Q1115" s="2"/>
      <c r="R1115" s="265">
        <f>'Rate Design Work'!R1113</f>
        <v>0.87</v>
      </c>
      <c r="T1115" s="2">
        <f>'Rate Design Work'!T1113</f>
        <v>15403.006538831896</v>
      </c>
      <c r="U1115" s="2"/>
      <c r="V1115" s="265">
        <f>'Rate Design Work'!V1113</f>
        <v>3.53</v>
      </c>
      <c r="X1115" s="2">
        <f>'Rate Design Work'!X1113</f>
        <v>62533.353105853545</v>
      </c>
      <c r="AA1115" s="281"/>
      <c r="AB1115" s="281"/>
      <c r="AC1115" s="74"/>
      <c r="AD1115" s="403"/>
      <c r="AE1115" s="403"/>
      <c r="AF1115" s="283"/>
      <c r="AG1115" s="283"/>
      <c r="AH1115" s="283"/>
      <c r="AI1115" s="278"/>
      <c r="AJ1115" s="278"/>
      <c r="AK1115" s="281"/>
      <c r="AL1115" s="281"/>
      <c r="AM1115" s="285"/>
      <c r="AN1115" s="281"/>
      <c r="AO1115" s="20"/>
      <c r="AP1115" s="20"/>
      <c r="AQ1115" s="20"/>
      <c r="AR1115" s="20"/>
      <c r="AS1115" s="20"/>
    </row>
    <row r="1116" spans="1:45">
      <c r="A1116" s="3" t="s">
        <v>594</v>
      </c>
      <c r="C1116" s="264">
        <v>0</v>
      </c>
      <c r="D1116" s="265">
        <v>32.24</v>
      </c>
      <c r="F1116" s="2">
        <f t="shared" si="249"/>
        <v>0</v>
      </c>
      <c r="G1116" s="265">
        <v>32.24</v>
      </c>
      <c r="I1116" s="2">
        <f t="shared" si="250"/>
        <v>0</v>
      </c>
      <c r="J1116" s="265">
        <f>'Rate Design Work'!J1114</f>
        <v>33.700000000000003</v>
      </c>
      <c r="L1116" s="2">
        <f t="shared" si="251"/>
        <v>0</v>
      </c>
      <c r="M1116" s="2"/>
      <c r="N1116" s="265">
        <f>'Rate Design Work'!N1114</f>
        <v>19.72</v>
      </c>
      <c r="P1116" s="2">
        <f>'Rate Design Work'!P1114</f>
        <v>0</v>
      </c>
      <c r="Q1116" s="2"/>
      <c r="R1116" s="265">
        <f>'Rate Design Work'!R1114</f>
        <v>2.76</v>
      </c>
      <c r="T1116" s="2">
        <f>'Rate Design Work'!T1114</f>
        <v>0</v>
      </c>
      <c r="U1116" s="2"/>
      <c r="V1116" s="265">
        <f>'Rate Design Work'!V1114</f>
        <v>11.22</v>
      </c>
      <c r="X1116" s="2">
        <f>'Rate Design Work'!X1114</f>
        <v>0</v>
      </c>
      <c r="AA1116" s="281"/>
      <c r="AB1116" s="281"/>
      <c r="AC1116" s="74"/>
      <c r="AD1116" s="403"/>
      <c r="AE1116" s="403"/>
      <c r="AF1116" s="283"/>
      <c r="AG1116" s="283"/>
      <c r="AH1116" s="283"/>
      <c r="AI1116" s="278"/>
      <c r="AJ1116" s="278"/>
      <c r="AK1116" s="281"/>
      <c r="AL1116" s="281"/>
      <c r="AM1116" s="285"/>
      <c r="AN1116" s="281"/>
      <c r="AO1116" s="20"/>
      <c r="AP1116" s="20"/>
      <c r="AQ1116" s="20"/>
      <c r="AR1116" s="20"/>
      <c r="AS1116" s="20"/>
    </row>
    <row r="1117" spans="1:45">
      <c r="A1117" s="3" t="s">
        <v>595</v>
      </c>
      <c r="C1117" s="264">
        <v>0</v>
      </c>
      <c r="D1117" s="265">
        <v>25.07</v>
      </c>
      <c r="F1117" s="2">
        <f t="shared" si="249"/>
        <v>0</v>
      </c>
      <c r="G1117" s="265">
        <v>25.07</v>
      </c>
      <c r="I1117" s="2">
        <f t="shared" si="250"/>
        <v>0</v>
      </c>
      <c r="J1117" s="265">
        <f>'Rate Design Work'!J1115</f>
        <v>26.21</v>
      </c>
      <c r="L1117" s="2">
        <f t="shared" si="251"/>
        <v>0</v>
      </c>
      <c r="M1117" s="2"/>
      <c r="N1117" s="265">
        <f>'Rate Design Work'!N1115</f>
        <v>15.34</v>
      </c>
      <c r="P1117" s="2">
        <f>'Rate Design Work'!P1115</f>
        <v>0</v>
      </c>
      <c r="Q1117" s="2"/>
      <c r="R1117" s="265">
        <f>'Rate Design Work'!R1115</f>
        <v>2.15</v>
      </c>
      <c r="T1117" s="2">
        <f>'Rate Design Work'!T1115</f>
        <v>0</v>
      </c>
      <c r="U1117" s="2"/>
      <c r="V1117" s="265">
        <f>'Rate Design Work'!V1115</f>
        <v>8.7200000000000006</v>
      </c>
      <c r="X1117" s="2">
        <f>'Rate Design Work'!X1115</f>
        <v>0</v>
      </c>
      <c r="AA1117" s="281"/>
      <c r="AB1117" s="281"/>
      <c r="AC1117" s="74"/>
      <c r="AD1117" s="403"/>
      <c r="AE1117" s="403"/>
      <c r="AF1117" s="283"/>
      <c r="AG1117" s="283"/>
      <c r="AH1117" s="283"/>
      <c r="AI1117" s="278"/>
      <c r="AJ1117" s="278"/>
      <c r="AK1117" s="281"/>
      <c r="AL1117" s="281"/>
      <c r="AM1117" s="285"/>
      <c r="AN1117" s="281"/>
      <c r="AO1117" s="20"/>
      <c r="AP1117" s="20"/>
      <c r="AQ1117" s="20"/>
      <c r="AR1117" s="20"/>
      <c r="AS1117" s="20"/>
    </row>
    <row r="1118" spans="1:45">
      <c r="A1118" s="3" t="s">
        <v>589</v>
      </c>
      <c r="C1118" s="264">
        <f>[55]Sheet1!$F$6</f>
        <v>831.58410223590397</v>
      </c>
      <c r="D1118" s="265">
        <v>12.97</v>
      </c>
      <c r="F1118" s="2">
        <f t="shared" si="249"/>
        <v>10786</v>
      </c>
      <c r="G1118" s="265">
        <v>12.97</v>
      </c>
      <c r="I1118" s="2">
        <f t="shared" si="250"/>
        <v>10786</v>
      </c>
      <c r="J1118" s="265">
        <f>'Rate Design Work'!J1116</f>
        <v>13.56</v>
      </c>
      <c r="L1118" s="2">
        <f t="shared" si="251"/>
        <v>11276</v>
      </c>
      <c r="M1118" s="2"/>
      <c r="N1118" s="265">
        <f>'Rate Design Work'!N1116</f>
        <v>7.94</v>
      </c>
      <c r="P1118" s="2">
        <f>'Rate Design Work'!P1116</f>
        <v>6598.9639787679935</v>
      </c>
      <c r="Q1118" s="2"/>
      <c r="R1118" s="265">
        <f>'Rate Design Work'!R1116</f>
        <v>1.1100000000000001</v>
      </c>
      <c r="T1118" s="2">
        <f>'Rate Design Work'!T1116</f>
        <v>924.34926067657852</v>
      </c>
      <c r="U1118" s="2"/>
      <c r="V1118" s="265">
        <f>'Rate Design Work'!V1116</f>
        <v>4.51</v>
      </c>
      <c r="X1118" s="2">
        <f>'Rate Design Work'!X1116</f>
        <v>3752.6867605554285</v>
      </c>
      <c r="AA1118" s="281"/>
      <c r="AB1118" s="281"/>
      <c r="AC1118" s="74"/>
      <c r="AD1118" s="403"/>
      <c r="AE1118" s="403"/>
      <c r="AF1118" s="283"/>
      <c r="AG1118" s="283"/>
      <c r="AH1118" s="283"/>
      <c r="AI1118" s="278"/>
      <c r="AJ1118" s="278"/>
      <c r="AK1118" s="281"/>
      <c r="AL1118" s="281"/>
      <c r="AM1118" s="285"/>
      <c r="AN1118" s="281"/>
      <c r="AO1118" s="20"/>
      <c r="AP1118" s="20"/>
      <c r="AQ1118" s="20"/>
      <c r="AR1118" s="20"/>
      <c r="AS1118" s="20"/>
    </row>
    <row r="1119" spans="1:45">
      <c r="A1119" s="3" t="s">
        <v>596</v>
      </c>
      <c r="C1119" s="264">
        <v>0</v>
      </c>
      <c r="D1119" s="265">
        <v>33.4</v>
      </c>
      <c r="F1119" s="2">
        <f t="shared" si="249"/>
        <v>0</v>
      </c>
      <c r="G1119" s="265">
        <v>33.4</v>
      </c>
      <c r="I1119" s="2">
        <f t="shared" si="250"/>
        <v>0</v>
      </c>
      <c r="J1119" s="265">
        <f>'Rate Design Work'!J1117</f>
        <v>34.92</v>
      </c>
      <c r="L1119" s="2">
        <f t="shared" si="251"/>
        <v>0</v>
      </c>
      <c r="M1119" s="2"/>
      <c r="N1119" s="265">
        <f>'Rate Design Work'!N1117</f>
        <v>20.440000000000001</v>
      </c>
      <c r="P1119" s="2">
        <f>'Rate Design Work'!P1117</f>
        <v>0</v>
      </c>
      <c r="Q1119" s="2"/>
      <c r="R1119" s="265">
        <f>'Rate Design Work'!R1117</f>
        <v>2.86</v>
      </c>
      <c r="T1119" s="2">
        <f>'Rate Design Work'!T1117</f>
        <v>0</v>
      </c>
      <c r="U1119" s="2"/>
      <c r="V1119" s="265">
        <f>'Rate Design Work'!V1117</f>
        <v>11.62</v>
      </c>
      <c r="X1119" s="2">
        <f>'Rate Design Work'!X1117</f>
        <v>0</v>
      </c>
      <c r="AA1119" s="281"/>
      <c r="AB1119" s="281"/>
      <c r="AC1119" s="74"/>
      <c r="AD1119" s="403"/>
      <c r="AE1119" s="403"/>
      <c r="AF1119" s="283"/>
      <c r="AG1119" s="283"/>
      <c r="AH1119" s="283"/>
      <c r="AI1119" s="278"/>
      <c r="AJ1119" s="278"/>
      <c r="AK1119" s="281"/>
      <c r="AL1119" s="281"/>
      <c r="AM1119" s="285"/>
      <c r="AN1119" s="281"/>
      <c r="AO1119" s="20"/>
      <c r="AP1119" s="20"/>
      <c r="AQ1119" s="20"/>
      <c r="AR1119" s="20"/>
      <c r="AS1119" s="20"/>
    </row>
    <row r="1120" spans="1:45">
      <c r="A1120" s="3" t="s">
        <v>597</v>
      </c>
      <c r="C1120" s="264">
        <v>0</v>
      </c>
      <c r="D1120" s="265">
        <v>26.27</v>
      </c>
      <c r="F1120" s="2">
        <f t="shared" si="249"/>
        <v>0</v>
      </c>
      <c r="G1120" s="265">
        <v>26.27</v>
      </c>
      <c r="I1120" s="2">
        <f t="shared" si="250"/>
        <v>0</v>
      </c>
      <c r="J1120" s="265">
        <f>'Rate Design Work'!J1118</f>
        <v>27.46</v>
      </c>
      <c r="L1120" s="2">
        <f t="shared" si="251"/>
        <v>0</v>
      </c>
      <c r="M1120" s="2"/>
      <c r="N1120" s="265">
        <f>'Rate Design Work'!N1118</f>
        <v>16.07</v>
      </c>
      <c r="P1120" s="2">
        <f>'Rate Design Work'!P1118</f>
        <v>0</v>
      </c>
      <c r="Q1120" s="2"/>
      <c r="R1120" s="265">
        <f>'Rate Design Work'!R1118</f>
        <v>2.25</v>
      </c>
      <c r="T1120" s="2">
        <f>'Rate Design Work'!T1118</f>
        <v>0</v>
      </c>
      <c r="U1120" s="2"/>
      <c r="V1120" s="265">
        <f>'Rate Design Work'!V1118</f>
        <v>9.14</v>
      </c>
      <c r="X1120" s="2">
        <f>'Rate Design Work'!X1118</f>
        <v>0</v>
      </c>
      <c r="AA1120" s="281"/>
      <c r="AB1120" s="281"/>
      <c r="AC1120" s="74"/>
      <c r="AD1120" s="403"/>
      <c r="AE1120" s="403"/>
      <c r="AF1120" s="283"/>
      <c r="AG1120" s="283"/>
      <c r="AH1120" s="283"/>
      <c r="AI1120" s="278"/>
      <c r="AJ1120" s="278"/>
      <c r="AK1120" s="281"/>
      <c r="AL1120" s="281"/>
      <c r="AM1120" s="285"/>
      <c r="AN1120" s="281"/>
      <c r="AO1120" s="20"/>
      <c r="AP1120" s="20"/>
      <c r="AQ1120" s="20"/>
      <c r="AR1120" s="20"/>
      <c r="AS1120" s="20"/>
    </row>
    <row r="1121" spans="1:45">
      <c r="A1121" s="3" t="s">
        <v>359</v>
      </c>
      <c r="C1121" s="264">
        <f>[55]Sheet1!$F$9</f>
        <v>19415.719457651699</v>
      </c>
      <c r="D1121" s="265">
        <v>14.81</v>
      </c>
      <c r="F1121" s="2">
        <f t="shared" si="249"/>
        <v>287547</v>
      </c>
      <c r="G1121" s="265">
        <v>14.81</v>
      </c>
      <c r="I1121" s="2">
        <f t="shared" si="250"/>
        <v>287547</v>
      </c>
      <c r="J1121" s="265">
        <f>'Rate Design Work'!J1119</f>
        <v>15.48</v>
      </c>
      <c r="L1121" s="2">
        <f t="shared" si="251"/>
        <v>300555</v>
      </c>
      <c r="M1121" s="2"/>
      <c r="N1121" s="265">
        <f>'Rate Design Work'!N1119</f>
        <v>9.06</v>
      </c>
      <c r="P1121" s="2">
        <f>'Rate Design Work'!P1119</f>
        <v>175891.41704847591</v>
      </c>
      <c r="Q1121" s="2"/>
      <c r="R1121" s="265">
        <f>'Rate Design Work'!R1119</f>
        <v>1.27</v>
      </c>
      <c r="T1121" s="2">
        <f>'Rate Design Work'!T1119</f>
        <v>24637.973753338869</v>
      </c>
      <c r="U1121" s="2"/>
      <c r="V1121" s="265">
        <f>'Rate Design Work'!V1119</f>
        <v>5.15</v>
      </c>
      <c r="X1121" s="2">
        <f>'Rate Design Work'!X1119</f>
        <v>100025.60919818525</v>
      </c>
      <c r="AA1121" s="281"/>
      <c r="AB1121" s="281"/>
      <c r="AC1121" s="74"/>
      <c r="AD1121" s="403"/>
      <c r="AE1121" s="403"/>
      <c r="AF1121" s="283"/>
      <c r="AG1121" s="283"/>
      <c r="AH1121" s="283"/>
      <c r="AI1121" s="278"/>
      <c r="AJ1121" s="278"/>
      <c r="AK1121" s="281"/>
      <c r="AL1121" s="281"/>
      <c r="AM1121" s="285"/>
      <c r="AN1121" s="281"/>
      <c r="AO1121" s="20"/>
      <c r="AP1121" s="20"/>
      <c r="AQ1121" s="20"/>
      <c r="AR1121" s="20"/>
      <c r="AS1121" s="20"/>
    </row>
    <row r="1122" spans="1:45">
      <c r="A1122" s="3" t="s">
        <v>590</v>
      </c>
      <c r="C1122" s="264">
        <f>[55]Sheet1!$F$7</f>
        <v>1586.8222491951999</v>
      </c>
      <c r="D1122" s="265">
        <v>18.79</v>
      </c>
      <c r="F1122" s="2">
        <f t="shared" si="249"/>
        <v>29816</v>
      </c>
      <c r="G1122" s="265">
        <v>18.79</v>
      </c>
      <c r="I1122" s="2">
        <f t="shared" si="250"/>
        <v>29816</v>
      </c>
      <c r="J1122" s="265">
        <f>'Rate Design Work'!J1120</f>
        <v>19.64</v>
      </c>
      <c r="L1122" s="2">
        <f t="shared" si="251"/>
        <v>31165</v>
      </c>
      <c r="M1122" s="2"/>
      <c r="N1122" s="265">
        <f>'Rate Design Work'!N1120</f>
        <v>11.49</v>
      </c>
      <c r="P1122" s="2">
        <f>'Rate Design Work'!P1120</f>
        <v>18238.445583389901</v>
      </c>
      <c r="Q1122" s="2"/>
      <c r="R1122" s="265">
        <f>'Rate Design Work'!R1120</f>
        <v>1.61</v>
      </c>
      <c r="T1122" s="2">
        <f>'Rate Design Work'!T1120</f>
        <v>2554.7485552488092</v>
      </c>
      <c r="U1122" s="2"/>
      <c r="V1122" s="265">
        <f>'Rate Design Work'!V1120</f>
        <v>6.54</v>
      </c>
      <c r="X1122" s="2">
        <f>'Rate Design Work'!X1120</f>
        <v>10371.805861361294</v>
      </c>
      <c r="AA1122" s="281"/>
      <c r="AB1122" s="281"/>
      <c r="AC1122" s="74"/>
      <c r="AD1122" s="403"/>
      <c r="AE1122" s="403"/>
      <c r="AF1122" s="283"/>
      <c r="AG1122" s="283"/>
      <c r="AH1122" s="283"/>
      <c r="AI1122" s="278"/>
      <c r="AJ1122" s="278"/>
      <c r="AK1122" s="281"/>
      <c r="AL1122" s="281"/>
      <c r="AM1122" s="285"/>
      <c r="AN1122" s="281"/>
      <c r="AO1122" s="20"/>
      <c r="AP1122" s="20"/>
      <c r="AQ1122" s="20"/>
      <c r="AR1122" s="20"/>
      <c r="AS1122" s="20"/>
    </row>
    <row r="1123" spans="1:45">
      <c r="A1123" s="3" t="s">
        <v>360</v>
      </c>
      <c r="C1123" s="264">
        <f>[55]Sheet1!$F$3+[55]Sheet1!$F$5</f>
        <v>2398.8688877327099</v>
      </c>
      <c r="D1123" s="265">
        <v>24.8</v>
      </c>
      <c r="F1123" s="2">
        <f t="shared" si="249"/>
        <v>59492</v>
      </c>
      <c r="G1123" s="265">
        <v>24.8</v>
      </c>
      <c r="I1123" s="2">
        <f t="shared" si="250"/>
        <v>59492</v>
      </c>
      <c r="J1123" s="265">
        <f>'Rate Design Work'!J1121</f>
        <v>25.93</v>
      </c>
      <c r="L1123" s="2">
        <f>ROUND(J1123*$C1123,0)</f>
        <v>62203</v>
      </c>
      <c r="M1123" s="2"/>
      <c r="N1123" s="265">
        <f>'Rate Design Work'!N1121</f>
        <v>15.17</v>
      </c>
      <c r="P1123" s="2">
        <f>'Rate Design Work'!P1121</f>
        <v>36402.567964819573</v>
      </c>
      <c r="Q1123" s="2"/>
      <c r="R1123" s="265">
        <f>'Rate Design Work'!R1121</f>
        <v>2.13</v>
      </c>
      <c r="T1123" s="2">
        <f>'Rate Design Work'!T1121</f>
        <v>5099.0862949508</v>
      </c>
      <c r="U1123" s="2"/>
      <c r="V1123" s="265">
        <f>'Rate Design Work'!V1121</f>
        <v>8.6300000000000008</v>
      </c>
      <c r="X1123" s="2">
        <f>'Rate Design Work'!X1121</f>
        <v>20701.345740229634</v>
      </c>
      <c r="AA1123" s="281"/>
      <c r="AB1123" s="281"/>
      <c r="AC1123" s="74"/>
      <c r="AD1123" s="403"/>
      <c r="AE1123" s="403"/>
      <c r="AF1123" s="283"/>
      <c r="AG1123" s="283"/>
      <c r="AH1123" s="283"/>
      <c r="AI1123" s="278"/>
      <c r="AJ1123" s="278"/>
      <c r="AK1123" s="281"/>
      <c r="AL1123" s="281"/>
      <c r="AM1123" s="285"/>
      <c r="AN1123" s="281"/>
      <c r="AO1123" s="20"/>
      <c r="AP1123" s="20"/>
      <c r="AQ1123" s="20"/>
      <c r="AR1123" s="20"/>
      <c r="AS1123" s="20"/>
    </row>
    <row r="1124" spans="1:45">
      <c r="A1124" s="768" t="s">
        <v>1069</v>
      </c>
      <c r="C1124" s="264"/>
      <c r="D1124" s="265"/>
      <c r="F1124" s="2"/>
      <c r="G1124" s="265"/>
      <c r="I1124" s="2"/>
      <c r="J1124" s="265"/>
      <c r="L1124" s="2"/>
      <c r="M1124" s="2"/>
      <c r="N1124" s="265"/>
      <c r="P1124" s="2"/>
      <c r="Q1124" s="2"/>
      <c r="R1124" s="265"/>
      <c r="T1124" s="2"/>
      <c r="U1124" s="2"/>
      <c r="V1124" s="265"/>
      <c r="X1124" s="2"/>
      <c r="AA1124" s="281"/>
      <c r="AB1124" s="281"/>
      <c r="AC1124" s="74"/>
      <c r="AD1124" s="403"/>
      <c r="AE1124" s="403"/>
      <c r="AF1124" s="283"/>
      <c r="AG1124" s="283"/>
      <c r="AH1124" s="283"/>
      <c r="AI1124" s="278"/>
      <c r="AJ1124" s="278"/>
      <c r="AK1124" s="281"/>
      <c r="AL1124" s="281"/>
      <c r="AM1124" s="285"/>
      <c r="AN1124" s="281"/>
      <c r="AO1124" s="20"/>
      <c r="AP1124" s="20"/>
      <c r="AQ1124" s="20"/>
      <c r="AR1124" s="20"/>
      <c r="AS1124" s="20"/>
    </row>
    <row r="1125" spans="1:45">
      <c r="A1125" s="4" t="s">
        <v>1070</v>
      </c>
      <c r="C1125" s="264">
        <v>0</v>
      </c>
      <c r="D1125" s="265">
        <v>24.8</v>
      </c>
      <c r="F1125" s="2">
        <f t="shared" ref="F1125" si="252">ROUND(D1125*$C1125,0)</f>
        <v>0</v>
      </c>
      <c r="G1125" s="265">
        <v>9.35</v>
      </c>
      <c r="I1125" s="2">
        <f t="shared" ref="I1125" si="253">ROUND(C1125*G1125,0)</f>
        <v>0</v>
      </c>
      <c r="J1125" s="265">
        <f>'Rate Design Work'!J1123</f>
        <v>9.77</v>
      </c>
      <c r="L1125" s="2">
        <f>ROUND(J1125*$C1125,0)</f>
        <v>0</v>
      </c>
      <c r="M1125" s="2"/>
      <c r="N1125" s="265">
        <f>'Rate Design Work'!N1123</f>
        <v>5.72</v>
      </c>
      <c r="P1125" s="2">
        <f>'Rate Design Work'!P1123</f>
        <v>0</v>
      </c>
      <c r="Q1125" s="2"/>
      <c r="R1125" s="265">
        <f>'Rate Design Work'!R1123</f>
        <v>0.8</v>
      </c>
      <c r="T1125" s="2">
        <f>'Rate Design Work'!T1123</f>
        <v>0</v>
      </c>
      <c r="U1125" s="2"/>
      <c r="V1125" s="265">
        <f>'Rate Design Work'!V1123</f>
        <v>3.25</v>
      </c>
      <c r="X1125" s="2">
        <f>'Rate Design Work'!X1123</f>
        <v>0</v>
      </c>
      <c r="AA1125" s="281"/>
      <c r="AB1125" s="281"/>
      <c r="AC1125" s="74"/>
      <c r="AD1125" s="403"/>
      <c r="AE1125" s="403"/>
      <c r="AF1125" s="283"/>
      <c r="AG1125" s="283"/>
      <c r="AH1125" s="283"/>
      <c r="AI1125" s="278"/>
      <c r="AJ1125" s="278"/>
      <c r="AK1125" s="281"/>
      <c r="AL1125" s="281"/>
      <c r="AM1125" s="285"/>
      <c r="AN1125" s="281"/>
      <c r="AO1125" s="20"/>
      <c r="AP1125" s="20"/>
      <c r="AQ1125" s="20"/>
      <c r="AR1125" s="20"/>
      <c r="AS1125" s="20"/>
    </row>
    <row r="1126" spans="1:45">
      <c r="A1126" s="4" t="s">
        <v>1071</v>
      </c>
      <c r="C1126" s="264">
        <v>0</v>
      </c>
      <c r="D1126" s="265">
        <v>24.8</v>
      </c>
      <c r="F1126" s="2">
        <f t="shared" ref="F1126" si="254">ROUND(D1126*$C1126,0)</f>
        <v>0</v>
      </c>
      <c r="G1126" s="265">
        <v>11.79</v>
      </c>
      <c r="I1126" s="2">
        <f t="shared" ref="I1126" si="255">ROUND(C1126*G1126,0)</f>
        <v>0</v>
      </c>
      <c r="J1126" s="265">
        <f>'Rate Design Work'!J1124</f>
        <v>12.33</v>
      </c>
      <c r="L1126" s="2">
        <f>ROUND(J1126*$C1126,0)</f>
        <v>0</v>
      </c>
      <c r="M1126" s="2"/>
      <c r="N1126" s="265">
        <f>'Rate Design Work'!N1124</f>
        <v>7.22</v>
      </c>
      <c r="P1126" s="2">
        <f>'Rate Design Work'!P1124</f>
        <v>0</v>
      </c>
      <c r="Q1126" s="2"/>
      <c r="R1126" s="265">
        <f>'Rate Design Work'!R1124</f>
        <v>1.01</v>
      </c>
      <c r="T1126" s="2">
        <f>'Rate Design Work'!T1124</f>
        <v>0</v>
      </c>
      <c r="U1126" s="2"/>
      <c r="V1126" s="265">
        <f>'Rate Design Work'!V1124</f>
        <v>4.0999999999999996</v>
      </c>
      <c r="X1126" s="2">
        <f>'Rate Design Work'!X1124</f>
        <v>0</v>
      </c>
      <c r="AA1126" s="281"/>
      <c r="AB1126" s="281"/>
      <c r="AC1126" s="74"/>
      <c r="AD1126" s="403"/>
      <c r="AE1126" s="403"/>
      <c r="AF1126" s="283"/>
      <c r="AG1126" s="283"/>
      <c r="AH1126" s="283"/>
      <c r="AI1126" s="278"/>
      <c r="AJ1126" s="278"/>
      <c r="AK1126" s="281"/>
      <c r="AL1126" s="281"/>
      <c r="AM1126" s="285"/>
      <c r="AN1126" s="281"/>
      <c r="AO1126" s="20"/>
      <c r="AP1126" s="20"/>
      <c r="AQ1126" s="20"/>
      <c r="AR1126" s="20"/>
      <c r="AS1126" s="20"/>
    </row>
    <row r="1127" spans="1:45">
      <c r="A1127" s="4" t="s">
        <v>1072</v>
      </c>
      <c r="C1127" s="264">
        <v>0</v>
      </c>
      <c r="D1127" s="265">
        <v>24.8</v>
      </c>
      <c r="F1127" s="2">
        <f t="shared" ref="F1127" si="256">ROUND(D1127*$C1127,0)</f>
        <v>0</v>
      </c>
      <c r="G1127" s="265">
        <v>19.600000000000001</v>
      </c>
      <c r="I1127" s="2">
        <f t="shared" ref="I1127" si="257">ROUND(C1127*G1127,0)</f>
        <v>0</v>
      </c>
      <c r="J1127" s="265">
        <f>'Rate Design Work'!J1125</f>
        <v>20.49</v>
      </c>
      <c r="L1127" s="2">
        <f>ROUND(J1127*$C1127,0)</f>
        <v>0</v>
      </c>
      <c r="M1127" s="2"/>
      <c r="N1127" s="265">
        <f>'Rate Design Work'!N1125</f>
        <v>11.99</v>
      </c>
      <c r="P1127" s="2">
        <f>'Rate Design Work'!P1125</f>
        <v>0</v>
      </c>
      <c r="Q1127" s="2"/>
      <c r="R1127" s="265">
        <f>'Rate Design Work'!R1125</f>
        <v>1.68</v>
      </c>
      <c r="T1127" s="2">
        <f>'Rate Design Work'!T1125</f>
        <v>0</v>
      </c>
      <c r="U1127" s="2"/>
      <c r="V1127" s="265">
        <f>'Rate Design Work'!V1125</f>
        <v>6.82</v>
      </c>
      <c r="X1127" s="2">
        <f>'Rate Design Work'!X1125</f>
        <v>0</v>
      </c>
      <c r="AA1127" s="281"/>
      <c r="AB1127" s="281"/>
      <c r="AC1127" s="74"/>
      <c r="AD1127" s="403"/>
      <c r="AE1127" s="403"/>
      <c r="AF1127" s="283"/>
      <c r="AG1127" s="283"/>
      <c r="AH1127" s="283"/>
      <c r="AI1127" s="278"/>
      <c r="AJ1127" s="278"/>
      <c r="AK1127" s="281"/>
      <c r="AL1127" s="281"/>
      <c r="AM1127" s="285"/>
      <c r="AN1127" s="281"/>
      <c r="AO1127" s="20"/>
      <c r="AP1127" s="20"/>
      <c r="AQ1127" s="20"/>
      <c r="AR1127" s="20"/>
      <c r="AS1127" s="20"/>
    </row>
    <row r="1128" spans="1:45">
      <c r="A1128" s="4" t="s">
        <v>1073</v>
      </c>
      <c r="C1128" s="264">
        <v>0</v>
      </c>
      <c r="D1128" s="265">
        <v>24.8</v>
      </c>
      <c r="F1128" s="2">
        <f t="shared" ref="F1128" si="258">ROUND(D1128*$C1128,0)</f>
        <v>0</v>
      </c>
      <c r="G1128" s="265">
        <v>24.73</v>
      </c>
      <c r="I1128" s="2">
        <f t="shared" ref="I1128" si="259">ROUND(C1128*G1128,0)</f>
        <v>0</v>
      </c>
      <c r="J1128" s="265">
        <f>'Rate Design Work'!J1126</f>
        <v>25.85</v>
      </c>
      <c r="L1128" s="2">
        <f>ROUND(J1128*$C1128,0)</f>
        <v>0</v>
      </c>
      <c r="M1128" s="2"/>
      <c r="N1128" s="265">
        <f>'Rate Design Work'!N1126</f>
        <v>15.13</v>
      </c>
      <c r="P1128" s="2">
        <f>'Rate Design Work'!P1126</f>
        <v>0</v>
      </c>
      <c r="Q1128" s="2"/>
      <c r="R1128" s="265">
        <f>'Rate Design Work'!R1126</f>
        <v>2.12</v>
      </c>
      <c r="T1128" s="2">
        <f>'Rate Design Work'!T1126</f>
        <v>0</v>
      </c>
      <c r="U1128" s="2"/>
      <c r="V1128" s="265">
        <f>'Rate Design Work'!V1126</f>
        <v>8.6</v>
      </c>
      <c r="X1128" s="2">
        <f>'Rate Design Work'!X1126</f>
        <v>0</v>
      </c>
      <c r="AA1128" s="281"/>
      <c r="AB1128" s="281"/>
      <c r="AC1128" s="74"/>
      <c r="AD1128" s="403"/>
      <c r="AE1128" s="403"/>
      <c r="AF1128" s="283"/>
      <c r="AG1128" s="283"/>
      <c r="AH1128" s="283"/>
      <c r="AI1128" s="278"/>
      <c r="AJ1128" s="278"/>
      <c r="AK1128" s="281"/>
      <c r="AL1128" s="281"/>
      <c r="AM1128" s="285"/>
      <c r="AN1128" s="281"/>
      <c r="AO1128" s="20"/>
      <c r="AP1128" s="20"/>
      <c r="AQ1128" s="20"/>
      <c r="AR1128" s="20"/>
      <c r="AS1128" s="20"/>
    </row>
    <row r="1129" spans="1:45">
      <c r="A1129" s="3" t="s">
        <v>593</v>
      </c>
      <c r="C1129" s="264"/>
      <c r="D1129" s="265"/>
      <c r="F1129" s="2"/>
      <c r="G1129" s="265"/>
      <c r="I1129" s="2"/>
      <c r="J1129" s="265"/>
      <c r="L1129" s="2"/>
      <c r="M1129" s="2"/>
      <c r="N1129" s="265"/>
      <c r="P1129" s="2"/>
      <c r="Q1129" s="2"/>
      <c r="R1129" s="265"/>
      <c r="T1129" s="2"/>
      <c r="U1129" s="2"/>
      <c r="V1129" s="265"/>
      <c r="X1129" s="2"/>
      <c r="AA1129" s="281"/>
      <c r="AB1129" s="281"/>
      <c r="AC1129" s="74"/>
      <c r="AD1129" s="403"/>
      <c r="AE1129" s="403"/>
      <c r="AF1129" s="283"/>
      <c r="AG1129" s="283"/>
      <c r="AH1129" s="283"/>
      <c r="AI1129" s="278"/>
      <c r="AJ1129" s="278"/>
      <c r="AK1129" s="281"/>
      <c r="AL1129" s="281"/>
      <c r="AM1129" s="285"/>
      <c r="AN1129" s="281"/>
      <c r="AO1129" s="20"/>
      <c r="AP1129" s="20"/>
      <c r="AQ1129" s="20"/>
      <c r="AR1129" s="20"/>
      <c r="AS1129" s="20"/>
    </row>
    <row r="1130" spans="1:45">
      <c r="A1130" s="3" t="s">
        <v>598</v>
      </c>
      <c r="C1130" s="264">
        <v>0</v>
      </c>
      <c r="D1130" s="265">
        <v>30.92</v>
      </c>
      <c r="F1130" s="2">
        <f t="shared" ref="F1130:F1136" si="260">ROUND(D1130*$C1130,0)</f>
        <v>0</v>
      </c>
      <c r="G1130" s="265">
        <v>30.92</v>
      </c>
      <c r="I1130" s="2">
        <f t="shared" si="250"/>
        <v>0</v>
      </c>
      <c r="J1130" s="265">
        <f>'Rate Design Work'!J1128</f>
        <v>32.32</v>
      </c>
      <c r="L1130" s="2">
        <f>ROUND(J1130*$C1130,0)</f>
        <v>0</v>
      </c>
      <c r="M1130" s="2"/>
      <c r="N1130" s="265">
        <f>'Rate Design Work'!N1128</f>
        <v>18.91</v>
      </c>
      <c r="P1130" s="2">
        <f>'Rate Design Work'!P1128</f>
        <v>0</v>
      </c>
      <c r="Q1130" s="2"/>
      <c r="R1130" s="265">
        <f>'Rate Design Work'!R1128</f>
        <v>2.65</v>
      </c>
      <c r="T1130" s="2">
        <f>'Rate Design Work'!T1128</f>
        <v>0</v>
      </c>
      <c r="U1130" s="2"/>
      <c r="V1130" s="265">
        <f>'Rate Design Work'!V1128</f>
        <v>10.76</v>
      </c>
      <c r="X1130" s="2">
        <f>'Rate Design Work'!X1128</f>
        <v>0</v>
      </c>
      <c r="AA1130" s="281"/>
      <c r="AB1130" s="281"/>
      <c r="AC1130" s="74"/>
      <c r="AD1130" s="403"/>
      <c r="AE1130" s="403"/>
      <c r="AF1130" s="283"/>
      <c r="AG1130" s="283"/>
      <c r="AH1130" s="283"/>
      <c r="AI1130" s="278"/>
      <c r="AJ1130" s="278"/>
      <c r="AK1130" s="281"/>
      <c r="AL1130" s="281"/>
      <c r="AM1130" s="285"/>
      <c r="AN1130" s="281"/>
      <c r="AO1130" s="20"/>
      <c r="AP1130" s="20"/>
      <c r="AQ1130" s="20"/>
      <c r="AR1130" s="20"/>
      <c r="AS1130" s="20"/>
    </row>
    <row r="1131" spans="1:45">
      <c r="A1131" s="3" t="s">
        <v>599</v>
      </c>
      <c r="C1131" s="264">
        <v>0</v>
      </c>
      <c r="D1131" s="265">
        <v>25.79</v>
      </c>
      <c r="F1131" s="2">
        <f t="shared" si="260"/>
        <v>0</v>
      </c>
      <c r="G1131" s="265">
        <v>25.79</v>
      </c>
      <c r="I1131" s="2">
        <f t="shared" si="250"/>
        <v>0</v>
      </c>
      <c r="J1131" s="265">
        <f>'Rate Design Work'!J1129</f>
        <v>26.96</v>
      </c>
      <c r="L1131" s="2">
        <f t="shared" si="251"/>
        <v>0</v>
      </c>
      <c r="M1131" s="2"/>
      <c r="N1131" s="265">
        <f>'Rate Design Work'!N1129</f>
        <v>15.78</v>
      </c>
      <c r="P1131" s="2">
        <f>'Rate Design Work'!P1129</f>
        <v>0</v>
      </c>
      <c r="Q1131" s="2"/>
      <c r="R1131" s="265">
        <f>'Rate Design Work'!R1129</f>
        <v>2.21</v>
      </c>
      <c r="T1131" s="2">
        <f>'Rate Design Work'!T1129</f>
        <v>0</v>
      </c>
      <c r="U1131" s="2"/>
      <c r="V1131" s="265">
        <f>'Rate Design Work'!V1129</f>
        <v>8.9700000000000006</v>
      </c>
      <c r="X1131" s="2">
        <f>'Rate Design Work'!X1129</f>
        <v>0</v>
      </c>
      <c r="AA1131" s="281"/>
      <c r="AB1131" s="281"/>
      <c r="AC1131" s="74"/>
      <c r="AD1131" s="403"/>
      <c r="AE1131" s="403"/>
      <c r="AF1131" s="283"/>
      <c r="AG1131" s="283"/>
      <c r="AH1131" s="283"/>
      <c r="AI1131" s="278"/>
      <c r="AJ1131" s="278"/>
      <c r="AK1131" s="281"/>
      <c r="AL1131" s="281"/>
      <c r="AM1131" s="285"/>
      <c r="AN1131" s="281"/>
      <c r="AO1131" s="20"/>
      <c r="AP1131" s="20"/>
      <c r="AQ1131" s="20"/>
      <c r="AR1131" s="20"/>
      <c r="AS1131" s="20"/>
    </row>
    <row r="1132" spans="1:45">
      <c r="A1132" s="3" t="s">
        <v>600</v>
      </c>
      <c r="C1132" s="264">
        <v>0</v>
      </c>
      <c r="D1132" s="265">
        <v>23.77</v>
      </c>
      <c r="F1132" s="2">
        <f t="shared" si="260"/>
        <v>0</v>
      </c>
      <c r="G1132" s="265">
        <v>23.77</v>
      </c>
      <c r="I1132" s="2">
        <f t="shared" si="250"/>
        <v>0</v>
      </c>
      <c r="J1132" s="265">
        <f>'Rate Design Work'!J1130</f>
        <v>24.85</v>
      </c>
      <c r="L1132" s="2">
        <f>ROUND(J1132*$C1132,0)</f>
        <v>0</v>
      </c>
      <c r="M1132" s="2"/>
      <c r="N1132" s="265">
        <f>'Rate Design Work'!N1130</f>
        <v>14.54</v>
      </c>
      <c r="P1132" s="2">
        <f>'Rate Design Work'!P1130</f>
        <v>0</v>
      </c>
      <c r="Q1132" s="2"/>
      <c r="R1132" s="265">
        <f>'Rate Design Work'!R1130</f>
        <v>2.04</v>
      </c>
      <c r="T1132" s="2">
        <f>'Rate Design Work'!T1130</f>
        <v>0</v>
      </c>
      <c r="U1132" s="2"/>
      <c r="V1132" s="265">
        <f>'Rate Design Work'!V1130</f>
        <v>8.27</v>
      </c>
      <c r="X1132" s="2">
        <f>'Rate Design Work'!X1130</f>
        <v>0</v>
      </c>
      <c r="AA1132" s="281"/>
      <c r="AB1132" s="281"/>
      <c r="AC1132" s="74"/>
      <c r="AD1132" s="403"/>
      <c r="AE1132" s="403"/>
      <c r="AF1132" s="283"/>
      <c r="AG1132" s="283"/>
      <c r="AH1132" s="283"/>
      <c r="AI1132" s="278"/>
      <c r="AJ1132" s="278"/>
      <c r="AK1132" s="281"/>
      <c r="AL1132" s="281"/>
      <c r="AM1132" s="285"/>
      <c r="AN1132" s="281"/>
      <c r="AO1132" s="20"/>
      <c r="AP1132" s="20"/>
      <c r="AQ1132" s="20"/>
      <c r="AR1132" s="20"/>
      <c r="AS1132" s="20"/>
    </row>
    <row r="1133" spans="1:45">
      <c r="A1133" s="3" t="s">
        <v>601</v>
      </c>
      <c r="C1133" s="264">
        <v>0</v>
      </c>
      <c r="D1133" s="265">
        <v>34.74</v>
      </c>
      <c r="F1133" s="2">
        <f t="shared" si="260"/>
        <v>0</v>
      </c>
      <c r="G1133" s="265">
        <v>34.74</v>
      </c>
      <c r="I1133" s="2">
        <f t="shared" si="250"/>
        <v>0</v>
      </c>
      <c r="J1133" s="265">
        <f>'Rate Design Work'!J1131</f>
        <v>36.32</v>
      </c>
      <c r="L1133" s="2">
        <f t="shared" si="251"/>
        <v>0</v>
      </c>
      <c r="M1133" s="2"/>
      <c r="N1133" s="265">
        <f>'Rate Design Work'!N1131</f>
        <v>21.26</v>
      </c>
      <c r="P1133" s="2">
        <f>'Rate Design Work'!P1131</f>
        <v>0</v>
      </c>
      <c r="Q1133" s="2"/>
      <c r="R1133" s="265">
        <f>'Rate Design Work'!R1131</f>
        <v>2.98</v>
      </c>
      <c r="T1133" s="2">
        <f>'Rate Design Work'!T1131</f>
        <v>0</v>
      </c>
      <c r="U1133" s="2"/>
      <c r="V1133" s="265">
        <f>'Rate Design Work'!V1131</f>
        <v>12.08</v>
      </c>
      <c r="X1133" s="2">
        <f>'Rate Design Work'!X1131</f>
        <v>0</v>
      </c>
      <c r="AA1133" s="281"/>
      <c r="AB1133" s="281"/>
      <c r="AC1133" s="74"/>
      <c r="AD1133" s="403"/>
      <c r="AE1133" s="403"/>
      <c r="AF1133" s="283"/>
      <c r="AG1133" s="283"/>
      <c r="AH1133" s="283"/>
      <c r="AI1133" s="278"/>
      <c r="AJ1133" s="278"/>
      <c r="AK1133" s="281"/>
      <c r="AL1133" s="281"/>
      <c r="AM1133" s="285"/>
      <c r="AN1133" s="281"/>
      <c r="AO1133" s="20"/>
      <c r="AP1133" s="20"/>
      <c r="AQ1133" s="20"/>
      <c r="AR1133" s="20"/>
      <c r="AS1133" s="20"/>
    </row>
    <row r="1134" spans="1:45">
      <c r="A1134" s="3" t="s">
        <v>602</v>
      </c>
      <c r="C1134" s="264">
        <v>0</v>
      </c>
      <c r="D1134" s="265">
        <v>27.97</v>
      </c>
      <c r="F1134" s="2">
        <f t="shared" si="260"/>
        <v>0</v>
      </c>
      <c r="G1134" s="265">
        <v>27.97</v>
      </c>
      <c r="I1134" s="2">
        <f t="shared" si="250"/>
        <v>0</v>
      </c>
      <c r="J1134" s="265">
        <f>'Rate Design Work'!J1132</f>
        <v>29.24</v>
      </c>
      <c r="L1134" s="2">
        <f>ROUND(J1134*$C1134,0)</f>
        <v>0</v>
      </c>
      <c r="M1134" s="2"/>
      <c r="N1134" s="265">
        <f>'Rate Design Work'!N1132</f>
        <v>17.11</v>
      </c>
      <c r="P1134" s="2">
        <f>'Rate Design Work'!P1132</f>
        <v>0</v>
      </c>
      <c r="Q1134" s="2"/>
      <c r="R1134" s="265">
        <f>'Rate Design Work'!R1132</f>
        <v>2.4</v>
      </c>
      <c r="T1134" s="2">
        <f>'Rate Design Work'!T1132</f>
        <v>0</v>
      </c>
      <c r="U1134" s="2"/>
      <c r="V1134" s="265">
        <f>'Rate Design Work'!V1132</f>
        <v>9.73</v>
      </c>
      <c r="X1134" s="2">
        <f>'Rate Design Work'!X1132</f>
        <v>0</v>
      </c>
      <c r="AA1134" s="281"/>
      <c r="AB1134" s="281"/>
      <c r="AC1134" s="74"/>
      <c r="AD1134" s="403"/>
      <c r="AE1134" s="403"/>
      <c r="AF1134" s="283"/>
      <c r="AG1134" s="283"/>
      <c r="AH1134" s="283"/>
      <c r="AI1134" s="278"/>
      <c r="AJ1134" s="278"/>
      <c r="AK1134" s="281"/>
      <c r="AL1134" s="281"/>
      <c r="AM1134" s="285"/>
      <c r="AN1134" s="281"/>
      <c r="AO1134" s="20"/>
      <c r="AP1134" s="20"/>
      <c r="AQ1134" s="20"/>
      <c r="AR1134" s="20"/>
      <c r="AS1134" s="20"/>
    </row>
    <row r="1135" spans="1:45">
      <c r="A1135" s="3" t="s">
        <v>603</v>
      </c>
      <c r="C1135" s="264">
        <v>0</v>
      </c>
      <c r="D1135" s="265">
        <v>27.49</v>
      </c>
      <c r="F1135" s="2">
        <f t="shared" si="260"/>
        <v>0</v>
      </c>
      <c r="G1135" s="265">
        <v>27.49</v>
      </c>
      <c r="I1135" s="2">
        <f t="shared" si="250"/>
        <v>0</v>
      </c>
      <c r="J1135" s="265">
        <f>'Rate Design Work'!J1133</f>
        <v>28.74</v>
      </c>
      <c r="L1135" s="2">
        <f>ROUND(J1135*$C1135,0)</f>
        <v>0</v>
      </c>
      <c r="M1135" s="2"/>
      <c r="N1135" s="265">
        <f>'Rate Design Work'!N1133</f>
        <v>16.82</v>
      </c>
      <c r="P1135" s="2">
        <f>'Rate Design Work'!P1133</f>
        <v>0</v>
      </c>
      <c r="Q1135" s="2"/>
      <c r="R1135" s="265">
        <f>'Rate Design Work'!R1133</f>
        <v>2.36</v>
      </c>
      <c r="T1135" s="2">
        <f>'Rate Design Work'!T1133</f>
        <v>0</v>
      </c>
      <c r="U1135" s="2"/>
      <c r="V1135" s="265">
        <f>'Rate Design Work'!V1133</f>
        <v>9.56</v>
      </c>
      <c r="X1135" s="2">
        <f>'Rate Design Work'!X1133</f>
        <v>0</v>
      </c>
      <c r="AA1135" s="281"/>
      <c r="AB1135" s="281"/>
      <c r="AC1135" s="74"/>
      <c r="AD1135" s="403"/>
      <c r="AE1135" s="403"/>
      <c r="AF1135" s="283"/>
      <c r="AG1135" s="283"/>
      <c r="AH1135" s="283"/>
      <c r="AI1135" s="278"/>
      <c r="AJ1135" s="278"/>
      <c r="AK1135" s="281"/>
      <c r="AL1135" s="281"/>
      <c r="AM1135" s="285"/>
      <c r="AN1135" s="281"/>
      <c r="AO1135" s="20"/>
      <c r="AP1135" s="20"/>
      <c r="AQ1135" s="20"/>
      <c r="AR1135" s="20"/>
      <c r="AS1135" s="20"/>
    </row>
    <row r="1136" spans="1:45">
      <c r="A1136" s="3" t="s">
        <v>604</v>
      </c>
      <c r="C1136" s="264">
        <v>0</v>
      </c>
      <c r="D1136" s="265">
        <v>29.93</v>
      </c>
      <c r="F1136" s="2">
        <f t="shared" si="260"/>
        <v>0</v>
      </c>
      <c r="G1136" s="265">
        <v>29.93</v>
      </c>
      <c r="I1136" s="2">
        <f t="shared" si="250"/>
        <v>0</v>
      </c>
      <c r="J1136" s="265">
        <f>'Rate Design Work'!J1134</f>
        <v>31.29</v>
      </c>
      <c r="L1136" s="2">
        <f>ROUND(J1136*$C1136,0)</f>
        <v>0</v>
      </c>
      <c r="M1136" s="2"/>
      <c r="N1136" s="265">
        <f>'Rate Design Work'!N1134</f>
        <v>18.309999999999999</v>
      </c>
      <c r="P1136" s="2">
        <f>'Rate Design Work'!P1134</f>
        <v>0</v>
      </c>
      <c r="Q1136" s="2"/>
      <c r="R1136" s="265">
        <f>'Rate Design Work'!R1134</f>
        <v>2.56</v>
      </c>
      <c r="T1136" s="2">
        <f>'Rate Design Work'!T1134</f>
        <v>0</v>
      </c>
      <c r="U1136" s="2"/>
      <c r="V1136" s="265">
        <f>'Rate Design Work'!V1134</f>
        <v>10.42</v>
      </c>
      <c r="X1136" s="2">
        <f>'Rate Design Work'!X1134</f>
        <v>0</v>
      </c>
      <c r="AA1136" s="281"/>
      <c r="AB1136" s="281"/>
      <c r="AC1136" s="74"/>
      <c r="AD1136" s="403"/>
      <c r="AE1136" s="403"/>
      <c r="AF1136" s="283"/>
      <c r="AG1136" s="283"/>
      <c r="AH1136" s="283"/>
      <c r="AI1136" s="278"/>
      <c r="AJ1136" s="278"/>
      <c r="AK1136" s="281"/>
      <c r="AL1136" s="281"/>
      <c r="AM1136" s="285"/>
      <c r="AN1136" s="281"/>
      <c r="AO1136" s="20"/>
      <c r="AP1136" s="20"/>
      <c r="AQ1136" s="20"/>
      <c r="AR1136" s="20"/>
      <c r="AS1136" s="20"/>
    </row>
    <row r="1137" spans="1:47">
      <c r="A1137" s="3" t="s">
        <v>362</v>
      </c>
      <c r="C1137" s="264">
        <f>[55]Sheet1!$M$11*12</f>
        <v>1956</v>
      </c>
      <c r="D1137" s="265"/>
      <c r="F1137" s="2"/>
      <c r="G1137" s="265"/>
      <c r="I1137" s="2"/>
      <c r="J1137" s="265"/>
      <c r="L1137" s="2"/>
      <c r="M1137" s="2"/>
      <c r="N1137" s="265"/>
      <c r="P1137" s="2"/>
      <c r="Q1137" s="2"/>
      <c r="R1137" s="265"/>
      <c r="T1137" s="2"/>
      <c r="U1137" s="2"/>
      <c r="V1137" s="265"/>
      <c r="X1137" s="2"/>
      <c r="AA1137" s="281"/>
      <c r="AB1137" s="281"/>
      <c r="AC1137" s="74"/>
      <c r="AD1137" s="403"/>
      <c r="AE1137" s="403"/>
      <c r="AF1137" s="283"/>
      <c r="AG1137" s="283"/>
      <c r="AH1137" s="283"/>
      <c r="AI1137" s="278"/>
      <c r="AJ1137" s="278"/>
      <c r="AK1137" s="281"/>
      <c r="AL1137" s="281"/>
      <c r="AM1137" s="281"/>
      <c r="AN1137" s="281"/>
      <c r="AO1137" s="20"/>
      <c r="AP1137" s="20"/>
      <c r="AQ1137" s="20"/>
      <c r="AR1137" s="20"/>
      <c r="AS1137" s="20"/>
    </row>
    <row r="1138" spans="1:47" s="1184" customFormat="1">
      <c r="A1138" s="1005" t="s">
        <v>1064</v>
      </c>
      <c r="C1138" s="1202">
        <f>C1139</f>
        <v>3532347.7960070018</v>
      </c>
      <c r="D1138" s="269"/>
      <c r="E1138" s="1185"/>
      <c r="F1138" s="1203"/>
      <c r="G1138" s="269"/>
      <c r="H1138" s="1185"/>
      <c r="I1138" s="1203"/>
      <c r="J1138" s="1230">
        <f>'Rate Design Work'!J1136</f>
        <v>0</v>
      </c>
      <c r="K1138" s="1041" t="s">
        <v>374</v>
      </c>
      <c r="L1138" s="1041">
        <f>ROUND(J1138*$C1138/100,0)</f>
        <v>0</v>
      </c>
      <c r="M1138" s="1041"/>
      <c r="N1138" s="1230" t="str">
        <f>'Rate Design Work'!N1136</f>
        <v xml:space="preserve"> </v>
      </c>
      <c r="O1138" s="1219" t="s">
        <v>31</v>
      </c>
      <c r="P1138" s="2">
        <f>'Rate Design Work'!P1136</f>
        <v>0</v>
      </c>
      <c r="Q1138" s="1203"/>
      <c r="R1138" s="1230" t="str">
        <f>'Rate Design Work'!R1136</f>
        <v xml:space="preserve"> </v>
      </c>
      <c r="S1138" s="1219" t="s">
        <v>31</v>
      </c>
      <c r="T1138" s="2">
        <f>'Rate Design Work'!T1136</f>
        <v>0</v>
      </c>
      <c r="U1138" s="1203"/>
      <c r="V1138" s="1230">
        <f>'Rate Design Work'!V1136</f>
        <v>0</v>
      </c>
      <c r="W1138" s="1219" t="s">
        <v>374</v>
      </c>
      <c r="X1138" s="2">
        <f>'Rate Design Work'!X1136</f>
        <v>0</v>
      </c>
      <c r="Y1138" s="1204">
        <f>'NPC Spread'!J51</f>
        <v>81344.211632389153</v>
      </c>
      <c r="Z1138" s="815" t="s">
        <v>913</v>
      </c>
      <c r="AC1138" s="1205"/>
      <c r="AD1138" s="1205"/>
      <c r="AI1138" s="1185"/>
      <c r="AJ1138" s="1185"/>
      <c r="AK1138" s="1185"/>
      <c r="AL1138" s="1185"/>
      <c r="AM1138" s="1185"/>
      <c r="AN1138" s="1185"/>
      <c r="AO1138" s="1185"/>
      <c r="AP1138" s="1185"/>
      <c r="AQ1138" s="1185"/>
      <c r="AR1138" s="1185"/>
      <c r="AS1138" s="1185"/>
      <c r="AU1138" s="1204"/>
    </row>
    <row r="1139" spans="1:47">
      <c r="A1139" s="3" t="s">
        <v>381</v>
      </c>
      <c r="C1139" s="264">
        <f>[55]Sheet1!$E$11</f>
        <v>3532347.7960070018</v>
      </c>
      <c r="D1139" s="269"/>
      <c r="E1139" s="20"/>
      <c r="F1139" s="272">
        <f>SUM(F1114:F1131)</f>
        <v>688804</v>
      </c>
      <c r="G1139" s="269"/>
      <c r="H1139" s="20"/>
      <c r="I1139" s="272">
        <f>SUM(I1114:I1136)</f>
        <v>688804</v>
      </c>
      <c r="J1139" s="269"/>
      <c r="K1139" s="20"/>
      <c r="L1139" s="272">
        <f>SUM(L1114:L1138)</f>
        <v>719961</v>
      </c>
      <c r="M1139" s="272"/>
      <c r="N1139" s="269"/>
      <c r="O1139" s="20"/>
      <c r="P1139" s="272">
        <f>SUM(P1114:P1138)</f>
        <v>421337.06146840932</v>
      </c>
      <c r="Q1139" s="272"/>
      <c r="R1139" s="269"/>
      <c r="S1139" s="20"/>
      <c r="T1139" s="272">
        <f>SUM(T1114:T1138)</f>
        <v>59018.749385062983</v>
      </c>
      <c r="U1139" s="272"/>
      <c r="V1139" s="269"/>
      <c r="W1139" s="20"/>
      <c r="X1139" s="272">
        <f>SUM(X1114:X1138)</f>
        <v>239605.18914652779</v>
      </c>
      <c r="AA1139" s="281"/>
      <c r="AB1139" s="281"/>
      <c r="AC1139" s="405"/>
      <c r="AD1139" s="20"/>
      <c r="AE1139" s="20"/>
      <c r="AF1139" s="287"/>
      <c r="AG1139" s="287"/>
      <c r="AH1139" s="287"/>
      <c r="AI1139" s="278"/>
      <c r="AJ1139" s="278"/>
      <c r="AK1139" s="288"/>
      <c r="AL1139" s="278"/>
      <c r="AM1139" s="278"/>
      <c r="AN1139" s="278"/>
      <c r="AO1139" s="20"/>
      <c r="AP1139" s="20"/>
      <c r="AQ1139" s="20"/>
      <c r="AR1139" s="20"/>
      <c r="AS1139" s="20"/>
    </row>
    <row r="1140" spans="1:47">
      <c r="A1140" s="3" t="s">
        <v>363</v>
      </c>
      <c r="C1140" s="264">
        <f>'Table 2'!H124</f>
        <v>-345752.19227076345</v>
      </c>
      <c r="D1140" s="269"/>
      <c r="E1140" s="20"/>
      <c r="F1140" s="272">
        <f>I1140</f>
        <v>-67823.106174674016</v>
      </c>
      <c r="G1140" s="269"/>
      <c r="H1140" s="20"/>
      <c r="I1140" s="272">
        <f>'Table 3'!E124</f>
        <v>-67823.106174674016</v>
      </c>
      <c r="J1140" s="269"/>
      <c r="K1140" s="20"/>
      <c r="L1140" s="272">
        <f>I1140</f>
        <v>-67823.106174674016</v>
      </c>
      <c r="M1140" s="272"/>
      <c r="N1140" s="269"/>
      <c r="O1140" s="20"/>
      <c r="P1140" s="272">
        <f>$L$1140*Y1145/($Y$1145+$Z$1145+$AA$1145)</f>
        <v>-39691.57809283708</v>
      </c>
      <c r="Q1140" s="51"/>
      <c r="R1140" s="309"/>
      <c r="S1140" s="309"/>
      <c r="T1140" s="272">
        <f>$L$1140*Z1145/($Y$1145+$Z$1145+$AA$1145)</f>
        <v>-5559.7940802899093</v>
      </c>
      <c r="U1140" s="51"/>
      <c r="V1140" s="309"/>
      <c r="W1140" s="309"/>
      <c r="X1140" s="272">
        <f>$L$1140*AA1145/($Y$1145+$Z$1145+$AA$1145)</f>
        <v>-22571.734001547029</v>
      </c>
      <c r="Y1140" s="289"/>
      <c r="AA1140" s="287"/>
      <c r="AB1140" s="287"/>
      <c r="AC1140" s="403"/>
      <c r="AD1140" s="20"/>
      <c r="AE1140" s="20"/>
      <c r="AF1140" s="20"/>
      <c r="AG1140" s="20"/>
      <c r="AH1140" s="20"/>
      <c r="AI1140" s="281"/>
      <c r="AJ1140" s="278"/>
      <c r="AK1140" s="20"/>
      <c r="AL1140" s="20"/>
      <c r="AM1140" s="20"/>
      <c r="AN1140" s="20"/>
      <c r="AO1140" s="20"/>
      <c r="AP1140" s="20"/>
      <c r="AQ1140" s="20"/>
      <c r="AR1140" s="20"/>
      <c r="AS1140" s="20"/>
    </row>
    <row r="1141" spans="1:47" ht="16.5" thickBot="1">
      <c r="A1141" s="3" t="s">
        <v>9</v>
      </c>
      <c r="C1141" s="273">
        <f>C1139+C1140</f>
        <v>3186595.6037362386</v>
      </c>
      <c r="D1141" s="274"/>
      <c r="E1141" s="274"/>
      <c r="F1141" s="274">
        <f>F1139+F1140</f>
        <v>620980.893825326</v>
      </c>
      <c r="G1141" s="312"/>
      <c r="H1141" s="312"/>
      <c r="I1141" s="274">
        <f>I1139+I1140</f>
        <v>620980.893825326</v>
      </c>
      <c r="J1141" s="312"/>
      <c r="K1141" s="312"/>
      <c r="L1141" s="274">
        <f>L1139+L1140</f>
        <v>652137.893825326</v>
      </c>
      <c r="M1141" s="312"/>
      <c r="N1141" s="312"/>
      <c r="O1141" s="274"/>
      <c r="P1141" s="274">
        <f>P1139+P1140</f>
        <v>381645.48337557225</v>
      </c>
      <c r="Q1141" s="312"/>
      <c r="R1141" s="312"/>
      <c r="S1141" s="274"/>
      <c r="T1141" s="274">
        <f>T1139+T1140</f>
        <v>53458.955304773073</v>
      </c>
      <c r="U1141" s="312"/>
      <c r="V1141" s="312"/>
      <c r="W1141" s="274"/>
      <c r="X1141" s="274">
        <f>X1139+X1140</f>
        <v>217033.45514498075</v>
      </c>
      <c r="Y1141" s="788" t="s">
        <v>409</v>
      </c>
      <c r="Z1141" s="817">
        <f ca="1">'Rate Spread targets'!Q36*1000</f>
        <v>651878.58234677941</v>
      </c>
      <c r="AA1141" s="1134">
        <f>(L1141-I1141)/I1141</f>
        <v>5.0173846425561795E-2</v>
      </c>
      <c r="AB1141" s="777"/>
      <c r="AI1141" s="278"/>
      <c r="AJ1141" s="278"/>
      <c r="AK1141" s="20"/>
      <c r="AL1141" s="20"/>
      <c r="AM1141" s="20"/>
      <c r="AN1141" s="20"/>
      <c r="AO1141" s="20"/>
      <c r="AP1141" s="20"/>
      <c r="AQ1141" s="20"/>
      <c r="AR1141" s="20"/>
      <c r="AS1141" s="20"/>
    </row>
    <row r="1142" spans="1:47" ht="16.5" thickTop="1">
      <c r="A1142" s="1677" t="s">
        <v>1063</v>
      </c>
      <c r="C1142" s="350"/>
      <c r="D1142" s="51"/>
      <c r="E1142" s="51"/>
      <c r="F1142" s="51"/>
      <c r="G1142" s="51"/>
      <c r="H1142" s="51"/>
      <c r="I1142" s="51"/>
      <c r="J1142" s="51"/>
      <c r="K1142" s="51"/>
      <c r="L1142" s="51"/>
      <c r="M1142" s="51"/>
      <c r="N1142" s="51"/>
      <c r="O1142" s="51"/>
      <c r="P1142" s="51"/>
      <c r="Q1142" s="51"/>
      <c r="R1142" s="51"/>
      <c r="S1142" s="51"/>
      <c r="T1142" s="51"/>
      <c r="U1142" s="51"/>
      <c r="V1142" s="51"/>
      <c r="W1142" s="51"/>
      <c r="X1142" s="51"/>
      <c r="Y1142" s="1678"/>
      <c r="Z1142" s="410"/>
      <c r="AA1142" s="1679"/>
      <c r="AB1142" s="777"/>
      <c r="AI1142" s="278"/>
      <c r="AJ1142" s="278"/>
      <c r="AK1142" s="20"/>
      <c r="AL1142" s="20"/>
      <c r="AM1142" s="20"/>
      <c r="AN1142" s="20"/>
      <c r="AO1142" s="20"/>
      <c r="AP1142" s="20"/>
      <c r="AQ1142" s="20"/>
      <c r="AR1142" s="20"/>
      <c r="AS1142" s="20"/>
    </row>
    <row r="1143" spans="1:47">
      <c r="C1143" s="350"/>
      <c r="D1143" s="51"/>
      <c r="E1143" s="51"/>
      <c r="F1143" s="51"/>
      <c r="G1143" s="51"/>
      <c r="H1143" s="51"/>
      <c r="I1143" s="51"/>
      <c r="J1143" s="51"/>
      <c r="K1143" s="51"/>
      <c r="L1143" s="51"/>
      <c r="M1143" s="51"/>
      <c r="N1143" s="51"/>
      <c r="O1143" s="51"/>
      <c r="P1143" s="51"/>
      <c r="Q1143" s="51"/>
      <c r="R1143" s="51"/>
      <c r="S1143" s="51"/>
      <c r="T1143" s="51"/>
      <c r="U1143" s="51"/>
      <c r="V1143" s="51"/>
      <c r="W1143" s="51"/>
      <c r="X1143" s="51" t="s">
        <v>31</v>
      </c>
      <c r="Y1143" s="789" t="s">
        <v>263</v>
      </c>
      <c r="Z1143" s="812">
        <f ca="1">Z1141-L1141</f>
        <v>-259.31147854658775</v>
      </c>
      <c r="AA1143" s="1135">
        <v>-0.13519999999999999</v>
      </c>
      <c r="AB1143" s="777"/>
      <c r="AI1143" s="278"/>
      <c r="AJ1143" s="278"/>
      <c r="AK1143" s="20"/>
      <c r="AL1143" s="20"/>
      <c r="AM1143" s="20"/>
      <c r="AN1143" s="20"/>
      <c r="AO1143" s="20"/>
      <c r="AP1143" s="20"/>
      <c r="AQ1143" s="20"/>
      <c r="AR1143" s="20"/>
      <c r="AS1143" s="20"/>
    </row>
    <row r="1144" spans="1:47" hidden="1">
      <c r="C1144" s="350"/>
      <c r="D1144" s="51"/>
      <c r="E1144" s="51"/>
      <c r="F1144" s="51"/>
      <c r="G1144" s="51"/>
      <c r="H1144" s="51"/>
      <c r="I1144" s="51"/>
      <c r="J1144" s="51"/>
      <c r="K1144" s="51"/>
      <c r="L1144" s="51"/>
      <c r="M1144" s="51"/>
      <c r="N1144" s="51"/>
      <c r="O1144" s="51"/>
      <c r="P1144" s="51"/>
      <c r="Q1144" s="51"/>
      <c r="R1144" s="51"/>
      <c r="S1144" s="51"/>
      <c r="T1144" s="51"/>
      <c r="U1144" s="51"/>
      <c r="V1144" s="51"/>
      <c r="W1144" s="51"/>
      <c r="X1144" s="51" t="s">
        <v>31</v>
      </c>
      <c r="Y1144" s="744">
        <f>Y30</f>
        <v>0.58522206267896359</v>
      </c>
      <c r="Z1144" s="744">
        <f>Z30</f>
        <v>8.1974925565500054E-2</v>
      </c>
      <c r="AA1144" s="744">
        <f>AA30</f>
        <v>0.33280301175553639</v>
      </c>
      <c r="AB1144" s="777"/>
      <c r="AI1144" s="278"/>
      <c r="AJ1144" s="278"/>
      <c r="AK1144" s="20"/>
      <c r="AL1144" s="20"/>
      <c r="AM1144" s="20"/>
      <c r="AN1144" s="20"/>
      <c r="AO1144" s="20"/>
      <c r="AP1144" s="20"/>
      <c r="AQ1144" s="20"/>
      <c r="AR1144" s="20"/>
      <c r="AS1144" s="20"/>
    </row>
    <row r="1145" spans="1:47" hidden="1">
      <c r="C1145" s="350"/>
      <c r="D1145" s="51"/>
      <c r="E1145" s="51"/>
      <c r="F1145" s="51"/>
      <c r="G1145" s="51"/>
      <c r="H1145" s="51"/>
      <c r="I1145" s="51"/>
      <c r="J1145" s="51"/>
      <c r="K1145" s="51"/>
      <c r="L1145" s="51"/>
      <c r="M1145" s="51"/>
      <c r="N1145" s="51"/>
      <c r="O1145" s="51"/>
      <c r="P1145" s="51"/>
      <c r="Q1145" s="51"/>
      <c r="R1145" s="51"/>
      <c r="S1145" s="51"/>
      <c r="T1145" s="51"/>
      <c r="U1145" s="51"/>
      <c r="V1145" s="51"/>
      <c r="W1145" s="51"/>
      <c r="X1145" s="51"/>
      <c r="Y1145" s="416">
        <f>L1141*Y1144</f>
        <v>381645.48337557225</v>
      </c>
      <c r="Z1145" s="416">
        <f>L1141*Z1144</f>
        <v>53458.955304773073</v>
      </c>
      <c r="AA1145" s="416">
        <f>L1141*AA1144</f>
        <v>217033.45514498072</v>
      </c>
      <c r="AB1145" s="777"/>
      <c r="AI1145" s="278"/>
      <c r="AJ1145" s="278"/>
      <c r="AK1145" s="20"/>
      <c r="AL1145" s="20"/>
      <c r="AM1145" s="20"/>
      <c r="AN1145" s="20"/>
      <c r="AO1145" s="20"/>
      <c r="AP1145" s="20"/>
      <c r="AQ1145" s="20"/>
      <c r="AR1145" s="20"/>
      <c r="AS1145" s="20"/>
    </row>
    <row r="1146" spans="1:47" hidden="1">
      <c r="A1146" s="1"/>
      <c r="B1146" s="1"/>
      <c r="C1146" s="21"/>
      <c r="D1146" s="21" t="s">
        <v>31</v>
      </c>
      <c r="E1146" s="21"/>
      <c r="F1146" s="2"/>
      <c r="G1146" s="21" t="s">
        <v>31</v>
      </c>
      <c r="H1146" s="21"/>
      <c r="I1146" s="2"/>
      <c r="J1146" s="21" t="s">
        <v>31</v>
      </c>
      <c r="K1146" s="21"/>
      <c r="L1146" s="2" t="s">
        <v>31</v>
      </c>
      <c r="M1146" s="2"/>
      <c r="N1146" s="21" t="s">
        <v>31</v>
      </c>
      <c r="O1146" s="21"/>
      <c r="P1146" s="2" t="s">
        <v>31</v>
      </c>
      <c r="Q1146" s="2"/>
      <c r="R1146" s="21" t="s">
        <v>31</v>
      </c>
      <c r="S1146" s="21"/>
      <c r="T1146" s="2" t="s">
        <v>31</v>
      </c>
      <c r="U1146" s="2"/>
      <c r="V1146" s="21" t="s">
        <v>31</v>
      </c>
      <c r="W1146" s="21"/>
      <c r="X1146" s="2" t="s">
        <v>31</v>
      </c>
      <c r="Z1146" s="3"/>
      <c r="AA1146" s="3"/>
      <c r="AB1146" s="241"/>
      <c r="AD1146" s="277"/>
      <c r="AE1146" s="277"/>
      <c r="AF1146" s="277"/>
      <c r="AG1146" s="277"/>
      <c r="AH1146" s="277"/>
      <c r="AI1146" s="278"/>
      <c r="AJ1146" s="278"/>
      <c r="AK1146" s="20"/>
      <c r="AL1146" s="20"/>
      <c r="AM1146" s="20"/>
      <c r="AN1146" s="20"/>
      <c r="AO1146" s="20"/>
      <c r="AP1146" s="20"/>
      <c r="AQ1146" s="20"/>
      <c r="AR1146" s="20"/>
      <c r="AS1146" s="20"/>
    </row>
    <row r="1147" spans="1:47">
      <c r="A1147" s="293" t="s">
        <v>486</v>
      </c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278"/>
      <c r="Z1147" s="287"/>
      <c r="AA1147" s="278"/>
      <c r="AB1147" s="278"/>
      <c r="AC1147" s="20"/>
      <c r="AD1147" s="20"/>
      <c r="AE1147" s="20"/>
      <c r="AF1147" s="20"/>
      <c r="AG1147" s="20"/>
      <c r="AH1147" s="20"/>
      <c r="AI1147" s="20"/>
      <c r="AJ1147" s="278"/>
      <c r="AK1147" s="278"/>
      <c r="AL1147" s="278"/>
      <c r="AM1147" s="278"/>
      <c r="AN1147" s="278"/>
      <c r="AO1147" s="20"/>
      <c r="AP1147" s="20"/>
      <c r="AQ1147" s="20"/>
      <c r="AR1147" s="20"/>
      <c r="AS1147" s="20"/>
    </row>
    <row r="1148" spans="1:47">
      <c r="A1148" s="1" t="s">
        <v>487</v>
      </c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20"/>
      <c r="Z1148" s="74"/>
      <c r="AA1148" s="74"/>
      <c r="AB1148" s="74"/>
      <c r="AC1148" s="20"/>
      <c r="AD1148" s="20"/>
      <c r="AE1148" s="20"/>
      <c r="AF1148" s="20"/>
      <c r="AG1148" s="20"/>
      <c r="AH1148" s="20"/>
      <c r="AI1148" s="20"/>
      <c r="AJ1148" s="278"/>
      <c r="AK1148" s="278"/>
      <c r="AL1148" s="278"/>
      <c r="AM1148" s="278"/>
      <c r="AN1148" s="278"/>
      <c r="AO1148" s="20"/>
      <c r="AP1148" s="20"/>
      <c r="AQ1148" s="20"/>
      <c r="AR1148" s="20"/>
      <c r="AS1148" s="20"/>
    </row>
    <row r="1149" spans="1:47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20"/>
      <c r="Z1149" s="74"/>
      <c r="AA1149" s="74" t="s">
        <v>31</v>
      </c>
      <c r="AB1149" s="74"/>
      <c r="AC1149" s="20"/>
      <c r="AD1149" s="20"/>
      <c r="AE1149" s="20"/>
      <c r="AF1149" s="20"/>
      <c r="AG1149" s="20"/>
      <c r="AH1149" s="20"/>
      <c r="AI1149" s="20"/>
      <c r="AJ1149" s="278"/>
      <c r="AK1149" s="278"/>
      <c r="AL1149" s="278"/>
      <c r="AM1149" s="278"/>
      <c r="AN1149" s="278"/>
      <c r="AO1149" s="20"/>
      <c r="AP1149" s="20"/>
      <c r="AQ1149" s="20"/>
      <c r="AR1149" s="20"/>
      <c r="AS1149" s="20"/>
    </row>
    <row r="1150" spans="1:47">
      <c r="A1150" s="1" t="s">
        <v>488</v>
      </c>
      <c r="B1150" s="1"/>
      <c r="C1150" s="21"/>
      <c r="D1150" s="298"/>
      <c r="E1150" s="1"/>
      <c r="F1150" s="412">
        <f>I1150</f>
        <v>19991.993064481801</v>
      </c>
      <c r="G1150" s="298"/>
      <c r="H1150" s="1"/>
      <c r="I1150" s="412">
        <f>[56]Sheet1!$J$2</f>
        <v>19991.993064481801</v>
      </c>
      <c r="J1150" s="298"/>
      <c r="K1150" s="1"/>
      <c r="L1150" s="2">
        <f>'Rate Design Work'!L1147</f>
        <v>19991.993064481801</v>
      </c>
      <c r="M1150" s="2"/>
      <c r="N1150" s="298"/>
      <c r="O1150" s="1"/>
      <c r="P1150" s="2">
        <f>L1150</f>
        <v>19991.993064481801</v>
      </c>
      <c r="Q1150" s="2"/>
      <c r="R1150" s="298"/>
      <c r="S1150" s="1"/>
      <c r="T1150" s="2" t="s">
        <v>31</v>
      </c>
      <c r="U1150" s="2"/>
      <c r="V1150" s="298"/>
      <c r="W1150" s="1"/>
      <c r="X1150" s="2" t="str">
        <f>T1150</f>
        <v xml:space="preserve"> </v>
      </c>
      <c r="Y1150" s="20"/>
      <c r="Z1150" s="74"/>
      <c r="AA1150" s="74" t="s">
        <v>31</v>
      </c>
      <c r="AB1150" s="74"/>
      <c r="AC1150" s="20"/>
      <c r="AD1150" s="20"/>
      <c r="AE1150" s="20"/>
      <c r="AF1150" s="20"/>
      <c r="AG1150" s="20"/>
      <c r="AH1150" s="20"/>
      <c r="AI1150" s="20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</row>
    <row r="1151" spans="1:47">
      <c r="A1151" s="1" t="s">
        <v>489</v>
      </c>
      <c r="B1151" s="1"/>
      <c r="C1151" s="264">
        <f>[56]Sheet1!$C$2</f>
        <v>219861.25205811099</v>
      </c>
      <c r="D1151" s="413">
        <v>7.8140000000000001</v>
      </c>
      <c r="E1151" s="1" t="s">
        <v>374</v>
      </c>
      <c r="F1151" s="414">
        <f>ROUND(C1151*D1151/100,0)</f>
        <v>17180</v>
      </c>
      <c r="G1151" s="382">
        <v>7.8140000000000001</v>
      </c>
      <c r="H1151" s="1" t="s">
        <v>374</v>
      </c>
      <c r="I1151" s="414">
        <f>ROUND(G1151*C1151/100,0)</f>
        <v>17180</v>
      </c>
      <c r="J1151" s="382">
        <f>'Rate Design Work'!J1148</f>
        <v>6.27</v>
      </c>
      <c r="K1151" s="1" t="s">
        <v>374</v>
      </c>
      <c r="L1151" s="2">
        <f>ROUND(J1151*$C1151/100,0)</f>
        <v>13785</v>
      </c>
      <c r="M1151" s="2"/>
      <c r="N1151" s="382">
        <f>'Rate Design Work'!N1148</f>
        <v>1.2453434907335099</v>
      </c>
      <c r="O1151" s="1" t="s">
        <v>374</v>
      </c>
      <c r="P1151" s="2">
        <f>'Rate Design Work'!P1148</f>
        <v>2738.0277911508801</v>
      </c>
      <c r="Q1151" s="2"/>
      <c r="R1151" s="382">
        <f>'Rate Design Work'!R1148</f>
        <v>1.4481430950752086</v>
      </c>
      <c r="S1151" s="1" t="s">
        <v>374</v>
      </c>
      <c r="T1151" s="2">
        <f>'Rate Design Work'!T1148</f>
        <v>3183.9055404254341</v>
      </c>
      <c r="U1151" s="2"/>
      <c r="V1151" s="382">
        <f>'Rate Design Work'!V1148</f>
        <v>3.5773767352445627</v>
      </c>
      <c r="W1151" s="1" t="s">
        <v>374</v>
      </c>
      <c r="X1151" s="2">
        <f>'Rate Design Work'!X1148</f>
        <v>7863.0666684236894</v>
      </c>
      <c r="Y1151" s="20"/>
      <c r="Z1151" s="74"/>
      <c r="AA1151" s="74"/>
      <c r="AB1151" s="74"/>
      <c r="AC1151" s="20"/>
      <c r="AD1151" s="20"/>
      <c r="AE1151" s="20"/>
      <c r="AF1151" s="20"/>
      <c r="AG1151" s="20"/>
      <c r="AH1151" s="20"/>
      <c r="AI1151" s="20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</row>
    <row r="1152" spans="1:47">
      <c r="A1152" s="1" t="s">
        <v>490</v>
      </c>
      <c r="B1152" s="1"/>
      <c r="C1152" s="264">
        <v>0</v>
      </c>
      <c r="D1152" s="382">
        <v>8.7439999999999998</v>
      </c>
      <c r="E1152" s="1" t="s">
        <v>374</v>
      </c>
      <c r="F1152" s="414">
        <f>ROUND(C1152*D1152/100,0)</f>
        <v>0</v>
      </c>
      <c r="G1152" s="382">
        <v>8.7439999999999998</v>
      </c>
      <c r="H1152" s="1" t="s">
        <v>374</v>
      </c>
      <c r="I1152" s="414">
        <f>ROUND(G1152*C1152/100,0)</f>
        <v>0</v>
      </c>
      <c r="J1152" s="382">
        <f>'Rate Design Work'!J1149</f>
        <v>7.016</v>
      </c>
      <c r="K1152" s="1" t="s">
        <v>374</v>
      </c>
      <c r="L1152" s="2">
        <f>ROUND(J1152*$C1152/100,0)</f>
        <v>0</v>
      </c>
      <c r="M1152" s="2"/>
      <c r="N1152" s="382">
        <f>'Rate Design Work'!N1149</f>
        <v>1.393513545611851</v>
      </c>
      <c r="O1152" s="1" t="s">
        <v>374</v>
      </c>
      <c r="P1152" s="2">
        <f>'Rate Design Work'!P1149</f>
        <v>0</v>
      </c>
      <c r="Q1152" s="2"/>
      <c r="R1152" s="382">
        <f>'Rate Design Work'!R1149</f>
        <v>1.6204420980937262</v>
      </c>
      <c r="S1152" s="1" t="s">
        <v>374</v>
      </c>
      <c r="T1152" s="2">
        <f>'Rate Design Work'!T1149</f>
        <v>0</v>
      </c>
      <c r="U1152" s="2"/>
      <c r="V1152" s="382">
        <f>'Rate Design Work'!V1149</f>
        <v>4.0020103946532455</v>
      </c>
      <c r="W1152" s="1" t="s">
        <v>374</v>
      </c>
      <c r="X1152" s="2">
        <f>'Rate Design Work'!X1149</f>
        <v>0</v>
      </c>
      <c r="Y1152" s="20"/>
      <c r="Z1152" s="74"/>
      <c r="AA1152" s="20"/>
      <c r="AB1152" s="20"/>
      <c r="AC1152" s="20"/>
      <c r="AD1152" s="20"/>
      <c r="AE1152" s="20"/>
      <c r="AF1152" s="20"/>
      <c r="AG1152" s="20"/>
      <c r="AH1152" s="20"/>
      <c r="AI1152" s="20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</row>
    <row r="1153" spans="1:47">
      <c r="A1153" s="1" t="s">
        <v>362</v>
      </c>
      <c r="B1153" s="1"/>
      <c r="C1153" s="264">
        <f>[56]Sheet1!$L$2*12</f>
        <v>180</v>
      </c>
      <c r="D1153" s="415"/>
      <c r="E1153" s="1"/>
      <c r="F1153" s="2"/>
      <c r="G1153" s="415"/>
      <c r="H1153" s="1"/>
      <c r="I1153" s="2"/>
      <c r="J1153" s="415"/>
      <c r="K1153" s="1"/>
      <c r="L1153" s="2"/>
      <c r="M1153" s="2"/>
      <c r="N1153" s="415"/>
      <c r="O1153" s="1"/>
      <c r="P1153" s="2"/>
      <c r="Q1153" s="2"/>
      <c r="R1153" s="415"/>
      <c r="S1153" s="1"/>
      <c r="T1153" s="2"/>
      <c r="U1153" s="2"/>
      <c r="V1153" s="415"/>
      <c r="W1153" s="1"/>
      <c r="X1153" s="2"/>
      <c r="Y1153" s="20"/>
      <c r="Z1153" s="74"/>
      <c r="AA1153" s="74"/>
      <c r="AB1153" s="74"/>
      <c r="AC1153" s="20"/>
      <c r="AD1153" s="20"/>
      <c r="AE1153" s="20"/>
      <c r="AF1153" s="20"/>
      <c r="AG1153" s="20"/>
      <c r="AH1153" s="20"/>
      <c r="AI1153" s="20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</row>
    <row r="1154" spans="1:47" s="1184" customFormat="1">
      <c r="A1154" s="1005" t="s">
        <v>1035</v>
      </c>
      <c r="C1154" s="1202">
        <f>C1156</f>
        <v>219861.25205811099</v>
      </c>
      <c r="D1154" s="269"/>
      <c r="E1154" s="1185"/>
      <c r="F1154" s="1203"/>
      <c r="G1154" s="269"/>
      <c r="H1154" s="1185"/>
      <c r="I1154" s="1203"/>
      <c r="J1154" s="1230">
        <f>ROUND(Y1154/C1154*100,3)</f>
        <v>2.3029999999999999</v>
      </c>
      <c r="K1154" s="1041" t="s">
        <v>374</v>
      </c>
      <c r="L1154" s="1041">
        <f>ROUND(J1154*$C1154/100,0)</f>
        <v>5063</v>
      </c>
      <c r="M1154" s="1041"/>
      <c r="N1154" s="1230" t="s">
        <v>31</v>
      </c>
      <c r="O1154" s="1219" t="s">
        <v>31</v>
      </c>
      <c r="P1154" s="2">
        <f>'Rate Design Work'!P1151</f>
        <v>0</v>
      </c>
      <c r="Q1154" s="1203"/>
      <c r="R1154" s="1230" t="s">
        <v>31</v>
      </c>
      <c r="S1154" s="1219" t="s">
        <v>31</v>
      </c>
      <c r="T1154" s="2">
        <f>'Rate Design Work'!T1151</f>
        <v>0</v>
      </c>
      <c r="U1154" s="1203"/>
      <c r="V1154" s="1230">
        <f>'Rate Design Work'!V1151</f>
        <v>2.3029999999999999</v>
      </c>
      <c r="W1154" s="1219" t="s">
        <v>374</v>
      </c>
      <c r="X1154" s="2">
        <f>'Rate Design Work'!X1151</f>
        <v>5063</v>
      </c>
      <c r="Y1154" s="1204">
        <f>'NPC Spread'!J52</f>
        <v>5063.0462372345582</v>
      </c>
      <c r="Z1154" s="815" t="s">
        <v>913</v>
      </c>
      <c r="AC1154" s="1205"/>
      <c r="AD1154" s="1205"/>
      <c r="AI1154" s="1185"/>
      <c r="AJ1154" s="1185"/>
      <c r="AK1154" s="1185"/>
      <c r="AL1154" s="1185"/>
      <c r="AM1154" s="1185"/>
      <c r="AN1154" s="1185"/>
      <c r="AO1154" s="1185"/>
      <c r="AP1154" s="1185"/>
      <c r="AQ1154" s="1185"/>
      <c r="AR1154" s="1185"/>
      <c r="AS1154" s="1185"/>
      <c r="AU1154" s="1204"/>
    </row>
    <row r="1155" spans="1:47" s="1184" customFormat="1">
      <c r="A1155" s="1509" t="s">
        <v>931</v>
      </c>
      <c r="B1155" s="1510"/>
      <c r="C1155" s="1524"/>
      <c r="D1155" s="1512"/>
      <c r="E1155" s="1513"/>
      <c r="F1155" s="1514"/>
      <c r="G1155" s="1526">
        <f>G1151</f>
        <v>7.8140000000000001</v>
      </c>
      <c r="H1155" s="1516" t="s">
        <v>374</v>
      </c>
      <c r="I1155" s="1514"/>
      <c r="J1155" s="1526">
        <f>J1151+J1154</f>
        <v>8.5730000000000004</v>
      </c>
      <c r="K1155" s="1516" t="s">
        <v>374</v>
      </c>
      <c r="L1155" s="1521"/>
      <c r="M1155" s="1521"/>
      <c r="N1155" s="1526">
        <f>N1151+N1154</f>
        <v>1.2453434907335099</v>
      </c>
      <c r="O1155" s="1516" t="s">
        <v>374</v>
      </c>
      <c r="P1155" s="1521"/>
      <c r="Q1155" s="1521"/>
      <c r="R1155" s="1526">
        <f>R1151+R1154</f>
        <v>1.4481430950752086</v>
      </c>
      <c r="S1155" s="1516" t="s">
        <v>374</v>
      </c>
      <c r="T1155" s="1521"/>
      <c r="U1155" s="1521"/>
      <c r="V1155" s="1526">
        <f>V1151+V1154</f>
        <v>5.8803767352445622</v>
      </c>
      <c r="W1155" s="1516" t="s">
        <v>374</v>
      </c>
      <c r="X1155" s="1521"/>
      <c r="Y1155" s="1204"/>
      <c r="Z1155" s="815"/>
      <c r="AA1155" s="826" t="s">
        <v>31</v>
      </c>
      <c r="AC1155" s="1205"/>
      <c r="AD1155" s="1205"/>
      <c r="AI1155" s="1185"/>
      <c r="AJ1155" s="1185"/>
      <c r="AK1155" s="1185"/>
      <c r="AL1155" s="1185"/>
      <c r="AM1155" s="1185"/>
      <c r="AN1155" s="1185"/>
      <c r="AO1155" s="1185"/>
      <c r="AP1155" s="1185"/>
      <c r="AQ1155" s="1185"/>
      <c r="AR1155" s="1185"/>
      <c r="AS1155" s="1185"/>
      <c r="AU1155" s="1204"/>
    </row>
    <row r="1156" spans="1:47">
      <c r="A1156" s="3" t="s">
        <v>491</v>
      </c>
      <c r="C1156" s="264">
        <f>SUM(C1151:C1152)</f>
        <v>219861.25205811099</v>
      </c>
      <c r="D1156" s="269"/>
      <c r="E1156" s="20"/>
      <c r="F1156" s="272">
        <f>SUM(F1150:F1152)</f>
        <v>37171.993064481801</v>
      </c>
      <c r="G1156" s="269"/>
      <c r="H1156" s="20"/>
      <c r="I1156" s="272">
        <f>SUM(I1150:I1152)</f>
        <v>37171.993064481801</v>
      </c>
      <c r="J1156" s="269"/>
      <c r="K1156" s="20"/>
      <c r="L1156" s="272">
        <f>SUM(L1150:L1155)</f>
        <v>38839.993064481801</v>
      </c>
      <c r="M1156" s="272"/>
      <c r="N1156" s="269"/>
      <c r="O1156" s="20"/>
      <c r="P1156" s="272">
        <f>SUM(P1150:P1155)</f>
        <v>22730.020855632683</v>
      </c>
      <c r="Q1156" s="272"/>
      <c r="R1156" s="269"/>
      <c r="S1156" s="20"/>
      <c r="T1156" s="272">
        <f>SUM(T1150:T1155)</f>
        <v>3183.9055404254341</v>
      </c>
      <c r="U1156" s="272"/>
      <c r="V1156" s="269"/>
      <c r="W1156" s="20"/>
      <c r="X1156" s="272">
        <f>SUM(X1150:X1155)</f>
        <v>12926.066668423689</v>
      </c>
      <c r="Y1156" s="20"/>
      <c r="Z1156" s="74"/>
      <c r="AA1156" s="74"/>
      <c r="AB1156" s="74"/>
      <c r="AC1156" s="20"/>
      <c r="AD1156" s="20"/>
      <c r="AE1156" s="20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</row>
    <row r="1157" spans="1:47">
      <c r="A1157" s="3" t="s">
        <v>492</v>
      </c>
      <c r="C1157" s="264">
        <f>'Table 2'!H121</f>
        <v>-21520.392182337586</v>
      </c>
      <c r="D1157" s="269"/>
      <c r="E1157" s="20"/>
      <c r="F1157" s="272">
        <f>I1157</f>
        <v>-3660.1423456783405</v>
      </c>
      <c r="G1157" s="269"/>
      <c r="H1157" s="20"/>
      <c r="I1157" s="272">
        <f>'Table 3'!E121</f>
        <v>-3660.1423456783405</v>
      </c>
      <c r="J1157" s="269"/>
      <c r="K1157" s="20"/>
      <c r="L1157" s="272">
        <f>I1157</f>
        <v>-3660.1423456783405</v>
      </c>
      <c r="M1157" s="272"/>
      <c r="N1157" s="269"/>
      <c r="O1157" s="20"/>
      <c r="P1157" s="272">
        <f>$L$1157*Y1161/($Y$1161+$Z$1161+$AA$1161)</f>
        <v>-2141.9960532364985</v>
      </c>
      <c r="Q1157" s="51"/>
      <c r="R1157" s="309"/>
      <c r="S1157" s="309"/>
      <c r="T1157" s="272">
        <f>$L$1157*Z1161/($Y$1161+$Z$1161+$AA$1161)</f>
        <v>-300.03989634611673</v>
      </c>
      <c r="U1157" s="51"/>
      <c r="V1157" s="309"/>
      <c r="W1157" s="309"/>
      <c r="X1157" s="272">
        <f>$L$1157*AA1161/($Y$1161+$Z$1161+$AA$1161)</f>
        <v>-1218.1063960957254</v>
      </c>
      <c r="Y1157" s="289"/>
      <c r="Z1157" s="290"/>
      <c r="AA1157" s="74"/>
      <c r="AB1157" s="74"/>
      <c r="AC1157" s="20"/>
      <c r="AD1157" s="20"/>
      <c r="AE1157" s="20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</row>
    <row r="1158" spans="1:47" ht="16.5" thickBot="1">
      <c r="A1158" s="1" t="s">
        <v>9</v>
      </c>
      <c r="B1158" s="1"/>
      <c r="C1158" s="393">
        <f>C1156+C1157</f>
        <v>198340.8598757734</v>
      </c>
      <c r="D1158" s="417"/>
      <c r="E1158" s="418"/>
      <c r="F1158" s="274">
        <f>F1156+F1157</f>
        <v>33511.850718803464</v>
      </c>
      <c r="G1158" s="999"/>
      <c r="H1158" s="345"/>
      <c r="I1158" s="274">
        <f>I1156+I1157</f>
        <v>33511.850718803464</v>
      </c>
      <c r="J1158" s="999"/>
      <c r="K1158" s="345"/>
      <c r="L1158" s="274">
        <f>L1156+L1157</f>
        <v>35179.850718803464</v>
      </c>
      <c r="M1158" s="312"/>
      <c r="N1158" s="999"/>
      <c r="O1158" s="345"/>
      <c r="P1158" s="274">
        <f>P1156+P1157</f>
        <v>20588.024802396183</v>
      </c>
      <c r="Q1158" s="312"/>
      <c r="R1158" s="999"/>
      <c r="S1158" s="345"/>
      <c r="T1158" s="274">
        <f>T1156+T1157</f>
        <v>2883.8656440793175</v>
      </c>
      <c r="U1158" s="312"/>
      <c r="V1158" s="999"/>
      <c r="W1158" s="345"/>
      <c r="X1158" s="274">
        <f>X1156+X1157</f>
        <v>11707.960272327964</v>
      </c>
      <c r="Y1158" s="788" t="s">
        <v>409</v>
      </c>
      <c r="Z1158" s="809">
        <f ca="1">'Rate Spread targets'!Q37*1000</f>
        <v>35179.275168706576</v>
      </c>
      <c r="AA1158" s="1134">
        <f>(L1158-I1158)/I1158</f>
        <v>4.9773437283309664E-2</v>
      </c>
      <c r="AB1158" s="827"/>
      <c r="AC1158" s="20"/>
      <c r="AD1158" s="20"/>
      <c r="AE1158" s="20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</row>
    <row r="1159" spans="1:47" ht="16.5" thickTop="1">
      <c r="A1159" s="1"/>
      <c r="B1159" s="1"/>
      <c r="C1159" s="1"/>
      <c r="D1159" s="419" t="s">
        <v>31</v>
      </c>
      <c r="E1159" s="1"/>
      <c r="F1159" s="1"/>
      <c r="G1159" s="419" t="s">
        <v>31</v>
      </c>
      <c r="H1159" s="1"/>
      <c r="I1159" s="1"/>
      <c r="J1159" s="419" t="s">
        <v>31</v>
      </c>
      <c r="K1159" s="1"/>
      <c r="L1159" s="2" t="s">
        <v>31</v>
      </c>
      <c r="M1159" s="2"/>
      <c r="N1159" s="419" t="s">
        <v>31</v>
      </c>
      <c r="O1159" s="1"/>
      <c r="P1159" s="2" t="s">
        <v>31</v>
      </c>
      <c r="Q1159" s="2"/>
      <c r="R1159" s="419" t="s">
        <v>31</v>
      </c>
      <c r="S1159" s="1"/>
      <c r="T1159" s="2" t="s">
        <v>31</v>
      </c>
      <c r="U1159" s="2"/>
      <c r="V1159" s="419" t="s">
        <v>31</v>
      </c>
      <c r="W1159" s="1"/>
      <c r="X1159" s="2" t="s">
        <v>31</v>
      </c>
      <c r="Y1159" s="789" t="s">
        <v>263</v>
      </c>
      <c r="Z1159" s="811">
        <f ca="1">Z1158-L1158</f>
        <v>-0.57555009688803693</v>
      </c>
      <c r="AA1159" s="810" t="s">
        <v>31</v>
      </c>
      <c r="AB1159" s="241"/>
      <c r="AC1159" s="20"/>
      <c r="AD1159" s="20"/>
      <c r="AE1159" s="20"/>
      <c r="AF1159" s="20"/>
      <c r="AG1159" s="20"/>
      <c r="AH1159" s="20"/>
      <c r="AI1159" s="20"/>
      <c r="AJ1159" s="20"/>
      <c r="AK1159" s="20"/>
      <c r="AL1159" s="20"/>
      <c r="AM1159" s="20"/>
      <c r="AN1159" s="20"/>
      <c r="AO1159" s="20"/>
      <c r="AP1159" s="20"/>
      <c r="AQ1159" s="20"/>
      <c r="AR1159" s="20"/>
      <c r="AS1159" s="20"/>
    </row>
    <row r="1160" spans="1:47" hidden="1">
      <c r="A1160" s="1"/>
      <c r="B1160" s="1"/>
      <c r="C1160" s="1"/>
      <c r="D1160" s="419"/>
      <c r="E1160" s="1"/>
      <c r="F1160" s="1"/>
      <c r="G1160" s="419"/>
      <c r="H1160" s="1"/>
      <c r="I1160" s="1"/>
      <c r="J1160" s="419"/>
      <c r="K1160" s="1"/>
      <c r="L1160" s="2"/>
      <c r="M1160" s="2"/>
      <c r="N1160" s="419"/>
      <c r="O1160" s="1"/>
      <c r="P1160" s="2"/>
      <c r="Q1160" s="2"/>
      <c r="R1160" s="419"/>
      <c r="S1160" s="1"/>
      <c r="T1160" s="2"/>
      <c r="U1160" s="2"/>
      <c r="V1160" s="419"/>
      <c r="W1160" s="1"/>
      <c r="X1160" s="2"/>
      <c r="Y1160" s="744">
        <f>Y1144</f>
        <v>0.58522206267896359</v>
      </c>
      <c r="Z1160" s="744">
        <f>Z1144</f>
        <v>8.1974925565500054E-2</v>
      </c>
      <c r="AA1160" s="744">
        <f>AA1144</f>
        <v>0.33280301175553639</v>
      </c>
      <c r="AB1160" s="241"/>
      <c r="AC1160" s="20"/>
      <c r="AD1160" s="20"/>
      <c r="AE1160" s="20"/>
      <c r="AF1160" s="20"/>
      <c r="AG1160" s="20"/>
      <c r="AH1160" s="20"/>
      <c r="AI1160" s="20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</row>
    <row r="1161" spans="1:47" hidden="1">
      <c r="A1161" s="1"/>
      <c r="B1161" s="1"/>
      <c r="C1161" s="1"/>
      <c r="D1161" s="419"/>
      <c r="E1161" s="1"/>
      <c r="F1161" s="1"/>
      <c r="G1161" s="419"/>
      <c r="H1161" s="1"/>
      <c r="I1161" s="1"/>
      <c r="J1161" s="419"/>
      <c r="K1161" s="1"/>
      <c r="L1161" s="2"/>
      <c r="M1161" s="2"/>
      <c r="N1161" s="419"/>
      <c r="O1161" s="1"/>
      <c r="P1161" s="2"/>
      <c r="Q1161" s="2"/>
      <c r="R1161" s="419"/>
      <c r="S1161" s="1"/>
      <c r="T1161" s="2"/>
      <c r="U1161" s="2"/>
      <c r="V1161" s="419"/>
      <c r="W1161" s="1"/>
      <c r="X1161" s="2"/>
      <c r="Y1161" s="416">
        <f>L1158*Y1160</f>
        <v>20588.024802396183</v>
      </c>
      <c r="Z1161" s="416">
        <f>L1158*Z1160</f>
        <v>2883.8656440793175</v>
      </c>
      <c r="AA1161" s="416">
        <f>L1158*AA1160</f>
        <v>11707.960272327964</v>
      </c>
      <c r="AB1161" s="241"/>
      <c r="AC1161" s="20"/>
      <c r="AD1161" s="20"/>
      <c r="AE1161" s="20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</row>
    <row r="1162" spans="1:47">
      <c r="A1162" s="293" t="s">
        <v>493</v>
      </c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20"/>
      <c r="Z1162" s="74"/>
      <c r="AA1162" s="74"/>
      <c r="AB1162" s="74"/>
      <c r="AC1162" s="20"/>
      <c r="AD1162" s="20"/>
      <c r="AE1162" s="20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</row>
    <row r="1163" spans="1:47">
      <c r="A1163" s="1" t="s">
        <v>494</v>
      </c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20"/>
      <c r="Z1163" s="74"/>
      <c r="AA1163" s="74"/>
      <c r="AB1163" s="74"/>
      <c r="AC1163" s="20"/>
      <c r="AD1163" s="20"/>
      <c r="AE1163" s="20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</row>
    <row r="1164" spans="1:47">
      <c r="A1164" s="1"/>
      <c r="B1164" s="1"/>
      <c r="C1164" s="1"/>
      <c r="D1164" s="419"/>
      <c r="E1164" s="1"/>
      <c r="F1164" s="1"/>
      <c r="G1164" s="419"/>
      <c r="H1164" s="1"/>
      <c r="I1164" s="1"/>
      <c r="J1164" s="419"/>
      <c r="K1164" s="1"/>
      <c r="L1164" s="1"/>
      <c r="M1164" s="1"/>
      <c r="N1164" s="419"/>
      <c r="O1164" s="1"/>
      <c r="P1164" s="1"/>
      <c r="Q1164" s="1"/>
      <c r="R1164" s="419"/>
      <c r="S1164" s="1"/>
      <c r="T1164" s="1"/>
      <c r="U1164" s="1"/>
      <c r="V1164" s="419"/>
      <c r="W1164" s="1"/>
      <c r="X1164" s="1"/>
      <c r="Y1164" s="20"/>
      <c r="Z1164" s="74"/>
      <c r="AA1164" s="74"/>
      <c r="AB1164" s="74"/>
      <c r="AC1164" s="20"/>
      <c r="AD1164" s="20"/>
      <c r="AE1164" s="20"/>
      <c r="AF1164" s="20"/>
      <c r="AG1164" s="20"/>
      <c r="AH1164" s="20"/>
      <c r="AI1164" s="20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</row>
    <row r="1165" spans="1:47">
      <c r="A1165" s="1" t="s">
        <v>488</v>
      </c>
      <c r="B1165" s="1"/>
      <c r="C1165" s="21"/>
      <c r="D1165" s="298"/>
      <c r="E1165" s="1"/>
      <c r="F1165" s="412">
        <f>I1165</f>
        <v>2258.3975613477051</v>
      </c>
      <c r="G1165" s="298"/>
      <c r="H1165" s="1"/>
      <c r="I1165" s="412">
        <f>I1180+I1209</f>
        <v>2258.3975613477051</v>
      </c>
      <c r="J1165" s="298"/>
      <c r="K1165" s="1"/>
      <c r="L1165" s="2">
        <f>L1180+L1209</f>
        <v>2258.3975613477051</v>
      </c>
      <c r="M1165" s="2"/>
      <c r="N1165" s="298"/>
      <c r="O1165" s="1"/>
      <c r="P1165" s="2">
        <f>P1180+P1209</f>
        <v>2258.3975613477051</v>
      </c>
      <c r="Q1165" s="2"/>
      <c r="R1165" s="298"/>
      <c r="S1165" s="1"/>
      <c r="T1165" s="2">
        <f>T1180+T1209</f>
        <v>0</v>
      </c>
      <c r="U1165" s="2"/>
      <c r="V1165" s="298"/>
      <c r="W1165" s="1"/>
      <c r="X1165" s="2">
        <f>X1180+X1209</f>
        <v>0</v>
      </c>
      <c r="Y1165" s="20"/>
      <c r="Z1165" s="74"/>
      <c r="AA1165" s="74"/>
      <c r="AB1165" s="74"/>
      <c r="AC1165" s="20"/>
      <c r="AD1165" s="20"/>
      <c r="AE1165" s="20"/>
      <c r="AF1165" s="20"/>
      <c r="AG1165" s="20"/>
      <c r="AH1165" s="20"/>
      <c r="AI1165" s="20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</row>
    <row r="1166" spans="1:47">
      <c r="A1166" s="1" t="s">
        <v>616</v>
      </c>
      <c r="B1166" s="1"/>
      <c r="C1166" s="264">
        <f>C1196+C1210+C1211</f>
        <v>2344657.3691355633</v>
      </c>
      <c r="D1166" s="382" t="s">
        <v>31</v>
      </c>
      <c r="E1166" s="1" t="s">
        <v>374</v>
      </c>
      <c r="F1166" s="414">
        <f>F1196+F1210+F1211</f>
        <v>160210</v>
      </c>
      <c r="G1166" s="830" t="s">
        <v>31</v>
      </c>
      <c r="H1166" s="1" t="s">
        <v>31</v>
      </c>
      <c r="I1166" s="414">
        <f>I1196+I1211</f>
        <v>160210</v>
      </c>
      <c r="J1166" s="830" t="s">
        <v>31</v>
      </c>
      <c r="K1166" s="1" t="s">
        <v>31</v>
      </c>
      <c r="L1166" s="2">
        <f>L1196+L1211</f>
        <v>167572.3983021187</v>
      </c>
      <c r="M1166" s="2"/>
      <c r="N1166" s="830" t="s">
        <v>31</v>
      </c>
      <c r="O1166" s="1" t="s">
        <v>31</v>
      </c>
      <c r="P1166" s="2">
        <f>P1196+P1211</f>
        <v>49845</v>
      </c>
      <c r="Q1166" s="2"/>
      <c r="R1166" s="830" t="s">
        <v>31</v>
      </c>
      <c r="S1166" s="1" t="s">
        <v>31</v>
      </c>
      <c r="T1166" s="2">
        <f>T1196+T1211</f>
        <v>6982</v>
      </c>
      <c r="U1166" s="2"/>
      <c r="V1166" s="830" t="s">
        <v>31</v>
      </c>
      <c r="W1166" s="1" t="s">
        <v>31</v>
      </c>
      <c r="X1166" s="2">
        <f>X1196+X1211</f>
        <v>28334</v>
      </c>
      <c r="Y1166" s="20"/>
      <c r="Z1166" s="74"/>
      <c r="AA1166" s="74"/>
      <c r="AB1166" s="74"/>
      <c r="AC1166" s="20"/>
      <c r="AD1166" s="20"/>
      <c r="AE1166" s="20"/>
      <c r="AF1166" s="20"/>
      <c r="AG1166" s="20"/>
      <c r="AH1166" s="20"/>
      <c r="AI1166" s="20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</row>
    <row r="1167" spans="1:47">
      <c r="A1167" s="1" t="s">
        <v>618</v>
      </c>
      <c r="B1167" s="1"/>
      <c r="C1167" s="264">
        <f>C1197</f>
        <v>2268876.9813546995</v>
      </c>
      <c r="D1167" s="424" t="s">
        <v>31</v>
      </c>
      <c r="E1167" s="1" t="s">
        <v>374</v>
      </c>
      <c r="F1167" s="414">
        <f>SUM(F1182:F1194)</f>
        <v>155023.69771631877</v>
      </c>
      <c r="G1167" s="424" t="s">
        <v>31</v>
      </c>
      <c r="H1167" s="1" t="s">
        <v>31</v>
      </c>
      <c r="I1167" s="2">
        <f>I1182+I1183+I1184+I1185+I1186+I1187+I1190+I1191+I1192+I1193+I1194</f>
        <v>155023.69771631877</v>
      </c>
      <c r="J1167" s="424" t="s">
        <v>31</v>
      </c>
      <c r="K1167" s="1" t="s">
        <v>31</v>
      </c>
      <c r="L1167" s="2">
        <f>L1182+L1183+L1184+L1185+L1186+L1187+L1190+L1191+L1192+L1193+L1194</f>
        <v>162003.23625996034</v>
      </c>
      <c r="M1167" s="2"/>
      <c r="N1167" s="424" t="s">
        <v>31</v>
      </c>
      <c r="O1167" s="1" t="s">
        <v>31</v>
      </c>
      <c r="P1167" s="2">
        <f>P1182+P1183+P1184+P1185+P1186+P1187+P1190+P1191+P1192+P1193+P1194</f>
        <v>93871.253347130143</v>
      </c>
      <c r="Q1167" s="2"/>
      <c r="R1167" s="424" t="s">
        <v>31</v>
      </c>
      <c r="S1167" s="1" t="s">
        <v>31</v>
      </c>
      <c r="T1167" s="2">
        <f>T1182+T1183+T1184+T1185+T1186+T1187+T1190+T1191+T1192+T1193+T1194</f>
        <v>13465.385540959485</v>
      </c>
      <c r="U1167" s="2"/>
      <c r="V1167" s="424" t="s">
        <v>31</v>
      </c>
      <c r="W1167" s="1" t="s">
        <v>31</v>
      </c>
      <c r="X1167" s="2">
        <f>X1182+X1183+X1184+X1185+X1186+X1187+X1190+X1191+X1192+X1193+X1194</f>
        <v>54678.597371870688</v>
      </c>
      <c r="Y1167" s="20"/>
      <c r="Z1167" s="74"/>
      <c r="AA1167" s="32" t="s">
        <v>31</v>
      </c>
      <c r="AC1167" s="20"/>
      <c r="AD1167" s="20"/>
      <c r="AE1167" s="20"/>
      <c r="AF1167" s="20"/>
      <c r="AG1167" s="20"/>
      <c r="AH1167" s="20"/>
      <c r="AI1167" s="20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</row>
    <row r="1168" spans="1:47">
      <c r="A1168" s="1" t="s">
        <v>362</v>
      </c>
      <c r="B1168" s="1"/>
      <c r="C1168" s="264">
        <f>C1198+C1212</f>
        <v>2605</v>
      </c>
      <c r="D1168" s="415"/>
      <c r="E1168" s="1"/>
      <c r="F1168" s="2"/>
      <c r="G1168" s="415"/>
      <c r="H1168" s="1"/>
      <c r="I1168" s="2"/>
      <c r="J1168" s="415"/>
      <c r="K1168" s="1"/>
      <c r="L1168" s="2"/>
      <c r="M1168" s="2"/>
      <c r="N1168" s="415"/>
      <c r="O1168" s="1"/>
      <c r="P1168" s="2"/>
      <c r="Q1168" s="2"/>
      <c r="R1168" s="415"/>
      <c r="S1168" s="1"/>
      <c r="T1168" s="2"/>
      <c r="U1168" s="2"/>
      <c r="V1168" s="415"/>
      <c r="W1168" s="1"/>
      <c r="X1168" s="2"/>
      <c r="Y1168" s="20"/>
      <c r="Z1168" s="74"/>
      <c r="AA1168" s="74"/>
      <c r="AB1168" s="74"/>
      <c r="AC1168" s="20"/>
      <c r="AD1168" s="20"/>
      <c r="AE1168" s="20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</row>
    <row r="1169" spans="1:47" s="1184" customFormat="1">
      <c r="A1169" s="1005" t="s">
        <v>1064</v>
      </c>
      <c r="C1169" s="1202">
        <f>C1170</f>
        <v>4613534.3504902627</v>
      </c>
      <c r="D1169" s="269"/>
      <c r="E1169" s="1185"/>
      <c r="F1169" s="1203"/>
      <c r="G1169" s="269"/>
      <c r="H1169" s="1185"/>
      <c r="I1169" s="1203"/>
      <c r="J1169" s="1230">
        <f>'Rate Design Work'!J1166</f>
        <v>0</v>
      </c>
      <c r="K1169" s="1041" t="s">
        <v>374</v>
      </c>
      <c r="L1169" s="1041">
        <f>ROUND(J1169*$C1169/100,0)</f>
        <v>0</v>
      </c>
      <c r="M1169" s="1041"/>
      <c r="N1169" s="1230" t="s">
        <v>31</v>
      </c>
      <c r="O1169" s="1219" t="s">
        <v>31</v>
      </c>
      <c r="P1169" s="1203">
        <f>N1169*C1169</f>
        <v>0</v>
      </c>
      <c r="Q1169" s="1203"/>
      <c r="R1169" s="1230" t="s">
        <v>31</v>
      </c>
      <c r="S1169" s="1219" t="s">
        <v>31</v>
      </c>
      <c r="T1169" s="1203">
        <f>R1169*C1169</f>
        <v>0</v>
      </c>
      <c r="U1169" s="1203"/>
      <c r="V1169" s="1230">
        <f>J1169</f>
        <v>0</v>
      </c>
      <c r="W1169" s="1219" t="s">
        <v>374</v>
      </c>
      <c r="X1169" s="1203">
        <f>L1169</f>
        <v>0</v>
      </c>
      <c r="Y1169" s="1274">
        <f>'NPC Spread'!J53</f>
        <v>106242.17553090378</v>
      </c>
      <c r="Z1169" s="1334" t="s">
        <v>913</v>
      </c>
      <c r="AC1169" s="1205"/>
      <c r="AD1169" s="1205"/>
      <c r="AI1169" s="1185"/>
      <c r="AJ1169" s="1185"/>
      <c r="AK1169" s="1185"/>
      <c r="AL1169" s="1185"/>
      <c r="AM1169" s="1185"/>
      <c r="AN1169" s="1185"/>
      <c r="AO1169" s="1185"/>
      <c r="AP1169" s="1185"/>
      <c r="AQ1169" s="1185"/>
      <c r="AR1169" s="1185"/>
      <c r="AS1169" s="1185"/>
      <c r="AU1169" s="1204"/>
    </row>
    <row r="1170" spans="1:47">
      <c r="A1170" s="3" t="s">
        <v>491</v>
      </c>
      <c r="C1170" s="264">
        <f>C1201+C1214</f>
        <v>4613534.3504902627</v>
      </c>
      <c r="D1170" s="269"/>
      <c r="E1170" s="20"/>
      <c r="F1170" s="272">
        <f>F1165+F1166+F1167</f>
        <v>317492.09527766646</v>
      </c>
      <c r="G1170" s="269"/>
      <c r="H1170" s="20"/>
      <c r="I1170" s="272">
        <f>I1201+I1214</f>
        <v>317492.09527766646</v>
      </c>
      <c r="J1170" s="269"/>
      <c r="K1170" s="20"/>
      <c r="L1170" s="272">
        <f>L1201+L1214</f>
        <v>331834.03212342673</v>
      </c>
      <c r="M1170" s="272"/>
      <c r="N1170" s="269"/>
      <c r="O1170" s="20"/>
      <c r="P1170" s="272">
        <f>P1201+P1214</f>
        <v>194196.36365116175</v>
      </c>
      <c r="Q1170" s="272"/>
      <c r="R1170" s="269"/>
      <c r="S1170" s="20"/>
      <c r="T1170" s="272">
        <f>T1201+T1214</f>
        <v>27202.037432631121</v>
      </c>
      <c r="U1170" s="272"/>
      <c r="V1170" s="269"/>
      <c r="W1170" s="20"/>
      <c r="X1170" s="272">
        <f>X1201+X1214</f>
        <v>110435.23273751512</v>
      </c>
      <c r="AA1170" s="74"/>
      <c r="AB1170" s="74"/>
      <c r="AC1170" s="20"/>
      <c r="AD1170" s="20"/>
      <c r="AE1170" s="20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</row>
    <row r="1171" spans="1:47">
      <c r="A1171" s="3" t="s">
        <v>492</v>
      </c>
      <c r="C1171" s="264">
        <f>C1202+C1215</f>
        <v>-451580.56565144623</v>
      </c>
      <c r="D1171" s="269"/>
      <c r="E1171" s="20"/>
      <c r="F1171" s="272">
        <f>I1171</f>
        <v>-31262.808254224292</v>
      </c>
      <c r="G1171" s="269"/>
      <c r="H1171" s="20"/>
      <c r="I1171" s="272">
        <f>I1202+I1215</f>
        <v>-31262.808254224292</v>
      </c>
      <c r="J1171" s="269"/>
      <c r="K1171" s="20"/>
      <c r="L1171" s="272">
        <f>I1171</f>
        <v>-31262.808254224292</v>
      </c>
      <c r="M1171" s="272"/>
      <c r="N1171" s="269"/>
      <c r="O1171" s="20"/>
      <c r="P1171" s="272">
        <f>P1202+P1215</f>
        <v>-18295.685131674072</v>
      </c>
      <c r="Q1171" s="272"/>
      <c r="R1171" s="269"/>
      <c r="S1171" s="20"/>
      <c r="T1171" s="272">
        <f>T1202+T1215</f>
        <v>-2562.7663796085371</v>
      </c>
      <c r="U1171" s="272"/>
      <c r="V1171" s="269"/>
      <c r="W1171" s="20"/>
      <c r="X1171" s="272">
        <f>X1202+X1215</f>
        <v>-10404.356742941687</v>
      </c>
      <c r="Y1171" s="289"/>
      <c r="Z1171" s="290"/>
      <c r="AA1171" s="74"/>
      <c r="AB1171" s="74"/>
      <c r="AC1171" s="20"/>
      <c r="AD1171" s="20"/>
      <c r="AE1171" s="20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</row>
    <row r="1172" spans="1:47" ht="16.5" thickBot="1">
      <c r="A1172" s="1" t="s">
        <v>9</v>
      </c>
      <c r="B1172" s="1"/>
      <c r="C1172" s="393">
        <f>C1170+C1171</f>
        <v>4161953.7848388166</v>
      </c>
      <c r="D1172" s="417"/>
      <c r="E1172" s="418"/>
      <c r="F1172" s="274">
        <f>F1170+F1171</f>
        <v>286229.28702344216</v>
      </c>
      <c r="G1172" s="999"/>
      <c r="H1172" s="345"/>
      <c r="I1172" s="274">
        <f>I1170+I1171</f>
        <v>286229.28702344216</v>
      </c>
      <c r="J1172" s="999"/>
      <c r="K1172" s="345"/>
      <c r="L1172" s="274">
        <f>L1170+L1171</f>
        <v>300571.22386920243</v>
      </c>
      <c r="M1172" s="312"/>
      <c r="N1172" s="999"/>
      <c r="O1172" s="345"/>
      <c r="P1172" s="274">
        <f>P1170+P1171</f>
        <v>175900.67851948767</v>
      </c>
      <c r="Q1172" s="312"/>
      <c r="R1172" s="999"/>
      <c r="S1172" s="345"/>
      <c r="T1172" s="274">
        <f>T1170+T1171</f>
        <v>24639.271053022585</v>
      </c>
      <c r="U1172" s="312"/>
      <c r="V1172" s="999"/>
      <c r="W1172" s="345"/>
      <c r="X1172" s="274">
        <f>X1170+X1171</f>
        <v>100030.87599457343</v>
      </c>
      <c r="Y1172" s="788" t="s">
        <v>409</v>
      </c>
      <c r="Z1172" s="809">
        <f ca="1">'Rate Spread targets'!Q38*1000</f>
        <v>300470.98663788423</v>
      </c>
      <c r="AA1172" s="1134">
        <f>(L1172-I1172)/I1172</f>
        <v>5.010646183311656E-2</v>
      </c>
      <c r="AB1172" s="827"/>
      <c r="AC1172" s="20"/>
      <c r="AD1172" s="20"/>
      <c r="AE1172" s="20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</row>
    <row r="1173" spans="1:47" ht="16.5" thickTop="1">
      <c r="A1173" s="1680" t="s">
        <v>1063</v>
      </c>
      <c r="B1173" s="1"/>
      <c r="C1173" s="26"/>
      <c r="D1173" s="422"/>
      <c r="E1173" s="23"/>
      <c r="F1173" s="51"/>
      <c r="G1173" s="422"/>
      <c r="H1173" s="23"/>
      <c r="I1173" s="51"/>
      <c r="J1173" s="422"/>
      <c r="K1173" s="23"/>
      <c r="L1173" s="51"/>
      <c r="M1173" s="51"/>
      <c r="N1173" s="422"/>
      <c r="O1173" s="23"/>
      <c r="P1173" s="51"/>
      <c r="Q1173" s="51"/>
      <c r="R1173" s="422"/>
      <c r="S1173" s="23"/>
      <c r="T1173" s="51"/>
      <c r="U1173" s="51"/>
      <c r="V1173" s="422"/>
      <c r="W1173" s="23"/>
      <c r="X1173" s="51"/>
      <c r="Y1173" s="1678"/>
      <c r="Z1173" s="416"/>
      <c r="AA1173" s="1679"/>
      <c r="AB1173" s="827"/>
      <c r="AC1173" s="20"/>
      <c r="AD1173" s="20"/>
      <c r="AE1173" s="20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</row>
    <row r="1174" spans="1:47">
      <c r="A1174" s="1"/>
      <c r="B1174" s="1"/>
      <c r="C1174" s="26"/>
      <c r="D1174" s="422"/>
      <c r="E1174" s="23"/>
      <c r="F1174" s="51"/>
      <c r="G1174" s="422"/>
      <c r="H1174" s="23"/>
      <c r="I1174" s="51"/>
      <c r="J1174" s="422"/>
      <c r="K1174" s="23"/>
      <c r="L1174" s="51"/>
      <c r="M1174" s="51"/>
      <c r="N1174" s="422"/>
      <c r="O1174" s="23"/>
      <c r="P1174" s="51"/>
      <c r="Q1174" s="51"/>
      <c r="R1174" s="422"/>
      <c r="S1174" s="23"/>
      <c r="T1174" s="51"/>
      <c r="U1174" s="51"/>
      <c r="V1174" s="422"/>
      <c r="W1174" s="23"/>
      <c r="X1174" s="51"/>
      <c r="Y1174" s="789" t="s">
        <v>263</v>
      </c>
      <c r="Z1174" s="811">
        <f ca="1">Z1172-L1172</f>
        <v>-100.23723131819861</v>
      </c>
      <c r="AA1174" s="785"/>
      <c r="AB1174" s="827"/>
      <c r="AC1174" s="20"/>
      <c r="AD1174" s="20"/>
      <c r="AE1174" s="20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</row>
    <row r="1175" spans="1:47" hidden="1">
      <c r="A1175" s="1"/>
      <c r="B1175" s="1"/>
      <c r="C1175" s="26"/>
      <c r="D1175" s="422"/>
      <c r="E1175" s="23"/>
      <c r="F1175" s="51"/>
      <c r="G1175" s="422"/>
      <c r="H1175" s="23"/>
      <c r="I1175" s="51"/>
      <c r="J1175" s="422"/>
      <c r="K1175" s="23"/>
      <c r="L1175" s="51"/>
      <c r="M1175" s="51"/>
      <c r="N1175" s="422"/>
      <c r="O1175" s="23"/>
      <c r="P1175" s="51"/>
      <c r="Q1175" s="51"/>
      <c r="R1175" s="422"/>
      <c r="S1175" s="23"/>
      <c r="T1175" s="51"/>
      <c r="U1175" s="51"/>
      <c r="V1175" s="422"/>
      <c r="W1175" s="23"/>
      <c r="X1175" s="51"/>
      <c r="Y1175" s="744">
        <f>Y30</f>
        <v>0.58522206267896359</v>
      </c>
      <c r="Z1175" s="744">
        <f>Z30</f>
        <v>8.1974925565500054E-2</v>
      </c>
      <c r="AA1175" s="744">
        <f>AA30</f>
        <v>0.33280301175553639</v>
      </c>
      <c r="AB1175" s="827"/>
      <c r="AC1175" s="20"/>
      <c r="AD1175" s="20"/>
      <c r="AE1175" s="20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</row>
    <row r="1176" spans="1:47" hidden="1">
      <c r="A1176" s="1"/>
      <c r="B1176" s="1"/>
      <c r="C1176" s="26"/>
      <c r="D1176" s="422" t="s">
        <v>31</v>
      </c>
      <c r="E1176" s="23"/>
      <c r="F1176" s="51"/>
      <c r="G1176" s="422" t="s">
        <v>31</v>
      </c>
      <c r="H1176" s="23"/>
      <c r="I1176" s="51"/>
      <c r="J1176" s="422" t="s">
        <v>31</v>
      </c>
      <c r="K1176" s="23"/>
      <c r="L1176" s="51" t="s">
        <v>31</v>
      </c>
      <c r="M1176" s="51"/>
      <c r="N1176" s="422" t="s">
        <v>31</v>
      </c>
      <c r="O1176" s="23"/>
      <c r="P1176" s="51" t="s">
        <v>31</v>
      </c>
      <c r="Q1176" s="51"/>
      <c r="R1176" s="422" t="s">
        <v>31</v>
      </c>
      <c r="S1176" s="23"/>
      <c r="T1176" s="51" t="s">
        <v>31</v>
      </c>
      <c r="U1176" s="51"/>
      <c r="V1176" s="422" t="s">
        <v>31</v>
      </c>
      <c r="W1176" s="23"/>
      <c r="X1176" s="51" t="s">
        <v>31</v>
      </c>
      <c r="Y1176" s="416">
        <f>L1172*Y1175</f>
        <v>175900.91161467519</v>
      </c>
      <c r="Z1176" s="416">
        <f>L1172*Z1175</f>
        <v>24639.303703809121</v>
      </c>
      <c r="AA1176" s="416">
        <f>L1172*AA1175</f>
        <v>100031.00855071814</v>
      </c>
      <c r="AB1176" s="74"/>
      <c r="AC1176" s="20"/>
      <c r="AD1176" s="20"/>
      <c r="AE1176" s="20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</row>
    <row r="1177" spans="1:47">
      <c r="A1177" s="293" t="s">
        <v>497</v>
      </c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416"/>
      <c r="Z1177" s="74"/>
      <c r="AA1177" s="74"/>
      <c r="AB1177" s="74"/>
      <c r="AC1177" s="20"/>
      <c r="AD1177" s="20"/>
      <c r="AE1177" s="20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</row>
    <row r="1178" spans="1:47">
      <c r="A1178" s="1" t="s">
        <v>498</v>
      </c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20"/>
      <c r="Z1178" s="74"/>
      <c r="AA1178" s="74"/>
      <c r="AB1178" s="74"/>
      <c r="AC1178" s="20"/>
      <c r="AD1178" s="20"/>
      <c r="AE1178" s="20"/>
      <c r="AF1178" s="20"/>
      <c r="AG1178" s="20"/>
      <c r="AH1178" s="20"/>
      <c r="AI1178" s="20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</row>
    <row r="1179" spans="1:47">
      <c r="A1179" s="1"/>
      <c r="B1179" s="1"/>
      <c r="C1179" s="1"/>
      <c r="D1179" s="419"/>
      <c r="E1179" s="1"/>
      <c r="F1179" s="1"/>
      <c r="G1179" s="419"/>
      <c r="H1179" s="1"/>
      <c r="I1179" s="1"/>
      <c r="J1179" s="419"/>
      <c r="K1179" s="1"/>
      <c r="L1179" s="1"/>
      <c r="M1179" s="1"/>
      <c r="N1179" s="419"/>
      <c r="O1179" s="1"/>
      <c r="P1179" s="1"/>
      <c r="Q1179" s="1"/>
      <c r="R1179" s="419"/>
      <c r="S1179" s="1"/>
      <c r="T1179" s="1"/>
      <c r="U1179" s="1"/>
      <c r="V1179" s="419"/>
      <c r="W1179" s="1"/>
      <c r="X1179" s="1"/>
      <c r="Y1179" s="20"/>
      <c r="Z1179" s="74"/>
      <c r="AA1179" s="74"/>
      <c r="AB1179" s="74"/>
      <c r="AC1179" s="20"/>
      <c r="AD1179" s="20"/>
      <c r="AE1179" s="20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</row>
    <row r="1180" spans="1:47">
      <c r="A1180" s="1" t="s">
        <v>488</v>
      </c>
      <c r="B1180" s="1"/>
      <c r="C1180" s="21"/>
      <c r="D1180" s="298"/>
      <c r="E1180" s="1"/>
      <c r="F1180" s="412">
        <f>I1180</f>
        <v>2258.3975613477051</v>
      </c>
      <c r="G1180" s="298"/>
      <c r="H1180" s="1"/>
      <c r="I1180" s="412">
        <f>[57]Sheet1!$L$27</f>
        <v>2258.3975613477051</v>
      </c>
      <c r="J1180" s="298"/>
      <c r="K1180" s="1"/>
      <c r="L1180" s="2">
        <f>'Rate Design Work'!L1176</f>
        <v>2258.3975613477051</v>
      </c>
      <c r="M1180" s="2"/>
      <c r="N1180" s="298"/>
      <c r="O1180" s="1"/>
      <c r="P1180" s="2">
        <f>L1180</f>
        <v>2258.3975613477051</v>
      </c>
      <c r="Q1180" s="2"/>
      <c r="R1180" s="298"/>
      <c r="S1180" s="1"/>
      <c r="T1180" s="2" t="s">
        <v>31</v>
      </c>
      <c r="U1180" s="2"/>
      <c r="V1180" s="298"/>
      <c r="W1180" s="1"/>
      <c r="X1180" s="2" t="str">
        <f>T1180</f>
        <v xml:space="preserve"> </v>
      </c>
      <c r="Y1180" s="20"/>
      <c r="Z1180" s="74"/>
      <c r="AA1180" s="74"/>
      <c r="AB1180" s="74"/>
      <c r="AC1180" s="20"/>
      <c r="AD1180" s="20"/>
      <c r="AE1180" s="20"/>
      <c r="AF1180" s="20"/>
      <c r="AG1180" s="20"/>
      <c r="AH1180" s="20"/>
      <c r="AI1180" s="20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</row>
    <row r="1181" spans="1:47">
      <c r="A1181" s="1" t="s">
        <v>592</v>
      </c>
      <c r="B1181" s="1"/>
      <c r="C1181" s="21"/>
      <c r="D1181" s="298"/>
      <c r="E1181" s="1"/>
      <c r="F1181" s="412"/>
      <c r="G1181" s="298"/>
      <c r="H1181" s="1"/>
      <c r="I1181" s="412"/>
      <c r="J1181" s="298"/>
      <c r="K1181" s="1"/>
      <c r="L1181" s="2"/>
      <c r="M1181" s="2"/>
      <c r="N1181" s="298"/>
      <c r="O1181" s="1"/>
      <c r="P1181" s="2"/>
      <c r="Q1181" s="2"/>
      <c r="R1181" s="298"/>
      <c r="S1181" s="1"/>
      <c r="T1181" s="2"/>
      <c r="U1181" s="2"/>
      <c r="V1181" s="298"/>
      <c r="W1181" s="1"/>
      <c r="X1181" s="2"/>
      <c r="Y1181" s="20"/>
      <c r="AC1181" s="416">
        <f ca="1">Z1172-L1172</f>
        <v>-100.23723131819861</v>
      </c>
      <c r="AD1181" s="74"/>
      <c r="AE1181" s="20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</row>
    <row r="1182" spans="1:47">
      <c r="A1182" s="3" t="s">
        <v>605</v>
      </c>
      <c r="B1182" s="1"/>
      <c r="C1182" s="21">
        <f>[57]Sheet1!$F$2+[57]Sheet1!$F$15</f>
        <v>4296.0131979250182</v>
      </c>
      <c r="D1182" s="298">
        <v>2.12</v>
      </c>
      <c r="E1182" s="1"/>
      <c r="F1182" s="412">
        <f t="shared" ref="F1182:F1187" si="261">D1182*C1182</f>
        <v>9107.5479796010386</v>
      </c>
      <c r="G1182" s="298">
        <v>2.12</v>
      </c>
      <c r="H1182" s="1"/>
      <c r="I1182" s="412">
        <f>C1182*G1182</f>
        <v>9107.5479796010386</v>
      </c>
      <c r="J1182" s="298">
        <f>'Rate Design Work'!J1178</f>
        <v>2.2200000000000002</v>
      </c>
      <c r="K1182" s="1"/>
      <c r="L1182" s="2">
        <f>J1182*C1182</f>
        <v>9537.1492993935408</v>
      </c>
      <c r="M1182" s="2"/>
      <c r="N1182" s="298">
        <f>'Rate Design Work'!N1178</f>
        <v>1.29</v>
      </c>
      <c r="O1182" s="1"/>
      <c r="P1182" s="2">
        <f>'Rate Design Work'!P1178</f>
        <v>5526.2115668861079</v>
      </c>
      <c r="Q1182" s="2"/>
      <c r="R1182" s="298">
        <f>'Rate Design Work'!R1178</f>
        <v>0.18</v>
      </c>
      <c r="S1182" s="1"/>
      <c r="T1182" s="2">
        <f>'Rate Design Work'!T1178</f>
        <v>792.70880781636265</v>
      </c>
      <c r="U1182" s="2"/>
      <c r="V1182" s="298">
        <f>'Rate Design Work'!V1178</f>
        <v>0.75</v>
      </c>
      <c r="W1182" s="1"/>
      <c r="X1182" s="2">
        <f>'Rate Design Work'!X1178</f>
        <v>3218.9353660822094</v>
      </c>
      <c r="Y1182" s="20"/>
      <c r="AC1182" s="74">
        <v>31</v>
      </c>
      <c r="AD1182" s="664">
        <f t="shared" ref="AD1182:AD1187" si="262">D1182/AC1182</f>
        <v>6.8387096774193551E-2</v>
      </c>
      <c r="AE1182" s="20"/>
      <c r="AF1182" s="20"/>
      <c r="AG1182" s="7" t="s">
        <v>31</v>
      </c>
      <c r="AH1182" s="20"/>
      <c r="AI1182" s="20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</row>
    <row r="1183" spans="1:47">
      <c r="A1183" s="3" t="s">
        <v>606</v>
      </c>
      <c r="B1183" s="1"/>
      <c r="C1183" s="21">
        <f>[57]Sheet1!$F$3</f>
        <v>8148.0150869990703</v>
      </c>
      <c r="D1183" s="298">
        <v>3</v>
      </c>
      <c r="E1183" s="1"/>
      <c r="F1183" s="412">
        <f t="shared" si="261"/>
        <v>24444.045260997213</v>
      </c>
      <c r="G1183" s="298">
        <v>3</v>
      </c>
      <c r="H1183" s="1"/>
      <c r="I1183" s="412">
        <f t="shared" ref="I1183:I1187" si="263">C1183*G1183</f>
        <v>24444.045260997213</v>
      </c>
      <c r="J1183" s="298">
        <f>'Rate Design Work'!J1179</f>
        <v>3.1300000000000003</v>
      </c>
      <c r="K1183" s="1"/>
      <c r="L1183" s="2">
        <f t="shared" ref="L1183:L1187" si="264">J1183*C1183</f>
        <v>25503.287222307092</v>
      </c>
      <c r="M1183" s="2"/>
      <c r="N1183" s="298">
        <f>'Rate Design Work'!N1179</f>
        <v>1.81</v>
      </c>
      <c r="O1183" s="1"/>
      <c r="P1183" s="2">
        <f>'Rate Design Work'!P1179</f>
        <v>14777.64019595396</v>
      </c>
      <c r="Q1183" s="2"/>
      <c r="R1183" s="298">
        <f>'Rate Design Work'!R1179</f>
        <v>0.26</v>
      </c>
      <c r="S1183" s="1"/>
      <c r="T1183" s="2">
        <f>'Rate Design Work'!T1179</f>
        <v>2119.7823138491594</v>
      </c>
      <c r="U1183" s="2"/>
      <c r="V1183" s="298">
        <f>'Rate Design Work'!V1179</f>
        <v>1.06</v>
      </c>
      <c r="W1183" s="1"/>
      <c r="X1183" s="2">
        <f>'Rate Design Work'!X1179</f>
        <v>8607.7538071525269</v>
      </c>
      <c r="Y1183" s="20"/>
      <c r="AC1183" s="74">
        <v>44</v>
      </c>
      <c r="AD1183" s="664">
        <f t="shared" si="262"/>
        <v>6.8181818181818177E-2</v>
      </c>
      <c r="AE1183" s="20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</row>
    <row r="1184" spans="1:47">
      <c r="A1184" s="3" t="s">
        <v>607</v>
      </c>
      <c r="B1184" s="1"/>
      <c r="C1184" s="21">
        <f>[57]Sheet1!$F$4</f>
        <v>80.070551745979301</v>
      </c>
      <c r="D1184" s="298">
        <v>4.3600000000000003</v>
      </c>
      <c r="E1184" s="1"/>
      <c r="F1184" s="412">
        <f t="shared" si="261"/>
        <v>349.1076056124698</v>
      </c>
      <c r="G1184" s="298">
        <v>4.3600000000000003</v>
      </c>
      <c r="H1184" s="1"/>
      <c r="I1184" s="412">
        <f t="shared" si="263"/>
        <v>349.1076056124698</v>
      </c>
      <c r="J1184" s="298">
        <f>'Rate Design Work'!J1180</f>
        <v>4.5600000000000005</v>
      </c>
      <c r="K1184" s="1"/>
      <c r="L1184" s="2">
        <f t="shared" si="264"/>
        <v>365.12171596166564</v>
      </c>
      <c r="M1184" s="2"/>
      <c r="N1184" s="298">
        <f>'Rate Design Work'!N1180</f>
        <v>2.64</v>
      </c>
      <c r="O1184" s="1"/>
      <c r="P1184" s="2">
        <f>'Rate Design Work'!P1180</f>
        <v>211.56634825848508</v>
      </c>
      <c r="Q1184" s="2"/>
      <c r="R1184" s="298">
        <f>'Rate Design Work'!R1180</f>
        <v>0.38</v>
      </c>
      <c r="S1184" s="1"/>
      <c r="T1184" s="2">
        <f>'Rate Design Work'!T1180</f>
        <v>30.348188025770082</v>
      </c>
      <c r="U1184" s="2"/>
      <c r="V1184" s="298">
        <f>'Rate Design Work'!V1180</f>
        <v>1.54</v>
      </c>
      <c r="W1184" s="1"/>
      <c r="X1184" s="2">
        <f>'Rate Design Work'!X1180</f>
        <v>123.23422519015878</v>
      </c>
      <c r="Y1184" s="20"/>
      <c r="AC1184" s="74">
        <v>64</v>
      </c>
      <c r="AD1184" s="664">
        <f t="shared" si="262"/>
        <v>6.8125000000000005E-2</v>
      </c>
      <c r="AE1184" s="20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</row>
    <row r="1185" spans="1:47">
      <c r="A1185" s="3" t="s">
        <v>608</v>
      </c>
      <c r="B1185" s="1"/>
      <c r="C1185" s="21">
        <f>[57]Sheet1!$F$5</f>
        <v>11687.0132195632</v>
      </c>
      <c r="D1185" s="298">
        <v>5.81</v>
      </c>
      <c r="E1185" s="1"/>
      <c r="F1185" s="412">
        <f t="shared" si="261"/>
        <v>67901.54680566219</v>
      </c>
      <c r="G1185" s="298">
        <v>5.81</v>
      </c>
      <c r="H1185" s="1"/>
      <c r="I1185" s="412">
        <f t="shared" si="263"/>
        <v>67901.54680566219</v>
      </c>
      <c r="J1185" s="298">
        <f>'Rate Design Work'!J1181</f>
        <v>6.07</v>
      </c>
      <c r="K1185" s="1"/>
      <c r="L1185" s="2">
        <f t="shared" si="264"/>
        <v>70940.170242748631</v>
      </c>
      <c r="M1185" s="2"/>
      <c r="N1185" s="298">
        <f>'Rate Design Work'!N1181</f>
        <v>3.52</v>
      </c>
      <c r="O1185" s="1"/>
      <c r="P1185" s="2">
        <f>'Rate Design Work'!P1181</f>
        <v>41105.615215363781</v>
      </c>
      <c r="Q1185" s="2"/>
      <c r="R1185" s="298">
        <f>'Rate Design Work'!R1181</f>
        <v>0.5</v>
      </c>
      <c r="S1185" s="1"/>
      <c r="T1185" s="2">
        <f>'Rate Design Work'!T1181</f>
        <v>5896.4053108610769</v>
      </c>
      <c r="U1185" s="2"/>
      <c r="V1185" s="298">
        <f>'Rate Design Work'!V1181</f>
        <v>2.0499999999999998</v>
      </c>
      <c r="W1185" s="1"/>
      <c r="X1185" s="2">
        <f>'Rate Design Work'!X1181</f>
        <v>23943.404438976017</v>
      </c>
      <c r="Y1185" s="20"/>
      <c r="AC1185" s="74">
        <v>85</v>
      </c>
      <c r="AD1185" s="664">
        <f t="shared" si="262"/>
        <v>6.8352941176470589E-2</v>
      </c>
      <c r="AE1185" s="20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</row>
    <row r="1186" spans="1:47">
      <c r="A1186" s="3" t="s">
        <v>609</v>
      </c>
      <c r="B1186" s="1"/>
      <c r="C1186" s="21">
        <f>[57]Sheet1!$F$6</f>
        <v>4355.9970834218002</v>
      </c>
      <c r="D1186" s="298">
        <v>7.86</v>
      </c>
      <c r="E1186" s="1"/>
      <c r="F1186" s="412">
        <f t="shared" si="261"/>
        <v>34238.137075695347</v>
      </c>
      <c r="G1186" s="298">
        <v>7.86</v>
      </c>
      <c r="H1186" s="1"/>
      <c r="I1186" s="412">
        <f t="shared" si="263"/>
        <v>34238.137075695347</v>
      </c>
      <c r="J1186" s="298">
        <f>'Rate Design Work'!J1182</f>
        <v>8.2200000000000006</v>
      </c>
      <c r="K1186" s="1"/>
      <c r="L1186" s="2">
        <f t="shared" si="264"/>
        <v>35806.296025727199</v>
      </c>
      <c r="M1186" s="2"/>
      <c r="N1186" s="298">
        <f>'Rate Design Work'!N1182</f>
        <v>4.76</v>
      </c>
      <c r="O1186" s="1"/>
      <c r="P1186" s="2">
        <f>'Rate Design Work'!P1182</f>
        <v>20747.621857749917</v>
      </c>
      <c r="Q1186" s="2"/>
      <c r="R1186" s="298">
        <f>'Rate Design Work'!R1182</f>
        <v>0.68</v>
      </c>
      <c r="S1186" s="1"/>
      <c r="T1186" s="2">
        <f>'Rate Design Work'!T1182</f>
        <v>2976.1478345189466</v>
      </c>
      <c r="U1186" s="2"/>
      <c r="V1186" s="298">
        <f>'Rate Design Work'!V1182</f>
        <v>2.78</v>
      </c>
      <c r="W1186" s="1"/>
      <c r="X1186" s="2">
        <f>'Rate Design Work'!X1182</f>
        <v>12085.178598698389</v>
      </c>
      <c r="Y1186" s="20"/>
      <c r="AC1186" s="74">
        <v>115</v>
      </c>
      <c r="AD1186" s="664">
        <f t="shared" si="262"/>
        <v>6.8347826086956526E-2</v>
      </c>
      <c r="AE1186" s="20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</row>
    <row r="1187" spans="1:47">
      <c r="A1187" s="3" t="s">
        <v>610</v>
      </c>
      <c r="B1187" s="1"/>
      <c r="C1187" s="21">
        <f>[57]Sheet1!$F$8</f>
        <v>1577.99775467585</v>
      </c>
      <c r="D1187" s="298">
        <v>12.03</v>
      </c>
      <c r="E1187" s="1"/>
      <c r="F1187" s="412">
        <f t="shared" si="261"/>
        <v>18983.312988750477</v>
      </c>
      <c r="G1187" s="298">
        <v>12.03</v>
      </c>
      <c r="H1187" s="1"/>
      <c r="I1187" s="412">
        <f t="shared" si="263"/>
        <v>18983.312988750477</v>
      </c>
      <c r="J1187" s="298">
        <f>'Rate Design Work'!J1183</f>
        <v>12.58</v>
      </c>
      <c r="K1187" s="1"/>
      <c r="L1187" s="2">
        <f t="shared" si="264"/>
        <v>19851.211753822194</v>
      </c>
      <c r="M1187" s="2"/>
      <c r="N1187" s="298">
        <f>'Rate Design Work'!N1183</f>
        <v>7.29</v>
      </c>
      <c r="O1187" s="1"/>
      <c r="P1187" s="2">
        <f>'Rate Design Work'!P1183</f>
        <v>11502.598162917879</v>
      </c>
      <c r="Q1187" s="2"/>
      <c r="R1187" s="298">
        <f>'Rate Design Work'!R1183</f>
        <v>1.05</v>
      </c>
      <c r="S1187" s="1"/>
      <c r="T1187" s="2">
        <f>'Rate Design Work'!T1183</f>
        <v>1649.9930858881712</v>
      </c>
      <c r="U1187" s="2"/>
      <c r="V1187" s="298">
        <f>'Rate Design Work'!V1183</f>
        <v>4.24</v>
      </c>
      <c r="W1187" s="1"/>
      <c r="X1187" s="2">
        <f>'Rate Design Work'!X1183</f>
        <v>6700.0909357713881</v>
      </c>
      <c r="AA1187" s="827" t="s">
        <v>31</v>
      </c>
      <c r="AB1187" s="777"/>
      <c r="AC1187" s="74">
        <v>176</v>
      </c>
      <c r="AD1187" s="664">
        <f t="shared" si="262"/>
        <v>6.835227272727272E-2</v>
      </c>
      <c r="AE1187" s="20"/>
      <c r="AF1187" s="20"/>
      <c r="AG1187" s="20"/>
      <c r="AH1187" s="20"/>
      <c r="AI1187" s="20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</row>
    <row r="1188" spans="1:47">
      <c r="B1188" s="1"/>
      <c r="C1188" s="21"/>
      <c r="D1188" s="298"/>
      <c r="E1188" s="1"/>
      <c r="F1188" s="412"/>
      <c r="G1188" s="298"/>
      <c r="H1188" s="1"/>
      <c r="I1188" s="412"/>
      <c r="J1188" s="298"/>
      <c r="K1188" s="1"/>
      <c r="L1188" s="2"/>
      <c r="M1188" s="2"/>
      <c r="N1188" s="298"/>
      <c r="O1188" s="1"/>
      <c r="P1188" s="2"/>
      <c r="Q1188" s="2"/>
      <c r="R1188" s="298"/>
      <c r="S1188" s="1"/>
      <c r="T1188" s="2"/>
      <c r="U1188" s="2"/>
      <c r="V1188" s="298"/>
      <c r="W1188" s="1"/>
      <c r="X1188" s="2"/>
      <c r="Y1188" s="20"/>
      <c r="Z1188" s="88" t="s">
        <v>74</v>
      </c>
      <c r="AC1188" s="74"/>
      <c r="AD1188" s="74"/>
      <c r="AE1188" s="20"/>
      <c r="AF1188" s="20"/>
      <c r="AG1188" s="20"/>
      <c r="AH1188" s="20"/>
      <c r="AI1188" s="20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</row>
    <row r="1189" spans="1:47">
      <c r="A1189" s="3" t="s">
        <v>593</v>
      </c>
      <c r="B1189" s="1"/>
      <c r="C1189" s="21"/>
      <c r="D1189" s="298" t="s">
        <v>31</v>
      </c>
      <c r="E1189" s="1"/>
      <c r="F1189" s="412"/>
      <c r="G1189" s="298" t="s">
        <v>31</v>
      </c>
      <c r="H1189" s="1"/>
      <c r="I1189" s="412"/>
      <c r="J1189" s="298" t="s">
        <v>31</v>
      </c>
      <c r="K1189" s="1"/>
      <c r="L1189" s="2"/>
      <c r="M1189" s="2"/>
      <c r="N1189" s="298" t="s">
        <v>31</v>
      </c>
      <c r="O1189" s="1"/>
      <c r="P1189" s="2"/>
      <c r="Q1189" s="2"/>
      <c r="R1189" s="298" t="s">
        <v>31</v>
      </c>
      <c r="S1189" s="1"/>
      <c r="T1189" s="2"/>
      <c r="U1189" s="2"/>
      <c r="V1189" s="298" t="s">
        <v>31</v>
      </c>
      <c r="W1189" s="1"/>
      <c r="X1189" s="2"/>
      <c r="Y1189" s="20"/>
      <c r="AC1189" s="74"/>
      <c r="AD1189" s="74"/>
      <c r="AE1189" s="20"/>
      <c r="AF1189" s="20"/>
      <c r="AG1189" s="20"/>
      <c r="AH1189" s="20"/>
      <c r="AI1189" s="20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</row>
    <row r="1190" spans="1:47">
      <c r="A1190" s="3" t="s">
        <v>611</v>
      </c>
      <c r="B1190" s="1"/>
      <c r="C1190" s="21">
        <v>0</v>
      </c>
      <c r="D1190" s="298">
        <v>2.67</v>
      </c>
      <c r="E1190" s="1"/>
      <c r="F1190" s="412">
        <f>D1190*C1190</f>
        <v>0</v>
      </c>
      <c r="G1190" s="298">
        <v>2.67</v>
      </c>
      <c r="H1190" s="1"/>
      <c r="I1190" s="412">
        <f t="shared" ref="I1190:I1194" si="265">C1190*G1190</f>
        <v>0</v>
      </c>
      <c r="J1190" s="298">
        <f>'Rate Design Work'!J1186</f>
        <v>2.8</v>
      </c>
      <c r="K1190" s="1"/>
      <c r="L1190" s="2">
        <f t="shared" ref="L1190:L1194" si="266">J1190*C1190</f>
        <v>0</v>
      </c>
      <c r="M1190" s="2"/>
      <c r="N1190" s="298">
        <f>'Rate Design Work'!N1186</f>
        <v>1.62</v>
      </c>
      <c r="O1190" s="1"/>
      <c r="P1190" s="2">
        <f>'Rate Design Work'!P1186</f>
        <v>0</v>
      </c>
      <c r="Q1190" s="2"/>
      <c r="R1190" s="298">
        <f>'Rate Design Work'!R1186</f>
        <v>0.23</v>
      </c>
      <c r="S1190" s="1"/>
      <c r="T1190" s="2">
        <f>'Rate Design Work'!T1186</f>
        <v>0</v>
      </c>
      <c r="U1190" s="2"/>
      <c r="V1190" s="298">
        <f>'Rate Design Work'!V1186</f>
        <v>0.95</v>
      </c>
      <c r="W1190" s="1"/>
      <c r="X1190" s="2">
        <f>'Rate Design Work'!X1186</f>
        <v>0</v>
      </c>
      <c r="Y1190" s="20"/>
      <c r="AC1190" s="74">
        <v>39</v>
      </c>
      <c r="AD1190" s="664">
        <f>D1190/AC1190</f>
        <v>6.8461538461538463E-2</v>
      </c>
      <c r="AE1190" s="20"/>
      <c r="AF1190" s="20"/>
      <c r="AG1190" s="20"/>
      <c r="AH1190" s="20"/>
      <c r="AI1190" s="20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</row>
    <row r="1191" spans="1:47">
      <c r="A1191" s="3" t="s">
        <v>612</v>
      </c>
      <c r="B1191" s="1"/>
      <c r="C1191" s="21">
        <v>0</v>
      </c>
      <c r="D1191" s="298">
        <v>4.6500000000000004</v>
      </c>
      <c r="E1191" s="1"/>
      <c r="F1191" s="412">
        <f>D1191*C1191</f>
        <v>0</v>
      </c>
      <c r="G1191" s="298">
        <v>4.6500000000000004</v>
      </c>
      <c r="H1191" s="1"/>
      <c r="I1191" s="412">
        <f t="shared" si="265"/>
        <v>0</v>
      </c>
      <c r="J1191" s="298">
        <f>'Rate Design Work'!J1187</f>
        <v>4.8600000000000003</v>
      </c>
      <c r="K1191" s="1"/>
      <c r="L1191" s="2">
        <f t="shared" si="266"/>
        <v>0</v>
      </c>
      <c r="M1191" s="2"/>
      <c r="N1191" s="298">
        <f>'Rate Design Work'!N1187</f>
        <v>2.82</v>
      </c>
      <c r="O1191" s="1"/>
      <c r="P1191" s="2">
        <f>'Rate Design Work'!P1187</f>
        <v>0</v>
      </c>
      <c r="Q1191" s="2"/>
      <c r="R1191" s="298">
        <f>'Rate Design Work'!R1187</f>
        <v>0.4</v>
      </c>
      <c r="S1191" s="1"/>
      <c r="T1191" s="2">
        <f>'Rate Design Work'!T1187</f>
        <v>0</v>
      </c>
      <c r="U1191" s="2"/>
      <c r="V1191" s="298">
        <f>'Rate Design Work'!V1187</f>
        <v>1.64</v>
      </c>
      <c r="W1191" s="1"/>
      <c r="X1191" s="2">
        <f>'Rate Design Work'!X1187</f>
        <v>0</v>
      </c>
      <c r="Y1191" s="20"/>
      <c r="AC1191" s="74">
        <v>68</v>
      </c>
      <c r="AD1191" s="664">
        <f>D1191/AC1191</f>
        <v>6.8382352941176477E-2</v>
      </c>
      <c r="AE1191" s="20"/>
      <c r="AF1191" s="20"/>
      <c r="AG1191" s="20"/>
      <c r="AH1191" s="20"/>
      <c r="AI1191" s="20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</row>
    <row r="1192" spans="1:47">
      <c r="A1192" s="3" t="s">
        <v>613</v>
      </c>
      <c r="B1192" s="1"/>
      <c r="C1192" s="21">
        <v>0</v>
      </c>
      <c r="D1192" s="298">
        <v>6.43</v>
      </c>
      <c r="E1192" s="1"/>
      <c r="F1192" s="412">
        <f>D1192*C1192</f>
        <v>0</v>
      </c>
      <c r="G1192" s="298">
        <v>6.43</v>
      </c>
      <c r="H1192" s="1"/>
      <c r="I1192" s="412">
        <f t="shared" si="265"/>
        <v>0</v>
      </c>
      <c r="J1192" s="298">
        <f>'Rate Design Work'!J1188</f>
        <v>6.7299999999999995</v>
      </c>
      <c r="K1192" s="1"/>
      <c r="L1192" s="2">
        <f t="shared" si="266"/>
        <v>0</v>
      </c>
      <c r="M1192" s="2"/>
      <c r="N1192" s="298">
        <f>'Rate Design Work'!N1188</f>
        <v>3.9</v>
      </c>
      <c r="O1192" s="1"/>
      <c r="P1192" s="2">
        <f>'Rate Design Work'!P1188</f>
        <v>0</v>
      </c>
      <c r="Q1192" s="2"/>
      <c r="R1192" s="298">
        <f>'Rate Design Work'!R1188</f>
        <v>0.56000000000000005</v>
      </c>
      <c r="S1192" s="1"/>
      <c r="T1192" s="2">
        <f>'Rate Design Work'!T1188</f>
        <v>0</v>
      </c>
      <c r="U1192" s="2"/>
      <c r="V1192" s="298">
        <f>'Rate Design Work'!V1188</f>
        <v>2.27</v>
      </c>
      <c r="W1192" s="1"/>
      <c r="X1192" s="2">
        <f>'Rate Design Work'!X1188</f>
        <v>0</v>
      </c>
      <c r="Y1192" s="20" t="s">
        <v>31</v>
      </c>
      <c r="AC1192" s="74">
        <v>94</v>
      </c>
      <c r="AD1192" s="664">
        <f>D1192/AC1192</f>
        <v>6.8404255319148927E-2</v>
      </c>
      <c r="AE1192" s="20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</row>
    <row r="1193" spans="1:47">
      <c r="A1193" s="3" t="s">
        <v>614</v>
      </c>
      <c r="B1193" s="1"/>
      <c r="C1193" s="21">
        <v>0</v>
      </c>
      <c r="D1193" s="298">
        <v>10.18</v>
      </c>
      <c r="E1193" s="1"/>
      <c r="F1193" s="412">
        <f>D1193*C1193</f>
        <v>0</v>
      </c>
      <c r="G1193" s="298">
        <v>10.18</v>
      </c>
      <c r="H1193" s="1"/>
      <c r="I1193" s="412">
        <f t="shared" si="265"/>
        <v>0</v>
      </c>
      <c r="J1193" s="298">
        <f>'Rate Design Work'!J1189</f>
        <v>10.65</v>
      </c>
      <c r="K1193" s="1"/>
      <c r="L1193" s="2">
        <f t="shared" si="266"/>
        <v>0</v>
      </c>
      <c r="M1193" s="2"/>
      <c r="N1193" s="298">
        <f>'Rate Design Work'!N1189</f>
        <v>6.17</v>
      </c>
      <c r="O1193" s="1"/>
      <c r="P1193" s="2">
        <f>'Rate Design Work'!P1189</f>
        <v>0</v>
      </c>
      <c r="Q1193" s="2"/>
      <c r="R1193" s="298">
        <f>'Rate Design Work'!R1189</f>
        <v>0.89</v>
      </c>
      <c r="S1193" s="1"/>
      <c r="T1193" s="2">
        <f>'Rate Design Work'!T1189</f>
        <v>0</v>
      </c>
      <c r="U1193" s="2"/>
      <c r="V1193" s="298">
        <f>'Rate Design Work'!V1189</f>
        <v>3.59</v>
      </c>
      <c r="W1193" s="1"/>
      <c r="X1193" s="2">
        <f>'Rate Design Work'!X1189</f>
        <v>0</v>
      </c>
      <c r="Y1193" s="20"/>
      <c r="AC1193" s="74">
        <v>149</v>
      </c>
      <c r="AD1193" s="664">
        <f>D1193/AC1193</f>
        <v>6.8322147651006707E-2</v>
      </c>
      <c r="AE1193" s="20"/>
      <c r="AF1193" s="20"/>
      <c r="AG1193" s="20"/>
      <c r="AH1193" s="20"/>
      <c r="AI1193" s="20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</row>
    <row r="1194" spans="1:47">
      <c r="A1194" s="3" t="s">
        <v>615</v>
      </c>
      <c r="B1194" s="1"/>
      <c r="C1194" s="21">
        <v>0</v>
      </c>
      <c r="D1194" s="298">
        <v>24.19</v>
      </c>
      <c r="E1194" s="1"/>
      <c r="F1194" s="412">
        <f>D1194*C1194</f>
        <v>0</v>
      </c>
      <c r="G1194" s="298">
        <v>24.19</v>
      </c>
      <c r="H1194" s="1"/>
      <c r="I1194" s="412">
        <f t="shared" si="265"/>
        <v>0</v>
      </c>
      <c r="J1194" s="298">
        <f>'Rate Design Work'!J1190</f>
        <v>25.3</v>
      </c>
      <c r="K1194" s="1"/>
      <c r="L1194" s="2">
        <f t="shared" si="266"/>
        <v>0</v>
      </c>
      <c r="M1194" s="2"/>
      <c r="N1194" s="298">
        <f>'Rate Design Work'!N1190</f>
        <v>14.66</v>
      </c>
      <c r="O1194" s="1"/>
      <c r="P1194" s="2">
        <f>'Rate Design Work'!P1190</f>
        <v>0</v>
      </c>
      <c r="Q1194" s="2"/>
      <c r="R1194" s="298">
        <f>'Rate Design Work'!R1190</f>
        <v>2.1</v>
      </c>
      <c r="S1194" s="1"/>
      <c r="T1194" s="2">
        <f>'Rate Design Work'!T1190</f>
        <v>0</v>
      </c>
      <c r="U1194" s="2"/>
      <c r="V1194" s="298">
        <f>'Rate Design Work'!V1190</f>
        <v>8.5399999999999991</v>
      </c>
      <c r="W1194" s="1"/>
      <c r="X1194" s="2">
        <f>'Rate Design Work'!X1190</f>
        <v>0</v>
      </c>
      <c r="Y1194" s="20"/>
      <c r="AC1194" s="74">
        <v>354</v>
      </c>
      <c r="AD1194" s="664">
        <f>D1194/AC1194</f>
        <v>6.8333333333333343E-2</v>
      </c>
      <c r="AE1194" s="20" t="s">
        <v>31</v>
      </c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</row>
    <row r="1195" spans="1:47">
      <c r="A1195" s="1"/>
      <c r="B1195" s="1"/>
      <c r="C1195" s="21"/>
      <c r="D1195" s="298"/>
      <c r="E1195" s="1"/>
      <c r="F1195" s="412"/>
      <c r="G1195" s="298"/>
      <c r="H1195" s="1"/>
      <c r="I1195" s="412"/>
      <c r="J1195" s="298"/>
      <c r="K1195" s="1"/>
      <c r="L1195" s="2"/>
      <c r="M1195" s="2"/>
      <c r="N1195" s="298"/>
      <c r="O1195" s="1"/>
      <c r="P1195" s="2"/>
      <c r="Q1195" s="2"/>
      <c r="R1195" s="298"/>
      <c r="S1195" s="1"/>
      <c r="T1195" s="2"/>
      <c r="U1195" s="2"/>
      <c r="V1195" s="298"/>
      <c r="W1195" s="1"/>
      <c r="X1195" s="2"/>
      <c r="Y1195" s="20"/>
      <c r="AC1195" s="74"/>
      <c r="AD1195" s="74"/>
      <c r="AE1195" s="20"/>
      <c r="AF1195" s="20"/>
      <c r="AG1195" s="20"/>
      <c r="AH1195" s="20"/>
      <c r="AI1195" s="20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</row>
    <row r="1196" spans="1:47">
      <c r="A1196" s="1" t="s">
        <v>616</v>
      </c>
      <c r="B1196" s="1"/>
      <c r="C1196" s="264">
        <f>[57]Sheet1!$E$7+[57]Sheet1!$E$9+[57]Sheet1!$E$10+[57]Sheet1!$E$11+[57]Sheet1!$E$12+[57]Sheet1!$E$13+[57]Sheet1!$E$14+[57]Sheet1!$E$16+[57]Sheet1!$E$17+[57]Sheet1!$E$18+[57]Sheet1!$E$19+[57]Sheet1!$E$20+[57]Sheet1!$E$21+[57]Sheet1!$E$22+[57]Sheet1!$E$23</f>
        <v>1191736.3691355635</v>
      </c>
      <c r="D1196" s="382">
        <v>6.8330000000000002</v>
      </c>
      <c r="E1196" s="1" t="s">
        <v>374</v>
      </c>
      <c r="F1196" s="414">
        <f>ROUND(C1196*D1196/100,0)</f>
        <v>81431</v>
      </c>
      <c r="G1196" s="382">
        <v>6.8330000000000002</v>
      </c>
      <c r="H1196" s="1" t="s">
        <v>374</v>
      </c>
      <c r="I1196" s="414">
        <f>ROUND(G1196*C1196/100,0)</f>
        <v>81431</v>
      </c>
      <c r="J1196" s="382">
        <f>'Rate Design Work'!J1192</f>
        <v>7.1470000000000002</v>
      </c>
      <c r="K1196" s="1" t="s">
        <v>374</v>
      </c>
      <c r="L1196" s="2">
        <f>J1196*C1196/100</f>
        <v>85173.398302118716</v>
      </c>
      <c r="M1196" s="2"/>
      <c r="N1196" s="382">
        <f>'Rate Design Work'!N1192</f>
        <v>4.1825686879399306</v>
      </c>
      <c r="O1196" s="1" t="s">
        <v>374</v>
      </c>
      <c r="P1196" s="2">
        <f>'Rate Design Work'!P1192</f>
        <v>49845</v>
      </c>
      <c r="Q1196" s="2"/>
      <c r="R1196" s="382">
        <f>'Rate Design Work'!R1192</f>
        <v>0.58587291684960541</v>
      </c>
      <c r="S1196" s="1" t="s">
        <v>374</v>
      </c>
      <c r="T1196" s="2">
        <f>'Rate Design Work'!T1192</f>
        <v>6982</v>
      </c>
      <c r="U1196" s="2"/>
      <c r="V1196" s="382">
        <f>'Rate Design Work'!V1192</f>
        <v>2.3775355081262677</v>
      </c>
      <c r="W1196" s="1" t="s">
        <v>374</v>
      </c>
      <c r="X1196" s="2">
        <f>'Rate Design Work'!X1192</f>
        <v>28334</v>
      </c>
      <c r="Y1196" s="20"/>
      <c r="Z1196" s="84">
        <f>(C1196*(4167/3940)-C1196)*J1200/100</f>
        <v>4907.1983285738397</v>
      </c>
      <c r="AA1196" s="88" t="s">
        <v>1077</v>
      </c>
      <c r="AC1196" s="74"/>
      <c r="AD1196" s="74"/>
      <c r="AE1196" s="20"/>
      <c r="AF1196" s="20"/>
      <c r="AG1196" s="20"/>
      <c r="AH1196" s="20"/>
      <c r="AI1196" s="20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</row>
    <row r="1197" spans="1:47">
      <c r="A1197" s="1" t="s">
        <v>617</v>
      </c>
      <c r="B1197" s="1"/>
      <c r="C1197" s="264">
        <f>[57]Sheet1!$E$27-C1196</f>
        <v>2268876.9813546995</v>
      </c>
      <c r="D1197" s="421">
        <v>0</v>
      </c>
      <c r="E1197" s="1" t="s">
        <v>31</v>
      </c>
      <c r="F1197" s="414" t="s">
        <v>31</v>
      </c>
      <c r="G1197" s="421">
        <v>0</v>
      </c>
      <c r="H1197" s="1" t="s">
        <v>374</v>
      </c>
      <c r="I1197" s="414">
        <f>ROUND(G1197*C1197/100,0)</f>
        <v>0</v>
      </c>
      <c r="J1197" s="421">
        <v>0</v>
      </c>
      <c r="K1197" s="1" t="s">
        <v>374</v>
      </c>
      <c r="L1197" s="2">
        <f>'Rate Design Work'!L1193</f>
        <v>0</v>
      </c>
      <c r="M1197" s="2"/>
      <c r="N1197" s="421">
        <v>0</v>
      </c>
      <c r="O1197" s="1" t="s">
        <v>374</v>
      </c>
      <c r="P1197" s="2">
        <f>'Rate Design Work'!P1193</f>
        <v>0</v>
      </c>
      <c r="Q1197" s="2"/>
      <c r="R1197" s="421">
        <v>0</v>
      </c>
      <c r="S1197" s="1" t="s">
        <v>374</v>
      </c>
      <c r="T1197" s="2">
        <f>'Rate Design Work'!T1193</f>
        <v>0</v>
      </c>
      <c r="U1197" s="2"/>
      <c r="V1197" s="421">
        <v>0</v>
      </c>
      <c r="W1197" s="1" t="s">
        <v>374</v>
      </c>
      <c r="X1197" s="2">
        <f>'Rate Design Work'!X1193</f>
        <v>0</v>
      </c>
      <c r="Y1197" s="20"/>
      <c r="AC1197" s="74"/>
      <c r="AD1197" s="74">
        <v>211950</v>
      </c>
      <c r="AE1197" s="2">
        <f>C1197*0.06146</f>
        <v>139445.17927405983</v>
      </c>
      <c r="AF1197" s="2"/>
      <c r="AG1197" s="20"/>
      <c r="AH1197" s="20"/>
      <c r="AI1197" s="20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</row>
    <row r="1198" spans="1:47">
      <c r="A1198" s="1" t="s">
        <v>362</v>
      </c>
      <c r="B1198" s="1"/>
      <c r="C1198" s="264">
        <f>[57]Sheet1!$M$27</f>
        <v>1346</v>
      </c>
      <c r="D1198" s="415"/>
      <c r="E1198" s="1"/>
      <c r="F1198" s="2"/>
      <c r="G1198" s="415"/>
      <c r="H1198" s="1"/>
      <c r="I1198" s="2"/>
      <c r="J1198" s="415"/>
      <c r="K1198" s="1"/>
      <c r="L1198" s="2"/>
      <c r="M1198" s="2"/>
      <c r="N1198" s="415"/>
      <c r="O1198" s="1"/>
      <c r="P1198" s="2"/>
      <c r="Q1198" s="2"/>
      <c r="R1198" s="415"/>
      <c r="S1198" s="1"/>
      <c r="T1198" s="2"/>
      <c r="U1198" s="2"/>
      <c r="V1198" s="415"/>
      <c r="W1198" s="1"/>
      <c r="X1198" s="2"/>
      <c r="Y1198" s="20"/>
      <c r="Z1198" s="74"/>
      <c r="AA1198" s="74"/>
      <c r="AB1198" s="74"/>
      <c r="AC1198" s="20"/>
      <c r="AD1198" s="20"/>
      <c r="AE1198" s="20"/>
      <c r="AF1198" s="20"/>
      <c r="AG1198" s="20"/>
      <c r="AH1198" s="20"/>
      <c r="AI1198" s="20"/>
      <c r="AJ1198" s="20"/>
      <c r="AK1198" s="20"/>
      <c r="AL1198" s="20"/>
      <c r="AM1198" s="20"/>
      <c r="AN1198" s="20"/>
      <c r="AO1198" s="20"/>
      <c r="AP1198" s="20"/>
      <c r="AQ1198" s="20"/>
      <c r="AR1198" s="20"/>
      <c r="AS1198" s="20"/>
    </row>
    <row r="1199" spans="1:47" s="1184" customFormat="1">
      <c r="A1199" s="1005" t="s">
        <v>1064</v>
      </c>
      <c r="C1199" s="1202">
        <f>C1201</f>
        <v>3460613.3504902627</v>
      </c>
      <c r="D1199" s="269"/>
      <c r="E1199" s="1185"/>
      <c r="F1199" s="1203"/>
      <c r="G1199" s="269"/>
      <c r="H1199" s="1185"/>
      <c r="I1199" s="1203"/>
      <c r="J1199" s="1230">
        <f>'Rate Design Work'!J1195</f>
        <v>0</v>
      </c>
      <c r="K1199" s="1219" t="s">
        <v>374</v>
      </c>
      <c r="L1199" s="1041">
        <f>ROUND(J1199*$C1199/100,0)</f>
        <v>0</v>
      </c>
      <c r="M1199" s="1041"/>
      <c r="N1199" s="1230" t="str">
        <f>'Rate Design Work'!N1195</f>
        <v xml:space="preserve"> </v>
      </c>
      <c r="O1199" s="1219" t="s">
        <v>374</v>
      </c>
      <c r="P1199" s="2">
        <f>'Rate Design Work'!P1195</f>
        <v>0</v>
      </c>
      <c r="Q1199" s="1041"/>
      <c r="R1199" s="1230" t="str">
        <f>'Rate Design Work'!R1195</f>
        <v xml:space="preserve"> </v>
      </c>
      <c r="S1199" s="1219" t="s">
        <v>374</v>
      </c>
      <c r="T1199" s="2">
        <f>'Rate Design Work'!T1195</f>
        <v>0</v>
      </c>
      <c r="U1199" s="1041"/>
      <c r="V1199" s="1230">
        <f>'Rate Design Work'!V1195</f>
        <v>0</v>
      </c>
      <c r="W1199" s="1219" t="s">
        <v>374</v>
      </c>
      <c r="X1199" s="2">
        <f>'Rate Design Work'!X1195</f>
        <v>0</v>
      </c>
      <c r="Z1199" s="815"/>
      <c r="AC1199" s="1205"/>
      <c r="AD1199" s="1205"/>
      <c r="AI1199" s="1185"/>
      <c r="AJ1199" s="1185"/>
      <c r="AK1199" s="1185"/>
      <c r="AL1199" s="1185"/>
      <c r="AM1199" s="1185"/>
      <c r="AN1199" s="1185"/>
      <c r="AO1199" s="1185"/>
      <c r="AP1199" s="1185"/>
      <c r="AQ1199" s="1185"/>
      <c r="AR1199" s="1185"/>
      <c r="AS1199" s="1185"/>
      <c r="AU1199" s="1204"/>
    </row>
    <row r="1200" spans="1:47" s="1184" customFormat="1">
      <c r="A1200" s="1509" t="s">
        <v>932</v>
      </c>
      <c r="B1200" s="1510"/>
      <c r="C1200" s="1524"/>
      <c r="D1200" s="1512"/>
      <c r="E1200" s="1513"/>
      <c r="F1200" s="1514"/>
      <c r="G1200" s="1526">
        <f>G1196</f>
        <v>6.8330000000000002</v>
      </c>
      <c r="H1200" s="1516" t="s">
        <v>374</v>
      </c>
      <c r="I1200" s="1514"/>
      <c r="J1200" s="1526">
        <f>J1196+J1199</f>
        <v>7.1470000000000002</v>
      </c>
      <c r="K1200" s="1516" t="s">
        <v>374</v>
      </c>
      <c r="L1200" s="1521"/>
      <c r="M1200" s="1521"/>
      <c r="N1200" s="1526">
        <f>N1196+N1199</f>
        <v>4.1825686879399306</v>
      </c>
      <c r="O1200" s="1516" t="s">
        <v>374</v>
      </c>
      <c r="P1200" s="1521"/>
      <c r="Q1200" s="1521"/>
      <c r="R1200" s="1526">
        <f>R1196+R1199</f>
        <v>0.58587291684960541</v>
      </c>
      <c r="S1200" s="1516" t="s">
        <v>374</v>
      </c>
      <c r="T1200" s="1521"/>
      <c r="U1200" s="1521"/>
      <c r="V1200" s="1526">
        <f>V1196+V1199</f>
        <v>2.3775355081262677</v>
      </c>
      <c r="W1200" s="1516" t="s">
        <v>374</v>
      </c>
      <c r="X1200" s="1521"/>
      <c r="Z1200" s="815"/>
      <c r="AA1200" s="826" t="s">
        <v>31</v>
      </c>
      <c r="AC1200" s="1205"/>
      <c r="AD1200" s="1205"/>
      <c r="AI1200" s="1185"/>
      <c r="AJ1200" s="1185"/>
      <c r="AK1200" s="1185"/>
      <c r="AL1200" s="1185"/>
      <c r="AM1200" s="1185"/>
      <c r="AN1200" s="1185"/>
      <c r="AO1200" s="1185"/>
      <c r="AP1200" s="1185"/>
      <c r="AQ1200" s="1185"/>
      <c r="AR1200" s="1185"/>
      <c r="AS1200" s="1185"/>
      <c r="AU1200" s="1204"/>
    </row>
    <row r="1201" spans="1:47">
      <c r="A1201" s="3" t="s">
        <v>491</v>
      </c>
      <c r="C1201" s="264">
        <f>C1196+C1197</f>
        <v>3460613.3504902627</v>
      </c>
      <c r="D1201" s="269"/>
      <c r="E1201" s="20"/>
      <c r="F1201" s="272">
        <f>SUM(F1180:F1197)</f>
        <v>238713.09527766646</v>
      </c>
      <c r="G1201" s="269"/>
      <c r="H1201" s="20"/>
      <c r="I1201" s="272">
        <f>SUM(I1180:I1197)</f>
        <v>238713.09527766646</v>
      </c>
      <c r="J1201" s="269"/>
      <c r="K1201" s="20"/>
      <c r="L1201" s="272">
        <f>SUM(L1180:L1200)</f>
        <v>249435.03212342673</v>
      </c>
      <c r="M1201" s="272"/>
      <c r="N1201" s="269"/>
      <c r="O1201" s="20"/>
      <c r="P1201" s="272">
        <f>SUM(P1180:P1199)</f>
        <v>145974.65090847784</v>
      </c>
      <c r="Q1201" s="272"/>
      <c r="R1201" s="269"/>
      <c r="S1201" s="20"/>
      <c r="T1201" s="272">
        <f>SUM(T1180:T1200)</f>
        <v>20447.385540959483</v>
      </c>
      <c r="U1201" s="272"/>
      <c r="V1201" s="269"/>
      <c r="W1201" s="20"/>
      <c r="X1201" s="272">
        <f>SUM(X1180:X1200)</f>
        <v>83012.597371870681</v>
      </c>
      <c r="Y1201" s="20"/>
      <c r="Z1201" s="74"/>
      <c r="AA1201" s="74"/>
      <c r="AB1201" s="74"/>
      <c r="AC1201" s="20"/>
      <c r="AD1201" s="20"/>
      <c r="AE1201" s="20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</row>
    <row r="1202" spans="1:47">
      <c r="A1202" s="3" t="s">
        <v>492</v>
      </c>
      <c r="C1202" s="264">
        <f>'Table 2'!H122</f>
        <v>-338730.70309951692</v>
      </c>
      <c r="D1202" s="269"/>
      <c r="E1202" s="20"/>
      <c r="F1202" s="272">
        <f>I1202</f>
        <v>-23505.811910458691</v>
      </c>
      <c r="G1202" s="269"/>
      <c r="H1202" s="20"/>
      <c r="I1202" s="272">
        <f>'Table 3'!E122</f>
        <v>-23505.811910458691</v>
      </c>
      <c r="J1202" s="269"/>
      <c r="K1202" s="20"/>
      <c r="L1202" s="272">
        <f>I1202</f>
        <v>-23505.811910458691</v>
      </c>
      <c r="M1202" s="272"/>
      <c r="N1202" s="269"/>
      <c r="O1202" s="20"/>
      <c r="P1202" s="272">
        <f>$L$1202*Y1176/($Y$1176+$Z$1176+$AA$1176)</f>
        <v>-13756.119731182387</v>
      </c>
      <c r="Q1202" s="51"/>
      <c r="R1202" s="309"/>
      <c r="S1202" s="309"/>
      <c r="T1202" s="272">
        <f>$L$1202*Z1176/($Y$1176+$Z$1176+$AA$1176)</f>
        <v>-1926.8871817164959</v>
      </c>
      <c r="U1202" s="51"/>
      <c r="V1202" s="309"/>
      <c r="W1202" s="309"/>
      <c r="X1202" s="272">
        <f>$L$1202*AA1176/($Y$1176+$Z$1176+$AA$1176)</f>
        <v>-7822.8049975598115</v>
      </c>
      <c r="Y1202" s="444"/>
      <c r="Z1202" s="287"/>
      <c r="AA1202" s="74"/>
      <c r="AB1202" s="74"/>
      <c r="AC1202" s="20"/>
      <c r="AD1202" s="20"/>
      <c r="AE1202" s="20"/>
      <c r="AF1202" s="20"/>
      <c r="AG1202" s="20"/>
      <c r="AH1202" s="20"/>
      <c r="AI1202" s="20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</row>
    <row r="1203" spans="1:47" ht="16.5" thickBot="1">
      <c r="A1203" s="1" t="s">
        <v>9</v>
      </c>
      <c r="B1203" s="1"/>
      <c r="C1203" s="393">
        <f>C1201+C1202</f>
        <v>3121882.6473907456</v>
      </c>
      <c r="D1203" s="417"/>
      <c r="E1203" s="418"/>
      <c r="F1203" s="274">
        <f>F1201+F1202</f>
        <v>215207.28336720777</v>
      </c>
      <c r="G1203" s="999"/>
      <c r="H1203" s="345"/>
      <c r="I1203" s="274">
        <f>I1201+I1202</f>
        <v>215207.28336720777</v>
      </c>
      <c r="J1203" s="999"/>
      <c r="K1203" s="345"/>
      <c r="L1203" s="274">
        <f>L1201+L1202</f>
        <v>225929.22021296804</v>
      </c>
      <c r="M1203" s="312"/>
      <c r="N1203" s="999"/>
      <c r="O1203" s="345"/>
      <c r="P1203" s="274">
        <f>P1201+P1202</f>
        <v>132218.53117729546</v>
      </c>
      <c r="Q1203" s="312"/>
      <c r="R1203" s="999"/>
      <c r="S1203" s="345"/>
      <c r="T1203" s="274">
        <f>T1201+T1202</f>
        <v>18520.498359242989</v>
      </c>
      <c r="U1203" s="312"/>
      <c r="V1203" s="999"/>
      <c r="W1203" s="345"/>
      <c r="X1203" s="274">
        <f>X1201+X1202</f>
        <v>75189.792374310869</v>
      </c>
      <c r="Y1203" s="411"/>
      <c r="Z1203" s="470"/>
      <c r="AA1203" s="74"/>
      <c r="AB1203" s="74"/>
      <c r="AC1203" s="20"/>
      <c r="AD1203" s="20"/>
      <c r="AE1203" s="20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</row>
    <row r="1204" spans="1:47" ht="16.5" thickTop="1">
      <c r="A1204" s="1680" t="s">
        <v>1063</v>
      </c>
      <c r="B1204" s="1"/>
      <c r="C1204" s="26"/>
      <c r="D1204" s="422"/>
      <c r="E1204" s="23"/>
      <c r="F1204" s="51"/>
      <c r="G1204" s="422"/>
      <c r="H1204" s="23"/>
      <c r="I1204" s="51"/>
      <c r="J1204" s="422"/>
      <c r="K1204" s="23"/>
      <c r="L1204" s="51"/>
      <c r="M1204" s="51"/>
      <c r="N1204" s="422"/>
      <c r="O1204" s="23"/>
      <c r="P1204" s="51"/>
      <c r="Q1204" s="51"/>
      <c r="R1204" s="422"/>
      <c r="S1204" s="23"/>
      <c r="T1204" s="51"/>
      <c r="U1204" s="51"/>
      <c r="V1204" s="422"/>
      <c r="W1204" s="23"/>
      <c r="X1204" s="51"/>
      <c r="Y1204" s="411"/>
      <c r="Z1204" s="470"/>
      <c r="AA1204" s="74"/>
      <c r="AB1204" s="74"/>
      <c r="AC1204" s="20"/>
      <c r="AD1204" s="20"/>
      <c r="AE1204" s="20"/>
      <c r="AF1204" s="20"/>
      <c r="AG1204" s="20"/>
      <c r="AH1204" s="20"/>
      <c r="AI1204" s="20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</row>
    <row r="1205" spans="1:47">
      <c r="A1205" s="1"/>
      <c r="B1205" s="1"/>
      <c r="C1205" s="26"/>
      <c r="D1205" s="422" t="s">
        <v>31</v>
      </c>
      <c r="E1205" s="23"/>
      <c r="F1205" s="51"/>
      <c r="G1205" s="422" t="s">
        <v>31</v>
      </c>
      <c r="H1205" s="23"/>
      <c r="I1205" s="51"/>
      <c r="J1205" s="422" t="s">
        <v>31</v>
      </c>
      <c r="K1205" s="23"/>
      <c r="L1205" s="51" t="s">
        <v>31</v>
      </c>
      <c r="M1205" s="51"/>
      <c r="N1205" s="422" t="s">
        <v>31</v>
      </c>
      <c r="O1205" s="23"/>
      <c r="P1205" s="51" t="s">
        <v>31</v>
      </c>
      <c r="Q1205" s="51"/>
      <c r="R1205" s="422" t="s">
        <v>31</v>
      </c>
      <c r="S1205" s="23"/>
      <c r="T1205" s="51" t="s">
        <v>31</v>
      </c>
      <c r="U1205" s="51"/>
      <c r="V1205" s="422" t="s">
        <v>31</v>
      </c>
      <c r="W1205" s="23"/>
      <c r="X1205" s="51">
        <f>P1203+T1203+X1203</f>
        <v>225928.82191084931</v>
      </c>
      <c r="Y1205" s="744">
        <f>Y1175</f>
        <v>0.58522206267896359</v>
      </c>
      <c r="Z1205" s="744">
        <f>Z1175</f>
        <v>8.1974925565500054E-2</v>
      </c>
      <c r="AA1205" s="744">
        <f>AA1175</f>
        <v>0.33280301175553639</v>
      </c>
      <c r="AB1205" s="74"/>
      <c r="AC1205" s="20"/>
      <c r="AD1205" s="20"/>
      <c r="AE1205" s="20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</row>
    <row r="1206" spans="1:47">
      <c r="A1206" s="293" t="s">
        <v>499</v>
      </c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2">
        <f>X1205-L1203</f>
        <v>-0.39830211873049848</v>
      </c>
      <c r="Y1206" s="416">
        <f>L1203*Y1205</f>
        <v>132218.76427248295</v>
      </c>
      <c r="Z1206" s="416">
        <f>L1203*Z1205</f>
        <v>18520.531010029525</v>
      </c>
      <c r="AA1206" s="416">
        <f>L1203*AA1205</f>
        <v>75189.924930455571</v>
      </c>
      <c r="AB1206" s="74"/>
      <c r="AC1206" s="20"/>
      <c r="AD1206" s="20"/>
      <c r="AE1206" s="20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</row>
    <row r="1207" spans="1:47">
      <c r="A1207" s="1" t="s">
        <v>500</v>
      </c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20"/>
      <c r="Z1207" s="74"/>
      <c r="AA1207" s="74"/>
      <c r="AB1207" s="74"/>
      <c r="AC1207" s="20"/>
      <c r="AD1207" s="20"/>
      <c r="AE1207" s="20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</row>
    <row r="1208" spans="1:47">
      <c r="A1208" s="1"/>
      <c r="B1208" s="1"/>
      <c r="C1208" s="1"/>
      <c r="D1208" s="419"/>
      <c r="E1208" s="1"/>
      <c r="F1208" s="1"/>
      <c r="G1208" s="419"/>
      <c r="H1208" s="1"/>
      <c r="I1208" s="1"/>
      <c r="J1208" s="419"/>
      <c r="K1208" s="1"/>
      <c r="L1208" s="1"/>
      <c r="M1208" s="1"/>
      <c r="N1208" s="419"/>
      <c r="O1208" s="1"/>
      <c r="P1208" s="1"/>
      <c r="Q1208" s="1"/>
      <c r="R1208" s="419"/>
      <c r="S1208" s="1"/>
      <c r="T1208" s="1"/>
      <c r="U1208" s="1"/>
      <c r="V1208" s="419"/>
      <c r="W1208" s="1"/>
      <c r="X1208" s="1"/>
      <c r="Y1208" s="20"/>
      <c r="Z1208" s="74"/>
      <c r="AA1208" s="74"/>
      <c r="AB1208" s="74"/>
      <c r="AC1208" s="20"/>
      <c r="AD1208" s="20"/>
      <c r="AE1208" s="20"/>
      <c r="AF1208" s="20"/>
      <c r="AG1208" s="20"/>
      <c r="AH1208" s="20"/>
      <c r="AI1208" s="20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</row>
    <row r="1209" spans="1:47">
      <c r="A1209" s="1" t="s">
        <v>488</v>
      </c>
      <c r="B1209" s="1"/>
      <c r="C1209" s="21"/>
      <c r="D1209" s="298"/>
      <c r="E1209" s="1"/>
      <c r="F1209" s="412">
        <v>0</v>
      </c>
      <c r="G1209" s="298"/>
      <c r="H1209" s="1"/>
      <c r="I1209" s="412">
        <v>0</v>
      </c>
      <c r="J1209" s="298"/>
      <c r="K1209" s="1"/>
      <c r="L1209" s="2">
        <f>I1209</f>
        <v>0</v>
      </c>
      <c r="M1209" s="2"/>
      <c r="N1209" s="298"/>
      <c r="O1209" s="1"/>
      <c r="P1209" s="2">
        <f>'Rate Design Work'!P1205</f>
        <v>0</v>
      </c>
      <c r="Q1209" s="2"/>
      <c r="R1209" s="298"/>
      <c r="S1209" s="1"/>
      <c r="T1209" s="2">
        <f>'Rate Design Work'!T1205</f>
        <v>0</v>
      </c>
      <c r="U1209" s="2"/>
      <c r="V1209" s="298"/>
      <c r="W1209" s="1"/>
      <c r="X1209" s="2">
        <f>'Rate Design Work'!X1205</f>
        <v>0</v>
      </c>
      <c r="Y1209" s="20"/>
      <c r="Z1209" s="74"/>
      <c r="AA1209" s="74"/>
      <c r="AB1209" s="74"/>
      <c r="AC1209" s="20"/>
      <c r="AD1209" s="20"/>
      <c r="AE1209" s="20"/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</row>
    <row r="1210" spans="1:47">
      <c r="A1210" s="1" t="s">
        <v>495</v>
      </c>
      <c r="B1210" s="1"/>
      <c r="C1210" s="264">
        <v>0</v>
      </c>
      <c r="D1210" s="382">
        <v>6.8330000000000002</v>
      </c>
      <c r="E1210" s="1" t="s">
        <v>374</v>
      </c>
      <c r="F1210" s="414">
        <f>ROUND(C1210*D1210/100,0)</f>
        <v>0</v>
      </c>
      <c r="G1210" s="382">
        <v>6.8330000000000002</v>
      </c>
      <c r="H1210" s="1" t="s">
        <v>374</v>
      </c>
      <c r="I1210" s="414">
        <f>ROUND(G1210*C1210/100,0)</f>
        <v>0</v>
      </c>
      <c r="J1210" s="382">
        <f>'Rate Design Work'!J1205</f>
        <v>7.1470000000000002</v>
      </c>
      <c r="K1210" s="1" t="s">
        <v>374</v>
      </c>
      <c r="L1210" s="2">
        <f>ROUND(C1210*J1210/100,0)</f>
        <v>0</v>
      </c>
      <c r="M1210" s="2"/>
      <c r="N1210" s="382">
        <f>'Rate Design Work'!N1205</f>
        <v>4.1825686879399306</v>
      </c>
      <c r="O1210" s="1" t="s">
        <v>374</v>
      </c>
      <c r="P1210" s="2">
        <f>'Rate Design Work'!P1206</f>
        <v>48221.712742683922</v>
      </c>
      <c r="Q1210" s="2"/>
      <c r="R1210" s="382">
        <f>'Rate Design Work'!R1205</f>
        <v>0.58587291684960541</v>
      </c>
      <c r="S1210" s="1" t="s">
        <v>374</v>
      </c>
      <c r="T1210" s="2">
        <f>'Rate Design Work'!T1206</f>
        <v>6754.6518916716386</v>
      </c>
      <c r="U1210" s="2"/>
      <c r="V1210" s="382">
        <f>'Rate Design Work'!V1205</f>
        <v>2.3775355081262677</v>
      </c>
      <c r="W1210" s="1" t="s">
        <v>374</v>
      </c>
      <c r="X1210" s="2">
        <f>'Rate Design Work'!X1206</f>
        <v>27422.635365644444</v>
      </c>
      <c r="Y1210" s="20"/>
      <c r="Z1210" s="74"/>
      <c r="AA1210" s="74"/>
      <c r="AB1210" s="74"/>
      <c r="AC1210" s="20"/>
      <c r="AD1210" s="20"/>
      <c r="AE1210" s="20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</row>
    <row r="1211" spans="1:47">
      <c r="A1211" s="1" t="s">
        <v>496</v>
      </c>
      <c r="B1211" s="1"/>
      <c r="C1211" s="264">
        <f>[57]Sheet1!$E$28</f>
        <v>1152921</v>
      </c>
      <c r="D1211" s="424">
        <v>6.8330000000000002</v>
      </c>
      <c r="E1211" s="1" t="s">
        <v>374</v>
      </c>
      <c r="F1211" s="414">
        <f>ROUND(C1211*D1211/100,0)</f>
        <v>78779</v>
      </c>
      <c r="G1211" s="424">
        <v>6.8330000000000002</v>
      </c>
      <c r="H1211" s="1" t="s">
        <v>374</v>
      </c>
      <c r="I1211" s="414">
        <f>ROUND(G1211*C1211/100,0)</f>
        <v>78779</v>
      </c>
      <c r="J1211" s="424">
        <f>J1210</f>
        <v>7.1470000000000002</v>
      </c>
      <c r="K1211" s="1" t="s">
        <v>374</v>
      </c>
      <c r="L1211" s="2">
        <f>ROUND(J1211*$C1211/100,0)</f>
        <v>82399</v>
      </c>
      <c r="M1211" s="2"/>
      <c r="N1211" s="424">
        <f>N1210</f>
        <v>4.1825686879399306</v>
      </c>
      <c r="O1211" s="1" t="s">
        <v>374</v>
      </c>
      <c r="P1211" s="2">
        <f>'Rate Design Work'!P1207</f>
        <v>0</v>
      </c>
      <c r="Q1211" s="2"/>
      <c r="R1211" s="424">
        <f>R1210</f>
        <v>0.58587291684960541</v>
      </c>
      <c r="S1211" s="1" t="s">
        <v>374</v>
      </c>
      <c r="T1211" s="2">
        <f>'Rate Design Work'!T1207</f>
        <v>0</v>
      </c>
      <c r="U1211" s="2"/>
      <c r="V1211" s="424">
        <f>V1210</f>
        <v>2.3775355081262677</v>
      </c>
      <c r="W1211" s="1" t="s">
        <v>374</v>
      </c>
      <c r="X1211" s="2">
        <f>'Rate Design Work'!X1207</f>
        <v>0</v>
      </c>
      <c r="Y1211" s="20"/>
      <c r="Z1211" s="74"/>
      <c r="AA1211" s="74"/>
      <c r="AB1211" s="74"/>
      <c r="AC1211" s="20"/>
      <c r="AD1211" s="20"/>
      <c r="AE1211" s="20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</row>
    <row r="1212" spans="1:47">
      <c r="A1212" s="1" t="s">
        <v>362</v>
      </c>
      <c r="B1212" s="1"/>
      <c r="C1212" s="264">
        <f>[57]Sheet1!$M$28</f>
        <v>1259</v>
      </c>
      <c r="D1212" s="415"/>
      <c r="E1212" s="1"/>
      <c r="F1212" s="2"/>
      <c r="G1212" s="415"/>
      <c r="H1212" s="1"/>
      <c r="I1212" s="2"/>
      <c r="J1212" s="415"/>
      <c r="K1212" s="1"/>
      <c r="L1212" s="2"/>
      <c r="M1212" s="2"/>
      <c r="N1212" s="415"/>
      <c r="O1212" s="1"/>
      <c r="P1212" s="2"/>
      <c r="Q1212" s="2"/>
      <c r="R1212" s="415"/>
      <c r="S1212" s="1"/>
      <c r="T1212" s="2"/>
      <c r="U1212" s="2"/>
      <c r="V1212" s="415"/>
      <c r="W1212" s="1"/>
      <c r="X1212" s="2"/>
      <c r="Y1212" s="20"/>
      <c r="Z1212" s="74"/>
      <c r="AA1212" s="74"/>
      <c r="AB1212" s="74"/>
      <c r="AC1212" s="20"/>
      <c r="AD1212" s="20"/>
      <c r="AE1212" s="20"/>
      <c r="AF1212" s="20"/>
      <c r="AG1212" s="20"/>
      <c r="AH1212" s="20"/>
      <c r="AI1212" s="20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</row>
    <row r="1213" spans="1:47" s="1184" customFormat="1">
      <c r="A1213" s="1005" t="s">
        <v>1064</v>
      </c>
      <c r="C1213" s="1202">
        <f>C1214</f>
        <v>1152921</v>
      </c>
      <c r="D1213" s="269"/>
      <c r="E1213" s="1185"/>
      <c r="F1213" s="1203"/>
      <c r="G1213" s="269"/>
      <c r="H1213" s="1185"/>
      <c r="I1213" s="1203"/>
      <c r="J1213" s="1230">
        <f>'Rate Design Work'!J1208</f>
        <v>0</v>
      </c>
      <c r="K1213" s="1219" t="s">
        <v>374</v>
      </c>
      <c r="L1213" s="1041">
        <f>ROUND(J1213*$C1213/100,0)</f>
        <v>0</v>
      </c>
      <c r="M1213" s="1041"/>
      <c r="N1213" s="1230" t="str">
        <f>'Rate Design Work'!N1208</f>
        <v xml:space="preserve"> </v>
      </c>
      <c r="O1213" s="1219" t="s">
        <v>31</v>
      </c>
      <c r="P1213" s="2">
        <f>'Rate Design Work'!T1208</f>
        <v>0</v>
      </c>
      <c r="Q1213" s="1041"/>
      <c r="R1213" s="1230" t="str">
        <f>'Rate Design Work'!R1208</f>
        <v xml:space="preserve"> </v>
      </c>
      <c r="S1213" s="1219" t="s">
        <v>31</v>
      </c>
      <c r="T1213" s="2">
        <f>'Rate Design Work'!T1208</f>
        <v>0</v>
      </c>
      <c r="U1213" s="1041"/>
      <c r="V1213" s="1230">
        <f>'Rate Design Work'!V1208</f>
        <v>0</v>
      </c>
      <c r="W1213" s="1219" t="s">
        <v>374</v>
      </c>
      <c r="X1213" s="1041">
        <f>ROUND(V1213*$C1213/100,0)</f>
        <v>0</v>
      </c>
      <c r="Z1213" s="815"/>
      <c r="AC1213" s="1205"/>
      <c r="AD1213" s="1205"/>
      <c r="AI1213" s="1185"/>
      <c r="AJ1213" s="1185"/>
      <c r="AK1213" s="1185"/>
      <c r="AL1213" s="1185"/>
      <c r="AM1213" s="1185"/>
      <c r="AN1213" s="1185"/>
      <c r="AO1213" s="1185"/>
      <c r="AP1213" s="1185"/>
      <c r="AQ1213" s="1185"/>
      <c r="AR1213" s="1185"/>
      <c r="AS1213" s="1185"/>
      <c r="AU1213" s="1204"/>
    </row>
    <row r="1214" spans="1:47">
      <c r="A1214" s="3" t="s">
        <v>491</v>
      </c>
      <c r="C1214" s="264">
        <f>C1210+C1211</f>
        <v>1152921</v>
      </c>
      <c r="D1214" s="269"/>
      <c r="E1214" s="20"/>
      <c r="F1214" s="272">
        <f>SUM(F1209:F1211)</f>
        <v>78779</v>
      </c>
      <c r="G1214" s="269"/>
      <c r="H1214" s="20"/>
      <c r="I1214" s="272">
        <f>SUM(I1209:I1211)</f>
        <v>78779</v>
      </c>
      <c r="J1214" s="269"/>
      <c r="K1214" s="20"/>
      <c r="L1214" s="272">
        <f>SUM(L1209:L1213)</f>
        <v>82399</v>
      </c>
      <c r="M1214" s="272"/>
      <c r="N1214" s="269"/>
      <c r="O1214" s="20"/>
      <c r="P1214" s="272">
        <f>SUM(P1209:P1213)</f>
        <v>48221.712742683922</v>
      </c>
      <c r="Q1214" s="272"/>
      <c r="R1214" s="269"/>
      <c r="S1214" s="20"/>
      <c r="T1214" s="272">
        <f>SUM(T1209:T1213)</f>
        <v>6754.6518916716386</v>
      </c>
      <c r="U1214" s="272"/>
      <c r="V1214" s="269"/>
      <c r="W1214" s="20"/>
      <c r="X1214" s="272">
        <f>SUM(X1209:X1213)</f>
        <v>27422.635365644444</v>
      </c>
      <c r="Y1214" s="20"/>
      <c r="Z1214" s="74"/>
      <c r="AA1214" s="74"/>
      <c r="AB1214" s="74"/>
      <c r="AC1214" s="20"/>
      <c r="AD1214" s="20"/>
      <c r="AE1214" s="20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</row>
    <row r="1215" spans="1:47">
      <c r="A1215" s="3" t="s">
        <v>492</v>
      </c>
      <c r="C1215" s="264">
        <f>'Table 2'!H123</f>
        <v>-112849.8625519293</v>
      </c>
      <c r="D1215" s="269"/>
      <c r="E1215" s="20"/>
      <c r="F1215" s="272">
        <f>I1215</f>
        <v>-7756.9963437655988</v>
      </c>
      <c r="G1215" s="269"/>
      <c r="H1215" s="20"/>
      <c r="I1215" s="272">
        <f>'Table 3'!E123</f>
        <v>-7756.9963437655988</v>
      </c>
      <c r="J1215" s="269"/>
      <c r="K1215" s="20"/>
      <c r="L1215" s="272">
        <f>I1215</f>
        <v>-7756.9963437655988</v>
      </c>
      <c r="M1215" s="272"/>
      <c r="N1215" s="269"/>
      <c r="O1215" s="20"/>
      <c r="P1215" s="272">
        <f>$L$1215*Y1176/($Y$1176+$Z$1176+$AA$1176)</f>
        <v>-4539.5654004916832</v>
      </c>
      <c r="Q1215" s="51"/>
      <c r="R1215" s="309"/>
      <c r="S1215" s="309"/>
      <c r="T1215" s="272">
        <f>$L$1215*Z1176/($Y$1176+$Z$1176+$AA$1176)</f>
        <v>-635.87919789204102</v>
      </c>
      <c r="U1215" s="51"/>
      <c r="V1215" s="309"/>
      <c r="W1215" s="309"/>
      <c r="X1215" s="272">
        <f>$L$1215*AA1176/($Y$1176+$Z$1176+$AA$1176)</f>
        <v>-2581.5517453818752</v>
      </c>
      <c r="Y1215" s="444"/>
      <c r="Z1215" s="287"/>
      <c r="AA1215" s="74"/>
      <c r="AB1215" s="74"/>
      <c r="AC1215" s="20"/>
      <c r="AD1215" s="20"/>
      <c r="AE1215" s="20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</row>
    <row r="1216" spans="1:47" ht="16.5" thickBot="1">
      <c r="A1216" s="1" t="s">
        <v>9</v>
      </c>
      <c r="B1216" s="1"/>
      <c r="C1216" s="393">
        <f>C1214+C1215</f>
        <v>1040071.1374480707</v>
      </c>
      <c r="D1216" s="417"/>
      <c r="E1216" s="418"/>
      <c r="F1216" s="274">
        <f>F1214+F1215</f>
        <v>71022.003656234403</v>
      </c>
      <c r="G1216" s="999"/>
      <c r="H1216" s="345"/>
      <c r="I1216" s="274">
        <f>I1214+I1215</f>
        <v>71022.003656234403</v>
      </c>
      <c r="J1216" s="999"/>
      <c r="K1216" s="345"/>
      <c r="L1216" s="274">
        <f>L1214+L1215</f>
        <v>74642.003656234403</v>
      </c>
      <c r="M1216" s="312"/>
      <c r="N1216" s="999"/>
      <c r="O1216" s="345"/>
      <c r="P1216" s="274">
        <f>P1214+P1215</f>
        <v>43682.147342192242</v>
      </c>
      <c r="Q1216" s="312"/>
      <c r="R1216" s="999"/>
      <c r="S1216" s="345"/>
      <c r="T1216" s="274">
        <f>T1214+T1215</f>
        <v>6118.7726937795978</v>
      </c>
      <c r="U1216" s="312"/>
      <c r="V1216" s="999"/>
      <c r="W1216" s="345"/>
      <c r="X1216" s="274">
        <f>X1214+X1215</f>
        <v>24841.083620262569</v>
      </c>
      <c r="Y1216" s="411"/>
      <c r="Z1216" s="470"/>
      <c r="AA1216" s="74"/>
      <c r="AB1216" s="74"/>
      <c r="AC1216" s="20"/>
      <c r="AD1216" s="20"/>
      <c r="AE1216" s="20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</row>
    <row r="1217" spans="1:47" ht="16.5" thickTop="1">
      <c r="A1217" s="1680" t="s">
        <v>1063</v>
      </c>
      <c r="B1217" s="1"/>
      <c r="C1217" s="26"/>
      <c r="D1217" s="422"/>
      <c r="E1217" s="23"/>
      <c r="F1217" s="51"/>
      <c r="G1217" s="422"/>
      <c r="H1217" s="23"/>
      <c r="I1217" s="51"/>
      <c r="J1217" s="422"/>
      <c r="K1217" s="23"/>
      <c r="L1217" s="51"/>
      <c r="M1217" s="51"/>
      <c r="N1217" s="422"/>
      <c r="O1217" s="23"/>
      <c r="P1217" s="51"/>
      <c r="Q1217" s="51"/>
      <c r="R1217" s="422"/>
      <c r="S1217" s="23"/>
      <c r="T1217" s="51"/>
      <c r="U1217" s="51"/>
      <c r="V1217" s="422"/>
      <c r="W1217" s="23"/>
      <c r="X1217" s="51"/>
      <c r="Y1217" s="411"/>
      <c r="Z1217" s="470"/>
      <c r="AA1217" s="74"/>
      <c r="AB1217" s="74"/>
      <c r="AC1217" s="20"/>
      <c r="AD1217" s="20"/>
      <c r="AE1217" s="20"/>
      <c r="AF1217" s="20"/>
      <c r="AG1217" s="20"/>
      <c r="AH1217" s="20"/>
      <c r="AI1217" s="20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</row>
    <row r="1218" spans="1:47">
      <c r="A1218" s="1"/>
      <c r="B1218" s="1"/>
      <c r="C1218" s="26"/>
      <c r="D1218" s="422"/>
      <c r="E1218" s="23"/>
      <c r="F1218" s="51"/>
      <c r="G1218" s="422"/>
      <c r="H1218" s="23"/>
      <c r="I1218" s="51"/>
      <c r="J1218" s="422"/>
      <c r="K1218" s="23"/>
      <c r="L1218" s="51"/>
      <c r="M1218" s="51"/>
      <c r="N1218" s="422"/>
      <c r="O1218" s="23"/>
      <c r="P1218" s="51"/>
      <c r="Q1218" s="51"/>
      <c r="R1218" s="422"/>
      <c r="S1218" s="23"/>
      <c r="T1218" s="51"/>
      <c r="U1218" s="51"/>
      <c r="V1218" s="422"/>
      <c r="W1218" s="23"/>
      <c r="X1218" s="51"/>
      <c r="Y1218" s="744">
        <f>Y1175</f>
        <v>0.58522206267896359</v>
      </c>
      <c r="Z1218" s="744">
        <f t="shared" ref="Z1218:AA1218" si="267">Z1175</f>
        <v>8.1974925565500054E-2</v>
      </c>
      <c r="AA1218" s="744">
        <f t="shared" si="267"/>
        <v>0.33280301175553639</v>
      </c>
      <c r="AB1218" s="74"/>
      <c r="AC1218" s="20"/>
      <c r="AD1218" s="20"/>
      <c r="AE1218" s="20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</row>
    <row r="1219" spans="1:47" hidden="1">
      <c r="A1219" s="1"/>
      <c r="B1219" s="1"/>
      <c r="C1219" s="26"/>
      <c r="D1219" s="422"/>
      <c r="E1219" s="23"/>
      <c r="F1219" s="51"/>
      <c r="G1219" s="422"/>
      <c r="H1219" s="23"/>
      <c r="I1219" s="51"/>
      <c r="J1219" s="422"/>
      <c r="K1219" s="23"/>
      <c r="L1219" s="51"/>
      <c r="M1219" s="51"/>
      <c r="N1219" s="422"/>
      <c r="O1219" s="23"/>
      <c r="P1219" s="51"/>
      <c r="Q1219" s="51"/>
      <c r="R1219" s="422"/>
      <c r="S1219" s="23"/>
      <c r="T1219" s="51"/>
      <c r="U1219" s="51"/>
      <c r="V1219" s="422"/>
      <c r="W1219" s="23"/>
      <c r="X1219" s="51"/>
      <c r="Y1219" s="416">
        <f>L1216*Y1218</f>
        <v>43682.147342192242</v>
      </c>
      <c r="Z1219" s="416">
        <f>L1216*Z1218</f>
        <v>6118.7726937795978</v>
      </c>
      <c r="AA1219" s="416">
        <f>L1216*AA1218</f>
        <v>24841.083620262569</v>
      </c>
      <c r="AB1219" s="74"/>
      <c r="AC1219" s="20"/>
      <c r="AD1219" s="20"/>
      <c r="AE1219" s="20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</row>
    <row r="1220" spans="1:47" hidden="1">
      <c r="A1220" s="1"/>
      <c r="B1220" s="1"/>
      <c r="C1220" s="26"/>
      <c r="D1220" s="422" t="s">
        <v>31</v>
      </c>
      <c r="E1220" s="23"/>
      <c r="F1220" s="51"/>
      <c r="G1220" s="422" t="s">
        <v>31</v>
      </c>
      <c r="H1220" s="23"/>
      <c r="I1220" s="51"/>
      <c r="J1220" s="422" t="s">
        <v>31</v>
      </c>
      <c r="K1220" s="23"/>
      <c r="L1220" s="51" t="s">
        <v>31</v>
      </c>
      <c r="M1220" s="51"/>
      <c r="N1220" s="422" t="s">
        <v>31</v>
      </c>
      <c r="O1220" s="23"/>
      <c r="P1220" s="51" t="s">
        <v>31</v>
      </c>
      <c r="Q1220" s="51"/>
      <c r="R1220" s="422" t="s">
        <v>31</v>
      </c>
      <c r="S1220" s="23"/>
      <c r="T1220" s="51" t="s">
        <v>31</v>
      </c>
      <c r="U1220" s="51"/>
      <c r="V1220" s="422" t="s">
        <v>31</v>
      </c>
      <c r="W1220" s="23"/>
      <c r="X1220" s="51" t="s">
        <v>31</v>
      </c>
      <c r="Y1220" s="20"/>
      <c r="Z1220" s="74"/>
      <c r="AA1220" s="74"/>
      <c r="AB1220" s="74"/>
      <c r="AC1220" s="20"/>
      <c r="AD1220" s="20"/>
      <c r="AE1220" s="20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</row>
    <row r="1221" spans="1:47">
      <c r="A1221" s="293" t="s">
        <v>501</v>
      </c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 t="s">
        <v>31</v>
      </c>
      <c r="M1221" s="1"/>
      <c r="N1221" s="1"/>
      <c r="O1221" s="1"/>
      <c r="P1221" s="1" t="s">
        <v>31</v>
      </c>
      <c r="Q1221" s="1"/>
      <c r="R1221" s="1"/>
      <c r="S1221" s="1"/>
      <c r="T1221" s="1" t="s">
        <v>31</v>
      </c>
      <c r="U1221" s="1"/>
      <c r="V1221" s="1"/>
      <c r="W1221" s="1"/>
      <c r="X1221" s="1" t="s">
        <v>31</v>
      </c>
      <c r="Y1221" s="20"/>
      <c r="Z1221" s="74"/>
      <c r="AA1221" s="74"/>
      <c r="AB1221" s="74"/>
      <c r="AC1221" s="20"/>
      <c r="AD1221" s="20"/>
      <c r="AE1221" s="20"/>
      <c r="AF1221" s="20"/>
      <c r="AG1221" s="20"/>
      <c r="AH1221" s="20"/>
      <c r="AI1221" s="20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</row>
    <row r="1222" spans="1:47">
      <c r="A1222" s="1" t="s">
        <v>192</v>
      </c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20"/>
      <c r="Z1222" s="74"/>
      <c r="AA1222" s="74"/>
      <c r="AB1222" s="74"/>
      <c r="AC1222" s="20"/>
      <c r="AD1222" s="20"/>
      <c r="AE1222" s="20"/>
      <c r="AF1222" s="20"/>
      <c r="AG1222" s="20"/>
      <c r="AH1222" s="20"/>
      <c r="AI1222" s="20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</row>
    <row r="1223" spans="1:47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20"/>
      <c r="Z1223" s="74"/>
      <c r="AA1223" s="74"/>
      <c r="AB1223" s="74"/>
      <c r="AC1223" s="20"/>
      <c r="AD1223" s="20"/>
      <c r="AE1223" s="20"/>
      <c r="AF1223" s="20"/>
      <c r="AG1223" s="20"/>
      <c r="AH1223" s="20"/>
      <c r="AI1223" s="20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</row>
    <row r="1224" spans="1:47">
      <c r="A1224" s="1" t="s">
        <v>502</v>
      </c>
      <c r="B1224" s="1"/>
      <c r="C1224" s="21">
        <f>[58]Sheet1!$E$2</f>
        <v>178</v>
      </c>
      <c r="D1224" s="298">
        <v>3.75</v>
      </c>
      <c r="E1224" s="1"/>
      <c r="F1224" s="2">
        <f>ROUND(D1224*C1224,0)</f>
        <v>668</v>
      </c>
      <c r="G1224" s="298">
        <v>3.75</v>
      </c>
      <c r="H1224" s="1"/>
      <c r="I1224" s="2">
        <f>ROUND(C1224*G1224,0)</f>
        <v>668</v>
      </c>
      <c r="J1224" s="298">
        <f>'Rate Design Work'!J1218</f>
        <v>3.75</v>
      </c>
      <c r="K1224" s="1"/>
      <c r="L1224" s="2">
        <f>ROUND(J1224*$C1224,0)</f>
        <v>668</v>
      </c>
      <c r="M1224" s="2"/>
      <c r="N1224" s="298">
        <f>'Rate Design Work'!N1218</f>
        <v>3.75</v>
      </c>
      <c r="O1224" s="1"/>
      <c r="P1224" s="2">
        <f>'Rate Design Work'!P1218</f>
        <v>668</v>
      </c>
      <c r="Q1224" s="2"/>
      <c r="R1224" s="298" t="str">
        <f>'Rate Design Work'!R1218</f>
        <v xml:space="preserve"> </v>
      </c>
      <c r="S1224" s="1"/>
      <c r="T1224" s="2">
        <f>'Rate Design Work'!T1218</f>
        <v>0</v>
      </c>
      <c r="U1224" s="2"/>
      <c r="V1224" s="298" t="str">
        <f>'Rate Design Work'!V1218</f>
        <v xml:space="preserve"> </v>
      </c>
      <c r="W1224" s="1"/>
      <c r="X1224" s="2">
        <f>'Rate Design Work'!X1218</f>
        <v>0</v>
      </c>
      <c r="Y1224" s="20"/>
      <c r="Z1224" s="425"/>
      <c r="AA1224" s="425"/>
      <c r="AB1224" s="425"/>
      <c r="AC1224" s="20"/>
      <c r="AD1224" s="20"/>
      <c r="AE1224" s="20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</row>
    <row r="1225" spans="1:47">
      <c r="A1225" s="1" t="s">
        <v>503</v>
      </c>
      <c r="B1225" s="1"/>
      <c r="C1225" s="21">
        <f>[58]Sheet1!$E$3</f>
        <v>181.73333333333301</v>
      </c>
      <c r="D1225" s="298">
        <v>6.75</v>
      </c>
      <c r="E1225" s="1"/>
      <c r="F1225" s="2">
        <f>ROUND(D1225*C1225,0)</f>
        <v>1227</v>
      </c>
      <c r="G1225" s="298">
        <v>6.75</v>
      </c>
      <c r="H1225" s="1"/>
      <c r="I1225" s="2">
        <f>ROUND(C1225*G1225,0)</f>
        <v>1227</v>
      </c>
      <c r="J1225" s="298">
        <f>'Rate Design Work'!J1219</f>
        <v>6.75</v>
      </c>
      <c r="K1225" s="1"/>
      <c r="L1225" s="2">
        <f>ROUND(J1225*$C1225,0)</f>
        <v>1227</v>
      </c>
      <c r="M1225" s="2"/>
      <c r="N1225" s="298">
        <f>'Rate Design Work'!N1219</f>
        <v>6.75</v>
      </c>
      <c r="O1225" s="1"/>
      <c r="P1225" s="2">
        <f>'Rate Design Work'!P1219</f>
        <v>1227</v>
      </c>
      <c r="Q1225" s="2"/>
      <c r="R1225" s="298" t="str">
        <f>'Rate Design Work'!R1219</f>
        <v xml:space="preserve"> </v>
      </c>
      <c r="S1225" s="1"/>
      <c r="T1225" s="2">
        <f>'Rate Design Work'!T1219</f>
        <v>0</v>
      </c>
      <c r="U1225" s="2"/>
      <c r="V1225" s="298" t="str">
        <f>'Rate Design Work'!V1219</f>
        <v xml:space="preserve"> </v>
      </c>
      <c r="W1225" s="1"/>
      <c r="X1225" s="2">
        <f>'Rate Design Work'!X1219</f>
        <v>0</v>
      </c>
      <c r="Y1225" s="20"/>
      <c r="Z1225" s="425"/>
      <c r="AA1225" s="425"/>
      <c r="AB1225" s="425"/>
      <c r="AC1225" s="20"/>
      <c r="AD1225" s="20"/>
      <c r="AE1225" s="20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</row>
    <row r="1226" spans="1:47">
      <c r="A1226" s="1" t="s">
        <v>504</v>
      </c>
      <c r="B1226" s="1"/>
      <c r="C1226" s="21">
        <f>SUM(C1224:C1225)</f>
        <v>359.73333333333301</v>
      </c>
      <c r="D1226" s="374"/>
      <c r="E1226" s="1"/>
      <c r="F1226" s="414"/>
      <c r="G1226" s="374"/>
      <c r="H1226" s="1"/>
      <c r="I1226" s="414"/>
      <c r="J1226" s="374"/>
      <c r="K1226" s="1"/>
      <c r="L1226" s="2"/>
      <c r="M1226" s="2"/>
      <c r="N1226" s="374"/>
      <c r="O1226" s="1"/>
      <c r="P1226" s="2"/>
      <c r="Q1226" s="2"/>
      <c r="R1226" s="374"/>
      <c r="S1226" s="1"/>
      <c r="T1226" s="2"/>
      <c r="U1226" s="2"/>
      <c r="V1226" s="374"/>
      <c r="W1226" s="1"/>
      <c r="X1226" s="2"/>
      <c r="Y1226" s="20"/>
      <c r="Z1226" s="425"/>
      <c r="AA1226" s="425"/>
      <c r="AB1226" s="425"/>
      <c r="AC1226" s="20"/>
      <c r="AD1226" s="20"/>
      <c r="AE1226" s="20"/>
      <c r="AF1226" s="20"/>
      <c r="AG1226" s="20"/>
      <c r="AH1226" s="20"/>
      <c r="AI1226" s="20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</row>
    <row r="1227" spans="1:47">
      <c r="A1227" s="1" t="s">
        <v>464</v>
      </c>
      <c r="B1227" s="1"/>
      <c r="C1227" s="21">
        <f>[58]Sheet1!$D$5</f>
        <v>295386</v>
      </c>
      <c r="D1227" s="327">
        <v>8.1110000000000007</v>
      </c>
      <c r="E1227" s="1" t="s">
        <v>374</v>
      </c>
      <c r="F1227" s="414">
        <f>ROUND(C1227*D1227/100,0)</f>
        <v>23959</v>
      </c>
      <c r="G1227" s="327">
        <v>8.1110000000000007</v>
      </c>
      <c r="H1227" s="2" t="s">
        <v>374</v>
      </c>
      <c r="I1227" s="414">
        <f>ROUND(G1227*C1227/100,0)</f>
        <v>23959</v>
      </c>
      <c r="J1227" s="327">
        <f>'Rate Design Work'!J1221</f>
        <v>6.242</v>
      </c>
      <c r="K1227" s="2" t="s">
        <v>374</v>
      </c>
      <c r="L1227" s="2">
        <f>ROUND(J1227*$C1227/100,0)</f>
        <v>18438</v>
      </c>
      <c r="M1227" s="2"/>
      <c r="N1227" s="327">
        <f>'Rate Design Work'!N1221</f>
        <v>4.7346813636585203</v>
      </c>
      <c r="O1227" s="2" t="s">
        <v>374</v>
      </c>
      <c r="P1227" s="2">
        <f>'Rate Design Work'!P1221</f>
        <v>13985.585892856356</v>
      </c>
      <c r="Q1227" s="2"/>
      <c r="R1227" s="327">
        <f>'Rate Design Work'!R1221</f>
        <v>0.7530727861663753</v>
      </c>
      <c r="S1227" s="2" t="s">
        <v>374</v>
      </c>
      <c r="T1227" s="2">
        <f>'Rate Design Work'!T1221</f>
        <v>2224.4715801454095</v>
      </c>
      <c r="U1227" s="2"/>
      <c r="V1227" s="327">
        <f>'Rate Design Work'!V1221</f>
        <v>0.75424784079077356</v>
      </c>
      <c r="W1227" s="2" t="s">
        <v>374</v>
      </c>
      <c r="X1227" s="2">
        <f>'Rate Design Work'!X1221</f>
        <v>2227.9425269982344</v>
      </c>
      <c r="Y1227" s="20"/>
      <c r="Z1227" s="425"/>
      <c r="AA1227" s="425"/>
      <c r="AB1227" s="425"/>
      <c r="AC1227" s="20"/>
      <c r="AD1227" s="20"/>
      <c r="AE1227" s="20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</row>
    <row r="1228" spans="1:47" s="1184" customFormat="1">
      <c r="A1228" s="1005" t="s">
        <v>1035</v>
      </c>
      <c r="C1228" s="1202">
        <f>C1230</f>
        <v>295386</v>
      </c>
      <c r="D1228" s="269"/>
      <c r="E1228" s="1185"/>
      <c r="F1228" s="1203"/>
      <c r="G1228" s="269"/>
      <c r="H1228" s="1185"/>
      <c r="I1228" s="1203"/>
      <c r="J1228" s="1230">
        <f>'Rate Design Work'!J1222</f>
        <v>2.3029999999999999</v>
      </c>
      <c r="K1228" s="1041" t="s">
        <v>374</v>
      </c>
      <c r="L1228" s="1041">
        <f>ROUND(J1228*$C1228/100,0)</f>
        <v>6803</v>
      </c>
      <c r="M1228" s="1041"/>
      <c r="N1228" s="1230" t="str">
        <f>'Rate Design Work'!N1222</f>
        <v xml:space="preserve"> </v>
      </c>
      <c r="O1228" s="1219" t="s">
        <v>31</v>
      </c>
      <c r="P1228" s="2">
        <f>'Rate Design Work'!P1222</f>
        <v>0</v>
      </c>
      <c r="Q1228" s="1203"/>
      <c r="R1228" s="1230" t="str">
        <f>'Rate Design Work'!R1222</f>
        <v xml:space="preserve"> </v>
      </c>
      <c r="S1228" s="1219" t="s">
        <v>31</v>
      </c>
      <c r="T1228" s="2">
        <f>'Rate Design Work'!T1222</f>
        <v>0</v>
      </c>
      <c r="U1228" s="1203"/>
      <c r="V1228" s="1230">
        <f>'Rate Design Work'!V1222</f>
        <v>2.3029999999999999</v>
      </c>
      <c r="W1228" s="1219" t="s">
        <v>374</v>
      </c>
      <c r="X1228" s="2">
        <f>'Rate Design Work'!X1222</f>
        <v>6803</v>
      </c>
      <c r="Y1228" s="1204">
        <f>'NPC Spread'!J54</f>
        <v>6802.2580688136959</v>
      </c>
      <c r="Z1228" s="815" t="s">
        <v>913</v>
      </c>
      <c r="AC1228" s="1205"/>
      <c r="AD1228" s="1205"/>
      <c r="AI1228" s="1185"/>
      <c r="AJ1228" s="1185"/>
      <c r="AK1228" s="1185"/>
      <c r="AL1228" s="1185"/>
      <c r="AM1228" s="1185"/>
      <c r="AN1228" s="1185"/>
      <c r="AO1228" s="1185"/>
      <c r="AP1228" s="1185"/>
      <c r="AQ1228" s="1185"/>
      <c r="AR1228" s="1185"/>
      <c r="AS1228" s="1185"/>
      <c r="AU1228" s="1204"/>
    </row>
    <row r="1229" spans="1:47" s="1184" customFormat="1">
      <c r="A1229" s="1509" t="s">
        <v>931</v>
      </c>
      <c r="B1229" s="1510"/>
      <c r="C1229" s="1524"/>
      <c r="D1229" s="1512"/>
      <c r="E1229" s="1513"/>
      <c r="F1229" s="1514"/>
      <c r="G1229" s="1520">
        <f>G1227</f>
        <v>8.1110000000000007</v>
      </c>
      <c r="H1229" s="1514" t="s">
        <v>374</v>
      </c>
      <c r="I1229" s="1514"/>
      <c r="J1229" s="1520">
        <f>J1227+J1228</f>
        <v>8.5449999999999999</v>
      </c>
      <c r="K1229" s="1514" t="s">
        <v>374</v>
      </c>
      <c r="L1229" s="1521"/>
      <c r="M1229" s="1521"/>
      <c r="N1229" s="1520">
        <f>N1227+N1228</f>
        <v>4.7346813636585203</v>
      </c>
      <c r="O1229" s="1514" t="s">
        <v>374</v>
      </c>
      <c r="P1229" s="1521"/>
      <c r="Q1229" s="1521"/>
      <c r="R1229" s="1520">
        <f>R1227+R1228</f>
        <v>0.7530727861663753</v>
      </c>
      <c r="S1229" s="1514" t="s">
        <v>374</v>
      </c>
      <c r="T1229" s="1521"/>
      <c r="U1229" s="1521"/>
      <c r="V1229" s="1520">
        <f>V1227+V1228</f>
        <v>3.0572478407907733</v>
      </c>
      <c r="W1229" s="1514" t="s">
        <v>374</v>
      </c>
      <c r="X1229" s="1521"/>
      <c r="Y1229" s="1204"/>
      <c r="Z1229" s="815"/>
      <c r="AA1229" s="1190"/>
      <c r="AC1229" s="1205"/>
      <c r="AD1229" s="1205"/>
      <c r="AI1229" s="1185"/>
      <c r="AJ1229" s="1185"/>
      <c r="AK1229" s="1185"/>
      <c r="AL1229" s="1185"/>
      <c r="AM1229" s="1185"/>
      <c r="AN1229" s="1185"/>
      <c r="AO1229" s="1185"/>
      <c r="AP1229" s="1185"/>
      <c r="AQ1229" s="1185"/>
      <c r="AR1229" s="1185"/>
      <c r="AS1229" s="1185"/>
      <c r="AU1229" s="1204"/>
    </row>
    <row r="1230" spans="1:47">
      <c r="A1230" s="1" t="s">
        <v>381</v>
      </c>
      <c r="B1230" s="1"/>
      <c r="C1230" s="319">
        <f>SUM(C1227)</f>
        <v>295386</v>
      </c>
      <c r="D1230" s="21"/>
      <c r="E1230" s="21"/>
      <c r="F1230" s="414">
        <f>SUM(F1224:F1227)</f>
        <v>25854</v>
      </c>
      <c r="G1230" s="21"/>
      <c r="H1230" s="2"/>
      <c r="I1230" s="414">
        <f>SUM(I1224:I1227)</f>
        <v>25854</v>
      </c>
      <c r="J1230" s="21"/>
      <c r="K1230" s="2"/>
      <c r="L1230" s="414">
        <f>SUM(L1224:L1229)</f>
        <v>27136</v>
      </c>
      <c r="M1230" s="414"/>
      <c r="N1230" s="21"/>
      <c r="O1230" s="2"/>
      <c r="P1230" s="414">
        <f>SUM(P1224:P1229)</f>
        <v>15880.585892856356</v>
      </c>
      <c r="Q1230" s="414"/>
      <c r="R1230" s="21"/>
      <c r="S1230" s="2"/>
      <c r="T1230" s="414">
        <f>SUM(T1224:T1229)</f>
        <v>2224.4715801454095</v>
      </c>
      <c r="U1230" s="414"/>
      <c r="V1230" s="21"/>
      <c r="W1230" s="2"/>
      <c r="X1230" s="414">
        <f>SUM(X1224:X1229)</f>
        <v>9030.9425269982348</v>
      </c>
      <c r="Y1230" s="20"/>
      <c r="Z1230" s="74"/>
      <c r="AA1230" s="74"/>
      <c r="AB1230" s="74"/>
      <c r="AC1230" s="20"/>
      <c r="AD1230" s="20"/>
      <c r="AE1230" s="20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</row>
    <row r="1231" spans="1:47">
      <c r="A1231" s="1" t="s">
        <v>363</v>
      </c>
      <c r="B1231" s="1"/>
      <c r="C1231" s="349">
        <f>'Table 2'!H53</f>
        <v>-835.54696208078599</v>
      </c>
      <c r="D1231" s="427"/>
      <c r="E1231" s="427"/>
      <c r="F1231" s="428">
        <f>I1231</f>
        <v>-63.975508227073483</v>
      </c>
      <c r="G1231" s="1000"/>
      <c r="H1231" s="1000"/>
      <c r="I1231" s="428">
        <f>'Table 3'!E53</f>
        <v>-63.975508227073483</v>
      </c>
      <c r="J1231" s="1000"/>
      <c r="K1231" s="1000"/>
      <c r="L1231" s="428">
        <f>I1231</f>
        <v>-63.975508227073483</v>
      </c>
      <c r="M1231" s="1529"/>
      <c r="N1231" s="1000"/>
      <c r="O1231" s="1000"/>
      <c r="P1231" s="428">
        <f>$L$1231*Y1235/($Y$1235+$Z$1235+$AA$1235)</f>
        <v>-37.439878885582949</v>
      </c>
      <c r="Q1231" s="51"/>
      <c r="R1231" s="309"/>
      <c r="S1231" s="309"/>
      <c r="T1231" s="428">
        <f>$L$1231*Z1235/($Y$1235+$Z$1235+$AA$1235)</f>
        <v>-5.244387524929385</v>
      </c>
      <c r="U1231" s="51"/>
      <c r="V1231" s="309"/>
      <c r="W1231" s="309"/>
      <c r="X1231" s="428">
        <f>$L$1231*AA1235/($Y$1235+$Z$1235+$AA$1235)</f>
        <v>-21.291241816561151</v>
      </c>
      <c r="Y1231" s="289"/>
      <c r="Z1231" s="290"/>
      <c r="AA1231" s="74"/>
      <c r="AB1231" s="74"/>
      <c r="AC1231" s="20"/>
      <c r="AD1231" s="20"/>
      <c r="AE1231" s="20"/>
      <c r="AF1231" s="20"/>
      <c r="AG1231" s="20"/>
      <c r="AH1231" s="20"/>
      <c r="AI1231" s="20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</row>
    <row r="1232" spans="1:47" ht="16.5" thickBot="1">
      <c r="A1232" s="1" t="s">
        <v>382</v>
      </c>
      <c r="B1232" s="1"/>
      <c r="C1232" s="366">
        <f>C1230+C1231</f>
        <v>294550.45303791919</v>
      </c>
      <c r="D1232" s="345"/>
      <c r="E1232" s="345"/>
      <c r="F1232" s="312">
        <f>F1230+F1231</f>
        <v>25790.024491772925</v>
      </c>
      <c r="G1232" s="345"/>
      <c r="H1232" s="345"/>
      <c r="I1232" s="312">
        <f>I1230+I1231</f>
        <v>25790.024491772925</v>
      </c>
      <c r="J1232" s="345"/>
      <c r="K1232" s="345"/>
      <c r="L1232" s="312">
        <f>L1230+L1231</f>
        <v>27072.024491772925</v>
      </c>
      <c r="M1232" s="312"/>
      <c r="N1232" s="345"/>
      <c r="O1232" s="345"/>
      <c r="P1232" s="312">
        <f>P1230+P1231</f>
        <v>15843.146013970772</v>
      </c>
      <c r="Q1232" s="312"/>
      <c r="R1232" s="345"/>
      <c r="S1232" s="345"/>
      <c r="T1232" s="312">
        <f>T1230+T1231</f>
        <v>2219.2271926204799</v>
      </c>
      <c r="U1232" s="312"/>
      <c r="V1232" s="345"/>
      <c r="W1232" s="345"/>
      <c r="X1232" s="312">
        <f>X1230+X1231</f>
        <v>9009.6512851816733</v>
      </c>
      <c r="Y1232" s="788" t="s">
        <v>409</v>
      </c>
      <c r="Z1232" s="809">
        <f ca="1">'Rate Spread targets'!Q29*1000</f>
        <v>27073.239726945041</v>
      </c>
      <c r="AA1232" s="818">
        <f>(L1232-I1232)/I1232</f>
        <v>4.9709142401511128E-2</v>
      </c>
      <c r="AB1232" s="74"/>
      <c r="AC1232" s="20"/>
      <c r="AD1232" s="20"/>
      <c r="AE1232" s="20"/>
      <c r="AF1232" s="20"/>
      <c r="AG1232" s="20"/>
      <c r="AH1232" s="20"/>
      <c r="AI1232" s="20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</row>
    <row r="1233" spans="1:45" ht="16.5" thickTop="1">
      <c r="A1233" s="1"/>
      <c r="B1233" s="313"/>
      <c r="C1233" s="1"/>
      <c r="D1233" s="1" t="s">
        <v>31</v>
      </c>
      <c r="E1233" s="1"/>
      <c r="F1233" s="1"/>
      <c r="G1233" s="1" t="s">
        <v>31</v>
      </c>
      <c r="H1233" s="1"/>
      <c r="I1233" s="1"/>
      <c r="J1233" s="1" t="s">
        <v>31</v>
      </c>
      <c r="K1233" s="1"/>
      <c r="L1233" s="2" t="s">
        <v>31</v>
      </c>
      <c r="M1233" s="2"/>
      <c r="N1233" s="1" t="s">
        <v>31</v>
      </c>
      <c r="O1233" s="1"/>
      <c r="P1233" s="2" t="s">
        <v>31</v>
      </c>
      <c r="Q1233" s="2"/>
      <c r="R1233" s="1" t="s">
        <v>31</v>
      </c>
      <c r="S1233" s="1"/>
      <c r="T1233" s="2" t="s">
        <v>31</v>
      </c>
      <c r="U1233" s="2"/>
      <c r="V1233" s="1" t="s">
        <v>31</v>
      </c>
      <c r="W1233" s="1"/>
      <c r="X1233" s="2" t="s">
        <v>31</v>
      </c>
      <c r="Y1233" s="789" t="s">
        <v>263</v>
      </c>
      <c r="Z1233" s="811">
        <f ca="1">Z1232-L1232</f>
        <v>1.2152351721160812</v>
      </c>
      <c r="AA1233" s="814" t="s">
        <v>31</v>
      </c>
      <c r="AB1233" s="276"/>
      <c r="AC1233" s="20"/>
      <c r="AD1233" s="20"/>
      <c r="AE1233" s="20"/>
      <c r="AF1233" s="20"/>
      <c r="AG1233" s="20"/>
      <c r="AH1233" s="20"/>
      <c r="AI1233" s="20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</row>
    <row r="1234" spans="1:45" hidden="1">
      <c r="A1234" s="1"/>
      <c r="B1234" s="313"/>
      <c r="C1234" s="1"/>
      <c r="D1234" s="1"/>
      <c r="E1234" s="1"/>
      <c r="F1234" s="1"/>
      <c r="G1234" s="1"/>
      <c r="H1234" s="1"/>
      <c r="I1234" s="1"/>
      <c r="J1234" s="1"/>
      <c r="K1234" s="1"/>
      <c r="L1234" s="2"/>
      <c r="M1234" s="2"/>
      <c r="N1234" s="1"/>
      <c r="O1234" s="1"/>
      <c r="P1234" s="2"/>
      <c r="Q1234" s="2"/>
      <c r="R1234" s="1"/>
      <c r="S1234" s="1"/>
      <c r="T1234" s="2"/>
      <c r="U1234" s="2"/>
      <c r="V1234" s="1"/>
      <c r="W1234" s="1"/>
      <c r="X1234" s="2"/>
      <c r="Y1234" s="744">
        <f>Y30</f>
        <v>0.58522206267896359</v>
      </c>
      <c r="Z1234" s="744">
        <f>Z30</f>
        <v>8.1974925565500054E-2</v>
      </c>
      <c r="AA1234" s="744">
        <f>AA30</f>
        <v>0.33280301175553639</v>
      </c>
      <c r="AB1234" s="276"/>
      <c r="AC1234" s="20"/>
      <c r="AD1234" s="20"/>
      <c r="AE1234" s="20"/>
      <c r="AF1234" s="20"/>
      <c r="AG1234" s="20"/>
      <c r="AH1234" s="20"/>
      <c r="AI1234" s="20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</row>
    <row r="1235" spans="1:45" hidden="1">
      <c r="A1235" s="1"/>
      <c r="B1235" s="313"/>
      <c r="C1235" s="1"/>
      <c r="D1235" s="1"/>
      <c r="E1235" s="1"/>
      <c r="F1235" s="1"/>
      <c r="G1235" s="1"/>
      <c r="H1235" s="1"/>
      <c r="I1235" s="1"/>
      <c r="J1235" s="1"/>
      <c r="K1235" s="1"/>
      <c r="L1235" s="2"/>
      <c r="M1235" s="2"/>
      <c r="N1235" s="1"/>
      <c r="O1235" s="1"/>
      <c r="P1235" s="2"/>
      <c r="Q1235" s="2"/>
      <c r="R1235" s="1"/>
      <c r="S1235" s="1"/>
      <c r="T1235" s="2"/>
      <c r="U1235" s="2"/>
      <c r="V1235" s="1"/>
      <c r="W1235" s="1"/>
      <c r="X1235" s="2"/>
      <c r="Y1235" s="416">
        <f>L1232*Y1234</f>
        <v>15843.146013970772</v>
      </c>
      <c r="Z1235" s="416">
        <f>L1232*Z1234</f>
        <v>2219.2271926204799</v>
      </c>
      <c r="AA1235" s="416">
        <f>L1232*AA1234</f>
        <v>9009.6512851816733</v>
      </c>
      <c r="AB1235" s="276"/>
      <c r="AC1235" s="20"/>
      <c r="AD1235" s="20"/>
      <c r="AE1235" s="20"/>
      <c r="AF1235" s="20"/>
      <c r="AG1235" s="20"/>
      <c r="AH1235" s="20"/>
      <c r="AI1235" s="20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</row>
    <row r="1236" spans="1:45">
      <c r="A1236" s="262" t="s">
        <v>505</v>
      </c>
      <c r="B1236" s="303"/>
      <c r="C1236" s="303"/>
      <c r="D1236" s="303"/>
      <c r="E1236" s="303"/>
      <c r="F1236" s="303"/>
      <c r="G1236" s="303"/>
      <c r="H1236" s="303"/>
      <c r="I1236" s="303"/>
      <c r="J1236" s="303"/>
      <c r="K1236" s="303"/>
      <c r="L1236" s="303"/>
      <c r="M1236" s="303"/>
      <c r="N1236" s="303"/>
      <c r="O1236" s="303"/>
      <c r="P1236" s="303"/>
      <c r="Q1236" s="303"/>
      <c r="R1236" s="303"/>
      <c r="S1236" s="303"/>
      <c r="T1236" s="303"/>
      <c r="U1236" s="303"/>
      <c r="V1236" s="303"/>
      <c r="W1236" s="303"/>
      <c r="X1236" s="303"/>
      <c r="Y1236" s="20"/>
      <c r="Z1236" s="74"/>
      <c r="AA1236" s="74"/>
      <c r="AB1236" s="74"/>
      <c r="AC1236" s="20"/>
      <c r="AD1236" s="20"/>
      <c r="AE1236" s="20"/>
      <c r="AF1236" s="20"/>
      <c r="AG1236" s="20"/>
      <c r="AH1236" s="20"/>
      <c r="AI1236" s="20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</row>
    <row r="1237" spans="1:45">
      <c r="A1237" s="303" t="s">
        <v>506</v>
      </c>
      <c r="B1237" s="303"/>
      <c r="C1237" s="303"/>
      <c r="D1237" s="303"/>
      <c r="E1237" s="303"/>
      <c r="F1237" s="303"/>
      <c r="G1237" s="303"/>
      <c r="H1237" s="303"/>
      <c r="I1237" s="303"/>
      <c r="J1237" s="303"/>
      <c r="K1237" s="303"/>
      <c r="L1237" s="303"/>
      <c r="M1237" s="303"/>
      <c r="N1237" s="303"/>
      <c r="O1237" s="303"/>
      <c r="P1237" s="303"/>
      <c r="Q1237" s="303"/>
      <c r="R1237" s="303"/>
      <c r="S1237" s="303"/>
      <c r="T1237" s="303"/>
      <c r="U1237" s="303"/>
      <c r="V1237" s="303"/>
      <c r="W1237" s="303"/>
      <c r="X1237" s="303"/>
      <c r="Y1237" s="278"/>
      <c r="Z1237" s="278"/>
      <c r="AA1237" s="278"/>
      <c r="AB1237" s="278"/>
      <c r="AC1237" s="278"/>
      <c r="AD1237" s="278"/>
      <c r="AE1237" s="278"/>
      <c r="AF1237" s="278"/>
      <c r="AG1237" s="278"/>
      <c r="AH1237" s="278"/>
      <c r="AI1237" s="278"/>
      <c r="AJ1237" s="278"/>
      <c r="AK1237" s="278"/>
      <c r="AL1237" s="278"/>
      <c r="AM1237" s="278"/>
      <c r="AN1237" s="278"/>
      <c r="AO1237" s="20"/>
      <c r="AP1237" s="20"/>
      <c r="AQ1237" s="20"/>
      <c r="AR1237" s="20"/>
      <c r="AS1237" s="20"/>
    </row>
    <row r="1238" spans="1:45">
      <c r="A1238" s="430" t="s">
        <v>507</v>
      </c>
      <c r="B1238" s="303"/>
      <c r="C1238" s="303"/>
      <c r="D1238" s="303"/>
      <c r="E1238" s="303"/>
      <c r="F1238" s="303"/>
      <c r="G1238" s="303"/>
      <c r="H1238" s="303"/>
      <c r="I1238" s="303"/>
      <c r="J1238" s="303"/>
      <c r="K1238" s="303"/>
      <c r="L1238" s="303"/>
      <c r="M1238" s="303"/>
      <c r="N1238" s="303"/>
      <c r="O1238" s="303"/>
      <c r="P1238" s="303"/>
      <c r="Q1238" s="303"/>
      <c r="R1238" s="303"/>
      <c r="S1238" s="303"/>
      <c r="T1238" s="303"/>
      <c r="U1238" s="303"/>
      <c r="V1238" s="303"/>
      <c r="W1238" s="303"/>
      <c r="X1238" s="303"/>
      <c r="Y1238" s="278"/>
      <c r="Z1238" s="278"/>
      <c r="AA1238" s="278"/>
      <c r="AB1238" s="278"/>
      <c r="AC1238" s="278"/>
      <c r="AD1238" s="278"/>
      <c r="AE1238" s="278"/>
      <c r="AF1238" s="278"/>
      <c r="AG1238" s="278"/>
      <c r="AH1238" s="278"/>
      <c r="AI1238" s="278"/>
      <c r="AJ1238" s="278"/>
      <c r="AK1238" s="278"/>
      <c r="AL1238" s="278"/>
      <c r="AM1238" s="278"/>
      <c r="AN1238" s="278"/>
      <c r="AO1238" s="20"/>
      <c r="AP1238" s="20"/>
      <c r="AQ1238" s="20"/>
      <c r="AR1238" s="20"/>
      <c r="AS1238" s="20"/>
    </row>
    <row r="1239" spans="1:45">
      <c r="A1239" s="3" t="s">
        <v>508</v>
      </c>
      <c r="F1239" s="263"/>
      <c r="I1239" s="263"/>
      <c r="Y1239" s="278"/>
      <c r="Z1239" s="278"/>
      <c r="AA1239" s="74"/>
      <c r="AB1239" s="74"/>
      <c r="AC1239" s="279"/>
      <c r="AD1239" s="279"/>
      <c r="AE1239" s="280"/>
      <c r="AF1239" s="280"/>
      <c r="AG1239" s="280"/>
      <c r="AH1239" s="280"/>
      <c r="AI1239" s="431"/>
      <c r="AJ1239" s="282"/>
      <c r="AK1239" s="278"/>
      <c r="AL1239" s="278"/>
      <c r="AM1239" s="278"/>
      <c r="AN1239" s="278"/>
      <c r="AO1239" s="20"/>
      <c r="AP1239" s="20"/>
      <c r="AQ1239" s="20"/>
      <c r="AR1239" s="20"/>
      <c r="AS1239" s="20"/>
    </row>
    <row r="1240" spans="1:45">
      <c r="A1240" s="3" t="s">
        <v>354</v>
      </c>
      <c r="C1240" s="264">
        <f>[59]Sheet1!$F$2</f>
        <v>13341.9529241649</v>
      </c>
      <c r="D1240" s="265">
        <v>9.75</v>
      </c>
      <c r="F1240" s="2">
        <f>ROUND(D1240*$C1240,0)</f>
        <v>130084</v>
      </c>
      <c r="G1240" s="265">
        <v>9.75</v>
      </c>
      <c r="I1240" s="2">
        <f>ROUND(C1240*G1240,0)</f>
        <v>130084</v>
      </c>
      <c r="J1240" s="265">
        <f>'Rate Design Work'!J1234</f>
        <v>10.19</v>
      </c>
      <c r="L1240" s="2">
        <f>ROUND(J1240*$C1240,0)</f>
        <v>135955</v>
      </c>
      <c r="M1240" s="2"/>
      <c r="N1240" s="265">
        <f>'Rate Design Work'!N1234</f>
        <v>5.96</v>
      </c>
      <c r="P1240" s="2">
        <f>'Rate Design Work'!P1234</f>
        <v>79563.865531518488</v>
      </c>
      <c r="Q1240" s="2"/>
      <c r="R1240" s="265">
        <f>'Rate Design Work'!R1234</f>
        <v>0.84</v>
      </c>
      <c r="T1240" s="2">
        <f>'Rate Design Work'!T1234</f>
        <v>11144.901005257561</v>
      </c>
      <c r="U1240" s="2"/>
      <c r="V1240" s="265">
        <f>'Rate Design Work'!V1234</f>
        <v>3.39</v>
      </c>
      <c r="X1240" s="2">
        <f>'Rate Design Work'!X1234</f>
        <v>45246.233463223951</v>
      </c>
      <c r="Y1240" s="20"/>
      <c r="Z1240" s="281"/>
      <c r="AA1240" s="74"/>
      <c r="AB1240" s="74"/>
      <c r="AC1240" s="403"/>
      <c r="AD1240" s="403"/>
      <c r="AE1240" s="283"/>
      <c r="AF1240" s="283"/>
      <c r="AG1240" s="283"/>
      <c r="AH1240" s="283"/>
      <c r="AI1240" s="284"/>
      <c r="AJ1240" s="278"/>
      <c r="AK1240" s="281"/>
      <c r="AL1240" s="281"/>
      <c r="AM1240" s="432"/>
      <c r="AN1240" s="281"/>
      <c r="AO1240" s="20"/>
      <c r="AP1240" s="20"/>
      <c r="AQ1240" s="20"/>
      <c r="AR1240" s="20"/>
      <c r="AS1240" s="20"/>
    </row>
    <row r="1241" spans="1:45">
      <c r="A1241" s="3" t="s">
        <v>355</v>
      </c>
      <c r="C1241" s="264">
        <f>[59]Sheet1!$F$4</f>
        <v>1917.0889268557601</v>
      </c>
      <c r="D1241" s="265">
        <v>17.850000000000001</v>
      </c>
      <c r="F1241" s="2">
        <f>ROUND(D1241*$C1241,0)</f>
        <v>34220</v>
      </c>
      <c r="G1241" s="265">
        <v>17.850000000000001</v>
      </c>
      <c r="I1241" s="2">
        <f t="shared" ref="I1241:I1245" si="268">ROUND(C1241*G1241,0)</f>
        <v>34220</v>
      </c>
      <c r="J1241" s="265">
        <f>'Rate Design Work'!J1235</f>
        <v>18.66</v>
      </c>
      <c r="L1241" s="2">
        <f>ROUND(J1241*$C1241,0)</f>
        <v>35773</v>
      </c>
      <c r="M1241" s="2"/>
      <c r="N1241" s="265">
        <f>'Rate Design Work'!N1235</f>
        <v>10.92</v>
      </c>
      <c r="P1241" s="2">
        <f>'Rate Design Work'!P1235</f>
        <v>20935.148848214565</v>
      </c>
      <c r="Q1241" s="2"/>
      <c r="R1241" s="265">
        <f>'Rate Design Work'!R1235</f>
        <v>1.53</v>
      </c>
      <c r="T1241" s="2">
        <f>'Rate Design Work'!T1235</f>
        <v>2932.489012254634</v>
      </c>
      <c r="U1241" s="2"/>
      <c r="V1241" s="265">
        <f>'Rate Design Work'!V1235</f>
        <v>6.21</v>
      </c>
      <c r="X1241" s="2">
        <f>'Rate Design Work'!X1235</f>
        <v>11905.362139530806</v>
      </c>
      <c r="Y1241" s="20"/>
      <c r="Z1241" s="281"/>
      <c r="AA1241" s="74"/>
      <c r="AB1241" s="74"/>
      <c r="AC1241" s="403"/>
      <c r="AD1241" s="403"/>
      <c r="AE1241" s="283"/>
      <c r="AF1241" s="283"/>
      <c r="AG1241" s="283"/>
      <c r="AH1241" s="283"/>
      <c r="AI1241" s="278"/>
      <c r="AJ1241" s="278"/>
      <c r="AK1241" s="281"/>
      <c r="AL1241" s="281"/>
      <c r="AM1241" s="432"/>
      <c r="AN1241" s="281"/>
      <c r="AO1241" s="20"/>
      <c r="AP1241" s="20"/>
      <c r="AQ1241" s="20"/>
      <c r="AR1241" s="20"/>
      <c r="AS1241" s="20"/>
    </row>
    <row r="1242" spans="1:45">
      <c r="A1242" s="3" t="s">
        <v>356</v>
      </c>
      <c r="C1242" s="264">
        <v>0</v>
      </c>
      <c r="D1242" s="265">
        <v>36.1</v>
      </c>
      <c r="F1242" s="2">
        <f>ROUND(D1242*$C1242,0)</f>
        <v>0</v>
      </c>
      <c r="G1242" s="265">
        <v>36.1</v>
      </c>
      <c r="I1242" s="2">
        <f t="shared" si="268"/>
        <v>0</v>
      </c>
      <c r="J1242" s="265">
        <f>'Rate Design Work'!J1236</f>
        <v>37.729999999999997</v>
      </c>
      <c r="L1242" s="2">
        <f>ROUND(J1242*$C1242,0)</f>
        <v>0</v>
      </c>
      <c r="M1242" s="2"/>
      <c r="N1242" s="265">
        <f>'Rate Design Work'!N1236</f>
        <v>22.08</v>
      </c>
      <c r="P1242" s="2">
        <f>'Rate Design Work'!P1236</f>
        <v>0</v>
      </c>
      <c r="Q1242" s="2"/>
      <c r="R1242" s="265">
        <f>'Rate Design Work'!R1236</f>
        <v>3.09</v>
      </c>
      <c r="T1242" s="2">
        <f>'Rate Design Work'!T1236</f>
        <v>0</v>
      </c>
      <c r="U1242" s="2"/>
      <c r="V1242" s="265">
        <f>'Rate Design Work'!V1236</f>
        <v>12.56</v>
      </c>
      <c r="X1242" s="2">
        <f>'Rate Design Work'!X1236</f>
        <v>0</v>
      </c>
      <c r="Y1242" s="20"/>
      <c r="Z1242" s="281"/>
      <c r="AA1242" s="74"/>
      <c r="AB1242" s="74"/>
      <c r="AC1242" s="403"/>
      <c r="AD1242" s="403"/>
      <c r="AE1242" s="283"/>
      <c r="AF1242" s="283"/>
      <c r="AG1242" s="283"/>
      <c r="AH1242" s="283"/>
      <c r="AI1242" s="278"/>
      <c r="AJ1242" s="278"/>
      <c r="AK1242" s="281"/>
      <c r="AL1242" s="281"/>
      <c r="AM1242" s="432"/>
      <c r="AN1242" s="281"/>
      <c r="AO1242" s="20"/>
      <c r="AP1242" s="20"/>
      <c r="AQ1242" s="20"/>
      <c r="AR1242" s="20"/>
      <c r="AS1242" s="20"/>
    </row>
    <row r="1243" spans="1:45">
      <c r="A1243" s="3" t="s">
        <v>509</v>
      </c>
      <c r="C1243" s="264"/>
      <c r="D1243" s="433"/>
      <c r="F1243" s="263"/>
      <c r="G1243" s="433"/>
      <c r="I1243" s="263"/>
      <c r="J1243" s="433"/>
      <c r="N1243" s="433"/>
      <c r="R1243" s="433"/>
      <c r="V1243" s="433"/>
      <c r="Y1243" s="20"/>
      <c r="Z1243" s="281"/>
      <c r="AA1243" s="74"/>
      <c r="AB1243" s="74"/>
      <c r="AC1243" s="20"/>
      <c r="AD1243" s="20"/>
      <c r="AE1243" s="287"/>
      <c r="AF1243" s="287"/>
      <c r="AG1243" s="287"/>
      <c r="AH1243" s="287"/>
      <c r="AI1243" s="278"/>
      <c r="AJ1243" s="278"/>
      <c r="AK1243" s="281"/>
      <c r="AL1243" s="281"/>
      <c r="AM1243" s="432"/>
      <c r="AN1243" s="281"/>
      <c r="AO1243" s="20"/>
      <c r="AP1243" s="20"/>
      <c r="AQ1243" s="20"/>
      <c r="AR1243" s="20"/>
      <c r="AS1243" s="20"/>
    </row>
    <row r="1244" spans="1:45">
      <c r="A1244" s="3" t="s">
        <v>354</v>
      </c>
      <c r="C1244" s="264">
        <f>[59]Sheet1!$F$3</f>
        <v>4255.2648184670697</v>
      </c>
      <c r="D1244" s="265">
        <v>9.15</v>
      </c>
      <c r="F1244" s="2">
        <f>ROUND(D1244*$C1244,0)</f>
        <v>38936</v>
      </c>
      <c r="G1244" s="265">
        <v>9.15</v>
      </c>
      <c r="I1244" s="2">
        <f t="shared" si="268"/>
        <v>38936</v>
      </c>
      <c r="J1244" s="265">
        <f>'Rate Design Work'!J1238</f>
        <v>9.56</v>
      </c>
      <c r="L1244" s="2">
        <f>ROUND(J1244*$C1244,0)</f>
        <v>40680</v>
      </c>
      <c r="M1244" s="2"/>
      <c r="N1244" s="265">
        <f>'Rate Design Work'!N1238</f>
        <v>5.59</v>
      </c>
      <c r="P1244" s="2">
        <f>'Rate Design Work'!P1238</f>
        <v>23806.833509780237</v>
      </c>
      <c r="Q1244" s="2"/>
      <c r="R1244" s="265">
        <f>'Rate Design Work'!R1238</f>
        <v>0.78</v>
      </c>
      <c r="T1244" s="2">
        <f>'Rate Design Work'!T1238</f>
        <v>3334.7399720045428</v>
      </c>
      <c r="U1244" s="2"/>
      <c r="V1244" s="265">
        <f>'Rate Design Work'!V1238</f>
        <v>3.19</v>
      </c>
      <c r="X1244" s="2">
        <f>'Rate Design Work'!X1238</f>
        <v>13538.426518215223</v>
      </c>
      <c r="Y1244" s="20"/>
      <c r="Z1244" s="281"/>
      <c r="AA1244" s="74"/>
      <c r="AB1244" s="74"/>
      <c r="AC1244" s="403"/>
      <c r="AD1244" s="403"/>
      <c r="AE1244" s="283"/>
      <c r="AF1244" s="283"/>
      <c r="AG1244" s="283"/>
      <c r="AH1244" s="283"/>
      <c r="AI1244" s="20"/>
      <c r="AJ1244" s="20"/>
      <c r="AK1244" s="281"/>
      <c r="AL1244" s="281"/>
      <c r="AM1244" s="432"/>
      <c r="AN1244" s="281"/>
      <c r="AO1244" s="20"/>
      <c r="AP1244" s="20"/>
      <c r="AQ1244" s="20"/>
      <c r="AR1244" s="20"/>
      <c r="AS1244" s="20"/>
    </row>
    <row r="1245" spans="1:45">
      <c r="A1245" s="3" t="s">
        <v>355</v>
      </c>
      <c r="C1245" s="264">
        <v>0</v>
      </c>
      <c r="D1245" s="265">
        <v>16.649999999999999</v>
      </c>
      <c r="F1245" s="2">
        <f>ROUND(D1245*$C1245,0)</f>
        <v>0</v>
      </c>
      <c r="G1245" s="265">
        <v>16.649999999999999</v>
      </c>
      <c r="I1245" s="2">
        <f t="shared" si="268"/>
        <v>0</v>
      </c>
      <c r="J1245" s="265">
        <f>'Rate Design Work'!J1239</f>
        <v>17.399999999999999</v>
      </c>
      <c r="L1245" s="2">
        <f>ROUND(J1245*$C1245,0)</f>
        <v>0</v>
      </c>
      <c r="M1245" s="2"/>
      <c r="N1245" s="265">
        <f>'Rate Design Work'!N1239</f>
        <v>10.18</v>
      </c>
      <c r="P1245" s="2">
        <f>'Rate Design Work'!P1239</f>
        <v>0</v>
      </c>
      <c r="Q1245" s="2"/>
      <c r="R1245" s="265">
        <f>'Rate Design Work'!R1239</f>
        <v>1.43</v>
      </c>
      <c r="T1245" s="2">
        <f>'Rate Design Work'!T1239</f>
        <v>0</v>
      </c>
      <c r="U1245" s="2"/>
      <c r="V1245" s="265">
        <f>'Rate Design Work'!V1239</f>
        <v>5.79</v>
      </c>
      <c r="X1245" s="2">
        <f>'Rate Design Work'!X1239</f>
        <v>0</v>
      </c>
      <c r="Y1245" s="20"/>
      <c r="Z1245" s="281"/>
      <c r="AA1245" s="74"/>
      <c r="AB1245" s="74"/>
      <c r="AC1245" s="403"/>
      <c r="AD1245" s="403"/>
      <c r="AE1245" s="283"/>
      <c r="AF1245" s="283"/>
      <c r="AG1245" s="283"/>
      <c r="AH1245" s="283"/>
      <c r="AI1245" s="20"/>
      <c r="AJ1245" s="20"/>
      <c r="AK1245" s="281"/>
      <c r="AL1245" s="281"/>
      <c r="AM1245" s="432"/>
      <c r="AN1245" s="281"/>
      <c r="AO1245" s="20"/>
      <c r="AP1245" s="20"/>
      <c r="AQ1245" s="20"/>
      <c r="AR1245" s="20"/>
      <c r="AS1245" s="20"/>
    </row>
    <row r="1246" spans="1:45">
      <c r="A1246" s="430" t="s">
        <v>510</v>
      </c>
      <c r="C1246" s="264"/>
      <c r="D1246" s="265"/>
      <c r="F1246" s="2"/>
      <c r="G1246" s="265"/>
      <c r="I1246" s="2"/>
      <c r="J1246" s="265"/>
      <c r="L1246" s="2"/>
      <c r="M1246" s="2"/>
      <c r="N1246" s="265"/>
      <c r="P1246" s="2"/>
      <c r="Q1246" s="2"/>
      <c r="R1246" s="265"/>
      <c r="T1246" s="2"/>
      <c r="U1246" s="2"/>
      <c r="V1246" s="265"/>
      <c r="X1246" s="2"/>
      <c r="Y1246" s="20"/>
      <c r="Z1246" s="281"/>
      <c r="AA1246" s="74"/>
      <c r="AB1246" s="74"/>
      <c r="AC1246" s="20"/>
      <c r="AD1246" s="20"/>
      <c r="AE1246" s="20"/>
      <c r="AF1246" s="20"/>
      <c r="AG1246" s="20"/>
      <c r="AH1246" s="20"/>
      <c r="AI1246" s="20"/>
      <c r="AJ1246" s="20"/>
      <c r="AK1246" s="20"/>
      <c r="AL1246" s="20"/>
      <c r="AM1246" s="432"/>
      <c r="AN1246" s="20"/>
      <c r="AO1246" s="20"/>
      <c r="AP1246" s="20"/>
      <c r="AQ1246" s="20"/>
      <c r="AR1246" s="20"/>
      <c r="AS1246" s="20"/>
    </row>
    <row r="1247" spans="1:45">
      <c r="A1247" s="3" t="s">
        <v>508</v>
      </c>
      <c r="C1247" s="264"/>
      <c r="D1247" s="433"/>
      <c r="F1247" s="263"/>
      <c r="G1247" s="433"/>
      <c r="I1247" s="263"/>
      <c r="J1247" s="433"/>
      <c r="N1247" s="433"/>
      <c r="R1247" s="433"/>
      <c r="V1247" s="433"/>
      <c r="Y1247" s="20"/>
      <c r="Z1247" s="74"/>
      <c r="AA1247" s="74"/>
      <c r="AB1247" s="74"/>
      <c r="AC1247" s="20"/>
      <c r="AD1247" s="20"/>
      <c r="AE1247" s="20"/>
      <c r="AF1247" s="20"/>
      <c r="AG1247" s="20"/>
      <c r="AH1247" s="20"/>
      <c r="AI1247" s="20"/>
      <c r="AJ1247" s="20"/>
      <c r="AK1247" s="20"/>
      <c r="AL1247" s="20"/>
      <c r="AM1247" s="432"/>
      <c r="AN1247" s="20"/>
      <c r="AO1247" s="20"/>
      <c r="AP1247" s="20"/>
      <c r="AQ1247" s="20"/>
      <c r="AR1247" s="20"/>
      <c r="AS1247" s="20"/>
    </row>
    <row r="1248" spans="1:45">
      <c r="A1248" s="3" t="s">
        <v>354</v>
      </c>
      <c r="C1248" s="264">
        <f>[59]Sheet1!$F$5</f>
        <v>478.66694057746798</v>
      </c>
      <c r="D1248" s="265">
        <v>12.74</v>
      </c>
      <c r="F1248" s="2">
        <f>ROUND(D1248*$C1248,0)</f>
        <v>6098</v>
      </c>
      <c r="G1248" s="265">
        <v>12.74</v>
      </c>
      <c r="I1248" s="2">
        <f t="shared" ref="I1248:I1250" si="269">ROUND(C1248*G1248,0)</f>
        <v>6098</v>
      </c>
      <c r="J1248" s="265">
        <f>'Rate Design Work'!J1242</f>
        <v>13.32</v>
      </c>
      <c r="L1248" s="2">
        <f>ROUND(J1248*$C1248,0)</f>
        <v>6376</v>
      </c>
      <c r="M1248" s="2"/>
      <c r="N1248" s="265">
        <f>'Rate Design Work'!N1242</f>
        <v>7.8</v>
      </c>
      <c r="P1248" s="2">
        <f>'Rate Design Work'!P1242</f>
        <v>3731.3758716410716</v>
      </c>
      <c r="Q1248" s="2"/>
      <c r="R1248" s="265">
        <f>'Rate Design Work'!R1242</f>
        <v>1.0900000000000001</v>
      </c>
      <c r="T1248" s="2">
        <f>'Rate Design Work'!T1242</f>
        <v>522.67212540562844</v>
      </c>
      <c r="U1248" s="2"/>
      <c r="V1248" s="265">
        <f>'Rate Design Work'!V1242</f>
        <v>4.43</v>
      </c>
      <c r="X1248" s="2">
        <f>'Rate Design Work'!X1242</f>
        <v>2121.9520029533001</v>
      </c>
      <c r="Y1248" s="20"/>
      <c r="Z1248" s="281"/>
      <c r="AA1248" s="74"/>
      <c r="AB1248" s="74"/>
      <c r="AC1248" s="403"/>
      <c r="AD1248" s="403"/>
      <c r="AE1248" s="283"/>
      <c r="AF1248" s="283"/>
      <c r="AG1248" s="283"/>
      <c r="AH1248" s="283"/>
      <c r="AI1248" s="20"/>
      <c r="AJ1248" s="20"/>
      <c r="AK1248" s="281"/>
      <c r="AL1248" s="281"/>
      <c r="AM1248" s="432"/>
      <c r="AN1248" s="281"/>
      <c r="AO1248" s="20"/>
      <c r="AP1248" s="20"/>
      <c r="AQ1248" s="20"/>
      <c r="AR1248" s="20"/>
      <c r="AS1248" s="20"/>
    </row>
    <row r="1249" spans="1:45">
      <c r="A1249" s="3" t="s">
        <v>355</v>
      </c>
      <c r="C1249" s="264">
        <f>[59]Sheet1!$F$6</f>
        <v>396.000225274076</v>
      </c>
      <c r="D1249" s="265">
        <v>21.39</v>
      </c>
      <c r="F1249" s="2">
        <f>ROUND(D1249*$C1249,0)</f>
        <v>8470</v>
      </c>
      <c r="G1249" s="265">
        <v>21.39</v>
      </c>
      <c r="I1249" s="2">
        <f t="shared" si="269"/>
        <v>8470</v>
      </c>
      <c r="J1249" s="265">
        <f>'Rate Design Work'!J1243</f>
        <v>22.36</v>
      </c>
      <c r="L1249" s="2">
        <f>ROUND(J1249*$C1249,0)</f>
        <v>8855</v>
      </c>
      <c r="M1249" s="2"/>
      <c r="N1249" s="265">
        <f>'Rate Design Work'!N1243</f>
        <v>13.09</v>
      </c>
      <c r="P1249" s="2">
        <f>'Rate Design Work'!P1243</f>
        <v>5182.1413650222221</v>
      </c>
      <c r="Q1249" s="2"/>
      <c r="R1249" s="265">
        <f>'Rate Design Work'!R1243</f>
        <v>1.83</v>
      </c>
      <c r="T1249" s="2">
        <f>'Rate Design Work'!T1243</f>
        <v>725.88796588250318</v>
      </c>
      <c r="U1249" s="2"/>
      <c r="V1249" s="265">
        <f>'Rate Design Work'!V1243</f>
        <v>7.44</v>
      </c>
      <c r="X1249" s="2">
        <f>'Rate Design Work'!X1243</f>
        <v>2946.9706690952753</v>
      </c>
      <c r="Y1249" s="20"/>
      <c r="Z1249" s="281"/>
      <c r="AA1249" s="74"/>
      <c r="AB1249" s="74"/>
      <c r="AC1249" s="403"/>
      <c r="AD1249" s="403"/>
      <c r="AE1249" s="283"/>
      <c r="AF1249" s="283"/>
      <c r="AG1249" s="283"/>
      <c r="AH1249" s="283"/>
      <c r="AI1249" s="429"/>
      <c r="AJ1249" s="429"/>
      <c r="AK1249" s="281"/>
      <c r="AL1249" s="281"/>
      <c r="AM1249" s="432"/>
      <c r="AN1249" s="281"/>
      <c r="AO1249" s="20"/>
      <c r="AP1249" s="20"/>
      <c r="AQ1249" s="20"/>
      <c r="AR1249" s="20"/>
      <c r="AS1249" s="20"/>
    </row>
    <row r="1250" spans="1:45">
      <c r="A1250" s="3" t="s">
        <v>356</v>
      </c>
      <c r="C1250" s="264">
        <v>0</v>
      </c>
      <c r="D1250" s="265">
        <v>39.67</v>
      </c>
      <c r="F1250" s="2">
        <f>ROUND(D1250*$C1250,0)</f>
        <v>0</v>
      </c>
      <c r="G1250" s="265">
        <v>39.67</v>
      </c>
      <c r="I1250" s="2">
        <f t="shared" si="269"/>
        <v>0</v>
      </c>
      <c r="J1250" s="265">
        <f>'Rate Design Work'!J1244</f>
        <v>41.47</v>
      </c>
      <c r="L1250" s="2">
        <f>ROUND(J1250*$C1250,0)</f>
        <v>0</v>
      </c>
      <c r="M1250" s="2"/>
      <c r="N1250" s="265">
        <f>'Rate Design Work'!N1244</f>
        <v>24.27</v>
      </c>
      <c r="P1250" s="2">
        <f>'Rate Design Work'!P1244</f>
        <v>0</v>
      </c>
      <c r="Q1250" s="2"/>
      <c r="R1250" s="265">
        <f>'Rate Design Work'!R1244</f>
        <v>3.4</v>
      </c>
      <c r="T1250" s="2">
        <f>'Rate Design Work'!T1244</f>
        <v>0</v>
      </c>
      <c r="U1250" s="2"/>
      <c r="V1250" s="265">
        <f>'Rate Design Work'!V1244</f>
        <v>13.8</v>
      </c>
      <c r="X1250" s="2">
        <f>'Rate Design Work'!X1244</f>
        <v>0</v>
      </c>
      <c r="Y1250" s="20"/>
      <c r="Z1250" s="281"/>
      <c r="AA1250" s="74"/>
      <c r="AB1250" s="74"/>
      <c r="AC1250" s="403"/>
      <c r="AD1250" s="403"/>
      <c r="AE1250" s="283"/>
      <c r="AF1250" s="283"/>
      <c r="AG1250" s="283"/>
      <c r="AH1250" s="283"/>
      <c r="AI1250" s="429"/>
      <c r="AJ1250" s="429"/>
      <c r="AK1250" s="281"/>
      <c r="AL1250" s="281"/>
      <c r="AM1250" s="432"/>
      <c r="AN1250" s="281"/>
      <c r="AO1250" s="20"/>
      <c r="AP1250" s="20"/>
      <c r="AQ1250" s="20"/>
      <c r="AR1250" s="20"/>
      <c r="AS1250" s="20"/>
    </row>
    <row r="1251" spans="1:45">
      <c r="A1251" s="3" t="s">
        <v>509</v>
      </c>
      <c r="C1251" s="264"/>
      <c r="D1251" s="433"/>
      <c r="F1251" s="263"/>
      <c r="G1251" s="433"/>
      <c r="I1251" s="263"/>
      <c r="J1251" s="433"/>
      <c r="N1251" s="433"/>
      <c r="R1251" s="433"/>
      <c r="V1251" s="433"/>
      <c r="Y1251" s="20"/>
      <c r="Z1251" s="20"/>
      <c r="AA1251" s="435"/>
      <c r="AB1251" s="435"/>
      <c r="AC1251" s="435"/>
      <c r="AD1251" s="435"/>
      <c r="AE1251" s="729"/>
      <c r="AF1251" s="729"/>
      <c r="AG1251" s="729"/>
      <c r="AH1251" s="729"/>
      <c r="AI1251" s="429"/>
      <c r="AJ1251" s="429"/>
      <c r="AK1251" s="437"/>
      <c r="AL1251" s="20"/>
      <c r="AM1251" s="432"/>
      <c r="AN1251" s="20"/>
      <c r="AO1251" s="20"/>
      <c r="AP1251" s="20"/>
      <c r="AQ1251" s="20"/>
      <c r="AR1251" s="20"/>
      <c r="AS1251" s="20"/>
    </row>
    <row r="1252" spans="1:45">
      <c r="A1252" s="3" t="s">
        <v>354</v>
      </c>
      <c r="C1252" s="264">
        <v>0</v>
      </c>
      <c r="D1252" s="265">
        <v>12.06</v>
      </c>
      <c r="F1252" s="2">
        <f>ROUND(D1252*$C1252,0)</f>
        <v>0</v>
      </c>
      <c r="G1252" s="265">
        <v>12.06</v>
      </c>
      <c r="I1252" s="2">
        <f t="shared" ref="I1252:I1253" si="270">ROUND(C1252*G1252,0)</f>
        <v>0</v>
      </c>
      <c r="J1252" s="265">
        <f>'Rate Design Work'!J1246</f>
        <v>12.61</v>
      </c>
      <c r="L1252" s="2">
        <f>ROUND(J1252*$C1252,0)</f>
        <v>0</v>
      </c>
      <c r="M1252" s="2"/>
      <c r="N1252" s="265">
        <f>'Rate Design Work'!N1246</f>
        <v>7.38</v>
      </c>
      <c r="P1252" s="2">
        <f>'Rate Design Work'!P1246</f>
        <v>0</v>
      </c>
      <c r="Q1252" s="2"/>
      <c r="R1252" s="265">
        <f>'Rate Design Work'!R1246</f>
        <v>1.03</v>
      </c>
      <c r="T1252" s="2">
        <f>'Rate Design Work'!T1246</f>
        <v>0</v>
      </c>
      <c r="U1252" s="2"/>
      <c r="V1252" s="265">
        <f>'Rate Design Work'!V1246</f>
        <v>4.2</v>
      </c>
      <c r="X1252" s="2">
        <f>'Rate Design Work'!X1246</f>
        <v>0</v>
      </c>
      <c r="Y1252" s="20"/>
      <c r="Z1252" s="281"/>
      <c r="AA1252" s="74"/>
      <c r="AB1252" s="74"/>
      <c r="AC1252" s="403"/>
      <c r="AD1252" s="403"/>
      <c r="AE1252" s="283"/>
      <c r="AF1252" s="283"/>
      <c r="AG1252" s="283"/>
      <c r="AH1252" s="283"/>
      <c r="AI1252" s="429"/>
      <c r="AJ1252" s="429"/>
      <c r="AK1252" s="281"/>
      <c r="AL1252" s="281"/>
      <c r="AM1252" s="432"/>
      <c r="AN1252" s="281"/>
      <c r="AO1252" s="20"/>
      <c r="AP1252" s="20"/>
      <c r="AQ1252" s="20"/>
      <c r="AR1252" s="20"/>
      <c r="AS1252" s="20"/>
    </row>
    <row r="1253" spans="1:45">
      <c r="A1253" s="3" t="s">
        <v>355</v>
      </c>
      <c r="C1253" s="264">
        <v>0</v>
      </c>
      <c r="D1253" s="265">
        <v>20.22</v>
      </c>
      <c r="F1253" s="2">
        <f>ROUND(D1253*$C1253,0)</f>
        <v>0</v>
      </c>
      <c r="G1253" s="265">
        <v>20.22</v>
      </c>
      <c r="I1253" s="2">
        <f t="shared" si="270"/>
        <v>0</v>
      </c>
      <c r="J1253" s="265">
        <f>'Rate Design Work'!J1247</f>
        <v>21.13</v>
      </c>
      <c r="L1253" s="2">
        <f>ROUND(J1253*$C1253,0)</f>
        <v>0</v>
      </c>
      <c r="M1253" s="2"/>
      <c r="N1253" s="265">
        <f>'Rate Design Work'!N1247</f>
        <v>12.37</v>
      </c>
      <c r="P1253" s="2">
        <f>'Rate Design Work'!P1247</f>
        <v>0</v>
      </c>
      <c r="Q1253" s="2"/>
      <c r="R1253" s="265">
        <f>'Rate Design Work'!R1247</f>
        <v>1.73</v>
      </c>
      <c r="T1253" s="2">
        <f>'Rate Design Work'!T1247</f>
        <v>0</v>
      </c>
      <c r="U1253" s="2"/>
      <c r="V1253" s="265">
        <f>'Rate Design Work'!V1247</f>
        <v>7.03</v>
      </c>
      <c r="X1253" s="2">
        <f>'Rate Design Work'!X1247</f>
        <v>0</v>
      </c>
      <c r="Y1253" s="20"/>
      <c r="Z1253" s="281"/>
      <c r="AA1253" s="74"/>
      <c r="AB1253" s="74"/>
      <c r="AC1253" s="403"/>
      <c r="AD1253" s="403"/>
      <c r="AE1253" s="283"/>
      <c r="AF1253" s="283"/>
      <c r="AG1253" s="283"/>
      <c r="AH1253" s="283"/>
      <c r="AI1253" s="429"/>
      <c r="AJ1253" s="429"/>
      <c r="AK1253" s="281"/>
      <c r="AL1253" s="281"/>
      <c r="AM1253" s="432"/>
      <c r="AN1253" s="281"/>
      <c r="AO1253" s="20"/>
      <c r="AP1253" s="20"/>
      <c r="AQ1253" s="20"/>
      <c r="AR1253" s="20"/>
      <c r="AS1253" s="20"/>
    </row>
    <row r="1254" spans="1:45">
      <c r="A1254" s="430" t="s">
        <v>511</v>
      </c>
      <c r="B1254" s="303"/>
      <c r="C1254" s="264"/>
      <c r="D1254" s="433"/>
      <c r="E1254" s="303"/>
      <c r="F1254" s="303"/>
      <c r="G1254" s="433"/>
      <c r="H1254" s="303"/>
      <c r="I1254" s="303"/>
      <c r="J1254" s="433"/>
      <c r="K1254" s="303"/>
      <c r="L1254" s="303"/>
      <c r="M1254" s="303"/>
      <c r="N1254" s="433"/>
      <c r="O1254" s="303"/>
      <c r="P1254" s="303"/>
      <c r="Q1254" s="303"/>
      <c r="R1254" s="433"/>
      <c r="S1254" s="303"/>
      <c r="T1254" s="303"/>
      <c r="U1254" s="303"/>
      <c r="V1254" s="433"/>
      <c r="W1254" s="303"/>
      <c r="X1254" s="303"/>
      <c r="Y1254" s="20"/>
      <c r="Z1254" s="20"/>
      <c r="AA1254" s="435"/>
      <c r="AB1254" s="435"/>
      <c r="AC1254" s="435"/>
      <c r="AD1254" s="435"/>
      <c r="AE1254" s="729"/>
      <c r="AF1254" s="729"/>
      <c r="AG1254" s="729"/>
      <c r="AH1254" s="729"/>
      <c r="AI1254" s="429"/>
      <c r="AJ1254" s="429"/>
      <c r="AK1254" s="437"/>
      <c r="AL1254" s="20"/>
      <c r="AM1254" s="432"/>
      <c r="AN1254" s="20"/>
      <c r="AO1254" s="20"/>
      <c r="AP1254" s="20"/>
      <c r="AQ1254" s="20"/>
      <c r="AR1254" s="20"/>
      <c r="AS1254" s="20"/>
    </row>
    <row r="1255" spans="1:45">
      <c r="A1255" s="3" t="s">
        <v>508</v>
      </c>
      <c r="C1255" s="264"/>
      <c r="D1255" s="433"/>
      <c r="F1255" s="263"/>
      <c r="G1255" s="433"/>
      <c r="I1255" s="263"/>
      <c r="J1255" s="433"/>
      <c r="N1255" s="433"/>
      <c r="R1255" s="433"/>
      <c r="V1255" s="433"/>
      <c r="Y1255" s="20"/>
      <c r="Z1255" s="20"/>
      <c r="AA1255" s="435"/>
      <c r="AB1255" s="435"/>
      <c r="AC1255" s="435"/>
      <c r="AD1255" s="435"/>
      <c r="AE1255" s="729"/>
      <c r="AF1255" s="729"/>
      <c r="AG1255" s="729"/>
      <c r="AH1255" s="729"/>
      <c r="AI1255" s="429"/>
      <c r="AJ1255" s="429"/>
      <c r="AK1255" s="437"/>
      <c r="AL1255" s="20"/>
      <c r="AM1255" s="432"/>
      <c r="AN1255" s="20"/>
      <c r="AO1255" s="20"/>
      <c r="AP1255" s="20"/>
      <c r="AQ1255" s="20"/>
      <c r="AR1255" s="20"/>
      <c r="AS1255" s="20"/>
    </row>
    <row r="1256" spans="1:45">
      <c r="A1256" s="3" t="s">
        <v>354</v>
      </c>
      <c r="C1256" s="264">
        <v>0</v>
      </c>
      <c r="D1256" s="265">
        <v>12.73</v>
      </c>
      <c r="F1256" s="2">
        <f>ROUND(D1256*$C1256,0)</f>
        <v>0</v>
      </c>
      <c r="G1256" s="265">
        <v>12.73</v>
      </c>
      <c r="I1256" s="2">
        <f t="shared" ref="I1256:I1258" si="271">ROUND(C1256*G1256,0)</f>
        <v>0</v>
      </c>
      <c r="J1256" s="265">
        <f>'Rate Design Work'!J1250</f>
        <v>13.31</v>
      </c>
      <c r="L1256" s="2">
        <f>ROUND(J1256*$C1256,0)</f>
        <v>0</v>
      </c>
      <c r="M1256" s="2"/>
      <c r="N1256" s="265">
        <f>'Rate Design Work'!N1250</f>
        <v>7.79</v>
      </c>
      <c r="P1256" s="2">
        <f>'Rate Design Work'!P1250</f>
        <v>0</v>
      </c>
      <c r="Q1256" s="2"/>
      <c r="R1256" s="265">
        <f>'Rate Design Work'!R1250</f>
        <v>1.0900000000000001</v>
      </c>
      <c r="T1256" s="2">
        <f>'Rate Design Work'!T1250</f>
        <v>0</v>
      </c>
      <c r="U1256" s="2"/>
      <c r="V1256" s="265">
        <f>'Rate Design Work'!V1250</f>
        <v>4.43</v>
      </c>
      <c r="X1256" s="2">
        <f>'Rate Design Work'!X1250</f>
        <v>0</v>
      </c>
      <c r="Y1256" s="20"/>
      <c r="Z1256" s="281"/>
      <c r="AA1256" s="74"/>
      <c r="AB1256" s="74"/>
      <c r="AC1256" s="403"/>
      <c r="AD1256" s="403"/>
      <c r="AE1256" s="283"/>
      <c r="AF1256" s="283"/>
      <c r="AG1256" s="283"/>
      <c r="AH1256" s="283"/>
      <c r="AI1256" s="429"/>
      <c r="AJ1256" s="429"/>
      <c r="AK1256" s="281"/>
      <c r="AL1256" s="281"/>
      <c r="AM1256" s="432"/>
      <c r="AN1256" s="281"/>
      <c r="AO1256" s="20"/>
      <c r="AP1256" s="20"/>
      <c r="AQ1256" s="20"/>
      <c r="AR1256" s="20"/>
      <c r="AS1256" s="20"/>
    </row>
    <row r="1257" spans="1:45">
      <c r="A1257" s="3" t="s">
        <v>355</v>
      </c>
      <c r="C1257" s="264">
        <v>0</v>
      </c>
      <c r="D1257" s="265">
        <v>20.7</v>
      </c>
      <c r="F1257" s="2">
        <f>ROUND(D1257*$C1257,0)</f>
        <v>0</v>
      </c>
      <c r="G1257" s="265">
        <v>20.7</v>
      </c>
      <c r="I1257" s="2">
        <f t="shared" si="271"/>
        <v>0</v>
      </c>
      <c r="J1257" s="265">
        <f>'Rate Design Work'!J1251</f>
        <v>21.64</v>
      </c>
      <c r="L1257" s="2">
        <f>ROUND(J1257*$C1257,0)</f>
        <v>0</v>
      </c>
      <c r="M1257" s="2"/>
      <c r="N1257" s="265">
        <f>'Rate Design Work'!N1251</f>
        <v>12.66</v>
      </c>
      <c r="P1257" s="2">
        <f>'Rate Design Work'!P1251</f>
        <v>0</v>
      </c>
      <c r="Q1257" s="2"/>
      <c r="R1257" s="265">
        <f>'Rate Design Work'!R1251</f>
        <v>1.77</v>
      </c>
      <c r="T1257" s="2">
        <f>'Rate Design Work'!T1251</f>
        <v>0</v>
      </c>
      <c r="U1257" s="2"/>
      <c r="V1257" s="265">
        <f>'Rate Design Work'!V1251</f>
        <v>7.21</v>
      </c>
      <c r="X1257" s="2">
        <f>'Rate Design Work'!X1251</f>
        <v>0</v>
      </c>
      <c r="Y1257" s="20"/>
      <c r="Z1257" s="281"/>
      <c r="AA1257" s="74"/>
      <c r="AB1257" s="74"/>
      <c r="AC1257" s="403"/>
      <c r="AD1257" s="403"/>
      <c r="AE1257" s="283"/>
      <c r="AF1257" s="283"/>
      <c r="AG1257" s="283"/>
      <c r="AH1257" s="283"/>
      <c r="AI1257" s="429"/>
      <c r="AJ1257" s="429"/>
      <c r="AK1257" s="281"/>
      <c r="AL1257" s="281"/>
      <c r="AM1257" s="432"/>
      <c r="AN1257" s="281"/>
      <c r="AO1257" s="20"/>
      <c r="AP1257" s="20"/>
      <c r="AQ1257" s="20"/>
      <c r="AR1257" s="20"/>
      <c r="AS1257" s="20"/>
    </row>
    <row r="1258" spans="1:45">
      <c r="A1258" s="3" t="s">
        <v>356</v>
      </c>
      <c r="C1258" s="264">
        <v>0</v>
      </c>
      <c r="D1258" s="265">
        <v>38.99</v>
      </c>
      <c r="F1258" s="2">
        <f>ROUND(D1258*$C1258,0)</f>
        <v>0</v>
      </c>
      <c r="G1258" s="265">
        <v>38.99</v>
      </c>
      <c r="I1258" s="2">
        <f t="shared" si="271"/>
        <v>0</v>
      </c>
      <c r="J1258" s="265">
        <f>'Rate Design Work'!J1252</f>
        <v>40.75</v>
      </c>
      <c r="L1258" s="2">
        <f>ROUND(J1258*$C1258,0)</f>
        <v>0</v>
      </c>
      <c r="M1258" s="2"/>
      <c r="N1258" s="265">
        <f>'Rate Design Work'!N1252</f>
        <v>23.85</v>
      </c>
      <c r="P1258" s="2">
        <f>'Rate Design Work'!P1252</f>
        <v>0</v>
      </c>
      <c r="Q1258" s="2"/>
      <c r="R1258" s="265">
        <f>'Rate Design Work'!R1252</f>
        <v>3.34</v>
      </c>
      <c r="T1258" s="2">
        <f>'Rate Design Work'!T1252</f>
        <v>0</v>
      </c>
      <c r="U1258" s="2"/>
      <c r="V1258" s="265">
        <f>'Rate Design Work'!V1252</f>
        <v>13.56</v>
      </c>
      <c r="X1258" s="2">
        <f>'Rate Design Work'!X1252</f>
        <v>0</v>
      </c>
      <c r="Y1258" s="20"/>
      <c r="Z1258" s="281"/>
      <c r="AA1258" s="74"/>
      <c r="AB1258" s="74"/>
      <c r="AC1258" s="403"/>
      <c r="AD1258" s="403"/>
      <c r="AE1258" s="283"/>
      <c r="AF1258" s="283"/>
      <c r="AG1258" s="283"/>
      <c r="AH1258" s="283"/>
      <c r="AI1258" s="429"/>
      <c r="AJ1258" s="429"/>
      <c r="AK1258" s="281"/>
      <c r="AL1258" s="281"/>
      <c r="AM1258" s="432"/>
      <c r="AN1258" s="281"/>
      <c r="AO1258" s="20"/>
      <c r="AP1258" s="20"/>
      <c r="AQ1258" s="20"/>
      <c r="AR1258" s="20"/>
      <c r="AS1258" s="20"/>
    </row>
    <row r="1259" spans="1:45">
      <c r="A1259" s="3" t="s">
        <v>509</v>
      </c>
      <c r="C1259" s="264"/>
      <c r="D1259" s="433"/>
      <c r="F1259" s="263"/>
      <c r="G1259" s="433"/>
      <c r="I1259" s="263"/>
      <c r="J1259" s="433"/>
      <c r="N1259" s="433"/>
      <c r="R1259" s="433"/>
      <c r="V1259" s="433"/>
      <c r="Y1259" s="20"/>
      <c r="Z1259" s="20"/>
      <c r="AA1259" s="435"/>
      <c r="AB1259" s="435"/>
      <c r="AC1259" s="435"/>
      <c r="AD1259" s="435"/>
      <c r="AE1259" s="729"/>
      <c r="AF1259" s="729"/>
      <c r="AG1259" s="729"/>
      <c r="AH1259" s="729"/>
      <c r="AI1259" s="429"/>
      <c r="AJ1259" s="429"/>
      <c r="AK1259" s="437"/>
      <c r="AL1259" s="20"/>
      <c r="AM1259" s="432"/>
      <c r="AN1259" s="20"/>
      <c r="AO1259" s="20"/>
      <c r="AP1259" s="20"/>
      <c r="AQ1259" s="20"/>
      <c r="AR1259" s="20"/>
      <c r="AS1259" s="20"/>
    </row>
    <row r="1260" spans="1:45">
      <c r="A1260" s="3" t="s">
        <v>354</v>
      </c>
      <c r="C1260" s="264">
        <v>0</v>
      </c>
      <c r="D1260" s="265">
        <v>12.06</v>
      </c>
      <c r="F1260" s="2">
        <f>ROUND(D1260*$C1260,0)</f>
        <v>0</v>
      </c>
      <c r="G1260" s="265">
        <v>12.06</v>
      </c>
      <c r="I1260" s="2">
        <f t="shared" ref="I1260:I1261" si="272">ROUND(C1260*G1260,0)</f>
        <v>0</v>
      </c>
      <c r="J1260" s="265">
        <f>'Rate Design Work'!J1254</f>
        <v>12.61</v>
      </c>
      <c r="L1260" s="2">
        <f>ROUND(J1260*$C1260,0)</f>
        <v>0</v>
      </c>
      <c r="M1260" s="2"/>
      <c r="N1260" s="265">
        <f>'Rate Design Work'!N1254</f>
        <v>7.38</v>
      </c>
      <c r="P1260" s="2">
        <f>'Rate Design Work'!P1254</f>
        <v>0</v>
      </c>
      <c r="Q1260" s="2"/>
      <c r="R1260" s="265">
        <f>'Rate Design Work'!R1254</f>
        <v>1.03</v>
      </c>
      <c r="T1260" s="2">
        <f>'Rate Design Work'!T1254</f>
        <v>0</v>
      </c>
      <c r="U1260" s="2"/>
      <c r="V1260" s="265">
        <f>'Rate Design Work'!V1254</f>
        <v>4.2</v>
      </c>
      <c r="X1260" s="2">
        <f>'Rate Design Work'!X1254</f>
        <v>0</v>
      </c>
      <c r="Y1260" s="20"/>
      <c r="Z1260" s="281"/>
      <c r="AA1260" s="74"/>
      <c r="AB1260" s="74"/>
      <c r="AC1260" s="403"/>
      <c r="AD1260" s="403"/>
      <c r="AE1260" s="283"/>
      <c r="AF1260" s="283"/>
      <c r="AG1260" s="283"/>
      <c r="AH1260" s="283"/>
      <c r="AI1260" s="429"/>
      <c r="AJ1260" s="429"/>
      <c r="AK1260" s="281"/>
      <c r="AL1260" s="281"/>
      <c r="AM1260" s="432"/>
      <c r="AN1260" s="281"/>
      <c r="AO1260" s="20"/>
      <c r="AP1260" s="20"/>
      <c r="AQ1260" s="20"/>
      <c r="AR1260" s="20"/>
      <c r="AS1260" s="20"/>
    </row>
    <row r="1261" spans="1:45">
      <c r="A1261" s="3" t="s">
        <v>355</v>
      </c>
      <c r="C1261" s="264">
        <v>0</v>
      </c>
      <c r="D1261" s="265">
        <v>19.53</v>
      </c>
      <c r="F1261" s="2">
        <f>ROUND(D1261*$C1261,0)</f>
        <v>0</v>
      </c>
      <c r="G1261" s="265">
        <v>19.53</v>
      </c>
      <c r="I1261" s="2">
        <f t="shared" si="272"/>
        <v>0</v>
      </c>
      <c r="J1261" s="265">
        <f>'Rate Design Work'!J1255</f>
        <v>20.41</v>
      </c>
      <c r="L1261" s="2">
        <f>ROUND(J1261*$C1261,0)</f>
        <v>0</v>
      </c>
      <c r="M1261" s="2"/>
      <c r="N1261" s="265">
        <f>'Rate Design Work'!N1255</f>
        <v>11.94</v>
      </c>
      <c r="P1261" s="2">
        <f>'Rate Design Work'!P1255</f>
        <v>0</v>
      </c>
      <c r="Q1261" s="2"/>
      <c r="R1261" s="265">
        <f>'Rate Design Work'!R1255</f>
        <v>1.67</v>
      </c>
      <c r="T1261" s="2">
        <f>'Rate Design Work'!T1255</f>
        <v>0</v>
      </c>
      <c r="U1261" s="2"/>
      <c r="V1261" s="265">
        <f>'Rate Design Work'!V1255</f>
        <v>6.8</v>
      </c>
      <c r="X1261" s="2">
        <f>'Rate Design Work'!X1255</f>
        <v>0</v>
      </c>
      <c r="Y1261" s="20"/>
      <c r="Z1261" s="281"/>
      <c r="AA1261" s="74"/>
      <c r="AB1261" s="74"/>
      <c r="AC1261" s="403"/>
      <c r="AD1261" s="403"/>
      <c r="AE1261" s="283"/>
      <c r="AF1261" s="283"/>
      <c r="AG1261" s="283"/>
      <c r="AH1261" s="283"/>
      <c r="AI1261" s="429"/>
      <c r="AJ1261" s="429"/>
      <c r="AK1261" s="281"/>
      <c r="AL1261" s="281"/>
      <c r="AM1261" s="432"/>
      <c r="AN1261" s="281"/>
      <c r="AO1261" s="20"/>
      <c r="AP1261" s="20"/>
      <c r="AQ1261" s="20"/>
      <c r="AR1261" s="20"/>
      <c r="AS1261" s="20"/>
    </row>
    <row r="1262" spans="1:45">
      <c r="A1262" s="430" t="s">
        <v>512</v>
      </c>
      <c r="B1262" s="303"/>
      <c r="C1262" s="264"/>
      <c r="D1262" s="433"/>
      <c r="E1262" s="303"/>
      <c r="F1262" s="303"/>
      <c r="G1262" s="433"/>
      <c r="H1262" s="303"/>
      <c r="I1262" s="303"/>
      <c r="J1262" s="433"/>
      <c r="K1262" s="303"/>
      <c r="L1262" s="303"/>
      <c r="M1262" s="303"/>
      <c r="N1262" s="433"/>
      <c r="O1262" s="303"/>
      <c r="P1262" s="303"/>
      <c r="Q1262" s="303"/>
      <c r="R1262" s="433"/>
      <c r="S1262" s="303"/>
      <c r="T1262" s="303"/>
      <c r="U1262" s="303"/>
      <c r="V1262" s="433"/>
      <c r="W1262" s="303"/>
      <c r="X1262" s="303"/>
      <c r="Y1262" s="20"/>
      <c r="Z1262" s="20"/>
      <c r="AA1262" s="435"/>
      <c r="AB1262" s="435"/>
      <c r="AC1262" s="435"/>
      <c r="AD1262" s="435"/>
      <c r="AE1262" s="729"/>
      <c r="AF1262" s="729"/>
      <c r="AG1262" s="729"/>
      <c r="AH1262" s="729"/>
      <c r="AI1262" s="429"/>
      <c r="AJ1262" s="429"/>
      <c r="AK1262" s="437"/>
      <c r="AL1262" s="20"/>
      <c r="AM1262" s="432"/>
      <c r="AN1262" s="20"/>
      <c r="AO1262" s="20"/>
      <c r="AP1262" s="20"/>
      <c r="AQ1262" s="20"/>
      <c r="AR1262" s="20"/>
      <c r="AS1262" s="20"/>
    </row>
    <row r="1263" spans="1:45">
      <c r="A1263" s="3" t="s">
        <v>354</v>
      </c>
      <c r="C1263" s="264">
        <f>[59]Sheet1!$F$7</f>
        <v>419.99912545184998</v>
      </c>
      <c r="D1263" s="265">
        <v>10.19</v>
      </c>
      <c r="F1263" s="2">
        <f>ROUND(D1263*$C1263,0)</f>
        <v>4280</v>
      </c>
      <c r="G1263" s="265">
        <v>10.19</v>
      </c>
      <c r="I1263" s="2">
        <f t="shared" ref="I1263:I1265" si="273">ROUND(C1263*G1263,0)</f>
        <v>4280</v>
      </c>
      <c r="J1263" s="265">
        <f>'Rate Design Work'!J1257</f>
        <v>10.65</v>
      </c>
      <c r="L1263" s="2">
        <f>ROUND(J1263*$C1263,0)</f>
        <v>4473</v>
      </c>
      <c r="M1263" s="2"/>
      <c r="N1263" s="265">
        <f>'Rate Design Work'!N1257</f>
        <v>6.23</v>
      </c>
      <c r="P1263" s="2">
        <f>'Rate Design Work'!P1257</f>
        <v>2617.6982863630042</v>
      </c>
      <c r="Q1263" s="2"/>
      <c r="R1263" s="265">
        <f>'Rate Design Work'!R1257</f>
        <v>0.87</v>
      </c>
      <c r="T1263" s="2">
        <f>'Rate Design Work'!T1257</f>
        <v>366.67384205448184</v>
      </c>
      <c r="U1263" s="2"/>
      <c r="V1263" s="265">
        <f>'Rate Design Work'!V1257</f>
        <v>3.55</v>
      </c>
      <c r="X1263" s="2">
        <f>'Rate Design Work'!X1257</f>
        <v>1488.6278715825144</v>
      </c>
      <c r="Y1263" s="20"/>
      <c r="Z1263" s="281"/>
      <c r="AA1263" s="74"/>
      <c r="AB1263" s="74"/>
      <c r="AC1263" s="403"/>
      <c r="AD1263" s="403"/>
      <c r="AE1263" s="283"/>
      <c r="AF1263" s="283"/>
      <c r="AG1263" s="283"/>
      <c r="AH1263" s="283"/>
      <c r="AI1263" s="429"/>
      <c r="AJ1263" s="429"/>
      <c r="AK1263" s="281"/>
      <c r="AL1263" s="281"/>
      <c r="AM1263" s="432"/>
      <c r="AN1263" s="281"/>
      <c r="AO1263" s="20"/>
      <c r="AP1263" s="20"/>
      <c r="AQ1263" s="20"/>
      <c r="AR1263" s="20"/>
      <c r="AS1263" s="20"/>
    </row>
    <row r="1264" spans="1:45">
      <c r="A1264" s="3" t="s">
        <v>355</v>
      </c>
      <c r="C1264" s="264">
        <f>[59]Sheet1!$F$8</f>
        <v>789.011016126664</v>
      </c>
      <c r="D1264" s="265">
        <v>17.84</v>
      </c>
      <c r="F1264" s="2">
        <f>ROUND(D1264*$C1264,0)</f>
        <v>14076</v>
      </c>
      <c r="G1264" s="265">
        <v>17.84</v>
      </c>
      <c r="I1264" s="2">
        <f t="shared" si="273"/>
        <v>14076</v>
      </c>
      <c r="J1264" s="265">
        <f>'Rate Design Work'!J1258</f>
        <v>18.649999999999999</v>
      </c>
      <c r="L1264" s="2">
        <f>ROUND(J1264*$C1264,0)</f>
        <v>14715</v>
      </c>
      <c r="M1264" s="2"/>
      <c r="N1264" s="265">
        <f>'Rate Design Work'!N1258</f>
        <v>10.91</v>
      </c>
      <c r="P1264" s="2">
        <f>'Rate Design Work'!P1258</f>
        <v>8611.542652320948</v>
      </c>
      <c r="Q1264" s="2"/>
      <c r="R1264" s="265">
        <f>'Rate Design Work'!R1258</f>
        <v>1.53</v>
      </c>
      <c r="T1264" s="2">
        <f>'Rate Design Work'!T1258</f>
        <v>1206.2610296963335</v>
      </c>
      <c r="U1264" s="2"/>
      <c r="V1264" s="265">
        <f>'Rate Design Work'!V1258</f>
        <v>6.21</v>
      </c>
      <c r="X1264" s="2">
        <f>'Rate Design Work'!X1258</f>
        <v>4897.196317982718</v>
      </c>
      <c r="Y1264" s="20"/>
      <c r="Z1264" s="281"/>
      <c r="AA1264" s="74"/>
      <c r="AB1264" s="74"/>
      <c r="AC1264" s="403"/>
      <c r="AD1264" s="403"/>
      <c r="AE1264" s="283"/>
      <c r="AF1264" s="283"/>
      <c r="AG1264" s="283"/>
      <c r="AH1264" s="283"/>
      <c r="AI1264" s="429"/>
      <c r="AJ1264" s="429"/>
      <c r="AK1264" s="281"/>
      <c r="AL1264" s="281"/>
      <c r="AM1264" s="432"/>
      <c r="AN1264" s="281"/>
      <c r="AO1264" s="20"/>
      <c r="AP1264" s="20"/>
      <c r="AQ1264" s="20"/>
      <c r="AR1264" s="20"/>
      <c r="AS1264" s="20"/>
    </row>
    <row r="1265" spans="1:47">
      <c r="A1265" s="3" t="s">
        <v>356</v>
      </c>
      <c r="C1265" s="264">
        <v>0</v>
      </c>
      <c r="D1265" s="265">
        <v>38.11</v>
      </c>
      <c r="F1265" s="2">
        <f>ROUND(D1265*$C1265,0)</f>
        <v>0</v>
      </c>
      <c r="G1265" s="265">
        <v>38.11</v>
      </c>
      <c r="I1265" s="2">
        <f t="shared" si="273"/>
        <v>0</v>
      </c>
      <c r="J1265" s="265">
        <f>'Rate Design Work'!J1259</f>
        <v>39.83</v>
      </c>
      <c r="L1265" s="2">
        <f>ROUND(J1265*$C1265,0)</f>
        <v>0</v>
      </c>
      <c r="M1265" s="2"/>
      <c r="N1265" s="265">
        <f>'Rate Design Work'!N1259</f>
        <v>23.31</v>
      </c>
      <c r="P1265" s="2">
        <f>'Rate Design Work'!P1259</f>
        <v>0</v>
      </c>
      <c r="Q1265" s="2"/>
      <c r="R1265" s="265">
        <f>'Rate Design Work'!R1259</f>
        <v>3.27</v>
      </c>
      <c r="T1265" s="2">
        <f>'Rate Design Work'!T1259</f>
        <v>0</v>
      </c>
      <c r="U1265" s="2"/>
      <c r="V1265" s="265">
        <f>'Rate Design Work'!V1259</f>
        <v>13.25</v>
      </c>
      <c r="X1265" s="2">
        <f>'Rate Design Work'!X1259</f>
        <v>0</v>
      </c>
      <c r="Y1265" s="20"/>
      <c r="Z1265" s="281"/>
      <c r="AA1265" s="74"/>
      <c r="AB1265" s="74"/>
      <c r="AC1265" s="403"/>
      <c r="AD1265" s="403"/>
      <c r="AE1265" s="283"/>
      <c r="AF1265" s="283"/>
      <c r="AG1265" s="283"/>
      <c r="AH1265" s="283"/>
      <c r="AI1265" s="429"/>
      <c r="AJ1265" s="429"/>
      <c r="AK1265" s="281"/>
      <c r="AL1265" s="281"/>
      <c r="AM1265" s="432"/>
      <c r="AN1265" s="281"/>
      <c r="AO1265" s="20"/>
      <c r="AP1265" s="20"/>
      <c r="AQ1265" s="20"/>
      <c r="AR1265" s="20"/>
      <c r="AS1265" s="20"/>
    </row>
    <row r="1266" spans="1:47">
      <c r="A1266" s="5" t="s">
        <v>513</v>
      </c>
      <c r="C1266" s="264"/>
      <c r="D1266" s="265"/>
      <c r="F1266" s="2"/>
      <c r="G1266" s="265"/>
      <c r="I1266" s="2"/>
      <c r="J1266" s="265"/>
      <c r="L1266" s="2"/>
      <c r="M1266" s="2"/>
      <c r="N1266" s="265"/>
      <c r="P1266" s="2"/>
      <c r="Q1266" s="2"/>
      <c r="R1266" s="265"/>
      <c r="T1266" s="2"/>
      <c r="U1266" s="2"/>
      <c r="V1266" s="265"/>
      <c r="X1266" s="2"/>
      <c r="Y1266" s="20"/>
      <c r="Z1266" s="20"/>
      <c r="AA1266" s="435"/>
      <c r="AB1266" s="435"/>
      <c r="AC1266" s="435"/>
      <c r="AD1266" s="435"/>
      <c r="AE1266" s="730"/>
      <c r="AF1266" s="730"/>
      <c r="AG1266" s="730"/>
      <c r="AH1266" s="730"/>
      <c r="AI1266" s="429"/>
      <c r="AJ1266" s="429"/>
      <c r="AK1266" s="437"/>
      <c r="AL1266" s="20"/>
      <c r="AM1266" s="432"/>
      <c r="AN1266" s="20"/>
      <c r="AO1266" s="20"/>
      <c r="AP1266" s="20"/>
      <c r="AQ1266" s="20"/>
      <c r="AR1266" s="20"/>
      <c r="AS1266" s="20"/>
    </row>
    <row r="1267" spans="1:47">
      <c r="A1267" s="3" t="s">
        <v>514</v>
      </c>
      <c r="C1267" s="264">
        <v>0</v>
      </c>
      <c r="D1267" s="265">
        <v>36.57</v>
      </c>
      <c r="F1267" s="2">
        <f>ROUND(D1267*$C1267,0)</f>
        <v>0</v>
      </c>
      <c r="G1267" s="265">
        <v>36.57</v>
      </c>
      <c r="I1267" s="2">
        <f t="shared" ref="I1267" si="274">ROUND(C1267*G1267,0)</f>
        <v>0</v>
      </c>
      <c r="J1267" s="265">
        <f>'Rate Design Work'!J1261</f>
        <v>38.22</v>
      </c>
      <c r="L1267" s="2">
        <f>ROUND(J1267*$C1267,0)</f>
        <v>0</v>
      </c>
      <c r="M1267" s="2"/>
      <c r="N1267" s="265">
        <f>'Rate Design Work'!N1261</f>
        <v>22.37</v>
      </c>
      <c r="P1267" s="2">
        <f>'Rate Design Work'!P1261</f>
        <v>0</v>
      </c>
      <c r="Q1267" s="2"/>
      <c r="R1267" s="265">
        <f>'Rate Design Work'!R1261</f>
        <v>3.13</v>
      </c>
      <c r="T1267" s="2">
        <f>'Rate Design Work'!T1261</f>
        <v>0</v>
      </c>
      <c r="U1267" s="2"/>
      <c r="V1267" s="265">
        <f>'Rate Design Work'!V1261</f>
        <v>12.72</v>
      </c>
      <c r="X1267" s="2">
        <f>'Rate Design Work'!X1261</f>
        <v>0</v>
      </c>
      <c r="Y1267" s="20"/>
      <c r="Z1267" s="281"/>
      <c r="AA1267" s="74"/>
      <c r="AB1267" s="74"/>
      <c r="AC1267" s="403"/>
      <c r="AD1267" s="403"/>
      <c r="AE1267" s="283"/>
      <c r="AF1267" s="283"/>
      <c r="AG1267" s="283"/>
      <c r="AH1267" s="283"/>
      <c r="AI1267" s="429"/>
      <c r="AJ1267" s="429"/>
      <c r="AK1267" s="281"/>
      <c r="AL1267" s="281"/>
      <c r="AM1267" s="432"/>
      <c r="AN1267" s="281"/>
      <c r="AO1267" s="20"/>
      <c r="AP1267" s="20"/>
      <c r="AQ1267" s="20"/>
      <c r="AR1267" s="20"/>
      <c r="AS1267" s="20"/>
    </row>
    <row r="1268" spans="1:47">
      <c r="A1268" s="3" t="s">
        <v>362</v>
      </c>
      <c r="C1268" s="264">
        <f>[59]Sheet1!$L$10</f>
        <v>407</v>
      </c>
      <c r="D1268" s="439"/>
      <c r="F1268" s="2"/>
      <c r="G1268" s="439"/>
      <c r="I1268" s="2"/>
      <c r="J1268" s="439"/>
      <c r="L1268" s="2"/>
      <c r="M1268" s="2"/>
      <c r="N1268" s="439"/>
      <c r="P1268" s="2"/>
      <c r="Q1268" s="2"/>
      <c r="R1268" s="439"/>
      <c r="T1268" s="2"/>
      <c r="U1268" s="2"/>
      <c r="V1268" s="439"/>
      <c r="X1268" s="2"/>
      <c r="Y1268" s="20"/>
      <c r="Z1268" s="281"/>
      <c r="AA1268" s="440"/>
      <c r="AB1268" s="440"/>
      <c r="AC1268" s="20"/>
      <c r="AD1268" s="20"/>
      <c r="AE1268" s="287"/>
      <c r="AF1268" s="287"/>
      <c r="AG1268" s="287"/>
      <c r="AH1268" s="287"/>
      <c r="AI1268" s="278"/>
      <c r="AJ1268" s="278"/>
      <c r="AK1268" s="281"/>
      <c r="AL1268" s="281"/>
      <c r="AM1268" s="281"/>
      <c r="AN1268" s="281"/>
      <c r="AO1268" s="20"/>
      <c r="AP1268" s="20"/>
      <c r="AQ1268" s="20"/>
      <c r="AR1268" s="20"/>
      <c r="AS1268" s="20"/>
    </row>
    <row r="1269" spans="1:47" s="1184" customFormat="1">
      <c r="A1269" s="1005" t="s">
        <v>1064</v>
      </c>
      <c r="C1269" s="1202">
        <f>C1270</f>
        <v>1932402.666666667</v>
      </c>
      <c r="D1269" s="269"/>
      <c r="E1269" s="1185"/>
      <c r="F1269" s="1203"/>
      <c r="G1269" s="269"/>
      <c r="H1269" s="1185"/>
      <c r="I1269" s="1203"/>
      <c r="J1269" s="1230">
        <f>'Rate Design Work'!J1263</f>
        <v>0</v>
      </c>
      <c r="K1269" s="1041" t="s">
        <v>374</v>
      </c>
      <c r="L1269" s="1041">
        <f>ROUND(J1269*$C1269/100,0)</f>
        <v>0</v>
      </c>
      <c r="M1269" s="1041"/>
      <c r="N1269" s="1230" t="str">
        <f>'Rate Design Work'!N1263</f>
        <v xml:space="preserve"> </v>
      </c>
      <c r="O1269" s="1219" t="s">
        <v>31</v>
      </c>
      <c r="P1269" s="2">
        <f>'Rate Design Work'!P1263</f>
        <v>0</v>
      </c>
      <c r="Q1269" s="1203"/>
      <c r="R1269" s="1230" t="str">
        <f>'Rate Design Work'!R1263</f>
        <v xml:space="preserve"> </v>
      </c>
      <c r="S1269" s="1219" t="s">
        <v>31</v>
      </c>
      <c r="T1269" s="2">
        <f>'Rate Design Work'!T1263</f>
        <v>0</v>
      </c>
      <c r="U1269" s="1203"/>
      <c r="V1269" s="1230">
        <f>'Rate Design Work'!V1263</f>
        <v>0</v>
      </c>
      <c r="W1269" s="1219" t="s">
        <v>374</v>
      </c>
      <c r="X1269" s="2">
        <f>'Rate Design Work'!X1263</f>
        <v>0</v>
      </c>
      <c r="Y1269" s="1204">
        <f>'NPC Spread'!J55</f>
        <v>44500.08338760279</v>
      </c>
      <c r="Z1269" s="815" t="s">
        <v>913</v>
      </c>
      <c r="AC1269" s="1205"/>
      <c r="AD1269" s="1205"/>
      <c r="AI1269" s="1185"/>
      <c r="AJ1269" s="1185"/>
      <c r="AK1269" s="1185"/>
      <c r="AL1269" s="1185"/>
      <c r="AM1269" s="1185"/>
      <c r="AN1269" s="1185"/>
      <c r="AO1269" s="1185"/>
      <c r="AP1269" s="1185"/>
      <c r="AQ1269" s="1185"/>
      <c r="AR1269" s="1185"/>
      <c r="AS1269" s="1185"/>
      <c r="AU1269" s="1204"/>
    </row>
    <row r="1270" spans="1:47">
      <c r="A1270" s="3" t="s">
        <v>381</v>
      </c>
      <c r="C1270" s="264">
        <f>[59]Sheet1!$E$10</f>
        <v>1932402.666666667</v>
      </c>
      <c r="D1270" s="269"/>
      <c r="E1270" s="20"/>
      <c r="F1270" s="272">
        <f>SUM(F1240:F1267)</f>
        <v>236164</v>
      </c>
      <c r="G1270" s="269"/>
      <c r="H1270" s="20"/>
      <c r="I1270" s="272">
        <f>SUM(I1240:I1267)</f>
        <v>236164</v>
      </c>
      <c r="J1270" s="269"/>
      <c r="K1270" s="20"/>
      <c r="L1270" s="272">
        <f>SUM(L1240:L1269)</f>
        <v>246827</v>
      </c>
      <c r="M1270" s="272"/>
      <c r="N1270" s="269"/>
      <c r="O1270" s="20"/>
      <c r="P1270" s="272">
        <f>SUM(P1240:P1269)</f>
        <v>144448.60606486053</v>
      </c>
      <c r="Q1270" s="272"/>
      <c r="R1270" s="269"/>
      <c r="S1270" s="20"/>
      <c r="T1270" s="272">
        <f>SUM(T1240:T1269)</f>
        <v>20233.624952555685</v>
      </c>
      <c r="U1270" s="272"/>
      <c r="V1270" s="269"/>
      <c r="W1270" s="20"/>
      <c r="X1270" s="272">
        <f>SUM(X1240:X1269)</f>
        <v>82144.768982583788</v>
      </c>
      <c r="Y1270" s="20"/>
      <c r="Z1270" s="281"/>
      <c r="AA1270" s="731"/>
      <c r="AB1270" s="731"/>
      <c r="AC1270" s="20"/>
      <c r="AD1270" s="20"/>
      <c r="AE1270" s="287"/>
      <c r="AF1270" s="287"/>
      <c r="AG1270" s="287"/>
      <c r="AH1270" s="287"/>
      <c r="AI1270" s="278"/>
      <c r="AJ1270" s="278"/>
      <c r="AK1270" s="288"/>
      <c r="AL1270" s="278"/>
      <c r="AM1270" s="278"/>
      <c r="AN1270" s="278"/>
      <c r="AO1270" s="20"/>
      <c r="AP1270" s="20"/>
      <c r="AQ1270" s="20"/>
      <c r="AR1270" s="20"/>
      <c r="AS1270" s="20"/>
    </row>
    <row r="1271" spans="1:47">
      <c r="A1271" s="3" t="s">
        <v>363</v>
      </c>
      <c r="C1271" s="264">
        <f>'Table 2'!H125</f>
        <v>-189146.84989545256</v>
      </c>
      <c r="D1271" s="269"/>
      <c r="E1271" s="20"/>
      <c r="F1271" s="272">
        <f>I1271</f>
        <v>-23253.943225423351</v>
      </c>
      <c r="G1271" s="269"/>
      <c r="H1271" s="20"/>
      <c r="I1271" s="272">
        <f>'Table 3'!E125</f>
        <v>-23253.943225423351</v>
      </c>
      <c r="J1271" s="269"/>
      <c r="K1271" s="20"/>
      <c r="L1271" s="272">
        <f>I1271</f>
        <v>-23253.943225423351</v>
      </c>
      <c r="M1271" s="272"/>
      <c r="N1271" s="269"/>
      <c r="O1271" s="20"/>
      <c r="P1271" s="272">
        <f>$L$1271*Y1275/($Y$1275+$Z$1275+$AA$1275)</f>
        <v>-13608.720619801765</v>
      </c>
      <c r="Q1271" s="51"/>
      <c r="R1271" s="309"/>
      <c r="S1271" s="309"/>
      <c r="T1271" s="272">
        <f>$L$1271*Z1275/($Y$1275+$Z$1275+$AA$1275)</f>
        <v>-1906.2402650084437</v>
      </c>
      <c r="U1271" s="51"/>
      <c r="V1271" s="309"/>
      <c r="W1271" s="309"/>
      <c r="X1271" s="272">
        <f>$L$1271*AA1275/($Y$1275+$Z$1275+$AA$1275)</f>
        <v>-7738.9823406131436</v>
      </c>
      <c r="Y1271" s="444"/>
      <c r="Z1271" s="287"/>
      <c r="AA1271" s="278"/>
      <c r="AB1271" s="278"/>
      <c r="AC1271" s="278"/>
      <c r="AD1271" s="278"/>
      <c r="AE1271" s="283"/>
      <c r="AF1271" s="283"/>
      <c r="AG1271" s="283"/>
      <c r="AH1271" s="283"/>
      <c r="AI1271" s="281"/>
      <c r="AJ1271" s="278"/>
      <c r="AK1271" s="20"/>
      <c r="AL1271" s="20"/>
      <c r="AM1271" s="20"/>
      <c r="AN1271" s="20"/>
      <c r="AO1271" s="20"/>
      <c r="AP1271" s="20"/>
      <c r="AQ1271" s="20"/>
      <c r="AR1271" s="20"/>
      <c r="AS1271" s="20"/>
    </row>
    <row r="1272" spans="1:47" ht="16.5" thickBot="1">
      <c r="A1272" s="3" t="s">
        <v>9</v>
      </c>
      <c r="C1272" s="273">
        <f>C1270+C1271</f>
        <v>1743255.8167712144</v>
      </c>
      <c r="D1272" s="274"/>
      <c r="E1272" s="274"/>
      <c r="F1272" s="274">
        <f>F1270+F1271</f>
        <v>212910.05677457666</v>
      </c>
      <c r="G1272" s="312"/>
      <c r="H1272" s="312"/>
      <c r="I1272" s="274">
        <f>I1270+I1271</f>
        <v>212910.05677457666</v>
      </c>
      <c r="J1272" s="312"/>
      <c r="K1272" s="312"/>
      <c r="L1272" s="274">
        <f>L1270+L1271</f>
        <v>223573.05677457666</v>
      </c>
      <c r="M1272" s="312"/>
      <c r="N1272" s="312"/>
      <c r="O1272" s="312"/>
      <c r="P1272" s="274">
        <f>P1270+P1271</f>
        <v>130839.88544505877</v>
      </c>
      <c r="Q1272" s="312"/>
      <c r="R1272" s="312"/>
      <c r="S1272" s="312"/>
      <c r="T1272" s="274">
        <f>T1270+T1271</f>
        <v>18327.384687547241</v>
      </c>
      <c r="U1272" s="312"/>
      <c r="V1272" s="312"/>
      <c r="W1272" s="312"/>
      <c r="X1272" s="274">
        <f>X1270+X1271</f>
        <v>74405.786641970641</v>
      </c>
      <c r="Y1272" s="788" t="s">
        <v>409</v>
      </c>
      <c r="Z1272" s="809">
        <f ca="1">'Rate Spread targets'!Q39*1000</f>
        <v>223503.66550347305</v>
      </c>
      <c r="AA1272" s="818">
        <f>(L1272-I1272)/I1272</f>
        <v>5.0082180999508598E-2</v>
      </c>
      <c r="AB1272" s="728"/>
      <c r="AC1272" s="278"/>
      <c r="AD1272" s="278"/>
      <c r="AE1272" s="278"/>
      <c r="AF1272" s="278"/>
      <c r="AG1272" s="278"/>
      <c r="AH1272" s="278"/>
      <c r="AI1272" s="278"/>
      <c r="AJ1272" s="278"/>
      <c r="AK1272" s="20"/>
      <c r="AL1272" s="20"/>
      <c r="AM1272" s="20"/>
      <c r="AN1272" s="20"/>
      <c r="AO1272" s="20"/>
      <c r="AP1272" s="20"/>
      <c r="AQ1272" s="20"/>
      <c r="AR1272" s="20"/>
      <c r="AS1272" s="20"/>
    </row>
    <row r="1273" spans="1:47" ht="16.5" thickTop="1">
      <c r="A1273" s="1677" t="s">
        <v>1063</v>
      </c>
      <c r="C1273" s="769" t="s">
        <v>31</v>
      </c>
      <c r="D1273" s="275"/>
      <c r="E1273" s="275"/>
      <c r="F1273" s="263"/>
      <c r="G1273" s="275" t="s">
        <v>31</v>
      </c>
      <c r="H1273" s="275"/>
      <c r="I1273" s="263"/>
      <c r="J1273" s="275" t="s">
        <v>31</v>
      </c>
      <c r="K1273" s="275"/>
      <c r="L1273" s="2" t="s">
        <v>31</v>
      </c>
      <c r="M1273" s="2"/>
      <c r="N1273" s="275" t="s">
        <v>31</v>
      </c>
      <c r="O1273" s="275"/>
      <c r="P1273" s="2" t="s">
        <v>31</v>
      </c>
      <c r="Q1273" s="2"/>
      <c r="R1273" s="275" t="s">
        <v>31</v>
      </c>
      <c r="S1273" s="275"/>
      <c r="T1273" s="2" t="s">
        <v>31</v>
      </c>
      <c r="U1273" s="2"/>
      <c r="V1273" s="275" t="s">
        <v>31</v>
      </c>
      <c r="W1273" s="275"/>
      <c r="X1273" s="2" t="s">
        <v>31</v>
      </c>
      <c r="Y1273" s="789" t="s">
        <v>263</v>
      </c>
      <c r="Z1273" s="811">
        <f ca="1">Z1272-L1272</f>
        <v>-69.391271103610052</v>
      </c>
      <c r="AA1273" s="1135">
        <v>-0.14423</v>
      </c>
      <c r="AB1273" s="294"/>
      <c r="AC1273" s="278"/>
      <c r="AD1273" s="278"/>
      <c r="AE1273" s="278"/>
      <c r="AF1273" s="278"/>
      <c r="AG1273" s="278"/>
      <c r="AH1273" s="278"/>
      <c r="AI1273" s="278"/>
      <c r="AJ1273" s="278"/>
      <c r="AK1273" s="20"/>
      <c r="AL1273" s="20"/>
      <c r="AM1273" s="20"/>
      <c r="AN1273" s="20"/>
      <c r="AO1273" s="20"/>
      <c r="AP1273" s="20"/>
      <c r="AQ1273" s="20"/>
      <c r="AR1273" s="20"/>
      <c r="AS1273" s="20"/>
    </row>
    <row r="1274" spans="1:47">
      <c r="C1274" s="26"/>
      <c r="D1274" s="275"/>
      <c r="E1274" s="275"/>
      <c r="F1274" s="263"/>
      <c r="G1274" s="275"/>
      <c r="H1274" s="275"/>
      <c r="I1274" s="263"/>
      <c r="J1274" s="275"/>
      <c r="K1274" s="275"/>
      <c r="L1274" s="2"/>
      <c r="M1274" s="2"/>
      <c r="N1274" s="275"/>
      <c r="O1274" s="275"/>
      <c r="P1274" s="2"/>
      <c r="Q1274" s="2"/>
      <c r="R1274" s="275"/>
      <c r="S1274" s="275"/>
      <c r="T1274" s="2"/>
      <c r="U1274" s="2"/>
      <c r="V1274" s="275"/>
      <c r="W1274" s="275"/>
      <c r="X1274" s="2"/>
      <c r="Y1274" s="744">
        <f>Y30</f>
        <v>0.58522206267896359</v>
      </c>
      <c r="Z1274" s="744">
        <f>Z30</f>
        <v>8.1974925565500054E-2</v>
      </c>
      <c r="AA1274" s="744">
        <f>AA30</f>
        <v>0.33280301175553639</v>
      </c>
      <c r="AB1274" s="294"/>
      <c r="AC1274" s="278"/>
      <c r="AD1274" s="278"/>
      <c r="AE1274" s="278"/>
      <c r="AF1274" s="278"/>
      <c r="AG1274" s="278"/>
      <c r="AH1274" s="278"/>
      <c r="AI1274" s="278"/>
      <c r="AJ1274" s="278"/>
      <c r="AK1274" s="20"/>
      <c r="AL1274" s="20"/>
      <c r="AM1274" s="20"/>
      <c r="AN1274" s="20"/>
      <c r="AO1274" s="20"/>
      <c r="AP1274" s="20"/>
      <c r="AQ1274" s="20"/>
      <c r="AR1274" s="20"/>
      <c r="AS1274" s="20"/>
    </row>
    <row r="1275" spans="1:47">
      <c r="C1275" s="26"/>
      <c r="D1275" s="275"/>
      <c r="E1275" s="275"/>
      <c r="F1275" s="263"/>
      <c r="G1275" s="275"/>
      <c r="H1275" s="275"/>
      <c r="I1275" s="263"/>
      <c r="J1275" s="275"/>
      <c r="K1275" s="275"/>
      <c r="L1275" s="2"/>
      <c r="M1275" s="2"/>
      <c r="N1275" s="275"/>
      <c r="O1275" s="275"/>
      <c r="P1275" s="2"/>
      <c r="Q1275" s="2"/>
      <c r="R1275" s="275"/>
      <c r="S1275" s="275"/>
      <c r="T1275" s="2"/>
      <c r="U1275" s="2"/>
      <c r="V1275" s="275"/>
      <c r="W1275" s="275"/>
      <c r="X1275" s="2"/>
      <c r="Y1275" s="416">
        <f>L1272*Y1274</f>
        <v>130839.88544505878</v>
      </c>
      <c r="Z1275" s="416">
        <f>L1272*Z1274</f>
        <v>18327.384687547241</v>
      </c>
      <c r="AA1275" s="416">
        <f>L1272*AA1274</f>
        <v>74405.786641970641</v>
      </c>
      <c r="AB1275" s="294"/>
      <c r="AC1275" s="278"/>
      <c r="AD1275" s="278"/>
      <c r="AE1275" s="278"/>
      <c r="AF1275" s="278"/>
      <c r="AG1275" s="278"/>
      <c r="AH1275" s="278"/>
      <c r="AI1275" s="278"/>
      <c r="AJ1275" s="278"/>
      <c r="AK1275" s="20"/>
      <c r="AL1275" s="20"/>
      <c r="AM1275" s="20"/>
      <c r="AN1275" s="20"/>
      <c r="AO1275" s="20"/>
      <c r="AP1275" s="20"/>
      <c r="AQ1275" s="20"/>
      <c r="AR1275" s="20"/>
      <c r="AS1275" s="20"/>
    </row>
    <row r="1276" spans="1:47">
      <c r="A1276" s="303"/>
      <c r="B1276" s="313"/>
      <c r="C1276" s="445"/>
      <c r="D1276" s="446"/>
      <c r="E1276" s="2"/>
      <c r="F1276" s="2"/>
      <c r="G1276" s="446"/>
      <c r="H1276" s="303"/>
      <c r="I1276" s="2"/>
      <c r="J1276" s="446"/>
      <c r="K1276" s="303"/>
      <c r="L1276" s="2"/>
      <c r="M1276" s="2"/>
      <c r="N1276" s="446"/>
      <c r="O1276" s="303"/>
      <c r="P1276" s="2"/>
      <c r="Q1276" s="2"/>
      <c r="R1276" s="446"/>
      <c r="S1276" s="303"/>
      <c r="T1276" s="2"/>
      <c r="U1276" s="2"/>
      <c r="V1276" s="446"/>
      <c r="W1276" s="303"/>
      <c r="X1276" s="2"/>
      <c r="Y1276" s="20"/>
      <c r="Z1276" s="74"/>
      <c r="AA1276" s="74"/>
      <c r="AB1276" s="74"/>
      <c r="AC1276" s="20"/>
      <c r="AD1276" s="20"/>
      <c r="AE1276" s="20"/>
      <c r="AF1276" s="20"/>
      <c r="AG1276" s="20"/>
      <c r="AH1276" s="20"/>
      <c r="AI1276" s="20"/>
      <c r="AJ1276" s="20"/>
      <c r="AK1276" s="20"/>
      <c r="AL1276" s="20"/>
      <c r="AM1276" s="20"/>
      <c r="AN1276" s="20"/>
    </row>
    <row r="1277" spans="1:47" s="4" customFormat="1" ht="19.899999999999999" customHeight="1" thickBot="1">
      <c r="A1277" s="447" t="s">
        <v>515</v>
      </c>
      <c r="B1277" s="448"/>
      <c r="C1277" s="449">
        <f ca="1">C27+C101+C205+C597+C637+C769+C899+C917+C1141+C1158+C1172+C1232+C1272</f>
        <v>4010161433.2736087</v>
      </c>
      <c r="D1277" s="450"/>
      <c r="E1277" s="451"/>
      <c r="F1277" s="451">
        <f ca="1">F27+F101+F205+F597+F637+F769+F899+F917+F1141+F1158+F1172+F1232+F1272</f>
        <v>303763847.08834213</v>
      </c>
      <c r="G1277" s="450"/>
      <c r="H1277" s="451"/>
      <c r="I1277" s="451">
        <f ca="1">I27+I101+I205+I597+I637+I769+I899+I917+I1141+I1158+I1172+I1232+I1272</f>
        <v>320954139.52952307</v>
      </c>
      <c r="J1277" s="450"/>
      <c r="K1277" s="451"/>
      <c r="L1277" s="451">
        <f ca="1">L27+L101+L205+L597+L637+L769+L899+L955+L1012+L1106+L1141+L1158+L1172+L1232+L1272</f>
        <v>352892908.46203583</v>
      </c>
      <c r="M1277" s="451"/>
      <c r="N1277" s="450"/>
      <c r="O1277" s="451"/>
      <c r="P1277" s="451">
        <f ca="1">P27+P101+P205+P597+P637+P769+P899+P955+P1012+P1106+P1141+P1158+P1172+P1232+P1272</f>
        <v>66827270.309216961</v>
      </c>
      <c r="Q1277" s="451"/>
      <c r="R1277" s="450"/>
      <c r="S1277" s="451"/>
      <c r="T1277" s="451">
        <f ca="1">T27+T101+T205+T597+T637+T769+T899+T955+T1012+T1106+T1141+T1158+T1172+T1232+T1272</f>
        <v>56646519.503058299</v>
      </c>
      <c r="U1277" s="451"/>
      <c r="V1277" s="450"/>
      <c r="W1277" s="451"/>
      <c r="X1277" s="451">
        <f ca="1">X27+X101+X205+X597+X637+X769+X899+X955+X1012+X1106+X1141+X1158+X1172+X1232+X1272</f>
        <v>229419117.89734659</v>
      </c>
      <c r="Y1277" s="790" t="s">
        <v>409</v>
      </c>
      <c r="Z1277" s="791">
        <f ca="1">Z27+Z101+Z205+Z637+Z769+Z936+Z1106+Z1141+Z1158+Z1172+Z1232+Z1272</f>
        <v>352892668.75369823</v>
      </c>
      <c r="AA1277" s="74"/>
      <c r="AB1277" s="74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</row>
    <row r="1278" spans="1:47" ht="17.25" thickTop="1" thickBot="1">
      <c r="A1278" s="1"/>
      <c r="B1278" s="313"/>
      <c r="C1278" s="449"/>
      <c r="D1278" s="337"/>
      <c r="E1278" s="2"/>
      <c r="F1278" s="2"/>
      <c r="G1278" s="337" t="s">
        <v>31</v>
      </c>
      <c r="H1278" s="1"/>
      <c r="I1278" s="2"/>
      <c r="J1278" s="353" t="s">
        <v>31</v>
      </c>
      <c r="K1278" s="1"/>
      <c r="L1278" s="2" t="s">
        <v>31</v>
      </c>
      <c r="M1278" s="2"/>
      <c r="N1278" s="353" t="s">
        <v>31</v>
      </c>
      <c r="O1278" s="1"/>
      <c r="P1278" s="2" t="s">
        <v>31</v>
      </c>
      <c r="Q1278" s="2"/>
      <c r="R1278" s="353" t="s">
        <v>31</v>
      </c>
      <c r="S1278" s="1"/>
      <c r="T1278" s="2" t="s">
        <v>31</v>
      </c>
      <c r="U1278" s="2"/>
      <c r="V1278" s="353" t="s">
        <v>31</v>
      </c>
      <c r="W1278" s="1"/>
      <c r="X1278" s="2" t="s">
        <v>31</v>
      </c>
      <c r="Y1278" s="112" t="s">
        <v>263</v>
      </c>
      <c r="Z1278" s="786">
        <f ca="1">Z1277-L1277</f>
        <v>-239.70833760499954</v>
      </c>
      <c r="AA1278" s="314" t="s">
        <v>31</v>
      </c>
      <c r="AB1278" s="314"/>
      <c r="AC1278" s="20"/>
      <c r="AD1278" s="20"/>
      <c r="AE1278" s="20"/>
      <c r="AF1278" s="20"/>
      <c r="AG1278" s="20"/>
      <c r="AH1278" s="20"/>
      <c r="AI1278" s="20"/>
      <c r="AJ1278" s="20"/>
      <c r="AK1278" s="20"/>
      <c r="AL1278" s="20"/>
      <c r="AM1278" s="20"/>
      <c r="AN1278" s="20"/>
    </row>
    <row r="1279" spans="1:47" ht="16.5" thickTop="1">
      <c r="A1279" s="1" t="s">
        <v>34</v>
      </c>
      <c r="B1279" s="313"/>
      <c r="C1279" s="453"/>
      <c r="D1279" s="454"/>
      <c r="E1279" s="455"/>
      <c r="F1279" s="455">
        <f ca="1">I1279</f>
        <v>651518.29</v>
      </c>
      <c r="G1279" s="454"/>
      <c r="H1279" s="457"/>
      <c r="I1279" s="455">
        <f ca="1">'Table 3'!D24+'Table 3'!D56+'Table 3'!D87+'Table 3'!D105+'Table 3'!D129</f>
        <v>651518.29</v>
      </c>
      <c r="J1279" s="456"/>
      <c r="K1279" s="457"/>
      <c r="L1279" s="773">
        <f ca="1">I1279</f>
        <v>651518.29</v>
      </c>
      <c r="M1279" s="455"/>
      <c r="N1279" s="456"/>
      <c r="O1279" s="457"/>
      <c r="P1279" s="773">
        <f ca="1">L1279</f>
        <v>651518.29</v>
      </c>
      <c r="Q1279" s="455"/>
      <c r="R1279" s="456"/>
      <c r="S1279" s="457"/>
      <c r="T1279" s="773" t="s">
        <v>31</v>
      </c>
      <c r="U1279" s="455"/>
      <c r="V1279" s="456"/>
      <c r="W1279" s="457"/>
      <c r="X1279" s="773" t="str">
        <f>T1279</f>
        <v xml:space="preserve"> </v>
      </c>
      <c r="AC1279" s="20"/>
      <c r="AD1279" s="20"/>
      <c r="AE1279" s="20"/>
      <c r="AF1279" s="20"/>
      <c r="AG1279" s="20"/>
      <c r="AH1279" s="20"/>
      <c r="AI1279" s="20"/>
      <c r="AJ1279" s="20"/>
      <c r="AK1279" s="20"/>
      <c r="AL1279" s="20"/>
      <c r="AM1279" s="20"/>
      <c r="AN1279" s="20"/>
    </row>
    <row r="1280" spans="1:47" s="4" customFormat="1" ht="19.899999999999999" customHeight="1" thickBot="1">
      <c r="A1280" s="459" t="s">
        <v>516</v>
      </c>
      <c r="B1280" s="460"/>
      <c r="C1280" s="461">
        <f ca="1">C1277+C1279</f>
        <v>4010161433.2736087</v>
      </c>
      <c r="D1280" s="462"/>
      <c r="E1280" s="463"/>
      <c r="F1280" s="464">
        <f ca="1">F1277+F1279</f>
        <v>304415365.37834215</v>
      </c>
      <c r="G1280" s="1178"/>
      <c r="H1280" s="463"/>
      <c r="I1280" s="464">
        <f ca="1">I1277+I1279</f>
        <v>321605657.8195231</v>
      </c>
      <c r="J1280" s="465"/>
      <c r="K1280" s="463"/>
      <c r="L1280" s="464">
        <f ca="1">L1277+L1279</f>
        <v>353544426.75203586</v>
      </c>
      <c r="M1280" s="464"/>
      <c r="N1280" s="465"/>
      <c r="O1280" s="463"/>
      <c r="P1280" s="464">
        <f ca="1">P1277+P1279</f>
        <v>67478788.599216968</v>
      </c>
      <c r="Q1280" s="464"/>
      <c r="R1280" s="465"/>
      <c r="S1280" s="463"/>
      <c r="T1280" s="464">
        <f ca="1">T1277+T1279</f>
        <v>56646519.503058299</v>
      </c>
      <c r="U1280" s="464"/>
      <c r="V1280" s="465"/>
      <c r="W1280" s="463"/>
      <c r="X1280" s="464">
        <f ca="1">X1277+X1279</f>
        <v>229419117.89734659</v>
      </c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</row>
    <row r="1281" spans="1:40" ht="16.5" thickTop="1">
      <c r="A1281" s="1"/>
      <c r="B1281" s="313"/>
      <c r="C1281" s="21"/>
      <c r="D1281" s="466" t="s">
        <v>31</v>
      </c>
      <c r="E1281" s="2"/>
      <c r="F1281" s="2" t="s">
        <v>31</v>
      </c>
      <c r="G1281" s="337"/>
      <c r="H1281" s="466"/>
      <c r="I1281" s="2" t="s">
        <v>31</v>
      </c>
      <c r="J1281" s="337"/>
      <c r="K1281" s="1"/>
      <c r="L1281" s="2"/>
      <c r="M1281" s="2"/>
      <c r="N1281" s="337"/>
      <c r="O1281" s="1"/>
      <c r="P1281" s="2"/>
      <c r="Q1281" s="2"/>
      <c r="R1281" s="337"/>
      <c r="S1281" s="1"/>
      <c r="T1281" s="2"/>
      <c r="U1281" s="2"/>
      <c r="V1281" s="337"/>
      <c r="W1281" s="1"/>
      <c r="X1281" s="2"/>
      <c r="Y1281" s="20"/>
      <c r="Z1281" s="74"/>
      <c r="AA1281" s="74"/>
      <c r="AB1281" s="74"/>
      <c r="AC1281" s="20"/>
      <c r="AD1281" s="20"/>
      <c r="AE1281" s="20"/>
      <c r="AF1281" s="20"/>
      <c r="AG1281" s="20"/>
      <c r="AH1281" s="20"/>
      <c r="AI1281" s="20"/>
      <c r="AJ1281" s="20"/>
      <c r="AK1281" s="20"/>
      <c r="AL1281" s="20"/>
      <c r="AM1281" s="20"/>
      <c r="AN1281" s="20"/>
    </row>
    <row r="1282" spans="1:40">
      <c r="C1282" s="467"/>
      <c r="D1282" s="270"/>
      <c r="G1282" s="270"/>
      <c r="H1282" s="270"/>
      <c r="I1282" s="468"/>
      <c r="L1282" s="264"/>
      <c r="M1282" s="264"/>
      <c r="P1282" s="264"/>
      <c r="Q1282" s="264"/>
      <c r="T1282" s="264"/>
      <c r="U1282" s="264"/>
      <c r="X1282" s="264"/>
      <c r="Y1282" s="20"/>
      <c r="Z1282" s="74"/>
      <c r="AA1282" s="74"/>
      <c r="AB1282" s="74"/>
      <c r="AC1282" s="20"/>
      <c r="AD1282" s="20"/>
      <c r="AE1282" s="20"/>
      <c r="AF1282" s="20"/>
      <c r="AG1282" s="20"/>
      <c r="AH1282" s="20"/>
      <c r="AI1282" s="20"/>
      <c r="AJ1282" s="20"/>
      <c r="AK1282" s="20"/>
      <c r="AL1282" s="20"/>
      <c r="AM1282" s="20"/>
      <c r="AN1282" s="20"/>
    </row>
    <row r="1283" spans="1:40">
      <c r="A1283" s="469"/>
      <c r="Y1283" s="20"/>
      <c r="Z1283" s="74"/>
      <c r="AA1283" s="74"/>
      <c r="AB1283" s="74"/>
      <c r="AC1283" s="20"/>
      <c r="AD1283" s="20"/>
      <c r="AE1283" s="20"/>
      <c r="AF1283" s="20"/>
      <c r="AG1283" s="20"/>
      <c r="AH1283" s="20"/>
      <c r="AI1283" s="20"/>
      <c r="AJ1283" s="20"/>
      <c r="AK1283" s="20"/>
      <c r="AL1283" s="20"/>
      <c r="AM1283" s="20"/>
      <c r="AN1283" s="20"/>
    </row>
    <row r="1284" spans="1:40">
      <c r="A1284" s="1" t="s">
        <v>168</v>
      </c>
      <c r="B1284" s="3" t="s">
        <v>517</v>
      </c>
      <c r="C1284" s="264">
        <f ca="1">'Table 2'!L140</f>
        <v>4010161433.2736092</v>
      </c>
      <c r="F1284" s="889" t="s">
        <v>31</v>
      </c>
      <c r="I1284" s="84">
        <f ca="1">'Table 3'!N140</f>
        <v>321605657.8195231</v>
      </c>
      <c r="L1284" s="84">
        <f ca="1">L23+L95+L96+L183+L184+L185+L616+L617+L743+L896+L951+L1008+L1102+L1138+L1169+L1228+L1269</f>
        <v>136360318.94299099</v>
      </c>
      <c r="M1284" s="84"/>
      <c r="P1284" s="84">
        <f>P23+P95+P96+P183+P184+P185+P616+P617+P743+P896+P951+P1008+P1102+P1138+P1169+P1228+P1269</f>
        <v>0</v>
      </c>
      <c r="Q1284" s="84"/>
      <c r="T1284" s="84">
        <f>T23+T95+T96+T183+T184+T185+T616+T617+T743+T896+T951+T1008+T1102+T1138+T1169+T1228+T1269</f>
        <v>0</v>
      </c>
      <c r="U1284" s="84"/>
      <c r="X1284" s="84">
        <f ca="1">X23+X95+X96+X183+X184+X185+X616+X617+X743+X896+X951+X1008+X1102+X1138+X1169+X1228+X1269</f>
        <v>136360318.94299099</v>
      </c>
      <c r="Y1284" s="416">
        <f>Y23+Y95+Y183+Y616+Y743+Y951+Y1008+Y1102+Y1138+Y1154+Y1169+Y1228+Y1269</f>
        <v>136662340.00000003</v>
      </c>
      <c r="Z1284" s="74"/>
      <c r="AA1284" s="74"/>
      <c r="AB1284" s="74"/>
      <c r="AC1284" s="20"/>
      <c r="AD1284" s="20"/>
      <c r="AE1284" s="20"/>
      <c r="AF1284" s="20"/>
      <c r="AG1284" s="20"/>
      <c r="AH1284" s="20"/>
      <c r="AI1284" s="20"/>
      <c r="AJ1284" s="20"/>
      <c r="AK1284" s="20"/>
      <c r="AL1284" s="20"/>
      <c r="AM1284" s="20"/>
      <c r="AN1284" s="20"/>
    </row>
    <row r="1285" spans="1:40">
      <c r="B1285" s="3" t="s">
        <v>518</v>
      </c>
      <c r="C1285" s="264">
        <f ca="1">'Table 1 - kWh'!F21</f>
        <v>4010161433.2736092</v>
      </c>
      <c r="F1285" s="889" t="s">
        <v>31</v>
      </c>
      <c r="I1285" s="84">
        <f ca="1">'Table 1-Revenues'!J21</f>
        <v>321605657.8195231</v>
      </c>
      <c r="Y1285" s="20"/>
      <c r="Z1285" s="74"/>
      <c r="AA1285" s="74"/>
      <c r="AB1285" s="74"/>
      <c r="AC1285" s="20"/>
      <c r="AD1285" s="20"/>
      <c r="AE1285" s="20"/>
      <c r="AF1285" s="20"/>
      <c r="AG1285" s="20"/>
      <c r="AH1285" s="20"/>
      <c r="AI1285" s="20"/>
      <c r="AJ1285" s="20"/>
      <c r="AK1285" s="20"/>
      <c r="AL1285" s="20"/>
      <c r="AM1285" s="20"/>
      <c r="AN1285" s="20"/>
    </row>
    <row r="1286" spans="1:40">
      <c r="Y1286" s="20"/>
      <c r="Z1286" s="74"/>
      <c r="AA1286" s="74"/>
      <c r="AB1286" s="74"/>
      <c r="AC1286" s="20"/>
      <c r="AD1286" s="20"/>
      <c r="AE1286" s="20"/>
      <c r="AF1286" s="20"/>
      <c r="AG1286" s="20"/>
      <c r="AH1286" s="20"/>
      <c r="AI1286" s="20"/>
      <c r="AJ1286" s="20"/>
      <c r="AK1286" s="20"/>
      <c r="AL1286" s="20"/>
      <c r="AM1286" s="20"/>
      <c r="AN1286" s="20"/>
    </row>
    <row r="1287" spans="1:40">
      <c r="B1287" s="3" t="s">
        <v>251</v>
      </c>
      <c r="C1287" s="264">
        <f ca="1">C1280-C1285</f>
        <v>0</v>
      </c>
      <c r="F1287" s="659" t="s">
        <v>31</v>
      </c>
      <c r="I1287" s="264">
        <f ca="1">I1280-I1285</f>
        <v>0</v>
      </c>
      <c r="Y1287" s="20"/>
      <c r="Z1287" s="74"/>
      <c r="AA1287" s="74"/>
      <c r="AB1287" s="74"/>
      <c r="AC1287" s="20"/>
      <c r="AD1287" s="20"/>
      <c r="AE1287" s="20"/>
      <c r="AF1287" s="20"/>
      <c r="AG1287" s="20"/>
      <c r="AH1287" s="20"/>
      <c r="AI1287" s="20"/>
      <c r="AJ1287" s="20"/>
      <c r="AK1287" s="20"/>
      <c r="AL1287" s="20"/>
      <c r="AM1287" s="20"/>
      <c r="AN1287" s="20"/>
    </row>
    <row r="1288" spans="1:40">
      <c r="Y1288" s="20"/>
      <c r="Z1288" s="74"/>
      <c r="AA1288" s="74"/>
      <c r="AB1288" s="74"/>
      <c r="AC1288" s="20"/>
      <c r="AD1288" s="20"/>
      <c r="AE1288" s="20"/>
      <c r="AF1288" s="20"/>
      <c r="AG1288" s="20"/>
      <c r="AH1288" s="20"/>
      <c r="AI1288" s="20"/>
      <c r="AJ1288" s="20"/>
      <c r="AK1288" s="20"/>
      <c r="AL1288" s="20"/>
      <c r="AM1288" s="20"/>
      <c r="AN1288" s="20"/>
    </row>
    <row r="1290" spans="1:40">
      <c r="B1290" s="3" t="s">
        <v>519</v>
      </c>
      <c r="C1290" s="264">
        <f>C24+C89+C177+C606+C726+C885+C907+C1137+C1153+C1168+C1226+C1268</f>
        <v>1535623.9159594239</v>
      </c>
    </row>
    <row r="1291" spans="1:40">
      <c r="B1291" s="3" t="s">
        <v>40</v>
      </c>
      <c r="C1291" s="264">
        <f>((C24+C89+C217+C355+C606+C885+C907+C1137+C1153+C1168+C1226+C1268)/12)+C460+C726</f>
        <v>132780.63205734163</v>
      </c>
    </row>
    <row r="1292" spans="1:40">
      <c r="B1292" s="768" t="s">
        <v>98</v>
      </c>
      <c r="C1292" s="264">
        <f>'Table 2'!F140</f>
        <v>132778.43714676326</v>
      </c>
      <c r="D1292" s="88" t="s">
        <v>31</v>
      </c>
      <c r="Z1292" s="3"/>
      <c r="AA1292" s="3"/>
      <c r="AB1292" s="3"/>
    </row>
    <row r="1293" spans="1:40">
      <c r="B1293" s="3" t="s">
        <v>251</v>
      </c>
      <c r="C1293" s="264">
        <f>C1291-C1292</f>
        <v>2.1949105783714913</v>
      </c>
      <c r="Z1293" s="3"/>
      <c r="AA1293" s="3"/>
      <c r="AB1293" s="3"/>
    </row>
  </sheetData>
  <mergeCells count="4">
    <mergeCell ref="A1:X1"/>
    <mergeCell ref="A2:X2"/>
    <mergeCell ref="A3:X3"/>
    <mergeCell ref="A4:X4"/>
  </mergeCells>
  <printOptions horizontalCentered="1"/>
  <pageMargins left="0" right="0" top="0.25" bottom="0.05" header="0.5" footer="0.25"/>
  <pageSetup scale="54" fitToHeight="10" orientation="landscape" r:id="rId1"/>
  <headerFooter alignWithMargins="0"/>
  <rowBreaks count="9" manualBreakCount="9">
    <brk id="119" max="23" man="1"/>
    <brk id="208" max="23" man="1"/>
    <brk id="598" max="23" man="1"/>
    <brk id="716" max="23" man="1"/>
    <brk id="878" max="23" man="1"/>
    <brk id="937" max="23" man="1"/>
    <brk id="1107" max="23" man="1"/>
    <brk id="1176" max="23" man="1"/>
    <brk id="1235" max="2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20"/>
  <dimension ref="A1:AE1051"/>
  <sheetViews>
    <sheetView view="pageBreakPreview" zoomScale="75" zoomScaleNormal="75" zoomScaleSheetLayoutView="75" workbookViewId="0">
      <pane ySplit="11" topLeftCell="A831" activePane="bottomLeft" state="frozen"/>
      <selection activeCell="U29" sqref="U29"/>
      <selection pane="bottomLeft" activeCell="C775" sqref="C775"/>
    </sheetView>
  </sheetViews>
  <sheetFormatPr defaultColWidth="10.25" defaultRowHeight="15.75"/>
  <cols>
    <col min="1" max="1" width="21.625" style="3" customWidth="1"/>
    <col min="2" max="2" width="15.625" style="3" customWidth="1"/>
    <col min="3" max="3" width="16.625" style="3" customWidth="1"/>
    <col min="4" max="4" width="16.625" style="3" hidden="1" customWidth="1"/>
    <col min="5" max="5" width="14.875" style="3" customWidth="1"/>
    <col min="6" max="6" width="2.125" style="3" bestFit="1" customWidth="1"/>
    <col min="7" max="7" width="16.875" style="3" customWidth="1"/>
    <col min="8" max="8" width="16.875" style="3" hidden="1" customWidth="1"/>
    <col min="9" max="9" width="12.625" style="3" customWidth="1"/>
    <col min="10" max="10" width="2.125" style="3" bestFit="1" customWidth="1"/>
    <col min="11" max="11" width="17.875" style="3" customWidth="1"/>
    <col min="12" max="12" width="1.25" style="3" customWidth="1"/>
    <col min="13" max="13" width="16.375" style="3" hidden="1" customWidth="1"/>
    <col min="14" max="14" width="16.5" style="3" customWidth="1"/>
    <col min="15" max="15" width="17.75" style="69" bestFit="1" customWidth="1"/>
    <col min="16" max="16" width="12.75" style="69" customWidth="1"/>
    <col min="17" max="17" width="13" style="3" customWidth="1"/>
    <col min="18" max="20" width="14.75" style="3" customWidth="1"/>
    <col min="21" max="22" width="18" style="3" customWidth="1"/>
    <col min="23" max="23" width="10.25" style="3" customWidth="1"/>
    <col min="24" max="24" width="12.125" style="3" customWidth="1"/>
    <col min="25" max="16384" width="10.25" style="3"/>
  </cols>
  <sheetData>
    <row r="1" spans="1:31" ht="18">
      <c r="A1" s="246" t="s">
        <v>31</v>
      </c>
      <c r="B1" s="247"/>
      <c r="C1" s="247"/>
      <c r="D1" s="247"/>
      <c r="E1" s="248"/>
      <c r="F1" s="248"/>
      <c r="G1" s="247"/>
      <c r="H1" s="247"/>
      <c r="I1" s="248"/>
      <c r="J1" s="247"/>
      <c r="K1" s="247"/>
      <c r="M1" s="20"/>
      <c r="N1" s="20"/>
      <c r="O1" s="74"/>
      <c r="P1" s="74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</row>
    <row r="2" spans="1:31" ht="18">
      <c r="A2" s="1719" t="s">
        <v>583</v>
      </c>
      <c r="B2" s="1719"/>
      <c r="C2" s="1719"/>
      <c r="D2" s="1719"/>
      <c r="E2" s="1719"/>
      <c r="F2" s="1719"/>
      <c r="G2" s="1719"/>
      <c r="H2" s="247"/>
      <c r="I2" s="248"/>
      <c r="J2" s="247"/>
      <c r="K2" s="247"/>
      <c r="M2" s="20"/>
      <c r="N2" s="20"/>
      <c r="O2" s="74"/>
      <c r="P2" s="74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</row>
    <row r="3" spans="1:31" ht="18">
      <c r="A3" s="1719" t="s">
        <v>346</v>
      </c>
      <c r="B3" s="1719"/>
      <c r="C3" s="1719"/>
      <c r="D3" s="1719"/>
      <c r="E3" s="1719"/>
      <c r="F3" s="1719"/>
      <c r="G3" s="1719"/>
      <c r="H3" s="247"/>
      <c r="I3" s="248"/>
      <c r="J3" s="247"/>
      <c r="K3" s="247"/>
      <c r="M3" s="20"/>
      <c r="N3" s="20"/>
      <c r="O3" s="74"/>
      <c r="P3" s="74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</row>
    <row r="4" spans="1:31">
      <c r="A4" s="1720" t="s">
        <v>619</v>
      </c>
      <c r="B4" s="1720"/>
      <c r="C4" s="1720"/>
      <c r="D4" s="1720"/>
      <c r="E4" s="1720"/>
      <c r="F4" s="1720"/>
      <c r="G4" s="1720"/>
      <c r="H4" s="250"/>
      <c r="I4" s="251"/>
      <c r="J4" s="250"/>
      <c r="K4" s="250"/>
      <c r="M4" s="20"/>
      <c r="N4" s="20"/>
      <c r="O4" s="74"/>
      <c r="P4" s="74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</row>
    <row r="5" spans="1:31">
      <c r="A5" s="1721" t="s">
        <v>347</v>
      </c>
      <c r="B5" s="1721"/>
      <c r="C5" s="1721"/>
      <c r="D5" s="1721"/>
      <c r="E5" s="1721"/>
      <c r="F5" s="1721"/>
      <c r="G5" s="1721"/>
      <c r="H5" s="250"/>
      <c r="I5" s="251"/>
      <c r="J5" s="250"/>
      <c r="K5" s="250"/>
      <c r="M5" s="20"/>
      <c r="N5" s="20"/>
      <c r="O5" s="74"/>
      <c r="P5" s="74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</row>
    <row r="6" spans="1:31">
      <c r="A6" s="252"/>
      <c r="B6" s="250"/>
      <c r="C6" s="250"/>
      <c r="D6" s="250"/>
      <c r="E6" s="251"/>
      <c r="F6" s="251"/>
      <c r="G6" s="250"/>
      <c r="H6" s="250"/>
      <c r="I6" s="251"/>
      <c r="J6" s="250"/>
      <c r="K6" s="250"/>
      <c r="M6" s="20"/>
      <c r="N6" s="20"/>
      <c r="O6" s="74"/>
      <c r="P6" s="74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</row>
    <row r="7" spans="1:31">
      <c r="A7" s="252"/>
      <c r="B7" s="250"/>
      <c r="C7" s="250"/>
      <c r="D7" s="250"/>
      <c r="E7" s="251"/>
      <c r="F7" s="251"/>
      <c r="G7" s="250"/>
      <c r="H7" s="250"/>
      <c r="I7" s="251"/>
      <c r="J7" s="250"/>
      <c r="K7" s="250"/>
      <c r="M7" s="20"/>
      <c r="N7" s="20"/>
      <c r="O7" s="74"/>
      <c r="P7" s="74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</row>
    <row r="8" spans="1:31">
      <c r="A8" s="250"/>
      <c r="B8" s="250"/>
      <c r="C8" s="250"/>
      <c r="D8" s="250"/>
      <c r="E8" s="251"/>
      <c r="F8" s="251"/>
      <c r="G8" s="250"/>
      <c r="H8" s="250"/>
      <c r="I8" s="251"/>
      <c r="J8" s="250"/>
      <c r="K8" s="250"/>
      <c r="M8" s="20"/>
      <c r="N8" s="20"/>
      <c r="O8" s="74"/>
      <c r="P8" s="74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</row>
    <row r="9" spans="1:31">
      <c r="A9" s="253"/>
      <c r="B9" s="253"/>
      <c r="C9" s="254"/>
      <c r="D9" s="254"/>
      <c r="E9" s="255"/>
      <c r="F9" s="255"/>
      <c r="G9" s="256" t="s">
        <v>197</v>
      </c>
      <c r="H9" s="257"/>
      <c r="I9" s="255"/>
      <c r="J9" s="256"/>
      <c r="K9" s="256"/>
      <c r="M9" s="20"/>
      <c r="N9" s="20"/>
      <c r="O9" s="74"/>
      <c r="P9" s="74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</row>
    <row r="10" spans="1:31">
      <c r="A10" s="253"/>
      <c r="B10" s="253"/>
      <c r="C10" s="254" t="s">
        <v>348</v>
      </c>
      <c r="D10" s="254"/>
      <c r="E10" s="256" t="s">
        <v>371</v>
      </c>
      <c r="F10" s="255"/>
      <c r="G10" s="258" t="s">
        <v>349</v>
      </c>
      <c r="H10" s="257" t="s">
        <v>253</v>
      </c>
      <c r="I10" s="256" t="s">
        <v>305</v>
      </c>
      <c r="J10" s="254"/>
      <c r="K10" s="256" t="s">
        <v>305</v>
      </c>
      <c r="M10" s="20"/>
      <c r="N10" s="20"/>
      <c r="O10" s="74"/>
      <c r="P10" s="74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</row>
    <row r="11" spans="1:31">
      <c r="A11" s="253"/>
      <c r="B11" s="253"/>
      <c r="C11" s="259" t="s">
        <v>304</v>
      </c>
      <c r="D11" s="254" t="s">
        <v>348</v>
      </c>
      <c r="E11" s="260" t="s">
        <v>13</v>
      </c>
      <c r="F11" s="261"/>
      <c r="G11" s="260" t="s">
        <v>304</v>
      </c>
      <c r="H11" s="256" t="s">
        <v>349</v>
      </c>
      <c r="I11" s="260" t="s">
        <v>13</v>
      </c>
      <c r="J11" s="260"/>
      <c r="K11" s="260" t="s">
        <v>349</v>
      </c>
      <c r="M11" s="258"/>
      <c r="N11" s="20"/>
      <c r="O11" s="74"/>
      <c r="P11" s="74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</row>
    <row r="12" spans="1:31">
      <c r="A12" s="262" t="s">
        <v>351</v>
      </c>
      <c r="G12" s="263"/>
      <c r="H12" s="263"/>
      <c r="M12" s="20"/>
      <c r="N12" s="20"/>
      <c r="O12" s="74"/>
      <c r="P12" s="74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</row>
    <row r="13" spans="1:31">
      <c r="A13" s="3" t="s">
        <v>352</v>
      </c>
      <c r="G13" s="263"/>
      <c r="H13" s="263"/>
      <c r="M13" s="20"/>
      <c r="N13" s="20"/>
      <c r="O13" s="74"/>
      <c r="P13" s="74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</row>
    <row r="14" spans="1:31">
      <c r="G14" s="263"/>
      <c r="H14" s="263"/>
      <c r="M14" s="20"/>
      <c r="N14" s="20"/>
      <c r="O14" s="74"/>
      <c r="P14" s="74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</row>
    <row r="15" spans="1:31">
      <c r="A15" s="3" t="s">
        <v>353</v>
      </c>
      <c r="G15" s="263"/>
      <c r="H15" s="263"/>
      <c r="M15" s="20"/>
      <c r="N15" s="20"/>
      <c r="O15" s="74"/>
      <c r="P15" s="74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</row>
    <row r="16" spans="1:31">
      <c r="A16" s="3" t="s">
        <v>354</v>
      </c>
      <c r="C16" s="264">
        <f t="shared" ref="C16:D18" si="0">C33+C50+C67</f>
        <v>29903</v>
      </c>
      <c r="D16" s="264">
        <f t="shared" si="0"/>
        <v>31243</v>
      </c>
      <c r="E16" s="265">
        <v>9.6</v>
      </c>
      <c r="G16" s="2">
        <f t="shared" ref="G16:H18" si="1">G33+G50+G67</f>
        <v>287069</v>
      </c>
      <c r="H16" s="2">
        <f t="shared" si="1"/>
        <v>299933</v>
      </c>
      <c r="I16" s="265" t="e">
        <f>E16+E16*$P$27</f>
        <v>#REF!</v>
      </c>
      <c r="K16" s="2" t="e">
        <f>K33+K50+K67</f>
        <v>#REF!</v>
      </c>
      <c r="M16" s="84" t="e">
        <f>I16*D16</f>
        <v>#REF!</v>
      </c>
      <c r="O16" s="105"/>
      <c r="P16" s="266"/>
      <c r="Q16" s="266"/>
      <c r="R16" s="267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E16" s="84"/>
    </row>
    <row r="17" spans="1:31">
      <c r="A17" s="3" t="s">
        <v>355</v>
      </c>
      <c r="C17" s="264">
        <f t="shared" si="0"/>
        <v>4807</v>
      </c>
      <c r="D17" s="264">
        <f t="shared" si="0"/>
        <v>5092</v>
      </c>
      <c r="E17" s="265">
        <v>18.28</v>
      </c>
      <c r="G17" s="2">
        <f t="shared" si="1"/>
        <v>87872</v>
      </c>
      <c r="H17" s="2">
        <f t="shared" si="1"/>
        <v>93082</v>
      </c>
      <c r="I17" s="265" t="e">
        <f>E17+E17*$P$27</f>
        <v>#REF!</v>
      </c>
      <c r="K17" s="2" t="e">
        <f>K34+K51+K68</f>
        <v>#REF!</v>
      </c>
      <c r="M17" s="84" t="e">
        <f>I17*D17</f>
        <v>#REF!</v>
      </c>
      <c r="O17" s="105"/>
      <c r="P17" s="266"/>
      <c r="Q17" s="266"/>
      <c r="R17" s="267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E17" s="84"/>
    </row>
    <row r="18" spans="1:31">
      <c r="A18" s="3" t="s">
        <v>356</v>
      </c>
      <c r="C18" s="264">
        <f t="shared" si="0"/>
        <v>659</v>
      </c>
      <c r="D18" s="264">
        <f t="shared" si="0"/>
        <v>700</v>
      </c>
      <c r="E18" s="265">
        <v>37.82</v>
      </c>
      <c r="G18" s="2">
        <f t="shared" si="1"/>
        <v>24923</v>
      </c>
      <c r="H18" s="2">
        <f t="shared" si="1"/>
        <v>26474</v>
      </c>
      <c r="I18" s="265" t="e">
        <f>E18+E18*$P$27</f>
        <v>#REF!</v>
      </c>
      <c r="K18" s="2" t="e">
        <f>K35+K52+K69</f>
        <v>#REF!</v>
      </c>
      <c r="M18" s="84" t="e">
        <f>I18*D18</f>
        <v>#REF!</v>
      </c>
      <c r="O18" s="105"/>
      <c r="P18" s="266"/>
      <c r="Q18" s="266"/>
      <c r="R18" s="267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E18" s="84"/>
    </row>
    <row r="19" spans="1:31">
      <c r="A19" s="3" t="s">
        <v>357</v>
      </c>
      <c r="C19" s="264"/>
      <c r="D19" s="264"/>
      <c r="E19" s="265"/>
      <c r="G19" s="2"/>
      <c r="H19" s="2"/>
      <c r="I19" s="727"/>
      <c r="K19" s="2"/>
      <c r="M19" s="84"/>
      <c r="O19" s="3"/>
      <c r="P19" s="266"/>
      <c r="Q19" s="266"/>
      <c r="R19" s="268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E19" s="84"/>
    </row>
    <row r="20" spans="1:31">
      <c r="A20" s="3" t="s">
        <v>358</v>
      </c>
      <c r="C20" s="264">
        <f t="shared" ref="C20:D25" si="2">C37+C54+C71</f>
        <v>2083</v>
      </c>
      <c r="D20" s="264">
        <f t="shared" si="2"/>
        <v>2178</v>
      </c>
      <c r="E20" s="265">
        <v>10.92</v>
      </c>
      <c r="G20" s="2">
        <f t="shared" ref="G20:H23" si="3">G37+G54+G71</f>
        <v>22746</v>
      </c>
      <c r="H20" s="2">
        <f t="shared" si="3"/>
        <v>23783</v>
      </c>
      <c r="I20" s="265" t="e">
        <f>E20+E20*$P$27</f>
        <v>#REF!</v>
      </c>
      <c r="K20" s="2" t="e">
        <f>K37+K54+K71</f>
        <v>#REF!</v>
      </c>
      <c r="M20" s="84" t="e">
        <f>I20*D20</f>
        <v>#REF!</v>
      </c>
      <c r="O20" s="105"/>
      <c r="P20" s="266"/>
      <c r="Q20" s="266"/>
      <c r="R20" s="267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E20" s="84"/>
    </row>
    <row r="21" spans="1:31">
      <c r="A21" s="3" t="s">
        <v>359</v>
      </c>
      <c r="C21" s="264">
        <f t="shared" si="2"/>
        <v>1818</v>
      </c>
      <c r="D21" s="264">
        <f t="shared" si="2"/>
        <v>1921</v>
      </c>
      <c r="E21" s="265">
        <v>16.04</v>
      </c>
      <c r="G21" s="2">
        <f t="shared" si="3"/>
        <v>29160</v>
      </c>
      <c r="H21" s="2">
        <f t="shared" si="3"/>
        <v>30813</v>
      </c>
      <c r="I21" s="265" t="e">
        <f>E21+E21*$P$27</f>
        <v>#REF!</v>
      </c>
      <c r="K21" s="2" t="e">
        <f>K38+K55+K72</f>
        <v>#REF!</v>
      </c>
      <c r="M21" s="84" t="e">
        <f>I21*D21</f>
        <v>#REF!</v>
      </c>
      <c r="O21" s="105"/>
      <c r="P21" s="266"/>
      <c r="Q21" s="266"/>
      <c r="R21" s="267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E21" s="84"/>
    </row>
    <row r="22" spans="1:31">
      <c r="A22" s="3" t="s">
        <v>360</v>
      </c>
      <c r="C22" s="264">
        <f t="shared" si="2"/>
        <v>480</v>
      </c>
      <c r="D22" s="264">
        <f t="shared" si="2"/>
        <v>509</v>
      </c>
      <c r="E22" s="265">
        <v>25.88</v>
      </c>
      <c r="G22" s="2">
        <f t="shared" si="3"/>
        <v>12423</v>
      </c>
      <c r="H22" s="2">
        <f t="shared" si="3"/>
        <v>13173</v>
      </c>
      <c r="I22" s="265" t="e">
        <f>E22+E22*$P$27</f>
        <v>#REF!</v>
      </c>
      <c r="K22" s="2" t="e">
        <f>K39+K56+K73</f>
        <v>#REF!</v>
      </c>
      <c r="M22" s="84" t="e">
        <f>I22*D22</f>
        <v>#REF!</v>
      </c>
      <c r="O22" s="105"/>
      <c r="P22" s="266"/>
      <c r="Q22" s="266"/>
      <c r="R22" s="267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E22" s="84"/>
    </row>
    <row r="23" spans="1:31">
      <c r="A23" s="3" t="s">
        <v>361</v>
      </c>
      <c r="C23" s="264">
        <f t="shared" si="2"/>
        <v>623</v>
      </c>
      <c r="D23" s="264">
        <f t="shared" si="2"/>
        <v>658</v>
      </c>
      <c r="E23" s="269">
        <v>1</v>
      </c>
      <c r="F23" s="20"/>
      <c r="G23" s="2">
        <f t="shared" si="3"/>
        <v>623</v>
      </c>
      <c r="H23" s="2">
        <f t="shared" si="3"/>
        <v>658</v>
      </c>
      <c r="I23" s="265">
        <f>'Blocking - detail'!I23</f>
        <v>1</v>
      </c>
      <c r="J23" s="20"/>
      <c r="K23" s="2">
        <f>K40+K57+K74</f>
        <v>623</v>
      </c>
      <c r="M23" s="84">
        <f>I23*D23</f>
        <v>658</v>
      </c>
      <c r="O23" s="105"/>
      <c r="P23" s="3"/>
      <c r="Q23" s="266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E23" s="84"/>
    </row>
    <row r="24" spans="1:31">
      <c r="A24" s="3" t="s">
        <v>362</v>
      </c>
      <c r="C24" s="264">
        <f t="shared" si="2"/>
        <v>33244</v>
      </c>
      <c r="D24" s="264">
        <f t="shared" si="2"/>
        <v>2797.0833333333335</v>
      </c>
      <c r="E24" s="265"/>
      <c r="G24" s="2"/>
      <c r="H24" s="2"/>
      <c r="I24" s="265"/>
      <c r="K24" s="2"/>
      <c r="M24" s="84"/>
      <c r="O24" s="84"/>
      <c r="P24" s="3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E24" s="84"/>
    </row>
    <row r="25" spans="1:31">
      <c r="A25" s="3" t="s">
        <v>35</v>
      </c>
      <c r="C25" s="264">
        <f t="shared" si="2"/>
        <v>3613896</v>
      </c>
      <c r="D25" s="264">
        <f t="shared" si="2"/>
        <v>3794904.7279999279</v>
      </c>
      <c r="E25" s="269"/>
      <c r="F25" s="20"/>
      <c r="G25" s="2">
        <f>G42+G59+G76</f>
        <v>464816</v>
      </c>
      <c r="H25" s="2">
        <f>H42+H59+H76</f>
        <v>487916</v>
      </c>
      <c r="I25" s="269"/>
      <c r="J25" s="20"/>
      <c r="K25" s="270" t="e">
        <f>K42+K59+K76</f>
        <v>#REF!</v>
      </c>
      <c r="M25" s="84" t="e">
        <f>SUM(M16:M24)</f>
        <v>#REF!</v>
      </c>
      <c r="O25" s="271"/>
      <c r="P25" s="3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E25" s="84"/>
    </row>
    <row r="26" spans="1:31">
      <c r="A26" s="3" t="s">
        <v>363</v>
      </c>
      <c r="C26" s="264" t="e">
        <f>C43+C60+C77</f>
        <v>#REF!</v>
      </c>
      <c r="D26" s="264">
        <v>0</v>
      </c>
      <c r="E26" s="269"/>
      <c r="F26" s="20"/>
      <c r="G26" s="272" t="e">
        <f>G43+G60+G77</f>
        <v>#REF!</v>
      </c>
      <c r="H26" s="272">
        <v>0</v>
      </c>
      <c r="I26" s="269"/>
      <c r="J26" s="20"/>
      <c r="K26" s="272" t="e">
        <f>G26</f>
        <v>#REF!</v>
      </c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E26" s="84"/>
    </row>
    <row r="27" spans="1:31" ht="16.5" thickBot="1">
      <c r="A27" s="3" t="s">
        <v>9</v>
      </c>
      <c r="C27" s="273" t="e">
        <f>C25+C26</f>
        <v>#REF!</v>
      </c>
      <c r="D27" s="273">
        <f>D25+D26</f>
        <v>3794904.7279999279</v>
      </c>
      <c r="E27" s="274"/>
      <c r="F27" s="274"/>
      <c r="G27" s="274" t="e">
        <f>G25+G26</f>
        <v>#REF!</v>
      </c>
      <c r="H27" s="274">
        <f>H25+H26</f>
        <v>487916</v>
      </c>
      <c r="I27" s="274"/>
      <c r="J27" s="274"/>
      <c r="K27" s="274" t="e">
        <f>K25+K26</f>
        <v>#REF!</v>
      </c>
      <c r="N27" s="3" t="s">
        <v>364</v>
      </c>
      <c r="O27" s="69" t="e">
        <f>#REF!*1000</f>
        <v>#REF!</v>
      </c>
      <c r="P27" s="14" t="e">
        <f>(O27-G27)/G27</f>
        <v>#REF!</v>
      </c>
      <c r="Q27" s="14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E27" s="84"/>
    </row>
    <row r="28" spans="1:31" ht="16.5" thickTop="1">
      <c r="C28" s="275"/>
      <c r="D28" s="275"/>
      <c r="E28" s="275"/>
      <c r="F28" s="275"/>
      <c r="G28" s="263"/>
      <c r="H28" s="263"/>
      <c r="I28" s="1" t="s">
        <v>31</v>
      </c>
      <c r="J28" s="275"/>
      <c r="K28" s="2" t="s">
        <v>31</v>
      </c>
      <c r="N28" s="3" t="s">
        <v>263</v>
      </c>
      <c r="O28" s="69" t="e">
        <f>O27-K27</f>
        <v>#REF!</v>
      </c>
      <c r="P28" s="14" t="e">
        <f>(O27-K27)/K27</f>
        <v>#REF!</v>
      </c>
      <c r="Q28" s="14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E28" s="84"/>
    </row>
    <row r="29" spans="1:31">
      <c r="A29" s="262" t="s">
        <v>351</v>
      </c>
      <c r="G29" s="263"/>
      <c r="H29" s="263"/>
      <c r="O29" s="276" t="s">
        <v>31</v>
      </c>
      <c r="P29" s="3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E29" s="84"/>
    </row>
    <row r="30" spans="1:31">
      <c r="A30" s="3" t="s">
        <v>365</v>
      </c>
      <c r="G30" s="263"/>
      <c r="H30" s="263"/>
      <c r="M30" s="278"/>
      <c r="N30" s="278"/>
      <c r="O30" s="278"/>
      <c r="P30" s="278"/>
      <c r="Q30" s="278"/>
      <c r="R30" s="278"/>
      <c r="S30" s="278"/>
      <c r="T30" s="278"/>
      <c r="U30" s="278"/>
      <c r="V30" s="278"/>
      <c r="W30" s="278"/>
      <c r="X30" s="278"/>
      <c r="Y30" s="20"/>
      <c r="Z30" s="20"/>
      <c r="AA30" s="20"/>
      <c r="AB30" s="20"/>
      <c r="AC30" s="20"/>
      <c r="AE30" s="84"/>
    </row>
    <row r="31" spans="1:31">
      <c r="E31" s="264"/>
      <c r="G31" s="263"/>
      <c r="H31" s="263"/>
      <c r="M31" s="278"/>
      <c r="N31" s="278"/>
      <c r="O31" s="278"/>
      <c r="P31" s="278"/>
      <c r="Q31" s="278"/>
      <c r="R31" s="278"/>
      <c r="S31" s="278"/>
      <c r="T31" s="278"/>
      <c r="U31" s="278"/>
      <c r="V31" s="278"/>
      <c r="W31" s="278"/>
      <c r="X31" s="278"/>
      <c r="Y31" s="20"/>
      <c r="Z31" s="20"/>
      <c r="AA31" s="20"/>
      <c r="AB31" s="20"/>
      <c r="AC31" s="20"/>
      <c r="AE31" s="84"/>
    </row>
    <row r="32" spans="1:31">
      <c r="A32" s="3" t="s">
        <v>353</v>
      </c>
      <c r="G32" s="263"/>
      <c r="H32" s="263"/>
      <c r="M32" s="278"/>
      <c r="N32" s="278"/>
      <c r="O32" s="278"/>
      <c r="P32" s="74"/>
      <c r="Q32" s="279"/>
      <c r="R32" s="280"/>
      <c r="S32" s="281"/>
      <c r="T32" s="282"/>
      <c r="U32" s="278"/>
      <c r="V32" s="278"/>
      <c r="W32" s="278"/>
      <c r="X32" s="278"/>
      <c r="Y32" s="20"/>
      <c r="Z32" s="20"/>
      <c r="AA32" s="20"/>
      <c r="AB32" s="20"/>
      <c r="AC32" s="20"/>
      <c r="AE32" s="84"/>
    </row>
    <row r="33" spans="1:31">
      <c r="A33" s="3" t="s">
        <v>354</v>
      </c>
      <c r="C33" s="264">
        <f>13866+112</f>
        <v>13978</v>
      </c>
      <c r="D33" s="264">
        <f>ROUND(C33*($D$42/$C$42),0)</f>
        <v>14355</v>
      </c>
      <c r="E33" s="265">
        <f>$E$16</f>
        <v>9.6</v>
      </c>
      <c r="G33" s="2">
        <f>ROUND(E33*$C33,0)</f>
        <v>134189</v>
      </c>
      <c r="H33" s="2">
        <f>ROUND(E33*$D33,0)</f>
        <v>137808</v>
      </c>
      <c r="I33" s="265" t="e">
        <f>$I$16</f>
        <v>#REF!</v>
      </c>
      <c r="K33" s="2" t="e">
        <f>ROUND(I33*$C33,0)</f>
        <v>#REF!</v>
      </c>
      <c r="M33" s="20"/>
      <c r="N33" s="20"/>
      <c r="O33" s="281"/>
      <c r="P33" s="74"/>
      <c r="Q33" s="278"/>
      <c r="R33" s="283"/>
      <c r="S33" s="284"/>
      <c r="T33" s="278"/>
      <c r="U33" s="281"/>
      <c r="V33" s="281"/>
      <c r="W33" s="285"/>
      <c r="X33" s="281"/>
      <c r="Y33" s="20"/>
      <c r="Z33" s="20"/>
      <c r="AA33" s="20"/>
      <c r="AB33" s="20"/>
      <c r="AC33" s="20"/>
      <c r="AE33" s="84"/>
    </row>
    <row r="34" spans="1:31">
      <c r="A34" s="3" t="s">
        <v>355</v>
      </c>
      <c r="C34" s="264">
        <f>264+13</f>
        <v>277</v>
      </c>
      <c r="D34" s="264">
        <f>ROUND(C34*($D$42/$C$42),0)</f>
        <v>284</v>
      </c>
      <c r="E34" s="265">
        <f>$E$17</f>
        <v>18.28</v>
      </c>
      <c r="G34" s="2">
        <f>ROUND(E34*$C34,0)</f>
        <v>5064</v>
      </c>
      <c r="H34" s="2">
        <f>ROUND(E34*$D34,0)</f>
        <v>5192</v>
      </c>
      <c r="I34" s="265" t="e">
        <f>$I$17</f>
        <v>#REF!</v>
      </c>
      <c r="K34" s="2" t="e">
        <f>ROUND(I34*$C34,0)</f>
        <v>#REF!</v>
      </c>
      <c r="M34" s="20"/>
      <c r="N34" s="20"/>
      <c r="O34" s="281"/>
      <c r="P34" s="74"/>
      <c r="Q34" s="20"/>
      <c r="R34" s="287"/>
      <c r="S34" s="278"/>
      <c r="T34" s="278"/>
      <c r="U34" s="281"/>
      <c r="V34" s="281"/>
      <c r="W34" s="285"/>
      <c r="X34" s="281"/>
      <c r="Y34" s="20"/>
      <c r="Z34" s="20"/>
      <c r="AA34" s="20"/>
      <c r="AB34" s="20"/>
      <c r="AC34" s="20"/>
      <c r="AE34" s="84"/>
    </row>
    <row r="35" spans="1:31">
      <c r="A35" s="3" t="s">
        <v>356</v>
      </c>
      <c r="C35" s="264">
        <v>0</v>
      </c>
      <c r="D35" s="264">
        <f>ROUND(C35*($D$42/$C$42),0)</f>
        <v>0</v>
      </c>
      <c r="E35" s="265">
        <f>$E$18</f>
        <v>37.82</v>
      </c>
      <c r="G35" s="2">
        <f>ROUND(E35*$C35,0)</f>
        <v>0</v>
      </c>
      <c r="H35" s="2">
        <f>ROUND(E35*$D35,0)</f>
        <v>0</v>
      </c>
      <c r="I35" s="265" t="e">
        <f>$I$18</f>
        <v>#REF!</v>
      </c>
      <c r="K35" s="2" t="e">
        <f>ROUND(I35*$C35,0)</f>
        <v>#REF!</v>
      </c>
      <c r="M35" s="20"/>
      <c r="N35" s="20"/>
      <c r="O35" s="281"/>
      <c r="P35" s="74"/>
      <c r="Q35" s="20"/>
      <c r="R35" s="287"/>
      <c r="S35" s="278"/>
      <c r="T35" s="278"/>
      <c r="U35" s="281"/>
      <c r="V35" s="281"/>
      <c r="W35" s="285"/>
      <c r="X35" s="281"/>
      <c r="Y35" s="20"/>
      <c r="Z35" s="20"/>
      <c r="AA35" s="20"/>
      <c r="AB35" s="20"/>
      <c r="AC35" s="20"/>
      <c r="AE35" s="84"/>
    </row>
    <row r="36" spans="1:31">
      <c r="A36" s="3" t="s">
        <v>357</v>
      </c>
      <c r="C36" s="264"/>
      <c r="D36" s="264"/>
      <c r="E36" s="265"/>
      <c r="G36" s="2"/>
      <c r="H36" s="2"/>
      <c r="I36" s="265"/>
      <c r="K36" s="2"/>
      <c r="M36" s="20"/>
      <c r="N36" s="20"/>
      <c r="O36" s="281"/>
      <c r="P36" s="74"/>
      <c r="Q36" s="20"/>
      <c r="R36" s="287"/>
      <c r="S36" s="278"/>
      <c r="T36" s="278"/>
      <c r="U36" s="281"/>
      <c r="V36" s="281"/>
      <c r="W36" s="285"/>
      <c r="X36" s="281"/>
      <c r="Y36" s="20"/>
      <c r="Z36" s="20"/>
      <c r="AA36" s="20"/>
      <c r="AB36" s="20"/>
      <c r="AC36" s="20"/>
      <c r="AE36" s="84"/>
    </row>
    <row r="37" spans="1:31">
      <c r="A37" s="3" t="s">
        <v>358</v>
      </c>
      <c r="C37" s="264">
        <f>921</f>
        <v>921</v>
      </c>
      <c r="D37" s="264">
        <f>ROUND(C37*($D$42/$C$42),0)</f>
        <v>946</v>
      </c>
      <c r="E37" s="265">
        <f>$E$20</f>
        <v>10.92</v>
      </c>
      <c r="G37" s="2">
        <f>ROUND(E37*$C37,0)</f>
        <v>10057</v>
      </c>
      <c r="H37" s="2">
        <f>ROUND(E37*$D37,0)</f>
        <v>10330</v>
      </c>
      <c r="I37" s="265" t="e">
        <f>$I$20</f>
        <v>#REF!</v>
      </c>
      <c r="K37" s="2" t="e">
        <f>ROUND(I37*$C37,0)</f>
        <v>#REF!</v>
      </c>
      <c r="M37" s="20"/>
      <c r="N37" s="20"/>
      <c r="O37" s="281"/>
      <c r="P37" s="74"/>
      <c r="Q37" s="20"/>
      <c r="R37" s="287"/>
      <c r="S37" s="278"/>
      <c r="T37" s="278"/>
      <c r="U37" s="281"/>
      <c r="V37" s="281"/>
      <c r="W37" s="285"/>
      <c r="X37" s="281"/>
      <c r="Y37" s="20"/>
      <c r="Z37" s="20"/>
      <c r="AA37" s="20"/>
      <c r="AB37" s="20"/>
      <c r="AC37" s="20"/>
      <c r="AE37" s="84"/>
    </row>
    <row r="38" spans="1:31">
      <c r="A38" s="3" t="s">
        <v>359</v>
      </c>
      <c r="C38" s="264">
        <f>228</f>
        <v>228</v>
      </c>
      <c r="D38" s="264">
        <f>ROUND(C38*($D$42/$C$42),0)</f>
        <v>234</v>
      </c>
      <c r="E38" s="265">
        <f>$E$21</f>
        <v>16.04</v>
      </c>
      <c r="G38" s="2">
        <f>ROUND(E38*$C38,0)</f>
        <v>3657</v>
      </c>
      <c r="H38" s="2">
        <f>ROUND(E38*$D38,0)</f>
        <v>3753</v>
      </c>
      <c r="I38" s="265" t="e">
        <f>$I$21</f>
        <v>#REF!</v>
      </c>
      <c r="K38" s="2" t="e">
        <f>ROUND(I38*$C38,0)</f>
        <v>#REF!</v>
      </c>
      <c r="M38" s="20"/>
      <c r="N38" s="20"/>
      <c r="O38" s="281"/>
      <c r="P38" s="74"/>
      <c r="Q38" s="20"/>
      <c r="R38" s="287"/>
      <c r="S38" s="278"/>
      <c r="T38" s="278"/>
      <c r="U38" s="281"/>
      <c r="V38" s="281"/>
      <c r="W38" s="285"/>
      <c r="X38" s="281"/>
      <c r="Y38" s="20"/>
      <c r="Z38" s="20"/>
      <c r="AA38" s="20"/>
      <c r="AB38" s="20"/>
      <c r="AC38" s="20"/>
      <c r="AE38" s="84"/>
    </row>
    <row r="39" spans="1:31">
      <c r="A39" s="3" t="s">
        <v>360</v>
      </c>
      <c r="C39" s="264">
        <f>12</f>
        <v>12</v>
      </c>
      <c r="D39" s="264">
        <f>ROUND(C39*($D$42/$C$42),0)</f>
        <v>12</v>
      </c>
      <c r="E39" s="265">
        <f>$E$22</f>
        <v>25.88</v>
      </c>
      <c r="G39" s="2">
        <f>ROUND(E39*$C39,0)</f>
        <v>311</v>
      </c>
      <c r="H39" s="2">
        <f>ROUND(E39*$D39,0)</f>
        <v>311</v>
      </c>
      <c r="I39" s="265" t="e">
        <f>$I$22</f>
        <v>#REF!</v>
      </c>
      <c r="K39" s="2" t="e">
        <f>ROUND(I39*$C39,0)</f>
        <v>#REF!</v>
      </c>
      <c r="M39" s="20"/>
      <c r="N39" s="20"/>
      <c r="O39" s="281"/>
      <c r="P39" s="74"/>
      <c r="Q39" s="20"/>
      <c r="R39" s="287"/>
      <c r="S39" s="278"/>
      <c r="T39" s="278"/>
      <c r="U39" s="281"/>
      <c r="V39" s="281"/>
      <c r="W39" s="285"/>
      <c r="X39" s="281"/>
      <c r="Y39" s="20"/>
      <c r="Z39" s="20"/>
      <c r="AA39" s="20"/>
      <c r="AB39" s="20"/>
      <c r="AC39" s="20"/>
      <c r="AE39" s="84"/>
    </row>
    <row r="40" spans="1:31">
      <c r="A40" s="3" t="s">
        <v>361</v>
      </c>
      <c r="C40" s="264">
        <f>112+13</f>
        <v>125</v>
      </c>
      <c r="D40" s="264">
        <f>ROUND(C40*($D$42/$C$42),0)</f>
        <v>128</v>
      </c>
      <c r="E40" s="265">
        <f>$E$23</f>
        <v>1</v>
      </c>
      <c r="F40" s="20"/>
      <c r="G40" s="272">
        <f>ROUND(E40*$C40,0)</f>
        <v>125</v>
      </c>
      <c r="H40" s="272">
        <f>ROUND(E40*$D40,0)</f>
        <v>128</v>
      </c>
      <c r="I40" s="269">
        <f>$I$23</f>
        <v>1</v>
      </c>
      <c r="J40" s="20"/>
      <c r="K40" s="272">
        <f>ROUND(I40*$C40,0)</f>
        <v>125</v>
      </c>
      <c r="M40" s="278"/>
      <c r="N40" s="278"/>
      <c r="O40" s="281"/>
      <c r="P40" s="74"/>
      <c r="Q40" s="20"/>
      <c r="R40" s="278"/>
      <c r="S40" s="278"/>
      <c r="T40" s="278"/>
      <c r="U40" s="281"/>
      <c r="V40" s="281"/>
      <c r="W40" s="281"/>
      <c r="X40" s="281"/>
      <c r="Y40" s="20"/>
      <c r="Z40" s="20"/>
      <c r="AA40" s="20"/>
      <c r="AB40" s="20"/>
      <c r="AC40" s="20"/>
      <c r="AE40" s="84"/>
    </row>
    <row r="41" spans="1:31">
      <c r="A41" s="3" t="s">
        <v>362</v>
      </c>
      <c r="C41" s="264">
        <v>15099</v>
      </c>
      <c r="D41" s="264">
        <v>1276.1666666666667</v>
      </c>
      <c r="E41" s="265"/>
      <c r="G41" s="2"/>
      <c r="H41" s="2"/>
      <c r="I41" s="265"/>
      <c r="K41" s="2"/>
      <c r="M41" s="278"/>
      <c r="N41" s="278"/>
      <c r="O41" s="278"/>
      <c r="P41" s="278"/>
      <c r="Q41" s="278"/>
      <c r="R41" s="278"/>
      <c r="S41" s="278"/>
      <c r="T41" s="278"/>
      <c r="U41" s="288"/>
      <c r="V41" s="278"/>
      <c r="W41" s="278"/>
      <c r="X41" s="278"/>
      <c r="Y41" s="20"/>
      <c r="Z41" s="20"/>
      <c r="AA41" s="20"/>
      <c r="AB41" s="20"/>
      <c r="AC41" s="20"/>
      <c r="AE41" s="84"/>
    </row>
    <row r="42" spans="1:31">
      <c r="A42" s="3" t="s">
        <v>35</v>
      </c>
      <c r="C42" s="264">
        <v>1147205</v>
      </c>
      <c r="D42" s="264">
        <v>1178171.795773752</v>
      </c>
      <c r="E42" s="269"/>
      <c r="F42" s="20"/>
      <c r="G42" s="272">
        <f>SUM(G33:G40)</f>
        <v>153403</v>
      </c>
      <c r="H42" s="272">
        <f>SUM(H33:H40)</f>
        <v>157522</v>
      </c>
      <c r="I42" s="269"/>
      <c r="J42" s="20"/>
      <c r="K42" s="272" t="e">
        <f>SUM(K33:K40)</f>
        <v>#REF!</v>
      </c>
      <c r="M42" s="278"/>
      <c r="N42" s="278"/>
      <c r="O42" s="287"/>
      <c r="P42" s="278"/>
      <c r="Q42" s="20"/>
      <c r="R42" s="20"/>
      <c r="S42" s="20"/>
      <c r="T42" s="278"/>
      <c r="U42" s="278"/>
      <c r="V42" s="278"/>
      <c r="W42" s="278"/>
      <c r="X42" s="278"/>
      <c r="Y42" s="20"/>
      <c r="Z42" s="20"/>
      <c r="AA42" s="20"/>
      <c r="AB42" s="20"/>
      <c r="AC42" s="20"/>
      <c r="AE42" s="84"/>
    </row>
    <row r="43" spans="1:31">
      <c r="A43" s="3" t="s">
        <v>363</v>
      </c>
      <c r="C43" s="264" t="e">
        <f>#REF!</f>
        <v>#REF!</v>
      </c>
      <c r="D43" s="264">
        <v>0</v>
      </c>
      <c r="E43" s="269"/>
      <c r="F43" s="20"/>
      <c r="G43" s="272" t="e">
        <f>#REF!</f>
        <v>#REF!</v>
      </c>
      <c r="H43" s="272">
        <v>0</v>
      </c>
      <c r="I43" s="269"/>
      <c r="J43" s="20"/>
      <c r="K43" s="272" t="e">
        <f>G43</f>
        <v>#REF!</v>
      </c>
      <c r="M43" s="444"/>
      <c r="N43" s="444"/>
      <c r="O43" s="287"/>
      <c r="P43" s="278"/>
      <c r="Q43" s="278"/>
      <c r="R43" s="283"/>
      <c r="S43" s="281"/>
      <c r="T43" s="278"/>
      <c r="U43" s="278"/>
      <c r="V43" s="278"/>
      <c r="W43" s="278"/>
      <c r="X43" s="278"/>
      <c r="Y43" s="20"/>
      <c r="Z43" s="20"/>
      <c r="AA43" s="20"/>
      <c r="AB43" s="20"/>
      <c r="AC43" s="20"/>
      <c r="AE43" s="84"/>
    </row>
    <row r="44" spans="1:31" ht="16.5" thickBot="1">
      <c r="A44" s="3" t="s">
        <v>9</v>
      </c>
      <c r="C44" s="273" t="e">
        <f>C42+C43</f>
        <v>#REF!</v>
      </c>
      <c r="D44" s="273">
        <f>SUM(D42:D43)</f>
        <v>1178171.795773752</v>
      </c>
      <c r="E44" s="274"/>
      <c r="F44" s="274"/>
      <c r="G44" s="274" t="e">
        <f>G42+G43</f>
        <v>#REF!</v>
      </c>
      <c r="H44" s="274">
        <f>H42+H43</f>
        <v>157522</v>
      </c>
      <c r="I44" s="274"/>
      <c r="J44" s="274"/>
      <c r="K44" s="274" t="e">
        <f>K42+K43</f>
        <v>#REF!</v>
      </c>
      <c r="M44" s="411"/>
      <c r="N44" s="411"/>
      <c r="O44" s="470"/>
      <c r="P44" s="278"/>
      <c r="Q44" s="278"/>
      <c r="R44" s="278"/>
      <c r="S44" s="278"/>
      <c r="T44" s="278"/>
      <c r="U44" s="278"/>
      <c r="V44" s="278"/>
      <c r="W44" s="278"/>
      <c r="X44" s="278"/>
      <c r="Y44" s="20"/>
      <c r="Z44" s="20"/>
      <c r="AA44" s="20"/>
      <c r="AB44" s="20"/>
      <c r="AC44" s="20"/>
      <c r="AE44" s="84"/>
    </row>
    <row r="45" spans="1:31" ht="16.5" thickTop="1">
      <c r="C45" s="275"/>
      <c r="D45" s="275"/>
      <c r="E45" s="275"/>
      <c r="F45" s="275"/>
      <c r="G45" s="263"/>
      <c r="H45" s="263"/>
      <c r="I45" s="1" t="s">
        <v>31</v>
      </c>
      <c r="J45" s="275"/>
      <c r="K45" s="2" t="s">
        <v>31</v>
      </c>
      <c r="M45" s="20"/>
      <c r="N45" s="20"/>
      <c r="O45" s="74"/>
      <c r="P45" s="74"/>
      <c r="Q45" s="20"/>
      <c r="R45" s="20"/>
      <c r="S45" s="20"/>
      <c r="T45" s="278"/>
      <c r="U45" s="278"/>
      <c r="V45" s="278"/>
      <c r="W45" s="278"/>
      <c r="X45" s="278"/>
      <c r="Y45" s="20"/>
      <c r="Z45" s="20"/>
      <c r="AA45" s="20"/>
      <c r="AB45" s="20"/>
      <c r="AC45" s="20"/>
      <c r="AE45" s="84"/>
    </row>
    <row r="46" spans="1:31">
      <c r="A46" s="262" t="s">
        <v>351</v>
      </c>
      <c r="G46" s="263"/>
      <c r="H46" s="263"/>
      <c r="M46" s="20"/>
      <c r="N46" s="20"/>
      <c r="O46" s="74"/>
      <c r="P46" s="74"/>
      <c r="Q46" s="20"/>
      <c r="R46" s="20"/>
      <c r="S46" s="20"/>
      <c r="T46" s="278"/>
      <c r="U46" s="278"/>
      <c r="V46" s="278"/>
      <c r="W46" s="278"/>
      <c r="X46" s="278"/>
      <c r="Y46" s="20"/>
      <c r="Z46" s="20"/>
      <c r="AA46" s="20"/>
      <c r="AB46" s="20"/>
      <c r="AC46" s="20"/>
      <c r="AE46" s="84"/>
    </row>
    <row r="47" spans="1:31">
      <c r="A47" s="3" t="s">
        <v>366</v>
      </c>
      <c r="G47" s="263"/>
      <c r="H47" s="263"/>
      <c r="M47" s="278"/>
      <c r="N47" s="278"/>
      <c r="O47" s="278"/>
      <c r="P47" s="278"/>
      <c r="Q47" s="278"/>
      <c r="R47" s="278"/>
      <c r="S47" s="278"/>
      <c r="T47" s="278"/>
      <c r="U47" s="278"/>
      <c r="V47" s="278"/>
      <c r="W47" s="278"/>
      <c r="X47" s="278"/>
      <c r="Y47" s="20"/>
      <c r="Z47" s="20"/>
      <c r="AA47" s="20"/>
      <c r="AB47" s="20"/>
      <c r="AC47" s="20"/>
      <c r="AE47" s="84"/>
    </row>
    <row r="48" spans="1:31">
      <c r="G48" s="263"/>
      <c r="H48" s="263"/>
      <c r="M48" s="278"/>
      <c r="N48" s="278"/>
      <c r="O48" s="278"/>
      <c r="P48" s="278"/>
      <c r="Q48" s="278"/>
      <c r="R48" s="278"/>
      <c r="S48" s="278"/>
      <c r="T48" s="278"/>
      <c r="U48" s="278"/>
      <c r="V48" s="278"/>
      <c r="W48" s="278"/>
      <c r="X48" s="278"/>
      <c r="Y48" s="20"/>
      <c r="Z48" s="20"/>
      <c r="AA48" s="20"/>
      <c r="AB48" s="20"/>
      <c r="AC48" s="20"/>
      <c r="AE48" s="84"/>
    </row>
    <row r="49" spans="1:31">
      <c r="A49" s="3" t="s">
        <v>353</v>
      </c>
      <c r="G49" s="263"/>
      <c r="H49" s="263"/>
      <c r="M49" s="278"/>
      <c r="N49" s="278"/>
      <c r="O49" s="278"/>
      <c r="P49" s="74"/>
      <c r="Q49" s="279"/>
      <c r="R49" s="280"/>
      <c r="S49" s="281"/>
      <c r="T49" s="282"/>
      <c r="U49" s="278"/>
      <c r="V49" s="278"/>
      <c r="W49" s="278"/>
      <c r="X49" s="278"/>
      <c r="Y49" s="20"/>
      <c r="Z49" s="20"/>
      <c r="AA49" s="20"/>
      <c r="AB49" s="20"/>
      <c r="AC49" s="20"/>
      <c r="AE49" s="84"/>
    </row>
    <row r="50" spans="1:31">
      <c r="A50" s="3" t="s">
        <v>354</v>
      </c>
      <c r="C50" s="264">
        <f>8606+13+6615+38</f>
        <v>15272</v>
      </c>
      <c r="D50" s="264">
        <f>ROUND(C50*($D$59/$C$59),0)</f>
        <v>16186</v>
      </c>
      <c r="E50" s="265">
        <f>$E$16</f>
        <v>9.6</v>
      </c>
      <c r="G50" s="2">
        <f>ROUND(E50*$C50,0)</f>
        <v>146611</v>
      </c>
      <c r="H50" s="2">
        <f>ROUND(E50*$D50,0)</f>
        <v>155386</v>
      </c>
      <c r="I50" s="265" t="e">
        <f>$I$16</f>
        <v>#REF!</v>
      </c>
      <c r="K50" s="2" t="e">
        <f>ROUND(I50*$C50,0)</f>
        <v>#REF!</v>
      </c>
      <c r="M50" s="20"/>
      <c r="N50" s="20"/>
      <c r="O50" s="281"/>
      <c r="P50" s="74"/>
      <c r="Q50" s="278"/>
      <c r="R50" s="283"/>
      <c r="S50" s="284"/>
      <c r="T50" s="278"/>
      <c r="U50" s="281"/>
      <c r="V50" s="281"/>
      <c r="W50" s="285"/>
      <c r="X50" s="281"/>
      <c r="Y50" s="20"/>
      <c r="Z50" s="20"/>
      <c r="AA50" s="20"/>
      <c r="AB50" s="20"/>
      <c r="AC50" s="20"/>
      <c r="AE50" s="84"/>
    </row>
    <row r="51" spans="1:31">
      <c r="A51" s="3" t="s">
        <v>355</v>
      </c>
      <c r="C51" s="264">
        <f>3424+252+432</f>
        <v>4108</v>
      </c>
      <c r="D51" s="264">
        <f>ROUND(C51*($D$59/$C$59),0)</f>
        <v>4354</v>
      </c>
      <c r="E51" s="265">
        <f>$E$17</f>
        <v>18.28</v>
      </c>
      <c r="G51" s="2">
        <f>ROUND(E51*$C51,0)</f>
        <v>75094</v>
      </c>
      <c r="H51" s="2">
        <f>ROUND(E51*$D51,0)</f>
        <v>79591</v>
      </c>
      <c r="I51" s="265" t="e">
        <f>$I$17</f>
        <v>#REF!</v>
      </c>
      <c r="K51" s="2" t="e">
        <f>ROUND(I51*$C51,0)</f>
        <v>#REF!</v>
      </c>
      <c r="M51" s="20"/>
      <c r="N51" s="20"/>
      <c r="O51" s="281"/>
      <c r="P51" s="74"/>
      <c r="Q51" s="20"/>
      <c r="R51" s="287"/>
      <c r="S51" s="278"/>
      <c r="T51" s="278"/>
      <c r="U51" s="281"/>
      <c r="V51" s="281"/>
      <c r="W51" s="285"/>
      <c r="X51" s="281"/>
      <c r="Y51" s="20"/>
      <c r="Z51" s="20"/>
      <c r="AA51" s="20"/>
      <c r="AB51" s="20"/>
      <c r="AC51" s="20"/>
      <c r="AE51" s="84"/>
    </row>
    <row r="52" spans="1:31">
      <c r="A52" s="3" t="s">
        <v>356</v>
      </c>
      <c r="C52" s="264">
        <f>512+51+36+12</f>
        <v>611</v>
      </c>
      <c r="D52" s="264">
        <f>ROUND(C52*($D$59/$C$59),0)</f>
        <v>648</v>
      </c>
      <c r="E52" s="265">
        <f>$E$18</f>
        <v>37.82</v>
      </c>
      <c r="G52" s="2">
        <f>ROUND(E52*$C52,0)</f>
        <v>23108</v>
      </c>
      <c r="H52" s="2">
        <f>ROUND(E52*$D52,0)</f>
        <v>24507</v>
      </c>
      <c r="I52" s="265" t="e">
        <f>$I$18</f>
        <v>#REF!</v>
      </c>
      <c r="K52" s="2" t="e">
        <f>ROUND(I52*$C52,0)</f>
        <v>#REF!</v>
      </c>
      <c r="M52" s="20"/>
      <c r="N52" s="20"/>
      <c r="O52" s="281"/>
      <c r="P52" s="74"/>
      <c r="Q52" s="20"/>
      <c r="R52" s="287"/>
      <c r="S52" s="278"/>
      <c r="T52" s="278"/>
      <c r="U52" s="281"/>
      <c r="V52" s="281"/>
      <c r="W52" s="285"/>
      <c r="X52" s="281"/>
      <c r="Y52" s="20"/>
      <c r="Z52" s="20"/>
      <c r="AA52" s="20"/>
      <c r="AB52" s="20"/>
      <c r="AC52" s="20"/>
      <c r="AE52" s="84"/>
    </row>
    <row r="53" spans="1:31">
      <c r="A53" s="3" t="s">
        <v>357</v>
      </c>
      <c r="C53" s="264"/>
      <c r="D53" s="264"/>
      <c r="E53" s="265"/>
      <c r="G53" s="2"/>
      <c r="H53" s="2"/>
      <c r="I53" s="265"/>
      <c r="K53" s="2"/>
      <c r="M53" s="20"/>
      <c r="N53" s="20"/>
      <c r="O53" s="281"/>
      <c r="P53" s="74"/>
      <c r="Q53" s="20"/>
      <c r="R53" s="287"/>
      <c r="S53" s="278"/>
      <c r="T53" s="278"/>
      <c r="U53" s="281"/>
      <c r="V53" s="281"/>
      <c r="W53" s="285"/>
      <c r="X53" s="281"/>
      <c r="Y53" s="20"/>
      <c r="Z53" s="20"/>
      <c r="AA53" s="20"/>
      <c r="AB53" s="20"/>
      <c r="AC53" s="20"/>
      <c r="AE53" s="84"/>
    </row>
    <row r="54" spans="1:31">
      <c r="A54" s="3" t="s">
        <v>358</v>
      </c>
      <c r="C54" s="264">
        <f>649+501</f>
        <v>1150</v>
      </c>
      <c r="D54" s="264">
        <f>ROUND(C54*($D$59/$C$59),0)</f>
        <v>1219</v>
      </c>
      <c r="E54" s="265">
        <f>$E$20</f>
        <v>10.92</v>
      </c>
      <c r="G54" s="2">
        <f>ROUND(E54*$C54,0)</f>
        <v>12558</v>
      </c>
      <c r="H54" s="2">
        <f>ROUND(E54*$D54,0)</f>
        <v>13311</v>
      </c>
      <c r="I54" s="265" t="e">
        <f>$I$20</f>
        <v>#REF!</v>
      </c>
      <c r="K54" s="2" t="e">
        <f>ROUND(I54*$C54,0)</f>
        <v>#REF!</v>
      </c>
      <c r="M54" s="20"/>
      <c r="N54" s="20"/>
      <c r="O54" s="281"/>
      <c r="P54" s="74"/>
      <c r="Q54" s="20"/>
      <c r="R54" s="287"/>
      <c r="S54" s="278"/>
      <c r="T54" s="278"/>
      <c r="U54" s="281"/>
      <c r="V54" s="281"/>
      <c r="W54" s="285"/>
      <c r="X54" s="281"/>
      <c r="Y54" s="20"/>
      <c r="Z54" s="20"/>
      <c r="AA54" s="20"/>
      <c r="AB54" s="20"/>
      <c r="AC54" s="20"/>
      <c r="AE54" s="84"/>
    </row>
    <row r="55" spans="1:31">
      <c r="A55" s="3" t="s">
        <v>359</v>
      </c>
      <c r="C55" s="264">
        <f>1253+229</f>
        <v>1482</v>
      </c>
      <c r="D55" s="264">
        <f>ROUND(C55*($D$59/$C$59),0)</f>
        <v>1571</v>
      </c>
      <c r="E55" s="265">
        <f>$E$21</f>
        <v>16.04</v>
      </c>
      <c r="G55" s="2">
        <f>ROUND(E55*$C55,0)</f>
        <v>23771</v>
      </c>
      <c r="H55" s="2">
        <f>ROUND(E55*$D55,0)</f>
        <v>25199</v>
      </c>
      <c r="I55" s="265" t="e">
        <f>$I$21</f>
        <v>#REF!</v>
      </c>
      <c r="K55" s="2" t="e">
        <f>ROUND(I55*$C55,0)</f>
        <v>#REF!</v>
      </c>
      <c r="M55" s="20"/>
      <c r="N55" s="20"/>
      <c r="O55" s="281"/>
      <c r="P55" s="74"/>
      <c r="Q55" s="20"/>
      <c r="R55" s="287"/>
      <c r="S55" s="278"/>
      <c r="T55" s="278"/>
      <c r="U55" s="281"/>
      <c r="V55" s="281"/>
      <c r="W55" s="285"/>
      <c r="X55" s="281"/>
      <c r="Y55" s="20"/>
      <c r="Z55" s="20"/>
      <c r="AA55" s="20"/>
      <c r="AB55" s="20"/>
      <c r="AC55" s="20"/>
      <c r="AE55" s="84"/>
    </row>
    <row r="56" spans="1:31">
      <c r="A56" s="3" t="s">
        <v>360</v>
      </c>
      <c r="C56" s="264">
        <f>384+48</f>
        <v>432</v>
      </c>
      <c r="D56" s="264">
        <f>ROUND(C56*($D$59/$C$59),0)</f>
        <v>458</v>
      </c>
      <c r="E56" s="265">
        <f>$E$22</f>
        <v>25.88</v>
      </c>
      <c r="G56" s="2">
        <f>ROUND(E56*$C56,0)</f>
        <v>11180</v>
      </c>
      <c r="H56" s="2">
        <f>ROUND(E56*$D56,0)</f>
        <v>11853</v>
      </c>
      <c r="I56" s="265" t="e">
        <f>$I$22</f>
        <v>#REF!</v>
      </c>
      <c r="K56" s="2" t="e">
        <f>ROUND(I56*$C56,0)</f>
        <v>#REF!</v>
      </c>
      <c r="M56" s="20"/>
      <c r="N56" s="20"/>
      <c r="O56" s="281"/>
      <c r="P56" s="74"/>
      <c r="Q56" s="20"/>
      <c r="R56" s="287"/>
      <c r="S56" s="278"/>
      <c r="T56" s="278"/>
      <c r="U56" s="281"/>
      <c r="V56" s="281"/>
      <c r="W56" s="285"/>
      <c r="X56" s="281"/>
      <c r="Y56" s="20"/>
      <c r="Z56" s="20"/>
      <c r="AA56" s="20"/>
      <c r="AB56" s="20"/>
      <c r="AC56" s="20"/>
      <c r="AE56" s="84"/>
    </row>
    <row r="57" spans="1:31">
      <c r="A57" s="3" t="s">
        <v>361</v>
      </c>
      <c r="C57" s="264">
        <f>13+252+51+38+12</f>
        <v>366</v>
      </c>
      <c r="D57" s="264">
        <f>ROUND(C57*($D$59/$C$59),0)</f>
        <v>388</v>
      </c>
      <c r="E57" s="265">
        <f>$E$23</f>
        <v>1</v>
      </c>
      <c r="F57" s="20"/>
      <c r="G57" s="272">
        <f>ROUND(E57*$C57,0)</f>
        <v>366</v>
      </c>
      <c r="H57" s="272">
        <f>ROUND(E57*$D57,0)</f>
        <v>388</v>
      </c>
      <c r="I57" s="269">
        <f>$I$23</f>
        <v>1</v>
      </c>
      <c r="J57" s="20"/>
      <c r="K57" s="272">
        <f>ROUND(I57*$C57,0)</f>
        <v>366</v>
      </c>
      <c r="M57" s="278"/>
      <c r="N57" s="278"/>
      <c r="O57" s="281"/>
      <c r="P57" s="74"/>
      <c r="Q57" s="20"/>
      <c r="R57" s="278"/>
      <c r="S57" s="278"/>
      <c r="T57" s="278"/>
      <c r="U57" s="281"/>
      <c r="V57" s="281"/>
      <c r="W57" s="281"/>
      <c r="X57" s="281"/>
      <c r="Y57" s="20"/>
      <c r="Z57" s="20"/>
      <c r="AA57" s="20"/>
      <c r="AB57" s="20"/>
      <c r="AC57" s="20"/>
      <c r="AE57" s="84"/>
    </row>
    <row r="58" spans="1:31">
      <c r="A58" s="3" t="s">
        <v>362</v>
      </c>
      <c r="C58" s="264">
        <f>10688+6709</f>
        <v>17397</v>
      </c>
      <c r="D58" s="264">
        <v>1459</v>
      </c>
      <c r="E58" s="265"/>
      <c r="G58" s="2"/>
      <c r="H58" s="2"/>
      <c r="I58" s="265"/>
      <c r="K58" s="2"/>
      <c r="M58" s="278"/>
      <c r="N58" s="278"/>
      <c r="O58" s="278"/>
      <c r="P58" s="278"/>
      <c r="Q58" s="278"/>
      <c r="R58" s="278"/>
      <c r="S58" s="278"/>
      <c r="T58" s="278"/>
      <c r="U58" s="288"/>
      <c r="V58" s="278"/>
      <c r="W58" s="278"/>
      <c r="X58" s="278"/>
      <c r="Y58" s="20"/>
      <c r="Z58" s="20"/>
      <c r="AA58" s="20"/>
      <c r="AB58" s="20"/>
      <c r="AC58" s="20"/>
      <c r="AE58" s="84"/>
    </row>
    <row r="59" spans="1:31">
      <c r="A59" s="3" t="s">
        <v>35</v>
      </c>
      <c r="C59" s="264">
        <f>1679522+631102</f>
        <v>2310624</v>
      </c>
      <c r="D59" s="264">
        <v>2448984.1343942713</v>
      </c>
      <c r="E59" s="269"/>
      <c r="F59" s="20"/>
      <c r="G59" s="272">
        <f>SUM(G50:G57)</f>
        <v>292688</v>
      </c>
      <c r="H59" s="272">
        <f>SUM(H50:H57)</f>
        <v>310235</v>
      </c>
      <c r="I59" s="269"/>
      <c r="J59" s="20"/>
      <c r="K59" s="272" t="e">
        <f>SUM(K50:K57)</f>
        <v>#REF!</v>
      </c>
      <c r="M59" s="278"/>
      <c r="N59" s="278"/>
      <c r="O59" s="287"/>
      <c r="P59" s="278"/>
      <c r="Q59" s="20"/>
      <c r="R59" s="20"/>
      <c r="S59" s="20"/>
      <c r="T59" s="278"/>
      <c r="U59" s="278"/>
      <c r="V59" s="278"/>
      <c r="W59" s="278"/>
      <c r="X59" s="278"/>
      <c r="Y59" s="20"/>
      <c r="Z59" s="20"/>
      <c r="AA59" s="20"/>
      <c r="AB59" s="20"/>
      <c r="AC59" s="20"/>
      <c r="AE59" s="84"/>
    </row>
    <row r="60" spans="1:31">
      <c r="A60" s="3" t="s">
        <v>363</v>
      </c>
      <c r="C60" s="264" t="e">
        <f>#REF!</f>
        <v>#REF!</v>
      </c>
      <c r="D60" s="264">
        <v>0</v>
      </c>
      <c r="E60" s="269"/>
      <c r="F60" s="20"/>
      <c r="G60" s="272" t="e">
        <f>#REF!</f>
        <v>#REF!</v>
      </c>
      <c r="H60" s="272">
        <v>0</v>
      </c>
      <c r="I60" s="269"/>
      <c r="J60" s="20"/>
      <c r="K60" s="272" t="e">
        <f>G60</f>
        <v>#REF!</v>
      </c>
      <c r="M60" s="444"/>
      <c r="N60" s="444"/>
      <c r="O60" s="287"/>
      <c r="P60" s="278"/>
      <c r="Q60" s="278"/>
      <c r="R60" s="283"/>
      <c r="S60" s="281"/>
      <c r="T60" s="278"/>
      <c r="U60" s="278"/>
      <c r="V60" s="278"/>
      <c r="W60" s="278"/>
      <c r="X60" s="278"/>
      <c r="Y60" s="20"/>
      <c r="Z60" s="20"/>
      <c r="AA60" s="20"/>
      <c r="AB60" s="20"/>
      <c r="AC60" s="20"/>
      <c r="AE60" s="84"/>
    </row>
    <row r="61" spans="1:31" ht="16.5" thickBot="1">
      <c r="A61" s="3" t="s">
        <v>9</v>
      </c>
      <c r="C61" s="273" t="e">
        <f>C59+C60</f>
        <v>#REF!</v>
      </c>
      <c r="D61" s="273">
        <f>SUM(D59:D60)</f>
        <v>2448984.1343942713</v>
      </c>
      <c r="E61" s="274"/>
      <c r="F61" s="274"/>
      <c r="G61" s="274" t="e">
        <f>G59+G60</f>
        <v>#REF!</v>
      </c>
      <c r="H61" s="274">
        <f>H59+H60</f>
        <v>310235</v>
      </c>
      <c r="I61" s="274"/>
      <c r="J61" s="274"/>
      <c r="K61" s="274" t="e">
        <f>K59+K60</f>
        <v>#REF!</v>
      </c>
      <c r="M61" s="411"/>
      <c r="N61" s="411"/>
      <c r="O61" s="470"/>
      <c r="P61" s="278"/>
      <c r="Q61" s="278"/>
      <c r="R61" s="278"/>
      <c r="S61" s="278"/>
      <c r="T61" s="278"/>
      <c r="U61" s="278"/>
      <c r="V61" s="278"/>
      <c r="W61" s="278"/>
      <c r="X61" s="278"/>
      <c r="Y61" s="20"/>
      <c r="Z61" s="20"/>
      <c r="AA61" s="20"/>
      <c r="AB61" s="20"/>
      <c r="AC61" s="20"/>
      <c r="AE61" s="84"/>
    </row>
    <row r="62" spans="1:31" ht="16.5" thickTop="1">
      <c r="C62" s="275"/>
      <c r="D62" s="275"/>
      <c r="E62" s="275"/>
      <c r="F62" s="275"/>
      <c r="G62" s="263"/>
      <c r="H62" s="263"/>
      <c r="I62" s="1" t="s">
        <v>31</v>
      </c>
      <c r="J62" s="275"/>
      <c r="K62" s="2" t="s">
        <v>31</v>
      </c>
      <c r="M62" s="20"/>
      <c r="N62" s="20"/>
      <c r="O62" s="74"/>
      <c r="P62" s="74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E62" s="84"/>
    </row>
    <row r="63" spans="1:31">
      <c r="A63" s="262" t="s">
        <v>351</v>
      </c>
      <c r="G63" s="263"/>
      <c r="H63" s="263"/>
      <c r="M63" s="20"/>
      <c r="N63" s="20"/>
      <c r="O63" s="74"/>
      <c r="P63" s="74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E63" s="84"/>
    </row>
    <row r="64" spans="1:31">
      <c r="A64" s="3" t="s">
        <v>367</v>
      </c>
      <c r="G64" s="263"/>
      <c r="H64" s="263"/>
      <c r="M64" s="278"/>
      <c r="N64" s="278"/>
      <c r="O64" s="278"/>
      <c r="P64" s="278"/>
      <c r="Q64" s="278"/>
      <c r="R64" s="278"/>
      <c r="S64" s="278"/>
      <c r="T64" s="278"/>
      <c r="U64" s="278"/>
      <c r="V64" s="278"/>
      <c r="W64" s="278"/>
      <c r="X64" s="278"/>
      <c r="Y64" s="20"/>
      <c r="Z64" s="20"/>
      <c r="AA64" s="20"/>
      <c r="AB64" s="20"/>
      <c r="AC64" s="20"/>
      <c r="AE64" s="84"/>
    </row>
    <row r="65" spans="1:31">
      <c r="G65" s="263"/>
      <c r="H65" s="263"/>
      <c r="M65" s="278"/>
      <c r="N65" s="278"/>
      <c r="O65" s="278"/>
      <c r="P65" s="278"/>
      <c r="Q65" s="278"/>
      <c r="R65" s="278"/>
      <c r="S65" s="278"/>
      <c r="T65" s="278"/>
      <c r="U65" s="278"/>
      <c r="V65" s="278"/>
      <c r="W65" s="278"/>
      <c r="X65" s="278"/>
      <c r="Y65" s="20"/>
      <c r="Z65" s="20"/>
      <c r="AA65" s="20"/>
      <c r="AB65" s="20"/>
      <c r="AC65" s="20"/>
      <c r="AE65" s="84"/>
    </row>
    <row r="66" spans="1:31">
      <c r="A66" s="3" t="s">
        <v>353</v>
      </c>
      <c r="G66" s="263"/>
      <c r="H66" s="263"/>
      <c r="M66" s="278"/>
      <c r="N66" s="278"/>
      <c r="O66" s="278"/>
      <c r="P66" s="74"/>
      <c r="Q66" s="279"/>
      <c r="R66" s="280"/>
      <c r="S66" s="281"/>
      <c r="T66" s="282"/>
      <c r="U66" s="278"/>
      <c r="V66" s="278"/>
      <c r="W66" s="278"/>
      <c r="X66" s="278"/>
      <c r="Y66" s="20"/>
      <c r="Z66" s="20"/>
      <c r="AA66" s="20"/>
      <c r="AB66" s="20"/>
      <c r="AC66" s="20"/>
      <c r="AE66" s="84"/>
    </row>
    <row r="67" spans="1:31">
      <c r="A67" s="3" t="s">
        <v>354</v>
      </c>
      <c r="C67" s="264">
        <f>329+192+132</f>
        <v>653</v>
      </c>
      <c r="D67" s="264">
        <f>ROUND(C67*($D$76/$C$76),0)</f>
        <v>702</v>
      </c>
      <c r="E67" s="265">
        <f>$E$16</f>
        <v>9.6</v>
      </c>
      <c r="G67" s="2">
        <f>ROUND(E67*$C67,0)</f>
        <v>6269</v>
      </c>
      <c r="H67" s="2">
        <f>ROUND(E67*$D67,0)</f>
        <v>6739</v>
      </c>
      <c r="I67" s="265" t="e">
        <f>$I$16</f>
        <v>#REF!</v>
      </c>
      <c r="K67" s="2" t="e">
        <f>ROUND(I67*$C67,0)</f>
        <v>#REF!</v>
      </c>
      <c r="M67" s="20"/>
      <c r="N67" s="20"/>
      <c r="O67" s="281"/>
      <c r="P67" s="74"/>
      <c r="Q67" s="278"/>
      <c r="R67" s="283"/>
      <c r="S67" s="284"/>
      <c r="T67" s="278"/>
      <c r="U67" s="281"/>
      <c r="V67" s="281"/>
      <c r="W67" s="285"/>
      <c r="X67" s="281"/>
      <c r="Y67" s="20"/>
      <c r="Z67" s="20"/>
      <c r="AA67" s="20"/>
      <c r="AB67" s="20"/>
      <c r="AC67" s="20"/>
      <c r="AE67" s="84"/>
    </row>
    <row r="68" spans="1:31">
      <c r="A68" s="3" t="s">
        <v>355</v>
      </c>
      <c r="C68" s="264">
        <f>386+36</f>
        <v>422</v>
      </c>
      <c r="D68" s="264">
        <f>ROUND(C68*($D$76/$C$76),0)</f>
        <v>454</v>
      </c>
      <c r="E68" s="265">
        <f>$E$17</f>
        <v>18.28</v>
      </c>
      <c r="G68" s="2">
        <f>ROUND(E68*$C68,0)</f>
        <v>7714</v>
      </c>
      <c r="H68" s="2">
        <f>ROUND(E68*$D68,0)</f>
        <v>8299</v>
      </c>
      <c r="I68" s="265" t="e">
        <f>$I$17</f>
        <v>#REF!</v>
      </c>
      <c r="K68" s="2" t="e">
        <f>ROUND(I68*$C68,0)</f>
        <v>#REF!</v>
      </c>
      <c r="M68" s="20"/>
      <c r="N68" s="20"/>
      <c r="O68" s="281"/>
      <c r="P68" s="74"/>
      <c r="Q68" s="20"/>
      <c r="R68" s="287"/>
      <c r="S68" s="278"/>
      <c r="T68" s="278"/>
      <c r="U68" s="281"/>
      <c r="V68" s="281"/>
      <c r="W68" s="285"/>
      <c r="X68" s="281"/>
      <c r="Y68" s="20"/>
      <c r="Z68" s="20"/>
      <c r="AA68" s="20"/>
      <c r="AB68" s="20"/>
      <c r="AC68" s="20"/>
      <c r="AE68" s="84"/>
    </row>
    <row r="69" spans="1:31">
      <c r="A69" s="3" t="s">
        <v>356</v>
      </c>
      <c r="C69" s="264">
        <f>48</f>
        <v>48</v>
      </c>
      <c r="D69" s="264">
        <f>ROUND(C69*($D$76/$C$76),0)</f>
        <v>52</v>
      </c>
      <c r="E69" s="265">
        <f>$E$18</f>
        <v>37.82</v>
      </c>
      <c r="G69" s="2">
        <f>ROUND(E69*$C69,0)</f>
        <v>1815</v>
      </c>
      <c r="H69" s="2">
        <f>ROUND(E69*$D69,0)</f>
        <v>1967</v>
      </c>
      <c r="I69" s="265" t="e">
        <f>$I$18</f>
        <v>#REF!</v>
      </c>
      <c r="K69" s="2" t="e">
        <f>ROUND(I69*$C69,0)</f>
        <v>#REF!</v>
      </c>
      <c r="M69" s="20"/>
      <c r="N69" s="20"/>
      <c r="O69" s="281"/>
      <c r="P69" s="74"/>
      <c r="Q69" s="20"/>
      <c r="R69" s="287"/>
      <c r="S69" s="278"/>
      <c r="T69" s="278"/>
      <c r="U69" s="281"/>
      <c r="V69" s="281"/>
      <c r="W69" s="285"/>
      <c r="X69" s="281"/>
      <c r="Y69" s="20"/>
      <c r="Z69" s="20"/>
      <c r="AA69" s="20"/>
      <c r="AB69" s="20"/>
      <c r="AC69" s="20"/>
      <c r="AE69" s="84"/>
    </row>
    <row r="70" spans="1:31">
      <c r="A70" s="3" t="s">
        <v>357</v>
      </c>
      <c r="C70" s="264"/>
      <c r="D70" s="264"/>
      <c r="E70" s="265"/>
      <c r="G70" s="2"/>
      <c r="H70" s="2"/>
      <c r="I70" s="265"/>
      <c r="K70" s="2"/>
      <c r="M70" s="20"/>
      <c r="N70" s="20"/>
      <c r="O70" s="281"/>
      <c r="P70" s="74"/>
      <c r="Q70" s="20"/>
      <c r="R70" s="287"/>
      <c r="S70" s="278"/>
      <c r="T70" s="278"/>
      <c r="U70" s="281"/>
      <c r="V70" s="281"/>
      <c r="W70" s="285"/>
      <c r="X70" s="281"/>
      <c r="Y70" s="20"/>
      <c r="Z70" s="20"/>
      <c r="AA70" s="20"/>
      <c r="AB70" s="20"/>
      <c r="AC70" s="20"/>
      <c r="AE70" s="84"/>
    </row>
    <row r="71" spans="1:31">
      <c r="A71" s="3" t="s">
        <v>358</v>
      </c>
      <c r="C71" s="264">
        <f>12</f>
        <v>12</v>
      </c>
      <c r="D71" s="264">
        <f>ROUND(C71*($D$76/$C$76),0)</f>
        <v>13</v>
      </c>
      <c r="E71" s="265">
        <f>$E$20</f>
        <v>10.92</v>
      </c>
      <c r="G71" s="2">
        <f>ROUND(E71*$C71,0)</f>
        <v>131</v>
      </c>
      <c r="H71" s="2">
        <f>ROUND(E71*$D71,0)</f>
        <v>142</v>
      </c>
      <c r="I71" s="265" t="e">
        <f>$I$20</f>
        <v>#REF!</v>
      </c>
      <c r="K71" s="2" t="e">
        <f>ROUND(I71*$C71,0)</f>
        <v>#REF!</v>
      </c>
      <c r="M71" s="20"/>
      <c r="N71" s="20"/>
      <c r="O71" s="281"/>
      <c r="P71" s="74"/>
      <c r="Q71" s="20"/>
      <c r="R71" s="287"/>
      <c r="S71" s="278"/>
      <c r="T71" s="278"/>
      <c r="U71" s="281"/>
      <c r="V71" s="281"/>
      <c r="W71" s="285"/>
      <c r="X71" s="281"/>
      <c r="Y71" s="20"/>
      <c r="Z71" s="20"/>
      <c r="AA71" s="20"/>
      <c r="AB71" s="20"/>
      <c r="AC71" s="20"/>
      <c r="AE71" s="84"/>
    </row>
    <row r="72" spans="1:31">
      <c r="A72" s="3" t="s">
        <v>359</v>
      </c>
      <c r="C72" s="264">
        <f>96+12</f>
        <v>108</v>
      </c>
      <c r="D72" s="264">
        <f>ROUND(C72*($D$76/$C$76),0)</f>
        <v>116</v>
      </c>
      <c r="E72" s="265">
        <f>$E$21</f>
        <v>16.04</v>
      </c>
      <c r="G72" s="2">
        <f>ROUND(E72*$C72,0)</f>
        <v>1732</v>
      </c>
      <c r="H72" s="2">
        <f>ROUND(E72*$D72,0)</f>
        <v>1861</v>
      </c>
      <c r="I72" s="265" t="e">
        <f>$I$21</f>
        <v>#REF!</v>
      </c>
      <c r="K72" s="2" t="e">
        <f>ROUND(I72*$C72,0)</f>
        <v>#REF!</v>
      </c>
      <c r="M72" s="20"/>
      <c r="N72" s="20"/>
      <c r="O72" s="281"/>
      <c r="P72" s="74"/>
      <c r="Q72" s="20"/>
      <c r="R72" s="287"/>
      <c r="S72" s="278"/>
      <c r="T72" s="278"/>
      <c r="U72" s="281"/>
      <c r="V72" s="281"/>
      <c r="W72" s="285"/>
      <c r="X72" s="281"/>
      <c r="Y72" s="20"/>
      <c r="Z72" s="20"/>
      <c r="AA72" s="20"/>
      <c r="AB72" s="20"/>
      <c r="AC72" s="20"/>
      <c r="AE72" s="84"/>
    </row>
    <row r="73" spans="1:31">
      <c r="A73" s="3" t="s">
        <v>360</v>
      </c>
      <c r="C73" s="264">
        <f>36</f>
        <v>36</v>
      </c>
      <c r="D73" s="264">
        <f>ROUND(C73*($D$76/$C$76),0)</f>
        <v>39</v>
      </c>
      <c r="E73" s="265">
        <f>$E$22</f>
        <v>25.88</v>
      </c>
      <c r="G73" s="2">
        <f>ROUND(E73*$C73,0)</f>
        <v>932</v>
      </c>
      <c r="H73" s="2">
        <f>ROUND(E73*$D73,0)</f>
        <v>1009</v>
      </c>
      <c r="I73" s="265" t="e">
        <f>$I$22</f>
        <v>#REF!</v>
      </c>
      <c r="K73" s="2" t="e">
        <f>ROUND(I73*$C73,0)</f>
        <v>#REF!</v>
      </c>
      <c r="M73" s="20"/>
      <c r="N73" s="20"/>
      <c r="O73" s="281"/>
      <c r="P73" s="74"/>
      <c r="Q73" s="20"/>
      <c r="R73" s="287"/>
      <c r="S73" s="278"/>
      <c r="T73" s="278"/>
      <c r="U73" s="281"/>
      <c r="V73" s="281"/>
      <c r="W73" s="285"/>
      <c r="X73" s="281"/>
      <c r="Y73" s="20"/>
      <c r="Z73" s="20"/>
      <c r="AA73" s="20"/>
      <c r="AB73" s="20"/>
      <c r="AC73" s="20"/>
      <c r="AE73" s="84"/>
    </row>
    <row r="74" spans="1:31">
      <c r="A74" s="3" t="s">
        <v>361</v>
      </c>
      <c r="C74" s="264">
        <f>132</f>
        <v>132</v>
      </c>
      <c r="D74" s="264">
        <f>ROUND(C74*($D$76/$C$76),0)</f>
        <v>142</v>
      </c>
      <c r="E74" s="265">
        <f>$E$23</f>
        <v>1</v>
      </c>
      <c r="F74" s="20"/>
      <c r="G74" s="272">
        <f>ROUND(E74*$C74,0)</f>
        <v>132</v>
      </c>
      <c r="H74" s="272">
        <f>ROUND(E74*$D74,0)</f>
        <v>142</v>
      </c>
      <c r="I74" s="269">
        <f>$I$23</f>
        <v>1</v>
      </c>
      <c r="J74" s="20"/>
      <c r="K74" s="272">
        <f>ROUND(I74*$C74,0)</f>
        <v>132</v>
      </c>
      <c r="M74" s="278"/>
      <c r="N74" s="278"/>
      <c r="O74" s="281"/>
      <c r="P74" s="74"/>
      <c r="Q74" s="20"/>
      <c r="R74" s="278"/>
      <c r="S74" s="278"/>
      <c r="T74" s="278"/>
      <c r="U74" s="281"/>
      <c r="V74" s="281"/>
      <c r="W74" s="281"/>
      <c r="X74" s="281"/>
      <c r="Y74" s="20"/>
      <c r="Z74" s="20"/>
      <c r="AA74" s="20"/>
      <c r="AB74" s="20"/>
      <c r="AC74" s="20"/>
      <c r="AE74" s="84"/>
    </row>
    <row r="75" spans="1:31">
      <c r="A75" s="3" t="s">
        <v>362</v>
      </c>
      <c r="C75" s="264">
        <f>520+228</f>
        <v>748</v>
      </c>
      <c r="D75" s="264">
        <v>61.916666666666664</v>
      </c>
      <c r="E75" s="265"/>
      <c r="G75" s="2"/>
      <c r="H75" s="2"/>
      <c r="I75" s="265"/>
      <c r="K75" s="2"/>
      <c r="M75" s="278"/>
      <c r="N75" s="278"/>
      <c r="O75" s="278"/>
      <c r="P75" s="278"/>
      <c r="Q75" s="278"/>
      <c r="R75" s="278"/>
      <c r="S75" s="278"/>
      <c r="T75" s="278"/>
      <c r="U75" s="288"/>
      <c r="V75" s="278"/>
      <c r="W75" s="278"/>
      <c r="X75" s="278"/>
      <c r="Y75" s="20"/>
      <c r="Z75" s="20"/>
      <c r="AA75" s="20"/>
      <c r="AB75" s="20"/>
      <c r="AC75" s="20"/>
      <c r="AE75" s="84"/>
    </row>
    <row r="76" spans="1:31">
      <c r="A76" s="3" t="s">
        <v>35</v>
      </c>
      <c r="C76" s="264">
        <f>124900+31167</f>
        <v>156067</v>
      </c>
      <c r="D76" s="264">
        <v>167748.79783190461</v>
      </c>
      <c r="E76" s="269"/>
      <c r="F76" s="20"/>
      <c r="G76" s="272">
        <f>SUM(G67:G74)</f>
        <v>18725</v>
      </c>
      <c r="H76" s="272">
        <f>SUM(H67:H74)</f>
        <v>20159</v>
      </c>
      <c r="I76" s="269"/>
      <c r="J76" s="20"/>
      <c r="K76" s="272" t="e">
        <f>SUM(K67:K74)</f>
        <v>#REF!</v>
      </c>
      <c r="M76" s="278"/>
      <c r="N76" s="278"/>
      <c r="O76" s="287"/>
      <c r="P76" s="278"/>
      <c r="Q76" s="20"/>
      <c r="R76" s="20"/>
      <c r="S76" s="20"/>
      <c r="T76" s="278"/>
      <c r="U76" s="278"/>
      <c r="V76" s="278"/>
      <c r="W76" s="278"/>
      <c r="X76" s="278"/>
      <c r="Y76" s="20"/>
      <c r="Z76" s="20"/>
      <c r="AA76" s="20"/>
      <c r="AB76" s="20"/>
      <c r="AC76" s="20"/>
      <c r="AE76" s="84"/>
    </row>
    <row r="77" spans="1:31">
      <c r="A77" s="3" t="s">
        <v>363</v>
      </c>
      <c r="C77" s="264" t="e">
        <f>#REF!</f>
        <v>#REF!</v>
      </c>
      <c r="D77" s="264">
        <v>0</v>
      </c>
      <c r="E77" s="269"/>
      <c r="F77" s="20"/>
      <c r="G77" s="272" t="e">
        <f>#REF!</f>
        <v>#REF!</v>
      </c>
      <c r="H77" s="272">
        <v>0</v>
      </c>
      <c r="I77" s="269"/>
      <c r="J77" s="20"/>
      <c r="K77" s="272" t="e">
        <f>G77</f>
        <v>#REF!</v>
      </c>
      <c r="M77" s="444"/>
      <c r="N77" s="444"/>
      <c r="O77" s="287"/>
      <c r="P77" s="278"/>
      <c r="Q77" s="278"/>
      <c r="R77" s="283"/>
      <c r="S77" s="281"/>
      <c r="T77" s="278"/>
      <c r="U77" s="278"/>
      <c r="V77" s="278"/>
      <c r="W77" s="278"/>
      <c r="X77" s="278"/>
      <c r="Y77" s="20"/>
      <c r="Z77" s="20"/>
      <c r="AA77" s="20"/>
      <c r="AB77" s="20"/>
      <c r="AC77" s="20"/>
      <c r="AE77" s="84"/>
    </row>
    <row r="78" spans="1:31" ht="16.5" thickBot="1">
      <c r="A78" s="3" t="s">
        <v>9</v>
      </c>
      <c r="C78" s="273" t="e">
        <f>C76+C77</f>
        <v>#REF!</v>
      </c>
      <c r="D78" s="273">
        <f>SUM(D76:D77)</f>
        <v>167748.79783190461</v>
      </c>
      <c r="E78" s="274"/>
      <c r="F78" s="274"/>
      <c r="G78" s="274" t="e">
        <f>G76+G77</f>
        <v>#REF!</v>
      </c>
      <c r="H78" s="274">
        <f>H76+H77</f>
        <v>20159</v>
      </c>
      <c r="I78" s="274"/>
      <c r="J78" s="274"/>
      <c r="K78" s="274" t="e">
        <f>K76+K77</f>
        <v>#REF!</v>
      </c>
      <c r="M78" s="411"/>
      <c r="N78" s="411"/>
      <c r="O78" s="470"/>
      <c r="P78" s="278"/>
      <c r="Q78" s="278"/>
      <c r="R78" s="278"/>
      <c r="S78" s="278"/>
      <c r="T78" s="278"/>
      <c r="U78" s="278"/>
      <c r="V78" s="278"/>
      <c r="W78" s="278"/>
      <c r="X78" s="278"/>
      <c r="Y78" s="20"/>
      <c r="Z78" s="20"/>
      <c r="AA78" s="20"/>
      <c r="AB78" s="20"/>
      <c r="AC78" s="20"/>
      <c r="AE78" s="84"/>
    </row>
    <row r="79" spans="1:31" ht="16.5" thickTop="1">
      <c r="C79" s="275"/>
      <c r="D79" s="275"/>
      <c r="E79" s="275"/>
      <c r="F79" s="275"/>
      <c r="G79" s="263"/>
      <c r="H79" s="263"/>
      <c r="I79" s="1" t="s">
        <v>31</v>
      </c>
      <c r="J79" s="275"/>
      <c r="K79" s="2" t="s">
        <v>31</v>
      </c>
      <c r="M79" s="20"/>
      <c r="N79" s="20"/>
      <c r="O79" s="74"/>
      <c r="P79" s="74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E79" s="84"/>
    </row>
    <row r="80" spans="1:31">
      <c r="A80" s="293" t="s">
        <v>368</v>
      </c>
      <c r="B80" s="1"/>
      <c r="C80" s="1"/>
      <c r="D80" s="1"/>
      <c r="E80" s="21"/>
      <c r="F80" s="21"/>
      <c r="G80" s="1"/>
      <c r="H80" s="1"/>
      <c r="I80" s="21"/>
      <c r="J80" s="1"/>
      <c r="K80" s="1"/>
      <c r="M80" s="20"/>
      <c r="N80" s="20"/>
      <c r="O80" s="74"/>
      <c r="P80" s="74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E80" s="84"/>
    </row>
    <row r="81" spans="1:31">
      <c r="A81" s="1" t="s">
        <v>369</v>
      </c>
      <c r="B81" s="1"/>
      <c r="C81" s="1"/>
      <c r="D81" s="1"/>
      <c r="E81" s="21"/>
      <c r="F81" s="21"/>
      <c r="G81" s="1"/>
      <c r="H81" s="1"/>
      <c r="I81" s="21"/>
      <c r="J81" s="1"/>
      <c r="K81" s="1"/>
      <c r="M81" s="471"/>
      <c r="N81" s="471"/>
      <c r="O81" s="74"/>
      <c r="P81" s="74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E81" s="84"/>
    </row>
    <row r="82" spans="1:31">
      <c r="A82" s="297"/>
      <c r="B82" s="1"/>
      <c r="C82" s="1"/>
      <c r="D82" s="1"/>
      <c r="E82" s="21"/>
      <c r="F82" s="21"/>
      <c r="G82" s="1"/>
      <c r="H82" s="1"/>
      <c r="I82" s="21"/>
      <c r="J82" s="1"/>
      <c r="K82" s="1"/>
      <c r="M82" s="20"/>
      <c r="N82" s="20"/>
      <c r="O82" s="74"/>
      <c r="P82" s="74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E82" s="84"/>
    </row>
    <row r="83" spans="1:31">
      <c r="A83" s="1" t="s">
        <v>370</v>
      </c>
      <c r="B83" s="1"/>
      <c r="C83" s="21">
        <f t="shared" ref="C83:D90" si="4">C96+C109+C122+C135</f>
        <v>1229595</v>
      </c>
      <c r="D83" s="21">
        <f t="shared" si="4"/>
        <v>1221387</v>
      </c>
      <c r="E83" s="298">
        <v>6</v>
      </c>
      <c r="F83" s="1"/>
      <c r="G83" s="2">
        <f t="shared" ref="G83:H90" si="5">G96+G109+G122+G135</f>
        <v>7377570</v>
      </c>
      <c r="H83" s="2">
        <f t="shared" si="5"/>
        <v>7328322</v>
      </c>
      <c r="I83" s="298">
        <v>6.75</v>
      </c>
      <c r="J83" s="1"/>
      <c r="K83" s="2">
        <f t="shared" ref="K83:K89" si="6">K96+K109+K122+K135</f>
        <v>8299768</v>
      </c>
      <c r="M83" s="84">
        <f>I83*D83</f>
        <v>8244362.25</v>
      </c>
      <c r="O83" s="14">
        <f t="shared" ref="O83:O88" si="7">(I83-E83)/E83</f>
        <v>0.125</v>
      </c>
      <c r="T83" s="3" t="s">
        <v>371</v>
      </c>
      <c r="U83" s="3" t="s">
        <v>305</v>
      </c>
      <c r="V83" s="3" t="s">
        <v>372</v>
      </c>
      <c r="W83" s="3" t="s">
        <v>315</v>
      </c>
      <c r="X83" s="20"/>
      <c r="Y83" s="20"/>
      <c r="Z83" s="20"/>
      <c r="AA83" s="20"/>
      <c r="AB83" s="20"/>
      <c r="AC83" s="20"/>
      <c r="AE83" s="84"/>
    </row>
    <row r="84" spans="1:31">
      <c r="A84" s="1" t="s">
        <v>373</v>
      </c>
      <c r="B84" s="1"/>
      <c r="C84" s="21" t="e">
        <f t="shared" si="4"/>
        <v>#REF!</v>
      </c>
      <c r="D84" s="21">
        <f t="shared" si="4"/>
        <v>670554218.28816807</v>
      </c>
      <c r="E84" s="299">
        <v>4.9139999999999997</v>
      </c>
      <c r="F84" s="1" t="s">
        <v>374</v>
      </c>
      <c r="G84" s="2" t="e">
        <f t="shared" si="5"/>
        <v>#REF!</v>
      </c>
      <c r="H84" s="2">
        <f t="shared" si="5"/>
        <v>32951033</v>
      </c>
      <c r="I84" s="299">
        <v>5.4039999999999999</v>
      </c>
      <c r="J84" s="1" t="s">
        <v>374</v>
      </c>
      <c r="K84" s="2" t="e">
        <f t="shared" si="6"/>
        <v>#REF!</v>
      </c>
      <c r="M84" s="84">
        <f>(I84/100)*D84</f>
        <v>36236749.956292599</v>
      </c>
      <c r="O84" s="14">
        <f t="shared" si="7"/>
        <v>9.9715099715099759E-2</v>
      </c>
      <c r="Q84" s="237">
        <f>(E85-E84)/E84</f>
        <v>0.57733007733007746</v>
      </c>
      <c r="S84" s="3" t="s">
        <v>20</v>
      </c>
      <c r="T84" s="84">
        <f>H83</f>
        <v>7328322</v>
      </c>
      <c r="U84" s="84">
        <f>K83</f>
        <v>8299768</v>
      </c>
      <c r="V84" s="106">
        <v>10560201.731189568</v>
      </c>
      <c r="W84" s="237">
        <f>U84/V84</f>
        <v>0.78594786456461585</v>
      </c>
      <c r="X84" s="20"/>
      <c r="Y84" s="20"/>
      <c r="Z84" s="20"/>
      <c r="AA84" s="20"/>
      <c r="AB84" s="20"/>
      <c r="AC84" s="20"/>
      <c r="AE84" s="84"/>
    </row>
    <row r="85" spans="1:31">
      <c r="A85" s="1" t="s">
        <v>375</v>
      </c>
      <c r="B85" s="1"/>
      <c r="C85" s="21" t="e">
        <f t="shared" si="4"/>
        <v>#REF!</v>
      </c>
      <c r="D85" s="21">
        <f t="shared" si="4"/>
        <v>958583102.59308743</v>
      </c>
      <c r="E85" s="299">
        <v>7.7510000000000003</v>
      </c>
      <c r="F85" s="1" t="s">
        <v>374</v>
      </c>
      <c r="G85" s="2" t="e">
        <f t="shared" si="5"/>
        <v>#REF!</v>
      </c>
      <c r="H85" s="2">
        <f t="shared" si="5"/>
        <v>74299776</v>
      </c>
      <c r="I85" s="299">
        <f>ROUND((E85/E84*I84),3)-0.003</f>
        <v>8.520999999999999</v>
      </c>
      <c r="J85" s="1" t="s">
        <v>374</v>
      </c>
      <c r="K85" s="2" t="e">
        <f t="shared" si="6"/>
        <v>#REF!</v>
      </c>
      <c r="M85" s="84">
        <f>(I85/100)*D85</f>
        <v>81680866.171956971</v>
      </c>
      <c r="N85" s="300"/>
      <c r="O85" s="14">
        <f t="shared" si="7"/>
        <v>9.9342020384466351E-2</v>
      </c>
      <c r="Q85" s="237">
        <f>(I85-I84)/I84</f>
        <v>0.57679496669133956</v>
      </c>
      <c r="S85" s="3" t="s">
        <v>376</v>
      </c>
      <c r="T85" s="106">
        <f>E84*(D84+D85)/100</f>
        <v>80055807.948104903</v>
      </c>
      <c r="U85" s="106">
        <f>I84*(D84+D85)/100</f>
        <v>88038580.820423052</v>
      </c>
      <c r="V85" s="106">
        <v>74901422.706720337</v>
      </c>
      <c r="W85" s="237">
        <f>U85/V85</f>
        <v>1.1753926379361552</v>
      </c>
      <c r="X85" s="20"/>
      <c r="Y85" s="20"/>
      <c r="Z85" s="20"/>
      <c r="AA85" s="20"/>
      <c r="AB85" s="20"/>
      <c r="AC85" s="20"/>
      <c r="AE85" s="84"/>
    </row>
    <row r="86" spans="1:31">
      <c r="A86" s="1" t="s">
        <v>377</v>
      </c>
      <c r="B86" s="1"/>
      <c r="C86" s="21">
        <f t="shared" si="4"/>
        <v>5923</v>
      </c>
      <c r="D86" s="21">
        <f t="shared" si="4"/>
        <v>6971.808259255954</v>
      </c>
      <c r="E86" s="301">
        <v>1.55</v>
      </c>
      <c r="F86" s="1"/>
      <c r="G86" s="2">
        <f t="shared" si="5"/>
        <v>9181</v>
      </c>
      <c r="H86" s="2">
        <f t="shared" si="5"/>
        <v>10806</v>
      </c>
      <c r="I86" s="301">
        <v>1.65</v>
      </c>
      <c r="J86" s="1"/>
      <c r="K86" s="2">
        <f t="shared" si="6"/>
        <v>9773</v>
      </c>
      <c r="M86" s="84">
        <f>I86*D86</f>
        <v>11503.483627772324</v>
      </c>
      <c r="O86" s="14">
        <f t="shared" si="7"/>
        <v>6.4516129032257979E-2</v>
      </c>
      <c r="S86" s="3" t="s">
        <v>378</v>
      </c>
      <c r="T86" s="84">
        <f>H84+H85-T85</f>
        <v>27195001.051895097</v>
      </c>
      <c r="U86" s="84" t="e">
        <f>K84+K85-U85</f>
        <v>#REF!</v>
      </c>
      <c r="V86" s="106">
        <v>33130328.65840701</v>
      </c>
      <c r="W86" s="237" t="e">
        <f>U86/V86</f>
        <v>#REF!</v>
      </c>
      <c r="X86" s="20"/>
      <c r="Y86" s="20"/>
      <c r="Z86" s="20"/>
      <c r="AA86" s="20"/>
      <c r="AB86" s="20"/>
      <c r="AC86" s="20"/>
      <c r="AE86" s="84"/>
    </row>
    <row r="87" spans="1:31">
      <c r="A87" s="303" t="s">
        <v>379</v>
      </c>
      <c r="B87" s="303"/>
      <c r="C87" s="21">
        <f t="shared" si="4"/>
        <v>979</v>
      </c>
      <c r="D87" s="21">
        <f t="shared" si="4"/>
        <v>1152.184035507054</v>
      </c>
      <c r="E87" s="301">
        <v>3</v>
      </c>
      <c r="F87" s="303"/>
      <c r="G87" s="2">
        <f t="shared" si="5"/>
        <v>2937</v>
      </c>
      <c r="H87" s="2">
        <f t="shared" si="5"/>
        <v>3457</v>
      </c>
      <c r="I87" s="301">
        <f>ROUND(I86/E86*E87,2)+0.01</f>
        <v>3.1999999999999997</v>
      </c>
      <c r="J87" s="303"/>
      <c r="K87" s="2">
        <f t="shared" si="6"/>
        <v>3132</v>
      </c>
      <c r="M87" s="84">
        <f>I87*D87</f>
        <v>3686.9889136225725</v>
      </c>
      <c r="O87" s="14">
        <f t="shared" si="7"/>
        <v>6.6666666666666582E-2</v>
      </c>
      <c r="X87" s="20"/>
      <c r="Y87" s="20"/>
      <c r="Z87" s="20"/>
      <c r="AA87" s="20"/>
      <c r="AB87" s="20"/>
      <c r="AC87" s="20"/>
      <c r="AE87" s="84"/>
    </row>
    <row r="88" spans="1:31">
      <c r="A88" s="303" t="s">
        <v>380</v>
      </c>
      <c r="B88" s="303"/>
      <c r="C88" s="21">
        <f t="shared" si="4"/>
        <v>70</v>
      </c>
      <c r="D88" s="21">
        <f t="shared" si="4"/>
        <v>82.551683985472636</v>
      </c>
      <c r="E88" s="304">
        <v>-1.55</v>
      </c>
      <c r="F88" s="303"/>
      <c r="G88" s="2">
        <f t="shared" si="5"/>
        <v>-108</v>
      </c>
      <c r="H88" s="2">
        <f t="shared" si="5"/>
        <v>-128</v>
      </c>
      <c r="I88" s="304">
        <f>-I86</f>
        <v>-1.65</v>
      </c>
      <c r="J88" s="303"/>
      <c r="K88" s="2">
        <f t="shared" si="6"/>
        <v>-115</v>
      </c>
      <c r="M88" s="84">
        <f>I88*D88</f>
        <v>-136.21027857602985</v>
      </c>
      <c r="O88" s="14">
        <f t="shared" si="7"/>
        <v>6.4516129032257979E-2</v>
      </c>
      <c r="X88" s="20"/>
      <c r="Y88" s="20"/>
      <c r="Z88" s="20"/>
      <c r="AA88" s="20"/>
      <c r="AB88" s="20"/>
      <c r="AC88" s="20"/>
      <c r="AE88" s="84"/>
    </row>
    <row r="89" spans="1:31">
      <c r="A89" s="1" t="s">
        <v>381</v>
      </c>
      <c r="B89" s="305"/>
      <c r="C89" s="21" t="e">
        <f t="shared" si="4"/>
        <v>#REF!</v>
      </c>
      <c r="D89" s="21">
        <f t="shared" si="4"/>
        <v>1629137320.8812554</v>
      </c>
      <c r="E89" s="306"/>
      <c r="F89" s="2"/>
      <c r="G89" s="2" t="e">
        <f t="shared" si="5"/>
        <v>#REF!</v>
      </c>
      <c r="H89" s="2">
        <f t="shared" si="5"/>
        <v>114593266</v>
      </c>
      <c r="I89" s="2"/>
      <c r="J89" s="2"/>
      <c r="K89" s="2" t="e">
        <f t="shared" si="6"/>
        <v>#REF!</v>
      </c>
      <c r="M89" s="84">
        <f>SUM(M83:M88)</f>
        <v>126177032.64051239</v>
      </c>
      <c r="O89" s="14"/>
      <c r="X89" s="20"/>
      <c r="Y89" s="20"/>
      <c r="Z89" s="20"/>
      <c r="AA89" s="20"/>
      <c r="AB89" s="20"/>
      <c r="AC89" s="20"/>
      <c r="AE89" s="84"/>
    </row>
    <row r="90" spans="1:31">
      <c r="A90" s="1" t="s">
        <v>363</v>
      </c>
      <c r="B90" s="307"/>
      <c r="C90" s="308" t="e">
        <f t="shared" si="4"/>
        <v>#REF!</v>
      </c>
      <c r="D90" s="308">
        <f t="shared" si="4"/>
        <v>0</v>
      </c>
      <c r="E90" s="309"/>
      <c r="F90" s="309"/>
      <c r="G90" s="310" t="e">
        <f t="shared" si="5"/>
        <v>#REF!</v>
      </c>
      <c r="H90" s="310">
        <f t="shared" si="5"/>
        <v>0</v>
      </c>
      <c r="I90" s="309"/>
      <c r="J90" s="309"/>
      <c r="K90" s="310" t="e">
        <f>G90</f>
        <v>#REF!</v>
      </c>
      <c r="X90" s="20"/>
      <c r="Y90" s="20"/>
      <c r="Z90" s="20"/>
      <c r="AA90" s="20"/>
      <c r="AB90" s="20"/>
      <c r="AC90" s="20"/>
      <c r="AE90" s="84"/>
    </row>
    <row r="91" spans="1:31" ht="16.5" thickBot="1">
      <c r="A91" s="1" t="s">
        <v>382</v>
      </c>
      <c r="B91" s="1"/>
      <c r="C91" s="311" t="e">
        <f>C89+C90</f>
        <v>#REF!</v>
      </c>
      <c r="D91" s="311">
        <f>D84+D85+D90</f>
        <v>1629137320.8812556</v>
      </c>
      <c r="E91" s="312"/>
      <c r="F91" s="312"/>
      <c r="G91" s="312" t="e">
        <f>G89+G90</f>
        <v>#REF!</v>
      </c>
      <c r="H91" s="312">
        <f>H89+H90</f>
        <v>114593266</v>
      </c>
      <c r="I91" s="312"/>
      <c r="J91" s="312"/>
      <c r="K91" s="312" t="e">
        <f>K89+K90</f>
        <v>#REF!</v>
      </c>
      <c r="N91" s="3" t="s">
        <v>364</v>
      </c>
      <c r="O91" s="69" t="e">
        <f>#REF!*1000</f>
        <v>#REF!</v>
      </c>
      <c r="X91" s="20"/>
      <c r="Y91" s="20"/>
      <c r="Z91" s="20"/>
      <c r="AA91" s="20"/>
      <c r="AB91" s="20"/>
      <c r="AC91" s="20"/>
      <c r="AE91" s="84"/>
    </row>
    <row r="92" spans="1:31" ht="16.5" thickTop="1">
      <c r="A92" s="1"/>
      <c r="B92" s="313"/>
      <c r="C92" s="21"/>
      <c r="D92" s="21"/>
      <c r="E92" s="21"/>
      <c r="F92" s="21"/>
      <c r="I92" s="1" t="s">
        <v>31</v>
      </c>
      <c r="J92" s="1"/>
      <c r="K92" s="2" t="s">
        <v>31</v>
      </c>
      <c r="N92" s="3" t="s">
        <v>263</v>
      </c>
      <c r="O92" s="69" t="e">
        <f>O91-K91</f>
        <v>#REF!</v>
      </c>
      <c r="P92" s="314" t="e">
        <f>(O91-K91)/K91</f>
        <v>#REF!</v>
      </c>
      <c r="X92" s="20"/>
      <c r="Y92" s="20"/>
      <c r="Z92" s="20"/>
      <c r="AA92" s="20"/>
      <c r="AB92" s="20"/>
      <c r="AC92" s="20"/>
      <c r="AE92" s="84"/>
    </row>
    <row r="93" spans="1:31">
      <c r="A93" s="293" t="s">
        <v>383</v>
      </c>
      <c r="B93" s="1"/>
      <c r="C93" s="1" t="s">
        <v>31</v>
      </c>
      <c r="D93" s="1"/>
      <c r="E93" s="21"/>
      <c r="F93" s="21"/>
      <c r="G93" s="1"/>
      <c r="H93" s="1"/>
      <c r="I93" s="21"/>
      <c r="J93" s="1"/>
      <c r="K93" s="1"/>
      <c r="M93" s="20"/>
      <c r="N93" s="20"/>
      <c r="O93" s="241"/>
      <c r="P93" s="74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E93" s="84"/>
    </row>
    <row r="94" spans="1:31">
      <c r="A94" s="1" t="s">
        <v>330</v>
      </c>
      <c r="B94" s="1"/>
      <c r="C94" s="1"/>
      <c r="D94" s="21"/>
      <c r="E94" s="21"/>
      <c r="F94" s="21"/>
      <c r="G94" s="1"/>
      <c r="H94" s="1"/>
      <c r="I94" s="21"/>
      <c r="J94" s="1"/>
      <c r="K94" s="1"/>
      <c r="M94" s="20"/>
      <c r="N94" s="20"/>
      <c r="O94" s="74"/>
      <c r="P94" s="74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E94" s="84"/>
    </row>
    <row r="95" spans="1:31">
      <c r="A95" s="297"/>
      <c r="B95" s="1"/>
      <c r="C95" s="1"/>
      <c r="D95" s="1"/>
      <c r="E95" s="21"/>
      <c r="F95" s="21"/>
      <c r="G95" s="1"/>
      <c r="H95" s="1"/>
      <c r="I95" s="21"/>
      <c r="J95" s="1"/>
      <c r="K95" s="1"/>
      <c r="M95" s="20"/>
      <c r="N95" s="20"/>
      <c r="O95" s="74"/>
      <c r="P95" s="74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E95" s="84"/>
    </row>
    <row r="96" spans="1:31">
      <c r="A96" s="1" t="s">
        <v>370</v>
      </c>
      <c r="B96" s="1"/>
      <c r="C96" s="21">
        <f>1191112+6</f>
        <v>1191118</v>
      </c>
      <c r="D96" s="21">
        <f>1191112+6</f>
        <v>1191118</v>
      </c>
      <c r="E96" s="298">
        <f>$E$83</f>
        <v>6</v>
      </c>
      <c r="F96" s="1"/>
      <c r="G96" s="2">
        <f>ROUND(E96*$C96,0)</f>
        <v>7146708</v>
      </c>
      <c r="H96" s="2">
        <f>ROUND(E96*$D96,0)</f>
        <v>7146708</v>
      </c>
      <c r="I96" s="298">
        <f>$I$83</f>
        <v>6.75</v>
      </c>
      <c r="J96" s="1"/>
      <c r="K96" s="2">
        <f>ROUND(I96*$C96,0)</f>
        <v>8040047</v>
      </c>
      <c r="M96" s="20"/>
      <c r="N96" s="20"/>
      <c r="O96" s="74"/>
      <c r="P96" s="74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E96" s="84"/>
    </row>
    <row r="97" spans="1:31">
      <c r="A97" s="1" t="s">
        <v>373</v>
      </c>
      <c r="B97" s="1"/>
      <c r="C97" s="21" t="e">
        <f>652855208+600+#REF!*1000</f>
        <v>#REF!</v>
      </c>
      <c r="D97" s="21">
        <f>652855208+600</f>
        <v>652855808</v>
      </c>
      <c r="E97" s="299">
        <f>$E$84</f>
        <v>4.9139999999999997</v>
      </c>
      <c r="F97" s="1" t="s">
        <v>374</v>
      </c>
      <c r="G97" s="2" t="e">
        <f>ROUND(E97*$C97/100,0)</f>
        <v>#REF!</v>
      </c>
      <c r="H97" s="2">
        <f>ROUND(E97*$D97/100,0)</f>
        <v>32081334</v>
      </c>
      <c r="I97" s="299">
        <f>$I$84</f>
        <v>5.4039999999999999</v>
      </c>
      <c r="J97" s="1" t="s">
        <v>374</v>
      </c>
      <c r="K97" s="2" t="e">
        <f>ROUND(I97*$C97/100,0)</f>
        <v>#REF!</v>
      </c>
      <c r="M97" s="20"/>
      <c r="N97" s="20"/>
      <c r="O97" s="74"/>
      <c r="P97" s="74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E97" s="84"/>
    </row>
    <row r="98" spans="1:31">
      <c r="A98" s="1" t="s">
        <v>375</v>
      </c>
      <c r="B98" s="21"/>
      <c r="C98" s="21" t="e">
        <f>1582245854+1297-C97+#REF!*1000</f>
        <v>#REF!</v>
      </c>
      <c r="D98" s="21">
        <f>1582245854+1297-D97</f>
        <v>929391343</v>
      </c>
      <c r="E98" s="299">
        <f>$E$85</f>
        <v>7.7510000000000003</v>
      </c>
      <c r="F98" s="1" t="s">
        <v>374</v>
      </c>
      <c r="G98" s="2" t="e">
        <f>ROUND(E98*$C98/100,0)</f>
        <v>#REF!</v>
      </c>
      <c r="H98" s="2">
        <f>ROUND(E98*$D98/100,0)</f>
        <v>72037123</v>
      </c>
      <c r="I98" s="299">
        <f>$I$85</f>
        <v>8.520999999999999</v>
      </c>
      <c r="J98" s="1" t="s">
        <v>374</v>
      </c>
      <c r="K98" s="2" t="e">
        <f>ROUND(I98*$C98/100,0)</f>
        <v>#REF!</v>
      </c>
      <c r="M98" s="20"/>
      <c r="N98" s="20"/>
      <c r="O98" s="74"/>
      <c r="P98" s="74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E98" s="84"/>
    </row>
    <row r="99" spans="1:31">
      <c r="A99" s="1" t="s">
        <v>377</v>
      </c>
      <c r="B99" s="1"/>
      <c r="C99" s="21">
        <v>0</v>
      </c>
      <c r="D99" s="21">
        <v>0</v>
      </c>
      <c r="E99" s="301">
        <f>$E$86</f>
        <v>1.55</v>
      </c>
      <c r="F99" s="1"/>
      <c r="G99" s="2">
        <f>ROUND(E99*$C99,0)</f>
        <v>0</v>
      </c>
      <c r="H99" s="2">
        <v>0</v>
      </c>
      <c r="I99" s="301">
        <f>$I$86</f>
        <v>1.65</v>
      </c>
      <c r="J99" s="1"/>
      <c r="K99" s="2">
        <f>ROUND(I99*$C99,0)</f>
        <v>0</v>
      </c>
      <c r="M99" s="20"/>
      <c r="N99" s="20"/>
      <c r="O99" s="74"/>
      <c r="P99" s="74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E99" s="84"/>
    </row>
    <row r="100" spans="1:31">
      <c r="A100" s="303" t="s">
        <v>379</v>
      </c>
      <c r="B100" s="303"/>
      <c r="C100" s="21">
        <v>0</v>
      </c>
      <c r="D100" s="21">
        <v>0</v>
      </c>
      <c r="E100" s="301">
        <f>$E$87</f>
        <v>3</v>
      </c>
      <c r="F100" s="303"/>
      <c r="G100" s="2">
        <f>ROUND(E100*$C100,0)</f>
        <v>0</v>
      </c>
      <c r="H100" s="2">
        <v>0</v>
      </c>
      <c r="I100" s="301">
        <f>$I$87</f>
        <v>3.1999999999999997</v>
      </c>
      <c r="J100" s="303"/>
      <c r="K100" s="2">
        <f>ROUND(I100*$C100,0)</f>
        <v>0</v>
      </c>
      <c r="M100" s="20"/>
      <c r="N100" s="20"/>
      <c r="O100" s="74"/>
      <c r="P100" s="74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E100" s="84"/>
    </row>
    <row r="101" spans="1:31">
      <c r="A101" s="303" t="s">
        <v>380</v>
      </c>
      <c r="B101" s="303"/>
      <c r="C101" s="21">
        <v>0</v>
      </c>
      <c r="D101" s="21">
        <v>0</v>
      </c>
      <c r="E101" s="304">
        <f>-E99</f>
        <v>-1.55</v>
      </c>
      <c r="F101" s="303"/>
      <c r="G101" s="2">
        <f>ROUND(E101*$C101,0)</f>
        <v>0</v>
      </c>
      <c r="H101" s="2">
        <v>0</v>
      </c>
      <c r="I101" s="304">
        <f>-I99</f>
        <v>-1.65</v>
      </c>
      <c r="J101" s="303"/>
      <c r="K101" s="2">
        <f>ROUND(I101*$C101,0)</f>
        <v>0</v>
      </c>
      <c r="M101" s="20"/>
      <c r="N101" s="20"/>
      <c r="O101" s="74"/>
      <c r="P101" s="74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E101" s="84"/>
    </row>
    <row r="102" spans="1:31">
      <c r="A102" s="1" t="s">
        <v>381</v>
      </c>
      <c r="B102" s="305"/>
      <c r="C102" s="21" t="e">
        <f>SUM(C97:C98)</f>
        <v>#REF!</v>
      </c>
      <c r="D102" s="21">
        <f>SUM(D97:D98)</f>
        <v>1582247151</v>
      </c>
      <c r="E102" s="306"/>
      <c r="F102" s="2"/>
      <c r="G102" s="2" t="e">
        <f>SUM(G96:G101)</f>
        <v>#REF!</v>
      </c>
      <c r="H102" s="2">
        <f>SUM(H96:H101)</f>
        <v>111265165</v>
      </c>
      <c r="I102" s="2"/>
      <c r="J102" s="2"/>
      <c r="K102" s="2" t="e">
        <f>SUM(K96:K101)</f>
        <v>#REF!</v>
      </c>
      <c r="M102" s="20"/>
      <c r="N102" s="20"/>
      <c r="O102" s="51"/>
      <c r="P102" s="74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E102" s="84"/>
    </row>
    <row r="103" spans="1:31">
      <c r="A103" s="1" t="s">
        <v>363</v>
      </c>
      <c r="B103" s="307"/>
      <c r="C103" s="317" t="e">
        <f>#REF!</f>
        <v>#REF!</v>
      </c>
      <c r="D103" s="308">
        <v>0</v>
      </c>
      <c r="E103" s="309"/>
      <c r="F103" s="309"/>
      <c r="G103" s="310" t="e">
        <f>#REF!</f>
        <v>#REF!</v>
      </c>
      <c r="H103" s="308">
        <v>0</v>
      </c>
      <c r="I103" s="309"/>
      <c r="J103" s="309"/>
      <c r="K103" s="310" t="e">
        <f>G103</f>
        <v>#REF!</v>
      </c>
      <c r="M103" s="444"/>
      <c r="N103" s="444"/>
      <c r="O103" s="287"/>
      <c r="P103" s="74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E103" s="84"/>
    </row>
    <row r="104" spans="1:31" ht="16.5" thickBot="1">
      <c r="A104" s="1" t="s">
        <v>382</v>
      </c>
      <c r="B104" s="1"/>
      <c r="C104" s="311" t="e">
        <f>C102+C103</f>
        <v>#REF!</v>
      </c>
      <c r="D104" s="311">
        <f>SUM(D102:D103)</f>
        <v>1582247151</v>
      </c>
      <c r="E104" s="312"/>
      <c r="F104" s="312"/>
      <c r="G104" s="312" t="e">
        <f>G102+G103</f>
        <v>#REF!</v>
      </c>
      <c r="H104" s="318">
        <f>SUM(H102:H103)</f>
        <v>111265165</v>
      </c>
      <c r="I104" s="312"/>
      <c r="J104" s="312"/>
      <c r="K104" s="312" t="e">
        <f>K102+K103</f>
        <v>#REF!</v>
      </c>
      <c r="M104" s="411"/>
      <c r="N104" s="411"/>
      <c r="O104" s="470"/>
      <c r="P104" s="74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E104" s="84"/>
    </row>
    <row r="105" spans="1:31" ht="16.5" thickTop="1">
      <c r="A105" s="1"/>
      <c r="B105" s="313"/>
      <c r="C105" s="21"/>
      <c r="D105" s="21"/>
      <c r="E105" s="21"/>
      <c r="F105" s="21"/>
      <c r="I105" s="1" t="s">
        <v>31</v>
      </c>
      <c r="J105" s="1"/>
      <c r="K105" s="2" t="s">
        <v>31</v>
      </c>
      <c r="M105" s="20"/>
      <c r="N105" s="20"/>
      <c r="O105" s="74"/>
      <c r="P105" s="74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E105" s="84"/>
    </row>
    <row r="106" spans="1:31">
      <c r="A106" s="293" t="s">
        <v>384</v>
      </c>
      <c r="B106" s="1"/>
      <c r="C106" s="1"/>
      <c r="D106" s="1"/>
      <c r="E106" s="21"/>
      <c r="F106" s="21"/>
      <c r="G106" s="1"/>
      <c r="H106" s="1"/>
      <c r="I106" s="21"/>
      <c r="J106" s="1"/>
      <c r="K106" s="1"/>
      <c r="M106" s="20"/>
      <c r="N106" s="20"/>
      <c r="O106" s="74"/>
      <c r="P106" s="74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E106" s="84"/>
    </row>
    <row r="107" spans="1:31">
      <c r="A107" s="1" t="s">
        <v>330</v>
      </c>
      <c r="B107" s="1"/>
      <c r="C107" s="1"/>
      <c r="D107" s="1"/>
      <c r="E107" s="21"/>
      <c r="F107" s="21"/>
      <c r="G107" s="1"/>
      <c r="H107" s="1"/>
      <c r="I107" s="21"/>
      <c r="J107" s="1"/>
      <c r="K107" s="1"/>
      <c r="M107" s="20"/>
      <c r="N107" s="20"/>
      <c r="O107" s="74"/>
      <c r="P107" s="74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E107" s="84"/>
    </row>
    <row r="108" spans="1:31">
      <c r="A108" s="297"/>
      <c r="B108" s="1"/>
      <c r="C108" s="1"/>
      <c r="D108" s="1"/>
      <c r="E108" s="21"/>
      <c r="F108" s="21"/>
      <c r="G108" s="1"/>
      <c r="H108" s="1"/>
      <c r="I108" s="21"/>
      <c r="J108" s="1"/>
      <c r="K108" s="1"/>
      <c r="M108" s="20"/>
      <c r="N108" s="20"/>
      <c r="O108" s="74"/>
      <c r="P108" s="74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E108" s="84"/>
    </row>
    <row r="109" spans="1:31">
      <c r="A109" s="1" t="s">
        <v>370</v>
      </c>
      <c r="B109" s="1"/>
      <c r="C109" s="21">
        <f>36986</f>
        <v>36986</v>
      </c>
      <c r="D109" s="21">
        <v>28799</v>
      </c>
      <c r="E109" s="298">
        <f>$E$83</f>
        <v>6</v>
      </c>
      <c r="F109" s="1"/>
      <c r="G109" s="2">
        <f>ROUND(E109*$C109,0)</f>
        <v>221916</v>
      </c>
      <c r="H109" s="2">
        <f>ROUND(E109*$D109,0)</f>
        <v>172794</v>
      </c>
      <c r="I109" s="298">
        <f>$I$83</f>
        <v>6.75</v>
      </c>
      <c r="J109" s="1"/>
      <c r="K109" s="2">
        <f>ROUND(I109*$C109,0)</f>
        <v>249656</v>
      </c>
      <c r="M109" s="20"/>
      <c r="N109" s="20"/>
      <c r="O109" s="74"/>
      <c r="P109" s="74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E109" s="84"/>
    </row>
    <row r="110" spans="1:31">
      <c r="A110" s="1" t="s">
        <v>373</v>
      </c>
      <c r="B110" s="1"/>
      <c r="C110" s="21">
        <f>21464809</f>
        <v>21464809</v>
      </c>
      <c r="D110" s="21">
        <v>16847282.170853201</v>
      </c>
      <c r="E110" s="299">
        <f>$E$84</f>
        <v>4.9139999999999997</v>
      </c>
      <c r="F110" s="1" t="s">
        <v>374</v>
      </c>
      <c r="G110" s="2">
        <f>ROUND(E110*$C110/100,0)</f>
        <v>1054781</v>
      </c>
      <c r="H110" s="2">
        <f>ROUND(E110*$D110/100,0)</f>
        <v>827875</v>
      </c>
      <c r="I110" s="299">
        <f>$I$84</f>
        <v>5.4039999999999999</v>
      </c>
      <c r="J110" s="1" t="s">
        <v>374</v>
      </c>
      <c r="K110" s="2">
        <f>ROUND(I110*$C110/100,0)</f>
        <v>1159958</v>
      </c>
      <c r="M110" s="20"/>
      <c r="N110" s="20"/>
      <c r="O110" s="74"/>
      <c r="P110" s="74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E110" s="84"/>
    </row>
    <row r="111" spans="1:31">
      <c r="A111" s="1" t="s">
        <v>375</v>
      </c>
      <c r="B111" s="1"/>
      <c r="C111" s="21">
        <f>55153831-C110</f>
        <v>33689022</v>
      </c>
      <c r="D111" s="21">
        <v>26441812.722120248</v>
      </c>
      <c r="E111" s="299">
        <f>$E$85</f>
        <v>7.7510000000000003</v>
      </c>
      <c r="F111" s="1" t="s">
        <v>374</v>
      </c>
      <c r="G111" s="2">
        <f>ROUND(E111*$C111/100,0)</f>
        <v>2611236</v>
      </c>
      <c r="H111" s="2">
        <f>ROUND(E111*$D111/100,0)</f>
        <v>2049505</v>
      </c>
      <c r="I111" s="299">
        <f>$I$85</f>
        <v>8.520999999999999</v>
      </c>
      <c r="J111" s="1" t="s">
        <v>374</v>
      </c>
      <c r="K111" s="2">
        <f>ROUND(I111*$C111/100,0)</f>
        <v>2870642</v>
      </c>
      <c r="M111" s="20"/>
      <c r="N111" s="20"/>
      <c r="O111" s="74"/>
      <c r="P111" s="74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E111" s="84"/>
    </row>
    <row r="112" spans="1:31">
      <c r="A112" s="1" t="s">
        <v>377</v>
      </c>
      <c r="B112" s="1"/>
      <c r="C112" s="21">
        <v>0</v>
      </c>
      <c r="D112" s="21">
        <v>0</v>
      </c>
      <c r="E112" s="301">
        <f>$E$86</f>
        <v>1.55</v>
      </c>
      <c r="F112" s="1"/>
      <c r="G112" s="2">
        <f>ROUND(E112*$C112,0)</f>
        <v>0</v>
      </c>
      <c r="H112" s="2">
        <v>0</v>
      </c>
      <c r="I112" s="301">
        <f>$I$86</f>
        <v>1.65</v>
      </c>
      <c r="J112" s="1"/>
      <c r="K112" s="2">
        <f>ROUND(I112*$C112,0)</f>
        <v>0</v>
      </c>
      <c r="M112" s="20"/>
      <c r="N112" s="20"/>
      <c r="O112" s="74"/>
      <c r="P112" s="74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E112" s="84"/>
    </row>
    <row r="113" spans="1:31">
      <c r="A113" s="303" t="s">
        <v>379</v>
      </c>
      <c r="B113" s="303"/>
      <c r="C113" s="21">
        <v>0</v>
      </c>
      <c r="D113" s="21">
        <v>0</v>
      </c>
      <c r="E113" s="301">
        <f>$E$87</f>
        <v>3</v>
      </c>
      <c r="F113" s="303"/>
      <c r="G113" s="2">
        <f>ROUND(E113*$C113,0)</f>
        <v>0</v>
      </c>
      <c r="H113" s="2">
        <v>0</v>
      </c>
      <c r="I113" s="301">
        <f>$I$87</f>
        <v>3.1999999999999997</v>
      </c>
      <c r="J113" s="303"/>
      <c r="K113" s="2">
        <f>ROUND(I113*$C113,0)</f>
        <v>0</v>
      </c>
      <c r="M113" s="20"/>
      <c r="N113" s="20"/>
      <c r="O113" s="74"/>
      <c r="P113" s="74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E113" s="84"/>
    </row>
    <row r="114" spans="1:31">
      <c r="A114" s="303" t="s">
        <v>380</v>
      </c>
      <c r="B114" s="303"/>
      <c r="C114" s="21">
        <v>0</v>
      </c>
      <c r="D114" s="21">
        <v>0</v>
      </c>
      <c r="E114" s="304">
        <f>-E112</f>
        <v>-1.55</v>
      </c>
      <c r="F114" s="303"/>
      <c r="G114" s="2">
        <f>ROUND(E114*$C114,0)</f>
        <v>0</v>
      </c>
      <c r="H114" s="2">
        <v>0</v>
      </c>
      <c r="I114" s="304">
        <f>-I112</f>
        <v>-1.65</v>
      </c>
      <c r="J114" s="303"/>
      <c r="K114" s="2">
        <f>ROUND(I114*$C114,0)</f>
        <v>0</v>
      </c>
      <c r="M114" s="20"/>
      <c r="N114" s="20"/>
      <c r="O114" s="74"/>
      <c r="P114" s="74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E114" s="84"/>
    </row>
    <row r="115" spans="1:31">
      <c r="A115" s="1" t="s">
        <v>381</v>
      </c>
      <c r="B115" s="1"/>
      <c r="C115" s="21">
        <f>SUM(C110:C111)</f>
        <v>55153831</v>
      </c>
      <c r="D115" s="21">
        <v>43289094.892973453</v>
      </c>
      <c r="E115" s="306"/>
      <c r="F115" s="2"/>
      <c r="G115" s="2">
        <f>SUM(G109:G114)</f>
        <v>3887933</v>
      </c>
      <c r="H115" s="2">
        <f>SUM(H109:H114)</f>
        <v>3050174</v>
      </c>
      <c r="I115" s="2"/>
      <c r="J115" s="2"/>
      <c r="K115" s="2">
        <f>SUM(K109:K114)</f>
        <v>4280256</v>
      </c>
      <c r="M115" s="20"/>
      <c r="N115" s="20"/>
      <c r="O115" s="74"/>
      <c r="P115" s="74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E115" s="84"/>
    </row>
    <row r="116" spans="1:31">
      <c r="A116" s="1" t="s">
        <v>363</v>
      </c>
      <c r="B116" s="1"/>
      <c r="C116" s="317" t="e">
        <f>#REF!</f>
        <v>#REF!</v>
      </c>
      <c r="D116" s="308">
        <v>0</v>
      </c>
      <c r="E116" s="309"/>
      <c r="F116" s="309"/>
      <c r="G116" s="310" t="e">
        <f>#REF!</f>
        <v>#REF!</v>
      </c>
      <c r="H116" s="308">
        <v>0</v>
      </c>
      <c r="I116" s="309"/>
      <c r="J116" s="309"/>
      <c r="K116" s="310" t="e">
        <f>G116</f>
        <v>#REF!</v>
      </c>
      <c r="M116" s="444"/>
      <c r="N116" s="444"/>
      <c r="O116" s="287"/>
      <c r="P116" s="74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E116" s="84"/>
    </row>
    <row r="117" spans="1:31" ht="16.5" thickBot="1">
      <c r="A117" s="1" t="s">
        <v>382</v>
      </c>
      <c r="B117" s="1"/>
      <c r="C117" s="311" t="e">
        <f>C115+C116</f>
        <v>#REF!</v>
      </c>
      <c r="D117" s="311">
        <f>SUM(D115:D116)</f>
        <v>43289094.892973453</v>
      </c>
      <c r="E117" s="312"/>
      <c r="F117" s="312"/>
      <c r="G117" s="312" t="e">
        <f>G115+G116</f>
        <v>#REF!</v>
      </c>
      <c r="H117" s="318">
        <f>SUM(H115:H116)</f>
        <v>3050174</v>
      </c>
      <c r="I117" s="312"/>
      <c r="J117" s="312"/>
      <c r="K117" s="312" t="e">
        <f>K115+K116</f>
        <v>#REF!</v>
      </c>
      <c r="M117" s="411"/>
      <c r="N117" s="411"/>
      <c r="O117" s="470"/>
      <c r="P117" s="74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E117" s="84"/>
    </row>
    <row r="118" spans="1:31" ht="16.5" thickTop="1">
      <c r="A118" s="1"/>
      <c r="B118" s="313"/>
      <c r="C118" s="21"/>
      <c r="D118" s="21"/>
      <c r="E118" s="21"/>
      <c r="F118" s="21"/>
      <c r="I118" s="1" t="s">
        <v>31</v>
      </c>
      <c r="J118" s="1"/>
      <c r="K118" s="2" t="s">
        <v>31</v>
      </c>
      <c r="M118" s="20"/>
      <c r="N118" s="20"/>
      <c r="O118" s="74"/>
      <c r="P118" s="74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E118" s="84"/>
    </row>
    <row r="119" spans="1:31">
      <c r="A119" s="293" t="s">
        <v>385</v>
      </c>
      <c r="B119" s="1"/>
      <c r="C119" s="1"/>
      <c r="D119" s="1"/>
      <c r="E119" s="21"/>
      <c r="F119" s="21"/>
      <c r="G119" s="1"/>
      <c r="H119" s="1"/>
      <c r="I119" s="21"/>
      <c r="J119" s="1"/>
      <c r="K119" s="1"/>
      <c r="M119" s="20"/>
      <c r="N119" s="20"/>
      <c r="O119" s="74"/>
      <c r="P119" s="74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E119" s="84"/>
    </row>
    <row r="120" spans="1:31">
      <c r="A120" s="1" t="s">
        <v>330</v>
      </c>
      <c r="B120" s="1"/>
      <c r="C120" s="1"/>
      <c r="D120" s="1"/>
      <c r="E120" s="21"/>
      <c r="F120" s="21"/>
      <c r="G120" s="1"/>
      <c r="H120" s="1"/>
      <c r="I120" s="21"/>
      <c r="J120" s="1"/>
      <c r="K120" s="1"/>
      <c r="M120" s="20"/>
      <c r="N120" s="20"/>
      <c r="O120" s="74"/>
      <c r="P120" s="74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E120" s="84"/>
    </row>
    <row r="121" spans="1:31">
      <c r="A121" s="297"/>
      <c r="B121" s="1"/>
      <c r="C121" s="1"/>
      <c r="D121" s="1"/>
      <c r="E121" s="21"/>
      <c r="F121" s="21"/>
      <c r="G121" s="1"/>
      <c r="H121" s="1"/>
      <c r="I121" s="21"/>
      <c r="J121" s="1"/>
      <c r="K121" s="1"/>
      <c r="M121" s="20"/>
      <c r="N121" s="20"/>
      <c r="O121" s="74"/>
      <c r="P121" s="74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E121" s="84"/>
    </row>
    <row r="122" spans="1:31">
      <c r="A122" s="1" t="s">
        <v>370</v>
      </c>
      <c r="B122" s="1"/>
      <c r="C122" s="21">
        <v>1189</v>
      </c>
      <c r="D122" s="21">
        <v>1155</v>
      </c>
      <c r="E122" s="298">
        <f>$E$83</f>
        <v>6</v>
      </c>
      <c r="F122" s="1"/>
      <c r="G122" s="2">
        <f>ROUND(E122*$C122,0)</f>
        <v>7134</v>
      </c>
      <c r="H122" s="2">
        <f>ROUND(E122*$D122,0)</f>
        <v>6930</v>
      </c>
      <c r="I122" s="298">
        <f>$I$83</f>
        <v>6.75</v>
      </c>
      <c r="J122" s="1"/>
      <c r="K122" s="2">
        <f>ROUND(I122*$C122,0)</f>
        <v>8026</v>
      </c>
      <c r="M122" s="20"/>
      <c r="N122" s="20"/>
      <c r="O122" s="74"/>
      <c r="P122" s="74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E122" s="84"/>
    </row>
    <row r="123" spans="1:31">
      <c r="A123" s="1" t="s">
        <v>373</v>
      </c>
      <c r="B123" s="1"/>
      <c r="C123" s="21" t="e">
        <f>651938+#REF!*1000</f>
        <v>#REF!</v>
      </c>
      <c r="D123" s="21">
        <v>640984.27568677999</v>
      </c>
      <c r="E123" s="299">
        <f>$E$84</f>
        <v>4.9139999999999997</v>
      </c>
      <c r="F123" s="1" t="s">
        <v>374</v>
      </c>
      <c r="G123" s="2" t="e">
        <f>ROUND(E123*$C123/100,0)</f>
        <v>#REF!</v>
      </c>
      <c r="H123" s="2">
        <f>ROUND(E123*$D123/100,0)</f>
        <v>31498</v>
      </c>
      <c r="I123" s="299">
        <f>$I$84</f>
        <v>5.4039999999999999</v>
      </c>
      <c r="J123" s="1" t="s">
        <v>374</v>
      </c>
      <c r="K123" s="2" t="e">
        <f>ROUND(I123*$C123/100,0)</f>
        <v>#REF!</v>
      </c>
      <c r="M123" s="20"/>
      <c r="N123" s="20"/>
      <c r="O123" s="74"/>
      <c r="P123" s="74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E123" s="84"/>
    </row>
    <row r="124" spans="1:31">
      <c r="A124" s="1" t="s">
        <v>375</v>
      </c>
      <c r="B124" s="1"/>
      <c r="C124" s="21" t="e">
        <f>2681515-C123+#REF!*1000+#REF!*1000</f>
        <v>#REF!</v>
      </c>
      <c r="D124" s="21">
        <v>2201637.146921176</v>
      </c>
      <c r="E124" s="299">
        <f>$E$85</f>
        <v>7.7510000000000003</v>
      </c>
      <c r="F124" s="1" t="s">
        <v>374</v>
      </c>
      <c r="G124" s="2" t="e">
        <f>ROUND(E124*$C124/100,0)</f>
        <v>#REF!</v>
      </c>
      <c r="H124" s="2">
        <f>ROUND(E124*$D124/100,0)</f>
        <v>170649</v>
      </c>
      <c r="I124" s="299">
        <f>$I$85</f>
        <v>8.520999999999999</v>
      </c>
      <c r="J124" s="1" t="s">
        <v>374</v>
      </c>
      <c r="K124" s="2" t="e">
        <f>ROUND(I124*$C124/100,0)</f>
        <v>#REF!</v>
      </c>
      <c r="M124" s="20"/>
      <c r="N124" s="20"/>
      <c r="O124" s="74"/>
      <c r="P124" s="74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E124" s="84"/>
    </row>
    <row r="125" spans="1:31">
      <c r="A125" s="1" t="s">
        <v>377</v>
      </c>
      <c r="B125" s="1"/>
      <c r="C125" s="21">
        <v>4907</v>
      </c>
      <c r="D125" s="21">
        <v>5762.7171576037508</v>
      </c>
      <c r="E125" s="301">
        <f>$E$86</f>
        <v>1.55</v>
      </c>
      <c r="F125" s="1"/>
      <c r="G125" s="2">
        <f>ROUND(E125*$C125,0)</f>
        <v>7606</v>
      </c>
      <c r="H125" s="2">
        <f>ROUND(E125*$D125,0)</f>
        <v>8932</v>
      </c>
      <c r="I125" s="301">
        <f>$I$86</f>
        <v>1.65</v>
      </c>
      <c r="J125" s="1"/>
      <c r="K125" s="2">
        <f>ROUND(I125*$C125,0)</f>
        <v>8097</v>
      </c>
      <c r="M125" s="20"/>
      <c r="N125" s="20"/>
      <c r="O125" s="74"/>
      <c r="P125" s="74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E125" s="84"/>
    </row>
    <row r="126" spans="1:31">
      <c r="A126" s="303" t="s">
        <v>379</v>
      </c>
      <c r="B126" s="303"/>
      <c r="C126" s="21">
        <v>822</v>
      </c>
      <c r="D126" s="21">
        <v>965.3461388934752</v>
      </c>
      <c r="E126" s="301">
        <f>$E$87</f>
        <v>3</v>
      </c>
      <c r="F126" s="303"/>
      <c r="G126" s="2">
        <f>ROUND(E126*$C126,0)</f>
        <v>2466</v>
      </c>
      <c r="H126" s="2">
        <f>ROUND(E126*$D126,0)</f>
        <v>2896</v>
      </c>
      <c r="I126" s="301">
        <f>$I$87</f>
        <v>3.1999999999999997</v>
      </c>
      <c r="J126" s="303"/>
      <c r="K126" s="2">
        <f>ROUND(I126*$C126,0)</f>
        <v>2630</v>
      </c>
      <c r="M126" s="20"/>
      <c r="N126" s="20"/>
      <c r="O126" s="74"/>
      <c r="P126" s="74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E126" s="84"/>
    </row>
    <row r="127" spans="1:31">
      <c r="A127" s="303" t="s">
        <v>380</v>
      </c>
      <c r="B127" s="303"/>
      <c r="C127" s="21">
        <v>48</v>
      </c>
      <c r="D127" s="21">
        <v>56.370577453633587</v>
      </c>
      <c r="E127" s="304">
        <f>-E125</f>
        <v>-1.55</v>
      </c>
      <c r="F127" s="303"/>
      <c r="G127" s="2">
        <f>ROUND(E127*$C127,0)</f>
        <v>-74</v>
      </c>
      <c r="H127" s="2">
        <f>ROUND(E127*$D127,0)</f>
        <v>-87</v>
      </c>
      <c r="I127" s="304">
        <f>-I125</f>
        <v>-1.65</v>
      </c>
      <c r="J127" s="303"/>
      <c r="K127" s="2">
        <f>ROUND(I127*$C127,0)</f>
        <v>-79</v>
      </c>
      <c r="M127" s="20"/>
      <c r="N127" s="20"/>
      <c r="O127" s="74"/>
      <c r="P127" s="74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E127" s="84"/>
    </row>
    <row r="128" spans="1:31">
      <c r="A128" s="1" t="s">
        <v>381</v>
      </c>
      <c r="B128" s="305"/>
      <c r="C128" s="21" t="e">
        <f>SUM(C123:C124)</f>
        <v>#REF!</v>
      </c>
      <c r="D128" s="21">
        <v>2842621.4226079565</v>
      </c>
      <c r="E128" s="306"/>
      <c r="F128" s="2"/>
      <c r="G128" s="2" t="e">
        <f>SUM(G122:G127)</f>
        <v>#REF!</v>
      </c>
      <c r="H128" s="2">
        <f>SUM(H122:H127)</f>
        <v>220818</v>
      </c>
      <c r="I128" s="2"/>
      <c r="J128" s="2"/>
      <c r="K128" s="2" t="e">
        <f>SUM(K122:K127)</f>
        <v>#REF!</v>
      </c>
      <c r="M128" s="20"/>
      <c r="N128" s="20"/>
      <c r="O128" s="74"/>
      <c r="P128" s="74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E128" s="84"/>
    </row>
    <row r="129" spans="1:31">
      <c r="A129" s="1" t="s">
        <v>363</v>
      </c>
      <c r="B129" s="25"/>
      <c r="C129" s="317" t="e">
        <f>#REF!</f>
        <v>#REF!</v>
      </c>
      <c r="D129" s="308">
        <v>0</v>
      </c>
      <c r="E129" s="309"/>
      <c r="F129" s="309"/>
      <c r="G129" s="310" t="e">
        <f>#REF!</f>
        <v>#REF!</v>
      </c>
      <c r="H129" s="310">
        <v>0</v>
      </c>
      <c r="I129" s="309"/>
      <c r="J129" s="309"/>
      <c r="K129" s="310" t="e">
        <f>G129</f>
        <v>#REF!</v>
      </c>
      <c r="M129" s="444"/>
      <c r="N129" s="444"/>
      <c r="O129" s="287"/>
      <c r="P129" s="74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E129" s="84"/>
    </row>
    <row r="130" spans="1:31" ht="16.5" thickBot="1">
      <c r="A130" s="1" t="s">
        <v>382</v>
      </c>
      <c r="B130" s="1"/>
      <c r="C130" s="311" t="e">
        <f>C128+C129</f>
        <v>#REF!</v>
      </c>
      <c r="D130" s="311">
        <f>SUM(D128:D129)</f>
        <v>2842621.4226079565</v>
      </c>
      <c r="E130" s="312"/>
      <c r="F130" s="312"/>
      <c r="G130" s="312" t="e">
        <f>G128+G129</f>
        <v>#REF!</v>
      </c>
      <c r="H130" s="312">
        <f>H128+H129</f>
        <v>220818</v>
      </c>
      <c r="I130" s="312"/>
      <c r="J130" s="312"/>
      <c r="K130" s="312" t="e">
        <f>K128+K129</f>
        <v>#REF!</v>
      </c>
      <c r="M130" s="411"/>
      <c r="N130" s="411"/>
      <c r="O130" s="470"/>
      <c r="P130" s="74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E130" s="84"/>
    </row>
    <row r="131" spans="1:31" ht="16.5" thickTop="1">
      <c r="A131" s="1"/>
      <c r="B131" s="313"/>
      <c r="C131" s="21"/>
      <c r="D131" s="21"/>
      <c r="E131" s="21"/>
      <c r="F131" s="21"/>
      <c r="I131" s="1" t="s">
        <v>31</v>
      </c>
      <c r="J131" s="1"/>
      <c r="K131" s="2" t="s">
        <v>31</v>
      </c>
      <c r="M131" s="20"/>
      <c r="N131" s="20"/>
      <c r="O131" s="74"/>
      <c r="P131" s="74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E131" s="84"/>
    </row>
    <row r="132" spans="1:31">
      <c r="A132" s="293" t="s">
        <v>386</v>
      </c>
      <c r="B132" s="1"/>
      <c r="C132" s="1"/>
      <c r="D132" s="1"/>
      <c r="E132" s="21"/>
      <c r="F132" s="21"/>
      <c r="G132" s="1"/>
      <c r="H132" s="1"/>
      <c r="I132" s="21"/>
      <c r="J132" s="1"/>
      <c r="K132" s="1"/>
      <c r="M132" s="20"/>
      <c r="N132" s="20"/>
      <c r="O132" s="74"/>
      <c r="P132" s="74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E132" s="84"/>
    </row>
    <row r="133" spans="1:31">
      <c r="A133" s="1" t="s">
        <v>330</v>
      </c>
      <c r="B133" s="1"/>
      <c r="C133" s="1"/>
      <c r="D133" s="21"/>
      <c r="E133" s="21"/>
      <c r="F133" s="21"/>
      <c r="G133" s="1"/>
      <c r="H133" s="1"/>
      <c r="I133" s="21"/>
      <c r="J133" s="1"/>
      <c r="K133" s="1"/>
      <c r="M133" s="20"/>
      <c r="N133" s="20"/>
      <c r="O133" s="74"/>
      <c r="P133" s="74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E133" s="84"/>
    </row>
    <row r="134" spans="1:31">
      <c r="A134" s="297"/>
      <c r="B134" s="1"/>
      <c r="C134" s="1"/>
      <c r="D134" s="1"/>
      <c r="E134" s="21"/>
      <c r="F134" s="21"/>
      <c r="G134" s="1"/>
      <c r="H134" s="1"/>
      <c r="I134" s="21"/>
      <c r="J134" s="1"/>
      <c r="K134" s="1"/>
      <c r="M134" s="20"/>
      <c r="N134" s="20"/>
      <c r="O134" s="74"/>
      <c r="P134" s="74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E134" s="84"/>
    </row>
    <row r="135" spans="1:31">
      <c r="A135" s="1" t="s">
        <v>370</v>
      </c>
      <c r="B135" s="1"/>
      <c r="C135" s="21">
        <v>302</v>
      </c>
      <c r="D135" s="21">
        <v>315</v>
      </c>
      <c r="E135" s="298">
        <f>$E$83</f>
        <v>6</v>
      </c>
      <c r="F135" s="1"/>
      <c r="G135" s="2">
        <f>ROUND(E135*$C135,0)</f>
        <v>1812</v>
      </c>
      <c r="H135" s="2">
        <f>ROUND(E135*$D135,0)</f>
        <v>1890</v>
      </c>
      <c r="I135" s="298">
        <f>$I$83</f>
        <v>6.75</v>
      </c>
      <c r="J135" s="1"/>
      <c r="K135" s="2">
        <f>ROUND(I135*$C135,0)</f>
        <v>2039</v>
      </c>
      <c r="M135" s="20"/>
      <c r="N135" s="20"/>
      <c r="O135" s="74"/>
      <c r="P135" s="74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E135" s="84"/>
    </row>
    <row r="136" spans="1:31">
      <c r="A136" s="1" t="s">
        <v>373</v>
      </c>
      <c r="B136" s="1"/>
      <c r="C136" s="21">
        <v>176584</v>
      </c>
      <c r="D136" s="21">
        <v>210143.84162810302</v>
      </c>
      <c r="E136" s="299">
        <f>$E$84</f>
        <v>4.9139999999999997</v>
      </c>
      <c r="F136" s="1" t="s">
        <v>374</v>
      </c>
      <c r="G136" s="2">
        <f>ROUND(E136*$C136/100,0)</f>
        <v>8677</v>
      </c>
      <c r="H136" s="2">
        <f>ROUND(E136*$D136/100,0)</f>
        <v>10326</v>
      </c>
      <c r="I136" s="299">
        <f>$I$84</f>
        <v>5.4039999999999999</v>
      </c>
      <c r="J136" s="1" t="s">
        <v>374</v>
      </c>
      <c r="K136" s="2">
        <f>ROUND(I136*$C136/100,0)</f>
        <v>9543</v>
      </c>
      <c r="M136" s="20"/>
      <c r="N136" s="20"/>
      <c r="O136" s="74"/>
      <c r="P136" s="74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E136" s="84"/>
    </row>
    <row r="137" spans="1:31">
      <c r="A137" s="1" t="s">
        <v>375</v>
      </c>
      <c r="B137" s="1"/>
      <c r="C137" s="21">
        <f>637329-C136</f>
        <v>460745</v>
      </c>
      <c r="D137" s="21">
        <v>548309.72404600831</v>
      </c>
      <c r="E137" s="299">
        <f>$E$85</f>
        <v>7.7510000000000003</v>
      </c>
      <c r="F137" s="1" t="s">
        <v>374</v>
      </c>
      <c r="G137" s="2">
        <f>ROUND(E137*$C137/100,0)</f>
        <v>35712</v>
      </c>
      <c r="H137" s="2">
        <f>ROUND(E137*$D137/100,0)</f>
        <v>42499</v>
      </c>
      <c r="I137" s="299">
        <f>$I$85</f>
        <v>8.520999999999999</v>
      </c>
      <c r="J137" s="1" t="s">
        <v>374</v>
      </c>
      <c r="K137" s="2">
        <f>ROUND(I137*$C137/100,0)</f>
        <v>39260</v>
      </c>
      <c r="M137" s="20"/>
      <c r="N137" s="20"/>
      <c r="O137" s="74"/>
      <c r="P137" s="74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E137" s="84"/>
    </row>
    <row r="138" spans="1:31">
      <c r="A138" s="1" t="s">
        <v>377</v>
      </c>
      <c r="B138" s="1"/>
      <c r="C138" s="21">
        <v>1016</v>
      </c>
      <c r="D138" s="21">
        <v>1209.0911016522034</v>
      </c>
      <c r="E138" s="301">
        <f>$E$86</f>
        <v>1.55</v>
      </c>
      <c r="F138" s="1"/>
      <c r="G138" s="2">
        <f>ROUND(E138*$C138,0)</f>
        <v>1575</v>
      </c>
      <c r="H138" s="2">
        <f>ROUND(E138*$D138,0)</f>
        <v>1874</v>
      </c>
      <c r="I138" s="301">
        <f>$I$86</f>
        <v>1.65</v>
      </c>
      <c r="J138" s="1"/>
      <c r="K138" s="2">
        <f>ROUND(I138*$C138,0)</f>
        <v>1676</v>
      </c>
      <c r="M138" s="20"/>
      <c r="N138" s="20"/>
      <c r="O138" s="74"/>
      <c r="P138" s="74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E138" s="84"/>
    </row>
    <row r="139" spans="1:31">
      <c r="A139" s="303" t="s">
        <v>379</v>
      </c>
      <c r="B139" s="303"/>
      <c r="C139" s="21">
        <v>157</v>
      </c>
      <c r="D139" s="21">
        <v>186.83789661357866</v>
      </c>
      <c r="E139" s="301">
        <f>$E$87</f>
        <v>3</v>
      </c>
      <c r="F139" s="303"/>
      <c r="G139" s="2">
        <f>ROUND(E139*$C139,0)</f>
        <v>471</v>
      </c>
      <c r="H139" s="2">
        <f>ROUND(E139*$D139,0)</f>
        <v>561</v>
      </c>
      <c r="I139" s="301">
        <f>$I$87</f>
        <v>3.1999999999999997</v>
      </c>
      <c r="J139" s="303"/>
      <c r="K139" s="2">
        <f>ROUND(I139*$C139,0)</f>
        <v>502</v>
      </c>
      <c r="M139" s="20"/>
      <c r="N139" s="20"/>
      <c r="O139" s="74"/>
      <c r="P139" s="74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E139" s="84"/>
    </row>
    <row r="140" spans="1:31">
      <c r="A140" s="303" t="s">
        <v>380</v>
      </c>
      <c r="B140" s="303"/>
      <c r="C140" s="21">
        <v>22</v>
      </c>
      <c r="D140" s="21">
        <v>26.181106531839049</v>
      </c>
      <c r="E140" s="304">
        <f>-E138</f>
        <v>-1.55</v>
      </c>
      <c r="F140" s="303"/>
      <c r="G140" s="2">
        <f>ROUND(E140*$C140,0)</f>
        <v>-34</v>
      </c>
      <c r="H140" s="2">
        <f>ROUND(E140*$D140,0)</f>
        <v>-41</v>
      </c>
      <c r="I140" s="304">
        <f>-I138</f>
        <v>-1.65</v>
      </c>
      <c r="J140" s="303"/>
      <c r="K140" s="2">
        <f>ROUND(I140*$C140,0)</f>
        <v>-36</v>
      </c>
      <c r="M140" s="20"/>
      <c r="N140" s="20"/>
      <c r="O140" s="74"/>
      <c r="P140" s="74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E140" s="84"/>
    </row>
    <row r="141" spans="1:31">
      <c r="A141" s="1" t="s">
        <v>381</v>
      </c>
      <c r="B141" s="1"/>
      <c r="C141" s="21">
        <f>SUM(C136:C137)</f>
        <v>637329</v>
      </c>
      <c r="D141" s="21">
        <v>758453.56567411136</v>
      </c>
      <c r="E141" s="306"/>
      <c r="F141" s="2"/>
      <c r="G141" s="2">
        <f>SUM(G135:G140)</f>
        <v>48213</v>
      </c>
      <c r="H141" s="2">
        <f>SUM(H135:H140)</f>
        <v>57109</v>
      </c>
      <c r="I141" s="2"/>
      <c r="J141" s="2"/>
      <c r="K141" s="2">
        <f>SUM(K135:K140)</f>
        <v>52984</v>
      </c>
      <c r="M141" s="20"/>
      <c r="N141" s="20"/>
      <c r="O141" s="74"/>
      <c r="P141" s="74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E141" s="84"/>
    </row>
    <row r="142" spans="1:31">
      <c r="A142" s="1" t="s">
        <v>363</v>
      </c>
      <c r="B142" s="1"/>
      <c r="C142" s="317" t="e">
        <f>#REF!</f>
        <v>#REF!</v>
      </c>
      <c r="D142" s="308">
        <v>0</v>
      </c>
      <c r="E142" s="309"/>
      <c r="F142" s="309"/>
      <c r="G142" s="310" t="e">
        <f>#REF!</f>
        <v>#REF!</v>
      </c>
      <c r="H142" s="310">
        <v>0</v>
      </c>
      <c r="I142" s="309"/>
      <c r="J142" s="309"/>
      <c r="K142" s="310" t="e">
        <f>G142</f>
        <v>#REF!</v>
      </c>
      <c r="M142" s="444"/>
      <c r="N142" s="444"/>
      <c r="O142" s="287"/>
      <c r="P142" s="74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E142" s="84"/>
    </row>
    <row r="143" spans="1:31" ht="16.5" thickBot="1">
      <c r="A143" s="1" t="s">
        <v>382</v>
      </c>
      <c r="B143" s="1"/>
      <c r="C143" s="311" t="e">
        <f>C141+C142</f>
        <v>#REF!</v>
      </c>
      <c r="D143" s="311">
        <f>SUM(D141:D142)</f>
        <v>758453.56567411136</v>
      </c>
      <c r="E143" s="312"/>
      <c r="F143" s="312"/>
      <c r="G143" s="312" t="e">
        <f>G141+G142</f>
        <v>#REF!</v>
      </c>
      <c r="H143" s="312">
        <f>H141+H142</f>
        <v>57109</v>
      </c>
      <c r="I143" s="312"/>
      <c r="J143" s="312"/>
      <c r="K143" s="312" t="e">
        <f>K141+K142</f>
        <v>#REF!</v>
      </c>
      <c r="M143" s="411"/>
      <c r="N143" s="411"/>
      <c r="O143" s="470"/>
      <c r="P143" s="74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E143" s="84"/>
    </row>
    <row r="144" spans="1:31" ht="16.5" thickTop="1">
      <c r="A144" s="1"/>
      <c r="B144" s="313"/>
      <c r="C144" s="21"/>
      <c r="D144" s="21"/>
      <c r="E144" s="21"/>
      <c r="F144" s="21"/>
      <c r="I144" s="1" t="s">
        <v>31</v>
      </c>
      <c r="J144" s="1"/>
      <c r="K144" s="2" t="s">
        <v>31</v>
      </c>
      <c r="M144" s="20"/>
      <c r="N144" s="20"/>
      <c r="O144" s="74"/>
      <c r="P144" s="74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E144" s="84"/>
    </row>
    <row r="145" spans="1:31">
      <c r="A145" s="293" t="s">
        <v>387</v>
      </c>
      <c r="B145" s="1"/>
      <c r="C145" s="1"/>
      <c r="D145" s="1"/>
      <c r="E145" s="2"/>
      <c r="F145" s="2"/>
      <c r="G145" s="1" t="s">
        <v>31</v>
      </c>
      <c r="H145" s="1"/>
      <c r="I145" s="2"/>
      <c r="J145" s="1"/>
      <c r="K145" s="1"/>
      <c r="M145" s="20"/>
      <c r="N145" s="20"/>
      <c r="O145" s="74"/>
      <c r="P145" s="74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E145" s="84"/>
    </row>
    <row r="146" spans="1:31">
      <c r="A146" s="1" t="s">
        <v>388</v>
      </c>
      <c r="B146" s="1"/>
      <c r="C146" s="1"/>
      <c r="D146" s="1"/>
      <c r="E146" s="2"/>
      <c r="F146" s="2"/>
      <c r="G146" s="1"/>
      <c r="H146" s="1"/>
      <c r="I146" s="2"/>
      <c r="J146" s="1"/>
      <c r="K146" s="1"/>
      <c r="M146" s="20"/>
      <c r="N146" s="20"/>
      <c r="O146" s="74"/>
      <c r="P146" s="74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E146" s="84"/>
    </row>
    <row r="147" spans="1:31">
      <c r="A147" s="1"/>
      <c r="B147" s="1"/>
      <c r="C147" s="1"/>
      <c r="D147" s="1"/>
      <c r="E147" s="2"/>
      <c r="F147" s="2"/>
      <c r="G147" s="1"/>
      <c r="H147" s="1"/>
      <c r="I147" s="2"/>
      <c r="J147" s="1"/>
      <c r="K147" s="1"/>
      <c r="M147" s="20"/>
      <c r="N147" s="20"/>
      <c r="P147" s="74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E147" s="84"/>
    </row>
    <row r="148" spans="1:31">
      <c r="A148" s="1" t="s">
        <v>389</v>
      </c>
      <c r="B148" s="1"/>
      <c r="C148" s="1"/>
      <c r="D148" s="1"/>
      <c r="E148" s="2"/>
      <c r="F148" s="2"/>
      <c r="G148" s="1"/>
      <c r="H148" s="1"/>
      <c r="I148" s="2"/>
      <c r="J148" s="1"/>
      <c r="K148" s="1"/>
      <c r="M148" s="20"/>
      <c r="N148" s="20"/>
      <c r="O148" s="74"/>
      <c r="P148" s="74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E148" s="84"/>
    </row>
    <row r="149" spans="1:31">
      <c r="A149" s="1" t="s">
        <v>390</v>
      </c>
      <c r="B149" s="1"/>
      <c r="C149" s="21">
        <f>C384</f>
        <v>1</v>
      </c>
      <c r="D149" s="21">
        <f>D384</f>
        <v>1</v>
      </c>
      <c r="E149" s="298">
        <v>90.36</v>
      </c>
      <c r="F149" s="2"/>
      <c r="G149" s="2">
        <f t="shared" ref="G149:H151" si="8">G355</f>
        <v>90</v>
      </c>
      <c r="H149" s="2">
        <f t="shared" si="8"/>
        <v>90</v>
      </c>
      <c r="I149" s="298">
        <f>I153*12</f>
        <v>96</v>
      </c>
      <c r="J149" s="1"/>
      <c r="K149" s="2">
        <f>K355</f>
        <v>96</v>
      </c>
      <c r="M149" s="84">
        <f>I149*D149</f>
        <v>96</v>
      </c>
      <c r="O149" s="14">
        <f>(I149-E149)/E149</f>
        <v>6.2416998671978759E-2</v>
      </c>
      <c r="T149" s="3" t="s">
        <v>371</v>
      </c>
      <c r="U149" s="3" t="s">
        <v>305</v>
      </c>
      <c r="V149" s="3" t="s">
        <v>372</v>
      </c>
      <c r="W149" s="3" t="s">
        <v>315</v>
      </c>
      <c r="X149" s="20"/>
      <c r="Y149" s="20"/>
      <c r="Z149" s="20"/>
      <c r="AA149" s="20"/>
      <c r="AB149" s="20"/>
      <c r="AC149" s="20"/>
      <c r="AE149" s="84"/>
    </row>
    <row r="150" spans="1:31">
      <c r="A150" s="1" t="s">
        <v>391</v>
      </c>
      <c r="B150" s="1"/>
      <c r="C150" s="21">
        <f>C356</f>
        <v>107</v>
      </c>
      <c r="D150" s="21">
        <f>D356</f>
        <v>109.09090909090909</v>
      </c>
      <c r="E150" s="298">
        <v>134.16</v>
      </c>
      <c r="F150" s="2"/>
      <c r="G150" s="2">
        <f t="shared" si="8"/>
        <v>14355</v>
      </c>
      <c r="H150" s="2">
        <f t="shared" si="8"/>
        <v>14635</v>
      </c>
      <c r="I150" s="298">
        <f>I154*12</f>
        <v>142.53386454183266</v>
      </c>
      <c r="J150" s="1"/>
      <c r="K150" s="2">
        <f>K356</f>
        <v>15252</v>
      </c>
      <c r="M150" s="84">
        <f>I150*D150</f>
        <v>15549.148859109018</v>
      </c>
      <c r="N150" s="84"/>
      <c r="O150" s="14">
        <f>(I150-E150)/E150</f>
        <v>6.2416998671978682E-2</v>
      </c>
      <c r="S150" s="3" t="s">
        <v>20</v>
      </c>
      <c r="T150" s="84">
        <f>H149+H150+H153+H154</f>
        <v>1828725</v>
      </c>
      <c r="U150" s="84">
        <f>K149+K150+K153+K154</f>
        <v>1959163</v>
      </c>
      <c r="V150" s="106">
        <v>1916638.7857408486</v>
      </c>
      <c r="W150" s="237">
        <f>U150/V150</f>
        <v>1.0221868693128393</v>
      </c>
      <c r="X150" s="20"/>
      <c r="Y150" s="20"/>
      <c r="Z150" s="20"/>
      <c r="AA150" s="20"/>
      <c r="AB150" s="20"/>
      <c r="AC150" s="20"/>
      <c r="AE150" s="84"/>
    </row>
    <row r="151" spans="1:31">
      <c r="A151" s="1" t="s">
        <v>392</v>
      </c>
      <c r="B151" s="1"/>
      <c r="C151" s="21">
        <f>C357</f>
        <v>4321</v>
      </c>
      <c r="D151" s="21">
        <f>D357</f>
        <v>1974</v>
      </c>
      <c r="E151" s="298">
        <v>9.36</v>
      </c>
      <c r="F151" s="2"/>
      <c r="G151" s="2">
        <f t="shared" si="8"/>
        <v>40445</v>
      </c>
      <c r="H151" s="2">
        <f t="shared" si="8"/>
        <v>18476</v>
      </c>
      <c r="I151" s="298">
        <v>9.94</v>
      </c>
      <c r="J151" s="1"/>
      <c r="K151" s="2">
        <f>K357</f>
        <v>42951</v>
      </c>
      <c r="M151" s="84">
        <f>I151*D151</f>
        <v>19621.559999999998</v>
      </c>
      <c r="O151" s="14">
        <f>(I151-E151)/E151</f>
        <v>6.1965811965811975E-2</v>
      </c>
      <c r="R151" s="3" t="s">
        <v>31</v>
      </c>
      <c r="S151" s="3" t="s">
        <v>404</v>
      </c>
      <c r="T151" s="84" t="e">
        <f>H155</f>
        <v>#REF!</v>
      </c>
      <c r="U151" s="84">
        <f>K155</f>
        <v>1061210</v>
      </c>
      <c r="V151" s="106">
        <v>5367292.197431691</v>
      </c>
      <c r="W151" s="237">
        <f>U151/V151</f>
        <v>0.19771794807590329</v>
      </c>
      <c r="X151" s="20"/>
      <c r="Y151" s="20"/>
      <c r="Z151" s="20"/>
      <c r="AA151" s="20"/>
      <c r="AB151" s="20"/>
      <c r="AC151" s="20"/>
      <c r="AE151" s="84"/>
    </row>
    <row r="152" spans="1:31">
      <c r="A152" s="1" t="s">
        <v>393</v>
      </c>
      <c r="B152" s="1"/>
      <c r="C152" s="319"/>
      <c r="D152" s="319"/>
      <c r="E152" s="2"/>
      <c r="F152" s="2"/>
      <c r="G152" s="1"/>
      <c r="H152" s="1"/>
      <c r="I152" s="2"/>
      <c r="J152" s="1"/>
      <c r="K152" s="1"/>
      <c r="O152" s="320"/>
      <c r="S152" s="3" t="s">
        <v>376</v>
      </c>
      <c r="T152" s="84" t="e">
        <f>SUM(H159:H161)-Q159</f>
        <v>#REF!</v>
      </c>
      <c r="U152" s="84" t="e">
        <f>SUM(K159:K161)-R159</f>
        <v>#REF!</v>
      </c>
      <c r="V152" s="106">
        <v>26743743.576655678</v>
      </c>
      <c r="W152" s="237" t="e">
        <f>U152/V152</f>
        <v>#REF!</v>
      </c>
      <c r="X152" s="20"/>
      <c r="Y152" s="20"/>
      <c r="Z152" s="20"/>
      <c r="AA152" s="20"/>
      <c r="AB152" s="20"/>
      <c r="AC152" s="20"/>
      <c r="AE152" s="84"/>
    </row>
    <row r="153" spans="1:31">
      <c r="A153" s="1" t="s">
        <v>390</v>
      </c>
      <c r="B153" s="1"/>
      <c r="C153" s="319">
        <f t="shared" ref="C153:D155" si="9">C183+C267</f>
        <v>153375</v>
      </c>
      <c r="D153" s="319">
        <f t="shared" si="9"/>
        <v>152066</v>
      </c>
      <c r="E153" s="298">
        <v>7.53</v>
      </c>
      <c r="F153" s="321"/>
      <c r="G153" s="322">
        <f t="shared" ref="G153:H155" si="10">G183+G267</f>
        <v>1154913</v>
      </c>
      <c r="H153" s="322">
        <f t="shared" si="10"/>
        <v>1145056</v>
      </c>
      <c r="I153" s="298">
        <v>8</v>
      </c>
      <c r="J153" s="323"/>
      <c r="K153" s="322">
        <f>K183+K267</f>
        <v>1227000</v>
      </c>
      <c r="M153" s="84">
        <f>I153*D153</f>
        <v>1216528</v>
      </c>
      <c r="O153" s="14">
        <f>(I153-E153)/E153</f>
        <v>6.2416998671978717E-2</v>
      </c>
      <c r="S153" s="3" t="s">
        <v>406</v>
      </c>
      <c r="T153" s="84" t="e">
        <f>H158+Q159</f>
        <v>#REF!</v>
      </c>
      <c r="U153" s="84" t="e">
        <f>K158+R159</f>
        <v>#REF!</v>
      </c>
      <c r="V153" s="106">
        <v>4454867.4522770187</v>
      </c>
      <c r="W153" s="237" t="e">
        <f>U153/V153</f>
        <v>#REF!</v>
      </c>
      <c r="X153" s="20"/>
      <c r="Y153" s="20"/>
      <c r="Z153" s="20"/>
      <c r="AA153" s="20"/>
      <c r="AB153" s="20"/>
      <c r="AC153" s="20"/>
      <c r="AE153" s="84"/>
    </row>
    <row r="154" spans="1:31">
      <c r="A154" s="1" t="s">
        <v>391</v>
      </c>
      <c r="B154" s="1"/>
      <c r="C154" s="319">
        <f t="shared" si="9"/>
        <v>60349</v>
      </c>
      <c r="D154" s="319">
        <f t="shared" si="9"/>
        <v>59834</v>
      </c>
      <c r="E154" s="298">
        <v>11.18</v>
      </c>
      <c r="F154" s="324"/>
      <c r="G154" s="322">
        <f t="shared" si="10"/>
        <v>674702</v>
      </c>
      <c r="H154" s="322">
        <f t="shared" si="10"/>
        <v>668944</v>
      </c>
      <c r="I154" s="298">
        <f>I153/E153*E154</f>
        <v>11.877822045152721</v>
      </c>
      <c r="J154" s="325"/>
      <c r="K154" s="322">
        <f>K184+K268</f>
        <v>716815</v>
      </c>
      <c r="M154" s="84">
        <f>I154*D154</f>
        <v>710697.60424966784</v>
      </c>
      <c r="O154" s="14">
        <f>(I154-E154)/E154</f>
        <v>6.2416998671978627E-2</v>
      </c>
      <c r="Q154" s="84"/>
      <c r="V154" s="20"/>
      <c r="W154" s="20"/>
      <c r="X154" s="20"/>
      <c r="Y154" s="20"/>
      <c r="Z154" s="20"/>
      <c r="AA154" s="20"/>
      <c r="AB154" s="20"/>
      <c r="AC154" s="20"/>
      <c r="AE154" s="84"/>
    </row>
    <row r="155" spans="1:31">
      <c r="A155" s="1" t="s">
        <v>392</v>
      </c>
      <c r="B155" s="1"/>
      <c r="C155" s="319">
        <f t="shared" si="9"/>
        <v>1278566</v>
      </c>
      <c r="D155" s="319" t="e">
        <f t="shared" si="9"/>
        <v>#REF!</v>
      </c>
      <c r="E155" s="298">
        <v>0.78</v>
      </c>
      <c r="F155" s="324"/>
      <c r="G155" s="322">
        <f t="shared" si="10"/>
        <v>997281</v>
      </c>
      <c r="H155" s="322" t="e">
        <f t="shared" si="10"/>
        <v>#REF!</v>
      </c>
      <c r="I155" s="298">
        <v>0.83</v>
      </c>
      <c r="J155" s="325"/>
      <c r="K155" s="322">
        <f>K185+K269</f>
        <v>1061210</v>
      </c>
      <c r="M155" s="84" t="e">
        <f>I155*D155</f>
        <v>#REF!</v>
      </c>
      <c r="O155" s="14">
        <f>(I155-E155)/E155</f>
        <v>6.4102564102564014E-2</v>
      </c>
      <c r="R155" s="15"/>
      <c r="S155" s="15"/>
      <c r="V155" s="20"/>
      <c r="W155" s="20"/>
      <c r="X155" s="20"/>
      <c r="Y155" s="20"/>
      <c r="Z155" s="20"/>
      <c r="AA155" s="20"/>
      <c r="AB155" s="20"/>
      <c r="AC155" s="20"/>
      <c r="AE155" s="84"/>
    </row>
    <row r="156" spans="1:31">
      <c r="A156" s="1" t="s">
        <v>394</v>
      </c>
      <c r="B156" s="1"/>
      <c r="C156" s="319">
        <f>SUM(C153:C154)</f>
        <v>213724</v>
      </c>
      <c r="D156" s="319">
        <f>SUM(D153:D154)</f>
        <v>211900</v>
      </c>
      <c r="E156" s="298"/>
      <c r="F156" s="321"/>
      <c r="G156" s="322"/>
      <c r="H156" s="322"/>
      <c r="I156" s="298"/>
      <c r="J156" s="323"/>
      <c r="K156" s="322"/>
      <c r="O156" s="320"/>
      <c r="V156" s="20"/>
      <c r="W156" s="20"/>
      <c r="X156" s="20"/>
      <c r="Y156" s="20"/>
      <c r="Z156" s="20"/>
      <c r="AA156" s="20"/>
      <c r="AB156" s="20"/>
      <c r="AC156" s="20"/>
      <c r="AE156" s="84"/>
    </row>
    <row r="157" spans="1:31">
      <c r="A157" s="1" t="s">
        <v>362</v>
      </c>
      <c r="B157" s="1"/>
      <c r="C157" s="319">
        <f t="shared" ref="C157:C162" si="11">C186+C271+C359</f>
        <v>211679</v>
      </c>
      <c r="D157" s="319">
        <f>D186+D271+D358</f>
        <v>208713.84090909091</v>
      </c>
      <c r="E157" s="298"/>
      <c r="F157" s="321"/>
      <c r="G157" s="322"/>
      <c r="H157" s="322"/>
      <c r="I157" s="298"/>
      <c r="J157" s="323"/>
      <c r="K157" s="322"/>
      <c r="O157" s="320"/>
      <c r="V157" s="20"/>
      <c r="W157" s="20"/>
      <c r="X157" s="20"/>
      <c r="Y157" s="20"/>
      <c r="Z157" s="20"/>
      <c r="AA157" s="20"/>
      <c r="AB157" s="20"/>
      <c r="AC157" s="20"/>
      <c r="AE157" s="84"/>
    </row>
    <row r="158" spans="1:31">
      <c r="A158" s="1" t="s">
        <v>395</v>
      </c>
      <c r="B158" s="1"/>
      <c r="C158" s="319">
        <f t="shared" si="11"/>
        <v>834211</v>
      </c>
      <c r="D158" s="319" t="e">
        <f>D187+D272+D360</f>
        <v>#REF!</v>
      </c>
      <c r="E158" s="298">
        <v>2.88</v>
      </c>
      <c r="F158" s="323"/>
      <c r="G158" s="322">
        <f t="shared" ref="G158:H162" si="12">G187+G272+G360</f>
        <v>2402528</v>
      </c>
      <c r="H158" s="322" t="e">
        <f t="shared" si="12"/>
        <v>#REF!</v>
      </c>
      <c r="I158" s="298">
        <v>2.97</v>
      </c>
      <c r="J158" s="323"/>
      <c r="K158" s="322">
        <f>K187+K272+K360</f>
        <v>2477606</v>
      </c>
      <c r="M158" s="84" t="e">
        <f>I158*D158</f>
        <v>#REF!</v>
      </c>
      <c r="O158" s="14">
        <f>(I158-E158)/E158</f>
        <v>3.1250000000000104E-2</v>
      </c>
      <c r="Q158" s="3" t="s">
        <v>396</v>
      </c>
      <c r="V158" s="20"/>
      <c r="W158" s="20"/>
      <c r="X158" s="20"/>
      <c r="Y158" s="20"/>
      <c r="Z158" s="20"/>
      <c r="AA158" s="20"/>
      <c r="AB158" s="20"/>
      <c r="AC158" s="20"/>
      <c r="AE158" s="84"/>
    </row>
    <row r="159" spans="1:31">
      <c r="A159" s="1" t="s">
        <v>397</v>
      </c>
      <c r="B159" s="1"/>
      <c r="C159" s="319" t="e">
        <f t="shared" si="11"/>
        <v>#REF!</v>
      </c>
      <c r="D159" s="319" t="e">
        <f>D188+D273+D361</f>
        <v>#REF!</v>
      </c>
      <c r="E159" s="299">
        <v>8.0890000000000004</v>
      </c>
      <c r="F159" s="323" t="s">
        <v>374</v>
      </c>
      <c r="G159" s="322" t="e">
        <f t="shared" si="12"/>
        <v>#REF!</v>
      </c>
      <c r="H159" s="322" t="e">
        <f t="shared" si="12"/>
        <v>#REF!</v>
      </c>
      <c r="I159" s="299">
        <v>8.8109999999999999</v>
      </c>
      <c r="J159" s="323" t="s">
        <v>374</v>
      </c>
      <c r="K159" s="322" t="e">
        <f>K188+K273+K361</f>
        <v>#REF!</v>
      </c>
      <c r="M159" s="84" t="e">
        <f>(I159/100)*D159</f>
        <v>#REF!</v>
      </c>
      <c r="O159" s="14">
        <f>(I159-E159)/E159</f>
        <v>8.9257015700333731E-2</v>
      </c>
      <c r="Q159" s="236" t="e">
        <f>H159+H160-(D159+D160)*E161/100</f>
        <v>#REF!</v>
      </c>
      <c r="R159" s="236" t="e">
        <f>K159+K160-(D159+D160)*I161/100</f>
        <v>#REF!</v>
      </c>
      <c r="V159" s="20"/>
      <c r="W159" s="20"/>
      <c r="X159" s="20"/>
      <c r="Y159" s="20"/>
      <c r="Z159" s="20"/>
      <c r="AA159" s="20"/>
      <c r="AB159" s="20"/>
      <c r="AC159" s="20"/>
      <c r="AE159" s="84"/>
    </row>
    <row r="160" spans="1:31">
      <c r="A160" s="1" t="s">
        <v>398</v>
      </c>
      <c r="B160" s="1"/>
      <c r="C160" s="319" t="e">
        <f t="shared" si="11"/>
        <v>#REF!</v>
      </c>
      <c r="D160" s="319" t="e">
        <f>D189+D274+D362</f>
        <v>#REF!</v>
      </c>
      <c r="E160" s="299">
        <v>5.5839999999999996</v>
      </c>
      <c r="F160" s="323" t="s">
        <v>374</v>
      </c>
      <c r="G160" s="322" t="e">
        <f t="shared" si="12"/>
        <v>#REF!</v>
      </c>
      <c r="H160" s="322" t="e">
        <f t="shared" si="12"/>
        <v>#REF!</v>
      </c>
      <c r="I160" s="299">
        <f>ROUND(I159/E159*E160,3)</f>
        <v>6.0819999999999999</v>
      </c>
      <c r="J160" s="323" t="s">
        <v>374</v>
      </c>
      <c r="K160" s="322" t="e">
        <f>K189+K274+K362</f>
        <v>#REF!</v>
      </c>
      <c r="M160" s="84" t="e">
        <f>(I160/100)*D160</f>
        <v>#REF!</v>
      </c>
      <c r="N160" s="329"/>
      <c r="O160" s="14">
        <f>(I160-E160)/E160</f>
        <v>8.9183381088825259E-2</v>
      </c>
      <c r="V160" s="20"/>
      <c r="W160" s="20"/>
      <c r="X160" s="20"/>
      <c r="Y160" s="20"/>
      <c r="Z160" s="20"/>
      <c r="AA160" s="20"/>
      <c r="AB160" s="20"/>
      <c r="AC160" s="20"/>
      <c r="AE160" s="84"/>
    </row>
    <row r="161" spans="1:31">
      <c r="A161" s="1" t="s">
        <v>399</v>
      </c>
      <c r="B161" s="1"/>
      <c r="C161" s="319" t="e">
        <f t="shared" si="11"/>
        <v>#REF!</v>
      </c>
      <c r="D161" s="319" t="e">
        <f>D190+D275+D363</f>
        <v>#REF!</v>
      </c>
      <c r="E161" s="299">
        <v>4.8099999999999996</v>
      </c>
      <c r="F161" s="323" t="s">
        <v>374</v>
      </c>
      <c r="G161" s="322" t="e">
        <f t="shared" si="12"/>
        <v>#REF!</v>
      </c>
      <c r="H161" s="322" t="e">
        <f t="shared" si="12"/>
        <v>#REF!</v>
      </c>
      <c r="I161" s="299">
        <f>ROUND(I159/E159*E161,3)+0.001</f>
        <v>5.24</v>
      </c>
      <c r="J161" s="323" t="s">
        <v>374</v>
      </c>
      <c r="K161" s="322" t="e">
        <f>K190+K275+K363</f>
        <v>#REF!</v>
      </c>
      <c r="M161" s="84" t="e">
        <f>(I161/100)*D161</f>
        <v>#REF!</v>
      </c>
      <c r="N161" s="300"/>
      <c r="O161" s="14">
        <f>(I161-E161)/E161</f>
        <v>8.9397089397089527E-2</v>
      </c>
      <c r="Q161" s="84" t="e">
        <f>K159+K160+K161-R159</f>
        <v>#REF!</v>
      </c>
      <c r="V161" s="20"/>
      <c r="W161" s="20"/>
      <c r="X161" s="20"/>
      <c r="Y161" s="20"/>
      <c r="Z161" s="20"/>
      <c r="AA161" s="20"/>
      <c r="AB161" s="20"/>
      <c r="AC161" s="20"/>
      <c r="AE161" s="84"/>
    </row>
    <row r="162" spans="1:31">
      <c r="A162" s="1" t="s">
        <v>400</v>
      </c>
      <c r="B162" s="1"/>
      <c r="C162" s="319">
        <f t="shared" si="11"/>
        <v>93898</v>
      </c>
      <c r="D162" s="319" t="e">
        <f>D191+D276+D364</f>
        <v>#REF!</v>
      </c>
      <c r="E162" s="330">
        <v>45</v>
      </c>
      <c r="F162" s="321" t="s">
        <v>374</v>
      </c>
      <c r="G162" s="322">
        <f t="shared" si="12"/>
        <v>42254</v>
      </c>
      <c r="H162" s="322" t="e">
        <f t="shared" si="12"/>
        <v>#REF!</v>
      </c>
      <c r="I162" s="330">
        <v>50</v>
      </c>
      <c r="J162" s="323" t="s">
        <v>374</v>
      </c>
      <c r="K162" s="322">
        <f>K191+K276+K364</f>
        <v>46950</v>
      </c>
      <c r="M162" s="84" t="e">
        <f>(I162/100)*D162</f>
        <v>#REF!</v>
      </c>
      <c r="O162" s="14">
        <f>(I162-E162)/E162</f>
        <v>0.1111111111111111</v>
      </c>
      <c r="V162" s="20"/>
      <c r="W162" s="20"/>
      <c r="X162" s="20"/>
      <c r="Y162" s="20"/>
      <c r="Z162" s="20"/>
      <c r="AA162" s="20"/>
      <c r="AB162" s="20"/>
      <c r="AC162" s="20"/>
      <c r="AE162" s="84"/>
    </row>
    <row r="163" spans="1:31">
      <c r="A163" s="331" t="s">
        <v>401</v>
      </c>
      <c r="B163" s="1"/>
      <c r="C163" s="319"/>
      <c r="D163" s="319"/>
      <c r="E163" s="332">
        <v>-0.01</v>
      </c>
      <c r="F163" s="321"/>
      <c r="G163" s="322"/>
      <c r="H163" s="322"/>
      <c r="I163" s="332">
        <v>-0.01</v>
      </c>
      <c r="J163" s="323"/>
      <c r="K163" s="322"/>
      <c r="O163" s="333"/>
      <c r="V163" s="20"/>
      <c r="W163" s="20"/>
      <c r="X163" s="20"/>
      <c r="Y163" s="20"/>
      <c r="Z163" s="20"/>
      <c r="AA163" s="20"/>
      <c r="AB163" s="20"/>
      <c r="AC163" s="20"/>
      <c r="AE163" s="84"/>
    </row>
    <row r="164" spans="1:31">
      <c r="A164" s="1" t="s">
        <v>390</v>
      </c>
      <c r="B164" s="1"/>
      <c r="C164" s="319">
        <f t="shared" ref="C164:D175" si="13">C193+C278+C366</f>
        <v>48</v>
      </c>
      <c r="D164" s="319">
        <f t="shared" si="13"/>
        <v>48</v>
      </c>
      <c r="E164" s="334">
        <f>E153</f>
        <v>7.53</v>
      </c>
      <c r="F164" s="321"/>
      <c r="G164" s="322">
        <f t="shared" ref="G164:H175" si="14">G193+G278+G366</f>
        <v>-4</v>
      </c>
      <c r="H164" s="322">
        <f t="shared" si="14"/>
        <v>-4</v>
      </c>
      <c r="I164" s="334">
        <f>I153</f>
        <v>8</v>
      </c>
      <c r="J164" s="321"/>
      <c r="K164" s="322">
        <f t="shared" ref="K164:K174" si="15">K193+K278+K366</f>
        <v>-4</v>
      </c>
      <c r="M164" s="84">
        <f>-(I164/100)*D164</f>
        <v>-3.84</v>
      </c>
      <c r="V164" s="20"/>
      <c r="W164" s="20"/>
      <c r="X164" s="20"/>
      <c r="Y164" s="20"/>
      <c r="Z164" s="20"/>
      <c r="AA164" s="20"/>
      <c r="AB164" s="20"/>
      <c r="AC164" s="20"/>
      <c r="AE164" s="84"/>
    </row>
    <row r="165" spans="1:31">
      <c r="A165" s="1" t="s">
        <v>391</v>
      </c>
      <c r="B165" s="1"/>
      <c r="C165" s="319">
        <f t="shared" si="13"/>
        <v>93</v>
      </c>
      <c r="D165" s="319">
        <f t="shared" si="13"/>
        <v>92</v>
      </c>
      <c r="E165" s="334">
        <f>E154</f>
        <v>11.18</v>
      </c>
      <c r="F165" s="321"/>
      <c r="G165" s="322">
        <f t="shared" si="14"/>
        <v>-10</v>
      </c>
      <c r="H165" s="322">
        <f t="shared" si="14"/>
        <v>-10</v>
      </c>
      <c r="I165" s="334">
        <f>I154</f>
        <v>11.877822045152721</v>
      </c>
      <c r="J165" s="321"/>
      <c r="K165" s="322">
        <f t="shared" si="15"/>
        <v>-11</v>
      </c>
      <c r="M165" s="84">
        <f>-(I165/100)*D165</f>
        <v>-10.927596281540502</v>
      </c>
      <c r="X165" s="20"/>
      <c r="Y165" s="20"/>
      <c r="Z165" s="20"/>
      <c r="AA165" s="20"/>
      <c r="AB165" s="20"/>
      <c r="AC165" s="20"/>
      <c r="AE165" s="84"/>
    </row>
    <row r="166" spans="1:31">
      <c r="A166" s="1" t="s">
        <v>402</v>
      </c>
      <c r="B166" s="1"/>
      <c r="C166" s="319">
        <f t="shared" si="13"/>
        <v>3543</v>
      </c>
      <c r="D166" s="319" t="e">
        <f t="shared" si="13"/>
        <v>#REF!</v>
      </c>
      <c r="E166" s="334">
        <f>E155</f>
        <v>0.78</v>
      </c>
      <c r="F166" s="321"/>
      <c r="G166" s="322">
        <f t="shared" si="14"/>
        <v>-28</v>
      </c>
      <c r="H166" s="322" t="e">
        <f t="shared" si="14"/>
        <v>#REF!</v>
      </c>
      <c r="I166" s="334">
        <f>I155</f>
        <v>0.83</v>
      </c>
      <c r="J166" s="321"/>
      <c r="K166" s="322">
        <f t="shared" si="15"/>
        <v>-29</v>
      </c>
      <c r="M166" s="84" t="e">
        <f>-(I166/100)*D166</f>
        <v>#REF!</v>
      </c>
      <c r="X166" s="20"/>
      <c r="Y166" s="20"/>
      <c r="Z166" s="20"/>
      <c r="AA166" s="20"/>
      <c r="AB166" s="20"/>
      <c r="AC166" s="20"/>
      <c r="AE166" s="84"/>
    </row>
    <row r="167" spans="1:31">
      <c r="A167" s="1" t="s">
        <v>403</v>
      </c>
      <c r="B167" s="1"/>
      <c r="C167" s="319">
        <f t="shared" si="13"/>
        <v>1576</v>
      </c>
      <c r="D167" s="319" t="e">
        <f t="shared" si="13"/>
        <v>#REF!</v>
      </c>
      <c r="E167" s="334">
        <f>E158</f>
        <v>2.88</v>
      </c>
      <c r="F167" s="323"/>
      <c r="G167" s="322">
        <f t="shared" si="14"/>
        <v>-45</v>
      </c>
      <c r="H167" s="322" t="e">
        <f t="shared" si="14"/>
        <v>#REF!</v>
      </c>
      <c r="I167" s="334">
        <f>I158</f>
        <v>2.97</v>
      </c>
      <c r="J167" s="323"/>
      <c r="K167" s="322">
        <f t="shared" si="15"/>
        <v>-47</v>
      </c>
      <c r="M167" s="84" t="e">
        <f>-(I167/100)*D167</f>
        <v>#REF!</v>
      </c>
      <c r="X167" s="20"/>
      <c r="Y167" s="20"/>
      <c r="Z167" s="20"/>
      <c r="AA167" s="20"/>
      <c r="AB167" s="20"/>
      <c r="AC167" s="20"/>
      <c r="AE167" s="84"/>
    </row>
    <row r="168" spans="1:31">
      <c r="A168" s="1" t="s">
        <v>405</v>
      </c>
      <c r="B168" s="1"/>
      <c r="C168" s="319">
        <f t="shared" si="13"/>
        <v>84935</v>
      </c>
      <c r="D168" s="319" t="e">
        <f t="shared" si="13"/>
        <v>#REF!</v>
      </c>
      <c r="E168" s="335">
        <f>E159</f>
        <v>8.0890000000000004</v>
      </c>
      <c r="F168" s="323" t="s">
        <v>374</v>
      </c>
      <c r="G168" s="322">
        <f t="shared" si="14"/>
        <v>-69</v>
      </c>
      <c r="H168" s="322" t="e">
        <f t="shared" si="14"/>
        <v>#REF!</v>
      </c>
      <c r="I168" s="335">
        <f>I159</f>
        <v>8.8109999999999999</v>
      </c>
      <c r="J168" s="323" t="s">
        <v>374</v>
      </c>
      <c r="K168" s="322">
        <f t="shared" si="15"/>
        <v>-75</v>
      </c>
      <c r="M168" s="84" t="e">
        <f>-((I168/100)*D168)/100</f>
        <v>#REF!</v>
      </c>
      <c r="X168" s="20"/>
      <c r="Y168" s="20"/>
      <c r="Z168" s="20"/>
      <c r="AA168" s="20"/>
      <c r="AB168" s="20"/>
      <c r="AC168" s="20"/>
      <c r="AE168" s="84"/>
    </row>
    <row r="169" spans="1:31">
      <c r="A169" s="1" t="s">
        <v>398</v>
      </c>
      <c r="B169" s="1"/>
      <c r="C169" s="319">
        <f t="shared" si="13"/>
        <v>270692</v>
      </c>
      <c r="D169" s="319" t="e">
        <f t="shared" si="13"/>
        <v>#REF!</v>
      </c>
      <c r="E169" s="335">
        <f>E160</f>
        <v>5.5839999999999996</v>
      </c>
      <c r="F169" s="323" t="s">
        <v>374</v>
      </c>
      <c r="G169" s="322">
        <f t="shared" si="14"/>
        <v>-151</v>
      </c>
      <c r="H169" s="322" t="e">
        <f t="shared" si="14"/>
        <v>#REF!</v>
      </c>
      <c r="I169" s="335">
        <f>I160</f>
        <v>6.0819999999999999</v>
      </c>
      <c r="J169" s="323" t="s">
        <v>374</v>
      </c>
      <c r="K169" s="322">
        <f t="shared" si="15"/>
        <v>-165</v>
      </c>
      <c r="M169" s="84" t="e">
        <f>-((I169/100)*D169)/100</f>
        <v>#REF!</v>
      </c>
      <c r="X169" s="20"/>
      <c r="Y169" s="20"/>
      <c r="Z169" s="20"/>
      <c r="AA169" s="20"/>
      <c r="AB169" s="20"/>
      <c r="AC169" s="20"/>
      <c r="AE169" s="84"/>
    </row>
    <row r="170" spans="1:31">
      <c r="A170" s="1" t="s">
        <v>399</v>
      </c>
      <c r="B170" s="1"/>
      <c r="C170" s="319">
        <f t="shared" si="13"/>
        <v>65960</v>
      </c>
      <c r="D170" s="319" t="e">
        <f t="shared" si="13"/>
        <v>#REF!</v>
      </c>
      <c r="E170" s="335">
        <f>E161</f>
        <v>4.8099999999999996</v>
      </c>
      <c r="F170" s="323" t="s">
        <v>374</v>
      </c>
      <c r="G170" s="322">
        <f t="shared" si="14"/>
        <v>-32</v>
      </c>
      <c r="H170" s="322" t="e">
        <f t="shared" si="14"/>
        <v>#REF!</v>
      </c>
      <c r="I170" s="335">
        <f>I161</f>
        <v>5.24</v>
      </c>
      <c r="J170" s="323" t="s">
        <v>374</v>
      </c>
      <c r="K170" s="322">
        <f t="shared" si="15"/>
        <v>-35</v>
      </c>
      <c r="M170" s="84" t="e">
        <f>-((I170/100)*D170)/100</f>
        <v>#REF!</v>
      </c>
      <c r="V170" s="20"/>
      <c r="W170" s="20"/>
      <c r="X170" s="20"/>
      <c r="Y170" s="20"/>
      <c r="Z170" s="20"/>
      <c r="AA170" s="20"/>
      <c r="AB170" s="20"/>
      <c r="AC170" s="20"/>
      <c r="AE170" s="84"/>
    </row>
    <row r="171" spans="1:31">
      <c r="A171" s="1" t="s">
        <v>400</v>
      </c>
      <c r="B171" s="1"/>
      <c r="C171" s="319">
        <f t="shared" si="13"/>
        <v>2996</v>
      </c>
      <c r="D171" s="319" t="e">
        <f t="shared" si="13"/>
        <v>#REF!</v>
      </c>
      <c r="E171" s="336">
        <f>E162</f>
        <v>45</v>
      </c>
      <c r="F171" s="323" t="s">
        <v>374</v>
      </c>
      <c r="G171" s="322">
        <f t="shared" si="14"/>
        <v>-13</v>
      </c>
      <c r="H171" s="322" t="e">
        <f t="shared" si="14"/>
        <v>#REF!</v>
      </c>
      <c r="I171" s="336">
        <f>I162</f>
        <v>50</v>
      </c>
      <c r="J171" s="323" t="s">
        <v>374</v>
      </c>
      <c r="K171" s="322">
        <f t="shared" si="15"/>
        <v>-15</v>
      </c>
      <c r="M171" s="84" t="e">
        <f>-((I171/100)*D171)/100</f>
        <v>#REF!</v>
      </c>
      <c r="V171" s="20"/>
      <c r="W171" s="20"/>
      <c r="X171" s="20"/>
      <c r="Y171" s="20"/>
      <c r="Z171" s="20"/>
      <c r="AA171" s="20"/>
      <c r="AB171" s="20"/>
      <c r="AC171" s="20"/>
      <c r="AE171" s="84"/>
    </row>
    <row r="172" spans="1:31">
      <c r="A172" s="1" t="s">
        <v>407</v>
      </c>
      <c r="B172" s="1"/>
      <c r="C172" s="319">
        <f t="shared" si="13"/>
        <v>108</v>
      </c>
      <c r="D172" s="319" t="e">
        <f t="shared" si="13"/>
        <v>#REF!</v>
      </c>
      <c r="E172" s="337">
        <f>'Blocking - detail'!E172</f>
        <v>60</v>
      </c>
      <c r="F172" s="321"/>
      <c r="G172" s="322">
        <f t="shared" si="14"/>
        <v>6480</v>
      </c>
      <c r="H172" s="322" t="e">
        <f t="shared" si="14"/>
        <v>#REF!</v>
      </c>
      <c r="I172" s="337">
        <f>'Blocking - detail'!$I$172</f>
        <v>60</v>
      </c>
      <c r="J172" s="323"/>
      <c r="K172" s="322">
        <f t="shared" si="15"/>
        <v>6480</v>
      </c>
      <c r="M172" s="84" t="e">
        <f>I172*D172</f>
        <v>#REF!</v>
      </c>
      <c r="V172" s="20"/>
      <c r="W172" s="20"/>
      <c r="X172" s="20"/>
      <c r="Y172" s="20"/>
      <c r="Z172" s="20"/>
      <c r="AA172" s="20"/>
      <c r="AB172" s="20"/>
      <c r="AC172" s="20"/>
      <c r="AE172" s="84"/>
    </row>
    <row r="173" spans="1:31">
      <c r="A173" s="1" t="s">
        <v>408</v>
      </c>
      <c r="B173" s="1"/>
      <c r="C173" s="319">
        <f t="shared" si="13"/>
        <v>3624</v>
      </c>
      <c r="D173" s="319" t="e">
        <f t="shared" si="13"/>
        <v>#REF!</v>
      </c>
      <c r="E173" s="339">
        <f>'Blocking - detail'!E173</f>
        <v>-30</v>
      </c>
      <c r="F173" s="321" t="s">
        <v>374</v>
      </c>
      <c r="G173" s="322">
        <f t="shared" si="14"/>
        <v>-1087</v>
      </c>
      <c r="H173" s="322" t="e">
        <f t="shared" si="14"/>
        <v>#REF!</v>
      </c>
      <c r="I173" s="339">
        <f>'Blocking - detail'!$I$173</f>
        <v>-30</v>
      </c>
      <c r="J173" s="323" t="s">
        <v>374</v>
      </c>
      <c r="K173" s="322">
        <f t="shared" si="15"/>
        <v>-1087</v>
      </c>
      <c r="M173" s="84" t="e">
        <f>(I173/100)*D173</f>
        <v>#REF!</v>
      </c>
      <c r="Q173" s="294"/>
      <c r="V173" s="20"/>
      <c r="W173" s="20"/>
      <c r="X173" s="20"/>
      <c r="Y173" s="20"/>
      <c r="Z173" s="20"/>
      <c r="AA173" s="20"/>
      <c r="AB173" s="20"/>
      <c r="AC173" s="20"/>
      <c r="AE173" s="84"/>
    </row>
    <row r="174" spans="1:31">
      <c r="A174" s="1" t="s">
        <v>381</v>
      </c>
      <c r="B174" s="264"/>
      <c r="C174" s="319" t="e">
        <f t="shared" si="13"/>
        <v>#REF!</v>
      </c>
      <c r="D174" s="319">
        <f t="shared" si="13"/>
        <v>529663208.81107259</v>
      </c>
      <c r="E174" s="330"/>
      <c r="F174" s="2"/>
      <c r="G174" s="322" t="e">
        <f t="shared" si="14"/>
        <v>#REF!</v>
      </c>
      <c r="H174" s="322" t="e">
        <f t="shared" si="14"/>
        <v>#REF!</v>
      </c>
      <c r="I174" s="330"/>
      <c r="J174" s="323"/>
      <c r="K174" s="322" t="e">
        <f t="shared" si="15"/>
        <v>#REF!</v>
      </c>
      <c r="M174" s="84" t="e">
        <f>SUM(M149:M173)</f>
        <v>#REF!</v>
      </c>
      <c r="V174" s="20"/>
      <c r="W174" s="20"/>
      <c r="X174" s="20"/>
      <c r="Y174" s="20"/>
      <c r="Z174" s="20"/>
      <c r="AA174" s="20"/>
      <c r="AB174" s="20"/>
      <c r="AC174" s="20"/>
      <c r="AE174" s="84"/>
    </row>
    <row r="175" spans="1:31">
      <c r="A175" s="1" t="s">
        <v>363</v>
      </c>
      <c r="B175" s="25"/>
      <c r="C175" s="340" t="e">
        <f t="shared" si="13"/>
        <v>#REF!</v>
      </c>
      <c r="D175" s="340">
        <f t="shared" si="13"/>
        <v>0</v>
      </c>
      <c r="E175" s="309"/>
      <c r="F175" s="309"/>
      <c r="G175" s="341" t="e">
        <f t="shared" si="14"/>
        <v>#REF!</v>
      </c>
      <c r="H175" s="341">
        <f t="shared" si="14"/>
        <v>0</v>
      </c>
      <c r="I175" s="309"/>
      <c r="J175" s="309"/>
      <c r="K175" s="341" t="e">
        <f>G175</f>
        <v>#REF!</v>
      </c>
      <c r="M175" s="289"/>
      <c r="V175" s="20"/>
      <c r="W175" s="20"/>
      <c r="X175" s="20"/>
      <c r="Y175" s="20"/>
      <c r="Z175" s="20"/>
      <c r="AA175" s="20"/>
      <c r="AB175" s="20"/>
      <c r="AC175" s="20"/>
      <c r="AE175" s="84"/>
    </row>
    <row r="176" spans="1:31" ht="16.5" thickBot="1">
      <c r="A176" s="1" t="s">
        <v>382</v>
      </c>
      <c r="B176" s="1"/>
      <c r="C176" s="311" t="e">
        <f>SUM(C174:C175)</f>
        <v>#REF!</v>
      </c>
      <c r="D176" s="311">
        <f>SUM(D174:D175)</f>
        <v>529663208.81107259</v>
      </c>
      <c r="E176" s="342"/>
      <c r="F176" s="343"/>
      <c r="G176" s="344" t="e">
        <f>G174+G175</f>
        <v>#REF!</v>
      </c>
      <c r="H176" s="344" t="e">
        <f>H174+H175</f>
        <v>#REF!</v>
      </c>
      <c r="I176" s="472"/>
      <c r="J176" s="345"/>
      <c r="K176" s="344" t="e">
        <f>K174+K175</f>
        <v>#REF!</v>
      </c>
      <c r="M176" s="291"/>
      <c r="N176" s="3" t="s">
        <v>409</v>
      </c>
      <c r="O176" s="84" t="e">
        <f>#REF!*1000</f>
        <v>#REF!</v>
      </c>
      <c r="P176" s="14"/>
      <c r="V176" s="20"/>
      <c r="W176" s="20"/>
      <c r="X176" s="20"/>
      <c r="Y176" s="20"/>
      <c r="Z176" s="20"/>
      <c r="AA176" s="20"/>
      <c r="AB176" s="20"/>
      <c r="AC176" s="20"/>
      <c r="AE176" s="84"/>
    </row>
    <row r="177" spans="1:31" ht="16.5" thickTop="1">
      <c r="A177" s="1"/>
      <c r="B177" s="1"/>
      <c r="C177" s="21"/>
      <c r="D177" s="21"/>
      <c r="E177" s="337"/>
      <c r="F177" s="2"/>
      <c r="G177" s="2"/>
      <c r="H177" s="2"/>
      <c r="I177" s="337"/>
      <c r="J177" s="1"/>
      <c r="K177" s="2" t="s">
        <v>31</v>
      </c>
      <c r="N177" s="3" t="s">
        <v>263</v>
      </c>
      <c r="O177" s="84" t="e">
        <f>O176-K176</f>
        <v>#REF!</v>
      </c>
      <c r="P177" s="276" t="e">
        <f>(O176-K176)/K176</f>
        <v>#REF!</v>
      </c>
      <c r="V177" s="20"/>
      <c r="W177" s="20"/>
      <c r="X177" s="20"/>
      <c r="Y177" s="20"/>
      <c r="Z177" s="20"/>
      <c r="AA177" s="20"/>
      <c r="AB177" s="20"/>
      <c r="AC177" s="20"/>
      <c r="AE177" s="84"/>
    </row>
    <row r="178" spans="1:31">
      <c r="A178" s="1"/>
      <c r="B178" s="1"/>
      <c r="C178" s="21"/>
      <c r="D178" s="21"/>
      <c r="E178" s="337"/>
      <c r="F178" s="2"/>
      <c r="G178" s="2"/>
      <c r="H178" s="2"/>
      <c r="I178" s="337"/>
      <c r="J178" s="1"/>
      <c r="V178" s="20"/>
      <c r="W178" s="20"/>
      <c r="X178" s="20"/>
      <c r="Y178" s="20"/>
      <c r="Z178" s="20"/>
      <c r="AA178" s="20"/>
      <c r="AB178" s="20"/>
      <c r="AC178" s="20"/>
      <c r="AE178" s="84"/>
    </row>
    <row r="179" spans="1:31">
      <c r="A179" s="293" t="s">
        <v>387</v>
      </c>
      <c r="B179" s="1"/>
      <c r="C179" s="1"/>
      <c r="D179" s="1"/>
      <c r="E179" s="2"/>
      <c r="F179" s="2"/>
      <c r="G179" s="1" t="s">
        <v>31</v>
      </c>
      <c r="H179" s="1"/>
      <c r="I179" s="2"/>
      <c r="J179" s="1"/>
      <c r="K179" s="1"/>
      <c r="O179" s="346" t="s">
        <v>31</v>
      </c>
      <c r="P179" s="14"/>
      <c r="V179" s="20"/>
      <c r="W179" s="20"/>
      <c r="X179" s="20"/>
      <c r="Y179" s="20"/>
      <c r="Z179" s="20"/>
      <c r="AA179" s="20"/>
      <c r="AB179" s="20"/>
      <c r="AC179" s="20"/>
      <c r="AE179" s="84"/>
    </row>
    <row r="180" spans="1:31">
      <c r="A180" s="1" t="s">
        <v>410</v>
      </c>
      <c r="B180" s="1"/>
      <c r="C180" s="1"/>
      <c r="D180" s="1"/>
      <c r="E180" s="2"/>
      <c r="F180" s="2"/>
      <c r="G180" s="1"/>
      <c r="H180" s="1"/>
      <c r="I180" s="2"/>
      <c r="J180" s="1"/>
      <c r="K180" s="1"/>
      <c r="M180" s="416"/>
      <c r="N180" s="416"/>
      <c r="O180" s="74"/>
      <c r="P180" s="74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E180" s="84"/>
    </row>
    <row r="181" spans="1:31">
      <c r="A181" s="1"/>
      <c r="B181" s="1"/>
      <c r="C181" s="1"/>
      <c r="D181" s="1"/>
      <c r="E181" s="2"/>
      <c r="F181" s="2"/>
      <c r="G181" s="1"/>
      <c r="H181" s="1"/>
      <c r="I181" s="2"/>
      <c r="J181" s="1"/>
      <c r="K181" s="1"/>
      <c r="M181" s="416"/>
      <c r="N181" s="416"/>
      <c r="O181" s="74"/>
      <c r="P181" s="74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E181" s="84"/>
    </row>
    <row r="182" spans="1:31">
      <c r="A182" s="1" t="s">
        <v>393</v>
      </c>
      <c r="B182" s="1"/>
      <c r="C182" s="319"/>
      <c r="D182" s="319"/>
      <c r="E182" s="2"/>
      <c r="F182" s="2"/>
      <c r="G182" s="1"/>
      <c r="H182" s="1"/>
      <c r="I182" s="2"/>
      <c r="J182" s="1"/>
      <c r="K182" s="1"/>
      <c r="M182" s="20"/>
      <c r="N182" s="20"/>
      <c r="O182" s="74"/>
      <c r="P182" s="74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E182" s="84"/>
    </row>
    <row r="183" spans="1:31">
      <c r="A183" s="1" t="s">
        <v>390</v>
      </c>
      <c r="B183" s="1"/>
      <c r="C183" s="319">
        <f t="shared" ref="C183:D185" si="16">C211+C239</f>
        <v>148451</v>
      </c>
      <c r="D183" s="319">
        <f t="shared" si="16"/>
        <v>147153</v>
      </c>
      <c r="E183" s="298">
        <f>$E$153</f>
        <v>7.53</v>
      </c>
      <c r="F183" s="321"/>
      <c r="G183" s="2">
        <f t="shared" ref="G183:H185" si="17">G211+G239</f>
        <v>1117836</v>
      </c>
      <c r="H183" s="2">
        <f t="shared" si="17"/>
        <v>1108062</v>
      </c>
      <c r="I183" s="298">
        <f>$I$153</f>
        <v>8</v>
      </c>
      <c r="J183" s="323"/>
      <c r="K183" s="2">
        <f>K211+K239</f>
        <v>1187608</v>
      </c>
      <c r="M183" s="20"/>
      <c r="N183" s="20"/>
      <c r="O183" s="74"/>
      <c r="P183" s="74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E183" s="84"/>
    </row>
    <row r="184" spans="1:31">
      <c r="A184" s="1" t="s">
        <v>391</v>
      </c>
      <c r="B184" s="1"/>
      <c r="C184" s="319">
        <f t="shared" si="16"/>
        <v>60349</v>
      </c>
      <c r="D184" s="319">
        <f t="shared" si="16"/>
        <v>59834</v>
      </c>
      <c r="E184" s="298">
        <f>$E$154</f>
        <v>11.18</v>
      </c>
      <c r="F184" s="324"/>
      <c r="G184" s="2">
        <f t="shared" si="17"/>
        <v>674702</v>
      </c>
      <c r="H184" s="2">
        <f t="shared" si="17"/>
        <v>668944</v>
      </c>
      <c r="I184" s="298">
        <f>$I$154</f>
        <v>11.877822045152721</v>
      </c>
      <c r="J184" s="325"/>
      <c r="K184" s="2">
        <f>K212+K240</f>
        <v>716815</v>
      </c>
      <c r="M184" s="20"/>
      <c r="N184" s="20"/>
      <c r="O184" s="74"/>
      <c r="P184" s="74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E184" s="84"/>
    </row>
    <row r="185" spans="1:31">
      <c r="A185" s="1" t="s">
        <v>392</v>
      </c>
      <c r="B185" s="1"/>
      <c r="C185" s="319">
        <f t="shared" si="16"/>
        <v>1278566</v>
      </c>
      <c r="D185" s="319" t="e">
        <f t="shared" si="16"/>
        <v>#REF!</v>
      </c>
      <c r="E185" s="298">
        <f>$E$155</f>
        <v>0.78</v>
      </c>
      <c r="F185" s="324"/>
      <c r="G185" s="2">
        <f t="shared" si="17"/>
        <v>997281</v>
      </c>
      <c r="H185" s="2" t="e">
        <f t="shared" si="17"/>
        <v>#REF!</v>
      </c>
      <c r="I185" s="298">
        <f>$I$155</f>
        <v>0.83</v>
      </c>
      <c r="J185" s="325"/>
      <c r="K185" s="2">
        <f>K213+K241</f>
        <v>1061210</v>
      </c>
      <c r="M185" s="20"/>
      <c r="N185" s="20"/>
      <c r="O185" s="74"/>
      <c r="P185" s="74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E185" s="84"/>
    </row>
    <row r="186" spans="1:31">
      <c r="A186" s="1" t="s">
        <v>394</v>
      </c>
      <c r="B186" s="1"/>
      <c r="C186" s="319">
        <f>SUM(C183:C184)</f>
        <v>208800</v>
      </c>
      <c r="D186" s="319">
        <f>SUM(D183:D184)</f>
        <v>206987</v>
      </c>
      <c r="E186" s="298"/>
      <c r="F186" s="321"/>
      <c r="G186" s="2"/>
      <c r="H186" s="2"/>
      <c r="I186" s="298"/>
      <c r="J186" s="323"/>
      <c r="K186" s="2"/>
      <c r="M186" s="20"/>
      <c r="N186" s="20"/>
      <c r="O186" s="74"/>
      <c r="P186" s="74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E186" s="84"/>
    </row>
    <row r="187" spans="1:31">
      <c r="A187" s="1" t="s">
        <v>395</v>
      </c>
      <c r="B187" s="1"/>
      <c r="C187" s="319">
        <f t="shared" ref="C187:D191" si="18">C215+C243</f>
        <v>822251</v>
      </c>
      <c r="D187" s="319" t="e">
        <f t="shared" si="18"/>
        <v>#REF!</v>
      </c>
      <c r="E187" s="326">
        <f>$E$158</f>
        <v>2.88</v>
      </c>
      <c r="F187" s="323"/>
      <c r="G187" s="2">
        <f t="shared" ref="G187:H191" si="19">G215+G243</f>
        <v>2368083</v>
      </c>
      <c r="H187" s="2" t="e">
        <f t="shared" si="19"/>
        <v>#REF!</v>
      </c>
      <c r="I187" s="326">
        <f>$I$158</f>
        <v>2.97</v>
      </c>
      <c r="J187" s="323"/>
      <c r="K187" s="2">
        <f>K215+K243</f>
        <v>2442085</v>
      </c>
      <c r="M187" s="20"/>
      <c r="N187" s="20"/>
      <c r="O187" s="74"/>
      <c r="P187" s="74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E187" s="84"/>
    </row>
    <row r="188" spans="1:31">
      <c r="A188" s="1" t="s">
        <v>397</v>
      </c>
      <c r="B188" s="1"/>
      <c r="C188" s="319" t="e">
        <f t="shared" si="18"/>
        <v>#REF!</v>
      </c>
      <c r="D188" s="319" t="e">
        <f t="shared" si="18"/>
        <v>#REF!</v>
      </c>
      <c r="E188" s="299">
        <f>$E$159</f>
        <v>8.0890000000000004</v>
      </c>
      <c r="F188" s="323" t="s">
        <v>374</v>
      </c>
      <c r="G188" s="2" t="e">
        <f t="shared" si="19"/>
        <v>#REF!</v>
      </c>
      <c r="H188" s="2" t="e">
        <f t="shared" si="19"/>
        <v>#REF!</v>
      </c>
      <c r="I188" s="299">
        <f>$I$159</f>
        <v>8.8109999999999999</v>
      </c>
      <c r="J188" s="323" t="s">
        <v>374</v>
      </c>
      <c r="K188" s="2" t="e">
        <f>K216+K244</f>
        <v>#REF!</v>
      </c>
      <c r="M188" s="20"/>
      <c r="N188" s="20"/>
      <c r="O188" s="74"/>
      <c r="P188" s="74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E188" s="84"/>
    </row>
    <row r="189" spans="1:31">
      <c r="A189" s="1" t="s">
        <v>398</v>
      </c>
      <c r="B189" s="1"/>
      <c r="C189" s="319" t="e">
        <f t="shared" si="18"/>
        <v>#REF!</v>
      </c>
      <c r="D189" s="319" t="e">
        <f t="shared" si="18"/>
        <v>#REF!</v>
      </c>
      <c r="E189" s="299">
        <f>$E$160</f>
        <v>5.5839999999999996</v>
      </c>
      <c r="F189" s="323" t="s">
        <v>374</v>
      </c>
      <c r="G189" s="2" t="e">
        <f t="shared" si="19"/>
        <v>#REF!</v>
      </c>
      <c r="H189" s="2" t="e">
        <f t="shared" si="19"/>
        <v>#REF!</v>
      </c>
      <c r="I189" s="299">
        <f>$I$160</f>
        <v>6.0819999999999999</v>
      </c>
      <c r="J189" s="323" t="s">
        <v>374</v>
      </c>
      <c r="K189" s="2" t="e">
        <f>K217+K245</f>
        <v>#REF!</v>
      </c>
      <c r="M189" s="20"/>
      <c r="N189" s="20"/>
      <c r="O189" s="74"/>
      <c r="P189" s="74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E189" s="84"/>
    </row>
    <row r="190" spans="1:31">
      <c r="A190" s="1" t="s">
        <v>399</v>
      </c>
      <c r="B190" s="1"/>
      <c r="C190" s="319" t="e">
        <f t="shared" si="18"/>
        <v>#REF!</v>
      </c>
      <c r="D190" s="319" t="e">
        <f t="shared" si="18"/>
        <v>#REF!</v>
      </c>
      <c r="E190" s="299">
        <f>$E$161</f>
        <v>4.8099999999999996</v>
      </c>
      <c r="F190" s="323" t="s">
        <v>374</v>
      </c>
      <c r="G190" s="2" t="e">
        <f t="shared" si="19"/>
        <v>#REF!</v>
      </c>
      <c r="H190" s="2" t="e">
        <f t="shared" si="19"/>
        <v>#REF!</v>
      </c>
      <c r="I190" s="299">
        <f>$I$161</f>
        <v>5.24</v>
      </c>
      <c r="J190" s="323" t="s">
        <v>374</v>
      </c>
      <c r="K190" s="2" t="e">
        <f>K218+K246</f>
        <v>#REF!</v>
      </c>
      <c r="M190" s="20"/>
      <c r="N190" s="20"/>
      <c r="O190" s="74"/>
      <c r="P190" s="74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E190" s="84"/>
    </row>
    <row r="191" spans="1:31">
      <c r="A191" s="1" t="s">
        <v>400</v>
      </c>
      <c r="B191" s="1"/>
      <c r="C191" s="319">
        <f t="shared" si="18"/>
        <v>92358</v>
      </c>
      <c r="D191" s="319" t="e">
        <f t="shared" si="18"/>
        <v>#REF!</v>
      </c>
      <c r="E191" s="330">
        <f>$E$162</f>
        <v>45</v>
      </c>
      <c r="F191" s="321" t="s">
        <v>374</v>
      </c>
      <c r="G191" s="2">
        <f t="shared" si="19"/>
        <v>41561</v>
      </c>
      <c r="H191" s="2" t="e">
        <f t="shared" si="19"/>
        <v>#REF!</v>
      </c>
      <c r="I191" s="330">
        <f>$I$162</f>
        <v>50</v>
      </c>
      <c r="J191" s="323" t="s">
        <v>374</v>
      </c>
      <c r="K191" s="2">
        <f>K219+K247</f>
        <v>46180</v>
      </c>
      <c r="M191" s="20"/>
      <c r="N191" s="20"/>
      <c r="O191" s="74"/>
      <c r="P191" s="74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E191" s="84"/>
    </row>
    <row r="192" spans="1:31">
      <c r="A192" s="331" t="s">
        <v>401</v>
      </c>
      <c r="B192" s="1"/>
      <c r="C192" s="319"/>
      <c r="D192" s="319"/>
      <c r="E192" s="332">
        <v>-0.01</v>
      </c>
      <c r="F192" s="321"/>
      <c r="G192" s="2"/>
      <c r="H192" s="2"/>
      <c r="I192" s="332">
        <v>-0.01</v>
      </c>
      <c r="J192" s="323"/>
      <c r="K192" s="2"/>
      <c r="M192" s="20"/>
      <c r="N192" s="20"/>
      <c r="O192" s="74"/>
      <c r="P192" s="74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E192" s="84"/>
    </row>
    <row r="193" spans="1:31">
      <c r="A193" s="1" t="s">
        <v>390</v>
      </c>
      <c r="B193" s="1"/>
      <c r="C193" s="319">
        <f t="shared" ref="C193:D204" si="20">C221+C249</f>
        <v>48</v>
      </c>
      <c r="D193" s="319">
        <f t="shared" si="20"/>
        <v>48</v>
      </c>
      <c r="E193" s="334">
        <f>E183</f>
        <v>7.53</v>
      </c>
      <c r="F193" s="321"/>
      <c r="G193" s="2">
        <f t="shared" ref="G193:H204" si="21">G221+G249</f>
        <v>-4</v>
      </c>
      <c r="H193" s="2">
        <f t="shared" si="21"/>
        <v>-4</v>
      </c>
      <c r="I193" s="334">
        <f>I183</f>
        <v>8</v>
      </c>
      <c r="J193" s="321"/>
      <c r="K193" s="2">
        <f t="shared" ref="K193:K203" si="22">K221+K249</f>
        <v>-4</v>
      </c>
      <c r="M193" s="20"/>
      <c r="N193" s="20"/>
      <c r="O193" s="74"/>
      <c r="P193" s="74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E193" s="84"/>
    </row>
    <row r="194" spans="1:31">
      <c r="A194" s="1" t="s">
        <v>391</v>
      </c>
      <c r="B194" s="1"/>
      <c r="C194" s="319">
        <f t="shared" si="20"/>
        <v>93</v>
      </c>
      <c r="D194" s="319">
        <f t="shared" si="20"/>
        <v>92</v>
      </c>
      <c r="E194" s="334">
        <f>E184</f>
        <v>11.18</v>
      </c>
      <c r="F194" s="321"/>
      <c r="G194" s="2">
        <f t="shared" si="21"/>
        <v>-10</v>
      </c>
      <c r="H194" s="2">
        <f t="shared" si="21"/>
        <v>-10</v>
      </c>
      <c r="I194" s="334">
        <f>I184</f>
        <v>11.877822045152721</v>
      </c>
      <c r="J194" s="321"/>
      <c r="K194" s="2">
        <f t="shared" si="22"/>
        <v>-11</v>
      </c>
      <c r="M194" s="20"/>
      <c r="N194" s="20"/>
      <c r="O194" s="74"/>
      <c r="P194" s="74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E194" s="84"/>
    </row>
    <row r="195" spans="1:31">
      <c r="A195" s="1" t="s">
        <v>402</v>
      </c>
      <c r="B195" s="1"/>
      <c r="C195" s="319">
        <f t="shared" si="20"/>
        <v>3543</v>
      </c>
      <c r="D195" s="319" t="e">
        <f t="shared" si="20"/>
        <v>#REF!</v>
      </c>
      <c r="E195" s="334">
        <f>E185</f>
        <v>0.78</v>
      </c>
      <c r="F195" s="321"/>
      <c r="G195" s="2">
        <f t="shared" si="21"/>
        <v>-28</v>
      </c>
      <c r="H195" s="2" t="e">
        <f t="shared" si="21"/>
        <v>#REF!</v>
      </c>
      <c r="I195" s="334">
        <f>I185</f>
        <v>0.83</v>
      </c>
      <c r="J195" s="321"/>
      <c r="K195" s="2">
        <f t="shared" si="22"/>
        <v>-29</v>
      </c>
      <c r="M195" s="20"/>
      <c r="N195" s="20"/>
      <c r="O195" s="74"/>
      <c r="P195" s="74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E195" s="84"/>
    </row>
    <row r="196" spans="1:31">
      <c r="A196" s="1" t="s">
        <v>403</v>
      </c>
      <c r="B196" s="1"/>
      <c r="C196" s="319">
        <f t="shared" si="20"/>
        <v>1576</v>
      </c>
      <c r="D196" s="319" t="e">
        <f t="shared" si="20"/>
        <v>#REF!</v>
      </c>
      <c r="E196" s="334">
        <f>E187</f>
        <v>2.88</v>
      </c>
      <c r="F196" s="323"/>
      <c r="G196" s="2">
        <f t="shared" si="21"/>
        <v>-45</v>
      </c>
      <c r="H196" s="2" t="e">
        <f t="shared" si="21"/>
        <v>#REF!</v>
      </c>
      <c r="I196" s="334">
        <f>I187</f>
        <v>2.97</v>
      </c>
      <c r="J196" s="323"/>
      <c r="K196" s="2">
        <f t="shared" si="22"/>
        <v>-47</v>
      </c>
      <c r="M196" s="20"/>
      <c r="N196" s="20"/>
      <c r="O196" s="74"/>
      <c r="P196" s="74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E196" s="84"/>
    </row>
    <row r="197" spans="1:31">
      <c r="A197" s="1" t="s">
        <v>405</v>
      </c>
      <c r="B197" s="1"/>
      <c r="C197" s="319">
        <f t="shared" si="20"/>
        <v>84935</v>
      </c>
      <c r="D197" s="319" t="e">
        <f t="shared" si="20"/>
        <v>#REF!</v>
      </c>
      <c r="E197" s="335">
        <f>E188</f>
        <v>8.0890000000000004</v>
      </c>
      <c r="F197" s="323" t="s">
        <v>374</v>
      </c>
      <c r="G197" s="2">
        <f t="shared" si="21"/>
        <v>-69</v>
      </c>
      <c r="H197" s="2" t="e">
        <f t="shared" si="21"/>
        <v>#REF!</v>
      </c>
      <c r="I197" s="335">
        <f>I188</f>
        <v>8.8109999999999999</v>
      </c>
      <c r="J197" s="323" t="s">
        <v>374</v>
      </c>
      <c r="K197" s="2">
        <f t="shared" si="22"/>
        <v>-75</v>
      </c>
      <c r="M197" s="20"/>
      <c r="N197" s="20"/>
      <c r="O197" s="74"/>
      <c r="P197" s="74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E197" s="84"/>
    </row>
    <row r="198" spans="1:31">
      <c r="A198" s="1" t="s">
        <v>398</v>
      </c>
      <c r="B198" s="1"/>
      <c r="C198" s="319">
        <f t="shared" si="20"/>
        <v>270692</v>
      </c>
      <c r="D198" s="319" t="e">
        <f t="shared" si="20"/>
        <v>#REF!</v>
      </c>
      <c r="E198" s="335">
        <f>E189</f>
        <v>5.5839999999999996</v>
      </c>
      <c r="F198" s="323" t="s">
        <v>374</v>
      </c>
      <c r="G198" s="2">
        <f t="shared" si="21"/>
        <v>-151</v>
      </c>
      <c r="H198" s="2" t="e">
        <f t="shared" si="21"/>
        <v>#REF!</v>
      </c>
      <c r="I198" s="335">
        <f>I189</f>
        <v>6.0819999999999999</v>
      </c>
      <c r="J198" s="323" t="s">
        <v>374</v>
      </c>
      <c r="K198" s="2">
        <f t="shared" si="22"/>
        <v>-165</v>
      </c>
      <c r="M198" s="20"/>
      <c r="N198" s="20"/>
      <c r="O198" s="74"/>
      <c r="P198" s="74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E198" s="84"/>
    </row>
    <row r="199" spans="1:31">
      <c r="A199" s="1" t="s">
        <v>399</v>
      </c>
      <c r="B199" s="1"/>
      <c r="C199" s="319">
        <f t="shared" si="20"/>
        <v>65960</v>
      </c>
      <c r="D199" s="319" t="e">
        <f t="shared" si="20"/>
        <v>#REF!</v>
      </c>
      <c r="E199" s="335">
        <f>E190</f>
        <v>4.8099999999999996</v>
      </c>
      <c r="F199" s="323" t="s">
        <v>374</v>
      </c>
      <c r="G199" s="2">
        <f t="shared" si="21"/>
        <v>-32</v>
      </c>
      <c r="H199" s="2" t="e">
        <f t="shared" si="21"/>
        <v>#REF!</v>
      </c>
      <c r="I199" s="335">
        <f>I190</f>
        <v>5.24</v>
      </c>
      <c r="J199" s="323" t="s">
        <v>374</v>
      </c>
      <c r="K199" s="2">
        <f t="shared" si="22"/>
        <v>-35</v>
      </c>
      <c r="M199" s="20"/>
      <c r="N199" s="20"/>
      <c r="O199" s="74"/>
      <c r="P199" s="74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E199" s="84"/>
    </row>
    <row r="200" spans="1:31">
      <c r="A200" s="1" t="s">
        <v>400</v>
      </c>
      <c r="B200" s="1"/>
      <c r="C200" s="319">
        <f t="shared" si="20"/>
        <v>2996</v>
      </c>
      <c r="D200" s="319" t="e">
        <f t="shared" si="20"/>
        <v>#REF!</v>
      </c>
      <c r="E200" s="336">
        <f>E191</f>
        <v>45</v>
      </c>
      <c r="F200" s="323" t="s">
        <v>374</v>
      </c>
      <c r="G200" s="2">
        <f t="shared" si="21"/>
        <v>-13</v>
      </c>
      <c r="H200" s="2" t="e">
        <f t="shared" si="21"/>
        <v>#REF!</v>
      </c>
      <c r="I200" s="336">
        <f>I191</f>
        <v>50</v>
      </c>
      <c r="J200" s="323" t="s">
        <v>374</v>
      </c>
      <c r="K200" s="2">
        <f t="shared" si="22"/>
        <v>-15</v>
      </c>
      <c r="M200" s="20"/>
      <c r="N200" s="20"/>
      <c r="O200" s="74"/>
      <c r="P200" s="74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E200" s="84"/>
    </row>
    <row r="201" spans="1:31">
      <c r="A201" s="1" t="s">
        <v>407</v>
      </c>
      <c r="B201" s="1"/>
      <c r="C201" s="319">
        <f t="shared" si="20"/>
        <v>108</v>
      </c>
      <c r="D201" s="319" t="e">
        <f t="shared" si="20"/>
        <v>#REF!</v>
      </c>
      <c r="E201" s="337">
        <f>$E$172</f>
        <v>60</v>
      </c>
      <c r="F201" s="321"/>
      <c r="G201" s="2">
        <f t="shared" si="21"/>
        <v>6480</v>
      </c>
      <c r="H201" s="2" t="e">
        <f t="shared" si="21"/>
        <v>#REF!</v>
      </c>
      <c r="I201" s="337">
        <f>$I$172</f>
        <v>60</v>
      </c>
      <c r="J201" s="323"/>
      <c r="K201" s="2">
        <f t="shared" si="22"/>
        <v>6480</v>
      </c>
      <c r="M201" s="20"/>
      <c r="N201" s="20"/>
      <c r="O201" s="74"/>
      <c r="P201" s="74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E201" s="84"/>
    </row>
    <row r="202" spans="1:31">
      <c r="A202" s="1" t="s">
        <v>408</v>
      </c>
      <c r="B202" s="1"/>
      <c r="C202" s="319">
        <f t="shared" si="20"/>
        <v>3624</v>
      </c>
      <c r="D202" s="319" t="e">
        <f t="shared" si="20"/>
        <v>#REF!</v>
      </c>
      <c r="E202" s="339">
        <f>$E$173</f>
        <v>-30</v>
      </c>
      <c r="F202" s="321" t="s">
        <v>374</v>
      </c>
      <c r="G202" s="2">
        <f t="shared" si="21"/>
        <v>-1087</v>
      </c>
      <c r="H202" s="2" t="e">
        <f t="shared" si="21"/>
        <v>#REF!</v>
      </c>
      <c r="I202" s="339">
        <f>$I$173</f>
        <v>-30</v>
      </c>
      <c r="J202" s="323" t="s">
        <v>374</v>
      </c>
      <c r="K202" s="2">
        <f t="shared" si="22"/>
        <v>-1087</v>
      </c>
      <c r="M202" s="20"/>
      <c r="N202" s="20"/>
      <c r="O202" s="74"/>
      <c r="P202" s="74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E202" s="84"/>
    </row>
    <row r="203" spans="1:31">
      <c r="A203" s="1" t="s">
        <v>381</v>
      </c>
      <c r="B203" s="264"/>
      <c r="C203" s="319" t="e">
        <f t="shared" si="20"/>
        <v>#REF!</v>
      </c>
      <c r="D203" s="319">
        <f t="shared" si="20"/>
        <v>527850595.24192303</v>
      </c>
      <c r="E203" s="330"/>
      <c r="F203" s="2"/>
      <c r="G203" s="2" t="e">
        <f t="shared" si="21"/>
        <v>#REF!</v>
      </c>
      <c r="H203" s="2" t="e">
        <f t="shared" si="21"/>
        <v>#REF!</v>
      </c>
      <c r="I203" s="330"/>
      <c r="J203" s="323"/>
      <c r="K203" s="2" t="e">
        <f t="shared" si="22"/>
        <v>#REF!</v>
      </c>
      <c r="M203" s="20"/>
      <c r="N203" s="20"/>
      <c r="O203" s="74"/>
      <c r="P203" s="74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E203" s="84"/>
    </row>
    <row r="204" spans="1:31">
      <c r="A204" s="1" t="s">
        <v>363</v>
      </c>
      <c r="B204" s="347"/>
      <c r="C204" s="340" t="e">
        <f t="shared" si="20"/>
        <v>#REF!</v>
      </c>
      <c r="D204" s="340">
        <f t="shared" si="20"/>
        <v>0</v>
      </c>
      <c r="E204" s="309"/>
      <c r="F204" s="309"/>
      <c r="G204" s="341" t="e">
        <f t="shared" si="21"/>
        <v>#REF!</v>
      </c>
      <c r="H204" s="341">
        <f t="shared" si="21"/>
        <v>0</v>
      </c>
      <c r="I204" s="309"/>
      <c r="J204" s="309"/>
      <c r="K204" s="341" t="e">
        <f>G204</f>
        <v>#REF!</v>
      </c>
      <c r="M204" s="444"/>
      <c r="N204" s="444"/>
      <c r="O204" s="287"/>
      <c r="P204" s="74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E204" s="84"/>
    </row>
    <row r="205" spans="1:31" ht="16.5" thickBot="1">
      <c r="A205" s="1" t="s">
        <v>382</v>
      </c>
      <c r="B205" s="1"/>
      <c r="C205" s="311" t="e">
        <f>SUM(C203:C204)</f>
        <v>#REF!</v>
      </c>
      <c r="D205" s="311">
        <f>SUM(D203:D204)</f>
        <v>527850595.24192303</v>
      </c>
      <c r="E205" s="342"/>
      <c r="F205" s="343"/>
      <c r="G205" s="344" t="e">
        <f>G203+G204</f>
        <v>#REF!</v>
      </c>
      <c r="H205" s="344" t="e">
        <f>H203+H204</f>
        <v>#REF!</v>
      </c>
      <c r="I205" s="342"/>
      <c r="J205" s="345"/>
      <c r="K205" s="344" t="e">
        <f>K203+K204</f>
        <v>#REF!</v>
      </c>
      <c r="M205" s="411"/>
      <c r="N205" s="411"/>
      <c r="O205" s="470"/>
      <c r="P205" s="74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E205" s="84"/>
    </row>
    <row r="206" spans="1:31" ht="16.5" thickTop="1">
      <c r="A206" s="1"/>
      <c r="B206" s="1"/>
      <c r="C206" s="21"/>
      <c r="D206" s="21"/>
      <c r="E206" s="337"/>
      <c r="F206" s="2"/>
      <c r="G206" s="2"/>
      <c r="H206" s="2"/>
      <c r="I206" s="337"/>
      <c r="J206" s="1"/>
      <c r="K206" s="2" t="s">
        <v>31</v>
      </c>
      <c r="M206" s="20"/>
      <c r="N206" s="20"/>
      <c r="O206" s="74"/>
      <c r="P206" s="74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E206" s="84"/>
    </row>
    <row r="207" spans="1:31">
      <c r="A207" s="293" t="s">
        <v>387</v>
      </c>
      <c r="B207" s="1"/>
      <c r="C207" s="1"/>
      <c r="D207" s="1"/>
      <c r="E207" s="2"/>
      <c r="F207" s="2"/>
      <c r="G207" s="1" t="s">
        <v>31</v>
      </c>
      <c r="H207" s="1"/>
      <c r="I207" s="2"/>
      <c r="J207" s="1"/>
      <c r="K207" s="1"/>
      <c r="M207" s="20"/>
      <c r="N207" s="20"/>
      <c r="O207" s="74"/>
      <c r="P207" s="74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E207" s="84"/>
    </row>
    <row r="208" spans="1:31">
      <c r="A208" s="1" t="s">
        <v>411</v>
      </c>
      <c r="B208" s="1"/>
      <c r="C208" s="1"/>
      <c r="D208" s="21"/>
      <c r="E208" s="2"/>
      <c r="F208" s="2"/>
      <c r="G208" s="1"/>
      <c r="H208" s="1"/>
      <c r="I208" s="2"/>
      <c r="J208" s="1"/>
      <c r="K208" s="1"/>
      <c r="M208" s="20"/>
      <c r="N208" s="20"/>
      <c r="O208" s="74"/>
      <c r="P208" s="74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E208" s="84"/>
    </row>
    <row r="209" spans="1:31">
      <c r="A209" s="348" t="s">
        <v>412</v>
      </c>
      <c r="B209" s="1"/>
      <c r="C209" s="21"/>
      <c r="D209" s="21"/>
      <c r="E209" s="2"/>
      <c r="F209" s="2"/>
      <c r="G209" s="1"/>
      <c r="H209" s="1"/>
      <c r="I209" s="2"/>
      <c r="J209" s="1"/>
      <c r="K209" s="1"/>
      <c r="M209" s="20"/>
      <c r="N209" s="20"/>
      <c r="O209" s="74"/>
      <c r="P209" s="74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E209" s="84"/>
    </row>
    <row r="210" spans="1:31">
      <c r="A210" s="1" t="s">
        <v>393</v>
      </c>
      <c r="B210" s="1"/>
      <c r="C210" s="319"/>
      <c r="D210" s="319"/>
      <c r="E210" s="2"/>
      <c r="F210" s="2"/>
      <c r="G210" s="1"/>
      <c r="H210" s="1"/>
      <c r="I210" s="2"/>
      <c r="J210" s="1"/>
      <c r="K210" s="1"/>
      <c r="M210" s="20"/>
      <c r="N210" s="20"/>
      <c r="O210" s="74"/>
      <c r="P210" s="74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E210" s="84"/>
    </row>
    <row r="211" spans="1:31">
      <c r="A211" s="1" t="s">
        <v>390</v>
      </c>
      <c r="B211" s="1"/>
      <c r="C211" s="319">
        <f>31559+48+114515+12+1+4</f>
        <v>146139</v>
      </c>
      <c r="D211" s="319">
        <v>144846</v>
      </c>
      <c r="E211" s="298">
        <f>$E$153</f>
        <v>7.53</v>
      </c>
      <c r="F211" s="321"/>
      <c r="G211" s="2">
        <f>ROUND(E211*$C211,0)</f>
        <v>1100427</v>
      </c>
      <c r="H211" s="2">
        <f>ROUND(E211*$D211,0)</f>
        <v>1090690</v>
      </c>
      <c r="I211" s="298">
        <f>$I$153</f>
        <v>8</v>
      </c>
      <c r="J211" s="323"/>
      <c r="K211" s="2">
        <f>ROUND(I211*$C211,0)</f>
        <v>1169112</v>
      </c>
      <c r="M211" s="20"/>
      <c r="N211" s="20"/>
      <c r="O211" s="74"/>
      <c r="P211" s="74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E211" s="84"/>
    </row>
    <row r="212" spans="1:31">
      <c r="A212" s="1" t="s">
        <v>391</v>
      </c>
      <c r="B212" s="1"/>
      <c r="C212" s="319">
        <f>11+7148+42+33+60+49632</f>
        <v>56926</v>
      </c>
      <c r="D212" s="319">
        <v>56418</v>
      </c>
      <c r="E212" s="298">
        <f>$E$154</f>
        <v>11.18</v>
      </c>
      <c r="F212" s="324"/>
      <c r="G212" s="2">
        <f>ROUND(E212*$C212,0)</f>
        <v>636433</v>
      </c>
      <c r="H212" s="2">
        <f>ROUND(E212*$D212,0)</f>
        <v>630753</v>
      </c>
      <c r="I212" s="298">
        <f>$I$154</f>
        <v>11.877822045152721</v>
      </c>
      <c r="J212" s="325"/>
      <c r="K212" s="2">
        <f>ROUND(I212*$C212,0)</f>
        <v>676157</v>
      </c>
      <c r="M212" s="20"/>
      <c r="N212" s="20"/>
      <c r="O212" s="74"/>
      <c r="P212" s="74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E212" s="84"/>
    </row>
    <row r="213" spans="1:31">
      <c r="A213" s="1" t="s">
        <v>392</v>
      </c>
      <c r="B213" s="1"/>
      <c r="C213" s="319">
        <f>19363+72181+143+261091+506+425+2975+845224</f>
        <v>1201908</v>
      </c>
      <c r="D213" s="319" t="e">
        <f>ROUND(($D$231/'Billing Determinants (2)'!$C$231)*C213,0)</f>
        <v>#REF!</v>
      </c>
      <c r="E213" s="298">
        <f>$E$155</f>
        <v>0.78</v>
      </c>
      <c r="F213" s="324"/>
      <c r="G213" s="2">
        <f>ROUND(E213*$C213,0)</f>
        <v>937488</v>
      </c>
      <c r="H213" s="2" t="e">
        <f>ROUND(E213*$D213,0)</f>
        <v>#REF!</v>
      </c>
      <c r="I213" s="298">
        <f>$I$155</f>
        <v>0.83</v>
      </c>
      <c r="J213" s="325"/>
      <c r="K213" s="2">
        <f>ROUND(I213*$C213,0)</f>
        <v>997584</v>
      </c>
      <c r="M213" s="20"/>
      <c r="N213" s="20"/>
      <c r="O213" s="74"/>
      <c r="P213" s="74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E213" s="84"/>
    </row>
    <row r="214" spans="1:31">
      <c r="A214" s="1" t="s">
        <v>394</v>
      </c>
      <c r="B214" s="1"/>
      <c r="C214" s="319">
        <f>SUM(C211:C212)</f>
        <v>203065</v>
      </c>
      <c r="D214" s="319">
        <f>SUM(D211:D212)</f>
        <v>201264</v>
      </c>
      <c r="E214" s="298"/>
      <c r="F214" s="321"/>
      <c r="G214" s="2"/>
      <c r="H214" s="2"/>
      <c r="I214" s="298"/>
      <c r="J214" s="323"/>
      <c r="K214" s="2"/>
      <c r="M214" s="20"/>
      <c r="N214" s="20"/>
      <c r="O214" s="74"/>
      <c r="P214" s="74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E214" s="84"/>
    </row>
    <row r="215" spans="1:31">
      <c r="A215" s="1" t="s">
        <v>395</v>
      </c>
      <c r="B215" s="1"/>
      <c r="C215" s="319">
        <f>12010+42566+76+150357+258+319+1181+570824</f>
        <v>777591</v>
      </c>
      <c r="D215" s="319" t="e">
        <f>ROUND(($D$231/'Billing Determinants (2)'!$C$231)*C215,0)</f>
        <v>#REF!</v>
      </c>
      <c r="E215" s="326">
        <f>$E$158</f>
        <v>2.88</v>
      </c>
      <c r="F215" s="323"/>
      <c r="G215" s="2">
        <f>ROUND(E215*$C215,0)</f>
        <v>2239462</v>
      </c>
      <c r="H215" s="2" t="e">
        <f>ROUND(E215*$D215,0)</f>
        <v>#REF!</v>
      </c>
      <c r="I215" s="326">
        <f>$I$158</f>
        <v>2.97</v>
      </c>
      <c r="J215" s="323"/>
      <c r="K215" s="2">
        <f>ROUND(I215*$C215,0)</f>
        <v>2309445</v>
      </c>
      <c r="M215" s="20"/>
      <c r="N215" s="20"/>
      <c r="O215" s="74"/>
      <c r="P215" s="74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E215" s="84"/>
    </row>
    <row r="216" spans="1:31">
      <c r="A216" s="1" t="s">
        <v>397</v>
      </c>
      <c r="B216" s="319"/>
      <c r="C216" s="319" t="e">
        <f>10637140+2511+3968456+48093+68224697+41262+14709+22133+40160890+910+1497+3016+#REF!*1000</f>
        <v>#REF!</v>
      </c>
      <c r="D216" s="319" t="e">
        <f>ROUND(($D$231/$C$231)*C216,0)</f>
        <v>#REF!</v>
      </c>
      <c r="E216" s="299">
        <f>$E$159</f>
        <v>8.0890000000000004</v>
      </c>
      <c r="F216" s="323" t="s">
        <v>374</v>
      </c>
      <c r="G216" s="2" t="e">
        <f>ROUND(E216*$C216/100,0)</f>
        <v>#REF!</v>
      </c>
      <c r="H216" s="2" t="e">
        <f>ROUND(E216*$D216/100,0)</f>
        <v>#REF!</v>
      </c>
      <c r="I216" s="299">
        <f>$I$159</f>
        <v>8.8109999999999999</v>
      </c>
      <c r="J216" s="323" t="s">
        <v>374</v>
      </c>
      <c r="K216" s="2" t="e">
        <f>ROUND(I216*$C216/100,0)</f>
        <v>#REF!</v>
      </c>
      <c r="M216" s="473"/>
      <c r="N216" s="473"/>
      <c r="O216" s="74"/>
      <c r="P216" s="74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E216" s="84"/>
    </row>
    <row r="217" spans="1:31">
      <c r="A217" s="1" t="s">
        <v>398</v>
      </c>
      <c r="B217" s="319"/>
      <c r="C217" s="319" t="e">
        <f>6716987+667+10550295+89698+100459984+191610+96267+84727+156443365+471+#REF!*1000</f>
        <v>#REF!</v>
      </c>
      <c r="D217" s="319" t="e">
        <f>ROUND(($D$231/'Billing Determinants (2)'!$C$231)*C217,0)</f>
        <v>#REF!</v>
      </c>
      <c r="E217" s="299">
        <f>$E$160</f>
        <v>5.5839999999999996</v>
      </c>
      <c r="F217" s="323" t="s">
        <v>374</v>
      </c>
      <c r="G217" s="2" t="e">
        <f>ROUND(E217*$C217/100,0)</f>
        <v>#REF!</v>
      </c>
      <c r="H217" s="2" t="e">
        <f>ROUND(E217*$D217/100,0)</f>
        <v>#REF!</v>
      </c>
      <c r="I217" s="299">
        <f>$I$160</f>
        <v>6.0819999999999999</v>
      </c>
      <c r="J217" s="323" t="s">
        <v>374</v>
      </c>
      <c r="K217" s="2" t="e">
        <f>ROUND(I217*$C217/100,0)</f>
        <v>#REF!</v>
      </c>
      <c r="M217" s="473"/>
      <c r="N217" s="473"/>
      <c r="O217" s="74"/>
      <c r="P217" s="74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E217" s="84"/>
    </row>
    <row r="218" spans="1:31">
      <c r="A218" s="1" t="s">
        <v>399</v>
      </c>
      <c r="B218" s="319"/>
      <c r="C218" s="319" t="e">
        <f>974972+8370324+11474735+34390+61460+4500+93253467+#REF!*1000</f>
        <v>#REF!</v>
      </c>
      <c r="D218" s="319" t="e">
        <f>ROUND(($D$231/'Billing Determinants (2)'!$C$231)*C218,0)</f>
        <v>#REF!</v>
      </c>
      <c r="E218" s="299">
        <f>$E$161</f>
        <v>4.8099999999999996</v>
      </c>
      <c r="F218" s="323" t="s">
        <v>374</v>
      </c>
      <c r="G218" s="2" t="e">
        <f>ROUND(E218*$C218/100,0)</f>
        <v>#REF!</v>
      </c>
      <c r="H218" s="2" t="e">
        <f>ROUND(E218*$D218/100,0)</f>
        <v>#REF!</v>
      </c>
      <c r="I218" s="299">
        <f>$I$161</f>
        <v>5.24</v>
      </c>
      <c r="J218" s="323" t="s">
        <v>374</v>
      </c>
      <c r="K218" s="2" t="e">
        <f>ROUND(I218*$C218/100,0)</f>
        <v>#REF!</v>
      </c>
      <c r="M218" s="473"/>
      <c r="N218" s="473"/>
      <c r="O218" s="74"/>
      <c r="P218" s="74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E218" s="84"/>
    </row>
    <row r="219" spans="1:31">
      <c r="A219" s="1" t="s">
        <v>400</v>
      </c>
      <c r="B219" s="21"/>
      <c r="C219" s="319">
        <f>1+8222+516+2+2994+65942</f>
        <v>77677</v>
      </c>
      <c r="D219" s="319" t="e">
        <f>ROUND(($D$231/'Billing Determinants (2)'!$C$231)*C219,0)</f>
        <v>#REF!</v>
      </c>
      <c r="E219" s="330">
        <f>$E$162</f>
        <v>45</v>
      </c>
      <c r="F219" s="321" t="s">
        <v>374</v>
      </c>
      <c r="G219" s="2">
        <f>ROUND(E219*$C219/100,0)</f>
        <v>34955</v>
      </c>
      <c r="H219" s="2" t="e">
        <f>ROUND(E219*$D219/100,0)</f>
        <v>#REF!</v>
      </c>
      <c r="I219" s="330">
        <f>$I$162</f>
        <v>50</v>
      </c>
      <c r="J219" s="323" t="s">
        <v>374</v>
      </c>
      <c r="K219" s="2">
        <f>ROUND(I219*$C219/100,0)</f>
        <v>38839</v>
      </c>
      <c r="M219" s="20"/>
      <c r="N219" s="20"/>
      <c r="O219" s="74"/>
      <c r="P219" s="74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E219" s="84"/>
    </row>
    <row r="220" spans="1:31">
      <c r="A220" s="331" t="s">
        <v>401</v>
      </c>
      <c r="B220" s="21"/>
      <c r="C220" s="319"/>
      <c r="D220" s="319"/>
      <c r="E220" s="332">
        <v>-0.01</v>
      </c>
      <c r="F220" s="321"/>
      <c r="G220" s="2"/>
      <c r="H220" s="2"/>
      <c r="I220" s="332">
        <v>-0.01</v>
      </c>
      <c r="J220" s="323"/>
      <c r="K220" s="2"/>
      <c r="M220" s="20"/>
      <c r="N220" s="20"/>
      <c r="O220" s="74"/>
      <c r="P220" s="74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E220" s="84"/>
    </row>
    <row r="221" spans="1:31">
      <c r="A221" s="1" t="s">
        <v>390</v>
      </c>
      <c r="B221" s="1"/>
      <c r="C221" s="319">
        <f>48</f>
        <v>48</v>
      </c>
      <c r="D221" s="319">
        <v>48</v>
      </c>
      <c r="E221" s="334">
        <f>E211</f>
        <v>7.53</v>
      </c>
      <c r="F221" s="321"/>
      <c r="G221" s="2">
        <f>-ROUND(E221*$C221/100,0)</f>
        <v>-4</v>
      </c>
      <c r="H221" s="2">
        <f>-ROUND(E221*$D221/100,0)</f>
        <v>-4</v>
      </c>
      <c r="I221" s="334">
        <f>I211</f>
        <v>8</v>
      </c>
      <c r="J221" s="321"/>
      <c r="K221" s="2">
        <f>-ROUND(I221*$C221/100,0)</f>
        <v>-4</v>
      </c>
      <c r="M221" s="20"/>
      <c r="N221" s="20"/>
      <c r="O221" s="74"/>
      <c r="P221" s="74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E221" s="84"/>
    </row>
    <row r="222" spans="1:31">
      <c r="A222" s="1" t="s">
        <v>391</v>
      </c>
      <c r="B222" s="1"/>
      <c r="C222" s="319">
        <f>33+60</f>
        <v>93</v>
      </c>
      <c r="D222" s="319">
        <v>92</v>
      </c>
      <c r="E222" s="334">
        <f>E212</f>
        <v>11.18</v>
      </c>
      <c r="F222" s="321"/>
      <c r="G222" s="2">
        <f>-ROUND(E222*$C222/100,0)</f>
        <v>-10</v>
      </c>
      <c r="H222" s="2">
        <f>-ROUND(E222*$D222/100,0)</f>
        <v>-10</v>
      </c>
      <c r="I222" s="334">
        <f>I212</f>
        <v>11.877822045152721</v>
      </c>
      <c r="J222" s="321"/>
      <c r="K222" s="2">
        <f>-ROUND(I222*$C222/100,0)</f>
        <v>-11</v>
      </c>
      <c r="M222" s="20"/>
      <c r="N222" s="20"/>
      <c r="O222" s="74"/>
      <c r="P222" s="74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E222" s="84"/>
    </row>
    <row r="223" spans="1:31">
      <c r="A223" s="1" t="s">
        <v>402</v>
      </c>
      <c r="B223" s="1"/>
      <c r="C223" s="319">
        <f>143+425+2975</f>
        <v>3543</v>
      </c>
      <c r="D223" s="319" t="e">
        <f>ROUND(($D$231/'Billing Determinants (2)'!$C$231)*C223,0)</f>
        <v>#REF!</v>
      </c>
      <c r="E223" s="334">
        <f>E213</f>
        <v>0.78</v>
      </c>
      <c r="F223" s="321"/>
      <c r="G223" s="2">
        <f>-ROUND(E223*$C223/100,0)</f>
        <v>-28</v>
      </c>
      <c r="H223" s="2" t="e">
        <f>-ROUND(E223*$D223/100,0)</f>
        <v>#REF!</v>
      </c>
      <c r="I223" s="334">
        <f>I213</f>
        <v>0.83</v>
      </c>
      <c r="J223" s="321"/>
      <c r="K223" s="2">
        <f>-ROUND(I223*$C223/100,0)</f>
        <v>-29</v>
      </c>
      <c r="M223" s="20"/>
      <c r="N223" s="20"/>
      <c r="O223" s="74"/>
      <c r="P223" s="74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E223" s="84"/>
    </row>
    <row r="224" spans="1:31">
      <c r="A224" s="1" t="s">
        <v>413</v>
      </c>
      <c r="B224" s="1"/>
      <c r="C224" s="319">
        <f>76+319+1181</f>
        <v>1576</v>
      </c>
      <c r="D224" s="319" t="e">
        <f>ROUND(($D$231/'Billing Determinants (2)'!$C$231)*C224,0)</f>
        <v>#REF!</v>
      </c>
      <c r="E224" s="334">
        <f>E215</f>
        <v>2.88</v>
      </c>
      <c r="F224" s="323"/>
      <c r="G224" s="2">
        <f>-ROUND(E224*$C224/100,0)</f>
        <v>-45</v>
      </c>
      <c r="H224" s="2" t="e">
        <f>-ROUND(E224*$D224/100,0)</f>
        <v>#REF!</v>
      </c>
      <c r="I224" s="334">
        <f>I215</f>
        <v>2.97</v>
      </c>
      <c r="J224" s="323"/>
      <c r="K224" s="2">
        <f>-ROUND(I224*$C224/100,0)</f>
        <v>-47</v>
      </c>
      <c r="M224" s="20"/>
      <c r="N224" s="20"/>
      <c r="O224" s="74"/>
      <c r="P224" s="74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E224" s="84"/>
    </row>
    <row r="225" spans="1:31">
      <c r="A225" s="1" t="s">
        <v>405</v>
      </c>
      <c r="B225" s="1"/>
      <c r="C225" s="319">
        <f>48093+14709+22133</f>
        <v>84935</v>
      </c>
      <c r="D225" s="319" t="e">
        <f>ROUND(($D$231/'Billing Determinants (2)'!$C$231)*C225,0)</f>
        <v>#REF!</v>
      </c>
      <c r="E225" s="335">
        <f>E216</f>
        <v>8.0890000000000004</v>
      </c>
      <c r="F225" s="323" t="s">
        <v>374</v>
      </c>
      <c r="G225" s="2">
        <f>ROUND(E225*$C225/100*E220,0)</f>
        <v>-69</v>
      </c>
      <c r="H225" s="2" t="e">
        <f>ROUND(E225*$D225/100*E220,0)</f>
        <v>#REF!</v>
      </c>
      <c r="I225" s="335">
        <f>I216</f>
        <v>8.8109999999999999</v>
      </c>
      <c r="J225" s="323" t="s">
        <v>374</v>
      </c>
      <c r="K225" s="2">
        <f>ROUND(I225*$C225/100*I220,0)</f>
        <v>-75</v>
      </c>
      <c r="M225" s="20"/>
      <c r="N225" s="20"/>
      <c r="O225" s="74"/>
      <c r="P225" s="74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E225" s="84"/>
    </row>
    <row r="226" spans="1:31">
      <c r="A226" s="1" t="s">
        <v>398</v>
      </c>
      <c r="B226" s="1"/>
      <c r="C226" s="319">
        <f>89698+96267+84727</f>
        <v>270692</v>
      </c>
      <c r="D226" s="319" t="e">
        <f>ROUND(($D$231/'Billing Determinants (2)'!$C$231)*C226,0)</f>
        <v>#REF!</v>
      </c>
      <c r="E226" s="335">
        <f>E217</f>
        <v>5.5839999999999996</v>
      </c>
      <c r="F226" s="323" t="s">
        <v>374</v>
      </c>
      <c r="G226" s="2">
        <f>ROUND(E226*$C226/100*E220,0)</f>
        <v>-151</v>
      </c>
      <c r="H226" s="2" t="e">
        <f>ROUND(E226*$D226/100*E220,0)</f>
        <v>#REF!</v>
      </c>
      <c r="I226" s="335">
        <f>I217</f>
        <v>6.0819999999999999</v>
      </c>
      <c r="J226" s="323" t="s">
        <v>374</v>
      </c>
      <c r="K226" s="2">
        <f>ROUND(I226*$C226/100*I220,0)</f>
        <v>-165</v>
      </c>
      <c r="M226" s="20"/>
      <c r="N226" s="20"/>
      <c r="O226" s="74"/>
      <c r="P226" s="74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E226" s="84"/>
    </row>
    <row r="227" spans="1:31">
      <c r="A227" s="1" t="s">
        <v>399</v>
      </c>
      <c r="B227" s="1"/>
      <c r="C227" s="319">
        <f>137791+172436+111360-C225-C226</f>
        <v>65960</v>
      </c>
      <c r="D227" s="319" t="e">
        <f>ROUND(($D$231/'Billing Determinants (2)'!$C$231)*C227,0)</f>
        <v>#REF!</v>
      </c>
      <c r="E227" s="335">
        <f>E218</f>
        <v>4.8099999999999996</v>
      </c>
      <c r="F227" s="323" t="s">
        <v>374</v>
      </c>
      <c r="G227" s="2">
        <f>ROUND(E227*$C227/100*E220,0)</f>
        <v>-32</v>
      </c>
      <c r="H227" s="2" t="e">
        <f>ROUND(E227*$D227/100*E220,0)</f>
        <v>#REF!</v>
      </c>
      <c r="I227" s="335">
        <f>I218</f>
        <v>5.24</v>
      </c>
      <c r="J227" s="323" t="s">
        <v>374</v>
      </c>
      <c r="K227" s="2">
        <f>ROUND(I227*$C227/100*I220,0)</f>
        <v>-35</v>
      </c>
      <c r="M227" s="20"/>
      <c r="N227" s="20"/>
      <c r="O227" s="74"/>
      <c r="P227" s="74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E227" s="84"/>
    </row>
    <row r="228" spans="1:31">
      <c r="A228" s="1" t="s">
        <v>400</v>
      </c>
      <c r="B228" s="1"/>
      <c r="C228" s="319">
        <f>2+2994</f>
        <v>2996</v>
      </c>
      <c r="D228" s="319" t="e">
        <f>ROUND(($D$231/'Billing Determinants (2)'!$C$231)*C228,0)</f>
        <v>#REF!</v>
      </c>
      <c r="E228" s="336">
        <f>E219</f>
        <v>45</v>
      </c>
      <c r="F228" s="323" t="s">
        <v>374</v>
      </c>
      <c r="G228" s="2">
        <f>ROUND(E228*$C228/100*E220,0)</f>
        <v>-13</v>
      </c>
      <c r="H228" s="2" t="e">
        <f>ROUND(E228*$D228/100*E220,0)</f>
        <v>#REF!</v>
      </c>
      <c r="I228" s="336">
        <f>I219</f>
        <v>50</v>
      </c>
      <c r="J228" s="323" t="s">
        <v>374</v>
      </c>
      <c r="K228" s="2">
        <f>ROUND(I228*$C228/100*I220,0)</f>
        <v>-15</v>
      </c>
      <c r="M228" s="20"/>
      <c r="N228" s="20"/>
      <c r="O228" s="74"/>
      <c r="P228" s="74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E228" s="84"/>
    </row>
    <row r="229" spans="1:31">
      <c r="A229" s="1" t="s">
        <v>407</v>
      </c>
      <c r="B229" s="1"/>
      <c r="C229" s="319">
        <f>48+60</f>
        <v>108</v>
      </c>
      <c r="D229" s="319" t="e">
        <f>ROUND(($D$231/'Billing Determinants (2)'!$C$231)*C229,0)</f>
        <v>#REF!</v>
      </c>
      <c r="E229" s="337">
        <f>$E$172</f>
        <v>60</v>
      </c>
      <c r="F229" s="321"/>
      <c r="G229" s="2">
        <f>ROUND(E229*$C229,0)</f>
        <v>6480</v>
      </c>
      <c r="H229" s="2" t="e">
        <f>ROUND(E229*$D229,0)</f>
        <v>#REF!</v>
      </c>
      <c r="I229" s="337">
        <f>$I$172</f>
        <v>60</v>
      </c>
      <c r="J229" s="323"/>
      <c r="K229" s="2">
        <f>ROUND(I229*$C229,0)</f>
        <v>6480</v>
      </c>
      <c r="M229" s="20"/>
      <c r="N229" s="20"/>
      <c r="O229" s="74"/>
      <c r="P229" s="74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E229" s="84"/>
    </row>
    <row r="230" spans="1:31">
      <c r="A230" s="1" t="s">
        <v>408</v>
      </c>
      <c r="B230" s="1"/>
      <c r="C230" s="319">
        <f>143+506+2975</f>
        <v>3624</v>
      </c>
      <c r="D230" s="319" t="e">
        <f>ROUND(($D$231/'Billing Determinants (2)'!$C$231)*C230,0)</f>
        <v>#REF!</v>
      </c>
      <c r="E230" s="339">
        <f>$E$173</f>
        <v>-30</v>
      </c>
      <c r="F230" s="321" t="s">
        <v>374</v>
      </c>
      <c r="G230" s="2">
        <f>ROUND(E230*$C230/100,0)</f>
        <v>-1087</v>
      </c>
      <c r="H230" s="2" t="e">
        <f>ROUND(E230*$D230/100,0)</f>
        <v>#REF!</v>
      </c>
      <c r="I230" s="339">
        <f>$I$173</f>
        <v>-30</v>
      </c>
      <c r="J230" s="323" t="s">
        <v>374</v>
      </c>
      <c r="K230" s="2">
        <f>ROUND(I230*$C230/100,0)</f>
        <v>-1087</v>
      </c>
      <c r="M230" s="20"/>
      <c r="N230" s="20"/>
      <c r="O230" s="74"/>
      <c r="P230" s="74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E230" s="84"/>
    </row>
    <row r="231" spans="1:31">
      <c r="A231" s="1" t="s">
        <v>381</v>
      </c>
      <c r="B231" s="307"/>
      <c r="C231" s="319" t="e">
        <f>SUM(C216:C218)</f>
        <v>#REF!</v>
      </c>
      <c r="D231" s="319">
        <v>505220047.82638693</v>
      </c>
      <c r="E231" s="330"/>
      <c r="F231" s="2"/>
      <c r="G231" s="2" t="e">
        <f>SUM(G211:G230)</f>
        <v>#REF!</v>
      </c>
      <c r="H231" s="2" t="e">
        <f>SUM(H211:H230)</f>
        <v>#REF!</v>
      </c>
      <c r="I231" s="330"/>
      <c r="J231" s="323"/>
      <c r="K231" s="2" t="e">
        <f>SUM(K211:K230)</f>
        <v>#REF!</v>
      </c>
      <c r="M231" s="416"/>
      <c r="N231" s="416"/>
      <c r="O231" s="74"/>
      <c r="P231" s="74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E231" s="84"/>
    </row>
    <row r="232" spans="1:31">
      <c r="A232" s="1" t="s">
        <v>363</v>
      </c>
      <c r="B232" s="1"/>
      <c r="C232" s="349" t="e">
        <f>#REF!</f>
        <v>#REF!</v>
      </c>
      <c r="D232" s="340">
        <v>0</v>
      </c>
      <c r="E232" s="309"/>
      <c r="F232" s="309"/>
      <c r="G232" s="341" t="e">
        <f>#REF!</f>
        <v>#REF!</v>
      </c>
      <c r="H232" s="341">
        <v>0</v>
      </c>
      <c r="I232" s="309"/>
      <c r="J232" s="309"/>
      <c r="K232" s="341" t="e">
        <f>G232</f>
        <v>#REF!</v>
      </c>
      <c r="M232" s="444"/>
      <c r="N232" s="444"/>
      <c r="O232" s="287"/>
      <c r="P232" s="74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E232" s="84"/>
    </row>
    <row r="233" spans="1:31" ht="16.5" thickBot="1">
      <c r="A233" s="1" t="s">
        <v>382</v>
      </c>
      <c r="B233" s="1"/>
      <c r="C233" s="311" t="e">
        <f>SUM(C231:C232)</f>
        <v>#REF!</v>
      </c>
      <c r="D233" s="311">
        <f>SUM(D231:D232)</f>
        <v>505220047.82638693</v>
      </c>
      <c r="E233" s="342"/>
      <c r="F233" s="343"/>
      <c r="G233" s="344" t="e">
        <f>G231+G232</f>
        <v>#REF!</v>
      </c>
      <c r="H233" s="344" t="e">
        <f>H231+H232</f>
        <v>#REF!</v>
      </c>
      <c r="I233" s="342"/>
      <c r="J233" s="345"/>
      <c r="K233" s="344" t="e">
        <f>K231+K232</f>
        <v>#REF!</v>
      </c>
      <c r="M233" s="411"/>
      <c r="N233" s="411"/>
      <c r="O233" s="470"/>
      <c r="P233" s="74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E233" s="84"/>
    </row>
    <row r="234" spans="1:31" ht="16.5" thickTop="1">
      <c r="A234" s="1"/>
      <c r="B234" s="1"/>
      <c r="C234" s="21"/>
      <c r="D234" s="21"/>
      <c r="E234" s="337"/>
      <c r="F234" s="2"/>
      <c r="G234" s="2"/>
      <c r="H234" s="2"/>
      <c r="I234" s="337"/>
      <c r="J234" s="1"/>
      <c r="K234" s="2" t="s">
        <v>31</v>
      </c>
      <c r="M234" s="20"/>
      <c r="N234" s="20"/>
      <c r="O234" s="74"/>
      <c r="P234" s="74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E234" s="84"/>
    </row>
    <row r="235" spans="1:31">
      <c r="A235" s="293" t="s">
        <v>387</v>
      </c>
      <c r="B235" s="1"/>
      <c r="C235" s="1"/>
      <c r="D235" s="1"/>
      <c r="E235" s="2"/>
      <c r="F235" s="2"/>
      <c r="G235" s="1" t="s">
        <v>31</v>
      </c>
      <c r="H235" s="1"/>
      <c r="I235" s="2"/>
      <c r="J235" s="1"/>
      <c r="K235" s="1"/>
      <c r="M235" s="20"/>
      <c r="N235" s="20"/>
      <c r="O235" s="74"/>
      <c r="P235" s="74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E235" s="84"/>
    </row>
    <row r="236" spans="1:31">
      <c r="A236" s="1" t="s">
        <v>414</v>
      </c>
      <c r="B236" s="1"/>
      <c r="C236" s="21"/>
      <c r="D236" s="1"/>
      <c r="E236" s="2"/>
      <c r="F236" s="2"/>
      <c r="G236" s="1"/>
      <c r="H236" s="1"/>
      <c r="I236" s="2"/>
      <c r="J236" s="1"/>
      <c r="K236" s="1"/>
      <c r="M236" s="20"/>
      <c r="N236" s="20"/>
      <c r="O236" s="74"/>
      <c r="P236" s="74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E236" s="84"/>
    </row>
    <row r="237" spans="1:31">
      <c r="A237" s="1"/>
      <c r="B237" s="1"/>
      <c r="C237" s="1"/>
      <c r="D237" s="1"/>
      <c r="E237" s="2"/>
      <c r="F237" s="2"/>
      <c r="G237" s="1"/>
      <c r="H237" s="1"/>
      <c r="I237" s="2"/>
      <c r="J237" s="1"/>
      <c r="K237" s="1"/>
      <c r="M237" s="20"/>
      <c r="N237" s="20"/>
      <c r="O237" s="74"/>
      <c r="P237" s="74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E237" s="84"/>
    </row>
    <row r="238" spans="1:31">
      <c r="A238" s="1" t="s">
        <v>393</v>
      </c>
      <c r="B238" s="1"/>
      <c r="C238" s="319"/>
      <c r="D238" s="319"/>
      <c r="E238" s="2"/>
      <c r="F238" s="2"/>
      <c r="G238" s="1"/>
      <c r="H238" s="1"/>
      <c r="I238" s="2"/>
      <c r="J238" s="1"/>
      <c r="K238" s="1"/>
      <c r="M238" s="20"/>
      <c r="N238" s="20"/>
      <c r="O238" s="74"/>
      <c r="P238" s="74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E238" s="84"/>
    </row>
    <row r="239" spans="1:31">
      <c r="A239" s="1" t="s">
        <v>390</v>
      </c>
      <c r="B239" s="1"/>
      <c r="C239" s="319">
        <f>564+1748</f>
        <v>2312</v>
      </c>
      <c r="D239" s="319">
        <f>ROUND(($D$242/'Billing Determinants (2)'!$C$242)*C239,0)</f>
        <v>2307</v>
      </c>
      <c r="E239" s="298">
        <f>$E$153</f>
        <v>7.53</v>
      </c>
      <c r="F239" s="321"/>
      <c r="G239" s="2">
        <f>ROUND(E239*$C239,0)</f>
        <v>17409</v>
      </c>
      <c r="H239" s="2">
        <f>ROUND(E239*$D239,0)</f>
        <v>17372</v>
      </c>
      <c r="I239" s="298">
        <f>$I$153</f>
        <v>8</v>
      </c>
      <c r="J239" s="323"/>
      <c r="K239" s="2">
        <f>ROUND(I239*$C239,0)</f>
        <v>18496</v>
      </c>
      <c r="M239" s="20"/>
      <c r="N239" s="20"/>
      <c r="O239" s="74"/>
      <c r="P239" s="74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E239" s="84"/>
    </row>
    <row r="240" spans="1:31">
      <c r="A240" s="1" t="s">
        <v>391</v>
      </c>
      <c r="B240" s="1"/>
      <c r="C240" s="319">
        <f>690+2733</f>
        <v>3423</v>
      </c>
      <c r="D240" s="319">
        <f>ROUND(($D$242/'Billing Determinants (2)'!$C$242)*C240,0)</f>
        <v>3416</v>
      </c>
      <c r="E240" s="298">
        <f>$E$154</f>
        <v>11.18</v>
      </c>
      <c r="F240" s="324"/>
      <c r="G240" s="2">
        <f>ROUND(E240*$C240,0)</f>
        <v>38269</v>
      </c>
      <c r="H240" s="2">
        <f>ROUND(E240*$D240,0)</f>
        <v>38191</v>
      </c>
      <c r="I240" s="298">
        <f>$I$154</f>
        <v>11.877822045152721</v>
      </c>
      <c r="J240" s="325"/>
      <c r="K240" s="2">
        <f>ROUND(I240*$C240,0)</f>
        <v>40658</v>
      </c>
      <c r="M240" s="20"/>
      <c r="N240" s="20"/>
      <c r="O240" s="74"/>
      <c r="P240" s="74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E240" s="84"/>
    </row>
    <row r="241" spans="1:31">
      <c r="A241" s="1" t="s">
        <v>392</v>
      </c>
      <c r="B241" s="1"/>
      <c r="C241" s="319">
        <f>878+12793+3580+59407</f>
        <v>76658</v>
      </c>
      <c r="D241" s="319">
        <f>ROUND(($D$259/$C$259)*C241,0)</f>
        <v>86045</v>
      </c>
      <c r="E241" s="298">
        <f>$E$155</f>
        <v>0.78</v>
      </c>
      <c r="F241" s="324"/>
      <c r="G241" s="2">
        <f>ROUND(E241*$C241,0)</f>
        <v>59793</v>
      </c>
      <c r="H241" s="2">
        <f>ROUND(E241*$D241,0)</f>
        <v>67115</v>
      </c>
      <c r="I241" s="298">
        <f>$I$155</f>
        <v>0.83</v>
      </c>
      <c r="J241" s="325"/>
      <c r="K241" s="2">
        <f>ROUND(I241*$C241,0)</f>
        <v>63626</v>
      </c>
      <c r="M241" s="20"/>
      <c r="N241" s="20"/>
      <c r="O241" s="74"/>
      <c r="P241" s="74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E241" s="84"/>
    </row>
    <row r="242" spans="1:31">
      <c r="A242" s="1" t="s">
        <v>394</v>
      </c>
      <c r="B242" s="1"/>
      <c r="C242" s="319">
        <f>SUM(C239:C240)</f>
        <v>5735</v>
      </c>
      <c r="D242" s="319">
        <v>5723</v>
      </c>
      <c r="E242" s="298"/>
      <c r="F242" s="321"/>
      <c r="G242" s="2"/>
      <c r="H242" s="2"/>
      <c r="I242" s="298"/>
      <c r="J242" s="323"/>
      <c r="K242" s="2"/>
      <c r="M242" s="20"/>
      <c r="N242" s="20"/>
      <c r="O242" s="74"/>
      <c r="P242" s="74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E242" s="84"/>
    </row>
    <row r="243" spans="1:31">
      <c r="A243" s="1" t="s">
        <v>395</v>
      </c>
      <c r="B243" s="1"/>
      <c r="C243" s="319">
        <f>571+5841+2000+36248</f>
        <v>44660</v>
      </c>
      <c r="D243" s="319">
        <f>ROUND(($D$259/$C$259)*C243,0)</f>
        <v>50129</v>
      </c>
      <c r="E243" s="326">
        <f>$E$158</f>
        <v>2.88</v>
      </c>
      <c r="F243" s="323"/>
      <c r="G243" s="2">
        <f>ROUND(E243*$C243,0)</f>
        <v>128621</v>
      </c>
      <c r="H243" s="2">
        <f>ROUND(E243*$D243,0)</f>
        <v>144372</v>
      </c>
      <c r="I243" s="326">
        <f>$I$158</f>
        <v>2.97</v>
      </c>
      <c r="J243" s="323"/>
      <c r="K243" s="2">
        <f>ROUND(I243*$C243,0)</f>
        <v>132640</v>
      </c>
      <c r="M243" s="20"/>
      <c r="N243" s="20"/>
      <c r="O243" s="74"/>
      <c r="P243" s="74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E243" s="84"/>
    </row>
    <row r="244" spans="1:31">
      <c r="A244" s="1" t="s">
        <v>397</v>
      </c>
      <c r="B244" s="1"/>
      <c r="C244" s="319">
        <f>194181+404382+1030706+2158260</f>
        <v>3787529</v>
      </c>
      <c r="D244" s="319">
        <f>ROUND(($D$259/$C$259)*C244,0)</f>
        <v>4251317</v>
      </c>
      <c r="E244" s="299">
        <f>$E$159</f>
        <v>8.0890000000000004</v>
      </c>
      <c r="F244" s="323" t="s">
        <v>374</v>
      </c>
      <c r="G244" s="2">
        <f>ROUND(E244*$C244/100,0)</f>
        <v>306373</v>
      </c>
      <c r="H244" s="2">
        <f>ROUND(E244*$D244/100,0)</f>
        <v>343889</v>
      </c>
      <c r="I244" s="299">
        <f>$I$159</f>
        <v>8.8109999999999999</v>
      </c>
      <c r="J244" s="323" t="s">
        <v>374</v>
      </c>
      <c r="K244" s="2">
        <f>ROUND(I244*$C244/100,0)</f>
        <v>333719</v>
      </c>
      <c r="M244" s="20"/>
      <c r="N244" s="20"/>
      <c r="O244" s="74"/>
      <c r="P244" s="74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E244" s="84"/>
    </row>
    <row r="245" spans="1:31">
      <c r="A245" s="1" t="s">
        <v>398</v>
      </c>
      <c r="B245" s="1"/>
      <c r="C245" s="319">
        <f>303929+1124643+1689326+8117436</f>
        <v>11235334</v>
      </c>
      <c r="D245" s="319">
        <f>ROUND(($D$259/$C$259)*C245,0)</f>
        <v>12611116</v>
      </c>
      <c r="E245" s="299">
        <f>$E$160</f>
        <v>5.5839999999999996</v>
      </c>
      <c r="F245" s="323" t="s">
        <v>374</v>
      </c>
      <c r="G245" s="2">
        <f>ROUND(E245*$C245/100,0)</f>
        <v>627381</v>
      </c>
      <c r="H245" s="2">
        <f>ROUND(E245*$D245/100,0)</f>
        <v>704205</v>
      </c>
      <c r="I245" s="299">
        <f>$I$160</f>
        <v>6.0819999999999999</v>
      </c>
      <c r="J245" s="323" t="s">
        <v>374</v>
      </c>
      <c r="K245" s="2">
        <f>ROUND(I245*$C245/100,0)</f>
        <v>683333</v>
      </c>
      <c r="M245" s="20"/>
      <c r="N245" s="20"/>
      <c r="O245" s="74"/>
      <c r="P245" s="74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E245" s="84"/>
    </row>
    <row r="246" spans="1:31">
      <c r="A246" s="1" t="s">
        <v>399</v>
      </c>
      <c r="B246" s="1"/>
      <c r="C246" s="319">
        <f>570154+2394034+2847736+14349793-C245-C244</f>
        <v>5138854</v>
      </c>
      <c r="D246" s="319">
        <f>ROUND(($D$259/$C$259)*C246,0)</f>
        <v>5768114</v>
      </c>
      <c r="E246" s="299">
        <f>$E$161</f>
        <v>4.8099999999999996</v>
      </c>
      <c r="F246" s="323" t="s">
        <v>374</v>
      </c>
      <c r="G246" s="2">
        <f>ROUND(E246*$C246/100,0)</f>
        <v>247179</v>
      </c>
      <c r="H246" s="2">
        <f>ROUND(E246*$D246/100,0)</f>
        <v>277446</v>
      </c>
      <c r="I246" s="299">
        <f>$I$161</f>
        <v>5.24</v>
      </c>
      <c r="J246" s="323" t="s">
        <v>374</v>
      </c>
      <c r="K246" s="2">
        <f>ROUND(I246*$C246/100,0)</f>
        <v>269276</v>
      </c>
      <c r="M246" s="20"/>
      <c r="N246" s="20"/>
      <c r="O246" s="74"/>
      <c r="P246" s="74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E246" s="84"/>
    </row>
    <row r="247" spans="1:31">
      <c r="A247" s="1" t="s">
        <v>400</v>
      </c>
      <c r="B247" s="1"/>
      <c r="C247" s="319">
        <f>2748+11933</f>
        <v>14681</v>
      </c>
      <c r="D247" s="319">
        <f>ROUND(($D$259/$C$259)*C247,0)</f>
        <v>16479</v>
      </c>
      <c r="E247" s="330">
        <f>$E$162</f>
        <v>45</v>
      </c>
      <c r="F247" s="321" t="s">
        <v>374</v>
      </c>
      <c r="G247" s="2">
        <f>ROUND(E247*$C247/100,0)</f>
        <v>6606</v>
      </c>
      <c r="H247" s="2">
        <f>ROUND(E247*$D247/100,0)</f>
        <v>7416</v>
      </c>
      <c r="I247" s="330">
        <f>$I$162</f>
        <v>50</v>
      </c>
      <c r="J247" s="323" t="s">
        <v>374</v>
      </c>
      <c r="K247" s="2">
        <f>ROUND(I247*$C247/100,0)</f>
        <v>7341</v>
      </c>
      <c r="M247" s="20"/>
      <c r="N247" s="20"/>
      <c r="O247" s="74"/>
      <c r="P247" s="74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E247" s="84"/>
    </row>
    <row r="248" spans="1:31">
      <c r="A248" s="331" t="s">
        <v>401</v>
      </c>
      <c r="B248" s="1"/>
      <c r="C248" s="319"/>
      <c r="D248" s="319"/>
      <c r="E248" s="332">
        <v>-0.01</v>
      </c>
      <c r="F248" s="321"/>
      <c r="G248" s="2"/>
      <c r="H248" s="2"/>
      <c r="I248" s="332">
        <v>-0.01</v>
      </c>
      <c r="J248" s="323"/>
      <c r="K248" s="2"/>
      <c r="M248" s="20"/>
      <c r="N248" s="20"/>
      <c r="O248" s="74"/>
      <c r="P248" s="74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E248" s="84"/>
    </row>
    <row r="249" spans="1:31">
      <c r="A249" s="1" t="s">
        <v>390</v>
      </c>
      <c r="B249" s="1"/>
      <c r="C249" s="319">
        <v>0</v>
      </c>
      <c r="D249" s="319">
        <f t="shared" ref="D249:D258" si="23">ROUND(($D$259/$C$259)*C249,0)</f>
        <v>0</v>
      </c>
      <c r="E249" s="334">
        <f>E239</f>
        <v>7.53</v>
      </c>
      <c r="F249" s="321"/>
      <c r="G249" s="2">
        <f>-ROUND(E249*$C249/100,0)</f>
        <v>0</v>
      </c>
      <c r="H249" s="2">
        <f>-ROUND(E249*$D249/100,0)</f>
        <v>0</v>
      </c>
      <c r="I249" s="334">
        <f>I239</f>
        <v>8</v>
      </c>
      <c r="J249" s="321"/>
      <c r="K249" s="2">
        <f>-ROUND(I249*$C249/100,0)</f>
        <v>0</v>
      </c>
      <c r="M249" s="20"/>
      <c r="N249" s="20"/>
      <c r="O249" s="74"/>
      <c r="P249" s="74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E249" s="84"/>
    </row>
    <row r="250" spans="1:31">
      <c r="A250" s="1" t="s">
        <v>391</v>
      </c>
      <c r="B250" s="1"/>
      <c r="C250" s="319">
        <v>0</v>
      </c>
      <c r="D250" s="319">
        <f t="shared" si="23"/>
        <v>0</v>
      </c>
      <c r="E250" s="334">
        <f>E240</f>
        <v>11.18</v>
      </c>
      <c r="F250" s="321"/>
      <c r="G250" s="2">
        <f>-ROUND(E250*$C250/100,0)</f>
        <v>0</v>
      </c>
      <c r="H250" s="2">
        <f>-ROUND(E250*$D250/100,0)</f>
        <v>0</v>
      </c>
      <c r="I250" s="334">
        <f>I240</f>
        <v>11.877822045152721</v>
      </c>
      <c r="J250" s="321"/>
      <c r="K250" s="2">
        <f>-ROUND(I250*$C250/100,0)</f>
        <v>0</v>
      </c>
      <c r="M250" s="20"/>
      <c r="N250" s="20"/>
      <c r="O250" s="74"/>
      <c r="P250" s="74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E250" s="84"/>
    </row>
    <row r="251" spans="1:31">
      <c r="A251" s="1" t="s">
        <v>402</v>
      </c>
      <c r="B251" s="1"/>
      <c r="C251" s="319">
        <v>0</v>
      </c>
      <c r="D251" s="319">
        <f t="shared" si="23"/>
        <v>0</v>
      </c>
      <c r="E251" s="334">
        <f>E241</f>
        <v>0.78</v>
      </c>
      <c r="F251" s="321"/>
      <c r="G251" s="2">
        <f>-ROUND(E251*$C251/100,0)</f>
        <v>0</v>
      </c>
      <c r="H251" s="2">
        <f>-ROUND(E251*$D251/100,0)</f>
        <v>0</v>
      </c>
      <c r="I251" s="334">
        <f>I241</f>
        <v>0.83</v>
      </c>
      <c r="J251" s="321"/>
      <c r="K251" s="2">
        <f>-ROUND(I251*$C251/100,0)</f>
        <v>0</v>
      </c>
      <c r="M251" s="20"/>
      <c r="N251" s="20"/>
      <c r="O251" s="74"/>
      <c r="P251" s="74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E251" s="84"/>
    </row>
    <row r="252" spans="1:31">
      <c r="A252" s="1" t="s">
        <v>403</v>
      </c>
      <c r="B252" s="1"/>
      <c r="C252" s="319">
        <v>0</v>
      </c>
      <c r="D252" s="319">
        <f t="shared" si="23"/>
        <v>0</v>
      </c>
      <c r="E252" s="334">
        <f>E243</f>
        <v>2.88</v>
      </c>
      <c r="F252" s="323"/>
      <c r="G252" s="2">
        <f>-ROUND(E252*$C252/100,0)</f>
        <v>0</v>
      </c>
      <c r="H252" s="2">
        <f>-ROUND(E252*$D252/100,0)</f>
        <v>0</v>
      </c>
      <c r="I252" s="334">
        <f>I243</f>
        <v>2.97</v>
      </c>
      <c r="J252" s="323"/>
      <c r="K252" s="2">
        <f>-ROUND(I252*$C252/100,0)</f>
        <v>0</v>
      </c>
      <c r="M252" s="20"/>
      <c r="N252" s="20"/>
      <c r="O252" s="74"/>
      <c r="P252" s="74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E252" s="84"/>
    </row>
    <row r="253" spans="1:31">
      <c r="A253" s="1" t="s">
        <v>405</v>
      </c>
      <c r="B253" s="1"/>
      <c r="C253" s="319">
        <v>0</v>
      </c>
      <c r="D253" s="319">
        <f t="shared" si="23"/>
        <v>0</v>
      </c>
      <c r="E253" s="335">
        <f>E244</f>
        <v>8.0890000000000004</v>
      </c>
      <c r="F253" s="323" t="s">
        <v>374</v>
      </c>
      <c r="G253" s="2">
        <f>ROUND(E253*$C253/100*E248,0)</f>
        <v>0</v>
      </c>
      <c r="H253" s="2">
        <f>ROUND(E253*$D253/100*E248,0)</f>
        <v>0</v>
      </c>
      <c r="I253" s="335">
        <f>I244</f>
        <v>8.8109999999999999</v>
      </c>
      <c r="J253" s="323" t="s">
        <v>374</v>
      </c>
      <c r="K253" s="2">
        <f>ROUND(I253*$C253/100*I248,0)</f>
        <v>0</v>
      </c>
      <c r="M253" s="20"/>
      <c r="N253" s="20"/>
      <c r="O253" s="74"/>
      <c r="P253" s="74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E253" s="84"/>
    </row>
    <row r="254" spans="1:31">
      <c r="A254" s="1" t="s">
        <v>398</v>
      </c>
      <c r="B254" s="1"/>
      <c r="C254" s="319">
        <v>0</v>
      </c>
      <c r="D254" s="319">
        <f t="shared" si="23"/>
        <v>0</v>
      </c>
      <c r="E254" s="335">
        <f>E245</f>
        <v>5.5839999999999996</v>
      </c>
      <c r="F254" s="323" t="s">
        <v>374</v>
      </c>
      <c r="G254" s="2">
        <f>ROUND(E254*$C254/100*E248,0)</f>
        <v>0</v>
      </c>
      <c r="H254" s="2">
        <f>ROUND(E254*$D254/100*E248,0)</f>
        <v>0</v>
      </c>
      <c r="I254" s="335">
        <f>I245</f>
        <v>6.0819999999999999</v>
      </c>
      <c r="J254" s="323" t="s">
        <v>374</v>
      </c>
      <c r="K254" s="2">
        <f>ROUND(I254*$C254/100*I248,0)</f>
        <v>0</v>
      </c>
      <c r="M254" s="20"/>
      <c r="N254" s="20"/>
      <c r="O254" s="74"/>
      <c r="P254" s="74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E254" s="84"/>
    </row>
    <row r="255" spans="1:31">
      <c r="A255" s="1" t="s">
        <v>399</v>
      </c>
      <c r="B255" s="1"/>
      <c r="C255" s="319">
        <v>0</v>
      </c>
      <c r="D255" s="319">
        <f t="shared" si="23"/>
        <v>0</v>
      </c>
      <c r="E255" s="335">
        <f>E246</f>
        <v>4.8099999999999996</v>
      </c>
      <c r="F255" s="323" t="s">
        <v>374</v>
      </c>
      <c r="G255" s="2">
        <f>ROUND(E255*$C255/100*E248,0)</f>
        <v>0</v>
      </c>
      <c r="H255" s="2">
        <f>ROUND(E255*$D255/100*E248,0)</f>
        <v>0</v>
      </c>
      <c r="I255" s="335">
        <f>I246</f>
        <v>5.24</v>
      </c>
      <c r="J255" s="323" t="s">
        <v>374</v>
      </c>
      <c r="K255" s="2">
        <f>ROUND(I255*$C255/100*I248,0)</f>
        <v>0</v>
      </c>
      <c r="M255" s="20"/>
      <c r="N255" s="20"/>
      <c r="O255" s="74"/>
      <c r="P255" s="74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E255" s="84"/>
    </row>
    <row r="256" spans="1:31">
      <c r="A256" s="1" t="s">
        <v>400</v>
      </c>
      <c r="B256" s="1"/>
      <c r="C256" s="319">
        <v>0</v>
      </c>
      <c r="D256" s="319">
        <f t="shared" si="23"/>
        <v>0</v>
      </c>
      <c r="E256" s="336">
        <f>E247</f>
        <v>45</v>
      </c>
      <c r="F256" s="323" t="s">
        <v>374</v>
      </c>
      <c r="G256" s="2">
        <f>ROUND(E256*$C256/100*E248,0)</f>
        <v>0</v>
      </c>
      <c r="H256" s="2">
        <f>ROUND(E256*$D256/100*E248,0)</f>
        <v>0</v>
      </c>
      <c r="I256" s="336">
        <f>I247</f>
        <v>50</v>
      </c>
      <c r="J256" s="323" t="s">
        <v>374</v>
      </c>
      <c r="K256" s="2">
        <f>ROUND(I256*$C256/100*I248,0)</f>
        <v>0</v>
      </c>
      <c r="M256" s="20"/>
      <c r="N256" s="20"/>
      <c r="O256" s="74"/>
      <c r="P256" s="74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E256" s="84"/>
    </row>
    <row r="257" spans="1:31">
      <c r="A257" s="1" t="s">
        <v>407</v>
      </c>
      <c r="B257" s="1"/>
      <c r="C257" s="319">
        <v>0</v>
      </c>
      <c r="D257" s="319">
        <f t="shared" si="23"/>
        <v>0</v>
      </c>
      <c r="E257" s="337">
        <f>$E$172</f>
        <v>60</v>
      </c>
      <c r="F257" s="321"/>
      <c r="G257" s="2">
        <f>ROUND(E257*$C257,0)</f>
        <v>0</v>
      </c>
      <c r="H257" s="2">
        <f>ROUND(E257*$D257,0)</f>
        <v>0</v>
      </c>
      <c r="I257" s="337">
        <f>$I$172</f>
        <v>60</v>
      </c>
      <c r="J257" s="323"/>
      <c r="K257" s="2">
        <f>ROUND(I257*$C257,0)</f>
        <v>0</v>
      </c>
      <c r="M257" s="20"/>
      <c r="N257" s="20"/>
      <c r="O257" s="74"/>
      <c r="P257" s="74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E257" s="84"/>
    </row>
    <row r="258" spans="1:31">
      <c r="A258" s="1" t="s">
        <v>408</v>
      </c>
      <c r="B258" s="1"/>
      <c r="C258" s="319">
        <v>0</v>
      </c>
      <c r="D258" s="319">
        <f t="shared" si="23"/>
        <v>0</v>
      </c>
      <c r="E258" s="339">
        <f>$E$173</f>
        <v>-30</v>
      </c>
      <c r="F258" s="321" t="s">
        <v>374</v>
      </c>
      <c r="G258" s="2">
        <f>ROUND(E258*$C258/100,0)</f>
        <v>0</v>
      </c>
      <c r="H258" s="2">
        <f>ROUND(E258*$D258/100,0)</f>
        <v>0</v>
      </c>
      <c r="I258" s="339">
        <f>$I$173</f>
        <v>-30</v>
      </c>
      <c r="J258" s="323" t="s">
        <v>374</v>
      </c>
      <c r="K258" s="2">
        <f>ROUND(I258*$C258/100,0)</f>
        <v>0</v>
      </c>
      <c r="M258" s="20"/>
      <c r="N258" s="20"/>
      <c r="O258" s="74"/>
      <c r="P258" s="74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E258" s="84"/>
    </row>
    <row r="259" spans="1:31">
      <c r="A259" s="1" t="s">
        <v>381</v>
      </c>
      <c r="B259" s="1"/>
      <c r="C259" s="319">
        <f>SUM(C244:C246)</f>
        <v>20161717</v>
      </c>
      <c r="D259" s="319">
        <v>22630547.415536091</v>
      </c>
      <c r="E259" s="330"/>
      <c r="F259" s="2"/>
      <c r="G259" s="2">
        <f>SUM(G239:G258)</f>
        <v>1431631</v>
      </c>
      <c r="H259" s="2">
        <f>SUM(H239:H258)</f>
        <v>1600006</v>
      </c>
      <c r="I259" s="330"/>
      <c r="J259" s="323"/>
      <c r="K259" s="2">
        <f>SUM(K239:K258)</f>
        <v>1549089</v>
      </c>
      <c r="M259" s="20"/>
      <c r="N259" s="20"/>
      <c r="O259" s="74"/>
      <c r="P259" s="74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E259" s="84"/>
    </row>
    <row r="260" spans="1:31">
      <c r="A260" s="1" t="s">
        <v>363</v>
      </c>
      <c r="B260" s="1"/>
      <c r="C260" s="349" t="e">
        <f>#REF!</f>
        <v>#REF!</v>
      </c>
      <c r="D260" s="340">
        <v>0</v>
      </c>
      <c r="E260" s="309"/>
      <c r="F260" s="309"/>
      <c r="G260" s="341" t="e">
        <f>#REF!</f>
        <v>#REF!</v>
      </c>
      <c r="H260" s="341">
        <v>0</v>
      </c>
      <c r="I260" s="309"/>
      <c r="J260" s="309"/>
      <c r="K260" s="341" t="e">
        <f>G260</f>
        <v>#REF!</v>
      </c>
      <c r="M260" s="444"/>
      <c r="N260" s="444"/>
      <c r="O260" s="287"/>
      <c r="P260" s="74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E260" s="84"/>
    </row>
    <row r="261" spans="1:31" ht="16.5" thickBot="1">
      <c r="A261" s="1" t="s">
        <v>382</v>
      </c>
      <c r="B261" s="1"/>
      <c r="C261" s="311" t="e">
        <f>SUM(C259:C260)</f>
        <v>#REF!</v>
      </c>
      <c r="D261" s="311">
        <f>SUM(D259:D260)</f>
        <v>22630547.415536091</v>
      </c>
      <c r="E261" s="342"/>
      <c r="F261" s="343"/>
      <c r="G261" s="344" t="e">
        <f>G259+G260</f>
        <v>#REF!</v>
      </c>
      <c r="H261" s="344">
        <f>H259+H260</f>
        <v>1600006</v>
      </c>
      <c r="I261" s="342"/>
      <c r="J261" s="345"/>
      <c r="K261" s="344" t="e">
        <f>K259+K260</f>
        <v>#REF!</v>
      </c>
      <c r="M261" s="411"/>
      <c r="N261" s="411"/>
      <c r="O261" s="470"/>
      <c r="P261" s="74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E261" s="84"/>
    </row>
    <row r="262" spans="1:31" ht="16.5" thickTop="1">
      <c r="A262" s="1"/>
      <c r="B262" s="1"/>
      <c r="C262" s="350"/>
      <c r="D262" s="350"/>
      <c r="E262" s="351"/>
      <c r="F262" s="352"/>
      <c r="G262" s="322"/>
      <c r="H262" s="322"/>
      <c r="I262" s="351"/>
      <c r="J262" s="23"/>
      <c r="K262" s="322"/>
      <c r="M262" s="20"/>
      <c r="N262" s="20"/>
      <c r="O262" s="74"/>
      <c r="P262" s="74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E262" s="84"/>
    </row>
    <row r="263" spans="1:31">
      <c r="A263" s="293" t="s">
        <v>415</v>
      </c>
      <c r="B263" s="1"/>
      <c r="C263" s="1"/>
      <c r="D263" s="1"/>
      <c r="E263" s="2"/>
      <c r="F263" s="2"/>
      <c r="G263" s="1" t="s">
        <v>31</v>
      </c>
      <c r="H263" s="1"/>
      <c r="I263" s="2"/>
      <c r="J263" s="1"/>
      <c r="K263" s="1"/>
      <c r="M263" s="20"/>
      <c r="N263" s="20"/>
      <c r="O263" s="74"/>
      <c r="P263" s="74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E263" s="84"/>
    </row>
    <row r="264" spans="1:31">
      <c r="A264" s="1" t="s">
        <v>410</v>
      </c>
      <c r="B264" s="1"/>
      <c r="C264" s="1"/>
      <c r="D264" s="1"/>
      <c r="E264" s="2"/>
      <c r="F264" s="2"/>
      <c r="G264" s="1"/>
      <c r="H264" s="1"/>
      <c r="I264" s="2"/>
      <c r="J264" s="1"/>
      <c r="K264" s="1"/>
      <c r="M264" s="20"/>
      <c r="N264" s="20"/>
      <c r="O264" s="74"/>
      <c r="P264" s="74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E264" s="84"/>
    </row>
    <row r="265" spans="1:31">
      <c r="A265" s="1"/>
      <c r="B265" s="1"/>
      <c r="C265" s="1"/>
      <c r="D265" s="1"/>
      <c r="E265" s="2"/>
      <c r="F265" s="2"/>
      <c r="G265" s="1"/>
      <c r="H265" s="1"/>
      <c r="I265" s="2"/>
      <c r="J265" s="1"/>
      <c r="K265" s="1"/>
      <c r="M265" s="20"/>
      <c r="N265" s="20"/>
      <c r="O265" s="74"/>
      <c r="P265" s="74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E265" s="84"/>
    </row>
    <row r="266" spans="1:31">
      <c r="A266" s="1" t="s">
        <v>393</v>
      </c>
      <c r="B266" s="1"/>
      <c r="C266" s="319"/>
      <c r="D266" s="319"/>
      <c r="E266" s="2"/>
      <c r="F266" s="2"/>
      <c r="G266" s="1"/>
      <c r="H266" s="1"/>
      <c r="I266" s="2"/>
      <c r="J266" s="1"/>
      <c r="K266" s="1"/>
      <c r="M266" s="20"/>
      <c r="N266" s="20"/>
      <c r="O266" s="74"/>
      <c r="P266" s="74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E266" s="84"/>
    </row>
    <row r="267" spans="1:31">
      <c r="A267" s="1" t="s">
        <v>416</v>
      </c>
      <c r="B267" s="1"/>
      <c r="C267" s="319">
        <f t="shared" ref="C267:D269" si="24">C296+C325</f>
        <v>4924</v>
      </c>
      <c r="D267" s="319">
        <f t="shared" si="24"/>
        <v>4913</v>
      </c>
      <c r="E267" s="298">
        <f>$E$153</f>
        <v>7.53</v>
      </c>
      <c r="F267" s="321"/>
      <c r="G267" s="2">
        <f t="shared" ref="G267:H269" si="25">G296+G325</f>
        <v>37077</v>
      </c>
      <c r="H267" s="2">
        <f t="shared" si="25"/>
        <v>36994</v>
      </c>
      <c r="I267" s="298">
        <f>$I$153</f>
        <v>8</v>
      </c>
      <c r="J267" s="323"/>
      <c r="K267" s="2">
        <f>K296+K325</f>
        <v>39392</v>
      </c>
      <c r="M267" s="20"/>
      <c r="N267" s="20"/>
      <c r="O267" s="74"/>
      <c r="P267" s="74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E267" s="84"/>
    </row>
    <row r="268" spans="1:31">
      <c r="A268" s="1" t="s">
        <v>391</v>
      </c>
      <c r="B268" s="1"/>
      <c r="C268" s="319">
        <f t="shared" si="24"/>
        <v>0</v>
      </c>
      <c r="D268" s="319">
        <f t="shared" si="24"/>
        <v>0</v>
      </c>
      <c r="E268" s="298">
        <f>$E$154</f>
        <v>11.18</v>
      </c>
      <c r="F268" s="324"/>
      <c r="G268" s="2">
        <f t="shared" si="25"/>
        <v>0</v>
      </c>
      <c r="H268" s="2">
        <f t="shared" si="25"/>
        <v>0</v>
      </c>
      <c r="I268" s="298">
        <f>$I$154</f>
        <v>11.877822045152721</v>
      </c>
      <c r="J268" s="325"/>
      <c r="K268" s="2">
        <f>K297+K326</f>
        <v>0</v>
      </c>
      <c r="M268" s="20"/>
      <c r="N268" s="20"/>
      <c r="O268" s="74"/>
      <c r="P268" s="74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E268" s="84"/>
    </row>
    <row r="269" spans="1:31">
      <c r="A269" s="1" t="s">
        <v>392</v>
      </c>
      <c r="B269" s="1"/>
      <c r="C269" s="319">
        <f t="shared" si="24"/>
        <v>0</v>
      </c>
      <c r="D269" s="319">
        <f t="shared" si="24"/>
        <v>0</v>
      </c>
      <c r="E269" s="298">
        <f>$E$155</f>
        <v>0.78</v>
      </c>
      <c r="F269" s="324"/>
      <c r="G269" s="2">
        <f t="shared" si="25"/>
        <v>0</v>
      </c>
      <c r="H269" s="2">
        <f t="shared" si="25"/>
        <v>0</v>
      </c>
      <c r="I269" s="298">
        <f>$I$155</f>
        <v>0.83</v>
      </c>
      <c r="J269" s="325"/>
      <c r="K269" s="2">
        <f>K298+K327</f>
        <v>0</v>
      </c>
      <c r="M269" s="20"/>
      <c r="N269" s="20"/>
      <c r="O269" s="74"/>
      <c r="P269" s="74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E269" s="84"/>
    </row>
    <row r="270" spans="1:31">
      <c r="A270" s="1" t="s">
        <v>394</v>
      </c>
      <c r="B270" s="1"/>
      <c r="C270" s="319">
        <f>SUM(C267:C268)</f>
        <v>4924</v>
      </c>
      <c r="D270" s="319">
        <f>SUM(D267:D268)</f>
        <v>4913</v>
      </c>
      <c r="E270" s="298"/>
      <c r="F270" s="321"/>
      <c r="G270" s="2"/>
      <c r="H270" s="2"/>
      <c r="I270" s="298"/>
      <c r="J270" s="323"/>
      <c r="K270" s="2"/>
      <c r="M270" s="20"/>
      <c r="N270" s="20"/>
      <c r="O270" s="74"/>
      <c r="P270" s="74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E270" s="84"/>
    </row>
    <row r="271" spans="1:31">
      <c r="A271" s="1" t="s">
        <v>362</v>
      </c>
      <c r="B271" s="1"/>
      <c r="C271" s="319">
        <f t="shared" ref="C271:D276" si="26">C300+C329</f>
        <v>1621</v>
      </c>
      <c r="D271" s="319">
        <f t="shared" si="26"/>
        <v>1617</v>
      </c>
      <c r="E271" s="298"/>
      <c r="F271" s="321"/>
      <c r="G271" s="2"/>
      <c r="H271" s="2"/>
      <c r="I271" s="298"/>
      <c r="J271" s="323"/>
      <c r="K271" s="2"/>
      <c r="M271" s="20"/>
      <c r="N271" s="20"/>
      <c r="O271" s="74"/>
      <c r="P271" s="74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E271" s="84"/>
    </row>
    <row r="272" spans="1:31">
      <c r="A272" s="1" t="s">
        <v>395</v>
      </c>
      <c r="B272" s="1"/>
      <c r="C272" s="319">
        <f t="shared" si="26"/>
        <v>0</v>
      </c>
      <c r="D272" s="319">
        <f t="shared" si="26"/>
        <v>0</v>
      </c>
      <c r="E272" s="326">
        <f>$E$158</f>
        <v>2.88</v>
      </c>
      <c r="F272" s="323"/>
      <c r="G272" s="2">
        <f t="shared" ref="G272:H276" si="27">G301+G330</f>
        <v>0</v>
      </c>
      <c r="H272" s="2">
        <f t="shared" si="27"/>
        <v>0</v>
      </c>
      <c r="I272" s="326">
        <f>$I$158</f>
        <v>2.97</v>
      </c>
      <c r="J272" s="323"/>
      <c r="K272" s="2">
        <f>K301+K330</f>
        <v>0</v>
      </c>
      <c r="M272" s="20"/>
      <c r="N272" s="20"/>
      <c r="O272" s="74"/>
      <c r="P272" s="74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E272" s="84"/>
    </row>
    <row r="273" spans="1:31">
      <c r="A273" s="1" t="s">
        <v>397</v>
      </c>
      <c r="B273" s="1"/>
      <c r="C273" s="319">
        <f t="shared" si="26"/>
        <v>1398823</v>
      </c>
      <c r="D273" s="319">
        <f t="shared" si="26"/>
        <v>1445705</v>
      </c>
      <c r="E273" s="299">
        <f>$E$159</f>
        <v>8.0890000000000004</v>
      </c>
      <c r="F273" s="323" t="s">
        <v>374</v>
      </c>
      <c r="G273" s="2">
        <f t="shared" si="27"/>
        <v>113151</v>
      </c>
      <c r="H273" s="2">
        <f t="shared" si="27"/>
        <v>116943</v>
      </c>
      <c r="I273" s="299">
        <f>$I$159</f>
        <v>8.8109999999999999</v>
      </c>
      <c r="J273" s="323" t="s">
        <v>374</v>
      </c>
      <c r="K273" s="2">
        <f>K302+K331</f>
        <v>123250</v>
      </c>
      <c r="M273" s="20"/>
      <c r="N273" s="20"/>
      <c r="O273" s="74"/>
      <c r="P273" s="74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E273" s="84"/>
    </row>
    <row r="274" spans="1:31">
      <c r="A274" s="1" t="s">
        <v>398</v>
      </c>
      <c r="B274" s="1"/>
      <c r="C274" s="319">
        <f t="shared" si="26"/>
        <v>64813</v>
      </c>
      <c r="D274" s="319">
        <f t="shared" si="26"/>
        <v>66790</v>
      </c>
      <c r="E274" s="299">
        <f>$E$160</f>
        <v>5.5839999999999996</v>
      </c>
      <c r="F274" s="323" t="s">
        <v>374</v>
      </c>
      <c r="G274" s="2">
        <f t="shared" si="27"/>
        <v>3619</v>
      </c>
      <c r="H274" s="2">
        <f t="shared" si="27"/>
        <v>3730</v>
      </c>
      <c r="I274" s="299">
        <f>$I$160</f>
        <v>6.0819999999999999</v>
      </c>
      <c r="J274" s="323" t="s">
        <v>374</v>
      </c>
      <c r="K274" s="2">
        <f>K303+K332</f>
        <v>3942</v>
      </c>
      <c r="M274" s="20"/>
      <c r="N274" s="20"/>
      <c r="O274" s="74"/>
      <c r="P274" s="74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E274" s="84"/>
    </row>
    <row r="275" spans="1:31">
      <c r="A275" s="1" t="s">
        <v>399</v>
      </c>
      <c r="B275" s="1"/>
      <c r="C275" s="319">
        <f t="shared" si="26"/>
        <v>0</v>
      </c>
      <c r="D275" s="319">
        <f t="shared" si="26"/>
        <v>0</v>
      </c>
      <c r="E275" s="299">
        <f>$E$161</f>
        <v>4.8099999999999996</v>
      </c>
      <c r="F275" s="323" t="s">
        <v>374</v>
      </c>
      <c r="G275" s="2">
        <f t="shared" si="27"/>
        <v>0</v>
      </c>
      <c r="H275" s="2">
        <f t="shared" si="27"/>
        <v>0</v>
      </c>
      <c r="I275" s="299">
        <f>$I$161</f>
        <v>5.24</v>
      </c>
      <c r="J275" s="323" t="s">
        <v>374</v>
      </c>
      <c r="K275" s="2">
        <f>K304+K333</f>
        <v>0</v>
      </c>
      <c r="M275" s="20"/>
      <c r="N275" s="20"/>
      <c r="O275" s="74"/>
      <c r="P275" s="74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E275" s="84"/>
    </row>
    <row r="276" spans="1:31">
      <c r="A276" s="1" t="s">
        <v>400</v>
      </c>
      <c r="B276" s="1"/>
      <c r="C276" s="319">
        <f t="shared" si="26"/>
        <v>0</v>
      </c>
      <c r="D276" s="319">
        <f t="shared" si="26"/>
        <v>0</v>
      </c>
      <c r="E276" s="330">
        <f>$E$162</f>
        <v>45</v>
      </c>
      <c r="F276" s="321" t="s">
        <v>374</v>
      </c>
      <c r="G276" s="2">
        <f t="shared" si="27"/>
        <v>0</v>
      </c>
      <c r="H276" s="2">
        <f t="shared" si="27"/>
        <v>0</v>
      </c>
      <c r="I276" s="330">
        <f>$I$162</f>
        <v>50</v>
      </c>
      <c r="J276" s="323" t="s">
        <v>374</v>
      </c>
      <c r="K276" s="2">
        <f>K305+K334</f>
        <v>0</v>
      </c>
      <c r="M276" s="20"/>
      <c r="N276" s="20"/>
      <c r="O276" s="74"/>
      <c r="P276" s="74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E276" s="84"/>
    </row>
    <row r="277" spans="1:31">
      <c r="A277" s="331" t="s">
        <v>401</v>
      </c>
      <c r="B277" s="1"/>
      <c r="C277" s="319"/>
      <c r="D277" s="319"/>
      <c r="E277" s="332">
        <v>-0.01</v>
      </c>
      <c r="F277" s="321"/>
      <c r="G277" s="2"/>
      <c r="H277" s="2"/>
      <c r="I277" s="332">
        <v>-0.01</v>
      </c>
      <c r="J277" s="323"/>
      <c r="K277" s="2"/>
      <c r="M277" s="20"/>
      <c r="N277" s="20"/>
      <c r="O277" s="74"/>
      <c r="P277" s="74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E277" s="84"/>
    </row>
    <row r="278" spans="1:31">
      <c r="A278" s="1" t="s">
        <v>390</v>
      </c>
      <c r="B278" s="1"/>
      <c r="C278" s="319">
        <v>0</v>
      </c>
      <c r="D278" s="319">
        <v>0</v>
      </c>
      <c r="E278" s="334">
        <f>E267</f>
        <v>7.53</v>
      </c>
      <c r="F278" s="321"/>
      <c r="G278" s="2">
        <f t="shared" ref="G278:H289" si="28">G307+G336</f>
        <v>0</v>
      </c>
      <c r="H278" s="2">
        <f t="shared" si="28"/>
        <v>0</v>
      </c>
      <c r="I278" s="334">
        <f>I267</f>
        <v>8</v>
      </c>
      <c r="J278" s="321"/>
      <c r="K278" s="2">
        <f t="shared" ref="K278:K288" si="29">K307+K336</f>
        <v>0</v>
      </c>
      <c r="M278" s="20"/>
      <c r="N278" s="20"/>
      <c r="O278" s="74"/>
      <c r="P278" s="74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E278" s="84"/>
    </row>
    <row r="279" spans="1:31">
      <c r="A279" s="1" t="s">
        <v>391</v>
      </c>
      <c r="B279" s="1"/>
      <c r="C279" s="319">
        <v>0</v>
      </c>
      <c r="D279" s="319">
        <v>0</v>
      </c>
      <c r="E279" s="334">
        <f>E268</f>
        <v>11.18</v>
      </c>
      <c r="F279" s="321"/>
      <c r="G279" s="2">
        <f t="shared" si="28"/>
        <v>0</v>
      </c>
      <c r="H279" s="2">
        <f t="shared" si="28"/>
        <v>0</v>
      </c>
      <c r="I279" s="334">
        <f>I268</f>
        <v>11.877822045152721</v>
      </c>
      <c r="J279" s="321"/>
      <c r="K279" s="2">
        <f t="shared" si="29"/>
        <v>0</v>
      </c>
      <c r="M279" s="20"/>
      <c r="N279" s="20"/>
      <c r="O279" s="74"/>
      <c r="P279" s="74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E279" s="84"/>
    </row>
    <row r="280" spans="1:31">
      <c r="A280" s="1" t="s">
        <v>402</v>
      </c>
      <c r="B280" s="1"/>
      <c r="C280" s="319">
        <v>0</v>
      </c>
      <c r="D280" s="319">
        <v>0</v>
      </c>
      <c r="E280" s="334">
        <f>E269</f>
        <v>0.78</v>
      </c>
      <c r="F280" s="321"/>
      <c r="G280" s="2">
        <f t="shared" si="28"/>
        <v>0</v>
      </c>
      <c r="H280" s="2">
        <f t="shared" si="28"/>
        <v>0</v>
      </c>
      <c r="I280" s="334">
        <f>I269</f>
        <v>0.83</v>
      </c>
      <c r="J280" s="321"/>
      <c r="K280" s="2">
        <f t="shared" si="29"/>
        <v>0</v>
      </c>
      <c r="M280" s="20"/>
      <c r="N280" s="20"/>
      <c r="O280" s="74"/>
      <c r="P280" s="74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E280" s="84"/>
    </row>
    <row r="281" spans="1:31">
      <c r="A281" s="1" t="s">
        <v>403</v>
      </c>
      <c r="B281" s="1"/>
      <c r="C281" s="319">
        <v>0</v>
      </c>
      <c r="D281" s="319">
        <v>0</v>
      </c>
      <c r="E281" s="334">
        <f>E272</f>
        <v>2.88</v>
      </c>
      <c r="F281" s="323"/>
      <c r="G281" s="2">
        <f t="shared" si="28"/>
        <v>0</v>
      </c>
      <c r="H281" s="2">
        <f t="shared" si="28"/>
        <v>0</v>
      </c>
      <c r="I281" s="334">
        <f>I272</f>
        <v>2.97</v>
      </c>
      <c r="J281" s="323"/>
      <c r="K281" s="2">
        <f t="shared" si="29"/>
        <v>0</v>
      </c>
      <c r="M281" s="20"/>
      <c r="N281" s="20"/>
      <c r="O281" s="74"/>
      <c r="P281" s="74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E281" s="84"/>
    </row>
    <row r="282" spans="1:31">
      <c r="A282" s="1" t="s">
        <v>405</v>
      </c>
      <c r="B282" s="1"/>
      <c r="C282" s="319">
        <v>0</v>
      </c>
      <c r="D282" s="319">
        <v>0</v>
      </c>
      <c r="E282" s="335">
        <f>E273</f>
        <v>8.0890000000000004</v>
      </c>
      <c r="F282" s="323" t="s">
        <v>374</v>
      </c>
      <c r="G282" s="2">
        <f t="shared" si="28"/>
        <v>0</v>
      </c>
      <c r="H282" s="2">
        <f t="shared" si="28"/>
        <v>0</v>
      </c>
      <c r="I282" s="335">
        <f>I273</f>
        <v>8.8109999999999999</v>
      </c>
      <c r="J282" s="323" t="s">
        <v>374</v>
      </c>
      <c r="K282" s="2">
        <f t="shared" si="29"/>
        <v>0</v>
      </c>
      <c r="M282" s="20"/>
      <c r="N282" s="20"/>
      <c r="O282" s="74"/>
      <c r="P282" s="74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E282" s="84"/>
    </row>
    <row r="283" spans="1:31">
      <c r="A283" s="1" t="s">
        <v>398</v>
      </c>
      <c r="B283" s="1"/>
      <c r="C283" s="319">
        <v>0</v>
      </c>
      <c r="D283" s="319">
        <v>0</v>
      </c>
      <c r="E283" s="335">
        <f>E274</f>
        <v>5.5839999999999996</v>
      </c>
      <c r="F283" s="323" t="s">
        <v>374</v>
      </c>
      <c r="G283" s="2">
        <f t="shared" si="28"/>
        <v>0</v>
      </c>
      <c r="H283" s="2">
        <f t="shared" si="28"/>
        <v>0</v>
      </c>
      <c r="I283" s="335">
        <f>I274</f>
        <v>6.0819999999999999</v>
      </c>
      <c r="J283" s="323" t="s">
        <v>374</v>
      </c>
      <c r="K283" s="2">
        <f t="shared" si="29"/>
        <v>0</v>
      </c>
      <c r="M283" s="20"/>
      <c r="N283" s="20"/>
      <c r="O283" s="74"/>
      <c r="P283" s="74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E283" s="84"/>
    </row>
    <row r="284" spans="1:31">
      <c r="A284" s="1" t="s">
        <v>399</v>
      </c>
      <c r="B284" s="1"/>
      <c r="C284" s="319">
        <v>0</v>
      </c>
      <c r="D284" s="319">
        <v>0</v>
      </c>
      <c r="E284" s="335">
        <f>E275</f>
        <v>4.8099999999999996</v>
      </c>
      <c r="F284" s="323" t="s">
        <v>374</v>
      </c>
      <c r="G284" s="2">
        <f t="shared" si="28"/>
        <v>0</v>
      </c>
      <c r="H284" s="2">
        <f t="shared" si="28"/>
        <v>0</v>
      </c>
      <c r="I284" s="335">
        <f>I275</f>
        <v>5.24</v>
      </c>
      <c r="J284" s="323" t="s">
        <v>374</v>
      </c>
      <c r="K284" s="2">
        <f t="shared" si="29"/>
        <v>0</v>
      </c>
      <c r="M284" s="20"/>
      <c r="N284" s="20"/>
      <c r="O284" s="74"/>
      <c r="P284" s="74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E284" s="84"/>
    </row>
    <row r="285" spans="1:31">
      <c r="A285" s="1" t="s">
        <v>400</v>
      </c>
      <c r="B285" s="1"/>
      <c r="C285" s="319">
        <v>0</v>
      </c>
      <c r="D285" s="319">
        <v>0</v>
      </c>
      <c r="E285" s="336">
        <f>E276</f>
        <v>45</v>
      </c>
      <c r="F285" s="323" t="s">
        <v>374</v>
      </c>
      <c r="G285" s="2">
        <f t="shared" si="28"/>
        <v>0</v>
      </c>
      <c r="H285" s="2">
        <f t="shared" si="28"/>
        <v>0</v>
      </c>
      <c r="I285" s="336">
        <f>I276</f>
        <v>50</v>
      </c>
      <c r="J285" s="323" t="s">
        <v>374</v>
      </c>
      <c r="K285" s="2">
        <f t="shared" si="29"/>
        <v>0</v>
      </c>
      <c r="M285" s="20"/>
      <c r="N285" s="20"/>
      <c r="O285" s="74"/>
      <c r="P285" s="74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E285" s="84"/>
    </row>
    <row r="286" spans="1:31">
      <c r="A286" s="1" t="s">
        <v>407</v>
      </c>
      <c r="B286" s="1"/>
      <c r="C286" s="319">
        <v>0</v>
      </c>
      <c r="D286" s="319">
        <v>0</v>
      </c>
      <c r="E286" s="337">
        <f>$E$172</f>
        <v>60</v>
      </c>
      <c r="F286" s="321"/>
      <c r="G286" s="2">
        <f t="shared" si="28"/>
        <v>0</v>
      </c>
      <c r="H286" s="2">
        <f t="shared" si="28"/>
        <v>0</v>
      </c>
      <c r="I286" s="337">
        <f>$I$172</f>
        <v>60</v>
      </c>
      <c r="J286" s="323"/>
      <c r="K286" s="2">
        <f t="shared" si="29"/>
        <v>0</v>
      </c>
      <c r="M286" s="20"/>
      <c r="N286" s="20"/>
      <c r="O286" s="74"/>
      <c r="P286" s="74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E286" s="84"/>
    </row>
    <row r="287" spans="1:31">
      <c r="A287" s="1" t="s">
        <v>408</v>
      </c>
      <c r="B287" s="1"/>
      <c r="C287" s="319">
        <v>0</v>
      </c>
      <c r="D287" s="319">
        <v>0</v>
      </c>
      <c r="E287" s="339">
        <f>$E$173</f>
        <v>-30</v>
      </c>
      <c r="F287" s="321" t="s">
        <v>374</v>
      </c>
      <c r="G287" s="2">
        <f t="shared" si="28"/>
        <v>0</v>
      </c>
      <c r="H287" s="2">
        <f t="shared" si="28"/>
        <v>0</v>
      </c>
      <c r="I287" s="339">
        <f>$I$173</f>
        <v>-30</v>
      </c>
      <c r="J287" s="323" t="s">
        <v>374</v>
      </c>
      <c r="K287" s="2">
        <f t="shared" si="29"/>
        <v>0</v>
      </c>
      <c r="M287" s="20"/>
      <c r="N287" s="20"/>
      <c r="O287" s="74"/>
      <c r="P287" s="74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E287" s="84"/>
    </row>
    <row r="288" spans="1:31">
      <c r="A288" s="1" t="s">
        <v>381</v>
      </c>
      <c r="B288" s="1"/>
      <c r="C288" s="319">
        <f>C317+C346</f>
        <v>1463636</v>
      </c>
      <c r="D288" s="319">
        <f>D317+D346</f>
        <v>1512494.9193898283</v>
      </c>
      <c r="E288" s="330"/>
      <c r="F288" s="2"/>
      <c r="G288" s="2">
        <f t="shared" si="28"/>
        <v>153847</v>
      </c>
      <c r="H288" s="2">
        <f t="shared" si="28"/>
        <v>157667</v>
      </c>
      <c r="I288" s="330"/>
      <c r="J288" s="323"/>
      <c r="K288" s="2">
        <f t="shared" si="29"/>
        <v>166584</v>
      </c>
      <c r="M288" s="20"/>
      <c r="N288" s="20"/>
      <c r="O288" s="74"/>
      <c r="P288" s="74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E288" s="84"/>
    </row>
    <row r="289" spans="1:31">
      <c r="A289" s="1" t="s">
        <v>363</v>
      </c>
      <c r="B289" s="1"/>
      <c r="C289" s="340" t="e">
        <f>C318+C347</f>
        <v>#REF!</v>
      </c>
      <c r="D289" s="340">
        <f>D318+D347</f>
        <v>0</v>
      </c>
      <c r="E289" s="309"/>
      <c r="F289" s="309"/>
      <c r="G289" s="341" t="e">
        <f t="shared" si="28"/>
        <v>#REF!</v>
      </c>
      <c r="H289" s="341">
        <f t="shared" si="28"/>
        <v>0</v>
      </c>
      <c r="I289" s="309"/>
      <c r="J289" s="309"/>
      <c r="K289" s="341" t="e">
        <f>G289</f>
        <v>#REF!</v>
      </c>
      <c r="M289" s="444"/>
      <c r="N289" s="444"/>
      <c r="O289" s="287"/>
      <c r="P289" s="74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E289" s="84"/>
    </row>
    <row r="290" spans="1:31" ht="16.5" thickBot="1">
      <c r="A290" s="1" t="s">
        <v>382</v>
      </c>
      <c r="B290" s="1"/>
      <c r="C290" s="311" t="e">
        <f>SUM(C288:C289)</f>
        <v>#REF!</v>
      </c>
      <c r="D290" s="311">
        <f>SUM(D288:D289)</f>
        <v>1512494.9193898283</v>
      </c>
      <c r="E290" s="342"/>
      <c r="F290" s="343"/>
      <c r="G290" s="344" t="e">
        <f>G288+G289</f>
        <v>#REF!</v>
      </c>
      <c r="H290" s="344">
        <f>H288+H289</f>
        <v>157667</v>
      </c>
      <c r="I290" s="342"/>
      <c r="J290" s="345"/>
      <c r="K290" s="344" t="e">
        <f>K288+K289</f>
        <v>#REF!</v>
      </c>
      <c r="M290" s="411"/>
      <c r="N290" s="411"/>
      <c r="O290" s="470"/>
      <c r="P290" s="74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E290" s="84"/>
    </row>
    <row r="291" spans="1:31" ht="16.5" thickTop="1">
      <c r="A291" s="1"/>
      <c r="B291" s="1"/>
      <c r="C291" s="21"/>
      <c r="D291" s="21"/>
      <c r="E291" s="337"/>
      <c r="F291" s="2"/>
      <c r="G291" s="2"/>
      <c r="H291" s="2"/>
      <c r="I291" s="337"/>
      <c r="J291" s="1"/>
      <c r="K291" s="2" t="s">
        <v>31</v>
      </c>
      <c r="M291" s="20"/>
      <c r="N291" s="20"/>
      <c r="O291" s="74"/>
      <c r="P291" s="74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E291" s="84"/>
    </row>
    <row r="292" spans="1:31">
      <c r="A292" s="293" t="s">
        <v>415</v>
      </c>
      <c r="B292" s="1"/>
      <c r="C292" s="1"/>
      <c r="D292" s="1"/>
      <c r="E292" s="2"/>
      <c r="F292" s="2"/>
      <c r="G292" s="1" t="s">
        <v>31</v>
      </c>
      <c r="H292" s="1"/>
      <c r="I292" s="2"/>
      <c r="J292" s="1"/>
      <c r="K292" s="1"/>
      <c r="M292" s="20"/>
      <c r="N292" s="20"/>
      <c r="O292" s="74"/>
      <c r="P292" s="74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E292" s="84"/>
    </row>
    <row r="293" spans="1:31">
      <c r="A293" s="1" t="s">
        <v>411</v>
      </c>
      <c r="B293" s="1"/>
      <c r="C293" s="1"/>
      <c r="D293" s="1"/>
      <c r="E293" s="2"/>
      <c r="F293" s="2"/>
      <c r="G293" s="1"/>
      <c r="H293" s="1"/>
      <c r="I293" s="2"/>
      <c r="J293" s="1"/>
      <c r="K293" s="1"/>
      <c r="M293" s="20"/>
      <c r="N293" s="20"/>
      <c r="O293" s="74"/>
      <c r="P293" s="74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E293" s="84"/>
    </row>
    <row r="294" spans="1:31">
      <c r="A294" s="1"/>
      <c r="B294" s="1"/>
      <c r="C294" s="1"/>
      <c r="D294" s="1"/>
      <c r="E294" s="2"/>
      <c r="F294" s="2"/>
      <c r="G294" s="1"/>
      <c r="H294" s="1"/>
      <c r="I294" s="2"/>
      <c r="J294" s="1"/>
      <c r="K294" s="1"/>
      <c r="M294" s="20"/>
      <c r="N294" s="20"/>
      <c r="O294" s="74"/>
      <c r="P294" s="74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E294" s="84"/>
    </row>
    <row r="295" spans="1:31">
      <c r="A295" s="1" t="s">
        <v>393</v>
      </c>
      <c r="B295" s="1"/>
      <c r="C295" s="319"/>
      <c r="D295" s="319"/>
      <c r="E295" s="2"/>
      <c r="F295" s="2"/>
      <c r="G295" s="1"/>
      <c r="H295" s="1"/>
      <c r="I295" s="2"/>
      <c r="J295" s="1"/>
      <c r="K295" s="1"/>
      <c r="M295" s="20"/>
      <c r="N295" s="20"/>
      <c r="O295" s="74"/>
      <c r="P295" s="74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E295" s="84"/>
    </row>
    <row r="296" spans="1:31">
      <c r="A296" s="1" t="s">
        <v>416</v>
      </c>
      <c r="B296" s="1"/>
      <c r="C296" s="319">
        <f>3953+455</f>
        <v>4408</v>
      </c>
      <c r="D296" s="319">
        <f>ROUND((D300/C300)*C296,0)</f>
        <v>4397</v>
      </c>
      <c r="E296" s="298">
        <f>$E$153</f>
        <v>7.53</v>
      </c>
      <c r="F296" s="321"/>
      <c r="G296" s="2">
        <f>ROUND(E296*$C296,0)</f>
        <v>33192</v>
      </c>
      <c r="H296" s="2">
        <f>ROUND(E296*$D296,0)</f>
        <v>33109</v>
      </c>
      <c r="I296" s="298">
        <f>$I$153</f>
        <v>8</v>
      </c>
      <c r="J296" s="323"/>
      <c r="K296" s="2">
        <f>ROUND(I296*$C296,0)</f>
        <v>35264</v>
      </c>
      <c r="M296" s="20"/>
      <c r="N296" s="20"/>
      <c r="O296" s="74"/>
      <c r="P296" s="74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E296" s="84"/>
    </row>
    <row r="297" spans="1:31">
      <c r="A297" s="1" t="s">
        <v>391</v>
      </c>
      <c r="B297" s="1"/>
      <c r="C297" s="319">
        <v>0</v>
      </c>
      <c r="D297" s="319">
        <v>0</v>
      </c>
      <c r="E297" s="298">
        <f>$E$154</f>
        <v>11.18</v>
      </c>
      <c r="F297" s="324"/>
      <c r="G297" s="2">
        <f>ROUND(E297*$C297,0)</f>
        <v>0</v>
      </c>
      <c r="H297" s="2">
        <f>ROUND(E297*$D297,0)</f>
        <v>0</v>
      </c>
      <c r="I297" s="298">
        <f>$I$154</f>
        <v>11.877822045152721</v>
      </c>
      <c r="J297" s="325"/>
      <c r="K297" s="2">
        <f>ROUND(I297*$C297,0)</f>
        <v>0</v>
      </c>
      <c r="M297" s="20"/>
      <c r="N297" s="20"/>
      <c r="O297" s="74"/>
      <c r="P297" s="74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E297" s="84"/>
    </row>
    <row r="298" spans="1:31">
      <c r="A298" s="1" t="s">
        <v>392</v>
      </c>
      <c r="B298" s="1"/>
      <c r="C298" s="319">
        <v>0</v>
      </c>
      <c r="D298" s="319">
        <v>0</v>
      </c>
      <c r="E298" s="298">
        <f>$E$155</f>
        <v>0.78</v>
      </c>
      <c r="F298" s="324"/>
      <c r="G298" s="2">
        <f>ROUND(E298*$C298,0)</f>
        <v>0</v>
      </c>
      <c r="H298" s="2">
        <f>ROUND(E298*$D298,0)</f>
        <v>0</v>
      </c>
      <c r="I298" s="298">
        <f>$I$155</f>
        <v>0.83</v>
      </c>
      <c r="J298" s="325"/>
      <c r="K298" s="2">
        <f>ROUND(I298*$C298,0)</f>
        <v>0</v>
      </c>
      <c r="M298" s="20"/>
      <c r="N298" s="20"/>
      <c r="O298" s="74"/>
      <c r="P298" s="74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E298" s="84"/>
    </row>
    <row r="299" spans="1:31">
      <c r="A299" s="1" t="s">
        <v>394</v>
      </c>
      <c r="B299" s="1"/>
      <c r="C299" s="319">
        <f>SUM(C296:C297)</f>
        <v>4408</v>
      </c>
      <c r="D299" s="319">
        <f>ROUND((D300/C300)*C299,0)</f>
        <v>4397</v>
      </c>
      <c r="E299" s="298"/>
      <c r="F299" s="321"/>
      <c r="G299" s="2"/>
      <c r="H299" s="2"/>
      <c r="I299" s="298"/>
      <c r="J299" s="323"/>
      <c r="K299" s="2"/>
      <c r="M299" s="20"/>
      <c r="N299" s="20"/>
      <c r="O299" s="74"/>
      <c r="P299" s="74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E299" s="84"/>
    </row>
    <row r="300" spans="1:31">
      <c r="A300" s="1" t="s">
        <v>362</v>
      </c>
      <c r="B300" s="1"/>
      <c r="C300" s="319">
        <f>108+1465</f>
        <v>1573</v>
      </c>
      <c r="D300" s="319">
        <v>1569</v>
      </c>
      <c r="E300" s="298"/>
      <c r="F300" s="321"/>
      <c r="G300" s="2"/>
      <c r="H300" s="2"/>
      <c r="I300" s="298"/>
      <c r="J300" s="323"/>
      <c r="K300" s="2"/>
      <c r="M300" s="20"/>
      <c r="N300" s="20"/>
      <c r="O300" s="74"/>
      <c r="P300" s="74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E300" s="84"/>
    </row>
    <row r="301" spans="1:31">
      <c r="A301" s="1" t="s">
        <v>395</v>
      </c>
      <c r="B301" s="1"/>
      <c r="C301" s="319">
        <v>0</v>
      </c>
      <c r="D301" s="319">
        <v>0</v>
      </c>
      <c r="E301" s="326">
        <f>$E$158</f>
        <v>2.88</v>
      </c>
      <c r="F301" s="323"/>
      <c r="G301" s="2">
        <f>ROUND(E301*$C301,0)</f>
        <v>0</v>
      </c>
      <c r="H301" s="2">
        <f>ROUND(E301*$D301,0)</f>
        <v>0</v>
      </c>
      <c r="I301" s="326">
        <f>$I$158</f>
        <v>2.97</v>
      </c>
      <c r="J301" s="323"/>
      <c r="K301" s="2">
        <f>ROUND(I301*$C301,0)</f>
        <v>0</v>
      </c>
      <c r="M301" s="20"/>
      <c r="N301" s="20"/>
      <c r="O301" s="74"/>
      <c r="P301" s="74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E301" s="84"/>
    </row>
    <row r="302" spans="1:31">
      <c r="A302" s="1" t="s">
        <v>397</v>
      </c>
      <c r="B302" s="1"/>
      <c r="C302" s="319">
        <f>36361+1146150+183000</f>
        <v>1365511</v>
      </c>
      <c r="D302" s="319">
        <f>ROUND(($D$317/'Billing Determinants (2)'!$C$317)*C302,0)</f>
        <v>1407168</v>
      </c>
      <c r="E302" s="299">
        <f>$E$159</f>
        <v>8.0890000000000004</v>
      </c>
      <c r="F302" s="323" t="s">
        <v>374</v>
      </c>
      <c r="G302" s="2">
        <f>ROUND(E302*$C302/100,0)</f>
        <v>110456</v>
      </c>
      <c r="H302" s="2">
        <f>ROUND(E302*$D302/100,0)</f>
        <v>113826</v>
      </c>
      <c r="I302" s="299">
        <f>$I$159</f>
        <v>8.8109999999999999</v>
      </c>
      <c r="J302" s="323" t="s">
        <v>374</v>
      </c>
      <c r="K302" s="2">
        <f>ROUND(I302*$C302/100,0)</f>
        <v>120315</v>
      </c>
      <c r="M302" s="20"/>
      <c r="N302" s="20"/>
      <c r="O302" s="74"/>
      <c r="P302" s="74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E302" s="84"/>
    </row>
    <row r="303" spans="1:31">
      <c r="A303" s="1" t="s">
        <v>398</v>
      </c>
      <c r="B303" s="21"/>
      <c r="C303" s="319">
        <f>64813</f>
        <v>64813</v>
      </c>
      <c r="D303" s="319">
        <f>ROUND(($D$317/'Billing Determinants (2)'!$C$317)*C303,0)</f>
        <v>66790</v>
      </c>
      <c r="E303" s="299">
        <f>$E$160</f>
        <v>5.5839999999999996</v>
      </c>
      <c r="F303" s="323" t="s">
        <v>374</v>
      </c>
      <c r="G303" s="2">
        <f>ROUND(E303*$C303/100,0)</f>
        <v>3619</v>
      </c>
      <c r="H303" s="2">
        <f>ROUND(E303*$D303/100,0)</f>
        <v>3730</v>
      </c>
      <c r="I303" s="299">
        <f>$I$160</f>
        <v>6.0819999999999999</v>
      </c>
      <c r="J303" s="323" t="s">
        <v>374</v>
      </c>
      <c r="K303" s="2">
        <f>ROUND(I303*$C303/100,0)</f>
        <v>3942</v>
      </c>
      <c r="M303" s="20"/>
      <c r="N303" s="20"/>
      <c r="O303" s="74"/>
      <c r="P303" s="74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E303" s="84"/>
    </row>
    <row r="304" spans="1:31">
      <c r="A304" s="1" t="s">
        <v>399</v>
      </c>
      <c r="B304" s="1"/>
      <c r="C304" s="319">
        <f>36361+1210963+183000-C302-C303</f>
        <v>0</v>
      </c>
      <c r="D304" s="319">
        <f>ROUND(($D$317/'Billing Determinants (2)'!$C$317)*C304,0)</f>
        <v>0</v>
      </c>
      <c r="E304" s="299">
        <f>$E$161</f>
        <v>4.8099999999999996</v>
      </c>
      <c r="F304" s="323" t="s">
        <v>374</v>
      </c>
      <c r="G304" s="2">
        <f>ROUND(E304*$C304/100,0)</f>
        <v>0</v>
      </c>
      <c r="H304" s="2">
        <f>ROUND(E304*$D304/100,0)</f>
        <v>0</v>
      </c>
      <c r="I304" s="299">
        <f>$I$161</f>
        <v>5.24</v>
      </c>
      <c r="J304" s="323" t="s">
        <v>374</v>
      </c>
      <c r="K304" s="2">
        <f>ROUND(I304*$C304/100,0)</f>
        <v>0</v>
      </c>
      <c r="M304" s="20"/>
      <c r="N304" s="20"/>
      <c r="O304" s="74"/>
      <c r="P304" s="74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E304" s="84"/>
    </row>
    <row r="305" spans="1:31">
      <c r="A305" s="1" t="s">
        <v>400</v>
      </c>
      <c r="B305" s="1"/>
      <c r="C305" s="319">
        <v>0</v>
      </c>
      <c r="D305" s="319">
        <f>ROUND(($D$317/'Billing Determinants (2)'!$C$317)*C305,0)</f>
        <v>0</v>
      </c>
      <c r="E305" s="330">
        <f>$E$162</f>
        <v>45</v>
      </c>
      <c r="F305" s="321" t="s">
        <v>374</v>
      </c>
      <c r="G305" s="2">
        <f>ROUND(E305*$C305/100,0)</f>
        <v>0</v>
      </c>
      <c r="H305" s="2">
        <f>ROUND(E305*$D305/100,0)</f>
        <v>0</v>
      </c>
      <c r="I305" s="330">
        <f>$I$162</f>
        <v>50</v>
      </c>
      <c r="J305" s="323" t="s">
        <v>374</v>
      </c>
      <c r="K305" s="2">
        <f>ROUND(I305*$C305/100,0)</f>
        <v>0</v>
      </c>
      <c r="M305" s="20"/>
      <c r="N305" s="20"/>
      <c r="O305" s="74"/>
      <c r="P305" s="74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E305" s="84"/>
    </row>
    <row r="306" spans="1:31">
      <c r="A306" s="331" t="s">
        <v>401</v>
      </c>
      <c r="B306" s="1"/>
      <c r="C306" s="319"/>
      <c r="D306" s="319"/>
      <c r="E306" s="332">
        <v>-0.01</v>
      </c>
      <c r="F306" s="321"/>
      <c r="G306" s="2"/>
      <c r="H306" s="2"/>
      <c r="I306" s="332">
        <v>-0.01</v>
      </c>
      <c r="J306" s="323"/>
      <c r="K306" s="2"/>
      <c r="M306" s="20"/>
      <c r="N306" s="20"/>
      <c r="O306" s="74"/>
      <c r="P306" s="74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E306" s="84"/>
    </row>
    <row r="307" spans="1:31">
      <c r="A307" s="1" t="s">
        <v>390</v>
      </c>
      <c r="B307" s="1"/>
      <c r="C307" s="319">
        <v>0</v>
      </c>
      <c r="D307" s="319">
        <v>0</v>
      </c>
      <c r="E307" s="334">
        <f>E296</f>
        <v>7.53</v>
      </c>
      <c r="F307" s="321"/>
      <c r="G307" s="2">
        <f>-ROUND(E307*$C307/100,0)</f>
        <v>0</v>
      </c>
      <c r="H307" s="2">
        <f t="shared" ref="H307:H316" si="30">-ROUND(E307*$D307/100,0)</f>
        <v>0</v>
      </c>
      <c r="I307" s="334">
        <f>I296</f>
        <v>8</v>
      </c>
      <c r="J307" s="321"/>
      <c r="K307" s="2">
        <f>-ROUND(I307*$C307/100,0)</f>
        <v>0</v>
      </c>
      <c r="M307" s="20"/>
      <c r="N307" s="20"/>
      <c r="O307" s="74"/>
      <c r="P307" s="74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E307" s="84"/>
    </row>
    <row r="308" spans="1:31">
      <c r="A308" s="1" t="s">
        <v>391</v>
      </c>
      <c r="B308" s="1"/>
      <c r="C308" s="319">
        <v>0</v>
      </c>
      <c r="D308" s="319">
        <v>0</v>
      </c>
      <c r="E308" s="334">
        <f>E297</f>
        <v>11.18</v>
      </c>
      <c r="F308" s="321"/>
      <c r="G308" s="2">
        <f>-ROUND(E308*$C308/100,0)</f>
        <v>0</v>
      </c>
      <c r="H308" s="2">
        <f t="shared" si="30"/>
        <v>0</v>
      </c>
      <c r="I308" s="334">
        <f>I297</f>
        <v>11.877822045152721</v>
      </c>
      <c r="J308" s="321"/>
      <c r="K308" s="2">
        <f>-ROUND(I308*$C308/100,0)</f>
        <v>0</v>
      </c>
      <c r="M308" s="20"/>
      <c r="N308" s="20"/>
      <c r="O308" s="74"/>
      <c r="P308" s="74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E308" s="84"/>
    </row>
    <row r="309" spans="1:31">
      <c r="A309" s="1" t="s">
        <v>402</v>
      </c>
      <c r="B309" s="1"/>
      <c r="C309" s="319">
        <v>0</v>
      </c>
      <c r="D309" s="319">
        <f>ROUND(($D$317/'Billing Determinants (2)'!$C$317)*C309,0)</f>
        <v>0</v>
      </c>
      <c r="E309" s="334">
        <f>E298</f>
        <v>0.78</v>
      </c>
      <c r="F309" s="321"/>
      <c r="G309" s="2">
        <f>-ROUND(E309*$C309/100,0)</f>
        <v>0</v>
      </c>
      <c r="H309" s="2">
        <f t="shared" si="30"/>
        <v>0</v>
      </c>
      <c r="I309" s="334">
        <f>I298</f>
        <v>0.83</v>
      </c>
      <c r="J309" s="321"/>
      <c r="K309" s="2">
        <f>-ROUND(I309*$C309/100,0)</f>
        <v>0</v>
      </c>
      <c r="M309" s="20"/>
      <c r="N309" s="20"/>
      <c r="O309" s="74"/>
      <c r="P309" s="74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E309" s="84"/>
    </row>
    <row r="310" spans="1:31">
      <c r="A310" s="1" t="s">
        <v>403</v>
      </c>
      <c r="B310" s="1"/>
      <c r="C310" s="319">
        <v>0</v>
      </c>
      <c r="D310" s="319">
        <f>ROUND(($D$317/'Billing Determinants (2)'!$C$317)*C310,0)</f>
        <v>0</v>
      </c>
      <c r="E310" s="334">
        <f>E301</f>
        <v>2.88</v>
      </c>
      <c r="F310" s="323"/>
      <c r="G310" s="2">
        <f>-ROUND(E310*$C310/100,0)</f>
        <v>0</v>
      </c>
      <c r="H310" s="2">
        <f t="shared" si="30"/>
        <v>0</v>
      </c>
      <c r="I310" s="334">
        <f>I301</f>
        <v>2.97</v>
      </c>
      <c r="J310" s="323"/>
      <c r="K310" s="2">
        <f>-ROUND(I310*$C310/100,0)</f>
        <v>0</v>
      </c>
      <c r="M310" s="20"/>
      <c r="N310" s="20"/>
      <c r="O310" s="74"/>
      <c r="P310" s="74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E310" s="84"/>
    </row>
    <row r="311" spans="1:31">
      <c r="A311" s="1" t="s">
        <v>405</v>
      </c>
      <c r="B311" s="1"/>
      <c r="C311" s="319">
        <v>0</v>
      </c>
      <c r="D311" s="319">
        <f>ROUND(($D$317/'Billing Determinants (2)'!$C$317)*C311,0)</f>
        <v>0</v>
      </c>
      <c r="E311" s="335">
        <f>E302</f>
        <v>8.0890000000000004</v>
      </c>
      <c r="F311" s="323" t="s">
        <v>374</v>
      </c>
      <c r="G311" s="2">
        <f>ROUND(E311*$C311/100*E306,0)</f>
        <v>0</v>
      </c>
      <c r="H311" s="2">
        <f t="shared" si="30"/>
        <v>0</v>
      </c>
      <c r="I311" s="335">
        <f>I302</f>
        <v>8.8109999999999999</v>
      </c>
      <c r="J311" s="323" t="s">
        <v>374</v>
      </c>
      <c r="K311" s="2">
        <f>ROUND(I311*$C311/100*I306,0)</f>
        <v>0</v>
      </c>
      <c r="M311" s="20"/>
      <c r="N311" s="20"/>
      <c r="O311" s="74"/>
      <c r="P311" s="74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E311" s="84"/>
    </row>
    <row r="312" spans="1:31">
      <c r="A312" s="1" t="s">
        <v>398</v>
      </c>
      <c r="B312" s="1"/>
      <c r="C312" s="319">
        <v>0</v>
      </c>
      <c r="D312" s="319">
        <f>ROUND(($D$317/'Billing Determinants (2)'!$C$317)*C312,0)</f>
        <v>0</v>
      </c>
      <c r="E312" s="335">
        <f>E303</f>
        <v>5.5839999999999996</v>
      </c>
      <c r="F312" s="323" t="s">
        <v>374</v>
      </c>
      <c r="G312" s="2">
        <f>ROUND(E312*$C312/100*E306,0)</f>
        <v>0</v>
      </c>
      <c r="H312" s="2">
        <f t="shared" si="30"/>
        <v>0</v>
      </c>
      <c r="I312" s="335">
        <f>I303</f>
        <v>6.0819999999999999</v>
      </c>
      <c r="J312" s="323" t="s">
        <v>374</v>
      </c>
      <c r="K312" s="2">
        <f>ROUND(I312*$C312/100*I306,0)</f>
        <v>0</v>
      </c>
      <c r="M312" s="20"/>
      <c r="N312" s="20"/>
      <c r="O312" s="74"/>
      <c r="P312" s="74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E312" s="84"/>
    </row>
    <row r="313" spans="1:31">
      <c r="A313" s="1" t="s">
        <v>399</v>
      </c>
      <c r="B313" s="1"/>
      <c r="C313" s="319">
        <v>0</v>
      </c>
      <c r="D313" s="319">
        <f>ROUND(($D$317/'Billing Determinants (2)'!$C$317)*C313,0)</f>
        <v>0</v>
      </c>
      <c r="E313" s="335">
        <f>E304</f>
        <v>4.8099999999999996</v>
      </c>
      <c r="F313" s="323" t="s">
        <v>374</v>
      </c>
      <c r="G313" s="2">
        <f>ROUND(E313*$C313/100*E306,0)</f>
        <v>0</v>
      </c>
      <c r="H313" s="2">
        <f t="shared" si="30"/>
        <v>0</v>
      </c>
      <c r="I313" s="335">
        <f>I304</f>
        <v>5.24</v>
      </c>
      <c r="J313" s="323" t="s">
        <v>374</v>
      </c>
      <c r="K313" s="2">
        <f>ROUND(I313*$C313/100*I306,0)</f>
        <v>0</v>
      </c>
      <c r="M313" s="20"/>
      <c r="N313" s="20"/>
      <c r="O313" s="74"/>
      <c r="P313" s="74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E313" s="84"/>
    </row>
    <row r="314" spans="1:31">
      <c r="A314" s="1" t="s">
        <v>400</v>
      </c>
      <c r="B314" s="1"/>
      <c r="C314" s="319">
        <v>0</v>
      </c>
      <c r="D314" s="319">
        <f>ROUND(($D$317/'Billing Determinants (2)'!$C$317)*C314,0)</f>
        <v>0</v>
      </c>
      <c r="E314" s="336">
        <f>E305</f>
        <v>45</v>
      </c>
      <c r="F314" s="323" t="s">
        <v>374</v>
      </c>
      <c r="G314" s="2">
        <f>ROUND(E314*$C314/100*E306,0)</f>
        <v>0</v>
      </c>
      <c r="H314" s="2">
        <f t="shared" si="30"/>
        <v>0</v>
      </c>
      <c r="I314" s="336">
        <f>I305</f>
        <v>50</v>
      </c>
      <c r="J314" s="323" t="s">
        <v>374</v>
      </c>
      <c r="K314" s="2">
        <f>ROUND(I314*$C314/100*I306,0)</f>
        <v>0</v>
      </c>
      <c r="M314" s="20"/>
      <c r="N314" s="20"/>
      <c r="O314" s="74"/>
      <c r="P314" s="74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E314" s="84"/>
    </row>
    <row r="315" spans="1:31">
      <c r="A315" s="1" t="s">
        <v>407</v>
      </c>
      <c r="B315" s="1"/>
      <c r="C315" s="319">
        <v>0</v>
      </c>
      <c r="D315" s="319">
        <f>ROUND(($D$317/'Billing Determinants (2)'!$C$317)*C315,0)</f>
        <v>0</v>
      </c>
      <c r="E315" s="337">
        <f>$E$172</f>
        <v>60</v>
      </c>
      <c r="F315" s="321"/>
      <c r="G315" s="2">
        <f>ROUND(E315*$C315,0)</f>
        <v>0</v>
      </c>
      <c r="H315" s="2">
        <f t="shared" si="30"/>
        <v>0</v>
      </c>
      <c r="I315" s="337">
        <f>$I$172</f>
        <v>60</v>
      </c>
      <c r="J315" s="323"/>
      <c r="K315" s="2">
        <f>ROUND(I315*$C315,0)</f>
        <v>0</v>
      </c>
      <c r="M315" s="20"/>
      <c r="N315" s="20"/>
      <c r="O315" s="74"/>
      <c r="P315" s="74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E315" s="84"/>
    </row>
    <row r="316" spans="1:31">
      <c r="A316" s="1" t="s">
        <v>408</v>
      </c>
      <c r="B316" s="1"/>
      <c r="C316" s="319">
        <v>0</v>
      </c>
      <c r="D316" s="319">
        <f>ROUND(($D$317/'Billing Determinants (2)'!$C$317)*C316,0)</f>
        <v>0</v>
      </c>
      <c r="E316" s="339">
        <f>$E$173</f>
        <v>-30</v>
      </c>
      <c r="F316" s="321" t="s">
        <v>374</v>
      </c>
      <c r="G316" s="2">
        <f>ROUND(E316*$C316/100,0)</f>
        <v>0</v>
      </c>
      <c r="H316" s="2">
        <f t="shared" si="30"/>
        <v>0</v>
      </c>
      <c r="I316" s="339">
        <f>$I$173</f>
        <v>-30</v>
      </c>
      <c r="J316" s="323" t="s">
        <v>374</v>
      </c>
      <c r="K316" s="2">
        <f>ROUND(I316*$C316/100,0)</f>
        <v>0</v>
      </c>
      <c r="M316" s="20"/>
      <c r="N316" s="20"/>
      <c r="O316" s="74"/>
      <c r="P316" s="74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E316" s="84"/>
    </row>
    <row r="317" spans="1:31">
      <c r="A317" s="1" t="s">
        <v>381</v>
      </c>
      <c r="B317" s="1"/>
      <c r="C317" s="319">
        <f>SUM(C302:C304)</f>
        <v>1430324</v>
      </c>
      <c r="D317" s="319">
        <v>1473957.9193898283</v>
      </c>
      <c r="E317" s="330"/>
      <c r="F317" s="2"/>
      <c r="G317" s="2">
        <f>SUM(G296:G316)</f>
        <v>147267</v>
      </c>
      <c r="H317" s="2">
        <f>SUM(H296:H316)</f>
        <v>150665</v>
      </c>
      <c r="I317" s="330"/>
      <c r="J317" s="323"/>
      <c r="K317" s="2">
        <f>SUM(K296:K316)</f>
        <v>159521</v>
      </c>
      <c r="M317" s="20"/>
      <c r="N317" s="20"/>
      <c r="O317" s="74"/>
      <c r="P317" s="74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E317" s="84"/>
    </row>
    <row r="318" spans="1:31">
      <c r="A318" s="1" t="s">
        <v>363</v>
      </c>
      <c r="B318" s="1"/>
      <c r="C318" s="349" t="e">
        <f>#REF!</f>
        <v>#REF!</v>
      </c>
      <c r="D318" s="340">
        <v>0</v>
      </c>
      <c r="E318" s="309"/>
      <c r="F318" s="309"/>
      <c r="G318" s="341" t="e">
        <f>#REF!</f>
        <v>#REF!</v>
      </c>
      <c r="H318" s="341">
        <v>0</v>
      </c>
      <c r="I318" s="309"/>
      <c r="J318" s="309"/>
      <c r="K318" s="341" t="e">
        <f>G318</f>
        <v>#REF!</v>
      </c>
      <c r="M318" s="444"/>
      <c r="N318" s="444"/>
      <c r="O318" s="287"/>
      <c r="P318" s="74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E318" s="84"/>
    </row>
    <row r="319" spans="1:31" ht="16.5" thickBot="1">
      <c r="A319" s="1" t="s">
        <v>382</v>
      </c>
      <c r="B319" s="1"/>
      <c r="C319" s="311" t="e">
        <f>SUM(C317:C318)</f>
        <v>#REF!</v>
      </c>
      <c r="D319" s="311">
        <f>SUM(D317:D318)</f>
        <v>1473957.9193898283</v>
      </c>
      <c r="E319" s="342"/>
      <c r="F319" s="343"/>
      <c r="G319" s="344" t="e">
        <f>G317+G318</f>
        <v>#REF!</v>
      </c>
      <c r="H319" s="344">
        <f>H317+H318</f>
        <v>150665</v>
      </c>
      <c r="I319" s="342"/>
      <c r="J319" s="345"/>
      <c r="K319" s="344" t="e">
        <f>K317+K318</f>
        <v>#REF!</v>
      </c>
      <c r="M319" s="411"/>
      <c r="N319" s="411"/>
      <c r="O319" s="470"/>
      <c r="P319" s="74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E319" s="84"/>
    </row>
    <row r="320" spans="1:31" ht="16.5" thickTop="1">
      <c r="A320" s="1"/>
      <c r="B320" s="1"/>
      <c r="C320" s="21"/>
      <c r="D320" s="21"/>
      <c r="E320" s="337"/>
      <c r="F320" s="2"/>
      <c r="G320" s="2"/>
      <c r="H320" s="2"/>
      <c r="I320" s="337"/>
      <c r="J320" s="1"/>
      <c r="K320" s="2" t="s">
        <v>31</v>
      </c>
      <c r="M320" s="20"/>
      <c r="N320" s="20"/>
      <c r="O320" s="74"/>
      <c r="P320" s="74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E320" s="84"/>
    </row>
    <row r="321" spans="1:31">
      <c r="A321" s="293" t="s">
        <v>415</v>
      </c>
      <c r="B321" s="1"/>
      <c r="C321" s="1"/>
      <c r="D321" s="1"/>
      <c r="E321" s="2"/>
      <c r="F321" s="2"/>
      <c r="G321" s="1" t="s">
        <v>31</v>
      </c>
      <c r="H321" s="1"/>
      <c r="I321" s="2"/>
      <c r="J321" s="1"/>
      <c r="K321" s="1"/>
      <c r="M321" s="20"/>
      <c r="N321" s="20"/>
      <c r="O321" s="74"/>
      <c r="P321" s="74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E321" s="84"/>
    </row>
    <row r="322" spans="1:31">
      <c r="A322" s="1" t="s">
        <v>414</v>
      </c>
      <c r="B322" s="1"/>
      <c r="C322" s="1"/>
      <c r="D322" s="1"/>
      <c r="E322" s="2"/>
      <c r="F322" s="2"/>
      <c r="G322" s="1"/>
      <c r="H322" s="1"/>
      <c r="I322" s="2"/>
      <c r="J322" s="1"/>
      <c r="K322" s="1"/>
      <c r="M322" s="20"/>
      <c r="N322" s="20"/>
      <c r="O322" s="74"/>
      <c r="P322" s="74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E322" s="84"/>
    </row>
    <row r="323" spans="1:31">
      <c r="A323" s="1"/>
      <c r="B323" s="1"/>
      <c r="C323" s="1"/>
      <c r="D323" s="1"/>
      <c r="E323" s="2"/>
      <c r="F323" s="2"/>
      <c r="G323" s="1"/>
      <c r="H323" s="1"/>
      <c r="I323" s="2"/>
      <c r="J323" s="1"/>
      <c r="K323" s="1"/>
      <c r="M323" s="20"/>
      <c r="N323" s="20"/>
      <c r="O323" s="74"/>
      <c r="P323" s="74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E323" s="84"/>
    </row>
    <row r="324" spans="1:31">
      <c r="A324" s="1" t="s">
        <v>393</v>
      </c>
      <c r="B324" s="1"/>
      <c r="C324" s="319"/>
      <c r="D324" s="319"/>
      <c r="E324" s="2"/>
      <c r="F324" s="2"/>
      <c r="G324" s="1"/>
      <c r="H324" s="1"/>
      <c r="I324" s="2"/>
      <c r="J324" s="1"/>
      <c r="K324" s="1"/>
      <c r="M324" s="20"/>
      <c r="N324" s="20"/>
      <c r="O324" s="74"/>
      <c r="P324" s="74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E324" s="84"/>
    </row>
    <row r="325" spans="1:31">
      <c r="A325" s="1" t="s">
        <v>416</v>
      </c>
      <c r="B325" s="1"/>
      <c r="C325" s="319">
        <v>516</v>
      </c>
      <c r="D325" s="319">
        <f>ROUND((D329/C329)*C325,0)</f>
        <v>516</v>
      </c>
      <c r="E325" s="298">
        <f>$E$153</f>
        <v>7.53</v>
      </c>
      <c r="F325" s="321"/>
      <c r="G325" s="2">
        <f>ROUND(E325*$C325,0)</f>
        <v>3885</v>
      </c>
      <c r="H325" s="2">
        <f>ROUND(E325*$D325,0)</f>
        <v>3885</v>
      </c>
      <c r="I325" s="298">
        <f>$I$153</f>
        <v>8</v>
      </c>
      <c r="J325" s="323"/>
      <c r="K325" s="2">
        <f>ROUND(I325*$C325,0)</f>
        <v>4128</v>
      </c>
      <c r="M325" s="20"/>
      <c r="N325" s="20"/>
      <c r="O325" s="74"/>
      <c r="P325" s="74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E325" s="84"/>
    </row>
    <row r="326" spans="1:31">
      <c r="A326" s="1" t="s">
        <v>391</v>
      </c>
      <c r="B326" s="1"/>
      <c r="C326" s="319">
        <v>0</v>
      </c>
      <c r="D326" s="319">
        <v>0</v>
      </c>
      <c r="E326" s="298">
        <f>$E$154</f>
        <v>11.18</v>
      </c>
      <c r="F326" s="324"/>
      <c r="G326" s="2">
        <f>ROUND(E326*$C326,0)</f>
        <v>0</v>
      </c>
      <c r="H326" s="2">
        <f>ROUND(E326*$D326,0)</f>
        <v>0</v>
      </c>
      <c r="I326" s="298">
        <f>$I$154</f>
        <v>11.877822045152721</v>
      </c>
      <c r="J326" s="325"/>
      <c r="K326" s="2">
        <f>ROUND(I326*$C326,0)</f>
        <v>0</v>
      </c>
      <c r="M326" s="20"/>
      <c r="N326" s="20"/>
      <c r="O326" s="74"/>
      <c r="P326" s="74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E326" s="84"/>
    </row>
    <row r="327" spans="1:31">
      <c r="A327" s="1" t="s">
        <v>392</v>
      </c>
      <c r="B327" s="1"/>
      <c r="C327" s="319">
        <v>0</v>
      </c>
      <c r="D327" s="319">
        <v>0</v>
      </c>
      <c r="E327" s="298">
        <f>$E$155</f>
        <v>0.78</v>
      </c>
      <c r="F327" s="324"/>
      <c r="G327" s="2">
        <f>ROUND(E327*$C327,0)</f>
        <v>0</v>
      </c>
      <c r="H327" s="2">
        <f>ROUND(E327*$D327,0)</f>
        <v>0</v>
      </c>
      <c r="I327" s="298">
        <f>$I$155</f>
        <v>0.83</v>
      </c>
      <c r="J327" s="325"/>
      <c r="K327" s="2">
        <f>ROUND(I327*$C327,0)</f>
        <v>0</v>
      </c>
      <c r="M327" s="20"/>
      <c r="N327" s="20"/>
      <c r="O327" s="74"/>
      <c r="P327" s="74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E327" s="84"/>
    </row>
    <row r="328" spans="1:31">
      <c r="A328" s="1" t="s">
        <v>394</v>
      </c>
      <c r="B328" s="1"/>
      <c r="C328" s="319">
        <f>SUM(C325:C326)</f>
        <v>516</v>
      </c>
      <c r="D328" s="319">
        <f>ROUND((D329/C329)*C328,0)</f>
        <v>516</v>
      </c>
      <c r="E328" s="298"/>
      <c r="F328" s="321"/>
      <c r="G328" s="2"/>
      <c r="H328" s="2"/>
      <c r="I328" s="298"/>
      <c r="J328" s="323"/>
      <c r="K328" s="2"/>
      <c r="M328" s="20"/>
      <c r="N328" s="20"/>
      <c r="O328" s="74"/>
      <c r="P328" s="74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E328" s="84"/>
    </row>
    <row r="329" spans="1:31">
      <c r="A329" s="1" t="s">
        <v>362</v>
      </c>
      <c r="B329" s="1"/>
      <c r="C329" s="319">
        <v>48</v>
      </c>
      <c r="D329" s="319">
        <v>48</v>
      </c>
      <c r="E329" s="298"/>
      <c r="F329" s="321"/>
      <c r="G329" s="2"/>
      <c r="H329" s="2"/>
      <c r="I329" s="298"/>
      <c r="J329" s="323"/>
      <c r="K329" s="2"/>
      <c r="M329" s="20"/>
      <c r="N329" s="20"/>
      <c r="O329" s="74"/>
      <c r="P329" s="74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E329" s="84"/>
    </row>
    <row r="330" spans="1:31">
      <c r="A330" s="1" t="s">
        <v>395</v>
      </c>
      <c r="B330" s="1"/>
      <c r="C330" s="319">
        <v>0</v>
      </c>
      <c r="D330" s="319">
        <v>0</v>
      </c>
      <c r="E330" s="326">
        <f>$E$158</f>
        <v>2.88</v>
      </c>
      <c r="F330" s="323"/>
      <c r="G330" s="2">
        <f>ROUND(E330*$C330,0)</f>
        <v>0</v>
      </c>
      <c r="H330" s="2">
        <f>ROUND(E330*$D330,0)</f>
        <v>0</v>
      </c>
      <c r="I330" s="326">
        <f>$I$158</f>
        <v>2.97</v>
      </c>
      <c r="J330" s="323"/>
      <c r="K330" s="2">
        <f>ROUND(I330*$C330,0)</f>
        <v>0</v>
      </c>
      <c r="M330" s="20"/>
      <c r="N330" s="20"/>
      <c r="O330" s="74"/>
      <c r="P330" s="74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E330" s="84"/>
    </row>
    <row r="331" spans="1:31">
      <c r="A331" s="1" t="s">
        <v>397</v>
      </c>
      <c r="B331" s="1"/>
      <c r="C331" s="319">
        <f>33312</f>
        <v>33312</v>
      </c>
      <c r="D331" s="319">
        <f>ROUND(($D$346/'Billing Determinants (2)'!$C$346)*C331,0)</f>
        <v>38537</v>
      </c>
      <c r="E331" s="299">
        <f>$E$159</f>
        <v>8.0890000000000004</v>
      </c>
      <c r="F331" s="323" t="s">
        <v>374</v>
      </c>
      <c r="G331" s="2">
        <f>ROUND(E331*$C331/100,0)</f>
        <v>2695</v>
      </c>
      <c r="H331" s="2">
        <f>ROUND(E331*$D331/100,0)</f>
        <v>3117</v>
      </c>
      <c r="I331" s="299">
        <f>$I$159</f>
        <v>8.8109999999999999</v>
      </c>
      <c r="J331" s="323" t="s">
        <v>374</v>
      </c>
      <c r="K331" s="2">
        <f>ROUND(I331*$C331/100,0)</f>
        <v>2935</v>
      </c>
      <c r="M331" s="20"/>
      <c r="N331" s="20"/>
      <c r="O331" s="74"/>
      <c r="P331" s="74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E331" s="84"/>
    </row>
    <row r="332" spans="1:31">
      <c r="A332" s="1" t="s">
        <v>398</v>
      </c>
      <c r="B332" s="1"/>
      <c r="C332" s="319">
        <v>0</v>
      </c>
      <c r="D332" s="319">
        <v>0</v>
      </c>
      <c r="E332" s="299">
        <f>$E$160</f>
        <v>5.5839999999999996</v>
      </c>
      <c r="F332" s="323" t="s">
        <v>374</v>
      </c>
      <c r="G332" s="2">
        <f>ROUND(E332*$C332/100,0)</f>
        <v>0</v>
      </c>
      <c r="H332" s="2">
        <f>ROUND(E332*$D332/100,0)</f>
        <v>0</v>
      </c>
      <c r="I332" s="299">
        <f>$I$160</f>
        <v>6.0819999999999999</v>
      </c>
      <c r="J332" s="323" t="s">
        <v>374</v>
      </c>
      <c r="K332" s="2">
        <f>ROUND(I332*$C332/100,0)</f>
        <v>0</v>
      </c>
      <c r="M332" s="20"/>
      <c r="N332" s="20"/>
      <c r="O332" s="74"/>
      <c r="P332" s="74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E332" s="84"/>
    </row>
    <row r="333" spans="1:31">
      <c r="A333" s="1" t="s">
        <v>399</v>
      </c>
      <c r="B333" s="1"/>
      <c r="C333" s="319">
        <f>33312-C331</f>
        <v>0</v>
      </c>
      <c r="D333" s="319">
        <v>0</v>
      </c>
      <c r="E333" s="299">
        <f>$E$161</f>
        <v>4.8099999999999996</v>
      </c>
      <c r="F333" s="323" t="s">
        <v>374</v>
      </c>
      <c r="G333" s="2">
        <f>ROUND(E333*$C333/100,0)</f>
        <v>0</v>
      </c>
      <c r="H333" s="2">
        <f>ROUND(E333*$D333/100,0)</f>
        <v>0</v>
      </c>
      <c r="I333" s="299">
        <f>$I$161</f>
        <v>5.24</v>
      </c>
      <c r="J333" s="323" t="s">
        <v>374</v>
      </c>
      <c r="K333" s="2">
        <f>ROUND(I333*$C333/100,0)</f>
        <v>0</v>
      </c>
      <c r="M333" s="20"/>
      <c r="N333" s="20"/>
      <c r="O333" s="74"/>
      <c r="P333" s="74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E333" s="84"/>
    </row>
    <row r="334" spans="1:31">
      <c r="A334" s="1" t="s">
        <v>400</v>
      </c>
      <c r="B334" s="1"/>
      <c r="C334" s="319">
        <v>0</v>
      </c>
      <c r="D334" s="319">
        <v>0</v>
      </c>
      <c r="E334" s="330">
        <f>$E$162</f>
        <v>45</v>
      </c>
      <c r="F334" s="321" t="s">
        <v>374</v>
      </c>
      <c r="G334" s="2">
        <f>ROUND(E334*$C334/100,0)</f>
        <v>0</v>
      </c>
      <c r="H334" s="2">
        <f>ROUND(E334*$D334/100,0)</f>
        <v>0</v>
      </c>
      <c r="I334" s="330">
        <f>$I$162</f>
        <v>50</v>
      </c>
      <c r="J334" s="323" t="s">
        <v>374</v>
      </c>
      <c r="K334" s="2">
        <f>ROUND(I334*$C334/100,0)</f>
        <v>0</v>
      </c>
      <c r="M334" s="20"/>
      <c r="N334" s="20"/>
      <c r="O334" s="74"/>
      <c r="P334" s="74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E334" s="84"/>
    </row>
    <row r="335" spans="1:31">
      <c r="A335" s="331" t="s">
        <v>401</v>
      </c>
      <c r="B335" s="1"/>
      <c r="C335" s="319"/>
      <c r="D335" s="319"/>
      <c r="E335" s="332">
        <v>-0.01</v>
      </c>
      <c r="F335" s="321"/>
      <c r="G335" s="2"/>
      <c r="H335" s="2"/>
      <c r="I335" s="332">
        <v>-0.01</v>
      </c>
      <c r="J335" s="323"/>
      <c r="K335" s="2"/>
      <c r="M335" s="20"/>
      <c r="N335" s="20"/>
      <c r="O335" s="74"/>
      <c r="P335" s="74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E335" s="84"/>
    </row>
    <row r="336" spans="1:31">
      <c r="A336" s="1" t="s">
        <v>390</v>
      </c>
      <c r="B336" s="1"/>
      <c r="C336" s="319">
        <v>0</v>
      </c>
      <c r="D336" s="319">
        <v>0</v>
      </c>
      <c r="E336" s="334">
        <f>E325</f>
        <v>7.53</v>
      </c>
      <c r="F336" s="321"/>
      <c r="G336" s="2">
        <f>-ROUND(E336*$C336/100,0)</f>
        <v>0</v>
      </c>
      <c r="H336" s="2">
        <f t="shared" ref="H336:H345" si="31">-ROUND(E336*$D336/100,0)</f>
        <v>0</v>
      </c>
      <c r="I336" s="334">
        <f>I325</f>
        <v>8</v>
      </c>
      <c r="J336" s="321"/>
      <c r="K336" s="2">
        <f>-ROUND(I336*$C336/100,0)</f>
        <v>0</v>
      </c>
      <c r="M336" s="20"/>
      <c r="N336" s="20"/>
      <c r="O336" s="74"/>
      <c r="P336" s="74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E336" s="84"/>
    </row>
    <row r="337" spans="1:31">
      <c r="A337" s="1" t="s">
        <v>391</v>
      </c>
      <c r="B337" s="1"/>
      <c r="C337" s="319">
        <v>0</v>
      </c>
      <c r="D337" s="319">
        <v>0</v>
      </c>
      <c r="E337" s="334">
        <f>E326</f>
        <v>11.18</v>
      </c>
      <c r="F337" s="321"/>
      <c r="G337" s="2">
        <f>-ROUND(E337*$C337/100,0)</f>
        <v>0</v>
      </c>
      <c r="H337" s="2">
        <f t="shared" si="31"/>
        <v>0</v>
      </c>
      <c r="I337" s="334">
        <f>I326</f>
        <v>11.877822045152721</v>
      </c>
      <c r="J337" s="321"/>
      <c r="K337" s="2">
        <f>-ROUND(I337*$C337/100,0)</f>
        <v>0</v>
      </c>
      <c r="M337" s="20"/>
      <c r="N337" s="20"/>
      <c r="O337" s="74"/>
      <c r="P337" s="74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E337" s="84"/>
    </row>
    <row r="338" spans="1:31">
      <c r="A338" s="1" t="s">
        <v>402</v>
      </c>
      <c r="B338" s="1"/>
      <c r="C338" s="319">
        <v>0</v>
      </c>
      <c r="D338" s="319">
        <v>0</v>
      </c>
      <c r="E338" s="334">
        <f>E327</f>
        <v>0.78</v>
      </c>
      <c r="F338" s="321"/>
      <c r="G338" s="2">
        <f>-ROUND(E338*$C338/100,0)</f>
        <v>0</v>
      </c>
      <c r="H338" s="2">
        <f t="shared" si="31"/>
        <v>0</v>
      </c>
      <c r="I338" s="334">
        <f>I327</f>
        <v>0.83</v>
      </c>
      <c r="J338" s="321"/>
      <c r="K338" s="2">
        <f>-ROUND(I338*$C338/100,0)</f>
        <v>0</v>
      </c>
      <c r="M338" s="20"/>
      <c r="N338" s="20"/>
      <c r="O338" s="74"/>
      <c r="P338" s="74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E338" s="84"/>
    </row>
    <row r="339" spans="1:31">
      <c r="A339" s="1" t="s">
        <v>403</v>
      </c>
      <c r="B339" s="1"/>
      <c r="C339" s="319">
        <v>0</v>
      </c>
      <c r="D339" s="319">
        <v>0</v>
      </c>
      <c r="E339" s="334">
        <f>E330</f>
        <v>2.88</v>
      </c>
      <c r="F339" s="323"/>
      <c r="G339" s="2">
        <f>-ROUND(E339*$C339/100,0)</f>
        <v>0</v>
      </c>
      <c r="H339" s="2">
        <f t="shared" si="31"/>
        <v>0</v>
      </c>
      <c r="I339" s="334">
        <f>I330</f>
        <v>2.97</v>
      </c>
      <c r="J339" s="323"/>
      <c r="K339" s="2">
        <f>-ROUND(I339*$C339/100,0)</f>
        <v>0</v>
      </c>
      <c r="M339" s="20"/>
      <c r="N339" s="20"/>
      <c r="O339" s="74"/>
      <c r="P339" s="74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E339" s="84"/>
    </row>
    <row r="340" spans="1:31">
      <c r="A340" s="1" t="s">
        <v>405</v>
      </c>
      <c r="B340" s="1"/>
      <c r="C340" s="319">
        <v>0</v>
      </c>
      <c r="D340" s="319">
        <v>0</v>
      </c>
      <c r="E340" s="335">
        <f>E331</f>
        <v>8.0890000000000004</v>
      </c>
      <c r="F340" s="323" t="s">
        <v>374</v>
      </c>
      <c r="G340" s="2">
        <f>ROUND(E340*$C340/100*E335,0)</f>
        <v>0</v>
      </c>
      <c r="H340" s="2">
        <f t="shared" si="31"/>
        <v>0</v>
      </c>
      <c r="I340" s="335">
        <f>I331</f>
        <v>8.8109999999999999</v>
      </c>
      <c r="J340" s="323" t="s">
        <v>374</v>
      </c>
      <c r="K340" s="2">
        <f>ROUND(I340*$C340/100*I335,0)</f>
        <v>0</v>
      </c>
      <c r="M340" s="20"/>
      <c r="N340" s="20"/>
      <c r="O340" s="74"/>
      <c r="P340" s="74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E340" s="84"/>
    </row>
    <row r="341" spans="1:31">
      <c r="A341" s="1" t="s">
        <v>398</v>
      </c>
      <c r="B341" s="1"/>
      <c r="C341" s="319">
        <v>0</v>
      </c>
      <c r="D341" s="319">
        <v>0</v>
      </c>
      <c r="E341" s="335">
        <f>E332</f>
        <v>5.5839999999999996</v>
      </c>
      <c r="F341" s="323" t="s">
        <v>374</v>
      </c>
      <c r="G341" s="2">
        <f>ROUND(E341*$C341/100*E335,0)</f>
        <v>0</v>
      </c>
      <c r="H341" s="2">
        <f t="shared" si="31"/>
        <v>0</v>
      </c>
      <c r="I341" s="335">
        <f>I332</f>
        <v>6.0819999999999999</v>
      </c>
      <c r="J341" s="323" t="s">
        <v>374</v>
      </c>
      <c r="K341" s="2">
        <f>ROUND(I341*$C341/100*I335,0)</f>
        <v>0</v>
      </c>
      <c r="M341" s="20"/>
      <c r="N341" s="20"/>
      <c r="O341" s="74"/>
      <c r="P341" s="74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E341" s="84"/>
    </row>
    <row r="342" spans="1:31">
      <c r="A342" s="1" t="s">
        <v>399</v>
      </c>
      <c r="B342" s="1"/>
      <c r="C342" s="319">
        <v>0</v>
      </c>
      <c r="D342" s="319">
        <v>0</v>
      </c>
      <c r="E342" s="335">
        <f>E333</f>
        <v>4.8099999999999996</v>
      </c>
      <c r="F342" s="323" t="s">
        <v>374</v>
      </c>
      <c r="G342" s="2">
        <f>ROUND(E342*$C342/100*E335,0)</f>
        <v>0</v>
      </c>
      <c r="H342" s="2">
        <f t="shared" si="31"/>
        <v>0</v>
      </c>
      <c r="I342" s="335">
        <f>I333</f>
        <v>5.24</v>
      </c>
      <c r="J342" s="323" t="s">
        <v>374</v>
      </c>
      <c r="K342" s="2">
        <f>ROUND(I342*$C342/100*I335,0)</f>
        <v>0</v>
      </c>
      <c r="M342" s="20"/>
      <c r="N342" s="20"/>
      <c r="O342" s="74"/>
      <c r="P342" s="74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E342" s="84"/>
    </row>
    <row r="343" spans="1:31">
      <c r="A343" s="1" t="s">
        <v>400</v>
      </c>
      <c r="B343" s="1"/>
      <c r="C343" s="319">
        <v>0</v>
      </c>
      <c r="D343" s="319">
        <v>0</v>
      </c>
      <c r="E343" s="336">
        <f>E334</f>
        <v>45</v>
      </c>
      <c r="F343" s="323" t="s">
        <v>374</v>
      </c>
      <c r="G343" s="2">
        <f>ROUND(E343*$C343/100*E335,0)</f>
        <v>0</v>
      </c>
      <c r="H343" s="2">
        <f t="shared" si="31"/>
        <v>0</v>
      </c>
      <c r="I343" s="336">
        <f>I334</f>
        <v>50</v>
      </c>
      <c r="J343" s="323" t="s">
        <v>374</v>
      </c>
      <c r="K343" s="2">
        <f>ROUND(I343*$C343/100*I335,0)</f>
        <v>0</v>
      </c>
      <c r="M343" s="20"/>
      <c r="N343" s="20"/>
      <c r="O343" s="74"/>
      <c r="P343" s="74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E343" s="84"/>
    </row>
    <row r="344" spans="1:31">
      <c r="A344" s="1" t="s">
        <v>407</v>
      </c>
      <c r="B344" s="1"/>
      <c r="C344" s="319">
        <v>0</v>
      </c>
      <c r="D344" s="319">
        <v>0</v>
      </c>
      <c r="E344" s="337">
        <f>$E$172</f>
        <v>60</v>
      </c>
      <c r="F344" s="321"/>
      <c r="G344" s="2">
        <f>ROUND(E344*$C344,0)</f>
        <v>0</v>
      </c>
      <c r="H344" s="2">
        <f t="shared" si="31"/>
        <v>0</v>
      </c>
      <c r="I344" s="337">
        <f>$I$172</f>
        <v>60</v>
      </c>
      <c r="J344" s="323"/>
      <c r="K344" s="2">
        <f>ROUND(I344*$C344,0)</f>
        <v>0</v>
      </c>
      <c r="M344" s="20"/>
      <c r="N344" s="20"/>
      <c r="O344" s="74"/>
      <c r="P344" s="74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E344" s="84"/>
    </row>
    <row r="345" spans="1:31">
      <c r="A345" s="1" t="s">
        <v>408</v>
      </c>
      <c r="B345" s="1"/>
      <c r="C345" s="319">
        <v>0</v>
      </c>
      <c r="D345" s="319">
        <v>0</v>
      </c>
      <c r="E345" s="339">
        <f>$E$173</f>
        <v>-30</v>
      </c>
      <c r="F345" s="321" t="s">
        <v>374</v>
      </c>
      <c r="G345" s="2">
        <f>ROUND(E345*$C345/100,0)</f>
        <v>0</v>
      </c>
      <c r="H345" s="2">
        <f t="shared" si="31"/>
        <v>0</v>
      </c>
      <c r="I345" s="339">
        <f>$I$173</f>
        <v>-30</v>
      </c>
      <c r="J345" s="323" t="s">
        <v>374</v>
      </c>
      <c r="K345" s="2">
        <f>ROUND(I345*$C345/100,0)</f>
        <v>0</v>
      </c>
      <c r="M345" s="20"/>
      <c r="N345" s="20"/>
      <c r="O345" s="74"/>
      <c r="P345" s="74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E345" s="84"/>
    </row>
    <row r="346" spans="1:31">
      <c r="A346" s="1" t="s">
        <v>381</v>
      </c>
      <c r="B346" s="1"/>
      <c r="C346" s="319">
        <f>SUM(C331:C333)</f>
        <v>33312</v>
      </c>
      <c r="D346" s="319">
        <v>38537</v>
      </c>
      <c r="E346" s="330"/>
      <c r="F346" s="2"/>
      <c r="G346" s="2">
        <f>SUM(G325:G345)</f>
        <v>6580</v>
      </c>
      <c r="H346" s="2">
        <f>SUM(H325:H345)</f>
        <v>7002</v>
      </c>
      <c r="I346" s="330"/>
      <c r="J346" s="323"/>
      <c r="K346" s="2">
        <f>SUM(K325:K345)</f>
        <v>7063</v>
      </c>
      <c r="M346" s="20"/>
      <c r="N346" s="20"/>
      <c r="O346" s="74"/>
      <c r="P346" s="74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E346" s="84"/>
    </row>
    <row r="347" spans="1:31">
      <c r="A347" s="1" t="s">
        <v>363</v>
      </c>
      <c r="B347" s="1"/>
      <c r="C347" s="349" t="e">
        <f>#REF!</f>
        <v>#REF!</v>
      </c>
      <c r="D347" s="340">
        <v>0</v>
      </c>
      <c r="E347" s="309"/>
      <c r="F347" s="309"/>
      <c r="G347" s="341" t="e">
        <f>#REF!</f>
        <v>#REF!</v>
      </c>
      <c r="H347" s="341">
        <v>0</v>
      </c>
      <c r="I347" s="309"/>
      <c r="J347" s="309"/>
      <c r="K347" s="341" t="e">
        <f>G347</f>
        <v>#REF!</v>
      </c>
      <c r="M347" s="444"/>
      <c r="N347" s="444"/>
      <c r="O347" s="287"/>
      <c r="P347" s="74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E347" s="84"/>
    </row>
    <row r="348" spans="1:31" ht="16.5" thickBot="1">
      <c r="A348" s="1" t="s">
        <v>382</v>
      </c>
      <c r="B348" s="1"/>
      <c r="C348" s="311" t="e">
        <f>SUM(C346:C347)</f>
        <v>#REF!</v>
      </c>
      <c r="D348" s="311">
        <f>SUM(D346:D347)</f>
        <v>38537</v>
      </c>
      <c r="E348" s="342"/>
      <c r="F348" s="343"/>
      <c r="G348" s="344" t="e">
        <f>G346+G347</f>
        <v>#REF!</v>
      </c>
      <c r="H348" s="344">
        <f>H346+H347</f>
        <v>7002</v>
      </c>
      <c r="I348" s="342"/>
      <c r="J348" s="345"/>
      <c r="K348" s="344" t="e">
        <f>K346+K347</f>
        <v>#REF!</v>
      </c>
      <c r="M348" s="411"/>
      <c r="N348" s="411"/>
      <c r="O348" s="470"/>
      <c r="P348" s="74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E348" s="84"/>
    </row>
    <row r="349" spans="1:31" ht="16.5" thickTop="1">
      <c r="A349" s="1"/>
      <c r="B349" s="1"/>
      <c r="C349" s="21"/>
      <c r="D349" s="21"/>
      <c r="E349" s="337"/>
      <c r="F349" s="2"/>
      <c r="G349" s="2"/>
      <c r="H349" s="2"/>
      <c r="I349" s="353" t="s">
        <v>31</v>
      </c>
      <c r="J349" s="1"/>
      <c r="K349" s="2" t="s">
        <v>31</v>
      </c>
      <c r="M349" s="20"/>
      <c r="N349" s="20"/>
      <c r="O349" s="74"/>
      <c r="P349" s="74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E349" s="84"/>
    </row>
    <row r="350" spans="1:31">
      <c r="A350" s="1"/>
      <c r="B350" s="1"/>
      <c r="C350" s="21"/>
      <c r="D350" s="21"/>
      <c r="E350" s="337"/>
      <c r="F350" s="2"/>
      <c r="G350" s="2"/>
      <c r="H350" s="2"/>
      <c r="I350" s="353" t="s">
        <v>31</v>
      </c>
      <c r="J350" s="1"/>
      <c r="K350" s="2" t="s">
        <v>31</v>
      </c>
      <c r="M350" s="20"/>
      <c r="N350" s="20"/>
      <c r="O350" s="74"/>
      <c r="P350" s="74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E350" s="84"/>
    </row>
    <row r="351" spans="1:31">
      <c r="A351" s="293" t="s">
        <v>417</v>
      </c>
      <c r="B351" s="1"/>
      <c r="C351" s="1"/>
      <c r="D351" s="1"/>
      <c r="E351" s="2"/>
      <c r="F351" s="2"/>
      <c r="G351" s="1" t="s">
        <v>31</v>
      </c>
      <c r="H351" s="1"/>
      <c r="I351" s="2"/>
      <c r="J351" s="1"/>
      <c r="K351" s="1"/>
      <c r="M351" s="20"/>
      <c r="N351" s="20"/>
      <c r="O351" s="74"/>
      <c r="P351" s="74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E351" s="84"/>
    </row>
    <row r="352" spans="1:31">
      <c r="A352" s="1" t="s">
        <v>410</v>
      </c>
      <c r="B352" s="1"/>
      <c r="C352" s="1"/>
      <c r="D352" s="1"/>
      <c r="E352" s="2"/>
      <c r="F352" s="2"/>
      <c r="G352" s="1"/>
      <c r="H352" s="1"/>
      <c r="I352" s="2"/>
      <c r="J352" s="1"/>
      <c r="K352" s="1"/>
      <c r="M352" s="20"/>
      <c r="N352" s="20"/>
      <c r="O352" s="74"/>
      <c r="P352" s="74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</row>
    <row r="353" spans="1:29">
      <c r="A353" s="1" t="s">
        <v>418</v>
      </c>
      <c r="B353" s="1"/>
      <c r="C353" s="1"/>
      <c r="D353" s="1"/>
      <c r="E353" s="2"/>
      <c r="F353" s="2"/>
      <c r="G353" s="1"/>
      <c r="H353" s="1"/>
      <c r="I353" s="2"/>
      <c r="J353" s="1"/>
      <c r="K353" s="1"/>
      <c r="M353" s="20"/>
      <c r="N353" s="20"/>
      <c r="O353" s="74"/>
      <c r="P353" s="74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</row>
    <row r="354" spans="1:29">
      <c r="A354" s="1" t="s">
        <v>393</v>
      </c>
      <c r="B354" s="1"/>
      <c r="C354" s="319"/>
      <c r="D354" s="319"/>
      <c r="E354" s="2"/>
      <c r="F354" s="2"/>
      <c r="G354" s="1"/>
      <c r="H354" s="1"/>
      <c r="I354" s="2"/>
      <c r="J354" s="1"/>
      <c r="K354" s="1"/>
      <c r="M354" s="20"/>
      <c r="N354" s="20"/>
      <c r="O354" s="74"/>
      <c r="P354" s="74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</row>
    <row r="355" spans="1:29">
      <c r="A355" s="1" t="s">
        <v>390</v>
      </c>
      <c r="B355" s="1"/>
      <c r="C355" s="319">
        <f t="shared" ref="C355:D364" si="32">C384+C413</f>
        <v>1</v>
      </c>
      <c r="D355" s="319">
        <f t="shared" si="32"/>
        <v>1</v>
      </c>
      <c r="E355" s="298">
        <f>$E$149</f>
        <v>90.36</v>
      </c>
      <c r="F355" s="321"/>
      <c r="G355" s="2">
        <f t="shared" ref="G355:H357" si="33">G384+G413</f>
        <v>90</v>
      </c>
      <c r="H355" s="2">
        <f t="shared" si="33"/>
        <v>90</v>
      </c>
      <c r="I355" s="298">
        <f>$I$149</f>
        <v>96</v>
      </c>
      <c r="J355" s="323"/>
      <c r="K355" s="2">
        <f>K384+K413</f>
        <v>96</v>
      </c>
      <c r="M355" s="20"/>
      <c r="N355" s="20"/>
      <c r="O355" s="74"/>
      <c r="P355" s="74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</row>
    <row r="356" spans="1:29">
      <c r="A356" s="1" t="s">
        <v>391</v>
      </c>
      <c r="B356" s="1"/>
      <c r="C356" s="319">
        <f t="shared" si="32"/>
        <v>107</v>
      </c>
      <c r="D356" s="319">
        <f t="shared" si="32"/>
        <v>109.09090909090909</v>
      </c>
      <c r="E356" s="298">
        <f>$E$150</f>
        <v>134.16</v>
      </c>
      <c r="F356" s="324"/>
      <c r="G356" s="2">
        <f t="shared" si="33"/>
        <v>14355</v>
      </c>
      <c r="H356" s="2">
        <f t="shared" si="33"/>
        <v>14635</v>
      </c>
      <c r="I356" s="298">
        <f>$I$150</f>
        <v>142.53386454183266</v>
      </c>
      <c r="J356" s="325"/>
      <c r="K356" s="2">
        <f>K385+K414</f>
        <v>15252</v>
      </c>
      <c r="M356" s="20"/>
      <c r="N356" s="20"/>
      <c r="O356" s="74"/>
      <c r="P356" s="74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</row>
    <row r="357" spans="1:29">
      <c r="A357" s="1" t="s">
        <v>392</v>
      </c>
      <c r="B357" s="1"/>
      <c r="C357" s="319">
        <f t="shared" si="32"/>
        <v>4321</v>
      </c>
      <c r="D357" s="319">
        <f t="shared" si="32"/>
        <v>1974</v>
      </c>
      <c r="E357" s="298">
        <f>$E$151</f>
        <v>9.36</v>
      </c>
      <c r="F357" s="324"/>
      <c r="G357" s="2">
        <f t="shared" si="33"/>
        <v>40445</v>
      </c>
      <c r="H357" s="2">
        <f t="shared" si="33"/>
        <v>18476</v>
      </c>
      <c r="I357" s="298">
        <f>$I$151</f>
        <v>9.94</v>
      </c>
      <c r="J357" s="325"/>
      <c r="K357" s="2">
        <f>K386+K415</f>
        <v>42951</v>
      </c>
      <c r="M357" s="20"/>
      <c r="N357" s="20"/>
      <c r="O357" s="74"/>
      <c r="P357" s="74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</row>
    <row r="358" spans="1:29">
      <c r="A358" s="1" t="s">
        <v>394</v>
      </c>
      <c r="B358" s="1"/>
      <c r="C358" s="319">
        <f t="shared" si="32"/>
        <v>108</v>
      </c>
      <c r="D358" s="319">
        <f t="shared" si="32"/>
        <v>109.84090909090909</v>
      </c>
      <c r="E358" s="298"/>
      <c r="F358" s="321"/>
      <c r="G358" s="2"/>
      <c r="H358" s="2"/>
      <c r="I358" s="298"/>
      <c r="J358" s="323"/>
      <c r="K358" s="2"/>
      <c r="M358" s="20"/>
      <c r="N358" s="20"/>
      <c r="O358" s="74"/>
      <c r="P358" s="74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</row>
    <row r="359" spans="1:29">
      <c r="A359" s="1" t="s">
        <v>419</v>
      </c>
      <c r="B359" s="1"/>
      <c r="C359" s="319">
        <f t="shared" si="32"/>
        <v>1258</v>
      </c>
      <c r="D359" s="319">
        <f t="shared" si="32"/>
        <v>1279</v>
      </c>
      <c r="E359" s="298"/>
      <c r="F359" s="321"/>
      <c r="G359" s="2"/>
      <c r="H359" s="2"/>
      <c r="I359" s="298"/>
      <c r="J359" s="323"/>
      <c r="K359" s="2"/>
      <c r="M359" s="20"/>
      <c r="N359" s="20"/>
      <c r="O359" s="74"/>
      <c r="P359" s="74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</row>
    <row r="360" spans="1:29">
      <c r="A360" s="1" t="s">
        <v>395</v>
      </c>
      <c r="B360" s="1"/>
      <c r="C360" s="319">
        <f t="shared" si="32"/>
        <v>11960</v>
      </c>
      <c r="D360" s="319">
        <f t="shared" si="32"/>
        <v>5447</v>
      </c>
      <c r="E360" s="326">
        <f>$E$158</f>
        <v>2.88</v>
      </c>
      <c r="F360" s="323"/>
      <c r="G360" s="2">
        <f t="shared" ref="G360:H364" si="34">G389+G418</f>
        <v>34445</v>
      </c>
      <c r="H360" s="2">
        <f t="shared" si="34"/>
        <v>15687</v>
      </c>
      <c r="I360" s="326">
        <f>$I$158</f>
        <v>2.97</v>
      </c>
      <c r="J360" s="323"/>
      <c r="K360" s="2">
        <f>K389+K418</f>
        <v>35521</v>
      </c>
      <c r="M360" s="20"/>
      <c r="N360" s="20"/>
      <c r="O360" s="74"/>
      <c r="P360" s="74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</row>
    <row r="361" spans="1:29">
      <c r="A361" s="1" t="s">
        <v>397</v>
      </c>
      <c r="B361" s="1"/>
      <c r="C361" s="319">
        <f t="shared" si="32"/>
        <v>212823</v>
      </c>
      <c r="D361" s="319">
        <f t="shared" si="32"/>
        <v>96758</v>
      </c>
      <c r="E361" s="299">
        <f>$E$159</f>
        <v>8.0890000000000004</v>
      </c>
      <c r="F361" s="323" t="s">
        <v>374</v>
      </c>
      <c r="G361" s="2">
        <f t="shared" si="34"/>
        <v>17216</v>
      </c>
      <c r="H361" s="2">
        <f t="shared" si="34"/>
        <v>7826</v>
      </c>
      <c r="I361" s="299">
        <f>$I$159</f>
        <v>8.8109999999999999</v>
      </c>
      <c r="J361" s="323" t="s">
        <v>374</v>
      </c>
      <c r="K361" s="2">
        <f>K390+K419</f>
        <v>18752</v>
      </c>
      <c r="M361" s="20"/>
      <c r="N361" s="20"/>
      <c r="O361" s="74"/>
      <c r="P361" s="74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</row>
    <row r="362" spans="1:29">
      <c r="A362" s="1" t="s">
        <v>398</v>
      </c>
      <c r="B362" s="1"/>
      <c r="C362" s="319">
        <f t="shared" si="32"/>
        <v>426085</v>
      </c>
      <c r="D362" s="319">
        <f t="shared" si="32"/>
        <v>194138</v>
      </c>
      <c r="E362" s="299">
        <f>$E$189</f>
        <v>5.5839999999999996</v>
      </c>
      <c r="F362" s="323" t="s">
        <v>374</v>
      </c>
      <c r="G362" s="2">
        <f t="shared" si="34"/>
        <v>23793</v>
      </c>
      <c r="H362" s="2">
        <f t="shared" si="34"/>
        <v>10841</v>
      </c>
      <c r="I362" s="299">
        <f>$I$160</f>
        <v>6.0819999999999999</v>
      </c>
      <c r="J362" s="323" t="s">
        <v>374</v>
      </c>
      <c r="K362" s="2">
        <f>K391+K420</f>
        <v>25915</v>
      </c>
      <c r="M362" s="20"/>
      <c r="N362" s="20"/>
      <c r="O362" s="74"/>
      <c r="P362" s="74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</row>
    <row r="363" spans="1:29">
      <c r="A363" s="1" t="s">
        <v>399</v>
      </c>
      <c r="B363" s="1"/>
      <c r="C363" s="319">
        <f t="shared" si="32"/>
        <v>20189</v>
      </c>
      <c r="D363" s="319">
        <f t="shared" si="32"/>
        <v>9223</v>
      </c>
      <c r="E363" s="299">
        <f>$E$161</f>
        <v>4.8099999999999996</v>
      </c>
      <c r="F363" s="323" t="s">
        <v>374</v>
      </c>
      <c r="G363" s="2">
        <f t="shared" si="34"/>
        <v>971</v>
      </c>
      <c r="H363" s="2">
        <f t="shared" si="34"/>
        <v>444</v>
      </c>
      <c r="I363" s="299">
        <f>$I$161</f>
        <v>5.24</v>
      </c>
      <c r="J363" s="323" t="s">
        <v>374</v>
      </c>
      <c r="K363" s="2">
        <f>K392+K421</f>
        <v>1058</v>
      </c>
      <c r="M363" s="20"/>
      <c r="N363" s="20"/>
      <c r="O363" s="74"/>
      <c r="P363" s="74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</row>
    <row r="364" spans="1:29">
      <c r="A364" s="1" t="s">
        <v>400</v>
      </c>
      <c r="B364" s="1"/>
      <c r="C364" s="319">
        <f t="shared" si="32"/>
        <v>1540</v>
      </c>
      <c r="D364" s="319">
        <f t="shared" si="32"/>
        <v>704</v>
      </c>
      <c r="E364" s="330">
        <f>$E$162</f>
        <v>45</v>
      </c>
      <c r="F364" s="321" t="s">
        <v>374</v>
      </c>
      <c r="G364" s="2">
        <f t="shared" si="34"/>
        <v>693</v>
      </c>
      <c r="H364" s="2">
        <f t="shared" si="34"/>
        <v>317</v>
      </c>
      <c r="I364" s="330">
        <f>$I$162</f>
        <v>50</v>
      </c>
      <c r="J364" s="323" t="s">
        <v>374</v>
      </c>
      <c r="K364" s="2">
        <f>K393+K422</f>
        <v>770</v>
      </c>
      <c r="M364" s="20"/>
      <c r="N364" s="20"/>
      <c r="O364" s="74"/>
      <c r="P364" s="74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</row>
    <row r="365" spans="1:29">
      <c r="A365" s="331" t="s">
        <v>401</v>
      </c>
      <c r="B365" s="1"/>
      <c r="C365" s="319"/>
      <c r="D365" s="319"/>
      <c r="E365" s="332">
        <v>-0.01</v>
      </c>
      <c r="F365" s="321"/>
      <c r="G365" s="2"/>
      <c r="H365" s="2"/>
      <c r="I365" s="332">
        <v>-0.01</v>
      </c>
      <c r="J365" s="323"/>
      <c r="K365" s="2"/>
      <c r="M365" s="20"/>
      <c r="N365" s="20"/>
      <c r="O365" s="74"/>
      <c r="P365" s="74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</row>
    <row r="366" spans="1:29">
      <c r="A366" s="1" t="s">
        <v>390</v>
      </c>
      <c r="B366" s="1"/>
      <c r="C366" s="319">
        <v>0</v>
      </c>
      <c r="D366" s="319">
        <v>0</v>
      </c>
      <c r="E366" s="334">
        <f>E355</f>
        <v>90.36</v>
      </c>
      <c r="F366" s="321"/>
      <c r="G366" s="2">
        <f t="shared" ref="G366:H377" si="35">G395+G424</f>
        <v>0</v>
      </c>
      <c r="H366" s="2">
        <f t="shared" si="35"/>
        <v>0</v>
      </c>
      <c r="I366" s="334">
        <f>I355</f>
        <v>96</v>
      </c>
      <c r="J366" s="321"/>
      <c r="K366" s="2">
        <f t="shared" ref="K366:K376" si="36">K395+K424</f>
        <v>0</v>
      </c>
      <c r="M366" s="20"/>
      <c r="N366" s="20"/>
      <c r="O366" s="74"/>
      <c r="P366" s="74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</row>
    <row r="367" spans="1:29">
      <c r="A367" s="1" t="s">
        <v>391</v>
      </c>
      <c r="B367" s="1"/>
      <c r="C367" s="319">
        <v>0</v>
      </c>
      <c r="D367" s="319">
        <v>0</v>
      </c>
      <c r="E367" s="334">
        <f>E356</f>
        <v>134.16</v>
      </c>
      <c r="F367" s="321"/>
      <c r="G367" s="2">
        <f t="shared" si="35"/>
        <v>0</v>
      </c>
      <c r="H367" s="2">
        <f t="shared" si="35"/>
        <v>0</v>
      </c>
      <c r="I367" s="334">
        <f>I356</f>
        <v>142.53386454183266</v>
      </c>
      <c r="J367" s="321"/>
      <c r="K367" s="2">
        <f t="shared" si="36"/>
        <v>0</v>
      </c>
      <c r="M367" s="20"/>
      <c r="N367" s="20"/>
      <c r="O367" s="74"/>
      <c r="P367" s="74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</row>
    <row r="368" spans="1:29">
      <c r="A368" s="1" t="s">
        <v>402</v>
      </c>
      <c r="B368" s="1"/>
      <c r="C368" s="319">
        <v>0</v>
      </c>
      <c r="D368" s="319">
        <v>0</v>
      </c>
      <c r="E368" s="334">
        <f>E357</f>
        <v>9.36</v>
      </c>
      <c r="F368" s="321"/>
      <c r="G368" s="2">
        <f t="shared" si="35"/>
        <v>0</v>
      </c>
      <c r="H368" s="2">
        <f t="shared" si="35"/>
        <v>0</v>
      </c>
      <c r="I368" s="334">
        <f>I357</f>
        <v>9.94</v>
      </c>
      <c r="J368" s="321"/>
      <c r="K368" s="2">
        <f t="shared" si="36"/>
        <v>0</v>
      </c>
      <c r="M368" s="20"/>
      <c r="N368" s="20"/>
      <c r="O368" s="74"/>
      <c r="P368" s="74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</row>
    <row r="369" spans="1:29">
      <c r="A369" s="1" t="s">
        <v>403</v>
      </c>
      <c r="B369" s="1"/>
      <c r="C369" s="319">
        <v>0</v>
      </c>
      <c r="D369" s="319">
        <v>0</v>
      </c>
      <c r="E369" s="334">
        <f>E360</f>
        <v>2.88</v>
      </c>
      <c r="F369" s="323"/>
      <c r="G369" s="2">
        <f t="shared" si="35"/>
        <v>0</v>
      </c>
      <c r="H369" s="2">
        <f t="shared" si="35"/>
        <v>0</v>
      </c>
      <c r="I369" s="334">
        <f>I360</f>
        <v>2.97</v>
      </c>
      <c r="J369" s="323"/>
      <c r="K369" s="2">
        <f t="shared" si="36"/>
        <v>0</v>
      </c>
      <c r="M369" s="20"/>
      <c r="N369" s="20"/>
      <c r="O369" s="74"/>
      <c r="P369" s="74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</row>
    <row r="370" spans="1:29">
      <c r="A370" s="1" t="s">
        <v>405</v>
      </c>
      <c r="B370" s="1"/>
      <c r="C370" s="319">
        <v>0</v>
      </c>
      <c r="D370" s="319">
        <v>0</v>
      </c>
      <c r="E370" s="335">
        <f>E361</f>
        <v>8.0890000000000004</v>
      </c>
      <c r="F370" s="323" t="s">
        <v>374</v>
      </c>
      <c r="G370" s="2">
        <f t="shared" si="35"/>
        <v>0</v>
      </c>
      <c r="H370" s="2">
        <f t="shared" si="35"/>
        <v>0</v>
      </c>
      <c r="I370" s="335">
        <f>I361</f>
        <v>8.8109999999999999</v>
      </c>
      <c r="J370" s="323" t="s">
        <v>374</v>
      </c>
      <c r="K370" s="2">
        <f t="shared" si="36"/>
        <v>0</v>
      </c>
      <c r="M370" s="20"/>
      <c r="N370" s="20"/>
      <c r="O370" s="74"/>
      <c r="P370" s="74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</row>
    <row r="371" spans="1:29">
      <c r="A371" s="1" t="s">
        <v>398</v>
      </c>
      <c r="B371" s="1"/>
      <c r="C371" s="319">
        <v>0</v>
      </c>
      <c r="D371" s="319">
        <v>0</v>
      </c>
      <c r="E371" s="335">
        <f>E362</f>
        <v>5.5839999999999996</v>
      </c>
      <c r="F371" s="323" t="s">
        <v>374</v>
      </c>
      <c r="G371" s="2">
        <f t="shared" si="35"/>
        <v>0</v>
      </c>
      <c r="H371" s="2">
        <f t="shared" si="35"/>
        <v>0</v>
      </c>
      <c r="I371" s="335">
        <f>I362</f>
        <v>6.0819999999999999</v>
      </c>
      <c r="J371" s="323" t="s">
        <v>374</v>
      </c>
      <c r="K371" s="2">
        <f t="shared" si="36"/>
        <v>0</v>
      </c>
      <c r="M371" s="20"/>
      <c r="N371" s="20"/>
      <c r="O371" s="74"/>
      <c r="P371" s="74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</row>
    <row r="372" spans="1:29">
      <c r="A372" s="1" t="s">
        <v>399</v>
      </c>
      <c r="B372" s="1"/>
      <c r="C372" s="319">
        <v>0</v>
      </c>
      <c r="D372" s="319">
        <v>0</v>
      </c>
      <c r="E372" s="335">
        <f>E363</f>
        <v>4.8099999999999996</v>
      </c>
      <c r="F372" s="323" t="s">
        <v>374</v>
      </c>
      <c r="G372" s="2">
        <f t="shared" si="35"/>
        <v>0</v>
      </c>
      <c r="H372" s="2">
        <f t="shared" si="35"/>
        <v>0</v>
      </c>
      <c r="I372" s="335">
        <f>I363</f>
        <v>5.24</v>
      </c>
      <c r="J372" s="323" t="s">
        <v>374</v>
      </c>
      <c r="K372" s="2">
        <f t="shared" si="36"/>
        <v>0</v>
      </c>
      <c r="M372" s="20"/>
      <c r="N372" s="20"/>
      <c r="O372" s="74"/>
      <c r="P372" s="74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</row>
    <row r="373" spans="1:29">
      <c r="A373" s="1" t="s">
        <v>400</v>
      </c>
      <c r="B373" s="1"/>
      <c r="C373" s="319">
        <v>0</v>
      </c>
      <c r="D373" s="319">
        <v>0</v>
      </c>
      <c r="E373" s="336">
        <f>E364</f>
        <v>45</v>
      </c>
      <c r="F373" s="323" t="s">
        <v>374</v>
      </c>
      <c r="G373" s="2">
        <f t="shared" si="35"/>
        <v>0</v>
      </c>
      <c r="H373" s="2">
        <f t="shared" si="35"/>
        <v>0</v>
      </c>
      <c r="I373" s="336">
        <f>I364</f>
        <v>50</v>
      </c>
      <c r="J373" s="323" t="s">
        <v>374</v>
      </c>
      <c r="K373" s="2">
        <f t="shared" si="36"/>
        <v>0</v>
      </c>
      <c r="M373" s="20"/>
      <c r="N373" s="20"/>
      <c r="O373" s="74"/>
      <c r="P373" s="74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</row>
    <row r="374" spans="1:29">
      <c r="A374" s="1" t="s">
        <v>407</v>
      </c>
      <c r="B374" s="1"/>
      <c r="C374" s="319">
        <v>0</v>
      </c>
      <c r="D374" s="319">
        <v>0</v>
      </c>
      <c r="E374" s="337">
        <f>$E$172</f>
        <v>60</v>
      </c>
      <c r="F374" s="321"/>
      <c r="G374" s="2">
        <f t="shared" si="35"/>
        <v>0</v>
      </c>
      <c r="H374" s="2">
        <f t="shared" si="35"/>
        <v>0</v>
      </c>
      <c r="I374" s="337">
        <f>$I$172</f>
        <v>60</v>
      </c>
      <c r="J374" s="323"/>
      <c r="K374" s="2">
        <f t="shared" si="36"/>
        <v>0</v>
      </c>
      <c r="M374" s="20"/>
      <c r="N374" s="20"/>
      <c r="O374" s="74"/>
      <c r="P374" s="74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</row>
    <row r="375" spans="1:29">
      <c r="A375" s="1" t="s">
        <v>408</v>
      </c>
      <c r="B375" s="1"/>
      <c r="C375" s="319">
        <v>0</v>
      </c>
      <c r="D375" s="319">
        <v>0</v>
      </c>
      <c r="E375" s="339">
        <f>$E$173</f>
        <v>-30</v>
      </c>
      <c r="F375" s="321" t="s">
        <v>374</v>
      </c>
      <c r="G375" s="2">
        <f t="shared" si="35"/>
        <v>0</v>
      </c>
      <c r="H375" s="2">
        <f t="shared" si="35"/>
        <v>0</v>
      </c>
      <c r="I375" s="339">
        <f>$I$173</f>
        <v>-30</v>
      </c>
      <c r="J375" s="323" t="s">
        <v>374</v>
      </c>
      <c r="K375" s="2">
        <f t="shared" si="36"/>
        <v>0</v>
      </c>
      <c r="M375" s="20"/>
      <c r="N375" s="20"/>
      <c r="O375" s="74"/>
      <c r="P375" s="74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</row>
    <row r="376" spans="1:29">
      <c r="A376" s="1" t="s">
        <v>381</v>
      </c>
      <c r="B376" s="1"/>
      <c r="C376" s="319">
        <f>C405+C434</f>
        <v>659097</v>
      </c>
      <c r="D376" s="319">
        <f>D405+D434</f>
        <v>300118.64975971833</v>
      </c>
      <c r="E376" s="330"/>
      <c r="F376" s="2"/>
      <c r="G376" s="2">
        <f t="shared" si="35"/>
        <v>132008</v>
      </c>
      <c r="H376" s="2">
        <f t="shared" si="35"/>
        <v>68316</v>
      </c>
      <c r="I376" s="2"/>
      <c r="J376" s="323"/>
      <c r="K376" s="2">
        <f t="shared" si="36"/>
        <v>140315</v>
      </c>
      <c r="M376" s="20"/>
      <c r="N376" s="20"/>
      <c r="O376" s="74"/>
      <c r="P376" s="74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</row>
    <row r="377" spans="1:29">
      <c r="A377" s="1" t="s">
        <v>363</v>
      </c>
      <c r="B377" s="1"/>
      <c r="C377" s="340" t="e">
        <f>C406+C435</f>
        <v>#REF!</v>
      </c>
      <c r="D377" s="340">
        <f>D406+D435</f>
        <v>0</v>
      </c>
      <c r="E377" s="309"/>
      <c r="F377" s="309"/>
      <c r="G377" s="341" t="e">
        <f t="shared" si="35"/>
        <v>#REF!</v>
      </c>
      <c r="H377" s="341">
        <f t="shared" si="35"/>
        <v>0</v>
      </c>
      <c r="I377" s="309"/>
      <c r="J377" s="309"/>
      <c r="K377" s="341" t="e">
        <f>G377</f>
        <v>#REF!</v>
      </c>
      <c r="M377" s="444"/>
      <c r="N377" s="444"/>
      <c r="O377" s="287"/>
      <c r="P377" s="74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</row>
    <row r="378" spans="1:29" ht="16.5" thickBot="1">
      <c r="A378" s="1" t="s">
        <v>382</v>
      </c>
      <c r="B378" s="1"/>
      <c r="C378" s="311" t="e">
        <f>SUM(C376:C377)</f>
        <v>#REF!</v>
      </c>
      <c r="D378" s="311">
        <f>SUM(D376:D377)</f>
        <v>300118.64975971833</v>
      </c>
      <c r="E378" s="342"/>
      <c r="F378" s="343"/>
      <c r="G378" s="344" t="e">
        <f>G376+G377</f>
        <v>#REF!</v>
      </c>
      <c r="H378" s="344">
        <f>H376+H377</f>
        <v>68316</v>
      </c>
      <c r="I378" s="342"/>
      <c r="J378" s="345"/>
      <c r="K378" s="344" t="e">
        <f>K376+K377</f>
        <v>#REF!</v>
      </c>
      <c r="M378" s="411"/>
      <c r="N378" s="411"/>
      <c r="O378" s="470"/>
      <c r="P378" s="74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</row>
    <row r="379" spans="1:29" ht="16.5" thickTop="1">
      <c r="A379" s="1"/>
      <c r="B379" s="1"/>
      <c r="C379" s="21"/>
      <c r="D379" s="21"/>
      <c r="E379" s="337"/>
      <c r="F379" s="2"/>
      <c r="G379" s="2"/>
      <c r="H379" s="2"/>
      <c r="I379" s="353" t="s">
        <v>31</v>
      </c>
      <c r="J379" s="1"/>
      <c r="K379" s="2" t="s">
        <v>31</v>
      </c>
      <c r="M379" s="20"/>
      <c r="N379" s="20"/>
      <c r="O379" s="74"/>
      <c r="P379" s="74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</row>
    <row r="380" spans="1:29">
      <c r="A380" s="293" t="s">
        <v>417</v>
      </c>
      <c r="B380" s="1"/>
      <c r="C380" s="1"/>
      <c r="D380" s="1"/>
      <c r="E380" s="2"/>
      <c r="F380" s="2"/>
      <c r="G380" s="1" t="s">
        <v>31</v>
      </c>
      <c r="H380" s="1"/>
      <c r="I380" s="2"/>
      <c r="J380" s="1"/>
      <c r="K380" s="1"/>
      <c r="M380" s="20"/>
      <c r="N380" s="20"/>
      <c r="O380" s="74"/>
      <c r="P380" s="74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</row>
    <row r="381" spans="1:29">
      <c r="A381" s="1" t="s">
        <v>411</v>
      </c>
      <c r="B381" s="1"/>
      <c r="C381" s="1"/>
      <c r="D381" s="1"/>
      <c r="E381" s="2"/>
      <c r="F381" s="2"/>
      <c r="G381" s="1"/>
      <c r="H381" s="1"/>
      <c r="I381" s="2"/>
      <c r="J381" s="1"/>
      <c r="K381" s="1"/>
      <c r="M381" s="20"/>
      <c r="N381" s="20"/>
      <c r="O381" s="74"/>
      <c r="P381" s="74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</row>
    <row r="382" spans="1:29">
      <c r="A382" s="1" t="s">
        <v>418</v>
      </c>
      <c r="B382" s="1"/>
      <c r="C382" s="1"/>
      <c r="D382" s="1"/>
      <c r="E382" s="2"/>
      <c r="F382" s="2"/>
      <c r="G382" s="1"/>
      <c r="H382" s="1"/>
      <c r="I382" s="2"/>
      <c r="J382" s="1"/>
      <c r="K382" s="1"/>
      <c r="M382" s="20"/>
      <c r="N382" s="20"/>
      <c r="O382" s="74"/>
      <c r="P382" s="74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</row>
    <row r="383" spans="1:29">
      <c r="A383" s="1" t="s">
        <v>393</v>
      </c>
      <c r="B383" s="1"/>
      <c r="C383" s="319"/>
      <c r="D383" s="319"/>
      <c r="E383" s="2"/>
      <c r="F383" s="2"/>
      <c r="G383" s="1"/>
      <c r="H383" s="1"/>
      <c r="I383" s="2"/>
      <c r="J383" s="1"/>
      <c r="K383" s="1"/>
      <c r="M383" s="20"/>
      <c r="N383" s="20"/>
      <c r="O383" s="74"/>
      <c r="P383" s="74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</row>
    <row r="384" spans="1:29">
      <c r="A384" s="1" t="s">
        <v>390</v>
      </c>
      <c r="B384" s="1"/>
      <c r="C384" s="319">
        <v>1</v>
      </c>
      <c r="D384" s="319">
        <f>ROUND(($D$387/$C$387)*C384,0)</f>
        <v>1</v>
      </c>
      <c r="E384" s="298">
        <f>$E$149</f>
        <v>90.36</v>
      </c>
      <c r="F384" s="321"/>
      <c r="G384" s="2">
        <f>ROUND(E384*$C384,0)</f>
        <v>90</v>
      </c>
      <c r="H384" s="2">
        <f>ROUND(E384*$D384,0)</f>
        <v>90</v>
      </c>
      <c r="I384" s="298">
        <f>$I$149</f>
        <v>96</v>
      </c>
      <c r="J384" s="323"/>
      <c r="K384" s="2">
        <f>ROUND(I384*$C384,0)</f>
        <v>96</v>
      </c>
      <c r="M384" s="20"/>
      <c r="N384" s="20"/>
      <c r="O384" s="74"/>
      <c r="P384" s="74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</row>
    <row r="385" spans="1:29">
      <c r="A385" s="1" t="s">
        <v>391</v>
      </c>
      <c r="B385" s="1"/>
      <c r="C385" s="319">
        <v>106</v>
      </c>
      <c r="D385" s="319">
        <f>ROUND(($D$387/$C$387)*C385,0)</f>
        <v>108</v>
      </c>
      <c r="E385" s="298">
        <f>$E$150</f>
        <v>134.16</v>
      </c>
      <c r="F385" s="324"/>
      <c r="G385" s="2">
        <f>ROUND(E385*$C385,0)</f>
        <v>14221</v>
      </c>
      <c r="H385" s="2">
        <f>ROUND(E385*$D385,0)</f>
        <v>14489</v>
      </c>
      <c r="I385" s="298">
        <f>$I$150</f>
        <v>142.53386454183266</v>
      </c>
      <c r="J385" s="325"/>
      <c r="K385" s="2">
        <f>ROUND(I385*$C385,0)</f>
        <v>15109</v>
      </c>
      <c r="M385" s="20"/>
      <c r="N385" s="20"/>
      <c r="O385" s="74"/>
      <c r="P385" s="74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</row>
    <row r="386" spans="1:29">
      <c r="A386" s="1" t="s">
        <v>392</v>
      </c>
      <c r="B386" s="1"/>
      <c r="C386" s="319">
        <v>4246</v>
      </c>
      <c r="D386" s="319">
        <f>ROUND(($D$405/$C$405)*C386,0)</f>
        <v>1940</v>
      </c>
      <c r="E386" s="298">
        <f>$E$151</f>
        <v>9.36</v>
      </c>
      <c r="F386" s="324"/>
      <c r="G386" s="2">
        <f>ROUND(E386*$C386,0)</f>
        <v>39743</v>
      </c>
      <c r="H386" s="2">
        <f>ROUND(E386*$D386,0)</f>
        <v>18158</v>
      </c>
      <c r="I386" s="298">
        <f>$I$151</f>
        <v>9.94</v>
      </c>
      <c r="J386" s="325"/>
      <c r="K386" s="2">
        <f>ROUND(I386*$C386,0)</f>
        <v>42205</v>
      </c>
      <c r="M386" s="20"/>
      <c r="N386" s="20"/>
      <c r="O386" s="74"/>
      <c r="P386" s="74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</row>
    <row r="387" spans="1:29">
      <c r="A387" s="1" t="s">
        <v>394</v>
      </c>
      <c r="B387" s="1"/>
      <c r="C387" s="319">
        <f>SUM(C384:C385)</f>
        <v>107</v>
      </c>
      <c r="D387" s="319">
        <v>108.75</v>
      </c>
      <c r="E387" s="298"/>
      <c r="F387" s="321"/>
      <c r="G387" s="2"/>
      <c r="H387" s="2"/>
      <c r="I387" s="298"/>
      <c r="J387" s="323"/>
      <c r="K387" s="2"/>
      <c r="M387" s="20"/>
      <c r="N387" s="20"/>
      <c r="O387" s="74"/>
      <c r="P387" s="74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</row>
    <row r="388" spans="1:29">
      <c r="A388" s="1" t="s">
        <v>419</v>
      </c>
      <c r="B388" s="1"/>
      <c r="C388" s="319">
        <f>11+1236</f>
        <v>1247</v>
      </c>
      <c r="D388" s="319">
        <f>ROUND(($D$387/$C$387)*C388,0)</f>
        <v>1267</v>
      </c>
      <c r="E388" s="298"/>
      <c r="F388" s="321"/>
      <c r="G388" s="2"/>
      <c r="H388" s="2"/>
      <c r="I388" s="298"/>
      <c r="J388" s="323"/>
      <c r="K388" s="2"/>
      <c r="M388" s="20"/>
      <c r="N388" s="20"/>
      <c r="O388" s="74"/>
      <c r="P388" s="74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</row>
    <row r="389" spans="1:29">
      <c r="A389" s="1" t="s">
        <v>395</v>
      </c>
      <c r="B389" s="1"/>
      <c r="C389" s="319">
        <v>11707</v>
      </c>
      <c r="D389" s="319">
        <f>ROUND(($D$405/$C$405)*C389,0)</f>
        <v>5348</v>
      </c>
      <c r="E389" s="326">
        <f>$E$158</f>
        <v>2.88</v>
      </c>
      <c r="F389" s="323"/>
      <c r="G389" s="2">
        <f>ROUND(E389*$C389,0)</f>
        <v>33716</v>
      </c>
      <c r="H389" s="2">
        <f>ROUND(E389*$D389,0)</f>
        <v>15402</v>
      </c>
      <c r="I389" s="326">
        <f>$I$158</f>
        <v>2.97</v>
      </c>
      <c r="J389" s="323"/>
      <c r="K389" s="2">
        <f>ROUND(I389*$C389,0)</f>
        <v>34770</v>
      </c>
      <c r="M389" s="20"/>
      <c r="N389" s="20"/>
      <c r="O389" s="74"/>
      <c r="P389" s="74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</row>
    <row r="390" spans="1:29">
      <c r="A390" s="1" t="s">
        <v>397</v>
      </c>
      <c r="B390" s="1"/>
      <c r="C390" s="319">
        <f>4783+201108</f>
        <v>205891</v>
      </c>
      <c r="D390" s="319">
        <f>ROUND(($D$405/$C$405)*C390,0)</f>
        <v>94057</v>
      </c>
      <c r="E390" s="299">
        <f>$E$159</f>
        <v>8.0890000000000004</v>
      </c>
      <c r="F390" s="323" t="s">
        <v>374</v>
      </c>
      <c r="G390" s="2">
        <f>ROUND(E390*$C390/100,0)</f>
        <v>16655</v>
      </c>
      <c r="H390" s="2">
        <f>ROUND(E390*$D390/100,0)</f>
        <v>7608</v>
      </c>
      <c r="I390" s="299">
        <f>$I$159</f>
        <v>8.8109999999999999</v>
      </c>
      <c r="J390" s="323" t="s">
        <v>374</v>
      </c>
      <c r="K390" s="2">
        <f>ROUND(I390*$C390/100,0)</f>
        <v>18141</v>
      </c>
      <c r="M390" s="20"/>
      <c r="N390" s="20"/>
      <c r="O390" s="74"/>
      <c r="P390" s="74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</row>
    <row r="391" spans="1:29">
      <c r="A391" s="1" t="s">
        <v>398</v>
      </c>
      <c r="B391" s="1"/>
      <c r="C391" s="319">
        <f>417691+806</f>
        <v>418497</v>
      </c>
      <c r="D391" s="319">
        <f>ROUND(($D$405/$C$405)*C391,0)</f>
        <v>191182</v>
      </c>
      <c r="E391" s="299">
        <f>$E$189</f>
        <v>5.5839999999999996</v>
      </c>
      <c r="F391" s="323" t="s">
        <v>374</v>
      </c>
      <c r="G391" s="2">
        <f>ROUND(E391*$C391/100,0)</f>
        <v>23369</v>
      </c>
      <c r="H391" s="2">
        <f>ROUND(E391*$D391/100,0)</f>
        <v>10676</v>
      </c>
      <c r="I391" s="299">
        <f>$I$160</f>
        <v>6.0819999999999999</v>
      </c>
      <c r="J391" s="323" t="s">
        <v>374</v>
      </c>
      <c r="K391" s="2">
        <f>ROUND(I391*$C391/100,0)</f>
        <v>25453</v>
      </c>
      <c r="M391" s="20"/>
      <c r="N391" s="20"/>
      <c r="O391" s="74"/>
      <c r="P391" s="74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</row>
    <row r="392" spans="1:29">
      <c r="A392" s="1" t="s">
        <v>399</v>
      </c>
      <c r="B392" s="1"/>
      <c r="C392" s="319">
        <v>20189</v>
      </c>
      <c r="D392" s="319">
        <f>ROUND(($D$405/$C$405)*C392,0)</f>
        <v>9223</v>
      </c>
      <c r="E392" s="299">
        <f>$E$161</f>
        <v>4.8099999999999996</v>
      </c>
      <c r="F392" s="323" t="s">
        <v>374</v>
      </c>
      <c r="G392" s="2">
        <f>ROUND(E392*$C392/100,0)</f>
        <v>971</v>
      </c>
      <c r="H392" s="2">
        <f>ROUND(E392*$D392/100,0)</f>
        <v>444</v>
      </c>
      <c r="I392" s="299">
        <f>$I$161</f>
        <v>5.24</v>
      </c>
      <c r="J392" s="323" t="s">
        <v>374</v>
      </c>
      <c r="K392" s="2">
        <f>ROUND(I392*$C392/100,0)</f>
        <v>1058</v>
      </c>
      <c r="M392" s="20"/>
      <c r="N392" s="20"/>
      <c r="O392" s="74"/>
      <c r="P392" s="74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</row>
    <row r="393" spans="1:29">
      <c r="A393" s="1" t="s">
        <v>400</v>
      </c>
      <c r="B393" s="1"/>
      <c r="C393" s="319">
        <v>1540</v>
      </c>
      <c r="D393" s="319">
        <f>ROUND(($D$405/$C$405)*C393,0)</f>
        <v>704</v>
      </c>
      <c r="E393" s="330">
        <f>$E$162</f>
        <v>45</v>
      </c>
      <c r="F393" s="321" t="s">
        <v>374</v>
      </c>
      <c r="G393" s="2">
        <f>ROUND(E393*$C393/100,0)</f>
        <v>693</v>
      </c>
      <c r="H393" s="2">
        <f>ROUND(E393*$D393/100,0)</f>
        <v>317</v>
      </c>
      <c r="I393" s="330">
        <f>$I$162</f>
        <v>50</v>
      </c>
      <c r="J393" s="323" t="s">
        <v>374</v>
      </c>
      <c r="K393" s="2">
        <f>ROUND(I393*$C393/100,0)</f>
        <v>770</v>
      </c>
      <c r="M393" s="20"/>
      <c r="N393" s="20"/>
      <c r="O393" s="74"/>
      <c r="P393" s="74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</row>
    <row r="394" spans="1:29">
      <c r="A394" s="331" t="s">
        <v>401</v>
      </c>
      <c r="B394" s="1"/>
      <c r="C394" s="319"/>
      <c r="D394" s="319"/>
      <c r="E394" s="332">
        <v>-0.01</v>
      </c>
      <c r="F394" s="321"/>
      <c r="G394" s="2"/>
      <c r="H394" s="2"/>
      <c r="I394" s="332">
        <v>-0.01</v>
      </c>
      <c r="J394" s="323"/>
      <c r="K394" s="2"/>
      <c r="M394" s="20"/>
      <c r="N394" s="20"/>
      <c r="O394" s="74"/>
      <c r="P394" s="74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</row>
    <row r="395" spans="1:29">
      <c r="A395" s="1" t="s">
        <v>390</v>
      </c>
      <c r="B395" s="1"/>
      <c r="C395" s="319">
        <v>0</v>
      </c>
      <c r="D395" s="319">
        <f>ROUND(($D$387/$C$387)*C395,0)</f>
        <v>0</v>
      </c>
      <c r="E395" s="334">
        <f>E384</f>
        <v>90.36</v>
      </c>
      <c r="F395" s="321"/>
      <c r="G395" s="2">
        <f>-ROUND(E395*$C395/100,0)</f>
        <v>0</v>
      </c>
      <c r="H395" s="2">
        <f>-ROUND(E395*$D395/100,0)</f>
        <v>0</v>
      </c>
      <c r="I395" s="334">
        <f>I384</f>
        <v>96</v>
      </c>
      <c r="J395" s="321"/>
      <c r="K395" s="2">
        <f>-ROUND(I395*$C395/100,0)</f>
        <v>0</v>
      </c>
      <c r="M395" s="20"/>
      <c r="N395" s="20"/>
      <c r="O395" s="74"/>
      <c r="P395" s="74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</row>
    <row r="396" spans="1:29">
      <c r="A396" s="1" t="s">
        <v>391</v>
      </c>
      <c r="B396" s="1"/>
      <c r="C396" s="319">
        <v>0</v>
      </c>
      <c r="D396" s="319">
        <f>ROUND(($D$387/$C$387)*C396,0)</f>
        <v>0</v>
      </c>
      <c r="E396" s="334">
        <f>E385</f>
        <v>134.16</v>
      </c>
      <c r="F396" s="321"/>
      <c r="G396" s="2">
        <f>-ROUND(E396*$C396/100,0)</f>
        <v>0</v>
      </c>
      <c r="H396" s="2">
        <f>-ROUND(E396*$D396/100,0)</f>
        <v>0</v>
      </c>
      <c r="I396" s="334">
        <f>I385</f>
        <v>142.53386454183266</v>
      </c>
      <c r="J396" s="321"/>
      <c r="K396" s="2">
        <f>-ROUND(I396*$C396/100,0)</f>
        <v>0</v>
      </c>
      <c r="M396" s="20"/>
      <c r="N396" s="20"/>
      <c r="O396" s="74"/>
      <c r="P396" s="74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</row>
    <row r="397" spans="1:29">
      <c r="A397" s="1" t="s">
        <v>402</v>
      </c>
      <c r="B397" s="1"/>
      <c r="C397" s="319">
        <v>0</v>
      </c>
      <c r="D397" s="319">
        <f t="shared" ref="D397:D402" si="37">ROUND(($D$405/$C$405)*C397,0)</f>
        <v>0</v>
      </c>
      <c r="E397" s="334">
        <f>E386</f>
        <v>9.36</v>
      </c>
      <c r="F397" s="321"/>
      <c r="G397" s="2">
        <f>-ROUND(E397*$C397/100,0)</f>
        <v>0</v>
      </c>
      <c r="H397" s="2">
        <f>-ROUND(E397*$D397/100,0)</f>
        <v>0</v>
      </c>
      <c r="I397" s="334">
        <f>I386</f>
        <v>9.94</v>
      </c>
      <c r="J397" s="321"/>
      <c r="K397" s="2">
        <f>-ROUND(I397*$C397/100,0)</f>
        <v>0</v>
      </c>
      <c r="M397" s="20"/>
      <c r="N397" s="20"/>
      <c r="O397" s="74"/>
      <c r="P397" s="74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</row>
    <row r="398" spans="1:29">
      <c r="A398" s="1" t="s">
        <v>403</v>
      </c>
      <c r="B398" s="1"/>
      <c r="C398" s="319">
        <v>0</v>
      </c>
      <c r="D398" s="319">
        <f t="shared" si="37"/>
        <v>0</v>
      </c>
      <c r="E398" s="334">
        <f>E389</f>
        <v>2.88</v>
      </c>
      <c r="F398" s="323"/>
      <c r="G398" s="2">
        <f>-ROUND(E398*$C398/100,0)</f>
        <v>0</v>
      </c>
      <c r="H398" s="2">
        <f>-ROUND(E398*$D398/100,0)</f>
        <v>0</v>
      </c>
      <c r="I398" s="334">
        <f>I389</f>
        <v>2.97</v>
      </c>
      <c r="J398" s="323"/>
      <c r="K398" s="2">
        <f>-ROUND(I398*$C398/100,0)</f>
        <v>0</v>
      </c>
      <c r="M398" s="20"/>
      <c r="N398" s="20"/>
      <c r="O398" s="74"/>
      <c r="P398" s="74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</row>
    <row r="399" spans="1:29">
      <c r="A399" s="1" t="s">
        <v>405</v>
      </c>
      <c r="B399" s="1"/>
      <c r="C399" s="319">
        <v>0</v>
      </c>
      <c r="D399" s="319">
        <f t="shared" si="37"/>
        <v>0</v>
      </c>
      <c r="E399" s="335">
        <f>E390</f>
        <v>8.0890000000000004</v>
      </c>
      <c r="F399" s="323" t="s">
        <v>374</v>
      </c>
      <c r="G399" s="2">
        <f>ROUND(E399*$C399/100*E394,0)</f>
        <v>0</v>
      </c>
      <c r="H399" s="2">
        <f>ROUND(E399*$D399/100*E394,0)</f>
        <v>0</v>
      </c>
      <c r="I399" s="335">
        <f>I390</f>
        <v>8.8109999999999999</v>
      </c>
      <c r="J399" s="323" t="s">
        <v>374</v>
      </c>
      <c r="K399" s="2">
        <f>ROUND(I399*$C399/100*I394,0)</f>
        <v>0</v>
      </c>
      <c r="M399" s="20"/>
      <c r="N399" s="20"/>
      <c r="O399" s="74"/>
      <c r="P399" s="74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</row>
    <row r="400" spans="1:29">
      <c r="A400" s="1" t="s">
        <v>398</v>
      </c>
      <c r="B400" s="1"/>
      <c r="C400" s="319">
        <v>0</v>
      </c>
      <c r="D400" s="319">
        <f t="shared" si="37"/>
        <v>0</v>
      </c>
      <c r="E400" s="335">
        <f>E391</f>
        <v>5.5839999999999996</v>
      </c>
      <c r="F400" s="323" t="s">
        <v>374</v>
      </c>
      <c r="G400" s="2">
        <f>ROUND(E400*$C400/100*E394,0)</f>
        <v>0</v>
      </c>
      <c r="H400" s="2">
        <f>ROUND(E400*$D400/100*E394,0)</f>
        <v>0</v>
      </c>
      <c r="I400" s="335">
        <f>I391</f>
        <v>6.0819999999999999</v>
      </c>
      <c r="J400" s="323" t="s">
        <v>374</v>
      </c>
      <c r="K400" s="2">
        <f>ROUND(I400*$C400/100*I394,0)</f>
        <v>0</v>
      </c>
      <c r="M400" s="20"/>
      <c r="N400" s="20"/>
      <c r="O400" s="74"/>
      <c r="P400" s="74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</row>
    <row r="401" spans="1:29">
      <c r="A401" s="1" t="s">
        <v>399</v>
      </c>
      <c r="B401" s="1"/>
      <c r="C401" s="319">
        <v>0</v>
      </c>
      <c r="D401" s="319">
        <f t="shared" si="37"/>
        <v>0</v>
      </c>
      <c r="E401" s="335">
        <f>E392</f>
        <v>4.8099999999999996</v>
      </c>
      <c r="F401" s="323" t="s">
        <v>374</v>
      </c>
      <c r="G401" s="2">
        <f>ROUND(E401*$C401/100*E394,0)</f>
        <v>0</v>
      </c>
      <c r="H401" s="2">
        <f>ROUND(E401*$D401/100*E394,0)</f>
        <v>0</v>
      </c>
      <c r="I401" s="335">
        <f>I392</f>
        <v>5.24</v>
      </c>
      <c r="J401" s="323" t="s">
        <v>374</v>
      </c>
      <c r="K401" s="2">
        <f>ROUND(I401*$C401/100*I394,0)</f>
        <v>0</v>
      </c>
      <c r="M401" s="20"/>
      <c r="N401" s="20"/>
      <c r="O401" s="74"/>
      <c r="P401" s="74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</row>
    <row r="402" spans="1:29">
      <c r="A402" s="1" t="s">
        <v>400</v>
      </c>
      <c r="B402" s="1"/>
      <c r="C402" s="319">
        <v>0</v>
      </c>
      <c r="D402" s="319">
        <f t="shared" si="37"/>
        <v>0</v>
      </c>
      <c r="E402" s="336">
        <f>E393</f>
        <v>45</v>
      </c>
      <c r="F402" s="323" t="s">
        <v>374</v>
      </c>
      <c r="G402" s="2">
        <f>ROUND(E402*$C402/100*E394,0)</f>
        <v>0</v>
      </c>
      <c r="H402" s="2">
        <f>ROUND(E402*$D402/100*E394,0)</f>
        <v>0</v>
      </c>
      <c r="I402" s="336">
        <f>I393</f>
        <v>50</v>
      </c>
      <c r="J402" s="323" t="s">
        <v>374</v>
      </c>
      <c r="K402" s="2">
        <f>ROUND(I402*$C402/100*I394,0)</f>
        <v>0</v>
      </c>
      <c r="M402" s="20"/>
      <c r="N402" s="20"/>
      <c r="O402" s="74"/>
      <c r="P402" s="74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</row>
    <row r="403" spans="1:29">
      <c r="A403" s="1" t="s">
        <v>407</v>
      </c>
      <c r="B403" s="1"/>
      <c r="C403" s="319">
        <v>0</v>
      </c>
      <c r="D403" s="319">
        <f>ROUND(($D$387/$C$387)*C403,0)</f>
        <v>0</v>
      </c>
      <c r="E403" s="337">
        <f>$E$172</f>
        <v>60</v>
      </c>
      <c r="F403" s="321"/>
      <c r="G403" s="2">
        <f>ROUND(E403*$C403,0)</f>
        <v>0</v>
      </c>
      <c r="H403" s="2">
        <f>ROUND(E403*$D403,0)</f>
        <v>0</v>
      </c>
      <c r="I403" s="337">
        <f>$I$172</f>
        <v>60</v>
      </c>
      <c r="J403" s="323"/>
      <c r="K403" s="2">
        <f>ROUND(I403*$C403,0)</f>
        <v>0</v>
      </c>
      <c r="M403" s="20"/>
      <c r="N403" s="20"/>
      <c r="O403" s="74"/>
      <c r="P403" s="74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</row>
    <row r="404" spans="1:29">
      <c r="A404" s="1" t="s">
        <v>408</v>
      </c>
      <c r="B404" s="1"/>
      <c r="C404" s="319">
        <v>0</v>
      </c>
      <c r="D404" s="319">
        <f>ROUND(($D$405/$C$405)*C404,0)</f>
        <v>0</v>
      </c>
      <c r="E404" s="339">
        <f>$E$173</f>
        <v>-30</v>
      </c>
      <c r="F404" s="321" t="s">
        <v>374</v>
      </c>
      <c r="G404" s="2">
        <f>ROUND(E404*$C404/100,0)</f>
        <v>0</v>
      </c>
      <c r="H404" s="2">
        <f>ROUND(E404*$D404/100,0)</f>
        <v>0</v>
      </c>
      <c r="I404" s="339">
        <f>$I$173</f>
        <v>-30</v>
      </c>
      <c r="J404" s="323" t="s">
        <v>374</v>
      </c>
      <c r="K404" s="2">
        <f>ROUND(I404*$C404/100,0)</f>
        <v>0</v>
      </c>
      <c r="M404" s="20"/>
      <c r="N404" s="20"/>
      <c r="O404" s="74"/>
      <c r="P404" s="74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</row>
    <row r="405" spans="1:29">
      <c r="A405" s="1" t="s">
        <v>381</v>
      </c>
      <c r="B405" s="1"/>
      <c r="C405" s="319">
        <f>SUM(C390:C392)</f>
        <v>644577</v>
      </c>
      <c r="D405" s="319">
        <v>294461.5</v>
      </c>
      <c r="E405" s="330"/>
      <c r="F405" s="2"/>
      <c r="G405" s="2">
        <f>SUM(G384:G404)</f>
        <v>129458</v>
      </c>
      <c r="H405" s="2">
        <f>SUM(H384:H404)</f>
        <v>67184</v>
      </c>
      <c r="I405" s="330"/>
      <c r="J405" s="323"/>
      <c r="K405" s="2">
        <f>SUM(K384:K404)</f>
        <v>137602</v>
      </c>
      <c r="M405" s="20"/>
      <c r="N405" s="20"/>
      <c r="O405" s="74"/>
      <c r="P405" s="74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</row>
    <row r="406" spans="1:29">
      <c r="A406" s="1" t="s">
        <v>363</v>
      </c>
      <c r="B406" s="1"/>
      <c r="C406" s="349" t="e">
        <f>#REF!</f>
        <v>#REF!</v>
      </c>
      <c r="D406" s="349">
        <v>0</v>
      </c>
      <c r="E406" s="309"/>
      <c r="F406" s="309"/>
      <c r="G406" s="341" t="e">
        <f>#REF!</f>
        <v>#REF!</v>
      </c>
      <c r="H406" s="341">
        <v>0</v>
      </c>
      <c r="I406" s="309"/>
      <c r="J406" s="309"/>
      <c r="K406" s="341" t="e">
        <f>G406</f>
        <v>#REF!</v>
      </c>
      <c r="M406" s="444"/>
      <c r="N406" s="444"/>
      <c r="O406" s="287"/>
      <c r="P406" s="74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</row>
    <row r="407" spans="1:29" ht="16.5" thickBot="1">
      <c r="A407" s="1" t="s">
        <v>382</v>
      </c>
      <c r="B407" s="1"/>
      <c r="C407" s="311" t="e">
        <f>SUM(C405:C406)</f>
        <v>#REF!</v>
      </c>
      <c r="D407" s="311">
        <f>SUM(D405:D406)</f>
        <v>294461.5</v>
      </c>
      <c r="E407" s="342"/>
      <c r="F407" s="343"/>
      <c r="G407" s="344" t="e">
        <f>G405+G406</f>
        <v>#REF!</v>
      </c>
      <c r="H407" s="344">
        <f>H405+H406</f>
        <v>67184</v>
      </c>
      <c r="I407" s="342"/>
      <c r="J407" s="345"/>
      <c r="K407" s="344" t="e">
        <f>K405+K406</f>
        <v>#REF!</v>
      </c>
      <c r="M407" s="411"/>
      <c r="N407" s="411"/>
      <c r="O407" s="470"/>
      <c r="P407" s="74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</row>
    <row r="408" spans="1:29" ht="16.5" thickTop="1">
      <c r="A408" s="1"/>
      <c r="B408" s="1"/>
      <c r="C408" s="21"/>
      <c r="D408" s="21"/>
      <c r="E408" s="337"/>
      <c r="F408" s="2"/>
      <c r="G408" s="2"/>
      <c r="H408" s="2"/>
      <c r="I408" s="353" t="s">
        <v>31</v>
      </c>
      <c r="J408" s="1"/>
      <c r="K408" s="2" t="s">
        <v>31</v>
      </c>
      <c r="M408" s="20"/>
      <c r="N408" s="20"/>
      <c r="O408" s="74"/>
      <c r="P408" s="74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</row>
    <row r="409" spans="1:29">
      <c r="A409" s="293" t="s">
        <v>417</v>
      </c>
      <c r="B409" s="1"/>
      <c r="C409" s="1"/>
      <c r="D409" s="1"/>
      <c r="E409" s="2"/>
      <c r="F409" s="2"/>
      <c r="G409" s="1" t="s">
        <v>31</v>
      </c>
      <c r="H409" s="1"/>
      <c r="I409" s="2"/>
      <c r="J409" s="1"/>
      <c r="K409" s="1"/>
      <c r="M409" s="20"/>
      <c r="N409" s="20"/>
      <c r="O409" s="74"/>
      <c r="P409" s="74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</row>
    <row r="410" spans="1:29">
      <c r="A410" s="1" t="s">
        <v>414</v>
      </c>
      <c r="B410" s="1"/>
      <c r="C410" s="1"/>
      <c r="D410" s="1"/>
      <c r="E410" s="2"/>
      <c r="F410" s="2"/>
      <c r="G410" s="1"/>
      <c r="H410" s="1"/>
      <c r="I410" s="2"/>
      <c r="J410" s="1"/>
      <c r="K410" s="1"/>
      <c r="M410" s="20"/>
      <c r="N410" s="20"/>
      <c r="O410" s="74"/>
      <c r="P410" s="74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</row>
    <row r="411" spans="1:29">
      <c r="A411" s="1" t="s">
        <v>418</v>
      </c>
      <c r="B411" s="1"/>
      <c r="C411" s="1"/>
      <c r="D411" s="1"/>
      <c r="E411" s="2"/>
      <c r="F411" s="2"/>
      <c r="G411" s="1"/>
      <c r="H411" s="1"/>
      <c r="I411" s="2"/>
      <c r="J411" s="1"/>
      <c r="K411" s="1"/>
      <c r="M411" s="20"/>
      <c r="N411" s="20"/>
      <c r="O411" s="74"/>
      <c r="P411" s="74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</row>
    <row r="412" spans="1:29">
      <c r="A412" s="1" t="s">
        <v>393</v>
      </c>
      <c r="B412" s="1"/>
      <c r="C412" s="319"/>
      <c r="D412" s="319"/>
      <c r="E412" s="2"/>
      <c r="F412" s="2"/>
      <c r="G412" s="1"/>
      <c r="H412" s="1"/>
      <c r="I412" s="2"/>
      <c r="J412" s="1"/>
      <c r="K412" s="1"/>
      <c r="M412" s="20"/>
      <c r="N412" s="20"/>
      <c r="O412" s="74"/>
      <c r="P412" s="74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</row>
    <row r="413" spans="1:29">
      <c r="A413" s="1" t="s">
        <v>390</v>
      </c>
      <c r="B413" s="1"/>
      <c r="C413" s="319">
        <v>0</v>
      </c>
      <c r="D413" s="319">
        <f>$D$417/$C$417*C413</f>
        <v>0</v>
      </c>
      <c r="E413" s="298">
        <f>$E$149</f>
        <v>90.36</v>
      </c>
      <c r="F413" s="321"/>
      <c r="G413" s="2">
        <f>ROUND(E413*$C413,0)</f>
        <v>0</v>
      </c>
      <c r="H413" s="2">
        <f>ROUND(E413*$D413,0)</f>
        <v>0</v>
      </c>
      <c r="I413" s="298">
        <f>$I$149</f>
        <v>96</v>
      </c>
      <c r="J413" s="323"/>
      <c r="K413" s="2">
        <f>ROUND(I413*$C413,0)</f>
        <v>0</v>
      </c>
      <c r="M413" s="20"/>
      <c r="N413" s="20"/>
      <c r="O413" s="74"/>
      <c r="P413" s="74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</row>
    <row r="414" spans="1:29">
      <c r="A414" s="1" t="s">
        <v>391</v>
      </c>
      <c r="B414" s="1"/>
      <c r="C414" s="319">
        <v>1</v>
      </c>
      <c r="D414" s="319">
        <f>$D$417/$C$417*C414</f>
        <v>1.0909090909090908</v>
      </c>
      <c r="E414" s="298">
        <f>$E$150</f>
        <v>134.16</v>
      </c>
      <c r="F414" s="324"/>
      <c r="G414" s="2">
        <f>ROUND(E414*$C414,0)</f>
        <v>134</v>
      </c>
      <c r="H414" s="2">
        <f>ROUND(E414*$D414,0)</f>
        <v>146</v>
      </c>
      <c r="I414" s="298">
        <f>$I$150</f>
        <v>142.53386454183266</v>
      </c>
      <c r="J414" s="325"/>
      <c r="K414" s="2">
        <f>ROUND(I414*$C414,0)</f>
        <v>143</v>
      </c>
      <c r="M414" s="20"/>
      <c r="N414" s="20"/>
      <c r="O414" s="74"/>
      <c r="P414" s="74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</row>
    <row r="415" spans="1:29">
      <c r="A415" s="1" t="s">
        <v>392</v>
      </c>
      <c r="B415" s="1"/>
      <c r="C415" s="319">
        <v>75</v>
      </c>
      <c r="D415" s="319">
        <v>34</v>
      </c>
      <c r="E415" s="298">
        <f>$E$151</f>
        <v>9.36</v>
      </c>
      <c r="F415" s="324"/>
      <c r="G415" s="2">
        <f>ROUND(E415*$C415,0)</f>
        <v>702</v>
      </c>
      <c r="H415" s="2">
        <f>ROUND(E415*$D415,0)</f>
        <v>318</v>
      </c>
      <c r="I415" s="298">
        <f>$I$151</f>
        <v>9.94</v>
      </c>
      <c r="J415" s="325"/>
      <c r="K415" s="2">
        <f>ROUND(I415*$C415,0)</f>
        <v>746</v>
      </c>
      <c r="M415" s="20"/>
      <c r="N415" s="20"/>
      <c r="O415" s="74"/>
      <c r="P415" s="74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</row>
    <row r="416" spans="1:29">
      <c r="A416" s="1" t="s">
        <v>394</v>
      </c>
      <c r="B416" s="1"/>
      <c r="C416" s="319">
        <f>SUM(C413:C414)</f>
        <v>1</v>
      </c>
      <c r="D416" s="319">
        <f>SUM(D413:D414)</f>
        <v>1.0909090909090908</v>
      </c>
      <c r="E416" s="298"/>
      <c r="F416" s="321"/>
      <c r="G416" s="2"/>
      <c r="H416" s="2"/>
      <c r="I416" s="298"/>
      <c r="J416" s="323"/>
      <c r="K416" s="2"/>
      <c r="M416" s="20"/>
      <c r="N416" s="20"/>
      <c r="O416" s="74"/>
      <c r="P416" s="74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</row>
    <row r="417" spans="1:29">
      <c r="A417" s="1" t="s">
        <v>419</v>
      </c>
      <c r="B417" s="1"/>
      <c r="C417" s="319">
        <v>11</v>
      </c>
      <c r="D417" s="319">
        <v>12</v>
      </c>
      <c r="E417" s="298"/>
      <c r="F417" s="321"/>
      <c r="G417" s="2"/>
      <c r="H417" s="2"/>
      <c r="I417" s="298"/>
      <c r="J417" s="323"/>
      <c r="K417" s="2"/>
      <c r="M417" s="20"/>
      <c r="N417" s="20"/>
      <c r="O417" s="74"/>
      <c r="P417" s="74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</row>
    <row r="418" spans="1:29">
      <c r="A418" s="1" t="s">
        <v>395</v>
      </c>
      <c r="B418" s="1"/>
      <c r="C418" s="319">
        <v>253</v>
      </c>
      <c r="D418" s="319">
        <f>ROUND(($D$434/$C$434)*C418,0)</f>
        <v>99</v>
      </c>
      <c r="E418" s="326">
        <f>$E$158</f>
        <v>2.88</v>
      </c>
      <c r="F418" s="323"/>
      <c r="G418" s="2">
        <f>ROUND(E418*$C418,0)</f>
        <v>729</v>
      </c>
      <c r="H418" s="2">
        <f>ROUND(E418*$D418,0)</f>
        <v>285</v>
      </c>
      <c r="I418" s="326">
        <f>$I$158</f>
        <v>2.97</v>
      </c>
      <c r="J418" s="323"/>
      <c r="K418" s="2">
        <f>ROUND(I418*$C418,0)</f>
        <v>751</v>
      </c>
      <c r="M418" s="20"/>
      <c r="N418" s="20"/>
      <c r="O418" s="74"/>
      <c r="P418" s="74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</row>
    <row r="419" spans="1:29">
      <c r="A419" s="1" t="s">
        <v>397</v>
      </c>
      <c r="B419" s="1"/>
      <c r="C419" s="319">
        <v>6932</v>
      </c>
      <c r="D419" s="319">
        <f>ROUND(($D$434/$C$434)*C419,0)</f>
        <v>2701</v>
      </c>
      <c r="E419" s="299">
        <f>$E$159</f>
        <v>8.0890000000000004</v>
      </c>
      <c r="F419" s="323" t="s">
        <v>374</v>
      </c>
      <c r="G419" s="2">
        <f>ROUND(E419*$C419/100,0)</f>
        <v>561</v>
      </c>
      <c r="H419" s="2">
        <f>ROUND(E419*$D419/100,0)</f>
        <v>218</v>
      </c>
      <c r="I419" s="299">
        <f>$I$159</f>
        <v>8.8109999999999999</v>
      </c>
      <c r="J419" s="323" t="s">
        <v>374</v>
      </c>
      <c r="K419" s="2">
        <f>ROUND(I419*$C419/100,0)</f>
        <v>611</v>
      </c>
      <c r="M419" s="20"/>
      <c r="N419" s="20"/>
      <c r="O419" s="74"/>
      <c r="P419" s="74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</row>
    <row r="420" spans="1:29">
      <c r="A420" s="1" t="s">
        <v>398</v>
      </c>
      <c r="B420" s="1"/>
      <c r="C420" s="319">
        <v>7588</v>
      </c>
      <c r="D420" s="319">
        <f>ROUND(($D$434/$C$434)*C420,0)</f>
        <v>2956</v>
      </c>
      <c r="E420" s="299">
        <f>$E$189</f>
        <v>5.5839999999999996</v>
      </c>
      <c r="F420" s="323" t="s">
        <v>374</v>
      </c>
      <c r="G420" s="2">
        <f>ROUND(E420*$C420/100,0)</f>
        <v>424</v>
      </c>
      <c r="H420" s="2">
        <f>ROUND(E420*$D420/100,0)</f>
        <v>165</v>
      </c>
      <c r="I420" s="299">
        <f>$I$160</f>
        <v>6.0819999999999999</v>
      </c>
      <c r="J420" s="323" t="s">
        <v>374</v>
      </c>
      <c r="K420" s="2">
        <f>ROUND(I420*$C420/100,0)</f>
        <v>462</v>
      </c>
      <c r="M420" s="20"/>
      <c r="N420" s="20"/>
      <c r="O420" s="74"/>
      <c r="P420" s="74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</row>
    <row r="421" spans="1:29">
      <c r="A421" s="1" t="s">
        <v>399</v>
      </c>
      <c r="B421" s="1"/>
      <c r="C421" s="319">
        <v>0</v>
      </c>
      <c r="D421" s="319">
        <f>ROUND(($D$434/$C$434)*C421,0)</f>
        <v>0</v>
      </c>
      <c r="E421" s="299">
        <f>$E$161</f>
        <v>4.8099999999999996</v>
      </c>
      <c r="F421" s="323" t="s">
        <v>374</v>
      </c>
      <c r="G421" s="2">
        <f>ROUND(E421*$C421/100,0)</f>
        <v>0</v>
      </c>
      <c r="H421" s="2">
        <f>ROUND(E421*$D421/100,0)</f>
        <v>0</v>
      </c>
      <c r="I421" s="299">
        <f>$I$161</f>
        <v>5.24</v>
      </c>
      <c r="J421" s="323" t="s">
        <v>374</v>
      </c>
      <c r="K421" s="2">
        <f>ROUND(I421*$C421/100,0)</f>
        <v>0</v>
      </c>
      <c r="M421" s="20"/>
      <c r="N421" s="20"/>
      <c r="O421" s="74"/>
      <c r="P421" s="74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</row>
    <row r="422" spans="1:29">
      <c r="A422" s="1" t="s">
        <v>400</v>
      </c>
      <c r="B422" s="1"/>
      <c r="C422" s="319">
        <v>0</v>
      </c>
      <c r="D422" s="319">
        <f>ROUND(($D$434/$C$434)*C422,0)</f>
        <v>0</v>
      </c>
      <c r="E422" s="330">
        <f>$E$162</f>
        <v>45</v>
      </c>
      <c r="F422" s="321" t="s">
        <v>374</v>
      </c>
      <c r="G422" s="2">
        <f>ROUND(E422*$C422/100,0)</f>
        <v>0</v>
      </c>
      <c r="H422" s="2">
        <f>ROUND(E422*$D422/100,0)</f>
        <v>0</v>
      </c>
      <c r="I422" s="330">
        <f>$I$162</f>
        <v>50</v>
      </c>
      <c r="J422" s="323" t="s">
        <v>374</v>
      </c>
      <c r="K422" s="2">
        <f>ROUND(I422*$C422/100,0)</f>
        <v>0</v>
      </c>
      <c r="M422" s="20"/>
      <c r="N422" s="20"/>
      <c r="O422" s="74"/>
      <c r="P422" s="74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</row>
    <row r="423" spans="1:29">
      <c r="A423" s="331" t="s">
        <v>401</v>
      </c>
      <c r="B423" s="1"/>
      <c r="C423" s="319"/>
      <c r="D423" s="319"/>
      <c r="E423" s="332">
        <v>-0.01</v>
      </c>
      <c r="F423" s="321"/>
      <c r="G423" s="2"/>
      <c r="H423" s="2"/>
      <c r="I423" s="332">
        <v>-0.01</v>
      </c>
      <c r="J423" s="323"/>
      <c r="K423" s="2"/>
      <c r="M423" s="20"/>
      <c r="N423" s="20"/>
      <c r="O423" s="74"/>
      <c r="P423" s="74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</row>
    <row r="424" spans="1:29">
      <c r="A424" s="1" t="s">
        <v>390</v>
      </c>
      <c r="B424" s="1"/>
      <c r="C424" s="319">
        <v>0</v>
      </c>
      <c r="D424" s="319">
        <f>$D$417/$C$417*C424</f>
        <v>0</v>
      </c>
      <c r="E424" s="334">
        <f>E413</f>
        <v>90.36</v>
      </c>
      <c r="F424" s="321"/>
      <c r="G424" s="2">
        <f>-ROUND(E424*$C424/100,0)</f>
        <v>0</v>
      </c>
      <c r="H424" s="2">
        <f>-ROUND(E424*$D424/100,0)</f>
        <v>0</v>
      </c>
      <c r="I424" s="334">
        <f>I413</f>
        <v>96</v>
      </c>
      <c r="J424" s="321"/>
      <c r="K424" s="2">
        <f>-ROUND(I424*$C424/100,0)</f>
        <v>0</v>
      </c>
      <c r="M424" s="20"/>
      <c r="N424" s="20"/>
      <c r="O424" s="74"/>
      <c r="P424" s="74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</row>
    <row r="425" spans="1:29">
      <c r="A425" s="1" t="s">
        <v>391</v>
      </c>
      <c r="B425" s="1"/>
      <c r="C425" s="319">
        <v>0</v>
      </c>
      <c r="D425" s="319">
        <f>$D$417/$C$417*C425</f>
        <v>0</v>
      </c>
      <c r="E425" s="334">
        <f>E414</f>
        <v>134.16</v>
      </c>
      <c r="F425" s="321"/>
      <c r="G425" s="2">
        <f>-ROUND(E425*$C425/100,0)</f>
        <v>0</v>
      </c>
      <c r="H425" s="2">
        <f>-ROUND(E425*$D425/100,0)</f>
        <v>0</v>
      </c>
      <c r="I425" s="334">
        <f>I414</f>
        <v>142.53386454183266</v>
      </c>
      <c r="J425" s="321"/>
      <c r="K425" s="2">
        <f>-ROUND(I425*$C425/100,0)</f>
        <v>0</v>
      </c>
      <c r="M425" s="20"/>
      <c r="N425" s="20"/>
      <c r="O425" s="74"/>
      <c r="P425" s="74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</row>
    <row r="426" spans="1:29">
      <c r="A426" s="1" t="s">
        <v>402</v>
      </c>
      <c r="B426" s="1"/>
      <c r="C426" s="319">
        <v>0</v>
      </c>
      <c r="D426" s="319">
        <f t="shared" ref="D426:D431" si="38">ROUND(($D$434/$C$434)*C426,0)</f>
        <v>0</v>
      </c>
      <c r="E426" s="334">
        <f>E415</f>
        <v>9.36</v>
      </c>
      <c r="F426" s="321"/>
      <c r="G426" s="2">
        <f>-ROUND(E426*$C426/100,0)</f>
        <v>0</v>
      </c>
      <c r="H426" s="2">
        <f>-ROUND(E426*$D426/100,0)</f>
        <v>0</v>
      </c>
      <c r="I426" s="334">
        <f>I415</f>
        <v>9.94</v>
      </c>
      <c r="J426" s="321"/>
      <c r="K426" s="2">
        <f>-ROUND(I426*$C426/100,0)</f>
        <v>0</v>
      </c>
      <c r="M426" s="20"/>
      <c r="N426" s="20"/>
      <c r="O426" s="74"/>
      <c r="P426" s="74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</row>
    <row r="427" spans="1:29">
      <c r="A427" s="1" t="s">
        <v>403</v>
      </c>
      <c r="B427" s="1"/>
      <c r="C427" s="319">
        <v>0</v>
      </c>
      <c r="D427" s="319">
        <f t="shared" si="38"/>
        <v>0</v>
      </c>
      <c r="E427" s="334">
        <f>E418</f>
        <v>2.88</v>
      </c>
      <c r="F427" s="323"/>
      <c r="G427" s="2">
        <f>-ROUND(E427*$C427/100,0)</f>
        <v>0</v>
      </c>
      <c r="H427" s="2">
        <f>-ROUND(E427*$D427/100,0)</f>
        <v>0</v>
      </c>
      <c r="I427" s="334">
        <f>I418</f>
        <v>2.97</v>
      </c>
      <c r="J427" s="323"/>
      <c r="K427" s="2">
        <f>-ROUND(I427*$C427/100,0)</f>
        <v>0</v>
      </c>
      <c r="M427" s="20"/>
      <c r="N427" s="20"/>
      <c r="O427" s="74"/>
      <c r="P427" s="74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</row>
    <row r="428" spans="1:29">
      <c r="A428" s="1" t="s">
        <v>405</v>
      </c>
      <c r="B428" s="1"/>
      <c r="C428" s="319">
        <v>0</v>
      </c>
      <c r="D428" s="319">
        <f t="shared" si="38"/>
        <v>0</v>
      </c>
      <c r="E428" s="335">
        <f>E419</f>
        <v>8.0890000000000004</v>
      </c>
      <c r="F428" s="323" t="s">
        <v>374</v>
      </c>
      <c r="G428" s="2">
        <f>ROUND(E428*$C428/100*E423,0)</f>
        <v>0</v>
      </c>
      <c r="H428" s="2">
        <f>ROUND(E428*$D428/100*E423,0)</f>
        <v>0</v>
      </c>
      <c r="I428" s="335">
        <f>I419</f>
        <v>8.8109999999999999</v>
      </c>
      <c r="J428" s="323" t="s">
        <v>374</v>
      </c>
      <c r="K428" s="2">
        <f>ROUND(I428*$C428/100*I423,0)</f>
        <v>0</v>
      </c>
      <c r="M428" s="20"/>
      <c r="N428" s="20"/>
      <c r="O428" s="74"/>
      <c r="P428" s="74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</row>
    <row r="429" spans="1:29">
      <c r="A429" s="1" t="s">
        <v>398</v>
      </c>
      <c r="B429" s="1"/>
      <c r="C429" s="319">
        <v>0</v>
      </c>
      <c r="D429" s="319">
        <f t="shared" si="38"/>
        <v>0</v>
      </c>
      <c r="E429" s="335">
        <f>E420</f>
        <v>5.5839999999999996</v>
      </c>
      <c r="F429" s="323" t="s">
        <v>374</v>
      </c>
      <c r="G429" s="2">
        <f>ROUND(E429*$C429/100*E423,0)</f>
        <v>0</v>
      </c>
      <c r="H429" s="2">
        <f>ROUND(E429*$D429/100*E423,0)</f>
        <v>0</v>
      </c>
      <c r="I429" s="335">
        <f>I420</f>
        <v>6.0819999999999999</v>
      </c>
      <c r="J429" s="323" t="s">
        <v>374</v>
      </c>
      <c r="K429" s="2">
        <f>ROUND(I429*$C429/100*I423,0)</f>
        <v>0</v>
      </c>
      <c r="M429" s="20"/>
      <c r="N429" s="20"/>
      <c r="O429" s="74"/>
      <c r="P429" s="74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</row>
    <row r="430" spans="1:29">
      <c r="A430" s="1" t="s">
        <v>399</v>
      </c>
      <c r="B430" s="1"/>
      <c r="C430" s="319">
        <v>0</v>
      </c>
      <c r="D430" s="319">
        <f t="shared" si="38"/>
        <v>0</v>
      </c>
      <c r="E430" s="335">
        <f>E421</f>
        <v>4.8099999999999996</v>
      </c>
      <c r="F430" s="323" t="s">
        <v>374</v>
      </c>
      <c r="G430" s="2">
        <f>ROUND(E430*$C430/100*E423,0)</f>
        <v>0</v>
      </c>
      <c r="H430" s="2">
        <f>ROUND(E430*$D430/100*E423,0)</f>
        <v>0</v>
      </c>
      <c r="I430" s="335">
        <f>I421</f>
        <v>5.24</v>
      </c>
      <c r="J430" s="323" t="s">
        <v>374</v>
      </c>
      <c r="K430" s="2">
        <f>ROUND(I430*$C430/100*I423,0)</f>
        <v>0</v>
      </c>
      <c r="M430" s="20"/>
      <c r="N430" s="20"/>
      <c r="O430" s="74"/>
      <c r="P430" s="74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</row>
    <row r="431" spans="1:29">
      <c r="A431" s="1" t="s">
        <v>400</v>
      </c>
      <c r="B431" s="1"/>
      <c r="C431" s="319">
        <v>0</v>
      </c>
      <c r="D431" s="319">
        <f t="shared" si="38"/>
        <v>0</v>
      </c>
      <c r="E431" s="336">
        <f>E422</f>
        <v>45</v>
      </c>
      <c r="F431" s="323" t="s">
        <v>374</v>
      </c>
      <c r="G431" s="2">
        <f>ROUND(E431*$C431/100*E423,0)</f>
        <v>0</v>
      </c>
      <c r="H431" s="2">
        <f>ROUND(E431*$D431/100*E423,0)</f>
        <v>0</v>
      </c>
      <c r="I431" s="336">
        <f>I422</f>
        <v>50</v>
      </c>
      <c r="J431" s="323" t="s">
        <v>374</v>
      </c>
      <c r="K431" s="2">
        <f>ROUND(I431*$C431/100*I423,0)</f>
        <v>0</v>
      </c>
      <c r="M431" s="20"/>
      <c r="N431" s="20"/>
      <c r="O431" s="74"/>
      <c r="P431" s="74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</row>
    <row r="432" spans="1:29">
      <c r="A432" s="1" t="s">
        <v>407</v>
      </c>
      <c r="B432" s="1"/>
      <c r="C432" s="319">
        <v>0</v>
      </c>
      <c r="D432" s="319">
        <f>$D$417/$C$417*C432</f>
        <v>0</v>
      </c>
      <c r="E432" s="337">
        <f>$E$172</f>
        <v>60</v>
      </c>
      <c r="F432" s="321"/>
      <c r="G432" s="2">
        <f>ROUND(E432*$C432,0)</f>
        <v>0</v>
      </c>
      <c r="H432" s="2">
        <f>ROUND(E432*$D432,0)</f>
        <v>0</v>
      </c>
      <c r="I432" s="337">
        <f>$I$172</f>
        <v>60</v>
      </c>
      <c r="J432" s="323"/>
      <c r="K432" s="2">
        <f>ROUND(I432*$C432,0)</f>
        <v>0</v>
      </c>
      <c r="M432" s="20"/>
      <c r="N432" s="20"/>
      <c r="O432" s="74"/>
      <c r="P432" s="74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</row>
    <row r="433" spans="1:29">
      <c r="A433" s="1" t="s">
        <v>408</v>
      </c>
      <c r="B433" s="1"/>
      <c r="C433" s="319">
        <v>0</v>
      </c>
      <c r="D433" s="319">
        <f>ROUND(($D$434/$C$434)*C433,0)</f>
        <v>0</v>
      </c>
      <c r="E433" s="339">
        <f>$E$173</f>
        <v>-30</v>
      </c>
      <c r="F433" s="321" t="s">
        <v>374</v>
      </c>
      <c r="G433" s="2">
        <f>ROUND(E433*$C433/100,0)</f>
        <v>0</v>
      </c>
      <c r="H433" s="2">
        <f>ROUND(E433*$D433/100,0)</f>
        <v>0</v>
      </c>
      <c r="I433" s="339">
        <f>$I$173</f>
        <v>-30</v>
      </c>
      <c r="J433" s="323" t="s">
        <v>374</v>
      </c>
      <c r="K433" s="2">
        <f>ROUND(I433*$C433/100,0)</f>
        <v>0</v>
      </c>
      <c r="M433" s="20"/>
      <c r="N433" s="20"/>
      <c r="O433" s="74"/>
      <c r="P433" s="74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</row>
    <row r="434" spans="1:29">
      <c r="A434" s="1" t="s">
        <v>381</v>
      </c>
      <c r="B434" s="1"/>
      <c r="C434" s="319">
        <f>SUM(C419:C421)</f>
        <v>14520</v>
      </c>
      <c r="D434" s="319">
        <v>5657.1497597183234</v>
      </c>
      <c r="E434" s="330"/>
      <c r="F434" s="2"/>
      <c r="G434" s="2">
        <f>SUM(G413:G433)</f>
        <v>2550</v>
      </c>
      <c r="H434" s="2">
        <f>SUM(H413:H433)</f>
        <v>1132</v>
      </c>
      <c r="I434" s="330"/>
      <c r="J434" s="323"/>
      <c r="K434" s="2">
        <f>SUM(K413:K433)</f>
        <v>2713</v>
      </c>
      <c r="M434" s="20"/>
      <c r="N434" s="20"/>
      <c r="O434" s="74"/>
      <c r="P434" s="74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</row>
    <row r="435" spans="1:29">
      <c r="A435" s="1" t="s">
        <v>363</v>
      </c>
      <c r="B435" s="1"/>
      <c r="C435" s="349" t="e">
        <f>#REF!</f>
        <v>#REF!</v>
      </c>
      <c r="D435" s="349">
        <v>0</v>
      </c>
      <c r="E435" s="309"/>
      <c r="F435" s="309"/>
      <c r="G435" s="341" t="e">
        <f>#REF!</f>
        <v>#REF!</v>
      </c>
      <c r="H435" s="341">
        <v>0</v>
      </c>
      <c r="I435" s="309"/>
      <c r="J435" s="309"/>
      <c r="K435" s="341" t="e">
        <f>G435</f>
        <v>#REF!</v>
      </c>
      <c r="M435" s="444"/>
      <c r="N435" s="444"/>
      <c r="O435" s="287"/>
      <c r="P435" s="74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</row>
    <row r="436" spans="1:29" ht="16.5" thickBot="1">
      <c r="A436" s="1" t="s">
        <v>382</v>
      </c>
      <c r="B436" s="1"/>
      <c r="C436" s="311" t="e">
        <f>SUM(C434:C435)</f>
        <v>#REF!</v>
      </c>
      <c r="D436" s="311">
        <f>SUM(D434:D435)</f>
        <v>5657.1497597183234</v>
      </c>
      <c r="E436" s="342"/>
      <c r="F436" s="343"/>
      <c r="G436" s="344" t="e">
        <f>G434+G435</f>
        <v>#REF!</v>
      </c>
      <c r="H436" s="344">
        <f>H434+H435</f>
        <v>1132</v>
      </c>
      <c r="I436" s="342"/>
      <c r="J436" s="345"/>
      <c r="K436" s="344" t="e">
        <f>K434+K435</f>
        <v>#REF!</v>
      </c>
      <c r="M436" s="411"/>
      <c r="N436" s="411"/>
      <c r="O436" s="470"/>
      <c r="P436" s="74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</row>
    <row r="437" spans="1:29" ht="16.5" thickTop="1">
      <c r="A437" s="1"/>
      <c r="B437" s="1"/>
      <c r="C437" s="21"/>
      <c r="D437" s="21"/>
      <c r="E437" s="337"/>
      <c r="F437" s="2"/>
      <c r="G437" s="2"/>
      <c r="H437" s="2"/>
      <c r="I437" s="353" t="s">
        <v>31</v>
      </c>
      <c r="J437" s="1"/>
      <c r="K437" s="2" t="s">
        <v>31</v>
      </c>
      <c r="M437" s="20"/>
      <c r="N437" s="20"/>
      <c r="O437" s="74"/>
      <c r="P437" s="74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</row>
    <row r="438" spans="1:29">
      <c r="A438" s="1"/>
      <c r="B438" s="1"/>
      <c r="C438" s="21"/>
      <c r="D438" s="21"/>
      <c r="E438" s="337"/>
      <c r="F438" s="2"/>
      <c r="G438" s="2"/>
      <c r="H438" s="2"/>
      <c r="I438" s="353" t="s">
        <v>31</v>
      </c>
      <c r="J438" s="1"/>
      <c r="K438" s="2" t="s">
        <v>31</v>
      </c>
      <c r="M438" s="20"/>
      <c r="N438" s="20"/>
      <c r="O438" s="74"/>
      <c r="P438" s="74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</row>
    <row r="439" spans="1:29">
      <c r="A439" s="293" t="s">
        <v>420</v>
      </c>
      <c r="B439" s="1"/>
      <c r="C439" s="354"/>
      <c r="D439" s="354"/>
      <c r="E439" s="2"/>
      <c r="F439" s="2"/>
      <c r="G439" s="1"/>
      <c r="H439" s="1"/>
      <c r="I439" s="2"/>
      <c r="J439" s="1"/>
      <c r="K439" s="2" t="s">
        <v>31</v>
      </c>
      <c r="M439" s="20"/>
      <c r="N439" s="20"/>
      <c r="O439" s="74"/>
      <c r="P439" s="74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</row>
    <row r="440" spans="1:29">
      <c r="A440" s="323" t="s">
        <v>335</v>
      </c>
      <c r="B440" s="1"/>
      <c r="C440" s="1" t="s">
        <v>31</v>
      </c>
      <c r="D440" s="1"/>
      <c r="E440" s="2"/>
      <c r="F440" s="2"/>
      <c r="G440" s="1"/>
      <c r="H440" s="1"/>
      <c r="I440" s="2"/>
      <c r="J440" s="1"/>
      <c r="K440" s="1"/>
      <c r="M440" s="20"/>
      <c r="N440" s="20"/>
      <c r="O440" s="74"/>
      <c r="P440" s="74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</row>
    <row r="441" spans="1:29">
      <c r="A441" s="323"/>
      <c r="B441" s="1"/>
      <c r="C441" s="1"/>
      <c r="D441" s="1"/>
      <c r="E441" s="2"/>
      <c r="F441" s="2"/>
      <c r="G441" s="1"/>
      <c r="H441" s="1"/>
      <c r="I441" s="2"/>
      <c r="J441" s="1"/>
      <c r="K441" s="1"/>
      <c r="M441" s="20"/>
      <c r="N441" s="20"/>
      <c r="O441" s="74"/>
      <c r="P441" s="74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</row>
    <row r="442" spans="1:29">
      <c r="A442" s="323" t="s">
        <v>393</v>
      </c>
      <c r="B442" s="1"/>
      <c r="C442" s="319"/>
      <c r="D442" s="319"/>
      <c r="E442" s="2"/>
      <c r="F442" s="2"/>
      <c r="G442" s="1"/>
      <c r="H442" s="1"/>
      <c r="I442" s="2"/>
      <c r="J442" s="1"/>
      <c r="K442" s="1"/>
      <c r="M442" s="20"/>
      <c r="N442" s="20"/>
      <c r="O442" s="74"/>
      <c r="P442" s="74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</row>
    <row r="443" spans="1:29">
      <c r="A443" s="323" t="s">
        <v>421</v>
      </c>
      <c r="B443" s="1"/>
      <c r="C443" s="319">
        <v>0</v>
      </c>
      <c r="D443" s="319">
        <v>0</v>
      </c>
      <c r="E443" s="355">
        <f>E480</f>
        <v>225</v>
      </c>
      <c r="F443" s="323"/>
      <c r="G443" s="321">
        <f t="shared" ref="G443:H445" si="39">ROUND(E443*$C443,0)</f>
        <v>0</v>
      </c>
      <c r="H443" s="321">
        <f t="shared" si="39"/>
        <v>0</v>
      </c>
      <c r="I443" s="355">
        <f>'Blocking - detail'!I443</f>
        <v>225</v>
      </c>
      <c r="J443" s="323"/>
      <c r="K443" s="321">
        <f>ROUND(I443*$C443,0)</f>
        <v>0</v>
      </c>
      <c r="M443" s="20"/>
      <c r="N443" s="20"/>
      <c r="O443" s="74"/>
      <c r="P443" s="74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</row>
    <row r="444" spans="1:29">
      <c r="A444" s="323" t="s">
        <v>422</v>
      </c>
      <c r="B444" s="1"/>
      <c r="C444" s="319">
        <v>0</v>
      </c>
      <c r="D444" s="319">
        <v>0</v>
      </c>
      <c r="E444" s="355">
        <f>E481</f>
        <v>83</v>
      </c>
      <c r="F444" s="323"/>
      <c r="G444" s="321">
        <f t="shared" si="39"/>
        <v>0</v>
      </c>
      <c r="H444" s="321">
        <f t="shared" si="39"/>
        <v>0</v>
      </c>
      <c r="I444" s="355">
        <f>'Blocking - detail'!I444</f>
        <v>83</v>
      </c>
      <c r="J444" s="323"/>
      <c r="K444" s="321">
        <f>ROUND(I444*$C444,0)</f>
        <v>0</v>
      </c>
      <c r="M444" s="20"/>
      <c r="N444" s="20"/>
      <c r="O444" s="74"/>
      <c r="P444" s="74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</row>
    <row r="445" spans="1:29">
      <c r="A445" s="323" t="s">
        <v>423</v>
      </c>
      <c r="B445" s="1"/>
      <c r="C445" s="319">
        <v>0</v>
      </c>
      <c r="D445" s="319">
        <v>0</v>
      </c>
      <c r="E445" s="355">
        <f>E482</f>
        <v>166</v>
      </c>
      <c r="F445" s="325"/>
      <c r="G445" s="321">
        <f t="shared" si="39"/>
        <v>0</v>
      </c>
      <c r="H445" s="321">
        <f t="shared" si="39"/>
        <v>0</v>
      </c>
      <c r="I445" s="355">
        <f>'Blocking - detail'!I445</f>
        <v>166</v>
      </c>
      <c r="J445" s="325"/>
      <c r="K445" s="321">
        <f>ROUND(I445*$C445,0)</f>
        <v>0</v>
      </c>
      <c r="M445" s="20"/>
      <c r="N445" s="20"/>
      <c r="O445" s="74"/>
      <c r="P445" s="74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</row>
    <row r="446" spans="1:29">
      <c r="A446" s="323" t="s">
        <v>394</v>
      </c>
      <c r="B446" s="1"/>
      <c r="C446" s="319">
        <f>SUM(C443:C445)</f>
        <v>0</v>
      </c>
      <c r="D446" s="319">
        <f>SUM(D443:D445)</f>
        <v>0</v>
      </c>
      <c r="E446" s="355"/>
      <c r="F446" s="323"/>
      <c r="G446" s="321"/>
      <c r="H446" s="321"/>
      <c r="I446" s="355"/>
      <c r="J446" s="323"/>
      <c r="K446" s="321"/>
      <c r="M446" s="20"/>
      <c r="N446" s="20"/>
      <c r="O446" s="74"/>
      <c r="P446" s="74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</row>
    <row r="447" spans="1:29">
      <c r="A447" s="323" t="s">
        <v>422</v>
      </c>
      <c r="B447" s="1"/>
      <c r="C447" s="319">
        <v>0</v>
      </c>
      <c r="D447" s="319">
        <v>0</v>
      </c>
      <c r="E447" s="355">
        <f>E484</f>
        <v>1.47</v>
      </c>
      <c r="F447" s="323" t="s">
        <v>31</v>
      </c>
      <c r="G447" s="321">
        <f>ROUND(E447*$C447,0)</f>
        <v>0</v>
      </c>
      <c r="H447" s="321">
        <f>ROUND(F447*$C447,0)</f>
        <v>0</v>
      </c>
      <c r="I447" s="355">
        <f>'Blocking - detail'!I447</f>
        <v>1.47</v>
      </c>
      <c r="J447" s="323" t="s">
        <v>31</v>
      </c>
      <c r="K447" s="321">
        <f>ROUND(I447*$C447,0)</f>
        <v>0</v>
      </c>
      <c r="M447" s="20"/>
      <c r="N447" s="20"/>
      <c r="O447" s="74"/>
      <c r="P447" s="74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</row>
    <row r="448" spans="1:29">
      <c r="A448" s="323" t="s">
        <v>423</v>
      </c>
      <c r="B448" s="1"/>
      <c r="C448" s="319">
        <v>0</v>
      </c>
      <c r="D448" s="319">
        <v>0</v>
      </c>
      <c r="E448" s="355">
        <f>E485</f>
        <v>1.2</v>
      </c>
      <c r="F448" s="323" t="s">
        <v>31</v>
      </c>
      <c r="G448" s="321">
        <f>ROUND(E448*$C448,0)</f>
        <v>0</v>
      </c>
      <c r="H448" s="321">
        <f>ROUND(F448*$C448,0)</f>
        <v>0</v>
      </c>
      <c r="I448" s="355">
        <f>'Blocking - detail'!I448</f>
        <v>1.2</v>
      </c>
      <c r="J448" s="323" t="s">
        <v>31</v>
      </c>
      <c r="K448" s="321">
        <f>ROUND(I448*$C448,0)</f>
        <v>0</v>
      </c>
      <c r="M448" s="20"/>
      <c r="N448" s="20"/>
      <c r="O448" s="74"/>
      <c r="P448" s="74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</row>
    <row r="449" spans="1:29">
      <c r="A449" s="309" t="s">
        <v>424</v>
      </c>
      <c r="B449" s="1"/>
      <c r="C449" s="319"/>
      <c r="D449" s="319"/>
      <c r="E449" s="355"/>
      <c r="F449" s="323"/>
      <c r="G449" s="321"/>
      <c r="H449" s="321"/>
      <c r="I449" s="355"/>
      <c r="J449" s="323"/>
      <c r="K449" s="321"/>
      <c r="M449" s="20"/>
      <c r="N449" s="20"/>
      <c r="O449" s="74"/>
      <c r="P449" s="74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</row>
    <row r="450" spans="1:29">
      <c r="A450" s="309" t="s">
        <v>425</v>
      </c>
      <c r="B450" s="1"/>
      <c r="C450" s="319">
        <v>0</v>
      </c>
      <c r="D450" s="319">
        <v>0</v>
      </c>
      <c r="E450" s="355">
        <f>E487</f>
        <v>3.75</v>
      </c>
      <c r="F450" s="323"/>
      <c r="G450" s="321">
        <f>ROUND(E450*$C450,0)</f>
        <v>0</v>
      </c>
      <c r="H450" s="321">
        <f>ROUND(F450*$C450,0)</f>
        <v>0</v>
      </c>
      <c r="I450" s="355">
        <f>'Blocking - detail'!I450</f>
        <v>3.75</v>
      </c>
      <c r="J450" s="323"/>
      <c r="K450" s="321">
        <f>ROUND(I450*$C450,0)</f>
        <v>0</v>
      </c>
      <c r="M450" s="20"/>
      <c r="N450" s="20"/>
      <c r="O450" s="74"/>
      <c r="P450" s="74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</row>
    <row r="451" spans="1:29">
      <c r="A451" s="323" t="s">
        <v>426</v>
      </c>
      <c r="B451" s="1"/>
      <c r="C451" s="319"/>
      <c r="D451" s="319"/>
      <c r="E451" s="356"/>
      <c r="F451" s="321"/>
      <c r="G451" s="321"/>
      <c r="H451" s="321"/>
      <c r="I451" s="356"/>
      <c r="J451" s="321"/>
      <c r="K451" s="321"/>
      <c r="M451" s="20"/>
      <c r="N451" s="20"/>
      <c r="O451" s="74"/>
      <c r="P451" s="74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</row>
    <row r="452" spans="1:29">
      <c r="A452" s="323" t="s">
        <v>427</v>
      </c>
      <c r="B452" s="1"/>
      <c r="C452" s="319">
        <v>0</v>
      </c>
      <c r="D452" s="319">
        <v>0</v>
      </c>
      <c r="E452" s="335">
        <f>E490</f>
        <v>4.3570000000000002</v>
      </c>
      <c r="F452" s="321" t="s">
        <v>374</v>
      </c>
      <c r="G452" s="321">
        <f>ROUND($C452*E452/100,0)</f>
        <v>0</v>
      </c>
      <c r="H452" s="321">
        <f>ROUND($C452*F452/100,0)</f>
        <v>0</v>
      </c>
      <c r="I452" s="335">
        <f>'Blocking - detail'!I452</f>
        <v>4.3570000000000002</v>
      </c>
      <c r="J452" s="321" t="s">
        <v>374</v>
      </c>
      <c r="K452" s="321">
        <f>ROUND($C452*I452/100,0)</f>
        <v>0</v>
      </c>
      <c r="M452" s="20"/>
      <c r="N452" s="20"/>
      <c r="O452" s="74"/>
      <c r="P452" s="74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</row>
    <row r="453" spans="1:29">
      <c r="A453" s="323" t="s">
        <v>399</v>
      </c>
      <c r="B453" s="1"/>
      <c r="C453" s="319">
        <v>0</v>
      </c>
      <c r="D453" s="319">
        <v>0</v>
      </c>
      <c r="E453" s="335">
        <f>E491</f>
        <v>3.9930000000000003</v>
      </c>
      <c r="F453" s="321" t="s">
        <v>374</v>
      </c>
      <c r="G453" s="321">
        <f>ROUND($C453*E453/100,0)</f>
        <v>0</v>
      </c>
      <c r="H453" s="321">
        <f>ROUND($C453*F453/100,0)</f>
        <v>0</v>
      </c>
      <c r="I453" s="335">
        <f>'Blocking - detail'!I453</f>
        <v>3.9930000000000003</v>
      </c>
      <c r="J453" s="321" t="s">
        <v>374</v>
      </c>
      <c r="K453" s="321">
        <f>ROUND($C453*I453/100,0)</f>
        <v>0</v>
      </c>
      <c r="M453" s="20"/>
      <c r="N453" s="20"/>
      <c r="O453" s="74"/>
      <c r="P453" s="74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</row>
    <row r="454" spans="1:29">
      <c r="A454" s="323" t="s">
        <v>400</v>
      </c>
      <c r="B454" s="1"/>
      <c r="C454" s="319">
        <v>0</v>
      </c>
      <c r="D454" s="319">
        <v>0</v>
      </c>
      <c r="E454" s="362">
        <f>'Blocking - detail'!E454</f>
        <v>45</v>
      </c>
      <c r="F454" s="321" t="s">
        <v>374</v>
      </c>
      <c r="G454" s="321">
        <f>ROUND(E454*$C454/100,0)</f>
        <v>0</v>
      </c>
      <c r="H454" s="321">
        <f>ROUND(F454*$C454/100,0)</f>
        <v>0</v>
      </c>
      <c r="I454" s="362">
        <f>'Blocking - detail'!I454</f>
        <v>45</v>
      </c>
      <c r="J454" s="321" t="s">
        <v>374</v>
      </c>
      <c r="K454" s="321">
        <f>ROUND(I454*$C454,0)</f>
        <v>0</v>
      </c>
      <c r="M454" s="20"/>
      <c r="N454" s="20"/>
      <c r="O454" s="74"/>
      <c r="P454" s="74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</row>
    <row r="455" spans="1:29">
      <c r="A455" s="323" t="s">
        <v>428</v>
      </c>
      <c r="B455" s="1"/>
      <c r="C455" s="319">
        <v>0</v>
      </c>
      <c r="D455" s="319">
        <v>0</v>
      </c>
      <c r="E455" s="359">
        <f>'Blocking - detail'!E455</f>
        <v>0.06</v>
      </c>
      <c r="F455" s="321"/>
      <c r="G455" s="321">
        <f>ROUND($C455*E455/100,0)</f>
        <v>0</v>
      </c>
      <c r="H455" s="321">
        <f>ROUND($C455*F455/100,0)</f>
        <v>0</v>
      </c>
      <c r="I455" s="359">
        <f>'Blocking - detail'!I455</f>
        <v>0.06</v>
      </c>
      <c r="J455" s="321"/>
      <c r="K455" s="321">
        <f>ROUND($C455*I455/100,0)</f>
        <v>0</v>
      </c>
      <c r="M455" s="20"/>
      <c r="N455" s="20"/>
      <c r="O455" s="74"/>
      <c r="P455" s="74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</row>
    <row r="456" spans="1:29">
      <c r="A456" s="360" t="s">
        <v>401</v>
      </c>
      <c r="B456" s="1" t="s">
        <v>31</v>
      </c>
      <c r="C456" s="319"/>
      <c r="D456" s="319"/>
      <c r="E456" s="332">
        <v>-0.01</v>
      </c>
      <c r="F456" s="361"/>
      <c r="G456" s="361"/>
      <c r="H456" s="361"/>
      <c r="I456" s="332">
        <v>-0.01</v>
      </c>
      <c r="J456" s="361"/>
      <c r="K456" s="2"/>
      <c r="M456" s="20"/>
      <c r="N456" s="20"/>
      <c r="O456" s="74"/>
      <c r="P456" s="74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</row>
    <row r="457" spans="1:29">
      <c r="A457" s="323" t="s">
        <v>421</v>
      </c>
      <c r="B457" s="1"/>
      <c r="C457" s="319">
        <v>0</v>
      </c>
      <c r="D457" s="319">
        <v>0</v>
      </c>
      <c r="E457" s="355">
        <f t="shared" ref="E457:E462" si="40">E494</f>
        <v>225</v>
      </c>
      <c r="F457" s="323"/>
      <c r="G457" s="321">
        <f t="shared" ref="G457:H462" si="41">ROUND(E457*$C457*$E$456,0)</f>
        <v>0</v>
      </c>
      <c r="H457" s="321">
        <f t="shared" si="41"/>
        <v>0</v>
      </c>
      <c r="I457" s="355">
        <f>'Blocking - detail'!I457</f>
        <v>225</v>
      </c>
      <c r="J457" s="323"/>
      <c r="K457" s="321">
        <f t="shared" ref="K457:K462" si="42">ROUND(I457*$C457*$E$456,0)</f>
        <v>0</v>
      </c>
      <c r="M457" s="20"/>
      <c r="N457" s="20"/>
      <c r="O457" s="74"/>
      <c r="P457" s="74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</row>
    <row r="458" spans="1:29">
      <c r="A458" s="323" t="s">
        <v>422</v>
      </c>
      <c r="B458" s="1"/>
      <c r="C458" s="319">
        <v>0</v>
      </c>
      <c r="D458" s="319">
        <v>0</v>
      </c>
      <c r="E458" s="355">
        <f t="shared" si="40"/>
        <v>83</v>
      </c>
      <c r="F458" s="323"/>
      <c r="G458" s="321">
        <f t="shared" si="41"/>
        <v>0</v>
      </c>
      <c r="H458" s="321">
        <f t="shared" si="41"/>
        <v>0</v>
      </c>
      <c r="I458" s="355">
        <f>'Blocking - detail'!I458</f>
        <v>83</v>
      </c>
      <c r="J458" s="323"/>
      <c r="K458" s="321">
        <f t="shared" si="42"/>
        <v>0</v>
      </c>
      <c r="M458" s="20"/>
      <c r="N458" s="20"/>
      <c r="O458" s="74"/>
      <c r="P458" s="74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</row>
    <row r="459" spans="1:29">
      <c r="A459" s="323" t="s">
        <v>423</v>
      </c>
      <c r="B459" s="1"/>
      <c r="C459" s="319">
        <v>0</v>
      </c>
      <c r="D459" s="319">
        <v>0</v>
      </c>
      <c r="E459" s="355">
        <f t="shared" si="40"/>
        <v>166</v>
      </c>
      <c r="F459" s="325"/>
      <c r="G459" s="321">
        <f t="shared" si="41"/>
        <v>0</v>
      </c>
      <c r="H459" s="321">
        <f t="shared" si="41"/>
        <v>0</v>
      </c>
      <c r="I459" s="355">
        <f>'Blocking - detail'!I459</f>
        <v>166</v>
      </c>
      <c r="J459" s="325"/>
      <c r="K459" s="321">
        <f t="shared" si="42"/>
        <v>0</v>
      </c>
      <c r="M459" s="20"/>
      <c r="N459" s="20"/>
      <c r="O459" s="74"/>
      <c r="P459" s="74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</row>
    <row r="460" spans="1:29">
      <c r="A460" s="323" t="s">
        <v>422</v>
      </c>
      <c r="B460" s="1"/>
      <c r="C460" s="319">
        <v>0</v>
      </c>
      <c r="D460" s="319">
        <v>0</v>
      </c>
      <c r="E460" s="355">
        <f t="shared" si="40"/>
        <v>1.47</v>
      </c>
      <c r="F460" s="323" t="s">
        <v>31</v>
      </c>
      <c r="G460" s="321">
        <f t="shared" si="41"/>
        <v>0</v>
      </c>
      <c r="H460" s="321">
        <f t="shared" si="41"/>
        <v>0</v>
      </c>
      <c r="I460" s="355">
        <f>'Blocking - detail'!I460</f>
        <v>1.47</v>
      </c>
      <c r="J460" s="323" t="s">
        <v>31</v>
      </c>
      <c r="K460" s="321">
        <f t="shared" si="42"/>
        <v>0</v>
      </c>
      <c r="M460" s="20"/>
      <c r="N460" s="20"/>
      <c r="O460" s="74"/>
      <c r="P460" s="74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</row>
    <row r="461" spans="1:29">
      <c r="A461" s="323" t="s">
        <v>423</v>
      </c>
      <c r="B461" s="1"/>
      <c r="C461" s="319">
        <v>0</v>
      </c>
      <c r="D461" s="319">
        <v>0</v>
      </c>
      <c r="E461" s="355">
        <f t="shared" si="40"/>
        <v>1.2</v>
      </c>
      <c r="F461" s="323" t="s">
        <v>31</v>
      </c>
      <c r="G461" s="321">
        <f t="shared" si="41"/>
        <v>0</v>
      </c>
      <c r="H461" s="321">
        <f t="shared" si="41"/>
        <v>0</v>
      </c>
      <c r="I461" s="355">
        <f>'Blocking - detail'!I461</f>
        <v>1.2</v>
      </c>
      <c r="J461" s="323" t="s">
        <v>31</v>
      </c>
      <c r="K461" s="321">
        <f t="shared" si="42"/>
        <v>0</v>
      </c>
      <c r="M461" s="20"/>
      <c r="N461" s="20"/>
      <c r="O461" s="74"/>
      <c r="P461" s="74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</row>
    <row r="462" spans="1:29">
      <c r="A462" s="309" t="s">
        <v>425</v>
      </c>
      <c r="B462" s="1"/>
      <c r="C462" s="319">
        <v>0</v>
      </c>
      <c r="D462" s="319">
        <v>0</v>
      </c>
      <c r="E462" s="355">
        <f t="shared" si="40"/>
        <v>3.75</v>
      </c>
      <c r="F462" s="323"/>
      <c r="G462" s="321">
        <f t="shared" si="41"/>
        <v>0</v>
      </c>
      <c r="H462" s="321">
        <f t="shared" si="41"/>
        <v>0</v>
      </c>
      <c r="I462" s="355">
        <f>'Blocking - detail'!I462</f>
        <v>3.75</v>
      </c>
      <c r="J462" s="323"/>
      <c r="K462" s="321">
        <f t="shared" si="42"/>
        <v>0</v>
      </c>
      <c r="M462" s="20"/>
      <c r="N462" s="20"/>
      <c r="O462" s="74"/>
      <c r="P462" s="74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</row>
    <row r="463" spans="1:29">
      <c r="A463" s="323" t="s">
        <v>427</v>
      </c>
      <c r="B463" s="1"/>
      <c r="C463" s="319">
        <v>0</v>
      </c>
      <c r="D463" s="319">
        <v>0</v>
      </c>
      <c r="E463" s="335">
        <f>E501</f>
        <v>4.3570000000000002</v>
      </c>
      <c r="F463" s="321" t="s">
        <v>374</v>
      </c>
      <c r="G463" s="321">
        <f>ROUND(E463/100*$C463*E456,0)</f>
        <v>0</v>
      </c>
      <c r="H463" s="321">
        <f>ROUND(F463/100*$C463*F456,0)</f>
        <v>0</v>
      </c>
      <c r="I463" s="335">
        <f>'Blocking - detail'!I463</f>
        <v>4.3570000000000002</v>
      </c>
      <c r="J463" s="321" t="s">
        <v>374</v>
      </c>
      <c r="K463" s="321">
        <f>ROUND(I463/100*$C463*E456,0)</f>
        <v>0</v>
      </c>
      <c r="M463" s="20"/>
      <c r="N463" s="20"/>
      <c r="O463" s="74"/>
      <c r="P463" s="74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</row>
    <row r="464" spans="1:29">
      <c r="A464" s="323" t="s">
        <v>399</v>
      </c>
      <c r="B464" s="1"/>
      <c r="C464" s="319">
        <v>0</v>
      </c>
      <c r="D464" s="319">
        <v>0</v>
      </c>
      <c r="E464" s="335">
        <f>E502</f>
        <v>3.9930000000000003</v>
      </c>
      <c r="F464" s="321" t="s">
        <v>374</v>
      </c>
      <c r="G464" s="321">
        <f>ROUND(E464/100*$C464*E456,0)</f>
        <v>0</v>
      </c>
      <c r="H464" s="321">
        <f>ROUND(F464/100*$C464*F456,0)</f>
        <v>0</v>
      </c>
      <c r="I464" s="335">
        <f>'Blocking - detail'!I464</f>
        <v>3.9930000000000003</v>
      </c>
      <c r="J464" s="321" t="s">
        <v>374</v>
      </c>
      <c r="K464" s="321">
        <f>ROUND(I464/100*$C464*E456,0)</f>
        <v>0</v>
      </c>
      <c r="M464" s="20"/>
      <c r="N464" s="20"/>
      <c r="O464" s="74"/>
      <c r="P464" s="74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</row>
    <row r="465" spans="1:29">
      <c r="A465" s="309" t="s">
        <v>429</v>
      </c>
      <c r="B465" s="1"/>
      <c r="C465" s="319">
        <v>0</v>
      </c>
      <c r="D465" s="319">
        <v>0</v>
      </c>
      <c r="E465" s="362">
        <f>E503</f>
        <v>45</v>
      </c>
      <c r="F465" s="321" t="s">
        <v>374</v>
      </c>
      <c r="G465" s="321">
        <f>ROUND(E465*$C465*$E$456,0)</f>
        <v>0</v>
      </c>
      <c r="H465" s="321">
        <f>ROUND(F465*$C465*$E$456,0)</f>
        <v>0</v>
      </c>
      <c r="I465" s="362">
        <f>'Blocking - detail'!I465</f>
        <v>45</v>
      </c>
      <c r="J465" s="321" t="s">
        <v>374</v>
      </c>
      <c r="K465" s="321">
        <f>ROUND(I465*$C465*$E$456,0)</f>
        <v>0</v>
      </c>
      <c r="M465" s="20"/>
      <c r="N465" s="20"/>
      <c r="O465" s="74"/>
      <c r="P465" s="74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</row>
    <row r="466" spans="1:29">
      <c r="A466" s="309" t="s">
        <v>430</v>
      </c>
      <c r="B466" s="1"/>
      <c r="C466" s="319">
        <v>0</v>
      </c>
      <c r="D466" s="319">
        <v>0</v>
      </c>
      <c r="E466" s="474">
        <f>'Blocking - detail'!E466</f>
        <v>0.06</v>
      </c>
      <c r="F466" s="321" t="s">
        <v>374</v>
      </c>
      <c r="G466" s="321">
        <f>ROUND(E466/100*$C466*E456,0)</f>
        <v>0</v>
      </c>
      <c r="H466" s="321">
        <f>ROUND(F466/100*$C466*F456,0)</f>
        <v>0</v>
      </c>
      <c r="I466" s="474">
        <f>'Blocking - detail'!I466</f>
        <v>0.06</v>
      </c>
      <c r="J466" s="321" t="s">
        <v>374</v>
      </c>
      <c r="K466" s="321">
        <f>ROUND(I466/100*$C466*I456,0)</f>
        <v>0</v>
      </c>
      <c r="M466" s="20"/>
      <c r="N466" s="20"/>
      <c r="O466" s="74"/>
      <c r="P466" s="74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</row>
    <row r="467" spans="1:29">
      <c r="A467" s="323" t="s">
        <v>431</v>
      </c>
      <c r="B467" s="1"/>
      <c r="C467" s="319">
        <v>0</v>
      </c>
      <c r="D467" s="319">
        <v>0</v>
      </c>
      <c r="E467" s="363">
        <v>60</v>
      </c>
      <c r="F467" s="361" t="s">
        <v>31</v>
      </c>
      <c r="G467" s="321">
        <f>ROUND(E467*$C467,0)</f>
        <v>0</v>
      </c>
      <c r="H467" s="321">
        <f>ROUND(F467*$C467,0)</f>
        <v>0</v>
      </c>
      <c r="I467" s="363">
        <v>60</v>
      </c>
      <c r="J467" s="364" t="s">
        <v>31</v>
      </c>
      <c r="K467" s="321">
        <f>ROUND(I467*$C467,0)</f>
        <v>0</v>
      </c>
      <c r="M467" s="20"/>
      <c r="N467" s="20"/>
      <c r="O467" s="74"/>
      <c r="P467" s="74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</row>
    <row r="468" spans="1:29">
      <c r="A468" s="323" t="s">
        <v>432</v>
      </c>
      <c r="B468" s="1"/>
      <c r="C468" s="319">
        <v>0</v>
      </c>
      <c r="D468" s="319">
        <v>0</v>
      </c>
      <c r="E468" s="336">
        <v>-30</v>
      </c>
      <c r="F468" s="321" t="s">
        <v>374</v>
      </c>
      <c r="G468" s="321">
        <f>ROUND(E468*$C468*$E$456,0)</f>
        <v>0</v>
      </c>
      <c r="H468" s="321">
        <f>ROUND(F468*$C468*$E$456,0)</f>
        <v>0</v>
      </c>
      <c r="I468" s="336">
        <v>-30</v>
      </c>
      <c r="J468" s="321" t="s">
        <v>374</v>
      </c>
      <c r="K468" s="321">
        <f>ROUND(I468*$C468*$E$456,0)</f>
        <v>0</v>
      </c>
      <c r="M468" s="20"/>
      <c r="N468" s="20"/>
      <c r="O468" s="74"/>
      <c r="P468" s="74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</row>
    <row r="469" spans="1:29">
      <c r="A469" s="309" t="s">
        <v>433</v>
      </c>
      <c r="B469" s="1"/>
      <c r="C469" s="319">
        <v>0</v>
      </c>
      <c r="D469" s="319">
        <v>0</v>
      </c>
      <c r="E469" s="334">
        <f>E450/2</f>
        <v>1.875</v>
      </c>
      <c r="F469" s="321"/>
      <c r="G469" s="321"/>
      <c r="H469" s="321"/>
      <c r="I469" s="355">
        <f>'Blocking - detail'!I469</f>
        <v>1.875</v>
      </c>
      <c r="J469" s="321"/>
      <c r="K469" s="321">
        <f>ROUND($C469*I469,0)</f>
        <v>0</v>
      </c>
      <c r="M469" s="20"/>
      <c r="N469" s="20"/>
      <c r="O469" s="74"/>
      <c r="P469" s="74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</row>
    <row r="470" spans="1:29">
      <c r="A470" s="309" t="s">
        <v>434</v>
      </c>
      <c r="B470" s="1"/>
      <c r="C470" s="319">
        <v>0</v>
      </c>
      <c r="D470" s="319">
        <v>0</v>
      </c>
      <c r="E470" s="334">
        <f>E450*4</f>
        <v>15</v>
      </c>
      <c r="F470" s="321"/>
      <c r="G470" s="321"/>
      <c r="H470" s="321"/>
      <c r="I470" s="355">
        <f>'Blocking - detail'!I470</f>
        <v>15</v>
      </c>
      <c r="J470" s="321"/>
      <c r="K470" s="321">
        <f>ROUND($C470*I470,0)</f>
        <v>0</v>
      </c>
      <c r="M470" s="20"/>
      <c r="N470" s="20"/>
      <c r="O470" s="74"/>
      <c r="P470" s="74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</row>
    <row r="471" spans="1:29">
      <c r="A471" s="3" t="s">
        <v>435</v>
      </c>
      <c r="B471" s="303"/>
      <c r="C471" s="319">
        <v>0</v>
      </c>
      <c r="D471" s="319">
        <v>0</v>
      </c>
      <c r="E471" s="335">
        <f>E453*4</f>
        <v>15.972000000000001</v>
      </c>
      <c r="F471" s="321" t="s">
        <v>374</v>
      </c>
      <c r="G471" s="321">
        <f>ROUND($C471*E471/100,0)</f>
        <v>0</v>
      </c>
      <c r="H471" s="321">
        <f>ROUND($C471*F471/100,0)</f>
        <v>0</v>
      </c>
      <c r="I471" s="335">
        <f>'Blocking - detail'!I471</f>
        <v>15.972000000000001</v>
      </c>
      <c r="J471" s="321" t="s">
        <v>374</v>
      </c>
      <c r="K471" s="321">
        <f>ROUND($C471*I471/100,0)</f>
        <v>0</v>
      </c>
      <c r="M471" s="20"/>
      <c r="N471" s="20"/>
      <c r="O471" s="74"/>
      <c r="P471" s="74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</row>
    <row r="472" spans="1:29">
      <c r="A472" s="1" t="s">
        <v>381</v>
      </c>
      <c r="B472" s="1"/>
      <c r="C472" s="319">
        <f>SUM(C452:C453)</f>
        <v>0</v>
      </c>
      <c r="D472" s="319">
        <f>SUM(D452:D453)</f>
        <v>0</v>
      </c>
      <c r="E472" s="330"/>
      <c r="F472" s="2"/>
      <c r="G472" s="2">
        <f>SUM(G443:G471)</f>
        <v>0</v>
      </c>
      <c r="H472" s="2">
        <f>SUM(H443:H471)</f>
        <v>0</v>
      </c>
      <c r="I472" s="330"/>
      <c r="J472" s="323"/>
      <c r="K472" s="2">
        <f>SUM(K443:K471)</f>
        <v>0</v>
      </c>
      <c r="M472" s="20"/>
      <c r="N472" s="20"/>
      <c r="O472" s="74"/>
      <c r="P472" s="74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</row>
    <row r="473" spans="1:29">
      <c r="A473" s="1" t="s">
        <v>363</v>
      </c>
      <c r="B473" s="1"/>
      <c r="C473" s="349">
        <v>0</v>
      </c>
      <c r="D473" s="349">
        <v>0</v>
      </c>
      <c r="E473" s="309"/>
      <c r="F473" s="309"/>
      <c r="G473" s="310">
        <v>0</v>
      </c>
      <c r="H473" s="310">
        <v>0</v>
      </c>
      <c r="I473" s="309"/>
      <c r="J473" s="309"/>
      <c r="K473" s="310">
        <v>0</v>
      </c>
      <c r="M473" s="444"/>
      <c r="N473" s="444"/>
      <c r="O473" s="287"/>
      <c r="P473" s="74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</row>
    <row r="474" spans="1:29" ht="16.5" thickBot="1">
      <c r="A474" s="1" t="s">
        <v>382</v>
      </c>
      <c r="B474" s="1"/>
      <c r="C474" s="366">
        <f>SUM(C472:C473)</f>
        <v>0</v>
      </c>
      <c r="D474" s="366">
        <f>SUM(D472:D473)</f>
        <v>0</v>
      </c>
      <c r="E474" s="342"/>
      <c r="F474" s="343"/>
      <c r="G474" s="344">
        <f>SUM(G472:G473)</f>
        <v>0</v>
      </c>
      <c r="H474" s="344">
        <f>SUM(H472:H473)</f>
        <v>0</v>
      </c>
      <c r="I474" s="342"/>
      <c r="J474" s="345"/>
      <c r="K474" s="344">
        <f>SUM(K472:K473)</f>
        <v>0</v>
      </c>
      <c r="M474" s="411"/>
      <c r="N474" s="411"/>
      <c r="O474" s="470"/>
      <c r="P474" s="74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</row>
    <row r="475" spans="1:29" ht="16.5" thickTop="1">
      <c r="A475" s="1"/>
      <c r="B475" s="367"/>
      <c r="C475" s="21"/>
      <c r="D475" s="21"/>
      <c r="E475" s="337"/>
      <c r="F475" s="2"/>
      <c r="G475" s="2"/>
      <c r="H475" s="2"/>
      <c r="I475" s="337"/>
      <c r="J475" s="1"/>
      <c r="K475" s="2"/>
      <c r="M475" s="20"/>
      <c r="N475" s="20"/>
      <c r="O475" s="74"/>
      <c r="P475" s="74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</row>
    <row r="476" spans="1:29">
      <c r="A476" s="293" t="s">
        <v>436</v>
      </c>
      <c r="B476" s="1"/>
      <c r="C476" s="1"/>
      <c r="D476" s="1"/>
      <c r="E476" s="2"/>
      <c r="F476" s="2"/>
      <c r="G476" s="1" t="s">
        <v>31</v>
      </c>
      <c r="H476" s="1"/>
      <c r="I476" s="2"/>
      <c r="J476" s="1"/>
      <c r="K476" s="1"/>
      <c r="M476" s="20"/>
      <c r="N476" s="20"/>
      <c r="O476" s="74"/>
      <c r="P476" s="74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</row>
    <row r="477" spans="1:29">
      <c r="A477" s="309" t="s">
        <v>437</v>
      </c>
      <c r="B477" s="1"/>
      <c r="C477" s="1"/>
      <c r="D477" s="1"/>
      <c r="E477" s="2"/>
      <c r="F477" s="2"/>
      <c r="G477" s="1"/>
      <c r="H477" s="1"/>
      <c r="I477" s="2"/>
      <c r="J477" s="1"/>
      <c r="K477" s="1"/>
      <c r="M477" s="20"/>
      <c r="N477" s="20"/>
      <c r="O477" s="74"/>
      <c r="P477" s="74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</row>
    <row r="478" spans="1:29">
      <c r="A478" s="323"/>
      <c r="B478" s="1"/>
      <c r="C478" s="1"/>
      <c r="D478" s="1"/>
      <c r="E478" s="2"/>
      <c r="F478" s="2"/>
      <c r="G478" s="1"/>
      <c r="H478" s="1"/>
      <c r="I478" s="2"/>
      <c r="J478" s="1"/>
      <c r="K478" s="1"/>
      <c r="M478" s="20"/>
      <c r="N478" s="20"/>
      <c r="P478" s="74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</row>
    <row r="479" spans="1:29">
      <c r="A479" s="323" t="s">
        <v>393</v>
      </c>
      <c r="B479" s="1"/>
      <c r="C479" s="319"/>
      <c r="D479" s="319"/>
      <c r="E479" s="2"/>
      <c r="F479" s="2"/>
      <c r="G479" s="1"/>
      <c r="H479" s="1"/>
      <c r="I479" s="2"/>
      <c r="J479" s="1"/>
      <c r="K479" s="1"/>
      <c r="M479" s="20"/>
      <c r="N479" s="20"/>
      <c r="O479" s="74"/>
      <c r="P479" s="74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</row>
    <row r="480" spans="1:29">
      <c r="A480" s="323" t="s">
        <v>421</v>
      </c>
      <c r="B480" s="1"/>
      <c r="C480" s="319">
        <f t="shared" ref="C480:D482" si="43">C514+C548</f>
        <v>342</v>
      </c>
      <c r="D480" s="319">
        <f t="shared" si="43"/>
        <v>345</v>
      </c>
      <c r="E480" s="298">
        <v>225</v>
      </c>
      <c r="F480" s="323"/>
      <c r="G480" s="321">
        <f t="shared" ref="G480:H482" si="44">G514+G548</f>
        <v>76950</v>
      </c>
      <c r="H480" s="321">
        <f t="shared" si="44"/>
        <v>77625</v>
      </c>
      <c r="I480" s="298">
        <v>245</v>
      </c>
      <c r="J480" s="323"/>
      <c r="K480" s="321">
        <f>K514+K548</f>
        <v>83790</v>
      </c>
      <c r="M480" s="84">
        <f>I480*D480</f>
        <v>84525</v>
      </c>
      <c r="O480" s="14">
        <f>(I480-E480)/E480</f>
        <v>8.8888888888888892E-2</v>
      </c>
      <c r="P480" s="237" t="e">
        <f>SUM(K480:K485)/SUM(H480:H485)-1</f>
        <v>#REF!</v>
      </c>
      <c r="T480" s="3" t="s">
        <v>371</v>
      </c>
      <c r="U480" s="3" t="s">
        <v>305</v>
      </c>
      <c r="V480" s="3" t="s">
        <v>372</v>
      </c>
      <c r="W480" s="3" t="s">
        <v>315</v>
      </c>
      <c r="X480" s="20"/>
      <c r="Y480" s="20"/>
      <c r="Z480" s="20"/>
      <c r="AA480" s="20"/>
      <c r="AB480" s="20"/>
      <c r="AC480" s="20"/>
    </row>
    <row r="481" spans="1:29">
      <c r="A481" s="323" t="s">
        <v>422</v>
      </c>
      <c r="B481" s="1"/>
      <c r="C481" s="319">
        <f t="shared" si="43"/>
        <v>8833</v>
      </c>
      <c r="D481" s="319">
        <f t="shared" si="43"/>
        <v>8896</v>
      </c>
      <c r="E481" s="298">
        <v>83</v>
      </c>
      <c r="F481" s="323"/>
      <c r="G481" s="321">
        <f t="shared" si="44"/>
        <v>733139</v>
      </c>
      <c r="H481" s="321">
        <f t="shared" si="44"/>
        <v>738368</v>
      </c>
      <c r="I481" s="298">
        <v>90</v>
      </c>
      <c r="J481" s="323"/>
      <c r="K481" s="321">
        <f>K515+K549</f>
        <v>794970</v>
      </c>
      <c r="M481" s="84">
        <f>I481*D481</f>
        <v>800640</v>
      </c>
      <c r="O481" s="14">
        <f>(I481-E481)/E481</f>
        <v>8.4337349397590355E-2</v>
      </c>
      <c r="S481" s="3" t="s">
        <v>442</v>
      </c>
      <c r="T481" s="84" t="e">
        <f>SUM(H480:H485)</f>
        <v>#REF!</v>
      </c>
      <c r="U481" s="84">
        <f>SUM(K480:K485)</f>
        <v>6247027</v>
      </c>
      <c r="V481" s="106">
        <v>6297781.880353801</v>
      </c>
      <c r="W481" s="237">
        <f>U481/V481</f>
        <v>0.99194083229332963</v>
      </c>
      <c r="X481" s="20"/>
      <c r="Y481" s="20"/>
      <c r="Z481" s="20"/>
      <c r="AA481" s="20"/>
      <c r="AB481" s="20"/>
      <c r="AC481" s="20"/>
    </row>
    <row r="482" spans="1:29">
      <c r="A482" s="323" t="s">
        <v>423</v>
      </c>
      <c r="B482" s="1"/>
      <c r="C482" s="319">
        <f t="shared" si="43"/>
        <v>3531</v>
      </c>
      <c r="D482" s="319">
        <f t="shared" si="43"/>
        <v>3549</v>
      </c>
      <c r="E482" s="298">
        <v>166</v>
      </c>
      <c r="F482" s="325"/>
      <c r="G482" s="321">
        <f t="shared" si="44"/>
        <v>586146</v>
      </c>
      <c r="H482" s="321">
        <f t="shared" si="44"/>
        <v>589134</v>
      </c>
      <c r="I482" s="298">
        <v>180</v>
      </c>
      <c r="J482" s="325"/>
      <c r="K482" s="321">
        <f>K516+K550</f>
        <v>635580</v>
      </c>
      <c r="M482" s="84">
        <f>I482*D482</f>
        <v>638820</v>
      </c>
      <c r="O482" s="14">
        <f>(I482-E482)/E482</f>
        <v>8.4337349397590355E-2</v>
      </c>
      <c r="S482" s="3" t="s">
        <v>376</v>
      </c>
      <c r="T482" s="84" t="e">
        <f>SUM(H490:H491)</f>
        <v>#REF!</v>
      </c>
      <c r="U482" s="84" t="e">
        <f>SUM(K490:K491)</f>
        <v>#REF!</v>
      </c>
      <c r="V482" s="106">
        <v>43870359.484416999</v>
      </c>
      <c r="W482" s="237" t="e">
        <f>U482/V482</f>
        <v>#REF!</v>
      </c>
      <c r="X482" s="20"/>
      <c r="Y482" s="20"/>
      <c r="Z482" s="20"/>
      <c r="AA482" s="20"/>
      <c r="AB482" s="20"/>
      <c r="AC482" s="20"/>
    </row>
    <row r="483" spans="1:29">
      <c r="A483" s="323" t="s">
        <v>394</v>
      </c>
      <c r="B483" s="1"/>
      <c r="C483" s="319">
        <f>SUM(C480:C482)</f>
        <v>12706</v>
      </c>
      <c r="D483" s="319">
        <f>SUM(D480:D482)</f>
        <v>12790</v>
      </c>
      <c r="E483" s="298"/>
      <c r="F483" s="323"/>
      <c r="G483" s="321"/>
      <c r="H483" s="321"/>
      <c r="I483" s="298"/>
      <c r="J483" s="323"/>
      <c r="K483" s="321"/>
      <c r="S483" s="3" t="s">
        <v>406</v>
      </c>
      <c r="T483" s="84" t="e">
        <f>SUM(H487:H488)</f>
        <v>#REF!</v>
      </c>
      <c r="U483" s="84">
        <f>SUM(K487:K488)</f>
        <v>9987587</v>
      </c>
      <c r="V483" s="106">
        <v>6509411.4532006206</v>
      </c>
      <c r="W483" s="237">
        <f>U483/V483</f>
        <v>1.5343302650025588</v>
      </c>
      <c r="X483" s="20"/>
      <c r="Y483" s="20"/>
      <c r="Z483" s="20"/>
      <c r="AA483" s="20"/>
      <c r="AB483" s="20"/>
      <c r="AC483" s="20"/>
    </row>
    <row r="484" spans="1:29">
      <c r="A484" s="323" t="s">
        <v>422</v>
      </c>
      <c r="B484" s="1"/>
      <c r="C484" s="319">
        <f>C518+C552</f>
        <v>1522475</v>
      </c>
      <c r="D484" s="319" t="e">
        <f>D518+D552</f>
        <v>#REF!</v>
      </c>
      <c r="E484" s="298">
        <v>1.47</v>
      </c>
      <c r="F484" s="323" t="s">
        <v>31</v>
      </c>
      <c r="G484" s="321">
        <f>G518+G552</f>
        <v>2238038</v>
      </c>
      <c r="H484" s="321" t="e">
        <f>H518+H552</f>
        <v>#REF!</v>
      </c>
      <c r="I484" s="298">
        <v>1.6</v>
      </c>
      <c r="J484" s="323" t="s">
        <v>31</v>
      </c>
      <c r="K484" s="321">
        <f>K518+K552</f>
        <v>2435960</v>
      </c>
      <c r="M484" s="84" t="e">
        <f>I484*D484</f>
        <v>#REF!</v>
      </c>
      <c r="O484" s="14">
        <f>(I484-E484)/E484</f>
        <v>8.8435374149659948E-2</v>
      </c>
      <c r="W484" s="20"/>
      <c r="X484" s="20"/>
      <c r="Y484" s="20"/>
      <c r="Z484" s="20"/>
      <c r="AA484" s="20"/>
      <c r="AB484" s="20"/>
      <c r="AC484" s="20"/>
    </row>
    <row r="485" spans="1:29">
      <c r="A485" s="323" t="s">
        <v>423</v>
      </c>
      <c r="B485" s="1"/>
      <c r="C485" s="319">
        <f>C519+C553</f>
        <v>1766713</v>
      </c>
      <c r="D485" s="319" t="e">
        <f>D519+D553</f>
        <v>#REF!</v>
      </c>
      <c r="E485" s="298">
        <v>1.2</v>
      </c>
      <c r="F485" s="323" t="s">
        <v>31</v>
      </c>
      <c r="G485" s="321">
        <f>G519+G553</f>
        <v>2120056</v>
      </c>
      <c r="H485" s="321" t="e">
        <f>H519+H553</f>
        <v>#REF!</v>
      </c>
      <c r="I485" s="298">
        <v>1.3</v>
      </c>
      <c r="J485" s="323" t="s">
        <v>31</v>
      </c>
      <c r="K485" s="321">
        <f>K519+K553</f>
        <v>2296727</v>
      </c>
      <c r="M485" s="84" t="e">
        <f>I485*D485</f>
        <v>#REF!</v>
      </c>
      <c r="O485" s="14">
        <f>(I485-E485)/E485</f>
        <v>8.3333333333333412E-2</v>
      </c>
      <c r="W485" s="20"/>
      <c r="X485" s="20"/>
      <c r="Y485" s="20"/>
      <c r="Z485" s="20"/>
      <c r="AA485" s="20"/>
      <c r="AB485" s="20"/>
      <c r="AC485" s="20"/>
    </row>
    <row r="486" spans="1:29">
      <c r="A486" s="309" t="s">
        <v>424</v>
      </c>
      <c r="B486" s="1"/>
      <c r="C486" s="319"/>
      <c r="D486" s="319"/>
      <c r="E486" s="355"/>
      <c r="F486" s="323"/>
      <c r="G486" s="321"/>
      <c r="H486" s="321"/>
      <c r="I486" s="355"/>
      <c r="J486" s="323"/>
      <c r="K486" s="321"/>
      <c r="W486" s="20"/>
      <c r="X486" s="20"/>
      <c r="Y486" s="20"/>
      <c r="Z486" s="20"/>
      <c r="AA486" s="20"/>
      <c r="AB486" s="20"/>
      <c r="AC486" s="20"/>
    </row>
    <row r="487" spans="1:29">
      <c r="A487" s="309" t="s">
        <v>425</v>
      </c>
      <c r="B487" s="1"/>
      <c r="C487" s="319">
        <f>C521+C555</f>
        <v>2528503</v>
      </c>
      <c r="D487" s="319" t="e">
        <f>D521+D555</f>
        <v>#REF!</v>
      </c>
      <c r="E487" s="298">
        <v>3.75</v>
      </c>
      <c r="F487" s="323"/>
      <c r="G487" s="321">
        <f>G521+G555</f>
        <v>9481886</v>
      </c>
      <c r="H487" s="321" t="e">
        <f>H521+H555</f>
        <v>#REF!</v>
      </c>
      <c r="I487" s="298">
        <v>3.95</v>
      </c>
      <c r="J487" s="323"/>
      <c r="K487" s="321">
        <f>K521+K555</f>
        <v>9987587</v>
      </c>
      <c r="M487" s="84" t="e">
        <f>I487*D487</f>
        <v>#REF!</v>
      </c>
      <c r="O487" s="14">
        <f>(I487-E487)/E487</f>
        <v>5.3333333333333378E-2</v>
      </c>
      <c r="W487" s="20"/>
      <c r="X487" s="20"/>
      <c r="Y487" s="20"/>
      <c r="Z487" s="20"/>
      <c r="AA487" s="20"/>
      <c r="AB487" s="20"/>
      <c r="AC487" s="20"/>
    </row>
    <row r="488" spans="1:29">
      <c r="A488" s="309" t="s">
        <v>441</v>
      </c>
      <c r="B488" s="1"/>
      <c r="C488" s="319">
        <f>C522+C556</f>
        <v>0</v>
      </c>
      <c r="D488" s="319" t="e">
        <f>D522+D556</f>
        <v>#REF!</v>
      </c>
      <c r="E488" s="369">
        <f>E487</f>
        <v>3.75</v>
      </c>
      <c r="F488" s="323"/>
      <c r="G488" s="321">
        <f>G522+G556</f>
        <v>0</v>
      </c>
      <c r="H488" s="321" t="e">
        <f>H522+H556</f>
        <v>#REF!</v>
      </c>
      <c r="I488" s="369">
        <f>I487</f>
        <v>3.95</v>
      </c>
      <c r="J488" s="323"/>
      <c r="K488" s="321">
        <f>K522+K556</f>
        <v>0</v>
      </c>
      <c r="M488" s="84" t="e">
        <f>I488*D488</f>
        <v>#REF!</v>
      </c>
      <c r="O488" s="14">
        <f>(I488-E488)/E488</f>
        <v>5.3333333333333378E-2</v>
      </c>
      <c r="W488" s="20"/>
      <c r="X488" s="20"/>
      <c r="Y488" s="20"/>
      <c r="Z488" s="20"/>
      <c r="AA488" s="20"/>
      <c r="AB488" s="20"/>
      <c r="AC488" s="20"/>
    </row>
    <row r="489" spans="1:29">
      <c r="A489" s="323" t="s">
        <v>426</v>
      </c>
      <c r="B489" s="1"/>
      <c r="C489" s="319"/>
      <c r="D489" s="319"/>
      <c r="E489" s="298"/>
      <c r="F489" s="323"/>
      <c r="G489" s="321"/>
      <c r="H489" s="321"/>
      <c r="I489" s="298"/>
      <c r="J489" s="323"/>
      <c r="K489" s="321"/>
      <c r="W489" s="20"/>
      <c r="X489" s="20"/>
      <c r="Y489" s="20"/>
      <c r="Z489" s="20"/>
      <c r="AA489" s="20"/>
      <c r="AB489" s="20"/>
      <c r="AC489" s="20"/>
    </row>
    <row r="490" spans="1:29">
      <c r="A490" s="323" t="s">
        <v>427</v>
      </c>
      <c r="B490" s="319"/>
      <c r="C490" s="319" t="e">
        <f t="shared" ref="C490:D492" si="45">C524+C558</f>
        <v>#REF!</v>
      </c>
      <c r="D490" s="319" t="e">
        <f t="shared" si="45"/>
        <v>#REF!</v>
      </c>
      <c r="E490" s="327">
        <v>4.3570000000000002</v>
      </c>
      <c r="F490" s="323" t="s">
        <v>374</v>
      </c>
      <c r="G490" s="321" t="e">
        <f t="shared" ref="G490:H492" si="46">G524+G558</f>
        <v>#REF!</v>
      </c>
      <c r="H490" s="321" t="e">
        <f t="shared" si="46"/>
        <v>#REF!</v>
      </c>
      <c r="I490" s="327">
        <v>4.8559999999999999</v>
      </c>
      <c r="J490" s="323" t="s">
        <v>374</v>
      </c>
      <c r="K490" s="321" t="e">
        <f>K524+K558</f>
        <v>#REF!</v>
      </c>
      <c r="M490" s="84" t="e">
        <f>(I490/100)*D490</f>
        <v>#REF!</v>
      </c>
      <c r="O490" s="14">
        <f>(I490-E490)/E490</f>
        <v>0.11452834519164555</v>
      </c>
      <c r="W490" s="20"/>
      <c r="X490" s="20"/>
      <c r="Y490" s="20"/>
      <c r="Z490" s="20"/>
      <c r="AA490" s="20"/>
      <c r="AB490" s="20"/>
      <c r="AC490" s="20"/>
    </row>
    <row r="491" spans="1:29">
      <c r="A491" s="323" t="s">
        <v>399</v>
      </c>
      <c r="B491" s="319"/>
      <c r="C491" s="319" t="e">
        <f t="shared" si="45"/>
        <v>#REF!</v>
      </c>
      <c r="D491" s="319" t="e">
        <f t="shared" si="45"/>
        <v>#REF!</v>
      </c>
      <c r="E491" s="327">
        <v>3.9930000000000003</v>
      </c>
      <c r="F491" s="323" t="s">
        <v>374</v>
      </c>
      <c r="G491" s="321" t="e">
        <f t="shared" si="46"/>
        <v>#REF!</v>
      </c>
      <c r="H491" s="321" t="e">
        <f t="shared" si="46"/>
        <v>#REF!</v>
      </c>
      <c r="I491" s="327">
        <f>ROUND(I490/E490*E491,3)+0.005</f>
        <v>4.4550000000000001</v>
      </c>
      <c r="J491" s="323" t="s">
        <v>374</v>
      </c>
      <c r="K491" s="321" t="e">
        <f>K525+K559</f>
        <v>#REF!</v>
      </c>
      <c r="M491" s="84" t="e">
        <f>(I491/100)*D491</f>
        <v>#REF!</v>
      </c>
      <c r="O491" s="14">
        <f>(I491-E491)/E491</f>
        <v>0.1157024793388429</v>
      </c>
      <c r="X491" s="20"/>
      <c r="Y491" s="20"/>
      <c r="Z491" s="20"/>
      <c r="AA491" s="20"/>
      <c r="AB491" s="20"/>
      <c r="AC491" s="20"/>
    </row>
    <row r="492" spans="1:29">
      <c r="A492" s="323" t="s">
        <v>400</v>
      </c>
      <c r="B492" s="1"/>
      <c r="C492" s="319">
        <f t="shared" si="45"/>
        <v>525884</v>
      </c>
      <c r="D492" s="319" t="e">
        <f t="shared" si="45"/>
        <v>#REF!</v>
      </c>
      <c r="E492" s="612">
        <v>45</v>
      </c>
      <c r="F492" s="323" t="s">
        <v>374</v>
      </c>
      <c r="G492" s="321">
        <f t="shared" si="46"/>
        <v>236647</v>
      </c>
      <c r="H492" s="321" t="e">
        <f t="shared" si="46"/>
        <v>#REF!</v>
      </c>
      <c r="I492" s="475">
        <v>50</v>
      </c>
      <c r="J492" s="323" t="s">
        <v>374</v>
      </c>
      <c r="K492" s="321">
        <f>K526+K560</f>
        <v>262942</v>
      </c>
      <c r="M492" s="84" t="e">
        <f>(I492/100)*D492</f>
        <v>#REF!</v>
      </c>
      <c r="O492" s="14">
        <f>(I492-E492)/E492</f>
        <v>0.1111111111111111</v>
      </c>
      <c r="X492" s="20"/>
      <c r="Y492" s="20"/>
      <c r="Z492" s="20"/>
      <c r="AA492" s="20"/>
      <c r="AB492" s="20"/>
      <c r="AC492" s="20"/>
    </row>
    <row r="493" spans="1:29">
      <c r="A493" s="360" t="s">
        <v>401</v>
      </c>
      <c r="B493" s="1"/>
      <c r="C493" s="319"/>
      <c r="D493" s="319"/>
      <c r="E493" s="332">
        <v>-0.01</v>
      </c>
      <c r="F493" s="2"/>
      <c r="G493" s="321"/>
      <c r="H493" s="321"/>
      <c r="I493" s="332">
        <v>-0.01</v>
      </c>
      <c r="J493" s="1"/>
      <c r="K493" s="321"/>
      <c r="X493" s="20"/>
      <c r="Y493" s="20"/>
      <c r="Z493" s="20"/>
      <c r="AA493" s="20"/>
      <c r="AB493" s="20"/>
      <c r="AC493" s="20"/>
    </row>
    <row r="494" spans="1:29">
      <c r="A494" s="323" t="s">
        <v>421</v>
      </c>
      <c r="B494" s="1"/>
      <c r="C494" s="319">
        <f t="shared" ref="C494:D507" si="47">C528+C562</f>
        <v>7</v>
      </c>
      <c r="D494" s="319">
        <f t="shared" si="47"/>
        <v>7</v>
      </c>
      <c r="E494" s="304">
        <f>E480</f>
        <v>225</v>
      </c>
      <c r="F494" s="364"/>
      <c r="G494" s="321">
        <f t="shared" ref="G494:H507" si="48">G528+G562</f>
        <v>-16</v>
      </c>
      <c r="H494" s="321">
        <f t="shared" si="48"/>
        <v>-16</v>
      </c>
      <c r="I494" s="304">
        <f>I480</f>
        <v>245</v>
      </c>
      <c r="J494" s="293"/>
      <c r="K494" s="321">
        <f t="shared" ref="K494:K506" si="49">K528+K562</f>
        <v>-17</v>
      </c>
      <c r="M494" s="84">
        <f t="shared" ref="M494:M500" si="50">-(I494*D494)/100</f>
        <v>-17.149999999999999</v>
      </c>
      <c r="X494" s="20"/>
      <c r="Y494" s="20"/>
      <c r="Z494" s="20"/>
      <c r="AA494" s="20"/>
      <c r="AB494" s="20"/>
      <c r="AC494" s="20"/>
    </row>
    <row r="495" spans="1:29">
      <c r="A495" s="323" t="s">
        <v>422</v>
      </c>
      <c r="B495" s="1"/>
      <c r="C495" s="319">
        <f t="shared" si="47"/>
        <v>37</v>
      </c>
      <c r="D495" s="319">
        <f t="shared" si="47"/>
        <v>37</v>
      </c>
      <c r="E495" s="304">
        <f>E481</f>
        <v>83</v>
      </c>
      <c r="F495" s="364"/>
      <c r="G495" s="321">
        <f t="shared" si="48"/>
        <v>-31</v>
      </c>
      <c r="H495" s="321">
        <f t="shared" si="48"/>
        <v>-31</v>
      </c>
      <c r="I495" s="304">
        <f>I481</f>
        <v>90</v>
      </c>
      <c r="J495" s="293"/>
      <c r="K495" s="321">
        <f t="shared" si="49"/>
        <v>-34</v>
      </c>
      <c r="M495" s="84">
        <f t="shared" si="50"/>
        <v>-33.299999999999997</v>
      </c>
      <c r="O495" s="371"/>
      <c r="W495" s="20"/>
      <c r="X495" s="20"/>
      <c r="Y495" s="20"/>
      <c r="Z495" s="20"/>
      <c r="AA495" s="20"/>
      <c r="AB495" s="20"/>
      <c r="AC495" s="20"/>
    </row>
    <row r="496" spans="1:29">
      <c r="A496" s="323" t="s">
        <v>423</v>
      </c>
      <c r="B496" s="1"/>
      <c r="C496" s="319">
        <f t="shared" si="47"/>
        <v>121</v>
      </c>
      <c r="D496" s="319">
        <f t="shared" si="47"/>
        <v>122</v>
      </c>
      <c r="E496" s="304">
        <f>E482</f>
        <v>166</v>
      </c>
      <c r="F496" s="372"/>
      <c r="G496" s="321">
        <f t="shared" si="48"/>
        <v>-201</v>
      </c>
      <c r="H496" s="321">
        <f t="shared" si="48"/>
        <v>-203</v>
      </c>
      <c r="I496" s="304">
        <f>I482</f>
        <v>180</v>
      </c>
      <c r="J496" s="373"/>
      <c r="K496" s="321">
        <f t="shared" si="49"/>
        <v>-218</v>
      </c>
      <c r="M496" s="84">
        <f t="shared" si="50"/>
        <v>-219.6</v>
      </c>
      <c r="O496" s="371"/>
      <c r="W496" s="20"/>
      <c r="X496" s="20"/>
      <c r="Y496" s="20"/>
      <c r="Z496" s="20"/>
      <c r="AA496" s="20"/>
      <c r="AB496" s="20"/>
      <c r="AC496" s="20"/>
    </row>
    <row r="497" spans="1:29">
      <c r="A497" s="323" t="s">
        <v>422</v>
      </c>
      <c r="B497" s="1"/>
      <c r="C497" s="319">
        <f t="shared" si="47"/>
        <v>6452</v>
      </c>
      <c r="D497" s="319" t="e">
        <f t="shared" si="47"/>
        <v>#REF!</v>
      </c>
      <c r="E497" s="304">
        <f>E484</f>
        <v>1.47</v>
      </c>
      <c r="F497" s="364"/>
      <c r="G497" s="321">
        <f t="shared" si="48"/>
        <v>-94</v>
      </c>
      <c r="H497" s="321" t="e">
        <f t="shared" si="48"/>
        <v>#REF!</v>
      </c>
      <c r="I497" s="304">
        <f>I484</f>
        <v>1.6</v>
      </c>
      <c r="J497" s="293"/>
      <c r="K497" s="321">
        <f t="shared" si="49"/>
        <v>-103</v>
      </c>
      <c r="M497" s="84" t="e">
        <f t="shared" si="50"/>
        <v>#REF!</v>
      </c>
      <c r="W497" s="20"/>
      <c r="X497" s="20"/>
      <c r="Y497" s="20"/>
      <c r="Z497" s="20"/>
      <c r="AA497" s="20"/>
      <c r="AB497" s="20"/>
      <c r="AC497" s="20"/>
    </row>
    <row r="498" spans="1:29">
      <c r="A498" s="323" t="s">
        <v>423</v>
      </c>
      <c r="B498" s="1"/>
      <c r="C498" s="319">
        <f t="shared" si="47"/>
        <v>76044</v>
      </c>
      <c r="D498" s="319" t="e">
        <f t="shared" si="47"/>
        <v>#REF!</v>
      </c>
      <c r="E498" s="304">
        <f>E485</f>
        <v>1.2</v>
      </c>
      <c r="F498" s="364" t="s">
        <v>31</v>
      </c>
      <c r="G498" s="321">
        <f t="shared" si="48"/>
        <v>-913</v>
      </c>
      <c r="H498" s="321" t="e">
        <f t="shared" si="48"/>
        <v>#REF!</v>
      </c>
      <c r="I498" s="304">
        <f>I485</f>
        <v>1.3</v>
      </c>
      <c r="J498" s="293"/>
      <c r="K498" s="321">
        <f t="shared" si="49"/>
        <v>-989</v>
      </c>
      <c r="M498" s="84" t="e">
        <f t="shared" si="50"/>
        <v>#REF!</v>
      </c>
      <c r="W498" s="20"/>
      <c r="X498" s="20"/>
      <c r="Y498" s="20"/>
      <c r="Z498" s="20"/>
      <c r="AA498" s="20"/>
      <c r="AB498" s="20"/>
      <c r="AC498" s="20"/>
    </row>
    <row r="499" spans="1:29">
      <c r="A499" s="309" t="s">
        <v>425</v>
      </c>
      <c r="B499" s="1"/>
      <c r="C499" s="319">
        <f t="shared" si="47"/>
        <v>64762</v>
      </c>
      <c r="D499" s="319" t="e">
        <f t="shared" si="47"/>
        <v>#REF!</v>
      </c>
      <c r="E499" s="304">
        <f>E487</f>
        <v>3.75</v>
      </c>
      <c r="F499" s="364" t="s">
        <v>31</v>
      </c>
      <c r="G499" s="321">
        <f t="shared" si="48"/>
        <v>-2428</v>
      </c>
      <c r="H499" s="321" t="e">
        <f t="shared" si="48"/>
        <v>#REF!</v>
      </c>
      <c r="I499" s="304">
        <f>I487</f>
        <v>3.95</v>
      </c>
      <c r="J499" s="293"/>
      <c r="K499" s="321">
        <f t="shared" si="49"/>
        <v>-2558</v>
      </c>
      <c r="M499" s="84" t="e">
        <f t="shared" si="50"/>
        <v>#REF!</v>
      </c>
      <c r="W499" s="20"/>
      <c r="X499" s="20"/>
      <c r="Y499" s="20"/>
      <c r="Z499" s="20"/>
      <c r="AA499" s="20"/>
      <c r="AB499" s="20"/>
      <c r="AC499" s="20"/>
    </row>
    <row r="500" spans="1:29">
      <c r="A500" s="309" t="s">
        <v>441</v>
      </c>
      <c r="B500" s="1"/>
      <c r="C500" s="319">
        <f t="shared" si="47"/>
        <v>0</v>
      </c>
      <c r="D500" s="319" t="e">
        <f t="shared" si="47"/>
        <v>#REF!</v>
      </c>
      <c r="E500" s="304">
        <f>E488</f>
        <v>3.75</v>
      </c>
      <c r="F500" s="364" t="s">
        <v>31</v>
      </c>
      <c r="G500" s="321">
        <f t="shared" si="48"/>
        <v>0</v>
      </c>
      <c r="H500" s="321" t="e">
        <f t="shared" si="48"/>
        <v>#REF!</v>
      </c>
      <c r="I500" s="304">
        <f>I488</f>
        <v>3.95</v>
      </c>
      <c r="J500" s="293"/>
      <c r="K500" s="321">
        <f t="shared" si="49"/>
        <v>0</v>
      </c>
      <c r="M500" s="84" t="e">
        <f t="shared" si="50"/>
        <v>#REF!</v>
      </c>
      <c r="W500" s="20"/>
      <c r="X500" s="20"/>
      <c r="Y500" s="20"/>
      <c r="Z500" s="20"/>
      <c r="AA500" s="20"/>
      <c r="AB500" s="20"/>
      <c r="AC500" s="20"/>
    </row>
    <row r="501" spans="1:29">
      <c r="A501" s="323" t="s">
        <v>427</v>
      </c>
      <c r="B501" s="1"/>
      <c r="C501" s="319">
        <f t="shared" si="47"/>
        <v>6256747</v>
      </c>
      <c r="D501" s="319" t="e">
        <f t="shared" si="47"/>
        <v>#REF!</v>
      </c>
      <c r="E501" s="374">
        <f>E490</f>
        <v>4.3570000000000002</v>
      </c>
      <c r="F501" s="321" t="s">
        <v>374</v>
      </c>
      <c r="G501" s="321">
        <f t="shared" si="48"/>
        <v>-2726</v>
      </c>
      <c r="H501" s="321" t="e">
        <f t="shared" si="48"/>
        <v>#REF!</v>
      </c>
      <c r="I501" s="374">
        <f>I490</f>
        <v>4.8559999999999999</v>
      </c>
      <c r="J501" s="323" t="s">
        <v>374</v>
      </c>
      <c r="K501" s="321">
        <f t="shared" si="49"/>
        <v>-3038</v>
      </c>
      <c r="M501" s="84" t="e">
        <f>-((I501*D501)/100)/100</f>
        <v>#REF!</v>
      </c>
      <c r="W501" s="20"/>
      <c r="X501" s="20"/>
      <c r="Y501" s="20"/>
      <c r="Z501" s="20"/>
      <c r="AA501" s="20"/>
      <c r="AB501" s="20"/>
      <c r="AC501" s="20"/>
    </row>
    <row r="502" spans="1:29">
      <c r="A502" s="323" t="s">
        <v>399</v>
      </c>
      <c r="B502" s="1"/>
      <c r="C502" s="319">
        <f t="shared" si="47"/>
        <v>19639451</v>
      </c>
      <c r="D502" s="319" t="e">
        <f t="shared" si="47"/>
        <v>#REF!</v>
      </c>
      <c r="E502" s="374">
        <f>E491</f>
        <v>3.9930000000000003</v>
      </c>
      <c r="F502" s="321" t="s">
        <v>374</v>
      </c>
      <c r="G502" s="321">
        <f t="shared" si="48"/>
        <v>-7842</v>
      </c>
      <c r="H502" s="321" t="e">
        <f t="shared" si="48"/>
        <v>#REF!</v>
      </c>
      <c r="I502" s="374">
        <f>I491</f>
        <v>4.4550000000000001</v>
      </c>
      <c r="J502" s="323" t="s">
        <v>374</v>
      </c>
      <c r="K502" s="321">
        <f t="shared" si="49"/>
        <v>-8749</v>
      </c>
      <c r="M502" s="84" t="e">
        <f>-((I502*D502)/100)/100</f>
        <v>#REF!</v>
      </c>
      <c r="W502" s="20"/>
      <c r="X502" s="20"/>
      <c r="Y502" s="20"/>
      <c r="Z502" s="20"/>
      <c r="AA502" s="20"/>
      <c r="AB502" s="20"/>
      <c r="AC502" s="20"/>
    </row>
    <row r="503" spans="1:29">
      <c r="A503" s="323" t="s">
        <v>400</v>
      </c>
      <c r="B503" s="1"/>
      <c r="C503" s="319">
        <f t="shared" si="47"/>
        <v>14691</v>
      </c>
      <c r="D503" s="319" t="e">
        <f t="shared" si="47"/>
        <v>#REF!</v>
      </c>
      <c r="E503" s="375">
        <f>E492</f>
        <v>45</v>
      </c>
      <c r="F503" s="321" t="s">
        <v>374</v>
      </c>
      <c r="G503" s="321">
        <f t="shared" si="48"/>
        <v>-67</v>
      </c>
      <c r="H503" s="321" t="e">
        <f t="shared" si="48"/>
        <v>#REF!</v>
      </c>
      <c r="I503" s="375">
        <f>I492</f>
        <v>50</v>
      </c>
      <c r="J503" s="323" t="s">
        <v>374</v>
      </c>
      <c r="K503" s="321">
        <f t="shared" si="49"/>
        <v>-74</v>
      </c>
      <c r="M503" s="84" t="e">
        <f>-((I503*D503)/100)/100</f>
        <v>#REF!</v>
      </c>
      <c r="W503" s="20"/>
      <c r="X503" s="20"/>
      <c r="Y503" s="20"/>
      <c r="Z503" s="20"/>
      <c r="AA503" s="20"/>
      <c r="AB503" s="20"/>
      <c r="AC503" s="20"/>
    </row>
    <row r="504" spans="1:29">
      <c r="A504" s="323" t="s">
        <v>443</v>
      </c>
      <c r="B504" s="1"/>
      <c r="C504" s="319">
        <f t="shared" si="47"/>
        <v>165</v>
      </c>
      <c r="D504" s="319">
        <f t="shared" si="47"/>
        <v>166</v>
      </c>
      <c r="E504" s="298">
        <f>'Blocking - detail'!E504</f>
        <v>60</v>
      </c>
      <c r="F504" s="364" t="s">
        <v>31</v>
      </c>
      <c r="G504" s="321">
        <f t="shared" si="48"/>
        <v>9900</v>
      </c>
      <c r="H504" s="321">
        <f t="shared" si="48"/>
        <v>9960</v>
      </c>
      <c r="I504" s="298">
        <f>'Blocking - detail'!I504</f>
        <v>60</v>
      </c>
      <c r="J504" s="1"/>
      <c r="K504" s="321">
        <f t="shared" si="49"/>
        <v>9900</v>
      </c>
      <c r="M504" s="84">
        <f>I504*D504</f>
        <v>9960</v>
      </c>
      <c r="W504" s="20"/>
      <c r="X504" s="20"/>
      <c r="Y504" s="20"/>
      <c r="Z504" s="20"/>
      <c r="AA504" s="20"/>
      <c r="AB504" s="20"/>
      <c r="AC504" s="20"/>
    </row>
    <row r="505" spans="1:29">
      <c r="A505" s="323" t="s">
        <v>444</v>
      </c>
      <c r="B505" s="1"/>
      <c r="C505" s="319">
        <f t="shared" si="47"/>
        <v>78375</v>
      </c>
      <c r="D505" s="319" t="e">
        <f t="shared" si="47"/>
        <v>#REF!</v>
      </c>
      <c r="E505" s="339">
        <f>'Blocking - detail'!E505</f>
        <v>-30</v>
      </c>
      <c r="F505" s="321" t="s">
        <v>374</v>
      </c>
      <c r="G505" s="321">
        <f t="shared" si="48"/>
        <v>-23513</v>
      </c>
      <c r="H505" s="321" t="e">
        <f t="shared" si="48"/>
        <v>#REF!</v>
      </c>
      <c r="I505" s="339">
        <f>'Blocking - detail'!I505</f>
        <v>-30</v>
      </c>
      <c r="J505" s="321" t="s">
        <v>374</v>
      </c>
      <c r="K505" s="321">
        <f t="shared" si="49"/>
        <v>-23513</v>
      </c>
      <c r="M505" s="84" t="e">
        <f>(I505/100)*D505</f>
        <v>#REF!</v>
      </c>
      <c r="W505" s="20"/>
      <c r="X505" s="20"/>
      <c r="Y505" s="20"/>
      <c r="Z505" s="20"/>
      <c r="AA505" s="20"/>
      <c r="AB505" s="20"/>
      <c r="AC505" s="20"/>
    </row>
    <row r="506" spans="1:29">
      <c r="A506" s="1" t="s">
        <v>381</v>
      </c>
      <c r="B506" s="65"/>
      <c r="C506" s="319" t="e">
        <f t="shared" si="47"/>
        <v>#REF!</v>
      </c>
      <c r="D506" s="319">
        <f t="shared" si="47"/>
        <v>909584708.38655555</v>
      </c>
      <c r="E506" s="330"/>
      <c r="F506" s="2"/>
      <c r="G506" s="2" t="e">
        <f t="shared" si="48"/>
        <v>#REF!</v>
      </c>
      <c r="H506" s="2" t="e">
        <f t="shared" si="48"/>
        <v>#REF!</v>
      </c>
      <c r="I506" s="2"/>
      <c r="J506" s="1"/>
      <c r="K506" s="2" t="e">
        <f t="shared" si="49"/>
        <v>#REF!</v>
      </c>
      <c r="M506" s="84" t="e">
        <f>SUM(M480:M505)</f>
        <v>#REF!</v>
      </c>
      <c r="P506" s="377"/>
      <c r="W506" s="20"/>
      <c r="X506" s="20"/>
      <c r="Y506" s="20"/>
      <c r="Z506" s="20"/>
      <c r="AA506" s="20"/>
      <c r="AB506" s="20"/>
      <c r="AC506" s="20"/>
    </row>
    <row r="507" spans="1:29">
      <c r="A507" s="1" t="s">
        <v>363</v>
      </c>
      <c r="B507" s="25"/>
      <c r="C507" s="340" t="e">
        <f t="shared" si="47"/>
        <v>#REF!</v>
      </c>
      <c r="D507" s="340">
        <f t="shared" si="47"/>
        <v>0</v>
      </c>
      <c r="E507" s="309"/>
      <c r="F507" s="309"/>
      <c r="G507" s="310" t="e">
        <f t="shared" si="48"/>
        <v>#REF!</v>
      </c>
      <c r="H507" s="310">
        <f t="shared" si="48"/>
        <v>0</v>
      </c>
      <c r="I507" s="309"/>
      <c r="J507" s="309"/>
      <c r="K507" s="310" t="e">
        <f>G507</f>
        <v>#REF!</v>
      </c>
      <c r="M507" s="289"/>
      <c r="N507" s="289"/>
      <c r="O507" s="290"/>
      <c r="W507" s="20"/>
      <c r="X507" s="20"/>
      <c r="Y507" s="20"/>
      <c r="Z507" s="20"/>
      <c r="AA507" s="20"/>
      <c r="AB507" s="20"/>
      <c r="AC507" s="20"/>
    </row>
    <row r="508" spans="1:29" ht="16.5" thickBot="1">
      <c r="A508" s="1" t="s">
        <v>382</v>
      </c>
      <c r="B508" s="1"/>
      <c r="C508" s="366" t="e">
        <f>SUM(C506)+C507</f>
        <v>#REF!</v>
      </c>
      <c r="D508" s="366" t="e">
        <f>SUM(D490:D491)+D507</f>
        <v>#REF!</v>
      </c>
      <c r="E508" s="342"/>
      <c r="F508" s="343"/>
      <c r="G508" s="344" t="e">
        <f>G506+G507</f>
        <v>#REF!</v>
      </c>
      <c r="H508" s="344" t="e">
        <f>H506+H507</f>
        <v>#REF!</v>
      </c>
      <c r="I508" s="342"/>
      <c r="J508" s="345"/>
      <c r="K508" s="344" t="e">
        <f>K506+K507</f>
        <v>#REF!</v>
      </c>
      <c r="M508" s="291"/>
      <c r="N508" s="3" t="s">
        <v>409</v>
      </c>
      <c r="O508" s="84" t="e">
        <f>#REF!*1000</f>
        <v>#REF!</v>
      </c>
      <c r="W508" s="20"/>
      <c r="X508" s="20"/>
      <c r="Y508" s="20"/>
      <c r="Z508" s="20"/>
      <c r="AA508" s="20"/>
      <c r="AB508" s="20"/>
      <c r="AC508" s="20"/>
    </row>
    <row r="509" spans="1:29" ht="16.5" thickTop="1">
      <c r="A509" s="1"/>
      <c r="B509" s="1"/>
      <c r="C509" s="21"/>
      <c r="D509" s="21"/>
      <c r="E509" s="337"/>
      <c r="F509" s="2"/>
      <c r="G509" s="2"/>
      <c r="H509" s="2"/>
      <c r="I509" s="353" t="s">
        <v>31</v>
      </c>
      <c r="J509" s="1"/>
      <c r="K509" s="2" t="s">
        <v>31</v>
      </c>
      <c r="N509" s="3" t="s">
        <v>263</v>
      </c>
      <c r="O509" s="84" t="e">
        <f>O508-K508</f>
        <v>#REF!</v>
      </c>
      <c r="P509" s="276" t="e">
        <f>(O508-K508)/K508</f>
        <v>#REF!</v>
      </c>
      <c r="W509" s="20"/>
      <c r="X509" s="20"/>
      <c r="Y509" s="20"/>
      <c r="Z509" s="20"/>
      <c r="AA509" s="20"/>
      <c r="AB509" s="20"/>
      <c r="AC509" s="20"/>
    </row>
    <row r="510" spans="1:29">
      <c r="A510" s="293" t="s">
        <v>436</v>
      </c>
      <c r="B510" s="1"/>
      <c r="C510" s="1"/>
      <c r="D510" s="1"/>
      <c r="E510" s="2"/>
      <c r="F510" s="2"/>
      <c r="G510" s="1" t="s">
        <v>31</v>
      </c>
      <c r="H510" s="1"/>
      <c r="I510" s="2"/>
      <c r="J510" s="1"/>
      <c r="K510" s="1"/>
      <c r="W510" s="20"/>
      <c r="X510" s="20"/>
      <c r="Y510" s="20"/>
      <c r="Z510" s="20"/>
      <c r="AA510" s="20"/>
      <c r="AB510" s="20"/>
      <c r="AC510" s="20"/>
    </row>
    <row r="511" spans="1:29">
      <c r="A511" s="309" t="s">
        <v>445</v>
      </c>
      <c r="B511" s="1"/>
      <c r="C511" s="1"/>
      <c r="D511" s="1"/>
      <c r="E511" s="2"/>
      <c r="F511" s="2"/>
      <c r="G511" s="1"/>
      <c r="H511" s="1"/>
      <c r="I511" s="2"/>
      <c r="J511" s="1"/>
      <c r="K511" s="1"/>
      <c r="O511" s="276" t="e">
        <f>O509/(K490+K491)</f>
        <v>#REF!</v>
      </c>
      <c r="W511" s="20"/>
      <c r="X511" s="20"/>
      <c r="Y511" s="20"/>
      <c r="Z511" s="20"/>
      <c r="AA511" s="20"/>
      <c r="AB511" s="20"/>
      <c r="AC511" s="20"/>
    </row>
    <row r="512" spans="1:29">
      <c r="A512" s="323"/>
      <c r="B512" s="1"/>
      <c r="C512" s="1"/>
      <c r="D512" s="1"/>
      <c r="E512" s="2"/>
      <c r="F512" s="2"/>
      <c r="G512" s="1"/>
      <c r="H512" s="1"/>
      <c r="I512" s="2"/>
      <c r="J512" s="1"/>
      <c r="K512" s="1"/>
      <c r="M512" s="20"/>
      <c r="N512" s="20"/>
      <c r="O512" s="74"/>
      <c r="P512" s="74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</row>
    <row r="513" spans="1:29">
      <c r="A513" s="323" t="s">
        <v>393</v>
      </c>
      <c r="B513" s="1"/>
      <c r="C513" s="319"/>
      <c r="D513" s="319"/>
      <c r="E513" s="2"/>
      <c r="F513" s="2"/>
      <c r="G513" s="1"/>
      <c r="H513" s="1"/>
      <c r="I513" s="2"/>
      <c r="J513" s="1"/>
      <c r="K513" s="1"/>
      <c r="M513" s="20"/>
      <c r="N513" s="20"/>
      <c r="O513" s="74"/>
      <c r="P513" s="74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</row>
    <row r="514" spans="1:29">
      <c r="A514" s="323" t="s">
        <v>421</v>
      </c>
      <c r="B514" s="1"/>
      <c r="C514" s="319">
        <f>15+3+272</f>
        <v>290</v>
      </c>
      <c r="D514" s="319">
        <v>294</v>
      </c>
      <c r="E514" s="298">
        <f>$E$480</f>
        <v>225</v>
      </c>
      <c r="F514" s="323"/>
      <c r="G514" s="321">
        <f>ROUND(E514*$C514,0)</f>
        <v>65250</v>
      </c>
      <c r="H514" s="321">
        <f>ROUND(E514*$D514,0)</f>
        <v>66150</v>
      </c>
      <c r="I514" s="298">
        <f>$I$480</f>
        <v>245</v>
      </c>
      <c r="J514" s="323"/>
      <c r="K514" s="321">
        <f>ROUND(I514*$C514,0)</f>
        <v>71050</v>
      </c>
      <c r="M514" s="20"/>
      <c r="N514" s="20"/>
      <c r="O514" s="74"/>
      <c r="P514" s="74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</row>
    <row r="515" spans="1:29">
      <c r="A515" s="323" t="s">
        <v>422</v>
      </c>
      <c r="B515" s="1"/>
      <c r="C515" s="319">
        <f>891+24+6737</f>
        <v>7652</v>
      </c>
      <c r="D515" s="319">
        <v>7746</v>
      </c>
      <c r="E515" s="298">
        <f>$E$481</f>
        <v>83</v>
      </c>
      <c r="F515" s="323"/>
      <c r="G515" s="321">
        <f>ROUND(E515*$C515,0)</f>
        <v>635116</v>
      </c>
      <c r="H515" s="321">
        <f>ROUND(E515*$D515,0)</f>
        <v>642918</v>
      </c>
      <c r="I515" s="298">
        <f>$I$481</f>
        <v>90</v>
      </c>
      <c r="J515" s="323"/>
      <c r="K515" s="321">
        <f>ROUND(I515*$C515,0)</f>
        <v>688680</v>
      </c>
      <c r="M515" s="20"/>
      <c r="N515" s="20"/>
      <c r="O515" s="74"/>
      <c r="P515" s="74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</row>
    <row r="516" spans="1:29">
      <c r="A516" s="323" t="s">
        <v>423</v>
      </c>
      <c r="B516" s="1"/>
      <c r="C516" s="319">
        <f>218+106+2548</f>
        <v>2872</v>
      </c>
      <c r="D516" s="319">
        <v>2907</v>
      </c>
      <c r="E516" s="298">
        <f>$E$482</f>
        <v>166</v>
      </c>
      <c r="F516" s="325"/>
      <c r="G516" s="321">
        <f>ROUND(E516*$C516,0)</f>
        <v>476752</v>
      </c>
      <c r="H516" s="321">
        <f>ROUND(E516*$D516,0)</f>
        <v>482562</v>
      </c>
      <c r="I516" s="298">
        <f>$I$482</f>
        <v>180</v>
      </c>
      <c r="J516" s="325"/>
      <c r="K516" s="321">
        <f>ROUND(I516*$C516,0)</f>
        <v>516960</v>
      </c>
      <c r="M516" s="20"/>
      <c r="N516" s="20"/>
      <c r="O516" s="74"/>
      <c r="P516" s="74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</row>
    <row r="517" spans="1:29">
      <c r="A517" s="323" t="s">
        <v>394</v>
      </c>
      <c r="B517" s="1"/>
      <c r="C517" s="319">
        <f>SUM(C514:C516)</f>
        <v>10814</v>
      </c>
      <c r="D517" s="319">
        <f>SUM(D514:D516)</f>
        <v>10947</v>
      </c>
      <c r="E517" s="298"/>
      <c r="F517" s="323"/>
      <c r="G517" s="321"/>
      <c r="H517" s="321"/>
      <c r="I517" s="298"/>
      <c r="J517" s="323"/>
      <c r="K517" s="321"/>
      <c r="M517" s="20"/>
      <c r="N517" s="20"/>
      <c r="O517" s="74"/>
      <c r="P517" s="74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</row>
    <row r="518" spans="1:29">
      <c r="A518" s="323" t="s">
        <v>422</v>
      </c>
      <c r="B518" s="1"/>
      <c r="C518" s="319">
        <f>161511+4370+1155196</f>
        <v>1321077</v>
      </c>
      <c r="D518" s="319" t="e">
        <f>ROUND(($D$540/'Billing Determinants (2)'!$C$540)*C518,0)</f>
        <v>#REF!</v>
      </c>
      <c r="E518" s="298">
        <f>$E$484</f>
        <v>1.47</v>
      </c>
      <c r="F518" s="323" t="s">
        <v>31</v>
      </c>
      <c r="G518" s="321">
        <f>ROUND(E518*$C518,0)</f>
        <v>1941983</v>
      </c>
      <c r="H518" s="321" t="e">
        <f>ROUND(E518*$D518,0)</f>
        <v>#REF!</v>
      </c>
      <c r="I518" s="298">
        <f>$I$484</f>
        <v>1.6</v>
      </c>
      <c r="J518" s="323" t="s">
        <v>31</v>
      </c>
      <c r="K518" s="321">
        <f>ROUND(I518*$C518,0)</f>
        <v>2113723</v>
      </c>
      <c r="M518" s="20"/>
      <c r="N518" s="20"/>
      <c r="O518" s="74"/>
      <c r="P518" s="74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</row>
    <row r="519" spans="1:29">
      <c r="A519" s="323" t="s">
        <v>423</v>
      </c>
      <c r="B519" s="1"/>
      <c r="C519" s="319">
        <f>119211+61985+1218712</f>
        <v>1399908</v>
      </c>
      <c r="D519" s="319" t="e">
        <f>ROUND(($D$540/'Billing Determinants (2)'!$C$540)*C519,0)</f>
        <v>#REF!</v>
      </c>
      <c r="E519" s="298">
        <f>$E$485</f>
        <v>1.2</v>
      </c>
      <c r="F519" s="323" t="s">
        <v>31</v>
      </c>
      <c r="G519" s="321">
        <f>ROUND(E519*$C519,0)</f>
        <v>1679890</v>
      </c>
      <c r="H519" s="321" t="e">
        <f>ROUND(E519*$D519,0)</f>
        <v>#REF!</v>
      </c>
      <c r="I519" s="298">
        <f>$I$485</f>
        <v>1.3</v>
      </c>
      <c r="J519" s="323" t="s">
        <v>31</v>
      </c>
      <c r="K519" s="321">
        <f>ROUND(I519*$C519,0)</f>
        <v>1819880</v>
      </c>
      <c r="M519" s="20"/>
      <c r="N519" s="20"/>
      <c r="O519" s="74"/>
      <c r="P519" s="74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</row>
    <row r="520" spans="1:29">
      <c r="A520" s="309" t="s">
        <v>424</v>
      </c>
      <c r="B520" s="1"/>
      <c r="C520" s="319"/>
      <c r="D520" s="319"/>
      <c r="E520" s="355"/>
      <c r="F520" s="323"/>
      <c r="G520" s="321"/>
      <c r="H520" s="321"/>
      <c r="I520" s="355"/>
      <c r="J520" s="323"/>
      <c r="K520" s="321"/>
      <c r="M520" s="20"/>
      <c r="N520" s="20"/>
      <c r="O520" s="74"/>
      <c r="P520" s="74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</row>
    <row r="521" spans="1:29">
      <c r="A521" s="309" t="s">
        <v>425</v>
      </c>
      <c r="B521" s="1"/>
      <c r="C521" s="319">
        <f>1068+119254+79096+150+3376+49943+17200+887264+924289</f>
        <v>2081640</v>
      </c>
      <c r="D521" s="319" t="e">
        <f>ROUND(($D$540/'Billing Determinants (2)'!$C$540)*C521,0)</f>
        <v>#REF!</v>
      </c>
      <c r="E521" s="298">
        <f>$E$487</f>
        <v>3.75</v>
      </c>
      <c r="F521" s="323"/>
      <c r="G521" s="321">
        <f>ROUND(E521*$C521,0)</f>
        <v>7806150</v>
      </c>
      <c r="H521" s="321" t="e">
        <f>ROUND(E521*$D521,0)</f>
        <v>#REF!</v>
      </c>
      <c r="I521" s="298">
        <f>$I$487</f>
        <v>3.95</v>
      </c>
      <c r="J521" s="323"/>
      <c r="K521" s="321">
        <f>ROUND(I521*$C521,0)</f>
        <v>8222478</v>
      </c>
      <c r="M521" s="20"/>
      <c r="N521" s="20"/>
      <c r="O521" s="74"/>
      <c r="P521" s="74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</row>
    <row r="522" spans="1:29">
      <c r="A522" s="309" t="s">
        <v>441</v>
      </c>
      <c r="B522" s="1"/>
      <c r="C522" s="319">
        <v>0</v>
      </c>
      <c r="D522" s="319" t="e">
        <f>ROUND(($D$540/'Billing Determinants (2)'!$C$540)*C522,0)</f>
        <v>#REF!</v>
      </c>
      <c r="E522" s="369">
        <f>E521</f>
        <v>3.75</v>
      </c>
      <c r="F522" s="323"/>
      <c r="G522" s="321">
        <f>ROUND(E522*$C522,0)</f>
        <v>0</v>
      </c>
      <c r="H522" s="321" t="e">
        <f>ROUND(E522*$D522,0)</f>
        <v>#REF!</v>
      </c>
      <c r="I522" s="369">
        <f>I521</f>
        <v>3.95</v>
      </c>
      <c r="J522" s="323"/>
      <c r="K522" s="321">
        <f>ROUND(I522*$C522,0)</f>
        <v>0</v>
      </c>
      <c r="M522" s="20"/>
      <c r="N522" s="20"/>
      <c r="O522" s="74"/>
      <c r="P522" s="74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</row>
    <row r="523" spans="1:29">
      <c r="A523" s="323" t="s">
        <v>426</v>
      </c>
      <c r="B523" s="1"/>
      <c r="C523" s="319"/>
      <c r="D523" s="319"/>
      <c r="E523" s="298"/>
      <c r="F523" s="323"/>
      <c r="G523" s="321"/>
      <c r="H523" s="321"/>
      <c r="I523" s="298"/>
      <c r="J523" s="323"/>
      <c r="K523" s="321"/>
      <c r="M523" s="20"/>
      <c r="N523" s="20"/>
      <c r="O523" s="74"/>
      <c r="P523" s="74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</row>
    <row r="524" spans="1:29">
      <c r="A524" s="323" t="s">
        <v>427</v>
      </c>
      <c r="B524" s="319"/>
      <c r="C524" s="319" t="e">
        <f>251081+26399950+8327667+8480+907600+4146400+4006185+206696529+96381069+#REF!*1000</f>
        <v>#REF!</v>
      </c>
      <c r="D524" s="319" t="e">
        <f>ROUND(($D$540/'Billing Determinants (2)'!$C$540)*C524,0)</f>
        <v>#REF!</v>
      </c>
      <c r="E524" s="370">
        <f>$E$490</f>
        <v>4.3570000000000002</v>
      </c>
      <c r="F524" s="323" t="s">
        <v>374</v>
      </c>
      <c r="G524" s="321" t="e">
        <f>ROUND(E524*$C524/100,0)</f>
        <v>#REF!</v>
      </c>
      <c r="H524" s="321" t="e">
        <f>ROUND(E524*$D524/100,0)</f>
        <v>#REF!</v>
      </c>
      <c r="I524" s="327">
        <f>$I$490</f>
        <v>4.8559999999999999</v>
      </c>
      <c r="J524" s="323" t="s">
        <v>374</v>
      </c>
      <c r="K524" s="321" t="e">
        <f>ROUND(I524*$C524/100,0)</f>
        <v>#REF!</v>
      </c>
      <c r="M524" s="20"/>
      <c r="N524" s="20"/>
      <c r="O524" s="74"/>
      <c r="P524" s="74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</row>
    <row r="525" spans="1:29">
      <c r="A525" s="323" t="s">
        <v>399</v>
      </c>
      <c r="B525" s="319"/>
      <c r="C525" s="319" t="e">
        <f>251081+44206075+35863656+8480+1348200+18841920+4093885+288814372+368801759-C524+#REF!*1000+#REF!*1000</f>
        <v>#REF!</v>
      </c>
      <c r="D525" s="319" t="e">
        <f>ROUND(($D$540/'Billing Determinants (2)'!$C$540)*C525,0)</f>
        <v>#REF!</v>
      </c>
      <c r="E525" s="370">
        <f>$E$491</f>
        <v>3.9930000000000003</v>
      </c>
      <c r="F525" s="323" t="s">
        <v>374</v>
      </c>
      <c r="G525" s="321" t="e">
        <f>ROUND(E525*$C525/100,0)</f>
        <v>#REF!</v>
      </c>
      <c r="H525" s="321" t="e">
        <f>ROUND(E525*$D525/100,0)</f>
        <v>#REF!</v>
      </c>
      <c r="I525" s="327">
        <f>$I$491</f>
        <v>4.4550000000000001</v>
      </c>
      <c r="J525" s="323" t="s">
        <v>374</v>
      </c>
      <c r="K525" s="321" t="e">
        <f>ROUND(I525*$C525/100,0)</f>
        <v>#REF!</v>
      </c>
      <c r="M525" s="20"/>
      <c r="N525" s="20"/>
      <c r="O525" s="74"/>
      <c r="P525" s="74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</row>
    <row r="526" spans="1:29">
      <c r="A526" s="323" t="s">
        <v>400</v>
      </c>
      <c r="B526" s="1"/>
      <c r="C526" s="319">
        <f>25+26086+19444+27+10311+1383+154262+167734</f>
        <v>379272</v>
      </c>
      <c r="D526" s="319" t="e">
        <f>ROUND(($D$540/'Billing Determinants (2)'!$C$540)*C526,0)</f>
        <v>#REF!</v>
      </c>
      <c r="E526" s="339">
        <f>$E$492</f>
        <v>45</v>
      </c>
      <c r="F526" s="323" t="s">
        <v>374</v>
      </c>
      <c r="G526" s="321">
        <f>ROUND(E526*$C526/100,0)</f>
        <v>170672</v>
      </c>
      <c r="H526" s="321" t="e">
        <f>ROUND(E526*$D526/100,0)</f>
        <v>#REF!</v>
      </c>
      <c r="I526" s="475">
        <f>$I$492</f>
        <v>50</v>
      </c>
      <c r="J526" s="323" t="s">
        <v>374</v>
      </c>
      <c r="K526" s="321">
        <f>ROUND(I526*$C526/100,0)</f>
        <v>189636</v>
      </c>
      <c r="M526" s="20"/>
      <c r="N526" s="20"/>
      <c r="O526" s="74"/>
      <c r="P526" s="74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</row>
    <row r="527" spans="1:29">
      <c r="A527" s="360" t="s">
        <v>401</v>
      </c>
      <c r="B527" s="1"/>
      <c r="C527" s="319"/>
      <c r="D527" s="319"/>
      <c r="E527" s="332">
        <v>-0.01</v>
      </c>
      <c r="F527" s="2"/>
      <c r="G527" s="321"/>
      <c r="H527" s="321"/>
      <c r="I527" s="332">
        <v>-0.01</v>
      </c>
      <c r="J527" s="1"/>
      <c r="K527" s="321"/>
      <c r="M527" s="20"/>
      <c r="N527" s="20"/>
      <c r="O527" s="74"/>
      <c r="P527" s="74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</row>
    <row r="528" spans="1:29">
      <c r="A528" s="323" t="s">
        <v>421</v>
      </c>
      <c r="B528" s="21"/>
      <c r="C528" s="319">
        <v>3</v>
      </c>
      <c r="D528" s="319">
        <v>3</v>
      </c>
      <c r="E528" s="304">
        <f>E514</f>
        <v>225</v>
      </c>
      <c r="F528" s="364"/>
      <c r="G528" s="321">
        <f>ROUND(E528*$C528*E527,0)</f>
        <v>-7</v>
      </c>
      <c r="H528" s="321">
        <f>ROUND(E528*$D528*E527,0)</f>
        <v>-7</v>
      </c>
      <c r="I528" s="304">
        <f>I514</f>
        <v>245</v>
      </c>
      <c r="J528" s="293"/>
      <c r="K528" s="321">
        <f>ROUND(I528*$C528*I527,0)</f>
        <v>-7</v>
      </c>
      <c r="M528" s="20"/>
      <c r="N528" s="20"/>
      <c r="O528" s="74"/>
      <c r="P528" s="74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</row>
    <row r="529" spans="1:29">
      <c r="A529" s="323" t="s">
        <v>422</v>
      </c>
      <c r="B529" s="1"/>
      <c r="C529" s="319">
        <f>24</f>
        <v>24</v>
      </c>
      <c r="D529" s="319">
        <v>24</v>
      </c>
      <c r="E529" s="304">
        <f>E515</f>
        <v>83</v>
      </c>
      <c r="F529" s="364"/>
      <c r="G529" s="321">
        <f>ROUND(E529*$C529*E527,0)</f>
        <v>-20</v>
      </c>
      <c r="H529" s="321">
        <f>ROUND(E529*$D529*E527,0)</f>
        <v>-20</v>
      </c>
      <c r="I529" s="304">
        <f>I515</f>
        <v>90</v>
      </c>
      <c r="J529" s="293"/>
      <c r="K529" s="321">
        <f>ROUND(I529*$C529*I527,0)</f>
        <v>-22</v>
      </c>
      <c r="M529" s="20"/>
      <c r="N529" s="20"/>
      <c r="O529" s="74"/>
      <c r="P529" s="74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</row>
    <row r="530" spans="1:29">
      <c r="A530" s="323" t="s">
        <v>423</v>
      </c>
      <c r="B530" s="1"/>
      <c r="C530" s="319">
        <f>106</f>
        <v>106</v>
      </c>
      <c r="D530" s="319">
        <v>107</v>
      </c>
      <c r="E530" s="304">
        <f>E516</f>
        <v>166</v>
      </c>
      <c r="F530" s="372"/>
      <c r="G530" s="321">
        <f>ROUND(E530*$C530*E527,0)</f>
        <v>-176</v>
      </c>
      <c r="H530" s="321">
        <f>ROUND(E530*$D530*E527,0)</f>
        <v>-178</v>
      </c>
      <c r="I530" s="304">
        <f>I516</f>
        <v>180</v>
      </c>
      <c r="J530" s="373"/>
      <c r="K530" s="321">
        <f>ROUND(I530*$C530*I527,0)</f>
        <v>-191</v>
      </c>
      <c r="M530" s="20"/>
      <c r="N530" s="20"/>
      <c r="O530" s="74"/>
      <c r="P530" s="74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</row>
    <row r="531" spans="1:29">
      <c r="A531" s="323" t="s">
        <v>422</v>
      </c>
      <c r="B531" s="1"/>
      <c r="C531" s="319">
        <f>4585</f>
        <v>4585</v>
      </c>
      <c r="D531" s="319" t="e">
        <f>ROUND(($D$540/'Billing Determinants (2)'!$C$540)*C531,0)</f>
        <v>#REF!</v>
      </c>
      <c r="E531" s="304">
        <f>E518</f>
        <v>1.47</v>
      </c>
      <c r="F531" s="364"/>
      <c r="G531" s="321">
        <f>ROUND(E531*$C531*E527,0)</f>
        <v>-67</v>
      </c>
      <c r="H531" s="321" t="e">
        <f>ROUND(E531*$D531*E527,0)</f>
        <v>#REF!</v>
      </c>
      <c r="I531" s="304">
        <f>I518</f>
        <v>1.6</v>
      </c>
      <c r="J531" s="293"/>
      <c r="K531" s="321">
        <f>ROUND(I531*$C531*I527,0)</f>
        <v>-73</v>
      </c>
      <c r="M531" s="20"/>
      <c r="N531" s="20"/>
      <c r="O531" s="476"/>
      <c r="P531" s="74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</row>
    <row r="532" spans="1:29">
      <c r="A532" s="323" t="s">
        <v>423</v>
      </c>
      <c r="B532" s="1"/>
      <c r="C532" s="319">
        <v>65891</v>
      </c>
      <c r="D532" s="319" t="e">
        <f>ROUND(($D$540/'Billing Determinants (2)'!$C$540)*C532,0)</f>
        <v>#REF!</v>
      </c>
      <c r="E532" s="304">
        <f>E519</f>
        <v>1.2</v>
      </c>
      <c r="F532" s="364" t="s">
        <v>31</v>
      </c>
      <c r="G532" s="321">
        <f>ROUND(E532*$C532*E527,0)</f>
        <v>-791</v>
      </c>
      <c r="H532" s="321" t="e">
        <f>ROUND(E532*$D532*E527,0)</f>
        <v>#REF!</v>
      </c>
      <c r="I532" s="304">
        <f>I519</f>
        <v>1.3</v>
      </c>
      <c r="J532" s="293"/>
      <c r="K532" s="321">
        <f>ROUND(I532*$C532*I527,0)</f>
        <v>-857</v>
      </c>
      <c r="M532" s="20"/>
      <c r="N532" s="20"/>
      <c r="O532" s="74"/>
      <c r="P532" s="74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</row>
    <row r="533" spans="1:29">
      <c r="A533" s="309" t="s">
        <v>425</v>
      </c>
      <c r="B533" s="1"/>
      <c r="C533" s="319">
        <f>150+3376+49943</f>
        <v>53469</v>
      </c>
      <c r="D533" s="319" t="e">
        <f>ROUND(($D$540/'Billing Determinants (2)'!$C$540)*C533,0)</f>
        <v>#REF!</v>
      </c>
      <c r="E533" s="304">
        <f>E521</f>
        <v>3.75</v>
      </c>
      <c r="F533" s="364" t="s">
        <v>31</v>
      </c>
      <c r="G533" s="321">
        <f>ROUND(E533*$C533*E527,0)</f>
        <v>-2005</v>
      </c>
      <c r="H533" s="321" t="e">
        <f>ROUND(E533*$D533*E527,0)</f>
        <v>#REF!</v>
      </c>
      <c r="I533" s="304">
        <f>I521</f>
        <v>3.95</v>
      </c>
      <c r="J533" s="293"/>
      <c r="K533" s="321">
        <f>ROUND(I533*$C533*I527,0)</f>
        <v>-2112</v>
      </c>
      <c r="M533" s="20"/>
      <c r="N533" s="20"/>
      <c r="O533" s="74"/>
      <c r="P533" s="74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</row>
    <row r="534" spans="1:29">
      <c r="A534" s="309" t="s">
        <v>441</v>
      </c>
      <c r="B534" s="1"/>
      <c r="C534" s="319">
        <v>0</v>
      </c>
      <c r="D534" s="319" t="e">
        <f>ROUND(($D$540/'Billing Determinants (2)'!$C$540)*C534,0)</f>
        <v>#REF!</v>
      </c>
      <c r="E534" s="304">
        <f>E522</f>
        <v>3.75</v>
      </c>
      <c r="F534" s="364" t="s">
        <v>31</v>
      </c>
      <c r="G534" s="321">
        <f>ROUND(E534*$C534*E527,0)</f>
        <v>0</v>
      </c>
      <c r="H534" s="321" t="e">
        <f>ROUND(E534*$D534*E527,0)</f>
        <v>#REF!</v>
      </c>
      <c r="I534" s="304">
        <f>I522</f>
        <v>3.95</v>
      </c>
      <c r="J534" s="293"/>
      <c r="K534" s="321">
        <f>ROUND(I534*$C534*I527,0)</f>
        <v>0</v>
      </c>
      <c r="M534" s="20"/>
      <c r="N534" s="20"/>
      <c r="O534" s="74"/>
      <c r="P534" s="74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</row>
    <row r="535" spans="1:29">
      <c r="A535" s="323" t="s">
        <v>427</v>
      </c>
      <c r="B535" s="1"/>
      <c r="C535" s="319">
        <f>8480+907600+4146400</f>
        <v>5062480</v>
      </c>
      <c r="D535" s="319" t="e">
        <f>ROUND(($D$540/'Billing Determinants (2)'!$C$540)*C535,0)</f>
        <v>#REF!</v>
      </c>
      <c r="E535" s="374">
        <f>E524</f>
        <v>4.3570000000000002</v>
      </c>
      <c r="F535" s="321" t="s">
        <v>374</v>
      </c>
      <c r="G535" s="321">
        <f>ROUND(E535*$C535/100*E527,0)</f>
        <v>-2206</v>
      </c>
      <c r="H535" s="321" t="e">
        <f>ROUND(E535*$D535/100*E527,0)</f>
        <v>#REF!</v>
      </c>
      <c r="I535" s="374">
        <f>I524</f>
        <v>4.8559999999999999</v>
      </c>
      <c r="J535" s="323" t="s">
        <v>374</v>
      </c>
      <c r="K535" s="321">
        <f>ROUND(I535*$C535/100*I527,0)</f>
        <v>-2458</v>
      </c>
      <c r="M535" s="416"/>
      <c r="N535" s="416"/>
      <c r="O535" s="74"/>
      <c r="P535" s="74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</row>
    <row r="536" spans="1:29">
      <c r="A536" s="323" t="s">
        <v>399</v>
      </c>
      <c r="B536" s="1"/>
      <c r="C536" s="319">
        <f>8480+1348200+18841920-C535</f>
        <v>15136120</v>
      </c>
      <c r="D536" s="319" t="e">
        <f>ROUND(($D$540/'Billing Determinants (2)'!$C$540)*C536,0)</f>
        <v>#REF!</v>
      </c>
      <c r="E536" s="374">
        <f>E525</f>
        <v>3.9930000000000003</v>
      </c>
      <c r="F536" s="321" t="s">
        <v>374</v>
      </c>
      <c r="G536" s="321">
        <f>ROUND(E536*$C536/100*E527,0)</f>
        <v>-6044</v>
      </c>
      <c r="H536" s="321" t="e">
        <f>ROUND(E536*$D536/100*E527,0)</f>
        <v>#REF!</v>
      </c>
      <c r="I536" s="374">
        <f>I525</f>
        <v>4.4550000000000001</v>
      </c>
      <c r="J536" s="323" t="s">
        <v>374</v>
      </c>
      <c r="K536" s="321">
        <f>ROUND(I536*$C536/100*I527,0)</f>
        <v>-6743</v>
      </c>
      <c r="M536" s="20"/>
      <c r="N536" s="20"/>
      <c r="O536" s="74"/>
      <c r="P536" s="74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</row>
    <row r="537" spans="1:29">
      <c r="A537" s="323" t="s">
        <v>400</v>
      </c>
      <c r="B537" s="1"/>
      <c r="C537" s="319">
        <f>27+10311</f>
        <v>10338</v>
      </c>
      <c r="D537" s="319" t="e">
        <f>ROUND(($D$540/'Billing Determinants (2)'!$C$540)*C537,0)</f>
        <v>#REF!</v>
      </c>
      <c r="E537" s="375">
        <f>E526</f>
        <v>45</v>
      </c>
      <c r="F537" s="321" t="s">
        <v>374</v>
      </c>
      <c r="G537" s="321">
        <f>ROUND(E537*$C537/100*E527,0)</f>
        <v>-47</v>
      </c>
      <c r="H537" s="321" t="e">
        <f>ROUND(E537*$D537/100*E527,0)</f>
        <v>#REF!</v>
      </c>
      <c r="I537" s="375">
        <f>I526</f>
        <v>50</v>
      </c>
      <c r="J537" s="323" t="s">
        <v>374</v>
      </c>
      <c r="K537" s="321">
        <f>ROUND(I537*$C537/100*I527,0)</f>
        <v>-52</v>
      </c>
      <c r="M537" s="20"/>
      <c r="N537" s="20"/>
      <c r="O537" s="74"/>
      <c r="P537" s="74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</row>
    <row r="538" spans="1:29">
      <c r="A538" s="323" t="s">
        <v>443</v>
      </c>
      <c r="B538" s="1"/>
      <c r="C538" s="319">
        <f>3+24+106</f>
        <v>133</v>
      </c>
      <c r="D538" s="319">
        <v>135</v>
      </c>
      <c r="E538" s="298">
        <f>$E$504</f>
        <v>60</v>
      </c>
      <c r="F538" s="364" t="s">
        <v>31</v>
      </c>
      <c r="G538" s="321">
        <f>ROUND(E538*$C538,0)</f>
        <v>7980</v>
      </c>
      <c r="H538" s="321">
        <f>ROUND(E538*$D538,0)</f>
        <v>8100</v>
      </c>
      <c r="I538" s="298">
        <f>$I$504</f>
        <v>60</v>
      </c>
      <c r="J538" s="1"/>
      <c r="K538" s="321">
        <f>ROUND(I538*$C538,0)</f>
        <v>7980</v>
      </c>
      <c r="M538" s="20"/>
      <c r="N538" s="20"/>
      <c r="O538" s="74"/>
      <c r="P538" s="477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</row>
    <row r="539" spans="1:29">
      <c r="A539" s="323" t="s">
        <v>444</v>
      </c>
      <c r="B539" s="305"/>
      <c r="C539" s="319">
        <f>4370+61985</f>
        <v>66355</v>
      </c>
      <c r="D539" s="319" t="e">
        <f>ROUND(($D$540/'Billing Determinants (2)'!$C$540)*C539,0)</f>
        <v>#REF!</v>
      </c>
      <c r="E539" s="339">
        <f>$E$505</f>
        <v>-30</v>
      </c>
      <c r="F539" s="321" t="s">
        <v>374</v>
      </c>
      <c r="G539" s="321">
        <f>ROUND(E539*$C539/100,0)</f>
        <v>-19907</v>
      </c>
      <c r="H539" s="321" t="e">
        <f>ROUND(E539*$D539/100,0)</f>
        <v>#REF!</v>
      </c>
      <c r="I539" s="339">
        <f>$I$505</f>
        <v>-30</v>
      </c>
      <c r="J539" s="321" t="s">
        <v>374</v>
      </c>
      <c r="K539" s="321">
        <f>ROUND(I539*$C539/100,0)</f>
        <v>-19907</v>
      </c>
      <c r="M539" s="20"/>
      <c r="N539" s="20"/>
      <c r="O539" s="74"/>
      <c r="P539" s="74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</row>
    <row r="540" spans="1:29">
      <c r="A540" s="1" t="s">
        <v>381</v>
      </c>
      <c r="B540" s="307"/>
      <c r="C540" s="319" t="e">
        <f>SUM(C524:C525)</f>
        <v>#REF!</v>
      </c>
      <c r="D540" s="319">
        <v>762801321.03140867</v>
      </c>
      <c r="E540" s="330"/>
      <c r="F540" s="2"/>
      <c r="G540" s="2" t="e">
        <f>SUM(G514:G539)</f>
        <v>#REF!</v>
      </c>
      <c r="H540" s="2" t="e">
        <f>SUM(H514:H539)</f>
        <v>#REF!</v>
      </c>
      <c r="I540" s="330"/>
      <c r="J540" s="1"/>
      <c r="K540" s="2" t="e">
        <f>SUM(K514:K539)</f>
        <v>#REF!</v>
      </c>
      <c r="M540" s="20"/>
      <c r="N540" s="20"/>
      <c r="O540" s="74"/>
      <c r="P540" s="74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</row>
    <row r="541" spans="1:29">
      <c r="A541" s="1" t="s">
        <v>363</v>
      </c>
      <c r="B541" s="1"/>
      <c r="C541" s="349" t="e">
        <f>#REF!</f>
        <v>#REF!</v>
      </c>
      <c r="D541" s="340">
        <v>0</v>
      </c>
      <c r="E541" s="309"/>
      <c r="F541" s="309"/>
      <c r="G541" s="310" t="e">
        <f>#REF!</f>
        <v>#REF!</v>
      </c>
      <c r="H541" s="310">
        <v>0</v>
      </c>
      <c r="I541" s="309"/>
      <c r="J541" s="309"/>
      <c r="K541" s="310" t="e">
        <f>G541</f>
        <v>#REF!</v>
      </c>
      <c r="M541" s="444"/>
      <c r="N541" s="444"/>
      <c r="O541" s="287"/>
      <c r="P541" s="74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</row>
    <row r="542" spans="1:29" ht="16.5" thickBot="1">
      <c r="A542" s="1" t="s">
        <v>382</v>
      </c>
      <c r="B542" s="1"/>
      <c r="C542" s="366" t="e">
        <f>SUM(C540)+C541</f>
        <v>#REF!</v>
      </c>
      <c r="D542" s="366" t="e">
        <f>SUM(D524:D525)+D541</f>
        <v>#REF!</v>
      </c>
      <c r="E542" s="342"/>
      <c r="F542" s="343"/>
      <c r="G542" s="344" t="e">
        <f>G540+G541</f>
        <v>#REF!</v>
      </c>
      <c r="H542" s="344" t="e">
        <f>H540+H541</f>
        <v>#REF!</v>
      </c>
      <c r="I542" s="342"/>
      <c r="J542" s="345"/>
      <c r="K542" s="344" t="e">
        <f>K540+K541</f>
        <v>#REF!</v>
      </c>
      <c r="M542" s="411"/>
      <c r="N542" s="411"/>
      <c r="O542" s="470"/>
      <c r="P542" s="74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</row>
    <row r="543" spans="1:29" ht="16.5" thickTop="1">
      <c r="A543" s="1"/>
      <c r="B543" s="1"/>
      <c r="C543" s="21"/>
      <c r="D543" s="21"/>
      <c r="E543" s="337"/>
      <c r="F543" s="2"/>
      <c r="G543" s="2"/>
      <c r="H543" s="2"/>
      <c r="I543" s="353" t="s">
        <v>31</v>
      </c>
      <c r="J543" s="1"/>
      <c r="K543" s="2" t="s">
        <v>31</v>
      </c>
      <c r="M543" s="20"/>
      <c r="N543" s="20"/>
      <c r="O543" s="74"/>
      <c r="P543" s="74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</row>
    <row r="544" spans="1:29">
      <c r="A544" s="293" t="s">
        <v>436</v>
      </c>
      <c r="B544" s="1"/>
      <c r="C544" s="1"/>
      <c r="D544" s="1"/>
      <c r="E544" s="2"/>
      <c r="F544" s="2"/>
      <c r="G544" s="1" t="s">
        <v>31</v>
      </c>
      <c r="H544" s="1"/>
      <c r="I544" s="2"/>
      <c r="J544" s="1"/>
      <c r="K544" s="1"/>
      <c r="M544" s="20"/>
      <c r="N544" s="20"/>
      <c r="O544" s="74"/>
      <c r="P544" s="74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</row>
    <row r="545" spans="1:29">
      <c r="A545" s="309" t="s">
        <v>446</v>
      </c>
      <c r="B545" s="1"/>
      <c r="C545" s="1"/>
      <c r="D545" s="1"/>
      <c r="E545" s="2"/>
      <c r="F545" s="2"/>
      <c r="G545" s="1"/>
      <c r="H545" s="1"/>
      <c r="I545" s="2"/>
      <c r="J545" s="1"/>
      <c r="K545" s="1"/>
      <c r="M545" s="20"/>
      <c r="N545" s="20"/>
      <c r="O545" s="74"/>
      <c r="P545" s="74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</row>
    <row r="546" spans="1:29">
      <c r="A546" s="323"/>
      <c r="B546" s="1"/>
      <c r="C546" s="1"/>
      <c r="D546" s="1"/>
      <c r="E546" s="2"/>
      <c r="F546" s="2"/>
      <c r="G546" s="1"/>
      <c r="H546" s="1"/>
      <c r="I546" s="2"/>
      <c r="J546" s="1"/>
      <c r="K546" s="1"/>
      <c r="M546" s="20"/>
      <c r="N546" s="20"/>
      <c r="O546" s="74"/>
      <c r="P546" s="74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</row>
    <row r="547" spans="1:29">
      <c r="A547" s="323" t="s">
        <v>393</v>
      </c>
      <c r="B547" s="21"/>
      <c r="C547" s="319"/>
      <c r="D547" s="319"/>
      <c r="E547" s="2"/>
      <c r="F547" s="2"/>
      <c r="G547" s="1"/>
      <c r="H547" s="1"/>
      <c r="I547" s="2"/>
      <c r="J547" s="1"/>
      <c r="K547" s="1"/>
      <c r="M547" s="20"/>
      <c r="N547" s="20"/>
      <c r="O547" s="74"/>
      <c r="P547" s="74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</row>
    <row r="548" spans="1:29">
      <c r="A548" s="323" t="s">
        <v>421</v>
      </c>
      <c r="B548" s="1"/>
      <c r="C548" s="319">
        <f>6+4+42</f>
        <v>52</v>
      </c>
      <c r="D548" s="319">
        <v>51</v>
      </c>
      <c r="E548" s="298">
        <f>$E$480</f>
        <v>225</v>
      </c>
      <c r="F548" s="323"/>
      <c r="G548" s="321">
        <f>ROUND(E548*$C548,0)</f>
        <v>11700</v>
      </c>
      <c r="H548" s="321">
        <f>ROUND(E548*$D548,0)</f>
        <v>11475</v>
      </c>
      <c r="I548" s="298">
        <f>$I$480</f>
        <v>245</v>
      </c>
      <c r="J548" s="323"/>
      <c r="K548" s="321">
        <f>ROUND(I548*$C548,0)</f>
        <v>12740</v>
      </c>
      <c r="M548" s="20"/>
      <c r="N548" s="20"/>
      <c r="O548" s="74"/>
      <c r="P548" s="74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</row>
    <row r="549" spans="1:29">
      <c r="A549" s="323" t="s">
        <v>422</v>
      </c>
      <c r="B549" s="1"/>
      <c r="C549" s="319">
        <f>320+13+848</f>
        <v>1181</v>
      </c>
      <c r="D549" s="319">
        <v>1150</v>
      </c>
      <c r="E549" s="298">
        <f>$E$481</f>
        <v>83</v>
      </c>
      <c r="F549" s="323"/>
      <c r="G549" s="321">
        <f>ROUND(E549*$C549,0)</f>
        <v>98023</v>
      </c>
      <c r="H549" s="321">
        <f>ROUND(E549*$D549,0)</f>
        <v>95450</v>
      </c>
      <c r="I549" s="298">
        <f>$I$481</f>
        <v>90</v>
      </c>
      <c r="J549" s="323"/>
      <c r="K549" s="321">
        <f>ROUND(I549*$C549,0)</f>
        <v>106290</v>
      </c>
      <c r="M549" s="20"/>
      <c r="N549" s="20"/>
      <c r="O549" s="74"/>
      <c r="P549" s="74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</row>
    <row r="550" spans="1:29">
      <c r="A550" s="323" t="s">
        <v>423</v>
      </c>
      <c r="B550" s="1"/>
      <c r="C550" s="319">
        <f>20+15+624</f>
        <v>659</v>
      </c>
      <c r="D550" s="319">
        <v>642</v>
      </c>
      <c r="E550" s="298">
        <f>$E$482</f>
        <v>166</v>
      </c>
      <c r="F550" s="325"/>
      <c r="G550" s="321">
        <f>ROUND(E550*$C550,0)</f>
        <v>109394</v>
      </c>
      <c r="H550" s="321">
        <f>ROUND(E550*$D550,0)</f>
        <v>106572</v>
      </c>
      <c r="I550" s="298">
        <f>$I$482</f>
        <v>180</v>
      </c>
      <c r="J550" s="325"/>
      <c r="K550" s="321">
        <f>ROUND(I550*$C550,0)</f>
        <v>118620</v>
      </c>
      <c r="M550" s="20"/>
      <c r="N550" s="20"/>
      <c r="O550" s="74"/>
      <c r="P550" s="74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</row>
    <row r="551" spans="1:29">
      <c r="A551" s="323" t="s">
        <v>394</v>
      </c>
      <c r="B551" s="1"/>
      <c r="C551" s="319">
        <f>SUM(C548:C550)</f>
        <v>1892</v>
      </c>
      <c r="D551" s="319">
        <f>SUM(D548:D550)</f>
        <v>1843</v>
      </c>
      <c r="E551" s="298"/>
      <c r="F551" s="323"/>
      <c r="G551" s="321"/>
      <c r="H551" s="321"/>
      <c r="I551" s="298"/>
      <c r="J551" s="323"/>
      <c r="K551" s="321"/>
      <c r="M551" s="20"/>
      <c r="N551" s="20"/>
      <c r="O551" s="74"/>
      <c r="P551" s="74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</row>
    <row r="552" spans="1:29">
      <c r="A552" s="323" t="s">
        <v>422</v>
      </c>
      <c r="B552" s="1"/>
      <c r="C552" s="319">
        <f>54864+1867+144667</f>
        <v>201398</v>
      </c>
      <c r="D552" s="319">
        <f>ROUND(($D$574/'Billing Determinants (2)'!$C$574)*C552,0)</f>
        <v>209360</v>
      </c>
      <c r="E552" s="298">
        <f>$E$484</f>
        <v>1.47</v>
      </c>
      <c r="F552" s="323" t="s">
        <v>31</v>
      </c>
      <c r="G552" s="321">
        <f>ROUND(E552*$C552,0)</f>
        <v>296055</v>
      </c>
      <c r="H552" s="321">
        <f>ROUND(E552*$D552,0)</f>
        <v>307759</v>
      </c>
      <c r="I552" s="298">
        <f>$I$484</f>
        <v>1.6</v>
      </c>
      <c r="J552" s="323" t="s">
        <v>31</v>
      </c>
      <c r="K552" s="321">
        <f>ROUND(I552*$C552,0)</f>
        <v>322237</v>
      </c>
      <c r="M552" s="20"/>
      <c r="N552" s="20"/>
      <c r="O552" s="74"/>
      <c r="P552" s="74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</row>
    <row r="553" spans="1:29">
      <c r="A553" s="323" t="s">
        <v>423</v>
      </c>
      <c r="B553" s="1"/>
      <c r="C553" s="319">
        <f>6093+10153+350559</f>
        <v>366805</v>
      </c>
      <c r="D553" s="319">
        <f>ROUND(($D$574/'Billing Determinants (2)'!$C$574)*C553,0)</f>
        <v>381307</v>
      </c>
      <c r="E553" s="298">
        <f>$E$485</f>
        <v>1.2</v>
      </c>
      <c r="F553" s="323" t="s">
        <v>31</v>
      </c>
      <c r="G553" s="321">
        <f>ROUND(E553*$C553,0)</f>
        <v>440166</v>
      </c>
      <c r="H553" s="321">
        <f>ROUND(E553*$D553,0)</f>
        <v>457568</v>
      </c>
      <c r="I553" s="298">
        <f>$I$485</f>
        <v>1.3</v>
      </c>
      <c r="J553" s="323" t="s">
        <v>31</v>
      </c>
      <c r="K553" s="321">
        <f>ROUND(I553*$C553,0)</f>
        <v>476847</v>
      </c>
      <c r="M553" s="20"/>
      <c r="N553" s="20"/>
      <c r="O553" s="74"/>
      <c r="P553" s="74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</row>
    <row r="554" spans="1:29">
      <c r="A554" s="309" t="s">
        <v>424</v>
      </c>
      <c r="B554" s="1"/>
      <c r="C554" s="319"/>
      <c r="D554" s="319"/>
      <c r="E554" s="355"/>
      <c r="F554" s="323"/>
      <c r="G554" s="321"/>
      <c r="H554" s="321"/>
      <c r="I554" s="355"/>
      <c r="J554" s="323"/>
      <c r="K554" s="321"/>
      <c r="M554" s="20"/>
      <c r="N554" s="20"/>
      <c r="O554" s="74"/>
      <c r="P554" s="74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</row>
    <row r="555" spans="1:29">
      <c r="A555" s="309" t="s">
        <v>425</v>
      </c>
      <c r="B555" s="1"/>
      <c r="C555" s="319">
        <f>300+25155+1985+244+1804+9245+2788+120834+284508</f>
        <v>446863</v>
      </c>
      <c r="D555" s="319">
        <f>ROUND(($D$574/'Billing Determinants (2)'!$C$574)*C555,0)</f>
        <v>464530</v>
      </c>
      <c r="E555" s="298">
        <f>$E$487</f>
        <v>3.75</v>
      </c>
      <c r="F555" s="323"/>
      <c r="G555" s="321">
        <f>ROUND(E555*$C555,0)</f>
        <v>1675736</v>
      </c>
      <c r="H555" s="321">
        <f>ROUND(E555*$D555,0)</f>
        <v>1741988</v>
      </c>
      <c r="I555" s="298">
        <f>$I$487</f>
        <v>3.95</v>
      </c>
      <c r="J555" s="323"/>
      <c r="K555" s="321">
        <f>ROUND(I555*$C555,0)</f>
        <v>1765109</v>
      </c>
      <c r="M555" s="20"/>
      <c r="N555" s="20"/>
      <c r="O555" s="74"/>
      <c r="P555" s="74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</row>
    <row r="556" spans="1:29">
      <c r="A556" s="309" t="s">
        <v>441</v>
      </c>
      <c r="B556" s="1"/>
      <c r="C556" s="319">
        <v>0</v>
      </c>
      <c r="D556" s="319">
        <f>ROUND(($D$574/'Billing Determinants (2)'!$C$574)*C556,0)</f>
        <v>0</v>
      </c>
      <c r="E556" s="369">
        <f>E555</f>
        <v>3.75</v>
      </c>
      <c r="F556" s="323"/>
      <c r="G556" s="321">
        <f>ROUND(E556*$C556,0)</f>
        <v>0</v>
      </c>
      <c r="H556" s="321">
        <f>ROUND(E556*$D556,0)</f>
        <v>0</v>
      </c>
      <c r="I556" s="369">
        <f>I555</f>
        <v>3.95</v>
      </c>
      <c r="J556" s="323"/>
      <c r="K556" s="321">
        <f>ROUND(I556*$C556,0)</f>
        <v>0</v>
      </c>
      <c r="M556" s="20"/>
      <c r="N556" s="20"/>
      <c r="O556" s="74"/>
      <c r="P556" s="74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</row>
    <row r="557" spans="1:29">
      <c r="A557" s="323" t="s">
        <v>426</v>
      </c>
      <c r="B557" s="1"/>
      <c r="C557" s="319"/>
      <c r="D557" s="319"/>
      <c r="E557" s="298"/>
      <c r="F557" s="323"/>
      <c r="G557" s="321"/>
      <c r="H557" s="321"/>
      <c r="I557" s="298"/>
      <c r="J557" s="323"/>
      <c r="K557" s="321"/>
      <c r="M557" s="20"/>
      <c r="N557" s="20"/>
      <c r="O557" s="74"/>
      <c r="P557" s="74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</row>
    <row r="558" spans="1:29">
      <c r="A558" s="323" t="s">
        <v>427</v>
      </c>
      <c r="B558" s="1"/>
      <c r="C558" s="319">
        <f>29360+2957989+147440+73200+518400+602667+369500+25799011+24094693</f>
        <v>54592260</v>
      </c>
      <c r="D558" s="319">
        <f>ROUND(($D$574/'Billing Determinants (2)'!$C$574)*C558,0)</f>
        <v>56750605</v>
      </c>
      <c r="E558" s="370">
        <f>$E$490</f>
        <v>4.3570000000000002</v>
      </c>
      <c r="F558" s="323" t="s">
        <v>374</v>
      </c>
      <c r="G558" s="321">
        <f>ROUND(E558*$C558/100,0)</f>
        <v>2378585</v>
      </c>
      <c r="H558" s="321">
        <f>ROUND(E558*$D558/100,0)</f>
        <v>2472624</v>
      </c>
      <c r="I558" s="327">
        <f>$I$490</f>
        <v>4.8559999999999999</v>
      </c>
      <c r="J558" s="323" t="s">
        <v>374</v>
      </c>
      <c r="K558" s="321">
        <f>ROUND(I558*$C558/100,0)</f>
        <v>2651000</v>
      </c>
      <c r="M558" s="20"/>
      <c r="N558" s="20"/>
      <c r="O558" s="74"/>
      <c r="P558" s="74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</row>
    <row r="559" spans="1:29">
      <c r="A559" s="323" t="s">
        <v>399</v>
      </c>
      <c r="B559" s="1"/>
      <c r="C559" s="319">
        <f>29360+3798842+224080+73200+1075199+4549199+369500+35089176+95992349-C558</f>
        <v>86608645</v>
      </c>
      <c r="D559" s="319">
        <f>ROUND(($D$574/'Billing Determinants (2)'!$C$574)*C559,0)</f>
        <v>90032782</v>
      </c>
      <c r="E559" s="370">
        <f>$E$491</f>
        <v>3.9930000000000003</v>
      </c>
      <c r="F559" s="323" t="s">
        <v>374</v>
      </c>
      <c r="G559" s="321">
        <f>ROUND(E559*$C559/100,0)</f>
        <v>3458283</v>
      </c>
      <c r="H559" s="321">
        <f>ROUND(E559*$D559/100,0)</f>
        <v>3595009</v>
      </c>
      <c r="I559" s="327">
        <f>$I$491</f>
        <v>4.4550000000000001</v>
      </c>
      <c r="J559" s="323" t="s">
        <v>374</v>
      </c>
      <c r="K559" s="321">
        <f>ROUND(I559*$C559/100,0)</f>
        <v>3858415</v>
      </c>
      <c r="M559" s="20"/>
      <c r="N559" s="20"/>
      <c r="O559" s="74"/>
      <c r="P559" s="74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</row>
    <row r="560" spans="1:29">
      <c r="A560" s="323" t="s">
        <v>400</v>
      </c>
      <c r="B560" s="1"/>
      <c r="C560" s="319">
        <f>32+6144+487+15+1044+3294+435+35034+100127</f>
        <v>146612</v>
      </c>
      <c r="D560" s="319">
        <f>ROUND(($D$574/'Billing Determinants (2)'!$C$574)*C560,0)</f>
        <v>152408</v>
      </c>
      <c r="E560" s="339">
        <f>$E$492</f>
        <v>45</v>
      </c>
      <c r="F560" s="323" t="s">
        <v>374</v>
      </c>
      <c r="G560" s="321">
        <f>ROUND(E560*$C560/100,0)</f>
        <v>65975</v>
      </c>
      <c r="H560" s="321">
        <f>ROUND(E560*$D560/100,0)</f>
        <v>68584</v>
      </c>
      <c r="I560" s="475">
        <f>$I$492</f>
        <v>50</v>
      </c>
      <c r="J560" s="323" t="s">
        <v>374</v>
      </c>
      <c r="K560" s="321">
        <f>ROUND(I560*$C560/100,0)</f>
        <v>73306</v>
      </c>
      <c r="M560" s="20"/>
      <c r="N560" s="20"/>
      <c r="O560" s="74"/>
      <c r="P560" s="74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</row>
    <row r="561" spans="1:29">
      <c r="A561" s="360" t="s">
        <v>401</v>
      </c>
      <c r="B561" s="1"/>
      <c r="C561" s="319"/>
      <c r="D561" s="319"/>
      <c r="E561" s="332">
        <v>-0.01</v>
      </c>
      <c r="F561" s="2"/>
      <c r="G561" s="321"/>
      <c r="H561" s="321"/>
      <c r="I561" s="332">
        <v>-0.01</v>
      </c>
      <c r="J561" s="1"/>
      <c r="K561" s="321"/>
      <c r="M561" s="20"/>
      <c r="N561" s="20"/>
      <c r="O561" s="74"/>
      <c r="P561" s="74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</row>
    <row r="562" spans="1:29">
      <c r="A562" s="323" t="s">
        <v>421</v>
      </c>
      <c r="B562" s="1"/>
      <c r="C562" s="319">
        <v>4</v>
      </c>
      <c r="D562" s="319">
        <v>4</v>
      </c>
      <c r="E562" s="304">
        <f>E548</f>
        <v>225</v>
      </c>
      <c r="F562" s="364"/>
      <c r="G562" s="321">
        <f>ROUND(E562*$C562*E561,0)</f>
        <v>-9</v>
      </c>
      <c r="H562" s="321">
        <f>ROUND(E562*$D562*E561,0)</f>
        <v>-9</v>
      </c>
      <c r="I562" s="304">
        <f>I548</f>
        <v>245</v>
      </c>
      <c r="J562" s="293"/>
      <c r="K562" s="321">
        <f>ROUND(I562*$C562*I561,0)</f>
        <v>-10</v>
      </c>
      <c r="M562" s="20"/>
      <c r="N562" s="20"/>
      <c r="O562" s="74"/>
      <c r="P562" s="74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</row>
    <row r="563" spans="1:29">
      <c r="A563" s="323" t="s">
        <v>422</v>
      </c>
      <c r="B563" s="1"/>
      <c r="C563" s="319">
        <v>13</v>
      </c>
      <c r="D563" s="319">
        <v>13</v>
      </c>
      <c r="E563" s="304">
        <f>E549</f>
        <v>83</v>
      </c>
      <c r="F563" s="364"/>
      <c r="G563" s="321">
        <f>ROUND(E563*$C563*E561,0)</f>
        <v>-11</v>
      </c>
      <c r="H563" s="321">
        <f>ROUND(E563*$D563*E561,0)</f>
        <v>-11</v>
      </c>
      <c r="I563" s="304">
        <f>I549</f>
        <v>90</v>
      </c>
      <c r="J563" s="293"/>
      <c r="K563" s="321">
        <f>ROUND(I563*$C563*I561,0)</f>
        <v>-12</v>
      </c>
      <c r="M563" s="20"/>
      <c r="N563" s="20"/>
      <c r="O563" s="74"/>
      <c r="P563" s="74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</row>
    <row r="564" spans="1:29">
      <c r="A564" s="323" t="s">
        <v>423</v>
      </c>
      <c r="B564" s="1"/>
      <c r="C564" s="319">
        <v>15</v>
      </c>
      <c r="D564" s="319">
        <v>15</v>
      </c>
      <c r="E564" s="304">
        <f>E550</f>
        <v>166</v>
      </c>
      <c r="F564" s="372"/>
      <c r="G564" s="321">
        <f>ROUND(E564*$C564*E561,0)</f>
        <v>-25</v>
      </c>
      <c r="H564" s="321">
        <f>ROUND(E564*$D564*E561,0)</f>
        <v>-25</v>
      </c>
      <c r="I564" s="304">
        <f>I550</f>
        <v>180</v>
      </c>
      <c r="J564" s="373"/>
      <c r="K564" s="321">
        <f>ROUND(I564*$C564*I561,0)</f>
        <v>-27</v>
      </c>
      <c r="M564" s="20"/>
      <c r="N564" s="20"/>
      <c r="O564" s="74"/>
      <c r="P564" s="74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</row>
    <row r="565" spans="1:29">
      <c r="A565" s="323" t="s">
        <v>422</v>
      </c>
      <c r="B565" s="1"/>
      <c r="C565" s="319">
        <v>1867</v>
      </c>
      <c r="D565" s="319">
        <f>ROUND(($D$574/'Billing Determinants (2)'!$C$574)*C565,0)</f>
        <v>1941</v>
      </c>
      <c r="E565" s="304">
        <f>E552</f>
        <v>1.47</v>
      </c>
      <c r="F565" s="364"/>
      <c r="G565" s="321">
        <f>ROUND(E565*$C565*E561,0)</f>
        <v>-27</v>
      </c>
      <c r="H565" s="321">
        <f>ROUND(E565*$D565*E561,0)</f>
        <v>-29</v>
      </c>
      <c r="I565" s="304">
        <f>I552</f>
        <v>1.6</v>
      </c>
      <c r="J565" s="293"/>
      <c r="K565" s="321">
        <f>ROUND(I565*$C565*I561,0)</f>
        <v>-30</v>
      </c>
      <c r="M565" s="20"/>
      <c r="N565" s="20"/>
      <c r="O565" s="74"/>
      <c r="P565" s="74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</row>
    <row r="566" spans="1:29">
      <c r="A566" s="323" t="s">
        <v>423</v>
      </c>
      <c r="B566" s="1"/>
      <c r="C566" s="319">
        <v>10153</v>
      </c>
      <c r="D566" s="319">
        <f>ROUND(($D$574/'Billing Determinants (2)'!$C$574)*C566,0)</f>
        <v>10554</v>
      </c>
      <c r="E566" s="304">
        <f>E553</f>
        <v>1.2</v>
      </c>
      <c r="F566" s="364" t="s">
        <v>31</v>
      </c>
      <c r="G566" s="321">
        <f>ROUND(E566*$C566*E561,0)</f>
        <v>-122</v>
      </c>
      <c r="H566" s="321">
        <f>ROUND(E566*$D566*E561,0)</f>
        <v>-127</v>
      </c>
      <c r="I566" s="304">
        <f>I553</f>
        <v>1.3</v>
      </c>
      <c r="J566" s="293"/>
      <c r="K566" s="321">
        <f>ROUND(I566*$C566*I561,0)</f>
        <v>-132</v>
      </c>
      <c r="M566" s="20"/>
      <c r="N566" s="20"/>
      <c r="O566" s="74"/>
      <c r="P566" s="74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</row>
    <row r="567" spans="1:29">
      <c r="A567" s="309" t="s">
        <v>425</v>
      </c>
      <c r="B567" s="1"/>
      <c r="C567" s="319">
        <f>244+1804+9245</f>
        <v>11293</v>
      </c>
      <c r="D567" s="319">
        <f>ROUND(($D$574/'Billing Determinants (2)'!$C$574)*C567,0)</f>
        <v>11739</v>
      </c>
      <c r="E567" s="304">
        <f>E555</f>
        <v>3.75</v>
      </c>
      <c r="F567" s="364" t="s">
        <v>31</v>
      </c>
      <c r="G567" s="321">
        <f>ROUND(E567*$C567*E561,0)</f>
        <v>-423</v>
      </c>
      <c r="H567" s="321">
        <f>ROUND(E567*$D567*E561,0)</f>
        <v>-440</v>
      </c>
      <c r="I567" s="304">
        <f>I555</f>
        <v>3.95</v>
      </c>
      <c r="J567" s="293"/>
      <c r="K567" s="321">
        <f>ROUND(I567*$C567*I561,0)</f>
        <v>-446</v>
      </c>
      <c r="M567" s="20"/>
      <c r="N567" s="20"/>
      <c r="O567" s="74"/>
      <c r="P567" s="74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</row>
    <row r="568" spans="1:29">
      <c r="A568" s="309" t="s">
        <v>441</v>
      </c>
      <c r="B568" s="1"/>
      <c r="C568" s="319">
        <v>0</v>
      </c>
      <c r="D568" s="319">
        <f>ROUND(($D$574/'Billing Determinants (2)'!$C$574)*C568,0)</f>
        <v>0</v>
      </c>
      <c r="E568" s="304">
        <f>E556</f>
        <v>3.75</v>
      </c>
      <c r="F568" s="364" t="s">
        <v>31</v>
      </c>
      <c r="G568" s="321">
        <f>ROUND(E568*$C568*E561,0)</f>
        <v>0</v>
      </c>
      <c r="H568" s="321">
        <f>ROUND(E568*$D568*E561,0)</f>
        <v>0</v>
      </c>
      <c r="I568" s="304">
        <f>I556</f>
        <v>3.95</v>
      </c>
      <c r="J568" s="293"/>
      <c r="K568" s="321">
        <f>ROUND(I568*$C568*I561,0)</f>
        <v>0</v>
      </c>
      <c r="M568" s="20"/>
      <c r="N568" s="20"/>
      <c r="O568" s="74"/>
      <c r="P568" s="74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</row>
    <row r="569" spans="1:29">
      <c r="A569" s="323" t="s">
        <v>427</v>
      </c>
      <c r="B569" s="1"/>
      <c r="C569" s="319">
        <f>73200+518400+602667</f>
        <v>1194267</v>
      </c>
      <c r="D569" s="319">
        <f>ROUND(($D$574/'Billing Determinants (2)'!$C$574)*C569,0)</f>
        <v>1241483</v>
      </c>
      <c r="E569" s="374">
        <f>E558</f>
        <v>4.3570000000000002</v>
      </c>
      <c r="F569" s="321" t="s">
        <v>374</v>
      </c>
      <c r="G569" s="321">
        <f>ROUND(E569*$C569/100*E561,0)</f>
        <v>-520</v>
      </c>
      <c r="H569" s="321">
        <f>ROUND(E569*$D569/100*E561,0)</f>
        <v>-541</v>
      </c>
      <c r="I569" s="374">
        <f>I558</f>
        <v>4.8559999999999999</v>
      </c>
      <c r="J569" s="323" t="s">
        <v>374</v>
      </c>
      <c r="K569" s="321">
        <f>ROUND(I569*$C569/100*I561,0)</f>
        <v>-580</v>
      </c>
      <c r="M569" s="20"/>
      <c r="N569" s="20"/>
      <c r="O569" s="74"/>
      <c r="P569" s="74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</row>
    <row r="570" spans="1:29">
      <c r="A570" s="323" t="s">
        <v>399</v>
      </c>
      <c r="B570" s="1"/>
      <c r="C570" s="319">
        <f>73200+1075199+4549199-C569</f>
        <v>4503331</v>
      </c>
      <c r="D570" s="319">
        <f>ROUND(($D$574/'Billing Determinants (2)'!$C$574)*C570,0)</f>
        <v>4681374</v>
      </c>
      <c r="E570" s="374">
        <f>E559</f>
        <v>3.9930000000000003</v>
      </c>
      <c r="F570" s="321" t="s">
        <v>374</v>
      </c>
      <c r="G570" s="321">
        <f>ROUND(E570*$C570/100*E561,0)</f>
        <v>-1798</v>
      </c>
      <c r="H570" s="321">
        <f>ROUND(E570*$D570/100*E561,0)</f>
        <v>-1869</v>
      </c>
      <c r="I570" s="374">
        <f>I559</f>
        <v>4.4550000000000001</v>
      </c>
      <c r="J570" s="323" t="s">
        <v>374</v>
      </c>
      <c r="K570" s="321">
        <f>ROUND(I570*$C570/100*I561,0)</f>
        <v>-2006</v>
      </c>
      <c r="M570" s="20"/>
      <c r="N570" s="20"/>
      <c r="O570" s="74"/>
      <c r="P570" s="74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</row>
    <row r="571" spans="1:29">
      <c r="A571" s="323" t="s">
        <v>400</v>
      </c>
      <c r="B571" s="1"/>
      <c r="C571" s="319">
        <f>15+1044+3294</f>
        <v>4353</v>
      </c>
      <c r="D571" s="319">
        <f>ROUND(($D$574/'Billing Determinants (2)'!$C$574)*C571,0)</f>
        <v>4525</v>
      </c>
      <c r="E571" s="375">
        <f>E560</f>
        <v>45</v>
      </c>
      <c r="F571" s="321" t="s">
        <v>374</v>
      </c>
      <c r="G571" s="321">
        <f>ROUND(E571*$C571/100*E561,0)</f>
        <v>-20</v>
      </c>
      <c r="H571" s="321">
        <f>ROUND(E571*$D571/100*E561,0)</f>
        <v>-20</v>
      </c>
      <c r="I571" s="375">
        <f>I560</f>
        <v>50</v>
      </c>
      <c r="J571" s="323" t="s">
        <v>374</v>
      </c>
      <c r="K571" s="321">
        <f>ROUND(I571*$C571/100*I561,0)</f>
        <v>-22</v>
      </c>
      <c r="M571" s="20"/>
      <c r="N571" s="20"/>
      <c r="O571" s="74"/>
      <c r="P571" s="74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</row>
    <row r="572" spans="1:29">
      <c r="A572" s="323" t="s">
        <v>443</v>
      </c>
      <c r="B572" s="1"/>
      <c r="C572" s="319">
        <f>C562+C563+C564</f>
        <v>32</v>
      </c>
      <c r="D572" s="319">
        <v>31</v>
      </c>
      <c r="E572" s="298">
        <f>$E$504</f>
        <v>60</v>
      </c>
      <c r="F572" s="364" t="s">
        <v>31</v>
      </c>
      <c r="G572" s="321">
        <f>ROUND(E572*$C572,0)</f>
        <v>1920</v>
      </c>
      <c r="H572" s="321">
        <f>ROUND(E572*$D572,0)</f>
        <v>1860</v>
      </c>
      <c r="I572" s="298">
        <f>$I$504</f>
        <v>60</v>
      </c>
      <c r="J572" s="1"/>
      <c r="K572" s="321">
        <f>ROUND(I572*$C572,0)</f>
        <v>1920</v>
      </c>
      <c r="M572" s="20"/>
      <c r="N572" s="20"/>
      <c r="O572" s="74"/>
      <c r="P572" s="74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</row>
    <row r="573" spans="1:29">
      <c r="A573" s="323" t="s">
        <v>444</v>
      </c>
      <c r="B573" s="1"/>
      <c r="C573" s="319">
        <f>C565+C566</f>
        <v>12020</v>
      </c>
      <c r="D573" s="319">
        <f>ROUND(($D$574/'Billing Determinants (2)'!$C$574)*C573,0)</f>
        <v>12495</v>
      </c>
      <c r="E573" s="339">
        <f>$E$505</f>
        <v>-30</v>
      </c>
      <c r="F573" s="321" t="s">
        <v>374</v>
      </c>
      <c r="G573" s="321">
        <f>ROUND(E573*$C573/100,0)</f>
        <v>-3606</v>
      </c>
      <c r="H573" s="321">
        <f>ROUND(E573*$D573/100,0)</f>
        <v>-3749</v>
      </c>
      <c r="I573" s="339">
        <f>$I$505</f>
        <v>-30</v>
      </c>
      <c r="J573" s="321" t="s">
        <v>374</v>
      </c>
      <c r="K573" s="321">
        <f>ROUND(I573*$C573/100,0)</f>
        <v>-3606</v>
      </c>
      <c r="M573" s="20"/>
      <c r="N573" s="20"/>
      <c r="O573" s="74"/>
      <c r="P573" s="74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</row>
    <row r="574" spans="1:29">
      <c r="A574" s="1" t="s">
        <v>381</v>
      </c>
      <c r="B574" s="1"/>
      <c r="C574" s="319">
        <f>SUM(C558:C559)</f>
        <v>141200905</v>
      </c>
      <c r="D574" s="319">
        <v>146783387.35514688</v>
      </c>
      <c r="E574" s="330"/>
      <c r="F574" s="2"/>
      <c r="G574" s="2">
        <f>SUM(G548:G573)</f>
        <v>8529276</v>
      </c>
      <c r="H574" s="2">
        <f>SUM(H548:H573)</f>
        <v>8852069</v>
      </c>
      <c r="I574" s="330"/>
      <c r="J574" s="1"/>
      <c r="K574" s="2">
        <f>SUM(K548:K573)</f>
        <v>9379613</v>
      </c>
      <c r="M574" s="20"/>
      <c r="N574" s="20"/>
      <c r="O574" s="74"/>
      <c r="P574" s="74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</row>
    <row r="575" spans="1:29">
      <c r="A575" s="1" t="s">
        <v>363</v>
      </c>
      <c r="B575" s="1"/>
      <c r="C575" s="349" t="e">
        <f>#REF!</f>
        <v>#REF!</v>
      </c>
      <c r="D575" s="340">
        <v>0</v>
      </c>
      <c r="E575" s="309"/>
      <c r="F575" s="309"/>
      <c r="G575" s="310" t="e">
        <f>#REF!</f>
        <v>#REF!</v>
      </c>
      <c r="H575" s="310">
        <v>0</v>
      </c>
      <c r="I575" s="309"/>
      <c r="J575" s="309"/>
      <c r="K575" s="310" t="e">
        <f>G575</f>
        <v>#REF!</v>
      </c>
      <c r="M575" s="444"/>
      <c r="N575" s="444"/>
      <c r="O575" s="287"/>
      <c r="P575" s="74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</row>
    <row r="576" spans="1:29" ht="16.5" thickBot="1">
      <c r="A576" s="1" t="s">
        <v>382</v>
      </c>
      <c r="B576" s="1"/>
      <c r="C576" s="366" t="e">
        <f>SUM(C574)+C575</f>
        <v>#REF!</v>
      </c>
      <c r="D576" s="366">
        <f>SUM(D558:D559)+D575</f>
        <v>146783387</v>
      </c>
      <c r="E576" s="342"/>
      <c r="F576" s="343"/>
      <c r="G576" s="344" t="e">
        <f>G574+G575</f>
        <v>#REF!</v>
      </c>
      <c r="H576" s="344">
        <f>H574+H575</f>
        <v>8852069</v>
      </c>
      <c r="I576" s="342"/>
      <c r="J576" s="345"/>
      <c r="K576" s="344" t="e">
        <f>K574+K575</f>
        <v>#REF!</v>
      </c>
      <c r="M576" s="411"/>
      <c r="N576" s="411"/>
      <c r="O576" s="470"/>
      <c r="P576" s="74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</row>
    <row r="577" spans="1:29" ht="16.5" thickTop="1">
      <c r="A577" s="303"/>
      <c r="B577" s="378"/>
      <c r="C577" s="303"/>
      <c r="D577" s="303"/>
      <c r="E577" s="21"/>
      <c r="F577" s="21"/>
      <c r="G577" s="379"/>
      <c r="H577" s="379"/>
      <c r="I577" s="303"/>
      <c r="J577" s="303"/>
      <c r="K577" s="303"/>
      <c r="M577" s="20"/>
      <c r="N577" s="20"/>
      <c r="O577" s="74"/>
      <c r="P577" s="74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</row>
    <row r="578" spans="1:29">
      <c r="A578" s="293" t="s">
        <v>447</v>
      </c>
      <c r="B578" s="1"/>
      <c r="C578" s="21"/>
      <c r="D578" s="21"/>
      <c r="E578" s="337"/>
      <c r="F578" s="2"/>
      <c r="G578" s="2"/>
      <c r="H578" s="2"/>
      <c r="I578" s="337"/>
      <c r="J578" s="1"/>
      <c r="K578" s="2"/>
      <c r="M578" s="20"/>
      <c r="N578" s="20"/>
      <c r="O578" s="74"/>
      <c r="P578" s="74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</row>
    <row r="579" spans="1:29">
      <c r="A579" s="309" t="s">
        <v>448</v>
      </c>
      <c r="B579" s="1"/>
      <c r="C579" s="21"/>
      <c r="D579" s="21"/>
      <c r="E579" s="337"/>
      <c r="F579" s="2"/>
      <c r="G579" s="2"/>
      <c r="H579" s="2"/>
      <c r="I579" s="337"/>
      <c r="J579" s="1"/>
      <c r="K579" s="2"/>
      <c r="M579" s="20"/>
      <c r="N579" s="20"/>
      <c r="O579" s="74"/>
      <c r="P579" s="74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</row>
    <row r="580" spans="1:29">
      <c r="A580" s="323"/>
      <c r="B580" s="1"/>
      <c r="C580" s="21"/>
      <c r="D580" s="21"/>
      <c r="E580" s="337"/>
      <c r="F580" s="2"/>
      <c r="G580" s="380"/>
      <c r="H580" s="380"/>
      <c r="I580" s="337"/>
      <c r="J580" s="1"/>
      <c r="K580" s="381"/>
      <c r="M580" s="20"/>
      <c r="N580" s="20"/>
      <c r="O580" s="74"/>
      <c r="P580" s="74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</row>
    <row r="581" spans="1:29">
      <c r="A581" s="309" t="s">
        <v>449</v>
      </c>
      <c r="B581" s="1"/>
      <c r="C581" s="319"/>
      <c r="D581" s="319"/>
      <c r="E581" s="2" t="s">
        <v>31</v>
      </c>
      <c r="F581" s="2"/>
      <c r="G581" s="1"/>
      <c r="H581" s="1"/>
      <c r="I581" s="2" t="s">
        <v>31</v>
      </c>
      <c r="J581" s="1"/>
      <c r="K581" s="1"/>
      <c r="M581" s="20"/>
      <c r="N581" s="20"/>
      <c r="O581" s="74"/>
      <c r="P581" s="74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</row>
    <row r="582" spans="1:29">
      <c r="A582" s="309" t="s">
        <v>450</v>
      </c>
      <c r="B582" s="1"/>
      <c r="C582" s="319">
        <f>C633+C684</f>
        <v>1048</v>
      </c>
      <c r="D582" s="319">
        <f>D633+D684</f>
        <v>1059</v>
      </c>
      <c r="E582" s="337">
        <v>0</v>
      </c>
      <c r="F582" s="324"/>
      <c r="G582" s="321">
        <f>G633+G684</f>
        <v>0</v>
      </c>
      <c r="H582" s="321">
        <f>H633+H684</f>
        <v>0</v>
      </c>
      <c r="I582" s="337">
        <f>'Blocking - detail'!I582</f>
        <v>0</v>
      </c>
      <c r="J582" s="324"/>
      <c r="K582" s="321">
        <f>K633+K684</f>
        <v>0</v>
      </c>
      <c r="M582" s="84">
        <f>I582*D582</f>
        <v>0</v>
      </c>
      <c r="O582" s="14"/>
      <c r="P582" s="69" t="s">
        <v>31</v>
      </c>
      <c r="R582" s="329"/>
      <c r="T582" s="3" t="s">
        <v>371</v>
      </c>
      <c r="U582" s="3" t="s">
        <v>305</v>
      </c>
      <c r="V582" s="3" t="s">
        <v>372</v>
      </c>
      <c r="W582" s="3" t="s">
        <v>315</v>
      </c>
      <c r="X582" s="20"/>
      <c r="Y582" s="20"/>
      <c r="Z582" s="20"/>
      <c r="AA582" s="20"/>
      <c r="AB582" s="20"/>
      <c r="AC582" s="20"/>
    </row>
    <row r="583" spans="1:29">
      <c r="A583" s="309" t="s">
        <v>451</v>
      </c>
      <c r="B583" s="1"/>
      <c r="C583" s="319"/>
      <c r="D583" s="319"/>
      <c r="E583" s="337"/>
      <c r="F583" s="324"/>
      <c r="G583" s="321"/>
      <c r="H583" s="321"/>
      <c r="I583" s="337"/>
      <c r="J583" s="324"/>
      <c r="K583" s="321"/>
      <c r="R583" s="329"/>
      <c r="S583" s="3" t="s">
        <v>442</v>
      </c>
      <c r="T583" s="84">
        <f>SUM(H582:H597)</f>
        <v>1968384</v>
      </c>
      <c r="U583" s="84">
        <f>SUM(K582:K597)</f>
        <v>2343533.4900000002</v>
      </c>
      <c r="V583" s="106">
        <v>2708270.4985879958</v>
      </c>
      <c r="W583" s="237">
        <f>U583/V583</f>
        <v>0.86532474921609281</v>
      </c>
      <c r="X583" s="20"/>
      <c r="Y583" s="20"/>
      <c r="Z583" s="20"/>
      <c r="AA583" s="20"/>
      <c r="AB583" s="20"/>
      <c r="AC583" s="20"/>
    </row>
    <row r="584" spans="1:29">
      <c r="A584" s="309" t="s">
        <v>452</v>
      </c>
      <c r="B584" s="1"/>
      <c r="C584" s="319">
        <f t="shared" ref="C584:D589" si="51">C635+C686</f>
        <v>3799</v>
      </c>
      <c r="D584" s="319">
        <f t="shared" si="51"/>
        <v>3832</v>
      </c>
      <c r="E584" s="337">
        <v>0</v>
      </c>
      <c r="F584" s="324"/>
      <c r="G584" s="321">
        <f t="shared" ref="G584:H586" si="52">G635+G686</f>
        <v>0</v>
      </c>
      <c r="H584" s="321">
        <f t="shared" si="52"/>
        <v>0</v>
      </c>
      <c r="I584" s="337">
        <v>0</v>
      </c>
      <c r="J584" s="324"/>
      <c r="K584" s="321">
        <f>K635+K686</f>
        <v>0</v>
      </c>
      <c r="M584" s="84">
        <f>I584*D584</f>
        <v>0</v>
      </c>
      <c r="N584" s="53"/>
      <c r="S584" s="3" t="s">
        <v>459</v>
      </c>
      <c r="T584" s="84">
        <f>H602</f>
        <v>8116487</v>
      </c>
      <c r="U584" s="84">
        <f>K602</f>
        <v>9717128</v>
      </c>
      <c r="V584" s="106">
        <v>8051434.7234117109</v>
      </c>
      <c r="W584" s="237">
        <f>U584/V584</f>
        <v>1.2068815476755761</v>
      </c>
      <c r="X584" s="20"/>
      <c r="Y584" s="20"/>
      <c r="Z584" s="20"/>
      <c r="AA584" s="20"/>
      <c r="AB584" s="20"/>
      <c r="AC584" s="20"/>
    </row>
    <row r="585" spans="1:29">
      <c r="A585" s="309" t="s">
        <v>453</v>
      </c>
      <c r="B585" s="1"/>
      <c r="C585" s="319">
        <f t="shared" si="51"/>
        <v>387</v>
      </c>
      <c r="D585" s="319">
        <f t="shared" si="51"/>
        <v>390</v>
      </c>
      <c r="E585" s="337">
        <v>301</v>
      </c>
      <c r="F585" s="324"/>
      <c r="G585" s="321">
        <f t="shared" si="52"/>
        <v>116487</v>
      </c>
      <c r="H585" s="321">
        <f t="shared" si="52"/>
        <v>117390</v>
      </c>
      <c r="I585" s="337">
        <f>ROUND(E585+(E585*$P$627),0)+2</f>
        <v>333</v>
      </c>
      <c r="J585" s="324"/>
      <c r="K585" s="321">
        <f>K636+K687</f>
        <v>128871</v>
      </c>
      <c r="M585" s="84">
        <f>I585*D585</f>
        <v>129870</v>
      </c>
      <c r="N585" s="69"/>
      <c r="O585" s="14">
        <f>(I585-E585)/E585</f>
        <v>0.10631229235880399</v>
      </c>
      <c r="S585" s="329"/>
      <c r="U585" s="329"/>
      <c r="V585" s="20"/>
      <c r="W585" s="20"/>
      <c r="X585" s="20"/>
      <c r="Y585" s="20"/>
      <c r="Z585" s="20"/>
      <c r="AA585" s="20"/>
      <c r="AB585" s="20"/>
      <c r="AC585" s="20"/>
    </row>
    <row r="586" spans="1:29">
      <c r="A586" s="309" t="s">
        <v>454</v>
      </c>
      <c r="B586" s="1"/>
      <c r="C586" s="319">
        <f t="shared" si="51"/>
        <v>11</v>
      </c>
      <c r="D586" s="319">
        <f t="shared" si="51"/>
        <v>11</v>
      </c>
      <c r="E586" s="337">
        <v>1215</v>
      </c>
      <c r="F586" s="324"/>
      <c r="G586" s="321">
        <f t="shared" si="52"/>
        <v>13365</v>
      </c>
      <c r="H586" s="321">
        <f t="shared" si="52"/>
        <v>13365</v>
      </c>
      <c r="I586" s="337">
        <f>ROUND(E586+(E586*$P$627),0)</f>
        <v>1335</v>
      </c>
      <c r="J586" s="324"/>
      <c r="K586" s="321">
        <f>K637+K688</f>
        <v>14685</v>
      </c>
      <c r="M586" s="84">
        <f>I586*D586</f>
        <v>14685</v>
      </c>
      <c r="N586" s="69"/>
      <c r="O586" s="14">
        <f>(I586-E586)/E586</f>
        <v>9.8765432098765427E-2</v>
      </c>
      <c r="V586" s="20"/>
      <c r="W586" s="20"/>
      <c r="X586" s="20"/>
      <c r="Y586" s="20"/>
      <c r="Z586" s="20"/>
      <c r="AA586" s="20"/>
      <c r="AB586" s="20"/>
      <c r="AC586" s="20"/>
    </row>
    <row r="587" spans="1:29">
      <c r="A587" s="309" t="s">
        <v>362</v>
      </c>
      <c r="B587" s="1"/>
      <c r="C587" s="319">
        <f t="shared" si="51"/>
        <v>5245</v>
      </c>
      <c r="D587" s="319">
        <f t="shared" si="51"/>
        <v>5292.9166666666661</v>
      </c>
      <c r="E587" s="337"/>
      <c r="F587" s="324"/>
      <c r="G587" s="321"/>
      <c r="H587" s="321"/>
      <c r="I587" s="337"/>
      <c r="J587" s="324"/>
      <c r="K587" s="321"/>
      <c r="M587" s="69"/>
      <c r="N587" s="69"/>
      <c r="O587" s="320"/>
      <c r="S587" s="329"/>
      <c r="U587" s="329"/>
      <c r="V587" s="20"/>
      <c r="W587" s="20"/>
      <c r="X587" s="20"/>
      <c r="Y587" s="20"/>
      <c r="Z587" s="20"/>
      <c r="AA587" s="20"/>
      <c r="AB587" s="20"/>
      <c r="AC587" s="20"/>
    </row>
    <row r="588" spans="1:29">
      <c r="A588" s="309" t="s">
        <v>455</v>
      </c>
      <c r="B588" s="1"/>
      <c r="C588" s="319">
        <f t="shared" si="51"/>
        <v>34182</v>
      </c>
      <c r="D588" s="319">
        <f t="shared" si="51"/>
        <v>34504</v>
      </c>
      <c r="E588" s="337"/>
      <c r="F588" s="324"/>
      <c r="G588" s="321"/>
      <c r="H588" s="321"/>
      <c r="I588" s="337"/>
      <c r="J588" s="324"/>
      <c r="K588" s="321"/>
      <c r="M588" s="69"/>
      <c r="N588" s="69"/>
      <c r="V588" s="20"/>
      <c r="W588" s="20"/>
      <c r="X588" s="20"/>
      <c r="Y588" s="20"/>
      <c r="Z588" s="20"/>
      <c r="AA588" s="20"/>
      <c r="AB588" s="20"/>
      <c r="AC588" s="20"/>
    </row>
    <row r="589" spans="1:29">
      <c r="A589" s="309" t="s">
        <v>104</v>
      </c>
      <c r="B589" s="1"/>
      <c r="C589" s="319">
        <f t="shared" si="51"/>
        <v>5727</v>
      </c>
      <c r="D589" s="319">
        <f t="shared" si="51"/>
        <v>5781</v>
      </c>
      <c r="E589" s="337"/>
      <c r="F589" s="321"/>
      <c r="G589" s="321"/>
      <c r="H589" s="321"/>
      <c r="I589" s="337"/>
      <c r="J589" s="321"/>
      <c r="K589" s="334">
        <f>I591*3</f>
        <v>65.489999999999995</v>
      </c>
      <c r="M589" s="69"/>
      <c r="N589" s="69"/>
      <c r="O589" s="320"/>
      <c r="P589" s="294"/>
      <c r="V589" s="20"/>
      <c r="W589" s="20"/>
      <c r="X589" s="20"/>
      <c r="Y589" s="20"/>
      <c r="Z589" s="20"/>
      <c r="AA589" s="20"/>
      <c r="AB589" s="20"/>
      <c r="AC589" s="20"/>
    </row>
    <row r="590" spans="1:29">
      <c r="A590" s="309" t="s">
        <v>456</v>
      </c>
      <c r="B590" s="1"/>
      <c r="C590" s="319"/>
      <c r="D590" s="319"/>
      <c r="E590" s="337"/>
      <c r="F590" s="324"/>
      <c r="G590" s="321"/>
      <c r="H590" s="321"/>
      <c r="I590" s="337"/>
      <c r="J590" s="324"/>
      <c r="K590" s="321"/>
      <c r="M590" s="69"/>
      <c r="N590" s="69"/>
      <c r="O590" s="320"/>
      <c r="V590" s="20"/>
      <c r="W590" s="20"/>
      <c r="X590" s="20"/>
      <c r="Y590" s="20"/>
      <c r="Z590" s="20"/>
      <c r="AA590" s="20"/>
      <c r="AB590" s="20"/>
      <c r="AC590" s="20"/>
    </row>
    <row r="591" spans="1:29">
      <c r="A591" s="309" t="s">
        <v>457</v>
      </c>
      <c r="B591" s="1"/>
      <c r="C591" s="319">
        <f>C642+C693</f>
        <v>5248</v>
      </c>
      <c r="D591" s="319">
        <f>D642+D693</f>
        <v>4813</v>
      </c>
      <c r="E591" s="337">
        <v>19.87</v>
      </c>
      <c r="F591" s="324"/>
      <c r="G591" s="321">
        <f>G642+G693</f>
        <v>104277</v>
      </c>
      <c r="H591" s="321">
        <f>H642+H693</f>
        <v>95634</v>
      </c>
      <c r="I591" s="337">
        <f>ROUND(E591+(E591*$P$627),2)</f>
        <v>21.83</v>
      </c>
      <c r="J591" s="324"/>
      <c r="K591" s="321">
        <f>K642+K693</f>
        <v>114564</v>
      </c>
      <c r="M591" s="84">
        <f>I591*D591</f>
        <v>105067.79</v>
      </c>
      <c r="N591" s="376"/>
      <c r="O591" s="14">
        <f>(I591-E591)/E591</f>
        <v>9.8641167589330503E-2</v>
      </c>
      <c r="X591" s="20"/>
      <c r="Y591" s="20"/>
      <c r="Z591" s="20"/>
      <c r="AA591" s="20"/>
      <c r="AB591" s="20"/>
      <c r="AC591" s="20"/>
    </row>
    <row r="592" spans="1:29">
      <c r="A592" s="309" t="s">
        <v>458</v>
      </c>
      <c r="B592" s="1"/>
      <c r="C592" s="319"/>
      <c r="D592" s="319"/>
      <c r="E592" s="337"/>
      <c r="F592" s="324"/>
      <c r="G592" s="321"/>
      <c r="H592" s="321"/>
      <c r="I592" s="337"/>
      <c r="J592" s="324"/>
      <c r="K592" s="321"/>
      <c r="M592" s="376"/>
      <c r="N592" s="376"/>
      <c r="O592" s="320"/>
      <c r="X592" s="20"/>
      <c r="Y592" s="20"/>
      <c r="Z592" s="20"/>
      <c r="AA592" s="20"/>
      <c r="AB592" s="20"/>
      <c r="AC592" s="20"/>
    </row>
    <row r="593" spans="1:29">
      <c r="A593" s="309" t="s">
        <v>452</v>
      </c>
      <c r="B593" s="1"/>
      <c r="C593" s="319">
        <f t="shared" ref="C593:D597" si="53">C644+C695</f>
        <v>55399</v>
      </c>
      <c r="D593" s="319">
        <f t="shared" si="53"/>
        <v>50834</v>
      </c>
      <c r="E593" s="337">
        <v>19.87</v>
      </c>
      <c r="F593" s="324"/>
      <c r="G593" s="321">
        <f t="shared" ref="G593:H597" si="54">G644+G695</f>
        <v>1100778</v>
      </c>
      <c r="H593" s="321">
        <f t="shared" si="54"/>
        <v>1010072</v>
      </c>
      <c r="I593" s="337">
        <f>ROUND(E593+(E593*$P$627),2)</f>
        <v>21.83</v>
      </c>
      <c r="J593" s="324"/>
      <c r="K593" s="321">
        <f>K644+K695</f>
        <v>1209360</v>
      </c>
      <c r="M593" s="84">
        <f>I593*D593</f>
        <v>1109706.22</v>
      </c>
      <c r="N593" s="376"/>
      <c r="O593" s="14">
        <f>(I593-E593)/E593</f>
        <v>9.8641167589330503E-2</v>
      </c>
      <c r="X593" s="20"/>
      <c r="Y593" s="20"/>
      <c r="Z593" s="20"/>
      <c r="AA593" s="20"/>
      <c r="AB593" s="20"/>
      <c r="AC593" s="20"/>
    </row>
    <row r="594" spans="1:29">
      <c r="A594" s="309" t="s">
        <v>453</v>
      </c>
      <c r="B594" s="1"/>
      <c r="C594" s="319">
        <f t="shared" si="53"/>
        <v>37462</v>
      </c>
      <c r="D594" s="319">
        <f t="shared" si="53"/>
        <v>34379</v>
      </c>
      <c r="E594" s="337">
        <v>13.64</v>
      </c>
      <c r="F594" s="324"/>
      <c r="G594" s="321">
        <f t="shared" si="54"/>
        <v>510982</v>
      </c>
      <c r="H594" s="321">
        <f t="shared" si="54"/>
        <v>468929</v>
      </c>
      <c r="I594" s="337">
        <f>ROUND(E594+(E594*$P$627),2)</f>
        <v>14.98</v>
      </c>
      <c r="J594" s="324"/>
      <c r="K594" s="321">
        <f>K645+K696</f>
        <v>561181</v>
      </c>
      <c r="M594" s="84">
        <f>I594*D594</f>
        <v>514997.42000000004</v>
      </c>
      <c r="N594" s="376"/>
      <c r="O594" s="14">
        <f>(I594-E594)/E594</f>
        <v>9.8240469208211126E-2</v>
      </c>
      <c r="R594" s="84"/>
      <c r="S594" s="84"/>
      <c r="T594" s="106"/>
      <c r="U594" s="237"/>
      <c r="V594" s="20"/>
      <c r="W594" s="20"/>
      <c r="X594" s="20"/>
      <c r="Y594" s="20"/>
      <c r="Z594" s="20"/>
      <c r="AA594" s="20"/>
      <c r="AB594" s="20"/>
      <c r="AC594" s="20"/>
    </row>
    <row r="595" spans="1:29">
      <c r="A595" s="309" t="s">
        <v>454</v>
      </c>
      <c r="B595" s="1" t="s">
        <v>31</v>
      </c>
      <c r="C595" s="319">
        <f t="shared" si="53"/>
        <v>4358</v>
      </c>
      <c r="D595" s="319">
        <f t="shared" si="53"/>
        <v>3996</v>
      </c>
      <c r="E595" s="337">
        <v>10.62</v>
      </c>
      <c r="F595" s="324"/>
      <c r="G595" s="321">
        <f t="shared" si="54"/>
        <v>46282</v>
      </c>
      <c r="H595" s="321">
        <f t="shared" si="54"/>
        <v>42437</v>
      </c>
      <c r="I595" s="337">
        <f>ROUND(E595+(E595*$P$627),2)</f>
        <v>11.67</v>
      </c>
      <c r="J595" s="324"/>
      <c r="K595" s="321">
        <f>K646+K697</f>
        <v>50858</v>
      </c>
      <c r="M595" s="84">
        <f>I595*D595</f>
        <v>46633.32</v>
      </c>
      <c r="N595" s="376"/>
      <c r="O595" s="14">
        <f>(I595-E595)/E595</f>
        <v>9.8870056497175215E-2</v>
      </c>
      <c r="V595" s="20"/>
      <c r="W595" s="20"/>
      <c r="X595" s="20"/>
      <c r="Y595" s="20"/>
      <c r="Z595" s="20"/>
      <c r="AA595" s="20"/>
      <c r="AB595" s="20"/>
      <c r="AC595" s="20"/>
    </row>
    <row r="596" spans="1:29">
      <c r="A596" s="309" t="s">
        <v>460</v>
      </c>
      <c r="B596" s="1"/>
      <c r="C596" s="319">
        <f t="shared" si="53"/>
        <v>157</v>
      </c>
      <c r="D596" s="319">
        <f t="shared" si="53"/>
        <v>144</v>
      </c>
      <c r="E596" s="337">
        <v>59.61</v>
      </c>
      <c r="F596" s="324"/>
      <c r="G596" s="321">
        <f t="shared" si="54"/>
        <v>9359</v>
      </c>
      <c r="H596" s="321">
        <f t="shared" si="54"/>
        <v>8584</v>
      </c>
      <c r="I596" s="337">
        <f>ROUND(E596+(E596*$P$627),2)</f>
        <v>65.48</v>
      </c>
      <c r="J596" s="324"/>
      <c r="K596" s="321">
        <f>K647+K698</f>
        <v>10280</v>
      </c>
      <c r="M596" s="84">
        <f>I596*D596</f>
        <v>9429.1200000000008</v>
      </c>
      <c r="N596" s="69"/>
      <c r="O596" s="14">
        <f>(I596-E596)/E596</f>
        <v>9.8473410501593764E-2</v>
      </c>
      <c r="V596" s="20"/>
      <c r="W596" s="20"/>
      <c r="X596" s="20"/>
      <c r="Y596" s="20"/>
      <c r="Z596" s="20"/>
      <c r="AA596" s="20"/>
      <c r="AB596" s="20"/>
      <c r="AC596" s="20"/>
    </row>
    <row r="597" spans="1:29">
      <c r="A597" s="309" t="s">
        <v>461</v>
      </c>
      <c r="B597" s="1"/>
      <c r="C597" s="319">
        <f t="shared" si="53"/>
        <v>1937</v>
      </c>
      <c r="D597" s="319">
        <f t="shared" si="53"/>
        <v>1778</v>
      </c>
      <c r="E597" s="337">
        <v>119.22</v>
      </c>
      <c r="F597" s="324"/>
      <c r="G597" s="321">
        <f t="shared" si="54"/>
        <v>230930</v>
      </c>
      <c r="H597" s="321">
        <f t="shared" si="54"/>
        <v>211973</v>
      </c>
      <c r="I597" s="337">
        <f>ROUND(E597+(E597*$P$627),2)</f>
        <v>130.96</v>
      </c>
      <c r="J597" s="324"/>
      <c r="K597" s="321">
        <f>K648+K699</f>
        <v>253669</v>
      </c>
      <c r="M597" s="84">
        <f>I597*D597</f>
        <v>232846.88</v>
      </c>
      <c r="N597" s="69"/>
      <c r="O597" s="14">
        <f>(I597-E597)/E597</f>
        <v>9.8473410501593764E-2</v>
      </c>
      <c r="V597" s="20"/>
      <c r="W597" s="20"/>
      <c r="X597" s="20"/>
      <c r="Y597" s="20"/>
      <c r="Z597" s="20"/>
      <c r="AA597" s="20"/>
      <c r="AB597" s="20"/>
      <c r="AC597" s="20"/>
    </row>
    <row r="598" spans="1:29">
      <c r="A598" s="309" t="s">
        <v>462</v>
      </c>
      <c r="B598" s="1"/>
      <c r="C598" s="319"/>
      <c r="D598" s="319"/>
      <c r="E598" s="337"/>
      <c r="F598" s="324"/>
      <c r="G598" s="321"/>
      <c r="H598" s="321"/>
      <c r="I598" s="337"/>
      <c r="J598" s="324"/>
      <c r="K598" s="321"/>
      <c r="M598" s="69"/>
      <c r="N598" s="69"/>
      <c r="O598" s="3"/>
      <c r="V598" s="20"/>
      <c r="W598" s="20"/>
      <c r="X598" s="20"/>
      <c r="Y598" s="20"/>
      <c r="Z598" s="20"/>
      <c r="AA598" s="20"/>
      <c r="AB598" s="20"/>
      <c r="AC598" s="20"/>
    </row>
    <row r="599" spans="1:29">
      <c r="A599" s="309" t="s">
        <v>457</v>
      </c>
      <c r="B599" s="1"/>
      <c r="C599" s="319">
        <f>C650+C701</f>
        <v>96</v>
      </c>
      <c r="D599" s="319">
        <f>D650+D701</f>
        <v>88</v>
      </c>
      <c r="E599" s="363">
        <f>-E591</f>
        <v>-19.87</v>
      </c>
      <c r="F599" s="324"/>
      <c r="G599" s="321">
        <f>G650+G701</f>
        <v>-1908</v>
      </c>
      <c r="H599" s="321">
        <f>H650+H701</f>
        <v>-1748</v>
      </c>
      <c r="I599" s="363">
        <f>-I591</f>
        <v>-21.83</v>
      </c>
      <c r="J599" s="324"/>
      <c r="K599" s="321">
        <f>K650+K701</f>
        <v>-2096</v>
      </c>
      <c r="M599" s="84">
        <f>I599*D599</f>
        <v>-1921.04</v>
      </c>
      <c r="N599" s="69"/>
      <c r="O599" s="3"/>
      <c r="V599" s="20"/>
      <c r="W599" s="20"/>
      <c r="X599" s="20"/>
      <c r="Y599" s="20"/>
      <c r="Z599" s="20"/>
      <c r="AA599" s="20"/>
      <c r="AB599" s="20"/>
      <c r="AC599" s="20"/>
    </row>
    <row r="600" spans="1:29">
      <c r="A600" s="309" t="s">
        <v>463</v>
      </c>
      <c r="B600" s="1"/>
      <c r="C600" s="319">
        <f>C651+C702</f>
        <v>12387</v>
      </c>
      <c r="D600" s="319">
        <f>D651+D702</f>
        <v>11369</v>
      </c>
      <c r="E600" s="363">
        <f>-E593</f>
        <v>-19.87</v>
      </c>
      <c r="F600" s="324"/>
      <c r="G600" s="321">
        <f>G651+G702</f>
        <v>-246129</v>
      </c>
      <c r="H600" s="321">
        <f>H651+H702</f>
        <v>-225902</v>
      </c>
      <c r="I600" s="363">
        <f>-I593</f>
        <v>-21.83</v>
      </c>
      <c r="J600" s="324"/>
      <c r="K600" s="321">
        <f>K651+K702</f>
        <v>-270408</v>
      </c>
      <c r="M600" s="84">
        <f>I600*D600</f>
        <v>-248185.27</v>
      </c>
      <c r="N600" s="69"/>
      <c r="O600" s="3"/>
      <c r="V600" s="20"/>
      <c r="W600" s="20"/>
      <c r="X600" s="20"/>
      <c r="Y600" s="20"/>
      <c r="Z600" s="20"/>
      <c r="AA600" s="20"/>
      <c r="AB600" s="20"/>
      <c r="AC600" s="20"/>
    </row>
    <row r="601" spans="1:29">
      <c r="A601" s="323" t="s">
        <v>426</v>
      </c>
      <c r="B601" s="1"/>
      <c r="C601" s="319"/>
      <c r="D601" s="319"/>
      <c r="E601" s="337"/>
      <c r="F601" s="321"/>
      <c r="G601" s="321"/>
      <c r="H601" s="321"/>
      <c r="I601" s="337"/>
      <c r="J601" s="321"/>
      <c r="K601" s="321"/>
      <c r="M601" s="69"/>
      <c r="N601" s="69"/>
      <c r="O601" s="3"/>
      <c r="Q601" s="3" t="s">
        <v>31</v>
      </c>
      <c r="V601" s="20"/>
      <c r="W601" s="20"/>
      <c r="X601" s="20"/>
      <c r="Y601" s="20"/>
      <c r="Z601" s="20"/>
      <c r="AA601" s="20"/>
      <c r="AB601" s="20"/>
      <c r="AC601" s="20"/>
    </row>
    <row r="602" spans="1:29">
      <c r="A602" s="309" t="s">
        <v>464</v>
      </c>
      <c r="B602" s="1"/>
      <c r="C602" s="319">
        <f>C653+C704</f>
        <v>164697090</v>
      </c>
      <c r="D602" s="319">
        <f>D653+D704</f>
        <v>151116862</v>
      </c>
      <c r="E602" s="383">
        <v>5.3710000000000004</v>
      </c>
      <c r="F602" s="321" t="s">
        <v>374</v>
      </c>
      <c r="G602" s="321">
        <f>G653+G704</f>
        <v>8845880</v>
      </c>
      <c r="H602" s="321">
        <f>H653+H704</f>
        <v>8116487</v>
      </c>
      <c r="I602" s="383">
        <f>ROUND(E602+(E602*$P$627),3)</f>
        <v>5.9</v>
      </c>
      <c r="J602" s="321" t="s">
        <v>374</v>
      </c>
      <c r="K602" s="321">
        <f>K653+K704</f>
        <v>9717128</v>
      </c>
      <c r="M602" s="84">
        <f>(I602/100)*D602</f>
        <v>8915894.8580000009</v>
      </c>
      <c r="N602" s="338"/>
      <c r="O602" s="14">
        <f>(I602-E602)/E602</f>
        <v>9.8491900949543826E-2</v>
      </c>
      <c r="V602" s="20"/>
      <c r="W602" s="20"/>
      <c r="X602" s="20"/>
      <c r="Y602" s="20"/>
      <c r="Z602" s="20"/>
      <c r="AA602" s="20"/>
      <c r="AB602" s="20"/>
      <c r="AC602" s="20"/>
    </row>
    <row r="603" spans="1:29">
      <c r="A603" s="323" t="s">
        <v>400</v>
      </c>
      <c r="B603" s="1"/>
      <c r="C603" s="319">
        <f>C654+C705</f>
        <v>28883</v>
      </c>
      <c r="D603" s="319">
        <f>D654+D705</f>
        <v>26506</v>
      </c>
      <c r="E603" s="614">
        <v>45</v>
      </c>
      <c r="F603" s="323" t="s">
        <v>374</v>
      </c>
      <c r="G603" s="321">
        <f>G654+G705</f>
        <v>12997</v>
      </c>
      <c r="H603" s="321">
        <f>H654+H705</f>
        <v>11928</v>
      </c>
      <c r="I603" s="478">
        <v>50</v>
      </c>
      <c r="J603" s="323" t="s">
        <v>374</v>
      </c>
      <c r="K603" s="321">
        <f>K654+K705</f>
        <v>14442</v>
      </c>
      <c r="M603" s="84">
        <f>(I603/100)*D603</f>
        <v>13253</v>
      </c>
      <c r="O603" s="14">
        <f>(I603-E603)/E603</f>
        <v>0.1111111111111111</v>
      </c>
      <c r="V603" s="20"/>
      <c r="W603" s="20"/>
      <c r="X603" s="20"/>
      <c r="Y603" s="20"/>
      <c r="Z603" s="20"/>
      <c r="AA603" s="20"/>
      <c r="AB603" s="20"/>
      <c r="AC603" s="20"/>
    </row>
    <row r="604" spans="1:29">
      <c r="A604" s="360" t="s">
        <v>401</v>
      </c>
      <c r="B604" s="1"/>
      <c r="C604" s="319"/>
      <c r="D604" s="319"/>
      <c r="E604" s="332">
        <v>-0.01</v>
      </c>
      <c r="F604" s="2"/>
      <c r="G604" s="321"/>
      <c r="H604" s="321"/>
      <c r="I604" s="332">
        <v>-0.01</v>
      </c>
      <c r="J604" s="1"/>
      <c r="K604" s="321"/>
      <c r="V604" s="20"/>
      <c r="W604" s="20"/>
      <c r="X604" s="20"/>
      <c r="Y604" s="20"/>
      <c r="Z604" s="20"/>
      <c r="AA604" s="20"/>
      <c r="AB604" s="20"/>
      <c r="AC604" s="20"/>
    </row>
    <row r="605" spans="1:29">
      <c r="A605" s="309" t="s">
        <v>390</v>
      </c>
      <c r="B605" s="1"/>
      <c r="C605" s="319">
        <f>C656+C707</f>
        <v>0</v>
      </c>
      <c r="D605" s="319">
        <f>D656+D707</f>
        <v>0</v>
      </c>
      <c r="E605" s="384">
        <f>E582</f>
        <v>0</v>
      </c>
      <c r="F605" s="324"/>
      <c r="G605" s="321">
        <f>G656+G707</f>
        <v>0</v>
      </c>
      <c r="H605" s="321">
        <f>H656+H707</f>
        <v>0</v>
      </c>
      <c r="I605" s="384">
        <f>I582</f>
        <v>0</v>
      </c>
      <c r="J605" s="324"/>
      <c r="K605" s="321">
        <f>K656+K707</f>
        <v>0</v>
      </c>
      <c r="M605" s="84">
        <f>-(I605/100)*D605</f>
        <v>0</v>
      </c>
      <c r="V605" s="20"/>
      <c r="W605" s="20"/>
      <c r="X605" s="20"/>
      <c r="Y605" s="20"/>
      <c r="Z605" s="20"/>
      <c r="AA605" s="20"/>
      <c r="AB605" s="20"/>
      <c r="AC605" s="20"/>
    </row>
    <row r="606" spans="1:29">
      <c r="A606" s="309" t="s">
        <v>391</v>
      </c>
      <c r="B606" s="1"/>
      <c r="C606" s="319"/>
      <c r="D606" s="319"/>
      <c r="E606" s="384"/>
      <c r="F606" s="324"/>
      <c r="G606" s="321"/>
      <c r="H606" s="321"/>
      <c r="I606" s="384"/>
      <c r="J606" s="324"/>
      <c r="K606" s="321"/>
      <c r="V606" s="20"/>
      <c r="W606" s="20"/>
      <c r="X606" s="20"/>
      <c r="Y606" s="20"/>
      <c r="Z606" s="20"/>
      <c r="AA606" s="20"/>
      <c r="AB606" s="20"/>
      <c r="AC606" s="20"/>
    </row>
    <row r="607" spans="1:29">
      <c r="A607" s="309" t="s">
        <v>452</v>
      </c>
      <c r="B607" s="1"/>
      <c r="C607" s="319">
        <f t="shared" ref="C607:D610" si="55">C658+C709</f>
        <v>1</v>
      </c>
      <c r="D607" s="319">
        <f t="shared" si="55"/>
        <v>1</v>
      </c>
      <c r="E607" s="384">
        <f>E584</f>
        <v>0</v>
      </c>
      <c r="F607" s="324"/>
      <c r="G607" s="321">
        <f t="shared" ref="G607:H610" si="56">G658+G709</f>
        <v>0</v>
      </c>
      <c r="H607" s="321">
        <f t="shared" si="56"/>
        <v>0</v>
      </c>
      <c r="I607" s="384">
        <f>I584</f>
        <v>0</v>
      </c>
      <c r="J607" s="324"/>
      <c r="K607" s="321">
        <f>K658+K709</f>
        <v>0</v>
      </c>
      <c r="M607" s="84">
        <f>-(I607/100)*D607</f>
        <v>0</v>
      </c>
      <c r="V607" s="20"/>
      <c r="W607" s="20"/>
      <c r="X607" s="20"/>
      <c r="Y607" s="20"/>
      <c r="Z607" s="20"/>
      <c r="AA607" s="20"/>
      <c r="AB607" s="20"/>
      <c r="AC607" s="20"/>
    </row>
    <row r="608" spans="1:29">
      <c r="A608" s="309" t="s">
        <v>453</v>
      </c>
      <c r="B608" s="1"/>
      <c r="C608" s="319">
        <f t="shared" si="55"/>
        <v>0</v>
      </c>
      <c r="D608" s="319">
        <f t="shared" si="55"/>
        <v>0</v>
      </c>
      <c r="E608" s="384">
        <f>E585</f>
        <v>301</v>
      </c>
      <c r="F608" s="324"/>
      <c r="G608" s="321">
        <f t="shared" si="56"/>
        <v>0</v>
      </c>
      <c r="H608" s="321">
        <f t="shared" si="56"/>
        <v>0</v>
      </c>
      <c r="I608" s="384">
        <f>I585</f>
        <v>333</v>
      </c>
      <c r="J608" s="324"/>
      <c r="K608" s="321">
        <f>K659+K710</f>
        <v>0</v>
      </c>
      <c r="M608" s="84">
        <f>-(I608/100)*D608</f>
        <v>0</v>
      </c>
      <c r="V608" s="20"/>
      <c r="W608" s="20"/>
      <c r="X608" s="20"/>
      <c r="Y608" s="20"/>
      <c r="Z608" s="20"/>
      <c r="AA608" s="20"/>
      <c r="AB608" s="20"/>
      <c r="AC608" s="20"/>
    </row>
    <row r="609" spans="1:29">
      <c r="A609" s="309" t="s">
        <v>454</v>
      </c>
      <c r="B609" s="1"/>
      <c r="C609" s="319">
        <f t="shared" si="55"/>
        <v>0</v>
      </c>
      <c r="D609" s="319">
        <f t="shared" si="55"/>
        <v>0</v>
      </c>
      <c r="E609" s="384">
        <f>E586</f>
        <v>1215</v>
      </c>
      <c r="F609" s="324"/>
      <c r="G609" s="321">
        <f t="shared" si="56"/>
        <v>0</v>
      </c>
      <c r="H609" s="321">
        <f t="shared" si="56"/>
        <v>0</v>
      </c>
      <c r="I609" s="384">
        <f>I586</f>
        <v>1335</v>
      </c>
      <c r="J609" s="324"/>
      <c r="K609" s="321">
        <f>K660+K711</f>
        <v>0</v>
      </c>
      <c r="M609" s="84">
        <f>-(I609/100)*D609</f>
        <v>0</v>
      </c>
      <c r="V609" s="20"/>
      <c r="W609" s="20"/>
      <c r="X609" s="20"/>
      <c r="Y609" s="20"/>
      <c r="Z609" s="20"/>
      <c r="AA609" s="20"/>
      <c r="AB609" s="20"/>
      <c r="AC609" s="20"/>
    </row>
    <row r="610" spans="1:29">
      <c r="A610" s="309" t="s">
        <v>390</v>
      </c>
      <c r="B610" s="1"/>
      <c r="C610" s="319">
        <f t="shared" si="55"/>
        <v>0</v>
      </c>
      <c r="D610" s="319">
        <f t="shared" si="55"/>
        <v>0</v>
      </c>
      <c r="E610" s="384">
        <f>E591</f>
        <v>19.87</v>
      </c>
      <c r="F610" s="324"/>
      <c r="G610" s="321">
        <f t="shared" si="56"/>
        <v>0</v>
      </c>
      <c r="H610" s="321">
        <f t="shared" si="56"/>
        <v>0</v>
      </c>
      <c r="I610" s="384">
        <f>I591</f>
        <v>21.83</v>
      </c>
      <c r="J610" s="324"/>
      <c r="K610" s="321">
        <f>K661+K712</f>
        <v>0</v>
      </c>
      <c r="M610" s="84">
        <f>-(I610/100)*D610</f>
        <v>0</v>
      </c>
      <c r="V610" s="20"/>
      <c r="W610" s="20"/>
      <c r="X610" s="20"/>
      <c r="Y610" s="20"/>
      <c r="Z610" s="20"/>
      <c r="AA610" s="20"/>
      <c r="AB610" s="20"/>
      <c r="AC610" s="20"/>
    </row>
    <row r="611" spans="1:29">
      <c r="A611" s="309" t="s">
        <v>391</v>
      </c>
      <c r="B611" s="1"/>
      <c r="C611" s="319"/>
      <c r="D611" s="319"/>
      <c r="E611" s="384"/>
      <c r="F611" s="324"/>
      <c r="G611" s="321"/>
      <c r="H611" s="321"/>
      <c r="I611" s="384"/>
      <c r="J611" s="324"/>
      <c r="K611" s="321"/>
      <c r="V611" s="20"/>
      <c r="W611" s="20"/>
      <c r="X611" s="20"/>
      <c r="Y611" s="20"/>
      <c r="Z611" s="20"/>
      <c r="AA611" s="20"/>
      <c r="AB611" s="20"/>
      <c r="AC611" s="20"/>
    </row>
    <row r="612" spans="1:29">
      <c r="A612" s="309" t="s">
        <v>452</v>
      </c>
      <c r="B612" s="1"/>
      <c r="C612" s="319">
        <f t="shared" ref="C612:D616" si="57">C663+C714</f>
        <v>40</v>
      </c>
      <c r="D612" s="319">
        <f t="shared" si="57"/>
        <v>36</v>
      </c>
      <c r="E612" s="384">
        <f>E593</f>
        <v>19.87</v>
      </c>
      <c r="F612" s="324"/>
      <c r="G612" s="321">
        <f t="shared" ref="G612:H616" si="58">G663+G714</f>
        <v>-8</v>
      </c>
      <c r="H612" s="321">
        <f t="shared" si="58"/>
        <v>-7</v>
      </c>
      <c r="I612" s="384">
        <f>I593</f>
        <v>21.83</v>
      </c>
      <c r="J612" s="324"/>
      <c r="K612" s="321">
        <f>K663+K714</f>
        <v>-9</v>
      </c>
      <c r="M612" s="84">
        <f>-(I612/100)*D612</f>
        <v>-7.8587999999999996</v>
      </c>
      <c r="V612" s="20"/>
      <c r="W612" s="20"/>
      <c r="X612" s="20"/>
      <c r="Y612" s="20"/>
      <c r="Z612" s="20"/>
      <c r="AA612" s="20"/>
      <c r="AB612" s="20"/>
      <c r="AC612" s="20"/>
    </row>
    <row r="613" spans="1:29">
      <c r="A613" s="309" t="s">
        <v>453</v>
      </c>
      <c r="B613" s="1"/>
      <c r="C613" s="319">
        <f t="shared" si="57"/>
        <v>0</v>
      </c>
      <c r="D613" s="319">
        <f t="shared" si="57"/>
        <v>0</v>
      </c>
      <c r="E613" s="384">
        <f>E594</f>
        <v>13.64</v>
      </c>
      <c r="F613" s="324"/>
      <c r="G613" s="321">
        <f t="shared" si="58"/>
        <v>0</v>
      </c>
      <c r="H613" s="321">
        <f t="shared" si="58"/>
        <v>0</v>
      </c>
      <c r="I613" s="384">
        <f>I594</f>
        <v>14.98</v>
      </c>
      <c r="J613" s="324"/>
      <c r="K613" s="321">
        <f>K664+K715</f>
        <v>0</v>
      </c>
      <c r="M613" s="84">
        <f>-(I613/100)*D613</f>
        <v>0</v>
      </c>
      <c r="V613" s="20"/>
      <c r="W613" s="20"/>
      <c r="X613" s="20"/>
      <c r="Y613" s="20"/>
      <c r="Z613" s="20"/>
      <c r="AA613" s="20"/>
      <c r="AB613" s="20"/>
      <c r="AC613" s="20"/>
    </row>
    <row r="614" spans="1:29">
      <c r="A614" s="309" t="s">
        <v>454</v>
      </c>
      <c r="B614" s="1"/>
      <c r="C614" s="319">
        <f t="shared" si="57"/>
        <v>0</v>
      </c>
      <c r="D614" s="319">
        <f t="shared" si="57"/>
        <v>0</v>
      </c>
      <c r="E614" s="384">
        <f>E595</f>
        <v>10.62</v>
      </c>
      <c r="F614" s="324"/>
      <c r="G614" s="321">
        <f t="shared" si="58"/>
        <v>0</v>
      </c>
      <c r="H614" s="321">
        <f t="shared" si="58"/>
        <v>0</v>
      </c>
      <c r="I614" s="384">
        <f>I595</f>
        <v>11.67</v>
      </c>
      <c r="J614" s="324"/>
      <c r="K614" s="321">
        <f>K665+K716</f>
        <v>0</v>
      </c>
      <c r="M614" s="84">
        <f>-(I614/100)*D614</f>
        <v>0</v>
      </c>
      <c r="V614" s="20"/>
      <c r="W614" s="20"/>
      <c r="X614" s="20"/>
      <c r="Y614" s="20"/>
      <c r="Z614" s="20"/>
      <c r="AA614" s="20"/>
      <c r="AB614" s="20"/>
      <c r="AC614" s="20"/>
    </row>
    <row r="615" spans="1:29">
      <c r="A615" s="309" t="s">
        <v>465</v>
      </c>
      <c r="B615" s="1"/>
      <c r="C615" s="319">
        <f t="shared" si="57"/>
        <v>0</v>
      </c>
      <c r="D615" s="319">
        <f t="shared" si="57"/>
        <v>0</v>
      </c>
      <c r="E615" s="353">
        <f>E596</f>
        <v>59.61</v>
      </c>
      <c r="F615" s="324"/>
      <c r="G615" s="321">
        <f t="shared" si="58"/>
        <v>0</v>
      </c>
      <c r="H615" s="321">
        <f t="shared" si="58"/>
        <v>0</v>
      </c>
      <c r="I615" s="353">
        <f>I596</f>
        <v>65.48</v>
      </c>
      <c r="J615" s="324"/>
      <c r="K615" s="321">
        <f>K666+K717</f>
        <v>0</v>
      </c>
      <c r="M615" s="84">
        <f>-(I615/100)*D615</f>
        <v>0</v>
      </c>
      <c r="V615" s="20"/>
      <c r="W615" s="20"/>
      <c r="X615" s="20"/>
      <c r="Y615" s="20"/>
      <c r="Z615" s="20"/>
      <c r="AA615" s="20"/>
      <c r="AB615" s="20"/>
      <c r="AC615" s="20"/>
    </row>
    <row r="616" spans="1:29">
      <c r="A616" s="309" t="s">
        <v>466</v>
      </c>
      <c r="B616" s="1"/>
      <c r="C616" s="319">
        <f t="shared" si="57"/>
        <v>0</v>
      </c>
      <c r="D616" s="319">
        <f t="shared" si="57"/>
        <v>0</v>
      </c>
      <c r="E616" s="353">
        <f>E597</f>
        <v>119.22</v>
      </c>
      <c r="F616" s="324"/>
      <c r="G616" s="321">
        <f t="shared" si="58"/>
        <v>0</v>
      </c>
      <c r="H616" s="321">
        <f t="shared" si="58"/>
        <v>0</v>
      </c>
      <c r="I616" s="353">
        <f>I597</f>
        <v>130.96</v>
      </c>
      <c r="J616" s="324"/>
      <c r="K616" s="321">
        <f>K667+K718</f>
        <v>0</v>
      </c>
      <c r="M616" s="84">
        <f>-(I616/100)*D616</f>
        <v>0</v>
      </c>
      <c r="V616" s="20"/>
      <c r="W616" s="20"/>
      <c r="X616" s="20"/>
      <c r="Y616" s="20"/>
      <c r="Z616" s="20"/>
      <c r="AA616" s="20"/>
      <c r="AB616" s="20"/>
      <c r="AC616" s="20"/>
    </row>
    <row r="617" spans="1:29">
      <c r="A617" s="309" t="s">
        <v>462</v>
      </c>
      <c r="B617" s="1"/>
      <c r="C617" s="319"/>
      <c r="D617" s="319"/>
      <c r="E617" s="337"/>
      <c r="F617" s="324"/>
      <c r="G617" s="321"/>
      <c r="H617" s="321"/>
      <c r="I617" s="337"/>
      <c r="J617" s="324"/>
      <c r="K617" s="321"/>
      <c r="V617" s="20"/>
      <c r="W617" s="20"/>
      <c r="X617" s="20"/>
      <c r="Y617" s="20"/>
      <c r="Z617" s="20"/>
      <c r="AA617" s="20"/>
      <c r="AB617" s="20"/>
      <c r="AC617" s="20"/>
    </row>
    <row r="618" spans="1:29">
      <c r="A618" s="309" t="s">
        <v>457</v>
      </c>
      <c r="B618" s="1"/>
      <c r="C618" s="319">
        <f>C669+C720</f>
        <v>0</v>
      </c>
      <c r="D618" s="319">
        <f>D669+D720</f>
        <v>0</v>
      </c>
      <c r="E618" s="363">
        <f>E599</f>
        <v>-19.87</v>
      </c>
      <c r="F618" s="324"/>
      <c r="G618" s="321">
        <f>G669+G720</f>
        <v>0</v>
      </c>
      <c r="H618" s="321">
        <f>H669+H720</f>
        <v>0</v>
      </c>
      <c r="I618" s="363">
        <f>I599</f>
        <v>-21.83</v>
      </c>
      <c r="J618" s="324"/>
      <c r="K618" s="321">
        <f>K669+K720</f>
        <v>0</v>
      </c>
      <c r="M618" s="84">
        <f>-(I618/100)*D618</f>
        <v>0</v>
      </c>
      <c r="V618" s="20"/>
      <c r="W618" s="20"/>
      <c r="X618" s="20"/>
      <c r="Y618" s="20"/>
      <c r="Z618" s="20"/>
      <c r="AA618" s="20"/>
      <c r="AB618" s="20"/>
      <c r="AC618" s="20"/>
    </row>
    <row r="619" spans="1:29">
      <c r="A619" s="309" t="s">
        <v>463</v>
      </c>
      <c r="B619" s="1"/>
      <c r="C619" s="319">
        <f>C670+C721</f>
        <v>0</v>
      </c>
      <c r="D619" s="319">
        <f>D670+D721</f>
        <v>0</v>
      </c>
      <c r="E619" s="363">
        <f>E600</f>
        <v>-19.87</v>
      </c>
      <c r="F619" s="324"/>
      <c r="G619" s="321">
        <f>G670+G721</f>
        <v>0</v>
      </c>
      <c r="H619" s="321">
        <f>H670+H721</f>
        <v>0</v>
      </c>
      <c r="I619" s="363">
        <f>I600</f>
        <v>-21.83</v>
      </c>
      <c r="J619" s="324"/>
      <c r="K619" s="321">
        <f>K670+K721</f>
        <v>0</v>
      </c>
      <c r="M619" s="84">
        <f>-(I619/100)*D619</f>
        <v>0</v>
      </c>
      <c r="V619" s="20"/>
      <c r="W619" s="20"/>
      <c r="X619" s="20"/>
      <c r="Y619" s="20"/>
      <c r="Z619" s="20"/>
      <c r="AA619" s="20"/>
      <c r="AB619" s="20"/>
      <c r="AC619" s="20"/>
    </row>
    <row r="620" spans="1:29">
      <c r="A620" s="323" t="s">
        <v>426</v>
      </c>
      <c r="B620" s="1"/>
      <c r="C620" s="319"/>
      <c r="D620" s="319"/>
      <c r="E620" s="384"/>
      <c r="F620" s="321"/>
      <c r="G620" s="321"/>
      <c r="H620" s="321"/>
      <c r="I620" s="384"/>
      <c r="J620" s="321"/>
      <c r="K620" s="321"/>
      <c r="V620" s="20"/>
      <c r="W620" s="20"/>
      <c r="X620" s="20"/>
      <c r="Y620" s="20"/>
      <c r="Z620" s="20"/>
      <c r="AA620" s="20"/>
      <c r="AB620" s="20"/>
      <c r="AC620" s="20"/>
    </row>
    <row r="621" spans="1:29">
      <c r="A621" s="309" t="s">
        <v>464</v>
      </c>
      <c r="B621" s="1"/>
      <c r="C621" s="319">
        <f t="shared" ref="C621:D626" si="59">C672+C723</f>
        <v>25216</v>
      </c>
      <c r="D621" s="319">
        <f t="shared" si="59"/>
        <v>22993</v>
      </c>
      <c r="E621" s="385">
        <f>E602</f>
        <v>5.3710000000000004</v>
      </c>
      <c r="F621" s="321" t="s">
        <v>374</v>
      </c>
      <c r="G621" s="321">
        <f t="shared" ref="G621:H626" si="60">G672+G723</f>
        <v>-14</v>
      </c>
      <c r="H621" s="321">
        <f t="shared" si="60"/>
        <v>-12</v>
      </c>
      <c r="I621" s="385">
        <f>I602</f>
        <v>5.9</v>
      </c>
      <c r="J621" s="321" t="s">
        <v>374</v>
      </c>
      <c r="K621" s="321">
        <f>K672+K723</f>
        <v>-15</v>
      </c>
      <c r="M621" s="84">
        <f>-((I621/100)*D621)/100</f>
        <v>-13.56587</v>
      </c>
      <c r="V621" s="20"/>
      <c r="W621" s="20"/>
      <c r="X621" s="20"/>
      <c r="Y621" s="20"/>
      <c r="Z621" s="20"/>
      <c r="AA621" s="20"/>
      <c r="AB621" s="20"/>
      <c r="AC621" s="20"/>
    </row>
    <row r="622" spans="1:29">
      <c r="A622" s="323" t="s">
        <v>400</v>
      </c>
      <c r="B622" s="1"/>
      <c r="C622" s="319">
        <f t="shared" si="59"/>
        <v>0</v>
      </c>
      <c r="D622" s="319">
        <f t="shared" si="59"/>
        <v>0</v>
      </c>
      <c r="E622" s="375">
        <f>E603</f>
        <v>45</v>
      </c>
      <c r="F622" s="321" t="s">
        <v>374</v>
      </c>
      <c r="G622" s="321">
        <f t="shared" si="60"/>
        <v>0</v>
      </c>
      <c r="H622" s="321">
        <f t="shared" si="60"/>
        <v>0</v>
      </c>
      <c r="I622" s="375">
        <f>I603</f>
        <v>50</v>
      </c>
      <c r="J622" s="323" t="s">
        <v>374</v>
      </c>
      <c r="K622" s="321">
        <f>K673+K724</f>
        <v>0</v>
      </c>
      <c r="M622" s="84">
        <f>-((I622/100)*D622)/100</f>
        <v>0</v>
      </c>
      <c r="V622" s="20"/>
      <c r="W622" s="20"/>
      <c r="X622" s="20"/>
      <c r="Y622" s="20"/>
      <c r="Z622" s="20"/>
      <c r="AA622" s="20"/>
      <c r="AB622" s="20"/>
      <c r="AC622" s="20"/>
    </row>
    <row r="623" spans="1:29">
      <c r="A623" s="323" t="s">
        <v>443</v>
      </c>
      <c r="B623" s="1"/>
      <c r="C623" s="319">
        <f t="shared" si="59"/>
        <v>12</v>
      </c>
      <c r="D623" s="319">
        <f t="shared" si="59"/>
        <v>12</v>
      </c>
      <c r="E623" s="337">
        <f>'Blocking - detail'!E623</f>
        <v>60</v>
      </c>
      <c r="F623" s="364" t="s">
        <v>31</v>
      </c>
      <c r="G623" s="321">
        <f t="shared" si="60"/>
        <v>720</v>
      </c>
      <c r="H623" s="321">
        <f t="shared" si="60"/>
        <v>720</v>
      </c>
      <c r="I623" s="337">
        <f>'Blocking - detail'!I623</f>
        <v>60</v>
      </c>
      <c r="J623" s="1"/>
      <c r="K623" s="321">
        <f>K674+K725</f>
        <v>720</v>
      </c>
      <c r="M623" s="84">
        <f>I623*D623</f>
        <v>720</v>
      </c>
      <c r="V623" s="20"/>
      <c r="W623" s="20"/>
      <c r="X623" s="20"/>
      <c r="Y623" s="20"/>
      <c r="Z623" s="20"/>
      <c r="AA623" s="20"/>
      <c r="AB623" s="20"/>
      <c r="AC623" s="20"/>
    </row>
    <row r="624" spans="1:29">
      <c r="A624" s="323" t="s">
        <v>444</v>
      </c>
      <c r="B624" s="1"/>
      <c r="C624" s="319">
        <f t="shared" si="59"/>
        <v>320</v>
      </c>
      <c r="D624" s="319">
        <f t="shared" si="59"/>
        <v>292</v>
      </c>
      <c r="E624" s="478">
        <f>'Blocking - detail'!E624</f>
        <v>-30</v>
      </c>
      <c r="F624" s="321" t="s">
        <v>374</v>
      </c>
      <c r="G624" s="321">
        <f t="shared" si="60"/>
        <v>-96</v>
      </c>
      <c r="H624" s="321">
        <f t="shared" si="60"/>
        <v>-88</v>
      </c>
      <c r="I624" s="478">
        <f>'Blocking - detail'!I624</f>
        <v>-30</v>
      </c>
      <c r="J624" s="321" t="s">
        <v>374</v>
      </c>
      <c r="K624" s="321">
        <f>K675+K726</f>
        <v>-96</v>
      </c>
      <c r="M624" s="84">
        <f>(I624/100)*D624</f>
        <v>-87.6</v>
      </c>
      <c r="V624" s="20"/>
      <c r="W624" s="20"/>
      <c r="X624" s="20"/>
      <c r="Y624" s="20"/>
      <c r="Z624" s="20"/>
      <c r="AA624" s="20"/>
      <c r="AB624" s="20"/>
      <c r="AC624" s="20"/>
    </row>
    <row r="625" spans="1:29">
      <c r="A625" s="1" t="s">
        <v>381</v>
      </c>
      <c r="B625" s="1"/>
      <c r="C625" s="319">
        <f t="shared" si="59"/>
        <v>164697090</v>
      </c>
      <c r="D625" s="319">
        <f t="shared" si="59"/>
        <v>151116862.53785235</v>
      </c>
      <c r="E625" s="330"/>
      <c r="F625" s="2"/>
      <c r="G625" s="2">
        <f t="shared" si="60"/>
        <v>10743902</v>
      </c>
      <c r="H625" s="2">
        <f t="shared" si="60"/>
        <v>9869762</v>
      </c>
      <c r="I625" s="2"/>
      <c r="J625" s="323"/>
      <c r="K625" s="2">
        <f>K676+K727</f>
        <v>11803134</v>
      </c>
      <c r="M625" s="84">
        <f>SUM(M582:M624)</f>
        <v>10842888.273330001</v>
      </c>
      <c r="P625" s="276"/>
      <c r="V625" s="20"/>
      <c r="W625" s="20"/>
      <c r="X625" s="20"/>
      <c r="Y625" s="20"/>
      <c r="Z625" s="20"/>
      <c r="AA625" s="20"/>
      <c r="AB625" s="20"/>
      <c r="AC625" s="20"/>
    </row>
    <row r="626" spans="1:29">
      <c r="A626" s="1" t="s">
        <v>363</v>
      </c>
      <c r="B626" s="1"/>
      <c r="C626" s="340" t="e">
        <f t="shared" si="59"/>
        <v>#REF!</v>
      </c>
      <c r="D626" s="340">
        <f t="shared" si="59"/>
        <v>0</v>
      </c>
      <c r="E626" s="309"/>
      <c r="F626" s="309"/>
      <c r="G626" s="310" t="e">
        <f t="shared" si="60"/>
        <v>#REF!</v>
      </c>
      <c r="H626" s="310">
        <f t="shared" si="60"/>
        <v>0</v>
      </c>
      <c r="I626" s="309"/>
      <c r="J626" s="309"/>
      <c r="K626" s="310" t="e">
        <f>G626</f>
        <v>#REF!</v>
      </c>
      <c r="V626" s="20"/>
      <c r="W626" s="20"/>
      <c r="X626" s="20"/>
      <c r="Y626" s="20"/>
      <c r="Z626" s="20"/>
      <c r="AA626" s="20"/>
      <c r="AB626" s="20"/>
      <c r="AC626" s="20"/>
    </row>
    <row r="627" spans="1:29" ht="17.25" customHeight="1" thickBot="1">
      <c r="A627" s="1" t="s">
        <v>382</v>
      </c>
      <c r="B627" s="1"/>
      <c r="C627" s="366" t="e">
        <f>SUM(C625:C626)</f>
        <v>#REF!</v>
      </c>
      <c r="D627" s="366">
        <f>SUM(D625:D626)</f>
        <v>151116862.53785235</v>
      </c>
      <c r="E627" s="342"/>
      <c r="F627" s="343"/>
      <c r="G627" s="344" t="e">
        <f>G625+G626</f>
        <v>#REF!</v>
      </c>
      <c r="H627" s="344">
        <f>H625+H626</f>
        <v>9869762</v>
      </c>
      <c r="I627" s="342"/>
      <c r="J627" s="345"/>
      <c r="K627" s="344" t="e">
        <f>K625+K626</f>
        <v>#REF!</v>
      </c>
      <c r="N627" s="3" t="s">
        <v>364</v>
      </c>
      <c r="O627" s="69" t="e">
        <f>#REF!*1000</f>
        <v>#REF!</v>
      </c>
      <c r="P627" s="237">
        <v>9.8500000000000004E-2</v>
      </c>
      <c r="V627" s="20"/>
      <c r="W627" s="20"/>
      <c r="X627" s="20"/>
      <c r="Y627" s="20"/>
      <c r="Z627" s="20"/>
      <c r="AA627" s="20"/>
      <c r="AB627" s="20"/>
      <c r="AC627" s="20"/>
    </row>
    <row r="628" spans="1:29" ht="16.5" thickTop="1">
      <c r="A628" s="1"/>
      <c r="B628" s="1"/>
      <c r="C628" s="26"/>
      <c r="D628" s="26"/>
      <c r="E628" s="351"/>
      <c r="F628" s="352"/>
      <c r="G628" s="322"/>
      <c r="H628" s="322"/>
      <c r="I628" s="386" t="s">
        <v>31</v>
      </c>
      <c r="J628" s="23"/>
      <c r="K628" s="272" t="s">
        <v>31</v>
      </c>
      <c r="N628" s="3" t="s">
        <v>263</v>
      </c>
      <c r="O628" s="69" t="e">
        <f>O627-K627</f>
        <v>#REF!</v>
      </c>
      <c r="P628" s="314" t="e">
        <f>(O627-K627)/(K627-K603-K623-K624)</f>
        <v>#REF!</v>
      </c>
      <c r="V628" s="20"/>
      <c r="W628" s="20"/>
      <c r="X628" s="20"/>
      <c r="Y628" s="20"/>
      <c r="Z628" s="20"/>
      <c r="AA628" s="20"/>
      <c r="AB628" s="20"/>
      <c r="AC628" s="20"/>
    </row>
    <row r="629" spans="1:29">
      <c r="A629" s="293" t="s">
        <v>447</v>
      </c>
      <c r="B629" s="1"/>
      <c r="C629" s="21"/>
      <c r="D629" s="21"/>
      <c r="E629" s="337"/>
      <c r="F629" s="2"/>
      <c r="G629" s="2"/>
      <c r="H629" s="2"/>
      <c r="I629" s="337"/>
      <c r="J629" s="1"/>
      <c r="K629" s="2"/>
      <c r="V629" s="20"/>
      <c r="W629" s="20"/>
      <c r="X629" s="20"/>
      <c r="Y629" s="20"/>
      <c r="Z629" s="20"/>
      <c r="AA629" s="20"/>
      <c r="AB629" s="20"/>
      <c r="AC629" s="20"/>
    </row>
    <row r="630" spans="1:29">
      <c r="A630" s="309" t="s">
        <v>196</v>
      </c>
      <c r="B630" s="1"/>
      <c r="C630" s="21"/>
      <c r="D630" s="21"/>
      <c r="E630" s="337"/>
      <c r="F630" s="2"/>
      <c r="G630" s="2"/>
      <c r="H630" s="2"/>
      <c r="I630" s="337"/>
      <c r="J630" s="1"/>
      <c r="K630" s="2"/>
      <c r="M630" s="84"/>
      <c r="N630" s="84"/>
      <c r="O630" s="346" t="e">
        <f>O628/(K585+K586+K591+K593+K594+K595+K596+K597+K599+K600)</f>
        <v>#REF!</v>
      </c>
      <c r="P630" s="237"/>
      <c r="V630" s="20"/>
      <c r="W630" s="20"/>
      <c r="X630" s="20"/>
      <c r="Y630" s="20"/>
      <c r="Z630" s="20"/>
      <c r="AA630" s="20"/>
      <c r="AB630" s="20"/>
      <c r="AC630" s="20"/>
    </row>
    <row r="631" spans="1:29">
      <c r="A631" s="323"/>
      <c r="B631" s="1"/>
      <c r="C631" s="21"/>
      <c r="D631" s="21"/>
      <c r="E631" s="337"/>
      <c r="F631" s="2"/>
      <c r="G631" s="380"/>
      <c r="H631" s="380"/>
      <c r="I631" s="337"/>
      <c r="J631" s="1"/>
      <c r="K631" s="381"/>
      <c r="M631" s="20"/>
      <c r="N631" s="20"/>
      <c r="O631" s="74"/>
      <c r="P631" s="74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</row>
    <row r="632" spans="1:29">
      <c r="A632" s="309" t="s">
        <v>449</v>
      </c>
      <c r="B632" s="1"/>
      <c r="C632" s="319"/>
      <c r="D632" s="319"/>
      <c r="E632" s="2" t="s">
        <v>31</v>
      </c>
      <c r="F632" s="2"/>
      <c r="G632" s="1"/>
      <c r="H632" s="1"/>
      <c r="I632" s="2" t="s">
        <v>31</v>
      </c>
      <c r="J632" s="1"/>
      <c r="K632" s="1"/>
      <c r="M632" s="20"/>
      <c r="N632" s="20"/>
      <c r="O632" s="74"/>
      <c r="P632" s="74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</row>
    <row r="633" spans="1:29">
      <c r="A633" s="309" t="s">
        <v>450</v>
      </c>
      <c r="B633" s="1"/>
      <c r="C633" s="319">
        <f>887</f>
        <v>887</v>
      </c>
      <c r="D633" s="319">
        <v>892</v>
      </c>
      <c r="E633" s="337">
        <f>$E$582</f>
        <v>0</v>
      </c>
      <c r="F633" s="324"/>
      <c r="G633" s="321">
        <f>ROUND(E633*$C633,0)</f>
        <v>0</v>
      </c>
      <c r="H633" s="321">
        <f>ROUND(E633*$D633,0)</f>
        <v>0</v>
      </c>
      <c r="I633" s="337">
        <f>$I$582</f>
        <v>0</v>
      </c>
      <c r="J633" s="324"/>
      <c r="K633" s="321">
        <f>ROUND(I633*$C633,0)</f>
        <v>0</v>
      </c>
      <c r="M633" s="20"/>
      <c r="N633" s="20"/>
      <c r="O633" s="74"/>
      <c r="P633" s="74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</row>
    <row r="634" spans="1:29">
      <c r="A634" s="309" t="s">
        <v>451</v>
      </c>
      <c r="B634" s="1"/>
      <c r="C634" s="319"/>
      <c r="D634" s="319"/>
      <c r="E634" s="337"/>
      <c r="F634" s="324"/>
      <c r="G634" s="321"/>
      <c r="H634" s="321"/>
      <c r="I634" s="337"/>
      <c r="J634" s="324"/>
      <c r="K634" s="321"/>
      <c r="M634" s="20"/>
      <c r="N634" s="20"/>
      <c r="O634" s="74"/>
      <c r="P634" s="74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</row>
    <row r="635" spans="1:29">
      <c r="A635" s="309" t="s">
        <v>452</v>
      </c>
      <c r="B635" s="1"/>
      <c r="C635" s="319">
        <f>3412</f>
        <v>3412</v>
      </c>
      <c r="D635" s="319">
        <v>3431</v>
      </c>
      <c r="E635" s="337">
        <f>$E$584</f>
        <v>0</v>
      </c>
      <c r="F635" s="324"/>
      <c r="G635" s="321">
        <f>ROUND(E635*$C635,0)</f>
        <v>0</v>
      </c>
      <c r="H635" s="321">
        <f>ROUND(E635*$D635,0)</f>
        <v>0</v>
      </c>
      <c r="I635" s="337">
        <f>$I$584</f>
        <v>0</v>
      </c>
      <c r="J635" s="324"/>
      <c r="K635" s="321">
        <f>ROUND(I635*$C635,0)</f>
        <v>0</v>
      </c>
      <c r="M635" s="20"/>
      <c r="N635" s="20"/>
      <c r="O635" s="74"/>
      <c r="P635" s="74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</row>
    <row r="636" spans="1:29">
      <c r="A636" s="309" t="s">
        <v>453</v>
      </c>
      <c r="B636" s="1"/>
      <c r="C636" s="319">
        <f>350</f>
        <v>350</v>
      </c>
      <c r="D636" s="319">
        <v>352</v>
      </c>
      <c r="E636" s="337">
        <f>$E$585</f>
        <v>301</v>
      </c>
      <c r="F636" s="324"/>
      <c r="G636" s="321">
        <f>ROUND(E636*$C636,0)</f>
        <v>105350</v>
      </c>
      <c r="H636" s="321">
        <f>ROUND(E636*$D636,0)</f>
        <v>105952</v>
      </c>
      <c r="I636" s="337">
        <f>$I$585</f>
        <v>333</v>
      </c>
      <c r="J636" s="324"/>
      <c r="K636" s="321">
        <f>ROUND(I636*$C636,0)</f>
        <v>116550</v>
      </c>
      <c r="M636" s="20"/>
      <c r="N636" s="20"/>
      <c r="O636" s="74"/>
      <c r="P636" s="74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</row>
    <row r="637" spans="1:29">
      <c r="A637" s="309" t="s">
        <v>454</v>
      </c>
      <c r="B637" s="1"/>
      <c r="C637" s="319">
        <f>9</f>
        <v>9</v>
      </c>
      <c r="D637" s="319">
        <v>9</v>
      </c>
      <c r="E637" s="337">
        <f>$E$586</f>
        <v>1215</v>
      </c>
      <c r="F637" s="324"/>
      <c r="G637" s="321">
        <f>ROUND(E637*$C637,0)</f>
        <v>10935</v>
      </c>
      <c r="H637" s="321">
        <f>ROUND(E637*$D637,0)</f>
        <v>10935</v>
      </c>
      <c r="I637" s="337">
        <f>$I$586</f>
        <v>1335</v>
      </c>
      <c r="J637" s="324"/>
      <c r="K637" s="321">
        <f>ROUND(I637*$C637,0)</f>
        <v>12015</v>
      </c>
      <c r="M637" s="20"/>
      <c r="N637" s="20"/>
      <c r="O637" s="74"/>
      <c r="P637" s="74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</row>
    <row r="638" spans="1:29">
      <c r="A638" s="309" t="s">
        <v>362</v>
      </c>
      <c r="B638" s="1"/>
      <c r="C638" s="319">
        <f>SUM(C633:C637)</f>
        <v>4658</v>
      </c>
      <c r="D638" s="319">
        <v>4683.9852262627228</v>
      </c>
      <c r="E638" s="337"/>
      <c r="F638" s="324"/>
      <c r="G638" s="321"/>
      <c r="H638" s="321"/>
      <c r="I638" s="337"/>
      <c r="J638" s="324"/>
      <c r="K638" s="321"/>
      <c r="M638" s="20"/>
      <c r="N638" s="20"/>
      <c r="O638" s="74"/>
      <c r="P638" s="74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</row>
    <row r="639" spans="1:29">
      <c r="A639" s="309" t="s">
        <v>455</v>
      </c>
      <c r="B639" s="1"/>
      <c r="C639" s="319">
        <f>5697+21813+2492+69</f>
        <v>30071</v>
      </c>
      <c r="D639" s="319">
        <v>30239</v>
      </c>
      <c r="E639" s="337"/>
      <c r="F639" s="321"/>
      <c r="G639" s="321"/>
      <c r="H639" s="321"/>
      <c r="I639" s="337"/>
      <c r="J639" s="321"/>
      <c r="K639" s="321"/>
      <c r="M639" s="20"/>
      <c r="N639" s="20"/>
      <c r="O639" s="74"/>
      <c r="P639" s="74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</row>
    <row r="640" spans="1:29">
      <c r="A640" s="309" t="s">
        <v>104</v>
      </c>
      <c r="B640" s="1"/>
      <c r="C640" s="319">
        <f>960+3719+356+9</f>
        <v>5044</v>
      </c>
      <c r="D640" s="319">
        <v>5072</v>
      </c>
      <c r="E640" s="337"/>
      <c r="F640" s="321"/>
      <c r="G640" s="321"/>
      <c r="H640" s="321"/>
      <c r="I640" s="337"/>
      <c r="J640" s="321"/>
      <c r="K640" s="321"/>
      <c r="M640" s="20"/>
      <c r="N640" s="20"/>
      <c r="O640" s="74"/>
      <c r="P640" s="74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</row>
    <row r="641" spans="1:29">
      <c r="A641" s="309" t="s">
        <v>456</v>
      </c>
      <c r="B641" s="1"/>
      <c r="C641" s="319"/>
      <c r="D641" s="319"/>
      <c r="E641" s="337"/>
      <c r="F641" s="324"/>
      <c r="G641" s="321"/>
      <c r="H641" s="321"/>
      <c r="I641" s="337"/>
      <c r="J641" s="324"/>
      <c r="K641" s="321"/>
      <c r="M641" s="20"/>
      <c r="N641" s="20"/>
      <c r="O641" s="74"/>
      <c r="P641" s="74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</row>
    <row r="642" spans="1:29">
      <c r="A642" s="309" t="s">
        <v>457</v>
      </c>
      <c r="B642" s="1"/>
      <c r="C642" s="319">
        <f>4289</f>
        <v>4289</v>
      </c>
      <c r="D642" s="319">
        <v>3939</v>
      </c>
      <c r="E642" s="337">
        <f>$E$591</f>
        <v>19.87</v>
      </c>
      <c r="F642" s="324"/>
      <c r="G642" s="321">
        <f>ROUND(E642*$C642,0)</f>
        <v>85222</v>
      </c>
      <c r="H642" s="321">
        <f>ROUND(E642*$D642,0)</f>
        <v>78268</v>
      </c>
      <c r="I642" s="337">
        <f>$I$591</f>
        <v>21.83</v>
      </c>
      <c r="J642" s="324"/>
      <c r="K642" s="321">
        <f>ROUND(I642*$C642,0)</f>
        <v>93629</v>
      </c>
      <c r="M642" s="20"/>
      <c r="N642" s="20"/>
      <c r="O642" s="74"/>
      <c r="P642" s="74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</row>
    <row r="643" spans="1:29">
      <c r="A643" s="309" t="s">
        <v>458</v>
      </c>
      <c r="B643" s="1"/>
      <c r="C643" s="319"/>
      <c r="D643" s="319"/>
      <c r="E643" s="337"/>
      <c r="F643" s="324"/>
      <c r="G643" s="321"/>
      <c r="H643" s="321"/>
      <c r="I643" s="337"/>
      <c r="J643" s="324"/>
      <c r="K643" s="321"/>
      <c r="M643" s="20"/>
      <c r="N643" s="20"/>
      <c r="O643" s="74"/>
      <c r="P643" s="74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</row>
    <row r="644" spans="1:29">
      <c r="A644" s="309" t="s">
        <v>452</v>
      </c>
      <c r="B644" s="1"/>
      <c r="C644" s="319">
        <f>49028</f>
        <v>49028</v>
      </c>
      <c r="D644" s="319">
        <v>45025</v>
      </c>
      <c r="E644" s="337">
        <f>$E$593</f>
        <v>19.87</v>
      </c>
      <c r="F644" s="324"/>
      <c r="G644" s="321">
        <f>ROUND(E644*$C644,0)</f>
        <v>974186</v>
      </c>
      <c r="H644" s="321">
        <f>ROUND(E644*$D644,0)</f>
        <v>894647</v>
      </c>
      <c r="I644" s="337">
        <f>$I$593</f>
        <v>21.83</v>
      </c>
      <c r="J644" s="324"/>
      <c r="K644" s="321">
        <f>ROUND(I644*$C644,0)</f>
        <v>1070281</v>
      </c>
      <c r="M644" s="20"/>
      <c r="N644" s="20"/>
      <c r="O644" s="74"/>
      <c r="P644" s="74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</row>
    <row r="645" spans="1:29">
      <c r="A645" s="309" t="s">
        <v>453</v>
      </c>
      <c r="B645" s="1"/>
      <c r="C645" s="319">
        <f>33712</f>
        <v>33712</v>
      </c>
      <c r="D645" s="319">
        <v>30960</v>
      </c>
      <c r="E645" s="337">
        <f>$E$594</f>
        <v>13.64</v>
      </c>
      <c r="F645" s="324"/>
      <c r="G645" s="321">
        <f>ROUND(E645*$C645,0)</f>
        <v>459832</v>
      </c>
      <c r="H645" s="321">
        <f>ROUND(E645*$D645,0)</f>
        <v>422294</v>
      </c>
      <c r="I645" s="337">
        <f>$I$594</f>
        <v>14.98</v>
      </c>
      <c r="J645" s="324"/>
      <c r="K645" s="321">
        <f>ROUND(I645*$C645,0)</f>
        <v>505006</v>
      </c>
      <c r="M645" s="20"/>
      <c r="N645" s="20"/>
      <c r="O645" s="74"/>
      <c r="P645" s="74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</row>
    <row r="646" spans="1:29">
      <c r="A646" s="309" t="s">
        <v>454</v>
      </c>
      <c r="B646" s="1"/>
      <c r="C646" s="319">
        <f>3389</f>
        <v>3389</v>
      </c>
      <c r="D646" s="319">
        <v>3112</v>
      </c>
      <c r="E646" s="337">
        <f>$E$595</f>
        <v>10.62</v>
      </c>
      <c r="F646" s="324"/>
      <c r="G646" s="321">
        <f>ROUND(E646*$C646,0)</f>
        <v>35991</v>
      </c>
      <c r="H646" s="321">
        <f>ROUND(E646*$D646,0)</f>
        <v>33049</v>
      </c>
      <c r="I646" s="337">
        <f>$I$595</f>
        <v>11.67</v>
      </c>
      <c r="J646" s="324"/>
      <c r="K646" s="321">
        <f>ROUND(I646*$C646,0)</f>
        <v>39550</v>
      </c>
      <c r="M646" s="20"/>
      <c r="N646" s="20"/>
      <c r="O646" s="74"/>
      <c r="P646" s="74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</row>
    <row r="647" spans="1:29">
      <c r="A647" s="309" t="s">
        <v>460</v>
      </c>
      <c r="B647" s="1"/>
      <c r="C647" s="319">
        <v>126</v>
      </c>
      <c r="D647" s="319">
        <v>116</v>
      </c>
      <c r="E647" s="337">
        <f>$E$596</f>
        <v>59.61</v>
      </c>
      <c r="F647" s="324"/>
      <c r="G647" s="321">
        <f>ROUND(E647*$C647,0)</f>
        <v>7511</v>
      </c>
      <c r="H647" s="321">
        <f>ROUND(E647*$D647,0)</f>
        <v>6915</v>
      </c>
      <c r="I647" s="337">
        <f>$I$596</f>
        <v>65.48</v>
      </c>
      <c r="J647" s="324"/>
      <c r="K647" s="321">
        <f>ROUND(I647*$C647,0)</f>
        <v>8250</v>
      </c>
      <c r="M647" s="20"/>
      <c r="N647" s="20"/>
      <c r="O647" s="74"/>
      <c r="P647" s="74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</row>
    <row r="648" spans="1:29">
      <c r="A648" s="309" t="s">
        <v>461</v>
      </c>
      <c r="B648" s="1"/>
      <c r="C648" s="319">
        <v>1789</v>
      </c>
      <c r="D648" s="319">
        <v>1643</v>
      </c>
      <c r="E648" s="337">
        <f>$E$597</f>
        <v>119.22</v>
      </c>
      <c r="F648" s="324"/>
      <c r="G648" s="321">
        <f>ROUND(E648*$C648,0)</f>
        <v>213285</v>
      </c>
      <c r="H648" s="321">
        <f>ROUND(E648*$D648,0)</f>
        <v>195878</v>
      </c>
      <c r="I648" s="337">
        <f>$I$597</f>
        <v>130.96</v>
      </c>
      <c r="J648" s="324"/>
      <c r="K648" s="321">
        <f>ROUND(I648*$C648,0)</f>
        <v>234287</v>
      </c>
      <c r="M648" s="20"/>
      <c r="N648" s="20"/>
      <c r="O648" s="74"/>
      <c r="P648" s="74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</row>
    <row r="649" spans="1:29">
      <c r="A649" s="309" t="s">
        <v>462</v>
      </c>
      <c r="B649" s="1"/>
      <c r="C649" s="319"/>
      <c r="D649" s="319"/>
      <c r="E649" s="337"/>
      <c r="F649" s="324"/>
      <c r="G649" s="321"/>
      <c r="H649" s="321"/>
      <c r="I649" s="337"/>
      <c r="J649" s="324"/>
      <c r="K649" s="321"/>
      <c r="M649" s="20"/>
      <c r="N649" s="20"/>
      <c r="O649" s="74"/>
      <c r="P649" s="74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</row>
    <row r="650" spans="1:29">
      <c r="A650" s="309" t="s">
        <v>457</v>
      </c>
      <c r="B650" s="1"/>
      <c r="C650" s="319">
        <v>73</v>
      </c>
      <c r="D650" s="319">
        <f>ROUND(($D$676/$C$676)*C650,0)</f>
        <v>67</v>
      </c>
      <c r="E650" s="363">
        <f>-E642</f>
        <v>-19.87</v>
      </c>
      <c r="F650" s="324"/>
      <c r="G650" s="321">
        <f>ROUND(E650*$C650,0)</f>
        <v>-1451</v>
      </c>
      <c r="H650" s="321">
        <f>ROUND(E650*$D650,0)</f>
        <v>-1331</v>
      </c>
      <c r="I650" s="363">
        <f>-I642</f>
        <v>-21.83</v>
      </c>
      <c r="J650" s="324"/>
      <c r="K650" s="321">
        <f>ROUND(I650*$C650,0)</f>
        <v>-1594</v>
      </c>
      <c r="M650" s="20"/>
      <c r="N650" s="20"/>
      <c r="O650" s="74"/>
      <c r="P650" s="74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</row>
    <row r="651" spans="1:29">
      <c r="A651" s="309" t="s">
        <v>463</v>
      </c>
      <c r="B651" s="1"/>
      <c r="C651" s="319">
        <v>11428</v>
      </c>
      <c r="D651" s="319">
        <f>ROUND(($D$676/$C$676)*C651,0)</f>
        <v>10495</v>
      </c>
      <c r="E651" s="363">
        <f>-E644</f>
        <v>-19.87</v>
      </c>
      <c r="F651" s="324"/>
      <c r="G651" s="321">
        <f>ROUND(E651*$C651,0)</f>
        <v>-227074</v>
      </c>
      <c r="H651" s="321">
        <f>ROUND(E651*$D651,0)</f>
        <v>-208536</v>
      </c>
      <c r="I651" s="363">
        <f>-I644</f>
        <v>-21.83</v>
      </c>
      <c r="J651" s="324"/>
      <c r="K651" s="321">
        <f>ROUND(I651*$C651,0)</f>
        <v>-249473</v>
      </c>
      <c r="M651" s="20"/>
      <c r="N651" s="20"/>
      <c r="O651" s="74"/>
      <c r="P651" s="74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</row>
    <row r="652" spans="1:29">
      <c r="A652" s="323" t="s">
        <v>426</v>
      </c>
      <c r="B652" s="1"/>
      <c r="C652" s="319"/>
      <c r="D652" s="319"/>
      <c r="E652" s="337"/>
      <c r="F652" s="321"/>
      <c r="G652" s="321"/>
      <c r="H652" s="321"/>
      <c r="I652" s="337"/>
      <c r="J652" s="321"/>
      <c r="K652" s="321"/>
      <c r="M652" s="20"/>
      <c r="N652" s="20"/>
      <c r="O652" s="74"/>
      <c r="P652" s="74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</row>
    <row r="653" spans="1:29">
      <c r="A653" s="309" t="s">
        <v>464</v>
      </c>
      <c r="B653" s="1"/>
      <c r="C653" s="319">
        <f>5084272+75575644+56800989+6712400</f>
        <v>144173305</v>
      </c>
      <c r="D653" s="319">
        <f>ROUND(($D$676/$C$676)*C653,0)</f>
        <v>132402479</v>
      </c>
      <c r="E653" s="382">
        <f>$E$602</f>
        <v>5.3710000000000004</v>
      </c>
      <c r="F653" s="321" t="s">
        <v>374</v>
      </c>
      <c r="G653" s="321">
        <f>ROUND(E653/100*$C653,0)</f>
        <v>7743548</v>
      </c>
      <c r="H653" s="321">
        <f>ROUND(E653/100*$D653,0)</f>
        <v>7111337</v>
      </c>
      <c r="I653" s="382">
        <f>$I$602</f>
        <v>5.9</v>
      </c>
      <c r="J653" s="321" t="s">
        <v>374</v>
      </c>
      <c r="K653" s="321">
        <f>ROUND(I653/100*$C653,0)</f>
        <v>8506225</v>
      </c>
      <c r="M653" s="20"/>
      <c r="N653" s="20"/>
      <c r="O653" s="74"/>
      <c r="P653" s="74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</row>
    <row r="654" spans="1:29">
      <c r="A654" s="323" t="s">
        <v>400</v>
      </c>
      <c r="B654" s="1"/>
      <c r="C654" s="275">
        <f>1923+20850+3348</f>
        <v>26121</v>
      </c>
      <c r="D654" s="319">
        <f>ROUND(($D$676/$C$676)*C654,0)</f>
        <v>23988</v>
      </c>
      <c r="E654" s="339">
        <f>$E$603</f>
        <v>45</v>
      </c>
      <c r="F654" s="323" t="s">
        <v>374</v>
      </c>
      <c r="G654" s="321">
        <f>ROUND(E654*$C654/100,0)</f>
        <v>11754</v>
      </c>
      <c r="H654" s="321">
        <f>ROUND(E654*$D654/100,0)</f>
        <v>10795</v>
      </c>
      <c r="I654" s="339">
        <f>$I$603</f>
        <v>50</v>
      </c>
      <c r="J654" s="323" t="s">
        <v>374</v>
      </c>
      <c r="K654" s="321">
        <f>ROUND(I654*$C654/100,0)</f>
        <v>13061</v>
      </c>
      <c r="M654" s="20"/>
      <c r="N654" s="20"/>
      <c r="O654" s="74"/>
      <c r="P654" s="74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</row>
    <row r="655" spans="1:29">
      <c r="A655" s="360" t="s">
        <v>401</v>
      </c>
      <c r="B655" s="1"/>
      <c r="C655" s="319"/>
      <c r="D655" s="319"/>
      <c r="E655" s="332">
        <v>-0.01</v>
      </c>
      <c r="F655" s="2"/>
      <c r="G655" s="321"/>
      <c r="H655" s="321"/>
      <c r="I655" s="332">
        <v>-0.01</v>
      </c>
      <c r="J655" s="1"/>
      <c r="K655" s="321"/>
      <c r="M655" s="20"/>
      <c r="N655" s="20"/>
      <c r="O655" s="74"/>
      <c r="P655" s="74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</row>
    <row r="656" spans="1:29">
      <c r="A656" s="309" t="s">
        <v>390</v>
      </c>
      <c r="B656" s="1"/>
      <c r="C656" s="319">
        <v>0</v>
      </c>
      <c r="D656" s="319">
        <v>0</v>
      </c>
      <c r="E656" s="384">
        <f>E633</f>
        <v>0</v>
      </c>
      <c r="F656" s="324"/>
      <c r="G656" s="321">
        <f>ROUND(E656*$C656*$E$604,0)</f>
        <v>0</v>
      </c>
      <c r="H656" s="321">
        <f>ROUND(E656*$D656*$E$604,0)</f>
        <v>0</v>
      </c>
      <c r="I656" s="384">
        <f>I633</f>
        <v>0</v>
      </c>
      <c r="J656" s="324"/>
      <c r="K656" s="321">
        <f>ROUND(I656*$C656*$E$604,0)</f>
        <v>0</v>
      </c>
      <c r="M656" s="20"/>
      <c r="N656" s="20"/>
      <c r="O656" s="74"/>
      <c r="P656" s="74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</row>
    <row r="657" spans="1:29">
      <c r="A657" s="309" t="s">
        <v>391</v>
      </c>
      <c r="B657" s="1"/>
      <c r="C657" s="319"/>
      <c r="D657" s="319"/>
      <c r="E657" s="384"/>
      <c r="F657" s="324"/>
      <c r="G657" s="321"/>
      <c r="H657" s="321"/>
      <c r="I657" s="384"/>
      <c r="J657" s="324"/>
      <c r="K657" s="321"/>
      <c r="M657" s="20"/>
      <c r="N657" s="20"/>
      <c r="O657" s="74"/>
      <c r="P657" s="74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</row>
    <row r="658" spans="1:29">
      <c r="A658" s="309" t="s">
        <v>452</v>
      </c>
      <c r="B658" s="1"/>
      <c r="C658" s="319">
        <v>0</v>
      </c>
      <c r="D658" s="319">
        <v>0</v>
      </c>
      <c r="E658" s="384">
        <f>E635</f>
        <v>0</v>
      </c>
      <c r="F658" s="324"/>
      <c r="G658" s="321">
        <f>ROUND(E658*$C658*$E$604,0)</f>
        <v>0</v>
      </c>
      <c r="H658" s="321">
        <f>ROUND(E658*$D658*$E$604,0)</f>
        <v>0</v>
      </c>
      <c r="I658" s="384">
        <f>I635</f>
        <v>0</v>
      </c>
      <c r="J658" s="324"/>
      <c r="K658" s="321">
        <f>ROUND(I658*$C658*$E$604,0)</f>
        <v>0</v>
      </c>
      <c r="M658" s="20"/>
      <c r="N658" s="20"/>
      <c r="O658" s="74"/>
      <c r="P658" s="74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</row>
    <row r="659" spans="1:29">
      <c r="A659" s="309" t="s">
        <v>453</v>
      </c>
      <c r="B659" s="1"/>
      <c r="C659" s="319">
        <v>0</v>
      </c>
      <c r="D659" s="319">
        <v>0</v>
      </c>
      <c r="E659" s="384">
        <f>E636</f>
        <v>301</v>
      </c>
      <c r="F659" s="324"/>
      <c r="G659" s="321">
        <f>ROUND(E659*$C659*$E$604,0)</f>
        <v>0</v>
      </c>
      <c r="H659" s="321">
        <f>ROUND(E659*$D659*$E$604,0)</f>
        <v>0</v>
      </c>
      <c r="I659" s="384">
        <f>I636</f>
        <v>333</v>
      </c>
      <c r="J659" s="324"/>
      <c r="K659" s="321">
        <f>ROUND(I659*$C659*$E$604,0)</f>
        <v>0</v>
      </c>
      <c r="M659" s="20"/>
      <c r="N659" s="20"/>
      <c r="O659" s="74"/>
      <c r="P659" s="74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</row>
    <row r="660" spans="1:29">
      <c r="A660" s="309" t="s">
        <v>454</v>
      </c>
      <c r="B660" s="1"/>
      <c r="C660" s="319">
        <v>0</v>
      </c>
      <c r="D660" s="319">
        <v>0</v>
      </c>
      <c r="E660" s="384">
        <f>E637</f>
        <v>1215</v>
      </c>
      <c r="F660" s="324"/>
      <c r="G660" s="321">
        <f>ROUND(E660*$C660*$E$604,0)</f>
        <v>0</v>
      </c>
      <c r="H660" s="321">
        <f>ROUND(E660*$D660*$E$604,0)</f>
        <v>0</v>
      </c>
      <c r="I660" s="384">
        <f>I637</f>
        <v>1335</v>
      </c>
      <c r="J660" s="324"/>
      <c r="K660" s="321">
        <f>ROUND(I660*$C660*$E$604,0)</f>
        <v>0</v>
      </c>
      <c r="M660" s="20"/>
      <c r="N660" s="20"/>
      <c r="O660" s="74"/>
      <c r="P660" s="74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</row>
    <row r="661" spans="1:29">
      <c r="A661" s="309" t="s">
        <v>390</v>
      </c>
      <c r="B661" s="1"/>
      <c r="C661" s="319">
        <v>0</v>
      </c>
      <c r="D661" s="319">
        <v>0</v>
      </c>
      <c r="E661" s="384">
        <f>E642</f>
        <v>19.87</v>
      </c>
      <c r="F661" s="324"/>
      <c r="G661" s="321">
        <f>ROUND(E661*$C661*$E$604,0)</f>
        <v>0</v>
      </c>
      <c r="H661" s="321">
        <f>ROUND(E661*$D661*$E$604,0)</f>
        <v>0</v>
      </c>
      <c r="I661" s="384">
        <f>I642</f>
        <v>21.83</v>
      </c>
      <c r="J661" s="324"/>
      <c r="K661" s="321">
        <f>ROUND(I661*$C661*$E$604,0)</f>
        <v>0</v>
      </c>
      <c r="M661" s="20"/>
      <c r="N661" s="20"/>
      <c r="O661" s="74"/>
      <c r="P661" s="74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</row>
    <row r="662" spans="1:29">
      <c r="A662" s="309" t="s">
        <v>391</v>
      </c>
      <c r="B662" s="1"/>
      <c r="C662" s="319"/>
      <c r="D662" s="319"/>
      <c r="E662" s="384"/>
      <c r="F662" s="324"/>
      <c r="G662" s="321"/>
      <c r="H662" s="321"/>
      <c r="I662" s="384"/>
      <c r="J662" s="324"/>
      <c r="K662" s="321"/>
      <c r="M662" s="20"/>
      <c r="N662" s="20"/>
      <c r="O662" s="74"/>
      <c r="P662" s="74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</row>
    <row r="663" spans="1:29">
      <c r="A663" s="309" t="s">
        <v>452</v>
      </c>
      <c r="B663" s="1"/>
      <c r="C663" s="319">
        <v>0</v>
      </c>
      <c r="D663" s="319">
        <f>ROUND(($D$676/$C$676)*C663,0)</f>
        <v>0</v>
      </c>
      <c r="E663" s="384">
        <f>E644</f>
        <v>19.87</v>
      </c>
      <c r="F663" s="324"/>
      <c r="G663" s="321">
        <f>ROUND(E663*$C663*$E$604,0)</f>
        <v>0</v>
      </c>
      <c r="H663" s="321">
        <f>ROUND(E663*$D663*$E$604,0)</f>
        <v>0</v>
      </c>
      <c r="I663" s="384">
        <f>I644</f>
        <v>21.83</v>
      </c>
      <c r="J663" s="324"/>
      <c r="K663" s="321">
        <f>ROUND(I663*$C663*$E$604,0)</f>
        <v>0</v>
      </c>
      <c r="M663" s="20"/>
      <c r="N663" s="20"/>
      <c r="O663" s="74"/>
      <c r="P663" s="74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</row>
    <row r="664" spans="1:29">
      <c r="A664" s="309" t="s">
        <v>453</v>
      </c>
      <c r="B664" s="1"/>
      <c r="C664" s="319">
        <v>0</v>
      </c>
      <c r="D664" s="319">
        <f>ROUND(($D$676/$C$676)*C664,0)</f>
        <v>0</v>
      </c>
      <c r="E664" s="384">
        <f>E645</f>
        <v>13.64</v>
      </c>
      <c r="F664" s="324"/>
      <c r="G664" s="321">
        <f>ROUND(E664*$C664*$E$604,0)</f>
        <v>0</v>
      </c>
      <c r="H664" s="321">
        <f>ROUND(E664*$D664*$E$604,0)</f>
        <v>0</v>
      </c>
      <c r="I664" s="384">
        <f>I645</f>
        <v>14.98</v>
      </c>
      <c r="J664" s="324"/>
      <c r="K664" s="321">
        <f>ROUND(I664*$C664*$E$604,0)</f>
        <v>0</v>
      </c>
      <c r="M664" s="20"/>
      <c r="N664" s="20"/>
      <c r="O664" s="74"/>
      <c r="P664" s="74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</row>
    <row r="665" spans="1:29">
      <c r="A665" s="309" t="s">
        <v>454</v>
      </c>
      <c r="B665" s="1"/>
      <c r="C665" s="319">
        <v>0</v>
      </c>
      <c r="D665" s="319">
        <f>ROUND(($D$676/$C$676)*C665,0)</f>
        <v>0</v>
      </c>
      <c r="E665" s="384">
        <f>E646</f>
        <v>10.62</v>
      </c>
      <c r="F665" s="324"/>
      <c r="G665" s="321">
        <f>ROUND(E665*$C665*$E$604,0)</f>
        <v>0</v>
      </c>
      <c r="H665" s="321">
        <f>ROUND(E665*$D665*$E$604,0)</f>
        <v>0</v>
      </c>
      <c r="I665" s="384">
        <f>I646</f>
        <v>11.67</v>
      </c>
      <c r="J665" s="324"/>
      <c r="K665" s="321">
        <f>ROUND(I665*$C665*$E$604,0)</f>
        <v>0</v>
      </c>
      <c r="M665" s="20"/>
      <c r="N665" s="20"/>
      <c r="O665" s="74"/>
      <c r="P665" s="74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</row>
    <row r="666" spans="1:29">
      <c r="A666" s="309" t="s">
        <v>465</v>
      </c>
      <c r="B666" s="1"/>
      <c r="C666" s="319">
        <v>0</v>
      </c>
      <c r="D666" s="319">
        <v>0</v>
      </c>
      <c r="E666" s="353">
        <f>E647</f>
        <v>59.61</v>
      </c>
      <c r="F666" s="324"/>
      <c r="G666" s="321">
        <f>ROUND(E666*$C666*$E$604,0)</f>
        <v>0</v>
      </c>
      <c r="H666" s="321">
        <f>ROUND(E666*$D666*$E$604,0)</f>
        <v>0</v>
      </c>
      <c r="I666" s="353">
        <f>I647</f>
        <v>65.48</v>
      </c>
      <c r="J666" s="324"/>
      <c r="K666" s="321">
        <f>ROUND(I666*$C666*$E$604,0)</f>
        <v>0</v>
      </c>
      <c r="M666" s="20"/>
      <c r="N666" s="20"/>
      <c r="O666" s="74"/>
      <c r="P666" s="74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</row>
    <row r="667" spans="1:29">
      <c r="A667" s="309" t="s">
        <v>466</v>
      </c>
      <c r="B667" s="1"/>
      <c r="C667" s="319">
        <v>0</v>
      </c>
      <c r="D667" s="319">
        <v>0</v>
      </c>
      <c r="E667" s="353">
        <f>E648</f>
        <v>119.22</v>
      </c>
      <c r="F667" s="324"/>
      <c r="G667" s="321">
        <f>ROUND(E667*$C667*$E$604,0)</f>
        <v>0</v>
      </c>
      <c r="H667" s="321">
        <f>ROUND(E667*$D667*$E$604,0)</f>
        <v>0</v>
      </c>
      <c r="I667" s="353">
        <f>I648</f>
        <v>130.96</v>
      </c>
      <c r="J667" s="324"/>
      <c r="K667" s="321">
        <f>ROUND(I667*$C667*$E$604,0)</f>
        <v>0</v>
      </c>
      <c r="M667" s="20"/>
      <c r="N667" s="20"/>
      <c r="O667" s="74"/>
      <c r="P667" s="74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</row>
    <row r="668" spans="1:29">
      <c r="A668" s="309" t="s">
        <v>462</v>
      </c>
      <c r="B668" s="1"/>
      <c r="C668" s="319"/>
      <c r="D668" s="319"/>
      <c r="E668" s="337"/>
      <c r="F668" s="324"/>
      <c r="G668" s="321"/>
      <c r="H668" s="321"/>
      <c r="I668" s="337"/>
      <c r="J668" s="324"/>
      <c r="K668" s="321"/>
      <c r="M668" s="20"/>
      <c r="N668" s="20"/>
      <c r="O668" s="74"/>
      <c r="P668" s="74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</row>
    <row r="669" spans="1:29">
      <c r="A669" s="309" t="s">
        <v>457</v>
      </c>
      <c r="B669" s="1"/>
      <c r="C669" s="319">
        <v>0</v>
      </c>
      <c r="D669" s="319">
        <f>ROUND(($D$676/$C$676)*C669,0)</f>
        <v>0</v>
      </c>
      <c r="E669" s="363">
        <f>E650</f>
        <v>-19.87</v>
      </c>
      <c r="F669" s="324"/>
      <c r="G669" s="321">
        <f>ROUND(E669*$C669*$E$604,0)</f>
        <v>0</v>
      </c>
      <c r="H669" s="321">
        <f>ROUND(E669*$D669*$E$604,0)</f>
        <v>0</v>
      </c>
      <c r="I669" s="363">
        <f>I650</f>
        <v>-21.83</v>
      </c>
      <c r="J669" s="324"/>
      <c r="K669" s="321">
        <f>ROUND(I669*$C669*$E$604,0)</f>
        <v>0</v>
      </c>
      <c r="M669" s="20"/>
      <c r="N669" s="20"/>
      <c r="O669" s="74"/>
      <c r="P669" s="74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</row>
    <row r="670" spans="1:29">
      <c r="A670" s="309" t="s">
        <v>463</v>
      </c>
      <c r="B670" s="1"/>
      <c r="C670" s="319">
        <v>0</v>
      </c>
      <c r="D670" s="319">
        <f>ROUND(($D$676/$C$676)*C670,0)</f>
        <v>0</v>
      </c>
      <c r="E670" s="363">
        <f>E651</f>
        <v>-19.87</v>
      </c>
      <c r="F670" s="324"/>
      <c r="G670" s="321">
        <f>ROUND(E670*$C670*$E$604,0)</f>
        <v>0</v>
      </c>
      <c r="H670" s="321">
        <f>ROUND(E670*$D670*$E$604,0)</f>
        <v>0</v>
      </c>
      <c r="I670" s="363">
        <f>I651</f>
        <v>-21.83</v>
      </c>
      <c r="J670" s="324"/>
      <c r="K670" s="321">
        <f>ROUND(I670*$C670*$E$604,0)</f>
        <v>0</v>
      </c>
      <c r="M670" s="20"/>
      <c r="N670" s="20"/>
      <c r="O670" s="74"/>
      <c r="P670" s="74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</row>
    <row r="671" spans="1:29">
      <c r="A671" s="323" t="s">
        <v>426</v>
      </c>
      <c r="B671" s="1"/>
      <c r="C671" s="319"/>
      <c r="D671" s="319"/>
      <c r="E671" s="384"/>
      <c r="F671" s="321"/>
      <c r="G671" s="321"/>
      <c r="H671" s="321"/>
      <c r="I671" s="384"/>
      <c r="J671" s="321"/>
      <c r="K671" s="321"/>
      <c r="M671" s="20"/>
      <c r="N671" s="20"/>
      <c r="O671" s="74"/>
      <c r="P671" s="74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</row>
    <row r="672" spans="1:29">
      <c r="A672" s="309" t="s">
        <v>464</v>
      </c>
      <c r="B672" s="1"/>
      <c r="C672" s="319">
        <v>0</v>
      </c>
      <c r="D672" s="319">
        <f>ROUND(($D$676/$C$676)*C672,0)</f>
        <v>0</v>
      </c>
      <c r="E672" s="385">
        <f>E653</f>
        <v>5.3710000000000004</v>
      </c>
      <c r="F672" s="321" t="s">
        <v>374</v>
      </c>
      <c r="G672" s="321">
        <f>ROUND(E672/100*$C672*$E$604,0)</f>
        <v>0</v>
      </c>
      <c r="H672" s="321">
        <f>ROUND(E672/100*$D672*$E$604,0)</f>
        <v>0</v>
      </c>
      <c r="I672" s="385">
        <f>I653</f>
        <v>5.9</v>
      </c>
      <c r="J672" s="321" t="s">
        <v>374</v>
      </c>
      <c r="K672" s="321">
        <f>ROUND(I672/100*$C672*$E$604,0)</f>
        <v>0</v>
      </c>
      <c r="M672" s="20"/>
      <c r="N672" s="20"/>
      <c r="O672" s="74"/>
      <c r="P672" s="74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</row>
    <row r="673" spans="1:29">
      <c r="A673" s="323" t="s">
        <v>400</v>
      </c>
      <c r="B673" s="1"/>
      <c r="C673" s="319">
        <v>0</v>
      </c>
      <c r="D673" s="319">
        <f>ROUND(($D$676/$C$676)*C673,0)</f>
        <v>0</v>
      </c>
      <c r="E673" s="375">
        <f>E654</f>
        <v>45</v>
      </c>
      <c r="F673" s="321" t="s">
        <v>374</v>
      </c>
      <c r="G673" s="321">
        <f>ROUND(E673/100*$C673*$E$604,0)</f>
        <v>0</v>
      </c>
      <c r="H673" s="321">
        <f>ROUND(E673/100*$D673*$E$604,0)</f>
        <v>0</v>
      </c>
      <c r="I673" s="375">
        <f>I654</f>
        <v>50</v>
      </c>
      <c r="J673" s="323" t="s">
        <v>374</v>
      </c>
      <c r="K673" s="321">
        <f>ROUND(I673/100*$C673*$E$604,0)</f>
        <v>0</v>
      </c>
      <c r="M673" s="20"/>
      <c r="N673" s="20"/>
      <c r="O673" s="74"/>
      <c r="P673" s="74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</row>
    <row r="674" spans="1:29">
      <c r="A674" s="323" t="s">
        <v>443</v>
      </c>
      <c r="B674" s="1"/>
      <c r="C674" s="319">
        <v>0</v>
      </c>
      <c r="D674" s="319">
        <v>0</v>
      </c>
      <c r="E674" s="298">
        <f>$E$623</f>
        <v>60</v>
      </c>
      <c r="F674" s="364" t="s">
        <v>31</v>
      </c>
      <c r="G674" s="321">
        <f>ROUND(E674*$C674,0)</f>
        <v>0</v>
      </c>
      <c r="H674" s="321">
        <f>ROUND(E674*$D674,0)</f>
        <v>0</v>
      </c>
      <c r="I674" s="298">
        <f>$I$623</f>
        <v>60</v>
      </c>
      <c r="J674" s="1"/>
      <c r="K674" s="321">
        <f>ROUND(I674*$C674,0)</f>
        <v>0</v>
      </c>
      <c r="M674" s="20"/>
      <c r="N674" s="20"/>
      <c r="O674" s="74"/>
      <c r="P674" s="74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</row>
    <row r="675" spans="1:29">
      <c r="A675" s="323" t="s">
        <v>444</v>
      </c>
      <c r="B675" s="1"/>
      <c r="C675" s="319">
        <v>0</v>
      </c>
      <c r="D675" s="319">
        <f>ROUND(($D$676/$C$676)*C675,0)</f>
        <v>0</v>
      </c>
      <c r="E675" s="339">
        <f>$E$624</f>
        <v>-30</v>
      </c>
      <c r="F675" s="321" t="s">
        <v>374</v>
      </c>
      <c r="G675" s="321">
        <f>ROUND(E675*$C675,0)</f>
        <v>0</v>
      </c>
      <c r="H675" s="321">
        <f>ROUND(E675*$D675,0)</f>
        <v>0</v>
      </c>
      <c r="I675" s="339">
        <f>$I$624</f>
        <v>-30</v>
      </c>
      <c r="J675" s="321" t="s">
        <v>374</v>
      </c>
      <c r="K675" s="321">
        <f>ROUND(I675*$C675,0)</f>
        <v>0</v>
      </c>
      <c r="M675" s="20"/>
      <c r="N675" s="20"/>
      <c r="O675" s="74"/>
      <c r="P675" s="74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</row>
    <row r="676" spans="1:29">
      <c r="A676" s="1" t="s">
        <v>381</v>
      </c>
      <c r="B676" s="1"/>
      <c r="C676" s="319">
        <f>SUM(C653:C653)</f>
        <v>144173305</v>
      </c>
      <c r="D676" s="319">
        <v>132402479.40697747</v>
      </c>
      <c r="E676" s="330"/>
      <c r="F676" s="2"/>
      <c r="G676" s="2">
        <f>SUM(G633:G675)</f>
        <v>9419089</v>
      </c>
      <c r="H676" s="2">
        <f>SUM(H633:H675)</f>
        <v>8660203</v>
      </c>
      <c r="I676" s="330"/>
      <c r="J676" s="323"/>
      <c r="K676" s="2">
        <f>SUM(K633:K675)</f>
        <v>10347787</v>
      </c>
      <c r="M676" s="20"/>
      <c r="N676" s="20"/>
      <c r="O676" s="74"/>
      <c r="P676" s="74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</row>
    <row r="677" spans="1:29">
      <c r="A677" s="1" t="s">
        <v>363</v>
      </c>
      <c r="B677" s="1"/>
      <c r="C677" s="349" t="e">
        <f>#REF!</f>
        <v>#REF!</v>
      </c>
      <c r="D677" s="349">
        <v>0</v>
      </c>
      <c r="E677" s="309"/>
      <c r="F677" s="309"/>
      <c r="G677" s="310" t="e">
        <f>#REF!</f>
        <v>#REF!</v>
      </c>
      <c r="H677" s="310">
        <v>0</v>
      </c>
      <c r="I677" s="309"/>
      <c r="J677" s="309"/>
      <c r="K677" s="310" t="e">
        <f>G677</f>
        <v>#REF!</v>
      </c>
      <c r="M677" s="444"/>
      <c r="N677" s="444"/>
      <c r="O677" s="287"/>
      <c r="P677" s="74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</row>
    <row r="678" spans="1:29" ht="16.5" thickBot="1">
      <c r="A678" s="1" t="s">
        <v>382</v>
      </c>
      <c r="B678" s="1"/>
      <c r="C678" s="366" t="e">
        <f>SUM(C676:C677)</f>
        <v>#REF!</v>
      </c>
      <c r="D678" s="366">
        <f>SUM(D676:D677)</f>
        <v>132402479.40697747</v>
      </c>
      <c r="E678" s="342"/>
      <c r="F678" s="343"/>
      <c r="G678" s="344" t="e">
        <f>G676+G677</f>
        <v>#REF!</v>
      </c>
      <c r="H678" s="344">
        <f>H676+H677</f>
        <v>8660203</v>
      </c>
      <c r="I678" s="342"/>
      <c r="J678" s="345"/>
      <c r="K678" s="344" t="e">
        <f>K676+K677</f>
        <v>#REF!</v>
      </c>
      <c r="M678" s="411"/>
      <c r="N678" s="411"/>
      <c r="O678" s="470"/>
      <c r="P678" s="74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</row>
    <row r="679" spans="1:29" ht="16.5" thickTop="1">
      <c r="A679" s="1"/>
      <c r="B679" s="1"/>
      <c r="C679" s="26"/>
      <c r="D679" s="26"/>
      <c r="E679" s="351"/>
      <c r="F679" s="352"/>
      <c r="G679" s="322"/>
      <c r="H679" s="322"/>
      <c r="I679" s="386" t="s">
        <v>31</v>
      </c>
      <c r="J679" s="23"/>
      <c r="K679" s="272" t="s">
        <v>31</v>
      </c>
      <c r="M679" s="20"/>
      <c r="N679" s="20"/>
      <c r="O679" s="74"/>
      <c r="P679" s="74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</row>
    <row r="680" spans="1:29">
      <c r="A680" s="293" t="s">
        <v>467</v>
      </c>
      <c r="B680" s="1"/>
      <c r="C680" s="21"/>
      <c r="D680" s="21"/>
      <c r="E680" s="337"/>
      <c r="F680" s="2"/>
      <c r="G680" s="2"/>
      <c r="H680" s="2"/>
      <c r="I680" s="337"/>
      <c r="J680" s="1"/>
      <c r="K680" s="2"/>
      <c r="M680" s="20"/>
      <c r="N680" s="20"/>
      <c r="O680" s="74"/>
      <c r="P680" s="74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</row>
    <row r="681" spans="1:29">
      <c r="A681" s="309" t="s">
        <v>468</v>
      </c>
      <c r="B681" s="1"/>
      <c r="C681" s="21"/>
      <c r="D681" s="21"/>
      <c r="E681" s="337"/>
      <c r="F681" s="2"/>
      <c r="G681" s="2"/>
      <c r="H681" s="2"/>
      <c r="I681" s="337"/>
      <c r="J681" s="1"/>
      <c r="K681" s="2"/>
      <c r="M681" s="20"/>
      <c r="N681" s="20"/>
      <c r="O681" s="74"/>
      <c r="P681" s="74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</row>
    <row r="682" spans="1:29">
      <c r="A682" s="323"/>
      <c r="B682" s="1"/>
      <c r="C682" s="21"/>
      <c r="D682" s="21"/>
      <c r="E682" s="337"/>
      <c r="F682" s="2"/>
      <c r="G682" s="380"/>
      <c r="H682" s="380"/>
      <c r="I682" s="337"/>
      <c r="J682" s="1"/>
      <c r="K682" s="381"/>
      <c r="M682" s="20"/>
      <c r="N682" s="20"/>
      <c r="O682" s="74"/>
      <c r="P682" s="74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</row>
    <row r="683" spans="1:29">
      <c r="A683" s="309" t="s">
        <v>449</v>
      </c>
      <c r="B683" s="1"/>
      <c r="C683" s="319"/>
      <c r="D683" s="319"/>
      <c r="E683" s="2" t="s">
        <v>31</v>
      </c>
      <c r="F683" s="2"/>
      <c r="G683" s="1"/>
      <c r="H683" s="1"/>
      <c r="I683" s="2" t="s">
        <v>31</v>
      </c>
      <c r="J683" s="1"/>
      <c r="K683" s="1"/>
      <c r="M683" s="20"/>
      <c r="N683" s="20"/>
      <c r="O683" s="74"/>
      <c r="P683" s="74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</row>
    <row r="684" spans="1:29">
      <c r="A684" s="309" t="s">
        <v>450</v>
      </c>
      <c r="B684" s="1"/>
      <c r="C684" s="319">
        <v>161</v>
      </c>
      <c r="D684" s="319">
        <v>167</v>
      </c>
      <c r="E684" s="337">
        <f>$E$582</f>
        <v>0</v>
      </c>
      <c r="F684" s="324"/>
      <c r="G684" s="321">
        <f>ROUND(E684*$C684,0)</f>
        <v>0</v>
      </c>
      <c r="H684" s="321">
        <f>ROUND(E684*$D684,0)</f>
        <v>0</v>
      </c>
      <c r="I684" s="337">
        <f>$I$582</f>
        <v>0</v>
      </c>
      <c r="J684" s="324"/>
      <c r="K684" s="321">
        <f>ROUND(I684*$C684,0)</f>
        <v>0</v>
      </c>
      <c r="M684" s="20"/>
      <c r="N684" s="20"/>
      <c r="O684" s="74"/>
      <c r="P684" s="74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</row>
    <row r="685" spans="1:29">
      <c r="A685" s="309" t="s">
        <v>451</v>
      </c>
      <c r="B685" s="1"/>
      <c r="C685" s="319"/>
      <c r="D685" s="319"/>
      <c r="E685" s="337"/>
      <c r="F685" s="324"/>
      <c r="G685" s="321"/>
      <c r="H685" s="321"/>
      <c r="I685" s="337"/>
      <c r="J685" s="324"/>
      <c r="K685" s="321"/>
      <c r="M685" s="20"/>
      <c r="N685" s="20"/>
      <c r="O685" s="74"/>
      <c r="P685" s="74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</row>
    <row r="686" spans="1:29">
      <c r="A686" s="309" t="s">
        <v>452</v>
      </c>
      <c r="B686" s="1"/>
      <c r="C686" s="319">
        <v>387</v>
      </c>
      <c r="D686" s="319">
        <v>401</v>
      </c>
      <c r="E686" s="337">
        <f>$E$584</f>
        <v>0</v>
      </c>
      <c r="F686" s="324"/>
      <c r="G686" s="321">
        <f>ROUND(E686*$C686,0)</f>
        <v>0</v>
      </c>
      <c r="H686" s="321">
        <f>ROUND(E686*$D686,0)</f>
        <v>0</v>
      </c>
      <c r="I686" s="337">
        <f>$I$584</f>
        <v>0</v>
      </c>
      <c r="J686" s="324"/>
      <c r="K686" s="321">
        <f>ROUND(I686*$C686,0)</f>
        <v>0</v>
      </c>
      <c r="M686" s="20"/>
      <c r="N686" s="20"/>
      <c r="O686" s="74"/>
      <c r="P686" s="74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</row>
    <row r="687" spans="1:29">
      <c r="A687" s="309" t="s">
        <v>453</v>
      </c>
      <c r="B687" s="1"/>
      <c r="C687" s="319">
        <v>37</v>
      </c>
      <c r="D687" s="319">
        <v>38</v>
      </c>
      <c r="E687" s="337">
        <f>$E$585</f>
        <v>301</v>
      </c>
      <c r="F687" s="324"/>
      <c r="G687" s="321">
        <f>ROUND(E687*$C687,0)</f>
        <v>11137</v>
      </c>
      <c r="H687" s="321">
        <f>ROUND(E687*$D687,0)</f>
        <v>11438</v>
      </c>
      <c r="I687" s="337">
        <f>$I$585</f>
        <v>333</v>
      </c>
      <c r="J687" s="324"/>
      <c r="K687" s="321">
        <f>ROUND(I687*$C687,0)</f>
        <v>12321</v>
      </c>
      <c r="M687" s="20"/>
      <c r="N687" s="20"/>
      <c r="O687" s="74"/>
      <c r="P687" s="74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</row>
    <row r="688" spans="1:29">
      <c r="A688" s="309" t="s">
        <v>454</v>
      </c>
      <c r="B688" s="1"/>
      <c r="C688" s="319">
        <v>2</v>
      </c>
      <c r="D688" s="319">
        <v>2</v>
      </c>
      <c r="E688" s="337">
        <f>$E$586</f>
        <v>1215</v>
      </c>
      <c r="F688" s="324"/>
      <c r="G688" s="321">
        <f>ROUND(E688*$C688,0)</f>
        <v>2430</v>
      </c>
      <c r="H688" s="321">
        <f>ROUND(E688*$D688,0)</f>
        <v>2430</v>
      </c>
      <c r="I688" s="337">
        <f>$I$586</f>
        <v>1335</v>
      </c>
      <c r="J688" s="324"/>
      <c r="K688" s="321">
        <f>ROUND(I688*$C688,0)</f>
        <v>2670</v>
      </c>
      <c r="M688" s="20"/>
      <c r="N688" s="20"/>
      <c r="O688" s="74"/>
      <c r="P688" s="74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</row>
    <row r="689" spans="1:29">
      <c r="A689" s="309" t="s">
        <v>362</v>
      </c>
      <c r="B689" s="1"/>
      <c r="C689" s="319">
        <f>SUM(C684:C688)</f>
        <v>587</v>
      </c>
      <c r="D689" s="319">
        <v>608.93144040394361</v>
      </c>
      <c r="E689" s="337"/>
      <c r="F689" s="324"/>
      <c r="G689" s="321"/>
      <c r="H689" s="321"/>
      <c r="I689" s="337"/>
      <c r="J689" s="324"/>
      <c r="K689" s="321"/>
      <c r="M689" s="20"/>
      <c r="N689" s="20"/>
      <c r="O689" s="74"/>
      <c r="P689" s="74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</row>
    <row r="690" spans="1:29">
      <c r="A690" s="309" t="s">
        <v>455</v>
      </c>
      <c r="B690" s="1"/>
      <c r="C690" s="319">
        <f>4+8+1033+2769+281+16</f>
        <v>4111</v>
      </c>
      <c r="D690" s="319">
        <v>4265</v>
      </c>
      <c r="E690" s="337"/>
      <c r="F690" s="321"/>
      <c r="G690" s="321"/>
      <c r="H690" s="321"/>
      <c r="I690" s="337"/>
      <c r="J690" s="321"/>
      <c r="K690" s="321"/>
      <c r="M690" s="20"/>
      <c r="N690" s="20"/>
      <c r="O690" s="74"/>
      <c r="P690" s="74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</row>
    <row r="691" spans="1:29">
      <c r="A691" s="309" t="s">
        <v>104</v>
      </c>
      <c r="B691" s="1"/>
      <c r="C691" s="319">
        <f>1+1+181+460+38+2</f>
        <v>683</v>
      </c>
      <c r="D691" s="319">
        <v>709</v>
      </c>
      <c r="E691" s="337"/>
      <c r="F691" s="321"/>
      <c r="G691" s="321"/>
      <c r="H691" s="321"/>
      <c r="I691" s="337"/>
      <c r="J691" s="321"/>
      <c r="K691" s="321"/>
      <c r="M691" s="20"/>
      <c r="N691" s="20"/>
      <c r="O691" s="74"/>
      <c r="P691" s="74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</row>
    <row r="692" spans="1:29">
      <c r="A692" s="309" t="s">
        <v>456</v>
      </c>
      <c r="B692" s="1"/>
      <c r="C692" s="319"/>
      <c r="D692" s="319"/>
      <c r="E692" s="337"/>
      <c r="F692" s="324"/>
      <c r="G692" s="321"/>
      <c r="H692" s="321"/>
      <c r="I692" s="337"/>
      <c r="J692" s="324"/>
      <c r="K692" s="321"/>
      <c r="M692" s="20"/>
      <c r="N692" s="20"/>
      <c r="O692" s="74"/>
      <c r="P692" s="74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</row>
    <row r="693" spans="1:29">
      <c r="A693" s="309" t="s">
        <v>457</v>
      </c>
      <c r="B693" s="1"/>
      <c r="C693" s="319">
        <v>959</v>
      </c>
      <c r="D693" s="319">
        <f>ROUND(($D$727/$C$727)*C693,0)</f>
        <v>874</v>
      </c>
      <c r="E693" s="337">
        <f>$E$591</f>
        <v>19.87</v>
      </c>
      <c r="F693" s="324"/>
      <c r="G693" s="321">
        <f>ROUND(E693*$C693,0)</f>
        <v>19055</v>
      </c>
      <c r="H693" s="321">
        <f>ROUND(E693*$D693,0)</f>
        <v>17366</v>
      </c>
      <c r="I693" s="337">
        <f>$I$591</f>
        <v>21.83</v>
      </c>
      <c r="J693" s="324"/>
      <c r="K693" s="321">
        <f>ROUND(I693*$C693,0)</f>
        <v>20935</v>
      </c>
      <c r="M693" s="20"/>
      <c r="N693" s="20"/>
      <c r="O693" s="74"/>
      <c r="P693" s="74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</row>
    <row r="694" spans="1:29">
      <c r="A694" s="309" t="s">
        <v>458</v>
      </c>
      <c r="B694" s="1"/>
      <c r="C694" s="319"/>
      <c r="D694" s="319"/>
      <c r="E694" s="337"/>
      <c r="F694" s="324"/>
      <c r="G694" s="321"/>
      <c r="H694" s="321"/>
      <c r="I694" s="337"/>
      <c r="J694" s="324"/>
      <c r="K694" s="321"/>
      <c r="M694" s="20"/>
      <c r="N694" s="20"/>
      <c r="O694" s="74"/>
      <c r="P694" s="74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</row>
    <row r="695" spans="1:29">
      <c r="A695" s="309" t="s">
        <v>452</v>
      </c>
      <c r="B695" s="1"/>
      <c r="C695" s="319">
        <f>6331+40</f>
        <v>6371</v>
      </c>
      <c r="D695" s="319">
        <f>ROUND(($D$727/$C$727)*C695,0)</f>
        <v>5809</v>
      </c>
      <c r="E695" s="337">
        <f>$E$593</f>
        <v>19.87</v>
      </c>
      <c r="F695" s="324"/>
      <c r="G695" s="321">
        <f>ROUND(E695*$C695,0)</f>
        <v>126592</v>
      </c>
      <c r="H695" s="321">
        <f>ROUND(E695*$D695,0)</f>
        <v>115425</v>
      </c>
      <c r="I695" s="337">
        <f>$I$593</f>
        <v>21.83</v>
      </c>
      <c r="J695" s="324"/>
      <c r="K695" s="321">
        <f>ROUND(I695*$C695,0)</f>
        <v>139079</v>
      </c>
      <c r="M695" s="20"/>
      <c r="N695" s="20"/>
      <c r="O695" s="74"/>
      <c r="P695" s="74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</row>
    <row r="696" spans="1:29">
      <c r="A696" s="309" t="s">
        <v>453</v>
      </c>
      <c r="B696" s="1"/>
      <c r="C696" s="319">
        <f>3750</f>
        <v>3750</v>
      </c>
      <c r="D696" s="319">
        <f>ROUND(($D$727/$C$727)*C696,0)</f>
        <v>3419</v>
      </c>
      <c r="E696" s="337">
        <f>$E$594</f>
        <v>13.64</v>
      </c>
      <c r="F696" s="324"/>
      <c r="G696" s="321">
        <f>ROUND(E696*$C696,0)</f>
        <v>51150</v>
      </c>
      <c r="H696" s="321">
        <f>ROUND(E696*$D696,0)</f>
        <v>46635</v>
      </c>
      <c r="I696" s="337">
        <f>$I$594</f>
        <v>14.98</v>
      </c>
      <c r="J696" s="324"/>
      <c r="K696" s="321">
        <f>ROUND(I696*$C696,0)</f>
        <v>56175</v>
      </c>
      <c r="M696" s="20"/>
      <c r="N696" s="20"/>
      <c r="O696" s="74"/>
      <c r="P696" s="74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</row>
    <row r="697" spans="1:29">
      <c r="A697" s="309" t="s">
        <v>454</v>
      </c>
      <c r="B697" s="1"/>
      <c r="C697" s="319">
        <f>969</f>
        <v>969</v>
      </c>
      <c r="D697" s="319">
        <f>ROUND(($D$727/$C$727)*C697,0)</f>
        <v>884</v>
      </c>
      <c r="E697" s="337">
        <f>$E$595</f>
        <v>10.62</v>
      </c>
      <c r="F697" s="324"/>
      <c r="G697" s="321">
        <f>ROUND(E697*$C697,0)</f>
        <v>10291</v>
      </c>
      <c r="H697" s="321">
        <f>ROUND(E697*$D697,0)</f>
        <v>9388</v>
      </c>
      <c r="I697" s="337">
        <f>$I$595</f>
        <v>11.67</v>
      </c>
      <c r="J697" s="324"/>
      <c r="K697" s="321">
        <f>ROUND(I697*$C697,0)</f>
        <v>11308</v>
      </c>
      <c r="M697" s="20"/>
      <c r="N697" s="20"/>
      <c r="O697" s="74"/>
      <c r="P697" s="74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</row>
    <row r="698" spans="1:29">
      <c r="A698" s="309" t="s">
        <v>460</v>
      </c>
      <c r="B698" s="1"/>
      <c r="C698" s="319">
        <v>31</v>
      </c>
      <c r="D698" s="319">
        <v>28</v>
      </c>
      <c r="E698" s="337">
        <f>$E$596</f>
        <v>59.61</v>
      </c>
      <c r="F698" s="324"/>
      <c r="G698" s="321">
        <f>ROUND(E698*$C698,0)</f>
        <v>1848</v>
      </c>
      <c r="H698" s="321">
        <f>ROUND(E698*$D698,0)</f>
        <v>1669</v>
      </c>
      <c r="I698" s="337">
        <f>$I$596</f>
        <v>65.48</v>
      </c>
      <c r="J698" s="324"/>
      <c r="K698" s="321">
        <f>ROUND(I698*$C698,0)</f>
        <v>2030</v>
      </c>
      <c r="M698" s="20"/>
      <c r="N698" s="20"/>
      <c r="O698" s="74"/>
      <c r="P698" s="74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</row>
    <row r="699" spans="1:29">
      <c r="A699" s="309" t="s">
        <v>461</v>
      </c>
      <c r="B699" s="1"/>
      <c r="C699" s="319">
        <v>148</v>
      </c>
      <c r="D699" s="319">
        <v>135</v>
      </c>
      <c r="E699" s="337">
        <f>$E$597</f>
        <v>119.22</v>
      </c>
      <c r="F699" s="324"/>
      <c r="G699" s="321">
        <f>ROUND(E699*$C699,0)</f>
        <v>17645</v>
      </c>
      <c r="H699" s="321">
        <f>ROUND(E699*$D699,0)</f>
        <v>16095</v>
      </c>
      <c r="I699" s="337">
        <f>$I$597</f>
        <v>130.96</v>
      </c>
      <c r="J699" s="324"/>
      <c r="K699" s="321">
        <f>ROUND(I699*$C699,0)</f>
        <v>19382</v>
      </c>
      <c r="M699" s="20"/>
      <c r="N699" s="20"/>
      <c r="O699" s="74"/>
      <c r="P699" s="74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</row>
    <row r="700" spans="1:29">
      <c r="A700" s="309" t="s">
        <v>462</v>
      </c>
      <c r="B700" s="1"/>
      <c r="C700" s="319"/>
      <c r="D700" s="319"/>
      <c r="E700" s="337"/>
      <c r="F700" s="324"/>
      <c r="G700" s="321"/>
      <c r="H700" s="321"/>
      <c r="I700" s="337"/>
      <c r="J700" s="324"/>
      <c r="K700" s="321"/>
      <c r="M700" s="20"/>
      <c r="N700" s="20"/>
      <c r="O700" s="74"/>
      <c r="P700" s="74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</row>
    <row r="701" spans="1:29">
      <c r="A701" s="309" t="s">
        <v>457</v>
      </c>
      <c r="B701" s="1"/>
      <c r="C701" s="319">
        <v>23</v>
      </c>
      <c r="D701" s="319">
        <f>ROUND(($D$727/$C$727)*C701,0)</f>
        <v>21</v>
      </c>
      <c r="E701" s="363">
        <f>-E693</f>
        <v>-19.87</v>
      </c>
      <c r="F701" s="324"/>
      <c r="G701" s="321">
        <f>ROUND(E701*$C701,0)</f>
        <v>-457</v>
      </c>
      <c r="H701" s="321">
        <f>ROUND(E701*$D701,0)</f>
        <v>-417</v>
      </c>
      <c r="I701" s="363">
        <f>-I693</f>
        <v>-21.83</v>
      </c>
      <c r="J701" s="324"/>
      <c r="K701" s="321">
        <f>ROUND(I701*$C701,0)</f>
        <v>-502</v>
      </c>
      <c r="M701" s="20"/>
      <c r="N701" s="20"/>
      <c r="O701" s="74"/>
      <c r="P701" s="74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</row>
    <row r="702" spans="1:29">
      <c r="A702" s="309" t="s">
        <v>463</v>
      </c>
      <c r="B702" s="1"/>
      <c r="C702" s="319">
        <v>959</v>
      </c>
      <c r="D702" s="319">
        <f>ROUND(($D$727/$C$727)*C702,0)</f>
        <v>874</v>
      </c>
      <c r="E702" s="363">
        <f>-E695</f>
        <v>-19.87</v>
      </c>
      <c r="F702" s="324"/>
      <c r="G702" s="321">
        <f>ROUND(E702*$C702,0)</f>
        <v>-19055</v>
      </c>
      <c r="H702" s="321">
        <f>ROUND(E702*$D702,0)</f>
        <v>-17366</v>
      </c>
      <c r="I702" s="363">
        <f>-I695</f>
        <v>-21.83</v>
      </c>
      <c r="J702" s="324"/>
      <c r="K702" s="321">
        <f>ROUND(I702*$C702,0)</f>
        <v>-20935</v>
      </c>
      <c r="M702" s="20"/>
      <c r="N702" s="20"/>
      <c r="O702" s="74"/>
      <c r="P702" s="74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</row>
    <row r="703" spans="1:29">
      <c r="A703" s="323" t="s">
        <v>426</v>
      </c>
      <c r="B703" s="1"/>
      <c r="C703" s="319"/>
      <c r="D703" s="319"/>
      <c r="E703" s="337"/>
      <c r="F703" s="321"/>
      <c r="G703" s="321"/>
      <c r="H703" s="321"/>
      <c r="I703" s="337"/>
      <c r="J703" s="321"/>
      <c r="K703" s="321"/>
      <c r="M703" s="20"/>
      <c r="N703" s="20"/>
      <c r="O703" s="74"/>
      <c r="P703" s="74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</row>
    <row r="704" spans="1:29">
      <c r="A704" s="309" t="s">
        <v>464</v>
      </c>
      <c r="B704" s="1"/>
      <c r="C704" s="319">
        <f>25216+1069389+10368352+7152668+1908160</f>
        <v>20523785</v>
      </c>
      <c r="D704" s="319">
        <f>ROUND(($D$727/$C$727)*C704,0)</f>
        <v>18714383</v>
      </c>
      <c r="E704" s="382">
        <f>$E$602</f>
        <v>5.3710000000000004</v>
      </c>
      <c r="F704" s="321" t="s">
        <v>374</v>
      </c>
      <c r="G704" s="321">
        <f>ROUND(E704/100*$C704,0)</f>
        <v>1102332</v>
      </c>
      <c r="H704" s="321">
        <f>ROUND(E704/100*$D704,0)</f>
        <v>1005150</v>
      </c>
      <c r="I704" s="382">
        <f>$I$602</f>
        <v>5.9</v>
      </c>
      <c r="J704" s="321" t="s">
        <v>374</v>
      </c>
      <c r="K704" s="321">
        <f>ROUND(I704/100*$C704,0)</f>
        <v>1210903</v>
      </c>
      <c r="M704" s="20"/>
      <c r="N704" s="20"/>
      <c r="O704" s="74"/>
      <c r="P704" s="74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</row>
    <row r="705" spans="1:29">
      <c r="A705" s="323" t="s">
        <v>400</v>
      </c>
      <c r="B705" s="1"/>
      <c r="C705" s="319">
        <f>362+2244+156</f>
        <v>2762</v>
      </c>
      <c r="D705" s="319">
        <f>ROUND(($D$727/$C$727)*C705,0)</f>
        <v>2518</v>
      </c>
      <c r="E705" s="339">
        <f>$E$603</f>
        <v>45</v>
      </c>
      <c r="F705" s="323" t="s">
        <v>374</v>
      </c>
      <c r="G705" s="321">
        <f>ROUND(E705*$C705/100,0)</f>
        <v>1243</v>
      </c>
      <c r="H705" s="321">
        <f>ROUND(E705*$D705/100,0)</f>
        <v>1133</v>
      </c>
      <c r="I705" s="339">
        <f>$I$603</f>
        <v>50</v>
      </c>
      <c r="J705" s="323" t="s">
        <v>374</v>
      </c>
      <c r="K705" s="321">
        <f>ROUND(I705*$C705/100,0)</f>
        <v>1381</v>
      </c>
      <c r="M705" s="20"/>
      <c r="N705" s="20"/>
      <c r="O705" s="74"/>
      <c r="P705" s="74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</row>
    <row r="706" spans="1:29">
      <c r="A706" s="360" t="s">
        <v>401</v>
      </c>
      <c r="B706" s="1"/>
      <c r="C706" s="319"/>
      <c r="D706" s="319"/>
      <c r="E706" s="332">
        <v>-0.01</v>
      </c>
      <c r="F706" s="2"/>
      <c r="G706" s="321"/>
      <c r="H706" s="321"/>
      <c r="I706" s="332">
        <v>-0.01</v>
      </c>
      <c r="J706" s="1"/>
      <c r="K706" s="321"/>
      <c r="M706" s="20"/>
      <c r="N706" s="20"/>
      <c r="O706" s="74"/>
      <c r="P706" s="74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</row>
    <row r="707" spans="1:29">
      <c r="A707" s="309" t="s">
        <v>390</v>
      </c>
      <c r="B707" s="1"/>
      <c r="C707" s="319">
        <v>0</v>
      </c>
      <c r="D707" s="319">
        <v>0</v>
      </c>
      <c r="E707" s="384">
        <f>E684</f>
        <v>0</v>
      </c>
      <c r="F707" s="324"/>
      <c r="G707" s="321">
        <f>ROUND(E707*$C707*$E$604,0)</f>
        <v>0</v>
      </c>
      <c r="H707" s="321">
        <f>ROUND(E707*$D707*$E$604,0)</f>
        <v>0</v>
      </c>
      <c r="I707" s="384">
        <f>I684</f>
        <v>0</v>
      </c>
      <c r="J707" s="324"/>
      <c r="K707" s="321">
        <f>ROUND(I707*$C707*$E$604,0)</f>
        <v>0</v>
      </c>
      <c r="M707" s="20"/>
      <c r="N707" s="20"/>
      <c r="O707" s="74"/>
      <c r="P707" s="74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</row>
    <row r="708" spans="1:29">
      <c r="A708" s="309" t="s">
        <v>391</v>
      </c>
      <c r="B708" s="1"/>
      <c r="C708" s="319"/>
      <c r="D708" s="319"/>
      <c r="E708" s="384"/>
      <c r="F708" s="324"/>
      <c r="G708" s="321"/>
      <c r="H708" s="321"/>
      <c r="I708" s="384"/>
      <c r="J708" s="324"/>
      <c r="K708" s="321"/>
      <c r="M708" s="20"/>
      <c r="N708" s="20"/>
      <c r="O708" s="74"/>
      <c r="P708" s="74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</row>
    <row r="709" spans="1:29">
      <c r="A709" s="309" t="s">
        <v>452</v>
      </c>
      <c r="B709" s="1"/>
      <c r="C709" s="319">
        <v>1</v>
      </c>
      <c r="D709" s="319">
        <v>1</v>
      </c>
      <c r="E709" s="384">
        <f>E686</f>
        <v>0</v>
      </c>
      <c r="F709" s="324"/>
      <c r="G709" s="321">
        <f>ROUND(E709*$C709*$E$604,0)</f>
        <v>0</v>
      </c>
      <c r="H709" s="321">
        <f>ROUND(E709*$D709*$E$604,0)</f>
        <v>0</v>
      </c>
      <c r="I709" s="384">
        <f>I686</f>
        <v>0</v>
      </c>
      <c r="J709" s="324"/>
      <c r="K709" s="321">
        <f>ROUND(I709*$C709*$E$604,0)</f>
        <v>0</v>
      </c>
      <c r="M709" s="20"/>
      <c r="N709" s="20"/>
      <c r="O709" s="74"/>
      <c r="P709" s="74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</row>
    <row r="710" spans="1:29">
      <c r="A710" s="309" t="s">
        <v>453</v>
      </c>
      <c r="B710" s="1"/>
      <c r="C710" s="319">
        <v>0</v>
      </c>
      <c r="D710" s="319">
        <v>0</v>
      </c>
      <c r="E710" s="384">
        <f>E687</f>
        <v>301</v>
      </c>
      <c r="F710" s="324"/>
      <c r="G710" s="321">
        <f>ROUND(E710*$C710*$E$604,0)</f>
        <v>0</v>
      </c>
      <c r="H710" s="321">
        <f>ROUND(E710*$D710*$E$604,0)</f>
        <v>0</v>
      </c>
      <c r="I710" s="384">
        <f>I687</f>
        <v>333</v>
      </c>
      <c r="J710" s="324"/>
      <c r="K710" s="321">
        <f>ROUND(I710*$C710*$E$604,0)</f>
        <v>0</v>
      </c>
      <c r="M710" s="20"/>
      <c r="N710" s="20"/>
      <c r="O710" s="74"/>
      <c r="P710" s="74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</row>
    <row r="711" spans="1:29">
      <c r="A711" s="309" t="s">
        <v>454</v>
      </c>
      <c r="B711" s="1"/>
      <c r="C711" s="319">
        <v>0</v>
      </c>
      <c r="D711" s="319">
        <v>0</v>
      </c>
      <c r="E711" s="384">
        <f>E688</f>
        <v>1215</v>
      </c>
      <c r="F711" s="324"/>
      <c r="G711" s="321">
        <f>ROUND(E711*$C711*$E$604,0)</f>
        <v>0</v>
      </c>
      <c r="H711" s="321">
        <f>ROUND(E711*$D711*$E$604,0)</f>
        <v>0</v>
      </c>
      <c r="I711" s="384">
        <f>I688</f>
        <v>1335</v>
      </c>
      <c r="J711" s="324"/>
      <c r="K711" s="321">
        <f>ROUND(I711*$C711*$E$604,0)</f>
        <v>0</v>
      </c>
      <c r="M711" s="20"/>
      <c r="N711" s="20"/>
      <c r="O711" s="74"/>
      <c r="P711" s="74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</row>
    <row r="712" spans="1:29">
      <c r="A712" s="309" t="s">
        <v>390</v>
      </c>
      <c r="B712" s="1"/>
      <c r="C712" s="319">
        <v>0</v>
      </c>
      <c r="D712" s="319">
        <f>ROUND(($D$727/$C$727)*C712,0)</f>
        <v>0</v>
      </c>
      <c r="E712" s="384">
        <f>E693</f>
        <v>19.87</v>
      </c>
      <c r="F712" s="324"/>
      <c r="G712" s="321">
        <f>ROUND(E712*$C712*$E$604,0)</f>
        <v>0</v>
      </c>
      <c r="H712" s="321">
        <f>ROUND(E712*$D712*$E$604,0)</f>
        <v>0</v>
      </c>
      <c r="I712" s="384">
        <f>I693</f>
        <v>21.83</v>
      </c>
      <c r="J712" s="324"/>
      <c r="K712" s="321">
        <f>ROUND(I712*$C712*$E$604,0)</f>
        <v>0</v>
      </c>
      <c r="M712" s="20"/>
      <c r="N712" s="20"/>
      <c r="O712" s="74"/>
      <c r="P712" s="74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</row>
    <row r="713" spans="1:29">
      <c r="A713" s="309" t="s">
        <v>391</v>
      </c>
      <c r="B713" s="1"/>
      <c r="C713" s="319"/>
      <c r="D713" s="319"/>
      <c r="E713" s="384"/>
      <c r="F713" s="324"/>
      <c r="G713" s="321"/>
      <c r="H713" s="321"/>
      <c r="I713" s="384"/>
      <c r="J713" s="324"/>
      <c r="K713" s="321"/>
      <c r="M713" s="20"/>
      <c r="N713" s="20"/>
      <c r="O713" s="74"/>
      <c r="P713" s="74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</row>
    <row r="714" spans="1:29">
      <c r="A714" s="309" t="s">
        <v>452</v>
      </c>
      <c r="B714" s="1"/>
      <c r="C714" s="319">
        <v>40</v>
      </c>
      <c r="D714" s="319">
        <f>ROUND(($D$727/$C$727)*C714,0)</f>
        <v>36</v>
      </c>
      <c r="E714" s="384">
        <f>E695</f>
        <v>19.87</v>
      </c>
      <c r="F714" s="324"/>
      <c r="G714" s="321">
        <f>ROUND(E714*$C714*$E$604,0)</f>
        <v>-8</v>
      </c>
      <c r="H714" s="321">
        <f>ROUND(E714*$D714*$E$604,0)</f>
        <v>-7</v>
      </c>
      <c r="I714" s="384">
        <f>I695</f>
        <v>21.83</v>
      </c>
      <c r="J714" s="324"/>
      <c r="K714" s="321">
        <f>ROUND(I714*$C714*$E$604,0)</f>
        <v>-9</v>
      </c>
      <c r="M714" s="20"/>
      <c r="N714" s="20"/>
      <c r="O714" s="74"/>
      <c r="P714" s="74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</row>
    <row r="715" spans="1:29">
      <c r="A715" s="309" t="s">
        <v>453</v>
      </c>
      <c r="B715" s="1"/>
      <c r="C715" s="319">
        <v>0</v>
      </c>
      <c r="D715" s="319">
        <f>ROUND(($D$727/$C$727)*C715,0)</f>
        <v>0</v>
      </c>
      <c r="E715" s="384">
        <f>E696</f>
        <v>13.64</v>
      </c>
      <c r="F715" s="324"/>
      <c r="G715" s="321">
        <f>ROUND(E715*$C715*$E$604,0)</f>
        <v>0</v>
      </c>
      <c r="H715" s="321">
        <f>ROUND(E715*$D715*$E$604,0)</f>
        <v>0</v>
      </c>
      <c r="I715" s="384">
        <f>I696</f>
        <v>14.98</v>
      </c>
      <c r="J715" s="324"/>
      <c r="K715" s="321">
        <f>ROUND(I715*$C715*$E$604,0)</f>
        <v>0</v>
      </c>
      <c r="M715" s="20"/>
      <c r="N715" s="20"/>
      <c r="O715" s="74"/>
      <c r="P715" s="74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</row>
    <row r="716" spans="1:29">
      <c r="A716" s="309" t="s">
        <v>454</v>
      </c>
      <c r="B716" s="1"/>
      <c r="C716" s="319">
        <v>0</v>
      </c>
      <c r="D716" s="319">
        <f>ROUND(($D$727/$C$727)*C716,0)</f>
        <v>0</v>
      </c>
      <c r="E716" s="384">
        <f>E697</f>
        <v>10.62</v>
      </c>
      <c r="F716" s="324"/>
      <c r="G716" s="321">
        <f>ROUND(E716*$C716*$E$604,0)</f>
        <v>0</v>
      </c>
      <c r="H716" s="321">
        <f>ROUND(E716*$D716*$E$604,0)</f>
        <v>0</v>
      </c>
      <c r="I716" s="384">
        <f>I697</f>
        <v>11.67</v>
      </c>
      <c r="J716" s="324"/>
      <c r="K716" s="321">
        <f>ROUND(I716*$C716*$E$604,0)</f>
        <v>0</v>
      </c>
      <c r="M716" s="20"/>
      <c r="N716" s="20"/>
      <c r="O716" s="74"/>
      <c r="P716" s="74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</row>
    <row r="717" spans="1:29">
      <c r="A717" s="309" t="s">
        <v>465</v>
      </c>
      <c r="B717" s="1"/>
      <c r="C717" s="319">
        <v>0</v>
      </c>
      <c r="D717" s="319">
        <v>0</v>
      </c>
      <c r="E717" s="353">
        <f>E698</f>
        <v>59.61</v>
      </c>
      <c r="F717" s="324"/>
      <c r="G717" s="321">
        <f>ROUND(E717*$C717*$E$604,0)</f>
        <v>0</v>
      </c>
      <c r="H717" s="321">
        <f>ROUND(E717*$D717*$E$604,0)</f>
        <v>0</v>
      </c>
      <c r="I717" s="353">
        <f>I698</f>
        <v>65.48</v>
      </c>
      <c r="J717" s="324"/>
      <c r="K717" s="321">
        <f>ROUND(I717*$C717*$E$604,0)</f>
        <v>0</v>
      </c>
      <c r="M717" s="20"/>
      <c r="N717" s="20"/>
      <c r="O717" s="74"/>
      <c r="P717" s="74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</row>
    <row r="718" spans="1:29">
      <c r="A718" s="309" t="s">
        <v>466</v>
      </c>
      <c r="B718" s="1"/>
      <c r="C718" s="319">
        <v>0</v>
      </c>
      <c r="D718" s="319">
        <v>0</v>
      </c>
      <c r="E718" s="353">
        <f>E699</f>
        <v>119.22</v>
      </c>
      <c r="F718" s="324"/>
      <c r="G718" s="321">
        <f>ROUND(E718*$C718*$E$604,0)</f>
        <v>0</v>
      </c>
      <c r="H718" s="321">
        <f>ROUND(E718*$D718*$E$604,0)</f>
        <v>0</v>
      </c>
      <c r="I718" s="353">
        <f>I699</f>
        <v>130.96</v>
      </c>
      <c r="J718" s="324"/>
      <c r="K718" s="321">
        <f>ROUND(I718*$C718*$E$604,0)</f>
        <v>0</v>
      </c>
      <c r="M718" s="20"/>
      <c r="N718" s="20"/>
      <c r="O718" s="74"/>
      <c r="P718" s="74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</row>
    <row r="719" spans="1:29">
      <c r="A719" s="309" t="s">
        <v>462</v>
      </c>
      <c r="B719" s="1"/>
      <c r="C719" s="319"/>
      <c r="D719" s="319"/>
      <c r="E719" s="337"/>
      <c r="F719" s="324"/>
      <c r="G719" s="321"/>
      <c r="H719" s="321"/>
      <c r="I719" s="337"/>
      <c r="J719" s="324"/>
      <c r="K719" s="321"/>
      <c r="M719" s="20"/>
      <c r="N719" s="20"/>
      <c r="O719" s="74"/>
      <c r="P719" s="74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</row>
    <row r="720" spans="1:29">
      <c r="A720" s="309" t="s">
        <v>457</v>
      </c>
      <c r="B720" s="1"/>
      <c r="C720" s="319">
        <v>0</v>
      </c>
      <c r="D720" s="319">
        <f>ROUND(($D$727/$C$727)*C720,0)</f>
        <v>0</v>
      </c>
      <c r="E720" s="363">
        <f>E701</f>
        <v>-19.87</v>
      </c>
      <c r="F720" s="324"/>
      <c r="G720" s="321">
        <f>ROUND(E720*$C720*$E$604,0)</f>
        <v>0</v>
      </c>
      <c r="H720" s="321">
        <f>ROUND(E720*$D720*$E$604,0)</f>
        <v>0</v>
      </c>
      <c r="I720" s="363">
        <f>I701</f>
        <v>-21.83</v>
      </c>
      <c r="J720" s="324"/>
      <c r="K720" s="321">
        <f>ROUND(I720*$C720*$E$604,0)</f>
        <v>0</v>
      </c>
      <c r="M720" s="20"/>
      <c r="N720" s="20"/>
      <c r="O720" s="74"/>
      <c r="P720" s="74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</row>
    <row r="721" spans="1:29">
      <c r="A721" s="309" t="s">
        <v>463</v>
      </c>
      <c r="B721" s="1"/>
      <c r="C721" s="319">
        <v>0</v>
      </c>
      <c r="D721" s="319">
        <f>ROUND(($D$727/$C$727)*C721,0)</f>
        <v>0</v>
      </c>
      <c r="E721" s="363">
        <f>E702</f>
        <v>-19.87</v>
      </c>
      <c r="F721" s="324"/>
      <c r="G721" s="321">
        <f>ROUND(E721*$C721*$E$604,0)</f>
        <v>0</v>
      </c>
      <c r="H721" s="321">
        <f>ROUND(E721*$D721*$E$604,0)</f>
        <v>0</v>
      </c>
      <c r="I721" s="363">
        <f>I702</f>
        <v>-21.83</v>
      </c>
      <c r="J721" s="324"/>
      <c r="K721" s="321">
        <f>ROUND(I721*$C721*$E$604,0)</f>
        <v>0</v>
      </c>
      <c r="M721" s="20"/>
      <c r="N721" s="20"/>
      <c r="O721" s="74"/>
      <c r="P721" s="74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</row>
    <row r="722" spans="1:29">
      <c r="A722" s="323" t="s">
        <v>426</v>
      </c>
      <c r="B722" s="1"/>
      <c r="C722" s="319"/>
      <c r="D722" s="319"/>
      <c r="E722" s="384"/>
      <c r="F722" s="321"/>
      <c r="G722" s="321"/>
      <c r="H722" s="321"/>
      <c r="I722" s="384"/>
      <c r="J722" s="321"/>
      <c r="K722" s="321"/>
      <c r="M722" s="20"/>
      <c r="N722" s="20"/>
      <c r="O722" s="74"/>
      <c r="P722" s="74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</row>
    <row r="723" spans="1:29">
      <c r="A723" s="309" t="s">
        <v>464</v>
      </c>
      <c r="B723" s="1"/>
      <c r="C723" s="319">
        <f>25216</f>
        <v>25216</v>
      </c>
      <c r="D723" s="319">
        <f>ROUND(($D$727/$C$727)*C723,0)</f>
        <v>22993</v>
      </c>
      <c r="E723" s="385">
        <f>E704</f>
        <v>5.3710000000000004</v>
      </c>
      <c r="F723" s="321" t="s">
        <v>374</v>
      </c>
      <c r="G723" s="321">
        <f>ROUND(E723/100*$C723*$E$604,0)</f>
        <v>-14</v>
      </c>
      <c r="H723" s="321">
        <f>ROUND(E723/100*$D723*$E$604,0)</f>
        <v>-12</v>
      </c>
      <c r="I723" s="385">
        <f>I704</f>
        <v>5.9</v>
      </c>
      <c r="J723" s="321" t="s">
        <v>374</v>
      </c>
      <c r="K723" s="321">
        <f>ROUND(I723/100*$C723*$E$604,0)</f>
        <v>-15</v>
      </c>
      <c r="M723" s="20"/>
      <c r="N723" s="20"/>
      <c r="O723" s="74"/>
      <c r="P723" s="74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</row>
    <row r="724" spans="1:29">
      <c r="A724" s="323" t="s">
        <v>400</v>
      </c>
      <c r="B724" s="1"/>
      <c r="C724" s="319">
        <v>0</v>
      </c>
      <c r="D724" s="319">
        <f>ROUND(($D$727/$C$727)*C724,0)</f>
        <v>0</v>
      </c>
      <c r="E724" s="375">
        <f>E705</f>
        <v>45</v>
      </c>
      <c r="F724" s="321" t="s">
        <v>374</v>
      </c>
      <c r="G724" s="321">
        <f>ROUND(E724/100*$C724*$E$604,0)</f>
        <v>0</v>
      </c>
      <c r="H724" s="321">
        <f>ROUND(E724/100*$D724*$E$604,0)</f>
        <v>0</v>
      </c>
      <c r="I724" s="375">
        <f>I705</f>
        <v>50</v>
      </c>
      <c r="J724" s="323" t="s">
        <v>374</v>
      </c>
      <c r="K724" s="321">
        <f>ROUND(I724/100*$C724*$E$604,0)</f>
        <v>0</v>
      </c>
      <c r="M724" s="20"/>
      <c r="N724" s="20"/>
      <c r="O724" s="74"/>
      <c r="P724" s="74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</row>
    <row r="725" spans="1:29">
      <c r="A725" s="323" t="s">
        <v>443</v>
      </c>
      <c r="B725" s="1"/>
      <c r="C725" s="319">
        <f>5+7</f>
        <v>12</v>
      </c>
      <c r="D725" s="319">
        <v>12</v>
      </c>
      <c r="E725" s="298">
        <f>$E$623</f>
        <v>60</v>
      </c>
      <c r="F725" s="364" t="s">
        <v>31</v>
      </c>
      <c r="G725" s="321">
        <f>ROUND(E725*$C725,0)</f>
        <v>720</v>
      </c>
      <c r="H725" s="321">
        <f>ROUND(E725*$D725,0)</f>
        <v>720</v>
      </c>
      <c r="I725" s="298">
        <f>$I$623</f>
        <v>60</v>
      </c>
      <c r="J725" s="1"/>
      <c r="K725" s="321">
        <f>ROUND(I725*$C725,0)</f>
        <v>720</v>
      </c>
      <c r="M725" s="20"/>
      <c r="N725" s="20"/>
      <c r="O725" s="74"/>
      <c r="P725" s="74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</row>
    <row r="726" spans="1:29">
      <c r="A726" s="323" t="s">
        <v>444</v>
      </c>
      <c r="B726" s="1"/>
      <c r="C726" s="319">
        <f>8*C714</f>
        <v>320</v>
      </c>
      <c r="D726" s="319">
        <f>ROUND(($D$727/$C$727)*C726,0)</f>
        <v>292</v>
      </c>
      <c r="E726" s="339">
        <f>$E$624</f>
        <v>-30</v>
      </c>
      <c r="F726" s="321" t="s">
        <v>374</v>
      </c>
      <c r="G726" s="321">
        <f>ROUND(E726*$C726/100,0)</f>
        <v>-96</v>
      </c>
      <c r="H726" s="321">
        <f>ROUND(E726*$D726/100,0)</f>
        <v>-88</v>
      </c>
      <c r="I726" s="339">
        <f>$I$624</f>
        <v>-30</v>
      </c>
      <c r="J726" s="321" t="s">
        <v>374</v>
      </c>
      <c r="K726" s="321">
        <f>ROUND(I726*$C726/100,0)</f>
        <v>-96</v>
      </c>
      <c r="M726" s="20"/>
      <c r="N726" s="20"/>
      <c r="O726" s="74"/>
      <c r="P726" s="74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</row>
    <row r="727" spans="1:29">
      <c r="A727" s="1" t="s">
        <v>381</v>
      </c>
      <c r="B727" s="1"/>
      <c r="C727" s="319">
        <f>SUM(C704:C704)</f>
        <v>20523785</v>
      </c>
      <c r="D727" s="319">
        <v>18714383.130874861</v>
      </c>
      <c r="E727" s="330"/>
      <c r="F727" s="2"/>
      <c r="G727" s="2">
        <f>SUM(G684:G726)</f>
        <v>1324813</v>
      </c>
      <c r="H727" s="2">
        <f>SUM(H684:H726)</f>
        <v>1209559</v>
      </c>
      <c r="I727" s="330"/>
      <c r="J727" s="323"/>
      <c r="K727" s="2">
        <f>SUM(K684:K726)</f>
        <v>1455347</v>
      </c>
      <c r="M727" s="20"/>
      <c r="N727" s="20"/>
      <c r="O727" s="74"/>
      <c r="P727" s="74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</row>
    <row r="728" spans="1:29">
      <c r="A728" s="1" t="s">
        <v>363</v>
      </c>
      <c r="B728" s="1"/>
      <c r="C728" s="349" t="e">
        <f>#REF!</f>
        <v>#REF!</v>
      </c>
      <c r="D728" s="349">
        <v>0</v>
      </c>
      <c r="E728" s="309"/>
      <c r="F728" s="309"/>
      <c r="G728" s="310" t="e">
        <f>#REF!</f>
        <v>#REF!</v>
      </c>
      <c r="H728" s="310">
        <v>0</v>
      </c>
      <c r="I728" s="309"/>
      <c r="J728" s="309"/>
      <c r="K728" s="310" t="e">
        <f>G728</f>
        <v>#REF!</v>
      </c>
      <c r="M728" s="444"/>
      <c r="N728" s="444"/>
      <c r="O728" s="287"/>
      <c r="P728" s="74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</row>
    <row r="729" spans="1:29" ht="16.5" thickBot="1">
      <c r="A729" s="1" t="s">
        <v>382</v>
      </c>
      <c r="B729" s="1"/>
      <c r="C729" s="366" t="e">
        <f>SUM(C727:C728)</f>
        <v>#REF!</v>
      </c>
      <c r="D729" s="366">
        <f>SUM(D727:D728)</f>
        <v>18714383.130874861</v>
      </c>
      <c r="E729" s="342"/>
      <c r="F729" s="343"/>
      <c r="G729" s="344" t="e">
        <f>G727+G728</f>
        <v>#REF!</v>
      </c>
      <c r="H729" s="344">
        <f>H727+H728</f>
        <v>1209559</v>
      </c>
      <c r="I729" s="342"/>
      <c r="J729" s="345"/>
      <c r="K729" s="344" t="e">
        <f>K727+K728</f>
        <v>#REF!</v>
      </c>
      <c r="M729" s="411"/>
      <c r="N729" s="411"/>
      <c r="O729" s="470"/>
      <c r="P729" s="74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</row>
    <row r="730" spans="1:29" ht="16.5" thickTop="1">
      <c r="A730" s="303"/>
      <c r="B730" s="378"/>
      <c r="C730" s="303"/>
      <c r="D730" s="303"/>
      <c r="E730" s="21"/>
      <c r="F730" s="21"/>
      <c r="G730" s="379"/>
      <c r="H730" s="379"/>
      <c r="I730" s="303"/>
      <c r="J730" s="303"/>
      <c r="K730" s="303"/>
      <c r="M730" s="20"/>
      <c r="N730" s="20"/>
      <c r="O730" s="74"/>
      <c r="P730" s="74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</row>
    <row r="731" spans="1:29">
      <c r="A731" s="293" t="s">
        <v>469</v>
      </c>
      <c r="B731" s="1"/>
      <c r="C731" s="1"/>
      <c r="D731" s="1"/>
      <c r="E731" s="2"/>
      <c r="F731" s="2"/>
      <c r="G731" s="1"/>
      <c r="H731" s="1"/>
      <c r="I731" s="2"/>
      <c r="J731" s="1"/>
      <c r="K731" s="1"/>
      <c r="M731" s="20"/>
      <c r="N731" s="20"/>
      <c r="O731" s="74"/>
      <c r="P731" s="74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</row>
    <row r="732" spans="1:29">
      <c r="A732" s="309" t="s">
        <v>470</v>
      </c>
      <c r="B732" s="1"/>
      <c r="C732" s="1"/>
      <c r="D732" s="1"/>
      <c r="E732" s="2"/>
      <c r="F732" s="2"/>
      <c r="G732" s="1"/>
      <c r="H732" s="1"/>
      <c r="I732" s="2"/>
      <c r="J732" s="1"/>
      <c r="K732" s="1"/>
      <c r="M732" s="20"/>
      <c r="N732" s="20"/>
      <c r="O732" s="74"/>
      <c r="P732" s="74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</row>
    <row r="733" spans="1:29">
      <c r="A733" s="323"/>
      <c r="B733" s="1"/>
      <c r="C733" s="1"/>
      <c r="D733" s="1"/>
      <c r="E733" s="2"/>
      <c r="F733" s="2"/>
      <c r="G733" s="1"/>
      <c r="H733" s="1"/>
      <c r="I733" s="2"/>
      <c r="J733" s="1"/>
      <c r="K733" s="1"/>
      <c r="M733" s="20"/>
      <c r="N733" s="20"/>
      <c r="O733" s="74"/>
      <c r="P733" s="74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</row>
    <row r="734" spans="1:29">
      <c r="A734" s="323" t="s">
        <v>393</v>
      </c>
      <c r="B734" s="1"/>
      <c r="C734" s="319"/>
      <c r="D734" s="319"/>
      <c r="E734" s="2"/>
      <c r="F734" s="2"/>
      <c r="G734" s="1"/>
      <c r="H734" s="1"/>
      <c r="I734" s="2"/>
      <c r="J734" s="1"/>
      <c r="K734" s="1"/>
      <c r="M734" s="20"/>
      <c r="N734" s="20"/>
      <c r="O734" s="74"/>
      <c r="P734" s="74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</row>
    <row r="735" spans="1:29">
      <c r="A735" s="323" t="s">
        <v>471</v>
      </c>
      <c r="B735" s="1"/>
      <c r="C735" s="319">
        <v>12</v>
      </c>
      <c r="D735" s="319">
        <v>12</v>
      </c>
      <c r="E735" s="384">
        <f t="shared" ref="E735:E740" si="61">E794</f>
        <v>1205</v>
      </c>
      <c r="F735" s="337"/>
      <c r="G735" s="2">
        <f>ROUND(E735*$C735,0)</f>
        <v>14460</v>
      </c>
      <c r="H735" s="2">
        <f>ROUND(E735*$D735,0)</f>
        <v>14460</v>
      </c>
      <c r="I735" s="384">
        <f t="shared" ref="I735:I740" si="62">I794</f>
        <v>1330</v>
      </c>
      <c r="J735" s="321"/>
      <c r="K735" s="2">
        <f>ROUND(I735*$C735,0)</f>
        <v>15960</v>
      </c>
      <c r="M735" s="84">
        <f>I735*D735</f>
        <v>15960</v>
      </c>
      <c r="O735" s="14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</row>
    <row r="736" spans="1:29">
      <c r="A736" s="323" t="s">
        <v>472</v>
      </c>
      <c r="B736" s="1"/>
      <c r="C736" s="319">
        <v>0</v>
      </c>
      <c r="D736" s="319">
        <v>0</v>
      </c>
      <c r="E736" s="384">
        <f t="shared" si="61"/>
        <v>1450</v>
      </c>
      <c r="F736" s="337"/>
      <c r="G736" s="2">
        <f>ROUND(E736*$C736,0)</f>
        <v>0</v>
      </c>
      <c r="H736" s="2">
        <f>ROUND(E736*$D736,0)</f>
        <v>0</v>
      </c>
      <c r="I736" s="384">
        <f t="shared" si="62"/>
        <v>1600</v>
      </c>
      <c r="J736" s="324"/>
      <c r="K736" s="2">
        <f>ROUND(I736*$C736,0)</f>
        <v>0</v>
      </c>
      <c r="M736" s="84">
        <f>I736*D736</f>
        <v>0</v>
      </c>
      <c r="O736" s="14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</row>
    <row r="737" spans="1:29">
      <c r="A737" s="323" t="s">
        <v>394</v>
      </c>
      <c r="B737" s="1"/>
      <c r="C737" s="319">
        <f>SUM(C735:C736)</f>
        <v>12</v>
      </c>
      <c r="D737" s="319">
        <f>SUM(D735:D736)</f>
        <v>12</v>
      </c>
      <c r="E737" s="384" t="str">
        <f t="shared" si="61"/>
        <v xml:space="preserve"> </v>
      </c>
      <c r="F737" s="337"/>
      <c r="G737" s="2" t="s">
        <v>31</v>
      </c>
      <c r="H737" s="2" t="s">
        <v>31</v>
      </c>
      <c r="I737" s="384" t="str">
        <f t="shared" si="62"/>
        <v xml:space="preserve"> </v>
      </c>
      <c r="J737" s="321"/>
      <c r="K737" s="2" t="s">
        <v>31</v>
      </c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</row>
    <row r="738" spans="1:29">
      <c r="A738" s="323" t="s">
        <v>473</v>
      </c>
      <c r="B738" s="1"/>
      <c r="C738" s="319">
        <f>14980</f>
        <v>14980</v>
      </c>
      <c r="D738" s="319">
        <f>ROUND(($D$758/$C$758)*C738,0)</f>
        <v>28971</v>
      </c>
      <c r="E738" s="384">
        <f t="shared" si="61"/>
        <v>0.91</v>
      </c>
      <c r="F738" s="337"/>
      <c r="G738" s="2">
        <f>ROUND(E738*$C738,0)</f>
        <v>13632</v>
      </c>
      <c r="H738" s="2">
        <f>ROUND(E738*$D738,0)</f>
        <v>26364</v>
      </c>
      <c r="I738" s="384">
        <f t="shared" si="62"/>
        <v>1.01</v>
      </c>
      <c r="J738" s="321"/>
      <c r="K738" s="2">
        <f>ROUND(I738*$C738,0)</f>
        <v>15130</v>
      </c>
      <c r="M738" s="84">
        <f>I738*D738</f>
        <v>29260.71</v>
      </c>
      <c r="O738" s="14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</row>
    <row r="739" spans="1:29">
      <c r="A739" s="323" t="s">
        <v>474</v>
      </c>
      <c r="B739" s="1"/>
      <c r="C739" s="319">
        <v>0</v>
      </c>
      <c r="D739" s="319">
        <v>0</v>
      </c>
      <c r="E739" s="384">
        <f t="shared" si="61"/>
        <v>0.83</v>
      </c>
      <c r="F739" s="337"/>
      <c r="G739" s="2">
        <f>ROUND(E739*$C739,0)</f>
        <v>0</v>
      </c>
      <c r="H739" s="2">
        <f>ROUND(E739*$D739,0)</f>
        <v>0</v>
      </c>
      <c r="I739" s="384">
        <f t="shared" si="62"/>
        <v>0.92</v>
      </c>
      <c r="J739" s="321"/>
      <c r="K739" s="2">
        <f>ROUND(I739*$C739,0)</f>
        <v>0</v>
      </c>
      <c r="M739" s="84">
        <f>I739*D739</f>
        <v>0</v>
      </c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</row>
    <row r="740" spans="1:29">
      <c r="A740" s="309" t="s">
        <v>403</v>
      </c>
      <c r="B740" s="1"/>
      <c r="C740" s="319">
        <f>10820</f>
        <v>10820</v>
      </c>
      <c r="D740" s="319">
        <f>ROUND(($D$758/$C$758)*C740,0)</f>
        <v>20926</v>
      </c>
      <c r="E740" s="384">
        <f t="shared" si="61"/>
        <v>6.03</v>
      </c>
      <c r="F740" s="337"/>
      <c r="G740" s="2">
        <f>ROUND(E740*$C740,0)</f>
        <v>65245</v>
      </c>
      <c r="H740" s="2">
        <f>ROUND(E740*$D740,0)</f>
        <v>126184</v>
      </c>
      <c r="I740" s="384">
        <f t="shared" si="62"/>
        <v>6.53</v>
      </c>
      <c r="J740" s="321"/>
      <c r="K740" s="2">
        <f>ROUND(I740*$C740,0)</f>
        <v>70655</v>
      </c>
      <c r="M740" s="84">
        <f>I740*D740</f>
        <v>136646.78</v>
      </c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</row>
    <row r="741" spans="1:29">
      <c r="A741" s="323" t="s">
        <v>426</v>
      </c>
      <c r="B741" s="1"/>
      <c r="C741" s="319"/>
      <c r="D741" s="319"/>
      <c r="E741" s="384"/>
      <c r="F741" s="337"/>
      <c r="G741" s="2"/>
      <c r="H741" s="2"/>
      <c r="I741" s="384"/>
      <c r="J741" s="321"/>
      <c r="K741" s="2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</row>
    <row r="742" spans="1:29">
      <c r="A742" s="323" t="s">
        <v>464</v>
      </c>
      <c r="B742" s="1"/>
      <c r="C742" s="319">
        <v>1248100</v>
      </c>
      <c r="D742" s="319">
        <f>ROUND(($D$758/$C$758)*C742,0)</f>
        <v>2413782</v>
      </c>
      <c r="E742" s="387">
        <f>E801</f>
        <v>3.4990000000000001</v>
      </c>
      <c r="F742" s="321" t="s">
        <v>374</v>
      </c>
      <c r="G742" s="2">
        <f>ROUND(E742/100*$C742,0)</f>
        <v>43671</v>
      </c>
      <c r="H742" s="2">
        <f>ROUND(E742/100*$D742,0)</f>
        <v>84458</v>
      </c>
      <c r="I742" s="387">
        <f>I801</f>
        <v>3.8719999999999999</v>
      </c>
      <c r="J742" s="321" t="s">
        <v>374</v>
      </c>
      <c r="K742" s="2">
        <f>ROUND(I742/100*$C742,0)</f>
        <v>48326</v>
      </c>
      <c r="M742" s="84">
        <f>(I742/100)*D742</f>
        <v>93461.639039999995</v>
      </c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</row>
    <row r="743" spans="1:29">
      <c r="A743" s="323" t="s">
        <v>400</v>
      </c>
      <c r="B743" s="1"/>
      <c r="C743" s="319">
        <v>6132</v>
      </c>
      <c r="D743" s="319">
        <f>ROUND(($D$758/$C$758)*C743,0)</f>
        <v>11859</v>
      </c>
      <c r="E743" s="384">
        <f>E802</f>
        <v>0.45</v>
      </c>
      <c r="F743" s="321"/>
      <c r="G743" s="2">
        <f>ROUND(E743*$C743,0)</f>
        <v>2759</v>
      </c>
      <c r="H743" s="2">
        <f>ROUND(E743*$D743,0)</f>
        <v>5337</v>
      </c>
      <c r="I743" s="384">
        <f>I802</f>
        <v>0.5</v>
      </c>
      <c r="J743" s="321"/>
      <c r="K743" s="2">
        <f>ROUND(I743*$C743,0)</f>
        <v>3066</v>
      </c>
      <c r="M743" s="84">
        <f>I743*D743</f>
        <v>5929.5</v>
      </c>
      <c r="N743" s="319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</row>
    <row r="744" spans="1:29">
      <c r="A744" s="309" t="s">
        <v>428</v>
      </c>
      <c r="B744" s="1"/>
      <c r="C744" s="319">
        <v>0</v>
      </c>
      <c r="D744" s="319">
        <v>0</v>
      </c>
      <c r="E744" s="388">
        <v>5.9999999999999995E-4</v>
      </c>
      <c r="F744" s="321"/>
      <c r="G744" s="2">
        <f>ROUND(E744*$C744,0)</f>
        <v>0</v>
      </c>
      <c r="H744" s="2">
        <f>ROUND(E744*$D744,0)</f>
        <v>0</v>
      </c>
      <c r="I744" s="388">
        <v>5.9999999999999995E-4</v>
      </c>
      <c r="J744" s="321"/>
      <c r="K744" s="2">
        <f>ROUND(I744*$C744,0)</f>
        <v>0</v>
      </c>
      <c r="M744" s="84">
        <f>I744*D744</f>
        <v>0</v>
      </c>
      <c r="N744" s="319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</row>
    <row r="745" spans="1:29">
      <c r="A745" s="360" t="s">
        <v>401</v>
      </c>
      <c r="B745" s="1"/>
      <c r="C745" s="319"/>
      <c r="D745" s="319"/>
      <c r="E745" s="389">
        <f>E803</f>
        <v>-0.01</v>
      </c>
      <c r="F745" s="332"/>
      <c r="G745" s="2"/>
      <c r="H745" s="2"/>
      <c r="I745" s="389">
        <f>I803</f>
        <v>-0.01</v>
      </c>
      <c r="J745" s="361"/>
      <c r="K745" s="2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</row>
    <row r="746" spans="1:29">
      <c r="A746" s="323" t="s">
        <v>471</v>
      </c>
      <c r="B746" s="1"/>
      <c r="C746" s="319">
        <v>0</v>
      </c>
      <c r="D746" s="319">
        <v>0</v>
      </c>
      <c r="E746" s="384">
        <f>E735</f>
        <v>1205</v>
      </c>
      <c r="F746" s="334"/>
      <c r="G746" s="321">
        <f>ROUND(E746*$C746*$E$803,0)</f>
        <v>0</v>
      </c>
      <c r="H746" s="321">
        <f>ROUND(E746*$D746*$E$803,0)</f>
        <v>0</v>
      </c>
      <c r="I746" s="384">
        <f>I735</f>
        <v>1330</v>
      </c>
      <c r="J746" s="321"/>
      <c r="K746" s="321">
        <f>ROUND(I746*$C746*$E$803,0)</f>
        <v>0</v>
      </c>
      <c r="M746" s="84">
        <f>-(I746*D746)/100</f>
        <v>0</v>
      </c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</row>
    <row r="747" spans="1:29">
      <c r="A747" s="323" t="s">
        <v>472</v>
      </c>
      <c r="B747" s="1"/>
      <c r="C747" s="319">
        <f>C736</f>
        <v>0</v>
      </c>
      <c r="D747" s="319">
        <v>0</v>
      </c>
      <c r="E747" s="384">
        <f>E736</f>
        <v>1450</v>
      </c>
      <c r="F747" s="334"/>
      <c r="G747" s="321">
        <f>ROUND(E747*$C747*$E$803,0)</f>
        <v>0</v>
      </c>
      <c r="H747" s="321">
        <f>ROUND(E747*$D747*$E$803,0)</f>
        <v>0</v>
      </c>
      <c r="I747" s="384">
        <f>I736</f>
        <v>1600</v>
      </c>
      <c r="J747" s="321"/>
      <c r="K747" s="321">
        <f>ROUND(I747*$C747*$E$803,0)</f>
        <v>0</v>
      </c>
      <c r="M747" s="84">
        <f>-(I747*D747)/100</f>
        <v>0</v>
      </c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</row>
    <row r="748" spans="1:29">
      <c r="A748" s="323" t="s">
        <v>473</v>
      </c>
      <c r="B748" s="1"/>
      <c r="C748" s="319">
        <v>0</v>
      </c>
      <c r="D748" s="319">
        <v>0</v>
      </c>
      <c r="E748" s="384">
        <f>E738</f>
        <v>0.91</v>
      </c>
      <c r="F748" s="334"/>
      <c r="G748" s="321">
        <f>ROUND(E748*$C748*$E$803,0)</f>
        <v>0</v>
      </c>
      <c r="H748" s="321">
        <f>ROUND(E748*$D748*$E$803,0)</f>
        <v>0</v>
      </c>
      <c r="I748" s="384">
        <f>I738</f>
        <v>1.01</v>
      </c>
      <c r="J748" s="321"/>
      <c r="K748" s="321">
        <f>ROUND(I748*$C748*$E$803,0)</f>
        <v>0</v>
      </c>
      <c r="M748" s="84">
        <f>-(I748*D748)/100</f>
        <v>0</v>
      </c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</row>
    <row r="749" spans="1:29">
      <c r="A749" s="323" t="s">
        <v>474</v>
      </c>
      <c r="B749" s="1"/>
      <c r="C749" s="319">
        <f>C739</f>
        <v>0</v>
      </c>
      <c r="D749" s="319">
        <v>0</v>
      </c>
      <c r="E749" s="384">
        <f>E739</f>
        <v>0.83</v>
      </c>
      <c r="F749" s="334"/>
      <c r="G749" s="321">
        <f>ROUND(E749*$C749*$E$803,0)</f>
        <v>0</v>
      </c>
      <c r="H749" s="321">
        <f>ROUND(E749*$D749*$E$803,0)</f>
        <v>0</v>
      </c>
      <c r="I749" s="384">
        <f>I739</f>
        <v>0.92</v>
      </c>
      <c r="J749" s="321"/>
      <c r="K749" s="321">
        <f>ROUND(I749*$C749*$E$803,0)</f>
        <v>0</v>
      </c>
      <c r="M749" s="84">
        <f>-(I749*D749)/100</f>
        <v>0</v>
      </c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</row>
    <row r="750" spans="1:29">
      <c r="A750" s="309" t="s">
        <v>403</v>
      </c>
      <c r="B750" s="380"/>
      <c r="C750" s="319">
        <v>0</v>
      </c>
      <c r="D750" s="319">
        <v>0</v>
      </c>
      <c r="E750" s="384">
        <f>E740</f>
        <v>6.03</v>
      </c>
      <c r="F750" s="337"/>
      <c r="G750" s="321">
        <f>ROUND(E750*$C750*$E$803,0)</f>
        <v>0</v>
      </c>
      <c r="H750" s="321">
        <f>ROUND(E750*$D750*$E$803,0)</f>
        <v>0</v>
      </c>
      <c r="I750" s="384">
        <f>I740</f>
        <v>6.53</v>
      </c>
      <c r="J750" s="321"/>
      <c r="K750" s="321">
        <f>ROUND(I750*$C750*$E$803,0)</f>
        <v>0</v>
      </c>
      <c r="M750" s="84">
        <f>-(I750*D750)/100</f>
        <v>0</v>
      </c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</row>
    <row r="751" spans="1:29">
      <c r="A751" s="323" t="s">
        <v>464</v>
      </c>
      <c r="B751" s="1"/>
      <c r="C751" s="319">
        <v>0</v>
      </c>
      <c r="D751" s="319">
        <v>0</v>
      </c>
      <c r="E751" s="390">
        <f>E742</f>
        <v>3.4990000000000001</v>
      </c>
      <c r="F751" s="321" t="s">
        <v>374</v>
      </c>
      <c r="G751" s="321">
        <f>ROUND(E751/100*$C751*$E$803,0)</f>
        <v>0</v>
      </c>
      <c r="H751" s="321">
        <f>ROUND(E751/100*$D751*$E$803,0)</f>
        <v>0</v>
      </c>
      <c r="I751" s="390">
        <f>I742</f>
        <v>3.8719999999999999</v>
      </c>
      <c r="J751" s="321" t="s">
        <v>374</v>
      </c>
      <c r="K751" s="321">
        <f>ROUND(I751/100*$C751*$E$803,0)</f>
        <v>0</v>
      </c>
      <c r="M751" s="84">
        <f>-((I751*D751)/100)/100</f>
        <v>0</v>
      </c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</row>
    <row r="752" spans="1:29">
      <c r="A752" s="323" t="s">
        <v>400</v>
      </c>
      <c r="B752" s="1"/>
      <c r="C752" s="319">
        <v>0</v>
      </c>
      <c r="D752" s="319">
        <v>0</v>
      </c>
      <c r="E752" s="384">
        <f>E743</f>
        <v>0.45</v>
      </c>
      <c r="F752" s="321"/>
      <c r="G752" s="321">
        <f>ROUND(E752*$C752*$E$803,0)</f>
        <v>0</v>
      </c>
      <c r="H752" s="321">
        <f>ROUND(E752*$D752*$E$803,0)</f>
        <v>0</v>
      </c>
      <c r="I752" s="384">
        <f>I743</f>
        <v>0.5</v>
      </c>
      <c r="J752" s="321"/>
      <c r="K752" s="321">
        <f>ROUND(I752*$C752*$E$803,0)</f>
        <v>0</v>
      </c>
      <c r="M752" s="84">
        <f>-(I752*D752)/100</f>
        <v>0</v>
      </c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</row>
    <row r="753" spans="1:29">
      <c r="A753" s="309" t="s">
        <v>475</v>
      </c>
      <c r="B753" s="1"/>
      <c r="C753" s="319">
        <v>0</v>
      </c>
      <c r="D753" s="319">
        <v>0</v>
      </c>
      <c r="E753" s="384">
        <f>E811</f>
        <v>60</v>
      </c>
      <c r="F753" s="337"/>
      <c r="G753" s="321">
        <f>ROUND(E753*$C753,0)</f>
        <v>0</v>
      </c>
      <c r="H753" s="321">
        <f>ROUND(E753*$D753,0)</f>
        <v>0</v>
      </c>
      <c r="I753" s="384">
        <f>I811</f>
        <v>60</v>
      </c>
      <c r="J753" s="321"/>
      <c r="K753" s="321">
        <f>ROUND(I753*$C753,0)</f>
        <v>0</v>
      </c>
      <c r="M753" s="84">
        <f>-(I753*D753)/100</f>
        <v>0</v>
      </c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</row>
    <row r="754" spans="1:29">
      <c r="A754" s="309" t="s">
        <v>444</v>
      </c>
      <c r="B754" s="1"/>
      <c r="C754" s="319">
        <v>0</v>
      </c>
      <c r="D754" s="319">
        <v>0</v>
      </c>
      <c r="E754" s="384">
        <f>E812</f>
        <v>-0.75</v>
      </c>
      <c r="F754" s="321"/>
      <c r="G754" s="321">
        <f>ROUND(E754*$C754,0)</f>
        <v>0</v>
      </c>
      <c r="H754" s="321">
        <f>ROUND(E754*$D754,0)</f>
        <v>0</v>
      </c>
      <c r="I754" s="384">
        <f>I812</f>
        <v>-0.75</v>
      </c>
      <c r="J754" s="321"/>
      <c r="K754" s="321">
        <f>ROUND(I754*$C754,0)</f>
        <v>0</v>
      </c>
      <c r="M754" s="84">
        <f>-(I754*D754)/100</f>
        <v>0</v>
      </c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</row>
    <row r="755" spans="1:29">
      <c r="A755" s="309" t="s">
        <v>433</v>
      </c>
      <c r="B755" s="1"/>
      <c r="C755" s="319">
        <v>1180</v>
      </c>
      <c r="D755" s="319">
        <f>ROUND(($D$758/$C$758)*C755,0)</f>
        <v>2282</v>
      </c>
      <c r="E755" s="391">
        <f>ROUND(E740/2,3)</f>
        <v>3.0150000000000001</v>
      </c>
      <c r="F755" s="321"/>
      <c r="G755" s="321">
        <f>ROUND(E755*$C755,0)</f>
        <v>3558</v>
      </c>
      <c r="H755" s="321">
        <f>ROUND(E755*$D755,0)</f>
        <v>6880</v>
      </c>
      <c r="I755" s="391">
        <f>ROUND(I740/2,3)</f>
        <v>3.2650000000000001</v>
      </c>
      <c r="J755" s="321"/>
      <c r="K755" s="321">
        <f>ROUND($C755*I755,0)</f>
        <v>3853</v>
      </c>
      <c r="M755" s="84">
        <f>I755*D755</f>
        <v>7450.7300000000005</v>
      </c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</row>
    <row r="756" spans="1:29">
      <c r="A756" s="309" t="s">
        <v>434</v>
      </c>
      <c r="B756" s="1"/>
      <c r="C756" s="319">
        <v>520</v>
      </c>
      <c r="D756" s="319">
        <f>ROUND(($D$758/$C$758)*C756,0)</f>
        <v>1006</v>
      </c>
      <c r="E756" s="334">
        <f>E740*4</f>
        <v>24.12</v>
      </c>
      <c r="F756" s="321"/>
      <c r="G756" s="321">
        <f>ROUND(E756*$C756,0)</f>
        <v>12542</v>
      </c>
      <c r="H756" s="321">
        <f>ROUND(E756*$D756,0)</f>
        <v>24265</v>
      </c>
      <c r="I756" s="334">
        <f>I740*4</f>
        <v>26.12</v>
      </c>
      <c r="J756" s="321"/>
      <c r="K756" s="321">
        <f>ROUND($C756*I756,0)</f>
        <v>13582</v>
      </c>
      <c r="M756" s="84">
        <f>I756*D756</f>
        <v>26276.720000000001</v>
      </c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</row>
    <row r="757" spans="1:29">
      <c r="A757" s="3" t="s">
        <v>435</v>
      </c>
      <c r="B757" s="303"/>
      <c r="C757" s="319">
        <v>11900</v>
      </c>
      <c r="D757" s="319">
        <f>ROUND(($D$758/$C$758)*C757,0)</f>
        <v>23014</v>
      </c>
      <c r="E757" s="392">
        <f>E742*4</f>
        <v>13.996</v>
      </c>
      <c r="F757" s="321" t="s">
        <v>374</v>
      </c>
      <c r="G757" s="321">
        <f>ROUND($C757*E757/100,0)</f>
        <v>1666</v>
      </c>
      <c r="H757" s="321">
        <f>ROUND($D757*E757/100,0)</f>
        <v>3221</v>
      </c>
      <c r="I757" s="392">
        <f>I742*4</f>
        <v>15.488</v>
      </c>
      <c r="J757" s="321" t="s">
        <v>374</v>
      </c>
      <c r="K757" s="321">
        <f>ROUND($C757*I757/100,0)</f>
        <v>1843</v>
      </c>
      <c r="M757" s="84">
        <f>(I757/100)*D757</f>
        <v>3564.4083199999995</v>
      </c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</row>
    <row r="758" spans="1:29">
      <c r="A758" s="1" t="s">
        <v>381</v>
      </c>
      <c r="B758" s="1"/>
      <c r="C758" s="319">
        <f>C742+C757</f>
        <v>1260000</v>
      </c>
      <c r="D758" s="319">
        <v>2436796.4482688801</v>
      </c>
      <c r="E758" s="330"/>
      <c r="F758" s="2"/>
      <c r="G758" s="2">
        <f>SUM(G735:G757)</f>
        <v>157533</v>
      </c>
      <c r="H758" s="2">
        <f>SUM(H735:H757)</f>
        <v>291169</v>
      </c>
      <c r="I758" s="330"/>
      <c r="J758" s="1"/>
      <c r="K758" s="2">
        <f>SUM(K735:K757)</f>
        <v>172415</v>
      </c>
      <c r="M758" s="84">
        <f>SUM(M735:M757)</f>
        <v>318550.48735999997</v>
      </c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</row>
    <row r="759" spans="1:29">
      <c r="A759" s="1" t="s">
        <v>363</v>
      </c>
      <c r="B759" s="1"/>
      <c r="C759" s="319" t="e">
        <f>#REF!</f>
        <v>#REF!</v>
      </c>
      <c r="D759" s="319">
        <v>0</v>
      </c>
      <c r="E759" s="309"/>
      <c r="F759" s="309"/>
      <c r="G759" s="341" t="e">
        <f>#REF!</f>
        <v>#REF!</v>
      </c>
      <c r="H759" s="341">
        <v>0</v>
      </c>
      <c r="I759" s="309"/>
      <c r="J759" s="309"/>
      <c r="K759" s="341" t="e">
        <f>G759</f>
        <v>#REF!</v>
      </c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</row>
    <row r="760" spans="1:29" ht="16.5" thickBot="1">
      <c r="A760" s="1" t="s">
        <v>382</v>
      </c>
      <c r="B760" s="1"/>
      <c r="C760" s="393" t="e">
        <f>SUM(C758)+C759</f>
        <v>#REF!</v>
      </c>
      <c r="D760" s="393">
        <f>SUM(D742)+D759</f>
        <v>2413782</v>
      </c>
      <c r="E760" s="342"/>
      <c r="F760" s="343"/>
      <c r="G760" s="344" t="e">
        <f>G758+G759</f>
        <v>#REF!</v>
      </c>
      <c r="H760" s="344">
        <f>H758+H759</f>
        <v>291169</v>
      </c>
      <c r="I760" s="342"/>
      <c r="J760" s="345"/>
      <c r="K760" s="344" t="e">
        <f>K758+K759</f>
        <v>#REF!</v>
      </c>
      <c r="N760" s="3" t="s">
        <v>364</v>
      </c>
      <c r="O760" s="69" t="e">
        <f>#REF!*1000</f>
        <v>#REF!</v>
      </c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</row>
    <row r="761" spans="1:29" ht="16.5" thickTop="1">
      <c r="A761" s="1"/>
      <c r="B761" s="1"/>
      <c r="C761" s="21"/>
      <c r="D761" s="21"/>
      <c r="E761" s="337"/>
      <c r="F761" s="2"/>
      <c r="G761" s="2"/>
      <c r="H761" s="2"/>
      <c r="I761" s="337"/>
      <c r="J761" s="1"/>
      <c r="K761" s="380"/>
      <c r="N761" s="3" t="s">
        <v>263</v>
      </c>
      <c r="O761" s="69" t="e">
        <f>O760-K760</f>
        <v>#REF!</v>
      </c>
      <c r="P761" s="14" t="e">
        <f>(O760-K760)/K760</f>
        <v>#REF!</v>
      </c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</row>
    <row r="762" spans="1:29">
      <c r="A762" s="293" t="s">
        <v>476</v>
      </c>
      <c r="B762" s="1"/>
      <c r="C762" s="1"/>
      <c r="D762" s="1"/>
      <c r="E762" s="2"/>
      <c r="F762" s="2"/>
      <c r="G762" s="1"/>
      <c r="H762" s="1"/>
      <c r="I762" s="2"/>
      <c r="J762" s="1"/>
      <c r="K762" s="1"/>
      <c r="M762" s="20"/>
      <c r="N762" s="20"/>
      <c r="O762" s="74"/>
      <c r="P762" s="74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</row>
    <row r="763" spans="1:29">
      <c r="A763" s="309" t="s">
        <v>477</v>
      </c>
      <c r="B763" s="1"/>
      <c r="C763" s="1"/>
      <c r="D763" s="1"/>
      <c r="E763" s="2"/>
      <c r="F763" s="2"/>
      <c r="G763" s="1"/>
      <c r="H763" s="1"/>
      <c r="I763" s="2"/>
      <c r="J763" s="1"/>
      <c r="K763" s="1"/>
      <c r="M763" s="20"/>
      <c r="N763" s="20"/>
      <c r="O763" s="74"/>
      <c r="P763" s="74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</row>
    <row r="764" spans="1:29">
      <c r="A764" s="323"/>
      <c r="B764" s="1"/>
      <c r="C764" s="1"/>
      <c r="D764" s="1"/>
      <c r="E764" s="2"/>
      <c r="F764" s="2"/>
      <c r="G764" s="1"/>
      <c r="H764" s="1"/>
      <c r="I764" s="2"/>
      <c r="J764" s="1"/>
      <c r="K764" s="1"/>
      <c r="M764" s="20"/>
      <c r="N764" s="20"/>
      <c r="O764" s="74"/>
      <c r="P764" s="74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</row>
    <row r="765" spans="1:29">
      <c r="A765" s="323" t="s">
        <v>393</v>
      </c>
      <c r="B765" s="1"/>
      <c r="C765" s="319"/>
      <c r="D765" s="319"/>
      <c r="E765" s="2"/>
      <c r="F765" s="2"/>
      <c r="G765" s="1"/>
      <c r="H765" s="1"/>
      <c r="I765" s="2"/>
      <c r="J765" s="1"/>
      <c r="K765" s="1"/>
      <c r="M765" s="20"/>
      <c r="N765" s="20"/>
      <c r="O765" s="74"/>
      <c r="P765" s="74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</row>
    <row r="766" spans="1:29">
      <c r="A766" s="323" t="s">
        <v>471</v>
      </c>
      <c r="B766" s="1"/>
      <c r="C766" s="319">
        <f>C794+C877</f>
        <v>658</v>
      </c>
      <c r="D766" s="319">
        <f>D794+D877</f>
        <v>692</v>
      </c>
      <c r="E766" s="337">
        <v>1205</v>
      </c>
      <c r="F766" s="337"/>
      <c r="G766" s="2">
        <f>G794+G877</f>
        <v>792890</v>
      </c>
      <c r="H766" s="2">
        <f>H794+H877</f>
        <v>833860</v>
      </c>
      <c r="I766" s="337">
        <v>1330</v>
      </c>
      <c r="J766" s="321"/>
      <c r="K766" s="2">
        <f>K794+K877</f>
        <v>875140</v>
      </c>
      <c r="M766" s="84">
        <f>I766*D766</f>
        <v>920360</v>
      </c>
      <c r="O766" s="14">
        <f>(I766-E766)/E766</f>
        <v>0.1037344398340249</v>
      </c>
      <c r="P766" s="14"/>
      <c r="R766" s="329"/>
      <c r="T766" s="3" t="s">
        <v>371</v>
      </c>
      <c r="U766" s="3" t="s">
        <v>305</v>
      </c>
      <c r="V766" s="3" t="s">
        <v>372</v>
      </c>
      <c r="W766" s="3" t="s">
        <v>315</v>
      </c>
      <c r="X766" s="20"/>
      <c r="Y766" s="20"/>
      <c r="Z766" s="20"/>
      <c r="AA766" s="20"/>
      <c r="AB766" s="20"/>
      <c r="AC766" s="20"/>
    </row>
    <row r="767" spans="1:29">
      <c r="A767" s="323" t="s">
        <v>472</v>
      </c>
      <c r="B767" s="1"/>
      <c r="C767" s="319">
        <f>C795+C878</f>
        <v>60</v>
      </c>
      <c r="D767" s="319">
        <f>D795+D878</f>
        <v>62</v>
      </c>
      <c r="E767" s="337">
        <v>1450</v>
      </c>
      <c r="F767" s="337"/>
      <c r="G767" s="2">
        <f>G795+G878</f>
        <v>87000</v>
      </c>
      <c r="H767" s="2">
        <f>H795+H878</f>
        <v>89900</v>
      </c>
      <c r="I767" s="337">
        <v>1600</v>
      </c>
      <c r="J767" s="324"/>
      <c r="K767" s="2">
        <f>K795+K878</f>
        <v>95400</v>
      </c>
      <c r="M767" s="84">
        <f>I767*D767</f>
        <v>99200</v>
      </c>
      <c r="O767" s="14">
        <f>(I767-E767)/E767</f>
        <v>0.10344827586206896</v>
      </c>
      <c r="R767" s="329"/>
      <c r="S767" s="3" t="s">
        <v>20</v>
      </c>
      <c r="T767" s="106">
        <f>E766*(D766+D767+D735)</f>
        <v>923030</v>
      </c>
      <c r="U767" s="106">
        <f>I766*(D766+D767+D735)</f>
        <v>1018780</v>
      </c>
      <c r="V767" s="106">
        <v>20746.582883790943</v>
      </c>
      <c r="W767" s="237">
        <f>U767/V767</f>
        <v>49.105918102588383</v>
      </c>
      <c r="X767" s="20"/>
      <c r="Y767" s="20"/>
      <c r="Z767" s="20"/>
      <c r="AA767" s="20"/>
      <c r="AB767" s="20"/>
      <c r="AC767" s="20"/>
    </row>
    <row r="768" spans="1:29">
      <c r="A768" s="323" t="s">
        <v>394</v>
      </c>
      <c r="B768" s="1"/>
      <c r="C768" s="319">
        <f>SUM(C766:C767)</f>
        <v>718</v>
      </c>
      <c r="D768" s="319">
        <f>SUM(D766:D767)</f>
        <v>754</v>
      </c>
      <c r="E768" s="337" t="s">
        <v>31</v>
      </c>
      <c r="F768" s="337"/>
      <c r="G768" s="2"/>
      <c r="H768" s="2"/>
      <c r="I768" s="337" t="s">
        <v>31</v>
      </c>
      <c r="J768" s="321"/>
      <c r="K768" s="2"/>
      <c r="O768" s="320"/>
      <c r="S768" s="3" t="s">
        <v>404</v>
      </c>
      <c r="T768" s="106">
        <f>SUM(H766:H770)+SUM(H735:H739)-T767</f>
        <v>2074380</v>
      </c>
      <c r="U768" s="106">
        <f>SUM(K766:K770)+SUM(K735:K739)-U767</f>
        <v>1669410</v>
      </c>
      <c r="V768" s="106">
        <v>3811025.9901367896</v>
      </c>
      <c r="W768" s="237">
        <f>U768/V768</f>
        <v>0.43804739309586277</v>
      </c>
      <c r="X768" s="20"/>
      <c r="Y768" s="20"/>
      <c r="Z768" s="20"/>
      <c r="AA768" s="20"/>
      <c r="AB768" s="20"/>
      <c r="AC768" s="20"/>
    </row>
    <row r="769" spans="1:29">
      <c r="A769" s="323" t="s">
        <v>473</v>
      </c>
      <c r="B769" s="1"/>
      <c r="C769" s="319">
        <f t="shared" ref="C769:D771" si="63">C797+C880</f>
        <v>898711</v>
      </c>
      <c r="D769" s="319">
        <f t="shared" si="63"/>
        <v>1752134</v>
      </c>
      <c r="E769" s="337">
        <v>0.91</v>
      </c>
      <c r="F769" s="337"/>
      <c r="G769" s="2">
        <f t="shared" ref="G769:H771" si="64">G797+G880</f>
        <v>817827</v>
      </c>
      <c r="H769" s="2">
        <f t="shared" si="64"/>
        <v>1594442</v>
      </c>
      <c r="I769" s="337">
        <v>1.01</v>
      </c>
      <c r="J769" s="321"/>
      <c r="K769" s="2">
        <f>K797+K880</f>
        <v>907698</v>
      </c>
      <c r="M769" s="84">
        <f>I769*D769</f>
        <v>1769655.34</v>
      </c>
      <c r="O769" s="14">
        <f>(I769-E769)/E769</f>
        <v>0.10989010989010986</v>
      </c>
      <c r="S769" s="3" t="s">
        <v>442</v>
      </c>
      <c r="T769" s="106">
        <f>SUM(T767:T768)</f>
        <v>2997410</v>
      </c>
      <c r="U769" s="106">
        <f>SUM(U767:U768)</f>
        <v>2688190</v>
      </c>
      <c r="V769" s="106">
        <f>SUM(V767:V768)</f>
        <v>3831772.5730205807</v>
      </c>
      <c r="W769" s="237">
        <f>U769/V769</f>
        <v>0.70155259707412743</v>
      </c>
      <c r="X769" s="20"/>
      <c r="Y769" s="20"/>
      <c r="Z769" s="20"/>
      <c r="AA769" s="20"/>
      <c r="AB769" s="20"/>
      <c r="AC769" s="20"/>
    </row>
    <row r="770" spans="1:29">
      <c r="A770" s="323" t="s">
        <v>474</v>
      </c>
      <c r="B770" s="1"/>
      <c r="C770" s="319">
        <f t="shared" si="63"/>
        <v>875536</v>
      </c>
      <c r="D770" s="319">
        <f t="shared" si="63"/>
        <v>528174</v>
      </c>
      <c r="E770" s="337">
        <v>0.83</v>
      </c>
      <c r="F770" s="337"/>
      <c r="G770" s="2">
        <f t="shared" si="64"/>
        <v>726694</v>
      </c>
      <c r="H770" s="2">
        <f t="shared" si="64"/>
        <v>438384</v>
      </c>
      <c r="I770" s="337">
        <v>0.92</v>
      </c>
      <c r="J770" s="321"/>
      <c r="K770" s="2">
        <f>K798+K881</f>
        <v>778862</v>
      </c>
      <c r="M770" s="84">
        <f>I770*D770</f>
        <v>485920.08</v>
      </c>
      <c r="O770" s="14">
        <f>(I770-E770)/E770</f>
        <v>0.10843373493975914</v>
      </c>
      <c r="S770" s="3" t="s">
        <v>406</v>
      </c>
      <c r="T770" s="106">
        <f>H771</f>
        <v>11639274</v>
      </c>
      <c r="U770" s="106">
        <f>K771</f>
        <v>10175585</v>
      </c>
      <c r="V770" s="106">
        <v>5205301.8106998745</v>
      </c>
      <c r="W770" s="237">
        <f>U770/V770</f>
        <v>1.9548501451123061</v>
      </c>
      <c r="X770" s="20"/>
      <c r="Y770" s="20"/>
      <c r="Z770" s="20"/>
      <c r="AA770" s="20"/>
      <c r="AB770" s="20"/>
      <c r="AC770" s="20"/>
    </row>
    <row r="771" spans="1:29">
      <c r="A771" s="309" t="s">
        <v>403</v>
      </c>
      <c r="B771" s="1"/>
      <c r="C771" s="319">
        <f t="shared" si="63"/>
        <v>1557283</v>
      </c>
      <c r="D771" s="319">
        <f t="shared" si="63"/>
        <v>1930228</v>
      </c>
      <c r="E771" s="337">
        <v>6.03</v>
      </c>
      <c r="F771" s="337"/>
      <c r="G771" s="2">
        <f t="shared" si="64"/>
        <v>9390417</v>
      </c>
      <c r="H771" s="2">
        <f t="shared" si="64"/>
        <v>11639274</v>
      </c>
      <c r="I771" s="337">
        <v>6.53</v>
      </c>
      <c r="J771" s="321"/>
      <c r="K771" s="2">
        <f>K799+K882</f>
        <v>10175585</v>
      </c>
      <c r="M771" s="84">
        <f>I771*D771</f>
        <v>12604388.84</v>
      </c>
      <c r="O771" s="14">
        <f>(I771-E771)/E771</f>
        <v>8.2918739635157543E-2</v>
      </c>
      <c r="S771" s="3" t="s">
        <v>376</v>
      </c>
      <c r="T771" s="106">
        <f>H773</f>
        <v>31238595</v>
      </c>
      <c r="U771" s="106">
        <f>K773</f>
        <v>32828416</v>
      </c>
      <c r="V771" s="106">
        <v>38185452.241358206</v>
      </c>
      <c r="W771" s="237">
        <f>U771/V771</f>
        <v>0.85971002235358984</v>
      </c>
      <c r="X771" s="20"/>
      <c r="Y771" s="20"/>
      <c r="Z771" s="20"/>
      <c r="AA771" s="20"/>
      <c r="AB771" s="20"/>
      <c r="AC771" s="20"/>
    </row>
    <row r="772" spans="1:29">
      <c r="A772" s="323" t="s">
        <v>426</v>
      </c>
      <c r="B772" s="1"/>
      <c r="C772" s="319"/>
      <c r="D772" s="319"/>
      <c r="E772" s="337" t="s">
        <v>31</v>
      </c>
      <c r="F772" s="337"/>
      <c r="G772" s="2"/>
      <c r="H772" s="2"/>
      <c r="I772" s="337" t="s">
        <v>31</v>
      </c>
      <c r="J772" s="321"/>
      <c r="K772" s="2"/>
      <c r="O772" s="320"/>
      <c r="V772" s="20"/>
      <c r="W772" s="20"/>
      <c r="X772" s="20"/>
      <c r="Y772" s="20"/>
      <c r="Z772" s="20"/>
      <c r="AA772" s="20"/>
      <c r="AB772" s="20"/>
      <c r="AC772" s="20"/>
    </row>
    <row r="773" spans="1:29">
      <c r="A773" s="323" t="s">
        <v>464</v>
      </c>
      <c r="B773" s="1"/>
      <c r="C773" s="319">
        <f>C801+C884</f>
        <v>848518988</v>
      </c>
      <c r="D773" s="319">
        <f>D801+D884</f>
        <v>892786384</v>
      </c>
      <c r="E773" s="383">
        <v>3.4990000000000001</v>
      </c>
      <c r="F773" s="321" t="s">
        <v>374</v>
      </c>
      <c r="G773" s="2">
        <f>G801+G884</f>
        <v>29689679</v>
      </c>
      <c r="H773" s="2">
        <f>H801+H884</f>
        <v>31238595</v>
      </c>
      <c r="I773" s="395">
        <v>3.875</v>
      </c>
      <c r="J773" s="321" t="s">
        <v>374</v>
      </c>
      <c r="K773" s="2">
        <f>K801+K884</f>
        <v>32828416</v>
      </c>
      <c r="M773" s="84">
        <f>(I773/100)*D773</f>
        <v>34595472.380000003</v>
      </c>
      <c r="O773" s="14">
        <f>(I773-E773)/E773</f>
        <v>0.10745927407830805</v>
      </c>
      <c r="V773" s="20"/>
      <c r="W773" s="20"/>
      <c r="X773" s="20"/>
      <c r="Y773" s="20"/>
      <c r="Z773" s="20"/>
      <c r="AA773" s="20"/>
      <c r="AB773" s="20"/>
      <c r="AC773" s="20"/>
    </row>
    <row r="774" spans="1:29">
      <c r="A774" s="323" t="s">
        <v>400</v>
      </c>
      <c r="B774" s="1"/>
      <c r="C774" s="319">
        <f>C802+C885</f>
        <v>395613</v>
      </c>
      <c r="D774" s="319">
        <f>D802+D885</f>
        <v>541286</v>
      </c>
      <c r="E774" s="337">
        <v>0.45</v>
      </c>
      <c r="F774" s="321"/>
      <c r="G774" s="2">
        <f>G802+G885</f>
        <v>178026</v>
      </c>
      <c r="H774" s="2">
        <f>H802+H885</f>
        <v>243579</v>
      </c>
      <c r="I774" s="337">
        <v>0.5</v>
      </c>
      <c r="J774" s="321"/>
      <c r="K774" s="2">
        <f>K802+K885</f>
        <v>197807</v>
      </c>
      <c r="M774" s="84">
        <f>I774*D774</f>
        <v>270643</v>
      </c>
      <c r="N774" s="320"/>
      <c r="O774" s="14">
        <f>(I774-E774)/E774</f>
        <v>0.11111111111111108</v>
      </c>
      <c r="V774" s="20"/>
      <c r="W774" s="20"/>
      <c r="X774" s="20"/>
      <c r="Y774" s="20"/>
      <c r="Z774" s="20"/>
      <c r="AA774" s="20"/>
      <c r="AB774" s="20"/>
      <c r="AC774" s="20"/>
    </row>
    <row r="775" spans="1:29">
      <c r="A775" s="360" t="s">
        <v>401</v>
      </c>
      <c r="B775" s="1"/>
      <c r="C775" s="319"/>
      <c r="D775" s="319"/>
      <c r="E775" s="332">
        <v>-0.01</v>
      </c>
      <c r="F775" s="332"/>
      <c r="G775" s="2"/>
      <c r="H775" s="2"/>
      <c r="I775" s="332">
        <v>-0.01</v>
      </c>
      <c r="J775" s="361"/>
      <c r="K775" s="2"/>
      <c r="V775" s="20"/>
      <c r="W775" s="20"/>
      <c r="X775" s="20"/>
      <c r="Y775" s="20"/>
      <c r="Z775" s="20"/>
      <c r="AA775" s="20"/>
      <c r="AB775" s="20"/>
      <c r="AC775" s="20"/>
    </row>
    <row r="776" spans="1:29">
      <c r="A776" s="323" t="s">
        <v>471</v>
      </c>
      <c r="B776" s="1"/>
      <c r="C776" s="319">
        <f t="shared" ref="C776:D786" si="65">C804+C887</f>
        <v>135</v>
      </c>
      <c r="D776" s="319">
        <f t="shared" si="65"/>
        <v>143</v>
      </c>
      <c r="E776" s="334">
        <f>E766</f>
        <v>1205</v>
      </c>
      <c r="F776" s="334"/>
      <c r="G776" s="321">
        <f t="shared" ref="G776:H786" si="66">G804+G887</f>
        <v>-1627</v>
      </c>
      <c r="H776" s="321">
        <f t="shared" si="66"/>
        <v>-1723</v>
      </c>
      <c r="I776" s="334">
        <f>I766</f>
        <v>1330</v>
      </c>
      <c r="J776" s="321"/>
      <c r="K776" s="321">
        <f t="shared" ref="K776:K785" si="67">K804+K887</f>
        <v>-1795</v>
      </c>
      <c r="M776" s="84">
        <f>-(I776/100)*D776</f>
        <v>-1901.9</v>
      </c>
      <c r="V776" s="20"/>
      <c r="W776" s="20"/>
      <c r="X776" s="20"/>
      <c r="Y776" s="20"/>
      <c r="Z776" s="20"/>
      <c r="AA776" s="20"/>
      <c r="AB776" s="20"/>
      <c r="AC776" s="20"/>
    </row>
    <row r="777" spans="1:29">
      <c r="A777" s="323" t="s">
        <v>472</v>
      </c>
      <c r="B777" s="1"/>
      <c r="C777" s="319">
        <f t="shared" si="65"/>
        <v>35</v>
      </c>
      <c r="D777" s="319">
        <f t="shared" si="65"/>
        <v>36</v>
      </c>
      <c r="E777" s="334">
        <f>E767</f>
        <v>1450</v>
      </c>
      <c r="F777" s="334"/>
      <c r="G777" s="321">
        <f t="shared" si="66"/>
        <v>-508</v>
      </c>
      <c r="H777" s="321">
        <f t="shared" si="66"/>
        <v>-522</v>
      </c>
      <c r="I777" s="334">
        <f>I767</f>
        <v>1600</v>
      </c>
      <c r="J777" s="321"/>
      <c r="K777" s="321">
        <f t="shared" si="67"/>
        <v>-554</v>
      </c>
      <c r="M777" s="84">
        <f>-(I777/100)*D777</f>
        <v>-576</v>
      </c>
      <c r="V777" s="20"/>
      <c r="W777" s="20"/>
      <c r="X777" s="20"/>
      <c r="Y777" s="20"/>
      <c r="Z777" s="20"/>
      <c r="AA777" s="20"/>
      <c r="AB777" s="20"/>
      <c r="AC777" s="20"/>
    </row>
    <row r="778" spans="1:29">
      <c r="A778" s="323" t="s">
        <v>473</v>
      </c>
      <c r="B778" s="1"/>
      <c r="C778" s="319">
        <f t="shared" si="65"/>
        <v>189773</v>
      </c>
      <c r="D778" s="319">
        <f t="shared" si="65"/>
        <v>250152</v>
      </c>
      <c r="E778" s="334">
        <f>E769</f>
        <v>0.91</v>
      </c>
      <c r="F778" s="334"/>
      <c r="G778" s="321">
        <f t="shared" si="66"/>
        <v>-1727</v>
      </c>
      <c r="H778" s="321">
        <f t="shared" si="66"/>
        <v>-2276</v>
      </c>
      <c r="I778" s="334">
        <f>I769</f>
        <v>1.01</v>
      </c>
      <c r="J778" s="321"/>
      <c r="K778" s="321">
        <f t="shared" si="67"/>
        <v>-1917</v>
      </c>
      <c r="M778" s="84">
        <f>-(I778/100)*D778</f>
        <v>-2526.5351999999998</v>
      </c>
      <c r="V778" s="20"/>
      <c r="W778" s="20"/>
      <c r="X778" s="20"/>
      <c r="Y778" s="20"/>
      <c r="Z778" s="20"/>
      <c r="AA778" s="20"/>
      <c r="AB778" s="20"/>
      <c r="AC778" s="20"/>
    </row>
    <row r="779" spans="1:29">
      <c r="A779" s="323" t="s">
        <v>474</v>
      </c>
      <c r="B779" s="1"/>
      <c r="C779" s="319">
        <f t="shared" si="65"/>
        <v>767389</v>
      </c>
      <c r="D779" s="319">
        <f t="shared" si="65"/>
        <v>242431</v>
      </c>
      <c r="E779" s="334">
        <f>E770</f>
        <v>0.83</v>
      </c>
      <c r="F779" s="334"/>
      <c r="G779" s="321">
        <f t="shared" si="66"/>
        <v>-6369</v>
      </c>
      <c r="H779" s="321">
        <f t="shared" si="66"/>
        <v>-2012</v>
      </c>
      <c r="I779" s="334">
        <f>I770</f>
        <v>0.92</v>
      </c>
      <c r="J779" s="321"/>
      <c r="K779" s="321">
        <f t="shared" si="67"/>
        <v>-6793</v>
      </c>
      <c r="M779" s="84">
        <f>-(I779/100)*D779</f>
        <v>-2230.3652000000002</v>
      </c>
      <c r="V779" s="20"/>
      <c r="W779" s="20"/>
      <c r="X779" s="20"/>
      <c r="Y779" s="20"/>
      <c r="Z779" s="20"/>
      <c r="AA779" s="20"/>
      <c r="AB779" s="20"/>
      <c r="AC779" s="20"/>
    </row>
    <row r="780" spans="1:29">
      <c r="A780" s="309" t="s">
        <v>403</v>
      </c>
      <c r="B780" s="380"/>
      <c r="C780" s="319">
        <f t="shared" si="65"/>
        <v>887827</v>
      </c>
      <c r="D780" s="319">
        <f t="shared" si="65"/>
        <v>417760</v>
      </c>
      <c r="E780" s="334">
        <f>E771</f>
        <v>6.03</v>
      </c>
      <c r="F780" s="337"/>
      <c r="G780" s="321">
        <f t="shared" si="66"/>
        <v>-53535</v>
      </c>
      <c r="H780" s="321">
        <f t="shared" si="66"/>
        <v>-25191</v>
      </c>
      <c r="I780" s="334">
        <f>I771</f>
        <v>6.53</v>
      </c>
      <c r="J780" s="321"/>
      <c r="K780" s="321">
        <f t="shared" si="67"/>
        <v>-58041</v>
      </c>
      <c r="M780" s="84">
        <f>-(I780/100)*D780</f>
        <v>-27279.727999999999</v>
      </c>
      <c r="V780" s="20"/>
      <c r="W780" s="20"/>
      <c r="X780" s="20"/>
      <c r="Y780" s="20"/>
      <c r="Z780" s="20"/>
      <c r="AA780" s="20"/>
      <c r="AB780" s="20"/>
      <c r="AC780" s="20"/>
    </row>
    <row r="781" spans="1:29">
      <c r="A781" s="323" t="s">
        <v>464</v>
      </c>
      <c r="B781" s="1"/>
      <c r="C781" s="319">
        <f t="shared" si="65"/>
        <v>541097802</v>
      </c>
      <c r="D781" s="319">
        <f t="shared" si="65"/>
        <v>196350613</v>
      </c>
      <c r="E781" s="335">
        <f>E773</f>
        <v>3.4990000000000001</v>
      </c>
      <c r="F781" s="321" t="s">
        <v>374</v>
      </c>
      <c r="G781" s="321">
        <f t="shared" si="66"/>
        <v>-189330</v>
      </c>
      <c r="H781" s="321">
        <f t="shared" si="66"/>
        <v>-68703</v>
      </c>
      <c r="I781" s="335">
        <f>I773</f>
        <v>3.875</v>
      </c>
      <c r="J781" s="321" t="s">
        <v>374</v>
      </c>
      <c r="K781" s="321">
        <f t="shared" si="67"/>
        <v>-209251</v>
      </c>
      <c r="M781" s="84">
        <f>-((I781/100)*D781)/100</f>
        <v>-76085.862537499997</v>
      </c>
      <c r="V781" s="20"/>
      <c r="W781" s="20"/>
      <c r="X781" s="20"/>
      <c r="Y781" s="20"/>
      <c r="Z781" s="20"/>
      <c r="AA781" s="20"/>
      <c r="AB781" s="20"/>
      <c r="AC781" s="20"/>
    </row>
    <row r="782" spans="1:29">
      <c r="A782" s="323" t="s">
        <v>400</v>
      </c>
      <c r="B782" s="1"/>
      <c r="C782" s="319">
        <f t="shared" si="65"/>
        <v>208290</v>
      </c>
      <c r="D782" s="319">
        <f t="shared" si="65"/>
        <v>87611</v>
      </c>
      <c r="E782" s="384">
        <f>E774</f>
        <v>0.45</v>
      </c>
      <c r="F782" s="321"/>
      <c r="G782" s="321">
        <f t="shared" si="66"/>
        <v>-937</v>
      </c>
      <c r="H782" s="321">
        <f t="shared" si="66"/>
        <v>-394</v>
      </c>
      <c r="I782" s="384">
        <f>I774</f>
        <v>0.5</v>
      </c>
      <c r="J782" s="321"/>
      <c r="K782" s="321">
        <f t="shared" si="67"/>
        <v>-1041</v>
      </c>
      <c r="M782" s="84">
        <f>-(I782/100)*D782</f>
        <v>-438.05500000000001</v>
      </c>
      <c r="V782" s="20"/>
      <c r="W782" s="20"/>
      <c r="X782" s="20"/>
      <c r="Y782" s="20"/>
      <c r="Z782" s="20"/>
      <c r="AA782" s="20"/>
      <c r="AB782" s="20"/>
      <c r="AC782" s="20"/>
    </row>
    <row r="783" spans="1:29">
      <c r="A783" s="309" t="s">
        <v>475</v>
      </c>
      <c r="B783" s="1"/>
      <c r="C783" s="319">
        <f t="shared" si="65"/>
        <v>170</v>
      </c>
      <c r="D783" s="319">
        <f t="shared" si="65"/>
        <v>179</v>
      </c>
      <c r="E783" s="337">
        <v>60</v>
      </c>
      <c r="F783" s="337"/>
      <c r="G783" s="321">
        <f t="shared" si="66"/>
        <v>10200</v>
      </c>
      <c r="H783" s="321">
        <f t="shared" si="66"/>
        <v>10740</v>
      </c>
      <c r="I783" s="337">
        <f>'Blocking - detail'!I783</f>
        <v>60</v>
      </c>
      <c r="J783" s="321"/>
      <c r="K783" s="321">
        <f t="shared" si="67"/>
        <v>10200</v>
      </c>
      <c r="M783" s="84">
        <f>I783*D783</f>
        <v>10740</v>
      </c>
      <c r="V783" s="20"/>
      <c r="W783" s="20"/>
      <c r="X783" s="20"/>
      <c r="Y783" s="20"/>
      <c r="Z783" s="20"/>
      <c r="AA783" s="20"/>
      <c r="AB783" s="20"/>
      <c r="AC783" s="20"/>
    </row>
    <row r="784" spans="1:29">
      <c r="A784" s="309" t="s">
        <v>444</v>
      </c>
      <c r="B784" s="1"/>
      <c r="C784" s="319">
        <f t="shared" si="65"/>
        <v>957162</v>
      </c>
      <c r="D784" s="319">
        <f t="shared" si="65"/>
        <v>492583</v>
      </c>
      <c r="E784" s="337">
        <v>-0.75</v>
      </c>
      <c r="F784" s="321"/>
      <c r="G784" s="321">
        <f t="shared" si="66"/>
        <v>-717872</v>
      </c>
      <c r="H784" s="321">
        <f t="shared" si="66"/>
        <v>-369437</v>
      </c>
      <c r="I784" s="337">
        <f>'Blocking - detail'!I784</f>
        <v>-0.75</v>
      </c>
      <c r="J784" s="321"/>
      <c r="K784" s="321">
        <f t="shared" si="67"/>
        <v>-717872</v>
      </c>
      <c r="M784" s="84">
        <f>I784*D784</f>
        <v>-369437.25</v>
      </c>
      <c r="V784" s="20"/>
      <c r="W784" s="20"/>
      <c r="X784" s="20"/>
      <c r="Y784" s="20"/>
      <c r="Z784" s="20"/>
      <c r="AA784" s="20"/>
      <c r="AB784" s="20"/>
      <c r="AC784" s="20"/>
    </row>
    <row r="785" spans="1:29">
      <c r="A785" s="1" t="s">
        <v>381</v>
      </c>
      <c r="B785" s="1"/>
      <c r="C785" s="319">
        <f t="shared" si="65"/>
        <v>848518988</v>
      </c>
      <c r="D785" s="319">
        <f t="shared" si="65"/>
        <v>892786385.17848599</v>
      </c>
      <c r="E785" s="330"/>
      <c r="F785" s="2"/>
      <c r="G785" s="2">
        <f t="shared" si="66"/>
        <v>40720828</v>
      </c>
      <c r="H785" s="2">
        <f t="shared" si="66"/>
        <v>45618516</v>
      </c>
      <c r="I785" s="2"/>
      <c r="J785" s="1"/>
      <c r="K785" s="2">
        <f t="shared" si="67"/>
        <v>44871844</v>
      </c>
      <c r="M785" s="84">
        <f>SUM(M766:M784)</f>
        <v>50275903.944062501</v>
      </c>
      <c r="V785" s="20"/>
      <c r="W785" s="20"/>
      <c r="X785" s="20"/>
      <c r="Y785" s="20"/>
      <c r="Z785" s="20"/>
      <c r="AA785" s="20"/>
      <c r="AB785" s="20"/>
      <c r="AC785" s="20"/>
    </row>
    <row r="786" spans="1:29">
      <c r="A786" s="1" t="s">
        <v>363</v>
      </c>
      <c r="B786" s="1"/>
      <c r="C786" s="319" t="e">
        <f t="shared" si="65"/>
        <v>#REF!</v>
      </c>
      <c r="D786" s="319">
        <f t="shared" si="65"/>
        <v>0</v>
      </c>
      <c r="E786" s="309"/>
      <c r="F786" s="309"/>
      <c r="G786" s="341" t="e">
        <f t="shared" si="66"/>
        <v>#REF!</v>
      </c>
      <c r="H786" s="341">
        <f t="shared" si="66"/>
        <v>0</v>
      </c>
      <c r="I786" s="309"/>
      <c r="J786" s="309"/>
      <c r="K786" s="341" t="e">
        <f>G786</f>
        <v>#REF!</v>
      </c>
      <c r="Q786" s="276"/>
      <c r="V786" s="20"/>
      <c r="W786" s="20"/>
      <c r="X786" s="20"/>
      <c r="Y786" s="20"/>
      <c r="Z786" s="20"/>
      <c r="AA786" s="20"/>
      <c r="AB786" s="20"/>
      <c r="AC786" s="20"/>
    </row>
    <row r="787" spans="1:29" ht="16.5" thickBot="1">
      <c r="A787" s="1" t="s">
        <v>382</v>
      </c>
      <c r="B787" s="1"/>
      <c r="C787" s="393" t="e">
        <f>SUM(C785)+C786</f>
        <v>#REF!</v>
      </c>
      <c r="D787" s="393">
        <f>SUM(D773)+D786</f>
        <v>892786384</v>
      </c>
      <c r="E787" s="342"/>
      <c r="F787" s="343"/>
      <c r="G787" s="344" t="e">
        <f>G785+G786</f>
        <v>#REF!</v>
      </c>
      <c r="H787" s="344">
        <f>H785+H786</f>
        <v>45618516</v>
      </c>
      <c r="I787" s="342"/>
      <c r="J787" s="345"/>
      <c r="K787" s="344" t="e">
        <f>K785+K786</f>
        <v>#REF!</v>
      </c>
      <c r="N787" s="3" t="s">
        <v>364</v>
      </c>
      <c r="O787" s="69">
        <v>43704978.563067347</v>
      </c>
      <c r="V787" s="20"/>
      <c r="W787" s="20"/>
      <c r="X787" s="20"/>
      <c r="Y787" s="20"/>
      <c r="Z787" s="20"/>
      <c r="AA787" s="20"/>
      <c r="AB787" s="20"/>
      <c r="AC787" s="20"/>
    </row>
    <row r="788" spans="1:29" ht="16.5" thickTop="1">
      <c r="A788" s="1"/>
      <c r="B788" s="1"/>
      <c r="C788" s="21"/>
      <c r="D788" s="21"/>
      <c r="E788" s="337"/>
      <c r="F788" s="2"/>
      <c r="G788" s="2"/>
      <c r="H788" s="2"/>
      <c r="I788" s="353" t="s">
        <v>31</v>
      </c>
      <c r="J788" s="1"/>
      <c r="K788" s="2" t="s">
        <v>31</v>
      </c>
      <c r="N788" s="3" t="s">
        <v>263</v>
      </c>
      <c r="O788" s="69" t="e">
        <f>O787-K787</f>
        <v>#REF!</v>
      </c>
      <c r="P788" s="276" t="e">
        <f>(O787-K787)/K787</f>
        <v>#REF!</v>
      </c>
      <c r="V788" s="20"/>
      <c r="W788" s="20"/>
      <c r="X788" s="20"/>
      <c r="Y788" s="20"/>
      <c r="Z788" s="20"/>
      <c r="AA788" s="20"/>
      <c r="AB788" s="20"/>
      <c r="AC788" s="20"/>
    </row>
    <row r="789" spans="1:29">
      <c r="A789" s="1"/>
      <c r="B789" s="1"/>
      <c r="C789" s="21"/>
      <c r="D789" s="21"/>
      <c r="E789" s="337"/>
      <c r="F789" s="2"/>
      <c r="G789" s="2"/>
      <c r="H789" s="2"/>
      <c r="I789" s="337"/>
      <c r="J789" s="1"/>
      <c r="K789" s="380"/>
      <c r="M789" s="20"/>
      <c r="N789" s="20"/>
      <c r="O789" s="74"/>
      <c r="P789" s="74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</row>
    <row r="790" spans="1:29">
      <c r="A790" s="293" t="s">
        <v>476</v>
      </c>
      <c r="B790" s="1"/>
      <c r="C790" s="1"/>
      <c r="D790" s="1"/>
      <c r="E790" s="2"/>
      <c r="F790" s="2"/>
      <c r="G790" s="1"/>
      <c r="H790" s="1"/>
      <c r="I790" s="2"/>
      <c r="J790" s="1"/>
      <c r="K790" s="1"/>
      <c r="M790" s="416"/>
      <c r="N790" s="416"/>
      <c r="O790" s="74"/>
      <c r="P790" s="74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</row>
    <row r="791" spans="1:29">
      <c r="A791" s="309" t="s">
        <v>478</v>
      </c>
      <c r="B791" s="1"/>
      <c r="C791" s="1"/>
      <c r="D791" s="1"/>
      <c r="E791" s="2"/>
      <c r="F791" s="2"/>
      <c r="G791" s="1"/>
      <c r="H791" s="1"/>
      <c r="I791" s="2"/>
      <c r="J791" s="1"/>
      <c r="K791" s="1"/>
      <c r="M791" s="20"/>
      <c r="N791" s="20"/>
      <c r="O791" s="74"/>
      <c r="P791" s="74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</row>
    <row r="792" spans="1:29">
      <c r="A792" s="323"/>
      <c r="B792" s="1"/>
      <c r="C792" s="1"/>
      <c r="D792" s="1"/>
      <c r="E792" s="2"/>
      <c r="F792" s="2"/>
      <c r="G792" s="1"/>
      <c r="H792" s="1"/>
      <c r="I792" s="2"/>
      <c r="J792" s="1"/>
      <c r="K792" s="1"/>
      <c r="M792" s="20"/>
      <c r="N792" s="20"/>
      <c r="O792" s="74"/>
      <c r="P792" s="74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</row>
    <row r="793" spans="1:29">
      <c r="A793" s="323" t="s">
        <v>393</v>
      </c>
      <c r="B793" s="1"/>
      <c r="C793" s="319"/>
      <c r="D793" s="319"/>
      <c r="E793" s="2"/>
      <c r="F793" s="2"/>
      <c r="G793" s="1"/>
      <c r="H793" s="1"/>
      <c r="I793" s="2"/>
      <c r="J793" s="1"/>
      <c r="K793" s="1"/>
      <c r="M793" s="20"/>
      <c r="N793" s="20"/>
      <c r="O793" s="69" t="s">
        <v>31</v>
      </c>
      <c r="P793" s="74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</row>
    <row r="794" spans="1:29">
      <c r="A794" s="323" t="s">
        <v>471</v>
      </c>
      <c r="B794" s="1"/>
      <c r="C794" s="319">
        <f>C822+C850</f>
        <v>658</v>
      </c>
      <c r="D794" s="319">
        <f>D822+D850</f>
        <v>692</v>
      </c>
      <c r="E794" s="337">
        <f>$E$766</f>
        <v>1205</v>
      </c>
      <c r="F794" s="337"/>
      <c r="G794" s="2">
        <f>G822+G850</f>
        <v>792890</v>
      </c>
      <c r="H794" s="2">
        <f>H822+H850</f>
        <v>833860</v>
      </c>
      <c r="I794" s="337">
        <v>1330</v>
      </c>
      <c r="J794" s="321"/>
      <c r="K794" s="2">
        <f>K822+K850</f>
        <v>875140</v>
      </c>
      <c r="M794" s="20"/>
      <c r="N794" s="20"/>
      <c r="O794" s="14">
        <f>(I794-E794)/E794</f>
        <v>0.1037344398340249</v>
      </c>
      <c r="P794" s="74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</row>
    <row r="795" spans="1:29">
      <c r="A795" s="323" t="s">
        <v>472</v>
      </c>
      <c r="B795" s="1"/>
      <c r="C795" s="319">
        <f>C823+C851</f>
        <v>48</v>
      </c>
      <c r="D795" s="319">
        <f>D823+D851</f>
        <v>50</v>
      </c>
      <c r="E795" s="337">
        <f>$E$767</f>
        <v>1450</v>
      </c>
      <c r="F795" s="337"/>
      <c r="G795" s="2">
        <f>G823+G851</f>
        <v>69600</v>
      </c>
      <c r="H795" s="2">
        <f>H823+H851</f>
        <v>72500</v>
      </c>
      <c r="I795" s="337">
        <v>1600</v>
      </c>
      <c r="J795" s="324"/>
      <c r="K795" s="2">
        <f>K823+K851</f>
        <v>76800</v>
      </c>
      <c r="M795" s="20"/>
      <c r="N795" s="20"/>
      <c r="O795" s="14">
        <f>(I795-E795)/E795</f>
        <v>0.10344827586206896</v>
      </c>
      <c r="P795" s="74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</row>
    <row r="796" spans="1:29">
      <c r="A796" s="323" t="s">
        <v>394</v>
      </c>
      <c r="B796" s="1"/>
      <c r="C796" s="319">
        <f>SUM(C794:C795)</f>
        <v>706</v>
      </c>
      <c r="D796" s="319">
        <f>SUM(D794:D795)</f>
        <v>742</v>
      </c>
      <c r="E796" s="337" t="s">
        <v>31</v>
      </c>
      <c r="F796" s="337"/>
      <c r="G796" s="2"/>
      <c r="H796" s="2"/>
      <c r="I796" s="337" t="s">
        <v>31</v>
      </c>
      <c r="J796" s="321"/>
      <c r="K796" s="2"/>
      <c r="M796" s="20"/>
      <c r="N796" s="20"/>
      <c r="O796" s="320"/>
      <c r="P796" s="74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</row>
    <row r="797" spans="1:29">
      <c r="A797" s="323" t="s">
        <v>473</v>
      </c>
      <c r="B797" s="1"/>
      <c r="C797" s="319">
        <f t="shared" ref="C797:D799" si="68">C825+C853</f>
        <v>898711</v>
      </c>
      <c r="D797" s="319">
        <f t="shared" si="68"/>
        <v>1752134</v>
      </c>
      <c r="E797" s="337">
        <f>$E$769</f>
        <v>0.91</v>
      </c>
      <c r="F797" s="337"/>
      <c r="G797" s="2">
        <f t="shared" ref="G797:H799" si="69">G825+G853</f>
        <v>817827</v>
      </c>
      <c r="H797" s="2">
        <f t="shared" si="69"/>
        <v>1594442</v>
      </c>
      <c r="I797" s="337">
        <v>1.01</v>
      </c>
      <c r="J797" s="321"/>
      <c r="K797" s="2">
        <f>K825+K853</f>
        <v>907698</v>
      </c>
      <c r="M797" s="20"/>
      <c r="N797" s="20"/>
      <c r="O797" s="14">
        <f>(I797-E797)/E797</f>
        <v>0.10989010989010986</v>
      </c>
      <c r="P797" s="74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</row>
    <row r="798" spans="1:29">
      <c r="A798" s="323" t="s">
        <v>474</v>
      </c>
      <c r="B798" s="1"/>
      <c r="C798" s="319">
        <f t="shared" si="68"/>
        <v>209743</v>
      </c>
      <c r="D798" s="319">
        <f t="shared" si="68"/>
        <v>487863</v>
      </c>
      <c r="E798" s="337">
        <f>$E$770</f>
        <v>0.83</v>
      </c>
      <c r="F798" s="337"/>
      <c r="G798" s="2">
        <f t="shared" si="69"/>
        <v>174086</v>
      </c>
      <c r="H798" s="2">
        <f t="shared" si="69"/>
        <v>404926</v>
      </c>
      <c r="I798" s="337">
        <v>0.92</v>
      </c>
      <c r="J798" s="321"/>
      <c r="K798" s="2">
        <f>K826+K854</f>
        <v>192964</v>
      </c>
      <c r="M798" s="20"/>
      <c r="N798" s="20"/>
      <c r="O798" s="14">
        <f>(I798-E798)/E798</f>
        <v>0.10843373493975914</v>
      </c>
      <c r="P798" s="74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</row>
    <row r="799" spans="1:29">
      <c r="A799" s="309" t="s">
        <v>403</v>
      </c>
      <c r="B799" s="1"/>
      <c r="C799" s="319">
        <f t="shared" si="68"/>
        <v>904657</v>
      </c>
      <c r="D799" s="319">
        <f t="shared" si="68"/>
        <v>1890714</v>
      </c>
      <c r="E799" s="337">
        <f>$E$771</f>
        <v>6.03</v>
      </c>
      <c r="F799" s="337"/>
      <c r="G799" s="2">
        <f t="shared" si="69"/>
        <v>5455082</v>
      </c>
      <c r="H799" s="2">
        <f t="shared" si="69"/>
        <v>11401005</v>
      </c>
      <c r="I799" s="337">
        <v>6.53</v>
      </c>
      <c r="J799" s="321"/>
      <c r="K799" s="2">
        <f>K827+K855</f>
        <v>5907411</v>
      </c>
      <c r="M799" s="20"/>
      <c r="N799" s="20"/>
      <c r="O799" s="14">
        <f>(I799-E799)/E799</f>
        <v>8.2918739635157543E-2</v>
      </c>
      <c r="P799" s="74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</row>
    <row r="800" spans="1:29">
      <c r="A800" s="323" t="s">
        <v>426</v>
      </c>
      <c r="B800" s="1"/>
      <c r="C800" s="319"/>
      <c r="D800" s="319"/>
      <c r="E800" s="337" t="s">
        <v>31</v>
      </c>
      <c r="F800" s="337"/>
      <c r="G800" s="2"/>
      <c r="H800" s="2"/>
      <c r="I800" s="337" t="s">
        <v>31</v>
      </c>
      <c r="J800" s="321"/>
      <c r="K800" s="2"/>
      <c r="M800" s="20"/>
      <c r="N800" s="20"/>
      <c r="O800" s="320"/>
      <c r="P800" s="74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</row>
    <row r="801" spans="1:29">
      <c r="A801" s="323" t="s">
        <v>464</v>
      </c>
      <c r="B801" s="1"/>
      <c r="C801" s="319">
        <f>C829+C857</f>
        <v>411194188</v>
      </c>
      <c r="D801" s="319">
        <f>D829+D857</f>
        <v>866308148</v>
      </c>
      <c r="E801" s="395">
        <f>$E$773</f>
        <v>3.4990000000000001</v>
      </c>
      <c r="F801" s="321" t="s">
        <v>374</v>
      </c>
      <c r="G801" s="2">
        <f>G829+G857</f>
        <v>14387684</v>
      </c>
      <c r="H801" s="2">
        <f>H829+H857</f>
        <v>30312122</v>
      </c>
      <c r="I801" s="395">
        <v>3.8719999999999999</v>
      </c>
      <c r="J801" s="321" t="s">
        <v>374</v>
      </c>
      <c r="K801" s="2">
        <f>K829+K857</f>
        <v>15921439</v>
      </c>
      <c r="M801" s="20"/>
      <c r="N801" s="20"/>
      <c r="O801" s="14">
        <f>(I801-E801)/E801</f>
        <v>0.10660188625321514</v>
      </c>
      <c r="P801" s="74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</row>
    <row r="802" spans="1:29">
      <c r="A802" s="323" t="s">
        <v>400</v>
      </c>
      <c r="B802" s="1"/>
      <c r="C802" s="319">
        <f>C830+C858</f>
        <v>226397</v>
      </c>
      <c r="D802" s="319">
        <f>D830+D858</f>
        <v>531041</v>
      </c>
      <c r="E802" s="337">
        <f>$E$774</f>
        <v>0.45</v>
      </c>
      <c r="F802" s="321"/>
      <c r="G802" s="2">
        <f>G830+G858</f>
        <v>101879</v>
      </c>
      <c r="H802" s="2">
        <f>H830+H858</f>
        <v>238969</v>
      </c>
      <c r="I802" s="337">
        <v>0.5</v>
      </c>
      <c r="J802" s="321"/>
      <c r="K802" s="2">
        <f>K830+K858</f>
        <v>113199</v>
      </c>
      <c r="M802" s="20"/>
      <c r="N802" s="20"/>
      <c r="O802" s="14">
        <f>(I802-E802)/E802</f>
        <v>0.11111111111111108</v>
      </c>
      <c r="P802" s="74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</row>
    <row r="803" spans="1:29">
      <c r="A803" s="360" t="s">
        <v>401</v>
      </c>
      <c r="B803" s="1"/>
      <c r="C803" s="319"/>
      <c r="D803" s="319"/>
      <c r="E803" s="332">
        <v>-0.01</v>
      </c>
      <c r="F803" s="332"/>
      <c r="G803" s="2"/>
      <c r="H803" s="2"/>
      <c r="I803" s="332">
        <v>-0.01</v>
      </c>
      <c r="J803" s="361"/>
      <c r="K803" s="2"/>
      <c r="M803" s="20"/>
      <c r="N803" s="20"/>
      <c r="O803" s="74"/>
      <c r="P803" s="74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</row>
    <row r="804" spans="1:29">
      <c r="A804" s="323" t="s">
        <v>471</v>
      </c>
      <c r="B804" s="1"/>
      <c r="C804" s="319">
        <f t="shared" ref="C804:D814" si="70">C832+C860</f>
        <v>135</v>
      </c>
      <c r="D804" s="319">
        <f t="shared" si="70"/>
        <v>143</v>
      </c>
      <c r="E804" s="334">
        <f>E794</f>
        <v>1205</v>
      </c>
      <c r="F804" s="334"/>
      <c r="G804" s="321">
        <f t="shared" ref="G804:H814" si="71">G832+G860</f>
        <v>-1627</v>
      </c>
      <c r="H804" s="321">
        <f t="shared" si="71"/>
        <v>-1723</v>
      </c>
      <c r="I804" s="334">
        <f>I794</f>
        <v>1330</v>
      </c>
      <c r="J804" s="321"/>
      <c r="K804" s="321">
        <f t="shared" ref="K804:K813" si="72">K832+K860</f>
        <v>-1795</v>
      </c>
      <c r="M804" s="20"/>
      <c r="N804" s="20"/>
      <c r="O804" s="74"/>
      <c r="P804" s="74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</row>
    <row r="805" spans="1:29">
      <c r="A805" s="323" t="s">
        <v>472</v>
      </c>
      <c r="B805" s="1"/>
      <c r="C805" s="319">
        <f t="shared" si="70"/>
        <v>23</v>
      </c>
      <c r="D805" s="319">
        <f t="shared" si="70"/>
        <v>24</v>
      </c>
      <c r="E805" s="334">
        <f>E795</f>
        <v>1450</v>
      </c>
      <c r="F805" s="334"/>
      <c r="G805" s="321">
        <f t="shared" si="71"/>
        <v>-334</v>
      </c>
      <c r="H805" s="321">
        <f t="shared" si="71"/>
        <v>-348</v>
      </c>
      <c r="I805" s="334">
        <f>I795</f>
        <v>1600</v>
      </c>
      <c r="J805" s="321"/>
      <c r="K805" s="321">
        <f t="shared" si="72"/>
        <v>-368</v>
      </c>
      <c r="M805" s="20"/>
      <c r="N805" s="20"/>
      <c r="O805" s="74"/>
      <c r="P805" s="74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</row>
    <row r="806" spans="1:29">
      <c r="A806" s="323" t="s">
        <v>473</v>
      </c>
      <c r="B806" s="1"/>
      <c r="C806" s="319">
        <f t="shared" si="70"/>
        <v>189773</v>
      </c>
      <c r="D806" s="319">
        <f t="shared" si="70"/>
        <v>250152</v>
      </c>
      <c r="E806" s="334">
        <f>E797</f>
        <v>0.91</v>
      </c>
      <c r="F806" s="334"/>
      <c r="G806" s="321">
        <f t="shared" si="71"/>
        <v>-1727</v>
      </c>
      <c r="H806" s="321">
        <f t="shared" si="71"/>
        <v>-2276</v>
      </c>
      <c r="I806" s="334">
        <f>I797</f>
        <v>1.01</v>
      </c>
      <c r="J806" s="321"/>
      <c r="K806" s="321">
        <f t="shared" si="72"/>
        <v>-1917</v>
      </c>
      <c r="M806" s="20"/>
      <c r="N806" s="20"/>
      <c r="O806" s="74"/>
      <c r="P806" s="74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</row>
    <row r="807" spans="1:29">
      <c r="A807" s="323" t="s">
        <v>474</v>
      </c>
      <c r="B807" s="1"/>
      <c r="C807" s="319">
        <f t="shared" si="70"/>
        <v>101596</v>
      </c>
      <c r="D807" s="319">
        <f t="shared" si="70"/>
        <v>202120</v>
      </c>
      <c r="E807" s="334">
        <f>E798</f>
        <v>0.83</v>
      </c>
      <c r="F807" s="334"/>
      <c r="G807" s="321">
        <f t="shared" si="71"/>
        <v>-843</v>
      </c>
      <c r="H807" s="321">
        <f t="shared" si="71"/>
        <v>-1677</v>
      </c>
      <c r="I807" s="334">
        <f>I798</f>
        <v>0.92</v>
      </c>
      <c r="J807" s="321"/>
      <c r="K807" s="321">
        <f t="shared" si="72"/>
        <v>-934</v>
      </c>
      <c r="M807" s="20"/>
      <c r="N807" s="20"/>
      <c r="O807" s="74"/>
      <c r="P807" s="74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</row>
    <row r="808" spans="1:29">
      <c r="A808" s="309" t="s">
        <v>403</v>
      </c>
      <c r="B808" s="380"/>
      <c r="C808" s="319">
        <f t="shared" si="70"/>
        <v>235201</v>
      </c>
      <c r="D808" s="319">
        <f t="shared" si="70"/>
        <v>378246</v>
      </c>
      <c r="E808" s="334">
        <f>E799</f>
        <v>6.03</v>
      </c>
      <c r="F808" s="337"/>
      <c r="G808" s="321">
        <f t="shared" si="71"/>
        <v>-14182</v>
      </c>
      <c r="H808" s="321">
        <f t="shared" si="71"/>
        <v>-22808</v>
      </c>
      <c r="I808" s="334">
        <f>I799</f>
        <v>6.53</v>
      </c>
      <c r="J808" s="321"/>
      <c r="K808" s="321">
        <f t="shared" si="72"/>
        <v>-15359</v>
      </c>
      <c r="M808" s="20"/>
      <c r="N808" s="20"/>
      <c r="O808" s="74"/>
      <c r="P808" s="74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</row>
    <row r="809" spans="1:29">
      <c r="A809" s="323" t="s">
        <v>464</v>
      </c>
      <c r="B809" s="1"/>
      <c r="C809" s="319">
        <f t="shared" si="70"/>
        <v>103773002</v>
      </c>
      <c r="D809" s="319">
        <f t="shared" si="70"/>
        <v>169872377</v>
      </c>
      <c r="E809" s="335">
        <f>E801</f>
        <v>3.4990000000000001</v>
      </c>
      <c r="F809" s="321" t="s">
        <v>374</v>
      </c>
      <c r="G809" s="321">
        <f t="shared" si="71"/>
        <v>-36310</v>
      </c>
      <c r="H809" s="321">
        <f t="shared" si="71"/>
        <v>-59438</v>
      </c>
      <c r="I809" s="335">
        <f>I801</f>
        <v>3.8719999999999999</v>
      </c>
      <c r="J809" s="321" t="s">
        <v>374</v>
      </c>
      <c r="K809" s="321">
        <f t="shared" si="72"/>
        <v>-40181</v>
      </c>
      <c r="M809" s="20"/>
      <c r="N809" s="20"/>
      <c r="O809" s="74"/>
      <c r="P809" s="74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</row>
    <row r="810" spans="1:29">
      <c r="A810" s="323" t="s">
        <v>400</v>
      </c>
      <c r="B810" s="1"/>
      <c r="C810" s="319">
        <f t="shared" si="70"/>
        <v>39074</v>
      </c>
      <c r="D810" s="319">
        <f t="shared" si="70"/>
        <v>77366</v>
      </c>
      <c r="E810" s="384">
        <f>E802</f>
        <v>0.45</v>
      </c>
      <c r="F810" s="321"/>
      <c r="G810" s="321">
        <f t="shared" si="71"/>
        <v>-176</v>
      </c>
      <c r="H810" s="321">
        <f t="shared" si="71"/>
        <v>-348</v>
      </c>
      <c r="I810" s="384">
        <f>I802</f>
        <v>0.5</v>
      </c>
      <c r="J810" s="321"/>
      <c r="K810" s="321">
        <f t="shared" si="72"/>
        <v>-195</v>
      </c>
      <c r="M810" s="20"/>
      <c r="N810" s="20"/>
      <c r="O810" s="74"/>
      <c r="P810" s="74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</row>
    <row r="811" spans="1:29">
      <c r="A811" s="309" t="s">
        <v>475</v>
      </c>
      <c r="B811" s="1"/>
      <c r="C811" s="319">
        <f t="shared" si="70"/>
        <v>158</v>
      </c>
      <c r="D811" s="319">
        <f t="shared" si="70"/>
        <v>167</v>
      </c>
      <c r="E811" s="337">
        <f>$E$783</f>
        <v>60</v>
      </c>
      <c r="F811" s="337"/>
      <c r="G811" s="321">
        <f t="shared" si="71"/>
        <v>9480</v>
      </c>
      <c r="H811" s="321">
        <f t="shared" si="71"/>
        <v>10020</v>
      </c>
      <c r="I811" s="337">
        <f>$I$783</f>
        <v>60</v>
      </c>
      <c r="J811" s="321"/>
      <c r="K811" s="321">
        <f t="shared" si="72"/>
        <v>9480</v>
      </c>
      <c r="M811" s="20"/>
      <c r="N811" s="20"/>
      <c r="O811" s="74"/>
      <c r="P811" s="74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</row>
    <row r="812" spans="1:29">
      <c r="A812" s="309" t="s">
        <v>444</v>
      </c>
      <c r="B812" s="1"/>
      <c r="C812" s="319">
        <f t="shared" si="70"/>
        <v>291369</v>
      </c>
      <c r="D812" s="319">
        <f t="shared" si="70"/>
        <v>452272</v>
      </c>
      <c r="E812" s="337">
        <f>$E$784</f>
        <v>-0.75</v>
      </c>
      <c r="F812" s="321"/>
      <c r="G812" s="321">
        <f t="shared" si="71"/>
        <v>-218527</v>
      </c>
      <c r="H812" s="321">
        <f t="shared" si="71"/>
        <v>-339204</v>
      </c>
      <c r="I812" s="337">
        <f>$I$784</f>
        <v>-0.75</v>
      </c>
      <c r="J812" s="321"/>
      <c r="K812" s="321">
        <f t="shared" si="72"/>
        <v>-218527</v>
      </c>
      <c r="M812" s="20"/>
      <c r="N812" s="20"/>
      <c r="O812" s="74"/>
      <c r="P812" s="74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</row>
    <row r="813" spans="1:29">
      <c r="A813" s="1" t="s">
        <v>381</v>
      </c>
      <c r="B813" s="1"/>
      <c r="C813" s="319">
        <f t="shared" si="70"/>
        <v>411194188</v>
      </c>
      <c r="D813" s="319">
        <f t="shared" si="70"/>
        <v>866308148.72444463</v>
      </c>
      <c r="E813" s="330"/>
      <c r="F813" s="2"/>
      <c r="G813" s="2">
        <f t="shared" si="71"/>
        <v>21534802</v>
      </c>
      <c r="H813" s="2">
        <f t="shared" si="71"/>
        <v>44440022</v>
      </c>
      <c r="I813" s="2"/>
      <c r="J813" s="1"/>
      <c r="K813" s="2">
        <f t="shared" si="72"/>
        <v>23724855</v>
      </c>
      <c r="M813" s="20"/>
      <c r="N813" s="20"/>
      <c r="O813" s="74"/>
      <c r="P813" s="74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</row>
    <row r="814" spans="1:29">
      <c r="A814" s="1" t="s">
        <v>363</v>
      </c>
      <c r="B814" s="1"/>
      <c r="C814" s="319" t="e">
        <f t="shared" si="70"/>
        <v>#REF!</v>
      </c>
      <c r="D814" s="319">
        <f t="shared" si="70"/>
        <v>0</v>
      </c>
      <c r="E814" s="309"/>
      <c r="F814" s="309"/>
      <c r="G814" s="341" t="e">
        <f t="shared" si="71"/>
        <v>#REF!</v>
      </c>
      <c r="H814" s="341">
        <f t="shared" si="71"/>
        <v>0</v>
      </c>
      <c r="I814" s="309"/>
      <c r="J814" s="309"/>
      <c r="K814" s="341" t="e">
        <f>G814</f>
        <v>#REF!</v>
      </c>
      <c r="M814" s="444"/>
      <c r="N814" s="444"/>
      <c r="O814" s="287"/>
      <c r="P814" s="74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</row>
    <row r="815" spans="1:29" ht="16.5" thickBot="1">
      <c r="A815" s="1" t="s">
        <v>382</v>
      </c>
      <c r="B815" s="1"/>
      <c r="C815" s="393" t="e">
        <f>SUM(C813)+C814</f>
        <v>#REF!</v>
      </c>
      <c r="D815" s="393">
        <f>SUM(D801)+D814</f>
        <v>866308148</v>
      </c>
      <c r="E815" s="342"/>
      <c r="F815" s="343"/>
      <c r="G815" s="344" t="e">
        <f>G813+G814</f>
        <v>#REF!</v>
      </c>
      <c r="H815" s="344">
        <f>H813+H814</f>
        <v>44440022</v>
      </c>
      <c r="I815" s="342"/>
      <c r="J815" s="345"/>
      <c r="K815" s="344" t="e">
        <f>K813+K814</f>
        <v>#REF!</v>
      </c>
      <c r="M815" s="411"/>
      <c r="N815" s="3" t="s">
        <v>364</v>
      </c>
      <c r="O815" s="69" t="e">
        <f>#REF!*1000+#REF!*1000</f>
        <v>#REF!</v>
      </c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</row>
    <row r="816" spans="1:29" ht="16.5" thickTop="1">
      <c r="A816" s="1"/>
      <c r="B816" s="1"/>
      <c r="C816" s="21"/>
      <c r="D816" s="21"/>
      <c r="E816" s="337"/>
      <c r="F816" s="2"/>
      <c r="G816" s="2"/>
      <c r="H816" s="2"/>
      <c r="I816" s="353" t="s">
        <v>31</v>
      </c>
      <c r="J816" s="1"/>
      <c r="K816" s="2" t="s">
        <v>31</v>
      </c>
      <c r="M816" s="20"/>
      <c r="N816" s="3" t="s">
        <v>263</v>
      </c>
      <c r="O816" s="69" t="e">
        <f>O815-K815-K760</f>
        <v>#REF!</v>
      </c>
      <c r="P816" s="276" t="e">
        <f>(O815-K815)/K815</f>
        <v>#REF!</v>
      </c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</row>
    <row r="817" spans="1:29">
      <c r="A817" s="1"/>
      <c r="B817" s="1"/>
      <c r="C817" s="21"/>
      <c r="D817" s="21"/>
      <c r="E817" s="337"/>
      <c r="F817" s="2"/>
      <c r="G817" s="2"/>
      <c r="H817" s="2"/>
      <c r="I817" s="337"/>
      <c r="J817" s="1"/>
      <c r="K817" s="380"/>
      <c r="M817" s="20"/>
      <c r="N817" s="20"/>
      <c r="O817" s="74"/>
      <c r="P817" s="74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</row>
    <row r="818" spans="1:29">
      <c r="A818" s="293" t="s">
        <v>476</v>
      </c>
      <c r="B818" s="1"/>
      <c r="C818" s="1"/>
      <c r="D818" s="1"/>
      <c r="E818" s="2"/>
      <c r="F818" s="2"/>
      <c r="G818" s="1"/>
      <c r="H818" s="1"/>
      <c r="I818" s="2"/>
      <c r="J818" s="1"/>
      <c r="K818" s="1"/>
      <c r="M818" s="20"/>
      <c r="N818" s="20"/>
      <c r="O818" s="74"/>
      <c r="P818" s="74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</row>
    <row r="819" spans="1:29">
      <c r="A819" s="309" t="s">
        <v>479</v>
      </c>
      <c r="B819" s="1"/>
      <c r="C819" s="1"/>
      <c r="D819" s="1"/>
      <c r="E819" s="2"/>
      <c r="F819" s="2"/>
      <c r="G819" s="1"/>
      <c r="H819" s="1"/>
      <c r="I819" s="2"/>
      <c r="J819" s="1"/>
      <c r="K819" s="1"/>
      <c r="M819" s="20"/>
      <c r="N819" s="20"/>
      <c r="O819" s="74"/>
      <c r="P819" s="74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</row>
    <row r="820" spans="1:29">
      <c r="A820" s="323"/>
      <c r="B820" s="1"/>
      <c r="C820" s="1"/>
      <c r="D820" s="1"/>
      <c r="E820" s="2"/>
      <c r="F820" s="2"/>
      <c r="G820" s="1"/>
      <c r="H820" s="1"/>
      <c r="I820" s="2"/>
      <c r="J820" s="1"/>
      <c r="K820" s="1"/>
      <c r="M820" s="20"/>
      <c r="N820" s="20"/>
      <c r="O820" s="74"/>
      <c r="P820" s="74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</row>
    <row r="821" spans="1:29">
      <c r="A821" s="323" t="s">
        <v>393</v>
      </c>
      <c r="B821" s="1"/>
      <c r="C821" s="319"/>
      <c r="D821" s="319"/>
      <c r="E821" s="2"/>
      <c r="F821" s="2"/>
      <c r="G821" s="1"/>
      <c r="H821" s="1"/>
      <c r="I821" s="2"/>
      <c r="J821" s="1"/>
      <c r="K821" s="1"/>
      <c r="M821" s="20"/>
      <c r="N821" s="20"/>
      <c r="O821" s="74"/>
      <c r="P821" s="74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</row>
    <row r="822" spans="1:29">
      <c r="A822" s="323" t="s">
        <v>471</v>
      </c>
      <c r="B822" s="1"/>
      <c r="C822" s="319">
        <f>111+187</f>
        <v>298</v>
      </c>
      <c r="D822" s="319">
        <v>317</v>
      </c>
      <c r="E822" s="337">
        <f>$E$794</f>
        <v>1205</v>
      </c>
      <c r="F822" s="337"/>
      <c r="G822" s="2">
        <f>ROUND(E822*$C822,0)</f>
        <v>359090</v>
      </c>
      <c r="H822" s="2">
        <f>ROUND(E822*$D822,0)</f>
        <v>381985</v>
      </c>
      <c r="I822" s="337">
        <f>$I$794</f>
        <v>1330</v>
      </c>
      <c r="J822" s="321"/>
      <c r="K822" s="2">
        <f>ROUND(I822*$C822,0)</f>
        <v>396340</v>
      </c>
      <c r="M822" s="20"/>
      <c r="N822" s="20"/>
      <c r="O822" s="74"/>
      <c r="P822" s="74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</row>
    <row r="823" spans="1:29">
      <c r="A823" s="323" t="s">
        <v>472</v>
      </c>
      <c r="B823" s="1"/>
      <c r="C823" s="319">
        <v>11</v>
      </c>
      <c r="D823" s="319">
        <v>12</v>
      </c>
      <c r="E823" s="337">
        <f>$E$795</f>
        <v>1450</v>
      </c>
      <c r="F823" s="337"/>
      <c r="G823" s="2">
        <f>ROUND(E823*$C823,0)</f>
        <v>15950</v>
      </c>
      <c r="H823" s="2">
        <f>ROUND(E823*$D823,0)</f>
        <v>17400</v>
      </c>
      <c r="I823" s="337">
        <f>$I$795</f>
        <v>1600</v>
      </c>
      <c r="J823" s="324"/>
      <c r="K823" s="2">
        <f>ROUND(I823*$C823,0)</f>
        <v>17600</v>
      </c>
      <c r="M823" s="20"/>
      <c r="N823" s="20"/>
      <c r="O823" s="74"/>
      <c r="P823" s="74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</row>
    <row r="824" spans="1:29">
      <c r="A824" s="323" t="s">
        <v>394</v>
      </c>
      <c r="B824" s="1"/>
      <c r="C824" s="319">
        <f>SUM(C822:C823)</f>
        <v>309</v>
      </c>
      <c r="D824" s="319">
        <f>SUM(D822:D823)</f>
        <v>329</v>
      </c>
      <c r="E824" s="337" t="s">
        <v>31</v>
      </c>
      <c r="F824" s="337"/>
      <c r="G824" s="2" t="s">
        <v>31</v>
      </c>
      <c r="H824" s="2" t="s">
        <v>31</v>
      </c>
      <c r="I824" s="337" t="s">
        <v>31</v>
      </c>
      <c r="J824" s="321"/>
      <c r="K824" s="2" t="s">
        <v>31</v>
      </c>
      <c r="M824" s="20"/>
      <c r="N824" s="20"/>
      <c r="O824" s="74"/>
      <c r="P824" s="74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</row>
    <row r="825" spans="1:29">
      <c r="A825" s="323" t="s">
        <v>473</v>
      </c>
      <c r="B825" s="1"/>
      <c r="C825" s="319">
        <f>161644+238775</f>
        <v>400419</v>
      </c>
      <c r="D825" s="319">
        <f>ROUND((C825/$C$841)*$D$841,0)</f>
        <v>435560</v>
      </c>
      <c r="E825" s="337">
        <f>$E$797</f>
        <v>0.91</v>
      </c>
      <c r="F825" s="337"/>
      <c r="G825" s="2">
        <f>ROUND(E825*$C825,0)</f>
        <v>364381</v>
      </c>
      <c r="H825" s="2">
        <f>ROUND(E825*$D825,0)</f>
        <v>396360</v>
      </c>
      <c r="I825" s="337">
        <f>$I$797</f>
        <v>1.01</v>
      </c>
      <c r="J825" s="321"/>
      <c r="K825" s="2">
        <f>ROUND(I825*$C825,0)</f>
        <v>404423</v>
      </c>
      <c r="M825" s="20"/>
      <c r="N825" s="20"/>
      <c r="O825" s="74"/>
      <c r="P825" s="74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</row>
    <row r="826" spans="1:29">
      <c r="A826" s="323" t="s">
        <v>474</v>
      </c>
      <c r="B826" s="1"/>
      <c r="C826" s="319">
        <f>42662</f>
        <v>42662</v>
      </c>
      <c r="D826" s="319">
        <f>ROUND((C826/$C$841)*$D$841,0)</f>
        <v>46406</v>
      </c>
      <c r="E826" s="337">
        <f>$E$798</f>
        <v>0.83</v>
      </c>
      <c r="F826" s="337"/>
      <c r="G826" s="2">
        <f>ROUND(E826*$C826,0)</f>
        <v>35409</v>
      </c>
      <c r="H826" s="2">
        <f>ROUND(E826*$D826,0)</f>
        <v>38517</v>
      </c>
      <c r="I826" s="337">
        <f>$I$798</f>
        <v>0.92</v>
      </c>
      <c r="J826" s="321"/>
      <c r="K826" s="2">
        <f>ROUND(I826*$C826,0)</f>
        <v>39249</v>
      </c>
      <c r="M826" s="20"/>
      <c r="N826" s="20"/>
      <c r="O826" s="74"/>
      <c r="P826" s="74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</row>
    <row r="827" spans="1:29">
      <c r="A827" s="309" t="s">
        <v>403</v>
      </c>
      <c r="B827" s="1"/>
      <c r="C827" s="319">
        <f>121935+34520+164918</f>
        <v>321373</v>
      </c>
      <c r="D827" s="319">
        <f>ROUND((C827/$C$841)*$D$841,0)</f>
        <v>349577</v>
      </c>
      <c r="E827" s="337">
        <f>$E$799</f>
        <v>6.03</v>
      </c>
      <c r="F827" s="337"/>
      <c r="G827" s="2">
        <f>ROUND(E827*$C827,0)</f>
        <v>1937879</v>
      </c>
      <c r="H827" s="2">
        <f>ROUND(E827*$D827,0)</f>
        <v>2107949</v>
      </c>
      <c r="I827" s="337">
        <f>$I$799</f>
        <v>6.53</v>
      </c>
      <c r="J827" s="321"/>
      <c r="K827" s="2">
        <f>ROUND(I827*$C827,0)</f>
        <v>2098566</v>
      </c>
      <c r="M827" s="20"/>
      <c r="N827" s="20"/>
      <c r="O827" s="74"/>
      <c r="P827" s="74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</row>
    <row r="828" spans="1:29">
      <c r="A828" s="323" t="s">
        <v>426</v>
      </c>
      <c r="B828" s="1"/>
      <c r="C828" s="319"/>
      <c r="D828" s="319"/>
      <c r="E828" s="337" t="s">
        <v>31</v>
      </c>
      <c r="F828" s="337"/>
      <c r="G828" s="2"/>
      <c r="H828" s="2"/>
      <c r="I828" s="337" t="s">
        <v>31</v>
      </c>
      <c r="J828" s="321"/>
      <c r="K828" s="2"/>
      <c r="M828" s="20"/>
      <c r="N828" s="20"/>
      <c r="O828" s="74"/>
      <c r="P828" s="74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</row>
    <row r="829" spans="1:29">
      <c r="A829" s="323" t="s">
        <v>464</v>
      </c>
      <c r="B829" s="1"/>
      <c r="C829" s="319">
        <f>48095401+19012800+74513181</f>
        <v>141621382</v>
      </c>
      <c r="D829" s="319">
        <f>ROUND((C829/$C$841)*$D$841,0)</f>
        <v>154050076</v>
      </c>
      <c r="E829" s="395">
        <f>$E$801</f>
        <v>3.4990000000000001</v>
      </c>
      <c r="F829" s="321" t="s">
        <v>374</v>
      </c>
      <c r="G829" s="2">
        <f>ROUND(E829/100*$C829,0)</f>
        <v>4955332</v>
      </c>
      <c r="H829" s="2">
        <f>ROUND(E829/100*$D829,0)</f>
        <v>5390212</v>
      </c>
      <c r="I829" s="395">
        <f>$I$801</f>
        <v>3.8719999999999999</v>
      </c>
      <c r="J829" s="321" t="s">
        <v>374</v>
      </c>
      <c r="K829" s="2">
        <f>ROUND(I829/100*$C829,0)</f>
        <v>5483580</v>
      </c>
      <c r="M829" s="20"/>
      <c r="N829" s="20"/>
      <c r="O829" s="74"/>
      <c r="P829" s="74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</row>
    <row r="830" spans="1:29">
      <c r="A830" s="323" t="s">
        <v>400</v>
      </c>
      <c r="B830" s="1"/>
      <c r="C830" s="319">
        <f>10682+5964+26547</f>
        <v>43193</v>
      </c>
      <c r="D830" s="319">
        <f>ROUND((C830/$C$841)*$D$841,0)</f>
        <v>46984</v>
      </c>
      <c r="E830" s="337">
        <f>$E$802</f>
        <v>0.45</v>
      </c>
      <c r="F830" s="321"/>
      <c r="G830" s="2">
        <f>ROUND(E830*$C830,0)</f>
        <v>19437</v>
      </c>
      <c r="H830" s="2">
        <f>ROUND(E830*$D830,0)</f>
        <v>21143</v>
      </c>
      <c r="I830" s="337">
        <f>$I$802</f>
        <v>0.5</v>
      </c>
      <c r="J830" s="321"/>
      <c r="K830" s="2">
        <f>ROUND(I830*$C830,0)</f>
        <v>21597</v>
      </c>
      <c r="M830" s="20"/>
      <c r="N830" s="20"/>
      <c r="O830" s="74"/>
      <c r="P830" s="74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</row>
    <row r="831" spans="1:29">
      <c r="A831" s="360" t="s">
        <v>401</v>
      </c>
      <c r="B831" s="1"/>
      <c r="C831" s="319"/>
      <c r="D831" s="319"/>
      <c r="E831" s="332">
        <v>-0.01</v>
      </c>
      <c r="F831" s="332"/>
      <c r="G831" s="2"/>
      <c r="H831" s="2"/>
      <c r="I831" s="332">
        <v>-0.01</v>
      </c>
      <c r="J831" s="361"/>
      <c r="K831" s="2"/>
      <c r="M831" s="20"/>
      <c r="N831" s="20"/>
      <c r="O831" s="74"/>
      <c r="P831" s="74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</row>
    <row r="832" spans="1:29">
      <c r="A832" s="323" t="s">
        <v>471</v>
      </c>
      <c r="B832" s="1"/>
      <c r="C832" s="319">
        <v>111</v>
      </c>
      <c r="D832" s="319">
        <v>118</v>
      </c>
      <c r="E832" s="334">
        <f>E822</f>
        <v>1205</v>
      </c>
      <c r="F832" s="334"/>
      <c r="G832" s="321">
        <f>ROUND(E832*$C832*$E$803,0)</f>
        <v>-1338</v>
      </c>
      <c r="H832" s="321">
        <f>ROUND(E832*$D832*$E$803,0)</f>
        <v>-1422</v>
      </c>
      <c r="I832" s="334">
        <f>I822</f>
        <v>1330</v>
      </c>
      <c r="J832" s="321"/>
      <c r="K832" s="321">
        <f>ROUND(I832*$C832*$E$803,0)</f>
        <v>-1476</v>
      </c>
      <c r="M832" s="20"/>
      <c r="N832" s="20"/>
      <c r="O832" s="74"/>
      <c r="P832" s="74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</row>
    <row r="833" spans="1:29">
      <c r="A833" s="323" t="s">
        <v>472</v>
      </c>
      <c r="B833" s="1"/>
      <c r="C833" s="319">
        <v>11</v>
      </c>
      <c r="D833" s="319">
        <v>12</v>
      </c>
      <c r="E833" s="334">
        <f>E823</f>
        <v>1450</v>
      </c>
      <c r="F833" s="334"/>
      <c r="G833" s="321">
        <f>ROUND(E833*$C833*$E$803,0)</f>
        <v>-160</v>
      </c>
      <c r="H833" s="321">
        <f>ROUND(E833*$D833*$E$803,0)</f>
        <v>-174</v>
      </c>
      <c r="I833" s="334">
        <f>I823</f>
        <v>1600</v>
      </c>
      <c r="J833" s="321"/>
      <c r="K833" s="321">
        <f>ROUND(I833*$C833*$E$803,0)</f>
        <v>-176</v>
      </c>
      <c r="M833" s="20"/>
      <c r="N833" s="20"/>
      <c r="O833" s="74"/>
      <c r="P833" s="74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</row>
    <row r="834" spans="1:29">
      <c r="A834" s="323" t="s">
        <v>473</v>
      </c>
      <c r="B834" s="1"/>
      <c r="C834" s="319">
        <v>161644</v>
      </c>
      <c r="D834" s="319">
        <f>ROUND((C834/$C$841)*$D$841,0)</f>
        <v>175830</v>
      </c>
      <c r="E834" s="334">
        <f>E825</f>
        <v>0.91</v>
      </c>
      <c r="F834" s="334"/>
      <c r="G834" s="321">
        <f>ROUND(E834*$C834*$E$803,0)</f>
        <v>-1471</v>
      </c>
      <c r="H834" s="321">
        <f>ROUND(E834*$D834*$E$803,0)</f>
        <v>-1600</v>
      </c>
      <c r="I834" s="334">
        <f>I825</f>
        <v>1.01</v>
      </c>
      <c r="J834" s="321"/>
      <c r="K834" s="321">
        <f>ROUND(I834*$C834*$E$803,0)</f>
        <v>-1633</v>
      </c>
      <c r="M834" s="20"/>
      <c r="N834" s="20"/>
      <c r="O834" s="74"/>
      <c r="P834" s="74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</row>
    <row r="835" spans="1:29">
      <c r="A835" s="323" t="s">
        <v>474</v>
      </c>
      <c r="B835" s="1"/>
      <c r="C835" s="319">
        <v>42662</v>
      </c>
      <c r="D835" s="319">
        <f>ROUND((C835/$C$841)*$D$841,0)</f>
        <v>46406</v>
      </c>
      <c r="E835" s="334">
        <f>E826</f>
        <v>0.83</v>
      </c>
      <c r="F835" s="334"/>
      <c r="G835" s="321">
        <f>ROUND(E835*$C835*$E$803,0)</f>
        <v>-354</v>
      </c>
      <c r="H835" s="321">
        <f>ROUND(E835*$D835*$E$803,0)</f>
        <v>-385</v>
      </c>
      <c r="I835" s="334">
        <f>I826</f>
        <v>0.92</v>
      </c>
      <c r="J835" s="321"/>
      <c r="K835" s="321">
        <f>ROUND(I835*$C835*$E$803,0)</f>
        <v>-392</v>
      </c>
      <c r="M835" s="20"/>
      <c r="N835" s="20"/>
      <c r="O835" s="74"/>
      <c r="P835" s="74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</row>
    <row r="836" spans="1:29">
      <c r="A836" s="309" t="s">
        <v>403</v>
      </c>
      <c r="B836" s="380"/>
      <c r="C836" s="319">
        <f>121935+34520</f>
        <v>156455</v>
      </c>
      <c r="D836" s="319">
        <f>ROUND((C836/$C$841)*$D$841,0)</f>
        <v>170185</v>
      </c>
      <c r="E836" s="334">
        <f>E827</f>
        <v>6.03</v>
      </c>
      <c r="F836" s="337"/>
      <c r="G836" s="321">
        <f>ROUND(E836*$C836*$E$803,0)</f>
        <v>-9434</v>
      </c>
      <c r="H836" s="321">
        <f>ROUND(E836*$D836*$E$803,0)</f>
        <v>-10262</v>
      </c>
      <c r="I836" s="334">
        <f>I827</f>
        <v>6.53</v>
      </c>
      <c r="J836" s="321"/>
      <c r="K836" s="321">
        <f>ROUND(I836*$C836*$E$803,0)</f>
        <v>-10217</v>
      </c>
      <c r="M836" s="20"/>
      <c r="N836" s="20"/>
      <c r="O836" s="74"/>
      <c r="P836" s="74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</row>
    <row r="837" spans="1:29">
      <c r="A837" s="323" t="s">
        <v>464</v>
      </c>
      <c r="B837" s="1"/>
      <c r="C837" s="319">
        <f>48095401+19012800</f>
        <v>67108201</v>
      </c>
      <c r="D837" s="319">
        <f>ROUND((C837/$C$841)*$D$841,0)</f>
        <v>72997618</v>
      </c>
      <c r="E837" s="335">
        <f>E829</f>
        <v>3.4990000000000001</v>
      </c>
      <c r="F837" s="321" t="s">
        <v>374</v>
      </c>
      <c r="G837" s="321">
        <f>ROUND(E837/100*$C837*$E$803,0)</f>
        <v>-23481</v>
      </c>
      <c r="H837" s="321">
        <f>ROUND(E837/100*$D837*$E$803,0)</f>
        <v>-25542</v>
      </c>
      <c r="I837" s="335">
        <f>I829</f>
        <v>3.8719999999999999</v>
      </c>
      <c r="J837" s="321" t="s">
        <v>374</v>
      </c>
      <c r="K837" s="321">
        <f>ROUND(I837/100*$C837*$E$803,0)</f>
        <v>-25984</v>
      </c>
      <c r="M837" s="20"/>
      <c r="N837" s="20"/>
      <c r="O837" s="74"/>
      <c r="P837" s="74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</row>
    <row r="838" spans="1:29">
      <c r="A838" s="323" t="s">
        <v>400</v>
      </c>
      <c r="B838" s="1"/>
      <c r="C838" s="319">
        <f>10682+5964</f>
        <v>16646</v>
      </c>
      <c r="D838" s="319">
        <f>ROUND((C838/$C$841)*$D$841,0)</f>
        <v>18107</v>
      </c>
      <c r="E838" s="384">
        <f>E830</f>
        <v>0.45</v>
      </c>
      <c r="F838" s="321"/>
      <c r="G838" s="321">
        <f>ROUND(E838*$C838*$E$803,0)</f>
        <v>-75</v>
      </c>
      <c r="H838" s="321">
        <f>ROUND(E838*$D838*$E$803,0)</f>
        <v>-81</v>
      </c>
      <c r="I838" s="384">
        <f>I830</f>
        <v>0.5</v>
      </c>
      <c r="J838" s="321"/>
      <c r="K838" s="321">
        <f>ROUND(I838*$C838*$E$803,0)</f>
        <v>-83</v>
      </c>
      <c r="M838" s="20"/>
      <c r="N838" s="20"/>
      <c r="O838" s="74"/>
      <c r="P838" s="74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</row>
    <row r="839" spans="1:29">
      <c r="A839" s="309" t="s">
        <v>475</v>
      </c>
      <c r="B839" s="1"/>
      <c r="C839" s="319">
        <f>111+11</f>
        <v>122</v>
      </c>
      <c r="D839" s="319">
        <v>130</v>
      </c>
      <c r="E839" s="337">
        <f>$E$811</f>
        <v>60</v>
      </c>
      <c r="F839" s="337"/>
      <c r="G839" s="321">
        <f>ROUND(E839*$C839,0)</f>
        <v>7320</v>
      </c>
      <c r="H839" s="321">
        <f>ROUND(E839*$D839,0)</f>
        <v>7800</v>
      </c>
      <c r="I839" s="337">
        <f>$I$811</f>
        <v>60</v>
      </c>
      <c r="J839" s="321"/>
      <c r="K839" s="321">
        <f>ROUND(I839*$C839,0)</f>
        <v>7320</v>
      </c>
      <c r="M839" s="20"/>
      <c r="N839" s="20"/>
      <c r="O839" s="74"/>
      <c r="P839" s="74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</row>
    <row r="840" spans="1:29">
      <c r="A840" s="309" t="s">
        <v>444</v>
      </c>
      <c r="B840" s="1"/>
      <c r="C840" s="319">
        <f>161644+42662</f>
        <v>204306</v>
      </c>
      <c r="D840" s="319">
        <f>ROUND((C840/$C$841)*$D$841,0)</f>
        <v>222236</v>
      </c>
      <c r="E840" s="337">
        <f>$E$812</f>
        <v>-0.75</v>
      </c>
      <c r="F840" s="321"/>
      <c r="G840" s="321">
        <f>ROUND(E840*$C840,0)</f>
        <v>-153230</v>
      </c>
      <c r="H840" s="321">
        <f>ROUND(E840*$D840,0)</f>
        <v>-166677</v>
      </c>
      <c r="I840" s="337">
        <f>$I$812</f>
        <v>-0.75</v>
      </c>
      <c r="J840" s="321"/>
      <c r="K840" s="321">
        <f>ROUND(I840*$C840,0)</f>
        <v>-153230</v>
      </c>
      <c r="M840" s="20"/>
      <c r="N840" s="20"/>
      <c r="O840" s="74"/>
      <c r="P840" s="74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</row>
    <row r="841" spans="1:29">
      <c r="A841" s="1" t="s">
        <v>381</v>
      </c>
      <c r="B841" s="1"/>
      <c r="C841" s="319">
        <f>C829</f>
        <v>141621382</v>
      </c>
      <c r="D841" s="319">
        <v>154050076.39425009</v>
      </c>
      <c r="E841" s="330"/>
      <c r="F841" s="2"/>
      <c r="G841" s="2">
        <f>SUM(G822:G840)</f>
        <v>7505255</v>
      </c>
      <c r="H841" s="2">
        <f>SUM(H822:H840)</f>
        <v>8155223</v>
      </c>
      <c r="I841" s="330"/>
      <c r="J841" s="1"/>
      <c r="K841" s="2">
        <f>SUM(K822:K840)</f>
        <v>8275484</v>
      </c>
      <c r="M841" s="20"/>
      <c r="N841" s="20"/>
      <c r="O841" s="74"/>
      <c r="P841" s="74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</row>
    <row r="842" spans="1:29">
      <c r="A842" s="1" t="s">
        <v>363</v>
      </c>
      <c r="B842" s="1"/>
      <c r="C842" s="319" t="e">
        <f>#REF!</f>
        <v>#REF!</v>
      </c>
      <c r="D842" s="319">
        <v>0</v>
      </c>
      <c r="E842" s="309"/>
      <c r="F842" s="309"/>
      <c r="G842" s="341" t="e">
        <f>#REF!</f>
        <v>#REF!</v>
      </c>
      <c r="H842" s="341">
        <v>0</v>
      </c>
      <c r="I842" s="309"/>
      <c r="J842" s="309"/>
      <c r="K842" s="341" t="e">
        <f>G842</f>
        <v>#REF!</v>
      </c>
      <c r="M842" s="444"/>
      <c r="N842" s="444"/>
      <c r="O842" s="287"/>
      <c r="P842" s="74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</row>
    <row r="843" spans="1:29" ht="16.5" thickBot="1">
      <c r="A843" s="1" t="s">
        <v>382</v>
      </c>
      <c r="B843" s="1"/>
      <c r="C843" s="393" t="e">
        <f>SUM(C841)+C842</f>
        <v>#REF!</v>
      </c>
      <c r="D843" s="393">
        <f>SUM(D829)+D842</f>
        <v>154050076</v>
      </c>
      <c r="E843" s="342"/>
      <c r="F843" s="343"/>
      <c r="G843" s="344" t="e">
        <f>G841+G842</f>
        <v>#REF!</v>
      </c>
      <c r="H843" s="344">
        <f>H841+H842</f>
        <v>8155223</v>
      </c>
      <c r="I843" s="342"/>
      <c r="J843" s="345"/>
      <c r="K843" s="344" t="e">
        <f>K841+K842</f>
        <v>#REF!</v>
      </c>
      <c r="M843" s="411"/>
      <c r="N843" s="411"/>
      <c r="O843" s="470"/>
      <c r="P843" s="74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</row>
    <row r="844" spans="1:29" ht="16.5" thickTop="1">
      <c r="A844" s="1"/>
      <c r="B844" s="1"/>
      <c r="C844" s="21"/>
      <c r="D844" s="21"/>
      <c r="E844" s="337"/>
      <c r="F844" s="2"/>
      <c r="G844" s="2"/>
      <c r="H844" s="2"/>
      <c r="I844" s="353" t="s">
        <v>31</v>
      </c>
      <c r="J844" s="1"/>
      <c r="K844" s="2" t="s">
        <v>31</v>
      </c>
      <c r="M844" s="20"/>
      <c r="N844" s="20"/>
      <c r="O844" s="74"/>
      <c r="P844" s="74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</row>
    <row r="845" spans="1:29">
      <c r="A845" s="1"/>
      <c r="B845" s="1"/>
      <c r="C845" s="21"/>
      <c r="D845" s="21"/>
      <c r="E845" s="337"/>
      <c r="F845" s="2"/>
      <c r="G845" s="2"/>
      <c r="H845" s="2"/>
      <c r="I845" s="337"/>
      <c r="J845" s="1"/>
      <c r="K845" s="380"/>
      <c r="M845" s="20"/>
      <c r="N845" s="20"/>
      <c r="O845" s="74"/>
      <c r="P845" s="74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</row>
    <row r="846" spans="1:29">
      <c r="A846" s="293" t="s">
        <v>476</v>
      </c>
      <c r="B846" s="1"/>
      <c r="C846" s="1"/>
      <c r="D846" s="1"/>
      <c r="E846" s="2"/>
      <c r="F846" s="2"/>
      <c r="G846" s="1"/>
      <c r="H846" s="1"/>
      <c r="I846" s="2"/>
      <c r="J846" s="1"/>
      <c r="K846" s="1"/>
      <c r="M846" s="20"/>
      <c r="N846" s="20"/>
      <c r="O846" s="74"/>
      <c r="P846" s="74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</row>
    <row r="847" spans="1:29">
      <c r="A847" s="309" t="s">
        <v>480</v>
      </c>
      <c r="B847" s="1"/>
      <c r="C847" s="1"/>
      <c r="D847" s="1"/>
      <c r="E847" s="2"/>
      <c r="F847" s="2"/>
      <c r="G847" s="1"/>
      <c r="H847" s="1"/>
      <c r="I847" s="2"/>
      <c r="J847" s="1"/>
      <c r="K847" s="1"/>
      <c r="M847" s="20"/>
      <c r="N847" s="20"/>
      <c r="O847" s="74"/>
      <c r="P847" s="74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</row>
    <row r="848" spans="1:29">
      <c r="A848" s="323"/>
      <c r="B848" s="1"/>
      <c r="C848" s="1"/>
      <c r="D848" s="1"/>
      <c r="E848" s="2"/>
      <c r="F848" s="2"/>
      <c r="G848" s="1"/>
      <c r="H848" s="1"/>
      <c r="I848" s="2"/>
      <c r="J848" s="1"/>
      <c r="K848" s="1"/>
      <c r="M848" s="20"/>
      <c r="N848" s="20"/>
      <c r="O848" s="74"/>
      <c r="P848" s="74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</row>
    <row r="849" spans="1:29">
      <c r="A849" s="323" t="s">
        <v>393</v>
      </c>
      <c r="B849" s="1"/>
      <c r="C849" s="319"/>
      <c r="D849" s="319"/>
      <c r="E849" s="2"/>
      <c r="F849" s="2"/>
      <c r="G849" s="1"/>
      <c r="H849" s="1"/>
      <c r="I849" s="2"/>
      <c r="J849" s="1"/>
      <c r="K849" s="1"/>
      <c r="M849" s="20"/>
      <c r="N849" s="20"/>
      <c r="O849" s="74"/>
      <c r="P849" s="74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</row>
    <row r="850" spans="1:29">
      <c r="A850" s="323" t="s">
        <v>471</v>
      </c>
      <c r="B850" s="1"/>
      <c r="C850" s="319">
        <f>24+336</f>
        <v>360</v>
      </c>
      <c r="D850" s="319">
        <v>375</v>
      </c>
      <c r="E850" s="337">
        <f>$E$794</f>
        <v>1205</v>
      </c>
      <c r="F850" s="337"/>
      <c r="G850" s="2">
        <f>ROUND(E850*$C850,0)</f>
        <v>433800</v>
      </c>
      <c r="H850" s="2">
        <f>ROUND(E850*$D850,0)</f>
        <v>451875</v>
      </c>
      <c r="I850" s="337">
        <f>$I$794</f>
        <v>1330</v>
      </c>
      <c r="J850" s="321"/>
      <c r="K850" s="2">
        <f>ROUND(I850*$C850,0)</f>
        <v>478800</v>
      </c>
      <c r="M850" s="20"/>
      <c r="N850" s="20"/>
      <c r="O850" s="74"/>
      <c r="P850" s="74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</row>
    <row r="851" spans="1:29">
      <c r="A851" s="323" t="s">
        <v>472</v>
      </c>
      <c r="B851" s="1"/>
      <c r="C851" s="319">
        <f>24+25-C878</f>
        <v>37</v>
      </c>
      <c r="D851" s="319">
        <v>38</v>
      </c>
      <c r="E851" s="337">
        <f>$E$795</f>
        <v>1450</v>
      </c>
      <c r="F851" s="337"/>
      <c r="G851" s="2">
        <f>ROUND(E851*$C851,0)</f>
        <v>53650</v>
      </c>
      <c r="H851" s="2">
        <f>ROUND(E851*$D851,0)</f>
        <v>55100</v>
      </c>
      <c r="I851" s="337">
        <f>$I$795</f>
        <v>1600</v>
      </c>
      <c r="J851" s="324"/>
      <c r="K851" s="2">
        <f>ROUND(I851*$C851,0)</f>
        <v>59200</v>
      </c>
      <c r="M851" s="20"/>
      <c r="N851" s="20"/>
      <c r="O851" s="74"/>
      <c r="P851" s="74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</row>
    <row r="852" spans="1:29">
      <c r="A852" s="323" t="s">
        <v>394</v>
      </c>
      <c r="B852" s="1"/>
      <c r="C852" s="319">
        <f>SUM(C850:C851)</f>
        <v>397</v>
      </c>
      <c r="D852" s="319">
        <f>SUM(D850:D851)</f>
        <v>413</v>
      </c>
      <c r="E852" s="337" t="s">
        <v>31</v>
      </c>
      <c r="F852" s="337"/>
      <c r="G852" s="2" t="s">
        <v>31</v>
      </c>
      <c r="H852" s="2" t="s">
        <v>31</v>
      </c>
      <c r="I852" s="337" t="s">
        <v>31</v>
      </c>
      <c r="J852" s="321"/>
      <c r="K852" s="2" t="s">
        <v>31</v>
      </c>
      <c r="M852" s="20"/>
      <c r="N852" s="20"/>
      <c r="O852" s="74"/>
      <c r="P852" s="74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</row>
    <row r="853" spans="1:29">
      <c r="A853" s="323" t="s">
        <v>473</v>
      </c>
      <c r="B853" s="1"/>
      <c r="C853" s="319">
        <f>28129+470163</f>
        <v>498292</v>
      </c>
      <c r="D853" s="319">
        <f>ROUND(($D$869/$C$869)*C853,0)</f>
        <v>1316574</v>
      </c>
      <c r="E853" s="337">
        <f>$E$797</f>
        <v>0.91</v>
      </c>
      <c r="F853" s="337"/>
      <c r="G853" s="2">
        <f>ROUND(E853*$C853,0)</f>
        <v>453446</v>
      </c>
      <c r="H853" s="2">
        <f>ROUND(E853*$D853,0)</f>
        <v>1198082</v>
      </c>
      <c r="I853" s="337">
        <f>$I$797</f>
        <v>1.01</v>
      </c>
      <c r="J853" s="321"/>
      <c r="K853" s="2">
        <f>ROUND(I853*$C853,0)</f>
        <v>503275</v>
      </c>
      <c r="M853" s="20"/>
      <c r="N853" s="20"/>
      <c r="O853" s="74"/>
      <c r="P853" s="74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</row>
    <row r="854" spans="1:29">
      <c r="A854" s="323" t="s">
        <v>474</v>
      </c>
      <c r="B854" s="1"/>
      <c r="C854" s="319">
        <f>724727+108147-C881</f>
        <v>167081</v>
      </c>
      <c r="D854" s="319">
        <f>ROUND(($D$869/$C$869)*C854,0)</f>
        <v>441457</v>
      </c>
      <c r="E854" s="337">
        <f>$E$798</f>
        <v>0.83</v>
      </c>
      <c r="F854" s="337"/>
      <c r="G854" s="2">
        <f>ROUND(E854*$C854,0)</f>
        <v>138677</v>
      </c>
      <c r="H854" s="2">
        <f>ROUND(E854*$D854,0)</f>
        <v>366409</v>
      </c>
      <c r="I854" s="337">
        <f>$I$798</f>
        <v>0.92</v>
      </c>
      <c r="J854" s="321"/>
      <c r="K854" s="2">
        <f>ROUND(I854*$C854,0)</f>
        <v>153715</v>
      </c>
      <c r="M854" s="20"/>
      <c r="N854" s="20"/>
      <c r="O854" s="74"/>
      <c r="P854" s="74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</row>
    <row r="855" spans="1:29">
      <c r="A855" s="309" t="s">
        <v>403</v>
      </c>
      <c r="B855" s="1"/>
      <c r="C855" s="319">
        <f>23089+708283+406336+98202-C882</f>
        <v>583284</v>
      </c>
      <c r="D855" s="319">
        <f>ROUND(($D$869/$C$869)*C855,0)</f>
        <v>1541137</v>
      </c>
      <c r="E855" s="337">
        <f>$E$799</f>
        <v>6.03</v>
      </c>
      <c r="F855" s="337"/>
      <c r="G855" s="2">
        <f>ROUND(E855*$C855,0)</f>
        <v>3517203</v>
      </c>
      <c r="H855" s="2">
        <f>ROUND(E855*$D855,0)</f>
        <v>9293056</v>
      </c>
      <c r="I855" s="337">
        <f>$I$799</f>
        <v>6.53</v>
      </c>
      <c r="J855" s="321"/>
      <c r="K855" s="2">
        <f>ROUND(I855*$C855,0)</f>
        <v>3808845</v>
      </c>
      <c r="M855" s="20"/>
      <c r="N855" s="20"/>
      <c r="O855" s="74"/>
      <c r="P855" s="74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</row>
    <row r="856" spans="1:29">
      <c r="A856" s="323" t="s">
        <v>426</v>
      </c>
      <c r="B856" s="1"/>
      <c r="C856" s="319"/>
      <c r="D856" s="319"/>
      <c r="E856" s="337" t="s">
        <v>31</v>
      </c>
      <c r="F856" s="337"/>
      <c r="G856" s="2"/>
      <c r="H856" s="2"/>
      <c r="I856" s="337" t="s">
        <v>31</v>
      </c>
      <c r="J856" s="321"/>
      <c r="K856" s="2"/>
      <c r="M856" s="20"/>
      <c r="N856" s="20"/>
      <c r="O856" s="74"/>
      <c r="P856" s="74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</row>
    <row r="857" spans="1:29">
      <c r="A857" s="323" t="s">
        <v>464</v>
      </c>
      <c r="B857" s="1"/>
      <c r="C857" s="319">
        <f>5533801+468455800+177233604+55674401-C884</f>
        <v>269572806</v>
      </c>
      <c r="D857" s="319">
        <f>ROUND(($D$869/$C$869)*C857,0)</f>
        <v>712258072</v>
      </c>
      <c r="E857" s="395">
        <f>$E$801</f>
        <v>3.4990000000000001</v>
      </c>
      <c r="F857" s="321" t="s">
        <v>374</v>
      </c>
      <c r="G857" s="2">
        <f>ROUND(E857/100*$C857,0)</f>
        <v>9432352</v>
      </c>
      <c r="H857" s="2">
        <f>ROUND(E857/100*$D857,0)</f>
        <v>24921910</v>
      </c>
      <c r="I857" s="395">
        <f>$I$801</f>
        <v>3.8719999999999999</v>
      </c>
      <c r="J857" s="321" t="s">
        <v>374</v>
      </c>
      <c r="K857" s="2">
        <f>ROUND(I857/100*$C857,0)</f>
        <v>10437859</v>
      </c>
      <c r="M857" s="20"/>
      <c r="N857" s="20"/>
      <c r="O857" s="74"/>
      <c r="P857" s="74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</row>
    <row r="858" spans="1:29">
      <c r="A858" s="323" t="s">
        <v>400</v>
      </c>
      <c r="B858" s="1"/>
      <c r="C858" s="319">
        <f>6402+185242+134464+26312-C885</f>
        <v>183204</v>
      </c>
      <c r="D858" s="319">
        <f>ROUND(($D$869/$C$869)*C858,0)</f>
        <v>484057</v>
      </c>
      <c r="E858" s="337">
        <f>$E$802</f>
        <v>0.45</v>
      </c>
      <c r="F858" s="321"/>
      <c r="G858" s="2">
        <f>ROUND(E858*$C858,0)</f>
        <v>82442</v>
      </c>
      <c r="H858" s="2">
        <f>ROUND(E858*$D858,0)</f>
        <v>217826</v>
      </c>
      <c r="I858" s="337">
        <f>$I$802</f>
        <v>0.5</v>
      </c>
      <c r="J858" s="321"/>
      <c r="K858" s="2">
        <f>ROUND(I858*$C858,0)</f>
        <v>91602</v>
      </c>
      <c r="M858" s="20"/>
      <c r="N858" s="20"/>
      <c r="O858" s="74"/>
      <c r="P858" s="74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</row>
    <row r="859" spans="1:29">
      <c r="A859" s="360" t="s">
        <v>401</v>
      </c>
      <c r="B859" s="1"/>
      <c r="C859" s="319"/>
      <c r="D859" s="319"/>
      <c r="E859" s="332">
        <v>-0.01</v>
      </c>
      <c r="F859" s="332"/>
      <c r="G859" s="2"/>
      <c r="H859" s="2"/>
      <c r="I859" s="332">
        <v>-0.01</v>
      </c>
      <c r="J859" s="361"/>
      <c r="K859" s="2"/>
      <c r="M859" s="20"/>
      <c r="N859" s="20"/>
      <c r="O859" s="74"/>
      <c r="P859" s="74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</row>
    <row r="860" spans="1:29">
      <c r="A860" s="323" t="s">
        <v>471</v>
      </c>
      <c r="B860" s="1"/>
      <c r="C860" s="319">
        <v>24</v>
      </c>
      <c r="D860" s="319">
        <v>25</v>
      </c>
      <c r="E860" s="334">
        <f>E850</f>
        <v>1205</v>
      </c>
      <c r="F860" s="334"/>
      <c r="G860" s="321">
        <f>ROUND(E860*$C860*$E$803,0)</f>
        <v>-289</v>
      </c>
      <c r="H860" s="321">
        <f>ROUND(E860*$D860*$E$803,0)</f>
        <v>-301</v>
      </c>
      <c r="I860" s="334">
        <f>I850</f>
        <v>1330</v>
      </c>
      <c r="J860" s="321"/>
      <c r="K860" s="321">
        <f>ROUND(I860*$C860*$E$803,0)</f>
        <v>-319</v>
      </c>
      <c r="M860" s="20"/>
      <c r="N860" s="20"/>
      <c r="O860" s="74"/>
      <c r="P860" s="74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</row>
    <row r="861" spans="1:29">
      <c r="A861" s="323" t="s">
        <v>472</v>
      </c>
      <c r="B861" s="1"/>
      <c r="C861" s="319">
        <f>24-C888</f>
        <v>12</v>
      </c>
      <c r="D861" s="319">
        <v>12</v>
      </c>
      <c r="E861" s="334">
        <f>E851</f>
        <v>1450</v>
      </c>
      <c r="F861" s="334"/>
      <c r="G861" s="321">
        <f>ROUND(E861*$C861*$E$803,0)</f>
        <v>-174</v>
      </c>
      <c r="H861" s="321">
        <f>ROUND(E861*$D861*$E$803,0)</f>
        <v>-174</v>
      </c>
      <c r="I861" s="334">
        <f>I851</f>
        <v>1600</v>
      </c>
      <c r="J861" s="321"/>
      <c r="K861" s="321">
        <f>ROUND(I861*$C861*$E$803,0)</f>
        <v>-192</v>
      </c>
      <c r="M861" s="20"/>
      <c r="N861" s="20"/>
      <c r="O861" s="74"/>
      <c r="P861" s="74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</row>
    <row r="862" spans="1:29">
      <c r="A862" s="323" t="s">
        <v>473</v>
      </c>
      <c r="B862" s="1"/>
      <c r="C862" s="319">
        <v>28129</v>
      </c>
      <c r="D862" s="319">
        <f>ROUND(($D$869/$C$869)*C862,0)</f>
        <v>74322</v>
      </c>
      <c r="E862" s="334">
        <f>E853</f>
        <v>0.91</v>
      </c>
      <c r="F862" s="334"/>
      <c r="G862" s="321">
        <f>ROUND(E862*$C862*$E$803,0)</f>
        <v>-256</v>
      </c>
      <c r="H862" s="321">
        <f>ROUND(E862*$D862*$E$803,0)</f>
        <v>-676</v>
      </c>
      <c r="I862" s="334">
        <f>I853</f>
        <v>1.01</v>
      </c>
      <c r="J862" s="321"/>
      <c r="K862" s="321">
        <f>ROUND(I862*$C862*$E$803,0)</f>
        <v>-284</v>
      </c>
      <c r="M862" s="20"/>
      <c r="N862" s="20"/>
      <c r="O862" s="74"/>
      <c r="P862" s="74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</row>
    <row r="863" spans="1:29">
      <c r="A863" s="323" t="s">
        <v>474</v>
      </c>
      <c r="B863" s="1"/>
      <c r="C863" s="319">
        <f>724727-C881</f>
        <v>58934</v>
      </c>
      <c r="D863" s="319">
        <f>ROUND(($D$869/$C$869)*C863,0)</f>
        <v>155714</v>
      </c>
      <c r="E863" s="334">
        <f>E854</f>
        <v>0.83</v>
      </c>
      <c r="F863" s="334"/>
      <c r="G863" s="321">
        <f>ROUND(E863*$C863*$E$803,0)</f>
        <v>-489</v>
      </c>
      <c r="H863" s="321">
        <f>ROUND(E863*$D863*$E$803,0)</f>
        <v>-1292</v>
      </c>
      <c r="I863" s="334">
        <f>I854</f>
        <v>0.92</v>
      </c>
      <c r="J863" s="321"/>
      <c r="K863" s="321">
        <f>ROUND(I863*$C863*$E$803,0)</f>
        <v>-542</v>
      </c>
      <c r="M863" s="20"/>
      <c r="N863" s="20"/>
      <c r="O863" s="74"/>
      <c r="P863" s="74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</row>
    <row r="864" spans="1:29">
      <c r="A864" s="309" t="s">
        <v>403</v>
      </c>
      <c r="B864" s="380"/>
      <c r="C864" s="319">
        <f>23089+708283-C882</f>
        <v>78746</v>
      </c>
      <c r="D864" s="319">
        <f>ROUND(($D$869/$C$869)*C864,0)</f>
        <v>208061</v>
      </c>
      <c r="E864" s="334">
        <f>E855</f>
        <v>6.03</v>
      </c>
      <c r="F864" s="337"/>
      <c r="G864" s="321">
        <f>ROUND(E864*$C864*$E$803,0)</f>
        <v>-4748</v>
      </c>
      <c r="H864" s="321">
        <f>ROUND(E864*$D864*$E$803,0)</f>
        <v>-12546</v>
      </c>
      <c r="I864" s="334">
        <f>I855</f>
        <v>6.53</v>
      </c>
      <c r="J864" s="321"/>
      <c r="K864" s="321">
        <f>ROUND(I864*$C864*$E$803,0)</f>
        <v>-5142</v>
      </c>
      <c r="M864" s="20"/>
      <c r="N864" s="20"/>
      <c r="O864" s="74"/>
      <c r="P864" s="74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</row>
    <row r="865" spans="1:29">
      <c r="A865" s="323" t="s">
        <v>464</v>
      </c>
      <c r="B865" s="1"/>
      <c r="C865" s="319">
        <f>5533801+468455800-C884</f>
        <v>36664801</v>
      </c>
      <c r="D865" s="319">
        <f>ROUND(($D$869/$C$869)*C865,0)</f>
        <v>96874759</v>
      </c>
      <c r="E865" s="335">
        <f>E857</f>
        <v>3.4990000000000001</v>
      </c>
      <c r="F865" s="321" t="s">
        <v>374</v>
      </c>
      <c r="G865" s="321">
        <f>ROUND(E865/100*$C865*$E$803,0)</f>
        <v>-12829</v>
      </c>
      <c r="H865" s="321">
        <f>ROUND(E865/100*$D865*$E$803,0)</f>
        <v>-33896</v>
      </c>
      <c r="I865" s="335">
        <f>I857</f>
        <v>3.8719999999999999</v>
      </c>
      <c r="J865" s="321" t="s">
        <v>374</v>
      </c>
      <c r="K865" s="321">
        <f>ROUND(I865/100*$C865*$E$803,0)</f>
        <v>-14197</v>
      </c>
      <c r="M865" s="20"/>
      <c r="N865" s="20"/>
      <c r="O865" s="74"/>
      <c r="P865" s="74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</row>
    <row r="866" spans="1:29">
      <c r="A866" s="323" t="s">
        <v>400</v>
      </c>
      <c r="B866" s="1"/>
      <c r="C866" s="319">
        <f>6402+185242-C885</f>
        <v>22428</v>
      </c>
      <c r="D866" s="319">
        <f>ROUND(($D$869/$C$869)*C866,0)</f>
        <v>59259</v>
      </c>
      <c r="E866" s="384">
        <f>E858</f>
        <v>0.45</v>
      </c>
      <c r="F866" s="321"/>
      <c r="G866" s="321">
        <f>ROUND(E866*$C866*$E$803,0)</f>
        <v>-101</v>
      </c>
      <c r="H866" s="321">
        <f>ROUND(E866*$D866*$E$803,0)</f>
        <v>-267</v>
      </c>
      <c r="I866" s="384">
        <f>I858</f>
        <v>0.5</v>
      </c>
      <c r="J866" s="321"/>
      <c r="K866" s="321">
        <f>ROUND(I866*$C866*$E$803,0)</f>
        <v>-112</v>
      </c>
      <c r="M866" s="20"/>
      <c r="N866" s="20"/>
      <c r="O866" s="74"/>
      <c r="P866" s="74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</row>
    <row r="867" spans="1:29">
      <c r="A867" s="309" t="s">
        <v>475</v>
      </c>
      <c r="B867" s="1"/>
      <c r="C867" s="319">
        <f>24+24-C894</f>
        <v>36</v>
      </c>
      <c r="D867" s="319">
        <v>37</v>
      </c>
      <c r="E867" s="337">
        <f>$E$811</f>
        <v>60</v>
      </c>
      <c r="F867" s="337"/>
      <c r="G867" s="321">
        <f>ROUND(E867*$C867,0)</f>
        <v>2160</v>
      </c>
      <c r="H867" s="321">
        <f>ROUND(E867*$D867,0)</f>
        <v>2220</v>
      </c>
      <c r="I867" s="337">
        <f>$I$811</f>
        <v>60</v>
      </c>
      <c r="J867" s="321"/>
      <c r="K867" s="321">
        <f>ROUND(I867*$C867,0)</f>
        <v>2160</v>
      </c>
      <c r="M867" s="20"/>
      <c r="N867" s="20"/>
      <c r="O867" s="74"/>
      <c r="P867" s="74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</row>
    <row r="868" spans="1:29">
      <c r="A868" s="309" t="s">
        <v>444</v>
      </c>
      <c r="B868" s="1"/>
      <c r="C868" s="319">
        <f>28129+724727-C895</f>
        <v>87063</v>
      </c>
      <c r="D868" s="319">
        <f>ROUND(($D$869/$C$869)*C868,0)</f>
        <v>230036</v>
      </c>
      <c r="E868" s="337">
        <f>$E$812</f>
        <v>-0.75</v>
      </c>
      <c r="F868" s="321"/>
      <c r="G868" s="321">
        <f>ROUND(E868*$C868,0)</f>
        <v>-65297</v>
      </c>
      <c r="H868" s="321">
        <f>ROUND(E868*$D868,0)</f>
        <v>-172527</v>
      </c>
      <c r="I868" s="337">
        <f>$I$812</f>
        <v>-0.75</v>
      </c>
      <c r="J868" s="321"/>
      <c r="K868" s="321">
        <f>ROUND(I868*$C868,0)</f>
        <v>-65297</v>
      </c>
      <c r="M868" s="20"/>
      <c r="N868" s="20"/>
      <c r="O868" s="74"/>
      <c r="P868" s="74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</row>
    <row r="869" spans="1:29">
      <c r="A869" s="1" t="s">
        <v>381</v>
      </c>
      <c r="B869" s="1"/>
      <c r="C869" s="319">
        <f>C857</f>
        <v>269572806</v>
      </c>
      <c r="D869" s="319">
        <v>712258072.33019459</v>
      </c>
      <c r="E869" s="330"/>
      <c r="F869" s="2"/>
      <c r="G869" s="2">
        <f>SUM(G850:G868)</f>
        <v>14029547</v>
      </c>
      <c r="H869" s="2">
        <f>SUM(H850:H868)</f>
        <v>36284799</v>
      </c>
      <c r="I869" s="330"/>
      <c r="J869" s="1"/>
      <c r="K869" s="2">
        <f>SUM(K850:K868)</f>
        <v>15449371</v>
      </c>
      <c r="M869" s="20"/>
      <c r="N869" s="20"/>
      <c r="O869" s="74"/>
      <c r="P869" s="74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</row>
    <row r="870" spans="1:29">
      <c r="A870" s="1" t="s">
        <v>363</v>
      </c>
      <c r="B870" s="1"/>
      <c r="C870" s="319" t="e">
        <f>#REF!</f>
        <v>#REF!</v>
      </c>
      <c r="D870" s="319">
        <v>0</v>
      </c>
      <c r="E870" s="309"/>
      <c r="F870" s="309"/>
      <c r="G870" s="341" t="e">
        <f>#REF!</f>
        <v>#REF!</v>
      </c>
      <c r="H870" s="341">
        <v>0</v>
      </c>
      <c r="I870" s="309"/>
      <c r="J870" s="309"/>
      <c r="K870" s="341" t="e">
        <f>G870</f>
        <v>#REF!</v>
      </c>
      <c r="M870" s="444"/>
      <c r="N870" s="444"/>
      <c r="O870" s="287"/>
      <c r="P870" s="74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</row>
    <row r="871" spans="1:29" ht="16.5" thickBot="1">
      <c r="A871" s="1" t="s">
        <v>382</v>
      </c>
      <c r="B871" s="1"/>
      <c r="C871" s="393" t="e">
        <f>SUM(C869)+C870</f>
        <v>#REF!</v>
      </c>
      <c r="D871" s="393">
        <f>SUM(D857)+D870</f>
        <v>712258072</v>
      </c>
      <c r="E871" s="342"/>
      <c r="F871" s="343"/>
      <c r="G871" s="344" t="e">
        <f>G869+G870</f>
        <v>#REF!</v>
      </c>
      <c r="H871" s="344">
        <f>H869+H870</f>
        <v>36284799</v>
      </c>
      <c r="I871" s="342"/>
      <c r="J871" s="345"/>
      <c r="K871" s="344" t="e">
        <f>K869+K870</f>
        <v>#REF!</v>
      </c>
      <c r="M871" s="411"/>
      <c r="N871" s="411"/>
      <c r="O871" s="470"/>
      <c r="P871" s="74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</row>
    <row r="872" spans="1:29" ht="16.5" thickTop="1">
      <c r="A872" s="1"/>
      <c r="B872" s="1"/>
      <c r="C872" s="21"/>
      <c r="D872" s="21"/>
      <c r="E872" s="337"/>
      <c r="F872" s="2"/>
      <c r="G872" s="2"/>
      <c r="H872" s="2"/>
      <c r="I872" s="353" t="s">
        <v>31</v>
      </c>
      <c r="J872" s="1"/>
      <c r="K872" s="2" t="s">
        <v>31</v>
      </c>
      <c r="M872" s="20"/>
      <c r="N872" s="20"/>
      <c r="O872" s="74"/>
      <c r="P872" s="74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</row>
    <row r="873" spans="1:29">
      <c r="A873" s="293" t="s">
        <v>584</v>
      </c>
      <c r="B873" s="1"/>
      <c r="C873" s="1"/>
      <c r="D873" s="1"/>
      <c r="E873" s="2"/>
      <c r="F873" s="2"/>
      <c r="G873" s="1"/>
      <c r="H873" s="1"/>
      <c r="I873" s="2"/>
      <c r="J873" s="1"/>
      <c r="K873" s="1"/>
      <c r="M873" s="20"/>
      <c r="N873" s="20"/>
      <c r="O873" s="74"/>
      <c r="P873" s="74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</row>
    <row r="874" spans="1:29">
      <c r="A874" s="309" t="s">
        <v>620</v>
      </c>
      <c r="B874" s="1"/>
      <c r="C874" s="1"/>
      <c r="D874" s="1"/>
      <c r="E874" s="2"/>
      <c r="F874" s="2"/>
      <c r="G874" s="1"/>
      <c r="H874" s="1"/>
      <c r="I874" s="2"/>
      <c r="J874" s="1"/>
      <c r="K874" s="1"/>
      <c r="M874" s="20"/>
      <c r="N874" s="20"/>
      <c r="O874" s="74"/>
      <c r="P874" s="74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</row>
    <row r="875" spans="1:29">
      <c r="A875" s="323"/>
      <c r="B875" s="1"/>
      <c r="C875" s="1"/>
      <c r="D875" s="1"/>
      <c r="E875" s="2"/>
      <c r="F875" s="2"/>
      <c r="G875" s="1"/>
      <c r="H875" s="1"/>
      <c r="I875" s="2"/>
      <c r="J875" s="1"/>
      <c r="K875" s="1"/>
      <c r="M875" s="20"/>
      <c r="N875" s="20"/>
      <c r="O875" s="74"/>
      <c r="P875" s="74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</row>
    <row r="876" spans="1:29">
      <c r="A876" s="323" t="s">
        <v>393</v>
      </c>
      <c r="B876" s="1"/>
      <c r="C876" s="319"/>
      <c r="D876" s="319"/>
      <c r="E876" s="2"/>
      <c r="F876" s="2"/>
      <c r="G876" s="1"/>
      <c r="H876" s="1"/>
      <c r="I876" s="2"/>
      <c r="J876" s="1"/>
      <c r="K876" s="1"/>
      <c r="M876" s="20"/>
      <c r="N876" s="20"/>
      <c r="P876" s="74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</row>
    <row r="877" spans="1:29">
      <c r="A877" s="323" t="s">
        <v>471</v>
      </c>
      <c r="B877" s="1"/>
      <c r="C877" s="319">
        <v>0</v>
      </c>
      <c r="D877" s="319">
        <v>0</v>
      </c>
      <c r="E877" s="337">
        <f>$E$766</f>
        <v>1205</v>
      </c>
      <c r="F877" s="337"/>
      <c r="G877" s="2">
        <f>ROUND(E877*$C877,0)</f>
        <v>0</v>
      </c>
      <c r="H877" s="2">
        <f>ROUND(E877*$D877,0)</f>
        <v>0</v>
      </c>
      <c r="I877" s="337">
        <v>1330</v>
      </c>
      <c r="J877" s="321"/>
      <c r="K877" s="2">
        <f>ROUND(I877*$C877,0)</f>
        <v>0</v>
      </c>
      <c r="M877" s="20"/>
      <c r="N877" s="20"/>
      <c r="O877" s="14">
        <f>(I877-E877)/E877</f>
        <v>0.1037344398340249</v>
      </c>
      <c r="P877" s="74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</row>
    <row r="878" spans="1:29">
      <c r="A878" s="323" t="s">
        <v>472</v>
      </c>
      <c r="B878" s="1"/>
      <c r="C878" s="319">
        <v>12</v>
      </c>
      <c r="D878" s="319">
        <v>12</v>
      </c>
      <c r="E878" s="337">
        <f>$E$767</f>
        <v>1450</v>
      </c>
      <c r="F878" s="337"/>
      <c r="G878" s="2">
        <f>ROUND(E878*$C878,0)</f>
        <v>17400</v>
      </c>
      <c r="H878" s="2">
        <f>ROUND(E878*$D878,0)</f>
        <v>17400</v>
      </c>
      <c r="I878" s="337">
        <v>1550</v>
      </c>
      <c r="J878" s="324"/>
      <c r="K878" s="2">
        <f>ROUND(I878*$C878,0)</f>
        <v>18600</v>
      </c>
      <c r="M878" s="20"/>
      <c r="N878" s="20"/>
      <c r="O878" s="14">
        <f>(I878-E878)/E878</f>
        <v>6.8965517241379309E-2</v>
      </c>
      <c r="P878" s="74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</row>
    <row r="879" spans="1:29">
      <c r="A879" s="323" t="s">
        <v>394</v>
      </c>
      <c r="B879" s="1"/>
      <c r="C879" s="319">
        <f>SUM(C877:C878)</f>
        <v>12</v>
      </c>
      <c r="D879" s="319">
        <v>12</v>
      </c>
      <c r="E879" s="337" t="s">
        <v>31</v>
      </c>
      <c r="F879" s="337"/>
      <c r="G879" s="2" t="s">
        <v>31</v>
      </c>
      <c r="H879" s="2" t="s">
        <v>31</v>
      </c>
      <c r="I879" s="337" t="s">
        <v>31</v>
      </c>
      <c r="J879" s="321"/>
      <c r="K879" s="2" t="s">
        <v>31</v>
      </c>
      <c r="M879" s="20"/>
      <c r="N879" s="20"/>
      <c r="O879" s="320"/>
      <c r="P879" s="74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</row>
    <row r="880" spans="1:29">
      <c r="A880" s="323" t="s">
        <v>473</v>
      </c>
      <c r="B880" s="1"/>
      <c r="C880" s="319">
        <v>0</v>
      </c>
      <c r="D880" s="319">
        <v>0</v>
      </c>
      <c r="E880" s="337">
        <f>$E$769</f>
        <v>0.91</v>
      </c>
      <c r="F880" s="337"/>
      <c r="G880" s="2">
        <f>ROUND(E880*$C880,0)</f>
        <v>0</v>
      </c>
      <c r="H880" s="2">
        <f>ROUND(E880*$D880,0)</f>
        <v>0</v>
      </c>
      <c r="I880" s="337">
        <v>1.01</v>
      </c>
      <c r="J880" s="321"/>
      <c r="K880" s="2">
        <f>ROUND(I880*$C880,0)</f>
        <v>0</v>
      </c>
      <c r="M880" s="20"/>
      <c r="N880" s="20"/>
      <c r="O880" s="14">
        <f>(I880-E880)/E880</f>
        <v>0.10989010989010986</v>
      </c>
      <c r="P880" s="74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</row>
    <row r="881" spans="1:29">
      <c r="A881" s="323" t="s">
        <v>474</v>
      </c>
      <c r="B881" s="1"/>
      <c r="C881" s="319">
        <v>665793</v>
      </c>
      <c r="D881" s="319">
        <f>ROUND(($D$896/$C$896)*C881,0)</f>
        <v>40311</v>
      </c>
      <c r="E881" s="337">
        <f>$E$770</f>
        <v>0.83</v>
      </c>
      <c r="F881" s="337"/>
      <c r="G881" s="2">
        <f>ROUND(E881*$C881,0)</f>
        <v>552608</v>
      </c>
      <c r="H881" s="2">
        <f>ROUND(E881*$D881,0)</f>
        <v>33458</v>
      </c>
      <c r="I881" s="337">
        <v>0.88</v>
      </c>
      <c r="J881" s="321"/>
      <c r="K881" s="2">
        <f>ROUND(I881*$C881,0)</f>
        <v>585898</v>
      </c>
      <c r="M881" s="20"/>
      <c r="N881" s="20"/>
      <c r="O881" s="14">
        <f>(I881-E881)/E881</f>
        <v>6.0240963855421742E-2</v>
      </c>
      <c r="P881" s="74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</row>
    <row r="882" spans="1:29">
      <c r="A882" s="309" t="s">
        <v>403</v>
      </c>
      <c r="B882" s="1"/>
      <c r="C882" s="319">
        <v>652626</v>
      </c>
      <c r="D882" s="319">
        <f>ROUND(($D$896/$C$896)*C882,0)</f>
        <v>39514</v>
      </c>
      <c r="E882" s="337">
        <f>$E$771</f>
        <v>6.03</v>
      </c>
      <c r="F882" s="337"/>
      <c r="G882" s="2">
        <f>ROUND(E882*$C882,0)</f>
        <v>3935335</v>
      </c>
      <c r="H882" s="2">
        <f>ROUND(E882*$D882,0)</f>
        <v>238269</v>
      </c>
      <c r="I882" s="337">
        <v>6.54</v>
      </c>
      <c r="J882" s="321"/>
      <c r="K882" s="2">
        <f>ROUND(I882*$C882,0)</f>
        <v>4268174</v>
      </c>
      <c r="M882" s="20"/>
      <c r="N882" s="20"/>
      <c r="O882" s="14">
        <f>(I882-E882)/E882</f>
        <v>8.4577114427860658E-2</v>
      </c>
      <c r="P882" s="74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</row>
    <row r="883" spans="1:29">
      <c r="A883" s="323" t="s">
        <v>426</v>
      </c>
      <c r="B883" s="1"/>
      <c r="C883" s="275" t="s">
        <v>31</v>
      </c>
      <c r="D883" s="319"/>
      <c r="E883" s="337" t="s">
        <v>31</v>
      </c>
      <c r="F883" s="337"/>
      <c r="G883" s="2"/>
      <c r="H883" s="2"/>
      <c r="I883" s="337" t="s">
        <v>31</v>
      </c>
      <c r="J883" s="321"/>
      <c r="K883" s="2"/>
      <c r="M883" s="20"/>
      <c r="N883" s="20"/>
      <c r="O883" s="320"/>
      <c r="P883" s="74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</row>
    <row r="884" spans="1:29">
      <c r="A884" s="323" t="s">
        <v>464</v>
      </c>
      <c r="B884" s="1"/>
      <c r="C884" s="319">
        <v>437324800</v>
      </c>
      <c r="D884" s="319">
        <f>ROUND(($D$896/$C$896)*C884,0)</f>
        <v>26478236</v>
      </c>
      <c r="E884" s="395">
        <f>$E$773</f>
        <v>3.4990000000000001</v>
      </c>
      <c r="F884" s="321" t="s">
        <v>374</v>
      </c>
      <c r="G884" s="2">
        <f>ROUND(E884/100*$C884,0)</f>
        <v>15301995</v>
      </c>
      <c r="H884" s="2">
        <f>ROUND(E884/100*$D884,0)</f>
        <v>926473</v>
      </c>
      <c r="I884" s="395">
        <v>3.8660000000000001</v>
      </c>
      <c r="J884" s="321" t="s">
        <v>374</v>
      </c>
      <c r="K884" s="2">
        <f>ROUND(I884/100*$C884,0)</f>
        <v>16906977</v>
      </c>
      <c r="M884" s="20"/>
      <c r="N884" s="20"/>
      <c r="O884" s="14">
        <f>(I884-E884)/E884</f>
        <v>0.10488711060302944</v>
      </c>
      <c r="P884" s="74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</row>
    <row r="885" spans="1:29">
      <c r="A885" s="323" t="s">
        <v>400</v>
      </c>
      <c r="B885" s="1"/>
      <c r="C885" s="319">
        <v>169216</v>
      </c>
      <c r="D885" s="319">
        <f>ROUND(($D$896/$C$896)*C885,0)</f>
        <v>10245</v>
      </c>
      <c r="E885" s="337">
        <f>$E$774</f>
        <v>0.45</v>
      </c>
      <c r="F885" s="321"/>
      <c r="G885" s="2">
        <f>ROUND(E885*$C885,0)</f>
        <v>76147</v>
      </c>
      <c r="H885" s="2">
        <f>ROUND(E885*$D885,0)</f>
        <v>4610</v>
      </c>
      <c r="I885" s="337">
        <v>0.5</v>
      </c>
      <c r="J885" s="321"/>
      <c r="K885" s="2">
        <f>ROUND(I885*$C885,0)</f>
        <v>84608</v>
      </c>
      <c r="M885" s="20"/>
      <c r="N885" s="20"/>
      <c r="O885" s="14">
        <f>(I885-E885)/E885</f>
        <v>0.11111111111111108</v>
      </c>
      <c r="P885" s="74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</row>
    <row r="886" spans="1:29">
      <c r="A886" s="360" t="s">
        <v>401</v>
      </c>
      <c r="B886" s="1"/>
      <c r="C886" s="319"/>
      <c r="D886" s="319"/>
      <c r="E886" s="332">
        <v>-0.01</v>
      </c>
      <c r="F886" s="332"/>
      <c r="G886" s="2"/>
      <c r="H886" s="2"/>
      <c r="I886" s="332">
        <v>-0.01</v>
      </c>
      <c r="J886" s="361"/>
      <c r="K886" s="2"/>
      <c r="M886" s="20"/>
      <c r="N886" s="20"/>
      <c r="O886" s="74"/>
      <c r="P886" s="74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</row>
    <row r="887" spans="1:29">
      <c r="A887" s="323" t="s">
        <v>471</v>
      </c>
      <c r="B887" s="1"/>
      <c r="C887" s="319">
        <v>0</v>
      </c>
      <c r="D887" s="319">
        <v>0</v>
      </c>
      <c r="E887" s="334">
        <f>E877</f>
        <v>1205</v>
      </c>
      <c r="F887" s="334"/>
      <c r="G887" s="321">
        <f>ROUND(E887*$C887*$E$803,0)</f>
        <v>0</v>
      </c>
      <c r="H887" s="321">
        <f>ROUND(E887*$D887*$E$803,0)</f>
        <v>0</v>
      </c>
      <c r="I887" s="334">
        <f>I877</f>
        <v>1330</v>
      </c>
      <c r="J887" s="321"/>
      <c r="K887" s="321">
        <f>ROUND(I887*$C887*$E$803,0)</f>
        <v>0</v>
      </c>
      <c r="M887" s="20"/>
      <c r="N887" s="20"/>
      <c r="O887" s="74"/>
      <c r="P887" s="74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</row>
    <row r="888" spans="1:29">
      <c r="A888" s="323" t="s">
        <v>472</v>
      </c>
      <c r="B888" s="1"/>
      <c r="C888" s="319">
        <v>12</v>
      </c>
      <c r="D888" s="319">
        <v>12</v>
      </c>
      <c r="E888" s="334">
        <f>E878</f>
        <v>1450</v>
      </c>
      <c r="F888" s="334"/>
      <c r="G888" s="321">
        <f>ROUND(E888*$C888*$E$803,0)</f>
        <v>-174</v>
      </c>
      <c r="H888" s="321">
        <f>ROUND(E888*$D888*$E$803,0)</f>
        <v>-174</v>
      </c>
      <c r="I888" s="334">
        <f>I878</f>
        <v>1550</v>
      </c>
      <c r="J888" s="321"/>
      <c r="K888" s="321">
        <f>ROUND(I888*$C888*$E$803,0)</f>
        <v>-186</v>
      </c>
      <c r="M888" s="20"/>
      <c r="N888" s="20"/>
      <c r="O888" s="69" t="e">
        <f>O898-K898</f>
        <v>#REF!</v>
      </c>
      <c r="P888" s="74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</row>
    <row r="889" spans="1:29">
      <c r="A889" s="323" t="s">
        <v>473</v>
      </c>
      <c r="B889" s="1"/>
      <c r="C889" s="319">
        <v>0</v>
      </c>
      <c r="D889" s="319">
        <v>0</v>
      </c>
      <c r="E889" s="334">
        <f>E880</f>
        <v>0.91</v>
      </c>
      <c r="F889" s="334"/>
      <c r="G889" s="321">
        <f>ROUND(E889*$C889*$E$803,0)</f>
        <v>0</v>
      </c>
      <c r="H889" s="321">
        <f>ROUND(E889*$D889*$E$803,0)</f>
        <v>0</v>
      </c>
      <c r="I889" s="334">
        <f>I880</f>
        <v>1.01</v>
      </c>
      <c r="J889" s="321"/>
      <c r="K889" s="321">
        <f>ROUND(I889*$C889*$E$803,0)</f>
        <v>0</v>
      </c>
      <c r="M889" s="20"/>
      <c r="N889" s="20"/>
      <c r="O889" s="74"/>
      <c r="P889" s="74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</row>
    <row r="890" spans="1:29">
      <c r="A890" s="323" t="s">
        <v>474</v>
      </c>
      <c r="B890" s="1"/>
      <c r="C890" s="319">
        <f>C881</f>
        <v>665793</v>
      </c>
      <c r="D890" s="319">
        <f>ROUND(($D$896/$C$896)*C890,0)</f>
        <v>40311</v>
      </c>
      <c r="E890" s="334">
        <f>E881</f>
        <v>0.83</v>
      </c>
      <c r="F890" s="334"/>
      <c r="G890" s="321">
        <f>ROUND(E890*$C890*$E$803,0)</f>
        <v>-5526</v>
      </c>
      <c r="H890" s="321">
        <f>ROUND(E890*$D890*$E$803,0)</f>
        <v>-335</v>
      </c>
      <c r="I890" s="334">
        <f>I881</f>
        <v>0.88</v>
      </c>
      <c r="J890" s="321"/>
      <c r="K890" s="321">
        <f>ROUND(I890*$C890*$E$803,0)</f>
        <v>-5859</v>
      </c>
      <c r="M890" s="20"/>
      <c r="N890" s="20"/>
      <c r="O890" s="74"/>
      <c r="P890" s="74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</row>
    <row r="891" spans="1:29">
      <c r="A891" s="309" t="s">
        <v>403</v>
      </c>
      <c r="B891" s="380"/>
      <c r="C891" s="319">
        <f>C882</f>
        <v>652626</v>
      </c>
      <c r="D891" s="319">
        <f>ROUND(($D$896/$C$896)*C891,0)</f>
        <v>39514</v>
      </c>
      <c r="E891" s="334">
        <f>E882</f>
        <v>6.03</v>
      </c>
      <c r="F891" s="337"/>
      <c r="G891" s="321">
        <f>ROUND(E891*$C891*$E$803,0)</f>
        <v>-39353</v>
      </c>
      <c r="H891" s="321">
        <f>ROUND(E891*$D891*$E$803,0)</f>
        <v>-2383</v>
      </c>
      <c r="I891" s="334">
        <f>I882</f>
        <v>6.54</v>
      </c>
      <c r="J891" s="321"/>
      <c r="K891" s="321">
        <f>ROUND(I891*$C891*$E$803,0)</f>
        <v>-42682</v>
      </c>
      <c r="M891" s="20"/>
      <c r="N891" s="20"/>
      <c r="O891" s="74"/>
      <c r="P891" s="74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</row>
    <row r="892" spans="1:29">
      <c r="A892" s="323" t="s">
        <v>464</v>
      </c>
      <c r="B892" s="1"/>
      <c r="C892" s="319">
        <f>C884</f>
        <v>437324800</v>
      </c>
      <c r="D892" s="319">
        <f>ROUND(($D$896/$C$896)*C892,0)</f>
        <v>26478236</v>
      </c>
      <c r="E892" s="335">
        <f>E884</f>
        <v>3.4990000000000001</v>
      </c>
      <c r="F892" s="321" t="s">
        <v>374</v>
      </c>
      <c r="G892" s="321">
        <f>ROUND(E892/100*$C892*$E$803,0)</f>
        <v>-153020</v>
      </c>
      <c r="H892" s="321">
        <f>ROUND(E892/100*$D892*$E$803,0)</f>
        <v>-9265</v>
      </c>
      <c r="I892" s="335">
        <f>I884</f>
        <v>3.8660000000000001</v>
      </c>
      <c r="J892" s="321" t="s">
        <v>374</v>
      </c>
      <c r="K892" s="321">
        <f>ROUND(I892/100*$C892*$E$803,0)</f>
        <v>-169070</v>
      </c>
      <c r="M892" s="20"/>
      <c r="N892" s="20"/>
      <c r="O892" s="74"/>
      <c r="P892" s="74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</row>
    <row r="893" spans="1:29">
      <c r="A893" s="323" t="s">
        <v>400</v>
      </c>
      <c r="B893" s="1"/>
      <c r="C893" s="319">
        <f>C885</f>
        <v>169216</v>
      </c>
      <c r="D893" s="319">
        <f>ROUND(($D$896/$C$896)*C893,0)</f>
        <v>10245</v>
      </c>
      <c r="E893" s="384">
        <f>E885</f>
        <v>0.45</v>
      </c>
      <c r="F893" s="321"/>
      <c r="G893" s="321">
        <f>ROUND(E893*$C893*$E$803,0)</f>
        <v>-761</v>
      </c>
      <c r="H893" s="321">
        <f>ROUND(E893*$D893*$E$803,0)</f>
        <v>-46</v>
      </c>
      <c r="I893" s="384">
        <f>I885</f>
        <v>0.5</v>
      </c>
      <c r="J893" s="321"/>
      <c r="K893" s="321">
        <f>ROUND(I893*$C893*$E$803,0)</f>
        <v>-846</v>
      </c>
      <c r="M893" s="20"/>
      <c r="N893" s="20"/>
      <c r="O893" s="74"/>
      <c r="P893" s="74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</row>
    <row r="894" spans="1:29">
      <c r="A894" s="309" t="s">
        <v>475</v>
      </c>
      <c r="B894" s="1"/>
      <c r="C894" s="319">
        <v>12</v>
      </c>
      <c r="D894" s="319">
        <v>12</v>
      </c>
      <c r="E894" s="337">
        <f>$E$783</f>
        <v>60</v>
      </c>
      <c r="F894" s="337"/>
      <c r="G894" s="321">
        <f>ROUND(E894*$C894,0)</f>
        <v>720</v>
      </c>
      <c r="H894" s="321">
        <f>ROUND(E894*$D894,0)</f>
        <v>720</v>
      </c>
      <c r="I894" s="337">
        <f>$I$783</f>
        <v>60</v>
      </c>
      <c r="J894" s="321"/>
      <c r="K894" s="321">
        <f>ROUND(I894*$C894,0)</f>
        <v>720</v>
      </c>
      <c r="M894" s="20"/>
      <c r="N894" s="20"/>
      <c r="O894" s="74"/>
      <c r="P894" s="74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</row>
    <row r="895" spans="1:29">
      <c r="A895" s="309" t="s">
        <v>444</v>
      </c>
      <c r="B895" s="1"/>
      <c r="C895" s="319">
        <f>C881</f>
        <v>665793</v>
      </c>
      <c r="D895" s="319">
        <f>ROUND(($D$896/$C$896)*C895,0)</f>
        <v>40311</v>
      </c>
      <c r="E895" s="337">
        <f>$E$784</f>
        <v>-0.75</v>
      </c>
      <c r="F895" s="321"/>
      <c r="G895" s="321">
        <f>ROUND(E895*$C895,0)</f>
        <v>-499345</v>
      </c>
      <c r="H895" s="321">
        <f>ROUND(E895*$D895,0)</f>
        <v>-30233</v>
      </c>
      <c r="I895" s="337">
        <f>$I$784</f>
        <v>-0.75</v>
      </c>
      <c r="J895" s="321"/>
      <c r="K895" s="321">
        <f>ROUND(I895*$C895,0)</f>
        <v>-499345</v>
      </c>
      <c r="M895" s="20"/>
      <c r="N895" s="20"/>
      <c r="O895" s="74"/>
      <c r="P895" s="74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</row>
    <row r="896" spans="1:29">
      <c r="A896" s="1" t="s">
        <v>381</v>
      </c>
      <c r="B896" s="1"/>
      <c r="C896" s="319">
        <f>C884</f>
        <v>437324800</v>
      </c>
      <c r="D896" s="319">
        <v>26478236.454041336</v>
      </c>
      <c r="E896" s="330"/>
      <c r="F896" s="2"/>
      <c r="G896" s="2">
        <f>SUM(G877:G895)</f>
        <v>19186026</v>
      </c>
      <c r="H896" s="2">
        <f>SUM(H877:H895)</f>
        <v>1178494</v>
      </c>
      <c r="I896" s="330"/>
      <c r="J896" s="1"/>
      <c r="K896" s="2">
        <f>SUM(K877:K895)</f>
        <v>21146989</v>
      </c>
      <c r="M896" s="20"/>
      <c r="N896" s="20"/>
      <c r="O896" s="74"/>
      <c r="P896" s="74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</row>
    <row r="897" spans="1:29">
      <c r="A897" s="1" t="s">
        <v>363</v>
      </c>
      <c r="B897" s="1"/>
      <c r="C897" s="319" t="e">
        <f>#REF!</f>
        <v>#REF!</v>
      </c>
      <c r="D897" s="319">
        <v>0</v>
      </c>
      <c r="E897" s="309"/>
      <c r="F897" s="309"/>
      <c r="G897" s="341" t="e">
        <f>#REF!</f>
        <v>#REF!</v>
      </c>
      <c r="H897" s="341">
        <v>0</v>
      </c>
      <c r="I897" s="309"/>
      <c r="J897" s="309"/>
      <c r="K897" s="341" t="e">
        <f>G897</f>
        <v>#REF!</v>
      </c>
      <c r="M897" s="444"/>
      <c r="N897" s="444"/>
      <c r="O897" s="287"/>
      <c r="P897" s="74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</row>
    <row r="898" spans="1:29" ht="16.5" thickBot="1">
      <c r="A898" s="1" t="s">
        <v>382</v>
      </c>
      <c r="B898" s="1"/>
      <c r="C898" s="393" t="e">
        <f>SUM(C896)+C897</f>
        <v>#REF!</v>
      </c>
      <c r="D898" s="393">
        <f>SUM(D884)+D897</f>
        <v>26478236</v>
      </c>
      <c r="E898" s="342"/>
      <c r="F898" s="343"/>
      <c r="G898" s="344" t="e">
        <f>G896+G897</f>
        <v>#REF!</v>
      </c>
      <c r="H898" s="344">
        <f>H896+H897</f>
        <v>1178494</v>
      </c>
      <c r="I898" s="342"/>
      <c r="J898" s="345"/>
      <c r="K898" s="344" t="e">
        <f>K896+K897</f>
        <v>#REF!</v>
      </c>
      <c r="M898" s="411"/>
      <c r="N898" s="3" t="s">
        <v>364</v>
      </c>
      <c r="O898" s="69" t="e">
        <f>#REF!*1000</f>
        <v>#REF!</v>
      </c>
      <c r="P898" s="74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</row>
    <row r="899" spans="1:29" ht="16.5" thickTop="1">
      <c r="A899" s="1"/>
      <c r="B899" s="1"/>
      <c r="C899" s="21"/>
      <c r="D899" s="21"/>
      <c r="E899" s="337"/>
      <c r="F899" s="2"/>
      <c r="G899" s="2"/>
      <c r="H899" s="2"/>
      <c r="I899" s="353" t="s">
        <v>31</v>
      </c>
      <c r="J899" s="1"/>
      <c r="K899" s="2" t="s">
        <v>31</v>
      </c>
      <c r="M899" s="20"/>
      <c r="N899" s="3" t="s">
        <v>263</v>
      </c>
      <c r="P899" s="74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</row>
    <row r="900" spans="1:29">
      <c r="A900" s="293" t="s">
        <v>482</v>
      </c>
      <c r="B900" s="1"/>
      <c r="C900" s="1"/>
      <c r="D900" s="1"/>
      <c r="E900" s="1"/>
      <c r="F900" s="1"/>
      <c r="G900" s="2"/>
      <c r="H900" s="2"/>
      <c r="I900" s="1"/>
      <c r="J900" s="1"/>
      <c r="K900" s="1"/>
      <c r="M900" s="20"/>
      <c r="N900" s="20"/>
      <c r="O900" s="74"/>
      <c r="P900" s="74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</row>
    <row r="901" spans="1:29">
      <c r="A901" s="1" t="s">
        <v>591</v>
      </c>
      <c r="B901" s="1"/>
      <c r="C901" s="1"/>
      <c r="D901" s="1"/>
      <c r="E901" s="1"/>
      <c r="F901" s="1"/>
      <c r="G901" s="2"/>
      <c r="H901" s="2"/>
      <c r="I901" s="1"/>
      <c r="J901" s="1"/>
      <c r="K901" s="1"/>
      <c r="M901" s="278"/>
      <c r="N901" s="278"/>
      <c r="O901" s="278"/>
      <c r="P901" s="278"/>
      <c r="Q901" s="278"/>
      <c r="R901" s="278"/>
      <c r="S901" s="278"/>
      <c r="T901" s="278"/>
      <c r="U901" s="278"/>
      <c r="V901" s="278"/>
      <c r="W901" s="278"/>
      <c r="X901" s="278"/>
      <c r="Y901" s="20"/>
      <c r="Z901" s="20"/>
      <c r="AA901" s="20"/>
      <c r="AB901" s="20"/>
      <c r="AC901" s="20"/>
    </row>
    <row r="902" spans="1:29">
      <c r="A902" s="1" t="s">
        <v>592</v>
      </c>
      <c r="B902" s="1"/>
      <c r="C902" s="1"/>
      <c r="D902" s="1"/>
      <c r="E902" s="1"/>
      <c r="F902" s="1"/>
      <c r="G902" s="2"/>
      <c r="H902" s="2"/>
      <c r="I902" s="1"/>
      <c r="J902" s="1"/>
      <c r="K902" s="1"/>
      <c r="M902" s="278"/>
      <c r="N902" s="278"/>
      <c r="O902" s="278"/>
      <c r="P902" s="278"/>
      <c r="Q902" s="278"/>
      <c r="R902" s="278"/>
      <c r="S902" s="278"/>
      <c r="T902" s="278"/>
      <c r="U902" s="278"/>
      <c r="V902" s="278"/>
      <c r="W902" s="278"/>
      <c r="X902" s="278"/>
      <c r="Y902" s="20"/>
      <c r="Z902" s="20"/>
      <c r="AA902" s="20"/>
      <c r="AB902" s="20"/>
      <c r="AC902" s="20"/>
    </row>
    <row r="903" spans="1:29">
      <c r="A903" s="1" t="s">
        <v>484</v>
      </c>
      <c r="B903" s="1"/>
      <c r="C903" s="1"/>
      <c r="D903" s="1"/>
      <c r="E903" s="1"/>
      <c r="F903" s="1"/>
      <c r="G903" s="2"/>
      <c r="H903" s="2"/>
      <c r="I903" s="1"/>
      <c r="J903" s="1"/>
      <c r="K903" s="1"/>
      <c r="M903" s="278"/>
      <c r="N903" s="278"/>
      <c r="O903" s="278"/>
      <c r="P903" s="74"/>
      <c r="Q903" s="279"/>
      <c r="R903" s="280"/>
      <c r="S903" s="281"/>
      <c r="T903" s="282"/>
      <c r="U903" s="278"/>
      <c r="V903" s="278"/>
      <c r="W903" s="278"/>
      <c r="X903" s="278"/>
      <c r="Y903" s="20"/>
      <c r="Z903" s="20"/>
      <c r="AA903" s="20"/>
      <c r="AB903" s="20"/>
      <c r="AC903" s="20"/>
    </row>
    <row r="904" spans="1:29">
      <c r="A904" s="3" t="s">
        <v>358</v>
      </c>
      <c r="C904" s="264">
        <f>15020</f>
        <v>15020</v>
      </c>
      <c r="D904" s="264">
        <f t="shared" ref="D904:D913" si="73">ROUND(($D$923/$C$923)*C904,0)</f>
        <v>14891</v>
      </c>
      <c r="E904" s="265">
        <v>7.61</v>
      </c>
      <c r="G904" s="2">
        <f t="shared" ref="G904:G913" si="74">ROUND(E904*$C904,0)</f>
        <v>114302</v>
      </c>
      <c r="H904" s="2">
        <f t="shared" ref="H904:H913" si="75">ROUND(E904*$D904,0)</f>
        <v>113321</v>
      </c>
      <c r="I904" s="265" t="e">
        <f t="shared" ref="I904:I913" si="76">E904+(E904*$P$925)</f>
        <v>#REF!</v>
      </c>
      <c r="K904" s="2" t="e">
        <f t="shared" ref="K904:K913" si="77">ROUND(I904*$C904,0)</f>
        <v>#REF!</v>
      </c>
      <c r="M904" s="84" t="e">
        <f t="shared" ref="M904:M913" si="78">I904*D904</f>
        <v>#REF!</v>
      </c>
      <c r="O904" s="398">
        <v>31</v>
      </c>
      <c r="P904" s="399">
        <f t="shared" ref="P904:P913" si="79">O904*D904</f>
        <v>461621</v>
      </c>
      <c r="Q904" s="400" t="e">
        <f t="shared" ref="Q904:Q913" si="80">$P$924*O904</f>
        <v>#REF!</v>
      </c>
      <c r="R904" s="401" t="e">
        <f t="shared" ref="R904:R913" si="81">ROUND(E904+Q904,2)</f>
        <v>#REF!</v>
      </c>
      <c r="S904" s="284"/>
      <c r="T904" s="278"/>
      <c r="U904" s="281"/>
      <c r="V904" s="281"/>
      <c r="W904" s="285"/>
      <c r="X904" s="281"/>
      <c r="Y904" s="20"/>
      <c r="Z904" s="20"/>
      <c r="AA904" s="20"/>
      <c r="AB904" s="20"/>
      <c r="AC904" s="20"/>
    </row>
    <row r="905" spans="1:29">
      <c r="A905" s="3" t="s">
        <v>485</v>
      </c>
      <c r="C905" s="264">
        <f>15262</f>
        <v>15262</v>
      </c>
      <c r="D905" s="264">
        <f t="shared" si="73"/>
        <v>15131</v>
      </c>
      <c r="E905" s="265">
        <v>9.1300000000000008</v>
      </c>
      <c r="G905" s="2">
        <f t="shared" si="74"/>
        <v>139342</v>
      </c>
      <c r="H905" s="2">
        <f t="shared" si="75"/>
        <v>138146</v>
      </c>
      <c r="I905" s="265" t="e">
        <f t="shared" si="76"/>
        <v>#REF!</v>
      </c>
      <c r="K905" s="2" t="e">
        <f t="shared" si="77"/>
        <v>#REF!</v>
      </c>
      <c r="M905" s="84" t="e">
        <f t="shared" si="78"/>
        <v>#REF!</v>
      </c>
      <c r="O905" s="402">
        <v>44</v>
      </c>
      <c r="P905" s="74">
        <f t="shared" si="79"/>
        <v>665764</v>
      </c>
      <c r="Q905" s="403" t="e">
        <f t="shared" si="80"/>
        <v>#REF!</v>
      </c>
      <c r="R905" s="404" t="e">
        <f t="shared" si="81"/>
        <v>#REF!</v>
      </c>
      <c r="S905" s="278"/>
      <c r="T905" s="278"/>
      <c r="U905" s="281"/>
      <c r="V905" s="281"/>
      <c r="W905" s="285"/>
      <c r="X905" s="281"/>
      <c r="Y905" s="20"/>
      <c r="Z905" s="20"/>
      <c r="AA905" s="20"/>
      <c r="AB905" s="20"/>
      <c r="AC905" s="20"/>
    </row>
    <row r="906" spans="1:29">
      <c r="A906" s="3" t="s">
        <v>594</v>
      </c>
      <c r="C906" s="264">
        <v>0</v>
      </c>
      <c r="D906" s="264">
        <f t="shared" si="73"/>
        <v>0</v>
      </c>
      <c r="E906" s="265">
        <v>29.01</v>
      </c>
      <c r="G906" s="2">
        <f t="shared" si="74"/>
        <v>0</v>
      </c>
      <c r="H906" s="2">
        <f t="shared" si="75"/>
        <v>0</v>
      </c>
      <c r="I906" s="265" t="e">
        <f t="shared" si="76"/>
        <v>#REF!</v>
      </c>
      <c r="K906" s="2" t="e">
        <f t="shared" si="77"/>
        <v>#REF!</v>
      </c>
      <c r="M906" s="84" t="e">
        <f t="shared" si="78"/>
        <v>#REF!</v>
      </c>
      <c r="O906" s="402">
        <v>44</v>
      </c>
      <c r="P906" s="74">
        <f t="shared" si="79"/>
        <v>0</v>
      </c>
      <c r="Q906" s="403" t="e">
        <f t="shared" si="80"/>
        <v>#REF!</v>
      </c>
      <c r="R906" s="404" t="e">
        <f t="shared" si="81"/>
        <v>#REF!</v>
      </c>
      <c r="S906" s="278"/>
      <c r="T906" s="278"/>
      <c r="U906" s="281"/>
      <c r="V906" s="281"/>
      <c r="W906" s="285"/>
      <c r="X906" s="281"/>
      <c r="Y906" s="20"/>
      <c r="Z906" s="20"/>
      <c r="AA906" s="20"/>
      <c r="AB906" s="20"/>
      <c r="AC906" s="20"/>
    </row>
    <row r="907" spans="1:29">
      <c r="A907" s="3" t="s">
        <v>595</v>
      </c>
      <c r="C907" s="264">
        <v>0</v>
      </c>
      <c r="D907" s="264">
        <f t="shared" si="73"/>
        <v>0</v>
      </c>
      <c r="E907" s="265">
        <v>22.56</v>
      </c>
      <c r="G907" s="2">
        <f t="shared" si="74"/>
        <v>0</v>
      </c>
      <c r="H907" s="2">
        <f t="shared" si="75"/>
        <v>0</v>
      </c>
      <c r="I907" s="265" t="e">
        <f t="shared" si="76"/>
        <v>#REF!</v>
      </c>
      <c r="K907" s="2" t="e">
        <f t="shared" si="77"/>
        <v>#REF!</v>
      </c>
      <c r="M907" s="84" t="e">
        <f t="shared" si="78"/>
        <v>#REF!</v>
      </c>
      <c r="O907" s="402">
        <v>44</v>
      </c>
      <c r="P907" s="74">
        <f t="shared" si="79"/>
        <v>0</v>
      </c>
      <c r="Q907" s="403" t="e">
        <f t="shared" si="80"/>
        <v>#REF!</v>
      </c>
      <c r="R907" s="404" t="e">
        <f t="shared" si="81"/>
        <v>#REF!</v>
      </c>
      <c r="S907" s="278"/>
      <c r="T907" s="278"/>
      <c r="U907" s="281"/>
      <c r="V907" s="281"/>
      <c r="W907" s="285"/>
      <c r="X907" s="281"/>
      <c r="Y907" s="20"/>
      <c r="Z907" s="20"/>
      <c r="AA907" s="20"/>
      <c r="AB907" s="20"/>
      <c r="AC907" s="20"/>
    </row>
    <row r="908" spans="1:29">
      <c r="A908" s="3" t="s">
        <v>589</v>
      </c>
      <c r="C908" s="264">
        <v>0</v>
      </c>
      <c r="D908" s="264">
        <f t="shared" si="73"/>
        <v>0</v>
      </c>
      <c r="E908" s="265">
        <v>11.68</v>
      </c>
      <c r="G908" s="2">
        <f t="shared" si="74"/>
        <v>0</v>
      </c>
      <c r="H908" s="2">
        <f t="shared" si="75"/>
        <v>0</v>
      </c>
      <c r="I908" s="265" t="e">
        <f t="shared" si="76"/>
        <v>#REF!</v>
      </c>
      <c r="K908" s="2" t="e">
        <f t="shared" si="77"/>
        <v>#REF!</v>
      </c>
      <c r="M908" s="84" t="e">
        <f t="shared" si="78"/>
        <v>#REF!</v>
      </c>
      <c r="O908" s="402">
        <v>64</v>
      </c>
      <c r="P908" s="74">
        <f t="shared" si="79"/>
        <v>0</v>
      </c>
      <c r="Q908" s="403" t="e">
        <f t="shared" si="80"/>
        <v>#REF!</v>
      </c>
      <c r="R908" s="404" t="e">
        <f t="shared" si="81"/>
        <v>#REF!</v>
      </c>
      <c r="S908" s="278"/>
      <c r="T908" s="278"/>
      <c r="U908" s="281"/>
      <c r="V908" s="281"/>
      <c r="W908" s="285"/>
      <c r="X908" s="281"/>
      <c r="Y908" s="20"/>
      <c r="Z908" s="20"/>
      <c r="AA908" s="20"/>
      <c r="AB908" s="20"/>
      <c r="AC908" s="20"/>
    </row>
    <row r="909" spans="1:29">
      <c r="A909" s="3" t="s">
        <v>596</v>
      </c>
      <c r="C909" s="264">
        <v>0</v>
      </c>
      <c r="D909" s="264">
        <f t="shared" si="73"/>
        <v>0</v>
      </c>
      <c r="E909" s="265">
        <v>30.06</v>
      </c>
      <c r="G909" s="2">
        <f t="shared" si="74"/>
        <v>0</v>
      </c>
      <c r="H909" s="2">
        <f t="shared" si="75"/>
        <v>0</v>
      </c>
      <c r="I909" s="265" t="e">
        <f t="shared" si="76"/>
        <v>#REF!</v>
      </c>
      <c r="K909" s="2" t="e">
        <f t="shared" si="77"/>
        <v>#REF!</v>
      </c>
      <c r="M909" s="84" t="e">
        <f t="shared" si="78"/>
        <v>#REF!</v>
      </c>
      <c r="O909" s="402">
        <v>64</v>
      </c>
      <c r="P909" s="74">
        <f t="shared" si="79"/>
        <v>0</v>
      </c>
      <c r="Q909" s="403" t="e">
        <f t="shared" si="80"/>
        <v>#REF!</v>
      </c>
      <c r="R909" s="404" t="e">
        <f t="shared" si="81"/>
        <v>#REF!</v>
      </c>
      <c r="S909" s="278"/>
      <c r="T909" s="278"/>
      <c r="U909" s="281"/>
      <c r="V909" s="281"/>
      <c r="W909" s="285"/>
      <c r="X909" s="281"/>
      <c r="Y909" s="20"/>
      <c r="Z909" s="20"/>
      <c r="AA909" s="20"/>
      <c r="AB909" s="20"/>
      <c r="AC909" s="20"/>
    </row>
    <row r="910" spans="1:29">
      <c r="A910" s="3" t="s">
        <v>597</v>
      </c>
      <c r="C910" s="264">
        <v>0</v>
      </c>
      <c r="D910" s="264">
        <f t="shared" si="73"/>
        <v>0</v>
      </c>
      <c r="E910" s="265">
        <v>23.65</v>
      </c>
      <c r="G910" s="2">
        <f t="shared" si="74"/>
        <v>0</v>
      </c>
      <c r="H910" s="2">
        <f t="shared" si="75"/>
        <v>0</v>
      </c>
      <c r="I910" s="265" t="e">
        <f t="shared" si="76"/>
        <v>#REF!</v>
      </c>
      <c r="K910" s="2" t="e">
        <f t="shared" si="77"/>
        <v>#REF!</v>
      </c>
      <c r="M910" s="84" t="e">
        <f t="shared" si="78"/>
        <v>#REF!</v>
      </c>
      <c r="O910" s="402">
        <v>64</v>
      </c>
      <c r="P910" s="74">
        <f t="shared" si="79"/>
        <v>0</v>
      </c>
      <c r="Q910" s="403" t="e">
        <f t="shared" si="80"/>
        <v>#REF!</v>
      </c>
      <c r="R910" s="404" t="e">
        <f t="shared" si="81"/>
        <v>#REF!</v>
      </c>
      <c r="S910" s="278"/>
      <c r="T910" s="278"/>
      <c r="U910" s="281"/>
      <c r="V910" s="281"/>
      <c r="W910" s="285"/>
      <c r="X910" s="281"/>
      <c r="Y910" s="20"/>
      <c r="Z910" s="20"/>
      <c r="AA910" s="20"/>
      <c r="AB910" s="20"/>
      <c r="AC910" s="20"/>
    </row>
    <row r="911" spans="1:29">
      <c r="A911" s="3" t="s">
        <v>359</v>
      </c>
      <c r="C911" s="264">
        <f>18290</f>
        <v>18290</v>
      </c>
      <c r="D911" s="264">
        <f t="shared" si="73"/>
        <v>18133</v>
      </c>
      <c r="E911" s="265">
        <v>13.33</v>
      </c>
      <c r="G911" s="2">
        <f t="shared" si="74"/>
        <v>243806</v>
      </c>
      <c r="H911" s="2">
        <f t="shared" si="75"/>
        <v>241713</v>
      </c>
      <c r="I911" s="265" t="e">
        <f t="shared" si="76"/>
        <v>#REF!</v>
      </c>
      <c r="K911" s="2" t="e">
        <f t="shared" si="77"/>
        <v>#REF!</v>
      </c>
      <c r="M911" s="84" t="e">
        <f t="shared" si="78"/>
        <v>#REF!</v>
      </c>
      <c r="O911" s="402">
        <v>85</v>
      </c>
      <c r="P911" s="74">
        <f t="shared" si="79"/>
        <v>1541305</v>
      </c>
      <c r="Q911" s="403" t="e">
        <f t="shared" si="80"/>
        <v>#REF!</v>
      </c>
      <c r="R911" s="404" t="e">
        <f t="shared" si="81"/>
        <v>#REF!</v>
      </c>
      <c r="S911" s="278"/>
      <c r="T911" s="278"/>
      <c r="U911" s="281"/>
      <c r="V911" s="281"/>
      <c r="W911" s="285"/>
      <c r="X911" s="281"/>
      <c r="Y911" s="20"/>
      <c r="Z911" s="20"/>
      <c r="AA911" s="20"/>
      <c r="AB911" s="20"/>
      <c r="AC911" s="20"/>
    </row>
    <row r="912" spans="1:29">
      <c r="A912" s="3" t="s">
        <v>590</v>
      </c>
      <c r="C912" s="264">
        <v>0</v>
      </c>
      <c r="D912" s="264">
        <f t="shared" si="73"/>
        <v>0</v>
      </c>
      <c r="E912" s="265">
        <v>16.91</v>
      </c>
      <c r="G912" s="2">
        <f t="shared" si="74"/>
        <v>0</v>
      </c>
      <c r="H912" s="2">
        <f t="shared" si="75"/>
        <v>0</v>
      </c>
      <c r="I912" s="265" t="e">
        <f t="shared" si="76"/>
        <v>#REF!</v>
      </c>
      <c r="K912" s="2" t="e">
        <f t="shared" si="77"/>
        <v>#REF!</v>
      </c>
      <c r="M912" s="84" t="e">
        <f t="shared" si="78"/>
        <v>#REF!</v>
      </c>
      <c r="O912" s="402">
        <v>115</v>
      </c>
      <c r="P912" s="74">
        <f t="shared" si="79"/>
        <v>0</v>
      </c>
      <c r="Q912" s="403" t="e">
        <f t="shared" si="80"/>
        <v>#REF!</v>
      </c>
      <c r="R912" s="404" t="e">
        <f t="shared" si="81"/>
        <v>#REF!</v>
      </c>
      <c r="S912" s="278"/>
      <c r="T912" s="278"/>
      <c r="U912" s="281"/>
      <c r="V912" s="281"/>
      <c r="W912" s="285"/>
      <c r="X912" s="281"/>
      <c r="Y912" s="20"/>
      <c r="Z912" s="20"/>
      <c r="AA912" s="20"/>
      <c r="AB912" s="20"/>
      <c r="AC912" s="20"/>
    </row>
    <row r="913" spans="1:29">
      <c r="A913" s="3" t="s">
        <v>360</v>
      </c>
      <c r="C913" s="264">
        <f>1621</f>
        <v>1621</v>
      </c>
      <c r="D913" s="264">
        <f t="shared" si="73"/>
        <v>1607</v>
      </c>
      <c r="E913" s="265">
        <v>22.32</v>
      </c>
      <c r="G913" s="2">
        <f t="shared" si="74"/>
        <v>36181</v>
      </c>
      <c r="H913" s="2">
        <f t="shared" si="75"/>
        <v>35868</v>
      </c>
      <c r="I913" s="265" t="e">
        <f t="shared" si="76"/>
        <v>#REF!</v>
      </c>
      <c r="K913" s="2" t="e">
        <f t="shared" si="77"/>
        <v>#REF!</v>
      </c>
      <c r="M913" s="84" t="e">
        <f t="shared" si="78"/>
        <v>#REF!</v>
      </c>
      <c r="O913" s="402">
        <v>176</v>
      </c>
      <c r="P913" s="74">
        <f t="shared" si="79"/>
        <v>282832</v>
      </c>
      <c r="Q913" s="403" t="e">
        <f t="shared" si="80"/>
        <v>#REF!</v>
      </c>
      <c r="R913" s="404" t="e">
        <f t="shared" si="81"/>
        <v>#REF!</v>
      </c>
      <c r="S913" s="278"/>
      <c r="T913" s="278"/>
      <c r="U913" s="281"/>
      <c r="V913" s="281"/>
      <c r="W913" s="285"/>
      <c r="X913" s="281"/>
      <c r="Y913" s="20"/>
      <c r="Z913" s="20"/>
      <c r="AA913" s="20"/>
      <c r="AB913" s="20"/>
      <c r="AC913" s="20"/>
    </row>
    <row r="914" spans="1:29">
      <c r="A914" s="3" t="s">
        <v>593</v>
      </c>
      <c r="C914" s="264"/>
      <c r="D914" s="264"/>
      <c r="E914" s="265"/>
      <c r="G914" s="2"/>
      <c r="H914" s="2"/>
      <c r="I914" s="265"/>
      <c r="K914" s="2"/>
      <c r="M914" s="84"/>
      <c r="O914" s="402"/>
      <c r="P914" s="74"/>
      <c r="Q914" s="403"/>
      <c r="R914" s="404"/>
      <c r="S914" s="278"/>
      <c r="T914" s="278"/>
      <c r="U914" s="281"/>
      <c r="V914" s="281"/>
      <c r="W914" s="285"/>
      <c r="X914" s="281"/>
      <c r="Y914" s="20"/>
      <c r="Z914" s="20"/>
      <c r="AA914" s="20"/>
      <c r="AB914" s="20"/>
      <c r="AC914" s="20"/>
    </row>
    <row r="915" spans="1:29">
      <c r="A915" s="3" t="s">
        <v>598</v>
      </c>
      <c r="C915" s="264">
        <v>0</v>
      </c>
      <c r="D915" s="264">
        <f t="shared" ref="D915:D921" si="82">ROUND(($D$923/$C$923)*C915,0)</f>
        <v>0</v>
      </c>
      <c r="E915" s="265">
        <v>29.33</v>
      </c>
      <c r="G915" s="2">
        <f t="shared" ref="G915:G921" si="83">ROUND(E915*$C915,0)</f>
        <v>0</v>
      </c>
      <c r="H915" s="2">
        <f t="shared" ref="H915:H921" si="84">ROUND(E915*$D915,0)</f>
        <v>0</v>
      </c>
      <c r="I915" s="265" t="e">
        <f t="shared" ref="I915:I921" si="85">E915+(E915*$P$925)</f>
        <v>#REF!</v>
      </c>
      <c r="K915" s="2" t="e">
        <f t="shared" ref="K915:K921" si="86">ROUND(I915*$C915,0)</f>
        <v>#REF!</v>
      </c>
      <c r="M915" s="84" t="e">
        <f t="shared" ref="M915:M921" si="87">I915*D915</f>
        <v>#REF!</v>
      </c>
      <c r="O915" s="402">
        <v>39</v>
      </c>
      <c r="P915" s="74">
        <f t="shared" ref="P915:P921" si="88">O915*D915</f>
        <v>0</v>
      </c>
      <c r="Q915" s="403" t="e">
        <f t="shared" ref="Q915:Q921" si="89">$P$924*O915</f>
        <v>#REF!</v>
      </c>
      <c r="R915" s="404" t="e">
        <f t="shared" ref="R915:R921" si="90">ROUND(E915+Q915,2)</f>
        <v>#REF!</v>
      </c>
      <c r="S915" s="278"/>
      <c r="T915" s="278"/>
      <c r="U915" s="281"/>
      <c r="V915" s="281"/>
      <c r="W915" s="285"/>
      <c r="X915" s="281"/>
      <c r="Y915" s="20"/>
      <c r="Z915" s="20"/>
      <c r="AA915" s="20"/>
      <c r="AB915" s="20"/>
      <c r="AC915" s="20"/>
    </row>
    <row r="916" spans="1:29">
      <c r="A916" s="3" t="s">
        <v>599</v>
      </c>
      <c r="C916" s="264">
        <v>0</v>
      </c>
      <c r="D916" s="264">
        <f t="shared" si="82"/>
        <v>0</v>
      </c>
      <c r="E916" s="265">
        <v>24.46</v>
      </c>
      <c r="G916" s="2">
        <f t="shared" si="83"/>
        <v>0</v>
      </c>
      <c r="H916" s="2">
        <f t="shared" si="84"/>
        <v>0</v>
      </c>
      <c r="I916" s="265" t="e">
        <f t="shared" si="85"/>
        <v>#REF!</v>
      </c>
      <c r="K916" s="2" t="e">
        <f t="shared" si="86"/>
        <v>#REF!</v>
      </c>
      <c r="M916" s="84" t="e">
        <f t="shared" si="87"/>
        <v>#REF!</v>
      </c>
      <c r="O916" s="402">
        <v>39</v>
      </c>
      <c r="P916" s="74">
        <f t="shared" si="88"/>
        <v>0</v>
      </c>
      <c r="Q916" s="403" t="e">
        <f t="shared" si="89"/>
        <v>#REF!</v>
      </c>
      <c r="R916" s="404" t="e">
        <f t="shared" si="90"/>
        <v>#REF!</v>
      </c>
      <c r="S916" s="278"/>
      <c r="T916" s="278"/>
      <c r="U916" s="281"/>
      <c r="V916" s="281"/>
      <c r="W916" s="285"/>
      <c r="X916" s="281"/>
      <c r="Y916" s="20"/>
      <c r="Z916" s="20"/>
      <c r="AA916" s="20"/>
      <c r="AB916" s="20"/>
      <c r="AC916" s="20"/>
    </row>
    <row r="917" spans="1:29">
      <c r="A917" s="3" t="s">
        <v>600</v>
      </c>
      <c r="C917" s="264">
        <v>0</v>
      </c>
      <c r="D917" s="264">
        <f t="shared" si="82"/>
        <v>0</v>
      </c>
      <c r="E917" s="265">
        <v>22.55</v>
      </c>
      <c r="G917" s="2">
        <f t="shared" si="83"/>
        <v>0</v>
      </c>
      <c r="H917" s="2">
        <f t="shared" si="84"/>
        <v>0</v>
      </c>
      <c r="I917" s="265" t="e">
        <f t="shared" si="85"/>
        <v>#REF!</v>
      </c>
      <c r="K917" s="2" t="e">
        <f t="shared" si="86"/>
        <v>#REF!</v>
      </c>
      <c r="M917" s="84" t="e">
        <f t="shared" si="87"/>
        <v>#REF!</v>
      </c>
      <c r="O917" s="402">
        <v>68</v>
      </c>
      <c r="P917" s="74">
        <f t="shared" si="88"/>
        <v>0</v>
      </c>
      <c r="Q917" s="403" t="e">
        <f t="shared" si="89"/>
        <v>#REF!</v>
      </c>
      <c r="R917" s="404" t="e">
        <f t="shared" si="90"/>
        <v>#REF!</v>
      </c>
      <c r="S917" s="278"/>
      <c r="T917" s="278"/>
      <c r="U917" s="281"/>
      <c r="V917" s="281"/>
      <c r="W917" s="285"/>
      <c r="X917" s="281"/>
      <c r="Y917" s="20"/>
      <c r="Z917" s="20"/>
      <c r="AA917" s="20"/>
      <c r="AB917" s="20"/>
      <c r="AC917" s="20"/>
    </row>
    <row r="918" spans="1:29">
      <c r="A918" s="3" t="s">
        <v>601</v>
      </c>
      <c r="C918" s="264">
        <v>0</v>
      </c>
      <c r="D918" s="264">
        <f t="shared" si="82"/>
        <v>0</v>
      </c>
      <c r="E918" s="265">
        <v>32.950000000000003</v>
      </c>
      <c r="G918" s="2">
        <f t="shared" si="83"/>
        <v>0</v>
      </c>
      <c r="H918" s="2">
        <f t="shared" si="84"/>
        <v>0</v>
      </c>
      <c r="I918" s="265" t="e">
        <f t="shared" si="85"/>
        <v>#REF!</v>
      </c>
      <c r="K918" s="2" t="e">
        <f t="shared" si="86"/>
        <v>#REF!</v>
      </c>
      <c r="M918" s="84" t="e">
        <f t="shared" si="87"/>
        <v>#REF!</v>
      </c>
      <c r="O918" s="402">
        <v>68</v>
      </c>
      <c r="P918" s="74">
        <f t="shared" si="88"/>
        <v>0</v>
      </c>
      <c r="Q918" s="403" t="e">
        <f t="shared" si="89"/>
        <v>#REF!</v>
      </c>
      <c r="R918" s="404" t="e">
        <f t="shared" si="90"/>
        <v>#REF!</v>
      </c>
      <c r="S918" s="278"/>
      <c r="T918" s="278"/>
      <c r="U918" s="281"/>
      <c r="V918" s="281"/>
      <c r="W918" s="285"/>
      <c r="X918" s="281"/>
      <c r="Y918" s="20"/>
      <c r="Z918" s="20"/>
      <c r="AA918" s="20"/>
      <c r="AB918" s="20"/>
      <c r="AC918" s="20"/>
    </row>
    <row r="919" spans="1:29">
      <c r="A919" s="3" t="s">
        <v>602</v>
      </c>
      <c r="C919" s="264">
        <v>0</v>
      </c>
      <c r="D919" s="264">
        <f t="shared" si="82"/>
        <v>0</v>
      </c>
      <c r="E919" s="265">
        <v>26.53</v>
      </c>
      <c r="G919" s="2">
        <f t="shared" si="83"/>
        <v>0</v>
      </c>
      <c r="H919" s="2">
        <f t="shared" si="84"/>
        <v>0</v>
      </c>
      <c r="I919" s="265" t="e">
        <f t="shared" si="85"/>
        <v>#REF!</v>
      </c>
      <c r="K919" s="2" t="e">
        <f t="shared" si="86"/>
        <v>#REF!</v>
      </c>
      <c r="M919" s="84" t="e">
        <f t="shared" si="87"/>
        <v>#REF!</v>
      </c>
      <c r="O919" s="402">
        <v>68</v>
      </c>
      <c r="P919" s="74">
        <f t="shared" si="88"/>
        <v>0</v>
      </c>
      <c r="Q919" s="403" t="e">
        <f t="shared" si="89"/>
        <v>#REF!</v>
      </c>
      <c r="R919" s="404" t="e">
        <f t="shared" si="90"/>
        <v>#REF!</v>
      </c>
      <c r="S919" s="278"/>
      <c r="T919" s="278"/>
      <c r="U919" s="281"/>
      <c r="V919" s="281"/>
      <c r="W919" s="285"/>
      <c r="X919" s="281"/>
      <c r="Y919" s="20"/>
      <c r="Z919" s="20"/>
      <c r="AA919" s="20"/>
      <c r="AB919" s="20"/>
      <c r="AC919" s="20"/>
    </row>
    <row r="920" spans="1:29">
      <c r="A920" s="3" t="s">
        <v>603</v>
      </c>
      <c r="C920" s="264">
        <v>0</v>
      </c>
      <c r="D920" s="264">
        <f t="shared" si="82"/>
        <v>0</v>
      </c>
      <c r="E920" s="265">
        <v>26.07</v>
      </c>
      <c r="G920" s="2">
        <f t="shared" si="83"/>
        <v>0</v>
      </c>
      <c r="H920" s="2">
        <f t="shared" si="84"/>
        <v>0</v>
      </c>
      <c r="I920" s="265" t="e">
        <f t="shared" si="85"/>
        <v>#REF!</v>
      </c>
      <c r="K920" s="2" t="e">
        <f t="shared" si="86"/>
        <v>#REF!</v>
      </c>
      <c r="M920" s="84" t="e">
        <f t="shared" si="87"/>
        <v>#REF!</v>
      </c>
      <c r="O920" s="402">
        <v>68</v>
      </c>
      <c r="P920" s="74">
        <f t="shared" si="88"/>
        <v>0</v>
      </c>
      <c r="Q920" s="403" t="e">
        <f t="shared" si="89"/>
        <v>#REF!</v>
      </c>
      <c r="R920" s="404" t="e">
        <f t="shared" si="90"/>
        <v>#REF!</v>
      </c>
      <c r="S920" s="278"/>
      <c r="T920" s="278"/>
      <c r="U920" s="281"/>
      <c r="V920" s="281"/>
      <c r="W920" s="285"/>
      <c r="X920" s="281"/>
      <c r="Y920" s="20"/>
      <c r="Z920" s="20"/>
      <c r="AA920" s="20"/>
      <c r="AB920" s="20"/>
      <c r="AC920" s="20"/>
    </row>
    <row r="921" spans="1:29">
      <c r="A921" s="3" t="s">
        <v>604</v>
      </c>
      <c r="C921" s="264">
        <v>0</v>
      </c>
      <c r="D921" s="264">
        <f t="shared" si="82"/>
        <v>0</v>
      </c>
      <c r="E921" s="265">
        <v>28.39</v>
      </c>
      <c r="G921" s="2">
        <f t="shared" si="83"/>
        <v>0</v>
      </c>
      <c r="H921" s="2">
        <f t="shared" si="84"/>
        <v>0</v>
      </c>
      <c r="I921" s="265" t="e">
        <f t="shared" si="85"/>
        <v>#REF!</v>
      </c>
      <c r="K921" s="2" t="e">
        <f t="shared" si="86"/>
        <v>#REF!</v>
      </c>
      <c r="M921" s="84" t="e">
        <f t="shared" si="87"/>
        <v>#REF!</v>
      </c>
      <c r="O921" s="402">
        <v>68</v>
      </c>
      <c r="P921" s="74">
        <f t="shared" si="88"/>
        <v>0</v>
      </c>
      <c r="Q921" s="403" t="e">
        <f t="shared" si="89"/>
        <v>#REF!</v>
      </c>
      <c r="R921" s="404" t="e">
        <f t="shared" si="90"/>
        <v>#REF!</v>
      </c>
      <c r="S921" s="278"/>
      <c r="T921" s="278"/>
      <c r="U921" s="281"/>
      <c r="V921" s="281"/>
      <c r="W921" s="285"/>
      <c r="X921" s="281"/>
      <c r="Y921" s="20"/>
      <c r="Z921" s="20"/>
      <c r="AA921" s="20"/>
      <c r="AB921" s="20"/>
      <c r="AC921" s="20"/>
    </row>
    <row r="922" spans="1:29">
      <c r="A922" s="3" t="s">
        <v>362</v>
      </c>
      <c r="C922" s="264">
        <f>181*12</f>
        <v>2172</v>
      </c>
      <c r="D922" s="264">
        <v>1874</v>
      </c>
      <c r="E922" s="265"/>
      <c r="G922" s="2"/>
      <c r="H922" s="2"/>
      <c r="I922" s="265"/>
      <c r="K922" s="2"/>
      <c r="O922" s="402"/>
      <c r="P922" s="74">
        <f>SUM(P904:P916)</f>
        <v>2951522</v>
      </c>
      <c r="Q922" s="403"/>
      <c r="R922" s="404"/>
      <c r="S922" s="278"/>
      <c r="T922" s="278"/>
      <c r="U922" s="281"/>
      <c r="V922" s="281"/>
      <c r="W922" s="281"/>
      <c r="X922" s="281"/>
      <c r="Y922" s="20"/>
      <c r="Z922" s="20"/>
      <c r="AA922" s="20"/>
      <c r="AB922" s="20"/>
      <c r="AC922" s="20"/>
    </row>
    <row r="923" spans="1:29">
      <c r="A923" s="3" t="s">
        <v>381</v>
      </c>
      <c r="C923" s="264">
        <v>2977084</v>
      </c>
      <c r="D923" s="264">
        <v>2951534.6465794938</v>
      </c>
      <c r="E923" s="269"/>
      <c r="F923" s="20"/>
      <c r="G923" s="272">
        <f>SUM(G904:G916)</f>
        <v>533631</v>
      </c>
      <c r="H923" s="272">
        <f>SUM(H904:H916)</f>
        <v>529048</v>
      </c>
      <c r="I923" s="269"/>
      <c r="J923" s="20"/>
      <c r="K923" s="272" t="e">
        <f>SUM(K904:K916)</f>
        <v>#REF!</v>
      </c>
      <c r="M923" s="84" t="e">
        <f>SUM(M904:M922)</f>
        <v>#REF!</v>
      </c>
      <c r="O923" s="402"/>
      <c r="P923" s="405" t="e">
        <f>O925-H925</f>
        <v>#REF!</v>
      </c>
      <c r="Q923" s="20"/>
      <c r="R923" s="406"/>
      <c r="S923" s="278"/>
      <c r="T923" s="278"/>
      <c r="U923" s="288"/>
      <c r="V923" s="278"/>
      <c r="W923" s="278"/>
      <c r="X923" s="278"/>
      <c r="Y923" s="20"/>
      <c r="Z923" s="20"/>
      <c r="AA923" s="20"/>
      <c r="AB923" s="20"/>
      <c r="AC923" s="20"/>
    </row>
    <row r="924" spans="1:29">
      <c r="A924" s="3" t="s">
        <v>363</v>
      </c>
      <c r="C924" s="264" t="e">
        <f>#REF!</f>
        <v>#REF!</v>
      </c>
      <c r="D924" s="264">
        <v>0</v>
      </c>
      <c r="E924" s="269"/>
      <c r="F924" s="20"/>
      <c r="G924" s="272" t="e">
        <f>#REF!</f>
        <v>#REF!</v>
      </c>
      <c r="H924" s="272">
        <v>0</v>
      </c>
      <c r="I924" s="269"/>
      <c r="J924" s="20"/>
      <c r="K924" s="272" t="e">
        <f>G924</f>
        <v>#REF!</v>
      </c>
      <c r="M924" s="289"/>
      <c r="N924" s="289"/>
      <c r="O924" s="407"/>
      <c r="P924" s="408" t="e">
        <f>P923/P922</f>
        <v>#REF!</v>
      </c>
      <c r="Q924" s="113"/>
      <c r="R924" s="409"/>
      <c r="S924" s="281"/>
      <c r="T924" s="278"/>
      <c r="U924" s="20"/>
      <c r="V924" s="20"/>
      <c r="W924" s="20"/>
      <c r="X924" s="20"/>
      <c r="Y924" s="20"/>
      <c r="Z924" s="20"/>
      <c r="AA924" s="20"/>
      <c r="AB924" s="20"/>
      <c r="AC924" s="20"/>
    </row>
    <row r="925" spans="1:29" ht="16.5" thickBot="1">
      <c r="A925" s="3" t="s">
        <v>9</v>
      </c>
      <c r="C925" s="273" t="e">
        <f>C923+C924</f>
        <v>#REF!</v>
      </c>
      <c r="D925" s="273">
        <f>D923+D924</f>
        <v>2951534.6465794938</v>
      </c>
      <c r="E925" s="274"/>
      <c r="F925" s="274"/>
      <c r="G925" s="274" t="e">
        <f>G923+G924</f>
        <v>#REF!</v>
      </c>
      <c r="H925" s="274">
        <f>H923+H924</f>
        <v>529048</v>
      </c>
      <c r="I925" s="274"/>
      <c r="J925" s="274"/>
      <c r="K925" s="274" t="e">
        <f>K923+K924</f>
        <v>#REF!</v>
      </c>
      <c r="M925" s="291"/>
      <c r="N925" s="277" t="s">
        <v>409</v>
      </c>
      <c r="O925" s="410" t="e">
        <f>#REF!*1000</f>
        <v>#REF!</v>
      </c>
      <c r="P925" s="14" t="e">
        <f>((O925-G925)/G925)+0.0028</f>
        <v>#REF!</v>
      </c>
      <c r="S925" s="278"/>
      <c r="T925" s="278"/>
      <c r="U925" s="20"/>
      <c r="V925" s="20"/>
      <c r="W925" s="20"/>
      <c r="X925" s="20"/>
      <c r="Y925" s="20"/>
      <c r="Z925" s="20"/>
      <c r="AA925" s="20"/>
      <c r="AB925" s="20"/>
      <c r="AC925" s="20"/>
    </row>
    <row r="926" spans="1:29" ht="16.5" thickTop="1">
      <c r="A926" s="1"/>
      <c r="B926" s="1"/>
      <c r="C926" s="21"/>
      <c r="D926" s="21"/>
      <c r="E926" s="21"/>
      <c r="F926" s="21"/>
      <c r="G926" s="2"/>
      <c r="H926" s="2"/>
      <c r="I926" s="21" t="s">
        <v>31</v>
      </c>
      <c r="J926" s="21"/>
      <c r="K926" s="2" t="s">
        <v>31</v>
      </c>
      <c r="M926" s="277"/>
      <c r="N926" s="277" t="s">
        <v>263</v>
      </c>
      <c r="O926" s="411" t="e">
        <f>O925-K925</f>
        <v>#REF!</v>
      </c>
      <c r="P926" s="14" t="e">
        <f>(O925-K925)/K925</f>
        <v>#REF!</v>
      </c>
      <c r="Q926" s="277"/>
      <c r="R926" s="277"/>
      <c r="S926" s="278"/>
      <c r="T926" s="278"/>
      <c r="U926" s="20"/>
      <c r="V926" s="20"/>
      <c r="W926" s="20"/>
      <c r="X926" s="20"/>
      <c r="Y926" s="20"/>
      <c r="Z926" s="20"/>
      <c r="AA926" s="20"/>
      <c r="AB926" s="20"/>
      <c r="AC926" s="20"/>
    </row>
    <row r="927" spans="1:29">
      <c r="A927" s="293" t="s">
        <v>486</v>
      </c>
      <c r="B927" s="1"/>
      <c r="C927" s="1"/>
      <c r="D927" s="1"/>
      <c r="E927" s="1"/>
      <c r="F927" s="1"/>
      <c r="G927" s="1"/>
      <c r="H927" s="1"/>
      <c r="I927" s="1"/>
      <c r="J927" s="1"/>
      <c r="K927" s="1"/>
      <c r="M927" s="278"/>
      <c r="N927" s="278"/>
      <c r="O927" s="287"/>
      <c r="P927" s="278"/>
      <c r="Q927" s="20"/>
      <c r="R927" s="20"/>
      <c r="S927" s="20"/>
      <c r="T927" s="278"/>
      <c r="U927" s="278"/>
      <c r="V927" s="278"/>
      <c r="W927" s="278"/>
      <c r="X927" s="278"/>
      <c r="Y927" s="20"/>
      <c r="Z927" s="20"/>
      <c r="AA927" s="20"/>
      <c r="AB927" s="20"/>
      <c r="AC927" s="20"/>
    </row>
    <row r="928" spans="1:29">
      <c r="A928" s="1" t="s">
        <v>487</v>
      </c>
      <c r="B928" s="1"/>
      <c r="C928" s="1"/>
      <c r="D928" s="1"/>
      <c r="E928" s="1"/>
      <c r="F928" s="1"/>
      <c r="G928" s="1"/>
      <c r="H928" s="1"/>
      <c r="I928" s="1"/>
      <c r="J928" s="1"/>
      <c r="K928" s="1"/>
      <c r="M928" s="20"/>
      <c r="N928" s="20"/>
      <c r="O928" s="74"/>
      <c r="P928" s="74"/>
      <c r="Q928" s="20"/>
      <c r="R928" s="20"/>
      <c r="S928" s="20"/>
      <c r="T928" s="278"/>
      <c r="U928" s="278"/>
      <c r="V928" s="278"/>
      <c r="W928" s="278"/>
      <c r="X928" s="278"/>
      <c r="Y928" s="20"/>
      <c r="Z928" s="20"/>
      <c r="AA928" s="20"/>
      <c r="AB928" s="20"/>
      <c r="AC928" s="20"/>
    </row>
    <row r="929" spans="1: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M929" s="20"/>
      <c r="N929" s="20"/>
      <c r="O929" s="74"/>
      <c r="P929" s="74" t="s">
        <v>31</v>
      </c>
      <c r="Q929" s="20"/>
      <c r="R929" s="20"/>
      <c r="S929" s="20"/>
      <c r="T929" s="278"/>
      <c r="U929" s="278"/>
      <c r="V929" s="278"/>
      <c r="W929" s="278"/>
      <c r="X929" s="278"/>
      <c r="Y929" s="20"/>
      <c r="Z929" s="20"/>
      <c r="AA929" s="20"/>
      <c r="AB929" s="20"/>
      <c r="AC929" s="20"/>
    </row>
    <row r="930" spans="1:29">
      <c r="A930" s="1" t="s">
        <v>488</v>
      </c>
      <c r="B930" s="1"/>
      <c r="C930" s="21"/>
      <c r="D930" s="21"/>
      <c r="E930" s="298"/>
      <c r="F930" s="1"/>
      <c r="G930" s="412">
        <v>30454.32</v>
      </c>
      <c r="H930" s="412">
        <v>30454.32</v>
      </c>
      <c r="I930" s="298"/>
      <c r="J930" s="1"/>
      <c r="K930" s="2">
        <f>G930</f>
        <v>30454.32</v>
      </c>
      <c r="M930" s="84">
        <f>K930</f>
        <v>30454.32</v>
      </c>
      <c r="N930" s="20"/>
      <c r="O930" s="74"/>
      <c r="P930" s="74" t="s">
        <v>31</v>
      </c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</row>
    <row r="931" spans="1:29">
      <c r="A931" s="1" t="s">
        <v>489</v>
      </c>
      <c r="B931" s="1"/>
      <c r="C931" s="264">
        <v>448995</v>
      </c>
      <c r="D931" s="319">
        <f>ROUND(($D$934/$C$934)*C931,0)</f>
        <v>453966</v>
      </c>
      <c r="E931" s="413">
        <v>6.4050000000000002</v>
      </c>
      <c r="F931" s="1" t="s">
        <v>374</v>
      </c>
      <c r="G931" s="414">
        <f>ROUND(C931*E931/100,0)</f>
        <v>28758</v>
      </c>
      <c r="H931" s="414">
        <f>ROUND(D931*E931/100,0)</f>
        <v>29077</v>
      </c>
      <c r="I931" s="413">
        <v>7.4130000000000003</v>
      </c>
      <c r="J931" s="1" t="s">
        <v>374</v>
      </c>
      <c r="K931" s="2">
        <f>ROUND(I931*$C931/100,0)</f>
        <v>33284</v>
      </c>
      <c r="M931" s="84">
        <f>(I931/100)*D931</f>
        <v>33652.499580000003</v>
      </c>
      <c r="N931" s="20"/>
      <c r="O931" s="74"/>
      <c r="P931" s="74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</row>
    <row r="932" spans="1:29">
      <c r="A932" s="1" t="s">
        <v>490</v>
      </c>
      <c r="B932" s="1"/>
      <c r="C932" s="264">
        <v>0</v>
      </c>
      <c r="D932" s="319">
        <f>ROUND(($D$934/$C$934)*C932,0)</f>
        <v>0</v>
      </c>
      <c r="E932" s="413">
        <v>7.1669999999999998</v>
      </c>
      <c r="F932" s="1" t="s">
        <v>374</v>
      </c>
      <c r="G932" s="414">
        <f>ROUND(C932*E932/100,0)</f>
        <v>0</v>
      </c>
      <c r="H932" s="414">
        <f>ROUND(D932*E932/100,0)</f>
        <v>0</v>
      </c>
      <c r="I932" s="413">
        <f>ROUND(I931/E931*E932,3)</f>
        <v>8.2949999999999999</v>
      </c>
      <c r="J932" s="1" t="s">
        <v>374</v>
      </c>
      <c r="K932" s="2">
        <f>ROUND(I932*D932/100,0)</f>
        <v>0</v>
      </c>
      <c r="M932" s="84">
        <f>(I932/100)*D932</f>
        <v>0</v>
      </c>
      <c r="N932" s="20"/>
      <c r="O932" s="74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</row>
    <row r="933" spans="1:29">
      <c r="A933" s="1" t="s">
        <v>362</v>
      </c>
      <c r="B933" s="1"/>
      <c r="C933" s="264">
        <f>27*12</f>
        <v>324</v>
      </c>
      <c r="D933" s="319">
        <v>241</v>
      </c>
      <c r="E933" s="415"/>
      <c r="F933" s="1"/>
      <c r="G933" s="2"/>
      <c r="H933" s="2"/>
      <c r="I933" s="415"/>
      <c r="J933" s="1"/>
      <c r="K933" s="2"/>
      <c r="M933" s="20"/>
      <c r="N933" s="20"/>
      <c r="O933" s="74"/>
      <c r="P933" s="74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</row>
    <row r="934" spans="1:29">
      <c r="A934" s="3" t="s">
        <v>491</v>
      </c>
      <c r="C934" s="264">
        <f>SUM(C931:C932)</f>
        <v>448995</v>
      </c>
      <c r="D934" s="264">
        <v>453965.95876460936</v>
      </c>
      <c r="E934" s="269"/>
      <c r="F934" s="20"/>
      <c r="G934" s="272">
        <f>SUM(G930:G932)</f>
        <v>59212.32</v>
      </c>
      <c r="H934" s="272">
        <f>SUM(H930:H932)</f>
        <v>59531.32</v>
      </c>
      <c r="I934" s="269"/>
      <c r="J934" s="20"/>
      <c r="K934" s="272">
        <f>SUM(K930:K932)</f>
        <v>63738.32</v>
      </c>
      <c r="M934" s="416">
        <f>SUM(M930:M933)</f>
        <v>64106.819580000003</v>
      </c>
      <c r="N934" s="20"/>
      <c r="O934" s="74"/>
      <c r="P934" s="74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</row>
    <row r="935" spans="1:29">
      <c r="A935" s="3" t="s">
        <v>492</v>
      </c>
      <c r="C935" s="264" t="e">
        <f>#REF!</f>
        <v>#REF!</v>
      </c>
      <c r="D935" s="264">
        <v>0</v>
      </c>
      <c r="E935" s="269"/>
      <c r="F935" s="20"/>
      <c r="G935" s="272" t="e">
        <f>#REF!</f>
        <v>#REF!</v>
      </c>
      <c r="H935" s="272">
        <v>0</v>
      </c>
      <c r="I935" s="269"/>
      <c r="J935" s="20"/>
      <c r="K935" s="272" t="e">
        <f>G935</f>
        <v>#REF!</v>
      </c>
      <c r="M935" s="289"/>
      <c r="N935" s="289"/>
      <c r="O935" s="290"/>
      <c r="P935" s="74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</row>
    <row r="936" spans="1:29" ht="16.5" thickBot="1">
      <c r="A936" s="1" t="s">
        <v>9</v>
      </c>
      <c r="B936" s="1"/>
      <c r="C936" s="393" t="e">
        <f>C934+C935</f>
        <v>#REF!</v>
      </c>
      <c r="D936" s="393">
        <f>D934+D935</f>
        <v>453965.95876460936</v>
      </c>
      <c r="E936" s="417"/>
      <c r="F936" s="418"/>
      <c r="G936" s="274" t="e">
        <f>G934+G935</f>
        <v>#REF!</v>
      </c>
      <c r="H936" s="274">
        <f>H934+H935</f>
        <v>59531.32</v>
      </c>
      <c r="I936" s="417"/>
      <c r="J936" s="418"/>
      <c r="K936" s="274" t="e">
        <f>K934+K935</f>
        <v>#REF!</v>
      </c>
      <c r="M936" s="291"/>
      <c r="N936" s="277" t="s">
        <v>409</v>
      </c>
      <c r="O936" s="416" t="e">
        <f>#REF!*1000</f>
        <v>#REF!</v>
      </c>
      <c r="P936" s="14" t="s">
        <v>31</v>
      </c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</row>
    <row r="937" spans="1:29" ht="16.5" thickTop="1">
      <c r="A937" s="1"/>
      <c r="B937" s="1"/>
      <c r="C937" s="1"/>
      <c r="D937" s="1"/>
      <c r="E937" s="419"/>
      <c r="F937" s="1"/>
      <c r="G937" s="1"/>
      <c r="H937" s="1"/>
      <c r="I937" s="419" t="s">
        <v>31</v>
      </c>
      <c r="J937" s="1"/>
      <c r="K937" s="2" t="s">
        <v>31</v>
      </c>
      <c r="M937" s="20"/>
      <c r="N937" s="277" t="s">
        <v>263</v>
      </c>
      <c r="O937" s="416" t="e">
        <f>O936-K936</f>
        <v>#REF!</v>
      </c>
      <c r="P937" s="14" t="e">
        <f>(O936-K936)/K936</f>
        <v>#REF!</v>
      </c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</row>
    <row r="938" spans="1:29">
      <c r="A938" s="293" t="s">
        <v>493</v>
      </c>
      <c r="B938" s="1"/>
      <c r="C938" s="1"/>
      <c r="D938" s="1"/>
      <c r="E938" s="1"/>
      <c r="F938" s="1"/>
      <c r="G938" s="1"/>
      <c r="H938" s="1"/>
      <c r="I938" s="1"/>
      <c r="J938" s="1"/>
      <c r="K938" s="1"/>
      <c r="M938" s="20"/>
      <c r="N938" s="20"/>
      <c r="O938" s="74"/>
      <c r="P938" s="74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</row>
    <row r="939" spans="1:29">
      <c r="A939" s="1" t="s">
        <v>494</v>
      </c>
      <c r="B939" s="1"/>
      <c r="C939" s="1"/>
      <c r="D939" s="1"/>
      <c r="E939" s="1"/>
      <c r="F939" s="1"/>
      <c r="G939" s="1"/>
      <c r="H939" s="1"/>
      <c r="I939" s="1"/>
      <c r="J939" s="1"/>
      <c r="K939" s="1"/>
      <c r="M939" s="20"/>
      <c r="N939" s="20"/>
      <c r="O939" s="74"/>
      <c r="P939" s="74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</row>
    <row r="940" spans="1:29">
      <c r="A940" s="1"/>
      <c r="B940" s="1"/>
      <c r="C940" s="1"/>
      <c r="D940" s="1"/>
      <c r="E940" s="419"/>
      <c r="F940" s="1"/>
      <c r="G940" s="1"/>
      <c r="H940" s="1"/>
      <c r="I940" s="419"/>
      <c r="J940" s="1"/>
      <c r="K940" s="1"/>
      <c r="M940" s="20"/>
      <c r="N940" s="20"/>
      <c r="O940" s="74"/>
      <c r="P940" s="74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</row>
    <row r="941" spans="1:29">
      <c r="A941" s="1" t="s">
        <v>488</v>
      </c>
      <c r="B941" s="1"/>
      <c r="C941" s="21"/>
      <c r="D941" s="21"/>
      <c r="E941" s="298"/>
      <c r="F941" s="1"/>
      <c r="G941" s="412">
        <f>G952+G978</f>
        <v>2152.73</v>
      </c>
      <c r="H941" s="412">
        <f>H952+H978</f>
        <v>2349.2199999999998</v>
      </c>
      <c r="I941" s="298"/>
      <c r="J941" s="1"/>
      <c r="K941" s="2">
        <f>G941</f>
        <v>2152.73</v>
      </c>
      <c r="M941" s="416">
        <f>K941</f>
        <v>2152.73</v>
      </c>
      <c r="N941" s="20"/>
      <c r="O941" s="74"/>
      <c r="P941" s="74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</row>
    <row r="942" spans="1:29">
      <c r="A942" s="1" t="s">
        <v>616</v>
      </c>
      <c r="B942" s="1"/>
      <c r="C942" s="264">
        <f>C968+C979+C980</f>
        <v>2017979</v>
      </c>
      <c r="D942" s="264">
        <f>D968+D979</f>
        <v>999683</v>
      </c>
      <c r="E942" s="413">
        <v>6.1459999999999999</v>
      </c>
      <c r="F942" s="1" t="s">
        <v>374</v>
      </c>
      <c r="G942" s="414">
        <f>G968+G979+G980</f>
        <v>124025</v>
      </c>
      <c r="H942" s="414">
        <f>H968+H979</f>
        <v>61441</v>
      </c>
      <c r="I942" s="413">
        <f>'Blocking - detail'!I939</f>
        <v>6.1459999999999999</v>
      </c>
      <c r="J942" s="1" t="s">
        <v>374</v>
      </c>
      <c r="K942" s="2">
        <f>K968+K979</f>
        <v>65376</v>
      </c>
      <c r="M942" s="84">
        <f>(I942/100)*D942</f>
        <v>61440.517180000003</v>
      </c>
      <c r="N942" s="20"/>
      <c r="O942" s="74"/>
      <c r="P942" s="74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</row>
    <row r="943" spans="1:29">
      <c r="A943" s="1" t="s">
        <v>618</v>
      </c>
      <c r="B943" s="1"/>
      <c r="C943" s="264">
        <f>C969</f>
        <v>2425702</v>
      </c>
      <c r="D943" s="264">
        <f>D969+D980</f>
        <v>3439646</v>
      </c>
      <c r="E943" s="421">
        <f>E942</f>
        <v>6.1459999999999999</v>
      </c>
      <c r="F943" s="1" t="s">
        <v>374</v>
      </c>
      <c r="G943" s="414">
        <f>SUM(G954:G966)</f>
        <v>149307.61000000002</v>
      </c>
      <c r="H943" s="414">
        <f>H969+H980</f>
        <v>60532</v>
      </c>
      <c r="I943" s="421">
        <f>I942</f>
        <v>6.1459999999999999</v>
      </c>
      <c r="J943" s="1" t="s">
        <v>374</v>
      </c>
      <c r="K943" s="2">
        <f>K969+K980</f>
        <v>68174</v>
      </c>
      <c r="M943" s="84">
        <f>(I943/100)*D943</f>
        <v>211400.64316000001</v>
      </c>
      <c r="N943" s="20"/>
      <c r="O943" s="74"/>
      <c r="P943" s="74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</row>
    <row r="944" spans="1:29">
      <c r="A944" s="1" t="s">
        <v>362</v>
      </c>
      <c r="B944" s="1"/>
      <c r="C944" s="264">
        <f>C970+C981</f>
        <v>3046</v>
      </c>
      <c r="D944" s="264">
        <f>D970+D981</f>
        <v>3401</v>
      </c>
      <c r="E944" s="415"/>
      <c r="F944" s="1"/>
      <c r="G944" s="2"/>
      <c r="H944" s="2"/>
      <c r="I944" s="415"/>
      <c r="J944" s="1"/>
      <c r="K944" s="2"/>
      <c r="M944" s="20"/>
      <c r="N944" s="20"/>
      <c r="O944" s="74"/>
      <c r="P944" s="74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</row>
    <row r="945" spans="1:29">
      <c r="A945" s="3" t="s">
        <v>491</v>
      </c>
      <c r="C945" s="264">
        <f>C971+C982</f>
        <v>4443681</v>
      </c>
      <c r="D945" s="264">
        <f>D971+D982</f>
        <v>4439329.75109665</v>
      </c>
      <c r="E945" s="269"/>
      <c r="F945" s="20"/>
      <c r="G945" s="272">
        <f>G941+G942+G943</f>
        <v>275485.34000000003</v>
      </c>
      <c r="H945" s="272">
        <f>H971+H982</f>
        <v>124322.22</v>
      </c>
      <c r="I945" s="269"/>
      <c r="J945" s="20"/>
      <c r="K945" s="272">
        <f>K971+K982</f>
        <v>296529.72609999997</v>
      </c>
      <c r="M945" s="416">
        <f>SUM(M941:M944)</f>
        <v>274993.89034000004</v>
      </c>
      <c r="N945" s="20"/>
      <c r="O945" s="74"/>
      <c r="P945" s="74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</row>
    <row r="946" spans="1:29">
      <c r="A946" s="3" t="s">
        <v>492</v>
      </c>
      <c r="C946" s="264" t="e">
        <f>C972+C983</f>
        <v>#REF!</v>
      </c>
      <c r="D946" s="264">
        <f>D972+D983</f>
        <v>0</v>
      </c>
      <c r="E946" s="269"/>
      <c r="F946" s="20"/>
      <c r="G946" s="272" t="e">
        <f>G972+G983</f>
        <v>#REF!</v>
      </c>
      <c r="H946" s="272">
        <f>H972+H983</f>
        <v>0</v>
      </c>
      <c r="I946" s="269"/>
      <c r="J946" s="20"/>
      <c r="K946" s="272" t="e">
        <f>G946</f>
        <v>#REF!</v>
      </c>
      <c r="M946" s="289"/>
      <c r="N946" s="289"/>
      <c r="O946" s="290"/>
      <c r="P946" s="74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</row>
    <row r="947" spans="1:29" ht="16.5" thickBot="1">
      <c r="A947" s="1" t="s">
        <v>9</v>
      </c>
      <c r="B947" s="1"/>
      <c r="C947" s="393" t="e">
        <f>C945+C946</f>
        <v>#REF!</v>
      </c>
      <c r="D947" s="393">
        <f>D945+D946</f>
        <v>4439329.75109665</v>
      </c>
      <c r="E947" s="417"/>
      <c r="F947" s="418"/>
      <c r="G947" s="274" t="e">
        <f>G945+G946</f>
        <v>#REF!</v>
      </c>
      <c r="H947" s="274">
        <f>H945+H946</f>
        <v>124322.22</v>
      </c>
      <c r="I947" s="417"/>
      <c r="J947" s="418"/>
      <c r="K947" s="274" t="e">
        <f>K945+K946</f>
        <v>#REF!</v>
      </c>
      <c r="M947" s="291"/>
      <c r="N947" s="277" t="s">
        <v>409</v>
      </c>
      <c r="O947" s="416" t="e">
        <f>#REF!*1000</f>
        <v>#REF!</v>
      </c>
      <c r="P947" s="74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</row>
    <row r="948" spans="1:29" ht="16.5" thickTop="1">
      <c r="A948" s="1"/>
      <c r="B948" s="1"/>
      <c r="C948" s="26"/>
      <c r="D948" s="26"/>
      <c r="E948" s="422"/>
      <c r="F948" s="23"/>
      <c r="G948" s="51"/>
      <c r="H948" s="51"/>
      <c r="I948" s="422" t="s">
        <v>31</v>
      </c>
      <c r="J948" s="23"/>
      <c r="K948" s="51" t="s">
        <v>31</v>
      </c>
      <c r="M948" s="20"/>
      <c r="N948" s="277" t="s">
        <v>263</v>
      </c>
      <c r="P948" s="74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</row>
    <row r="949" spans="1:29">
      <c r="A949" s="293" t="s">
        <v>497</v>
      </c>
      <c r="B949" s="1"/>
      <c r="C949" s="1"/>
      <c r="D949" s="1"/>
      <c r="E949" s="1"/>
      <c r="F949" s="1"/>
      <c r="G949" s="1"/>
      <c r="H949" s="1"/>
      <c r="I949" s="1"/>
      <c r="J949" s="1"/>
      <c r="K949" s="1"/>
      <c r="M949" s="416"/>
      <c r="N949" s="416"/>
      <c r="O949" s="74"/>
      <c r="P949" s="74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</row>
    <row r="950" spans="1:29">
      <c r="A950" s="1" t="s">
        <v>498</v>
      </c>
      <c r="B950" s="1"/>
      <c r="C950" s="1"/>
      <c r="D950" s="1"/>
      <c r="E950" s="1"/>
      <c r="F950" s="1"/>
      <c r="G950" s="1"/>
      <c r="H950" s="1"/>
      <c r="I950" s="1"/>
      <c r="J950" s="1"/>
      <c r="K950" s="1"/>
      <c r="M950" s="20"/>
      <c r="N950" s="20"/>
      <c r="O950" s="74"/>
      <c r="P950" s="74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</row>
    <row r="951" spans="1:29">
      <c r="A951" s="1"/>
      <c r="B951" s="1"/>
      <c r="C951" s="1"/>
      <c r="D951" s="1"/>
      <c r="E951" s="419"/>
      <c r="F951" s="1"/>
      <c r="G951" s="1"/>
      <c r="H951" s="1"/>
      <c r="I951" s="419"/>
      <c r="J951" s="1"/>
      <c r="K951" s="1"/>
      <c r="M951" s="20"/>
      <c r="N951" s="20"/>
      <c r="O951" s="74"/>
      <c r="P951" s="74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</row>
    <row r="952" spans="1:29">
      <c r="A952" s="1" t="s">
        <v>488</v>
      </c>
      <c r="B952" s="1"/>
      <c r="C952" s="21"/>
      <c r="D952" s="21"/>
      <c r="E952" s="298"/>
      <c r="F952" s="1"/>
      <c r="G952" s="412">
        <v>2152.73</v>
      </c>
      <c r="H952" s="412">
        <v>2349.2199999999998</v>
      </c>
      <c r="I952" s="298"/>
      <c r="J952" s="1"/>
      <c r="K952" s="2">
        <f>G952</f>
        <v>2152.73</v>
      </c>
      <c r="M952" s="20"/>
      <c r="N952" s="20"/>
      <c r="O952" s="74"/>
      <c r="P952" s="74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</row>
    <row r="953" spans="1:29">
      <c r="A953" s="1" t="s">
        <v>592</v>
      </c>
      <c r="B953" s="1"/>
      <c r="C953" s="21"/>
      <c r="D953" s="21"/>
      <c r="E953" s="298"/>
      <c r="F953" s="1"/>
      <c r="G953" s="412"/>
      <c r="H953" s="412"/>
      <c r="I953" s="298"/>
      <c r="J953" s="1"/>
      <c r="K953" s="2"/>
      <c r="M953" s="20"/>
      <c r="N953" s="20"/>
      <c r="O953" s="416" t="e">
        <f>O947-K947</f>
        <v>#REF!</v>
      </c>
      <c r="P953" s="74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</row>
    <row r="954" spans="1:29">
      <c r="A954" s="3" t="s">
        <v>605</v>
      </c>
      <c r="B954" s="1"/>
      <c r="C954" s="21">
        <f>4115+22+44+10+367+2+4</f>
        <v>4564</v>
      </c>
      <c r="D954" s="21"/>
      <c r="E954" s="298">
        <v>1.91</v>
      </c>
      <c r="F954" s="1"/>
      <c r="G954" s="412">
        <f t="shared" ref="G954:G959" si="91">E954*C954</f>
        <v>8717.24</v>
      </c>
      <c r="H954" s="412"/>
      <c r="I954" s="298">
        <f t="shared" ref="I954:I959" si="92">$I$968*O954/100</f>
        <v>2.05158</v>
      </c>
      <c r="J954" s="1"/>
      <c r="K954" s="2">
        <f t="shared" ref="K954:K959" si="93">I954*$C954</f>
        <v>9363.4111200000007</v>
      </c>
      <c r="M954" s="20"/>
      <c r="N954" s="20"/>
      <c r="O954" s="74">
        <v>31</v>
      </c>
      <c r="P954" s="664">
        <f t="shared" ref="P954:P959" si="94">E954/O954</f>
        <v>6.1612903225806447E-2</v>
      </c>
      <c r="Q954" s="20"/>
      <c r="R954" s="20">
        <v>6.1460000000000001E-2</v>
      </c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</row>
    <row r="955" spans="1:29">
      <c r="A955" s="3" t="s">
        <v>606</v>
      </c>
      <c r="B955" s="1"/>
      <c r="C955" s="21">
        <f>7386+30+690+6</f>
        <v>8112</v>
      </c>
      <c r="D955" s="21"/>
      <c r="E955" s="298">
        <v>2.7</v>
      </c>
      <c r="F955" s="1"/>
      <c r="G955" s="412">
        <f t="shared" si="91"/>
        <v>21902.400000000001</v>
      </c>
      <c r="H955" s="412"/>
      <c r="I955" s="298">
        <f t="shared" si="92"/>
        <v>2.9119200000000003</v>
      </c>
      <c r="J955" s="1"/>
      <c r="K955" s="2">
        <f t="shared" si="93"/>
        <v>23621.495040000002</v>
      </c>
      <c r="M955" s="20"/>
      <c r="N955" s="20"/>
      <c r="O955" s="74">
        <v>44</v>
      </c>
      <c r="P955" s="664">
        <f t="shared" si="94"/>
        <v>6.136363636363637E-2</v>
      </c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</row>
    <row r="956" spans="1:29">
      <c r="A956" s="3" t="s">
        <v>607</v>
      </c>
      <c r="B956" s="1"/>
      <c r="C956" s="21">
        <f>357+715+39+65</f>
        <v>1176</v>
      </c>
      <c r="D956" s="21"/>
      <c r="E956" s="298">
        <v>3.93</v>
      </c>
      <c r="F956" s="1"/>
      <c r="G956" s="412">
        <f t="shared" si="91"/>
        <v>4621.68</v>
      </c>
      <c r="H956" s="412"/>
      <c r="I956" s="298">
        <f t="shared" si="92"/>
        <v>4.2355200000000002</v>
      </c>
      <c r="J956" s="1"/>
      <c r="K956" s="2">
        <f t="shared" si="93"/>
        <v>4980.9715200000001</v>
      </c>
      <c r="M956" s="20"/>
      <c r="N956" s="20"/>
      <c r="O956" s="74">
        <v>64</v>
      </c>
      <c r="P956" s="664">
        <f t="shared" si="94"/>
        <v>6.1406250000000002E-2</v>
      </c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</row>
    <row r="957" spans="1:29">
      <c r="A957" s="3" t="s">
        <v>608</v>
      </c>
      <c r="B957" s="1"/>
      <c r="C957" s="21">
        <f>10556+1033</f>
        <v>11589</v>
      </c>
      <c r="D957" s="21"/>
      <c r="E957" s="298">
        <v>5.22</v>
      </c>
      <c r="F957" s="1"/>
      <c r="G957" s="412">
        <f t="shared" si="91"/>
        <v>60494.579999999994</v>
      </c>
      <c r="H957" s="412"/>
      <c r="I957" s="298">
        <f t="shared" si="92"/>
        <v>5.6252999999999993</v>
      </c>
      <c r="J957" s="1"/>
      <c r="K957" s="2">
        <f t="shared" si="93"/>
        <v>65191.601699999992</v>
      </c>
      <c r="M957" s="20"/>
      <c r="N957" s="20"/>
      <c r="O957" s="74">
        <v>85</v>
      </c>
      <c r="P957" s="664">
        <f t="shared" si="94"/>
        <v>6.1411764705882353E-2</v>
      </c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</row>
    <row r="958" spans="1:29">
      <c r="A958" s="3" t="s">
        <v>609</v>
      </c>
      <c r="B958" s="1"/>
      <c r="C958" s="21">
        <f>1478+146+231+2458</f>
        <v>4313</v>
      </c>
      <c r="D958" s="21"/>
      <c r="E958" s="298">
        <v>7.07</v>
      </c>
      <c r="F958" s="1"/>
      <c r="G958" s="412">
        <f t="shared" si="91"/>
        <v>30492.91</v>
      </c>
      <c r="H958" s="412"/>
      <c r="I958" s="298">
        <f t="shared" si="92"/>
        <v>7.6107000000000005</v>
      </c>
      <c r="J958" s="1"/>
      <c r="K958" s="2">
        <f t="shared" si="93"/>
        <v>32824.949100000005</v>
      </c>
      <c r="M958" s="20"/>
      <c r="N958" s="20"/>
      <c r="O958" s="74">
        <v>115</v>
      </c>
      <c r="P958" s="664">
        <f t="shared" si="94"/>
        <v>6.1478260869565218E-2</v>
      </c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</row>
    <row r="959" spans="1:29">
      <c r="A959" s="3" t="s">
        <v>610</v>
      </c>
      <c r="B959" s="1"/>
      <c r="C959" s="21">
        <f>1575+177</f>
        <v>1752</v>
      </c>
      <c r="D959" s="21"/>
      <c r="E959" s="298">
        <v>10.82</v>
      </c>
      <c r="F959" s="1"/>
      <c r="G959" s="412">
        <f t="shared" si="91"/>
        <v>18956.64</v>
      </c>
      <c r="H959" s="412"/>
      <c r="I959" s="298">
        <f t="shared" si="92"/>
        <v>11.647680000000001</v>
      </c>
      <c r="J959" s="1"/>
      <c r="K959" s="2">
        <f t="shared" si="93"/>
        <v>20406.735360000002</v>
      </c>
      <c r="M959" s="20"/>
      <c r="N959" s="20"/>
      <c r="O959" s="74">
        <v>176</v>
      </c>
      <c r="P959" s="664">
        <f t="shared" si="94"/>
        <v>6.1477272727272728E-2</v>
      </c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</row>
    <row r="960" spans="1:29">
      <c r="B960" s="1"/>
      <c r="C960" s="21"/>
      <c r="D960" s="21"/>
      <c r="E960" s="298"/>
      <c r="F960" s="1"/>
      <c r="G960" s="412"/>
      <c r="H960" s="412"/>
      <c r="I960" s="298"/>
      <c r="J960" s="1"/>
      <c r="K960" s="2"/>
      <c r="M960" s="20"/>
      <c r="N960" s="20"/>
      <c r="O960" s="74"/>
      <c r="P960" s="74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</row>
    <row r="961" spans="1:29">
      <c r="A961" s="3" t="s">
        <v>593</v>
      </c>
      <c r="B961" s="1"/>
      <c r="C961" s="21"/>
      <c r="D961" s="21"/>
      <c r="E961" s="298"/>
      <c r="F961" s="1"/>
      <c r="G961" s="412"/>
      <c r="H961" s="412"/>
      <c r="I961" s="298" t="s">
        <v>31</v>
      </c>
      <c r="J961" s="1"/>
      <c r="K961" s="2"/>
      <c r="M961" s="20"/>
      <c r="N961" s="20"/>
      <c r="O961" s="74"/>
      <c r="P961" s="74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</row>
    <row r="962" spans="1:29">
      <c r="A962" s="3" t="s">
        <v>611</v>
      </c>
      <c r="B962" s="1"/>
      <c r="C962" s="21">
        <v>0</v>
      </c>
      <c r="D962" s="21"/>
      <c r="E962" s="298">
        <v>2.4</v>
      </c>
      <c r="F962" s="1"/>
      <c r="G962" s="412">
        <f>E962*C962</f>
        <v>0</v>
      </c>
      <c r="H962" s="412"/>
      <c r="I962" s="298">
        <f>$I$968*O962/100</f>
        <v>2.5810200000000005</v>
      </c>
      <c r="J962" s="1"/>
      <c r="K962" s="2">
        <f>I962*$C962</f>
        <v>0</v>
      </c>
      <c r="M962" s="20"/>
      <c r="N962" s="20"/>
      <c r="O962" s="74">
        <v>39</v>
      </c>
      <c r="P962" s="664">
        <f>E962/O962</f>
        <v>6.1538461538461535E-2</v>
      </c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</row>
    <row r="963" spans="1:29">
      <c r="A963" s="3" t="s">
        <v>612</v>
      </c>
      <c r="B963" s="1"/>
      <c r="C963" s="21">
        <f>370</f>
        <v>370</v>
      </c>
      <c r="D963" s="21"/>
      <c r="E963" s="298">
        <v>4.18</v>
      </c>
      <c r="F963" s="1"/>
      <c r="G963" s="412">
        <f>E963*C963</f>
        <v>1546.6</v>
      </c>
      <c r="H963" s="412"/>
      <c r="I963" s="298">
        <f>$I$968*O963/100</f>
        <v>4.5002399999999998</v>
      </c>
      <c r="J963" s="1"/>
      <c r="K963" s="2">
        <f>I963*$C963</f>
        <v>1665.0888</v>
      </c>
      <c r="M963" s="20"/>
      <c r="N963" s="20"/>
      <c r="O963" s="74">
        <v>68</v>
      </c>
      <c r="P963" s="664">
        <f>E963/O963</f>
        <v>6.147058823529411E-2</v>
      </c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</row>
    <row r="964" spans="1:29">
      <c r="A964" s="3" t="s">
        <v>613</v>
      </c>
      <c r="B964" s="1"/>
      <c r="C964" s="21">
        <f>4</f>
        <v>4</v>
      </c>
      <c r="D964" s="21"/>
      <c r="E964" s="298">
        <v>5.78</v>
      </c>
      <c r="F964" s="1"/>
      <c r="G964" s="412">
        <f>E964*C964</f>
        <v>23.12</v>
      </c>
      <c r="H964" s="412"/>
      <c r="I964" s="298">
        <f>$I$968*O964/100</f>
        <v>6.2209199999999996</v>
      </c>
      <c r="J964" s="1"/>
      <c r="K964" s="2">
        <f>I964*$C964</f>
        <v>24.883679999999998</v>
      </c>
      <c r="M964" s="20"/>
      <c r="N964" s="20"/>
      <c r="O964" s="74">
        <v>94</v>
      </c>
      <c r="P964" s="664">
        <f>E964/O964</f>
        <v>6.1489361702127661E-2</v>
      </c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</row>
    <row r="965" spans="1:29">
      <c r="A965" s="3" t="s">
        <v>614</v>
      </c>
      <c r="B965" s="1"/>
      <c r="C965" s="21">
        <f>128+39</f>
        <v>167</v>
      </c>
      <c r="D965" s="21"/>
      <c r="E965" s="298">
        <v>9.16</v>
      </c>
      <c r="F965" s="1"/>
      <c r="G965" s="412">
        <f>E965*C965</f>
        <v>1529.72</v>
      </c>
      <c r="H965" s="412"/>
      <c r="I965" s="298">
        <f>$I$968*O965/100</f>
        <v>9.8608200000000004</v>
      </c>
      <c r="J965" s="1"/>
      <c r="K965" s="2">
        <f>I965*$C965</f>
        <v>1646.75694</v>
      </c>
      <c r="M965" s="20"/>
      <c r="N965" s="20"/>
      <c r="O965" s="74">
        <v>149</v>
      </c>
      <c r="P965" s="664">
        <f>E965/O965</f>
        <v>6.1476510067114097E-2</v>
      </c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</row>
    <row r="966" spans="1:29">
      <c r="A966" s="3" t="s">
        <v>615</v>
      </c>
      <c r="B966" s="1"/>
      <c r="C966" s="21">
        <f>47</f>
        <v>47</v>
      </c>
      <c r="D966" s="21"/>
      <c r="E966" s="298">
        <v>21.76</v>
      </c>
      <c r="F966" s="1"/>
      <c r="G966" s="412">
        <f>E966*C966</f>
        <v>1022.72</v>
      </c>
      <c r="H966" s="412"/>
      <c r="I966" s="298">
        <f>$I$968*O966/100</f>
        <v>23.427720000000001</v>
      </c>
      <c r="J966" s="1"/>
      <c r="K966" s="2">
        <f>I966*$C966</f>
        <v>1101.10284</v>
      </c>
      <c r="M966" s="20"/>
      <c r="N966" s="20"/>
      <c r="O966" s="74">
        <v>354</v>
      </c>
      <c r="P966" s="664">
        <f>E966/O966</f>
        <v>6.1468926553672323E-2</v>
      </c>
      <c r="Q966" s="20" t="s">
        <v>31</v>
      </c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</row>
    <row r="967" spans="1:29">
      <c r="A967" s="1"/>
      <c r="B967" s="1"/>
      <c r="C967" s="21"/>
      <c r="D967" s="21"/>
      <c r="E967" s="298"/>
      <c r="F967" s="1"/>
      <c r="G967" s="412"/>
      <c r="H967" s="412"/>
      <c r="I967" s="298"/>
      <c r="J967" s="1"/>
      <c r="K967" s="2"/>
      <c r="M967" s="20"/>
      <c r="N967" s="20"/>
      <c r="O967" s="74"/>
      <c r="P967" s="74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</row>
    <row r="968" spans="1:29">
      <c r="A968" s="1" t="s">
        <v>616</v>
      </c>
      <c r="B968" s="1"/>
      <c r="C968" s="264">
        <f>363706+292497+2160+112145+73788+6445+101667+34034+586+824</f>
        <v>987852</v>
      </c>
      <c r="D968" s="319">
        <f>ROUND(($D$971/$C$971)*C968,0)</f>
        <v>999683</v>
      </c>
      <c r="E968" s="413">
        <f>$E$942</f>
        <v>6.1459999999999999</v>
      </c>
      <c r="F968" s="1" t="s">
        <v>374</v>
      </c>
      <c r="G968" s="414">
        <f>ROUND(C968*E968/100,0)</f>
        <v>60713</v>
      </c>
      <c r="H968" s="414">
        <f>ROUND(D968*E968/100,0)</f>
        <v>61441</v>
      </c>
      <c r="I968" s="413">
        <v>6.6180000000000003</v>
      </c>
      <c r="J968" s="1" t="s">
        <v>374</v>
      </c>
      <c r="K968" s="2">
        <f>ROUND(I968*C968/100,0)</f>
        <v>65376</v>
      </c>
      <c r="M968" s="20"/>
      <c r="N968" s="20"/>
      <c r="O968" s="74"/>
      <c r="P968" s="74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</row>
    <row r="969" spans="1:29">
      <c r="A969" s="1" t="s">
        <v>617</v>
      </c>
      <c r="B969" s="1"/>
      <c r="C969" s="264">
        <f>127566+324980+1320+22848+897247+169940+277177+682+1364+39325+272844+4120+11377+30360+264+2496+87808+16790+31152+28120+432+22016+6708+19364+62+124+3575+25641</f>
        <v>2425702</v>
      </c>
      <c r="D969" s="319">
        <f>ROUND(($D$971/$C$971)*C969,0)</f>
        <v>2454753</v>
      </c>
      <c r="E969" s="421" t="s">
        <v>31</v>
      </c>
      <c r="F969" s="1" t="s">
        <v>31</v>
      </c>
      <c r="G969" s="414" t="s">
        <v>31</v>
      </c>
      <c r="H969" s="414">
        <f>ROUND(D969*E969/100,0)</f>
        <v>0</v>
      </c>
      <c r="I969" s="421">
        <v>0</v>
      </c>
      <c r="J969" s="1" t="s">
        <v>374</v>
      </c>
      <c r="K969" s="2">
        <v>0</v>
      </c>
      <c r="M969" s="20"/>
      <c r="N969" s="20"/>
      <c r="O969" s="74"/>
      <c r="P969" s="74">
        <v>211950</v>
      </c>
      <c r="Q969" s="2">
        <f>C969*0.06146</f>
        <v>149083.64491999999</v>
      </c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</row>
    <row r="970" spans="1:29">
      <c r="A970" s="1" t="s">
        <v>362</v>
      </c>
      <c r="B970" s="1"/>
      <c r="C970" s="264">
        <f>54+1950</f>
        <v>2004</v>
      </c>
      <c r="D970" s="319">
        <v>2369</v>
      </c>
      <c r="E970" s="415"/>
      <c r="F970" s="1"/>
      <c r="G970" s="2"/>
      <c r="H970" s="2"/>
      <c r="I970" s="415"/>
      <c r="J970" s="1"/>
      <c r="K970" s="2"/>
      <c r="M970" s="20"/>
      <c r="N970" s="20"/>
      <c r="O970" s="74"/>
      <c r="P970" s="74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</row>
    <row r="971" spans="1:29">
      <c r="A971" s="3" t="s">
        <v>491</v>
      </c>
      <c r="C971" s="264">
        <f>C968+C969</f>
        <v>3413554</v>
      </c>
      <c r="D971" s="264">
        <v>3454436.4805654008</v>
      </c>
      <c r="E971" s="269"/>
      <c r="F971" s="20"/>
      <c r="G971" s="272">
        <f>SUM(G952:G969)</f>
        <v>212173.34</v>
      </c>
      <c r="H971" s="272">
        <f>SUM(H952:H969)</f>
        <v>63790.22</v>
      </c>
      <c r="I971" s="269"/>
      <c r="J971" s="20"/>
      <c r="K971" s="272">
        <f>SUM(K952:K969)</f>
        <v>228355.72609999997</v>
      </c>
      <c r="M971" s="20"/>
      <c r="N971" s="20"/>
      <c r="O971" s="74"/>
      <c r="P971" s="74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</row>
    <row r="972" spans="1:29">
      <c r="A972" s="3" t="s">
        <v>492</v>
      </c>
      <c r="C972" s="264" t="e">
        <f>#REF!</f>
        <v>#REF!</v>
      </c>
      <c r="D972" s="264">
        <v>0</v>
      </c>
      <c r="E972" s="269"/>
      <c r="F972" s="20"/>
      <c r="G972" s="272" t="e">
        <f>#REF!</f>
        <v>#REF!</v>
      </c>
      <c r="H972" s="272">
        <v>0</v>
      </c>
      <c r="I972" s="269"/>
      <c r="J972" s="20"/>
      <c r="K972" s="272" t="e">
        <f>G972</f>
        <v>#REF!</v>
      </c>
      <c r="M972" s="444"/>
      <c r="N972" s="444"/>
      <c r="O972" s="287"/>
      <c r="P972" s="74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</row>
    <row r="973" spans="1:29" ht="16.5" thickBot="1">
      <c r="A973" s="1" t="s">
        <v>9</v>
      </c>
      <c r="B973" s="1"/>
      <c r="C973" s="393" t="e">
        <f>C971+C972</f>
        <v>#REF!</v>
      </c>
      <c r="D973" s="393">
        <f>D971+D972</f>
        <v>3454436.4805654008</v>
      </c>
      <c r="E973" s="417"/>
      <c r="F973" s="418"/>
      <c r="G973" s="274" t="e">
        <f>G971+G972</f>
        <v>#REF!</v>
      </c>
      <c r="H973" s="274">
        <f>H971+H972</f>
        <v>63790.22</v>
      </c>
      <c r="I973" s="417"/>
      <c r="J973" s="418"/>
      <c r="K973" s="274" t="e">
        <f>K971+K972</f>
        <v>#REF!</v>
      </c>
      <c r="M973" s="411"/>
      <c r="N973" s="411"/>
      <c r="O973" s="470"/>
      <c r="P973" s="74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</row>
    <row r="974" spans="1:29" ht="16.5" thickTop="1">
      <c r="A974" s="1"/>
      <c r="B974" s="1"/>
      <c r="C974" s="26"/>
      <c r="D974" s="26"/>
      <c r="E974" s="422"/>
      <c r="F974" s="23"/>
      <c r="G974" s="51"/>
      <c r="H974" s="51"/>
      <c r="I974" s="422" t="s">
        <v>31</v>
      </c>
      <c r="J974" s="23"/>
      <c r="K974" s="51" t="s">
        <v>31</v>
      </c>
      <c r="M974" s="20"/>
      <c r="N974" s="20"/>
      <c r="O974" s="74"/>
      <c r="P974" s="74" t="s">
        <v>31</v>
      </c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</row>
    <row r="975" spans="1:29">
      <c r="A975" s="293" t="s">
        <v>499</v>
      </c>
      <c r="B975" s="1"/>
      <c r="C975" s="1"/>
      <c r="D975" s="1"/>
      <c r="E975" s="1"/>
      <c r="F975" s="1"/>
      <c r="G975" s="1"/>
      <c r="H975" s="1"/>
      <c r="I975" s="1"/>
      <c r="J975" s="1"/>
      <c r="K975" s="1"/>
      <c r="M975" s="20"/>
      <c r="N975" s="20"/>
      <c r="O975" s="74"/>
      <c r="P975" s="74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</row>
    <row r="976" spans="1:29">
      <c r="A976" s="1" t="s">
        <v>500</v>
      </c>
      <c r="B976" s="1"/>
      <c r="C976" s="1"/>
      <c r="D976" s="1"/>
      <c r="E976" s="1"/>
      <c r="F976" s="1"/>
      <c r="G976" s="1"/>
      <c r="H976" s="1"/>
      <c r="I976" s="1"/>
      <c r="J976" s="1"/>
      <c r="K976" s="1"/>
      <c r="M976" s="20"/>
      <c r="N976" s="20"/>
      <c r="O976" s="74"/>
      <c r="P976" s="74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</row>
    <row r="977" spans="1:29">
      <c r="A977" s="1"/>
      <c r="B977" s="1"/>
      <c r="C977" s="1"/>
      <c r="D977" s="1"/>
      <c r="E977" s="419"/>
      <c r="F977" s="1"/>
      <c r="G977" s="1"/>
      <c r="H977" s="1"/>
      <c r="I977" s="419"/>
      <c r="J977" s="1"/>
      <c r="K977" s="1"/>
      <c r="M977" s="20"/>
      <c r="N977" s="20"/>
      <c r="O977" s="74"/>
      <c r="P977" s="74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</row>
    <row r="978" spans="1:29">
      <c r="A978" s="1" t="s">
        <v>488</v>
      </c>
      <c r="B978" s="1"/>
      <c r="C978" s="21"/>
      <c r="D978" s="21"/>
      <c r="E978" s="298"/>
      <c r="F978" s="1"/>
      <c r="G978" s="412">
        <v>0</v>
      </c>
      <c r="H978" s="412">
        <v>0</v>
      </c>
      <c r="I978" s="298"/>
      <c r="J978" s="1"/>
      <c r="K978" s="2">
        <f>G978</f>
        <v>0</v>
      </c>
      <c r="M978" s="20"/>
      <c r="N978" s="20"/>
      <c r="O978" s="74"/>
      <c r="P978" s="74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</row>
    <row r="979" spans="1:29">
      <c r="A979" s="1" t="s">
        <v>495</v>
      </c>
      <c r="B979" s="1"/>
      <c r="C979" s="264">
        <v>0</v>
      </c>
      <c r="D979" s="319">
        <f>ROUND(($D$982/$C$982)*C979,0)</f>
        <v>0</v>
      </c>
      <c r="E979" s="413">
        <f>$E$942</f>
        <v>6.1459999999999999</v>
      </c>
      <c r="F979" s="1" t="s">
        <v>374</v>
      </c>
      <c r="G979" s="414">
        <f>ROUND(C979*E979/100,0)</f>
        <v>0</v>
      </c>
      <c r="H979" s="414">
        <f>ROUND(D979*E979/100,0)</f>
        <v>0</v>
      </c>
      <c r="I979" s="413">
        <f>I968</f>
        <v>6.6180000000000003</v>
      </c>
      <c r="J979" s="1" t="s">
        <v>374</v>
      </c>
      <c r="K979" s="2">
        <f>ROUND(I979*D979/100,0)</f>
        <v>0</v>
      </c>
      <c r="M979" s="20"/>
      <c r="N979" s="20"/>
      <c r="O979" s="74"/>
      <c r="P979" s="74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</row>
    <row r="980" spans="1:29">
      <c r="A980" s="1" t="s">
        <v>496</v>
      </c>
      <c r="B980" s="1"/>
      <c r="C980" s="264">
        <v>1030127</v>
      </c>
      <c r="D980" s="319">
        <f>ROUND(($D$982/$C$982)*C980,0)</f>
        <v>984893</v>
      </c>
      <c r="E980" s="421">
        <f>E979</f>
        <v>6.1459999999999999</v>
      </c>
      <c r="F980" s="1" t="s">
        <v>374</v>
      </c>
      <c r="G980" s="414">
        <f>ROUND(C980*E980/100,0)</f>
        <v>63312</v>
      </c>
      <c r="H980" s="414">
        <f>ROUND(D980*E980/100,0)</f>
        <v>60532</v>
      </c>
      <c r="I980" s="421">
        <f>I979</f>
        <v>6.6180000000000003</v>
      </c>
      <c r="J980" s="1" t="s">
        <v>374</v>
      </c>
      <c r="K980" s="2">
        <f>ROUND(I980*$C980/100,0)</f>
        <v>68174</v>
      </c>
      <c r="M980" s="20"/>
      <c r="N980" s="20"/>
      <c r="O980" s="74"/>
      <c r="P980" s="74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</row>
    <row r="981" spans="1:29">
      <c r="A981" s="1" t="s">
        <v>362</v>
      </c>
      <c r="B981" s="1"/>
      <c r="C981" s="264">
        <v>1042</v>
      </c>
      <c r="D981" s="319">
        <v>1032</v>
      </c>
      <c r="E981" s="415"/>
      <c r="F981" s="1"/>
      <c r="G981" s="2"/>
      <c r="H981" s="2"/>
      <c r="I981" s="415"/>
      <c r="J981" s="1"/>
      <c r="K981" s="2"/>
      <c r="M981" s="20"/>
      <c r="N981" s="20"/>
      <c r="O981" s="74"/>
      <c r="P981" s="74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</row>
    <row r="982" spans="1:29">
      <c r="A982" s="3" t="s">
        <v>491</v>
      </c>
      <c r="C982" s="264">
        <f>C979+C980</f>
        <v>1030127</v>
      </c>
      <c r="D982" s="264">
        <v>984893.270531249</v>
      </c>
      <c r="E982" s="269"/>
      <c r="F982" s="20"/>
      <c r="G982" s="272">
        <f>SUM(G978:G980)</f>
        <v>63312</v>
      </c>
      <c r="H982" s="272">
        <f>SUM(H978:H980)</f>
        <v>60532</v>
      </c>
      <c r="I982" s="269"/>
      <c r="J982" s="20"/>
      <c r="K982" s="272">
        <f>SUM(K978:K980)</f>
        <v>68174</v>
      </c>
      <c r="M982" s="20"/>
      <c r="N982" s="20"/>
      <c r="O982" s="74"/>
      <c r="P982" s="74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</row>
    <row r="983" spans="1:29">
      <c r="A983" s="3" t="s">
        <v>492</v>
      </c>
      <c r="C983" s="264" t="e">
        <f>#REF!</f>
        <v>#REF!</v>
      </c>
      <c r="D983" s="264">
        <v>0</v>
      </c>
      <c r="E983" s="269"/>
      <c r="F983" s="20"/>
      <c r="G983" s="272" t="e">
        <f>#REF!</f>
        <v>#REF!</v>
      </c>
      <c r="H983" s="272">
        <v>0</v>
      </c>
      <c r="I983" s="269"/>
      <c r="J983" s="20"/>
      <c r="K983" s="272" t="e">
        <f>G983</f>
        <v>#REF!</v>
      </c>
      <c r="M983" s="444"/>
      <c r="N983" s="444"/>
      <c r="O983" s="287"/>
      <c r="P983" s="74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</row>
    <row r="984" spans="1:29" ht="16.5" thickBot="1">
      <c r="A984" s="1" t="s">
        <v>9</v>
      </c>
      <c r="B984" s="1"/>
      <c r="C984" s="393" t="e">
        <f>C982+C983</f>
        <v>#REF!</v>
      </c>
      <c r="D984" s="393">
        <f>D982+D983</f>
        <v>984893.270531249</v>
      </c>
      <c r="E984" s="417"/>
      <c r="F984" s="418"/>
      <c r="G984" s="274" t="e">
        <f>G982+G983</f>
        <v>#REF!</v>
      </c>
      <c r="H984" s="274">
        <f>H982+H983</f>
        <v>60532</v>
      </c>
      <c r="I984" s="417"/>
      <c r="J984" s="418"/>
      <c r="K984" s="274" t="e">
        <f>K982+K983</f>
        <v>#REF!</v>
      </c>
      <c r="M984" s="411"/>
      <c r="N984" s="411"/>
      <c r="O984" s="470"/>
      <c r="P984" s="74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</row>
    <row r="985" spans="1:29" ht="16.5" thickTop="1">
      <c r="A985" s="1"/>
      <c r="B985" s="1"/>
      <c r="C985" s="26"/>
      <c r="D985" s="26"/>
      <c r="E985" s="422"/>
      <c r="F985" s="23"/>
      <c r="G985" s="51"/>
      <c r="H985" s="51"/>
      <c r="I985" s="422" t="s">
        <v>31</v>
      </c>
      <c r="J985" s="23"/>
      <c r="K985" s="51" t="s">
        <v>31</v>
      </c>
      <c r="M985" s="20"/>
      <c r="N985" s="20"/>
      <c r="O985" s="74"/>
      <c r="P985" s="74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</row>
    <row r="986" spans="1:29">
      <c r="A986" s="293" t="s">
        <v>501</v>
      </c>
      <c r="B986" s="1"/>
      <c r="C986" s="1"/>
      <c r="D986" s="1"/>
      <c r="E986" s="1"/>
      <c r="F986" s="1"/>
      <c r="G986" s="1"/>
      <c r="H986" s="1"/>
      <c r="I986" s="1"/>
      <c r="J986" s="1"/>
      <c r="K986" s="1" t="s">
        <v>31</v>
      </c>
      <c r="M986" s="20"/>
      <c r="N986" s="20"/>
      <c r="O986" s="74"/>
      <c r="P986" s="74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</row>
    <row r="987" spans="1:29">
      <c r="A987" s="1" t="s">
        <v>192</v>
      </c>
      <c r="B987" s="1"/>
      <c r="C987" s="1"/>
      <c r="D987" s="1"/>
      <c r="E987" s="1"/>
      <c r="F987" s="1"/>
      <c r="G987" s="1"/>
      <c r="H987" s="1"/>
      <c r="I987" s="1"/>
      <c r="J987" s="1"/>
      <c r="K987" s="1"/>
      <c r="M987" s="20"/>
      <c r="N987" s="20"/>
      <c r="O987" s="74"/>
      <c r="P987" s="74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</row>
    <row r="988" spans="1:29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M988" s="20"/>
      <c r="N988" s="20"/>
      <c r="O988" s="74"/>
      <c r="P988" s="74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</row>
    <row r="989" spans="1:29">
      <c r="A989" s="1" t="s">
        <v>502</v>
      </c>
      <c r="B989" s="1"/>
      <c r="C989" s="21">
        <v>192</v>
      </c>
      <c r="D989" s="319">
        <v>190</v>
      </c>
      <c r="E989" s="298">
        <v>3.5</v>
      </c>
      <c r="F989" s="1"/>
      <c r="G989" s="2">
        <f>ROUND(E989*C989,0)</f>
        <v>672</v>
      </c>
      <c r="H989" s="2">
        <f>ROUND(E989*D989,0)</f>
        <v>665</v>
      </c>
      <c r="I989" s="298">
        <f>'Blocking - detail'!I960</f>
        <v>3.5</v>
      </c>
      <c r="J989" s="1"/>
      <c r="K989" s="2">
        <f>ROUND(I989*$C989,0)</f>
        <v>672</v>
      </c>
      <c r="M989" s="84">
        <f>I989*D989</f>
        <v>665</v>
      </c>
      <c r="N989" s="20"/>
      <c r="O989" s="425"/>
      <c r="P989" s="425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</row>
    <row r="990" spans="1:29">
      <c r="A990" s="1" t="s">
        <v>503</v>
      </c>
      <c r="B990" s="1"/>
      <c r="C990" s="21">
        <v>146</v>
      </c>
      <c r="D990" s="319">
        <v>145</v>
      </c>
      <c r="E990" s="298">
        <v>6.5</v>
      </c>
      <c r="F990" s="1"/>
      <c r="G990" s="2">
        <f>ROUND(E990*C990,0)</f>
        <v>949</v>
      </c>
      <c r="H990" s="2">
        <f>ROUND(E990*D990,0)</f>
        <v>943</v>
      </c>
      <c r="I990" s="298">
        <f>'Blocking - detail'!I961</f>
        <v>6.5</v>
      </c>
      <c r="J990" s="1"/>
      <c r="K990" s="2">
        <f>ROUND(I990*$C990,0)</f>
        <v>949</v>
      </c>
      <c r="M990" s="84">
        <f>I990*D990</f>
        <v>942.5</v>
      </c>
      <c r="N990" s="20"/>
      <c r="O990" s="425"/>
      <c r="P990" s="425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</row>
    <row r="991" spans="1:29">
      <c r="A991" s="1" t="s">
        <v>504</v>
      </c>
      <c r="B991" s="1"/>
      <c r="C991" s="21">
        <f>SUM(C989:C990)</f>
        <v>338</v>
      </c>
      <c r="D991" s="319">
        <v>335</v>
      </c>
      <c r="E991" s="374"/>
      <c r="F991" s="1"/>
      <c r="G991" s="414"/>
      <c r="H991" s="414"/>
      <c r="I991" s="374"/>
      <c r="J991" s="1"/>
      <c r="K991" s="2"/>
      <c r="M991" s="20"/>
      <c r="N991" s="20"/>
      <c r="O991" s="425"/>
      <c r="P991" s="425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</row>
    <row r="992" spans="1:29">
      <c r="A992" s="1" t="s">
        <v>464</v>
      </c>
      <c r="B992" s="1"/>
      <c r="C992" s="21">
        <f>88297+144017</f>
        <v>232314</v>
      </c>
      <c r="D992" s="319">
        <v>235030</v>
      </c>
      <c r="E992" s="327">
        <v>7.2930000000000001</v>
      </c>
      <c r="F992" s="1" t="s">
        <v>374</v>
      </c>
      <c r="G992" s="414">
        <f>ROUND(C992*E992/100,0)</f>
        <v>16943</v>
      </c>
      <c r="H992" s="414">
        <f>ROUND(D992*E992/100,0)</f>
        <v>17141</v>
      </c>
      <c r="I992" s="327">
        <v>7.88</v>
      </c>
      <c r="J992" s="2" t="s">
        <v>374</v>
      </c>
      <c r="K992" s="2">
        <f>ROUND(I992*$C992/100,0)</f>
        <v>18306</v>
      </c>
      <c r="M992" s="84">
        <f>(I992/100)*D992</f>
        <v>18520.363999999998</v>
      </c>
      <c r="N992" s="20"/>
      <c r="O992" s="425"/>
      <c r="P992" s="425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</row>
    <row r="993" spans="1:29">
      <c r="A993" s="1" t="s">
        <v>381</v>
      </c>
      <c r="B993" s="1"/>
      <c r="C993" s="319">
        <f>SUM(C992)</f>
        <v>232314</v>
      </c>
      <c r="D993" s="319">
        <f>SUM(D992)</f>
        <v>235030</v>
      </c>
      <c r="E993" s="21"/>
      <c r="F993" s="21"/>
      <c r="G993" s="414">
        <f>SUM(G989:G992)</f>
        <v>18564</v>
      </c>
      <c r="H993" s="414">
        <f>SUM(H989:H992)</f>
        <v>18749</v>
      </c>
      <c r="I993" s="21"/>
      <c r="J993" s="2"/>
      <c r="K993" s="414">
        <f>SUM(K989:K992)</f>
        <v>19927</v>
      </c>
      <c r="M993" s="416">
        <f>SUM(M989:M992)</f>
        <v>20127.863999999998</v>
      </c>
      <c r="N993" s="20"/>
      <c r="O993" s="74"/>
      <c r="P993" s="74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</row>
    <row r="994" spans="1:29">
      <c r="A994" s="1" t="s">
        <v>363</v>
      </c>
      <c r="B994" s="1"/>
      <c r="C994" s="349" t="e">
        <f>#REF!</f>
        <v>#REF!</v>
      </c>
      <c r="D994" s="349">
        <v>0</v>
      </c>
      <c r="E994" s="427"/>
      <c r="F994" s="427"/>
      <c r="G994" s="428" t="e">
        <f>#REF!</f>
        <v>#REF!</v>
      </c>
      <c r="H994" s="428">
        <v>0</v>
      </c>
      <c r="I994" s="427"/>
      <c r="J994" s="427"/>
      <c r="K994" s="428" t="e">
        <f>G994</f>
        <v>#REF!</v>
      </c>
      <c r="M994" s="289"/>
      <c r="N994" s="289"/>
      <c r="O994" s="290"/>
      <c r="P994" s="74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</row>
    <row r="995" spans="1:29" ht="16.5" thickBot="1">
      <c r="A995" s="1" t="s">
        <v>382</v>
      </c>
      <c r="B995" s="1"/>
      <c r="C995" s="366" t="e">
        <f>C993+C994</f>
        <v>#REF!</v>
      </c>
      <c r="D995" s="366">
        <f>D992+D994</f>
        <v>235030</v>
      </c>
      <c r="E995" s="345"/>
      <c r="F995" s="345"/>
      <c r="G995" s="312" t="e">
        <f>G993+G994</f>
        <v>#REF!</v>
      </c>
      <c r="H995" s="312">
        <f>H993+H994</f>
        <v>18749</v>
      </c>
      <c r="I995" s="345"/>
      <c r="J995" s="345"/>
      <c r="K995" s="312" t="e">
        <f>K993+K994</f>
        <v>#REF!</v>
      </c>
      <c r="M995" s="291"/>
      <c r="N995" s="277" t="s">
        <v>409</v>
      </c>
      <c r="O995" s="69" t="e">
        <f>#REF!*1000</f>
        <v>#REF!</v>
      </c>
      <c r="P995" s="74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</row>
    <row r="996" spans="1:29" ht="16.5" thickTop="1">
      <c r="A996" s="1"/>
      <c r="B996" s="313"/>
      <c r="C996" s="1"/>
      <c r="D996" s="1"/>
      <c r="E996" s="1"/>
      <c r="F996" s="1"/>
      <c r="G996" s="1"/>
      <c r="H996" s="1"/>
      <c r="I996" s="1" t="s">
        <v>31</v>
      </c>
      <c r="J996" s="1"/>
      <c r="K996" s="2" t="s">
        <v>31</v>
      </c>
      <c r="M996" s="20"/>
      <c r="N996" s="277" t="s">
        <v>263</v>
      </c>
      <c r="O996" s="416" t="e">
        <f>O995-K995</f>
        <v>#REF!</v>
      </c>
      <c r="P996" s="276" t="e">
        <f>(O995-K995)/K995</f>
        <v>#REF!</v>
      </c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</row>
    <row r="997" spans="1:29">
      <c r="A997" s="262" t="s">
        <v>505</v>
      </c>
      <c r="B997" s="303"/>
      <c r="C997" s="303"/>
      <c r="D997" s="303"/>
      <c r="E997" s="303"/>
      <c r="F997" s="303"/>
      <c r="G997" s="303"/>
      <c r="H997" s="303"/>
      <c r="I997" s="303"/>
      <c r="J997" s="303"/>
      <c r="K997" s="303"/>
      <c r="M997" s="20"/>
      <c r="N997" s="20"/>
      <c r="O997" s="74"/>
      <c r="P997" s="74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</row>
    <row r="998" spans="1:29">
      <c r="A998" s="303" t="s">
        <v>506</v>
      </c>
      <c r="B998" s="303"/>
      <c r="C998" s="303"/>
      <c r="D998" s="303"/>
      <c r="E998" s="303"/>
      <c r="F998" s="303"/>
      <c r="G998" s="303"/>
      <c r="H998" s="303"/>
      <c r="I998" s="303"/>
      <c r="J998" s="303"/>
      <c r="K998" s="303"/>
      <c r="M998" s="278"/>
      <c r="N998" s="278"/>
      <c r="O998" s="278"/>
      <c r="P998" s="278"/>
      <c r="Q998" s="278"/>
      <c r="R998" s="278"/>
      <c r="S998" s="278"/>
      <c r="T998" s="278"/>
      <c r="U998" s="278"/>
      <c r="V998" s="278"/>
      <c r="W998" s="278"/>
      <c r="X998" s="278"/>
      <c r="Y998" s="20"/>
      <c r="Z998" s="20"/>
      <c r="AA998" s="20"/>
      <c r="AB998" s="20"/>
      <c r="AC998" s="20"/>
    </row>
    <row r="999" spans="1:29">
      <c r="A999" s="430" t="s">
        <v>507</v>
      </c>
      <c r="B999" s="303"/>
      <c r="C999" s="303"/>
      <c r="D999" s="303"/>
      <c r="E999" s="303"/>
      <c r="F999" s="303"/>
      <c r="G999" s="303"/>
      <c r="H999" s="303"/>
      <c r="I999" s="303"/>
      <c r="J999" s="303"/>
      <c r="K999" s="303"/>
      <c r="M999" s="278"/>
      <c r="N999" s="278"/>
      <c r="O999" s="278"/>
      <c r="P999" s="278"/>
      <c r="Q999" s="278"/>
      <c r="R999" s="278"/>
      <c r="S999" s="278"/>
      <c r="T999" s="278"/>
      <c r="U999" s="278"/>
      <c r="V999" s="278"/>
      <c r="W999" s="278"/>
      <c r="X999" s="278"/>
      <c r="Y999" s="20"/>
      <c r="Z999" s="20"/>
      <c r="AA999" s="20"/>
      <c r="AB999" s="20"/>
      <c r="AC999" s="20"/>
    </row>
    <row r="1000" spans="1:29">
      <c r="A1000" s="3" t="s">
        <v>508</v>
      </c>
      <c r="G1000" s="263"/>
      <c r="H1000" s="263"/>
      <c r="M1000" s="278"/>
      <c r="N1000" s="278"/>
      <c r="O1000" s="278"/>
      <c r="P1000" s="74"/>
      <c r="Q1000" s="279"/>
      <c r="R1000" s="280"/>
      <c r="S1000" s="431"/>
      <c r="T1000" s="282"/>
      <c r="U1000" s="278"/>
      <c r="V1000" s="278"/>
      <c r="W1000" s="278"/>
      <c r="X1000" s="278"/>
      <c r="Y1000" s="20"/>
      <c r="Z1000" s="20"/>
      <c r="AA1000" s="20"/>
      <c r="AB1000" s="20"/>
      <c r="AC1000" s="20"/>
    </row>
    <row r="1001" spans="1:29">
      <c r="A1001" s="3" t="s">
        <v>354</v>
      </c>
      <c r="C1001" s="264">
        <f>10803</f>
        <v>10803</v>
      </c>
      <c r="D1001" s="264">
        <f>ROUND(($D$1030/$C$1030)*C1001,0)</f>
        <v>10983</v>
      </c>
      <c r="E1001" s="265">
        <v>8.7799999999999994</v>
      </c>
      <c r="G1001" s="2">
        <f>ROUND(E1001*$C1001,0)</f>
        <v>94850</v>
      </c>
      <c r="H1001" s="2">
        <f>ROUND(E1001*$D1001,0)</f>
        <v>96431</v>
      </c>
      <c r="I1001" s="265" t="e">
        <f>E1001+(E1001*$P$1032)</f>
        <v>#REF!</v>
      </c>
      <c r="K1001" s="2" t="e">
        <f>ROUND(I1001*$C1001,0)</f>
        <v>#REF!</v>
      </c>
      <c r="M1001" s="84" t="e">
        <f>I1001*D1001</f>
        <v>#REF!</v>
      </c>
      <c r="N1001" s="20"/>
      <c r="O1001" s="281"/>
      <c r="P1001" s="74"/>
      <c r="Q1001" s="403"/>
      <c r="R1001" s="283"/>
      <c r="S1001" s="284"/>
      <c r="T1001" s="278"/>
      <c r="U1001" s="281"/>
      <c r="V1001" s="281"/>
      <c r="W1001" s="432"/>
      <c r="X1001" s="281"/>
      <c r="Y1001" s="20"/>
      <c r="Z1001" s="20"/>
      <c r="AA1001" s="20"/>
      <c r="AB1001" s="20"/>
      <c r="AC1001" s="20"/>
    </row>
    <row r="1002" spans="1:29">
      <c r="A1002" s="3" t="s">
        <v>355</v>
      </c>
      <c r="C1002" s="264">
        <f>1449</f>
        <v>1449</v>
      </c>
      <c r="D1002" s="264">
        <f>ROUND(($D$1030/$C$1030)*C1002,0)</f>
        <v>1473</v>
      </c>
      <c r="E1002" s="265">
        <v>16.079999999999998</v>
      </c>
      <c r="G1002" s="2">
        <f>ROUND(E1002*$C1002,0)</f>
        <v>23300</v>
      </c>
      <c r="H1002" s="2">
        <f>ROUND(E1002*$D1002,0)</f>
        <v>23686</v>
      </c>
      <c r="I1002" s="265" t="e">
        <f>E1002+(E1002*$P$1032)</f>
        <v>#REF!</v>
      </c>
      <c r="K1002" s="2" t="e">
        <f>ROUND(I1002*$C1002,0)</f>
        <v>#REF!</v>
      </c>
      <c r="M1002" s="84" t="e">
        <f>I1002*D1002</f>
        <v>#REF!</v>
      </c>
      <c r="N1002" s="20"/>
      <c r="O1002" s="281"/>
      <c r="P1002" s="74"/>
      <c r="Q1002" s="403"/>
      <c r="R1002" s="283"/>
      <c r="S1002" s="278"/>
      <c r="T1002" s="278"/>
      <c r="U1002" s="281"/>
      <c r="V1002" s="281"/>
      <c r="W1002" s="432"/>
      <c r="X1002" s="281"/>
      <c r="Y1002" s="20"/>
      <c r="Z1002" s="20"/>
      <c r="AA1002" s="20"/>
      <c r="AB1002" s="20"/>
      <c r="AC1002" s="20"/>
    </row>
    <row r="1003" spans="1:29">
      <c r="A1003" s="3" t="s">
        <v>356</v>
      </c>
      <c r="C1003" s="264">
        <v>36</v>
      </c>
      <c r="D1003" s="264">
        <f>ROUND(($D$1030/$C$1030)*C1003,0)</f>
        <v>37</v>
      </c>
      <c r="E1003" s="265">
        <v>32.53</v>
      </c>
      <c r="G1003" s="2">
        <f>ROUND(E1003*$C1003,0)</f>
        <v>1171</v>
      </c>
      <c r="H1003" s="2">
        <f>ROUND(E1003*$D1003,0)</f>
        <v>1204</v>
      </c>
      <c r="I1003" s="265" t="e">
        <f>E1003+(E1003*$P$1032)</f>
        <v>#REF!</v>
      </c>
      <c r="K1003" s="2" t="e">
        <f>ROUND(I1003*$C1003,0)</f>
        <v>#REF!</v>
      </c>
      <c r="M1003" s="84" t="e">
        <f>I1003*D1003</f>
        <v>#REF!</v>
      </c>
      <c r="N1003" s="20"/>
      <c r="O1003" s="281"/>
      <c r="P1003" s="74"/>
      <c r="Q1003" s="403"/>
      <c r="R1003" s="283"/>
      <c r="S1003" s="278"/>
      <c r="T1003" s="278"/>
      <c r="U1003" s="281"/>
      <c r="V1003" s="281"/>
      <c r="W1003" s="432"/>
      <c r="X1003" s="281"/>
      <c r="Y1003" s="20"/>
      <c r="Z1003" s="20"/>
      <c r="AA1003" s="20"/>
      <c r="AB1003" s="20"/>
      <c r="AC1003" s="20"/>
    </row>
    <row r="1004" spans="1:29">
      <c r="A1004" s="3" t="s">
        <v>509</v>
      </c>
      <c r="C1004" s="264"/>
      <c r="D1004" s="264"/>
      <c r="E1004" s="433"/>
      <c r="G1004" s="263"/>
      <c r="H1004" s="263"/>
      <c r="I1004" s="433"/>
      <c r="N1004" s="20"/>
      <c r="O1004" s="281"/>
      <c r="P1004" s="74"/>
      <c r="Q1004" s="20"/>
      <c r="R1004" s="287"/>
      <c r="S1004" s="278"/>
      <c r="T1004" s="278"/>
      <c r="U1004" s="281"/>
      <c r="V1004" s="281"/>
      <c r="W1004" s="432"/>
      <c r="X1004" s="281"/>
      <c r="Y1004" s="20"/>
      <c r="Z1004" s="20"/>
      <c r="AA1004" s="20"/>
      <c r="AB1004" s="20"/>
      <c r="AC1004" s="20"/>
    </row>
    <row r="1005" spans="1:29">
      <c r="A1005" s="3" t="s">
        <v>354</v>
      </c>
      <c r="C1005" s="264">
        <f>5042</f>
        <v>5042</v>
      </c>
      <c r="D1005" s="264">
        <f>ROUND(($D$1030/$C$1030)*C1005,0)</f>
        <v>5126</v>
      </c>
      <c r="E1005" s="265">
        <v>8.23</v>
      </c>
      <c r="G1005" s="2">
        <f>ROUND(E1005*$C1005,0)</f>
        <v>41496</v>
      </c>
      <c r="H1005" s="2">
        <f>ROUND(E1005*$D1005,0)</f>
        <v>42187</v>
      </c>
      <c r="I1005" s="265" t="e">
        <f>E1005+(E1005*$P$1032)</f>
        <v>#REF!</v>
      </c>
      <c r="K1005" s="2" t="e">
        <f>ROUND(I1005*$C1005,0)</f>
        <v>#REF!</v>
      </c>
      <c r="M1005" s="84" t="e">
        <f>I1005*D1005</f>
        <v>#REF!</v>
      </c>
      <c r="N1005" s="20"/>
      <c r="O1005" s="281"/>
      <c r="P1005" s="74"/>
      <c r="Q1005" s="403"/>
      <c r="R1005" s="283"/>
      <c r="S1005" s="20"/>
      <c r="T1005" s="20"/>
      <c r="U1005" s="281"/>
      <c r="V1005" s="281"/>
      <c r="W1005" s="432"/>
      <c r="X1005" s="281"/>
      <c r="Y1005" s="20"/>
      <c r="Z1005" s="20"/>
      <c r="AA1005" s="20"/>
      <c r="AB1005" s="20"/>
      <c r="AC1005" s="20"/>
    </row>
    <row r="1006" spans="1:29">
      <c r="A1006" s="3" t="s">
        <v>355</v>
      </c>
      <c r="C1006" s="264">
        <v>0</v>
      </c>
      <c r="D1006" s="264">
        <f>ROUND(($D$1030/$C$1030)*C1006,0)</f>
        <v>0</v>
      </c>
      <c r="E1006" s="265">
        <v>15</v>
      </c>
      <c r="G1006" s="2">
        <f>ROUND(E1006*$C1006,0)</f>
        <v>0</v>
      </c>
      <c r="H1006" s="2">
        <f>ROUND(E1006*$D1006,0)</f>
        <v>0</v>
      </c>
      <c r="I1006" s="265" t="e">
        <f>E1006+(E1006*$P$1032)</f>
        <v>#REF!</v>
      </c>
      <c r="K1006" s="2" t="e">
        <f>ROUND(I1006*$C1006,0)</f>
        <v>#REF!</v>
      </c>
      <c r="M1006" s="84" t="e">
        <f>I1006*D1006</f>
        <v>#REF!</v>
      </c>
      <c r="N1006" s="20"/>
      <c r="O1006" s="281"/>
      <c r="P1006" s="74"/>
      <c r="Q1006" s="403"/>
      <c r="R1006" s="283"/>
      <c r="S1006" s="20"/>
      <c r="T1006" s="20"/>
      <c r="U1006" s="281"/>
      <c r="V1006" s="281"/>
      <c r="W1006" s="432"/>
      <c r="X1006" s="281"/>
      <c r="Y1006" s="20"/>
      <c r="Z1006" s="20"/>
      <c r="AA1006" s="20"/>
      <c r="AB1006" s="20"/>
      <c r="AC1006" s="20"/>
    </row>
    <row r="1007" spans="1:29">
      <c r="A1007" s="430" t="s">
        <v>510</v>
      </c>
      <c r="C1007" s="264"/>
      <c r="D1007" s="264"/>
      <c r="E1007" s="265"/>
      <c r="G1007" s="2"/>
      <c r="H1007" s="2"/>
      <c r="I1007" s="265"/>
      <c r="K1007" s="2"/>
      <c r="N1007" s="20"/>
      <c r="O1007" s="281"/>
      <c r="P1007" s="74"/>
      <c r="Q1007" s="20"/>
      <c r="R1007" s="20"/>
      <c r="S1007" s="20"/>
      <c r="T1007" s="20"/>
      <c r="U1007" s="20"/>
      <c r="V1007" s="20"/>
      <c r="W1007" s="432"/>
      <c r="X1007" s="20"/>
      <c r="Y1007" s="20"/>
      <c r="Z1007" s="20"/>
      <c r="AA1007" s="20"/>
      <c r="AB1007" s="20"/>
      <c r="AC1007" s="20"/>
    </row>
    <row r="1008" spans="1:29">
      <c r="A1008" s="3" t="s">
        <v>508</v>
      </c>
      <c r="C1008" s="264"/>
      <c r="D1008" s="264"/>
      <c r="E1008" s="433"/>
      <c r="G1008" s="263"/>
      <c r="H1008" s="263"/>
      <c r="I1008" s="433"/>
      <c r="N1008" s="20"/>
      <c r="O1008" s="74"/>
      <c r="P1008" s="74"/>
      <c r="Q1008" s="20"/>
      <c r="R1008" s="20"/>
      <c r="S1008" s="20"/>
      <c r="T1008" s="20"/>
      <c r="U1008" s="20"/>
      <c r="V1008" s="20"/>
      <c r="W1008" s="432"/>
      <c r="X1008" s="20"/>
      <c r="Y1008" s="20"/>
      <c r="Z1008" s="20"/>
      <c r="AA1008" s="20"/>
      <c r="AB1008" s="20"/>
      <c r="AC1008" s="20"/>
    </row>
    <row r="1009" spans="1:29">
      <c r="A1009" s="3" t="s">
        <v>354</v>
      </c>
      <c r="C1009" s="264">
        <f>471</f>
        <v>471</v>
      </c>
      <c r="D1009" s="264">
        <f>ROUND(($D$1030/$C$1030)*C1009,0)</f>
        <v>479</v>
      </c>
      <c r="E1009" s="265">
        <v>11.47</v>
      </c>
      <c r="G1009" s="2">
        <f>ROUND(E1009*$C1009,0)</f>
        <v>5402</v>
      </c>
      <c r="H1009" s="2">
        <f>ROUND(E1009*$D1009,0)</f>
        <v>5494</v>
      </c>
      <c r="I1009" s="265" t="e">
        <f>E1009+(E1009*$P$1032)</f>
        <v>#REF!</v>
      </c>
      <c r="K1009" s="2" t="e">
        <f>ROUND(I1009*$C1009,0)</f>
        <v>#REF!</v>
      </c>
      <c r="M1009" s="84" t="e">
        <f>I1009*D1009</f>
        <v>#REF!</v>
      </c>
      <c r="N1009" s="20"/>
      <c r="O1009" s="281"/>
      <c r="P1009" s="74"/>
      <c r="Q1009" s="403"/>
      <c r="R1009" s="283"/>
      <c r="S1009" s="20"/>
      <c r="T1009" s="20"/>
      <c r="U1009" s="281"/>
      <c r="V1009" s="281"/>
      <c r="W1009" s="432"/>
      <c r="X1009" s="281"/>
      <c r="Y1009" s="20"/>
      <c r="Z1009" s="20"/>
      <c r="AA1009" s="20"/>
      <c r="AB1009" s="20"/>
      <c r="AC1009" s="20"/>
    </row>
    <row r="1010" spans="1:29">
      <c r="A1010" s="3" t="s">
        <v>355</v>
      </c>
      <c r="C1010" s="264">
        <f>456</f>
        <v>456</v>
      </c>
      <c r="D1010" s="264">
        <f>ROUND(($D$1030/$C$1030)*C1010,0)</f>
        <v>464</v>
      </c>
      <c r="E1010" s="265">
        <v>19.260000000000002</v>
      </c>
      <c r="G1010" s="2">
        <f>ROUND(E1010*$C1010,0)</f>
        <v>8783</v>
      </c>
      <c r="H1010" s="2">
        <f>ROUND(E1010*$D1010,0)</f>
        <v>8937</v>
      </c>
      <c r="I1010" s="265" t="e">
        <f>E1010+(E1010*$P$1032)</f>
        <v>#REF!</v>
      </c>
      <c r="K1010" s="2" t="e">
        <f>ROUND(I1010*$C1010,0)</f>
        <v>#REF!</v>
      </c>
      <c r="M1010" s="84" t="e">
        <f>I1010*D1010</f>
        <v>#REF!</v>
      </c>
      <c r="N1010" s="20"/>
      <c r="O1010" s="281"/>
      <c r="P1010" s="74"/>
      <c r="Q1010" s="403"/>
      <c r="R1010" s="283"/>
      <c r="S1010" s="429"/>
      <c r="T1010" s="429"/>
      <c r="U1010" s="281"/>
      <c r="V1010" s="281"/>
      <c r="W1010" s="432"/>
      <c r="X1010" s="281"/>
      <c r="Y1010" s="20"/>
      <c r="Z1010" s="20"/>
      <c r="AA1010" s="20"/>
      <c r="AB1010" s="20"/>
      <c r="AC1010" s="20"/>
    </row>
    <row r="1011" spans="1:29">
      <c r="A1011" s="3" t="s">
        <v>356</v>
      </c>
      <c r="C1011" s="264">
        <v>0</v>
      </c>
      <c r="D1011" s="264">
        <f>ROUND(($D$1030/$C$1030)*C1011,0)</f>
        <v>0</v>
      </c>
      <c r="E1011" s="265">
        <v>35.75</v>
      </c>
      <c r="G1011" s="2">
        <f>ROUND(E1011*$C1011,0)</f>
        <v>0</v>
      </c>
      <c r="H1011" s="2">
        <f>ROUND(E1011*$D1011,0)</f>
        <v>0</v>
      </c>
      <c r="I1011" s="265" t="e">
        <f>E1011+(E1011*$P$1032)</f>
        <v>#REF!</v>
      </c>
      <c r="K1011" s="2" t="e">
        <f>ROUND(I1011*$C1011,0)</f>
        <v>#REF!</v>
      </c>
      <c r="M1011" s="84" t="e">
        <f>I1011*D1011</f>
        <v>#REF!</v>
      </c>
      <c r="N1011" s="20"/>
      <c r="O1011" s="281"/>
      <c r="P1011" s="74"/>
      <c r="Q1011" s="403"/>
      <c r="R1011" s="283"/>
      <c r="S1011" s="429"/>
      <c r="T1011" s="429"/>
      <c r="U1011" s="281"/>
      <c r="V1011" s="281"/>
      <c r="W1011" s="432"/>
      <c r="X1011" s="281"/>
      <c r="Y1011" s="20"/>
      <c r="Z1011" s="20"/>
      <c r="AA1011" s="20"/>
      <c r="AB1011" s="20"/>
      <c r="AC1011" s="20"/>
    </row>
    <row r="1012" spans="1:29">
      <c r="A1012" s="3" t="s">
        <v>509</v>
      </c>
      <c r="C1012" s="264"/>
      <c r="D1012" s="264"/>
      <c r="E1012" s="433"/>
      <c r="G1012" s="263"/>
      <c r="H1012" s="263"/>
      <c r="I1012" s="433"/>
      <c r="M1012" s="20"/>
      <c r="N1012" s="20"/>
      <c r="O1012" s="20"/>
      <c r="P1012" s="435"/>
      <c r="Q1012" s="435"/>
      <c r="R1012" s="729"/>
      <c r="S1012" s="429"/>
      <c r="T1012" s="429"/>
      <c r="U1012" s="437"/>
      <c r="V1012" s="20"/>
      <c r="W1012" s="432"/>
      <c r="X1012" s="20"/>
      <c r="Y1012" s="20"/>
      <c r="Z1012" s="20"/>
      <c r="AA1012" s="20"/>
      <c r="AB1012" s="20"/>
      <c r="AC1012" s="20"/>
    </row>
    <row r="1013" spans="1:29">
      <c r="A1013" s="3" t="s">
        <v>354</v>
      </c>
      <c r="C1013" s="264">
        <v>0</v>
      </c>
      <c r="D1013" s="264">
        <f>ROUND(($D$1030/$C$1030)*C1013,0)</f>
        <v>0</v>
      </c>
      <c r="E1013" s="265">
        <v>10.86</v>
      </c>
      <c r="G1013" s="2">
        <f>ROUND(E1013*$C1013,0)</f>
        <v>0</v>
      </c>
      <c r="H1013" s="2">
        <f>ROUND(E1013*$D1013,0)</f>
        <v>0</v>
      </c>
      <c r="I1013" s="265" t="e">
        <f>E1013+(E1013*$P$1032)</f>
        <v>#REF!</v>
      </c>
      <c r="K1013" s="2" t="e">
        <f>ROUND(I1013*$C1013,0)</f>
        <v>#REF!</v>
      </c>
      <c r="M1013" s="84" t="e">
        <f>I1013*D1013</f>
        <v>#REF!</v>
      </c>
      <c r="N1013" s="20"/>
      <c r="O1013" s="281"/>
      <c r="P1013" s="74"/>
      <c r="Q1013" s="403"/>
      <c r="R1013" s="283"/>
      <c r="S1013" s="429"/>
      <c r="T1013" s="429"/>
      <c r="U1013" s="281"/>
      <c r="V1013" s="281"/>
      <c r="W1013" s="432"/>
      <c r="X1013" s="281"/>
      <c r="Y1013" s="20"/>
      <c r="Z1013" s="20"/>
      <c r="AA1013" s="20"/>
      <c r="AB1013" s="20"/>
      <c r="AC1013" s="20"/>
    </row>
    <row r="1014" spans="1:29">
      <c r="A1014" s="3" t="s">
        <v>355</v>
      </c>
      <c r="C1014" s="264">
        <v>0</v>
      </c>
      <c r="D1014" s="264">
        <f>ROUND(($D$1030/$C$1030)*C1014,0)</f>
        <v>0</v>
      </c>
      <c r="E1014" s="265">
        <v>18.21</v>
      </c>
      <c r="G1014" s="2">
        <f>ROUND(E1014*$C1014,0)</f>
        <v>0</v>
      </c>
      <c r="H1014" s="2">
        <f>ROUND(E1014*$D1014,0)</f>
        <v>0</v>
      </c>
      <c r="I1014" s="265" t="e">
        <f>E1014+(E1014*$P$1032)</f>
        <v>#REF!</v>
      </c>
      <c r="K1014" s="2" t="e">
        <f>ROUND(I1014*$C1014,0)</f>
        <v>#REF!</v>
      </c>
      <c r="M1014" s="84" t="e">
        <f>I1014*D1014</f>
        <v>#REF!</v>
      </c>
      <c r="N1014" s="20"/>
      <c r="O1014" s="281"/>
      <c r="P1014" s="74"/>
      <c r="Q1014" s="403"/>
      <c r="R1014" s="283"/>
      <c r="S1014" s="429"/>
      <c r="T1014" s="429"/>
      <c r="U1014" s="281"/>
      <c r="V1014" s="281"/>
      <c r="W1014" s="432"/>
      <c r="X1014" s="281"/>
      <c r="Y1014" s="20"/>
      <c r="Z1014" s="20"/>
      <c r="AA1014" s="20"/>
      <c r="AB1014" s="20"/>
      <c r="AC1014" s="20"/>
    </row>
    <row r="1015" spans="1:29">
      <c r="A1015" s="430" t="s">
        <v>511</v>
      </c>
      <c r="B1015" s="303"/>
      <c r="C1015" s="264"/>
      <c r="D1015" s="264"/>
      <c r="E1015" s="433"/>
      <c r="F1015" s="303"/>
      <c r="G1015" s="303"/>
      <c r="H1015" s="303"/>
      <c r="I1015" s="433"/>
      <c r="J1015" s="303"/>
      <c r="K1015" s="303"/>
      <c r="M1015" s="20"/>
      <c r="N1015" s="20"/>
      <c r="O1015" s="20"/>
      <c r="P1015" s="435"/>
      <c r="Q1015" s="435"/>
      <c r="R1015" s="729"/>
      <c r="S1015" s="429"/>
      <c r="T1015" s="429"/>
      <c r="U1015" s="437"/>
      <c r="V1015" s="20"/>
      <c r="W1015" s="432"/>
      <c r="X1015" s="20"/>
      <c r="Y1015" s="20"/>
      <c r="Z1015" s="20"/>
      <c r="AA1015" s="20"/>
      <c r="AB1015" s="20"/>
      <c r="AC1015" s="20"/>
    </row>
    <row r="1016" spans="1:29">
      <c r="A1016" s="3" t="s">
        <v>508</v>
      </c>
      <c r="C1016" s="264"/>
      <c r="D1016" s="264"/>
      <c r="E1016" s="433"/>
      <c r="G1016" s="263"/>
      <c r="H1016" s="263"/>
      <c r="I1016" s="433"/>
      <c r="M1016" s="20"/>
      <c r="N1016" s="20"/>
      <c r="O1016" s="20"/>
      <c r="P1016" s="435"/>
      <c r="Q1016" s="435"/>
      <c r="R1016" s="729"/>
      <c r="S1016" s="429"/>
      <c r="T1016" s="429"/>
      <c r="U1016" s="437"/>
      <c r="V1016" s="20"/>
      <c r="W1016" s="432"/>
      <c r="X1016" s="20"/>
      <c r="Y1016" s="20"/>
      <c r="Z1016" s="20"/>
      <c r="AA1016" s="20"/>
      <c r="AB1016" s="20"/>
      <c r="AC1016" s="20"/>
    </row>
    <row r="1017" spans="1:29">
      <c r="A1017" s="3" t="s">
        <v>354</v>
      </c>
      <c r="C1017" s="264">
        <v>0</v>
      </c>
      <c r="D1017" s="264">
        <f>ROUND(($D$1030/$C$1030)*C1017,0)</f>
        <v>0</v>
      </c>
      <c r="E1017" s="265">
        <v>11.47</v>
      </c>
      <c r="G1017" s="2">
        <f>ROUND(E1017*$C1017,0)</f>
        <v>0</v>
      </c>
      <c r="H1017" s="2">
        <f>ROUND(E1017*$D1017,0)</f>
        <v>0</v>
      </c>
      <c r="I1017" s="265" t="e">
        <f>E1017+(E1017*$P$1032)</f>
        <v>#REF!</v>
      </c>
      <c r="K1017" s="2" t="e">
        <f>ROUND(I1017*$C1017,0)</f>
        <v>#REF!</v>
      </c>
      <c r="M1017" s="84" t="e">
        <f>I1017*D1017</f>
        <v>#REF!</v>
      </c>
      <c r="N1017" s="20"/>
      <c r="O1017" s="281"/>
      <c r="P1017" s="74"/>
      <c r="Q1017" s="403"/>
      <c r="R1017" s="283"/>
      <c r="S1017" s="429"/>
      <c r="T1017" s="429"/>
      <c r="U1017" s="281"/>
      <c r="V1017" s="281"/>
      <c r="W1017" s="432"/>
      <c r="X1017" s="281"/>
      <c r="Y1017" s="20"/>
      <c r="Z1017" s="20"/>
      <c r="AA1017" s="20"/>
      <c r="AB1017" s="20"/>
      <c r="AC1017" s="20"/>
    </row>
    <row r="1018" spans="1:29">
      <c r="A1018" s="3" t="s">
        <v>355</v>
      </c>
      <c r="C1018" s="264">
        <v>0</v>
      </c>
      <c r="D1018" s="264">
        <f>ROUND(($D$1030/$C$1030)*C1018,0)</f>
        <v>0</v>
      </c>
      <c r="E1018" s="265">
        <v>18.649999999999999</v>
      </c>
      <c r="G1018" s="2">
        <f>ROUND(E1018*$C1018,0)</f>
        <v>0</v>
      </c>
      <c r="H1018" s="2">
        <f>ROUND(E1018*$D1018,0)</f>
        <v>0</v>
      </c>
      <c r="I1018" s="265" t="e">
        <f>E1018+(E1018*$P$1032)</f>
        <v>#REF!</v>
      </c>
      <c r="K1018" s="2" t="e">
        <f>ROUND(I1018*$C1018,0)</f>
        <v>#REF!</v>
      </c>
      <c r="M1018" s="84" t="e">
        <f>I1018*D1018</f>
        <v>#REF!</v>
      </c>
      <c r="N1018" s="20"/>
      <c r="O1018" s="281"/>
      <c r="P1018" s="74"/>
      <c r="Q1018" s="403"/>
      <c r="R1018" s="283"/>
      <c r="S1018" s="429"/>
      <c r="T1018" s="429"/>
      <c r="U1018" s="281"/>
      <c r="V1018" s="281"/>
      <c r="W1018" s="432"/>
      <c r="X1018" s="281"/>
      <c r="Y1018" s="20"/>
      <c r="Z1018" s="20"/>
      <c r="AA1018" s="20"/>
      <c r="AB1018" s="20"/>
      <c r="AC1018" s="20"/>
    </row>
    <row r="1019" spans="1:29">
      <c r="A1019" s="3" t="s">
        <v>356</v>
      </c>
      <c r="C1019" s="264">
        <v>0</v>
      </c>
      <c r="D1019" s="264">
        <f>ROUND(($D$1030/$C$1030)*C1019,0)</f>
        <v>0</v>
      </c>
      <c r="E1019" s="265">
        <v>35.130000000000003</v>
      </c>
      <c r="G1019" s="2">
        <f>ROUND(E1019*$C1019,0)</f>
        <v>0</v>
      </c>
      <c r="H1019" s="2">
        <f>ROUND(E1019*$D1019,0)</f>
        <v>0</v>
      </c>
      <c r="I1019" s="265" t="e">
        <f>E1019+(E1019*$P$1032)</f>
        <v>#REF!</v>
      </c>
      <c r="K1019" s="2" t="e">
        <f>ROUND(I1019*$C1019,0)</f>
        <v>#REF!</v>
      </c>
      <c r="M1019" s="84" t="e">
        <f>I1019*D1019</f>
        <v>#REF!</v>
      </c>
      <c r="N1019" s="20"/>
      <c r="O1019" s="281"/>
      <c r="P1019" s="74"/>
      <c r="Q1019" s="403"/>
      <c r="R1019" s="283"/>
      <c r="S1019" s="429"/>
      <c r="T1019" s="429"/>
      <c r="U1019" s="281"/>
      <c r="V1019" s="281"/>
      <c r="W1019" s="432"/>
      <c r="X1019" s="281"/>
      <c r="Y1019" s="20"/>
      <c r="Z1019" s="20"/>
      <c r="AA1019" s="20"/>
      <c r="AB1019" s="20"/>
      <c r="AC1019" s="20"/>
    </row>
    <row r="1020" spans="1:29">
      <c r="A1020" s="3" t="s">
        <v>509</v>
      </c>
      <c r="C1020" s="264"/>
      <c r="D1020" s="264"/>
      <c r="E1020" s="433"/>
      <c r="G1020" s="263"/>
      <c r="H1020" s="263"/>
      <c r="I1020" s="433"/>
      <c r="M1020" s="20"/>
      <c r="N1020" s="20"/>
      <c r="O1020" s="20"/>
      <c r="P1020" s="435"/>
      <c r="Q1020" s="435"/>
      <c r="R1020" s="729"/>
      <c r="S1020" s="429"/>
      <c r="T1020" s="429"/>
      <c r="U1020" s="437"/>
      <c r="V1020" s="20"/>
      <c r="W1020" s="432"/>
      <c r="X1020" s="20"/>
      <c r="Y1020" s="20"/>
      <c r="Z1020" s="20"/>
      <c r="AA1020" s="20"/>
      <c r="AB1020" s="20"/>
      <c r="AC1020" s="20"/>
    </row>
    <row r="1021" spans="1:29">
      <c r="A1021" s="3" t="s">
        <v>354</v>
      </c>
      <c r="C1021" s="264">
        <v>0</v>
      </c>
      <c r="D1021" s="264">
        <f>ROUND(($D$1030/$C$1030)*C1021,0)</f>
        <v>0</v>
      </c>
      <c r="E1021" s="265">
        <v>10.86</v>
      </c>
      <c r="G1021" s="2">
        <f>ROUND(E1021*$C1021,0)</f>
        <v>0</v>
      </c>
      <c r="H1021" s="2">
        <f>ROUND(E1021*$D1021,0)</f>
        <v>0</v>
      </c>
      <c r="I1021" s="265" t="e">
        <f>E1021+(E1021*$P$1032)</f>
        <v>#REF!</v>
      </c>
      <c r="K1021" s="2" t="e">
        <f>ROUND(I1021*$C1021,0)</f>
        <v>#REF!</v>
      </c>
      <c r="M1021" s="84" t="e">
        <f>I1021*D1021</f>
        <v>#REF!</v>
      </c>
      <c r="N1021" s="20"/>
      <c r="O1021" s="281"/>
      <c r="P1021" s="74"/>
      <c r="Q1021" s="403"/>
      <c r="R1021" s="283"/>
      <c r="S1021" s="429"/>
      <c r="T1021" s="429"/>
      <c r="U1021" s="281"/>
      <c r="V1021" s="281"/>
      <c r="W1021" s="432"/>
      <c r="X1021" s="281"/>
      <c r="Y1021" s="20"/>
      <c r="Z1021" s="20"/>
      <c r="AA1021" s="20"/>
      <c r="AB1021" s="20"/>
      <c r="AC1021" s="20"/>
    </row>
    <row r="1022" spans="1:29">
      <c r="A1022" s="3" t="s">
        <v>355</v>
      </c>
      <c r="C1022" s="264">
        <v>0</v>
      </c>
      <c r="D1022" s="264">
        <f>ROUND(($D$1030/$C$1030)*C1022,0)</f>
        <v>0</v>
      </c>
      <c r="E1022" s="265">
        <v>17.600000000000001</v>
      </c>
      <c r="G1022" s="2">
        <f>ROUND(E1022*$C1022,0)</f>
        <v>0</v>
      </c>
      <c r="H1022" s="2">
        <f>ROUND(E1022*$D1022,0)</f>
        <v>0</v>
      </c>
      <c r="I1022" s="265" t="e">
        <f>E1022+(E1022*$P$1032)</f>
        <v>#REF!</v>
      </c>
      <c r="K1022" s="2" t="e">
        <f>ROUND(I1022*$C1022,0)</f>
        <v>#REF!</v>
      </c>
      <c r="M1022" s="84" t="e">
        <f>I1022*D1022</f>
        <v>#REF!</v>
      </c>
      <c r="N1022" s="20"/>
      <c r="O1022" s="281"/>
      <c r="P1022" s="74"/>
      <c r="Q1022" s="403"/>
      <c r="R1022" s="283"/>
      <c r="S1022" s="429"/>
      <c r="T1022" s="429"/>
      <c r="U1022" s="281"/>
      <c r="V1022" s="281"/>
      <c r="W1022" s="432"/>
      <c r="X1022" s="281"/>
      <c r="Y1022" s="20"/>
      <c r="Z1022" s="20"/>
      <c r="AA1022" s="20"/>
      <c r="AB1022" s="20"/>
      <c r="AC1022" s="20"/>
    </row>
    <row r="1023" spans="1:29">
      <c r="A1023" s="430" t="s">
        <v>512</v>
      </c>
      <c r="B1023" s="303"/>
      <c r="C1023" s="264"/>
      <c r="D1023" s="264"/>
      <c r="E1023" s="433"/>
      <c r="F1023" s="303"/>
      <c r="G1023" s="303"/>
      <c r="H1023" s="303"/>
      <c r="I1023" s="433"/>
      <c r="J1023" s="303"/>
      <c r="K1023" s="303"/>
      <c r="M1023" s="20"/>
      <c r="N1023" s="20"/>
      <c r="O1023" s="20"/>
      <c r="P1023" s="435"/>
      <c r="Q1023" s="435"/>
      <c r="R1023" s="729"/>
      <c r="S1023" s="429"/>
      <c r="T1023" s="429"/>
      <c r="U1023" s="437"/>
      <c r="V1023" s="20"/>
      <c r="W1023" s="432"/>
      <c r="X1023" s="20"/>
      <c r="Y1023" s="20"/>
      <c r="Z1023" s="20"/>
      <c r="AA1023" s="20"/>
      <c r="AB1023" s="20"/>
      <c r="AC1023" s="20"/>
    </row>
    <row r="1024" spans="1:29">
      <c r="A1024" s="3" t="s">
        <v>354</v>
      </c>
      <c r="C1024" s="264">
        <f>1999</f>
        <v>1999</v>
      </c>
      <c r="D1024" s="264">
        <f>ROUND(($D$1030/$C$1030)*C1024,0)</f>
        <v>2032</v>
      </c>
      <c r="E1024" s="265">
        <v>9.18</v>
      </c>
      <c r="G1024" s="2">
        <f>ROUND(E1024*$C1024,0)</f>
        <v>18351</v>
      </c>
      <c r="H1024" s="2">
        <f>ROUND(E1024*$D1024,0)</f>
        <v>18654</v>
      </c>
      <c r="I1024" s="265" t="e">
        <f>E1024+(E1024*$P$1032)</f>
        <v>#REF!</v>
      </c>
      <c r="K1024" s="2" t="e">
        <f>ROUND(I1024*$C1024,0)</f>
        <v>#REF!</v>
      </c>
      <c r="M1024" s="84" t="e">
        <f>I1024*D1024</f>
        <v>#REF!</v>
      </c>
      <c r="N1024" s="20"/>
      <c r="O1024" s="281"/>
      <c r="P1024" s="74"/>
      <c r="Q1024" s="403"/>
      <c r="R1024" s="283"/>
      <c r="S1024" s="429"/>
      <c r="T1024" s="429"/>
      <c r="U1024" s="281"/>
      <c r="V1024" s="281"/>
      <c r="W1024" s="432"/>
      <c r="X1024" s="281"/>
      <c r="Y1024" s="20"/>
      <c r="Z1024" s="20"/>
      <c r="AA1024" s="20"/>
      <c r="AB1024" s="20"/>
      <c r="AC1024" s="20"/>
    </row>
    <row r="1025" spans="1:29">
      <c r="A1025" s="3" t="s">
        <v>355</v>
      </c>
      <c r="C1025" s="264">
        <f>1691</f>
        <v>1691</v>
      </c>
      <c r="D1025" s="264">
        <f>ROUND(($D$1030/$C$1030)*C1025,0)</f>
        <v>1719</v>
      </c>
      <c r="E1025" s="265">
        <v>16.079999999999998</v>
      </c>
      <c r="G1025" s="2">
        <f>ROUND(E1025*$C1025,0)</f>
        <v>27191</v>
      </c>
      <c r="H1025" s="2">
        <f>ROUND(E1025*$D1025,0)</f>
        <v>27642</v>
      </c>
      <c r="I1025" s="265" t="e">
        <f>E1025+(E1025*$P$1032)</f>
        <v>#REF!</v>
      </c>
      <c r="K1025" s="2" t="e">
        <f>ROUND(I1025*$C1025,0)</f>
        <v>#REF!</v>
      </c>
      <c r="M1025" s="84" t="e">
        <f>I1025*D1025</f>
        <v>#REF!</v>
      </c>
      <c r="N1025" s="20"/>
      <c r="O1025" s="281"/>
      <c r="P1025" s="74"/>
      <c r="Q1025" s="403"/>
      <c r="R1025" s="283"/>
      <c r="S1025" s="429"/>
      <c r="T1025" s="429"/>
      <c r="U1025" s="281"/>
      <c r="V1025" s="281"/>
      <c r="W1025" s="432"/>
      <c r="X1025" s="281"/>
      <c r="Y1025" s="20"/>
      <c r="Z1025" s="20"/>
      <c r="AA1025" s="20"/>
      <c r="AB1025" s="20"/>
      <c r="AC1025" s="20"/>
    </row>
    <row r="1026" spans="1:29">
      <c r="A1026" s="3" t="s">
        <v>356</v>
      </c>
      <c r="C1026" s="264">
        <v>0</v>
      </c>
      <c r="D1026" s="264">
        <f>ROUND(($D$1030/$C$1030)*C1026,0)</f>
        <v>0</v>
      </c>
      <c r="E1026" s="265">
        <v>34.340000000000003</v>
      </c>
      <c r="G1026" s="2">
        <f>ROUND(E1026*$C1026,0)</f>
        <v>0</v>
      </c>
      <c r="H1026" s="2">
        <f>ROUND(E1026*$D1026,0)</f>
        <v>0</v>
      </c>
      <c r="I1026" s="265" t="e">
        <f>E1026+(E1026*$P$1032)</f>
        <v>#REF!</v>
      </c>
      <c r="K1026" s="2" t="e">
        <f>ROUND(I1026*$C1026,0)</f>
        <v>#REF!</v>
      </c>
      <c r="M1026" s="84" t="e">
        <f>I1026*D1026</f>
        <v>#REF!</v>
      </c>
      <c r="N1026" s="20"/>
      <c r="O1026" s="281"/>
      <c r="P1026" s="74"/>
      <c r="Q1026" s="403"/>
      <c r="R1026" s="283"/>
      <c r="S1026" s="429"/>
      <c r="T1026" s="429"/>
      <c r="U1026" s="281"/>
      <c r="V1026" s="281"/>
      <c r="W1026" s="432"/>
      <c r="X1026" s="281"/>
      <c r="Y1026" s="20"/>
      <c r="Z1026" s="20"/>
      <c r="AA1026" s="20"/>
      <c r="AB1026" s="20"/>
      <c r="AC1026" s="20"/>
    </row>
    <row r="1027" spans="1:29">
      <c r="A1027" s="5" t="s">
        <v>513</v>
      </c>
      <c r="C1027" s="264"/>
      <c r="D1027" s="264"/>
      <c r="E1027" s="265"/>
      <c r="G1027" s="2"/>
      <c r="H1027" s="2"/>
      <c r="I1027" s="265"/>
      <c r="K1027" s="2"/>
      <c r="M1027" s="20"/>
      <c r="N1027" s="20"/>
      <c r="O1027" s="20"/>
      <c r="P1027" s="435"/>
      <c r="Q1027" s="435"/>
      <c r="R1027" s="730"/>
      <c r="S1027" s="429"/>
      <c r="T1027" s="429"/>
      <c r="U1027" s="437"/>
      <c r="V1027" s="20"/>
      <c r="W1027" s="432"/>
      <c r="X1027" s="20"/>
      <c r="Y1027" s="20"/>
      <c r="Z1027" s="20"/>
      <c r="AA1027" s="20"/>
      <c r="AB1027" s="20"/>
      <c r="AC1027" s="20"/>
    </row>
    <row r="1028" spans="1:29">
      <c r="A1028" s="3" t="s">
        <v>514</v>
      </c>
      <c r="C1028" s="264">
        <f>96</f>
        <v>96</v>
      </c>
      <c r="D1028" s="264">
        <f>ROUND(($D$1030/$C$1030)*C1028,0)</f>
        <v>98</v>
      </c>
      <c r="E1028" s="265">
        <v>32.950000000000003</v>
      </c>
      <c r="G1028" s="2">
        <f>ROUND(E1028*$C1028,0)</f>
        <v>3163</v>
      </c>
      <c r="H1028" s="2">
        <f>ROUND(E1028*$D1028,0)</f>
        <v>3229</v>
      </c>
      <c r="I1028" s="265" t="e">
        <f>E1028+(E1028*$P$1032)</f>
        <v>#REF!</v>
      </c>
      <c r="K1028" s="2" t="e">
        <f>ROUND(I1028*$C1028,0)</f>
        <v>#REF!</v>
      </c>
      <c r="M1028" s="84" t="e">
        <f>I1028*D1028</f>
        <v>#REF!</v>
      </c>
      <c r="N1028" s="20"/>
      <c r="O1028" s="281"/>
      <c r="P1028" s="74"/>
      <c r="Q1028" s="403"/>
      <c r="R1028" s="283"/>
      <c r="S1028" s="429"/>
      <c r="T1028" s="429"/>
      <c r="U1028" s="281"/>
      <c r="V1028" s="281"/>
      <c r="W1028" s="432"/>
      <c r="X1028" s="281"/>
      <c r="Y1028" s="20"/>
      <c r="Z1028" s="20"/>
      <c r="AA1028" s="20"/>
      <c r="AB1028" s="20"/>
      <c r="AC1028" s="20"/>
    </row>
    <row r="1029" spans="1:29">
      <c r="A1029" s="3" t="s">
        <v>362</v>
      </c>
      <c r="C1029" s="264">
        <f>74+91+41+12+35+35+27+62+12</f>
        <v>389</v>
      </c>
      <c r="D1029" s="264">
        <v>588</v>
      </c>
      <c r="E1029" s="439"/>
      <c r="G1029" s="2"/>
      <c r="H1029" s="2"/>
      <c r="I1029" s="439"/>
      <c r="K1029" s="2"/>
      <c r="N1029" s="20"/>
      <c r="O1029" s="281"/>
      <c r="P1029" s="440"/>
      <c r="Q1029" s="20"/>
      <c r="R1029" s="287"/>
      <c r="S1029" s="278"/>
      <c r="T1029" s="278"/>
      <c r="U1029" s="281"/>
      <c r="V1029" s="281"/>
      <c r="W1029" s="281"/>
      <c r="X1029" s="281"/>
      <c r="Y1029" s="20"/>
      <c r="Z1029" s="20"/>
      <c r="AA1029" s="20"/>
      <c r="AB1029" s="20"/>
      <c r="AC1029" s="20"/>
    </row>
    <row r="1030" spans="1:29">
      <c r="A1030" s="3" t="s">
        <v>381</v>
      </c>
      <c r="C1030" s="264">
        <f>2042049</f>
        <v>2042049</v>
      </c>
      <c r="D1030" s="264">
        <v>2075987.7990116791</v>
      </c>
      <c r="E1030" s="269"/>
      <c r="F1030" s="20"/>
      <c r="G1030" s="272">
        <f>SUM(G1001:G1028)</f>
        <v>223707</v>
      </c>
      <c r="H1030" s="272">
        <f>SUM(H1001:H1028)</f>
        <v>227464</v>
      </c>
      <c r="I1030" s="269"/>
      <c r="J1030" s="20"/>
      <c r="K1030" s="272" t="e">
        <f>SUM(K1001:K1028)</f>
        <v>#REF!</v>
      </c>
      <c r="M1030" s="84" t="e">
        <f>SUM(M1001:M1029)</f>
        <v>#REF!</v>
      </c>
      <c r="N1030" s="20"/>
      <c r="O1030" s="281"/>
      <c r="P1030" s="731"/>
      <c r="Q1030" s="20"/>
      <c r="R1030" s="287"/>
      <c r="S1030" s="278"/>
      <c r="T1030" s="278"/>
      <c r="U1030" s="288"/>
      <c r="V1030" s="278"/>
      <c r="W1030" s="278"/>
      <c r="X1030" s="278"/>
      <c r="Y1030" s="20"/>
      <c r="Z1030" s="20"/>
      <c r="AA1030" s="20"/>
      <c r="AB1030" s="20"/>
      <c r="AC1030" s="20"/>
    </row>
    <row r="1031" spans="1:29">
      <c r="A1031" s="3" t="s">
        <v>363</v>
      </c>
      <c r="C1031" s="264" t="e">
        <f>#REF!</f>
        <v>#REF!</v>
      </c>
      <c r="D1031" s="264">
        <v>0</v>
      </c>
      <c r="E1031" s="269"/>
      <c r="F1031" s="20"/>
      <c r="G1031" s="272" t="e">
        <f>#REF!</f>
        <v>#REF!</v>
      </c>
      <c r="H1031" s="272">
        <v>0</v>
      </c>
      <c r="I1031" s="269"/>
      <c r="J1031" s="20"/>
      <c r="K1031" s="272" t="e">
        <f>G1031</f>
        <v>#REF!</v>
      </c>
      <c r="M1031" s="289"/>
      <c r="N1031" s="444"/>
      <c r="O1031" s="287"/>
      <c r="P1031" s="278"/>
      <c r="Q1031" s="278"/>
      <c r="R1031" s="283"/>
      <c r="S1031" s="281"/>
      <c r="T1031" s="278"/>
      <c r="U1031" s="20"/>
      <c r="V1031" s="20"/>
      <c r="W1031" s="20"/>
      <c r="X1031" s="20"/>
      <c r="Y1031" s="20"/>
      <c r="Z1031" s="20"/>
      <c r="AA1031" s="20"/>
      <c r="AB1031" s="20"/>
      <c r="AC1031" s="20"/>
    </row>
    <row r="1032" spans="1:29" ht="16.5" thickBot="1">
      <c r="A1032" s="3" t="s">
        <v>9</v>
      </c>
      <c r="C1032" s="273" t="e">
        <f>C1030+C1031</f>
        <v>#REF!</v>
      </c>
      <c r="D1032" s="273">
        <f>D1030+D1031</f>
        <v>2075987.7990116791</v>
      </c>
      <c r="E1032" s="274"/>
      <c r="F1032" s="274"/>
      <c r="G1032" s="274" t="e">
        <f>G1030+G1031</f>
        <v>#REF!</v>
      </c>
      <c r="H1032" s="274">
        <f>H1030+H1031</f>
        <v>227464</v>
      </c>
      <c r="I1032" s="274"/>
      <c r="J1032" s="274"/>
      <c r="K1032" s="274" t="e">
        <f>K1030+K1031</f>
        <v>#REF!</v>
      </c>
      <c r="M1032" s="291"/>
      <c r="N1032" s="277" t="s">
        <v>409</v>
      </c>
      <c r="O1032" s="69" t="e">
        <f>#REF!*1000</f>
        <v>#REF!</v>
      </c>
      <c r="P1032" s="14" t="e">
        <f>(O1032-G1032)/G1032+0.00276</f>
        <v>#REF!</v>
      </c>
      <c r="Q1032" s="278"/>
      <c r="R1032" s="278"/>
      <c r="S1032" s="278"/>
      <c r="T1032" s="278"/>
      <c r="U1032" s="20"/>
      <c r="V1032" s="20"/>
      <c r="W1032" s="20"/>
      <c r="X1032" s="20"/>
      <c r="Y1032" s="20"/>
      <c r="Z1032" s="20"/>
      <c r="AA1032" s="20"/>
      <c r="AB1032" s="20"/>
      <c r="AC1032" s="20"/>
    </row>
    <row r="1033" spans="1:29" ht="16.5" thickTop="1">
      <c r="C1033" s="275"/>
      <c r="D1033" s="275"/>
      <c r="E1033" s="275"/>
      <c r="F1033" s="275"/>
      <c r="G1033" s="263"/>
      <c r="H1033" s="263"/>
      <c r="I1033" s="275" t="s">
        <v>31</v>
      </c>
      <c r="J1033" s="275"/>
      <c r="K1033" s="2" t="s">
        <v>31</v>
      </c>
      <c r="M1033" s="277"/>
      <c r="N1033" s="277" t="s">
        <v>263</v>
      </c>
      <c r="O1033" s="416" t="e">
        <f>O1032-K1032</f>
        <v>#REF!</v>
      </c>
      <c r="P1033" s="294" t="e">
        <f>(O1032-K1032)/K1032</f>
        <v>#REF!</v>
      </c>
      <c r="Q1033" s="278"/>
      <c r="R1033" s="278"/>
      <c r="S1033" s="278"/>
      <c r="T1033" s="278"/>
      <c r="U1033" s="20"/>
      <c r="V1033" s="20"/>
      <c r="W1033" s="20"/>
      <c r="X1033" s="20"/>
      <c r="Y1033" s="20"/>
      <c r="Z1033" s="20"/>
      <c r="AA1033" s="20"/>
      <c r="AB1033" s="20"/>
      <c r="AC1033" s="20"/>
    </row>
    <row r="1034" spans="1:29">
      <c r="A1034" s="303"/>
      <c r="B1034" s="313"/>
      <c r="C1034" s="445"/>
      <c r="D1034" s="445"/>
      <c r="E1034" s="446"/>
      <c r="F1034" s="2"/>
      <c r="G1034" s="2"/>
      <c r="H1034" s="2"/>
      <c r="I1034" s="446"/>
      <c r="J1034" s="303"/>
      <c r="K1034" s="2"/>
      <c r="M1034" s="20"/>
      <c r="N1034" s="20"/>
      <c r="O1034" s="74"/>
      <c r="P1034" s="74"/>
      <c r="Q1034" s="20"/>
      <c r="R1034" s="20"/>
      <c r="S1034" s="20"/>
      <c r="T1034" s="20"/>
      <c r="U1034" s="20"/>
      <c r="V1034" s="20"/>
      <c r="W1034" s="20"/>
      <c r="X1034" s="20"/>
    </row>
    <row r="1035" spans="1:29" s="4" customFormat="1" ht="19.899999999999999" customHeight="1" thickBot="1">
      <c r="A1035" s="447" t="s">
        <v>515</v>
      </c>
      <c r="B1035" s="448"/>
      <c r="C1035" s="449" t="e">
        <f>C27+C91+C176+C474+C508+C627+C760+C787+C925+C936+C947+C995+C1032</f>
        <v>#REF!</v>
      </c>
      <c r="D1035" s="449" t="e">
        <f>D27+D91+D176+D474+D508+D627+D760+D787+D925+D936+D947+D995+D1032</f>
        <v>#REF!</v>
      </c>
      <c r="E1035" s="450"/>
      <c r="F1035" s="451"/>
      <c r="G1035" s="451" t="e">
        <f>G27+G91+G176+G474+G508+G627+G760+G787+G925+G936+G947+G995+G1032</f>
        <v>#REF!</v>
      </c>
      <c r="H1035" s="451" t="e">
        <f>H27+H91+H176+H474+H508+H627+H760+H787+H925+H936+H947+H995+H1032</f>
        <v>#REF!</v>
      </c>
      <c r="I1035" s="450"/>
      <c r="J1035" s="451"/>
      <c r="K1035" s="451" t="e">
        <f>K27+K91+K176+K474+K508+K627+K760+K787+K925+K936+K947+K995+K1032</f>
        <v>#REF!</v>
      </c>
      <c r="M1035" s="20"/>
      <c r="N1035" s="7" t="s">
        <v>409</v>
      </c>
      <c r="O1035" s="458" t="e">
        <f>O27+O91+O176+O508+O627+O815+O898+O925+O936+O947+O995+O1032</f>
        <v>#REF!</v>
      </c>
      <c r="P1035" s="74"/>
      <c r="Q1035" s="7"/>
      <c r="R1035" s="7"/>
      <c r="S1035" s="7"/>
      <c r="T1035" s="7"/>
      <c r="U1035" s="7"/>
      <c r="V1035" s="7"/>
      <c r="W1035" s="7"/>
      <c r="X1035" s="7"/>
    </row>
    <row r="1036" spans="1:29" ht="16.5" thickTop="1">
      <c r="A1036" s="1"/>
      <c r="B1036" s="313"/>
      <c r="C1036" s="21"/>
      <c r="D1036" s="21"/>
      <c r="E1036" s="337"/>
      <c r="F1036" s="2"/>
      <c r="G1036" s="2"/>
      <c r="H1036" s="2"/>
      <c r="I1036" s="353" t="s">
        <v>31</v>
      </c>
      <c r="J1036" s="1"/>
      <c r="K1036" s="2" t="s">
        <v>31</v>
      </c>
      <c r="M1036" s="20"/>
      <c r="N1036" s="20" t="s">
        <v>263</v>
      </c>
      <c r="O1036" s="74" t="e">
        <f>O1035-K1035</f>
        <v>#REF!</v>
      </c>
      <c r="P1036" s="314" t="e">
        <f>(O1035-K1038)/K1038</f>
        <v>#REF!</v>
      </c>
      <c r="Q1036" s="20"/>
      <c r="R1036" s="20"/>
      <c r="S1036" s="20"/>
      <c r="T1036" s="20"/>
      <c r="U1036" s="20"/>
      <c r="V1036" s="20"/>
      <c r="W1036" s="20"/>
      <c r="X1036" s="20"/>
    </row>
    <row r="1037" spans="1:29">
      <c r="A1037" s="1" t="s">
        <v>34</v>
      </c>
      <c r="B1037" s="313"/>
      <c r="C1037" s="453"/>
      <c r="D1037" s="453"/>
      <c r="E1037" s="454"/>
      <c r="F1037" s="455"/>
      <c r="G1037" s="455" t="e">
        <f>#REF!+#REF!+#REF!+#REF!+#REF!</f>
        <v>#REF!</v>
      </c>
      <c r="H1037" s="455">
        <v>311006.74</v>
      </c>
      <c r="I1037" s="456"/>
      <c r="J1037" s="457"/>
      <c r="K1037" s="455" t="e">
        <f>G1037</f>
        <v>#REF!</v>
      </c>
      <c r="M1037" s="20"/>
      <c r="Q1037" s="20"/>
      <c r="R1037" s="20"/>
      <c r="S1037" s="20"/>
      <c r="T1037" s="20"/>
      <c r="U1037" s="20"/>
      <c r="V1037" s="20"/>
      <c r="W1037" s="20"/>
      <c r="X1037" s="20"/>
    </row>
    <row r="1038" spans="1:29" s="4" customFormat="1" ht="19.899999999999999" customHeight="1" thickBot="1">
      <c r="A1038" s="459" t="s">
        <v>516</v>
      </c>
      <c r="B1038" s="460"/>
      <c r="C1038" s="461" t="e">
        <f>C1035+C1037</f>
        <v>#REF!</v>
      </c>
      <c r="D1038" s="461" t="e">
        <f>D1035+D1037</f>
        <v>#REF!</v>
      </c>
      <c r="E1038" s="462"/>
      <c r="F1038" s="463"/>
      <c r="G1038" s="464" t="e">
        <f>G1035+G1037</f>
        <v>#REF!</v>
      </c>
      <c r="H1038" s="479" t="e">
        <f>H1035+H1037</f>
        <v>#REF!</v>
      </c>
      <c r="I1038" s="465"/>
      <c r="J1038" s="463"/>
      <c r="K1038" s="479" t="e">
        <f>K1035+K1037</f>
        <v>#REF!</v>
      </c>
      <c r="M1038" s="7"/>
      <c r="Q1038" s="7"/>
      <c r="R1038" s="7"/>
      <c r="S1038" s="7"/>
      <c r="T1038" s="7"/>
      <c r="U1038" s="7"/>
      <c r="V1038" s="7"/>
      <c r="W1038" s="7"/>
      <c r="X1038" s="7"/>
    </row>
    <row r="1039" spans="1:29" ht="16.5" thickTop="1">
      <c r="A1039" s="1"/>
      <c r="B1039" s="313"/>
      <c r="C1039" s="21"/>
      <c r="D1039" s="21"/>
      <c r="E1039" s="466" t="s">
        <v>31</v>
      </c>
      <c r="F1039" s="2"/>
      <c r="G1039" s="2" t="s">
        <v>31</v>
      </c>
      <c r="H1039" s="2" t="s">
        <v>31</v>
      </c>
      <c r="I1039" s="337"/>
      <c r="J1039" s="1"/>
      <c r="K1039" s="2"/>
      <c r="M1039" s="20"/>
      <c r="N1039" s="20"/>
      <c r="O1039" s="74"/>
      <c r="P1039" s="74"/>
      <c r="Q1039" s="20"/>
      <c r="R1039" s="20"/>
      <c r="S1039" s="20"/>
      <c r="T1039" s="20"/>
      <c r="U1039" s="20"/>
      <c r="V1039" s="20"/>
      <c r="W1039" s="20"/>
      <c r="X1039" s="20"/>
    </row>
    <row r="1040" spans="1:29">
      <c r="C1040" s="467"/>
      <c r="D1040" s="467"/>
      <c r="E1040" s="270"/>
      <c r="H1040" s="468"/>
      <c r="K1040" s="264"/>
      <c r="M1040" s="20"/>
      <c r="N1040" s="20"/>
      <c r="O1040" s="74"/>
      <c r="P1040" s="74"/>
      <c r="Q1040" s="20"/>
      <c r="R1040" s="20"/>
      <c r="S1040" s="20"/>
      <c r="T1040" s="20"/>
      <c r="U1040" s="20"/>
      <c r="V1040" s="20"/>
      <c r="W1040" s="20"/>
      <c r="X1040" s="20"/>
    </row>
    <row r="1041" spans="1:24">
      <c r="A1041" s="469"/>
      <c r="M1041" s="20"/>
      <c r="N1041" s="20"/>
      <c r="O1041" s="74"/>
      <c r="P1041" s="74"/>
      <c r="Q1041" s="20"/>
      <c r="R1041" s="20"/>
      <c r="S1041" s="20"/>
      <c r="T1041" s="20"/>
      <c r="U1041" s="20"/>
      <c r="V1041" s="20"/>
      <c r="W1041" s="20"/>
      <c r="X1041" s="20"/>
    </row>
    <row r="1042" spans="1:24">
      <c r="A1042" s="1" t="s">
        <v>168</v>
      </c>
      <c r="B1042" s="3" t="s">
        <v>517</v>
      </c>
      <c r="C1042" s="264" t="e">
        <f>#REF!</f>
        <v>#REF!</v>
      </c>
      <c r="D1042" s="264">
        <v>4081125563.3743143</v>
      </c>
      <c r="G1042" s="84" t="e">
        <f>#REF!</f>
        <v>#REF!</v>
      </c>
      <c r="H1042" s="84">
        <v>239244616.27999997</v>
      </c>
      <c r="M1042" s="20"/>
      <c r="N1042" s="20"/>
      <c r="O1042" s="74"/>
      <c r="P1042" s="74"/>
      <c r="Q1042" s="20"/>
      <c r="R1042" s="20"/>
      <c r="S1042" s="20"/>
      <c r="T1042" s="20"/>
      <c r="U1042" s="20"/>
      <c r="V1042" s="20"/>
      <c r="W1042" s="20"/>
      <c r="X1042" s="20"/>
    </row>
    <row r="1043" spans="1:24">
      <c r="B1043" s="3" t="s">
        <v>518</v>
      </c>
      <c r="C1043" s="264" t="e">
        <f>#REF!</f>
        <v>#REF!</v>
      </c>
      <c r="D1043" s="264">
        <v>4081125563.3743143</v>
      </c>
      <c r="G1043" s="84" t="e">
        <f>#REF!</f>
        <v>#REF!</v>
      </c>
      <c r="H1043" s="84">
        <v>239244616.27999997</v>
      </c>
      <c r="M1043" s="20"/>
      <c r="N1043" s="20"/>
      <c r="O1043" s="74"/>
      <c r="P1043" s="74"/>
      <c r="Q1043" s="20"/>
      <c r="R1043" s="20"/>
      <c r="S1043" s="20"/>
      <c r="T1043" s="20"/>
      <c r="U1043" s="20"/>
      <c r="V1043" s="20"/>
      <c r="W1043" s="20"/>
      <c r="X1043" s="20"/>
    </row>
    <row r="1044" spans="1:24">
      <c r="M1044" s="20"/>
      <c r="N1044" s="20"/>
      <c r="O1044" s="74"/>
      <c r="P1044" s="74"/>
      <c r="Q1044" s="20"/>
      <c r="R1044" s="20"/>
      <c r="S1044" s="20"/>
      <c r="T1044" s="20"/>
      <c r="U1044" s="20"/>
      <c r="V1044" s="20"/>
      <c r="W1044" s="20"/>
      <c r="X1044" s="20"/>
    </row>
    <row r="1045" spans="1:24">
      <c r="B1045" s="3" t="s">
        <v>251</v>
      </c>
      <c r="C1045" s="264" t="e">
        <f>C1038-C1043</f>
        <v>#REF!</v>
      </c>
      <c r="D1045" s="264" t="e">
        <f>D1038-D1043</f>
        <v>#REF!</v>
      </c>
      <c r="G1045" s="264" t="e">
        <f>G1038-G1043</f>
        <v>#REF!</v>
      </c>
      <c r="H1045" s="264" t="e">
        <f>H1038-H1043</f>
        <v>#REF!</v>
      </c>
      <c r="M1045" s="20"/>
      <c r="N1045" s="20"/>
      <c r="O1045" s="74"/>
      <c r="P1045" s="74"/>
      <c r="Q1045" s="20"/>
      <c r="R1045" s="20"/>
      <c r="S1045" s="20"/>
      <c r="T1045" s="20"/>
      <c r="U1045" s="20"/>
      <c r="V1045" s="20"/>
      <c r="W1045" s="20"/>
      <c r="X1045" s="20"/>
    </row>
    <row r="1046" spans="1:24">
      <c r="M1046" s="20"/>
      <c r="N1046" s="20"/>
      <c r="O1046" s="74"/>
      <c r="P1046" s="74"/>
      <c r="Q1046" s="20"/>
      <c r="R1046" s="20"/>
      <c r="S1046" s="20"/>
      <c r="T1046" s="20"/>
      <c r="U1046" s="20"/>
      <c r="V1046" s="20"/>
      <c r="W1046" s="20"/>
      <c r="X1046" s="20"/>
    </row>
    <row r="1048" spans="1:24">
      <c r="B1048" s="3" t="s">
        <v>519</v>
      </c>
      <c r="C1048" s="264">
        <f>C24+C83+C157+C483+C587+C737+C768+C922+C933+C944+C991+C1029</f>
        <v>1499468</v>
      </c>
      <c r="D1048" s="264">
        <f>D24+D83+D157+D483+D587+D737+D768+D922+D933+D944+D991+D1029</f>
        <v>1458185.8409090908</v>
      </c>
    </row>
    <row r="1049" spans="1:24">
      <c r="B1049" s="3" t="s">
        <v>40</v>
      </c>
      <c r="C1049" s="264">
        <f>((C83+C186+C271+C483+C737+C768+C922+C933+C944+C991+C1029)/12)+C358+C587+C24</f>
        <v>160240.41666666669</v>
      </c>
      <c r="D1049" s="264">
        <f>((D83+D186+D271+D483+D737+D768+D922+D933+D944+D991+D1029)/12)+D358+D587+D24</f>
        <v>129032.00757575758</v>
      </c>
    </row>
    <row r="1051" spans="1:24">
      <c r="B1051" s="3" t="s">
        <v>251</v>
      </c>
      <c r="C1051" s="264">
        <v>-31827.666666666672</v>
      </c>
      <c r="D1051" s="264">
        <v>706.2424242424313</v>
      </c>
    </row>
  </sheetData>
  <mergeCells count="4">
    <mergeCell ref="A2:G2"/>
    <mergeCell ref="A3:G3"/>
    <mergeCell ref="A4:G4"/>
    <mergeCell ref="A5:G5"/>
  </mergeCells>
  <phoneticPr fontId="0" type="noConversion"/>
  <printOptions horizontalCentered="1"/>
  <pageMargins left="0.5" right="0.5" top="0.5" bottom="0.55000000000000004" header="0.5" footer="0.25"/>
  <pageSetup scale="52" fitToHeight="17" orientation="portrait" r:id="rId1"/>
  <headerFooter alignWithMargins="0">
    <oddFooter>&amp;LPrepared by Pricing &amp;D&amp;CPage &amp;P of &amp;N&amp;R&amp;F&amp;A</oddFooter>
  </headerFooter>
  <rowBreaks count="4" manualBreakCount="4">
    <brk id="177" max="10" man="1"/>
    <brk id="577" max="10" man="1"/>
    <brk id="761" max="10" man="1"/>
    <brk id="996" max="1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10" enableFormatConditionsCalculation="0">
    <tabColor indexed="13"/>
  </sheetPr>
  <dimension ref="A1:AE1022"/>
  <sheetViews>
    <sheetView view="pageBreakPreview" zoomScale="85" zoomScaleNormal="75" zoomScaleSheetLayoutView="75" workbookViewId="0">
      <pane ySplit="11" topLeftCell="A900" activePane="bottomLeft" state="frozen"/>
      <selection activeCell="U29" sqref="U29"/>
      <selection pane="bottomLeft" activeCell="I471" sqref="I471"/>
    </sheetView>
  </sheetViews>
  <sheetFormatPr defaultColWidth="10.25" defaultRowHeight="15.75"/>
  <cols>
    <col min="1" max="1" width="21.625" style="3" customWidth="1"/>
    <col min="2" max="2" width="15.625" style="3" customWidth="1"/>
    <col min="3" max="3" width="16.625" style="3" hidden="1" customWidth="1"/>
    <col min="4" max="4" width="16.625" style="3" customWidth="1"/>
    <col min="5" max="5" width="14.875" style="3" customWidth="1"/>
    <col min="6" max="6" width="2.125" style="3" bestFit="1" customWidth="1"/>
    <col min="7" max="7" width="16.875" style="3" hidden="1" customWidth="1"/>
    <col min="8" max="8" width="16.875" style="3" customWidth="1"/>
    <col min="9" max="9" width="12.625" style="3" customWidth="1"/>
    <col min="10" max="10" width="2.125" style="3" bestFit="1" customWidth="1"/>
    <col min="11" max="11" width="17.875" style="3" customWidth="1"/>
    <col min="12" max="12" width="1.25" style="3" customWidth="1"/>
    <col min="13" max="14" width="16.5" style="3" customWidth="1"/>
    <col min="15" max="15" width="15" style="69" customWidth="1"/>
    <col min="16" max="16" width="11.75" style="69" customWidth="1"/>
    <col min="17" max="17" width="13.5" style="3" customWidth="1"/>
    <col min="18" max="18" width="15" style="3" customWidth="1"/>
    <col min="19" max="19" width="15.375" style="3" customWidth="1"/>
    <col min="20" max="20" width="15.25" style="3" customWidth="1"/>
    <col min="21" max="21" width="14.125" style="3" customWidth="1"/>
    <col min="22" max="22" width="13.75" style="3" customWidth="1"/>
    <col min="23" max="23" width="13.125" style="3" customWidth="1"/>
    <col min="24" max="24" width="14.875" style="3" customWidth="1"/>
    <col min="25" max="25" width="10.75" style="3" customWidth="1"/>
    <col min="26" max="16384" width="10.25" style="3"/>
  </cols>
  <sheetData>
    <row r="1" spans="1:31" ht="18">
      <c r="A1" s="246" t="s">
        <v>31</v>
      </c>
      <c r="B1" s="247"/>
      <c r="C1" s="247"/>
      <c r="D1" s="247"/>
      <c r="E1" s="248"/>
      <c r="F1" s="248"/>
      <c r="G1" s="247"/>
      <c r="H1" s="247"/>
      <c r="I1" s="248"/>
      <c r="J1" s="247"/>
      <c r="K1" s="247"/>
    </row>
    <row r="2" spans="1:31" ht="18">
      <c r="A2" s="246" t="s">
        <v>185</v>
      </c>
      <c r="B2" s="247"/>
      <c r="C2" s="247"/>
      <c r="D2" s="247"/>
      <c r="E2" s="248"/>
      <c r="F2" s="248"/>
      <c r="G2" s="247"/>
      <c r="H2" s="247"/>
      <c r="I2" s="248"/>
      <c r="J2" s="247"/>
      <c r="K2" s="247"/>
    </row>
    <row r="3" spans="1:31" ht="18">
      <c r="A3" s="246" t="s">
        <v>346</v>
      </c>
      <c r="B3" s="247"/>
      <c r="C3" s="247"/>
      <c r="D3" s="247"/>
      <c r="E3" s="248"/>
      <c r="F3" s="248"/>
      <c r="G3" s="247"/>
      <c r="H3" s="247"/>
      <c r="I3" s="248"/>
      <c r="J3" s="247"/>
      <c r="K3" s="247"/>
    </row>
    <row r="4" spans="1:31">
      <c r="A4" s="249" t="s">
        <v>303</v>
      </c>
      <c r="B4" s="250"/>
      <c r="C4" s="250"/>
      <c r="D4" s="250"/>
      <c r="E4" s="251"/>
      <c r="F4" s="251"/>
      <c r="G4" s="250"/>
      <c r="H4" s="250"/>
      <c r="I4" s="251"/>
      <c r="J4" s="250"/>
      <c r="K4" s="250"/>
    </row>
    <row r="5" spans="1:31">
      <c r="A5" s="252" t="s">
        <v>347</v>
      </c>
      <c r="B5" s="250"/>
      <c r="C5" s="250"/>
      <c r="D5" s="250"/>
      <c r="E5" s="251"/>
      <c r="F5" s="251"/>
      <c r="G5" s="250"/>
      <c r="H5" s="250"/>
      <c r="I5" s="251"/>
      <c r="J5" s="250"/>
      <c r="K5" s="250"/>
    </row>
    <row r="6" spans="1:31">
      <c r="A6" s="252"/>
      <c r="B6" s="250"/>
      <c r="C6" s="250"/>
      <c r="D6" s="250"/>
      <c r="E6" s="251"/>
      <c r="F6" s="251"/>
      <c r="G6" s="250"/>
      <c r="H6" s="250"/>
      <c r="I6" s="251"/>
      <c r="J6" s="250"/>
      <c r="K6" s="250"/>
    </row>
    <row r="7" spans="1:31">
      <c r="A7" s="252"/>
      <c r="B7" s="250"/>
      <c r="C7" s="250"/>
      <c r="D7" s="250"/>
      <c r="E7" s="251"/>
      <c r="F7" s="251"/>
      <c r="G7" s="250"/>
      <c r="H7" s="250"/>
      <c r="I7" s="251"/>
      <c r="J7" s="250"/>
      <c r="K7" s="250"/>
    </row>
    <row r="8" spans="1:31">
      <c r="A8" s="250"/>
      <c r="B8" s="250"/>
      <c r="C8" s="250"/>
      <c r="D8" s="250"/>
      <c r="E8" s="251"/>
      <c r="F8" s="251"/>
      <c r="G8" s="250"/>
      <c r="H8" s="250"/>
      <c r="I8" s="251"/>
      <c r="J8" s="250"/>
      <c r="K8" s="250"/>
    </row>
    <row r="9" spans="1:31">
      <c r="A9" s="253"/>
      <c r="B9" s="253"/>
      <c r="C9" s="254"/>
      <c r="D9" s="254"/>
      <c r="E9" s="255"/>
      <c r="F9" s="255"/>
      <c r="G9" s="256" t="s">
        <v>197</v>
      </c>
      <c r="H9" s="257"/>
      <c r="I9" s="255"/>
      <c r="J9" s="256"/>
      <c r="K9" s="256"/>
    </row>
    <row r="10" spans="1:31">
      <c r="A10" s="253"/>
      <c r="B10" s="253"/>
      <c r="C10" s="254" t="s">
        <v>348</v>
      </c>
      <c r="D10" s="254"/>
      <c r="E10" s="256" t="s">
        <v>197</v>
      </c>
      <c r="F10" s="255"/>
      <c r="G10" s="258" t="s">
        <v>349</v>
      </c>
      <c r="H10" s="257" t="s">
        <v>197</v>
      </c>
      <c r="I10" s="256" t="s">
        <v>305</v>
      </c>
      <c r="J10" s="254"/>
      <c r="K10" s="256" t="s">
        <v>305</v>
      </c>
    </row>
    <row r="11" spans="1:31">
      <c r="A11" s="253"/>
      <c r="B11" s="253"/>
      <c r="C11" s="259" t="s">
        <v>304</v>
      </c>
      <c r="D11" s="254" t="s">
        <v>348</v>
      </c>
      <c r="E11" s="260" t="s">
        <v>13</v>
      </c>
      <c r="F11" s="261"/>
      <c r="G11" s="260" t="s">
        <v>304</v>
      </c>
      <c r="H11" s="256" t="s">
        <v>349</v>
      </c>
      <c r="I11" s="260" t="s">
        <v>13</v>
      </c>
      <c r="J11" s="260"/>
      <c r="K11" s="260" t="s">
        <v>349</v>
      </c>
      <c r="M11" s="258" t="s">
        <v>350</v>
      </c>
    </row>
    <row r="12" spans="1:31">
      <c r="A12" s="262" t="s">
        <v>351</v>
      </c>
      <c r="G12" s="263"/>
      <c r="H12" s="263"/>
    </row>
    <row r="13" spans="1:31">
      <c r="A13" s="3" t="s">
        <v>352</v>
      </c>
      <c r="G13" s="263"/>
      <c r="H13" s="263"/>
    </row>
    <row r="14" spans="1:31">
      <c r="G14" s="263"/>
      <c r="H14" s="263"/>
    </row>
    <row r="15" spans="1:31">
      <c r="A15" s="3" t="s">
        <v>353</v>
      </c>
      <c r="G15" s="263"/>
      <c r="H15" s="263"/>
    </row>
    <row r="16" spans="1:31">
      <c r="A16" s="3" t="s">
        <v>354</v>
      </c>
      <c r="C16" s="264">
        <f t="shared" ref="C16:D18" si="0">C33+C50+C67</f>
        <v>30615</v>
      </c>
      <c r="D16" s="264">
        <f t="shared" si="0"/>
        <v>30989</v>
      </c>
      <c r="E16" s="265">
        <v>9.6</v>
      </c>
      <c r="G16" s="2">
        <f t="shared" ref="G16:H18" si="1">G33+G50+G67</f>
        <v>293904</v>
      </c>
      <c r="H16" s="2">
        <f t="shared" si="1"/>
        <v>297494</v>
      </c>
      <c r="I16" s="265">
        <v>9.6</v>
      </c>
      <c r="K16" s="2">
        <f>K33+K50+K67</f>
        <v>297494</v>
      </c>
      <c r="M16" s="84">
        <f>I16*D16</f>
        <v>297494.39999999997</v>
      </c>
      <c r="N16" s="3">
        <v>76</v>
      </c>
      <c r="O16" s="105">
        <f>N16*D16</f>
        <v>2355164</v>
      </c>
      <c r="P16" s="266">
        <f>N16*$O$25</f>
        <v>-2.3212565360957803E-15</v>
      </c>
      <c r="Q16" s="266">
        <f>C16*P16</f>
        <v>-7.1065268852572319E-11</v>
      </c>
      <c r="R16" s="267">
        <f>ROUND(E16+P16,2)</f>
        <v>9.6</v>
      </c>
      <c r="AE16" s="84"/>
    </row>
    <row r="17" spans="1:31">
      <c r="A17" s="3" t="s">
        <v>355</v>
      </c>
      <c r="C17" s="264">
        <f t="shared" si="0"/>
        <v>4904</v>
      </c>
      <c r="D17" s="264">
        <f t="shared" si="0"/>
        <v>5043</v>
      </c>
      <c r="E17" s="265">
        <v>18.28</v>
      </c>
      <c r="G17" s="2">
        <f t="shared" si="1"/>
        <v>89645</v>
      </c>
      <c r="H17" s="2">
        <f t="shared" si="1"/>
        <v>92186</v>
      </c>
      <c r="I17" s="265">
        <v>18.28</v>
      </c>
      <c r="K17" s="2">
        <f>K34+K51+K68</f>
        <v>92186</v>
      </c>
      <c r="M17" s="84">
        <f>I17*D17</f>
        <v>92186.040000000008</v>
      </c>
      <c r="N17" s="3">
        <v>172</v>
      </c>
      <c r="O17" s="105">
        <f>N17*D17</f>
        <v>867396</v>
      </c>
      <c r="P17" s="266">
        <f>N17*$O$25</f>
        <v>-5.2533700553746604E-15</v>
      </c>
      <c r="Q17" s="266">
        <f>C17*P17</f>
        <v>-2.5762526751557335E-11</v>
      </c>
      <c r="R17" s="267">
        <f>ROUND(E17+P17,2)</f>
        <v>18.28</v>
      </c>
      <c r="AE17" s="84"/>
    </row>
    <row r="18" spans="1:31">
      <c r="A18" s="3" t="s">
        <v>356</v>
      </c>
      <c r="C18" s="264">
        <f t="shared" si="0"/>
        <v>657</v>
      </c>
      <c r="D18" s="264">
        <f t="shared" si="0"/>
        <v>677</v>
      </c>
      <c r="E18" s="265">
        <v>37.82</v>
      </c>
      <c r="G18" s="2">
        <f t="shared" si="1"/>
        <v>24848</v>
      </c>
      <c r="H18" s="2">
        <f t="shared" si="1"/>
        <v>25605</v>
      </c>
      <c r="I18" s="265">
        <v>37.82</v>
      </c>
      <c r="K18" s="2">
        <f>K35+K52+K69</f>
        <v>25605</v>
      </c>
      <c r="M18" s="84">
        <f>I18*D18</f>
        <v>25604.14</v>
      </c>
      <c r="N18" s="3">
        <v>412</v>
      </c>
      <c r="O18" s="105">
        <f>N18*D18</f>
        <v>278924</v>
      </c>
      <c r="P18" s="266">
        <f>N18*$O$25</f>
        <v>-1.2583653853571861E-14</v>
      </c>
      <c r="Q18" s="266">
        <f>C18*P18</f>
        <v>-8.2674605817967132E-12</v>
      </c>
      <c r="R18" s="267">
        <f>ROUND(E18+P18,2)</f>
        <v>37.82</v>
      </c>
      <c r="AE18" s="84"/>
    </row>
    <row r="19" spans="1:31">
      <c r="A19" s="3" t="s">
        <v>357</v>
      </c>
      <c r="C19" s="264"/>
      <c r="D19" s="264"/>
      <c r="E19" s="265"/>
      <c r="G19" s="2"/>
      <c r="H19" s="2"/>
      <c r="I19" s="265"/>
      <c r="K19" s="2"/>
      <c r="M19" s="84"/>
      <c r="O19" s="3"/>
      <c r="P19" s="266"/>
      <c r="Q19" s="266"/>
      <c r="R19" s="268"/>
      <c r="AE19" s="84"/>
    </row>
    <row r="20" spans="1:31">
      <c r="A20" s="3" t="s">
        <v>358</v>
      </c>
      <c r="C20" s="264">
        <f t="shared" ref="C20:D25" si="2">C37+C54+C71</f>
        <v>2070</v>
      </c>
      <c r="D20" s="264">
        <f t="shared" si="2"/>
        <v>2097</v>
      </c>
      <c r="E20" s="265">
        <v>10.92</v>
      </c>
      <c r="G20" s="2">
        <f t="shared" ref="G20:H23" si="3">G37+G54+G71</f>
        <v>22604</v>
      </c>
      <c r="H20" s="2">
        <f t="shared" si="3"/>
        <v>22899</v>
      </c>
      <c r="I20" s="265">
        <v>10.92</v>
      </c>
      <c r="K20" s="2">
        <f>K37+K54+K71</f>
        <v>22899</v>
      </c>
      <c r="M20" s="84">
        <f>I20*D20</f>
        <v>22899.24</v>
      </c>
      <c r="N20" s="3">
        <v>31</v>
      </c>
      <c r="O20" s="105">
        <f>N20*D20</f>
        <v>65007</v>
      </c>
      <c r="P20" s="266">
        <f>N20*$O$25</f>
        <v>-9.4682832393380513E-16</v>
      </c>
      <c r="Q20" s="266">
        <f>C20*P20</f>
        <v>-1.9599346305429768E-12</v>
      </c>
      <c r="R20" s="267">
        <f>ROUND(E20+P20,2)</f>
        <v>10.92</v>
      </c>
      <c r="AE20" s="84"/>
    </row>
    <row r="21" spans="1:31">
      <c r="A21" s="3" t="s">
        <v>359</v>
      </c>
      <c r="C21" s="264">
        <f t="shared" si="2"/>
        <v>1813</v>
      </c>
      <c r="D21" s="264">
        <f t="shared" si="2"/>
        <v>1858</v>
      </c>
      <c r="E21" s="265">
        <v>16.04</v>
      </c>
      <c r="G21" s="2">
        <f t="shared" si="3"/>
        <v>29080</v>
      </c>
      <c r="H21" s="2">
        <f t="shared" si="3"/>
        <v>29802</v>
      </c>
      <c r="I21" s="265">
        <v>16.04</v>
      </c>
      <c r="K21" s="2">
        <f>K38+K55+K72</f>
        <v>29802</v>
      </c>
      <c r="M21" s="84">
        <f>I21*D21</f>
        <v>29802.32</v>
      </c>
      <c r="N21" s="3">
        <v>85</v>
      </c>
      <c r="O21" s="105">
        <f>N21*D21</f>
        <v>157930</v>
      </c>
      <c r="P21" s="266">
        <f>N21*$O$25</f>
        <v>-2.5961421785281753E-15</v>
      </c>
      <c r="Q21" s="266">
        <f>C21*P21</f>
        <v>-4.7068057696715822E-12</v>
      </c>
      <c r="R21" s="267">
        <f>ROUND(E21+P21,2)</f>
        <v>16.04</v>
      </c>
      <c r="AE21" s="84"/>
    </row>
    <row r="22" spans="1:31">
      <c r="A22" s="3" t="s">
        <v>360</v>
      </c>
      <c r="C22" s="264">
        <f t="shared" si="2"/>
        <v>481</v>
      </c>
      <c r="D22" s="264">
        <f t="shared" si="2"/>
        <v>495</v>
      </c>
      <c r="E22" s="265">
        <v>25.88</v>
      </c>
      <c r="G22" s="2">
        <f t="shared" si="3"/>
        <v>12449</v>
      </c>
      <c r="H22" s="2">
        <f t="shared" si="3"/>
        <v>12811</v>
      </c>
      <c r="I22" s="265">
        <v>25.88</v>
      </c>
      <c r="K22" s="2">
        <f>K39+K56+K73</f>
        <v>12811</v>
      </c>
      <c r="M22" s="84">
        <f>I22*D22</f>
        <v>12810.6</v>
      </c>
      <c r="N22" s="3">
        <v>176</v>
      </c>
      <c r="O22" s="105">
        <f>N22*D22</f>
        <v>87120</v>
      </c>
      <c r="P22" s="266">
        <f>N22*$O$25</f>
        <v>-5.3755414520112801E-15</v>
      </c>
      <c r="Q22" s="266">
        <f>C22*P22</f>
        <v>-2.5856354384174258E-12</v>
      </c>
      <c r="R22" s="267">
        <f>ROUND(E22+P22,2)</f>
        <v>25.88</v>
      </c>
      <c r="AE22" s="84"/>
    </row>
    <row r="23" spans="1:31">
      <c r="A23" s="3" t="s">
        <v>361</v>
      </c>
      <c r="C23" s="264">
        <f t="shared" si="2"/>
        <v>632</v>
      </c>
      <c r="D23" s="264">
        <f t="shared" si="2"/>
        <v>647</v>
      </c>
      <c r="E23" s="269">
        <v>1</v>
      </c>
      <c r="F23" s="20"/>
      <c r="G23" s="2">
        <f t="shared" si="3"/>
        <v>632</v>
      </c>
      <c r="H23" s="2">
        <f t="shared" si="3"/>
        <v>647</v>
      </c>
      <c r="I23" s="269">
        <v>1</v>
      </c>
      <c r="J23" s="20"/>
      <c r="K23" s="2">
        <f>K40+K57+K74</f>
        <v>647</v>
      </c>
      <c r="M23" s="84">
        <f>I23*D23</f>
        <v>647</v>
      </c>
      <c r="O23" s="105">
        <f>SUM(O16:O22)</f>
        <v>3811541</v>
      </c>
      <c r="P23" s="3"/>
      <c r="Q23" s="266">
        <f>SUM(Q16:Q22)</f>
        <v>-1.1434763202455836E-10</v>
      </c>
      <c r="AE23" s="84"/>
    </row>
    <row r="24" spans="1:31">
      <c r="A24" s="3" t="s">
        <v>362</v>
      </c>
      <c r="C24" s="264">
        <f t="shared" si="2"/>
        <v>2828</v>
      </c>
      <c r="D24" s="264">
        <f t="shared" si="2"/>
        <v>2797.0833333333335</v>
      </c>
      <c r="E24" s="265"/>
      <c r="G24" s="2"/>
      <c r="H24" s="2"/>
      <c r="I24" s="265"/>
      <c r="K24" s="2"/>
      <c r="M24" s="84"/>
      <c r="O24" s="84">
        <v>-1.1641532182693481E-10</v>
      </c>
      <c r="P24" s="3"/>
      <c r="AE24" s="84"/>
    </row>
    <row r="25" spans="1:31">
      <c r="A25" s="3" t="s">
        <v>35</v>
      </c>
      <c r="C25" s="264">
        <f t="shared" si="2"/>
        <v>3727613.5</v>
      </c>
      <c r="D25" s="264">
        <f t="shared" si="2"/>
        <v>3794904.7279999279</v>
      </c>
      <c r="E25" s="269"/>
      <c r="F25" s="20"/>
      <c r="G25" s="2">
        <f>G42+G59+G76</f>
        <v>473162</v>
      </c>
      <c r="H25" s="2">
        <f>H42+H59+H76</f>
        <v>481444</v>
      </c>
      <c r="I25" s="269"/>
      <c r="J25" s="20"/>
      <c r="K25" s="270">
        <f>K42+K59+K76</f>
        <v>481444</v>
      </c>
      <c r="M25" s="84">
        <f>SUM(M16:M24)</f>
        <v>481443.73999999993</v>
      </c>
      <c r="O25" s="271">
        <f>O24/O23</f>
        <v>-3.0542849159155002E-17</v>
      </c>
      <c r="P25" s="3"/>
      <c r="AE25" s="84"/>
    </row>
    <row r="26" spans="1:31">
      <c r="A26" s="3" t="s">
        <v>363</v>
      </c>
      <c r="C26" s="264">
        <f>C43+C60+C77</f>
        <v>7475.3644456641432</v>
      </c>
      <c r="D26" s="264">
        <v>0</v>
      </c>
      <c r="E26" s="269"/>
      <c r="F26" s="20"/>
      <c r="G26" s="272">
        <f>G43+G60+G77</f>
        <v>758.26673033638372</v>
      </c>
      <c r="H26" s="272">
        <v>0</v>
      </c>
      <c r="I26" s="269"/>
      <c r="J26" s="20"/>
      <c r="K26" s="272">
        <f>K43+K60+K77</f>
        <v>0</v>
      </c>
      <c r="AE26" s="84"/>
    </row>
    <row r="27" spans="1:31" ht="16.5" thickBot="1">
      <c r="A27" s="3" t="s">
        <v>9</v>
      </c>
      <c r="C27" s="273">
        <f>C25+C26</f>
        <v>3735088.864445664</v>
      </c>
      <c r="D27" s="273">
        <f>D25+D26</f>
        <v>3794904.7279999279</v>
      </c>
      <c r="E27" s="274"/>
      <c r="F27" s="274"/>
      <c r="G27" s="274">
        <f>G25+G26</f>
        <v>473920.26673033636</v>
      </c>
      <c r="H27" s="274">
        <f>H25+H26</f>
        <v>481444</v>
      </c>
      <c r="I27" s="274"/>
      <c r="J27" s="274"/>
      <c r="K27" s="274">
        <f>K25+K26</f>
        <v>481444</v>
      </c>
      <c r="N27" s="3" t="s">
        <v>364</v>
      </c>
      <c r="O27" s="69" t="e">
        <f>#REF!*1000</f>
        <v>#REF!</v>
      </c>
      <c r="Q27" s="14"/>
      <c r="AE27" s="84"/>
    </row>
    <row r="28" spans="1:31" ht="16.5" thickTop="1">
      <c r="C28" s="275"/>
      <c r="D28" s="275"/>
      <c r="E28" s="275"/>
      <c r="F28" s="275"/>
      <c r="G28" s="263"/>
      <c r="H28" s="263"/>
      <c r="I28" s="1" t="s">
        <v>31</v>
      </c>
      <c r="J28" s="275"/>
      <c r="K28" s="2" t="s">
        <v>31</v>
      </c>
      <c r="N28" s="3" t="s">
        <v>263</v>
      </c>
      <c r="O28" s="69" t="e">
        <f>O27-K27</f>
        <v>#REF!</v>
      </c>
      <c r="P28" s="14" t="e">
        <f>(O27-K27)/K27</f>
        <v>#REF!</v>
      </c>
      <c r="Q28" s="14"/>
      <c r="AE28" s="84"/>
    </row>
    <row r="29" spans="1:31">
      <c r="A29" s="262" t="s">
        <v>351</v>
      </c>
      <c r="G29" s="263"/>
      <c r="H29" s="263"/>
      <c r="O29" s="276" t="e">
        <f>O28/(K16+K17+K18+K20+K21+K22)</f>
        <v>#REF!</v>
      </c>
      <c r="P29" s="3"/>
      <c r="AE29" s="84"/>
    </row>
    <row r="30" spans="1:31">
      <c r="A30" s="3" t="s">
        <v>365</v>
      </c>
      <c r="G30" s="263"/>
      <c r="H30" s="263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AE30" s="84"/>
    </row>
    <row r="31" spans="1:31">
      <c r="E31" s="264"/>
      <c r="G31" s="263"/>
      <c r="H31" s="263"/>
      <c r="M31" s="278"/>
      <c r="N31" s="278"/>
      <c r="O31" s="278"/>
      <c r="P31" s="278"/>
      <c r="Q31" s="278"/>
      <c r="R31" s="278"/>
      <c r="S31" s="278"/>
      <c r="T31" s="278"/>
      <c r="U31" s="278"/>
      <c r="V31" s="278"/>
      <c r="W31" s="278"/>
      <c r="X31" s="277"/>
      <c r="AE31" s="84"/>
    </row>
    <row r="32" spans="1:31">
      <c r="A32" s="3" t="s">
        <v>353</v>
      </c>
      <c r="G32" s="263"/>
      <c r="H32" s="263"/>
      <c r="M32" s="278"/>
      <c r="N32" s="278"/>
      <c r="O32" s="278"/>
      <c r="P32" s="74"/>
      <c r="Q32" s="279"/>
      <c r="R32" s="280"/>
      <c r="S32" s="281"/>
      <c r="T32" s="282"/>
      <c r="U32" s="278"/>
      <c r="V32" s="278"/>
      <c r="W32" s="278"/>
      <c r="X32" s="277"/>
      <c r="AE32" s="84"/>
    </row>
    <row r="33" spans="1:31">
      <c r="A33" s="3" t="s">
        <v>354</v>
      </c>
      <c r="C33" s="264">
        <f>14258+124</f>
        <v>14382</v>
      </c>
      <c r="D33" s="264">
        <f>ROUND(C33*($D$42/$C$42),0)</f>
        <v>14272</v>
      </c>
      <c r="E33" s="265">
        <v>9.6</v>
      </c>
      <c r="G33" s="2">
        <f>ROUND(E33*$C33,0)</f>
        <v>138067</v>
      </c>
      <c r="H33" s="2">
        <f>ROUND(E33*$D33,0)</f>
        <v>137011</v>
      </c>
      <c r="I33" s="265">
        <f>$I$16</f>
        <v>9.6</v>
      </c>
      <c r="K33" s="2">
        <f>ROUND(I33*$D33,0)</f>
        <v>137011</v>
      </c>
      <c r="M33" s="20"/>
      <c r="N33" s="20"/>
      <c r="O33" s="281"/>
      <c r="P33" s="74"/>
      <c r="Q33" s="278"/>
      <c r="R33" s="283"/>
      <c r="S33" s="284"/>
      <c r="T33" s="278"/>
      <c r="U33" s="281"/>
      <c r="V33" s="281"/>
      <c r="W33" s="285"/>
      <c r="X33" s="286"/>
      <c r="AE33" s="84"/>
    </row>
    <row r="34" spans="1:31">
      <c r="A34" s="3" t="s">
        <v>355</v>
      </c>
      <c r="C34" s="264">
        <f>262+12</f>
        <v>274</v>
      </c>
      <c r="D34" s="264">
        <f>ROUND(C34*($D$42/$C$42),0)</f>
        <v>272</v>
      </c>
      <c r="E34" s="265">
        <v>18.28</v>
      </c>
      <c r="G34" s="2">
        <f>ROUND(E34*$C34,0)</f>
        <v>5009</v>
      </c>
      <c r="H34" s="2">
        <f>ROUND(E34*$D34,0)</f>
        <v>4972</v>
      </c>
      <c r="I34" s="265">
        <f>$I$17</f>
        <v>18.28</v>
      </c>
      <c r="K34" s="2">
        <f>ROUND(I34*$D34,0)</f>
        <v>4972</v>
      </c>
      <c r="M34" s="20"/>
      <c r="N34" s="20"/>
      <c r="O34" s="281"/>
      <c r="P34" s="74"/>
      <c r="Q34" s="20"/>
      <c r="R34" s="287"/>
      <c r="S34" s="278"/>
      <c r="T34" s="278"/>
      <c r="U34" s="281"/>
      <c r="V34" s="281"/>
      <c r="W34" s="285"/>
      <c r="X34" s="286"/>
      <c r="AE34" s="84"/>
    </row>
    <row r="35" spans="1:31">
      <c r="A35" s="3" t="s">
        <v>356</v>
      </c>
      <c r="C35" s="264">
        <f>2</f>
        <v>2</v>
      </c>
      <c r="D35" s="264">
        <f>ROUND(C35*($D$42/$C$42),0)</f>
        <v>2</v>
      </c>
      <c r="E35" s="265">
        <v>37.82</v>
      </c>
      <c r="G35" s="2">
        <f>ROUND(E35*$C35,0)</f>
        <v>76</v>
      </c>
      <c r="H35" s="2">
        <f>ROUND(E35*$D35,0)</f>
        <v>76</v>
      </c>
      <c r="I35" s="265">
        <f>$I$18</f>
        <v>37.82</v>
      </c>
      <c r="K35" s="2">
        <f>ROUND(I35*$D35,0)</f>
        <v>76</v>
      </c>
      <c r="M35" s="20"/>
      <c r="N35" s="20"/>
      <c r="O35" s="281"/>
      <c r="P35" s="74"/>
      <c r="Q35" s="20"/>
      <c r="R35" s="287"/>
      <c r="S35" s="278"/>
      <c r="T35" s="278"/>
      <c r="U35" s="281"/>
      <c r="V35" s="281"/>
      <c r="W35" s="285"/>
      <c r="X35" s="286"/>
      <c r="AE35" s="84"/>
    </row>
    <row r="36" spans="1:31">
      <c r="A36" s="3" t="s">
        <v>357</v>
      </c>
      <c r="C36" s="264"/>
      <c r="D36" s="264"/>
      <c r="E36" s="265"/>
      <c r="G36" s="2"/>
      <c r="H36" s="2"/>
      <c r="I36" s="265"/>
      <c r="K36" s="2"/>
      <c r="M36" s="20"/>
      <c r="N36" s="20"/>
      <c r="O36" s="281"/>
      <c r="P36" s="74"/>
      <c r="Q36" s="20"/>
      <c r="R36" s="287"/>
      <c r="S36" s="278"/>
      <c r="T36" s="278"/>
      <c r="U36" s="281"/>
      <c r="V36" s="281"/>
      <c r="W36" s="285"/>
      <c r="X36" s="286"/>
      <c r="AE36" s="84"/>
    </row>
    <row r="37" spans="1:31">
      <c r="A37" s="3" t="s">
        <v>358</v>
      </c>
      <c r="C37" s="264">
        <f>921</f>
        <v>921</v>
      </c>
      <c r="D37" s="264">
        <f>ROUND(C37*($D$42/$C$42),0)</f>
        <v>914</v>
      </c>
      <c r="E37" s="265">
        <v>10.92</v>
      </c>
      <c r="G37" s="2">
        <f>ROUND(E37*$C37,0)</f>
        <v>10057</v>
      </c>
      <c r="H37" s="2">
        <f>ROUND(E37*$D37,0)</f>
        <v>9981</v>
      </c>
      <c r="I37" s="265">
        <f>$I$20</f>
        <v>10.92</v>
      </c>
      <c r="K37" s="2">
        <f>ROUND(I37*$D37,0)</f>
        <v>9981</v>
      </c>
      <c r="M37" s="20"/>
      <c r="N37" s="20"/>
      <c r="O37" s="281"/>
      <c r="P37" s="74"/>
      <c r="Q37" s="20"/>
      <c r="R37" s="287"/>
      <c r="S37" s="278"/>
      <c r="T37" s="278"/>
      <c r="U37" s="281"/>
      <c r="V37" s="281"/>
      <c r="W37" s="285"/>
      <c r="X37" s="286"/>
      <c r="AE37" s="84"/>
    </row>
    <row r="38" spans="1:31">
      <c r="A38" s="3" t="s">
        <v>359</v>
      </c>
      <c r="C38" s="264">
        <f>234</f>
        <v>234</v>
      </c>
      <c r="D38" s="264">
        <f>ROUND(C38*($D$42/$C$42),0)</f>
        <v>232</v>
      </c>
      <c r="E38" s="265">
        <v>16.04</v>
      </c>
      <c r="G38" s="2">
        <f>ROUND(E38*$C38,0)</f>
        <v>3753</v>
      </c>
      <c r="H38" s="2">
        <f>ROUND(E38*$D38,0)</f>
        <v>3721</v>
      </c>
      <c r="I38" s="265">
        <f>$I$21</f>
        <v>16.04</v>
      </c>
      <c r="K38" s="2">
        <f>ROUND(I38*$D38,0)</f>
        <v>3721</v>
      </c>
      <c r="M38" s="20"/>
      <c r="N38" s="20"/>
      <c r="O38" s="281"/>
      <c r="P38" s="74"/>
      <c r="Q38" s="20"/>
      <c r="R38" s="287"/>
      <c r="S38" s="278"/>
      <c r="T38" s="278"/>
      <c r="U38" s="281"/>
      <c r="V38" s="281"/>
      <c r="W38" s="285"/>
      <c r="X38" s="286"/>
      <c r="AE38" s="84"/>
    </row>
    <row r="39" spans="1:31">
      <c r="A39" s="3" t="s">
        <v>360</v>
      </c>
      <c r="C39" s="264">
        <f>12</f>
        <v>12</v>
      </c>
      <c r="D39" s="264">
        <f>ROUND(C39*($D$42/$C$42),0)</f>
        <v>12</v>
      </c>
      <c r="E39" s="265">
        <v>25.88</v>
      </c>
      <c r="G39" s="2">
        <f>ROUND(E39*$C39,0)</f>
        <v>311</v>
      </c>
      <c r="H39" s="2">
        <f>ROUND(E39*$D39,0)</f>
        <v>311</v>
      </c>
      <c r="I39" s="265">
        <f>$I$22</f>
        <v>25.88</v>
      </c>
      <c r="K39" s="2">
        <f>ROUND(I39*$D39,0)</f>
        <v>311</v>
      </c>
      <c r="M39" s="20"/>
      <c r="N39" s="20"/>
      <c r="O39" s="281"/>
      <c r="P39" s="74"/>
      <c r="Q39" s="20"/>
      <c r="R39" s="287"/>
      <c r="S39" s="278"/>
      <c r="T39" s="278"/>
      <c r="U39" s="281"/>
      <c r="V39" s="281"/>
      <c r="W39" s="285"/>
      <c r="X39" s="286"/>
      <c r="AE39" s="84"/>
    </row>
    <row r="40" spans="1:31">
      <c r="A40" s="3" t="s">
        <v>361</v>
      </c>
      <c r="C40" s="264">
        <f>125+12+2</f>
        <v>139</v>
      </c>
      <c r="D40" s="264">
        <f>ROUND(C40*($D$42/$C$42),0)</f>
        <v>138</v>
      </c>
      <c r="E40" s="269">
        <v>1</v>
      </c>
      <c r="F40" s="20"/>
      <c r="G40" s="272">
        <f>ROUND(E40*$C40,0)</f>
        <v>139</v>
      </c>
      <c r="H40" s="272">
        <f>ROUND(E40*$D40,0)</f>
        <v>138</v>
      </c>
      <c r="I40" s="269">
        <f>$I$23</f>
        <v>1</v>
      </c>
      <c r="J40" s="20"/>
      <c r="K40" s="272">
        <f>ROUND(I40*$D40,0)</f>
        <v>138</v>
      </c>
      <c r="M40" s="278"/>
      <c r="N40" s="278"/>
      <c r="O40" s="281"/>
      <c r="P40" s="74"/>
      <c r="Q40" s="20"/>
      <c r="R40" s="278"/>
      <c r="S40" s="278"/>
      <c r="T40" s="278"/>
      <c r="U40" s="281"/>
      <c r="V40" s="281"/>
      <c r="W40" s="281"/>
      <c r="X40" s="286"/>
      <c r="AE40" s="84"/>
    </row>
    <row r="41" spans="1:31">
      <c r="A41" s="3" t="s">
        <v>362</v>
      </c>
      <c r="C41" s="264">
        <v>1293</v>
      </c>
      <c r="D41" s="264">
        <v>1276.1666666666667</v>
      </c>
      <c r="E41" s="265"/>
      <c r="G41" s="2"/>
      <c r="H41" s="2"/>
      <c r="I41" s="265"/>
      <c r="K41" s="2"/>
      <c r="M41" s="278"/>
      <c r="N41" s="278"/>
      <c r="O41" s="278"/>
      <c r="P41" s="278"/>
      <c r="Q41" s="278"/>
      <c r="R41" s="278"/>
      <c r="S41" s="278"/>
      <c r="T41" s="278"/>
      <c r="U41" s="288"/>
      <c r="V41" s="278"/>
      <c r="W41" s="278"/>
      <c r="X41" s="277"/>
      <c r="AE41" s="84"/>
    </row>
    <row r="42" spans="1:31">
      <c r="A42" s="3" t="s">
        <v>35</v>
      </c>
      <c r="C42" s="264">
        <v>1187224</v>
      </c>
      <c r="D42" s="264">
        <v>1178171.795773752</v>
      </c>
      <c r="E42" s="269"/>
      <c r="F42" s="20"/>
      <c r="G42" s="272">
        <f>SUM(G33:G40)</f>
        <v>157412</v>
      </c>
      <c r="H42" s="272">
        <f>SUM(H33:H40)</f>
        <v>156210</v>
      </c>
      <c r="I42" s="269"/>
      <c r="J42" s="20"/>
      <c r="K42" s="272">
        <f>SUM(K33:K40)</f>
        <v>156210</v>
      </c>
      <c r="M42" s="278"/>
      <c r="N42" s="278"/>
      <c r="O42" s="287"/>
      <c r="P42" s="278"/>
      <c r="Q42" s="20"/>
      <c r="R42" s="20"/>
      <c r="S42" s="20"/>
      <c r="T42" s="278"/>
      <c r="U42" s="278"/>
      <c r="V42" s="278"/>
      <c r="W42" s="278"/>
      <c r="X42" s="277"/>
      <c r="AE42" s="84"/>
    </row>
    <row r="43" spans="1:31">
      <c r="A43" s="3" t="s">
        <v>363</v>
      </c>
      <c r="C43" s="264">
        <v>718.56078337023234</v>
      </c>
      <c r="D43" s="264">
        <v>0</v>
      </c>
      <c r="E43" s="269"/>
      <c r="F43" s="20"/>
      <c r="G43" s="272">
        <v>42.574697195479054</v>
      </c>
      <c r="H43" s="272">
        <v>0</v>
      </c>
      <c r="I43" s="269"/>
      <c r="J43" s="20"/>
      <c r="K43" s="272">
        <v>0</v>
      </c>
      <c r="M43" s="289"/>
      <c r="N43" s="289"/>
      <c r="O43" s="290"/>
      <c r="P43" s="277"/>
      <c r="Q43" s="277"/>
      <c r="R43" s="283"/>
      <c r="S43" s="281"/>
      <c r="T43" s="278"/>
      <c r="U43" s="277"/>
      <c r="V43" s="277"/>
      <c r="W43" s="277"/>
      <c r="X43" s="277"/>
      <c r="AE43" s="84"/>
    </row>
    <row r="44" spans="1:31" ht="16.5" thickBot="1">
      <c r="A44" s="3" t="s">
        <v>9</v>
      </c>
      <c r="C44" s="273">
        <f>C42+C43</f>
        <v>1187942.5607833702</v>
      </c>
      <c r="D44" s="273">
        <f>SUM(D42:D43)</f>
        <v>1178171.795773752</v>
      </c>
      <c r="E44" s="274"/>
      <c r="F44" s="274"/>
      <c r="G44" s="274">
        <f>G42+G43</f>
        <v>157454.57469719546</v>
      </c>
      <c r="H44" s="274">
        <f>H42+H43</f>
        <v>156210</v>
      </c>
      <c r="I44" s="274"/>
      <c r="J44" s="274"/>
      <c r="K44" s="274">
        <f>K42+K43</f>
        <v>156210</v>
      </c>
      <c r="M44" s="291"/>
      <c r="N44" s="291"/>
      <c r="O44" s="292"/>
      <c r="P44" s="277"/>
      <c r="Q44" s="277"/>
      <c r="R44" s="278"/>
      <c r="S44" s="278"/>
      <c r="T44" s="278"/>
      <c r="U44" s="277"/>
      <c r="V44" s="277"/>
      <c r="W44" s="277"/>
      <c r="X44" s="277"/>
      <c r="AE44" s="84"/>
    </row>
    <row r="45" spans="1:31" ht="16.5" thickTop="1">
      <c r="C45" s="275"/>
      <c r="D45" s="275"/>
      <c r="E45" s="275"/>
      <c r="F45" s="275"/>
      <c r="G45" s="263"/>
      <c r="H45" s="263"/>
      <c r="I45" s="1" t="s">
        <v>31</v>
      </c>
      <c r="J45" s="275"/>
      <c r="K45" s="2" t="s">
        <v>31</v>
      </c>
      <c r="P45" s="74"/>
      <c r="Q45" s="20"/>
      <c r="R45" s="20"/>
      <c r="S45" s="20"/>
      <c r="T45" s="278"/>
      <c r="U45" s="278"/>
      <c r="V45" s="278"/>
      <c r="W45" s="278"/>
      <c r="X45" s="278"/>
      <c r="Y45" s="20"/>
      <c r="Z45" s="20"/>
      <c r="AE45" s="84"/>
    </row>
    <row r="46" spans="1:31">
      <c r="A46" s="262" t="s">
        <v>351</v>
      </c>
      <c r="G46" s="263"/>
      <c r="H46" s="263"/>
      <c r="P46" s="74"/>
      <c r="Q46" s="20"/>
      <c r="R46" s="20"/>
      <c r="S46" s="20"/>
      <c r="T46" s="278"/>
      <c r="U46" s="278"/>
      <c r="V46" s="278"/>
      <c r="W46" s="278"/>
      <c r="X46" s="278"/>
      <c r="Y46" s="20"/>
      <c r="Z46" s="20"/>
      <c r="AE46" s="84"/>
    </row>
    <row r="47" spans="1:31">
      <c r="A47" s="3" t="s">
        <v>366</v>
      </c>
      <c r="G47" s="263"/>
      <c r="H47" s="263"/>
      <c r="M47" s="277"/>
      <c r="N47" s="277"/>
      <c r="O47" s="277"/>
      <c r="P47" s="278"/>
      <c r="Q47" s="278"/>
      <c r="R47" s="278"/>
      <c r="S47" s="278"/>
      <c r="T47" s="278"/>
      <c r="U47" s="278"/>
      <c r="V47" s="278"/>
      <c r="W47" s="278"/>
      <c r="X47" s="278"/>
      <c r="Y47" s="20"/>
      <c r="Z47" s="20"/>
      <c r="AE47" s="84"/>
    </row>
    <row r="48" spans="1:31">
      <c r="G48" s="263"/>
      <c r="H48" s="263"/>
      <c r="M48" s="277"/>
      <c r="N48" s="277"/>
      <c r="O48" s="277"/>
      <c r="P48" s="278"/>
      <c r="Q48" s="278"/>
      <c r="R48" s="278"/>
      <c r="S48" s="278"/>
      <c r="T48" s="278"/>
      <c r="U48" s="278"/>
      <c r="V48" s="278"/>
      <c r="W48" s="278"/>
      <c r="X48" s="278"/>
      <c r="Y48" s="20"/>
      <c r="Z48" s="20"/>
      <c r="AE48" s="84"/>
    </row>
    <row r="49" spans="1:31">
      <c r="A49" s="3" t="s">
        <v>353</v>
      </c>
      <c r="G49" s="263"/>
      <c r="H49" s="263"/>
      <c r="M49" s="277"/>
      <c r="N49" s="277"/>
      <c r="O49" s="277"/>
      <c r="P49" s="74"/>
      <c r="Q49" s="279"/>
      <c r="R49" s="280"/>
      <c r="S49" s="281"/>
      <c r="T49" s="282"/>
      <c r="U49" s="278"/>
      <c r="V49" s="278"/>
      <c r="W49" s="278"/>
      <c r="X49" s="278"/>
      <c r="Y49" s="20"/>
      <c r="Z49" s="20"/>
      <c r="AE49" s="84"/>
    </row>
    <row r="50" spans="1:31">
      <c r="A50" s="3" t="s">
        <v>354</v>
      </c>
      <c r="C50" s="264">
        <f>8661+12+6864+36</f>
        <v>15573</v>
      </c>
      <c r="D50" s="264">
        <f>ROUND(C50*($D$59/$C$59),0)</f>
        <v>16032</v>
      </c>
      <c r="E50" s="265">
        <v>9.6</v>
      </c>
      <c r="G50" s="2">
        <f>ROUND(E50*$C50,0)</f>
        <v>149501</v>
      </c>
      <c r="H50" s="2">
        <f>ROUND(E50*$D50,0)</f>
        <v>153907</v>
      </c>
      <c r="I50" s="265">
        <f>$I$16</f>
        <v>9.6</v>
      </c>
      <c r="K50" s="2">
        <f>ROUND(I50*$D50,0)</f>
        <v>153907</v>
      </c>
      <c r="O50" s="286"/>
      <c r="P50" s="74"/>
      <c r="Q50" s="278"/>
      <c r="R50" s="283"/>
      <c r="S50" s="284"/>
      <c r="T50" s="278"/>
      <c r="U50" s="281"/>
      <c r="V50" s="281"/>
      <c r="W50" s="285"/>
      <c r="X50" s="281"/>
      <c r="Y50" s="20"/>
      <c r="Z50" s="20"/>
      <c r="AE50" s="84"/>
    </row>
    <row r="51" spans="1:31">
      <c r="A51" s="3" t="s">
        <v>355</v>
      </c>
      <c r="C51" s="264">
        <f>3458+252+477</f>
        <v>4187</v>
      </c>
      <c r="D51" s="264">
        <f>ROUND(C51*($D$59/$C$59),0)</f>
        <v>4311</v>
      </c>
      <c r="E51" s="265">
        <v>18.28</v>
      </c>
      <c r="G51" s="2">
        <f>ROUND(E51*$C51,0)</f>
        <v>76538</v>
      </c>
      <c r="H51" s="2">
        <f>ROUND(E51*$D51,0)</f>
        <v>78805</v>
      </c>
      <c r="I51" s="265">
        <f>$I$17</f>
        <v>18.28</v>
      </c>
      <c r="K51" s="2">
        <f>ROUND(I51*$D51,0)</f>
        <v>78805</v>
      </c>
      <c r="O51" s="286"/>
      <c r="P51" s="74"/>
      <c r="Q51" s="20"/>
      <c r="R51" s="287"/>
      <c r="S51" s="278"/>
      <c r="T51" s="278"/>
      <c r="U51" s="281"/>
      <c r="V51" s="281"/>
      <c r="W51" s="285"/>
      <c r="X51" s="281"/>
      <c r="Y51" s="20"/>
      <c r="Z51" s="20"/>
      <c r="AE51" s="84"/>
    </row>
    <row r="52" spans="1:31">
      <c r="A52" s="3" t="s">
        <v>356</v>
      </c>
      <c r="C52" s="264">
        <f>511+48+36+12</f>
        <v>607</v>
      </c>
      <c r="D52" s="264">
        <f>ROUND(C52*($D$59/$C$59),0)</f>
        <v>625</v>
      </c>
      <c r="E52" s="265">
        <v>37.82</v>
      </c>
      <c r="G52" s="2">
        <f>ROUND(E52*$C52,0)</f>
        <v>22957</v>
      </c>
      <c r="H52" s="2">
        <f>ROUND(E52*$D52,0)</f>
        <v>23638</v>
      </c>
      <c r="I52" s="265">
        <f>$I$18</f>
        <v>37.82</v>
      </c>
      <c r="K52" s="2">
        <f>ROUND(I52*$D52,0)</f>
        <v>23638</v>
      </c>
      <c r="O52" s="286"/>
      <c r="P52" s="74"/>
      <c r="Q52" s="20"/>
      <c r="R52" s="287"/>
      <c r="S52" s="278"/>
      <c r="T52" s="278"/>
      <c r="U52" s="281"/>
      <c r="V52" s="281"/>
      <c r="W52" s="285"/>
      <c r="X52" s="281"/>
      <c r="Y52" s="20"/>
      <c r="Z52" s="20"/>
      <c r="AE52" s="84"/>
    </row>
    <row r="53" spans="1:31">
      <c r="A53" s="3" t="s">
        <v>357</v>
      </c>
      <c r="C53" s="264"/>
      <c r="D53" s="264"/>
      <c r="E53" s="265"/>
      <c r="G53" s="2"/>
      <c r="H53" s="2"/>
      <c r="I53" s="265"/>
      <c r="K53" s="2"/>
      <c r="O53" s="286"/>
      <c r="P53" s="74"/>
      <c r="Q53" s="20"/>
      <c r="R53" s="287"/>
      <c r="S53" s="278"/>
      <c r="T53" s="278"/>
      <c r="U53" s="281"/>
      <c r="V53" s="281"/>
      <c r="W53" s="285"/>
      <c r="X53" s="281"/>
      <c r="Y53" s="20"/>
      <c r="Z53" s="20"/>
      <c r="AE53" s="84"/>
    </row>
    <row r="54" spans="1:31">
      <c r="A54" s="3" t="s">
        <v>358</v>
      </c>
      <c r="C54" s="264">
        <f>634+503</f>
        <v>1137</v>
      </c>
      <c r="D54" s="264">
        <f>ROUND(C54*($D$59/$C$59),0)</f>
        <v>1171</v>
      </c>
      <c r="E54" s="265">
        <v>10.92</v>
      </c>
      <c r="G54" s="2">
        <f>ROUND(E54*$C54,0)</f>
        <v>12416</v>
      </c>
      <c r="H54" s="2">
        <f>ROUND(E54*$D54,0)</f>
        <v>12787</v>
      </c>
      <c r="I54" s="265">
        <f>$I$20</f>
        <v>10.92</v>
      </c>
      <c r="K54" s="2">
        <f>ROUND(I54*$D54,0)</f>
        <v>12787</v>
      </c>
      <c r="O54" s="286"/>
      <c r="P54" s="74"/>
      <c r="Q54" s="20"/>
      <c r="R54" s="287"/>
      <c r="S54" s="278"/>
      <c r="T54" s="278"/>
      <c r="U54" s="281"/>
      <c r="V54" s="281"/>
      <c r="W54" s="285"/>
      <c r="X54" s="281"/>
      <c r="Y54" s="20"/>
      <c r="Z54" s="20"/>
      <c r="AE54" s="84"/>
    </row>
    <row r="55" spans="1:31">
      <c r="A55" s="3" t="s">
        <v>359</v>
      </c>
      <c r="C55" s="264">
        <f>1234+237</f>
        <v>1471</v>
      </c>
      <c r="D55" s="264">
        <f>ROUND(C55*($D$59/$C$59),0)</f>
        <v>1514</v>
      </c>
      <c r="E55" s="265">
        <v>16.04</v>
      </c>
      <c r="G55" s="2">
        <f>ROUND(E55*$C55,0)</f>
        <v>23595</v>
      </c>
      <c r="H55" s="2">
        <f>ROUND(E55*$D55,0)</f>
        <v>24285</v>
      </c>
      <c r="I55" s="265">
        <f>$I$21</f>
        <v>16.04</v>
      </c>
      <c r="K55" s="2">
        <f>ROUND(I55*$D55,0)</f>
        <v>24285</v>
      </c>
      <c r="O55" s="286"/>
      <c r="P55" s="74"/>
      <c r="Q55" s="20"/>
      <c r="R55" s="287"/>
      <c r="S55" s="278"/>
      <c r="T55" s="278"/>
      <c r="U55" s="281"/>
      <c r="V55" s="281"/>
      <c r="W55" s="285"/>
      <c r="X55" s="281"/>
      <c r="Y55" s="20"/>
      <c r="Z55" s="20"/>
      <c r="AE55" s="84"/>
    </row>
    <row r="56" spans="1:31">
      <c r="A56" s="3" t="s">
        <v>360</v>
      </c>
      <c r="C56" s="264">
        <f>385+48</f>
        <v>433</v>
      </c>
      <c r="D56" s="264">
        <f>ROUND(C56*($D$59/$C$59),0)</f>
        <v>446</v>
      </c>
      <c r="E56" s="265">
        <v>25.88</v>
      </c>
      <c r="G56" s="2">
        <f>ROUND(E56*$C56,0)</f>
        <v>11206</v>
      </c>
      <c r="H56" s="2">
        <f>ROUND(E56*$D56,0)</f>
        <v>11542</v>
      </c>
      <c r="I56" s="265">
        <f>$I$22</f>
        <v>25.88</v>
      </c>
      <c r="K56" s="2">
        <f>ROUND(I56*$D56,0)</f>
        <v>11542</v>
      </c>
      <c r="O56" s="286"/>
      <c r="P56" s="74"/>
      <c r="Q56" s="20"/>
      <c r="R56" s="287"/>
      <c r="S56" s="278"/>
      <c r="T56" s="278"/>
      <c r="U56" s="281"/>
      <c r="V56" s="281"/>
      <c r="W56" s="285"/>
      <c r="X56" s="281"/>
      <c r="Y56" s="20"/>
      <c r="Z56" s="20"/>
      <c r="AE56" s="84"/>
    </row>
    <row r="57" spans="1:31">
      <c r="A57" s="3" t="s">
        <v>361</v>
      </c>
      <c r="C57" s="264">
        <f>12+252+48+36+12</f>
        <v>360</v>
      </c>
      <c r="D57" s="264">
        <f>ROUND(C57*($D$59/$C$59),0)</f>
        <v>371</v>
      </c>
      <c r="E57" s="269">
        <v>1</v>
      </c>
      <c r="F57" s="20"/>
      <c r="G57" s="272">
        <f>ROUND(E57*$C57,0)</f>
        <v>360</v>
      </c>
      <c r="H57" s="272">
        <f>ROUND(E57*$D57,0)</f>
        <v>371</v>
      </c>
      <c r="I57" s="269">
        <f>$I$23</f>
        <v>1</v>
      </c>
      <c r="J57" s="20"/>
      <c r="K57" s="272">
        <f>ROUND(I57*$D57,0)</f>
        <v>371</v>
      </c>
      <c r="M57" s="277"/>
      <c r="N57" s="277"/>
      <c r="O57" s="281"/>
      <c r="P57" s="74"/>
      <c r="Q57" s="20"/>
      <c r="R57" s="278"/>
      <c r="S57" s="278"/>
      <c r="T57" s="278"/>
      <c r="U57" s="281"/>
      <c r="V57" s="281"/>
      <c r="W57" s="281"/>
      <c r="X57" s="281"/>
      <c r="Y57" s="20"/>
      <c r="Z57" s="20"/>
      <c r="AE57" s="84"/>
    </row>
    <row r="58" spans="1:31">
      <c r="A58" s="3" t="s">
        <v>362</v>
      </c>
      <c r="C58" s="264">
        <v>1470</v>
      </c>
      <c r="D58" s="264">
        <v>1459</v>
      </c>
      <c r="E58" s="265"/>
      <c r="G58" s="2"/>
      <c r="H58" s="2"/>
      <c r="I58" s="265"/>
      <c r="K58" s="2"/>
      <c r="M58" s="277"/>
      <c r="N58" s="277"/>
      <c r="O58" s="277"/>
      <c r="P58" s="278"/>
      <c r="Q58" s="278"/>
      <c r="R58" s="278"/>
      <c r="S58" s="278"/>
      <c r="T58" s="278"/>
      <c r="U58" s="288"/>
      <c r="V58" s="278"/>
      <c r="W58" s="278"/>
      <c r="X58" s="278"/>
      <c r="Y58" s="20"/>
      <c r="Z58" s="20"/>
      <c r="AE58" s="84"/>
    </row>
    <row r="59" spans="1:31">
      <c r="A59" s="3" t="s">
        <v>35</v>
      </c>
      <c r="C59" s="264">
        <v>2378799.5</v>
      </c>
      <c r="D59" s="264">
        <v>2448984.1343942713</v>
      </c>
      <c r="E59" s="269"/>
      <c r="F59" s="20"/>
      <c r="G59" s="272">
        <f>SUM(G50:G57)</f>
        <v>296573</v>
      </c>
      <c r="H59" s="272">
        <f>SUM(H50:H57)</f>
        <v>305335</v>
      </c>
      <c r="I59" s="269"/>
      <c r="J59" s="20"/>
      <c r="K59" s="272">
        <f>SUM(K50:K57)</f>
        <v>305335</v>
      </c>
      <c r="M59" s="277"/>
      <c r="N59" s="277"/>
      <c r="O59" s="290"/>
      <c r="P59" s="278"/>
      <c r="Q59" s="20"/>
      <c r="R59" s="20"/>
      <c r="S59" s="20"/>
      <c r="T59" s="278"/>
      <c r="U59" s="278"/>
      <c r="V59" s="278"/>
      <c r="W59" s="278"/>
      <c r="X59" s="278"/>
      <c r="Y59" s="20"/>
      <c r="Z59" s="20"/>
      <c r="AE59" s="84"/>
    </row>
    <row r="60" spans="1:31">
      <c r="A60" s="3" t="s">
        <v>363</v>
      </c>
      <c r="C60" s="264">
        <v>10407.99096753577</v>
      </c>
      <c r="D60" s="264">
        <v>0</v>
      </c>
      <c r="E60" s="269"/>
      <c r="F60" s="20"/>
      <c r="G60" s="272">
        <v>1073.2189733021287</v>
      </c>
      <c r="H60" s="272">
        <v>0</v>
      </c>
      <c r="I60" s="269"/>
      <c r="J60" s="20"/>
      <c r="K60" s="272">
        <v>0</v>
      </c>
      <c r="M60" s="289"/>
      <c r="N60" s="289"/>
      <c r="O60" s="290"/>
      <c r="P60" s="278"/>
      <c r="Q60" s="278"/>
      <c r="R60" s="283"/>
      <c r="S60" s="281"/>
      <c r="T60" s="278"/>
      <c r="U60" s="278"/>
      <c r="V60" s="278"/>
      <c r="W60" s="278"/>
      <c r="X60" s="278"/>
      <c r="Y60" s="20"/>
      <c r="Z60" s="20"/>
      <c r="AE60" s="84"/>
    </row>
    <row r="61" spans="1:31" ht="16.5" thickBot="1">
      <c r="A61" s="3" t="s">
        <v>9</v>
      </c>
      <c r="C61" s="273">
        <f>C59+C60</f>
        <v>2389207.4909675359</v>
      </c>
      <c r="D61" s="273">
        <f>SUM(D59:D60)</f>
        <v>2448984.1343942713</v>
      </c>
      <c r="E61" s="274"/>
      <c r="F61" s="274"/>
      <c r="G61" s="274">
        <f>G59+G60</f>
        <v>297646.21897330211</v>
      </c>
      <c r="H61" s="274">
        <f>H59+H60</f>
        <v>305335</v>
      </c>
      <c r="I61" s="274"/>
      <c r="J61" s="274"/>
      <c r="K61" s="274">
        <f>K59+K60</f>
        <v>305335</v>
      </c>
      <c r="M61" s="291"/>
      <c r="N61" s="291"/>
      <c r="O61" s="292"/>
      <c r="P61" s="278"/>
      <c r="Q61" s="278"/>
      <c r="R61" s="278"/>
      <c r="S61" s="278"/>
      <c r="T61" s="278"/>
      <c r="U61" s="278"/>
      <c r="V61" s="278"/>
      <c r="W61" s="278"/>
      <c r="X61" s="278"/>
      <c r="Y61" s="20"/>
      <c r="Z61" s="20"/>
      <c r="AE61" s="84"/>
    </row>
    <row r="62" spans="1:31" ht="16.5" thickTop="1">
      <c r="C62" s="275"/>
      <c r="D62" s="275"/>
      <c r="E62" s="275"/>
      <c r="F62" s="275"/>
      <c r="G62" s="263"/>
      <c r="H62" s="263"/>
      <c r="I62" s="1" t="s">
        <v>31</v>
      </c>
      <c r="J62" s="275"/>
      <c r="K62" s="2" t="s">
        <v>31</v>
      </c>
      <c r="AE62" s="84"/>
    </row>
    <row r="63" spans="1:31">
      <c r="A63" s="262" t="s">
        <v>351</v>
      </c>
      <c r="G63" s="263"/>
      <c r="H63" s="263"/>
      <c r="AE63" s="84"/>
    </row>
    <row r="64" spans="1:31">
      <c r="A64" s="3" t="s">
        <v>367</v>
      </c>
      <c r="G64" s="263"/>
      <c r="H64" s="263"/>
      <c r="M64" s="277"/>
      <c r="N64" s="277"/>
      <c r="O64" s="277"/>
      <c r="P64" s="277"/>
      <c r="Q64" s="277"/>
      <c r="R64" s="277"/>
      <c r="S64" s="277"/>
      <c r="T64" s="277"/>
      <c r="U64" s="277"/>
      <c r="V64" s="277"/>
      <c r="W64" s="277"/>
      <c r="X64" s="277"/>
      <c r="AE64" s="84"/>
    </row>
    <row r="65" spans="1:31">
      <c r="G65" s="263"/>
      <c r="H65" s="263"/>
      <c r="M65" s="278"/>
      <c r="N65" s="278"/>
      <c r="O65" s="278"/>
      <c r="P65" s="278"/>
      <c r="Q65" s="278"/>
      <c r="R65" s="278"/>
      <c r="S65" s="278"/>
      <c r="T65" s="278"/>
      <c r="U65" s="278"/>
      <c r="V65" s="278"/>
      <c r="W65" s="278"/>
      <c r="X65" s="278"/>
      <c r="Y65" s="20"/>
      <c r="AE65" s="84"/>
    </row>
    <row r="66" spans="1:31">
      <c r="A66" s="3" t="s">
        <v>353</v>
      </c>
      <c r="G66" s="263"/>
      <c r="H66" s="263"/>
      <c r="M66" s="278"/>
      <c r="N66" s="278"/>
      <c r="O66" s="278"/>
      <c r="P66" s="74"/>
      <c r="Q66" s="279"/>
      <c r="R66" s="280"/>
      <c r="S66" s="281"/>
      <c r="T66" s="282"/>
      <c r="U66" s="278"/>
      <c r="V66" s="278"/>
      <c r="W66" s="278"/>
      <c r="X66" s="278"/>
      <c r="Y66" s="20"/>
      <c r="AE66" s="84"/>
    </row>
    <row r="67" spans="1:31">
      <c r="A67" s="3" t="s">
        <v>354</v>
      </c>
      <c r="C67" s="264">
        <f>336+192+132</f>
        <v>660</v>
      </c>
      <c r="D67" s="264">
        <f>ROUND(C67*($D$76/$C$76),0)</f>
        <v>685</v>
      </c>
      <c r="E67" s="265">
        <v>9.6</v>
      </c>
      <c r="G67" s="2">
        <f>ROUND(E67*$C67,0)</f>
        <v>6336</v>
      </c>
      <c r="H67" s="2">
        <f>ROUND(E67*$D67,0)</f>
        <v>6576</v>
      </c>
      <c r="I67" s="265">
        <f>$I$16</f>
        <v>9.6</v>
      </c>
      <c r="K67" s="2">
        <f>ROUND(I67*$D67,0)</f>
        <v>6576</v>
      </c>
      <c r="M67" s="20"/>
      <c r="N67" s="20"/>
      <c r="O67" s="281"/>
      <c r="P67" s="74"/>
      <c r="Q67" s="278"/>
      <c r="R67" s="283"/>
      <c r="S67" s="284"/>
      <c r="T67" s="278"/>
      <c r="U67" s="281"/>
      <c r="V67" s="281"/>
      <c r="W67" s="285"/>
      <c r="X67" s="281"/>
      <c r="Y67" s="20"/>
      <c r="AE67" s="84"/>
    </row>
    <row r="68" spans="1:31">
      <c r="A68" s="3" t="s">
        <v>355</v>
      </c>
      <c r="C68" s="264">
        <f>407+36</f>
        <v>443</v>
      </c>
      <c r="D68" s="264">
        <f>ROUND(C68*($D$76/$C$76),0)</f>
        <v>460</v>
      </c>
      <c r="E68" s="265">
        <v>18.28</v>
      </c>
      <c r="G68" s="2">
        <f>ROUND(E68*$C68,0)</f>
        <v>8098</v>
      </c>
      <c r="H68" s="2">
        <f>ROUND(E68*$D68,0)</f>
        <v>8409</v>
      </c>
      <c r="I68" s="265">
        <f>$I$17</f>
        <v>18.28</v>
      </c>
      <c r="K68" s="2">
        <f>ROUND(I68*$D68,0)</f>
        <v>8409</v>
      </c>
      <c r="M68" s="20"/>
      <c r="N68" s="20"/>
      <c r="O68" s="281"/>
      <c r="P68" s="74"/>
      <c r="Q68" s="20"/>
      <c r="R68" s="287"/>
      <c r="S68" s="278"/>
      <c r="T68" s="278"/>
      <c r="U68" s="281"/>
      <c r="V68" s="281"/>
      <c r="W68" s="285"/>
      <c r="X68" s="281"/>
      <c r="Y68" s="20"/>
      <c r="AE68" s="84"/>
    </row>
    <row r="69" spans="1:31">
      <c r="A69" s="3" t="s">
        <v>356</v>
      </c>
      <c r="C69" s="264">
        <f>48</f>
        <v>48</v>
      </c>
      <c r="D69" s="264">
        <f>ROUND(C69*($D$76/$C$76),0)</f>
        <v>50</v>
      </c>
      <c r="E69" s="265">
        <v>37.82</v>
      </c>
      <c r="G69" s="2">
        <f>ROUND(E69*$C69,0)</f>
        <v>1815</v>
      </c>
      <c r="H69" s="2">
        <f>ROUND(E69*$D69,0)</f>
        <v>1891</v>
      </c>
      <c r="I69" s="265">
        <f>$I$18</f>
        <v>37.82</v>
      </c>
      <c r="K69" s="2">
        <f>ROUND(I69*$D69,0)</f>
        <v>1891</v>
      </c>
      <c r="M69" s="20"/>
      <c r="N69" s="20"/>
      <c r="O69" s="281"/>
      <c r="P69" s="74"/>
      <c r="Q69" s="20"/>
      <c r="R69" s="287"/>
      <c r="S69" s="278"/>
      <c r="T69" s="278"/>
      <c r="U69" s="281"/>
      <c r="V69" s="281"/>
      <c r="W69" s="285"/>
      <c r="X69" s="281"/>
      <c r="Y69" s="20"/>
      <c r="AE69" s="84"/>
    </row>
    <row r="70" spans="1:31">
      <c r="A70" s="3" t="s">
        <v>357</v>
      </c>
      <c r="C70" s="264"/>
      <c r="D70" s="264"/>
      <c r="E70" s="265"/>
      <c r="G70" s="2"/>
      <c r="H70" s="2"/>
      <c r="I70" s="265"/>
      <c r="K70" s="2"/>
      <c r="M70" s="20"/>
      <c r="N70" s="20"/>
      <c r="O70" s="281"/>
      <c r="P70" s="74"/>
      <c r="Q70" s="20"/>
      <c r="R70" s="287"/>
      <c r="S70" s="278"/>
      <c r="T70" s="278"/>
      <c r="U70" s="281"/>
      <c r="V70" s="281"/>
      <c r="W70" s="285"/>
      <c r="X70" s="281"/>
      <c r="Y70" s="20"/>
      <c r="AE70" s="84"/>
    </row>
    <row r="71" spans="1:31">
      <c r="A71" s="3" t="s">
        <v>358</v>
      </c>
      <c r="C71" s="264">
        <f>12</f>
        <v>12</v>
      </c>
      <c r="D71" s="264">
        <f>ROUND(C71*($D$76/$C$76),0)</f>
        <v>12</v>
      </c>
      <c r="E71" s="265">
        <v>10.92</v>
      </c>
      <c r="G71" s="2">
        <f>ROUND(E71*$C71,0)</f>
        <v>131</v>
      </c>
      <c r="H71" s="2">
        <f>ROUND(E71*$D71,0)</f>
        <v>131</v>
      </c>
      <c r="I71" s="265">
        <f>$I$20</f>
        <v>10.92</v>
      </c>
      <c r="K71" s="2">
        <f>ROUND(I71*$D71,0)</f>
        <v>131</v>
      </c>
      <c r="M71" s="20"/>
      <c r="N71" s="20"/>
      <c r="O71" s="281"/>
      <c r="P71" s="74"/>
      <c r="Q71" s="20"/>
      <c r="R71" s="287"/>
      <c r="S71" s="278"/>
      <c r="T71" s="278"/>
      <c r="U71" s="281"/>
      <c r="V71" s="281"/>
      <c r="W71" s="285"/>
      <c r="X71" s="281"/>
      <c r="Y71" s="20"/>
      <c r="AE71" s="84"/>
    </row>
    <row r="72" spans="1:31">
      <c r="A72" s="3" t="s">
        <v>359</v>
      </c>
      <c r="C72" s="264">
        <f>96+12</f>
        <v>108</v>
      </c>
      <c r="D72" s="264">
        <f>ROUND(C72*($D$76/$C$76),0)</f>
        <v>112</v>
      </c>
      <c r="E72" s="265">
        <v>16.04</v>
      </c>
      <c r="G72" s="2">
        <f>ROUND(E72*$C72,0)</f>
        <v>1732</v>
      </c>
      <c r="H72" s="2">
        <f>ROUND(E72*$D72,0)</f>
        <v>1796</v>
      </c>
      <c r="I72" s="265">
        <f>$I$21</f>
        <v>16.04</v>
      </c>
      <c r="K72" s="2">
        <f>ROUND(I72*$D72,0)</f>
        <v>1796</v>
      </c>
      <c r="M72" s="20"/>
      <c r="N72" s="20"/>
      <c r="O72" s="281"/>
      <c r="P72" s="74"/>
      <c r="Q72" s="20"/>
      <c r="R72" s="287"/>
      <c r="S72" s="278"/>
      <c r="T72" s="278"/>
      <c r="U72" s="281"/>
      <c r="V72" s="281"/>
      <c r="W72" s="285"/>
      <c r="X72" s="281"/>
      <c r="Y72" s="20"/>
      <c r="AE72" s="84"/>
    </row>
    <row r="73" spans="1:31">
      <c r="A73" s="3" t="s">
        <v>360</v>
      </c>
      <c r="C73" s="264">
        <f>36</f>
        <v>36</v>
      </c>
      <c r="D73" s="264">
        <f>ROUND(C73*($D$76/$C$76),0)</f>
        <v>37</v>
      </c>
      <c r="E73" s="265">
        <v>25.88</v>
      </c>
      <c r="G73" s="2">
        <f>ROUND(E73*$C73,0)</f>
        <v>932</v>
      </c>
      <c r="H73" s="2">
        <f>ROUND(E73*$D73,0)</f>
        <v>958</v>
      </c>
      <c r="I73" s="265">
        <f>$I$22</f>
        <v>25.88</v>
      </c>
      <c r="K73" s="2">
        <f>ROUND(I73*$D73,0)</f>
        <v>958</v>
      </c>
      <c r="M73" s="20"/>
      <c r="N73" s="20"/>
      <c r="O73" s="281"/>
      <c r="P73" s="74"/>
      <c r="Q73" s="20"/>
      <c r="R73" s="287"/>
      <c r="S73" s="278"/>
      <c r="T73" s="278"/>
      <c r="U73" s="281"/>
      <c r="V73" s="281"/>
      <c r="W73" s="285"/>
      <c r="X73" s="281"/>
      <c r="Y73" s="20"/>
      <c r="AE73" s="84"/>
    </row>
    <row r="74" spans="1:31">
      <c r="A74" s="3" t="s">
        <v>361</v>
      </c>
      <c r="C74" s="264">
        <f>133</f>
        <v>133</v>
      </c>
      <c r="D74" s="264">
        <f>ROUND(C74*($D$76/$C$76),0)</f>
        <v>138</v>
      </c>
      <c r="E74" s="269">
        <v>1</v>
      </c>
      <c r="F74" s="20"/>
      <c r="G74" s="272">
        <f>ROUND(E74*$C74,0)</f>
        <v>133</v>
      </c>
      <c r="H74" s="272">
        <f>ROUND(E74*$D74,0)</f>
        <v>138</v>
      </c>
      <c r="I74" s="269">
        <f>$I$23</f>
        <v>1</v>
      </c>
      <c r="J74" s="20"/>
      <c r="K74" s="272">
        <f>ROUND(I74*$D74,0)</f>
        <v>138</v>
      </c>
      <c r="M74" s="278"/>
      <c r="N74" s="278"/>
      <c r="O74" s="281"/>
      <c r="P74" s="74"/>
      <c r="Q74" s="20"/>
      <c r="R74" s="278"/>
      <c r="S74" s="278"/>
      <c r="T74" s="278"/>
      <c r="U74" s="281"/>
      <c r="V74" s="281"/>
      <c r="W74" s="281"/>
      <c r="X74" s="281"/>
      <c r="Y74" s="20"/>
      <c r="AE74" s="84"/>
    </row>
    <row r="75" spans="1:31">
      <c r="A75" s="3" t="s">
        <v>362</v>
      </c>
      <c r="C75" s="264">
        <f>20+45</f>
        <v>65</v>
      </c>
      <c r="D75" s="264">
        <v>61.916666666666664</v>
      </c>
      <c r="E75" s="265"/>
      <c r="G75" s="2"/>
      <c r="H75" s="2"/>
      <c r="I75" s="265"/>
      <c r="K75" s="2"/>
      <c r="M75" s="278"/>
      <c r="N75" s="278"/>
      <c r="O75" s="278"/>
      <c r="P75" s="278"/>
      <c r="Q75" s="278"/>
      <c r="R75" s="278"/>
      <c r="S75" s="278"/>
      <c r="T75" s="278"/>
      <c r="U75" s="288"/>
      <c r="V75" s="278"/>
      <c r="W75" s="278"/>
      <c r="X75" s="278"/>
      <c r="Y75" s="20"/>
      <c r="AE75" s="84"/>
    </row>
    <row r="76" spans="1:31">
      <c r="A76" s="3" t="s">
        <v>35</v>
      </c>
      <c r="C76" s="264">
        <v>161590</v>
      </c>
      <c r="D76" s="264">
        <v>167748.79783190461</v>
      </c>
      <c r="E76" s="269"/>
      <c r="F76" s="20"/>
      <c r="G76" s="272">
        <f>SUM(G67:G74)</f>
        <v>19177</v>
      </c>
      <c r="H76" s="272">
        <f>SUM(H67:H74)</f>
        <v>19899</v>
      </c>
      <c r="I76" s="269"/>
      <c r="J76" s="20"/>
      <c r="K76" s="272">
        <f>SUM(K67:K74)</f>
        <v>19899</v>
      </c>
      <c r="M76" s="278"/>
      <c r="N76" s="278"/>
      <c r="O76" s="287"/>
      <c r="P76" s="278"/>
      <c r="Q76" s="20"/>
      <c r="R76" s="20"/>
      <c r="S76" s="20"/>
      <c r="T76" s="278"/>
      <c r="U76" s="278"/>
      <c r="V76" s="278"/>
      <c r="W76" s="278"/>
      <c r="X76" s="278"/>
      <c r="Y76" s="20"/>
      <c r="AE76" s="84"/>
    </row>
    <row r="77" spans="1:31">
      <c r="A77" s="3" t="s">
        <v>363</v>
      </c>
      <c r="C77" s="264">
        <v>-3651.1873052418596</v>
      </c>
      <c r="D77" s="264">
        <v>0</v>
      </c>
      <c r="E77" s="269"/>
      <c r="F77" s="20"/>
      <c r="G77" s="272">
        <v>-357.5269401612241</v>
      </c>
      <c r="H77" s="272">
        <v>0</v>
      </c>
      <c r="I77" s="269"/>
      <c r="J77" s="20"/>
      <c r="K77" s="272">
        <v>0</v>
      </c>
      <c r="M77" s="289"/>
      <c r="N77" s="289"/>
      <c r="O77" s="290"/>
      <c r="P77" s="278"/>
      <c r="Q77" s="278"/>
      <c r="R77" s="283"/>
      <c r="S77" s="281"/>
      <c r="T77" s="278"/>
      <c r="U77" s="277"/>
      <c r="V77" s="277"/>
      <c r="W77" s="277"/>
      <c r="X77" s="277"/>
      <c r="AE77" s="84"/>
    </row>
    <row r="78" spans="1:31" ht="16.5" thickBot="1">
      <c r="A78" s="3" t="s">
        <v>9</v>
      </c>
      <c r="C78" s="273">
        <f>C76+C77</f>
        <v>157938.81269475815</v>
      </c>
      <c r="D78" s="273">
        <f>SUM(D76:D77)</f>
        <v>167748.79783190461</v>
      </c>
      <c r="E78" s="274"/>
      <c r="F78" s="274"/>
      <c r="G78" s="274">
        <f>G76+G77</f>
        <v>18819.473059838776</v>
      </c>
      <c r="H78" s="274">
        <f>H76+H77</f>
        <v>19899</v>
      </c>
      <c r="I78" s="274"/>
      <c r="J78" s="274"/>
      <c r="K78" s="274">
        <f>K76+K77</f>
        <v>19899</v>
      </c>
      <c r="M78" s="291"/>
      <c r="N78" s="291"/>
      <c r="O78" s="292"/>
      <c r="P78" s="278"/>
      <c r="Q78" s="278"/>
      <c r="R78" s="278"/>
      <c r="S78" s="278"/>
      <c r="T78" s="278"/>
      <c r="U78" s="277"/>
      <c r="V78" s="277"/>
      <c r="W78" s="277"/>
      <c r="X78" s="277"/>
      <c r="AE78" s="84"/>
    </row>
    <row r="79" spans="1:31" ht="16.5" thickTop="1">
      <c r="C79" s="275"/>
      <c r="D79" s="275"/>
      <c r="E79" s="275"/>
      <c r="F79" s="275"/>
      <c r="G79" s="263"/>
      <c r="H79" s="263"/>
      <c r="I79" s="1" t="s">
        <v>31</v>
      </c>
      <c r="J79" s="275"/>
      <c r="K79" s="2" t="s">
        <v>31</v>
      </c>
      <c r="P79" s="74"/>
      <c r="Q79" s="20"/>
      <c r="R79" s="20"/>
      <c r="S79" s="20"/>
      <c r="T79" s="20"/>
      <c r="AE79" s="84"/>
    </row>
    <row r="80" spans="1:31">
      <c r="A80" s="293" t="s">
        <v>368</v>
      </c>
      <c r="B80" s="1"/>
      <c r="C80" s="1"/>
      <c r="D80" s="1"/>
      <c r="E80" s="21"/>
      <c r="F80" s="21"/>
      <c r="G80" s="1"/>
      <c r="H80" s="1"/>
      <c r="I80" s="21"/>
      <c r="J80" s="1"/>
      <c r="K80" s="1"/>
      <c r="M80" s="3">
        <f>K91/(D84+D85)</f>
        <v>7.0647540513858201E-2</v>
      </c>
      <c r="N80" s="294"/>
      <c r="R80" s="3" t="s">
        <v>31</v>
      </c>
      <c r="AE80" s="84"/>
    </row>
    <row r="81" spans="1:31">
      <c r="A81" s="1" t="s">
        <v>369</v>
      </c>
      <c r="B81" s="1"/>
      <c r="C81" s="1"/>
      <c r="D81" s="1"/>
      <c r="E81" s="21"/>
      <c r="F81" s="21"/>
      <c r="G81" s="1"/>
      <c r="H81" s="1"/>
      <c r="I81" s="21"/>
      <c r="J81" s="1"/>
      <c r="K81" s="1"/>
      <c r="M81" s="295"/>
      <c r="N81" s="296">
        <f>SUM(D84:D85)/SUM(D83)</f>
        <v>1285.9851569999828</v>
      </c>
      <c r="AE81" s="84"/>
    </row>
    <row r="82" spans="1:31">
      <c r="A82" s="297"/>
      <c r="B82" s="1"/>
      <c r="C82" s="1"/>
      <c r="D82" s="1"/>
      <c r="E82" s="21"/>
      <c r="F82" s="21"/>
      <c r="G82" s="1"/>
      <c r="H82" s="1"/>
      <c r="I82" s="21"/>
      <c r="J82" s="1"/>
      <c r="K82" s="1"/>
      <c r="O82" s="69" t="s">
        <v>31</v>
      </c>
      <c r="P82" s="69" t="s">
        <v>31</v>
      </c>
      <c r="AE82" s="84"/>
    </row>
    <row r="83" spans="1:31">
      <c r="A83" s="1" t="s">
        <v>370</v>
      </c>
      <c r="B83" s="1"/>
      <c r="C83" s="21">
        <f t="shared" ref="C83:D90" si="4">C96+C109+C122+C135</f>
        <v>1216043</v>
      </c>
      <c r="D83" s="21">
        <f t="shared" si="4"/>
        <v>1229864</v>
      </c>
      <c r="E83" s="298">
        <v>5.25</v>
      </c>
      <c r="F83" s="1"/>
      <c r="G83" s="2">
        <f t="shared" ref="G83:H90" si="5">G96+G109+G122+G135</f>
        <v>6384226</v>
      </c>
      <c r="H83" s="2">
        <f t="shared" si="5"/>
        <v>6456787</v>
      </c>
      <c r="I83" s="298">
        <v>6</v>
      </c>
      <c r="J83" s="1"/>
      <c r="K83" s="2">
        <f t="shared" ref="K83:K90" si="6">K96+K109+K122+K135</f>
        <v>7379184</v>
      </c>
      <c r="M83" s="84">
        <f>I83*D83</f>
        <v>7379184</v>
      </c>
      <c r="O83" s="14">
        <f t="shared" ref="O83:O88" si="7">(I83-E83)/E83</f>
        <v>0.14285714285714285</v>
      </c>
      <c r="T83" s="3" t="s">
        <v>371</v>
      </c>
      <c r="U83" s="3" t="s">
        <v>305</v>
      </c>
      <c r="V83" s="3" t="s">
        <v>372</v>
      </c>
      <c r="W83" s="3" t="s">
        <v>315</v>
      </c>
      <c r="AE83" s="84"/>
    </row>
    <row r="84" spans="1:31">
      <c r="A84" s="1" t="s">
        <v>373</v>
      </c>
      <c r="B84" s="1"/>
      <c r="C84" s="21">
        <f t="shared" si="4"/>
        <v>638137013.30924332</v>
      </c>
      <c r="D84" s="21">
        <f t="shared" si="4"/>
        <v>643146746.60466242</v>
      </c>
      <c r="E84" s="299">
        <v>4.569</v>
      </c>
      <c r="F84" s="1" t="s">
        <v>374</v>
      </c>
      <c r="G84" s="2">
        <f t="shared" si="5"/>
        <v>29156479</v>
      </c>
      <c r="H84" s="2">
        <f t="shared" si="5"/>
        <v>29385375</v>
      </c>
      <c r="I84" s="299">
        <v>4.9139999999999997</v>
      </c>
      <c r="J84" s="1" t="s">
        <v>374</v>
      </c>
      <c r="K84" s="2">
        <f t="shared" si="6"/>
        <v>31604232</v>
      </c>
      <c r="M84" s="84">
        <f>(I84/100)*D84</f>
        <v>31604231.128153108</v>
      </c>
      <c r="O84" s="14">
        <f t="shared" si="7"/>
        <v>7.55088640840446E-2</v>
      </c>
      <c r="Q84" s="237">
        <f>(E85-E84)/E84</f>
        <v>0.57758809367476482</v>
      </c>
      <c r="S84" s="3" t="s">
        <v>20</v>
      </c>
      <c r="T84" s="84">
        <f>H83</f>
        <v>6456787</v>
      </c>
      <c r="U84" s="84">
        <f>K83</f>
        <v>7379184</v>
      </c>
      <c r="V84" s="106">
        <v>10560201.731189568</v>
      </c>
      <c r="W84" s="237">
        <f>U84/V84</f>
        <v>0.69877301474322895</v>
      </c>
      <c r="AE84" s="84"/>
    </row>
    <row r="85" spans="1:31">
      <c r="A85" s="1" t="s">
        <v>375</v>
      </c>
      <c r="B85" s="1"/>
      <c r="C85" s="21">
        <f t="shared" si="4"/>
        <v>930810309.69075668</v>
      </c>
      <c r="D85" s="21">
        <f t="shared" si="4"/>
        <v>938440102.52396452</v>
      </c>
      <c r="E85" s="299">
        <v>7.2080000000000002</v>
      </c>
      <c r="F85" s="1" t="s">
        <v>374</v>
      </c>
      <c r="G85" s="2">
        <f t="shared" si="5"/>
        <v>67092808</v>
      </c>
      <c r="H85" s="2">
        <f t="shared" si="5"/>
        <v>67642762</v>
      </c>
      <c r="I85" s="299">
        <v>7.7510000000000003</v>
      </c>
      <c r="J85" s="1" t="s">
        <v>374</v>
      </c>
      <c r="K85" s="2">
        <f t="shared" si="6"/>
        <v>72738492</v>
      </c>
      <c r="M85" s="84">
        <f>(I85/100)*D85</f>
        <v>72738492.346632496</v>
      </c>
      <c r="N85" s="300"/>
      <c r="O85" s="14">
        <f t="shared" si="7"/>
        <v>7.533296337402888E-2</v>
      </c>
      <c r="Q85" s="237">
        <f>(I85-I84)/I84</f>
        <v>0.57733007733007746</v>
      </c>
      <c r="S85" s="3" t="s">
        <v>376</v>
      </c>
      <c r="T85" s="106">
        <f>E84*(D84+D85)/100</f>
        <v>72262703.136686951</v>
      </c>
      <c r="U85" s="106">
        <f>I84*(D84+D85)/100</f>
        <v>77719177.766180709</v>
      </c>
      <c r="V85" s="106">
        <v>74901422.706720337</v>
      </c>
      <c r="W85" s="237">
        <f>U85/V85</f>
        <v>1.0376195131899351</v>
      </c>
      <c r="AE85" s="84"/>
    </row>
    <row r="86" spans="1:31">
      <c r="A86" s="1" t="s">
        <v>377</v>
      </c>
      <c r="B86" s="1"/>
      <c r="C86" s="21">
        <f t="shared" si="4"/>
        <v>6129</v>
      </c>
      <c r="D86" s="21">
        <f t="shared" si="4"/>
        <v>6540.0468369807459</v>
      </c>
      <c r="E86" s="301">
        <v>1.55</v>
      </c>
      <c r="F86" s="1"/>
      <c r="G86" s="2">
        <f t="shared" si="5"/>
        <v>9500</v>
      </c>
      <c r="H86" s="2">
        <f t="shared" si="5"/>
        <v>10137</v>
      </c>
      <c r="I86" s="301">
        <v>1.55</v>
      </c>
      <c r="J86" s="1"/>
      <c r="K86" s="2">
        <f t="shared" si="6"/>
        <v>10137</v>
      </c>
      <c r="M86" s="84">
        <f>I86*D86</f>
        <v>10137.072597320157</v>
      </c>
      <c r="N86" s="302"/>
      <c r="O86" s="14">
        <f t="shared" si="7"/>
        <v>0</v>
      </c>
      <c r="S86" s="3" t="s">
        <v>378</v>
      </c>
      <c r="T86" s="84">
        <f>H84+H85-T85</f>
        <v>24765433.863313049</v>
      </c>
      <c r="U86" s="84">
        <f>K84+K85-U85</f>
        <v>26623546.233819291</v>
      </c>
      <c r="V86" s="106">
        <v>33130328.65840701</v>
      </c>
      <c r="W86" s="237">
        <f>U86/V86</f>
        <v>0.80360042631401463</v>
      </c>
      <c r="AE86" s="84"/>
    </row>
    <row r="87" spans="1:31">
      <c r="A87" s="303" t="s">
        <v>379</v>
      </c>
      <c r="B87" s="303"/>
      <c r="C87" s="21">
        <f t="shared" si="4"/>
        <v>1017</v>
      </c>
      <c r="D87" s="21">
        <f t="shared" si="4"/>
        <v>1085.8002596400945</v>
      </c>
      <c r="E87" s="301">
        <v>3</v>
      </c>
      <c r="F87" s="303"/>
      <c r="G87" s="2">
        <f t="shared" si="5"/>
        <v>3051</v>
      </c>
      <c r="H87" s="2">
        <f t="shared" si="5"/>
        <v>3258</v>
      </c>
      <c r="I87" s="301">
        <v>3</v>
      </c>
      <c r="J87" s="303"/>
      <c r="K87" s="2">
        <f t="shared" si="6"/>
        <v>3258</v>
      </c>
      <c r="M87" s="84">
        <f>I87*D87</f>
        <v>3257.4007789202833</v>
      </c>
      <c r="O87" s="14">
        <f t="shared" si="7"/>
        <v>0</v>
      </c>
      <c r="AE87" s="84"/>
    </row>
    <row r="88" spans="1:31">
      <c r="A88" s="303" t="s">
        <v>380</v>
      </c>
      <c r="B88" s="303"/>
      <c r="C88" s="21">
        <f t="shared" si="4"/>
        <v>50</v>
      </c>
      <c r="D88" s="21">
        <f t="shared" si="4"/>
        <v>53.081237721216993</v>
      </c>
      <c r="E88" s="304">
        <f>-E86</f>
        <v>-1.55</v>
      </c>
      <c r="F88" s="303"/>
      <c r="G88" s="2">
        <f t="shared" si="5"/>
        <v>-77</v>
      </c>
      <c r="H88" s="2">
        <f t="shared" si="5"/>
        <v>-82</v>
      </c>
      <c r="I88" s="304">
        <f>-I86</f>
        <v>-1.55</v>
      </c>
      <c r="J88" s="303"/>
      <c r="K88" s="2">
        <f t="shared" si="6"/>
        <v>-82</v>
      </c>
      <c r="M88" s="84">
        <f>I88*D88</f>
        <v>-82.275918467886342</v>
      </c>
      <c r="O88" s="14">
        <f t="shared" si="7"/>
        <v>0</v>
      </c>
      <c r="AE88" s="84"/>
    </row>
    <row r="89" spans="1:31">
      <c r="A89" s="1" t="s">
        <v>381</v>
      </c>
      <c r="B89" s="305"/>
      <c r="C89" s="21">
        <f t="shared" si="4"/>
        <v>1568947323</v>
      </c>
      <c r="D89" s="21">
        <f t="shared" si="4"/>
        <v>1581586849.1286268</v>
      </c>
      <c r="E89" s="306"/>
      <c r="F89" s="2"/>
      <c r="G89" s="2">
        <f t="shared" si="5"/>
        <v>102645987</v>
      </c>
      <c r="H89" s="2">
        <f t="shared" si="5"/>
        <v>103498237</v>
      </c>
      <c r="I89" s="2"/>
      <c r="J89" s="2"/>
      <c r="K89" s="2">
        <f t="shared" si="6"/>
        <v>111735221</v>
      </c>
      <c r="M89" s="84">
        <f>SUM(M83:M88)</f>
        <v>111735219.67224337</v>
      </c>
      <c r="O89" s="14"/>
      <c r="AE89" s="84"/>
    </row>
    <row r="90" spans="1:31">
      <c r="A90" s="1" t="s">
        <v>363</v>
      </c>
      <c r="B90" s="307"/>
      <c r="C90" s="308">
        <f t="shared" si="4"/>
        <v>991281.43921662425</v>
      </c>
      <c r="D90" s="308">
        <f t="shared" si="4"/>
        <v>0</v>
      </c>
      <c r="E90" s="309"/>
      <c r="F90" s="309"/>
      <c r="G90" s="310">
        <f t="shared" si="5"/>
        <v>26957.425302805033</v>
      </c>
      <c r="H90" s="310">
        <f t="shared" si="5"/>
        <v>0</v>
      </c>
      <c r="I90" s="309"/>
      <c r="J90" s="309"/>
      <c r="K90" s="310">
        <f t="shared" si="6"/>
        <v>0</v>
      </c>
      <c r="AE90" s="84"/>
    </row>
    <row r="91" spans="1:31" ht="16.5" thickBot="1">
      <c r="A91" s="1" t="s">
        <v>382</v>
      </c>
      <c r="B91" s="1"/>
      <c r="C91" s="311">
        <f>C89+C90</f>
        <v>1569938604.4392166</v>
      </c>
      <c r="D91" s="311">
        <f>D84+D85+D90</f>
        <v>1581586849.1286268</v>
      </c>
      <c r="E91" s="312"/>
      <c r="F91" s="312"/>
      <c r="G91" s="312">
        <f>G89+G90</f>
        <v>102672944.4253028</v>
      </c>
      <c r="H91" s="312">
        <f>H89+H90</f>
        <v>103498237</v>
      </c>
      <c r="I91" s="312"/>
      <c r="J91" s="312"/>
      <c r="K91" s="312">
        <f>K89+K90</f>
        <v>111735221</v>
      </c>
      <c r="N91" s="3" t="s">
        <v>364</v>
      </c>
      <c r="O91" s="69" t="e">
        <f>#REF!*1000</f>
        <v>#REF!</v>
      </c>
      <c r="AE91" s="84"/>
    </row>
    <row r="92" spans="1:31" ht="16.5" thickTop="1">
      <c r="A92" s="1"/>
      <c r="B92" s="313"/>
      <c r="C92" s="21"/>
      <c r="D92" s="21"/>
      <c r="E92" s="21"/>
      <c r="F92" s="21"/>
      <c r="I92" s="1" t="s">
        <v>31</v>
      </c>
      <c r="J92" s="1"/>
      <c r="K92" s="2" t="s">
        <v>31</v>
      </c>
      <c r="N92" s="3" t="s">
        <v>263</v>
      </c>
      <c r="O92" s="69" t="e">
        <f>O91-K91</f>
        <v>#REF!</v>
      </c>
      <c r="P92" s="314" t="e">
        <f>(O91-K91)/K91</f>
        <v>#REF!</v>
      </c>
      <c r="AE92" s="84"/>
    </row>
    <row r="93" spans="1:31">
      <c r="A93" s="293" t="s">
        <v>383</v>
      </c>
      <c r="B93" s="1"/>
      <c r="C93" s="1" t="s">
        <v>31</v>
      </c>
      <c r="D93" s="1"/>
      <c r="E93" s="21"/>
      <c r="F93" s="21"/>
      <c r="G93" s="1"/>
      <c r="H93" s="1"/>
      <c r="I93" s="21"/>
      <c r="J93" s="1"/>
      <c r="K93" s="1"/>
      <c r="O93" s="315"/>
      <c r="AE93" s="84"/>
    </row>
    <row r="94" spans="1:31">
      <c r="A94" s="1" t="s">
        <v>330</v>
      </c>
      <c r="B94" s="1"/>
      <c r="C94" s="1"/>
      <c r="D94" s="21"/>
      <c r="E94" s="21"/>
      <c r="F94" s="21"/>
      <c r="G94" s="1"/>
      <c r="H94" s="1"/>
      <c r="I94" s="21"/>
      <c r="J94" s="1"/>
      <c r="K94" s="1"/>
      <c r="N94" s="237"/>
      <c r="AE94" s="84"/>
    </row>
    <row r="95" spans="1:31">
      <c r="A95" s="297"/>
      <c r="B95" s="1"/>
      <c r="C95" s="1"/>
      <c r="D95" s="1"/>
      <c r="E95" s="21"/>
      <c r="F95" s="21"/>
      <c r="G95" s="1"/>
      <c r="H95" s="1"/>
      <c r="I95" s="21"/>
      <c r="J95" s="1"/>
      <c r="K95" s="1"/>
      <c r="N95" s="316"/>
      <c r="AE95" s="84"/>
    </row>
    <row r="96" spans="1:31">
      <c r="A96" s="1" t="s">
        <v>370</v>
      </c>
      <c r="B96" s="1"/>
      <c r="C96" s="21">
        <f>1188818+6</f>
        <v>1188824</v>
      </c>
      <c r="D96" s="21">
        <v>1199595</v>
      </c>
      <c r="E96" s="298">
        <v>5.25</v>
      </c>
      <c r="F96" s="1"/>
      <c r="G96" s="2">
        <f>ROUND(E96*$C96,0)</f>
        <v>6241326</v>
      </c>
      <c r="H96" s="2">
        <f>ROUND(E96*$D96,0)</f>
        <v>6297874</v>
      </c>
      <c r="I96" s="298">
        <f>$I$83</f>
        <v>6</v>
      </c>
      <c r="J96" s="1"/>
      <c r="K96" s="2">
        <f>ROUND(I96*$D96,0)</f>
        <v>7197570</v>
      </c>
      <c r="N96" s="294"/>
      <c r="AE96" s="84"/>
    </row>
    <row r="97" spans="1:31">
      <c r="A97" s="1" t="s">
        <v>373</v>
      </c>
      <c r="B97" s="1"/>
      <c r="C97" s="21">
        <v>622442746.97882807</v>
      </c>
      <c r="D97" s="21">
        <v>626418721.88361442</v>
      </c>
      <c r="E97" s="299">
        <v>4.569</v>
      </c>
      <c r="F97" s="1" t="s">
        <v>374</v>
      </c>
      <c r="G97" s="2">
        <f>ROUND(E97*$C97/100,0)</f>
        <v>28439409</v>
      </c>
      <c r="H97" s="2">
        <f>ROUND(E97*$D97/100,0)</f>
        <v>28621071</v>
      </c>
      <c r="I97" s="299">
        <f>$I$84</f>
        <v>4.9139999999999997</v>
      </c>
      <c r="J97" s="1" t="s">
        <v>374</v>
      </c>
      <c r="K97" s="2">
        <f>ROUND(I97*$D97/100,0)</f>
        <v>30782216</v>
      </c>
      <c r="AE97" s="84"/>
    </row>
    <row r="98" spans="1:31">
      <c r="A98" s="1" t="s">
        <v>375</v>
      </c>
      <c r="B98" s="21"/>
      <c r="C98" s="21">
        <v>902512979.02117193</v>
      </c>
      <c r="D98" s="21">
        <v>908277957.36375713</v>
      </c>
      <c r="E98" s="299">
        <v>7.2080000000000002</v>
      </c>
      <c r="F98" s="1" t="s">
        <v>374</v>
      </c>
      <c r="G98" s="2">
        <f>ROUND(E98*$C98/100,0)</f>
        <v>65053136</v>
      </c>
      <c r="H98" s="2">
        <f>ROUND(E98*$D98/100,0)</f>
        <v>65468675</v>
      </c>
      <c r="I98" s="299">
        <f>$I$85</f>
        <v>7.7510000000000003</v>
      </c>
      <c r="J98" s="1" t="s">
        <v>374</v>
      </c>
      <c r="K98" s="2">
        <f>ROUND(I98*$D98/100,0)</f>
        <v>70400624</v>
      </c>
      <c r="AE98" s="84"/>
    </row>
    <row r="99" spans="1:31">
      <c r="A99" s="1" t="s">
        <v>377</v>
      </c>
      <c r="B99" s="1"/>
      <c r="C99" s="21">
        <v>0</v>
      </c>
      <c r="D99" s="21">
        <v>0</v>
      </c>
      <c r="E99" s="301">
        <v>1.55</v>
      </c>
      <c r="F99" s="1"/>
      <c r="G99" s="2">
        <f>ROUND(E99*$C99,0)</f>
        <v>0</v>
      </c>
      <c r="H99" s="2">
        <v>0</v>
      </c>
      <c r="I99" s="301">
        <f>$I$86</f>
        <v>1.55</v>
      </c>
      <c r="J99" s="1"/>
      <c r="K99" s="2">
        <f>ROUND(I99*$D99,0)</f>
        <v>0</v>
      </c>
      <c r="AE99" s="84"/>
    </row>
    <row r="100" spans="1:31">
      <c r="A100" s="303" t="s">
        <v>379</v>
      </c>
      <c r="B100" s="303"/>
      <c r="C100" s="21">
        <v>0</v>
      </c>
      <c r="D100" s="21">
        <v>0</v>
      </c>
      <c r="E100" s="301">
        <v>3</v>
      </c>
      <c r="F100" s="303"/>
      <c r="G100" s="2">
        <f>ROUND(E100*$C100,0)</f>
        <v>0</v>
      </c>
      <c r="H100" s="2">
        <v>0</v>
      </c>
      <c r="I100" s="301">
        <f>$I$87</f>
        <v>3</v>
      </c>
      <c r="J100" s="303"/>
      <c r="K100" s="2">
        <f>ROUND(I100*$D100,0)</f>
        <v>0</v>
      </c>
      <c r="AE100" s="84"/>
    </row>
    <row r="101" spans="1:31">
      <c r="A101" s="303" t="s">
        <v>380</v>
      </c>
      <c r="B101" s="303"/>
      <c r="C101" s="21">
        <v>0</v>
      </c>
      <c r="D101" s="21">
        <v>0</v>
      </c>
      <c r="E101" s="304">
        <f>-E99</f>
        <v>-1.55</v>
      </c>
      <c r="F101" s="303"/>
      <c r="G101" s="2">
        <f>ROUND(E101*$C101,0)</f>
        <v>0</v>
      </c>
      <c r="H101" s="2">
        <v>0</v>
      </c>
      <c r="I101" s="304">
        <f>$I$88</f>
        <v>-1.55</v>
      </c>
      <c r="J101" s="303"/>
      <c r="K101" s="2">
        <f>ROUND(I101*$D101,0)</f>
        <v>0</v>
      </c>
      <c r="AE101" s="84"/>
    </row>
    <row r="102" spans="1:31">
      <c r="A102" s="1" t="s">
        <v>381</v>
      </c>
      <c r="B102" s="305"/>
      <c r="C102" s="21">
        <f>SUM(C97:C98)</f>
        <v>1524955726</v>
      </c>
      <c r="D102" s="21">
        <v>1534696679.2473714</v>
      </c>
      <c r="E102" s="306"/>
      <c r="F102" s="2"/>
      <c r="G102" s="2">
        <f>SUM(G96:G101)</f>
        <v>99733871</v>
      </c>
      <c r="H102" s="2">
        <f>SUM(H96:H101)</f>
        <v>100387620</v>
      </c>
      <c r="I102" s="2"/>
      <c r="J102" s="2"/>
      <c r="K102" s="2">
        <f>SUM(K96:K101)</f>
        <v>108380410</v>
      </c>
      <c r="O102" s="2"/>
      <c r="AE102" s="84"/>
    </row>
    <row r="103" spans="1:31">
      <c r="A103" s="1" t="s">
        <v>363</v>
      </c>
      <c r="B103" s="307"/>
      <c r="C103" s="317">
        <v>964615.15824767202</v>
      </c>
      <c r="D103" s="308">
        <v>0</v>
      </c>
      <c r="E103" s="309"/>
      <c r="F103" s="309"/>
      <c r="G103" s="310">
        <v>26215.646474169334</v>
      </c>
      <c r="H103" s="308">
        <v>0</v>
      </c>
      <c r="I103" s="309"/>
      <c r="J103" s="309"/>
      <c r="K103" s="310">
        <v>0</v>
      </c>
      <c r="M103" s="289"/>
      <c r="N103" s="289"/>
      <c r="O103" s="290"/>
      <c r="AE103" s="84"/>
    </row>
    <row r="104" spans="1:31" ht="16.5" thickBot="1">
      <c r="A104" s="1" t="s">
        <v>382</v>
      </c>
      <c r="B104" s="1"/>
      <c r="C104" s="311">
        <f>C102+C103</f>
        <v>1525920341.1582477</v>
      </c>
      <c r="D104" s="311">
        <f>SUM(D102:D103)</f>
        <v>1534696679.2473714</v>
      </c>
      <c r="E104" s="312"/>
      <c r="F104" s="312"/>
      <c r="G104" s="312">
        <f>G102+G103</f>
        <v>99760086.646474168</v>
      </c>
      <c r="H104" s="318">
        <f>SUM(H102:H103)</f>
        <v>100387620</v>
      </c>
      <c r="I104" s="312"/>
      <c r="J104" s="312"/>
      <c r="K104" s="312">
        <f>K102+K103</f>
        <v>108380410</v>
      </c>
      <c r="M104" s="291"/>
      <c r="N104" s="291"/>
      <c r="O104" s="292"/>
      <c r="AE104" s="84"/>
    </row>
    <row r="105" spans="1:31" ht="16.5" thickTop="1">
      <c r="A105" s="1"/>
      <c r="B105" s="313"/>
      <c r="C105" s="21"/>
      <c r="D105" s="21"/>
      <c r="E105" s="21"/>
      <c r="F105" s="21"/>
      <c r="I105" s="1" t="s">
        <v>31</v>
      </c>
      <c r="J105" s="1"/>
      <c r="K105" s="2" t="s">
        <v>31</v>
      </c>
      <c r="AE105" s="84"/>
    </row>
    <row r="106" spans="1:31">
      <c r="A106" s="293" t="s">
        <v>384</v>
      </c>
      <c r="B106" s="1"/>
      <c r="C106" s="1"/>
      <c r="D106" s="1"/>
      <c r="E106" s="21"/>
      <c r="F106" s="21"/>
      <c r="G106" s="1"/>
      <c r="H106" s="1"/>
      <c r="I106" s="21"/>
      <c r="J106" s="1"/>
      <c r="K106" s="1"/>
      <c r="AE106" s="84"/>
    </row>
    <row r="107" spans="1:31">
      <c r="A107" s="1" t="s">
        <v>330</v>
      </c>
      <c r="B107" s="1"/>
      <c r="C107" s="1"/>
      <c r="D107" s="1"/>
      <c r="E107" s="21"/>
      <c r="F107" s="21"/>
      <c r="G107" s="1"/>
      <c r="H107" s="1"/>
      <c r="I107" s="21"/>
      <c r="J107" s="1"/>
      <c r="K107" s="1"/>
      <c r="AE107" s="84"/>
    </row>
    <row r="108" spans="1:31">
      <c r="A108" s="297"/>
      <c r="B108" s="1"/>
      <c r="C108" s="1"/>
      <c r="D108" s="1"/>
      <c r="E108" s="21"/>
      <c r="F108" s="21"/>
      <c r="G108" s="1"/>
      <c r="H108" s="1"/>
      <c r="I108" s="21"/>
      <c r="J108" s="1"/>
      <c r="K108" s="1"/>
      <c r="AE108" s="84"/>
    </row>
    <row r="109" spans="1:31">
      <c r="A109" s="1" t="s">
        <v>370</v>
      </c>
      <c r="B109" s="1"/>
      <c r="C109" s="21">
        <v>25712</v>
      </c>
      <c r="D109" s="21">
        <v>28799</v>
      </c>
      <c r="E109" s="298">
        <v>5.25</v>
      </c>
      <c r="F109" s="1"/>
      <c r="G109" s="2">
        <f>ROUND(E109*$C109,0)</f>
        <v>134988</v>
      </c>
      <c r="H109" s="2">
        <f>ROUND(E109*$D109,0)</f>
        <v>151195</v>
      </c>
      <c r="I109" s="298">
        <f>$I$83</f>
        <v>6</v>
      </c>
      <c r="J109" s="1"/>
      <c r="K109" s="2">
        <f>ROUND(I109*$D109,0)</f>
        <v>172794</v>
      </c>
      <c r="AE109" s="84"/>
    </row>
    <row r="110" spans="1:31">
      <c r="A110" s="1" t="s">
        <v>373</v>
      </c>
      <c r="B110" s="1"/>
      <c r="C110" s="21">
        <v>14933585</v>
      </c>
      <c r="D110" s="21">
        <v>15919403.902441863</v>
      </c>
      <c r="E110" s="299">
        <v>4.569</v>
      </c>
      <c r="F110" s="1" t="s">
        <v>374</v>
      </c>
      <c r="G110" s="2">
        <f>ROUND(E110*$C110/100,0)</f>
        <v>682315</v>
      </c>
      <c r="H110" s="2">
        <f>ROUND(E110*$D110/100,0)</f>
        <v>727358</v>
      </c>
      <c r="I110" s="299">
        <f>$I$84</f>
        <v>4.9139999999999997</v>
      </c>
      <c r="J110" s="1" t="s">
        <v>374</v>
      </c>
      <c r="K110" s="2">
        <f>ROUND(I110*$D110/100,0)</f>
        <v>782280</v>
      </c>
      <c r="AE110" s="84"/>
    </row>
    <row r="111" spans="1:31">
      <c r="A111" s="1" t="s">
        <v>375</v>
      </c>
      <c r="B111" s="1"/>
      <c r="C111" s="21">
        <f>40608391-C110</f>
        <v>25674806</v>
      </c>
      <c r="D111" s="21">
        <v>27369690.990531594</v>
      </c>
      <c r="E111" s="299">
        <v>7.2080000000000002</v>
      </c>
      <c r="F111" s="1" t="s">
        <v>374</v>
      </c>
      <c r="G111" s="2">
        <f>ROUND(E111*$C111/100,0)</f>
        <v>1850640</v>
      </c>
      <c r="H111" s="2">
        <f>ROUND(E111*$D111/100,0)</f>
        <v>1972807</v>
      </c>
      <c r="I111" s="299">
        <f>$I$85</f>
        <v>7.7510000000000003</v>
      </c>
      <c r="J111" s="1" t="s">
        <v>374</v>
      </c>
      <c r="K111" s="2">
        <f>ROUND(I111*$D111/100,0)</f>
        <v>2121425</v>
      </c>
      <c r="AE111" s="84"/>
    </row>
    <row r="112" spans="1:31">
      <c r="A112" s="1" t="s">
        <v>377</v>
      </c>
      <c r="B112" s="1"/>
      <c r="C112" s="21">
        <v>0</v>
      </c>
      <c r="D112" s="21">
        <v>0</v>
      </c>
      <c r="E112" s="301">
        <v>1.55</v>
      </c>
      <c r="F112" s="1"/>
      <c r="G112" s="2">
        <f>ROUND(E112*$C112,0)</f>
        <v>0</v>
      </c>
      <c r="H112" s="2">
        <v>0</v>
      </c>
      <c r="I112" s="301">
        <f>$I$86</f>
        <v>1.55</v>
      </c>
      <c r="J112" s="1"/>
      <c r="K112" s="2">
        <f>ROUND(I112*$D112,0)</f>
        <v>0</v>
      </c>
      <c r="AE112" s="84"/>
    </row>
    <row r="113" spans="1:31">
      <c r="A113" s="303" t="s">
        <v>379</v>
      </c>
      <c r="B113" s="303"/>
      <c r="C113" s="21">
        <v>0</v>
      </c>
      <c r="D113" s="21">
        <v>0</v>
      </c>
      <c r="E113" s="301">
        <v>3</v>
      </c>
      <c r="F113" s="303"/>
      <c r="G113" s="2">
        <f>ROUND(E113*$C113,0)</f>
        <v>0</v>
      </c>
      <c r="H113" s="2">
        <v>0</v>
      </c>
      <c r="I113" s="301">
        <f>$I$87</f>
        <v>3</v>
      </c>
      <c r="J113" s="303"/>
      <c r="K113" s="2">
        <f>ROUND(I113*$D113,0)</f>
        <v>0</v>
      </c>
      <c r="AE113" s="84"/>
    </row>
    <row r="114" spans="1:31">
      <c r="A114" s="303" t="s">
        <v>380</v>
      </c>
      <c r="B114" s="303"/>
      <c r="C114" s="21">
        <v>0</v>
      </c>
      <c r="D114" s="21">
        <v>0</v>
      </c>
      <c r="E114" s="304">
        <f>-E112</f>
        <v>-1.55</v>
      </c>
      <c r="F114" s="303"/>
      <c r="G114" s="2">
        <f>ROUND(E114*$C114,0)</f>
        <v>0</v>
      </c>
      <c r="H114" s="2">
        <v>0</v>
      </c>
      <c r="I114" s="304">
        <f>$I$88</f>
        <v>-1.55</v>
      </c>
      <c r="J114" s="303"/>
      <c r="K114" s="2">
        <f>ROUND(I114*$D114,0)</f>
        <v>0</v>
      </c>
      <c r="AE114" s="84"/>
    </row>
    <row r="115" spans="1:31">
      <c r="A115" s="1" t="s">
        <v>381</v>
      </c>
      <c r="B115" s="1"/>
      <c r="C115" s="21">
        <f>SUM(C110:C111)</f>
        <v>40608391</v>
      </c>
      <c r="D115" s="21">
        <v>43289094.892973453</v>
      </c>
      <c r="E115" s="306"/>
      <c r="F115" s="2"/>
      <c r="G115" s="2">
        <f>SUM(G109:G114)</f>
        <v>2667943</v>
      </c>
      <c r="H115" s="2">
        <f>SUM(H109:H114)</f>
        <v>2851360</v>
      </c>
      <c r="I115" s="2"/>
      <c r="J115" s="2"/>
      <c r="K115" s="2">
        <f>SUM(K109:K114)</f>
        <v>3076499</v>
      </c>
      <c r="AE115" s="84"/>
    </row>
    <row r="116" spans="1:31">
      <c r="A116" s="1" t="s">
        <v>363</v>
      </c>
      <c r="B116" s="1"/>
      <c r="C116" s="317">
        <v>24510.980258357216</v>
      </c>
      <c r="D116" s="308">
        <v>0</v>
      </c>
      <c r="E116" s="309"/>
      <c r="F116" s="309"/>
      <c r="G116" s="310">
        <v>676.32035447932685</v>
      </c>
      <c r="H116" s="308">
        <v>0</v>
      </c>
      <c r="I116" s="309"/>
      <c r="J116" s="309"/>
      <c r="K116" s="310">
        <v>0</v>
      </c>
      <c r="M116" s="289"/>
      <c r="N116" s="289"/>
      <c r="O116" s="290"/>
      <c r="AE116" s="84"/>
    </row>
    <row r="117" spans="1:31" ht="16.5" thickBot="1">
      <c r="A117" s="1" t="s">
        <v>382</v>
      </c>
      <c r="B117" s="1"/>
      <c r="C117" s="311">
        <f>C115+C116</f>
        <v>40632901.980258361</v>
      </c>
      <c r="D117" s="311">
        <f>SUM(D115:D116)</f>
        <v>43289094.892973453</v>
      </c>
      <c r="E117" s="312"/>
      <c r="F117" s="312"/>
      <c r="G117" s="312">
        <f>G115+G116</f>
        <v>2668619.3203544794</v>
      </c>
      <c r="H117" s="318">
        <f>SUM(H115:H116)</f>
        <v>2851360</v>
      </c>
      <c r="I117" s="312"/>
      <c r="J117" s="312"/>
      <c r="K117" s="312">
        <f>K115+K116</f>
        <v>3076499</v>
      </c>
      <c r="M117" s="291"/>
      <c r="N117" s="291"/>
      <c r="O117" s="292"/>
      <c r="AE117" s="84"/>
    </row>
    <row r="118" spans="1:31" ht="16.5" thickTop="1">
      <c r="A118" s="1"/>
      <c r="B118" s="313"/>
      <c r="C118" s="21"/>
      <c r="D118" s="21"/>
      <c r="E118" s="21"/>
      <c r="F118" s="21"/>
      <c r="I118" s="1" t="s">
        <v>31</v>
      </c>
      <c r="J118" s="1"/>
      <c r="K118" s="2" t="s">
        <v>31</v>
      </c>
      <c r="AE118" s="84"/>
    </row>
    <row r="119" spans="1:31">
      <c r="A119" s="293" t="s">
        <v>385</v>
      </c>
      <c r="B119" s="1"/>
      <c r="C119" s="1"/>
      <c r="D119" s="1"/>
      <c r="E119" s="21"/>
      <c r="F119" s="21"/>
      <c r="G119" s="1"/>
      <c r="H119" s="1"/>
      <c r="I119" s="21"/>
      <c r="J119" s="1"/>
      <c r="K119" s="1"/>
      <c r="AE119" s="84"/>
    </row>
    <row r="120" spans="1:31">
      <c r="A120" s="1" t="s">
        <v>330</v>
      </c>
      <c r="B120" s="1"/>
      <c r="C120" s="1"/>
      <c r="D120" s="1"/>
      <c r="E120" s="21"/>
      <c r="F120" s="21"/>
      <c r="G120" s="1"/>
      <c r="H120" s="1"/>
      <c r="I120" s="21"/>
      <c r="J120" s="1"/>
      <c r="K120" s="1"/>
      <c r="AE120" s="84"/>
    </row>
    <row r="121" spans="1:31">
      <c r="A121" s="297"/>
      <c r="B121" s="1"/>
      <c r="C121" s="1"/>
      <c r="D121" s="1"/>
      <c r="E121" s="21"/>
      <c r="F121" s="21"/>
      <c r="G121" s="1"/>
      <c r="H121" s="1"/>
      <c r="I121" s="21"/>
      <c r="J121" s="1"/>
      <c r="K121" s="1"/>
      <c r="AE121" s="84"/>
    </row>
    <row r="122" spans="1:31">
      <c r="A122" s="1" t="s">
        <v>370</v>
      </c>
      <c r="B122" s="1"/>
      <c r="C122" s="21">
        <v>1191</v>
      </c>
      <c r="D122" s="21">
        <v>1155</v>
      </c>
      <c r="E122" s="298">
        <v>5.25</v>
      </c>
      <c r="F122" s="1"/>
      <c r="G122" s="2">
        <f>ROUND(E122*$C122,0)</f>
        <v>6253</v>
      </c>
      <c r="H122" s="2">
        <f>ROUND(E122*$D122,0)</f>
        <v>6064</v>
      </c>
      <c r="I122" s="298">
        <f>$I$83</f>
        <v>6</v>
      </c>
      <c r="J122" s="1"/>
      <c r="K122" s="2">
        <f>ROUND(I122*$D122,0)</f>
        <v>6930</v>
      </c>
      <c r="AE122" s="84"/>
    </row>
    <row r="123" spans="1:31">
      <c r="A123" s="1" t="s">
        <v>373</v>
      </c>
      <c r="B123" s="1"/>
      <c r="C123" s="21">
        <v>577197.33041522116</v>
      </c>
      <c r="D123" s="21">
        <v>623924.69816689566</v>
      </c>
      <c r="E123" s="299">
        <v>4.569</v>
      </c>
      <c r="F123" s="1" t="s">
        <v>374</v>
      </c>
      <c r="G123" s="2">
        <f>ROUND(E123*$C123/100,0)</f>
        <v>26372</v>
      </c>
      <c r="H123" s="2">
        <f>ROUND(E123*$D123/100,0)</f>
        <v>28507</v>
      </c>
      <c r="I123" s="299">
        <f>$I$84</f>
        <v>4.9139999999999997</v>
      </c>
      <c r="J123" s="1" t="s">
        <v>374</v>
      </c>
      <c r="K123" s="2">
        <f>ROUND(I123*$D123/100,0)</f>
        <v>30660</v>
      </c>
      <c r="AE123" s="84"/>
    </row>
    <row r="124" spans="1:31">
      <c r="A124" s="1" t="s">
        <v>375</v>
      </c>
      <c r="B124" s="1"/>
      <c r="C124" s="21">
        <v>2052532.6695847788</v>
      </c>
      <c r="D124" s="21">
        <v>2218696.7244410608</v>
      </c>
      <c r="E124" s="299">
        <v>7.2080000000000002</v>
      </c>
      <c r="F124" s="1" t="s">
        <v>374</v>
      </c>
      <c r="G124" s="2">
        <f>ROUND(E124*$C124/100,0)</f>
        <v>147947</v>
      </c>
      <c r="H124" s="2">
        <f>ROUND(E124*$D124/100,0)</f>
        <v>159924</v>
      </c>
      <c r="I124" s="299">
        <f>$I$85</f>
        <v>7.7510000000000003</v>
      </c>
      <c r="J124" s="1" t="s">
        <v>374</v>
      </c>
      <c r="K124" s="2">
        <f>ROUND(I124*$D124/100,0)</f>
        <v>171971</v>
      </c>
      <c r="AE124" s="84"/>
    </row>
    <row r="125" spans="1:31">
      <c r="A125" s="1" t="s">
        <v>377</v>
      </c>
      <c r="B125" s="1"/>
      <c r="C125" s="21">
        <v>4984</v>
      </c>
      <c r="D125" s="21">
        <v>5387.4828101280564</v>
      </c>
      <c r="E125" s="301">
        <v>1.55</v>
      </c>
      <c r="F125" s="1"/>
      <c r="G125" s="2">
        <f>ROUND(E125*$C125,0)</f>
        <v>7725</v>
      </c>
      <c r="H125" s="2">
        <f>ROUND(E125*$D125,0)</f>
        <v>8351</v>
      </c>
      <c r="I125" s="301">
        <f>$I$86</f>
        <v>1.55</v>
      </c>
      <c r="J125" s="1"/>
      <c r="K125" s="2">
        <f>ROUND(I125*$D125,0)</f>
        <v>8351</v>
      </c>
      <c r="AE125" s="84"/>
    </row>
    <row r="126" spans="1:31">
      <c r="A126" s="303" t="s">
        <v>379</v>
      </c>
      <c r="B126" s="303"/>
      <c r="C126" s="21">
        <v>835</v>
      </c>
      <c r="D126" s="21">
        <v>902.59794270805128</v>
      </c>
      <c r="E126" s="301">
        <v>3</v>
      </c>
      <c r="F126" s="303"/>
      <c r="G126" s="2">
        <f>ROUND(E126*$C126,0)</f>
        <v>2505</v>
      </c>
      <c r="H126" s="2">
        <f>ROUND(E126*$D126,0)</f>
        <v>2708</v>
      </c>
      <c r="I126" s="301">
        <f>$I$87</f>
        <v>3</v>
      </c>
      <c r="J126" s="303"/>
      <c r="K126" s="2">
        <f>ROUND(I126*$D126,0)</f>
        <v>2708</v>
      </c>
      <c r="AE126" s="84"/>
    </row>
    <row r="127" spans="1:31">
      <c r="A127" s="303" t="s">
        <v>380</v>
      </c>
      <c r="B127" s="303"/>
      <c r="C127" s="21">
        <v>37</v>
      </c>
      <c r="D127" s="21">
        <v>39.995357940356762</v>
      </c>
      <c r="E127" s="304">
        <f>-E125</f>
        <v>-1.55</v>
      </c>
      <c r="F127" s="303"/>
      <c r="G127" s="2">
        <f>ROUND(E127*$C127,0)</f>
        <v>-57</v>
      </c>
      <c r="H127" s="2">
        <f>ROUND(E127*$D127,0)</f>
        <v>-62</v>
      </c>
      <c r="I127" s="304">
        <f>$I$88</f>
        <v>-1.55</v>
      </c>
      <c r="J127" s="303"/>
      <c r="K127" s="2">
        <f>ROUND(I127*$D127,0)</f>
        <v>-62</v>
      </c>
      <c r="AE127" s="84"/>
    </row>
    <row r="128" spans="1:31">
      <c r="A128" s="1" t="s">
        <v>381</v>
      </c>
      <c r="B128" s="305"/>
      <c r="C128" s="21">
        <f>SUM(C123:C124)</f>
        <v>2629730</v>
      </c>
      <c r="D128" s="21">
        <v>2842621.4226079565</v>
      </c>
      <c r="E128" s="306"/>
      <c r="F128" s="2"/>
      <c r="G128" s="2">
        <f>SUM(G122:G127)</f>
        <v>190745</v>
      </c>
      <c r="H128" s="2">
        <f>SUM(H122:H127)</f>
        <v>205492</v>
      </c>
      <c r="I128" s="2"/>
      <c r="J128" s="2"/>
      <c r="K128" s="2">
        <f>SUM(K122:K127)</f>
        <v>220558</v>
      </c>
      <c r="AE128" s="84"/>
    </row>
    <row r="129" spans="1:31">
      <c r="A129" s="1" t="s">
        <v>363</v>
      </c>
      <c r="B129" s="25"/>
      <c r="C129" s="317">
        <v>1700.3066984208108</v>
      </c>
      <c r="D129" s="308">
        <v>0</v>
      </c>
      <c r="E129" s="309"/>
      <c r="F129" s="309"/>
      <c r="G129" s="310">
        <v>51.812730126847555</v>
      </c>
      <c r="H129" s="310">
        <v>0</v>
      </c>
      <c r="I129" s="309"/>
      <c r="J129" s="309"/>
      <c r="K129" s="310">
        <v>0</v>
      </c>
      <c r="M129" s="289"/>
      <c r="N129" s="289"/>
      <c r="O129" s="290"/>
      <c r="AE129" s="84"/>
    </row>
    <row r="130" spans="1:31" ht="16.5" thickBot="1">
      <c r="A130" s="1" t="s">
        <v>382</v>
      </c>
      <c r="B130" s="1"/>
      <c r="C130" s="311">
        <f>C128+C129</f>
        <v>2631430.306698421</v>
      </c>
      <c r="D130" s="311">
        <f>SUM(D128:D129)</f>
        <v>2842621.4226079565</v>
      </c>
      <c r="E130" s="312"/>
      <c r="F130" s="312"/>
      <c r="G130" s="312">
        <f>G128+G129</f>
        <v>190796.81273012684</v>
      </c>
      <c r="H130" s="312">
        <f>H128+H129</f>
        <v>205492</v>
      </c>
      <c r="I130" s="312"/>
      <c r="J130" s="312"/>
      <c r="K130" s="312">
        <f>K128+K129</f>
        <v>220558</v>
      </c>
      <c r="M130" s="291"/>
      <c r="N130" s="291"/>
      <c r="O130" s="292"/>
      <c r="AE130" s="84"/>
    </row>
    <row r="131" spans="1:31" ht="16.5" thickTop="1">
      <c r="A131" s="1"/>
      <c r="B131" s="313"/>
      <c r="C131" s="21"/>
      <c r="D131" s="21"/>
      <c r="E131" s="21"/>
      <c r="F131" s="21"/>
      <c r="I131" s="1" t="s">
        <v>31</v>
      </c>
      <c r="J131" s="1"/>
      <c r="K131" s="2" t="s">
        <v>31</v>
      </c>
      <c r="AE131" s="84"/>
    </row>
    <row r="132" spans="1:31">
      <c r="A132" s="293" t="s">
        <v>386</v>
      </c>
      <c r="B132" s="1"/>
      <c r="C132" s="1"/>
      <c r="D132" s="1"/>
      <c r="E132" s="21"/>
      <c r="F132" s="21"/>
      <c r="G132" s="1"/>
      <c r="H132" s="1"/>
      <c r="I132" s="21"/>
      <c r="J132" s="1"/>
      <c r="K132" s="1"/>
      <c r="AE132" s="84"/>
    </row>
    <row r="133" spans="1:31">
      <c r="A133" s="1" t="s">
        <v>330</v>
      </c>
      <c r="B133" s="1"/>
      <c r="C133" s="1"/>
      <c r="D133" s="21"/>
      <c r="E133" s="21"/>
      <c r="F133" s="21"/>
      <c r="G133" s="1"/>
      <c r="H133" s="1"/>
      <c r="I133" s="21"/>
      <c r="J133" s="1"/>
      <c r="K133" s="1"/>
      <c r="AE133" s="84"/>
    </row>
    <row r="134" spans="1:31">
      <c r="A134" s="297"/>
      <c r="B134" s="1"/>
      <c r="C134" s="1"/>
      <c r="D134" s="1"/>
      <c r="E134" s="21"/>
      <c r="F134" s="21"/>
      <c r="G134" s="1"/>
      <c r="H134" s="1"/>
      <c r="I134" s="21"/>
      <c r="J134" s="1"/>
      <c r="K134" s="1"/>
      <c r="AE134" s="84"/>
    </row>
    <row r="135" spans="1:31">
      <c r="A135" s="1" t="s">
        <v>370</v>
      </c>
      <c r="B135" s="1"/>
      <c r="C135" s="21">
        <v>316</v>
      </c>
      <c r="D135" s="21">
        <v>315</v>
      </c>
      <c r="E135" s="298">
        <v>5.25</v>
      </c>
      <c r="F135" s="1"/>
      <c r="G135" s="2">
        <f>ROUND(E135*$C135,0)</f>
        <v>1659</v>
      </c>
      <c r="H135" s="2">
        <f>ROUND(E135*$D135,0)</f>
        <v>1654</v>
      </c>
      <c r="I135" s="298">
        <f>$I$83</f>
        <v>6</v>
      </c>
      <c r="J135" s="1"/>
      <c r="K135" s="2">
        <f>ROUND(I135*$D135,0)</f>
        <v>1890</v>
      </c>
      <c r="AE135" s="84"/>
    </row>
    <row r="136" spans="1:31">
      <c r="A136" s="1" t="s">
        <v>373</v>
      </c>
      <c r="B136" s="1"/>
      <c r="C136" s="21">
        <v>183484</v>
      </c>
      <c r="D136" s="21">
        <v>184696.12043933535</v>
      </c>
      <c r="E136" s="299">
        <v>4.569</v>
      </c>
      <c r="F136" s="1" t="s">
        <v>374</v>
      </c>
      <c r="G136" s="2">
        <f>ROUND(E136*$C136/100,0)</f>
        <v>8383</v>
      </c>
      <c r="H136" s="2">
        <f>ROUND(E136*$D136/100,0)</f>
        <v>8439</v>
      </c>
      <c r="I136" s="299">
        <f>$I$84</f>
        <v>4.9139999999999997</v>
      </c>
      <c r="J136" s="1" t="s">
        <v>374</v>
      </c>
      <c r="K136" s="2">
        <f>ROUND(I136*$D136/100,0)</f>
        <v>9076</v>
      </c>
      <c r="AE136" s="84"/>
    </row>
    <row r="137" spans="1:31">
      <c r="A137" s="1" t="s">
        <v>375</v>
      </c>
      <c r="B137" s="1"/>
      <c r="C137" s="21">
        <f>753476-C136</f>
        <v>569992</v>
      </c>
      <c r="D137" s="21">
        <v>573757.44523477601</v>
      </c>
      <c r="E137" s="299">
        <v>7.2080000000000002</v>
      </c>
      <c r="F137" s="1" t="s">
        <v>374</v>
      </c>
      <c r="G137" s="2">
        <f>ROUND(E137*$C137/100,0)</f>
        <v>41085</v>
      </c>
      <c r="H137" s="2">
        <f>ROUND(E137*$D137/100,0)</f>
        <v>41356</v>
      </c>
      <c r="I137" s="299">
        <f>$I$85</f>
        <v>7.7510000000000003</v>
      </c>
      <c r="J137" s="1" t="s">
        <v>374</v>
      </c>
      <c r="K137" s="2">
        <f>ROUND(I137*$D137/100,0)</f>
        <v>44472</v>
      </c>
      <c r="AE137" s="84"/>
    </row>
    <row r="138" spans="1:31">
      <c r="A138" s="1" t="s">
        <v>377</v>
      </c>
      <c r="B138" s="1"/>
      <c r="C138" s="21">
        <v>1145</v>
      </c>
      <c r="D138" s="21">
        <v>1152.5640268526899</v>
      </c>
      <c r="E138" s="301">
        <v>1.55</v>
      </c>
      <c r="F138" s="1"/>
      <c r="G138" s="2">
        <f>ROUND(E138*$C138,0)</f>
        <v>1775</v>
      </c>
      <c r="H138" s="2">
        <f>ROUND(E138*$D138,0)</f>
        <v>1786</v>
      </c>
      <c r="I138" s="301">
        <f>$I$86</f>
        <v>1.55</v>
      </c>
      <c r="J138" s="1"/>
      <c r="K138" s="2">
        <f>ROUND(I138*$D138,0)</f>
        <v>1786</v>
      </c>
      <c r="AE138" s="84"/>
    </row>
    <row r="139" spans="1:31">
      <c r="A139" s="303" t="s">
        <v>379</v>
      </c>
      <c r="B139" s="303"/>
      <c r="C139" s="21">
        <v>182</v>
      </c>
      <c r="D139" s="21">
        <v>183.20231693204332</v>
      </c>
      <c r="E139" s="301">
        <v>3</v>
      </c>
      <c r="F139" s="303"/>
      <c r="G139" s="2">
        <f>ROUND(E139*$C139,0)</f>
        <v>546</v>
      </c>
      <c r="H139" s="2">
        <f>ROUND(E139*$D139,0)</f>
        <v>550</v>
      </c>
      <c r="I139" s="301">
        <f>$I$87</f>
        <v>3</v>
      </c>
      <c r="J139" s="303"/>
      <c r="K139" s="2">
        <f>ROUND(I139*$D139,0)</f>
        <v>550</v>
      </c>
      <c r="AE139" s="84"/>
    </row>
    <row r="140" spans="1:31">
      <c r="A140" s="303" t="s">
        <v>380</v>
      </c>
      <c r="B140" s="303"/>
      <c r="C140" s="21">
        <v>13</v>
      </c>
      <c r="D140" s="21">
        <v>13.085879780860235</v>
      </c>
      <c r="E140" s="304">
        <f>-E138</f>
        <v>-1.55</v>
      </c>
      <c r="F140" s="303"/>
      <c r="G140" s="2">
        <f>ROUND(E140*$C140,0)</f>
        <v>-20</v>
      </c>
      <c r="H140" s="2">
        <f>ROUND(E140*$D140,0)</f>
        <v>-20</v>
      </c>
      <c r="I140" s="304">
        <f>$I$88</f>
        <v>-1.55</v>
      </c>
      <c r="J140" s="303"/>
      <c r="K140" s="2">
        <f>ROUND(I140*$D140,0)</f>
        <v>-20</v>
      </c>
      <c r="AE140" s="84"/>
    </row>
    <row r="141" spans="1:31">
      <c r="A141" s="1" t="s">
        <v>381</v>
      </c>
      <c r="B141" s="1"/>
      <c r="C141" s="21">
        <f>SUM(C136:C137)</f>
        <v>753476</v>
      </c>
      <c r="D141" s="21">
        <v>758453.56567411136</v>
      </c>
      <c r="E141" s="306"/>
      <c r="F141" s="2"/>
      <c r="G141" s="2">
        <f>SUM(G135:G140)</f>
        <v>53428</v>
      </c>
      <c r="H141" s="2">
        <f>SUM(H135:H140)</f>
        <v>53765</v>
      </c>
      <c r="I141" s="2"/>
      <c r="J141" s="2"/>
      <c r="K141" s="2">
        <f>SUM(K135:K140)</f>
        <v>57754</v>
      </c>
      <c r="AE141" s="84"/>
    </row>
    <row r="142" spans="1:31">
      <c r="A142" s="1" t="s">
        <v>363</v>
      </c>
      <c r="B142" s="1"/>
      <c r="C142" s="317">
        <v>454.99401217422201</v>
      </c>
      <c r="D142" s="308">
        <v>0</v>
      </c>
      <c r="E142" s="309"/>
      <c r="F142" s="309"/>
      <c r="G142" s="310">
        <v>13.645744029524508</v>
      </c>
      <c r="H142" s="310">
        <v>0</v>
      </c>
      <c r="I142" s="309"/>
      <c r="J142" s="309"/>
      <c r="K142" s="310">
        <v>0</v>
      </c>
      <c r="M142" s="289"/>
      <c r="N142" s="289"/>
      <c r="O142" s="290"/>
      <c r="AE142" s="84"/>
    </row>
    <row r="143" spans="1:31" ht="16.5" thickBot="1">
      <c r="A143" s="1" t="s">
        <v>382</v>
      </c>
      <c r="B143" s="1"/>
      <c r="C143" s="311">
        <f>C141+C142</f>
        <v>753930.9940121742</v>
      </c>
      <c r="D143" s="311">
        <f>SUM(D141:D142)</f>
        <v>758453.56567411136</v>
      </c>
      <c r="E143" s="312"/>
      <c r="F143" s="312"/>
      <c r="G143" s="312">
        <f>G141+G142</f>
        <v>53441.645744029527</v>
      </c>
      <c r="H143" s="312">
        <f>H141+H142</f>
        <v>53765</v>
      </c>
      <c r="I143" s="312"/>
      <c r="J143" s="312"/>
      <c r="K143" s="312">
        <f>K141+K142</f>
        <v>57754</v>
      </c>
      <c r="M143" s="291"/>
      <c r="N143" s="291"/>
      <c r="O143" s="292"/>
      <c r="AE143" s="84"/>
    </row>
    <row r="144" spans="1:31" ht="16.5" thickTop="1">
      <c r="A144" s="1"/>
      <c r="B144" s="313"/>
      <c r="C144" s="21"/>
      <c r="D144" s="21"/>
      <c r="E144" s="21"/>
      <c r="F144" s="21"/>
      <c r="I144" s="1" t="s">
        <v>31</v>
      </c>
      <c r="J144" s="1"/>
      <c r="K144" s="2" t="s">
        <v>31</v>
      </c>
      <c r="AE144" s="84"/>
    </row>
    <row r="145" spans="1:31">
      <c r="A145" s="293" t="s">
        <v>387</v>
      </c>
      <c r="B145" s="1"/>
      <c r="C145" s="1"/>
      <c r="D145" s="1"/>
      <c r="E145" s="2"/>
      <c r="F145" s="2"/>
      <c r="G145" s="1" t="s">
        <v>31</v>
      </c>
      <c r="H145" s="1"/>
      <c r="I145" s="2"/>
      <c r="J145" s="1"/>
      <c r="K145" s="1"/>
      <c r="AE145" s="84"/>
    </row>
    <row r="146" spans="1:31">
      <c r="A146" s="1" t="s">
        <v>388</v>
      </c>
      <c r="B146" s="1"/>
      <c r="C146" s="1"/>
      <c r="D146" s="1"/>
      <c r="E146" s="2"/>
      <c r="F146" s="2"/>
      <c r="G146" s="1"/>
      <c r="H146" s="1"/>
      <c r="I146" s="2"/>
      <c r="J146" s="1"/>
      <c r="K146" s="1"/>
      <c r="AE146" s="84"/>
    </row>
    <row r="147" spans="1:31">
      <c r="A147" s="1"/>
      <c r="B147" s="1"/>
      <c r="C147" s="1"/>
      <c r="D147" s="1"/>
      <c r="E147" s="2"/>
      <c r="F147" s="2"/>
      <c r="G147" s="1"/>
      <c r="H147" s="1"/>
      <c r="I147" s="2"/>
      <c r="J147" s="1"/>
      <c r="K147" s="1"/>
      <c r="AE147" s="84"/>
    </row>
    <row r="148" spans="1:31">
      <c r="A148" s="1" t="s">
        <v>389</v>
      </c>
      <c r="B148" s="1"/>
      <c r="C148" s="1"/>
      <c r="D148" s="1"/>
      <c r="E148" s="2"/>
      <c r="F148" s="2"/>
      <c r="G148" s="1"/>
      <c r="H148" s="1"/>
      <c r="I148" s="2"/>
      <c r="J148" s="1"/>
      <c r="K148" s="1"/>
      <c r="AE148" s="84"/>
    </row>
    <row r="149" spans="1:31">
      <c r="A149" s="1" t="s">
        <v>390</v>
      </c>
      <c r="B149" s="1"/>
      <c r="C149" s="21">
        <f>C384</f>
        <v>1</v>
      </c>
      <c r="D149" s="21">
        <f>D384</f>
        <v>1</v>
      </c>
      <c r="E149" s="298">
        <f>E153*12</f>
        <v>84</v>
      </c>
      <c r="F149" s="2"/>
      <c r="G149" s="2">
        <f t="shared" ref="G149:H151" si="8">G355</f>
        <v>84</v>
      </c>
      <c r="H149" s="2">
        <f t="shared" si="8"/>
        <v>84</v>
      </c>
      <c r="I149" s="298">
        <f>I153*12</f>
        <v>90.36</v>
      </c>
      <c r="J149" s="1"/>
      <c r="K149" s="2">
        <f>K355</f>
        <v>90</v>
      </c>
      <c r="M149" s="84">
        <f>I149*D149</f>
        <v>90.36</v>
      </c>
      <c r="O149" s="14">
        <f>(I149-E149)/E149</f>
        <v>7.5714285714285706E-2</v>
      </c>
      <c r="P149" s="14"/>
      <c r="AE149" s="84"/>
    </row>
    <row r="150" spans="1:31">
      <c r="A150" s="1" t="s">
        <v>391</v>
      </c>
      <c r="B150" s="1"/>
      <c r="C150" s="21">
        <f>C356</f>
        <v>112</v>
      </c>
      <c r="D150" s="21">
        <f>D356</f>
        <v>109</v>
      </c>
      <c r="E150" s="298">
        <v>124.8</v>
      </c>
      <c r="F150" s="2"/>
      <c r="G150" s="2">
        <f t="shared" si="8"/>
        <v>13978</v>
      </c>
      <c r="H150" s="2">
        <f t="shared" si="8"/>
        <v>13603</v>
      </c>
      <c r="I150" s="298">
        <f>I154*12</f>
        <v>134.16</v>
      </c>
      <c r="J150" s="1"/>
      <c r="K150" s="2">
        <f>K356</f>
        <v>14623</v>
      </c>
      <c r="M150" s="84">
        <f>I150*D150</f>
        <v>14623.44</v>
      </c>
      <c r="N150" s="84"/>
      <c r="O150" s="14">
        <f>(I150-E150)/E150</f>
        <v>7.4999999999999997E-2</v>
      </c>
      <c r="P150" s="14"/>
      <c r="AE150" s="84"/>
    </row>
    <row r="151" spans="1:31">
      <c r="A151" s="1" t="s">
        <v>392</v>
      </c>
      <c r="B151" s="1"/>
      <c r="C151" s="21">
        <f>C357</f>
        <v>4566</v>
      </c>
      <c r="D151" s="21">
        <f>D357</f>
        <v>3312</v>
      </c>
      <c r="E151" s="298">
        <v>8.2799999999999994</v>
      </c>
      <c r="F151" s="2"/>
      <c r="G151" s="2">
        <f t="shared" si="8"/>
        <v>37806</v>
      </c>
      <c r="H151" s="2">
        <f t="shared" si="8"/>
        <v>27423</v>
      </c>
      <c r="I151" s="298">
        <v>9.36</v>
      </c>
      <c r="J151" s="1"/>
      <c r="K151" s="2">
        <f>K357</f>
        <v>31000</v>
      </c>
      <c r="M151" s="84">
        <f>I151*D151</f>
        <v>31000.32</v>
      </c>
      <c r="O151" s="14">
        <f>(I151-E151)/E151</f>
        <v>0.13043478260869568</v>
      </c>
      <c r="P151" s="14"/>
      <c r="R151" s="3" t="s">
        <v>31</v>
      </c>
      <c r="AE151" s="84"/>
    </row>
    <row r="152" spans="1:31">
      <c r="A152" s="1" t="s">
        <v>393</v>
      </c>
      <c r="B152" s="1"/>
      <c r="C152" s="319"/>
      <c r="D152" s="319"/>
      <c r="E152" s="2"/>
      <c r="F152" s="2"/>
      <c r="G152" s="1"/>
      <c r="H152" s="1"/>
      <c r="I152" s="2"/>
      <c r="J152" s="1"/>
      <c r="K152" s="1"/>
      <c r="O152" s="320"/>
      <c r="AE152" s="84"/>
    </row>
    <row r="153" spans="1:31">
      <c r="A153" s="1" t="s">
        <v>390</v>
      </c>
      <c r="B153" s="1"/>
      <c r="C153" s="319">
        <f t="shared" ref="C153:D155" si="9">C183+C267</f>
        <v>150723</v>
      </c>
      <c r="D153" s="319">
        <f t="shared" si="9"/>
        <v>152395</v>
      </c>
      <c r="E153" s="298">
        <v>7</v>
      </c>
      <c r="F153" s="321"/>
      <c r="G153" s="322">
        <f t="shared" ref="G153:H155" si="10">G183+G267</f>
        <v>1055061</v>
      </c>
      <c r="H153" s="322">
        <f t="shared" si="10"/>
        <v>1066765</v>
      </c>
      <c r="I153" s="298">
        <v>7.53</v>
      </c>
      <c r="J153" s="323"/>
      <c r="K153" s="322">
        <f>K183+K267</f>
        <v>1147534</v>
      </c>
      <c r="M153" s="84">
        <f>I153*D153</f>
        <v>1147534.3500000001</v>
      </c>
      <c r="O153" s="14">
        <f>(I153-E153)/E153</f>
        <v>7.5714285714285748E-2</v>
      </c>
      <c r="P153" s="14">
        <v>7.2866321118088731E-2</v>
      </c>
      <c r="AE153" s="84"/>
    </row>
    <row r="154" spans="1:31">
      <c r="A154" s="1" t="s">
        <v>391</v>
      </c>
      <c r="B154" s="1"/>
      <c r="C154" s="319">
        <f t="shared" si="9"/>
        <v>58994</v>
      </c>
      <c r="D154" s="319">
        <f t="shared" si="9"/>
        <v>59583</v>
      </c>
      <c r="E154" s="298">
        <v>10.4</v>
      </c>
      <c r="F154" s="324"/>
      <c r="G154" s="322">
        <f t="shared" si="10"/>
        <v>613538</v>
      </c>
      <c r="H154" s="322">
        <f t="shared" si="10"/>
        <v>619663</v>
      </c>
      <c r="I154" s="298">
        <v>11.18</v>
      </c>
      <c r="J154" s="325"/>
      <c r="K154" s="322">
        <f>K184+K268</f>
        <v>666138</v>
      </c>
      <c r="M154" s="84">
        <f>I154*D154</f>
        <v>666137.93999999994</v>
      </c>
      <c r="O154" s="14">
        <f>(I154-E154)/E154</f>
        <v>7.4999999999999942E-2</v>
      </c>
      <c r="P154" s="14">
        <v>7.1815364563500975E-2</v>
      </c>
      <c r="Q154" s="84"/>
      <c r="AE154" s="84"/>
    </row>
    <row r="155" spans="1:31">
      <c r="A155" s="1" t="s">
        <v>392</v>
      </c>
      <c r="B155" s="1"/>
      <c r="C155" s="319">
        <f t="shared" si="9"/>
        <v>1172685</v>
      </c>
      <c r="D155" s="319">
        <f t="shared" si="9"/>
        <v>1215298</v>
      </c>
      <c r="E155" s="298">
        <v>0.69</v>
      </c>
      <c r="F155" s="324"/>
      <c r="G155" s="322">
        <f t="shared" si="10"/>
        <v>809153</v>
      </c>
      <c r="H155" s="322">
        <f t="shared" si="10"/>
        <v>838556</v>
      </c>
      <c r="I155" s="298">
        <v>0.78</v>
      </c>
      <c r="J155" s="325"/>
      <c r="K155" s="322">
        <f>K185+K269</f>
        <v>947933</v>
      </c>
      <c r="M155" s="84">
        <f>I155*D155</f>
        <v>947932.44000000006</v>
      </c>
      <c r="O155" s="14">
        <f>(I155-E155)/E155</f>
        <v>0.13043478260869579</v>
      </c>
      <c r="P155" s="14">
        <v>0.132004204924074</v>
      </c>
      <c r="R155" s="15"/>
      <c r="S155" s="15"/>
      <c r="AE155" s="84"/>
    </row>
    <row r="156" spans="1:31">
      <c r="A156" s="1" t="s">
        <v>394</v>
      </c>
      <c r="B156" s="1"/>
      <c r="C156" s="319">
        <f>SUM(C153:C154)</f>
        <v>209717</v>
      </c>
      <c r="D156" s="319">
        <f>SUM(D153:D154)</f>
        <v>211978</v>
      </c>
      <c r="E156" s="298"/>
      <c r="F156" s="321"/>
      <c r="G156" s="322"/>
      <c r="H156" s="322"/>
      <c r="I156" s="298"/>
      <c r="J156" s="323"/>
      <c r="K156" s="322"/>
      <c r="O156" s="320"/>
      <c r="AE156" s="84"/>
    </row>
    <row r="157" spans="1:31">
      <c r="A157" s="1" t="s">
        <v>362</v>
      </c>
      <c r="B157" s="1"/>
      <c r="C157" s="319">
        <f>C186+C271+C358</f>
        <v>206434</v>
      </c>
      <c r="D157" s="319">
        <f>D186+D271+D358</f>
        <v>208713.75</v>
      </c>
      <c r="E157" s="298"/>
      <c r="F157" s="321"/>
      <c r="G157" s="322"/>
      <c r="H157" s="322"/>
      <c r="I157" s="298"/>
      <c r="J157" s="323"/>
      <c r="K157" s="322"/>
      <c r="O157" s="320"/>
      <c r="AE157" s="84"/>
    </row>
    <row r="158" spans="1:31">
      <c r="A158" s="1" t="s">
        <v>395</v>
      </c>
      <c r="B158" s="1"/>
      <c r="C158" s="319">
        <f t="shared" ref="C158:D162" si="11">C187+C272+C360</f>
        <v>773776</v>
      </c>
      <c r="D158" s="319">
        <f t="shared" si="11"/>
        <v>798223</v>
      </c>
      <c r="E158" s="326">
        <v>2.81</v>
      </c>
      <c r="F158" s="323"/>
      <c r="G158" s="322">
        <f t="shared" ref="G158:H162" si="12">G187+G272+G360</f>
        <v>2174311</v>
      </c>
      <c r="H158" s="322">
        <f t="shared" si="12"/>
        <v>2243006</v>
      </c>
      <c r="I158" s="298">
        <v>2.88</v>
      </c>
      <c r="J158" s="323"/>
      <c r="K158" s="322">
        <f>K187+K272+K360</f>
        <v>2298883</v>
      </c>
      <c r="M158" s="84">
        <f>I158*D158</f>
        <v>2298882.2399999998</v>
      </c>
      <c r="O158" s="14">
        <f>(I158-E158)/E158</f>
        <v>2.4911032028469695E-2</v>
      </c>
      <c r="P158" s="14">
        <v>2.5931075130992472E-2</v>
      </c>
      <c r="Q158" s="3" t="s">
        <v>396</v>
      </c>
      <c r="AE158" s="84"/>
    </row>
    <row r="159" spans="1:31">
      <c r="A159" s="1" t="s">
        <v>397</v>
      </c>
      <c r="B159" s="1"/>
      <c r="C159" s="319">
        <f t="shared" si="11"/>
        <v>122073149.22139926</v>
      </c>
      <c r="D159" s="319">
        <f t="shared" si="11"/>
        <v>126408223</v>
      </c>
      <c r="E159" s="299">
        <v>7.5869999999999997</v>
      </c>
      <c r="F159" s="323" t="s">
        <v>374</v>
      </c>
      <c r="G159" s="322">
        <f t="shared" si="12"/>
        <v>9261689</v>
      </c>
      <c r="H159" s="322">
        <f t="shared" si="12"/>
        <v>9590592</v>
      </c>
      <c r="I159" s="327">
        <v>8.0890000000000004</v>
      </c>
      <c r="J159" s="323" t="s">
        <v>374</v>
      </c>
      <c r="K159" s="322">
        <f>K188+K273+K361</f>
        <v>10225160</v>
      </c>
      <c r="M159" s="84">
        <f>(I159/100)*D159</f>
        <v>10225161.158470001</v>
      </c>
      <c r="O159" s="14">
        <f>(I159-E159)/E159</f>
        <v>6.6165809938052017E-2</v>
      </c>
      <c r="P159" s="14">
        <v>6.6628456933799998E-2</v>
      </c>
      <c r="Q159" s="236">
        <f>H159+H160-(D159+D160)*E161/100</f>
        <v>5928502.7547500022</v>
      </c>
      <c r="R159" s="236">
        <f>K159+K160-(D159+D160)*I161/100</f>
        <v>6328709.5074999966</v>
      </c>
      <c r="AE159" s="84"/>
    </row>
    <row r="160" spans="1:31">
      <c r="A160" s="1" t="s">
        <v>398</v>
      </c>
      <c r="B160" s="1"/>
      <c r="C160" s="319">
        <f t="shared" si="11"/>
        <v>272356025.57318687</v>
      </c>
      <c r="D160" s="319">
        <f t="shared" si="11"/>
        <v>282142702</v>
      </c>
      <c r="E160" s="299">
        <v>5.2370000000000001</v>
      </c>
      <c r="F160" s="323" t="s">
        <v>374</v>
      </c>
      <c r="G160" s="322">
        <f t="shared" si="12"/>
        <v>14263286</v>
      </c>
      <c r="H160" s="322">
        <f t="shared" si="12"/>
        <v>14775814</v>
      </c>
      <c r="I160" s="328">
        <f>ROUND((E160/E159)*I159,3)</f>
        <v>5.5839999999999996</v>
      </c>
      <c r="J160" s="323" t="s">
        <v>374</v>
      </c>
      <c r="K160" s="322">
        <f>K189+K274+K362</f>
        <v>15754849</v>
      </c>
      <c r="M160" s="84">
        <f>(I160/100)*D160</f>
        <v>15754848.479679998</v>
      </c>
      <c r="N160" s="329"/>
      <c r="O160" s="14">
        <f>(I160-E160)/E160</f>
        <v>6.6259308764559766E-2</v>
      </c>
      <c r="P160" s="14">
        <v>6.6612089431516142E-2</v>
      </c>
      <c r="AE160" s="84"/>
    </row>
    <row r="161" spans="1:31">
      <c r="A161" s="1" t="s">
        <v>399</v>
      </c>
      <c r="B161" s="1"/>
      <c r="C161" s="319">
        <f t="shared" si="11"/>
        <v>116874017.20541383</v>
      </c>
      <c r="D161" s="319">
        <f t="shared" si="11"/>
        <v>121112284</v>
      </c>
      <c r="E161" s="299">
        <v>4.5129999999999999</v>
      </c>
      <c r="F161" s="323" t="s">
        <v>374</v>
      </c>
      <c r="G161" s="322">
        <f t="shared" si="12"/>
        <v>5274524</v>
      </c>
      <c r="H161" s="322">
        <f t="shared" si="12"/>
        <v>5465798</v>
      </c>
      <c r="I161" s="299">
        <f>ROUND((E161/E160)*I160,3)-0.002</f>
        <v>4.8100000000000005</v>
      </c>
      <c r="J161" s="323" t="s">
        <v>374</v>
      </c>
      <c r="K161" s="322">
        <f>K190+K275+K363</f>
        <v>5825501</v>
      </c>
      <c r="M161" s="84">
        <f>(I161/100)*D161</f>
        <v>5825500.8604000006</v>
      </c>
      <c r="N161" s="300"/>
      <c r="O161" s="14">
        <f>(I161-E161)/E161</f>
        <v>6.5809882561489161E-2</v>
      </c>
      <c r="P161" s="14">
        <v>6.6601722714849612E-2</v>
      </c>
      <c r="Q161" s="84">
        <f>K159+K160+K161-R159</f>
        <v>25476800.492500003</v>
      </c>
      <c r="AE161" s="84"/>
    </row>
    <row r="162" spans="1:31">
      <c r="A162" s="1" t="s">
        <v>400</v>
      </c>
      <c r="B162" s="1"/>
      <c r="C162" s="319">
        <f t="shared" si="11"/>
        <v>89833</v>
      </c>
      <c r="D162" s="319">
        <f t="shared" si="11"/>
        <v>92605</v>
      </c>
      <c r="E162" s="330">
        <v>45</v>
      </c>
      <c r="F162" s="321" t="s">
        <v>374</v>
      </c>
      <c r="G162" s="322">
        <f t="shared" si="12"/>
        <v>40425</v>
      </c>
      <c r="H162" s="322">
        <f t="shared" si="12"/>
        <v>41673</v>
      </c>
      <c r="I162" s="330">
        <v>45</v>
      </c>
      <c r="J162" s="323" t="s">
        <v>374</v>
      </c>
      <c r="K162" s="322">
        <f>K191+K276+K364</f>
        <v>41673</v>
      </c>
      <c r="M162" s="84">
        <f>(I162/100)*D162</f>
        <v>41672.25</v>
      </c>
      <c r="O162" s="14">
        <f>(I162-E162)/E162</f>
        <v>0</v>
      </c>
      <c r="P162" s="14"/>
      <c r="AE162" s="84"/>
    </row>
    <row r="163" spans="1:31">
      <c r="A163" s="331" t="s">
        <v>401</v>
      </c>
      <c r="B163" s="1"/>
      <c r="C163" s="319"/>
      <c r="D163" s="319"/>
      <c r="E163" s="332">
        <v>-0.01</v>
      </c>
      <c r="F163" s="321"/>
      <c r="G163" s="322"/>
      <c r="H163" s="322"/>
      <c r="I163" s="332">
        <v>-0.01</v>
      </c>
      <c r="J163" s="323"/>
      <c r="K163" s="322"/>
      <c r="O163" s="333"/>
      <c r="AE163" s="84"/>
    </row>
    <row r="164" spans="1:31">
      <c r="A164" s="1" t="s">
        <v>390</v>
      </c>
      <c r="B164" s="1"/>
      <c r="C164" s="319">
        <f t="shared" ref="C164:D175" si="13">C193+C278+C366</f>
        <v>48</v>
      </c>
      <c r="D164" s="319">
        <f t="shared" si="13"/>
        <v>49</v>
      </c>
      <c r="E164" s="334">
        <f>E153</f>
        <v>7</v>
      </c>
      <c r="F164" s="321"/>
      <c r="G164" s="322">
        <f t="shared" ref="G164:H175" si="14">G193+G278+G366</f>
        <v>-3</v>
      </c>
      <c r="H164" s="322">
        <f t="shared" si="14"/>
        <v>-3</v>
      </c>
      <c r="I164" s="334">
        <f>I153</f>
        <v>7.53</v>
      </c>
      <c r="J164" s="321"/>
      <c r="K164" s="322">
        <f t="shared" ref="K164:K175" si="15">K193+K278+K366</f>
        <v>-4</v>
      </c>
      <c r="M164" s="84">
        <f>-(I164/100)*D164</f>
        <v>-3.6897000000000002</v>
      </c>
      <c r="AE164" s="84"/>
    </row>
    <row r="165" spans="1:31">
      <c r="A165" s="1" t="s">
        <v>391</v>
      </c>
      <c r="B165" s="1"/>
      <c r="C165" s="319">
        <f t="shared" si="13"/>
        <v>88</v>
      </c>
      <c r="D165" s="319">
        <f t="shared" si="13"/>
        <v>89</v>
      </c>
      <c r="E165" s="334">
        <f>E154</f>
        <v>10.4</v>
      </c>
      <c r="F165" s="321"/>
      <c r="G165" s="322">
        <f t="shared" si="14"/>
        <v>-9</v>
      </c>
      <c r="H165" s="322">
        <f t="shared" si="14"/>
        <v>-9</v>
      </c>
      <c r="I165" s="334">
        <f>I154</f>
        <v>11.18</v>
      </c>
      <c r="J165" s="321"/>
      <c r="K165" s="322">
        <f t="shared" si="15"/>
        <v>-10</v>
      </c>
      <c r="M165" s="84">
        <f>-(I165/100)*D165</f>
        <v>-9.9501999999999988</v>
      </c>
      <c r="R165" s="3" t="s">
        <v>371</v>
      </c>
      <c r="S165" s="3" t="s">
        <v>305</v>
      </c>
      <c r="T165" s="3" t="s">
        <v>372</v>
      </c>
      <c r="U165" s="3" t="s">
        <v>315</v>
      </c>
      <c r="AE165" s="84"/>
    </row>
    <row r="166" spans="1:31">
      <c r="A166" s="1" t="s">
        <v>402</v>
      </c>
      <c r="B166" s="1"/>
      <c r="C166" s="319">
        <f t="shared" si="13"/>
        <v>1730</v>
      </c>
      <c r="D166" s="319">
        <f t="shared" si="13"/>
        <v>1792</v>
      </c>
      <c r="E166" s="334">
        <f>E155</f>
        <v>0.69</v>
      </c>
      <c r="F166" s="321"/>
      <c r="G166" s="322">
        <f t="shared" si="14"/>
        <v>-12</v>
      </c>
      <c r="H166" s="322">
        <f t="shared" si="14"/>
        <v>-12</v>
      </c>
      <c r="I166" s="334">
        <f>I155</f>
        <v>0.78</v>
      </c>
      <c r="J166" s="321"/>
      <c r="K166" s="322">
        <f t="shared" si="15"/>
        <v>-14</v>
      </c>
      <c r="M166" s="84">
        <f>-(I166/100)*D166</f>
        <v>-13.977600000000001</v>
      </c>
      <c r="Q166" s="3" t="s">
        <v>20</v>
      </c>
      <c r="R166" s="84">
        <f>H149+H150+H153+H154</f>
        <v>1700115</v>
      </c>
      <c r="S166" s="84">
        <f>K149+K150+K153+K154</f>
        <v>1828385</v>
      </c>
      <c r="T166" s="106">
        <v>1916638.7857408486</v>
      </c>
      <c r="U166" s="237">
        <f>S166/T166</f>
        <v>0.9539538767568374</v>
      </c>
      <c r="AE166" s="84"/>
    </row>
    <row r="167" spans="1:31">
      <c r="A167" s="1" t="s">
        <v>403</v>
      </c>
      <c r="B167" s="1"/>
      <c r="C167" s="319">
        <f t="shared" si="13"/>
        <v>696</v>
      </c>
      <c r="D167" s="319">
        <f t="shared" si="13"/>
        <v>721</v>
      </c>
      <c r="E167" s="334">
        <f>E158</f>
        <v>2.81</v>
      </c>
      <c r="F167" s="323"/>
      <c r="G167" s="322">
        <f t="shared" si="14"/>
        <v>-20</v>
      </c>
      <c r="H167" s="322">
        <f t="shared" si="14"/>
        <v>-20</v>
      </c>
      <c r="I167" s="334">
        <f>I158</f>
        <v>2.88</v>
      </c>
      <c r="J167" s="323"/>
      <c r="K167" s="322">
        <f t="shared" si="15"/>
        <v>-21</v>
      </c>
      <c r="M167" s="84">
        <f>-(I167/100)*D167</f>
        <v>-20.764800000000001</v>
      </c>
      <c r="Q167" s="3" t="s">
        <v>404</v>
      </c>
      <c r="R167" s="84">
        <f>H155</f>
        <v>838556</v>
      </c>
      <c r="S167" s="84">
        <f>K155</f>
        <v>947933</v>
      </c>
      <c r="T167" s="106">
        <v>5367292.197431691</v>
      </c>
      <c r="U167" s="237">
        <f>S167/T167</f>
        <v>0.17661289252215417</v>
      </c>
      <c r="AE167" s="84"/>
    </row>
    <row r="168" spans="1:31">
      <c r="A168" s="1" t="s">
        <v>405</v>
      </c>
      <c r="B168" s="1"/>
      <c r="C168" s="319">
        <f t="shared" si="13"/>
        <v>80560</v>
      </c>
      <c r="D168" s="319">
        <f t="shared" si="13"/>
        <v>83451</v>
      </c>
      <c r="E168" s="335">
        <f>E159</f>
        <v>7.5869999999999997</v>
      </c>
      <c r="F168" s="323" t="s">
        <v>374</v>
      </c>
      <c r="G168" s="322">
        <f t="shared" si="14"/>
        <v>-61</v>
      </c>
      <c r="H168" s="322">
        <f t="shared" si="14"/>
        <v>-63</v>
      </c>
      <c r="I168" s="335">
        <f>I159</f>
        <v>8.0890000000000004</v>
      </c>
      <c r="J168" s="323" t="s">
        <v>374</v>
      </c>
      <c r="K168" s="322">
        <f t="shared" si="15"/>
        <v>-68</v>
      </c>
      <c r="M168" s="84">
        <f>-((I168/100)*D168)/100</f>
        <v>-67.503513900000002</v>
      </c>
      <c r="Q168" s="3" t="s">
        <v>376</v>
      </c>
      <c r="R168" s="84">
        <f>SUM(H159:H161)-Q159</f>
        <v>23903701.245249998</v>
      </c>
      <c r="S168" s="84">
        <f>SUM(K159:K161)-R159</f>
        <v>25476800.492500003</v>
      </c>
      <c r="T168" s="106">
        <v>26743743.576655678</v>
      </c>
      <c r="U168" s="237">
        <f>S168/T168</f>
        <v>0.95262656177792637</v>
      </c>
      <c r="AE168" s="84"/>
    </row>
    <row r="169" spans="1:31">
      <c r="A169" s="1" t="s">
        <v>398</v>
      </c>
      <c r="B169" s="1"/>
      <c r="C169" s="319">
        <f t="shared" si="13"/>
        <v>247430</v>
      </c>
      <c r="D169" s="319">
        <f t="shared" si="13"/>
        <v>256310</v>
      </c>
      <c r="E169" s="335">
        <f>E160</f>
        <v>5.2370000000000001</v>
      </c>
      <c r="F169" s="323" t="s">
        <v>374</v>
      </c>
      <c r="G169" s="322">
        <f t="shared" si="14"/>
        <v>-130</v>
      </c>
      <c r="H169" s="322">
        <f t="shared" si="14"/>
        <v>-134</v>
      </c>
      <c r="I169" s="335">
        <f>I160</f>
        <v>5.5839999999999996</v>
      </c>
      <c r="J169" s="323" t="s">
        <v>374</v>
      </c>
      <c r="K169" s="322">
        <f t="shared" si="15"/>
        <v>-143</v>
      </c>
      <c r="M169" s="84">
        <f>-((I169/100)*D169)/100</f>
        <v>-143.12350399999997</v>
      </c>
      <c r="Q169" s="3" t="s">
        <v>406</v>
      </c>
      <c r="R169" s="84">
        <f>H158+Q159</f>
        <v>8171508.7547500022</v>
      </c>
      <c r="S169" s="84">
        <f>K158+R159</f>
        <v>8627592.5074999966</v>
      </c>
      <c r="T169" s="106">
        <v>4454867.4522770187</v>
      </c>
      <c r="U169" s="237">
        <f>S169/T169</f>
        <v>1.9366664889412526</v>
      </c>
      <c r="AE169" s="84"/>
    </row>
    <row r="170" spans="1:31">
      <c r="A170" s="1" t="s">
        <v>399</v>
      </c>
      <c r="B170" s="1"/>
      <c r="C170" s="319">
        <f t="shared" si="13"/>
        <v>46700</v>
      </c>
      <c r="D170" s="319">
        <f t="shared" si="13"/>
        <v>48376</v>
      </c>
      <c r="E170" s="335">
        <f>E161</f>
        <v>4.5129999999999999</v>
      </c>
      <c r="F170" s="323" t="s">
        <v>374</v>
      </c>
      <c r="G170" s="322">
        <f t="shared" si="14"/>
        <v>-21</v>
      </c>
      <c r="H170" s="322">
        <f t="shared" si="14"/>
        <v>-22</v>
      </c>
      <c r="I170" s="335">
        <f>I161</f>
        <v>4.8100000000000005</v>
      </c>
      <c r="J170" s="323" t="s">
        <v>374</v>
      </c>
      <c r="K170" s="322">
        <f t="shared" si="15"/>
        <v>-23</v>
      </c>
      <c r="M170" s="84">
        <f>-((I170/100)*D170)/100</f>
        <v>-23.268856</v>
      </c>
      <c r="AE170" s="84"/>
    </row>
    <row r="171" spans="1:31">
      <c r="A171" s="1" t="s">
        <v>400</v>
      </c>
      <c r="B171" s="1"/>
      <c r="C171" s="319">
        <f t="shared" si="13"/>
        <v>2329</v>
      </c>
      <c r="D171" s="319">
        <f t="shared" si="13"/>
        <v>2413</v>
      </c>
      <c r="E171" s="336">
        <f>E162</f>
        <v>45</v>
      </c>
      <c r="F171" s="323" t="s">
        <v>374</v>
      </c>
      <c r="G171" s="322">
        <f t="shared" si="14"/>
        <v>-10</v>
      </c>
      <c r="H171" s="322">
        <f t="shared" si="14"/>
        <v>-11</v>
      </c>
      <c r="I171" s="336">
        <f>I162</f>
        <v>45</v>
      </c>
      <c r="J171" s="323" t="s">
        <v>374</v>
      </c>
      <c r="K171" s="322">
        <f t="shared" si="15"/>
        <v>-11</v>
      </c>
      <c r="M171" s="84">
        <f>-((I171/100)*D171)/100</f>
        <v>-10.858500000000001</v>
      </c>
      <c r="AE171" s="84"/>
    </row>
    <row r="172" spans="1:31">
      <c r="A172" s="1" t="s">
        <v>407</v>
      </c>
      <c r="B172" s="1"/>
      <c r="C172" s="319">
        <f t="shared" si="13"/>
        <v>103</v>
      </c>
      <c r="D172" s="319">
        <f t="shared" si="13"/>
        <v>107</v>
      </c>
      <c r="E172" s="337">
        <v>60</v>
      </c>
      <c r="F172" s="321"/>
      <c r="G172" s="322">
        <f t="shared" si="14"/>
        <v>6180</v>
      </c>
      <c r="H172" s="322">
        <f t="shared" si="14"/>
        <v>6420</v>
      </c>
      <c r="I172" s="337">
        <v>60</v>
      </c>
      <c r="J172" s="323"/>
      <c r="K172" s="322">
        <f t="shared" si="15"/>
        <v>6420</v>
      </c>
      <c r="M172" s="84">
        <f>I172*D172</f>
        <v>6420</v>
      </c>
      <c r="O172" s="338"/>
      <c r="AE172" s="84"/>
    </row>
    <row r="173" spans="1:31">
      <c r="A173" s="1" t="s">
        <v>408</v>
      </c>
      <c r="B173" s="1"/>
      <c r="C173" s="319">
        <f t="shared" si="13"/>
        <v>2204</v>
      </c>
      <c r="D173" s="319">
        <f t="shared" si="13"/>
        <v>2283</v>
      </c>
      <c r="E173" s="339">
        <v>-30</v>
      </c>
      <c r="F173" s="321" t="s">
        <v>374</v>
      </c>
      <c r="G173" s="322">
        <f t="shared" si="14"/>
        <v>-661</v>
      </c>
      <c r="H173" s="322">
        <f t="shared" si="14"/>
        <v>-685</v>
      </c>
      <c r="I173" s="339">
        <v>-30</v>
      </c>
      <c r="J173" s="323" t="s">
        <v>374</v>
      </c>
      <c r="K173" s="322">
        <f t="shared" si="15"/>
        <v>-685</v>
      </c>
      <c r="M173" s="84">
        <f>(I173/100)*D173</f>
        <v>-684.9</v>
      </c>
      <c r="O173" s="294"/>
      <c r="Q173" s="294"/>
      <c r="AE173" s="84"/>
    </row>
    <row r="174" spans="1:31">
      <c r="A174" s="1" t="s">
        <v>381</v>
      </c>
      <c r="B174" s="264"/>
      <c r="C174" s="319">
        <f t="shared" si="13"/>
        <v>511303192</v>
      </c>
      <c r="D174" s="319">
        <f t="shared" si="13"/>
        <v>529663208.81107259</v>
      </c>
      <c r="E174" s="330"/>
      <c r="F174" s="2"/>
      <c r="G174" s="322">
        <f t="shared" si="14"/>
        <v>33549108</v>
      </c>
      <c r="H174" s="322">
        <f t="shared" si="14"/>
        <v>34688438</v>
      </c>
      <c r="I174" s="330"/>
      <c r="J174" s="323"/>
      <c r="K174" s="322">
        <f t="shared" si="15"/>
        <v>36958825</v>
      </c>
      <c r="M174" s="84">
        <f>SUM(M149:M173)</f>
        <v>36958825.801876113</v>
      </c>
      <c r="O174" s="294"/>
      <c r="AE174" s="84"/>
    </row>
    <row r="175" spans="1:31">
      <c r="A175" s="1" t="s">
        <v>363</v>
      </c>
      <c r="B175" s="25"/>
      <c r="C175" s="340">
        <f t="shared" si="13"/>
        <v>1738550.1352391352</v>
      </c>
      <c r="D175" s="340">
        <f t="shared" si="13"/>
        <v>0</v>
      </c>
      <c r="E175" s="309"/>
      <c r="F175" s="309"/>
      <c r="G175" s="341">
        <f t="shared" si="14"/>
        <v>98538.251191607749</v>
      </c>
      <c r="H175" s="341">
        <f t="shared" si="14"/>
        <v>0</v>
      </c>
      <c r="I175" s="309"/>
      <c r="J175" s="309"/>
      <c r="K175" s="341">
        <f t="shared" si="15"/>
        <v>0</v>
      </c>
      <c r="M175" s="289"/>
      <c r="AE175" s="84"/>
    </row>
    <row r="176" spans="1:31" ht="16.5" thickBot="1">
      <c r="A176" s="1" t="s">
        <v>382</v>
      </c>
      <c r="B176" s="1"/>
      <c r="C176" s="311">
        <f>SUM(C174:C175)</f>
        <v>513041742.13523912</v>
      </c>
      <c r="D176" s="311">
        <f>SUM(D174:D175)</f>
        <v>529663208.81107259</v>
      </c>
      <c r="E176" s="342"/>
      <c r="F176" s="343"/>
      <c r="G176" s="344">
        <f>G174+G175</f>
        <v>33647646.251191609</v>
      </c>
      <c r="H176" s="344">
        <f>H174+H175</f>
        <v>34688438</v>
      </c>
      <c r="I176" s="342"/>
      <c r="J176" s="345"/>
      <c r="K176" s="344">
        <f>K174+K175</f>
        <v>36958825</v>
      </c>
      <c r="M176" s="291"/>
      <c r="N176" s="3" t="s">
        <v>409</v>
      </c>
      <c r="O176" s="84" t="e">
        <f>#REF!*1000</f>
        <v>#REF!</v>
      </c>
      <c r="P176" s="14"/>
      <c r="AE176" s="84"/>
    </row>
    <row r="177" spans="1:31" ht="16.5" thickTop="1">
      <c r="A177" s="1"/>
      <c r="B177" s="1"/>
      <c r="C177" s="21"/>
      <c r="D177" s="21"/>
      <c r="E177" s="337"/>
      <c r="F177" s="2"/>
      <c r="G177" s="2"/>
      <c r="H177" s="2"/>
      <c r="I177" s="337"/>
      <c r="J177" s="1"/>
      <c r="K177" s="2" t="s">
        <v>31</v>
      </c>
      <c r="N177" s="3" t="s">
        <v>263</v>
      </c>
      <c r="O177" s="84" t="e">
        <f>O176-K176</f>
        <v>#REF!</v>
      </c>
      <c r="P177" s="276" t="e">
        <f>(O176-K176)/K176</f>
        <v>#REF!</v>
      </c>
      <c r="AE177" s="84"/>
    </row>
    <row r="178" spans="1:31">
      <c r="A178" s="1"/>
      <c r="B178" s="1"/>
      <c r="C178" s="21"/>
      <c r="D178" s="21"/>
      <c r="E178" s="337"/>
      <c r="F178" s="2"/>
      <c r="G178" s="2"/>
      <c r="H178" s="2"/>
      <c r="I178" s="337"/>
      <c r="J178" s="1"/>
      <c r="AE178" s="84"/>
    </row>
    <row r="179" spans="1:31">
      <c r="A179" s="293" t="s">
        <v>387</v>
      </c>
      <c r="B179" s="1"/>
      <c r="C179" s="1"/>
      <c r="D179" s="1"/>
      <c r="E179" s="2"/>
      <c r="F179" s="2"/>
      <c r="G179" s="1" t="s">
        <v>31</v>
      </c>
      <c r="H179" s="1"/>
      <c r="I179" s="2"/>
      <c r="J179" s="1"/>
      <c r="K179" s="1"/>
      <c r="M179" s="84">
        <f>K176-H176</f>
        <v>2270387</v>
      </c>
      <c r="O179" s="346"/>
      <c r="P179" s="14"/>
      <c r="AE179" s="84"/>
    </row>
    <row r="180" spans="1:31">
      <c r="A180" s="1" t="s">
        <v>410</v>
      </c>
      <c r="B180" s="1"/>
      <c r="C180" s="1"/>
      <c r="D180" s="1"/>
      <c r="E180" s="2"/>
      <c r="F180" s="2"/>
      <c r="G180" s="1"/>
      <c r="H180" s="1"/>
      <c r="I180" s="2"/>
      <c r="J180" s="1"/>
      <c r="K180" s="1"/>
      <c r="M180" s="84"/>
      <c r="N180" s="237">
        <v>0.91082901397610971</v>
      </c>
      <c r="AE180" s="84"/>
    </row>
    <row r="181" spans="1:31">
      <c r="A181" s="1"/>
      <c r="B181" s="1"/>
      <c r="C181" s="1"/>
      <c r="D181" s="1"/>
      <c r="E181" s="2"/>
      <c r="F181" s="2"/>
      <c r="G181" s="1"/>
      <c r="H181" s="1"/>
      <c r="I181" s="2"/>
      <c r="J181" s="1"/>
      <c r="K181" s="1"/>
      <c r="M181" s="84"/>
      <c r="N181" s="84"/>
      <c r="AE181" s="84"/>
    </row>
    <row r="182" spans="1:31">
      <c r="A182" s="1" t="s">
        <v>393</v>
      </c>
      <c r="B182" s="1"/>
      <c r="C182" s="319"/>
      <c r="D182" s="319"/>
      <c r="E182" s="2"/>
      <c r="F182" s="2"/>
      <c r="G182" s="1"/>
      <c r="H182" s="1"/>
      <c r="I182" s="2"/>
      <c r="J182" s="1"/>
      <c r="K182" s="1"/>
      <c r="AE182" s="84"/>
    </row>
    <row r="183" spans="1:31">
      <c r="A183" s="1" t="s">
        <v>390</v>
      </c>
      <c r="B183" s="1"/>
      <c r="C183" s="319">
        <f t="shared" ref="C183:D185" si="16">C211+C239</f>
        <v>145698</v>
      </c>
      <c r="D183" s="319">
        <f t="shared" si="16"/>
        <v>147404</v>
      </c>
      <c r="E183" s="298">
        <v>7</v>
      </c>
      <c r="F183" s="321"/>
      <c r="G183" s="2">
        <f t="shared" ref="G183:H185" si="17">G211+G239</f>
        <v>1019886</v>
      </c>
      <c r="H183" s="2">
        <f t="shared" si="17"/>
        <v>1031828</v>
      </c>
      <c r="I183" s="298">
        <f>$I$153</f>
        <v>7.53</v>
      </c>
      <c r="J183" s="323"/>
      <c r="K183" s="2">
        <f>K211+K239</f>
        <v>1109952</v>
      </c>
      <c r="AE183" s="84"/>
    </row>
    <row r="184" spans="1:31">
      <c r="A184" s="1" t="s">
        <v>391</v>
      </c>
      <c r="B184" s="1"/>
      <c r="C184" s="319">
        <f t="shared" si="16"/>
        <v>58994</v>
      </c>
      <c r="D184" s="319">
        <f t="shared" si="16"/>
        <v>59583</v>
      </c>
      <c r="E184" s="298">
        <v>10.4</v>
      </c>
      <c r="F184" s="324"/>
      <c r="G184" s="2">
        <f t="shared" si="17"/>
        <v>613538</v>
      </c>
      <c r="H184" s="2">
        <f t="shared" si="17"/>
        <v>619663</v>
      </c>
      <c r="I184" s="298">
        <f>$I$154</f>
        <v>11.18</v>
      </c>
      <c r="J184" s="325"/>
      <c r="K184" s="2">
        <f>K212+K240</f>
        <v>666138</v>
      </c>
      <c r="AE184" s="84"/>
    </row>
    <row r="185" spans="1:31">
      <c r="A185" s="1" t="s">
        <v>392</v>
      </c>
      <c r="B185" s="1"/>
      <c r="C185" s="319">
        <f t="shared" si="16"/>
        <v>1172685</v>
      </c>
      <c r="D185" s="319">
        <f t="shared" si="16"/>
        <v>1215298</v>
      </c>
      <c r="E185" s="298">
        <v>0.69</v>
      </c>
      <c r="F185" s="324"/>
      <c r="G185" s="2">
        <f t="shared" si="17"/>
        <v>809153</v>
      </c>
      <c r="H185" s="2">
        <f t="shared" si="17"/>
        <v>838556</v>
      </c>
      <c r="I185" s="298">
        <f>$I$155</f>
        <v>0.78</v>
      </c>
      <c r="J185" s="325"/>
      <c r="K185" s="2">
        <f>K213+K241</f>
        <v>947933</v>
      </c>
      <c r="AE185" s="84"/>
    </row>
    <row r="186" spans="1:31">
      <c r="A186" s="1" t="s">
        <v>394</v>
      </c>
      <c r="B186" s="1"/>
      <c r="C186" s="319">
        <f>SUM(C183:C184)</f>
        <v>204692</v>
      </c>
      <c r="D186" s="319">
        <f>SUM(D183:D184)</f>
        <v>206987</v>
      </c>
      <c r="E186" s="298"/>
      <c r="F186" s="321"/>
      <c r="G186" s="2"/>
      <c r="H186" s="2"/>
      <c r="I186" s="298"/>
      <c r="J186" s="323"/>
      <c r="K186" s="2"/>
      <c r="AE186" s="84"/>
    </row>
    <row r="187" spans="1:31">
      <c r="A187" s="1" t="s">
        <v>395</v>
      </c>
      <c r="B187" s="1"/>
      <c r="C187" s="319">
        <f t="shared" ref="C187:D191" si="18">C215+C243</f>
        <v>760902</v>
      </c>
      <c r="D187" s="319">
        <f t="shared" si="18"/>
        <v>788525</v>
      </c>
      <c r="E187" s="326">
        <v>2.81</v>
      </c>
      <c r="F187" s="323"/>
      <c r="G187" s="2">
        <f t="shared" ref="G187:H191" si="19">G215+G243</f>
        <v>2138135</v>
      </c>
      <c r="H187" s="2">
        <f t="shared" si="19"/>
        <v>2215755</v>
      </c>
      <c r="I187" s="326">
        <f>$I$158</f>
        <v>2.88</v>
      </c>
      <c r="J187" s="323"/>
      <c r="K187" s="2">
        <f>K215+K243</f>
        <v>2270952</v>
      </c>
      <c r="AE187" s="84"/>
    </row>
    <row r="188" spans="1:31">
      <c r="A188" s="1" t="s">
        <v>397</v>
      </c>
      <c r="B188" s="1"/>
      <c r="C188" s="319">
        <f t="shared" si="18"/>
        <v>120473825.22139926</v>
      </c>
      <c r="D188" s="319">
        <f t="shared" si="18"/>
        <v>124824731</v>
      </c>
      <c r="E188" s="299">
        <v>7.5869999999999997</v>
      </c>
      <c r="F188" s="323" t="s">
        <v>374</v>
      </c>
      <c r="G188" s="2">
        <f t="shared" si="19"/>
        <v>9140349</v>
      </c>
      <c r="H188" s="2">
        <f t="shared" si="19"/>
        <v>9470452</v>
      </c>
      <c r="I188" s="299">
        <f>$I$159</f>
        <v>8.0890000000000004</v>
      </c>
      <c r="J188" s="323" t="s">
        <v>374</v>
      </c>
      <c r="K188" s="2">
        <f>K216+K244</f>
        <v>10097072</v>
      </c>
      <c r="AE188" s="84"/>
    </row>
    <row r="189" spans="1:31">
      <c r="A189" s="1" t="s">
        <v>398</v>
      </c>
      <c r="B189" s="1"/>
      <c r="C189" s="319">
        <f t="shared" si="18"/>
        <v>272066960.57318687</v>
      </c>
      <c r="D189" s="319">
        <f t="shared" si="18"/>
        <v>281913580</v>
      </c>
      <c r="E189" s="299">
        <v>5.2370000000000001</v>
      </c>
      <c r="F189" s="323" t="s">
        <v>374</v>
      </c>
      <c r="G189" s="2">
        <f t="shared" si="19"/>
        <v>14248147</v>
      </c>
      <c r="H189" s="2">
        <f t="shared" si="19"/>
        <v>14763814</v>
      </c>
      <c r="I189" s="299">
        <f>$I$160</f>
        <v>5.5839999999999996</v>
      </c>
      <c r="J189" s="323" t="s">
        <v>374</v>
      </c>
      <c r="K189" s="2">
        <f>K217+K245</f>
        <v>15742054</v>
      </c>
      <c r="AE189" s="84"/>
    </row>
    <row r="190" spans="1:31">
      <c r="A190" s="1" t="s">
        <v>399</v>
      </c>
      <c r="B190" s="1"/>
      <c r="C190" s="319">
        <f t="shared" si="18"/>
        <v>116874017.20541383</v>
      </c>
      <c r="D190" s="319">
        <f t="shared" si="18"/>
        <v>121112284</v>
      </c>
      <c r="E190" s="299">
        <v>4.5129999999999999</v>
      </c>
      <c r="F190" s="323" t="s">
        <v>374</v>
      </c>
      <c r="G190" s="2">
        <f t="shared" si="19"/>
        <v>5274524</v>
      </c>
      <c r="H190" s="2">
        <f t="shared" si="19"/>
        <v>5465798</v>
      </c>
      <c r="I190" s="299">
        <f>$I$161</f>
        <v>4.8100000000000005</v>
      </c>
      <c r="J190" s="323" t="s">
        <v>374</v>
      </c>
      <c r="K190" s="2">
        <f>K218+K246</f>
        <v>5825501</v>
      </c>
      <c r="AE190" s="84"/>
    </row>
    <row r="191" spans="1:31">
      <c r="A191" s="1" t="s">
        <v>400</v>
      </c>
      <c r="B191" s="1"/>
      <c r="C191" s="319">
        <f t="shared" si="18"/>
        <v>88035</v>
      </c>
      <c r="D191" s="319">
        <f t="shared" si="18"/>
        <v>91301</v>
      </c>
      <c r="E191" s="330">
        <v>45</v>
      </c>
      <c r="F191" s="321" t="s">
        <v>374</v>
      </c>
      <c r="G191" s="2">
        <f t="shared" si="19"/>
        <v>39616</v>
      </c>
      <c r="H191" s="2">
        <f t="shared" si="19"/>
        <v>41086</v>
      </c>
      <c r="I191" s="330">
        <f>$I$162</f>
        <v>45</v>
      </c>
      <c r="J191" s="323" t="s">
        <v>374</v>
      </c>
      <c r="K191" s="2">
        <f>K219+K247</f>
        <v>41086</v>
      </c>
      <c r="AE191" s="84"/>
    </row>
    <row r="192" spans="1:31">
      <c r="A192" s="331" t="s">
        <v>401</v>
      </c>
      <c r="B192" s="1"/>
      <c r="C192" s="319"/>
      <c r="D192" s="319"/>
      <c r="E192" s="332">
        <v>-0.01</v>
      </c>
      <c r="F192" s="321"/>
      <c r="G192" s="2"/>
      <c r="H192" s="2"/>
      <c r="I192" s="332">
        <f>$I$163</f>
        <v>-0.01</v>
      </c>
      <c r="J192" s="323"/>
      <c r="K192" s="2"/>
      <c r="AE192" s="84"/>
    </row>
    <row r="193" spans="1:31">
      <c r="A193" s="1" t="s">
        <v>390</v>
      </c>
      <c r="B193" s="1"/>
      <c r="C193" s="319">
        <f t="shared" ref="C193:D204" si="20">C221+C249</f>
        <v>48</v>
      </c>
      <c r="D193" s="319">
        <f t="shared" si="20"/>
        <v>49</v>
      </c>
      <c r="E193" s="334">
        <f>E183</f>
        <v>7</v>
      </c>
      <c r="F193" s="321"/>
      <c r="G193" s="2">
        <f t="shared" ref="G193:H204" si="21">G221+G249</f>
        <v>-3</v>
      </c>
      <c r="H193" s="2">
        <f t="shared" si="21"/>
        <v>-3</v>
      </c>
      <c r="I193" s="334">
        <f>I183</f>
        <v>7.53</v>
      </c>
      <c r="J193" s="321"/>
      <c r="K193" s="2">
        <f t="shared" ref="K193:K204" si="22">K221+K249</f>
        <v>-4</v>
      </c>
      <c r="AE193" s="84"/>
    </row>
    <row r="194" spans="1:31">
      <c r="A194" s="1" t="s">
        <v>391</v>
      </c>
      <c r="B194" s="1"/>
      <c r="C194" s="319">
        <f t="shared" si="20"/>
        <v>88</v>
      </c>
      <c r="D194" s="319">
        <f t="shared" si="20"/>
        <v>89</v>
      </c>
      <c r="E194" s="334">
        <f>E184</f>
        <v>10.4</v>
      </c>
      <c r="F194" s="321"/>
      <c r="G194" s="2">
        <f t="shared" si="21"/>
        <v>-9</v>
      </c>
      <c r="H194" s="2">
        <f t="shared" si="21"/>
        <v>-9</v>
      </c>
      <c r="I194" s="334">
        <f>I184</f>
        <v>11.18</v>
      </c>
      <c r="J194" s="321"/>
      <c r="K194" s="2">
        <f t="shared" si="22"/>
        <v>-10</v>
      </c>
      <c r="AE194" s="84"/>
    </row>
    <row r="195" spans="1:31">
      <c r="A195" s="1" t="s">
        <v>402</v>
      </c>
      <c r="B195" s="1"/>
      <c r="C195" s="319">
        <f t="shared" si="20"/>
        <v>1730</v>
      </c>
      <c r="D195" s="319">
        <f t="shared" si="20"/>
        <v>1792</v>
      </c>
      <c r="E195" s="334">
        <f>E185</f>
        <v>0.69</v>
      </c>
      <c r="F195" s="321"/>
      <c r="G195" s="2">
        <f t="shared" si="21"/>
        <v>-12</v>
      </c>
      <c r="H195" s="2">
        <f t="shared" si="21"/>
        <v>-12</v>
      </c>
      <c r="I195" s="334">
        <f>I185</f>
        <v>0.78</v>
      </c>
      <c r="J195" s="321"/>
      <c r="K195" s="2">
        <f t="shared" si="22"/>
        <v>-14</v>
      </c>
      <c r="AE195" s="84"/>
    </row>
    <row r="196" spans="1:31">
      <c r="A196" s="1" t="s">
        <v>403</v>
      </c>
      <c r="B196" s="1"/>
      <c r="C196" s="319">
        <f t="shared" si="20"/>
        <v>696</v>
      </c>
      <c r="D196" s="319">
        <f t="shared" si="20"/>
        <v>721</v>
      </c>
      <c r="E196" s="334">
        <f>E187</f>
        <v>2.81</v>
      </c>
      <c r="F196" s="323"/>
      <c r="G196" s="2">
        <f t="shared" si="21"/>
        <v>-20</v>
      </c>
      <c r="H196" s="2">
        <f t="shared" si="21"/>
        <v>-20</v>
      </c>
      <c r="I196" s="334">
        <f>I187</f>
        <v>2.88</v>
      </c>
      <c r="J196" s="323"/>
      <c r="K196" s="2">
        <f t="shared" si="22"/>
        <v>-21</v>
      </c>
      <c r="AE196" s="84"/>
    </row>
    <row r="197" spans="1:31">
      <c r="A197" s="1" t="s">
        <v>405</v>
      </c>
      <c r="B197" s="1"/>
      <c r="C197" s="319">
        <f t="shared" si="20"/>
        <v>80560</v>
      </c>
      <c r="D197" s="319">
        <f t="shared" si="20"/>
        <v>83451</v>
      </c>
      <c r="E197" s="335">
        <f>E188</f>
        <v>7.5869999999999997</v>
      </c>
      <c r="F197" s="323" t="s">
        <v>374</v>
      </c>
      <c r="G197" s="2">
        <f t="shared" si="21"/>
        <v>-61</v>
      </c>
      <c r="H197" s="2">
        <f t="shared" si="21"/>
        <v>-63</v>
      </c>
      <c r="I197" s="335">
        <f>I188</f>
        <v>8.0890000000000004</v>
      </c>
      <c r="J197" s="323" t="s">
        <v>374</v>
      </c>
      <c r="K197" s="2">
        <f t="shared" si="22"/>
        <v>-68</v>
      </c>
      <c r="AE197" s="84"/>
    </row>
    <row r="198" spans="1:31">
      <c r="A198" s="1" t="s">
        <v>398</v>
      </c>
      <c r="B198" s="1"/>
      <c r="C198" s="319">
        <f t="shared" si="20"/>
        <v>247430</v>
      </c>
      <c r="D198" s="319">
        <f t="shared" si="20"/>
        <v>256310</v>
      </c>
      <c r="E198" s="335">
        <f>E189</f>
        <v>5.2370000000000001</v>
      </c>
      <c r="F198" s="323" t="s">
        <v>374</v>
      </c>
      <c r="G198" s="2">
        <f t="shared" si="21"/>
        <v>-130</v>
      </c>
      <c r="H198" s="2">
        <f t="shared" si="21"/>
        <v>-134</v>
      </c>
      <c r="I198" s="335">
        <f>I189</f>
        <v>5.5839999999999996</v>
      </c>
      <c r="J198" s="323" t="s">
        <v>374</v>
      </c>
      <c r="K198" s="2">
        <f t="shared" si="22"/>
        <v>-143</v>
      </c>
      <c r="AE198" s="84"/>
    </row>
    <row r="199" spans="1:31">
      <c r="A199" s="1" t="s">
        <v>399</v>
      </c>
      <c r="B199" s="1"/>
      <c r="C199" s="319">
        <f t="shared" si="20"/>
        <v>46700</v>
      </c>
      <c r="D199" s="319">
        <f t="shared" si="20"/>
        <v>48376</v>
      </c>
      <c r="E199" s="335">
        <f>E190</f>
        <v>4.5129999999999999</v>
      </c>
      <c r="F199" s="323" t="s">
        <v>374</v>
      </c>
      <c r="G199" s="2">
        <f t="shared" si="21"/>
        <v>-21</v>
      </c>
      <c r="H199" s="2">
        <f t="shared" si="21"/>
        <v>-22</v>
      </c>
      <c r="I199" s="335">
        <f>I190</f>
        <v>4.8100000000000005</v>
      </c>
      <c r="J199" s="323" t="s">
        <v>374</v>
      </c>
      <c r="K199" s="2">
        <f t="shared" si="22"/>
        <v>-23</v>
      </c>
      <c r="AE199" s="84"/>
    </row>
    <row r="200" spans="1:31">
      <c r="A200" s="1" t="s">
        <v>400</v>
      </c>
      <c r="B200" s="1"/>
      <c r="C200" s="319">
        <f t="shared" si="20"/>
        <v>2329</v>
      </c>
      <c r="D200" s="319">
        <f t="shared" si="20"/>
        <v>2413</v>
      </c>
      <c r="E200" s="336">
        <f>E191</f>
        <v>45</v>
      </c>
      <c r="F200" s="323" t="s">
        <v>374</v>
      </c>
      <c r="G200" s="2">
        <f t="shared" si="21"/>
        <v>-10</v>
      </c>
      <c r="H200" s="2">
        <f t="shared" si="21"/>
        <v>-11</v>
      </c>
      <c r="I200" s="336">
        <f>I191</f>
        <v>45</v>
      </c>
      <c r="J200" s="323" t="s">
        <v>374</v>
      </c>
      <c r="K200" s="2">
        <f t="shared" si="22"/>
        <v>-11</v>
      </c>
      <c r="AE200" s="84"/>
    </row>
    <row r="201" spans="1:31">
      <c r="A201" s="1" t="s">
        <v>407</v>
      </c>
      <c r="B201" s="1"/>
      <c r="C201" s="319">
        <f t="shared" si="20"/>
        <v>103</v>
      </c>
      <c r="D201" s="319">
        <f t="shared" si="20"/>
        <v>107</v>
      </c>
      <c r="E201" s="337">
        <v>60</v>
      </c>
      <c r="F201" s="321"/>
      <c r="G201" s="2">
        <f t="shared" si="21"/>
        <v>6180</v>
      </c>
      <c r="H201" s="2">
        <f t="shared" si="21"/>
        <v>6420</v>
      </c>
      <c r="I201" s="337">
        <f>$I$172</f>
        <v>60</v>
      </c>
      <c r="J201" s="323"/>
      <c r="K201" s="2">
        <f t="shared" si="22"/>
        <v>6420</v>
      </c>
      <c r="AE201" s="84"/>
    </row>
    <row r="202" spans="1:31">
      <c r="A202" s="1" t="s">
        <v>408</v>
      </c>
      <c r="B202" s="1"/>
      <c r="C202" s="319">
        <f t="shared" si="20"/>
        <v>2204</v>
      </c>
      <c r="D202" s="319">
        <f t="shared" si="20"/>
        <v>2283</v>
      </c>
      <c r="E202" s="339">
        <v>-30</v>
      </c>
      <c r="F202" s="321" t="s">
        <v>374</v>
      </c>
      <c r="G202" s="2">
        <f t="shared" si="21"/>
        <v>-661</v>
      </c>
      <c r="H202" s="2">
        <f t="shared" si="21"/>
        <v>-685</v>
      </c>
      <c r="I202" s="339">
        <f>$I$173</f>
        <v>-30</v>
      </c>
      <c r="J202" s="323" t="s">
        <v>374</v>
      </c>
      <c r="K202" s="2">
        <f t="shared" si="22"/>
        <v>-685</v>
      </c>
      <c r="AE202" s="84"/>
    </row>
    <row r="203" spans="1:31">
      <c r="A203" s="1" t="s">
        <v>381</v>
      </c>
      <c r="B203" s="264"/>
      <c r="C203" s="319">
        <f t="shared" si="20"/>
        <v>509414803</v>
      </c>
      <c r="D203" s="319">
        <f t="shared" si="20"/>
        <v>527850595.24192303</v>
      </c>
      <c r="E203" s="330"/>
      <c r="F203" s="2"/>
      <c r="G203" s="2">
        <f t="shared" si="21"/>
        <v>33288601</v>
      </c>
      <c r="H203" s="2">
        <f t="shared" si="21"/>
        <v>34452413</v>
      </c>
      <c r="I203" s="330"/>
      <c r="J203" s="323"/>
      <c r="K203" s="2">
        <f t="shared" si="22"/>
        <v>36706129</v>
      </c>
      <c r="AE203" s="84"/>
    </row>
    <row r="204" spans="1:31">
      <c r="A204" s="1" t="s">
        <v>363</v>
      </c>
      <c r="B204" s="347"/>
      <c r="C204" s="340">
        <f t="shared" si="20"/>
        <v>1731204.4322117302</v>
      </c>
      <c r="D204" s="340">
        <f t="shared" si="20"/>
        <v>0</v>
      </c>
      <c r="E204" s="309"/>
      <c r="F204" s="309"/>
      <c r="G204" s="341">
        <f t="shared" si="21"/>
        <v>97782.266337401146</v>
      </c>
      <c r="H204" s="341">
        <f t="shared" si="21"/>
        <v>0</v>
      </c>
      <c r="I204" s="309"/>
      <c r="J204" s="309"/>
      <c r="K204" s="341">
        <f t="shared" si="22"/>
        <v>0</v>
      </c>
      <c r="M204" s="289"/>
      <c r="N204" s="289"/>
      <c r="O204" s="290"/>
      <c r="AE204" s="84"/>
    </row>
    <row r="205" spans="1:31" ht="16.5" thickBot="1">
      <c r="A205" s="1" t="s">
        <v>382</v>
      </c>
      <c r="B205" s="1"/>
      <c r="C205" s="311">
        <f>SUM(C203:C204)</f>
        <v>511146007.43221176</v>
      </c>
      <c r="D205" s="311">
        <f>SUM(D203:D204)</f>
        <v>527850595.24192303</v>
      </c>
      <c r="E205" s="342"/>
      <c r="F205" s="343"/>
      <c r="G205" s="344">
        <f>G203+G204</f>
        <v>33386383.266337402</v>
      </c>
      <c r="H205" s="344">
        <f>H203+H204</f>
        <v>34452413</v>
      </c>
      <c r="I205" s="342"/>
      <c r="J205" s="345"/>
      <c r="K205" s="344">
        <f>K203+K204</f>
        <v>36706129</v>
      </c>
      <c r="M205" s="291"/>
      <c r="N205" s="291"/>
      <c r="O205" s="292"/>
      <c r="AE205" s="84"/>
    </row>
    <row r="206" spans="1:31" ht="16.5" thickTop="1">
      <c r="A206" s="1"/>
      <c r="B206" s="1"/>
      <c r="C206" s="21"/>
      <c r="D206" s="21"/>
      <c r="E206" s="337"/>
      <c r="F206" s="2"/>
      <c r="G206" s="2"/>
      <c r="H206" s="2"/>
      <c r="I206" s="337"/>
      <c r="J206" s="1"/>
      <c r="K206" s="2" t="s">
        <v>31</v>
      </c>
      <c r="AE206" s="84"/>
    </row>
    <row r="207" spans="1:31">
      <c r="A207" s="293" t="s">
        <v>387</v>
      </c>
      <c r="B207" s="1"/>
      <c r="C207" s="1"/>
      <c r="D207" s="1"/>
      <c r="E207" s="2"/>
      <c r="F207" s="2"/>
      <c r="G207" s="1" t="s">
        <v>31</v>
      </c>
      <c r="H207" s="1"/>
      <c r="I207" s="2"/>
      <c r="J207" s="1"/>
      <c r="K207" s="1"/>
      <c r="AE207" s="84"/>
    </row>
    <row r="208" spans="1:31">
      <c r="A208" s="1" t="s">
        <v>411</v>
      </c>
      <c r="B208" s="1"/>
      <c r="C208" s="1"/>
      <c r="D208" s="21"/>
      <c r="E208" s="2"/>
      <c r="F208" s="2"/>
      <c r="G208" s="1"/>
      <c r="H208" s="1"/>
      <c r="I208" s="2"/>
      <c r="J208" s="1"/>
      <c r="K208" s="1"/>
      <c r="AE208" s="84"/>
    </row>
    <row r="209" spans="1:31">
      <c r="A209" s="348" t="s">
        <v>412</v>
      </c>
      <c r="B209" s="1"/>
      <c r="C209" s="21"/>
      <c r="D209" s="21"/>
      <c r="E209" s="2"/>
      <c r="F209" s="2"/>
      <c r="G209" s="1"/>
      <c r="H209" s="1"/>
      <c r="I209" s="2"/>
      <c r="J209" s="1"/>
      <c r="K209" s="1"/>
      <c r="AE209" s="84"/>
    </row>
    <row r="210" spans="1:31">
      <c r="A210" s="1" t="s">
        <v>393</v>
      </c>
      <c r="B210" s="1"/>
      <c r="C210" s="319"/>
      <c r="D210" s="319"/>
      <c r="E210" s="2"/>
      <c r="F210" s="2"/>
      <c r="G210" s="1"/>
      <c r="H210" s="1"/>
      <c r="I210" s="2"/>
      <c r="J210" s="1"/>
      <c r="K210" s="1"/>
      <c r="AE210" s="84"/>
    </row>
    <row r="211" spans="1:31">
      <c r="A211" s="1" t="s">
        <v>390</v>
      </c>
      <c r="B211" s="1"/>
      <c r="C211" s="319">
        <f>31554+48+111709+1+8+12</f>
        <v>143332</v>
      </c>
      <c r="D211" s="319">
        <v>145099</v>
      </c>
      <c r="E211" s="298">
        <v>7</v>
      </c>
      <c r="F211" s="321"/>
      <c r="G211" s="2">
        <f>ROUND(E211*$C211,0)</f>
        <v>1003324</v>
      </c>
      <c r="H211" s="2">
        <f>ROUND(E211*$D211,0)</f>
        <v>1015693</v>
      </c>
      <c r="I211" s="298">
        <f>$I$153</f>
        <v>7.53</v>
      </c>
      <c r="J211" s="323"/>
      <c r="K211" s="2">
        <f>ROUND(I211*$D211,0)</f>
        <v>1092595</v>
      </c>
      <c r="AE211" s="84"/>
    </row>
    <row r="212" spans="1:31">
      <c r="A212" s="1" t="s">
        <v>391</v>
      </c>
      <c r="B212" s="1"/>
      <c r="C212" s="319">
        <f>12+7315+28+33+55+48042</f>
        <v>55485</v>
      </c>
      <c r="D212" s="319">
        <v>56165</v>
      </c>
      <c r="E212" s="298">
        <v>10.4</v>
      </c>
      <c r="F212" s="324"/>
      <c r="G212" s="2">
        <f>ROUND(E212*$C212,0)</f>
        <v>577044</v>
      </c>
      <c r="H212" s="2">
        <f>ROUND(E212*$D212,0)</f>
        <v>584116</v>
      </c>
      <c r="I212" s="298">
        <f>$I$154</f>
        <v>11.18</v>
      </c>
      <c r="J212" s="325"/>
      <c r="K212" s="2">
        <f>ROUND(I212*$D212,0)</f>
        <v>627925</v>
      </c>
      <c r="AE212" s="84"/>
    </row>
    <row r="213" spans="1:31">
      <c r="A213" s="1" t="s">
        <v>392</v>
      </c>
      <c r="B213" s="1"/>
      <c r="C213" s="319">
        <f>19153+70113+126+247835+559+301+676+759372</f>
        <v>1098135</v>
      </c>
      <c r="D213" s="319">
        <f>ROUND(($D$231/'Blocking - detail'!$C$231)*C213,0)</f>
        <v>1137546</v>
      </c>
      <c r="E213" s="298">
        <v>0.69</v>
      </c>
      <c r="F213" s="324"/>
      <c r="G213" s="2">
        <f>ROUND(E213*$C213,0)</f>
        <v>757713</v>
      </c>
      <c r="H213" s="2">
        <f>ROUND(E213*$D213,0)</f>
        <v>784907</v>
      </c>
      <c r="I213" s="298">
        <f>$I$155</f>
        <v>0.78</v>
      </c>
      <c r="J213" s="325"/>
      <c r="K213" s="2">
        <f>ROUND(I213*$D213,0)</f>
        <v>887286</v>
      </c>
      <c r="AE213" s="84"/>
    </row>
    <row r="214" spans="1:31">
      <c r="A214" s="1" t="s">
        <v>394</v>
      </c>
      <c r="B214" s="1"/>
      <c r="C214" s="319">
        <f>SUM(C211:C212)</f>
        <v>198817</v>
      </c>
      <c r="D214" s="319">
        <f>SUM(D211:D212)</f>
        <v>201264</v>
      </c>
      <c r="E214" s="298"/>
      <c r="F214" s="321"/>
      <c r="G214" s="2"/>
      <c r="H214" s="2"/>
      <c r="I214" s="298"/>
      <c r="J214" s="323"/>
      <c r="K214" s="2"/>
      <c r="AE214" s="84"/>
    </row>
    <row r="215" spans="1:31">
      <c r="A215" s="1" t="s">
        <v>395</v>
      </c>
      <c r="B215" s="1"/>
      <c r="C215" s="319">
        <f>11734+41601+80+143199+253+241+375+518943</f>
        <v>716426</v>
      </c>
      <c r="D215" s="319">
        <f>ROUND(($D$231/'Blocking - detail'!$C$231)*C215,0)</f>
        <v>742138</v>
      </c>
      <c r="E215" s="326">
        <v>2.81</v>
      </c>
      <c r="F215" s="323"/>
      <c r="G215" s="2">
        <f>ROUND(E215*$C215,0)</f>
        <v>2013157</v>
      </c>
      <c r="H215" s="2">
        <f>ROUND(E215*$D215,0)</f>
        <v>2085408</v>
      </c>
      <c r="I215" s="326">
        <f>$I$158</f>
        <v>2.88</v>
      </c>
      <c r="J215" s="323"/>
      <c r="K215" s="2">
        <f>ROUND(I215*$D215,0)</f>
        <v>2137357</v>
      </c>
      <c r="AE215" s="84"/>
    </row>
    <row r="216" spans="1:31">
      <c r="A216" s="1" t="s">
        <v>397</v>
      </c>
      <c r="B216" s="319"/>
      <c r="C216" s="319">
        <v>116624011.22139926</v>
      </c>
      <c r="D216" s="319">
        <f>ROUND(($D$231/$C$231)*C216,0)</f>
        <v>120809544</v>
      </c>
      <c r="E216" s="299">
        <v>7.5869999999999997</v>
      </c>
      <c r="F216" s="323" t="s">
        <v>374</v>
      </c>
      <c r="G216" s="2">
        <f>ROUND(E216*$C216/100,0)</f>
        <v>8848264</v>
      </c>
      <c r="H216" s="2">
        <f>ROUND(E216*$D216/100,0)</f>
        <v>9165820</v>
      </c>
      <c r="I216" s="299">
        <f>$I$159</f>
        <v>8.0890000000000004</v>
      </c>
      <c r="J216" s="323" t="s">
        <v>374</v>
      </c>
      <c r="K216" s="2">
        <f>ROUND(I216*$D216/100,0)</f>
        <v>9772284</v>
      </c>
      <c r="M216" s="105"/>
      <c r="N216" s="105"/>
      <c r="AE216" s="84"/>
    </row>
    <row r="217" spans="1:31">
      <c r="A217" s="1" t="s">
        <v>398</v>
      </c>
      <c r="B217" s="319"/>
      <c r="C217" s="319">
        <v>260410667.5731869</v>
      </c>
      <c r="D217" s="319">
        <f>ROUND(($D$231/'Blocking - detail'!$C$231)*C217,0)</f>
        <v>269756577</v>
      </c>
      <c r="E217" s="299">
        <v>5.2370000000000001</v>
      </c>
      <c r="F217" s="323" t="s">
        <v>374</v>
      </c>
      <c r="G217" s="2">
        <f>ROUND(E217*$C217/100,0)</f>
        <v>13637707</v>
      </c>
      <c r="H217" s="2">
        <f>ROUND(E217*$D217/100,0)</f>
        <v>14127152</v>
      </c>
      <c r="I217" s="299">
        <f>$I$160</f>
        <v>5.5839999999999996</v>
      </c>
      <c r="J217" s="323" t="s">
        <v>374</v>
      </c>
      <c r="K217" s="2">
        <f>ROUND(I217*$D217/100,0)</f>
        <v>15063207</v>
      </c>
      <c r="M217" s="105"/>
      <c r="N217" s="105"/>
      <c r="AE217" s="84"/>
    </row>
    <row r="218" spans="1:31">
      <c r="A218" s="1" t="s">
        <v>399</v>
      </c>
      <c r="B218" s="319"/>
      <c r="C218" s="319">
        <v>110681660.20541383</v>
      </c>
      <c r="D218" s="319">
        <f>ROUND(($D$231/'Blocking - detail'!$C$231)*C218,0)</f>
        <v>114653927</v>
      </c>
      <c r="E218" s="299">
        <v>4.5129999999999999</v>
      </c>
      <c r="F218" s="323" t="s">
        <v>374</v>
      </c>
      <c r="G218" s="2">
        <f>ROUND(E218*$C218/100,0)</f>
        <v>4995063</v>
      </c>
      <c r="H218" s="2">
        <f>ROUND(E218*$D218/100,0)</f>
        <v>5174332</v>
      </c>
      <c r="I218" s="299">
        <f>$I$161</f>
        <v>4.8100000000000005</v>
      </c>
      <c r="J218" s="323" t="s">
        <v>374</v>
      </c>
      <c r="K218" s="2">
        <f>ROUND(I218*$D218/100,0)</f>
        <v>5514854</v>
      </c>
      <c r="M218" s="105"/>
      <c r="N218" s="105"/>
      <c r="AE218" s="84"/>
    </row>
    <row r="219" spans="1:31">
      <c r="A219" s="1" t="s">
        <v>400</v>
      </c>
      <c r="B219" s="21"/>
      <c r="C219" s="319">
        <f>1+8573+480+2+1+2328+61584</f>
        <v>72969</v>
      </c>
      <c r="D219" s="319">
        <f>ROUND(($D$231/'Blocking - detail'!$C$231)*C219,0)</f>
        <v>75588</v>
      </c>
      <c r="E219" s="330">
        <v>45</v>
      </c>
      <c r="F219" s="321" t="s">
        <v>374</v>
      </c>
      <c r="G219" s="2">
        <f>ROUND(E219*$C219/100,0)</f>
        <v>32836</v>
      </c>
      <c r="H219" s="2">
        <f>ROUND(E219*$D219/100,0)</f>
        <v>34015</v>
      </c>
      <c r="I219" s="330">
        <f>$I$162</f>
        <v>45</v>
      </c>
      <c r="J219" s="323" t="s">
        <v>374</v>
      </c>
      <c r="K219" s="2">
        <f>ROUND(I219*$D219/100,0)</f>
        <v>34015</v>
      </c>
      <c r="AE219" s="84"/>
    </row>
    <row r="220" spans="1:31">
      <c r="A220" s="331" t="s">
        <v>401</v>
      </c>
      <c r="B220" s="21"/>
      <c r="C220" s="319"/>
      <c r="D220" s="319"/>
      <c r="E220" s="332">
        <v>-0.01</v>
      </c>
      <c r="F220" s="321"/>
      <c r="G220" s="2"/>
      <c r="H220" s="2"/>
      <c r="I220" s="332">
        <f>$I$163</f>
        <v>-0.01</v>
      </c>
      <c r="J220" s="323"/>
      <c r="K220" s="2"/>
      <c r="AE220" s="84"/>
    </row>
    <row r="221" spans="1:31">
      <c r="A221" s="1" t="s">
        <v>390</v>
      </c>
      <c r="B221" s="1"/>
      <c r="C221" s="319">
        <f>48</f>
        <v>48</v>
      </c>
      <c r="D221" s="319">
        <v>49</v>
      </c>
      <c r="E221" s="334">
        <f>E211</f>
        <v>7</v>
      </c>
      <c r="F221" s="321"/>
      <c r="G221" s="2">
        <f>-ROUND(E221*$C221/100,0)</f>
        <v>-3</v>
      </c>
      <c r="H221" s="2">
        <f>-ROUND(E221*$D221/100,0)</f>
        <v>-3</v>
      </c>
      <c r="I221" s="334">
        <f>I211</f>
        <v>7.53</v>
      </c>
      <c r="J221" s="321"/>
      <c r="K221" s="2">
        <f>-ROUND(I221*$D221/100,0)</f>
        <v>-4</v>
      </c>
      <c r="AE221" s="84"/>
    </row>
    <row r="222" spans="1:31">
      <c r="A222" s="1" t="s">
        <v>391</v>
      </c>
      <c r="B222" s="1"/>
      <c r="C222" s="319">
        <f>33+55</f>
        <v>88</v>
      </c>
      <c r="D222" s="319">
        <v>89</v>
      </c>
      <c r="E222" s="334">
        <f>E212</f>
        <v>10.4</v>
      </c>
      <c r="F222" s="321"/>
      <c r="G222" s="2">
        <f>-ROUND(E222*$C222/100,0)</f>
        <v>-9</v>
      </c>
      <c r="H222" s="2">
        <f>-ROUND(E222*$D222/100,0)</f>
        <v>-9</v>
      </c>
      <c r="I222" s="334">
        <f>I212</f>
        <v>11.18</v>
      </c>
      <c r="J222" s="321"/>
      <c r="K222" s="2">
        <f>-ROUND(I222*$D222/100,0)</f>
        <v>-10</v>
      </c>
      <c r="AE222" s="84"/>
    </row>
    <row r="223" spans="1:31">
      <c r="A223" s="1" t="s">
        <v>402</v>
      </c>
      <c r="B223" s="1"/>
      <c r="C223" s="319">
        <f>465+347+918</f>
        <v>1730</v>
      </c>
      <c r="D223" s="319">
        <f>ROUND(($D$231/'Blocking - detail'!$C$231)*C223,0)</f>
        <v>1792</v>
      </c>
      <c r="E223" s="334">
        <f>E213</f>
        <v>0.69</v>
      </c>
      <c r="F223" s="321"/>
      <c r="G223" s="2">
        <f>-ROUND(E223*$C223/100,0)</f>
        <v>-12</v>
      </c>
      <c r="H223" s="2">
        <f>-ROUND(E223*$D223/100,0)</f>
        <v>-12</v>
      </c>
      <c r="I223" s="334">
        <f>I213</f>
        <v>0.78</v>
      </c>
      <c r="J223" s="321"/>
      <c r="K223" s="2">
        <f>-ROUND(I223*$D223/100,0)</f>
        <v>-14</v>
      </c>
      <c r="AE223" s="84"/>
    </row>
    <row r="224" spans="1:31">
      <c r="A224" s="1" t="s">
        <v>413</v>
      </c>
      <c r="B224" s="1"/>
      <c r="C224" s="319">
        <f>80+241+375</f>
        <v>696</v>
      </c>
      <c r="D224" s="319">
        <f>ROUND(($D$231/'Blocking - detail'!$C$231)*C224,0)</f>
        <v>721</v>
      </c>
      <c r="E224" s="334">
        <f>E215</f>
        <v>2.81</v>
      </c>
      <c r="F224" s="323"/>
      <c r="G224" s="2">
        <f>-ROUND(E224*$C224/100,0)</f>
        <v>-20</v>
      </c>
      <c r="H224" s="2">
        <f>-ROUND(E224*$D224/100,0)</f>
        <v>-20</v>
      </c>
      <c r="I224" s="334">
        <f>I215</f>
        <v>2.88</v>
      </c>
      <c r="J224" s="323"/>
      <c r="K224" s="2">
        <f>-ROUND(I224*$D224/100,0)</f>
        <v>-21</v>
      </c>
      <c r="AE224" s="84"/>
    </row>
    <row r="225" spans="1:31">
      <c r="A225" s="1" t="s">
        <v>405</v>
      </c>
      <c r="B225" s="1"/>
      <c r="C225" s="319">
        <f>48100+13460+19000</f>
        <v>80560</v>
      </c>
      <c r="D225" s="319">
        <f>ROUND(($D$231/'Blocking - detail'!$C$231)*C225,0)</f>
        <v>83451</v>
      </c>
      <c r="E225" s="335">
        <f>E216</f>
        <v>7.5869999999999997</v>
      </c>
      <c r="F225" s="323" t="s">
        <v>374</v>
      </c>
      <c r="G225" s="2">
        <f>ROUND(E225*$C225/100*E220,0)</f>
        <v>-61</v>
      </c>
      <c r="H225" s="2">
        <f>ROUND(E225*$D225/100*E220,0)</f>
        <v>-63</v>
      </c>
      <c r="I225" s="335">
        <f>I216</f>
        <v>8.0890000000000004</v>
      </c>
      <c r="J225" s="323" t="s">
        <v>374</v>
      </c>
      <c r="K225" s="2">
        <f>ROUND(I225*$D225/100*I220,0)</f>
        <v>-68</v>
      </c>
      <c r="AE225" s="84"/>
    </row>
    <row r="226" spans="1:31">
      <c r="A226" s="1" t="s">
        <v>398</v>
      </c>
      <c r="B226" s="1"/>
      <c r="C226" s="319">
        <f>90010+71720+85700</f>
        <v>247430</v>
      </c>
      <c r="D226" s="319">
        <f>ROUND(($D$231/'Blocking - detail'!$C$231)*C226,0)</f>
        <v>256310</v>
      </c>
      <c r="E226" s="335">
        <f>E217</f>
        <v>5.2370000000000001</v>
      </c>
      <c r="F226" s="323" t="s">
        <v>374</v>
      </c>
      <c r="G226" s="2">
        <f>ROUND(E226*$C226/100*E220,0)</f>
        <v>-130</v>
      </c>
      <c r="H226" s="2">
        <f>ROUND(E226*$D226/100*E220,0)</f>
        <v>-134</v>
      </c>
      <c r="I226" s="335">
        <f>I217</f>
        <v>5.5839999999999996</v>
      </c>
      <c r="J226" s="323" t="s">
        <v>374</v>
      </c>
      <c r="K226" s="2">
        <f>ROUND(I226*$D226/100*I220,0)</f>
        <v>-143</v>
      </c>
      <c r="N226" s="3" t="s">
        <v>31</v>
      </c>
      <c r="AE226" s="84"/>
    </row>
    <row r="227" spans="1:31">
      <c r="A227" s="1" t="s">
        <v>399</v>
      </c>
      <c r="B227" s="1"/>
      <c r="C227" s="319">
        <f>138110+124140+112440-C225-C226</f>
        <v>46700</v>
      </c>
      <c r="D227" s="319">
        <f>ROUND(($D$231/'Blocking - detail'!$C$231)*C227,0)</f>
        <v>48376</v>
      </c>
      <c r="E227" s="335">
        <f>E218</f>
        <v>4.5129999999999999</v>
      </c>
      <c r="F227" s="323" t="s">
        <v>374</v>
      </c>
      <c r="G227" s="2">
        <f>ROUND(E227*$C227/100*E220,0)</f>
        <v>-21</v>
      </c>
      <c r="H227" s="2">
        <f>ROUND(E227*$D227/100*E220,0)</f>
        <v>-22</v>
      </c>
      <c r="I227" s="335">
        <f>I218</f>
        <v>4.8100000000000005</v>
      </c>
      <c r="J227" s="323" t="s">
        <v>374</v>
      </c>
      <c r="K227" s="2">
        <f>ROUND(I227*$D227/100*I220,0)</f>
        <v>-23</v>
      </c>
      <c r="AE227" s="84"/>
    </row>
    <row r="228" spans="1:31">
      <c r="A228" s="1" t="s">
        <v>400</v>
      </c>
      <c r="B228" s="1"/>
      <c r="C228" s="319">
        <f>1+2328</f>
        <v>2329</v>
      </c>
      <c r="D228" s="319">
        <f>ROUND(($D$231/'Blocking - detail'!$C$231)*C228,0)</f>
        <v>2413</v>
      </c>
      <c r="E228" s="336">
        <f>E219</f>
        <v>45</v>
      </c>
      <c r="F228" s="323" t="s">
        <v>374</v>
      </c>
      <c r="G228" s="2">
        <f>ROUND(E228*$C228/100*E220,0)</f>
        <v>-10</v>
      </c>
      <c r="H228" s="2">
        <f>ROUND(E228*$D228/100*E220,0)</f>
        <v>-11</v>
      </c>
      <c r="I228" s="336">
        <f>I219</f>
        <v>45</v>
      </c>
      <c r="J228" s="323" t="s">
        <v>374</v>
      </c>
      <c r="K228" s="2">
        <f>ROUND(I228*$D228/100*I220,0)</f>
        <v>-11</v>
      </c>
      <c r="AE228" s="84"/>
    </row>
    <row r="229" spans="1:31">
      <c r="A229" s="1" t="s">
        <v>407</v>
      </c>
      <c r="B229" s="1"/>
      <c r="C229" s="319">
        <f>48+55</f>
        <v>103</v>
      </c>
      <c r="D229" s="319">
        <f>ROUND(($D$231/'Blocking - detail'!$C$231)*C229,0)</f>
        <v>107</v>
      </c>
      <c r="E229" s="337">
        <v>60</v>
      </c>
      <c r="F229" s="321"/>
      <c r="G229" s="2">
        <f>ROUND(E229*$C229,0)</f>
        <v>6180</v>
      </c>
      <c r="H229" s="2">
        <f>ROUND(E229*$D229,0)</f>
        <v>6420</v>
      </c>
      <c r="I229" s="337">
        <f>$I$172</f>
        <v>60</v>
      </c>
      <c r="J229" s="323"/>
      <c r="K229" s="2">
        <f>ROUND(I229*$D229,0)</f>
        <v>6420</v>
      </c>
      <c r="AE229" s="84"/>
    </row>
    <row r="230" spans="1:31">
      <c r="A230" s="1" t="s">
        <v>408</v>
      </c>
      <c r="B230" s="1"/>
      <c r="C230" s="319">
        <f>84+465+737+918</f>
        <v>2204</v>
      </c>
      <c r="D230" s="319">
        <f>ROUND(($D$231/'Blocking - detail'!$C$231)*C230,0)</f>
        <v>2283</v>
      </c>
      <c r="E230" s="339">
        <v>-30</v>
      </c>
      <c r="F230" s="321" t="s">
        <v>374</v>
      </c>
      <c r="G230" s="2">
        <f>ROUND(E230*$C230/100,0)</f>
        <v>-661</v>
      </c>
      <c r="H230" s="2">
        <f>ROUND(E230*$D230/100,0)</f>
        <v>-685</v>
      </c>
      <c r="I230" s="339">
        <f>$I$173</f>
        <v>-30</v>
      </c>
      <c r="J230" s="323" t="s">
        <v>374</v>
      </c>
      <c r="K230" s="2">
        <f>ROUND(I230*$D230/100,0)</f>
        <v>-685</v>
      </c>
      <c r="AE230" s="84"/>
    </row>
    <row r="231" spans="1:31">
      <c r="A231" s="1" t="s">
        <v>381</v>
      </c>
      <c r="B231" s="307"/>
      <c r="C231" s="319">
        <f>SUM(C216:C218)</f>
        <v>487716339</v>
      </c>
      <c r="D231" s="319">
        <v>505220047.82638693</v>
      </c>
      <c r="E231" s="330"/>
      <c r="F231" s="2"/>
      <c r="G231" s="2">
        <f>SUM(G211:G230)</f>
        <v>31870361</v>
      </c>
      <c r="H231" s="2">
        <f>SUM(H211:H230)</f>
        <v>32976904</v>
      </c>
      <c r="I231" s="330"/>
      <c r="J231" s="323"/>
      <c r="K231" s="2">
        <f>SUM(K211:K230)</f>
        <v>35134964</v>
      </c>
      <c r="M231" s="84"/>
      <c r="N231" s="84"/>
      <c r="AE231" s="84"/>
    </row>
    <row r="232" spans="1:31">
      <c r="A232" s="1" t="s">
        <v>363</v>
      </c>
      <c r="B232" s="1"/>
      <c r="C232" s="349">
        <v>2221504.1418108731</v>
      </c>
      <c r="D232" s="340">
        <v>0</v>
      </c>
      <c r="E232" s="309"/>
      <c r="F232" s="309"/>
      <c r="G232" s="341">
        <v>124957.07854881753</v>
      </c>
      <c r="H232" s="341">
        <v>0</v>
      </c>
      <c r="I232" s="309"/>
      <c r="J232" s="309"/>
      <c r="K232" s="341">
        <v>0</v>
      </c>
      <c r="M232" s="289"/>
      <c r="N232" s="289"/>
      <c r="O232" s="290"/>
      <c r="AE232" s="84"/>
    </row>
    <row r="233" spans="1:31" ht="16.5" thickBot="1">
      <c r="A233" s="1" t="s">
        <v>382</v>
      </c>
      <c r="B233" s="1"/>
      <c r="C233" s="311">
        <f>SUM(C231:C232)</f>
        <v>489937843.14181089</v>
      </c>
      <c r="D233" s="311">
        <f>SUM(D231:D232)</f>
        <v>505220047.82638693</v>
      </c>
      <c r="E233" s="342"/>
      <c r="F233" s="343"/>
      <c r="G233" s="344">
        <f>G231+G232</f>
        <v>31995318.078548819</v>
      </c>
      <c r="H233" s="344">
        <f>H231+H232</f>
        <v>32976904</v>
      </c>
      <c r="I233" s="342"/>
      <c r="J233" s="345"/>
      <c r="K233" s="344">
        <f>K231+K232</f>
        <v>35134964</v>
      </c>
      <c r="M233" s="291"/>
      <c r="N233" s="291"/>
      <c r="O233" s="292"/>
      <c r="AE233" s="84"/>
    </row>
    <row r="234" spans="1:31" ht="16.5" thickTop="1">
      <c r="A234" s="1"/>
      <c r="B234" s="1"/>
      <c r="C234" s="21"/>
      <c r="D234" s="21"/>
      <c r="E234" s="337"/>
      <c r="F234" s="2"/>
      <c r="G234" s="2"/>
      <c r="H234" s="2"/>
      <c r="I234" s="337"/>
      <c r="J234" s="1"/>
      <c r="K234" s="2" t="s">
        <v>31</v>
      </c>
      <c r="AE234" s="84"/>
    </row>
    <row r="235" spans="1:31">
      <c r="A235" s="293" t="s">
        <v>387</v>
      </c>
      <c r="B235" s="1"/>
      <c r="C235" s="1"/>
      <c r="D235" s="1"/>
      <c r="E235" s="2"/>
      <c r="F235" s="2"/>
      <c r="G235" s="1" t="s">
        <v>31</v>
      </c>
      <c r="H235" s="1"/>
      <c r="I235" s="2"/>
      <c r="J235" s="1"/>
      <c r="K235" s="1"/>
      <c r="AE235" s="84"/>
    </row>
    <row r="236" spans="1:31">
      <c r="A236" s="1" t="s">
        <v>414</v>
      </c>
      <c r="B236" s="1"/>
      <c r="C236" s="21"/>
      <c r="D236" s="1"/>
      <c r="E236" s="2"/>
      <c r="F236" s="2"/>
      <c r="G236" s="1"/>
      <c r="H236" s="1"/>
      <c r="I236" s="2"/>
      <c r="J236" s="1"/>
      <c r="K236" s="1"/>
      <c r="AE236" s="84"/>
    </row>
    <row r="237" spans="1:31">
      <c r="A237" s="1"/>
      <c r="B237" s="1"/>
      <c r="C237" s="1"/>
      <c r="D237" s="1"/>
      <c r="E237" s="2"/>
      <c r="F237" s="2"/>
      <c r="G237" s="1"/>
      <c r="H237" s="1"/>
      <c r="I237" s="2"/>
      <c r="J237" s="1"/>
      <c r="K237" s="1"/>
      <c r="AE237" s="84"/>
    </row>
    <row r="238" spans="1:31">
      <c r="A238" s="1" t="s">
        <v>393</v>
      </c>
      <c r="B238" s="1"/>
      <c r="C238" s="319"/>
      <c r="D238" s="319"/>
      <c r="E238" s="2"/>
      <c r="F238" s="2"/>
      <c r="G238" s="1"/>
      <c r="H238" s="1"/>
      <c r="I238" s="2"/>
      <c r="J238" s="1"/>
      <c r="K238" s="1"/>
      <c r="AE238" s="84"/>
    </row>
    <row r="239" spans="1:31">
      <c r="A239" s="1" t="s">
        <v>390</v>
      </c>
      <c r="B239" s="1"/>
      <c r="C239" s="319">
        <f>596+1770</f>
        <v>2366</v>
      </c>
      <c r="D239" s="319">
        <f>ROUND(($D$242/'Blocking - detail'!$C$242)*C239,0)</f>
        <v>2305</v>
      </c>
      <c r="E239" s="298">
        <v>7</v>
      </c>
      <c r="F239" s="321"/>
      <c r="G239" s="2">
        <f>ROUND(E239*$C239,0)</f>
        <v>16562</v>
      </c>
      <c r="H239" s="2">
        <f>ROUND(E239*$D239,0)</f>
        <v>16135</v>
      </c>
      <c r="I239" s="298">
        <f>$I$153</f>
        <v>7.53</v>
      </c>
      <c r="J239" s="323"/>
      <c r="K239" s="2">
        <f>ROUND(I239*$D239,0)</f>
        <v>17357</v>
      </c>
      <c r="AE239" s="84"/>
    </row>
    <row r="240" spans="1:31">
      <c r="A240" s="1" t="s">
        <v>391</v>
      </c>
      <c r="B240" s="1"/>
      <c r="C240" s="319">
        <f>740+2769</f>
        <v>3509</v>
      </c>
      <c r="D240" s="319">
        <f>ROUND(($D$242/'Blocking - detail'!$C$242)*C240,0)</f>
        <v>3418</v>
      </c>
      <c r="E240" s="298">
        <v>10.4</v>
      </c>
      <c r="F240" s="324"/>
      <c r="G240" s="2">
        <f>ROUND(E240*$C240,0)</f>
        <v>36494</v>
      </c>
      <c r="H240" s="2">
        <f>ROUND(E240*$D240,0)</f>
        <v>35547</v>
      </c>
      <c r="I240" s="298">
        <f>$I$154</f>
        <v>11.18</v>
      </c>
      <c r="J240" s="325"/>
      <c r="K240" s="2">
        <f>ROUND(I240*$D240,0)</f>
        <v>38213</v>
      </c>
      <c r="AE240" s="84"/>
    </row>
    <row r="241" spans="1:31">
      <c r="A241" s="1" t="s">
        <v>392</v>
      </c>
      <c r="B241" s="1"/>
      <c r="C241" s="319">
        <f>920+13828+3166+56636</f>
        <v>74550</v>
      </c>
      <c r="D241" s="319">
        <f>ROUND(($D$259/$C$259)*C241,0)</f>
        <v>77752</v>
      </c>
      <c r="E241" s="298">
        <v>0.69</v>
      </c>
      <c r="F241" s="324"/>
      <c r="G241" s="2">
        <f>ROUND(E241*$C241,0)</f>
        <v>51440</v>
      </c>
      <c r="H241" s="2">
        <f>ROUND(E241*$D241,0)</f>
        <v>53649</v>
      </c>
      <c r="I241" s="298">
        <f>$I$155</f>
        <v>0.78</v>
      </c>
      <c r="J241" s="325"/>
      <c r="K241" s="2">
        <f>ROUND(I241*$D241,0)</f>
        <v>60647</v>
      </c>
      <c r="AE241" s="84"/>
    </row>
    <row r="242" spans="1:31">
      <c r="A242" s="1" t="s">
        <v>394</v>
      </c>
      <c r="B242" s="1"/>
      <c r="C242" s="319">
        <f>SUM(C239:C240)</f>
        <v>5875</v>
      </c>
      <c r="D242" s="319">
        <v>5723</v>
      </c>
      <c r="E242" s="298"/>
      <c r="F242" s="321"/>
      <c r="G242" s="2"/>
      <c r="H242" s="2"/>
      <c r="I242" s="298"/>
      <c r="J242" s="323"/>
      <c r="K242" s="2"/>
      <c r="AE242" s="84"/>
    </row>
    <row r="243" spans="1:31">
      <c r="A243" s="1" t="s">
        <v>395</v>
      </c>
      <c r="B243" s="1"/>
      <c r="C243" s="319">
        <f>556+5026+1612+37282</f>
        <v>44476</v>
      </c>
      <c r="D243" s="319">
        <f>ROUND(($D$259/$C$259)*C243,0)</f>
        <v>46387</v>
      </c>
      <c r="E243" s="326">
        <v>2.81</v>
      </c>
      <c r="F243" s="323"/>
      <c r="G243" s="2">
        <f>ROUND(E243*$C243,0)</f>
        <v>124978</v>
      </c>
      <c r="H243" s="2">
        <f>ROUND(E243*$D243,0)</f>
        <v>130347</v>
      </c>
      <c r="I243" s="326">
        <f>$I$158</f>
        <v>2.88</v>
      </c>
      <c r="J243" s="323"/>
      <c r="K243" s="2">
        <f>ROUND(I243*$D243,0)</f>
        <v>133595</v>
      </c>
      <c r="AE243" s="84"/>
    </row>
    <row r="244" spans="1:31">
      <c r="A244" s="1" t="s">
        <v>397</v>
      </c>
      <c r="B244" s="1"/>
      <c r="C244" s="319">
        <f>224214+423982+989891+2211727</f>
        <v>3849814</v>
      </c>
      <c r="D244" s="319">
        <f>ROUND(($D$259/$C$259)*C244,0)</f>
        <v>4015187</v>
      </c>
      <c r="E244" s="299">
        <v>7.5869999999999997</v>
      </c>
      <c r="F244" s="323" t="s">
        <v>374</v>
      </c>
      <c r="G244" s="2">
        <f>ROUND(E244*$C244/100,0)</f>
        <v>292085</v>
      </c>
      <c r="H244" s="2">
        <f>ROUND(E244*$D244/100,0)</f>
        <v>304632</v>
      </c>
      <c r="I244" s="299">
        <f>$I$159</f>
        <v>8.0890000000000004</v>
      </c>
      <c r="J244" s="323" t="s">
        <v>374</v>
      </c>
      <c r="K244" s="2">
        <f>ROUND(I244*$D244/100,0)</f>
        <v>324788</v>
      </c>
      <c r="AE244" s="84"/>
    </row>
    <row r="245" spans="1:31">
      <c r="A245" s="1" t="s">
        <v>398</v>
      </c>
      <c r="B245" s="1"/>
      <c r="C245" s="319">
        <f>333291+1119888+1597472+8605642</f>
        <v>11656293</v>
      </c>
      <c r="D245" s="319">
        <f>ROUND(($D$259/$C$259)*C245,0)</f>
        <v>12157003</v>
      </c>
      <c r="E245" s="299">
        <v>5.2370000000000001</v>
      </c>
      <c r="F245" s="323" t="s">
        <v>374</v>
      </c>
      <c r="G245" s="2">
        <f>ROUND(E245*$C245/100,0)</f>
        <v>610440</v>
      </c>
      <c r="H245" s="2">
        <f>ROUND(E245*$D245/100,0)</f>
        <v>636662</v>
      </c>
      <c r="I245" s="299">
        <f>$I$160</f>
        <v>5.5839999999999996</v>
      </c>
      <c r="J245" s="323" t="s">
        <v>374</v>
      </c>
      <c r="K245" s="2">
        <f>ROUND(I245*$D245/100,0)</f>
        <v>678847</v>
      </c>
      <c r="AE245" s="84"/>
    </row>
    <row r="246" spans="1:31">
      <c r="A246" s="1" t="s">
        <v>399</v>
      </c>
      <c r="B246" s="1"/>
      <c r="C246" s="319">
        <f>622235+2212640+2732130+16131459-C244-C245</f>
        <v>6192357</v>
      </c>
      <c r="D246" s="319">
        <f>ROUND(($D$259/$C$259)*C246,0)</f>
        <v>6458357</v>
      </c>
      <c r="E246" s="299">
        <v>4.5129999999999999</v>
      </c>
      <c r="F246" s="323" t="s">
        <v>374</v>
      </c>
      <c r="G246" s="2">
        <f>ROUND(E246*$C246/100,0)</f>
        <v>279461</v>
      </c>
      <c r="H246" s="2">
        <f>ROUND(E246*$D246/100,0)</f>
        <v>291466</v>
      </c>
      <c r="I246" s="299">
        <f>$I$161</f>
        <v>4.8100000000000005</v>
      </c>
      <c r="J246" s="323" t="s">
        <v>374</v>
      </c>
      <c r="K246" s="2">
        <f>ROUND(I246*$D246/100,0)</f>
        <v>310647</v>
      </c>
      <c r="AE246" s="84"/>
    </row>
    <row r="247" spans="1:31">
      <c r="A247" s="1" t="s">
        <v>400</v>
      </c>
      <c r="B247" s="1"/>
      <c r="C247" s="319">
        <f>2718+12348</f>
        <v>15066</v>
      </c>
      <c r="D247" s="319">
        <f>ROUND(($D$259/$C$259)*C247,0)</f>
        <v>15713</v>
      </c>
      <c r="E247" s="330">
        <v>45</v>
      </c>
      <c r="F247" s="321" t="s">
        <v>374</v>
      </c>
      <c r="G247" s="2">
        <f>ROUND(E247*$C247/100,0)</f>
        <v>6780</v>
      </c>
      <c r="H247" s="2">
        <f>ROUND(E247*$D247/100,0)</f>
        <v>7071</v>
      </c>
      <c r="I247" s="330">
        <f>$I$162</f>
        <v>45</v>
      </c>
      <c r="J247" s="323" t="s">
        <v>374</v>
      </c>
      <c r="K247" s="2">
        <f>ROUND(I247*$D247/100,0)</f>
        <v>7071</v>
      </c>
      <c r="AE247" s="84"/>
    </row>
    <row r="248" spans="1:31">
      <c r="A248" s="331" t="s">
        <v>401</v>
      </c>
      <c r="B248" s="1"/>
      <c r="C248" s="319"/>
      <c r="D248" s="319"/>
      <c r="E248" s="332">
        <v>-0.01</v>
      </c>
      <c r="F248" s="321"/>
      <c r="G248" s="2"/>
      <c r="H248" s="2"/>
      <c r="I248" s="332">
        <f>$I$163</f>
        <v>-0.01</v>
      </c>
      <c r="J248" s="323"/>
      <c r="K248" s="2"/>
      <c r="AE248" s="84"/>
    </row>
    <row r="249" spans="1:31">
      <c r="A249" s="1" t="s">
        <v>390</v>
      </c>
      <c r="B249" s="1"/>
      <c r="C249" s="319">
        <v>0</v>
      </c>
      <c r="D249" s="319">
        <f t="shared" ref="D249:D258" si="23">ROUND(($D$259/$C$259)*C249,0)</f>
        <v>0</v>
      </c>
      <c r="E249" s="334">
        <f>E239</f>
        <v>7</v>
      </c>
      <c r="F249" s="321"/>
      <c r="G249" s="2">
        <f>-ROUND(E249*$C249/100,0)</f>
        <v>0</v>
      </c>
      <c r="H249" s="2">
        <f>-ROUND(E249*$D249/100,0)</f>
        <v>0</v>
      </c>
      <c r="I249" s="334">
        <f>I239</f>
        <v>7.53</v>
      </c>
      <c r="J249" s="321"/>
      <c r="K249" s="2">
        <f>-ROUND(I249*$D249/100,0)</f>
        <v>0</v>
      </c>
      <c r="AE249" s="84"/>
    </row>
    <row r="250" spans="1:31">
      <c r="A250" s="1" t="s">
        <v>391</v>
      </c>
      <c r="B250" s="1"/>
      <c r="C250" s="319">
        <v>0</v>
      </c>
      <c r="D250" s="319">
        <f t="shared" si="23"/>
        <v>0</v>
      </c>
      <c r="E250" s="334">
        <f>E240</f>
        <v>10.4</v>
      </c>
      <c r="F250" s="321"/>
      <c r="G250" s="2">
        <f>-ROUND(E250*$C250/100,0)</f>
        <v>0</v>
      </c>
      <c r="H250" s="2">
        <f>-ROUND(E250*$D250/100,0)</f>
        <v>0</v>
      </c>
      <c r="I250" s="334">
        <f>I240</f>
        <v>11.18</v>
      </c>
      <c r="J250" s="321"/>
      <c r="K250" s="2">
        <f>-ROUND(I250*$D250/100,0)</f>
        <v>0</v>
      </c>
      <c r="AE250" s="84"/>
    </row>
    <row r="251" spans="1:31">
      <c r="A251" s="1" t="s">
        <v>402</v>
      </c>
      <c r="B251" s="1"/>
      <c r="C251" s="319">
        <v>0</v>
      </c>
      <c r="D251" s="319">
        <f t="shared" si="23"/>
        <v>0</v>
      </c>
      <c r="E251" s="334">
        <f>E241</f>
        <v>0.69</v>
      </c>
      <c r="F251" s="321"/>
      <c r="G251" s="2">
        <f>-ROUND(E251*$C251/100,0)</f>
        <v>0</v>
      </c>
      <c r="H251" s="2">
        <f>-ROUND(E251*$D251/100,0)</f>
        <v>0</v>
      </c>
      <c r="I251" s="334">
        <f>I241</f>
        <v>0.78</v>
      </c>
      <c r="J251" s="321"/>
      <c r="K251" s="2">
        <f>-ROUND(I251*$D251/100,0)</f>
        <v>0</v>
      </c>
      <c r="AE251" s="84"/>
    </row>
    <row r="252" spans="1:31">
      <c r="A252" s="1" t="s">
        <v>403</v>
      </c>
      <c r="B252" s="1"/>
      <c r="C252" s="319">
        <v>0</v>
      </c>
      <c r="D252" s="319">
        <f t="shared" si="23"/>
        <v>0</v>
      </c>
      <c r="E252" s="334">
        <f>E243</f>
        <v>2.81</v>
      </c>
      <c r="F252" s="323"/>
      <c r="G252" s="2">
        <f>-ROUND(E252*$C252/100,0)</f>
        <v>0</v>
      </c>
      <c r="H252" s="2">
        <f>-ROUND(E252*$D252/100,0)</f>
        <v>0</v>
      </c>
      <c r="I252" s="334">
        <f>I243</f>
        <v>2.88</v>
      </c>
      <c r="J252" s="323"/>
      <c r="K252" s="2">
        <f>-ROUND(I252*$D252/100,0)</f>
        <v>0</v>
      </c>
      <c r="AE252" s="84"/>
    </row>
    <row r="253" spans="1:31">
      <c r="A253" s="1" t="s">
        <v>405</v>
      </c>
      <c r="B253" s="1"/>
      <c r="C253" s="319">
        <v>0</v>
      </c>
      <c r="D253" s="319">
        <f t="shared" si="23"/>
        <v>0</v>
      </c>
      <c r="E253" s="335">
        <f>E244</f>
        <v>7.5869999999999997</v>
      </c>
      <c r="F253" s="323" t="s">
        <v>374</v>
      </c>
      <c r="G253" s="2">
        <f>ROUND(E253*$C253/100*E248,0)</f>
        <v>0</v>
      </c>
      <c r="H253" s="2">
        <f>ROUND(E253*$D253/100*E248,0)</f>
        <v>0</v>
      </c>
      <c r="I253" s="335">
        <f>I244</f>
        <v>8.0890000000000004</v>
      </c>
      <c r="J253" s="323" t="s">
        <v>374</v>
      </c>
      <c r="K253" s="2">
        <f>ROUND(I253*$D253/100*I248,0)</f>
        <v>0</v>
      </c>
      <c r="AE253" s="84"/>
    </row>
    <row r="254" spans="1:31">
      <c r="A254" s="1" t="s">
        <v>398</v>
      </c>
      <c r="B254" s="1"/>
      <c r="C254" s="319">
        <v>0</v>
      </c>
      <c r="D254" s="319">
        <f t="shared" si="23"/>
        <v>0</v>
      </c>
      <c r="E254" s="335">
        <f>E245</f>
        <v>5.2370000000000001</v>
      </c>
      <c r="F254" s="323" t="s">
        <v>374</v>
      </c>
      <c r="G254" s="2">
        <f>ROUND(E254*$C254/100*E248,0)</f>
        <v>0</v>
      </c>
      <c r="H254" s="2">
        <f>ROUND(E254*$D254/100*E248,0)</f>
        <v>0</v>
      </c>
      <c r="I254" s="335">
        <f>I245</f>
        <v>5.5839999999999996</v>
      </c>
      <c r="J254" s="323" t="s">
        <v>374</v>
      </c>
      <c r="K254" s="2">
        <f>ROUND(I254*$D254/100*I248,0)</f>
        <v>0</v>
      </c>
      <c r="AE254" s="84"/>
    </row>
    <row r="255" spans="1:31">
      <c r="A255" s="1" t="s">
        <v>399</v>
      </c>
      <c r="B255" s="1"/>
      <c r="C255" s="319">
        <v>0</v>
      </c>
      <c r="D255" s="319">
        <f t="shared" si="23"/>
        <v>0</v>
      </c>
      <c r="E255" s="335">
        <f>E246</f>
        <v>4.5129999999999999</v>
      </c>
      <c r="F255" s="323" t="s">
        <v>374</v>
      </c>
      <c r="G255" s="2">
        <f>ROUND(E255*$C255/100*E248,0)</f>
        <v>0</v>
      </c>
      <c r="H255" s="2">
        <f>ROUND(E255*$D255/100*E248,0)</f>
        <v>0</v>
      </c>
      <c r="I255" s="335">
        <f>I246</f>
        <v>4.8100000000000005</v>
      </c>
      <c r="J255" s="323" t="s">
        <v>374</v>
      </c>
      <c r="K255" s="2">
        <f>ROUND(I255*$D255/100*I248,0)</f>
        <v>0</v>
      </c>
      <c r="AE255" s="84"/>
    </row>
    <row r="256" spans="1:31">
      <c r="A256" s="1" t="s">
        <v>400</v>
      </c>
      <c r="B256" s="1"/>
      <c r="C256" s="319">
        <v>0</v>
      </c>
      <c r="D256" s="319">
        <f t="shared" si="23"/>
        <v>0</v>
      </c>
      <c r="E256" s="336">
        <f>E247</f>
        <v>45</v>
      </c>
      <c r="F256" s="323" t="s">
        <v>374</v>
      </c>
      <c r="G256" s="2">
        <f>ROUND(E256*$C256/100*E248,0)</f>
        <v>0</v>
      </c>
      <c r="H256" s="2">
        <f>ROUND(E256*$D256/100*E248,0)</f>
        <v>0</v>
      </c>
      <c r="I256" s="336">
        <f>I247</f>
        <v>45</v>
      </c>
      <c r="J256" s="323" t="s">
        <v>374</v>
      </c>
      <c r="K256" s="2">
        <f>ROUND(I256*$D256/100*I248,0)</f>
        <v>0</v>
      </c>
      <c r="AE256" s="84"/>
    </row>
    <row r="257" spans="1:31">
      <c r="A257" s="1" t="s">
        <v>407</v>
      </c>
      <c r="B257" s="1"/>
      <c r="C257" s="319">
        <v>0</v>
      </c>
      <c r="D257" s="319">
        <f t="shared" si="23"/>
        <v>0</v>
      </c>
      <c r="E257" s="337">
        <v>60</v>
      </c>
      <c r="F257" s="321"/>
      <c r="G257" s="2">
        <f>ROUND(E257*$C257,0)</f>
        <v>0</v>
      </c>
      <c r="H257" s="2">
        <f>ROUND(E257*$D257,0)</f>
        <v>0</v>
      </c>
      <c r="I257" s="337">
        <f>$I$172</f>
        <v>60</v>
      </c>
      <c r="J257" s="323"/>
      <c r="K257" s="2">
        <f>ROUND(I257*$D257,0)</f>
        <v>0</v>
      </c>
      <c r="AE257" s="84"/>
    </row>
    <row r="258" spans="1:31">
      <c r="A258" s="1" t="s">
        <v>408</v>
      </c>
      <c r="B258" s="1"/>
      <c r="C258" s="319">
        <v>0</v>
      </c>
      <c r="D258" s="319">
        <f t="shared" si="23"/>
        <v>0</v>
      </c>
      <c r="E258" s="339">
        <v>-30</v>
      </c>
      <c r="F258" s="321" t="s">
        <v>374</v>
      </c>
      <c r="G258" s="2">
        <f>ROUND(E258*$C258/100,0)</f>
        <v>0</v>
      </c>
      <c r="H258" s="2">
        <f>ROUND(E258*$D258/100,0)</f>
        <v>0</v>
      </c>
      <c r="I258" s="339">
        <f>$I$173</f>
        <v>-30</v>
      </c>
      <c r="J258" s="323" t="s">
        <v>374</v>
      </c>
      <c r="K258" s="2">
        <f>ROUND(I258*$D258/100,0)</f>
        <v>0</v>
      </c>
      <c r="AE258" s="84"/>
    </row>
    <row r="259" spans="1:31">
      <c r="A259" s="1" t="s">
        <v>381</v>
      </c>
      <c r="B259" s="1"/>
      <c r="C259" s="319">
        <f>SUM(C244:C246)</f>
        <v>21698464</v>
      </c>
      <c r="D259" s="319">
        <v>22630547.415536091</v>
      </c>
      <c r="E259" s="330"/>
      <c r="F259" s="2"/>
      <c r="G259" s="2">
        <f>SUM(G239:G258)</f>
        <v>1418240</v>
      </c>
      <c r="H259" s="2">
        <f>SUM(H239:H258)</f>
        <v>1475509</v>
      </c>
      <c r="I259" s="330"/>
      <c r="J259" s="323"/>
      <c r="K259" s="2">
        <f>SUM(K239:K258)</f>
        <v>1571165</v>
      </c>
      <c r="AE259" s="84"/>
    </row>
    <row r="260" spans="1:31">
      <c r="A260" s="1" t="s">
        <v>363</v>
      </c>
      <c r="B260" s="1"/>
      <c r="C260" s="349">
        <v>-490299.70959914278</v>
      </c>
      <c r="D260" s="340">
        <v>0</v>
      </c>
      <c r="E260" s="309"/>
      <c r="F260" s="309"/>
      <c r="G260" s="341">
        <v>-27174.812211416385</v>
      </c>
      <c r="H260" s="341">
        <v>0</v>
      </c>
      <c r="I260" s="309"/>
      <c r="J260" s="309"/>
      <c r="K260" s="341">
        <v>0</v>
      </c>
      <c r="M260" s="289"/>
      <c r="N260" s="289"/>
      <c r="O260" s="290"/>
      <c r="AE260" s="84"/>
    </row>
    <row r="261" spans="1:31" ht="16.5" thickBot="1">
      <c r="A261" s="1" t="s">
        <v>382</v>
      </c>
      <c r="B261" s="1"/>
      <c r="C261" s="311">
        <f>SUM(C259:C260)</f>
        <v>21208164.290400859</v>
      </c>
      <c r="D261" s="311">
        <f>SUM(D259:D260)</f>
        <v>22630547.415536091</v>
      </c>
      <c r="E261" s="342"/>
      <c r="F261" s="343"/>
      <c r="G261" s="344">
        <f>G259+G260</f>
        <v>1391065.1877885836</v>
      </c>
      <c r="H261" s="344">
        <f>H259+H260</f>
        <v>1475509</v>
      </c>
      <c r="I261" s="342"/>
      <c r="J261" s="345"/>
      <c r="K261" s="344">
        <f>K259+K260</f>
        <v>1571165</v>
      </c>
      <c r="M261" s="291"/>
      <c r="N261" s="291"/>
      <c r="O261" s="292"/>
      <c r="AE261" s="84"/>
    </row>
    <row r="262" spans="1:31" ht="16.5" thickTop="1">
      <c r="A262" s="1"/>
      <c r="B262" s="1"/>
      <c r="C262" s="350"/>
      <c r="D262" s="350"/>
      <c r="E262" s="351"/>
      <c r="F262" s="352"/>
      <c r="G262" s="322"/>
      <c r="H262" s="322"/>
      <c r="I262" s="351"/>
      <c r="J262" s="23"/>
      <c r="K262" s="322"/>
      <c r="AE262" s="84"/>
    </row>
    <row r="263" spans="1:31">
      <c r="A263" s="293" t="s">
        <v>415</v>
      </c>
      <c r="B263" s="1"/>
      <c r="C263" s="1"/>
      <c r="D263" s="1"/>
      <c r="E263" s="2"/>
      <c r="F263" s="2"/>
      <c r="G263" s="1" t="s">
        <v>31</v>
      </c>
      <c r="H263" s="1"/>
      <c r="I263" s="2"/>
      <c r="J263" s="1"/>
      <c r="K263" s="1"/>
      <c r="AE263" s="84"/>
    </row>
    <row r="264" spans="1:31">
      <c r="A264" s="1" t="s">
        <v>410</v>
      </c>
      <c r="B264" s="1"/>
      <c r="C264" s="1"/>
      <c r="D264" s="1"/>
      <c r="E264" s="2"/>
      <c r="F264" s="2"/>
      <c r="G264" s="1"/>
      <c r="H264" s="1"/>
      <c r="I264" s="2"/>
      <c r="J264" s="1"/>
      <c r="K264" s="1"/>
      <c r="AE264" s="84"/>
    </row>
    <row r="265" spans="1:31">
      <c r="A265" s="1"/>
      <c r="B265" s="1"/>
      <c r="C265" s="1"/>
      <c r="D265" s="1"/>
      <c r="E265" s="2"/>
      <c r="F265" s="2"/>
      <c r="G265" s="1"/>
      <c r="H265" s="1"/>
      <c r="I265" s="2"/>
      <c r="J265" s="1"/>
      <c r="K265" s="1"/>
      <c r="AE265" s="84"/>
    </row>
    <row r="266" spans="1:31">
      <c r="A266" s="1" t="s">
        <v>393</v>
      </c>
      <c r="B266" s="1"/>
      <c r="C266" s="319"/>
      <c r="D266" s="319"/>
      <c r="E266" s="2"/>
      <c r="F266" s="2"/>
      <c r="G266" s="1"/>
      <c r="H266" s="1"/>
      <c r="I266" s="2"/>
      <c r="J266" s="1"/>
      <c r="K266" s="1"/>
      <c r="AE266" s="84"/>
    </row>
    <row r="267" spans="1:31">
      <c r="A267" s="1" t="s">
        <v>416</v>
      </c>
      <c r="B267" s="1"/>
      <c r="C267" s="319">
        <f t="shared" ref="C267:D269" si="24">C296+C325</f>
        <v>5025</v>
      </c>
      <c r="D267" s="319">
        <f t="shared" si="24"/>
        <v>4991</v>
      </c>
      <c r="E267" s="298">
        <v>7</v>
      </c>
      <c r="F267" s="321"/>
      <c r="G267" s="2">
        <f t="shared" ref="G267:H269" si="25">G296+G325</f>
        <v>35175</v>
      </c>
      <c r="H267" s="2">
        <f t="shared" si="25"/>
        <v>34937</v>
      </c>
      <c r="I267" s="298">
        <f>$I$153</f>
        <v>7.53</v>
      </c>
      <c r="J267" s="323"/>
      <c r="K267" s="2">
        <f>K296+K325</f>
        <v>37582</v>
      </c>
      <c r="AE267" s="84"/>
    </row>
    <row r="268" spans="1:31">
      <c r="A268" s="1" t="s">
        <v>391</v>
      </c>
      <c r="B268" s="1"/>
      <c r="C268" s="319">
        <f t="shared" si="24"/>
        <v>0</v>
      </c>
      <c r="D268" s="319">
        <f t="shared" si="24"/>
        <v>0</v>
      </c>
      <c r="E268" s="298">
        <v>10.4</v>
      </c>
      <c r="F268" s="324"/>
      <c r="G268" s="2">
        <f t="shared" si="25"/>
        <v>0</v>
      </c>
      <c r="H268" s="2">
        <f t="shared" si="25"/>
        <v>0</v>
      </c>
      <c r="I268" s="298">
        <f>$I$154</f>
        <v>11.18</v>
      </c>
      <c r="J268" s="325"/>
      <c r="K268" s="2">
        <f>K297+K326</f>
        <v>0</v>
      </c>
      <c r="AE268" s="84"/>
    </row>
    <row r="269" spans="1:31">
      <c r="A269" s="1" t="s">
        <v>392</v>
      </c>
      <c r="B269" s="1"/>
      <c r="C269" s="319">
        <f t="shared" si="24"/>
        <v>0</v>
      </c>
      <c r="D269" s="319">
        <f t="shared" si="24"/>
        <v>0</v>
      </c>
      <c r="E269" s="298">
        <v>0.69</v>
      </c>
      <c r="F269" s="324"/>
      <c r="G269" s="2">
        <f t="shared" si="25"/>
        <v>0</v>
      </c>
      <c r="H269" s="2">
        <f t="shared" si="25"/>
        <v>0</v>
      </c>
      <c r="I269" s="298">
        <f>$I$155</f>
        <v>0.78</v>
      </c>
      <c r="J269" s="325"/>
      <c r="K269" s="2">
        <f>K298+K327</f>
        <v>0</v>
      </c>
      <c r="AE269" s="84"/>
    </row>
    <row r="270" spans="1:31">
      <c r="A270" s="1" t="s">
        <v>394</v>
      </c>
      <c r="B270" s="1"/>
      <c r="C270" s="319">
        <f>SUM(C267:C268)</f>
        <v>5025</v>
      </c>
      <c r="D270" s="319">
        <f>SUM(D267:D268)</f>
        <v>4991</v>
      </c>
      <c r="E270" s="298"/>
      <c r="F270" s="321"/>
      <c r="G270" s="2"/>
      <c r="H270" s="2"/>
      <c r="I270" s="298"/>
      <c r="J270" s="323"/>
      <c r="K270" s="2"/>
      <c r="AE270" s="84"/>
    </row>
    <row r="271" spans="1:31">
      <c r="A271" s="1" t="s">
        <v>362</v>
      </c>
      <c r="B271" s="1"/>
      <c r="C271" s="319">
        <f t="shared" ref="C271:D276" si="26">C300+C329</f>
        <v>1629</v>
      </c>
      <c r="D271" s="319">
        <f t="shared" si="26"/>
        <v>1617</v>
      </c>
      <c r="E271" s="298"/>
      <c r="F271" s="321"/>
      <c r="G271" s="2"/>
      <c r="H271" s="2"/>
      <c r="I271" s="298"/>
      <c r="J271" s="323"/>
      <c r="K271" s="2"/>
      <c r="AE271" s="84"/>
    </row>
    <row r="272" spans="1:31">
      <c r="A272" s="1" t="s">
        <v>395</v>
      </c>
      <c r="B272" s="1"/>
      <c r="C272" s="319">
        <f t="shared" si="26"/>
        <v>0</v>
      </c>
      <c r="D272" s="319">
        <f t="shared" si="26"/>
        <v>0</v>
      </c>
      <c r="E272" s="326">
        <v>2.81</v>
      </c>
      <c r="F272" s="323"/>
      <c r="G272" s="2">
        <f t="shared" ref="G272:H276" si="27">G301+G330</f>
        <v>0</v>
      </c>
      <c r="H272" s="2">
        <f t="shared" si="27"/>
        <v>0</v>
      </c>
      <c r="I272" s="326">
        <f>$I$158</f>
        <v>2.88</v>
      </c>
      <c r="J272" s="323"/>
      <c r="K272" s="2">
        <f>K301+K330</f>
        <v>0</v>
      </c>
      <c r="AE272" s="84"/>
    </row>
    <row r="273" spans="1:31">
      <c r="A273" s="1" t="s">
        <v>397</v>
      </c>
      <c r="B273" s="1"/>
      <c r="C273" s="319">
        <f t="shared" si="26"/>
        <v>1414918</v>
      </c>
      <c r="D273" s="319">
        <f t="shared" si="26"/>
        <v>1446455</v>
      </c>
      <c r="E273" s="299">
        <v>7.5869999999999997</v>
      </c>
      <c r="F273" s="323" t="s">
        <v>374</v>
      </c>
      <c r="G273" s="2">
        <f t="shared" si="27"/>
        <v>107349</v>
      </c>
      <c r="H273" s="2">
        <f t="shared" si="27"/>
        <v>109743</v>
      </c>
      <c r="I273" s="299">
        <f>$I$159</f>
        <v>8.0890000000000004</v>
      </c>
      <c r="J273" s="323" t="s">
        <v>374</v>
      </c>
      <c r="K273" s="2">
        <f>K302+K331</f>
        <v>117003</v>
      </c>
      <c r="AE273" s="84"/>
    </row>
    <row r="274" spans="1:31">
      <c r="A274" s="1" t="s">
        <v>398</v>
      </c>
      <c r="B274" s="1"/>
      <c r="C274" s="319">
        <f t="shared" si="26"/>
        <v>64806</v>
      </c>
      <c r="D274" s="319">
        <f t="shared" si="26"/>
        <v>66040</v>
      </c>
      <c r="E274" s="299">
        <v>5.2370000000000001</v>
      </c>
      <c r="F274" s="323" t="s">
        <v>374</v>
      </c>
      <c r="G274" s="2">
        <f t="shared" si="27"/>
        <v>3394</v>
      </c>
      <c r="H274" s="2">
        <f t="shared" si="27"/>
        <v>3459</v>
      </c>
      <c r="I274" s="299">
        <f>$I$160</f>
        <v>5.5839999999999996</v>
      </c>
      <c r="J274" s="323" t="s">
        <v>374</v>
      </c>
      <c r="K274" s="2">
        <f>K303+K332</f>
        <v>3688</v>
      </c>
      <c r="AE274" s="84"/>
    </row>
    <row r="275" spans="1:31">
      <c r="A275" s="1" t="s">
        <v>399</v>
      </c>
      <c r="B275" s="1"/>
      <c r="C275" s="319">
        <f t="shared" si="26"/>
        <v>0</v>
      </c>
      <c r="D275" s="319">
        <f t="shared" si="26"/>
        <v>0</v>
      </c>
      <c r="E275" s="299">
        <v>4.5129999999999999</v>
      </c>
      <c r="F275" s="323" t="s">
        <v>374</v>
      </c>
      <c r="G275" s="2">
        <f t="shared" si="27"/>
        <v>0</v>
      </c>
      <c r="H275" s="2">
        <f t="shared" si="27"/>
        <v>0</v>
      </c>
      <c r="I275" s="299">
        <f>$I$161</f>
        <v>4.8100000000000005</v>
      </c>
      <c r="J275" s="323" t="s">
        <v>374</v>
      </c>
      <c r="K275" s="2">
        <f>K304+K333</f>
        <v>0</v>
      </c>
      <c r="AE275" s="84"/>
    </row>
    <row r="276" spans="1:31">
      <c r="A276" s="1" t="s">
        <v>400</v>
      </c>
      <c r="B276" s="1"/>
      <c r="C276" s="319">
        <f t="shared" si="26"/>
        <v>0</v>
      </c>
      <c r="D276" s="319">
        <f t="shared" si="26"/>
        <v>0</v>
      </c>
      <c r="E276" s="330">
        <v>45</v>
      </c>
      <c r="F276" s="321" t="s">
        <v>374</v>
      </c>
      <c r="G276" s="2">
        <f t="shared" si="27"/>
        <v>0</v>
      </c>
      <c r="H276" s="2">
        <f t="shared" si="27"/>
        <v>0</v>
      </c>
      <c r="I276" s="330">
        <f>$I$162</f>
        <v>45</v>
      </c>
      <c r="J276" s="323" t="s">
        <v>374</v>
      </c>
      <c r="K276" s="2">
        <f>K305+K334</f>
        <v>0</v>
      </c>
      <c r="AE276" s="84"/>
    </row>
    <row r="277" spans="1:31">
      <c r="A277" s="331" t="s">
        <v>401</v>
      </c>
      <c r="B277" s="1"/>
      <c r="C277" s="319"/>
      <c r="D277" s="319"/>
      <c r="E277" s="332">
        <v>-0.01</v>
      </c>
      <c r="F277" s="321"/>
      <c r="G277" s="2"/>
      <c r="H277" s="2"/>
      <c r="I277" s="332">
        <f>$I$163</f>
        <v>-0.01</v>
      </c>
      <c r="J277" s="323"/>
      <c r="K277" s="2"/>
      <c r="AE277" s="84"/>
    </row>
    <row r="278" spans="1:31">
      <c r="A278" s="1" t="s">
        <v>390</v>
      </c>
      <c r="B278" s="1"/>
      <c r="C278" s="319">
        <v>0</v>
      </c>
      <c r="D278" s="319">
        <v>0</v>
      </c>
      <c r="E278" s="334">
        <f>E267</f>
        <v>7</v>
      </c>
      <c r="F278" s="321"/>
      <c r="G278" s="2">
        <f t="shared" ref="G278:H289" si="28">G307+G336</f>
        <v>0</v>
      </c>
      <c r="H278" s="2">
        <f t="shared" si="28"/>
        <v>0</v>
      </c>
      <c r="I278" s="334">
        <f>I268</f>
        <v>11.18</v>
      </c>
      <c r="J278" s="321"/>
      <c r="K278" s="2">
        <f t="shared" ref="K278:K289" si="29">K307+K336</f>
        <v>0</v>
      </c>
      <c r="AE278" s="84"/>
    </row>
    <row r="279" spans="1:31">
      <c r="A279" s="1" t="s">
        <v>391</v>
      </c>
      <c r="B279" s="1"/>
      <c r="C279" s="319">
        <v>0</v>
      </c>
      <c r="D279" s="319">
        <v>0</v>
      </c>
      <c r="E279" s="334">
        <f>E268</f>
        <v>10.4</v>
      </c>
      <c r="F279" s="321"/>
      <c r="G279" s="2">
        <f t="shared" si="28"/>
        <v>0</v>
      </c>
      <c r="H279" s="2">
        <f t="shared" si="28"/>
        <v>0</v>
      </c>
      <c r="I279" s="334">
        <f>I269</f>
        <v>0.78</v>
      </c>
      <c r="J279" s="321"/>
      <c r="K279" s="2">
        <f t="shared" si="29"/>
        <v>0</v>
      </c>
      <c r="AE279" s="84"/>
    </row>
    <row r="280" spans="1:31">
      <c r="A280" s="1" t="s">
        <v>402</v>
      </c>
      <c r="B280" s="1"/>
      <c r="C280" s="319">
        <v>0</v>
      </c>
      <c r="D280" s="319">
        <v>0</v>
      </c>
      <c r="E280" s="334">
        <f>E269</f>
        <v>0.69</v>
      </c>
      <c r="F280" s="321"/>
      <c r="G280" s="2">
        <f t="shared" si="28"/>
        <v>0</v>
      </c>
      <c r="H280" s="2">
        <f t="shared" si="28"/>
        <v>0</v>
      </c>
      <c r="I280" s="334">
        <f>I270</f>
        <v>0</v>
      </c>
      <c r="J280" s="321"/>
      <c r="K280" s="2">
        <f t="shared" si="29"/>
        <v>0</v>
      </c>
      <c r="AE280" s="84"/>
    </row>
    <row r="281" spans="1:31">
      <c r="A281" s="1" t="s">
        <v>403</v>
      </c>
      <c r="B281" s="1"/>
      <c r="C281" s="319">
        <v>0</v>
      </c>
      <c r="D281" s="319">
        <v>0</v>
      </c>
      <c r="E281" s="334">
        <f>E272</f>
        <v>2.81</v>
      </c>
      <c r="F281" s="323"/>
      <c r="G281" s="2">
        <f t="shared" si="28"/>
        <v>0</v>
      </c>
      <c r="H281" s="2">
        <f t="shared" si="28"/>
        <v>0</v>
      </c>
      <c r="I281" s="334">
        <f>I272</f>
        <v>2.88</v>
      </c>
      <c r="J281" s="323"/>
      <c r="K281" s="2">
        <f t="shared" si="29"/>
        <v>0</v>
      </c>
      <c r="AE281" s="84"/>
    </row>
    <row r="282" spans="1:31">
      <c r="A282" s="1" t="s">
        <v>405</v>
      </c>
      <c r="B282" s="1"/>
      <c r="C282" s="319">
        <v>0</v>
      </c>
      <c r="D282" s="319">
        <v>0</v>
      </c>
      <c r="E282" s="335">
        <f>E273</f>
        <v>7.5869999999999997</v>
      </c>
      <c r="F282" s="323" t="s">
        <v>374</v>
      </c>
      <c r="G282" s="2">
        <f t="shared" si="28"/>
        <v>0</v>
      </c>
      <c r="H282" s="2">
        <f t="shared" si="28"/>
        <v>0</v>
      </c>
      <c r="I282" s="335">
        <f>I273</f>
        <v>8.0890000000000004</v>
      </c>
      <c r="J282" s="323" t="s">
        <v>374</v>
      </c>
      <c r="K282" s="2">
        <f t="shared" si="29"/>
        <v>0</v>
      </c>
      <c r="AE282" s="84"/>
    </row>
    <row r="283" spans="1:31">
      <c r="A283" s="1" t="s">
        <v>398</v>
      </c>
      <c r="B283" s="1"/>
      <c r="C283" s="319">
        <v>0</v>
      </c>
      <c r="D283" s="319">
        <v>0</v>
      </c>
      <c r="E283" s="335">
        <f>E274</f>
        <v>5.2370000000000001</v>
      </c>
      <c r="F283" s="323" t="s">
        <v>374</v>
      </c>
      <c r="G283" s="2">
        <f t="shared" si="28"/>
        <v>0</v>
      </c>
      <c r="H283" s="2">
        <f t="shared" si="28"/>
        <v>0</v>
      </c>
      <c r="I283" s="335">
        <f>I274</f>
        <v>5.5839999999999996</v>
      </c>
      <c r="J283" s="323" t="s">
        <v>374</v>
      </c>
      <c r="K283" s="2">
        <f t="shared" si="29"/>
        <v>0</v>
      </c>
      <c r="AE283" s="84"/>
    </row>
    <row r="284" spans="1:31">
      <c r="A284" s="1" t="s">
        <v>399</v>
      </c>
      <c r="B284" s="1"/>
      <c r="C284" s="319">
        <v>0</v>
      </c>
      <c r="D284" s="319">
        <v>0</v>
      </c>
      <c r="E284" s="335">
        <f>E275</f>
        <v>4.5129999999999999</v>
      </c>
      <c r="F284" s="323" t="s">
        <v>374</v>
      </c>
      <c r="G284" s="2">
        <f t="shared" si="28"/>
        <v>0</v>
      </c>
      <c r="H284" s="2">
        <f t="shared" si="28"/>
        <v>0</v>
      </c>
      <c r="I284" s="335">
        <f>I275</f>
        <v>4.8100000000000005</v>
      </c>
      <c r="J284" s="323" t="s">
        <v>374</v>
      </c>
      <c r="K284" s="2">
        <f t="shared" si="29"/>
        <v>0</v>
      </c>
      <c r="AE284" s="84"/>
    </row>
    <row r="285" spans="1:31">
      <c r="A285" s="1" t="s">
        <v>400</v>
      </c>
      <c r="B285" s="1"/>
      <c r="C285" s="319">
        <v>0</v>
      </c>
      <c r="D285" s="319">
        <v>0</v>
      </c>
      <c r="E285" s="336">
        <f>E276</f>
        <v>45</v>
      </c>
      <c r="F285" s="323" t="s">
        <v>374</v>
      </c>
      <c r="G285" s="2">
        <f t="shared" si="28"/>
        <v>0</v>
      </c>
      <c r="H285" s="2">
        <f t="shared" si="28"/>
        <v>0</v>
      </c>
      <c r="I285" s="336">
        <f>I276</f>
        <v>45</v>
      </c>
      <c r="J285" s="323" t="s">
        <v>374</v>
      </c>
      <c r="K285" s="2">
        <f t="shared" si="29"/>
        <v>0</v>
      </c>
      <c r="AE285" s="84"/>
    </row>
    <row r="286" spans="1:31">
      <c r="A286" s="1" t="s">
        <v>407</v>
      </c>
      <c r="B286" s="1"/>
      <c r="C286" s="319">
        <v>0</v>
      </c>
      <c r="D286" s="319">
        <v>0</v>
      </c>
      <c r="E286" s="337">
        <v>60</v>
      </c>
      <c r="F286" s="321"/>
      <c r="G286" s="2">
        <f t="shared" si="28"/>
        <v>0</v>
      </c>
      <c r="H286" s="2">
        <f t="shared" si="28"/>
        <v>0</v>
      </c>
      <c r="I286" s="337">
        <f>$I$172</f>
        <v>60</v>
      </c>
      <c r="J286" s="323"/>
      <c r="K286" s="2">
        <f t="shared" si="29"/>
        <v>0</v>
      </c>
      <c r="AE286" s="84"/>
    </row>
    <row r="287" spans="1:31">
      <c r="A287" s="1" t="s">
        <v>408</v>
      </c>
      <c r="B287" s="1"/>
      <c r="C287" s="319">
        <v>0</v>
      </c>
      <c r="D287" s="319">
        <v>0</v>
      </c>
      <c r="E287" s="339">
        <v>-30</v>
      </c>
      <c r="F287" s="321" t="s">
        <v>374</v>
      </c>
      <c r="G287" s="2">
        <f t="shared" si="28"/>
        <v>0</v>
      </c>
      <c r="H287" s="2">
        <f t="shared" si="28"/>
        <v>0</v>
      </c>
      <c r="I287" s="339">
        <f>$I$173</f>
        <v>-30</v>
      </c>
      <c r="J287" s="323" t="s">
        <v>374</v>
      </c>
      <c r="K287" s="2">
        <f t="shared" si="29"/>
        <v>0</v>
      </c>
      <c r="AE287" s="84"/>
    </row>
    <row r="288" spans="1:31">
      <c r="A288" s="1" t="s">
        <v>381</v>
      </c>
      <c r="B288" s="1"/>
      <c r="C288" s="319">
        <f>C317+C346</f>
        <v>1479724</v>
      </c>
      <c r="D288" s="319">
        <f>D317+D346</f>
        <v>1512494.9193898283</v>
      </c>
      <c r="E288" s="330"/>
      <c r="F288" s="2"/>
      <c r="G288" s="2">
        <f t="shared" si="28"/>
        <v>145918</v>
      </c>
      <c r="H288" s="2">
        <f t="shared" si="28"/>
        <v>148139</v>
      </c>
      <c r="I288" s="330"/>
      <c r="J288" s="323"/>
      <c r="K288" s="2">
        <f t="shared" si="29"/>
        <v>158273</v>
      </c>
      <c r="AE288" s="84"/>
    </row>
    <row r="289" spans="1:31">
      <c r="A289" s="1" t="s">
        <v>363</v>
      </c>
      <c r="B289" s="1"/>
      <c r="C289" s="340">
        <f>C318+C347</f>
        <v>5637.1439953097415</v>
      </c>
      <c r="D289" s="340">
        <f>D318+D347</f>
        <v>0</v>
      </c>
      <c r="E289" s="309"/>
      <c r="F289" s="309"/>
      <c r="G289" s="341">
        <f t="shared" si="28"/>
        <v>415.97676418055232</v>
      </c>
      <c r="H289" s="341">
        <f t="shared" si="28"/>
        <v>0</v>
      </c>
      <c r="I289" s="309"/>
      <c r="J289" s="309"/>
      <c r="K289" s="341">
        <f t="shared" si="29"/>
        <v>0</v>
      </c>
      <c r="M289" s="289"/>
      <c r="N289" s="289"/>
      <c r="O289" s="290"/>
      <c r="AE289" s="84"/>
    </row>
    <row r="290" spans="1:31" ht="16.5" thickBot="1">
      <c r="A290" s="1" t="s">
        <v>382</v>
      </c>
      <c r="B290" s="1"/>
      <c r="C290" s="311">
        <f>SUM(C288:C289)</f>
        <v>1485361.1439953097</v>
      </c>
      <c r="D290" s="311">
        <f>SUM(D288:D289)</f>
        <v>1512494.9193898283</v>
      </c>
      <c r="E290" s="342"/>
      <c r="F290" s="343"/>
      <c r="G290" s="344">
        <f>G288+G289</f>
        <v>146333.97676418055</v>
      </c>
      <c r="H290" s="344">
        <f>H288+H289</f>
        <v>148139</v>
      </c>
      <c r="I290" s="342"/>
      <c r="J290" s="345"/>
      <c r="K290" s="344">
        <f>K288+K289</f>
        <v>158273</v>
      </c>
      <c r="M290" s="291"/>
      <c r="N290" s="291"/>
      <c r="O290" s="292"/>
      <c r="AE290" s="84"/>
    </row>
    <row r="291" spans="1:31" ht="16.5" thickTop="1">
      <c r="A291" s="1"/>
      <c r="B291" s="1"/>
      <c r="C291" s="21"/>
      <c r="D291" s="21"/>
      <c r="E291" s="337"/>
      <c r="F291" s="2"/>
      <c r="G291" s="2"/>
      <c r="H291" s="2"/>
      <c r="I291" s="337"/>
      <c r="J291" s="1"/>
      <c r="K291" s="2" t="s">
        <v>31</v>
      </c>
      <c r="AE291" s="84"/>
    </row>
    <row r="292" spans="1:31">
      <c r="A292" s="293" t="s">
        <v>415</v>
      </c>
      <c r="B292" s="1"/>
      <c r="C292" s="1"/>
      <c r="D292" s="1"/>
      <c r="E292" s="2"/>
      <c r="F292" s="2"/>
      <c r="G292" s="1" t="s">
        <v>31</v>
      </c>
      <c r="H292" s="1"/>
      <c r="I292" s="2"/>
      <c r="J292" s="1"/>
      <c r="K292" s="1"/>
      <c r="AE292" s="84"/>
    </row>
    <row r="293" spans="1:31">
      <c r="A293" s="1" t="s">
        <v>411</v>
      </c>
      <c r="B293" s="1"/>
      <c r="C293" s="1"/>
      <c r="D293" s="1"/>
      <c r="E293" s="2"/>
      <c r="F293" s="2"/>
      <c r="G293" s="1"/>
      <c r="H293" s="1"/>
      <c r="I293" s="2"/>
      <c r="J293" s="1"/>
      <c r="K293" s="1"/>
      <c r="AE293" s="84"/>
    </row>
    <row r="294" spans="1:31">
      <c r="A294" s="1"/>
      <c r="B294" s="1"/>
      <c r="C294" s="1"/>
      <c r="D294" s="1"/>
      <c r="E294" s="2"/>
      <c r="F294" s="2"/>
      <c r="G294" s="1"/>
      <c r="H294" s="1"/>
      <c r="I294" s="2"/>
      <c r="J294" s="1"/>
      <c r="K294" s="1"/>
      <c r="AE294" s="84"/>
    </row>
    <row r="295" spans="1:31">
      <c r="A295" s="1" t="s">
        <v>393</v>
      </c>
      <c r="B295" s="1"/>
      <c r="C295" s="319"/>
      <c r="D295" s="319"/>
      <c r="E295" s="2"/>
      <c r="F295" s="2"/>
      <c r="G295" s="1"/>
      <c r="H295" s="1"/>
      <c r="I295" s="2"/>
      <c r="J295" s="1"/>
      <c r="K295" s="1"/>
      <c r="AE295" s="84"/>
    </row>
    <row r="296" spans="1:31">
      <c r="A296" s="1" t="s">
        <v>416</v>
      </c>
      <c r="B296" s="1"/>
      <c r="C296" s="319">
        <f>3955+554</f>
        <v>4509</v>
      </c>
      <c r="D296" s="319">
        <f>ROUND((D300/C300)*C296,0)</f>
        <v>4475</v>
      </c>
      <c r="E296" s="298">
        <v>7</v>
      </c>
      <c r="F296" s="321"/>
      <c r="G296" s="2">
        <f>ROUND(E296*$C296,0)</f>
        <v>31563</v>
      </c>
      <c r="H296" s="2">
        <f>ROUND(E296*$D296,0)</f>
        <v>31325</v>
      </c>
      <c r="I296" s="298">
        <f>$I$153</f>
        <v>7.53</v>
      </c>
      <c r="J296" s="323"/>
      <c r="K296" s="2">
        <f>ROUND(I296*$D296,0)</f>
        <v>33697</v>
      </c>
      <c r="AE296" s="84"/>
    </row>
    <row r="297" spans="1:31">
      <c r="A297" s="1" t="s">
        <v>391</v>
      </c>
      <c r="B297" s="1"/>
      <c r="C297" s="319">
        <v>0</v>
      </c>
      <c r="D297" s="319">
        <v>0</v>
      </c>
      <c r="E297" s="298">
        <v>10.4</v>
      </c>
      <c r="F297" s="324"/>
      <c r="G297" s="2">
        <f>ROUND(E297*$C297,0)</f>
        <v>0</v>
      </c>
      <c r="H297" s="2">
        <f>ROUND(E297*$D297,0)</f>
        <v>0</v>
      </c>
      <c r="I297" s="298">
        <f>$I$154</f>
        <v>11.18</v>
      </c>
      <c r="J297" s="325"/>
      <c r="K297" s="2">
        <f>ROUND(I297*$D297,0)</f>
        <v>0</v>
      </c>
      <c r="AE297" s="84"/>
    </row>
    <row r="298" spans="1:31">
      <c r="A298" s="1" t="s">
        <v>392</v>
      </c>
      <c r="B298" s="1"/>
      <c r="C298" s="319">
        <v>0</v>
      </c>
      <c r="D298" s="319">
        <v>0</v>
      </c>
      <c r="E298" s="298">
        <v>0.69</v>
      </c>
      <c r="F298" s="324"/>
      <c r="G298" s="2">
        <f>ROUND(E298*$C298,0)</f>
        <v>0</v>
      </c>
      <c r="H298" s="2">
        <f>ROUND(E298*$D298,0)</f>
        <v>0</v>
      </c>
      <c r="I298" s="298">
        <f>$I$155</f>
        <v>0.78</v>
      </c>
      <c r="J298" s="325"/>
      <c r="K298" s="2">
        <f>ROUND(I298*$D298,0)</f>
        <v>0</v>
      </c>
      <c r="AE298" s="84"/>
    </row>
    <row r="299" spans="1:31">
      <c r="A299" s="1" t="s">
        <v>394</v>
      </c>
      <c r="B299" s="1"/>
      <c r="C299" s="319">
        <f>SUM(C296:C297)</f>
        <v>4509</v>
      </c>
      <c r="D299" s="319">
        <f>ROUND((D300/C300)*C299,0)</f>
        <v>4475</v>
      </c>
      <c r="E299" s="298"/>
      <c r="F299" s="321"/>
      <c r="G299" s="2"/>
      <c r="H299" s="2"/>
      <c r="I299" s="298"/>
      <c r="J299" s="323"/>
      <c r="K299" s="2"/>
      <c r="AE299" s="84"/>
    </row>
    <row r="300" spans="1:31">
      <c r="A300" s="1" t="s">
        <v>362</v>
      </c>
      <c r="B300" s="1"/>
      <c r="C300" s="319">
        <f>118+1463</f>
        <v>1581</v>
      </c>
      <c r="D300" s="319">
        <v>1569</v>
      </c>
      <c r="E300" s="298"/>
      <c r="F300" s="321"/>
      <c r="G300" s="2"/>
      <c r="H300" s="2"/>
      <c r="I300" s="298"/>
      <c r="J300" s="323"/>
      <c r="K300" s="2"/>
      <c r="AE300" s="84"/>
    </row>
    <row r="301" spans="1:31">
      <c r="A301" s="1" t="s">
        <v>395</v>
      </c>
      <c r="B301" s="1"/>
      <c r="C301" s="319">
        <v>0</v>
      </c>
      <c r="D301" s="319">
        <v>0</v>
      </c>
      <c r="E301" s="326">
        <v>2.81</v>
      </c>
      <c r="F301" s="323"/>
      <c r="G301" s="2">
        <f>ROUND(E301*$C301,0)</f>
        <v>0</v>
      </c>
      <c r="H301" s="2">
        <f>ROUND(E301*$D301,0)</f>
        <v>0</v>
      </c>
      <c r="I301" s="326">
        <f>$I$158</f>
        <v>2.88</v>
      </c>
      <c r="J301" s="323"/>
      <c r="K301" s="2">
        <f>ROUND(I301*$D301,0)</f>
        <v>0</v>
      </c>
      <c r="AE301" s="84"/>
    </row>
    <row r="302" spans="1:31">
      <c r="A302" s="1" t="s">
        <v>397</v>
      </c>
      <c r="B302" s="1"/>
      <c r="C302" s="319">
        <f>36756+1134799+210050</f>
        <v>1381605</v>
      </c>
      <c r="D302" s="319">
        <f>ROUND(($D$317/'Blocking - detail'!$C$317)*C302,0)</f>
        <v>1407918</v>
      </c>
      <c r="E302" s="299">
        <v>7.5869999999999997</v>
      </c>
      <c r="F302" s="323" t="s">
        <v>374</v>
      </c>
      <c r="G302" s="2">
        <f>ROUND(E302*$C302/100,0)</f>
        <v>104822</v>
      </c>
      <c r="H302" s="2">
        <f>ROUND(E302*$D302/100,0)</f>
        <v>106819</v>
      </c>
      <c r="I302" s="299">
        <f>$I$159</f>
        <v>8.0890000000000004</v>
      </c>
      <c r="J302" s="323" t="s">
        <v>374</v>
      </c>
      <c r="K302" s="2">
        <f>ROUND(I302*$D302/100,0)</f>
        <v>113886</v>
      </c>
      <c r="AE302" s="84"/>
    </row>
    <row r="303" spans="1:31">
      <c r="A303" s="1" t="s">
        <v>398</v>
      </c>
      <c r="B303" s="21"/>
      <c r="C303" s="319">
        <f>64806</f>
        <v>64806</v>
      </c>
      <c r="D303" s="319">
        <f>ROUND(($D$317/'Blocking - detail'!$C$317)*C303,0)</f>
        <v>66040</v>
      </c>
      <c r="E303" s="299">
        <v>5.2370000000000001</v>
      </c>
      <c r="F303" s="323" t="s">
        <v>374</v>
      </c>
      <c r="G303" s="2">
        <f>ROUND(E303*$C303/100,0)</f>
        <v>3394</v>
      </c>
      <c r="H303" s="2">
        <f>ROUND(E303*$D303/100,0)</f>
        <v>3459</v>
      </c>
      <c r="I303" s="299">
        <f>$I$160</f>
        <v>5.5839999999999996</v>
      </c>
      <c r="J303" s="323" t="s">
        <v>374</v>
      </c>
      <c r="K303" s="2">
        <f>ROUND(I303*$D303/100,0)</f>
        <v>3688</v>
      </c>
      <c r="AE303" s="84"/>
    </row>
    <row r="304" spans="1:31">
      <c r="A304" s="1" t="s">
        <v>399</v>
      </c>
      <c r="B304" s="1"/>
      <c r="C304" s="319">
        <f>36756+1199605+210050-C302-C303</f>
        <v>0</v>
      </c>
      <c r="D304" s="319">
        <f>ROUND(($D$317/'Blocking - detail'!$C$317)*C304,0)</f>
        <v>0</v>
      </c>
      <c r="E304" s="299">
        <v>4.5129999999999999</v>
      </c>
      <c r="F304" s="323" t="s">
        <v>374</v>
      </c>
      <c r="G304" s="2">
        <f>ROUND(E304*$C304/100,0)</f>
        <v>0</v>
      </c>
      <c r="H304" s="2">
        <f>ROUND(E304*$D304/100,0)</f>
        <v>0</v>
      </c>
      <c r="I304" s="299">
        <f>$I$161</f>
        <v>4.8100000000000005</v>
      </c>
      <c r="J304" s="323" t="s">
        <v>374</v>
      </c>
      <c r="K304" s="2">
        <f>ROUND(I304*$D304/100,0)</f>
        <v>0</v>
      </c>
      <c r="AE304" s="84"/>
    </row>
    <row r="305" spans="1:31">
      <c r="A305" s="1" t="s">
        <v>400</v>
      </c>
      <c r="B305" s="1"/>
      <c r="C305" s="319">
        <v>0</v>
      </c>
      <c r="D305" s="319">
        <f>ROUND(($D$317/'Blocking - detail'!$C$317)*C305,0)</f>
        <v>0</v>
      </c>
      <c r="E305" s="330">
        <v>45</v>
      </c>
      <c r="F305" s="321" t="s">
        <v>374</v>
      </c>
      <c r="G305" s="2">
        <f>ROUND(E305*$C305/100,0)</f>
        <v>0</v>
      </c>
      <c r="H305" s="2">
        <f>ROUND(E305*$D305/100,0)</f>
        <v>0</v>
      </c>
      <c r="I305" s="330">
        <f>$I$162</f>
        <v>45</v>
      </c>
      <c r="J305" s="323" t="s">
        <v>374</v>
      </c>
      <c r="K305" s="2">
        <f>ROUND(I305*$D305/100,0)</f>
        <v>0</v>
      </c>
      <c r="AE305" s="84"/>
    </row>
    <row r="306" spans="1:31">
      <c r="A306" s="331" t="s">
        <v>401</v>
      </c>
      <c r="B306" s="1"/>
      <c r="C306" s="319"/>
      <c r="D306" s="319"/>
      <c r="E306" s="332">
        <v>-0.01</v>
      </c>
      <c r="F306" s="321"/>
      <c r="G306" s="2"/>
      <c r="H306" s="2"/>
      <c r="I306" s="332">
        <f>$I$163</f>
        <v>-0.01</v>
      </c>
      <c r="J306" s="323"/>
      <c r="K306" s="2"/>
      <c r="AE306" s="84"/>
    </row>
    <row r="307" spans="1:31">
      <c r="A307" s="1" t="s">
        <v>390</v>
      </c>
      <c r="B307" s="1"/>
      <c r="C307" s="319">
        <v>0</v>
      </c>
      <c r="D307" s="319">
        <v>0</v>
      </c>
      <c r="E307" s="334">
        <f>E296</f>
        <v>7</v>
      </c>
      <c r="F307" s="321"/>
      <c r="G307" s="2">
        <f>-ROUND(E307*$C307/100,0)</f>
        <v>0</v>
      </c>
      <c r="H307" s="2">
        <f t="shared" ref="H307:H316" si="30">-ROUND(E307*$D307/100,0)</f>
        <v>0</v>
      </c>
      <c r="I307" s="334">
        <f>I297</f>
        <v>11.18</v>
      </c>
      <c r="J307" s="321"/>
      <c r="K307" s="2">
        <f>-ROUND(I307*$D307/100,0)</f>
        <v>0</v>
      </c>
      <c r="AE307" s="84"/>
    </row>
    <row r="308" spans="1:31">
      <c r="A308" s="1" t="s">
        <v>391</v>
      </c>
      <c r="B308" s="1"/>
      <c r="C308" s="319">
        <v>0</v>
      </c>
      <c r="D308" s="319">
        <v>0</v>
      </c>
      <c r="E308" s="334">
        <f>E297</f>
        <v>10.4</v>
      </c>
      <c r="F308" s="321"/>
      <c r="G308" s="2">
        <f>-ROUND(E308*$C308/100,0)</f>
        <v>0</v>
      </c>
      <c r="H308" s="2">
        <f t="shared" si="30"/>
        <v>0</v>
      </c>
      <c r="I308" s="334">
        <f>I298</f>
        <v>0.78</v>
      </c>
      <c r="J308" s="321"/>
      <c r="K308" s="2">
        <f>-ROUND(I308*$D308/100,0)</f>
        <v>0</v>
      </c>
      <c r="AE308" s="84"/>
    </row>
    <row r="309" spans="1:31">
      <c r="A309" s="1" t="s">
        <v>402</v>
      </c>
      <c r="B309" s="1"/>
      <c r="C309" s="319">
        <v>0</v>
      </c>
      <c r="D309" s="319">
        <f>ROUND(($D$317/'Blocking - detail'!$C$317)*C309,0)</f>
        <v>0</v>
      </c>
      <c r="E309" s="334">
        <f>E298</f>
        <v>0.69</v>
      </c>
      <c r="F309" s="321"/>
      <c r="G309" s="2">
        <f>-ROUND(E309*$C309/100,0)</f>
        <v>0</v>
      </c>
      <c r="H309" s="2">
        <f t="shared" si="30"/>
        <v>0</v>
      </c>
      <c r="I309" s="334">
        <f>I299</f>
        <v>0</v>
      </c>
      <c r="J309" s="321"/>
      <c r="K309" s="2">
        <f>-ROUND(I309*$D309/100,0)</f>
        <v>0</v>
      </c>
      <c r="AE309" s="84"/>
    </row>
    <row r="310" spans="1:31">
      <c r="A310" s="1" t="s">
        <v>403</v>
      </c>
      <c r="B310" s="1"/>
      <c r="C310" s="319">
        <v>0</v>
      </c>
      <c r="D310" s="319">
        <f>ROUND(($D$317/'Blocking - detail'!$C$317)*C310,0)</f>
        <v>0</v>
      </c>
      <c r="E310" s="334">
        <f>E301</f>
        <v>2.81</v>
      </c>
      <c r="F310" s="323"/>
      <c r="G310" s="2">
        <f>-ROUND(E310*$C310/100,0)</f>
        <v>0</v>
      </c>
      <c r="H310" s="2">
        <f t="shared" si="30"/>
        <v>0</v>
      </c>
      <c r="I310" s="334">
        <f>I301</f>
        <v>2.88</v>
      </c>
      <c r="J310" s="323"/>
      <c r="K310" s="2">
        <f>-ROUND(I310*$D310/100,0)</f>
        <v>0</v>
      </c>
      <c r="AE310" s="84"/>
    </row>
    <row r="311" spans="1:31">
      <c r="A311" s="1" t="s">
        <v>405</v>
      </c>
      <c r="B311" s="1"/>
      <c r="C311" s="319">
        <v>0</v>
      </c>
      <c r="D311" s="319">
        <f>ROUND(($D$317/'Blocking - detail'!$C$317)*C311,0)</f>
        <v>0</v>
      </c>
      <c r="E311" s="335">
        <f>E302</f>
        <v>7.5869999999999997</v>
      </c>
      <c r="F311" s="323" t="s">
        <v>374</v>
      </c>
      <c r="G311" s="2">
        <f>ROUND(E311*$C311/100*E306,0)</f>
        <v>0</v>
      </c>
      <c r="H311" s="2">
        <f t="shared" si="30"/>
        <v>0</v>
      </c>
      <c r="I311" s="335">
        <f>I302</f>
        <v>8.0890000000000004</v>
      </c>
      <c r="J311" s="323" t="s">
        <v>374</v>
      </c>
      <c r="K311" s="2">
        <f>ROUND(I311*$D311/100*I306,0)</f>
        <v>0</v>
      </c>
      <c r="AE311" s="84"/>
    </row>
    <row r="312" spans="1:31">
      <c r="A312" s="1" t="s">
        <v>398</v>
      </c>
      <c r="B312" s="1"/>
      <c r="C312" s="319">
        <v>0</v>
      </c>
      <c r="D312" s="319">
        <f>ROUND(($D$317/'Blocking - detail'!$C$317)*C312,0)</f>
        <v>0</v>
      </c>
      <c r="E312" s="335">
        <f>E303</f>
        <v>5.2370000000000001</v>
      </c>
      <c r="F312" s="323" t="s">
        <v>374</v>
      </c>
      <c r="G312" s="2">
        <f>ROUND(E312*$C312/100*E306,0)</f>
        <v>0</v>
      </c>
      <c r="H312" s="2">
        <f t="shared" si="30"/>
        <v>0</v>
      </c>
      <c r="I312" s="335">
        <f>I303</f>
        <v>5.5839999999999996</v>
      </c>
      <c r="J312" s="323" t="s">
        <v>374</v>
      </c>
      <c r="K312" s="2">
        <f>ROUND(I312*$D312/100*I306,0)</f>
        <v>0</v>
      </c>
      <c r="AE312" s="84"/>
    </row>
    <row r="313" spans="1:31">
      <c r="A313" s="1" t="s">
        <v>399</v>
      </c>
      <c r="B313" s="1"/>
      <c r="C313" s="319">
        <v>0</v>
      </c>
      <c r="D313" s="319">
        <f>ROUND(($D$317/'Blocking - detail'!$C$317)*C313,0)</f>
        <v>0</v>
      </c>
      <c r="E313" s="335">
        <f>E304</f>
        <v>4.5129999999999999</v>
      </c>
      <c r="F313" s="323" t="s">
        <v>374</v>
      </c>
      <c r="G313" s="2">
        <f>ROUND(E313*$C313/100*E306,0)</f>
        <v>0</v>
      </c>
      <c r="H313" s="2">
        <f t="shared" si="30"/>
        <v>0</v>
      </c>
      <c r="I313" s="335">
        <f>I304</f>
        <v>4.8100000000000005</v>
      </c>
      <c r="J313" s="323" t="s">
        <v>374</v>
      </c>
      <c r="K313" s="2">
        <f>ROUND(I313*$D313/100*I306,0)</f>
        <v>0</v>
      </c>
      <c r="AE313" s="84"/>
    </row>
    <row r="314" spans="1:31">
      <c r="A314" s="1" t="s">
        <v>400</v>
      </c>
      <c r="B314" s="1"/>
      <c r="C314" s="319">
        <v>0</v>
      </c>
      <c r="D314" s="319">
        <f>ROUND(($D$317/'Blocking - detail'!$C$317)*C314,0)</f>
        <v>0</v>
      </c>
      <c r="E314" s="336">
        <f>E305</f>
        <v>45</v>
      </c>
      <c r="F314" s="323" t="s">
        <v>374</v>
      </c>
      <c r="G314" s="2">
        <f>ROUND(E314*$C314/100*E306,0)</f>
        <v>0</v>
      </c>
      <c r="H314" s="2">
        <f t="shared" si="30"/>
        <v>0</v>
      </c>
      <c r="I314" s="336">
        <f>I305</f>
        <v>45</v>
      </c>
      <c r="J314" s="323" t="s">
        <v>374</v>
      </c>
      <c r="K314" s="2">
        <f>ROUND(I314*$D314/100*I306,0)</f>
        <v>0</v>
      </c>
      <c r="AE314" s="84"/>
    </row>
    <row r="315" spans="1:31">
      <c r="A315" s="1" t="s">
        <v>407</v>
      </c>
      <c r="B315" s="1"/>
      <c r="C315" s="319">
        <v>0</v>
      </c>
      <c r="D315" s="319">
        <f>ROUND(($D$317/'Blocking - detail'!$C$317)*C315,0)</f>
        <v>0</v>
      </c>
      <c r="E315" s="337">
        <v>60</v>
      </c>
      <c r="F315" s="321"/>
      <c r="G315" s="2">
        <f>ROUND(E315*$C315,0)</f>
        <v>0</v>
      </c>
      <c r="H315" s="2">
        <f t="shared" si="30"/>
        <v>0</v>
      </c>
      <c r="I315" s="337">
        <f>$I$172</f>
        <v>60</v>
      </c>
      <c r="J315" s="323"/>
      <c r="K315" s="2">
        <f>ROUND(I315*$D315,0)</f>
        <v>0</v>
      </c>
      <c r="AE315" s="84"/>
    </row>
    <row r="316" spans="1:31">
      <c r="A316" s="1" t="s">
        <v>408</v>
      </c>
      <c r="B316" s="1"/>
      <c r="C316" s="319">
        <v>0</v>
      </c>
      <c r="D316" s="319">
        <f>ROUND(($D$317/'Blocking - detail'!$C$317)*C316,0)</f>
        <v>0</v>
      </c>
      <c r="E316" s="339">
        <v>-30</v>
      </c>
      <c r="F316" s="321" t="s">
        <v>374</v>
      </c>
      <c r="G316" s="2">
        <f>ROUND(E316*$C316/100,0)</f>
        <v>0</v>
      </c>
      <c r="H316" s="2">
        <f t="shared" si="30"/>
        <v>0</v>
      </c>
      <c r="I316" s="339">
        <f>$I$173</f>
        <v>-30</v>
      </c>
      <c r="J316" s="323" t="s">
        <v>374</v>
      </c>
      <c r="K316" s="2">
        <f>ROUND(I316*$D316/100,0)</f>
        <v>0</v>
      </c>
      <c r="AE316" s="84"/>
    </row>
    <row r="317" spans="1:31">
      <c r="A317" s="1" t="s">
        <v>381</v>
      </c>
      <c r="B317" s="1"/>
      <c r="C317" s="319">
        <f>SUM(C302:C304)</f>
        <v>1446411</v>
      </c>
      <c r="D317" s="319">
        <v>1473957.9193898283</v>
      </c>
      <c r="E317" s="330"/>
      <c r="F317" s="2"/>
      <c r="G317" s="2">
        <f>SUM(G296:G316)</f>
        <v>139779</v>
      </c>
      <c r="H317" s="2">
        <f>SUM(H296:H316)</f>
        <v>141603</v>
      </c>
      <c r="I317" s="330"/>
      <c r="J317" s="323"/>
      <c r="K317" s="2">
        <f>SUM(K296:K316)</f>
        <v>151271</v>
      </c>
      <c r="AE317" s="84"/>
    </row>
    <row r="318" spans="1:31">
      <c r="A318" s="1" t="s">
        <v>363</v>
      </c>
      <c r="B318" s="1"/>
      <c r="C318" s="349">
        <v>6388.0237176284736</v>
      </c>
      <c r="D318" s="340">
        <v>0</v>
      </c>
      <c r="E318" s="309"/>
      <c r="F318" s="309"/>
      <c r="G318" s="341">
        <v>524.67537963993209</v>
      </c>
      <c r="H318" s="341">
        <v>0</v>
      </c>
      <c r="I318" s="309"/>
      <c r="J318" s="309"/>
      <c r="K318" s="341">
        <v>0</v>
      </c>
      <c r="M318" s="289"/>
      <c r="N318" s="289"/>
      <c r="O318" s="290"/>
      <c r="AE318" s="84"/>
    </row>
    <row r="319" spans="1:31" ht="16.5" thickBot="1">
      <c r="A319" s="1" t="s">
        <v>382</v>
      </c>
      <c r="B319" s="1"/>
      <c r="C319" s="311">
        <f>SUM(C317:C318)</f>
        <v>1452799.0237176286</v>
      </c>
      <c r="D319" s="311">
        <f>SUM(D317:D318)</f>
        <v>1473957.9193898283</v>
      </c>
      <c r="E319" s="342"/>
      <c r="F319" s="343"/>
      <c r="G319" s="344">
        <f>G317+G318</f>
        <v>140303.67537963993</v>
      </c>
      <c r="H319" s="344">
        <f>H317+H318</f>
        <v>141603</v>
      </c>
      <c r="I319" s="342"/>
      <c r="J319" s="345"/>
      <c r="K319" s="344">
        <f>K317+K318</f>
        <v>151271</v>
      </c>
      <c r="M319" s="291"/>
      <c r="N319" s="291"/>
      <c r="O319" s="292"/>
      <c r="AE319" s="84"/>
    </row>
    <row r="320" spans="1:31" ht="16.5" thickTop="1">
      <c r="A320" s="1"/>
      <c r="B320" s="1"/>
      <c r="C320" s="21"/>
      <c r="D320" s="21"/>
      <c r="E320" s="337"/>
      <c r="F320" s="2"/>
      <c r="G320" s="2"/>
      <c r="H320" s="2"/>
      <c r="I320" s="337"/>
      <c r="J320" s="1"/>
      <c r="K320" s="2" t="s">
        <v>31</v>
      </c>
      <c r="AE320" s="84"/>
    </row>
    <row r="321" spans="1:31">
      <c r="A321" s="293" t="s">
        <v>415</v>
      </c>
      <c r="B321" s="1"/>
      <c r="C321" s="1"/>
      <c r="D321" s="1"/>
      <c r="E321" s="2"/>
      <c r="F321" s="2"/>
      <c r="G321" s="1" t="s">
        <v>31</v>
      </c>
      <c r="H321" s="1"/>
      <c r="I321" s="2"/>
      <c r="J321" s="1"/>
      <c r="K321" s="1"/>
      <c r="AE321" s="84"/>
    </row>
    <row r="322" spans="1:31">
      <c r="A322" s="1" t="s">
        <v>414</v>
      </c>
      <c r="B322" s="1"/>
      <c r="C322" s="1"/>
      <c r="D322" s="1"/>
      <c r="E322" s="2"/>
      <c r="F322" s="2"/>
      <c r="G322" s="1"/>
      <c r="H322" s="1"/>
      <c r="I322" s="2"/>
      <c r="J322" s="1"/>
      <c r="K322" s="1"/>
      <c r="AE322" s="84"/>
    </row>
    <row r="323" spans="1:31">
      <c r="A323" s="1"/>
      <c r="B323" s="1"/>
      <c r="C323" s="1"/>
      <c r="D323" s="1"/>
      <c r="E323" s="2"/>
      <c r="F323" s="2"/>
      <c r="G323" s="1"/>
      <c r="H323" s="1"/>
      <c r="I323" s="2"/>
      <c r="J323" s="1"/>
      <c r="K323" s="1"/>
      <c r="AE323" s="84"/>
    </row>
    <row r="324" spans="1:31">
      <c r="A324" s="1" t="s">
        <v>393</v>
      </c>
      <c r="B324" s="1"/>
      <c r="C324" s="319"/>
      <c r="D324" s="319"/>
      <c r="E324" s="2"/>
      <c r="F324" s="2"/>
      <c r="G324" s="1"/>
      <c r="H324" s="1"/>
      <c r="I324" s="2"/>
      <c r="J324" s="1"/>
      <c r="K324" s="1"/>
      <c r="AE324" s="84"/>
    </row>
    <row r="325" spans="1:31">
      <c r="A325" s="1" t="s">
        <v>416</v>
      </c>
      <c r="B325" s="1"/>
      <c r="C325" s="319">
        <v>516</v>
      </c>
      <c r="D325" s="319">
        <f>ROUND((D329/C329)*C325,0)</f>
        <v>516</v>
      </c>
      <c r="E325" s="298">
        <v>7</v>
      </c>
      <c r="F325" s="321"/>
      <c r="G325" s="2">
        <f>ROUND(E325*$C325,0)</f>
        <v>3612</v>
      </c>
      <c r="H325" s="2">
        <f>ROUND(E325*$D325,0)</f>
        <v>3612</v>
      </c>
      <c r="I325" s="298">
        <f>$I$153</f>
        <v>7.53</v>
      </c>
      <c r="J325" s="323"/>
      <c r="K325" s="2">
        <f>ROUND(I325*$D325,0)</f>
        <v>3885</v>
      </c>
      <c r="AE325" s="84"/>
    </row>
    <row r="326" spans="1:31">
      <c r="A326" s="1" t="s">
        <v>391</v>
      </c>
      <c r="B326" s="1"/>
      <c r="C326" s="319">
        <v>0</v>
      </c>
      <c r="D326" s="319">
        <v>0</v>
      </c>
      <c r="E326" s="298">
        <v>10.4</v>
      </c>
      <c r="F326" s="324"/>
      <c r="G326" s="2">
        <f>ROUND(E326*$C326,0)</f>
        <v>0</v>
      </c>
      <c r="H326" s="2">
        <f>ROUND(E326*$D326,0)</f>
        <v>0</v>
      </c>
      <c r="I326" s="298">
        <f>$I$154</f>
        <v>11.18</v>
      </c>
      <c r="J326" s="325"/>
      <c r="K326" s="2">
        <f>ROUND(I326*$D326,0)</f>
        <v>0</v>
      </c>
      <c r="AE326" s="84"/>
    </row>
    <row r="327" spans="1:31">
      <c r="A327" s="1" t="s">
        <v>392</v>
      </c>
      <c r="B327" s="1"/>
      <c r="C327" s="319">
        <v>0</v>
      </c>
      <c r="D327" s="319">
        <v>0</v>
      </c>
      <c r="E327" s="298">
        <v>0.69</v>
      </c>
      <c r="F327" s="324"/>
      <c r="G327" s="2">
        <f>ROUND(E327*$C327,0)</f>
        <v>0</v>
      </c>
      <c r="H327" s="2">
        <f>ROUND(E327*$D327,0)</f>
        <v>0</v>
      </c>
      <c r="I327" s="298">
        <f>$I$155</f>
        <v>0.78</v>
      </c>
      <c r="J327" s="325"/>
      <c r="K327" s="2">
        <f>ROUND(I327*$D327,0)</f>
        <v>0</v>
      </c>
      <c r="AE327" s="84"/>
    </row>
    <row r="328" spans="1:31">
      <c r="A328" s="1" t="s">
        <v>394</v>
      </c>
      <c r="B328" s="1"/>
      <c r="C328" s="319">
        <f>SUM(C325:C326)</f>
        <v>516</v>
      </c>
      <c r="D328" s="319">
        <f>ROUND((D329/C329)*C328,0)</f>
        <v>516</v>
      </c>
      <c r="E328" s="298"/>
      <c r="F328" s="321"/>
      <c r="G328" s="2"/>
      <c r="H328" s="2"/>
      <c r="I328" s="298"/>
      <c r="J328" s="323"/>
      <c r="K328" s="2"/>
      <c r="AE328" s="84"/>
    </row>
    <row r="329" spans="1:31">
      <c r="A329" s="1" t="s">
        <v>362</v>
      </c>
      <c r="B329" s="1"/>
      <c r="C329" s="319">
        <v>48</v>
      </c>
      <c r="D329" s="319">
        <v>48</v>
      </c>
      <c r="E329" s="298"/>
      <c r="F329" s="321"/>
      <c r="G329" s="2"/>
      <c r="H329" s="2"/>
      <c r="I329" s="298"/>
      <c r="J329" s="323"/>
      <c r="K329" s="2"/>
      <c r="AE329" s="84"/>
    </row>
    <row r="330" spans="1:31">
      <c r="A330" s="1" t="s">
        <v>395</v>
      </c>
      <c r="B330" s="1"/>
      <c r="C330" s="319">
        <v>0</v>
      </c>
      <c r="D330" s="319">
        <v>0</v>
      </c>
      <c r="E330" s="326">
        <v>2.81</v>
      </c>
      <c r="F330" s="323"/>
      <c r="G330" s="2">
        <f>ROUND(E330*$C330,0)</f>
        <v>0</v>
      </c>
      <c r="H330" s="2">
        <f>ROUND(E330*$D330,0)</f>
        <v>0</v>
      </c>
      <c r="I330" s="326">
        <f>$I$158</f>
        <v>2.88</v>
      </c>
      <c r="J330" s="323"/>
      <c r="K330" s="2">
        <f>ROUND(I330*$D330,0)</f>
        <v>0</v>
      </c>
      <c r="AE330" s="84"/>
    </row>
    <row r="331" spans="1:31">
      <c r="A331" s="1" t="s">
        <v>397</v>
      </c>
      <c r="B331" s="1"/>
      <c r="C331" s="319">
        <f>33313</f>
        <v>33313</v>
      </c>
      <c r="D331" s="319">
        <f>ROUND(($D$346/'Blocking - detail'!$C$346)*C331,0)</f>
        <v>38537</v>
      </c>
      <c r="E331" s="299">
        <v>7.5869999999999997</v>
      </c>
      <c r="F331" s="323" t="s">
        <v>374</v>
      </c>
      <c r="G331" s="2">
        <f>ROUND(E331*$C331/100,0)</f>
        <v>2527</v>
      </c>
      <c r="H331" s="2">
        <f>ROUND(E331*$D331/100,0)</f>
        <v>2924</v>
      </c>
      <c r="I331" s="299">
        <f>$I$159</f>
        <v>8.0890000000000004</v>
      </c>
      <c r="J331" s="323" t="s">
        <v>374</v>
      </c>
      <c r="K331" s="2">
        <f>ROUND(I331*$D331/100,0)</f>
        <v>3117</v>
      </c>
      <c r="AE331" s="84"/>
    </row>
    <row r="332" spans="1:31">
      <c r="A332" s="1" t="s">
        <v>398</v>
      </c>
      <c r="B332" s="1"/>
      <c r="C332" s="319">
        <v>0</v>
      </c>
      <c r="D332" s="319">
        <v>0</v>
      </c>
      <c r="E332" s="299">
        <v>5.2370000000000001</v>
      </c>
      <c r="F332" s="323" t="s">
        <v>374</v>
      </c>
      <c r="G332" s="2">
        <f>ROUND(E332*$C332/100,0)</f>
        <v>0</v>
      </c>
      <c r="H332" s="2">
        <f>ROUND(E332*$D332/100,0)</f>
        <v>0</v>
      </c>
      <c r="I332" s="299">
        <f>$I$160</f>
        <v>5.5839999999999996</v>
      </c>
      <c r="J332" s="323" t="s">
        <v>374</v>
      </c>
      <c r="K332" s="2">
        <f>ROUND(I332*$D332/100,0)</f>
        <v>0</v>
      </c>
      <c r="AE332" s="84"/>
    </row>
    <row r="333" spans="1:31">
      <c r="A333" s="1" t="s">
        <v>399</v>
      </c>
      <c r="B333" s="1"/>
      <c r="C333" s="319">
        <f>33313-C331</f>
        <v>0</v>
      </c>
      <c r="D333" s="319">
        <v>0</v>
      </c>
      <c r="E333" s="299">
        <v>4.5129999999999999</v>
      </c>
      <c r="F333" s="323" t="s">
        <v>374</v>
      </c>
      <c r="G333" s="2">
        <f>ROUND(E333*$C333/100,0)</f>
        <v>0</v>
      </c>
      <c r="H333" s="2">
        <f>ROUND(E333*$D333/100,0)</f>
        <v>0</v>
      </c>
      <c r="I333" s="299">
        <f>$I$161</f>
        <v>4.8100000000000005</v>
      </c>
      <c r="J333" s="323" t="s">
        <v>374</v>
      </c>
      <c r="K333" s="2">
        <f>ROUND(I333*$D333/100,0)</f>
        <v>0</v>
      </c>
      <c r="AE333" s="84"/>
    </row>
    <row r="334" spans="1:31">
      <c r="A334" s="1" t="s">
        <v>400</v>
      </c>
      <c r="B334" s="1"/>
      <c r="C334" s="319">
        <v>0</v>
      </c>
      <c r="D334" s="319">
        <v>0</v>
      </c>
      <c r="E334" s="330">
        <v>45</v>
      </c>
      <c r="F334" s="321" t="s">
        <v>374</v>
      </c>
      <c r="G334" s="2">
        <f>ROUND(E334*$C334/100,0)</f>
        <v>0</v>
      </c>
      <c r="H334" s="2">
        <f>ROUND(E334*$D334/100,0)</f>
        <v>0</v>
      </c>
      <c r="I334" s="330">
        <f>$I$162</f>
        <v>45</v>
      </c>
      <c r="J334" s="323" t="s">
        <v>374</v>
      </c>
      <c r="K334" s="2">
        <f>ROUND(I334*$D334/100,0)</f>
        <v>0</v>
      </c>
      <c r="AE334" s="84"/>
    </row>
    <row r="335" spans="1:31">
      <c r="A335" s="331" t="s">
        <v>401</v>
      </c>
      <c r="B335" s="1"/>
      <c r="C335" s="319"/>
      <c r="D335" s="319"/>
      <c r="E335" s="332">
        <v>-0.01</v>
      </c>
      <c r="F335" s="321"/>
      <c r="G335" s="2"/>
      <c r="H335" s="2"/>
      <c r="I335" s="332">
        <f>$I$163</f>
        <v>-0.01</v>
      </c>
      <c r="J335" s="323"/>
      <c r="K335" s="2"/>
      <c r="AE335" s="84"/>
    </row>
    <row r="336" spans="1:31">
      <c r="A336" s="1" t="s">
        <v>390</v>
      </c>
      <c r="B336" s="1"/>
      <c r="C336" s="319">
        <v>0</v>
      </c>
      <c r="D336" s="319">
        <v>0</v>
      </c>
      <c r="E336" s="334">
        <f>E325</f>
        <v>7</v>
      </c>
      <c r="F336" s="321"/>
      <c r="G336" s="2">
        <f>-ROUND(E336*$C336/100,0)</f>
        <v>0</v>
      </c>
      <c r="H336" s="2">
        <f t="shared" ref="H336:H345" si="31">-ROUND(E336*$D336/100,0)</f>
        <v>0</v>
      </c>
      <c r="I336" s="334">
        <f>I326</f>
        <v>11.18</v>
      </c>
      <c r="J336" s="321"/>
      <c r="K336" s="2">
        <f>-ROUND(I336*$D336/100,0)</f>
        <v>0</v>
      </c>
      <c r="AE336" s="84"/>
    </row>
    <row r="337" spans="1:31">
      <c r="A337" s="1" t="s">
        <v>391</v>
      </c>
      <c r="B337" s="1"/>
      <c r="C337" s="319">
        <v>0</v>
      </c>
      <c r="D337" s="319">
        <v>0</v>
      </c>
      <c r="E337" s="334">
        <f>E326</f>
        <v>10.4</v>
      </c>
      <c r="F337" s="321"/>
      <c r="G337" s="2">
        <f>-ROUND(E337*$C337/100,0)</f>
        <v>0</v>
      </c>
      <c r="H337" s="2">
        <f t="shared" si="31"/>
        <v>0</v>
      </c>
      <c r="I337" s="334">
        <f>I327</f>
        <v>0.78</v>
      </c>
      <c r="J337" s="321"/>
      <c r="K337" s="2">
        <f>-ROUND(I337*$D337/100,0)</f>
        <v>0</v>
      </c>
      <c r="AE337" s="84"/>
    </row>
    <row r="338" spans="1:31">
      <c r="A338" s="1" t="s">
        <v>402</v>
      </c>
      <c r="B338" s="1"/>
      <c r="C338" s="319">
        <v>0</v>
      </c>
      <c r="D338" s="319">
        <v>0</v>
      </c>
      <c r="E338" s="334">
        <f>E327</f>
        <v>0.69</v>
      </c>
      <c r="F338" s="321"/>
      <c r="G338" s="2">
        <f>-ROUND(E338*$C338/100,0)</f>
        <v>0</v>
      </c>
      <c r="H338" s="2">
        <f t="shared" si="31"/>
        <v>0</v>
      </c>
      <c r="I338" s="334">
        <f>I328</f>
        <v>0</v>
      </c>
      <c r="J338" s="321"/>
      <c r="K338" s="2">
        <f>-ROUND(I338*$D338/100,0)</f>
        <v>0</v>
      </c>
      <c r="AE338" s="84"/>
    </row>
    <row r="339" spans="1:31">
      <c r="A339" s="1" t="s">
        <v>403</v>
      </c>
      <c r="B339" s="1"/>
      <c r="C339" s="319">
        <v>0</v>
      </c>
      <c r="D339" s="319">
        <v>0</v>
      </c>
      <c r="E339" s="334">
        <f>E330</f>
        <v>2.81</v>
      </c>
      <c r="F339" s="323"/>
      <c r="G339" s="2">
        <f>-ROUND(E339*$C339/100,0)</f>
        <v>0</v>
      </c>
      <c r="H339" s="2">
        <f t="shared" si="31"/>
        <v>0</v>
      </c>
      <c r="I339" s="334">
        <f>I330</f>
        <v>2.88</v>
      </c>
      <c r="J339" s="323"/>
      <c r="K339" s="2">
        <f>-ROUND(I339*$D339/100,0)</f>
        <v>0</v>
      </c>
      <c r="AE339" s="84"/>
    </row>
    <row r="340" spans="1:31">
      <c r="A340" s="1" t="s">
        <v>405</v>
      </c>
      <c r="B340" s="1"/>
      <c r="C340" s="319">
        <v>0</v>
      </c>
      <c r="D340" s="319">
        <v>0</v>
      </c>
      <c r="E340" s="335">
        <f>E331</f>
        <v>7.5869999999999997</v>
      </c>
      <c r="F340" s="323" t="s">
        <v>374</v>
      </c>
      <c r="G340" s="2">
        <f>ROUND(E340*$C340/100*E335,0)</f>
        <v>0</v>
      </c>
      <c r="H340" s="2">
        <f t="shared" si="31"/>
        <v>0</v>
      </c>
      <c r="I340" s="335">
        <f>I331</f>
        <v>8.0890000000000004</v>
      </c>
      <c r="J340" s="323" t="s">
        <v>374</v>
      </c>
      <c r="K340" s="2">
        <f>ROUND(I340*$D340/100*I335,0)</f>
        <v>0</v>
      </c>
      <c r="AE340" s="84"/>
    </row>
    <row r="341" spans="1:31">
      <c r="A341" s="1" t="s">
        <v>398</v>
      </c>
      <c r="B341" s="1"/>
      <c r="C341" s="319">
        <v>0</v>
      </c>
      <c r="D341" s="319">
        <v>0</v>
      </c>
      <c r="E341" s="335">
        <f>E332</f>
        <v>5.2370000000000001</v>
      </c>
      <c r="F341" s="323" t="s">
        <v>374</v>
      </c>
      <c r="G341" s="2">
        <f>ROUND(E341*$C341/100*E335,0)</f>
        <v>0</v>
      </c>
      <c r="H341" s="2">
        <f t="shared" si="31"/>
        <v>0</v>
      </c>
      <c r="I341" s="335">
        <f>I332</f>
        <v>5.5839999999999996</v>
      </c>
      <c r="J341" s="323" t="s">
        <v>374</v>
      </c>
      <c r="K341" s="2">
        <f>ROUND(I341*$D341/100*I335,0)</f>
        <v>0</v>
      </c>
      <c r="AE341" s="84"/>
    </row>
    <row r="342" spans="1:31">
      <c r="A342" s="1" t="s">
        <v>399</v>
      </c>
      <c r="B342" s="1"/>
      <c r="C342" s="319">
        <v>0</v>
      </c>
      <c r="D342" s="319">
        <v>0</v>
      </c>
      <c r="E342" s="335">
        <f>E333</f>
        <v>4.5129999999999999</v>
      </c>
      <c r="F342" s="323" t="s">
        <v>374</v>
      </c>
      <c r="G342" s="2">
        <f>ROUND(E342*$C342/100*E335,0)</f>
        <v>0</v>
      </c>
      <c r="H342" s="2">
        <f t="shared" si="31"/>
        <v>0</v>
      </c>
      <c r="I342" s="335">
        <f>I333</f>
        <v>4.8100000000000005</v>
      </c>
      <c r="J342" s="323" t="s">
        <v>374</v>
      </c>
      <c r="K342" s="2">
        <f>ROUND(I342*$D342/100*I335,0)</f>
        <v>0</v>
      </c>
      <c r="AE342" s="84"/>
    </row>
    <row r="343" spans="1:31">
      <c r="A343" s="1" t="s">
        <v>400</v>
      </c>
      <c r="B343" s="1"/>
      <c r="C343" s="319">
        <v>0</v>
      </c>
      <c r="D343" s="319">
        <v>0</v>
      </c>
      <c r="E343" s="336">
        <f>E334</f>
        <v>45</v>
      </c>
      <c r="F343" s="323" t="s">
        <v>374</v>
      </c>
      <c r="G343" s="2">
        <f>ROUND(E343*$C343/100*E335,0)</f>
        <v>0</v>
      </c>
      <c r="H343" s="2">
        <f t="shared" si="31"/>
        <v>0</v>
      </c>
      <c r="I343" s="336">
        <f>I334</f>
        <v>45</v>
      </c>
      <c r="J343" s="323" t="s">
        <v>374</v>
      </c>
      <c r="K343" s="2">
        <f>ROUND(I343*$D343/100*I335,0)</f>
        <v>0</v>
      </c>
      <c r="AE343" s="84"/>
    </row>
    <row r="344" spans="1:31">
      <c r="A344" s="1" t="s">
        <v>407</v>
      </c>
      <c r="B344" s="1"/>
      <c r="C344" s="319">
        <v>0</v>
      </c>
      <c r="D344" s="319">
        <v>0</v>
      </c>
      <c r="E344" s="337">
        <v>60</v>
      </c>
      <c r="F344" s="321"/>
      <c r="G344" s="2">
        <f>ROUND(E344*$C344,0)</f>
        <v>0</v>
      </c>
      <c r="H344" s="2">
        <f t="shared" si="31"/>
        <v>0</v>
      </c>
      <c r="I344" s="337">
        <f>$I$172</f>
        <v>60</v>
      </c>
      <c r="J344" s="323"/>
      <c r="K344" s="2">
        <f>ROUND(I344*$D344,0)</f>
        <v>0</v>
      </c>
      <c r="AE344" s="84"/>
    </row>
    <row r="345" spans="1:31">
      <c r="A345" s="1" t="s">
        <v>408</v>
      </c>
      <c r="B345" s="1"/>
      <c r="C345" s="319">
        <v>0</v>
      </c>
      <c r="D345" s="319">
        <v>0</v>
      </c>
      <c r="E345" s="339">
        <v>-30</v>
      </c>
      <c r="F345" s="321" t="s">
        <v>374</v>
      </c>
      <c r="G345" s="2">
        <f>ROUND(E345*$C345/100,0)</f>
        <v>0</v>
      </c>
      <c r="H345" s="2">
        <f t="shared" si="31"/>
        <v>0</v>
      </c>
      <c r="I345" s="339">
        <f>$I$173</f>
        <v>-30</v>
      </c>
      <c r="J345" s="323" t="s">
        <v>374</v>
      </c>
      <c r="K345" s="2">
        <f>ROUND(I345*$D345/100,0)</f>
        <v>0</v>
      </c>
      <c r="AE345" s="84"/>
    </row>
    <row r="346" spans="1:31">
      <c r="A346" s="1" t="s">
        <v>381</v>
      </c>
      <c r="B346" s="1"/>
      <c r="C346" s="319">
        <f>SUM(C331:C333)</f>
        <v>33313</v>
      </c>
      <c r="D346" s="319">
        <v>38537</v>
      </c>
      <c r="E346" s="330"/>
      <c r="F346" s="2"/>
      <c r="G346" s="2">
        <f>SUM(G325:G345)</f>
        <v>6139</v>
      </c>
      <c r="H346" s="2">
        <f>SUM(H325:H345)</f>
        <v>6536</v>
      </c>
      <c r="I346" s="330"/>
      <c r="J346" s="323"/>
      <c r="K346" s="2">
        <f>SUM(K325:K345)</f>
        <v>7002</v>
      </c>
      <c r="AE346" s="84"/>
    </row>
    <row r="347" spans="1:31">
      <c r="A347" s="1" t="s">
        <v>363</v>
      </c>
      <c r="B347" s="1"/>
      <c r="C347" s="349">
        <v>-750.87972231873164</v>
      </c>
      <c r="D347" s="340">
        <v>0</v>
      </c>
      <c r="E347" s="309"/>
      <c r="F347" s="309"/>
      <c r="G347" s="341">
        <v>-108.69861545937974</v>
      </c>
      <c r="H347" s="341">
        <v>0</v>
      </c>
      <c r="I347" s="309"/>
      <c r="J347" s="309"/>
      <c r="K347" s="341">
        <v>0</v>
      </c>
      <c r="M347" s="289"/>
      <c r="N347" s="289"/>
      <c r="O347" s="290"/>
      <c r="AE347" s="84"/>
    </row>
    <row r="348" spans="1:31" ht="16.5" thickBot="1">
      <c r="A348" s="1" t="s">
        <v>382</v>
      </c>
      <c r="B348" s="1"/>
      <c r="C348" s="311">
        <f>SUM(C346:C347)</f>
        <v>32562.120277681268</v>
      </c>
      <c r="D348" s="311">
        <f>SUM(D346:D347)</f>
        <v>38537</v>
      </c>
      <c r="E348" s="342"/>
      <c r="F348" s="343"/>
      <c r="G348" s="344">
        <f>G346+G347</f>
        <v>6030.3013845406203</v>
      </c>
      <c r="H348" s="344">
        <f>H346+H347</f>
        <v>6536</v>
      </c>
      <c r="I348" s="342"/>
      <c r="J348" s="345"/>
      <c r="K348" s="344">
        <f>K346+K347</f>
        <v>7002</v>
      </c>
      <c r="M348" s="291"/>
      <c r="N348" s="291"/>
      <c r="O348" s="292"/>
      <c r="AE348" s="84"/>
    </row>
    <row r="349" spans="1:31" ht="16.5" thickTop="1">
      <c r="A349" s="1"/>
      <c r="B349" s="1"/>
      <c r="C349" s="21"/>
      <c r="D349" s="21"/>
      <c r="E349" s="337"/>
      <c r="F349" s="2"/>
      <c r="G349" s="2"/>
      <c r="H349" s="2"/>
      <c r="I349" s="353" t="s">
        <v>31</v>
      </c>
      <c r="J349" s="1"/>
      <c r="K349" s="2" t="s">
        <v>31</v>
      </c>
      <c r="AE349" s="84"/>
    </row>
    <row r="350" spans="1:31">
      <c r="A350" s="1"/>
      <c r="B350" s="1"/>
      <c r="C350" s="21"/>
      <c r="D350" s="21"/>
      <c r="E350" s="337"/>
      <c r="F350" s="2"/>
      <c r="G350" s="2"/>
      <c r="H350" s="2"/>
      <c r="I350" s="353" t="s">
        <v>31</v>
      </c>
      <c r="J350" s="1"/>
      <c r="K350" s="2" t="s">
        <v>31</v>
      </c>
      <c r="AE350" s="84"/>
    </row>
    <row r="351" spans="1:31">
      <c r="A351" s="293" t="s">
        <v>417</v>
      </c>
      <c r="B351" s="1"/>
      <c r="C351" s="1"/>
      <c r="D351" s="1"/>
      <c r="E351" s="2"/>
      <c r="F351" s="2"/>
      <c r="G351" s="1" t="s">
        <v>31</v>
      </c>
      <c r="H351" s="1"/>
      <c r="I351" s="2"/>
      <c r="J351" s="1"/>
      <c r="K351" s="1"/>
      <c r="AE351" s="84"/>
    </row>
    <row r="352" spans="1:31">
      <c r="A352" s="1" t="s">
        <v>410</v>
      </c>
      <c r="B352" s="1"/>
      <c r="C352" s="1"/>
      <c r="D352" s="1"/>
      <c r="E352" s="2"/>
      <c r="F352" s="2"/>
      <c r="G352" s="1"/>
      <c r="H352" s="1"/>
      <c r="I352" s="2"/>
      <c r="J352" s="1"/>
      <c r="K352" s="1"/>
    </row>
    <row r="353" spans="1:11">
      <c r="A353" s="1" t="s">
        <v>418</v>
      </c>
      <c r="B353" s="1"/>
      <c r="C353" s="1"/>
      <c r="D353" s="1"/>
      <c r="E353" s="2"/>
      <c r="F353" s="2"/>
      <c r="G353" s="1"/>
      <c r="H353" s="1"/>
      <c r="I353" s="2"/>
      <c r="J353" s="1"/>
      <c r="K353" s="1"/>
    </row>
    <row r="354" spans="1:11">
      <c r="A354" s="1" t="s">
        <v>393</v>
      </c>
      <c r="B354" s="1"/>
      <c r="C354" s="319"/>
      <c r="D354" s="319"/>
      <c r="E354" s="2"/>
      <c r="F354" s="2"/>
      <c r="G354" s="1"/>
      <c r="H354" s="1"/>
      <c r="I354" s="2"/>
      <c r="J354" s="1"/>
      <c r="K354" s="1"/>
    </row>
    <row r="355" spans="1:11">
      <c r="A355" s="1" t="s">
        <v>390</v>
      </c>
      <c r="B355" s="1"/>
      <c r="C355" s="319">
        <f t="shared" ref="C355:D364" si="32">C384+C413</f>
        <v>1</v>
      </c>
      <c r="D355" s="319">
        <f t="shared" si="32"/>
        <v>1</v>
      </c>
      <c r="E355" s="298">
        <v>84</v>
      </c>
      <c r="F355" s="321"/>
      <c r="G355" s="2">
        <f t="shared" ref="G355:H357" si="33">G384+G413</f>
        <v>84</v>
      </c>
      <c r="H355" s="2">
        <f t="shared" si="33"/>
        <v>84</v>
      </c>
      <c r="I355" s="298">
        <f>$I$149</f>
        <v>90.36</v>
      </c>
      <c r="J355" s="323"/>
      <c r="K355" s="2">
        <f>K384+K413</f>
        <v>90</v>
      </c>
    </row>
    <row r="356" spans="1:11">
      <c r="A356" s="1" t="s">
        <v>391</v>
      </c>
      <c r="B356" s="1"/>
      <c r="C356" s="319">
        <f t="shared" si="32"/>
        <v>112</v>
      </c>
      <c r="D356" s="319">
        <f t="shared" si="32"/>
        <v>109</v>
      </c>
      <c r="E356" s="298">
        <v>124.8</v>
      </c>
      <c r="F356" s="324"/>
      <c r="G356" s="2">
        <f t="shared" si="33"/>
        <v>13978</v>
      </c>
      <c r="H356" s="2">
        <f t="shared" si="33"/>
        <v>13603</v>
      </c>
      <c r="I356" s="298">
        <f>$I$150</f>
        <v>134.16</v>
      </c>
      <c r="J356" s="325"/>
      <c r="K356" s="2">
        <f>K385+K414</f>
        <v>14623</v>
      </c>
    </row>
    <row r="357" spans="1:11">
      <c r="A357" s="1" t="s">
        <v>392</v>
      </c>
      <c r="B357" s="1"/>
      <c r="C357" s="319">
        <f t="shared" si="32"/>
        <v>4566</v>
      </c>
      <c r="D357" s="319">
        <f t="shared" si="32"/>
        <v>3312</v>
      </c>
      <c r="E357" s="298">
        <v>8.2799999999999994</v>
      </c>
      <c r="F357" s="324"/>
      <c r="G357" s="2">
        <f t="shared" si="33"/>
        <v>37806</v>
      </c>
      <c r="H357" s="2">
        <f t="shared" si="33"/>
        <v>27423</v>
      </c>
      <c r="I357" s="298">
        <f>$I$151</f>
        <v>9.36</v>
      </c>
      <c r="J357" s="325"/>
      <c r="K357" s="2">
        <f>K386+K415</f>
        <v>31000</v>
      </c>
    </row>
    <row r="358" spans="1:11">
      <c r="A358" s="1" t="s">
        <v>394</v>
      </c>
      <c r="B358" s="1"/>
      <c r="C358" s="319">
        <f t="shared" si="32"/>
        <v>113</v>
      </c>
      <c r="D358" s="319">
        <f t="shared" si="32"/>
        <v>109.75</v>
      </c>
      <c r="E358" s="298"/>
      <c r="F358" s="321"/>
      <c r="G358" s="2"/>
      <c r="H358" s="2"/>
      <c r="I358" s="298"/>
      <c r="J358" s="323"/>
      <c r="K358" s="2"/>
    </row>
    <row r="359" spans="1:11">
      <c r="A359" s="1" t="s">
        <v>419</v>
      </c>
      <c r="B359" s="1"/>
      <c r="C359" s="319">
        <f t="shared" si="32"/>
        <v>511</v>
      </c>
      <c r="D359" s="319">
        <f t="shared" si="32"/>
        <v>497</v>
      </c>
      <c r="E359" s="298"/>
      <c r="F359" s="321"/>
      <c r="G359" s="2"/>
      <c r="H359" s="2"/>
      <c r="I359" s="298"/>
      <c r="J359" s="323"/>
      <c r="K359" s="2"/>
    </row>
    <row r="360" spans="1:11">
      <c r="A360" s="1" t="s">
        <v>395</v>
      </c>
      <c r="B360" s="1"/>
      <c r="C360" s="319">
        <f t="shared" si="32"/>
        <v>12874</v>
      </c>
      <c r="D360" s="319">
        <f t="shared" si="32"/>
        <v>9698</v>
      </c>
      <c r="E360" s="326">
        <v>2.81</v>
      </c>
      <c r="F360" s="323"/>
      <c r="G360" s="2">
        <f t="shared" ref="G360:H364" si="34">G389+G418</f>
        <v>36176</v>
      </c>
      <c r="H360" s="2">
        <f t="shared" si="34"/>
        <v>27251</v>
      </c>
      <c r="I360" s="326">
        <f>$I$158</f>
        <v>2.88</v>
      </c>
      <c r="J360" s="323"/>
      <c r="K360" s="2">
        <f>K389+K418</f>
        <v>27931</v>
      </c>
    </row>
    <row r="361" spans="1:11">
      <c r="A361" s="1" t="s">
        <v>397</v>
      </c>
      <c r="B361" s="1"/>
      <c r="C361" s="319">
        <f t="shared" si="32"/>
        <v>184406</v>
      </c>
      <c r="D361" s="319">
        <f t="shared" si="32"/>
        <v>137037</v>
      </c>
      <c r="E361" s="299">
        <v>7.5869999999999997</v>
      </c>
      <c r="F361" s="323" t="s">
        <v>374</v>
      </c>
      <c r="G361" s="2">
        <f t="shared" si="34"/>
        <v>13991</v>
      </c>
      <c r="H361" s="2">
        <f t="shared" si="34"/>
        <v>10397</v>
      </c>
      <c r="I361" s="299">
        <f>$I$159</f>
        <v>8.0890000000000004</v>
      </c>
      <c r="J361" s="323" t="s">
        <v>374</v>
      </c>
      <c r="K361" s="2">
        <f>K390+K419</f>
        <v>11085</v>
      </c>
    </row>
    <row r="362" spans="1:11">
      <c r="A362" s="1" t="s">
        <v>398</v>
      </c>
      <c r="B362" s="1"/>
      <c r="C362" s="319">
        <f t="shared" si="32"/>
        <v>224259</v>
      </c>
      <c r="D362" s="319">
        <f t="shared" si="32"/>
        <v>163082</v>
      </c>
      <c r="E362" s="299">
        <v>5.2370000000000001</v>
      </c>
      <c r="F362" s="323" t="s">
        <v>374</v>
      </c>
      <c r="G362" s="2">
        <f t="shared" si="34"/>
        <v>11745</v>
      </c>
      <c r="H362" s="2">
        <f t="shared" si="34"/>
        <v>8541</v>
      </c>
      <c r="I362" s="299">
        <f>$I$160</f>
        <v>5.5839999999999996</v>
      </c>
      <c r="J362" s="323" t="s">
        <v>374</v>
      </c>
      <c r="K362" s="2">
        <f>K391+K420</f>
        <v>9107</v>
      </c>
    </row>
    <row r="363" spans="1:11">
      <c r="A363" s="1" t="s">
        <v>399</v>
      </c>
      <c r="B363" s="1"/>
      <c r="C363" s="319">
        <f t="shared" si="32"/>
        <v>0</v>
      </c>
      <c r="D363" s="319">
        <f t="shared" si="32"/>
        <v>0</v>
      </c>
      <c r="E363" s="299">
        <v>4.5129999999999999</v>
      </c>
      <c r="F363" s="323" t="s">
        <v>374</v>
      </c>
      <c r="G363" s="2">
        <f t="shared" si="34"/>
        <v>0</v>
      </c>
      <c r="H363" s="2">
        <f t="shared" si="34"/>
        <v>0</v>
      </c>
      <c r="I363" s="299">
        <f>$I$161</f>
        <v>4.8100000000000005</v>
      </c>
      <c r="J363" s="323" t="s">
        <v>374</v>
      </c>
      <c r="K363" s="2">
        <f>K392+K421</f>
        <v>0</v>
      </c>
    </row>
    <row r="364" spans="1:11">
      <c r="A364" s="1" t="s">
        <v>400</v>
      </c>
      <c r="B364" s="1"/>
      <c r="C364" s="319">
        <f t="shared" si="32"/>
        <v>1798</v>
      </c>
      <c r="D364" s="319">
        <f t="shared" si="32"/>
        <v>1304</v>
      </c>
      <c r="E364" s="330">
        <v>45</v>
      </c>
      <c r="F364" s="321" t="s">
        <v>374</v>
      </c>
      <c r="G364" s="2">
        <f t="shared" si="34"/>
        <v>809</v>
      </c>
      <c r="H364" s="2">
        <f t="shared" si="34"/>
        <v>587</v>
      </c>
      <c r="I364" s="330">
        <f>$I$162</f>
        <v>45</v>
      </c>
      <c r="J364" s="323" t="s">
        <v>374</v>
      </c>
      <c r="K364" s="2">
        <f>K393+K422</f>
        <v>587</v>
      </c>
    </row>
    <row r="365" spans="1:11">
      <c r="A365" s="331" t="s">
        <v>401</v>
      </c>
      <c r="B365" s="1"/>
      <c r="C365" s="319"/>
      <c r="D365" s="319"/>
      <c r="E365" s="332">
        <v>-0.01</v>
      </c>
      <c r="F365" s="321"/>
      <c r="G365" s="2"/>
      <c r="H365" s="2"/>
      <c r="I365" s="332">
        <f>$I$163</f>
        <v>-0.01</v>
      </c>
      <c r="J365" s="323"/>
      <c r="K365" s="2"/>
    </row>
    <row r="366" spans="1:11">
      <c r="A366" s="1" t="s">
        <v>390</v>
      </c>
      <c r="B366" s="1"/>
      <c r="C366" s="319">
        <v>0</v>
      </c>
      <c r="D366" s="319">
        <v>0</v>
      </c>
      <c r="E366" s="334">
        <f>E355</f>
        <v>84</v>
      </c>
      <c r="F366" s="321"/>
      <c r="G366" s="2">
        <f t="shared" ref="G366:H377" si="35">G395+G424</f>
        <v>0</v>
      </c>
      <c r="H366" s="2">
        <f t="shared" si="35"/>
        <v>0</v>
      </c>
      <c r="I366" s="334">
        <f>I355</f>
        <v>90.36</v>
      </c>
      <c r="J366" s="321"/>
      <c r="K366" s="2">
        <f t="shared" ref="K366:K377" si="36">K395+K424</f>
        <v>0</v>
      </c>
    </row>
    <row r="367" spans="1:11">
      <c r="A367" s="1" t="s">
        <v>391</v>
      </c>
      <c r="B367" s="1"/>
      <c r="C367" s="319">
        <v>0</v>
      </c>
      <c r="D367" s="319">
        <v>0</v>
      </c>
      <c r="E367" s="334">
        <f>E356</f>
        <v>124.8</v>
      </c>
      <c r="F367" s="321"/>
      <c r="G367" s="2">
        <f t="shared" si="35"/>
        <v>0</v>
      </c>
      <c r="H367" s="2">
        <f t="shared" si="35"/>
        <v>0</v>
      </c>
      <c r="I367" s="334">
        <f>I356</f>
        <v>134.16</v>
      </c>
      <c r="J367" s="321"/>
      <c r="K367" s="2">
        <f t="shared" si="36"/>
        <v>0</v>
      </c>
    </row>
    <row r="368" spans="1:11">
      <c r="A368" s="1" t="s">
        <v>402</v>
      </c>
      <c r="B368" s="1"/>
      <c r="C368" s="319">
        <v>0</v>
      </c>
      <c r="D368" s="319">
        <v>0</v>
      </c>
      <c r="E368" s="334">
        <f>E357</f>
        <v>8.2799999999999994</v>
      </c>
      <c r="F368" s="321"/>
      <c r="G368" s="2">
        <f t="shared" si="35"/>
        <v>0</v>
      </c>
      <c r="H368" s="2">
        <f t="shared" si="35"/>
        <v>0</v>
      </c>
      <c r="I368" s="334">
        <f>I357</f>
        <v>9.36</v>
      </c>
      <c r="J368" s="321"/>
      <c r="K368" s="2">
        <f t="shared" si="36"/>
        <v>0</v>
      </c>
    </row>
    <row r="369" spans="1:15">
      <c r="A369" s="1" t="s">
        <v>403</v>
      </c>
      <c r="B369" s="1"/>
      <c r="C369" s="319">
        <v>0</v>
      </c>
      <c r="D369" s="319">
        <v>0</v>
      </c>
      <c r="E369" s="334">
        <f>E360</f>
        <v>2.81</v>
      </c>
      <c r="F369" s="323"/>
      <c r="G369" s="2">
        <f t="shared" si="35"/>
        <v>0</v>
      </c>
      <c r="H369" s="2">
        <f t="shared" si="35"/>
        <v>0</v>
      </c>
      <c r="I369" s="334">
        <f>I360</f>
        <v>2.88</v>
      </c>
      <c r="J369" s="323"/>
      <c r="K369" s="2">
        <f t="shared" si="36"/>
        <v>0</v>
      </c>
    </row>
    <row r="370" spans="1:15">
      <c r="A370" s="1" t="s">
        <v>405</v>
      </c>
      <c r="B370" s="1"/>
      <c r="C370" s="319">
        <v>0</v>
      </c>
      <c r="D370" s="319">
        <v>0</v>
      </c>
      <c r="E370" s="335">
        <f>E361</f>
        <v>7.5869999999999997</v>
      </c>
      <c r="F370" s="323" t="s">
        <v>374</v>
      </c>
      <c r="G370" s="2">
        <f t="shared" si="35"/>
        <v>0</v>
      </c>
      <c r="H370" s="2">
        <f t="shared" si="35"/>
        <v>0</v>
      </c>
      <c r="I370" s="335">
        <f>I361</f>
        <v>8.0890000000000004</v>
      </c>
      <c r="J370" s="323" t="s">
        <v>374</v>
      </c>
      <c r="K370" s="2">
        <f t="shared" si="36"/>
        <v>0</v>
      </c>
    </row>
    <row r="371" spans="1:15">
      <c r="A371" s="1" t="s">
        <v>398</v>
      </c>
      <c r="B371" s="1"/>
      <c r="C371" s="319">
        <v>0</v>
      </c>
      <c r="D371" s="319">
        <v>0</v>
      </c>
      <c r="E371" s="335">
        <f>E362</f>
        <v>5.2370000000000001</v>
      </c>
      <c r="F371" s="323" t="s">
        <v>374</v>
      </c>
      <c r="G371" s="2">
        <f t="shared" si="35"/>
        <v>0</v>
      </c>
      <c r="H371" s="2">
        <f t="shared" si="35"/>
        <v>0</v>
      </c>
      <c r="I371" s="335">
        <f>I362</f>
        <v>5.5839999999999996</v>
      </c>
      <c r="J371" s="323" t="s">
        <v>374</v>
      </c>
      <c r="K371" s="2">
        <f t="shared" si="36"/>
        <v>0</v>
      </c>
    </row>
    <row r="372" spans="1:15">
      <c r="A372" s="1" t="s">
        <v>399</v>
      </c>
      <c r="B372" s="1"/>
      <c r="C372" s="319">
        <v>0</v>
      </c>
      <c r="D372" s="319">
        <v>0</v>
      </c>
      <c r="E372" s="335">
        <f>E363</f>
        <v>4.5129999999999999</v>
      </c>
      <c r="F372" s="323" t="s">
        <v>374</v>
      </c>
      <c r="G372" s="2">
        <f t="shared" si="35"/>
        <v>0</v>
      </c>
      <c r="H372" s="2">
        <f t="shared" si="35"/>
        <v>0</v>
      </c>
      <c r="I372" s="335">
        <f>I363</f>
        <v>4.8100000000000005</v>
      </c>
      <c r="J372" s="323" t="s">
        <v>374</v>
      </c>
      <c r="K372" s="2">
        <f t="shared" si="36"/>
        <v>0</v>
      </c>
    </row>
    <row r="373" spans="1:15">
      <c r="A373" s="1" t="s">
        <v>400</v>
      </c>
      <c r="B373" s="1"/>
      <c r="C373" s="319">
        <v>0</v>
      </c>
      <c r="D373" s="319">
        <v>0</v>
      </c>
      <c r="E373" s="336">
        <f>E364</f>
        <v>45</v>
      </c>
      <c r="F373" s="323" t="s">
        <v>374</v>
      </c>
      <c r="G373" s="2">
        <f t="shared" si="35"/>
        <v>0</v>
      </c>
      <c r="H373" s="2">
        <f t="shared" si="35"/>
        <v>0</v>
      </c>
      <c r="I373" s="336">
        <f>I364</f>
        <v>45</v>
      </c>
      <c r="J373" s="323" t="s">
        <v>374</v>
      </c>
      <c r="K373" s="2">
        <f t="shared" si="36"/>
        <v>0</v>
      </c>
    </row>
    <row r="374" spans="1:15">
      <c r="A374" s="1" t="s">
        <v>407</v>
      </c>
      <c r="B374" s="1"/>
      <c r="C374" s="319">
        <v>0</v>
      </c>
      <c r="D374" s="319">
        <v>0</v>
      </c>
      <c r="E374" s="337">
        <v>60</v>
      </c>
      <c r="F374" s="321"/>
      <c r="G374" s="2">
        <f t="shared" si="35"/>
        <v>0</v>
      </c>
      <c r="H374" s="2">
        <f t="shared" si="35"/>
        <v>0</v>
      </c>
      <c r="I374" s="337">
        <f>$I$172</f>
        <v>60</v>
      </c>
      <c r="J374" s="323"/>
      <c r="K374" s="2">
        <f t="shared" si="36"/>
        <v>0</v>
      </c>
    </row>
    <row r="375" spans="1:15">
      <c r="A375" s="1" t="s">
        <v>408</v>
      </c>
      <c r="B375" s="1"/>
      <c r="C375" s="319">
        <v>0</v>
      </c>
      <c r="D375" s="319">
        <v>0</v>
      </c>
      <c r="E375" s="339">
        <v>-30</v>
      </c>
      <c r="F375" s="321" t="s">
        <v>374</v>
      </c>
      <c r="G375" s="2">
        <f t="shared" si="35"/>
        <v>0</v>
      </c>
      <c r="H375" s="2">
        <f t="shared" si="35"/>
        <v>0</v>
      </c>
      <c r="I375" s="339">
        <f>$I$173</f>
        <v>-30</v>
      </c>
      <c r="J375" s="323" t="s">
        <v>374</v>
      </c>
      <c r="K375" s="2">
        <f t="shared" si="36"/>
        <v>0</v>
      </c>
    </row>
    <row r="376" spans="1:15">
      <c r="A376" s="1" t="s">
        <v>381</v>
      </c>
      <c r="B376" s="1"/>
      <c r="C376" s="319">
        <f>C405+C434</f>
        <v>408665</v>
      </c>
      <c r="D376" s="319">
        <f>D405+D434</f>
        <v>300118.64975971833</v>
      </c>
      <c r="E376" s="330"/>
      <c r="F376" s="2"/>
      <c r="G376" s="2">
        <f t="shared" si="35"/>
        <v>114589</v>
      </c>
      <c r="H376" s="2">
        <f t="shared" si="35"/>
        <v>87886</v>
      </c>
      <c r="I376" s="2"/>
      <c r="J376" s="323"/>
      <c r="K376" s="2">
        <f t="shared" si="36"/>
        <v>94423</v>
      </c>
    </row>
    <row r="377" spans="1:15">
      <c r="A377" s="1" t="s">
        <v>363</v>
      </c>
      <c r="B377" s="1"/>
      <c r="C377" s="340">
        <f>C406+C435</f>
        <v>1708.559032095249</v>
      </c>
      <c r="D377" s="340">
        <f>D406+D435</f>
        <v>0</v>
      </c>
      <c r="E377" s="309"/>
      <c r="F377" s="309"/>
      <c r="G377" s="341">
        <f t="shared" si="35"/>
        <v>340.00809002605808</v>
      </c>
      <c r="H377" s="341">
        <f t="shared" si="35"/>
        <v>0</v>
      </c>
      <c r="I377" s="309"/>
      <c r="J377" s="309"/>
      <c r="K377" s="341">
        <f t="shared" si="36"/>
        <v>0</v>
      </c>
      <c r="M377" s="289"/>
      <c r="N377" s="289"/>
      <c r="O377" s="290"/>
    </row>
    <row r="378" spans="1:15" ht="16.5" thickBot="1">
      <c r="A378" s="1" t="s">
        <v>382</v>
      </c>
      <c r="B378" s="1"/>
      <c r="C378" s="311">
        <f>SUM(C376:C377)</f>
        <v>410373.55903209525</v>
      </c>
      <c r="D378" s="311">
        <f>SUM(D376:D377)</f>
        <v>300118.64975971833</v>
      </c>
      <c r="E378" s="342"/>
      <c r="F378" s="343"/>
      <c r="G378" s="344">
        <f>G376+G377</f>
        <v>114929.00809002605</v>
      </c>
      <c r="H378" s="344">
        <f>H376+H377</f>
        <v>87886</v>
      </c>
      <c r="I378" s="342"/>
      <c r="J378" s="345"/>
      <c r="K378" s="344">
        <f>K376+K377</f>
        <v>94423</v>
      </c>
      <c r="M378" s="291"/>
      <c r="N378" s="291"/>
      <c r="O378" s="292"/>
    </row>
    <row r="379" spans="1:15" ht="16.5" thickTop="1">
      <c r="A379" s="1"/>
      <c r="B379" s="1"/>
      <c r="C379" s="21"/>
      <c r="D379" s="21"/>
      <c r="E379" s="337"/>
      <c r="F379" s="2"/>
      <c r="G379" s="2"/>
      <c r="H379" s="2"/>
      <c r="I379" s="353" t="s">
        <v>31</v>
      </c>
      <c r="J379" s="1"/>
      <c r="K379" s="2" t="s">
        <v>31</v>
      </c>
    </row>
    <row r="380" spans="1:15">
      <c r="A380" s="293" t="s">
        <v>417</v>
      </c>
      <c r="B380" s="1"/>
      <c r="C380" s="1"/>
      <c r="D380" s="1"/>
      <c r="E380" s="2"/>
      <c r="F380" s="2"/>
      <c r="G380" s="1" t="s">
        <v>31</v>
      </c>
      <c r="H380" s="1"/>
      <c r="I380" s="2"/>
      <c r="J380" s="1"/>
      <c r="K380" s="1"/>
    </row>
    <row r="381" spans="1:15">
      <c r="A381" s="1" t="s">
        <v>411</v>
      </c>
      <c r="B381" s="1"/>
      <c r="C381" s="1"/>
      <c r="D381" s="1"/>
      <c r="E381" s="2"/>
      <c r="F381" s="2"/>
      <c r="G381" s="1"/>
      <c r="H381" s="1"/>
      <c r="I381" s="2"/>
      <c r="J381" s="1"/>
      <c r="K381" s="1"/>
    </row>
    <row r="382" spans="1:15">
      <c r="A382" s="1" t="s">
        <v>418</v>
      </c>
      <c r="B382" s="1"/>
      <c r="C382" s="1"/>
      <c r="D382" s="1"/>
      <c r="E382" s="2"/>
      <c r="F382" s="2"/>
      <c r="G382" s="1"/>
      <c r="H382" s="1"/>
      <c r="I382" s="2"/>
      <c r="J382" s="1"/>
      <c r="K382" s="1"/>
    </row>
    <row r="383" spans="1:15">
      <c r="A383" s="1" t="s">
        <v>393</v>
      </c>
      <c r="B383" s="1"/>
      <c r="C383" s="319"/>
      <c r="D383" s="319"/>
      <c r="E383" s="2"/>
      <c r="F383" s="2"/>
      <c r="G383" s="1"/>
      <c r="H383" s="1"/>
      <c r="I383" s="2"/>
      <c r="J383" s="1"/>
      <c r="K383" s="1"/>
    </row>
    <row r="384" spans="1:15">
      <c r="A384" s="1" t="s">
        <v>390</v>
      </c>
      <c r="B384" s="1"/>
      <c r="C384" s="319">
        <v>1</v>
      </c>
      <c r="D384" s="319">
        <f>ROUND(($D$387/$C$387)*C384,0)</f>
        <v>1</v>
      </c>
      <c r="E384" s="298">
        <v>84</v>
      </c>
      <c r="F384" s="321"/>
      <c r="G384" s="2">
        <f>ROUND(E384*$C384,0)</f>
        <v>84</v>
      </c>
      <c r="H384" s="2">
        <f>ROUND(E384*$D384,0)</f>
        <v>84</v>
      </c>
      <c r="I384" s="298">
        <f>$I$149</f>
        <v>90.36</v>
      </c>
      <c r="J384" s="323"/>
      <c r="K384" s="2">
        <f>ROUND(I384*$D384,0)</f>
        <v>90</v>
      </c>
    </row>
    <row r="385" spans="1:11">
      <c r="A385" s="1" t="s">
        <v>391</v>
      </c>
      <c r="B385" s="1"/>
      <c r="C385" s="319">
        <v>111</v>
      </c>
      <c r="D385" s="319">
        <f>ROUND(($D$387/$C$387)*C385,0)</f>
        <v>108</v>
      </c>
      <c r="E385" s="298">
        <v>124.8</v>
      </c>
      <c r="F385" s="324"/>
      <c r="G385" s="2">
        <f>ROUND(E385*$C385,0)</f>
        <v>13853</v>
      </c>
      <c r="H385" s="2">
        <f>ROUND(E385*$D385,0)</f>
        <v>13478</v>
      </c>
      <c r="I385" s="298">
        <f>$I$150</f>
        <v>134.16</v>
      </c>
      <c r="J385" s="325"/>
      <c r="K385" s="2">
        <f>ROUND(I385*$D385,0)</f>
        <v>14489</v>
      </c>
    </row>
    <row r="386" spans="1:11">
      <c r="A386" s="1" t="s">
        <v>392</v>
      </c>
      <c r="B386" s="1"/>
      <c r="C386" s="319">
        <f>4491</f>
        <v>4491</v>
      </c>
      <c r="D386" s="319">
        <f>ROUND(($D$405/$C$405)*C386,0)</f>
        <v>3258</v>
      </c>
      <c r="E386" s="298">
        <v>8.2799999999999994</v>
      </c>
      <c r="F386" s="324"/>
      <c r="G386" s="2">
        <f>ROUND(E386*$C386,0)</f>
        <v>37185</v>
      </c>
      <c r="H386" s="2">
        <f>ROUND(E386*$D386,0)</f>
        <v>26976</v>
      </c>
      <c r="I386" s="298">
        <f>$I$151</f>
        <v>9.36</v>
      </c>
      <c r="J386" s="325"/>
      <c r="K386" s="2">
        <f>ROUND(I386*$D386,0)</f>
        <v>30495</v>
      </c>
    </row>
    <row r="387" spans="1:11">
      <c r="A387" s="1" t="s">
        <v>394</v>
      </c>
      <c r="B387" s="1"/>
      <c r="C387" s="319">
        <f>SUM(C384:C385)</f>
        <v>112</v>
      </c>
      <c r="D387" s="319">
        <v>108.75</v>
      </c>
      <c r="E387" s="298"/>
      <c r="F387" s="321"/>
      <c r="G387" s="2"/>
      <c r="H387" s="2"/>
      <c r="I387" s="298"/>
      <c r="J387" s="323"/>
      <c r="K387" s="2"/>
    </row>
    <row r="388" spans="1:11">
      <c r="A388" s="1" t="s">
        <v>419</v>
      </c>
      <c r="B388" s="1"/>
      <c r="C388" s="319">
        <f>8+491</f>
        <v>499</v>
      </c>
      <c r="D388" s="319">
        <f>ROUND(($D$387/$C$387)*C388,0)</f>
        <v>485</v>
      </c>
      <c r="E388" s="298"/>
      <c r="F388" s="321"/>
      <c r="G388" s="2"/>
      <c r="H388" s="2"/>
      <c r="I388" s="298"/>
      <c r="J388" s="323"/>
      <c r="K388" s="2"/>
    </row>
    <row r="389" spans="1:11">
      <c r="A389" s="1" t="s">
        <v>395</v>
      </c>
      <c r="B389" s="1"/>
      <c r="C389" s="319">
        <f>12607</f>
        <v>12607</v>
      </c>
      <c r="D389" s="319">
        <f>ROUND(($D$405/$C$405)*C389,0)</f>
        <v>9145</v>
      </c>
      <c r="E389" s="326">
        <v>2.81</v>
      </c>
      <c r="F389" s="323"/>
      <c r="G389" s="2">
        <f>ROUND(E389*$C389,0)</f>
        <v>35426</v>
      </c>
      <c r="H389" s="2">
        <f>ROUND(E389*$D389,0)</f>
        <v>25697</v>
      </c>
      <c r="I389" s="326">
        <f>$I$158</f>
        <v>2.88</v>
      </c>
      <c r="J389" s="323"/>
      <c r="K389" s="2">
        <f>ROUND(I389*$D389,0)</f>
        <v>26338</v>
      </c>
    </row>
    <row r="390" spans="1:11">
      <c r="A390" s="1" t="s">
        <v>397</v>
      </c>
      <c r="B390" s="1"/>
      <c r="C390" s="319">
        <f>4567+177412</f>
        <v>181979</v>
      </c>
      <c r="D390" s="319">
        <f>ROUND(($D$405/$C$405)*C390,0)</f>
        <v>132006</v>
      </c>
      <c r="E390" s="299">
        <v>7.5869999999999997</v>
      </c>
      <c r="F390" s="323" t="s">
        <v>374</v>
      </c>
      <c r="G390" s="2">
        <f>ROUND(E390*$C390/100,0)</f>
        <v>13807</v>
      </c>
      <c r="H390" s="2">
        <f>ROUND(E390*$D390/100,0)</f>
        <v>10015</v>
      </c>
      <c r="I390" s="299">
        <f>$I$159</f>
        <v>8.0890000000000004</v>
      </c>
      <c r="J390" s="323" t="s">
        <v>374</v>
      </c>
      <c r="K390" s="2">
        <f>ROUND(I390*$D390/100,0)</f>
        <v>10678</v>
      </c>
    </row>
    <row r="391" spans="1:11">
      <c r="A391" s="1" t="s">
        <v>398</v>
      </c>
      <c r="B391" s="1"/>
      <c r="C391" s="319">
        <f>223170+787</f>
        <v>223957</v>
      </c>
      <c r="D391" s="319">
        <f>ROUND(($D$405/$C$405)*C391,0)</f>
        <v>162456</v>
      </c>
      <c r="E391" s="299">
        <v>5.2370000000000001</v>
      </c>
      <c r="F391" s="323" t="s">
        <v>374</v>
      </c>
      <c r="G391" s="2">
        <f>ROUND(E391*$C391/100,0)</f>
        <v>11729</v>
      </c>
      <c r="H391" s="2">
        <f>ROUND(E391*$D391/100,0)</f>
        <v>8508</v>
      </c>
      <c r="I391" s="299">
        <f>$I$160</f>
        <v>5.5839999999999996</v>
      </c>
      <c r="J391" s="323" t="s">
        <v>374</v>
      </c>
      <c r="K391" s="2">
        <f>ROUND(I391*$D391/100,0)</f>
        <v>9072</v>
      </c>
    </row>
    <row r="392" spans="1:11">
      <c r="A392" s="1" t="s">
        <v>399</v>
      </c>
      <c r="B392" s="1"/>
      <c r="C392" s="319">
        <f>0</f>
        <v>0</v>
      </c>
      <c r="D392" s="319">
        <f>ROUND(($D$405/$C$405)*C392,0)</f>
        <v>0</v>
      </c>
      <c r="E392" s="299">
        <v>4.5129999999999999</v>
      </c>
      <c r="F392" s="323" t="s">
        <v>374</v>
      </c>
      <c r="G392" s="2">
        <f>ROUND(E392*$C392/100,0)</f>
        <v>0</v>
      </c>
      <c r="H392" s="2">
        <f>ROUND(E392*$D392/100,0)</f>
        <v>0</v>
      </c>
      <c r="I392" s="299">
        <f>$I$161</f>
        <v>4.8100000000000005</v>
      </c>
      <c r="J392" s="323" t="s">
        <v>374</v>
      </c>
      <c r="K392" s="2">
        <f>ROUND(I392*$D392/100,0)</f>
        <v>0</v>
      </c>
    </row>
    <row r="393" spans="1:11">
      <c r="A393" s="1" t="s">
        <v>400</v>
      </c>
      <c r="B393" s="1"/>
      <c r="C393" s="319">
        <f>1798</f>
        <v>1798</v>
      </c>
      <c r="D393" s="319">
        <f>ROUND(($D$405/$C$405)*C393,0)</f>
        <v>1304</v>
      </c>
      <c r="E393" s="330">
        <v>45</v>
      </c>
      <c r="F393" s="321" t="s">
        <v>374</v>
      </c>
      <c r="G393" s="2">
        <f>ROUND(E393*$C393/100,0)</f>
        <v>809</v>
      </c>
      <c r="H393" s="2">
        <f>ROUND(E393*$D393/100,0)</f>
        <v>587</v>
      </c>
      <c r="I393" s="330">
        <f>$I$162</f>
        <v>45</v>
      </c>
      <c r="J393" s="323" t="s">
        <v>374</v>
      </c>
      <c r="K393" s="2">
        <f>ROUND(I393*$D393/100,0)</f>
        <v>587</v>
      </c>
    </row>
    <row r="394" spans="1:11">
      <c r="A394" s="331" t="s">
        <v>401</v>
      </c>
      <c r="B394" s="1"/>
      <c r="C394" s="319"/>
      <c r="D394" s="319"/>
      <c r="E394" s="332">
        <v>-0.01</v>
      </c>
      <c r="F394" s="321"/>
      <c r="G394" s="2"/>
      <c r="H394" s="2"/>
      <c r="I394" s="332">
        <f>$I$163</f>
        <v>-0.01</v>
      </c>
      <c r="J394" s="323"/>
      <c r="K394" s="2"/>
    </row>
    <row r="395" spans="1:11">
      <c r="A395" s="1" t="s">
        <v>390</v>
      </c>
      <c r="B395" s="1"/>
      <c r="C395" s="319">
        <v>0</v>
      </c>
      <c r="D395" s="319">
        <f>ROUND(($D$387/$C$387)*C395,0)</f>
        <v>0</v>
      </c>
      <c r="E395" s="334">
        <f>E384</f>
        <v>84</v>
      </c>
      <c r="F395" s="321"/>
      <c r="G395" s="2">
        <f>-ROUND(E395*$C395/100,0)</f>
        <v>0</v>
      </c>
      <c r="H395" s="2">
        <f>-ROUND(E395*$D395/100,0)</f>
        <v>0</v>
      </c>
      <c r="I395" s="334">
        <f>I384</f>
        <v>90.36</v>
      </c>
      <c r="J395" s="321"/>
      <c r="K395" s="2">
        <f>-ROUND(I395*$D395/100,0)</f>
        <v>0</v>
      </c>
    </row>
    <row r="396" spans="1:11">
      <c r="A396" s="1" t="s">
        <v>391</v>
      </c>
      <c r="B396" s="1"/>
      <c r="C396" s="319">
        <v>0</v>
      </c>
      <c r="D396" s="319">
        <f>ROUND(($D$387/$C$387)*C396,0)</f>
        <v>0</v>
      </c>
      <c r="E396" s="334">
        <f>E385</f>
        <v>124.8</v>
      </c>
      <c r="F396" s="321"/>
      <c r="G396" s="2">
        <f>-ROUND(E396*$C396/100,0)</f>
        <v>0</v>
      </c>
      <c r="H396" s="2">
        <f>-ROUND(E396*$D396/100,0)</f>
        <v>0</v>
      </c>
      <c r="I396" s="334">
        <f>I385</f>
        <v>134.16</v>
      </c>
      <c r="J396" s="321"/>
      <c r="K396" s="2">
        <f>-ROUND(I396*$D396/100,0)</f>
        <v>0</v>
      </c>
    </row>
    <row r="397" spans="1:11">
      <c r="A397" s="1" t="s">
        <v>402</v>
      </c>
      <c r="B397" s="1"/>
      <c r="C397" s="319">
        <v>0</v>
      </c>
      <c r="D397" s="319">
        <f t="shared" ref="D397:D402" si="37">ROUND(($D$405/$C$405)*C397,0)</f>
        <v>0</v>
      </c>
      <c r="E397" s="334">
        <f>E386</f>
        <v>8.2799999999999994</v>
      </c>
      <c r="F397" s="321"/>
      <c r="G397" s="2">
        <f>-ROUND(E397*$C397/100,0)</f>
        <v>0</v>
      </c>
      <c r="H397" s="2">
        <f>-ROUND(E397*$D397/100,0)</f>
        <v>0</v>
      </c>
      <c r="I397" s="334">
        <f>I386</f>
        <v>9.36</v>
      </c>
      <c r="J397" s="321"/>
      <c r="K397" s="2">
        <f>-ROUND(I397*$D397/100,0)</f>
        <v>0</v>
      </c>
    </row>
    <row r="398" spans="1:11">
      <c r="A398" s="1" t="s">
        <v>403</v>
      </c>
      <c r="B398" s="1"/>
      <c r="C398" s="319">
        <v>0</v>
      </c>
      <c r="D398" s="319">
        <f t="shared" si="37"/>
        <v>0</v>
      </c>
      <c r="E398" s="334">
        <f>E389</f>
        <v>2.81</v>
      </c>
      <c r="F398" s="323"/>
      <c r="G398" s="2">
        <f>-ROUND(E398*$C398/100,0)</f>
        <v>0</v>
      </c>
      <c r="H398" s="2">
        <f>-ROUND(E398*$D398/100,0)</f>
        <v>0</v>
      </c>
      <c r="I398" s="334">
        <f>I389</f>
        <v>2.88</v>
      </c>
      <c r="J398" s="323"/>
      <c r="K398" s="2">
        <f>-ROUND(I398*$D398/100,0)</f>
        <v>0</v>
      </c>
    </row>
    <row r="399" spans="1:11">
      <c r="A399" s="1" t="s">
        <v>405</v>
      </c>
      <c r="B399" s="1"/>
      <c r="C399" s="319">
        <v>0</v>
      </c>
      <c r="D399" s="319">
        <f t="shared" si="37"/>
        <v>0</v>
      </c>
      <c r="E399" s="335">
        <f>E390</f>
        <v>7.5869999999999997</v>
      </c>
      <c r="F399" s="323" t="s">
        <v>374</v>
      </c>
      <c r="G399" s="2">
        <f>ROUND(E399*$C399/100*E394,0)</f>
        <v>0</v>
      </c>
      <c r="H399" s="2">
        <f>ROUND(E399*$D399/100*E394,0)</f>
        <v>0</v>
      </c>
      <c r="I399" s="335">
        <f>I390</f>
        <v>8.0890000000000004</v>
      </c>
      <c r="J399" s="323" t="s">
        <v>374</v>
      </c>
      <c r="K399" s="2">
        <f>ROUND(I399*$D399/100*I394,0)</f>
        <v>0</v>
      </c>
    </row>
    <row r="400" spans="1:11">
      <c r="A400" s="1" t="s">
        <v>398</v>
      </c>
      <c r="B400" s="1"/>
      <c r="C400" s="319">
        <v>0</v>
      </c>
      <c r="D400" s="319">
        <f t="shared" si="37"/>
        <v>0</v>
      </c>
      <c r="E400" s="335">
        <f>E391</f>
        <v>5.2370000000000001</v>
      </c>
      <c r="F400" s="323" t="s">
        <v>374</v>
      </c>
      <c r="G400" s="2">
        <f>ROUND(E400*$C400/100*E394,0)</f>
        <v>0</v>
      </c>
      <c r="H400" s="2">
        <f>ROUND(E400*$D400/100*E394,0)</f>
        <v>0</v>
      </c>
      <c r="I400" s="335">
        <f>I391</f>
        <v>5.5839999999999996</v>
      </c>
      <c r="J400" s="323" t="s">
        <v>374</v>
      </c>
      <c r="K400" s="2">
        <f>ROUND(I400*$D400/100*I394,0)</f>
        <v>0</v>
      </c>
    </row>
    <row r="401" spans="1:15">
      <c r="A401" s="1" t="s">
        <v>399</v>
      </c>
      <c r="B401" s="1"/>
      <c r="C401" s="319">
        <v>0</v>
      </c>
      <c r="D401" s="319">
        <f t="shared" si="37"/>
        <v>0</v>
      </c>
      <c r="E401" s="335">
        <f>E392</f>
        <v>4.5129999999999999</v>
      </c>
      <c r="F401" s="323" t="s">
        <v>374</v>
      </c>
      <c r="G401" s="2">
        <f>ROUND(E401*$C401/100*E394,0)</f>
        <v>0</v>
      </c>
      <c r="H401" s="2">
        <f>ROUND(E401*$D401/100*E394,0)</f>
        <v>0</v>
      </c>
      <c r="I401" s="335">
        <f>I392</f>
        <v>4.8100000000000005</v>
      </c>
      <c r="J401" s="323" t="s">
        <v>374</v>
      </c>
      <c r="K401" s="2">
        <f>ROUND(I401*$D401/100*I394,0)</f>
        <v>0</v>
      </c>
    </row>
    <row r="402" spans="1:15">
      <c r="A402" s="1" t="s">
        <v>400</v>
      </c>
      <c r="B402" s="1"/>
      <c r="C402" s="319">
        <v>0</v>
      </c>
      <c r="D402" s="319">
        <f t="shared" si="37"/>
        <v>0</v>
      </c>
      <c r="E402" s="336">
        <f>E393</f>
        <v>45</v>
      </c>
      <c r="F402" s="323" t="s">
        <v>374</v>
      </c>
      <c r="G402" s="2">
        <f>ROUND(E402*$C402/100*E394,0)</f>
        <v>0</v>
      </c>
      <c r="H402" s="2">
        <f>ROUND(E402*$D402/100*E394,0)</f>
        <v>0</v>
      </c>
      <c r="I402" s="336">
        <f>I393</f>
        <v>45</v>
      </c>
      <c r="J402" s="323" t="s">
        <v>374</v>
      </c>
      <c r="K402" s="2">
        <f>ROUND(I402*$D402/100*I394,0)</f>
        <v>0</v>
      </c>
    </row>
    <row r="403" spans="1:15">
      <c r="A403" s="1" t="s">
        <v>407</v>
      </c>
      <c r="B403" s="1"/>
      <c r="C403" s="319">
        <v>0</v>
      </c>
      <c r="D403" s="319">
        <f>ROUND(($D$387/$C$387)*C403,0)</f>
        <v>0</v>
      </c>
      <c r="E403" s="337">
        <v>60</v>
      </c>
      <c r="F403" s="321"/>
      <c r="G403" s="2">
        <f>ROUND(E403*$C403,0)</f>
        <v>0</v>
      </c>
      <c r="H403" s="2">
        <f>ROUND(E403*$D403,0)</f>
        <v>0</v>
      </c>
      <c r="I403" s="337">
        <f>$I$172</f>
        <v>60</v>
      </c>
      <c r="J403" s="323"/>
      <c r="K403" s="2">
        <f>ROUND(I403*$D403,0)</f>
        <v>0</v>
      </c>
    </row>
    <row r="404" spans="1:15">
      <c r="A404" s="1" t="s">
        <v>408</v>
      </c>
      <c r="B404" s="1"/>
      <c r="C404" s="319">
        <v>0</v>
      </c>
      <c r="D404" s="319">
        <f>ROUND(($D$405/$C$405)*C404,0)</f>
        <v>0</v>
      </c>
      <c r="E404" s="339">
        <v>-30</v>
      </c>
      <c r="F404" s="321" t="s">
        <v>374</v>
      </c>
      <c r="G404" s="2">
        <f>ROUND(E404*$C404/100,0)</f>
        <v>0</v>
      </c>
      <c r="H404" s="2">
        <f>ROUND(E404*$D404/100,0)</f>
        <v>0</v>
      </c>
      <c r="I404" s="339">
        <f>$I$173</f>
        <v>-30</v>
      </c>
      <c r="J404" s="323" t="s">
        <v>374</v>
      </c>
      <c r="K404" s="2">
        <f>ROUND(I404*$D404/100,0)</f>
        <v>0</v>
      </c>
    </row>
    <row r="405" spans="1:15">
      <c r="A405" s="1" t="s">
        <v>381</v>
      </c>
      <c r="B405" s="1"/>
      <c r="C405" s="319">
        <f>SUM(C390:C392)</f>
        <v>405936</v>
      </c>
      <c r="D405" s="319">
        <v>294461.5</v>
      </c>
      <c r="E405" s="330"/>
      <c r="F405" s="2"/>
      <c r="G405" s="2">
        <f>SUM(G384:G404)</f>
        <v>112893</v>
      </c>
      <c r="H405" s="2">
        <f>SUM(H384:H404)</f>
        <v>85345</v>
      </c>
      <c r="I405" s="330"/>
      <c r="J405" s="323"/>
      <c r="K405" s="2">
        <f>SUM(K384:K404)</f>
        <v>91749</v>
      </c>
    </row>
    <row r="406" spans="1:15">
      <c r="A406" s="1" t="s">
        <v>363</v>
      </c>
      <c r="B406" s="1"/>
      <c r="C406" s="349">
        <v>1770.0710773090641</v>
      </c>
      <c r="D406" s="349">
        <v>0</v>
      </c>
      <c r="E406" s="309"/>
      <c r="F406" s="309"/>
      <c r="G406" s="341">
        <v>368.47443953217015</v>
      </c>
      <c r="H406" s="341">
        <v>0</v>
      </c>
      <c r="I406" s="309"/>
      <c r="J406" s="309"/>
      <c r="K406" s="341">
        <v>0</v>
      </c>
      <c r="M406" s="289"/>
      <c r="N406" s="289"/>
      <c r="O406" s="290"/>
    </row>
    <row r="407" spans="1:15" ht="16.5" thickBot="1">
      <c r="A407" s="1" t="s">
        <v>382</v>
      </c>
      <c r="B407" s="1"/>
      <c r="C407" s="311">
        <f>SUM(C405:C406)</f>
        <v>407706.07107730908</v>
      </c>
      <c r="D407" s="311">
        <f>SUM(D405:D406)</f>
        <v>294461.5</v>
      </c>
      <c r="E407" s="342"/>
      <c r="F407" s="343"/>
      <c r="G407" s="344">
        <f>G405+G406</f>
        <v>113261.47443953218</v>
      </c>
      <c r="H407" s="344">
        <f>H405+H406</f>
        <v>85345</v>
      </c>
      <c r="I407" s="342"/>
      <c r="J407" s="345"/>
      <c r="K407" s="344">
        <f>K405+K406</f>
        <v>91749</v>
      </c>
      <c r="M407" s="291"/>
      <c r="N407" s="291"/>
      <c r="O407" s="292"/>
    </row>
    <row r="408" spans="1:15" ht="16.5" thickTop="1">
      <c r="A408" s="1"/>
      <c r="B408" s="1"/>
      <c r="C408" s="21"/>
      <c r="D408" s="21"/>
      <c r="E408" s="337"/>
      <c r="F408" s="2"/>
      <c r="G408" s="2"/>
      <c r="H408" s="2"/>
      <c r="I408" s="353" t="s">
        <v>31</v>
      </c>
      <c r="J408" s="1"/>
      <c r="K408" s="2" t="s">
        <v>31</v>
      </c>
    </row>
    <row r="409" spans="1:15">
      <c r="A409" s="293" t="s">
        <v>417</v>
      </c>
      <c r="B409" s="1"/>
      <c r="C409" s="1"/>
      <c r="D409" s="1"/>
      <c r="E409" s="2"/>
      <c r="F409" s="2"/>
      <c r="G409" s="1" t="s">
        <v>31</v>
      </c>
      <c r="H409" s="1"/>
      <c r="I409" s="2"/>
      <c r="J409" s="1"/>
      <c r="K409" s="1"/>
    </row>
    <row r="410" spans="1:15">
      <c r="A410" s="1" t="s">
        <v>414</v>
      </c>
      <c r="B410" s="1"/>
      <c r="C410" s="1"/>
      <c r="D410" s="1"/>
      <c r="E410" s="2"/>
      <c r="F410" s="2"/>
      <c r="G410" s="1"/>
      <c r="H410" s="1"/>
      <c r="I410" s="2"/>
      <c r="J410" s="1"/>
      <c r="K410" s="1"/>
    </row>
    <row r="411" spans="1:15">
      <c r="A411" s="1" t="s">
        <v>418</v>
      </c>
      <c r="B411" s="1"/>
      <c r="C411" s="1"/>
      <c r="D411" s="1"/>
      <c r="E411" s="2"/>
      <c r="F411" s="2"/>
      <c r="G411" s="1"/>
      <c r="H411" s="1"/>
      <c r="I411" s="2"/>
      <c r="J411" s="1"/>
      <c r="K411" s="1"/>
    </row>
    <row r="412" spans="1:15">
      <c r="A412" s="1" t="s">
        <v>393</v>
      </c>
      <c r="B412" s="1"/>
      <c r="C412" s="319"/>
      <c r="D412" s="319"/>
      <c r="E412" s="2"/>
      <c r="F412" s="2"/>
      <c r="G412" s="1"/>
      <c r="H412" s="1"/>
      <c r="I412" s="2"/>
      <c r="J412" s="1"/>
      <c r="K412" s="1"/>
    </row>
    <row r="413" spans="1:15">
      <c r="A413" s="1" t="s">
        <v>390</v>
      </c>
      <c r="B413" s="1"/>
      <c r="C413" s="319">
        <v>0</v>
      </c>
      <c r="D413" s="319">
        <f>$D$417/$C$417*C413</f>
        <v>0</v>
      </c>
      <c r="E413" s="298">
        <v>84</v>
      </c>
      <c r="F413" s="321"/>
      <c r="G413" s="2">
        <f>ROUND(E413*$C413,0)</f>
        <v>0</v>
      </c>
      <c r="H413" s="2">
        <f>ROUND(E413*$D413,0)</f>
        <v>0</v>
      </c>
      <c r="I413" s="298">
        <f>$I$149</f>
        <v>90.36</v>
      </c>
      <c r="J413" s="323"/>
      <c r="K413" s="2">
        <f>ROUND(I413*$D413,0)</f>
        <v>0</v>
      </c>
    </row>
    <row r="414" spans="1:15">
      <c r="A414" s="1" t="s">
        <v>391</v>
      </c>
      <c r="B414" s="1"/>
      <c r="C414" s="319">
        <v>1</v>
      </c>
      <c r="D414" s="319">
        <f>$D$417/$C$417*C414</f>
        <v>1</v>
      </c>
      <c r="E414" s="298">
        <v>124.8</v>
      </c>
      <c r="F414" s="324"/>
      <c r="G414" s="2">
        <f>ROUND(E414*$C414,0)</f>
        <v>125</v>
      </c>
      <c r="H414" s="2">
        <f>ROUND(E414*$D414,0)</f>
        <v>125</v>
      </c>
      <c r="I414" s="298">
        <f>$I$150</f>
        <v>134.16</v>
      </c>
      <c r="J414" s="325"/>
      <c r="K414" s="2">
        <f>ROUND(I414*$D414,0)</f>
        <v>134</v>
      </c>
    </row>
    <row r="415" spans="1:15">
      <c r="A415" s="1" t="s">
        <v>392</v>
      </c>
      <c r="B415" s="1"/>
      <c r="C415" s="319">
        <v>75</v>
      </c>
      <c r="D415" s="319">
        <v>54</v>
      </c>
      <c r="E415" s="298">
        <v>8.2799999999999994</v>
      </c>
      <c r="F415" s="324"/>
      <c r="G415" s="2">
        <f>ROUND(E415*$C415,0)</f>
        <v>621</v>
      </c>
      <c r="H415" s="2">
        <f>ROUND(E415*$D415,0)</f>
        <v>447</v>
      </c>
      <c r="I415" s="298">
        <f>$I$151</f>
        <v>9.36</v>
      </c>
      <c r="J415" s="325"/>
      <c r="K415" s="2">
        <f>ROUND(I415*$D415,0)</f>
        <v>505</v>
      </c>
    </row>
    <row r="416" spans="1:15">
      <c r="A416" s="1" t="s">
        <v>394</v>
      </c>
      <c r="B416" s="1"/>
      <c r="C416" s="319">
        <f>SUM(C413:C414)</f>
        <v>1</v>
      </c>
      <c r="D416" s="319">
        <f>SUM(D413:D414)</f>
        <v>1</v>
      </c>
      <c r="E416" s="298"/>
      <c r="F416" s="321"/>
      <c r="G416" s="2"/>
      <c r="H416" s="2"/>
      <c r="I416" s="298"/>
      <c r="J416" s="323"/>
      <c r="K416" s="2"/>
    </row>
    <row r="417" spans="1:11">
      <c r="A417" s="1" t="s">
        <v>419</v>
      </c>
      <c r="B417" s="1"/>
      <c r="C417" s="319">
        <f>12</f>
        <v>12</v>
      </c>
      <c r="D417" s="319">
        <v>12</v>
      </c>
      <c r="E417" s="298"/>
      <c r="F417" s="321"/>
      <c r="G417" s="2"/>
      <c r="H417" s="2"/>
      <c r="I417" s="298"/>
      <c r="J417" s="323"/>
      <c r="K417" s="2"/>
    </row>
    <row r="418" spans="1:11">
      <c r="A418" s="1" t="s">
        <v>395</v>
      </c>
      <c r="B418" s="1"/>
      <c r="C418" s="319">
        <f>267</f>
        <v>267</v>
      </c>
      <c r="D418" s="319">
        <f>ROUND(($D$434/$C$434)*C418,0)</f>
        <v>553</v>
      </c>
      <c r="E418" s="326">
        <v>2.81</v>
      </c>
      <c r="F418" s="323"/>
      <c r="G418" s="2">
        <f>ROUND(E418*$C418,0)</f>
        <v>750</v>
      </c>
      <c r="H418" s="2">
        <f>ROUND(E418*$D418,0)</f>
        <v>1554</v>
      </c>
      <c r="I418" s="326">
        <f>$I$158</f>
        <v>2.88</v>
      </c>
      <c r="J418" s="323"/>
      <c r="K418" s="2">
        <f>ROUND(I418*$D418,0)</f>
        <v>1593</v>
      </c>
    </row>
    <row r="419" spans="1:11">
      <c r="A419" s="1" t="s">
        <v>397</v>
      </c>
      <c r="B419" s="1"/>
      <c r="C419" s="319">
        <f>2427</f>
        <v>2427</v>
      </c>
      <c r="D419" s="319">
        <f>ROUND(($D$434/$C$434)*C419,0)</f>
        <v>5031</v>
      </c>
      <c r="E419" s="299">
        <v>7.5869999999999997</v>
      </c>
      <c r="F419" s="323" t="s">
        <v>374</v>
      </c>
      <c r="G419" s="2">
        <f>ROUND(E419*$C419/100,0)</f>
        <v>184</v>
      </c>
      <c r="H419" s="2">
        <f>ROUND(E419*$D419/100,0)</f>
        <v>382</v>
      </c>
      <c r="I419" s="299">
        <f>$I$159</f>
        <v>8.0890000000000004</v>
      </c>
      <c r="J419" s="323" t="s">
        <v>374</v>
      </c>
      <c r="K419" s="2">
        <f>ROUND(I419*$D419/100,0)</f>
        <v>407</v>
      </c>
    </row>
    <row r="420" spans="1:11">
      <c r="A420" s="1" t="s">
        <v>398</v>
      </c>
      <c r="B420" s="1"/>
      <c r="C420" s="319">
        <f>302</f>
        <v>302</v>
      </c>
      <c r="D420" s="319">
        <f>ROUND(($D$434/$C$434)*C420,0)</f>
        <v>626</v>
      </c>
      <c r="E420" s="299">
        <v>5.2370000000000001</v>
      </c>
      <c r="F420" s="323" t="s">
        <v>374</v>
      </c>
      <c r="G420" s="2">
        <f>ROUND(E420*$C420/100,0)</f>
        <v>16</v>
      </c>
      <c r="H420" s="2">
        <f>ROUND(E420*$D420/100,0)</f>
        <v>33</v>
      </c>
      <c r="I420" s="299">
        <f>$I$160</f>
        <v>5.5839999999999996</v>
      </c>
      <c r="J420" s="323" t="s">
        <v>374</v>
      </c>
      <c r="K420" s="2">
        <f>ROUND(I420*$D420/100,0)</f>
        <v>35</v>
      </c>
    </row>
    <row r="421" spans="1:11">
      <c r="A421" s="1" t="s">
        <v>399</v>
      </c>
      <c r="B421" s="1"/>
      <c r="C421" s="319">
        <v>0</v>
      </c>
      <c r="D421" s="319">
        <f>ROUND(($D$434/$C$434)*C421,0)</f>
        <v>0</v>
      </c>
      <c r="E421" s="299">
        <v>4.5129999999999999</v>
      </c>
      <c r="F421" s="323" t="s">
        <v>374</v>
      </c>
      <c r="G421" s="2">
        <f>ROUND(E421*$C421/100,0)</f>
        <v>0</v>
      </c>
      <c r="H421" s="2">
        <f>ROUND(E421*$D421/100,0)</f>
        <v>0</v>
      </c>
      <c r="I421" s="299">
        <f>$I$161</f>
        <v>4.8100000000000005</v>
      </c>
      <c r="J421" s="323" t="s">
        <v>374</v>
      </c>
      <c r="K421" s="2">
        <f>ROUND(I421*$D421/100,0)</f>
        <v>0</v>
      </c>
    </row>
    <row r="422" spans="1:11">
      <c r="A422" s="1" t="s">
        <v>400</v>
      </c>
      <c r="B422" s="1"/>
      <c r="C422" s="319">
        <v>0</v>
      </c>
      <c r="D422" s="319">
        <f>ROUND(($D$434/$C$434)*C422,0)</f>
        <v>0</v>
      </c>
      <c r="E422" s="330">
        <v>45</v>
      </c>
      <c r="F422" s="321" t="s">
        <v>374</v>
      </c>
      <c r="G422" s="2">
        <f>ROUND(E422*$C422/100,0)</f>
        <v>0</v>
      </c>
      <c r="H422" s="2">
        <f>ROUND(E422*$D422/100,0)</f>
        <v>0</v>
      </c>
      <c r="I422" s="330">
        <f>$I$162</f>
        <v>45</v>
      </c>
      <c r="J422" s="323" t="s">
        <v>374</v>
      </c>
      <c r="K422" s="2">
        <f>ROUND(I422*$D422/100,0)</f>
        <v>0</v>
      </c>
    </row>
    <row r="423" spans="1:11">
      <c r="A423" s="331" t="s">
        <v>401</v>
      </c>
      <c r="B423" s="1"/>
      <c r="C423" s="319"/>
      <c r="D423" s="319"/>
      <c r="E423" s="332">
        <v>-0.01</v>
      </c>
      <c r="F423" s="321"/>
      <c r="G423" s="2"/>
      <c r="H423" s="2"/>
      <c r="I423" s="332">
        <f>$I$163</f>
        <v>-0.01</v>
      </c>
      <c r="J423" s="323"/>
      <c r="K423" s="2"/>
    </row>
    <row r="424" spans="1:11">
      <c r="A424" s="1" t="s">
        <v>390</v>
      </c>
      <c r="B424" s="1"/>
      <c r="C424" s="319">
        <v>0</v>
      </c>
      <c r="D424" s="319">
        <f>$D$417/$C$417*C424</f>
        <v>0</v>
      </c>
      <c r="E424" s="334">
        <f>E413</f>
        <v>84</v>
      </c>
      <c r="F424" s="321"/>
      <c r="G424" s="2">
        <f>-ROUND(E424*$C424/100,0)</f>
        <v>0</v>
      </c>
      <c r="H424" s="2">
        <f>-ROUND(E424*$D424/100,0)</f>
        <v>0</v>
      </c>
      <c r="I424" s="334">
        <f>I413</f>
        <v>90.36</v>
      </c>
      <c r="J424" s="321"/>
      <c r="K424" s="2">
        <f>-ROUND(I424*$D424/100,0)</f>
        <v>0</v>
      </c>
    </row>
    <row r="425" spans="1:11">
      <c r="A425" s="1" t="s">
        <v>391</v>
      </c>
      <c r="B425" s="1"/>
      <c r="C425" s="319">
        <v>0</v>
      </c>
      <c r="D425" s="319">
        <f>$D$417/$C$417*C425</f>
        <v>0</v>
      </c>
      <c r="E425" s="334">
        <f>E414</f>
        <v>124.8</v>
      </c>
      <c r="F425" s="321"/>
      <c r="G425" s="2">
        <f>-ROUND(E425*$C425/100,0)</f>
        <v>0</v>
      </c>
      <c r="H425" s="2">
        <f>-ROUND(E425*$D425/100,0)</f>
        <v>0</v>
      </c>
      <c r="I425" s="334">
        <f>I414</f>
        <v>134.16</v>
      </c>
      <c r="J425" s="321"/>
      <c r="K425" s="2">
        <f>-ROUND(I425*$D425/100,0)</f>
        <v>0</v>
      </c>
    </row>
    <row r="426" spans="1:11">
      <c r="A426" s="1" t="s">
        <v>402</v>
      </c>
      <c r="B426" s="1"/>
      <c r="C426" s="319">
        <v>0</v>
      </c>
      <c r="D426" s="319">
        <f t="shared" ref="D426:D431" si="38">ROUND(($D$434/$C$434)*C426,0)</f>
        <v>0</v>
      </c>
      <c r="E426" s="334">
        <f>E415</f>
        <v>8.2799999999999994</v>
      </c>
      <c r="F426" s="321"/>
      <c r="G426" s="2">
        <f>-ROUND(E426*$C426/100,0)</f>
        <v>0</v>
      </c>
      <c r="H426" s="2">
        <f>-ROUND(E426*$D426/100,0)</f>
        <v>0</v>
      </c>
      <c r="I426" s="334">
        <f>I415</f>
        <v>9.36</v>
      </c>
      <c r="J426" s="321"/>
      <c r="K426" s="2">
        <f>-ROUND(I426*$D426/100,0)</f>
        <v>0</v>
      </c>
    </row>
    <row r="427" spans="1:11">
      <c r="A427" s="1" t="s">
        <v>403</v>
      </c>
      <c r="B427" s="1"/>
      <c r="C427" s="319">
        <v>0</v>
      </c>
      <c r="D427" s="319">
        <f t="shared" si="38"/>
        <v>0</v>
      </c>
      <c r="E427" s="334">
        <f>E418</f>
        <v>2.81</v>
      </c>
      <c r="F427" s="323"/>
      <c r="G427" s="2">
        <f>-ROUND(E427*$C427/100,0)</f>
        <v>0</v>
      </c>
      <c r="H427" s="2">
        <f>-ROUND(E427*$D427/100,0)</f>
        <v>0</v>
      </c>
      <c r="I427" s="334">
        <f>I418</f>
        <v>2.88</v>
      </c>
      <c r="J427" s="323"/>
      <c r="K427" s="2">
        <f>-ROUND(I427*$D427/100,0)</f>
        <v>0</v>
      </c>
    </row>
    <row r="428" spans="1:11">
      <c r="A428" s="1" t="s">
        <v>405</v>
      </c>
      <c r="B428" s="1"/>
      <c r="C428" s="319">
        <v>0</v>
      </c>
      <c r="D428" s="319">
        <f t="shared" si="38"/>
        <v>0</v>
      </c>
      <c r="E428" s="335">
        <f>E419</f>
        <v>7.5869999999999997</v>
      </c>
      <c r="F428" s="323" t="s">
        <v>374</v>
      </c>
      <c r="G428" s="2">
        <f>ROUND(E428*$C428/100*E423,0)</f>
        <v>0</v>
      </c>
      <c r="H428" s="2">
        <f>ROUND(E428*$D428/100*E423,0)</f>
        <v>0</v>
      </c>
      <c r="I428" s="335">
        <f>I419</f>
        <v>8.0890000000000004</v>
      </c>
      <c r="J428" s="323" t="s">
        <v>374</v>
      </c>
      <c r="K428" s="2">
        <f>ROUND(I428*$D428/100*I423,0)</f>
        <v>0</v>
      </c>
    </row>
    <row r="429" spans="1:11">
      <c r="A429" s="1" t="s">
        <v>398</v>
      </c>
      <c r="B429" s="1"/>
      <c r="C429" s="319">
        <v>0</v>
      </c>
      <c r="D429" s="319">
        <f t="shared" si="38"/>
        <v>0</v>
      </c>
      <c r="E429" s="335">
        <f>E420</f>
        <v>5.2370000000000001</v>
      </c>
      <c r="F429" s="323" t="s">
        <v>374</v>
      </c>
      <c r="G429" s="2">
        <f>ROUND(E429*$C429/100*E423,0)</f>
        <v>0</v>
      </c>
      <c r="H429" s="2">
        <f>ROUND(E429*$D429/100*E423,0)</f>
        <v>0</v>
      </c>
      <c r="I429" s="335">
        <f>I420</f>
        <v>5.5839999999999996</v>
      </c>
      <c r="J429" s="323" t="s">
        <v>374</v>
      </c>
      <c r="K429" s="2">
        <f>ROUND(I429*$D429/100*I423,0)</f>
        <v>0</v>
      </c>
    </row>
    <row r="430" spans="1:11">
      <c r="A430" s="1" t="s">
        <v>399</v>
      </c>
      <c r="B430" s="1"/>
      <c r="C430" s="319">
        <v>0</v>
      </c>
      <c r="D430" s="319">
        <f t="shared" si="38"/>
        <v>0</v>
      </c>
      <c r="E430" s="335">
        <f>E421</f>
        <v>4.5129999999999999</v>
      </c>
      <c r="F430" s="323" t="s">
        <v>374</v>
      </c>
      <c r="G430" s="2">
        <f>ROUND(E430*$C430/100*E423,0)</f>
        <v>0</v>
      </c>
      <c r="H430" s="2">
        <f>ROUND(E430*$D430/100*E423,0)</f>
        <v>0</v>
      </c>
      <c r="I430" s="335">
        <f>I421</f>
        <v>4.8100000000000005</v>
      </c>
      <c r="J430" s="323" t="s">
        <v>374</v>
      </c>
      <c r="K430" s="2">
        <f>ROUND(I430*$D430/100*I423,0)</f>
        <v>0</v>
      </c>
    </row>
    <row r="431" spans="1:11">
      <c r="A431" s="1" t="s">
        <v>400</v>
      </c>
      <c r="B431" s="1"/>
      <c r="C431" s="319">
        <v>0</v>
      </c>
      <c r="D431" s="319">
        <f t="shared" si="38"/>
        <v>0</v>
      </c>
      <c r="E431" s="336">
        <f>E422</f>
        <v>45</v>
      </c>
      <c r="F431" s="323" t="s">
        <v>374</v>
      </c>
      <c r="G431" s="2">
        <f>ROUND(E431*$C431/100*E423,0)</f>
        <v>0</v>
      </c>
      <c r="H431" s="2">
        <f>ROUND(E431*$D431/100*E423,0)</f>
        <v>0</v>
      </c>
      <c r="I431" s="336">
        <f>I422</f>
        <v>45</v>
      </c>
      <c r="J431" s="323" t="s">
        <v>374</v>
      </c>
      <c r="K431" s="2">
        <f>ROUND(I431*$D431/100*I423,0)</f>
        <v>0</v>
      </c>
    </row>
    <row r="432" spans="1:11">
      <c r="A432" s="1" t="s">
        <v>407</v>
      </c>
      <c r="B432" s="1"/>
      <c r="C432" s="319">
        <v>0</v>
      </c>
      <c r="D432" s="319">
        <f>$D$417/$C$417*C432</f>
        <v>0</v>
      </c>
      <c r="E432" s="337">
        <v>60</v>
      </c>
      <c r="F432" s="321"/>
      <c r="G432" s="2">
        <f>ROUND(E432*$C432,0)</f>
        <v>0</v>
      </c>
      <c r="H432" s="2">
        <f>ROUND(E432*$D432,0)</f>
        <v>0</v>
      </c>
      <c r="I432" s="337">
        <f>$I$172</f>
        <v>60</v>
      </c>
      <c r="J432" s="323"/>
      <c r="K432" s="2">
        <f>ROUND(I432*$D432,0)</f>
        <v>0</v>
      </c>
    </row>
    <row r="433" spans="1:15">
      <c r="A433" s="1" t="s">
        <v>408</v>
      </c>
      <c r="B433" s="1"/>
      <c r="C433" s="319">
        <v>0</v>
      </c>
      <c r="D433" s="319">
        <f>ROUND(($D$434/$C$434)*C433,0)</f>
        <v>0</v>
      </c>
      <c r="E433" s="339">
        <v>-30</v>
      </c>
      <c r="F433" s="321" t="s">
        <v>374</v>
      </c>
      <c r="G433" s="2">
        <f>ROUND(E433*$C433/100,0)</f>
        <v>0</v>
      </c>
      <c r="H433" s="2">
        <f>ROUND(E433*$D433/100,0)</f>
        <v>0</v>
      </c>
      <c r="I433" s="339">
        <f>$I$173</f>
        <v>-30</v>
      </c>
      <c r="J433" s="323" t="s">
        <v>374</v>
      </c>
      <c r="K433" s="2">
        <f>ROUND(I433*$D433/100,0)</f>
        <v>0</v>
      </c>
    </row>
    <row r="434" spans="1:15">
      <c r="A434" s="1" t="s">
        <v>381</v>
      </c>
      <c r="B434" s="1"/>
      <c r="C434" s="319">
        <f>SUM(C419:C421)</f>
        <v>2729</v>
      </c>
      <c r="D434" s="319">
        <v>5657.1497597183234</v>
      </c>
      <c r="E434" s="330"/>
      <c r="F434" s="2"/>
      <c r="G434" s="2">
        <f>SUM(G413:G433)</f>
        <v>1696</v>
      </c>
      <c r="H434" s="2">
        <f>SUM(H413:H433)</f>
        <v>2541</v>
      </c>
      <c r="I434" s="330"/>
      <c r="J434" s="323"/>
      <c r="K434" s="2">
        <f>SUM(K413:K433)</f>
        <v>2674</v>
      </c>
    </row>
    <row r="435" spans="1:15">
      <c r="A435" s="1" t="s">
        <v>363</v>
      </c>
      <c r="B435" s="1"/>
      <c r="C435" s="349">
        <v>-61.512045213815</v>
      </c>
      <c r="D435" s="349">
        <v>0</v>
      </c>
      <c r="E435" s="309"/>
      <c r="F435" s="309"/>
      <c r="G435" s="341">
        <v>-28.466349506112088</v>
      </c>
      <c r="H435" s="341">
        <v>0</v>
      </c>
      <c r="I435" s="309"/>
      <c r="J435" s="309"/>
      <c r="K435" s="341">
        <v>0</v>
      </c>
      <c r="M435" s="289"/>
      <c r="N435" s="289"/>
      <c r="O435" s="290"/>
    </row>
    <row r="436" spans="1:15" ht="16.5" thickBot="1">
      <c r="A436" s="1" t="s">
        <v>382</v>
      </c>
      <c r="B436" s="1"/>
      <c r="C436" s="311">
        <f>SUM(C434:C435)</f>
        <v>2667.4879547861851</v>
      </c>
      <c r="D436" s="311">
        <f>SUM(D434:D435)</f>
        <v>5657.1497597183234</v>
      </c>
      <c r="E436" s="342"/>
      <c r="F436" s="343"/>
      <c r="G436" s="344">
        <f>G434+G435</f>
        <v>1667.533650493888</v>
      </c>
      <c r="H436" s="344">
        <f>H434+H435</f>
        <v>2541</v>
      </c>
      <c r="I436" s="342"/>
      <c r="J436" s="345"/>
      <c r="K436" s="344">
        <f>K434+K435</f>
        <v>2674</v>
      </c>
      <c r="M436" s="291"/>
      <c r="N436" s="291"/>
      <c r="O436" s="292"/>
    </row>
    <row r="437" spans="1:15" ht="16.5" thickTop="1">
      <c r="A437" s="1"/>
      <c r="B437" s="1"/>
      <c r="C437" s="21"/>
      <c r="D437" s="21"/>
      <c r="E437" s="337"/>
      <c r="F437" s="2"/>
      <c r="G437" s="2"/>
      <c r="H437" s="2"/>
      <c r="I437" s="353" t="s">
        <v>31</v>
      </c>
      <c r="J437" s="1"/>
      <c r="K437" s="2" t="s">
        <v>31</v>
      </c>
    </row>
    <row r="438" spans="1:15">
      <c r="A438" s="1"/>
      <c r="B438" s="1"/>
      <c r="C438" s="21"/>
      <c r="D438" s="21"/>
      <c r="E438" s="337"/>
      <c r="F438" s="2"/>
      <c r="G438" s="2"/>
      <c r="H438" s="2"/>
      <c r="I438" s="353" t="s">
        <v>31</v>
      </c>
      <c r="J438" s="1"/>
      <c r="K438" s="2" t="s">
        <v>31</v>
      </c>
    </row>
    <row r="439" spans="1:15">
      <c r="A439" s="293" t="s">
        <v>420</v>
      </c>
      <c r="B439" s="1"/>
      <c r="C439" s="354"/>
      <c r="D439" s="354"/>
      <c r="E439" s="2"/>
      <c r="F439" s="2"/>
      <c r="G439" s="1"/>
      <c r="H439" s="1"/>
      <c r="I439" s="2"/>
      <c r="J439" s="1"/>
      <c r="K439" s="2" t="s">
        <v>31</v>
      </c>
    </row>
    <row r="440" spans="1:15">
      <c r="A440" s="323" t="s">
        <v>335</v>
      </c>
      <c r="B440" s="1"/>
      <c r="C440" s="1" t="s">
        <v>31</v>
      </c>
      <c r="D440" s="1"/>
      <c r="E440" s="2"/>
      <c r="F440" s="2"/>
      <c r="G440" s="1"/>
      <c r="H440" s="1"/>
      <c r="I440" s="2"/>
      <c r="J440" s="1"/>
      <c r="K440" s="1"/>
    </row>
    <row r="441" spans="1:15">
      <c r="A441" s="323"/>
      <c r="B441" s="1"/>
      <c r="C441" s="1"/>
      <c r="D441" s="1"/>
      <c r="E441" s="2"/>
      <c r="F441" s="2"/>
      <c r="G441" s="1"/>
      <c r="H441" s="1"/>
      <c r="I441" s="2"/>
      <c r="J441" s="1"/>
      <c r="K441" s="1"/>
    </row>
    <row r="442" spans="1:15">
      <c r="A442" s="323" t="s">
        <v>393</v>
      </c>
      <c r="B442" s="1"/>
      <c r="C442" s="319"/>
      <c r="D442" s="319"/>
      <c r="E442" s="2"/>
      <c r="F442" s="2"/>
      <c r="G442" s="1"/>
      <c r="H442" s="1"/>
      <c r="I442" s="2"/>
      <c r="J442" s="1"/>
      <c r="K442" s="1"/>
    </row>
    <row r="443" spans="1:15">
      <c r="A443" s="323" t="s">
        <v>421</v>
      </c>
      <c r="B443" s="1"/>
      <c r="C443" s="319">
        <v>0</v>
      </c>
      <c r="D443" s="319">
        <v>0</v>
      </c>
      <c r="E443" s="355">
        <f>E480</f>
        <v>205</v>
      </c>
      <c r="F443" s="323"/>
      <c r="G443" s="321">
        <f t="shared" ref="G443:H445" si="39">ROUND(E443*$C443,0)</f>
        <v>0</v>
      </c>
      <c r="H443" s="321">
        <f t="shared" si="39"/>
        <v>0</v>
      </c>
      <c r="I443" s="355">
        <f>I480</f>
        <v>225</v>
      </c>
      <c r="J443" s="323"/>
      <c r="K443" s="321">
        <f>ROUND(I443*$D443,0)</f>
        <v>0</v>
      </c>
    </row>
    <row r="444" spans="1:15">
      <c r="A444" s="323" t="s">
        <v>422</v>
      </c>
      <c r="B444" s="1"/>
      <c r="C444" s="319">
        <v>0</v>
      </c>
      <c r="D444" s="319">
        <v>0</v>
      </c>
      <c r="E444" s="355">
        <f>E481</f>
        <v>75</v>
      </c>
      <c r="F444" s="323"/>
      <c r="G444" s="321">
        <f t="shared" si="39"/>
        <v>0</v>
      </c>
      <c r="H444" s="321">
        <f t="shared" si="39"/>
        <v>0</v>
      </c>
      <c r="I444" s="355">
        <f>I481</f>
        <v>83</v>
      </c>
      <c r="J444" s="323"/>
      <c r="K444" s="321">
        <f>ROUND(I444*$D444,0)</f>
        <v>0</v>
      </c>
    </row>
    <row r="445" spans="1:15">
      <c r="A445" s="323" t="s">
        <v>423</v>
      </c>
      <c r="B445" s="1"/>
      <c r="C445" s="319">
        <v>0</v>
      </c>
      <c r="D445" s="319">
        <v>0</v>
      </c>
      <c r="E445" s="355">
        <f>E482</f>
        <v>150</v>
      </c>
      <c r="F445" s="325"/>
      <c r="G445" s="321">
        <f t="shared" si="39"/>
        <v>0</v>
      </c>
      <c r="H445" s="321">
        <f t="shared" si="39"/>
        <v>0</v>
      </c>
      <c r="I445" s="355">
        <f>I482</f>
        <v>166</v>
      </c>
      <c r="J445" s="325"/>
      <c r="K445" s="321">
        <f>ROUND(I445*$D445,0)</f>
        <v>0</v>
      </c>
    </row>
    <row r="446" spans="1:15">
      <c r="A446" s="323" t="s">
        <v>394</v>
      </c>
      <c r="B446" s="1"/>
      <c r="C446" s="319">
        <f>SUM(C443:C445)</f>
        <v>0</v>
      </c>
      <c r="D446" s="319">
        <f>SUM(D443:D445)</f>
        <v>0</v>
      </c>
      <c r="E446" s="355"/>
      <c r="F446" s="323"/>
      <c r="G446" s="321"/>
      <c r="H446" s="321"/>
      <c r="I446" s="355"/>
      <c r="J446" s="323"/>
      <c r="K446" s="321"/>
    </row>
    <row r="447" spans="1:15">
      <c r="A447" s="323" t="s">
        <v>422</v>
      </c>
      <c r="B447" s="1"/>
      <c r="C447" s="319">
        <v>0</v>
      </c>
      <c r="D447" s="319">
        <v>0</v>
      </c>
      <c r="E447" s="355">
        <f>E484</f>
        <v>1.38</v>
      </c>
      <c r="F447" s="323" t="s">
        <v>31</v>
      </c>
      <c r="G447" s="321">
        <f>ROUND(E447*$C447,0)</f>
        <v>0</v>
      </c>
      <c r="H447" s="321">
        <f>ROUND(F447*$C447,0)</f>
        <v>0</v>
      </c>
      <c r="I447" s="355">
        <f>I484</f>
        <v>1.47</v>
      </c>
      <c r="J447" s="323" t="s">
        <v>31</v>
      </c>
      <c r="K447" s="321">
        <f>ROUND(I447*$D447,0)</f>
        <v>0</v>
      </c>
    </row>
    <row r="448" spans="1:15">
      <c r="A448" s="323" t="s">
        <v>423</v>
      </c>
      <c r="B448" s="1"/>
      <c r="C448" s="319">
        <v>0</v>
      </c>
      <c r="D448" s="319">
        <v>0</v>
      </c>
      <c r="E448" s="355">
        <f>E485</f>
        <v>1.1299999999999999</v>
      </c>
      <c r="F448" s="323" t="s">
        <v>31</v>
      </c>
      <c r="G448" s="321">
        <f>ROUND(E448*$C448,0)</f>
        <v>0</v>
      </c>
      <c r="H448" s="321">
        <f>ROUND(F448*$C448,0)</f>
        <v>0</v>
      </c>
      <c r="I448" s="355">
        <f>I485</f>
        <v>1.2</v>
      </c>
      <c r="J448" s="323" t="s">
        <v>31</v>
      </c>
      <c r="K448" s="321">
        <f>ROUND(I448*$D448,0)</f>
        <v>0</v>
      </c>
    </row>
    <row r="449" spans="1:11">
      <c r="A449" s="309" t="s">
        <v>424</v>
      </c>
      <c r="B449" s="1"/>
      <c r="C449" s="319"/>
      <c r="D449" s="319"/>
      <c r="E449" s="355"/>
      <c r="F449" s="323"/>
      <c r="G449" s="321"/>
      <c r="H449" s="321"/>
      <c r="I449" s="355"/>
      <c r="J449" s="323"/>
      <c r="K449" s="321"/>
    </row>
    <row r="450" spans="1:11">
      <c r="A450" s="309" t="s">
        <v>425</v>
      </c>
      <c r="B450" s="1"/>
      <c r="C450" s="319">
        <v>0</v>
      </c>
      <c r="D450" s="319">
        <v>0</v>
      </c>
      <c r="E450" s="355">
        <f>E487</f>
        <v>3.64</v>
      </c>
      <c r="F450" s="323"/>
      <c r="G450" s="321">
        <f>ROUND(E450*$C450,0)</f>
        <v>0</v>
      </c>
      <c r="H450" s="321">
        <f>ROUND(F450*$C450,0)</f>
        <v>0</v>
      </c>
      <c r="I450" s="355">
        <f>I487</f>
        <v>3.75</v>
      </c>
      <c r="J450" s="323"/>
      <c r="K450" s="321">
        <f>ROUND(I450*$D450,0)</f>
        <v>0</v>
      </c>
    </row>
    <row r="451" spans="1:11">
      <c r="A451" s="323" t="s">
        <v>426</v>
      </c>
      <c r="B451" s="1"/>
      <c r="C451" s="319"/>
      <c r="D451" s="319"/>
      <c r="E451" s="356"/>
      <c r="F451" s="321"/>
      <c r="G451" s="321"/>
      <c r="H451" s="321"/>
      <c r="I451" s="356"/>
      <c r="J451" s="321"/>
      <c r="K451" s="321"/>
    </row>
    <row r="452" spans="1:11">
      <c r="A452" s="323" t="s">
        <v>427</v>
      </c>
      <c r="B452" s="1"/>
      <c r="C452" s="319">
        <v>0</v>
      </c>
      <c r="D452" s="319">
        <v>0</v>
      </c>
      <c r="E452" s="357">
        <f>E490</f>
        <v>3.9809999999999999</v>
      </c>
      <c r="F452" s="321" t="s">
        <v>374</v>
      </c>
      <c r="G452" s="321">
        <f>ROUND($C452*E452/100,0)</f>
        <v>0</v>
      </c>
      <c r="H452" s="321">
        <f>ROUND($C452*F452/100,0)</f>
        <v>0</v>
      </c>
      <c r="I452" s="357">
        <f>I490</f>
        <v>4.3570000000000002</v>
      </c>
      <c r="J452" s="321" t="s">
        <v>374</v>
      </c>
      <c r="K452" s="321">
        <f>ROUND($D452*I452/100,0)</f>
        <v>0</v>
      </c>
    </row>
    <row r="453" spans="1:11">
      <c r="A453" s="323" t="s">
        <v>399</v>
      </c>
      <c r="B453" s="1"/>
      <c r="C453" s="319">
        <v>0</v>
      </c>
      <c r="D453" s="319">
        <v>0</v>
      </c>
      <c r="E453" s="357">
        <f>E491</f>
        <v>3.649</v>
      </c>
      <c r="F453" s="321" t="s">
        <v>374</v>
      </c>
      <c r="G453" s="321">
        <f>ROUND($C453*E453/100,0)</f>
        <v>0</v>
      </c>
      <c r="H453" s="321">
        <f>ROUND($C453*F453/100,0)</f>
        <v>0</v>
      </c>
      <c r="I453" s="357">
        <f>I491</f>
        <v>3.9930000000000003</v>
      </c>
      <c r="J453" s="321" t="s">
        <v>374</v>
      </c>
      <c r="K453" s="321">
        <f>ROUND($D453*I453/100,0)</f>
        <v>0</v>
      </c>
    </row>
    <row r="454" spans="1:11">
      <c r="A454" s="323" t="s">
        <v>400</v>
      </c>
      <c r="B454" s="1"/>
      <c r="C454" s="319">
        <v>0</v>
      </c>
      <c r="D454" s="319">
        <v>0</v>
      </c>
      <c r="E454" s="358">
        <v>45</v>
      </c>
      <c r="F454" s="321" t="s">
        <v>374</v>
      </c>
      <c r="G454" s="321">
        <f>ROUND(E454*$C454/100,0)</f>
        <v>0</v>
      </c>
      <c r="H454" s="321">
        <f>ROUND(F454*$C454/100,0)</f>
        <v>0</v>
      </c>
      <c r="I454" s="358">
        <v>45</v>
      </c>
      <c r="J454" s="321" t="s">
        <v>374</v>
      </c>
      <c r="K454" s="321">
        <f>ROUND(I454*$D454,0)</f>
        <v>0</v>
      </c>
    </row>
    <row r="455" spans="1:11">
      <c r="A455" s="323" t="s">
        <v>428</v>
      </c>
      <c r="B455" s="1"/>
      <c r="C455" s="319">
        <v>0</v>
      </c>
      <c r="D455" s="319">
        <v>0</v>
      </c>
      <c r="E455" s="359">
        <v>0.06</v>
      </c>
      <c r="F455" s="321"/>
      <c r="G455" s="321">
        <f>ROUND($C455*E455/100,0)</f>
        <v>0</v>
      </c>
      <c r="H455" s="321">
        <f>ROUND($C455*F455/100,0)</f>
        <v>0</v>
      </c>
      <c r="I455" s="359">
        <v>0.06</v>
      </c>
      <c r="J455" s="321"/>
      <c r="K455" s="321">
        <f>ROUND($D455*I455/100,0)</f>
        <v>0</v>
      </c>
    </row>
    <row r="456" spans="1:11">
      <c r="A456" s="360" t="s">
        <v>401</v>
      </c>
      <c r="B456" s="1"/>
      <c r="C456" s="319"/>
      <c r="D456" s="319"/>
      <c r="E456" s="332">
        <v>-0.01</v>
      </c>
      <c r="F456" s="361"/>
      <c r="G456" s="361"/>
      <c r="H456" s="361"/>
      <c r="I456" s="332">
        <v>-0.01</v>
      </c>
      <c r="J456" s="361"/>
      <c r="K456" s="2"/>
    </row>
    <row r="457" spans="1:11">
      <c r="A457" s="323" t="s">
        <v>421</v>
      </c>
      <c r="B457" s="1"/>
      <c r="C457" s="319">
        <v>0</v>
      </c>
      <c r="D457" s="319">
        <v>0</v>
      </c>
      <c r="E457" s="355">
        <f>E443</f>
        <v>205</v>
      </c>
      <c r="F457" s="323"/>
      <c r="G457" s="321">
        <f t="shared" ref="G457:H462" si="40">ROUND(E457*$C457*$E$456,0)</f>
        <v>0</v>
      </c>
      <c r="H457" s="321">
        <f t="shared" si="40"/>
        <v>0</v>
      </c>
      <c r="I457" s="355">
        <f>I443</f>
        <v>225</v>
      </c>
      <c r="J457" s="323"/>
      <c r="K457" s="321">
        <f t="shared" ref="K457:K462" si="41">ROUND(I457*$D457*$E$456,0)</f>
        <v>0</v>
      </c>
    </row>
    <row r="458" spans="1:11">
      <c r="A458" s="323" t="s">
        <v>422</v>
      </c>
      <c r="B458" s="1"/>
      <c r="C458" s="319">
        <v>0</v>
      </c>
      <c r="D458" s="319">
        <v>0</v>
      </c>
      <c r="E458" s="355">
        <f>E444</f>
        <v>75</v>
      </c>
      <c r="F458" s="323"/>
      <c r="G458" s="321">
        <f t="shared" si="40"/>
        <v>0</v>
      </c>
      <c r="H458" s="321">
        <f t="shared" si="40"/>
        <v>0</v>
      </c>
      <c r="I458" s="355">
        <f>I444</f>
        <v>83</v>
      </c>
      <c r="J458" s="323"/>
      <c r="K458" s="321">
        <f t="shared" si="41"/>
        <v>0</v>
      </c>
    </row>
    <row r="459" spans="1:11">
      <c r="A459" s="323" t="s">
        <v>423</v>
      </c>
      <c r="B459" s="1"/>
      <c r="C459" s="319">
        <v>0</v>
      </c>
      <c r="D459" s="319">
        <v>0</v>
      </c>
      <c r="E459" s="355">
        <f>E445</f>
        <v>150</v>
      </c>
      <c r="F459" s="325"/>
      <c r="G459" s="321">
        <f t="shared" si="40"/>
        <v>0</v>
      </c>
      <c r="H459" s="321">
        <f t="shared" si="40"/>
        <v>0</v>
      </c>
      <c r="I459" s="355">
        <f>I445</f>
        <v>166</v>
      </c>
      <c r="J459" s="325"/>
      <c r="K459" s="321">
        <f t="shared" si="41"/>
        <v>0</v>
      </c>
    </row>
    <row r="460" spans="1:11">
      <c r="A460" s="323" t="s">
        <v>422</v>
      </c>
      <c r="B460" s="1"/>
      <c r="C460" s="319">
        <v>0</v>
      </c>
      <c r="D460" s="319">
        <v>0</v>
      </c>
      <c r="E460" s="355">
        <f>E447</f>
        <v>1.38</v>
      </c>
      <c r="F460" s="323" t="s">
        <v>31</v>
      </c>
      <c r="G460" s="321">
        <f t="shared" si="40"/>
        <v>0</v>
      </c>
      <c r="H460" s="321">
        <f t="shared" si="40"/>
        <v>0</v>
      </c>
      <c r="I460" s="355">
        <f>I447</f>
        <v>1.47</v>
      </c>
      <c r="J460" s="323" t="s">
        <v>31</v>
      </c>
      <c r="K460" s="321">
        <f t="shared" si="41"/>
        <v>0</v>
      </c>
    </row>
    <row r="461" spans="1:11">
      <c r="A461" s="323" t="s">
        <v>423</v>
      </c>
      <c r="B461" s="1"/>
      <c r="C461" s="319">
        <v>0</v>
      </c>
      <c r="D461" s="319">
        <v>0</v>
      </c>
      <c r="E461" s="355">
        <f>E448</f>
        <v>1.1299999999999999</v>
      </c>
      <c r="F461" s="323" t="s">
        <v>31</v>
      </c>
      <c r="G461" s="321">
        <f t="shared" si="40"/>
        <v>0</v>
      </c>
      <c r="H461" s="321">
        <f t="shared" si="40"/>
        <v>0</v>
      </c>
      <c r="I461" s="355">
        <f>I448</f>
        <v>1.2</v>
      </c>
      <c r="J461" s="323" t="s">
        <v>31</v>
      </c>
      <c r="K461" s="321">
        <f t="shared" si="41"/>
        <v>0</v>
      </c>
    </row>
    <row r="462" spans="1:11">
      <c r="A462" s="309" t="s">
        <v>425</v>
      </c>
      <c r="B462" s="1"/>
      <c r="C462" s="319">
        <v>0</v>
      </c>
      <c r="D462" s="319">
        <v>0</v>
      </c>
      <c r="E462" s="355">
        <f>E450</f>
        <v>3.64</v>
      </c>
      <c r="F462" s="323"/>
      <c r="G462" s="321">
        <f t="shared" si="40"/>
        <v>0</v>
      </c>
      <c r="H462" s="321">
        <f t="shared" si="40"/>
        <v>0</v>
      </c>
      <c r="I462" s="355">
        <f>I450</f>
        <v>3.75</v>
      </c>
      <c r="J462" s="323"/>
      <c r="K462" s="321">
        <f t="shared" si="41"/>
        <v>0</v>
      </c>
    </row>
    <row r="463" spans="1:11">
      <c r="A463" s="323" t="s">
        <v>427</v>
      </c>
      <c r="B463" s="1"/>
      <c r="C463" s="319">
        <v>0</v>
      </c>
      <c r="D463" s="319">
        <v>0</v>
      </c>
      <c r="E463" s="335">
        <f>E452</f>
        <v>3.9809999999999999</v>
      </c>
      <c r="F463" s="321" t="s">
        <v>374</v>
      </c>
      <c r="G463" s="321">
        <f>ROUND(E463/100*$C463*E456,0)</f>
        <v>0</v>
      </c>
      <c r="H463" s="321">
        <f>ROUND(F463/100*$C463*F456,0)</f>
        <v>0</v>
      </c>
      <c r="I463" s="335">
        <f>I452</f>
        <v>4.3570000000000002</v>
      </c>
      <c r="J463" s="321" t="s">
        <v>374</v>
      </c>
      <c r="K463" s="321">
        <f>ROUND(I463/100*$D463*E456,0)</f>
        <v>0</v>
      </c>
    </row>
    <row r="464" spans="1:11">
      <c r="A464" s="323" t="s">
        <v>399</v>
      </c>
      <c r="B464" s="1"/>
      <c r="C464" s="319">
        <v>0</v>
      </c>
      <c r="D464" s="319">
        <v>0</v>
      </c>
      <c r="E464" s="335">
        <f>E453</f>
        <v>3.649</v>
      </c>
      <c r="F464" s="321" t="s">
        <v>374</v>
      </c>
      <c r="G464" s="321">
        <f>ROUND(E464/100*$C464*E456,0)</f>
        <v>0</v>
      </c>
      <c r="H464" s="321">
        <f>ROUND(F464/100*$C464*F456,0)</f>
        <v>0</v>
      </c>
      <c r="I464" s="335">
        <f>I453</f>
        <v>3.9930000000000003</v>
      </c>
      <c r="J464" s="321" t="s">
        <v>374</v>
      </c>
      <c r="K464" s="321">
        <f>ROUND(I464/100*$D464*E456,0)</f>
        <v>0</v>
      </c>
    </row>
    <row r="465" spans="1:24">
      <c r="A465" s="309" t="s">
        <v>429</v>
      </c>
      <c r="B465" s="1"/>
      <c r="C465" s="319">
        <v>0</v>
      </c>
      <c r="D465" s="319">
        <v>0</v>
      </c>
      <c r="E465" s="362">
        <v>45</v>
      </c>
      <c r="F465" s="321" t="s">
        <v>374</v>
      </c>
      <c r="G465" s="321">
        <f>ROUND(E465*$C465*$E$456,0)</f>
        <v>0</v>
      </c>
      <c r="H465" s="321">
        <f>ROUND(F465*$C465*$E$456,0)</f>
        <v>0</v>
      </c>
      <c r="I465" s="362">
        <v>45</v>
      </c>
      <c r="J465" s="321" t="s">
        <v>374</v>
      </c>
      <c r="K465" s="321">
        <f>ROUND(I465*$D465*$E$456,0)</f>
        <v>0</v>
      </c>
    </row>
    <row r="466" spans="1:24">
      <c r="A466" s="309" t="s">
        <v>430</v>
      </c>
      <c r="B466" s="1"/>
      <c r="C466" s="319">
        <v>0</v>
      </c>
      <c r="D466" s="319">
        <v>0</v>
      </c>
      <c r="E466" s="336">
        <v>0.06</v>
      </c>
      <c r="F466" s="321" t="s">
        <v>374</v>
      </c>
      <c r="G466" s="321">
        <f>ROUND(E466/100*$C466*E456,0)</f>
        <v>0</v>
      </c>
      <c r="H466" s="321">
        <f>ROUND(F466/100*$C466*F456,0)</f>
        <v>0</v>
      </c>
      <c r="I466" s="336">
        <v>0.06</v>
      </c>
      <c r="J466" s="321" t="s">
        <v>374</v>
      </c>
      <c r="K466" s="321">
        <f>ROUND(I466/100*$D466*I456,0)</f>
        <v>0</v>
      </c>
    </row>
    <row r="467" spans="1:24">
      <c r="A467" s="323" t="s">
        <v>431</v>
      </c>
      <c r="B467" s="1"/>
      <c r="C467" s="319">
        <v>0</v>
      </c>
      <c r="D467" s="319">
        <v>0</v>
      </c>
      <c r="E467" s="363">
        <v>60</v>
      </c>
      <c r="F467" s="361" t="s">
        <v>31</v>
      </c>
      <c r="G467" s="321">
        <f>ROUND(E467*$C467,0)</f>
        <v>0</v>
      </c>
      <c r="H467" s="321">
        <f>ROUND(F467*$C467,0)</f>
        <v>0</v>
      </c>
      <c r="I467" s="363">
        <v>60</v>
      </c>
      <c r="J467" s="364" t="s">
        <v>31</v>
      </c>
      <c r="K467" s="321">
        <f>ROUND(I467*$D467,0)</f>
        <v>0</v>
      </c>
    </row>
    <row r="468" spans="1:24">
      <c r="A468" s="323" t="s">
        <v>432</v>
      </c>
      <c r="B468" s="1"/>
      <c r="C468" s="319">
        <v>0</v>
      </c>
      <c r="D468" s="319">
        <v>0</v>
      </c>
      <c r="E468" s="336">
        <v>-30</v>
      </c>
      <c r="F468" s="321" t="s">
        <v>374</v>
      </c>
      <c r="G468" s="321">
        <f>ROUND(E468*$C468*$E$456,0)</f>
        <v>0</v>
      </c>
      <c r="H468" s="321">
        <f>ROUND(F468*$C468*$E$456,0)</f>
        <v>0</v>
      </c>
      <c r="I468" s="336">
        <v>-30</v>
      </c>
      <c r="J468" s="321" t="s">
        <v>374</v>
      </c>
      <c r="K468" s="321">
        <f>ROUND(I468*$D468*$E$456,0)</f>
        <v>0</v>
      </c>
    </row>
    <row r="469" spans="1:24">
      <c r="A469" s="309" t="s">
        <v>433</v>
      </c>
      <c r="B469" s="1"/>
      <c r="C469" s="319">
        <v>0</v>
      </c>
      <c r="D469" s="319">
        <v>0</v>
      </c>
      <c r="E469" s="334">
        <f>E450/2</f>
        <v>1.82</v>
      </c>
      <c r="F469" s="321"/>
      <c r="G469" s="321"/>
      <c r="H469" s="321"/>
      <c r="I469" s="334">
        <f>I450/2</f>
        <v>1.875</v>
      </c>
      <c r="J469" s="321"/>
      <c r="K469" s="321">
        <f>ROUND($D469*I469,0)</f>
        <v>0</v>
      </c>
    </row>
    <row r="470" spans="1:24">
      <c r="A470" s="309" t="s">
        <v>434</v>
      </c>
      <c r="B470" s="1"/>
      <c r="C470" s="319">
        <v>0</v>
      </c>
      <c r="D470" s="319">
        <v>0</v>
      </c>
      <c r="E470" s="334">
        <f>E450*4</f>
        <v>14.56</v>
      </c>
      <c r="F470" s="321"/>
      <c r="G470" s="321"/>
      <c r="H470" s="321"/>
      <c r="I470" s="334">
        <f>I450*4</f>
        <v>15</v>
      </c>
      <c r="J470" s="321"/>
      <c r="K470" s="321">
        <f>ROUND($D470*I470,0)</f>
        <v>0</v>
      </c>
    </row>
    <row r="471" spans="1:24">
      <c r="A471" s="3" t="s">
        <v>435</v>
      </c>
      <c r="B471" s="303"/>
      <c r="C471" s="319">
        <v>0</v>
      </c>
      <c r="D471" s="319">
        <v>0</v>
      </c>
      <c r="E471" s="365">
        <f>E453*4</f>
        <v>14.596</v>
      </c>
      <c r="F471" s="321" t="s">
        <v>374</v>
      </c>
      <c r="G471" s="321">
        <f>ROUND($C471*E471/100,0)</f>
        <v>0</v>
      </c>
      <c r="H471" s="321">
        <f>ROUND($C471*F471/100,0)</f>
        <v>0</v>
      </c>
      <c r="I471" s="613">
        <f>I453*4</f>
        <v>15.972000000000001</v>
      </c>
      <c r="J471" s="321" t="s">
        <v>374</v>
      </c>
      <c r="K471" s="321">
        <f>ROUND($D471*I471/100,0)</f>
        <v>0</v>
      </c>
    </row>
    <row r="472" spans="1:24">
      <c r="A472" s="1" t="s">
        <v>381</v>
      </c>
      <c r="B472" s="1"/>
      <c r="C472" s="319">
        <f>SUM(C452:C453)</f>
        <v>0</v>
      </c>
      <c r="D472" s="319">
        <f>SUM(D452:D453)</f>
        <v>0</v>
      </c>
      <c r="E472" s="330"/>
      <c r="F472" s="2"/>
      <c r="G472" s="2">
        <f>SUM(G443:G471)</f>
        <v>0</v>
      </c>
      <c r="H472" s="2">
        <f>SUM(H443:H471)</f>
        <v>0</v>
      </c>
      <c r="I472" s="330"/>
      <c r="J472" s="323"/>
      <c r="K472" s="2">
        <f>SUM(K443:K471)</f>
        <v>0</v>
      </c>
    </row>
    <row r="473" spans="1:24">
      <c r="A473" s="1" t="s">
        <v>363</v>
      </c>
      <c r="B473" s="1"/>
      <c r="C473" s="349">
        <v>0</v>
      </c>
      <c r="D473" s="349">
        <v>0</v>
      </c>
      <c r="E473" s="309"/>
      <c r="F473" s="309"/>
      <c r="G473" s="310">
        <v>0</v>
      </c>
      <c r="H473" s="310">
        <v>0</v>
      </c>
      <c r="I473" s="309"/>
      <c r="J473" s="309"/>
      <c r="K473" s="310">
        <v>0</v>
      </c>
      <c r="M473" s="289"/>
      <c r="N473" s="289"/>
      <c r="O473" s="290"/>
    </row>
    <row r="474" spans="1:24" ht="16.5" thickBot="1">
      <c r="A474" s="1" t="s">
        <v>382</v>
      </c>
      <c r="B474" s="1"/>
      <c r="C474" s="366">
        <f>SUM(C472:C473)</f>
        <v>0</v>
      </c>
      <c r="D474" s="366">
        <f>SUM(D472:D473)</f>
        <v>0</v>
      </c>
      <c r="E474" s="342"/>
      <c r="F474" s="343"/>
      <c r="G474" s="344">
        <f>SUM(G472:G473)</f>
        <v>0</v>
      </c>
      <c r="H474" s="344">
        <f>SUM(H472:H473)</f>
        <v>0</v>
      </c>
      <c r="I474" s="342"/>
      <c r="J474" s="345"/>
      <c r="K474" s="344">
        <f>SUM(K472:K473)</f>
        <v>0</v>
      </c>
      <c r="M474" s="291"/>
      <c r="N474" s="291"/>
      <c r="O474" s="292"/>
    </row>
    <row r="475" spans="1:24" ht="16.5" thickTop="1">
      <c r="A475" s="1"/>
      <c r="B475" s="367"/>
      <c r="C475" s="21"/>
      <c r="D475" s="21"/>
      <c r="E475" s="337"/>
      <c r="F475" s="2"/>
      <c r="G475" s="2"/>
      <c r="H475" s="2"/>
      <c r="I475" s="337"/>
      <c r="J475" s="1"/>
      <c r="K475" s="2"/>
    </row>
    <row r="476" spans="1:24">
      <c r="A476" s="293" t="s">
        <v>436</v>
      </c>
      <c r="B476" s="1"/>
      <c r="C476" s="1"/>
      <c r="D476" s="1"/>
      <c r="E476" s="2"/>
      <c r="F476" s="2"/>
      <c r="G476" s="1" t="s">
        <v>31</v>
      </c>
      <c r="H476" s="1"/>
      <c r="I476" s="2"/>
      <c r="J476" s="1"/>
      <c r="K476" s="1"/>
    </row>
    <row r="477" spans="1:24">
      <c r="A477" s="309" t="s">
        <v>437</v>
      </c>
      <c r="B477" s="1"/>
      <c r="C477" s="1"/>
      <c r="D477" s="1"/>
      <c r="E477" s="2"/>
      <c r="F477" s="2"/>
      <c r="G477" s="1"/>
      <c r="H477" s="1"/>
      <c r="I477" s="2"/>
      <c r="J477" s="1"/>
      <c r="K477" s="1"/>
    </row>
    <row r="478" spans="1:24">
      <c r="A478" s="323"/>
      <c r="B478" s="1"/>
      <c r="C478" s="1"/>
      <c r="D478" s="1"/>
      <c r="E478" s="2"/>
      <c r="F478" s="2"/>
      <c r="G478" s="1"/>
      <c r="H478" s="1"/>
      <c r="I478" s="2"/>
      <c r="J478" s="1"/>
      <c r="K478" s="1"/>
    </row>
    <row r="479" spans="1:24">
      <c r="A479" s="323" t="s">
        <v>393</v>
      </c>
      <c r="B479" s="1"/>
      <c r="C479" s="319"/>
      <c r="D479" s="319"/>
      <c r="E479" s="2"/>
      <c r="F479" s="2"/>
      <c r="G479" s="1"/>
      <c r="H479" s="1"/>
      <c r="I479" s="2"/>
      <c r="J479" s="1"/>
      <c r="K479" s="1"/>
      <c r="S479" s="22">
        <v>100</v>
      </c>
      <c r="T479" s="22">
        <v>101</v>
      </c>
      <c r="U479" s="22">
        <v>300</v>
      </c>
      <c r="V479" s="22">
        <v>301</v>
      </c>
      <c r="W479" s="22" t="s">
        <v>438</v>
      </c>
      <c r="X479" s="22" t="s">
        <v>439</v>
      </c>
    </row>
    <row r="480" spans="1:24">
      <c r="A480" s="323" t="s">
        <v>421</v>
      </c>
      <c r="B480" s="1"/>
      <c r="C480" s="319">
        <f t="shared" ref="C480:D482" si="42">C514+C548</f>
        <v>289</v>
      </c>
      <c r="D480" s="319">
        <f t="shared" si="42"/>
        <v>292</v>
      </c>
      <c r="E480" s="298">
        <v>205</v>
      </c>
      <c r="F480" s="323"/>
      <c r="G480" s="321">
        <f t="shared" ref="G480:H482" si="43">G514+G548</f>
        <v>59245</v>
      </c>
      <c r="H480" s="321">
        <f t="shared" si="43"/>
        <v>59860</v>
      </c>
      <c r="I480" s="298">
        <v>225</v>
      </c>
      <c r="J480" s="323"/>
      <c r="K480" s="321">
        <f>K514+K548</f>
        <v>65700</v>
      </c>
      <c r="M480" s="84">
        <f>I480*D480</f>
        <v>65700</v>
      </c>
      <c r="N480" s="14"/>
      <c r="O480" s="14">
        <f>(I480-E480)/E480</f>
        <v>9.7560975609756101E-2</v>
      </c>
      <c r="P480" s="237">
        <f>SUM(K480:K485)/SUM(H480:H485)-1</f>
        <v>7.3572489540367991E-2</v>
      </c>
      <c r="R480" s="3" t="s">
        <v>371</v>
      </c>
      <c r="S480" s="329">
        <f>E480</f>
        <v>205</v>
      </c>
      <c r="T480" s="329">
        <f>E481+(E484*101)</f>
        <v>214.38</v>
      </c>
      <c r="U480" s="329">
        <f>E481+(E484*300)</f>
        <v>488.99999999999994</v>
      </c>
      <c r="V480" s="329">
        <f>E482+(E485*301)</f>
        <v>490.13</v>
      </c>
      <c r="W480" s="84">
        <f>(D480+D481+D482)*E480</f>
        <v>2621745</v>
      </c>
      <c r="X480" s="84">
        <f>SUM(H480:H485)-W480</f>
        <v>2785711</v>
      </c>
    </row>
    <row r="481" spans="1:25">
      <c r="A481" s="323" t="s">
        <v>422</v>
      </c>
      <c r="B481" s="1"/>
      <c r="C481" s="319">
        <f t="shared" si="42"/>
        <v>8907</v>
      </c>
      <c r="D481" s="319">
        <f t="shared" si="42"/>
        <v>8972</v>
      </c>
      <c r="E481" s="298">
        <v>75</v>
      </c>
      <c r="F481" s="323"/>
      <c r="G481" s="321">
        <f t="shared" si="43"/>
        <v>668025</v>
      </c>
      <c r="H481" s="321">
        <f t="shared" si="43"/>
        <v>672900</v>
      </c>
      <c r="I481" s="298">
        <v>83</v>
      </c>
      <c r="J481" s="323"/>
      <c r="K481" s="321">
        <f>K515+K549</f>
        <v>744676</v>
      </c>
      <c r="M481" s="84">
        <f>I481*D481</f>
        <v>744676</v>
      </c>
      <c r="N481" s="14"/>
      <c r="O481" s="14">
        <f>(I481-E481)/E481</f>
        <v>0.10666666666666667</v>
      </c>
      <c r="R481" s="3" t="s">
        <v>305</v>
      </c>
      <c r="S481" s="329">
        <f>I480</f>
        <v>225</v>
      </c>
      <c r="T481" s="329">
        <f>I481+(I484*101)</f>
        <v>231.47</v>
      </c>
      <c r="U481" s="329">
        <f>I481+(I484*300)</f>
        <v>524</v>
      </c>
      <c r="V481" s="329">
        <f>I482+(I485*301)</f>
        <v>527.20000000000005</v>
      </c>
      <c r="W481" s="84">
        <f>(D480+D481+D482)*I480</f>
        <v>2877525</v>
      </c>
      <c r="X481" s="84">
        <f>SUM(K480:K485)-W481</f>
        <v>2927771</v>
      </c>
    </row>
    <row r="482" spans="1:25">
      <c r="A482" s="323" t="s">
        <v>423</v>
      </c>
      <c r="B482" s="1"/>
      <c r="C482" s="319">
        <f t="shared" si="42"/>
        <v>3508</v>
      </c>
      <c r="D482" s="319">
        <f t="shared" si="42"/>
        <v>3525</v>
      </c>
      <c r="E482" s="298">
        <v>150</v>
      </c>
      <c r="F482" s="325"/>
      <c r="G482" s="321">
        <f t="shared" si="43"/>
        <v>526200</v>
      </c>
      <c r="H482" s="321">
        <f t="shared" si="43"/>
        <v>528750</v>
      </c>
      <c r="I482" s="298">
        <v>166</v>
      </c>
      <c r="J482" s="325"/>
      <c r="K482" s="321">
        <f>K516+K550</f>
        <v>585150</v>
      </c>
      <c r="M482" s="84">
        <f>I482*D482</f>
        <v>585150</v>
      </c>
      <c r="N482" s="14"/>
      <c r="O482" s="14">
        <f>(I482-E482)/E482</f>
        <v>0.10666666666666667</v>
      </c>
      <c r="R482" s="3" t="s">
        <v>252</v>
      </c>
      <c r="W482" s="3">
        <f>W481/W480</f>
        <v>1.0975609756097562</v>
      </c>
      <c r="X482" s="3">
        <f>X481/X480</f>
        <v>1.0509959575849757</v>
      </c>
    </row>
    <row r="483" spans="1:25">
      <c r="A483" s="323" t="s">
        <v>394</v>
      </c>
      <c r="B483" s="1"/>
      <c r="C483" s="319">
        <f>SUM(C480:C482)</f>
        <v>12704</v>
      </c>
      <c r="D483" s="319">
        <f>SUM(D480:D482)</f>
        <v>12789</v>
      </c>
      <c r="E483" s="298"/>
      <c r="F483" s="323"/>
      <c r="G483" s="321"/>
      <c r="H483" s="321"/>
      <c r="I483" s="298"/>
      <c r="J483" s="323"/>
      <c r="K483" s="321"/>
    </row>
    <row r="484" spans="1:25">
      <c r="A484" s="323" t="s">
        <v>422</v>
      </c>
      <c r="B484" s="1"/>
      <c r="C484" s="319">
        <f>C518+C552</f>
        <v>1535371</v>
      </c>
      <c r="D484" s="319">
        <f>D518+D552</f>
        <v>1549871</v>
      </c>
      <c r="E484" s="298">
        <v>1.38</v>
      </c>
      <c r="F484" s="323" t="s">
        <v>31</v>
      </c>
      <c r="G484" s="321">
        <f>G518+G552</f>
        <v>2118812</v>
      </c>
      <c r="H484" s="321">
        <f>H518+H552</f>
        <v>2138822</v>
      </c>
      <c r="I484" s="298">
        <v>1.47</v>
      </c>
      <c r="J484" s="323" t="s">
        <v>31</v>
      </c>
      <c r="K484" s="321">
        <f>K518+K552</f>
        <v>2278311</v>
      </c>
      <c r="M484" s="84">
        <f>I484*D484</f>
        <v>2278310.37</v>
      </c>
      <c r="N484" s="14"/>
      <c r="O484" s="14">
        <f>(I484-E484)/E484</f>
        <v>6.5217391304347894E-2</v>
      </c>
      <c r="R484" s="3" t="s">
        <v>440</v>
      </c>
    </row>
    <row r="485" spans="1:25">
      <c r="A485" s="323" t="s">
        <v>423</v>
      </c>
      <c r="B485" s="1"/>
      <c r="C485" s="319">
        <f>C519+C553</f>
        <v>1759859</v>
      </c>
      <c r="D485" s="319">
        <f>D519+D553</f>
        <v>1776216</v>
      </c>
      <c r="E485" s="298">
        <v>1.1299999999999999</v>
      </c>
      <c r="F485" s="323" t="s">
        <v>31</v>
      </c>
      <c r="G485" s="321">
        <f>G519+G553</f>
        <v>1988640</v>
      </c>
      <c r="H485" s="321">
        <f>H519+H553</f>
        <v>2007124</v>
      </c>
      <c r="I485" s="298">
        <v>1.2</v>
      </c>
      <c r="J485" s="323" t="s">
        <v>31</v>
      </c>
      <c r="K485" s="321">
        <f>K519+K553</f>
        <v>2131459</v>
      </c>
      <c r="M485" s="84">
        <f>I485*D485</f>
        <v>2131459.1999999997</v>
      </c>
      <c r="N485" s="14"/>
      <c r="O485" s="14">
        <f>(I485-E485)/E485</f>
        <v>6.1946902654867318E-2</v>
      </c>
      <c r="R485" s="3" t="s">
        <v>371</v>
      </c>
      <c r="T485" s="3">
        <f>(T480-S480)*12</f>
        <v>112.55999999999995</v>
      </c>
      <c r="V485" s="3">
        <f>(V480-U480)*12</f>
        <v>13.560000000000628</v>
      </c>
      <c r="X485" s="368"/>
      <c r="Y485" s="329"/>
    </row>
    <row r="486" spans="1:25">
      <c r="A486" s="309" t="s">
        <v>424</v>
      </c>
      <c r="B486" s="1"/>
      <c r="C486" s="319"/>
      <c r="D486" s="319"/>
      <c r="E486" s="355"/>
      <c r="F486" s="323"/>
      <c r="G486" s="321"/>
      <c r="H486" s="321"/>
      <c r="I486" s="355"/>
      <c r="J486" s="323"/>
      <c r="K486" s="321"/>
      <c r="R486" s="3" t="s">
        <v>305</v>
      </c>
      <c r="T486" s="3">
        <f>(T481-S481)*12</f>
        <v>77.639999999999986</v>
      </c>
      <c r="V486" s="3">
        <f>(V481-U481)*12</f>
        <v>38.400000000000546</v>
      </c>
    </row>
    <row r="487" spans="1:25">
      <c r="A487" s="309" t="s">
        <v>425</v>
      </c>
      <c r="B487" s="1"/>
      <c r="C487" s="319">
        <f>C521+C555</f>
        <v>2505096</v>
      </c>
      <c r="D487" s="319">
        <f>D521+D555</f>
        <v>2528566</v>
      </c>
      <c r="E487" s="298">
        <v>3.64</v>
      </c>
      <c r="F487" s="323"/>
      <c r="G487" s="321">
        <f>G521+G555</f>
        <v>9118549</v>
      </c>
      <c r="H487" s="321">
        <f>H521+H555</f>
        <v>9203980</v>
      </c>
      <c r="I487" s="298">
        <v>3.75</v>
      </c>
      <c r="J487" s="323"/>
      <c r="K487" s="321">
        <f>K521+K555</f>
        <v>9482123</v>
      </c>
      <c r="M487" s="84">
        <f>I487*D487</f>
        <v>9482122.5</v>
      </c>
      <c r="N487" s="14"/>
      <c r="O487" s="14">
        <f>(I487-E487)/E487</f>
        <v>3.0219780219780185E-2</v>
      </c>
    </row>
    <row r="488" spans="1:25">
      <c r="A488" s="309" t="s">
        <v>441</v>
      </c>
      <c r="B488" s="1"/>
      <c r="C488" s="319">
        <f>C522+C556</f>
        <v>29432</v>
      </c>
      <c r="D488" s="319">
        <f>D522+D556</f>
        <v>29702</v>
      </c>
      <c r="E488" s="369">
        <f>E487</f>
        <v>3.64</v>
      </c>
      <c r="F488" s="323"/>
      <c r="G488" s="321">
        <f>G522+G556</f>
        <v>107133</v>
      </c>
      <c r="H488" s="321">
        <f>H522+H556</f>
        <v>108115</v>
      </c>
      <c r="I488" s="369">
        <f>I487</f>
        <v>3.75</v>
      </c>
      <c r="J488" s="323"/>
      <c r="K488" s="321">
        <f>K522+K556</f>
        <v>111383</v>
      </c>
      <c r="M488" s="84">
        <f>I488*D488</f>
        <v>111382.5</v>
      </c>
      <c r="N488" s="14"/>
      <c r="O488" s="14">
        <f>(I488-E488)/E488</f>
        <v>3.0219780219780185E-2</v>
      </c>
    </row>
    <row r="489" spans="1:25">
      <c r="A489" s="323" t="s">
        <v>426</v>
      </c>
      <c r="B489" s="1"/>
      <c r="C489" s="319"/>
      <c r="D489" s="319"/>
      <c r="E489" s="298"/>
      <c r="F489" s="323"/>
      <c r="G489" s="321"/>
      <c r="H489" s="321"/>
      <c r="I489" s="298"/>
      <c r="J489" s="323"/>
      <c r="K489" s="321"/>
    </row>
    <row r="490" spans="1:25">
      <c r="A490" s="323" t="s">
        <v>427</v>
      </c>
      <c r="B490" s="319"/>
      <c r="C490" s="319">
        <v>399000610.21105069</v>
      </c>
      <c r="D490" s="319">
        <f>D524+D558</f>
        <v>402768334</v>
      </c>
      <c r="E490" s="370">
        <v>3.9809999999999999</v>
      </c>
      <c r="F490" s="323" t="s">
        <v>374</v>
      </c>
      <c r="G490" s="321">
        <f t="shared" ref="G490:H492" si="44">G524+G558</f>
        <v>15884355</v>
      </c>
      <c r="H490" s="321">
        <f t="shared" si="44"/>
        <v>16034207</v>
      </c>
      <c r="I490" s="327">
        <v>4.3570000000000002</v>
      </c>
      <c r="J490" s="323" t="s">
        <v>374</v>
      </c>
      <c r="K490" s="321">
        <f>K524+K558</f>
        <v>17548616</v>
      </c>
      <c r="M490" s="84">
        <f>(I490/100)*D490</f>
        <v>17548616.312380001</v>
      </c>
      <c r="N490" s="14"/>
      <c r="O490" s="14">
        <f>(I490-E490)/E490</f>
        <v>9.4448630997236965E-2</v>
      </c>
    </row>
    <row r="491" spans="1:25">
      <c r="A491" s="323" t="s">
        <v>399</v>
      </c>
      <c r="B491" s="319"/>
      <c r="C491" s="319">
        <v>502109624.78894931</v>
      </c>
      <c r="D491" s="319">
        <f>D525+D559</f>
        <v>506816374</v>
      </c>
      <c r="E491" s="370">
        <v>3.649</v>
      </c>
      <c r="F491" s="323" t="s">
        <v>374</v>
      </c>
      <c r="G491" s="321">
        <f t="shared" si="44"/>
        <v>18322143</v>
      </c>
      <c r="H491" s="321">
        <f t="shared" si="44"/>
        <v>18493730</v>
      </c>
      <c r="I491" s="370">
        <f>ROUND((E491/E490)*I490,3)-0.001</f>
        <v>3.9930000000000003</v>
      </c>
      <c r="J491" s="323" t="s">
        <v>374</v>
      </c>
      <c r="K491" s="321">
        <f>K525+K559</f>
        <v>20237178</v>
      </c>
      <c r="M491" s="84">
        <f>(I491/100)*D491</f>
        <v>20237177.813820001</v>
      </c>
      <c r="N491" s="14"/>
      <c r="O491" s="14">
        <f>(I491-E491)/E491</f>
        <v>9.4272403398191373E-2</v>
      </c>
    </row>
    <row r="492" spans="1:25">
      <c r="A492" s="323" t="s">
        <v>400</v>
      </c>
      <c r="B492" s="1"/>
      <c r="C492" s="319">
        <f>C526+C560</f>
        <v>523331</v>
      </c>
      <c r="D492" s="319">
        <f>D526+D560</f>
        <v>528143</v>
      </c>
      <c r="E492" s="339">
        <v>45</v>
      </c>
      <c r="F492" s="323" t="s">
        <v>374</v>
      </c>
      <c r="G492" s="321">
        <f t="shared" si="44"/>
        <v>235499</v>
      </c>
      <c r="H492" s="321">
        <f t="shared" si="44"/>
        <v>237664</v>
      </c>
      <c r="I492" s="339">
        <v>45</v>
      </c>
      <c r="J492" s="323" t="s">
        <v>374</v>
      </c>
      <c r="K492" s="321">
        <f>K526+K560</f>
        <v>237664</v>
      </c>
      <c r="M492" s="84">
        <f>(I492/100)*D492</f>
        <v>237664.35</v>
      </c>
      <c r="N492" s="14"/>
      <c r="O492" s="14">
        <f>(I492-E492)/E492</f>
        <v>0</v>
      </c>
      <c r="S492" s="3" t="s">
        <v>371</v>
      </c>
      <c r="T492" s="3" t="s">
        <v>305</v>
      </c>
      <c r="U492" s="3" t="s">
        <v>372</v>
      </c>
      <c r="V492" s="3" t="s">
        <v>315</v>
      </c>
    </row>
    <row r="493" spans="1:25">
      <c r="A493" s="360" t="s">
        <v>401</v>
      </c>
      <c r="B493" s="1"/>
      <c r="C493" s="319"/>
      <c r="D493" s="319"/>
      <c r="E493" s="332">
        <v>-0.01</v>
      </c>
      <c r="F493" s="2"/>
      <c r="G493" s="321"/>
      <c r="H493" s="321"/>
      <c r="I493" s="332">
        <v>-0.01</v>
      </c>
      <c r="J493" s="1"/>
      <c r="K493" s="321"/>
      <c r="R493" s="3" t="s">
        <v>442</v>
      </c>
      <c r="S493" s="84">
        <f>SUM(H480:H485)</f>
        <v>5407456</v>
      </c>
      <c r="T493" s="84">
        <f>SUM(K480:K485)</f>
        <v>5805296</v>
      </c>
      <c r="U493" s="106">
        <v>6297781.880353801</v>
      </c>
      <c r="V493" s="237">
        <f>T493/U493</f>
        <v>0.92180010522591582</v>
      </c>
    </row>
    <row r="494" spans="1:25">
      <c r="A494" s="323" t="s">
        <v>421</v>
      </c>
      <c r="B494" s="1"/>
      <c r="C494" s="319">
        <f t="shared" ref="C494:D507" si="45">C528+C562</f>
        <v>0</v>
      </c>
      <c r="D494" s="319">
        <f t="shared" si="45"/>
        <v>0</v>
      </c>
      <c r="E494" s="304">
        <f>E480</f>
        <v>205</v>
      </c>
      <c r="F494" s="364"/>
      <c r="G494" s="321">
        <f t="shared" ref="G494:H507" si="46">G528+G562</f>
        <v>0</v>
      </c>
      <c r="H494" s="321">
        <f t="shared" si="46"/>
        <v>0</v>
      </c>
      <c r="I494" s="304">
        <f>I480</f>
        <v>225</v>
      </c>
      <c r="J494" s="293"/>
      <c r="K494" s="321">
        <f t="shared" ref="K494:K507" si="47">K528+K562</f>
        <v>0</v>
      </c>
      <c r="M494" s="84">
        <f t="shared" ref="M494:M500" si="48">-(I494*D494)/100</f>
        <v>0</v>
      </c>
      <c r="R494" s="3" t="s">
        <v>376</v>
      </c>
      <c r="S494" s="84">
        <f>SUM(H490:H491)</f>
        <v>34527937</v>
      </c>
      <c r="T494" s="84">
        <f>SUM(K490:K491)</f>
        <v>37785794</v>
      </c>
      <c r="U494" s="106">
        <v>43870359.484416999</v>
      </c>
      <c r="V494" s="237">
        <f>T494/U494</f>
        <v>0.86130577556406229</v>
      </c>
    </row>
    <row r="495" spans="1:25">
      <c r="A495" s="323" t="s">
        <v>422</v>
      </c>
      <c r="B495" s="1"/>
      <c r="C495" s="319">
        <f t="shared" si="45"/>
        <v>36</v>
      </c>
      <c r="D495" s="319">
        <f t="shared" si="45"/>
        <v>36</v>
      </c>
      <c r="E495" s="304">
        <f>E481</f>
        <v>75</v>
      </c>
      <c r="F495" s="364"/>
      <c r="G495" s="321">
        <f t="shared" si="46"/>
        <v>-27</v>
      </c>
      <c r="H495" s="321">
        <f t="shared" si="46"/>
        <v>-27</v>
      </c>
      <c r="I495" s="304">
        <f>I481</f>
        <v>83</v>
      </c>
      <c r="J495" s="293"/>
      <c r="K495" s="321">
        <f t="shared" si="47"/>
        <v>-30</v>
      </c>
      <c r="M495" s="84">
        <f t="shared" si="48"/>
        <v>-29.88</v>
      </c>
      <c r="O495" s="371"/>
      <c r="R495" s="3" t="s">
        <v>406</v>
      </c>
      <c r="S495" s="84">
        <f>SUM(H487:H488)</f>
        <v>9312095</v>
      </c>
      <c r="T495" s="84">
        <f>SUM(K487:K488)</f>
        <v>9593506</v>
      </c>
      <c r="U495" s="106">
        <v>6509411.4532006206</v>
      </c>
      <c r="V495" s="237">
        <f>T495/U495</f>
        <v>1.4737900759496401</v>
      </c>
    </row>
    <row r="496" spans="1:25">
      <c r="A496" s="323" t="s">
        <v>423</v>
      </c>
      <c r="B496" s="1"/>
      <c r="C496" s="319">
        <f t="shared" si="45"/>
        <v>96</v>
      </c>
      <c r="D496" s="319">
        <f t="shared" si="45"/>
        <v>97</v>
      </c>
      <c r="E496" s="304">
        <f>E482</f>
        <v>150</v>
      </c>
      <c r="F496" s="372"/>
      <c r="G496" s="321">
        <f t="shared" si="46"/>
        <v>-144</v>
      </c>
      <c r="H496" s="321">
        <f t="shared" si="46"/>
        <v>-146</v>
      </c>
      <c r="I496" s="304">
        <f>I482</f>
        <v>166</v>
      </c>
      <c r="J496" s="373"/>
      <c r="K496" s="321">
        <f t="shared" si="47"/>
        <v>-161</v>
      </c>
      <c r="M496" s="84">
        <f t="shared" si="48"/>
        <v>-161.02000000000001</v>
      </c>
      <c r="O496" s="371"/>
    </row>
    <row r="497" spans="1:16">
      <c r="A497" s="323" t="s">
        <v>422</v>
      </c>
      <c r="B497" s="1"/>
      <c r="C497" s="319">
        <f t="shared" si="45"/>
        <v>5797</v>
      </c>
      <c r="D497" s="319">
        <f t="shared" si="45"/>
        <v>5851</v>
      </c>
      <c r="E497" s="304">
        <f>E484</f>
        <v>1.38</v>
      </c>
      <c r="F497" s="364"/>
      <c r="G497" s="321">
        <f t="shared" si="46"/>
        <v>-80</v>
      </c>
      <c r="H497" s="321">
        <f t="shared" si="46"/>
        <v>-81</v>
      </c>
      <c r="I497" s="304">
        <f>I484</f>
        <v>1.47</v>
      </c>
      <c r="J497" s="293"/>
      <c r="K497" s="321">
        <f t="shared" si="47"/>
        <v>-86</v>
      </c>
      <c r="M497" s="84">
        <f t="shared" si="48"/>
        <v>-86.009699999999995</v>
      </c>
    </row>
    <row r="498" spans="1:16">
      <c r="A498" s="323" t="s">
        <v>423</v>
      </c>
      <c r="B498" s="1"/>
      <c r="C498" s="319">
        <f t="shared" si="45"/>
        <v>55144</v>
      </c>
      <c r="D498" s="319">
        <f t="shared" si="45"/>
        <v>55664</v>
      </c>
      <c r="E498" s="304">
        <f>E485</f>
        <v>1.1299999999999999</v>
      </c>
      <c r="F498" s="364" t="s">
        <v>31</v>
      </c>
      <c r="G498" s="321">
        <f t="shared" si="46"/>
        <v>-623</v>
      </c>
      <c r="H498" s="321">
        <f t="shared" si="46"/>
        <v>-629</v>
      </c>
      <c r="I498" s="304">
        <f>I485</f>
        <v>1.2</v>
      </c>
      <c r="J498" s="293"/>
      <c r="K498" s="321">
        <f t="shared" si="47"/>
        <v>-668</v>
      </c>
      <c r="M498" s="84">
        <f t="shared" si="48"/>
        <v>-667.96800000000007</v>
      </c>
    </row>
    <row r="499" spans="1:16">
      <c r="A499" s="309" t="s">
        <v>425</v>
      </c>
      <c r="B499" s="1"/>
      <c r="C499" s="319">
        <f t="shared" si="45"/>
        <v>50196</v>
      </c>
      <c r="D499" s="319">
        <f t="shared" si="45"/>
        <v>50667</v>
      </c>
      <c r="E499" s="304">
        <f>E487</f>
        <v>3.64</v>
      </c>
      <c r="F499" s="364" t="s">
        <v>31</v>
      </c>
      <c r="G499" s="321">
        <f t="shared" si="46"/>
        <v>-1827</v>
      </c>
      <c r="H499" s="321">
        <f t="shared" si="46"/>
        <v>-1845</v>
      </c>
      <c r="I499" s="304">
        <f>I487</f>
        <v>3.75</v>
      </c>
      <c r="J499" s="293"/>
      <c r="K499" s="321">
        <f t="shared" si="47"/>
        <v>-1900</v>
      </c>
      <c r="M499" s="84">
        <f t="shared" si="48"/>
        <v>-1900.0125</v>
      </c>
    </row>
    <row r="500" spans="1:16">
      <c r="A500" s="309" t="s">
        <v>441</v>
      </c>
      <c r="B500" s="1"/>
      <c r="C500" s="319">
        <f t="shared" si="45"/>
        <v>0</v>
      </c>
      <c r="D500" s="319">
        <f t="shared" si="45"/>
        <v>0</v>
      </c>
      <c r="E500" s="304">
        <f>E488</f>
        <v>3.64</v>
      </c>
      <c r="F500" s="364" t="s">
        <v>31</v>
      </c>
      <c r="G500" s="321">
        <f t="shared" si="46"/>
        <v>0</v>
      </c>
      <c r="H500" s="321">
        <f t="shared" si="46"/>
        <v>0</v>
      </c>
      <c r="I500" s="304">
        <f>I488</f>
        <v>3.75</v>
      </c>
      <c r="J500" s="293"/>
      <c r="K500" s="321">
        <f t="shared" si="47"/>
        <v>0</v>
      </c>
      <c r="M500" s="84">
        <f t="shared" si="48"/>
        <v>0</v>
      </c>
    </row>
    <row r="501" spans="1:16">
      <c r="A501" s="323" t="s">
        <v>427</v>
      </c>
      <c r="B501" s="1"/>
      <c r="C501" s="319">
        <f t="shared" si="45"/>
        <v>5098267</v>
      </c>
      <c r="D501" s="319">
        <f t="shared" si="45"/>
        <v>5145947</v>
      </c>
      <c r="E501" s="374">
        <f>E490</f>
        <v>3.9809999999999999</v>
      </c>
      <c r="F501" s="321" t="s">
        <v>374</v>
      </c>
      <c r="G501" s="321">
        <f t="shared" si="46"/>
        <v>-2030</v>
      </c>
      <c r="H501" s="321">
        <f t="shared" si="46"/>
        <v>-2049</v>
      </c>
      <c r="I501" s="374">
        <f>I490</f>
        <v>4.3570000000000002</v>
      </c>
      <c r="J501" s="323" t="s">
        <v>374</v>
      </c>
      <c r="K501" s="321">
        <f t="shared" si="47"/>
        <v>-2242</v>
      </c>
      <c r="M501" s="84">
        <f>-((I501*D501)/100)/100</f>
        <v>-2242.0891078999998</v>
      </c>
    </row>
    <row r="502" spans="1:16">
      <c r="A502" s="323" t="s">
        <v>399</v>
      </c>
      <c r="B502" s="1"/>
      <c r="C502" s="319">
        <f t="shared" si="45"/>
        <v>15873073</v>
      </c>
      <c r="D502" s="319">
        <f t="shared" si="45"/>
        <v>16019655</v>
      </c>
      <c r="E502" s="374">
        <f>E491</f>
        <v>3.649</v>
      </c>
      <c r="F502" s="321" t="s">
        <v>374</v>
      </c>
      <c r="G502" s="321">
        <f t="shared" si="46"/>
        <v>-5792</v>
      </c>
      <c r="H502" s="321">
        <f t="shared" si="46"/>
        <v>-5845</v>
      </c>
      <c r="I502" s="374">
        <f>I491</f>
        <v>3.9930000000000003</v>
      </c>
      <c r="J502" s="323" t="s">
        <v>374</v>
      </c>
      <c r="K502" s="321">
        <f t="shared" si="47"/>
        <v>-6396</v>
      </c>
      <c r="M502" s="84">
        <f>-((I502*D502)/100)/100</f>
        <v>-6396.6482415000009</v>
      </c>
    </row>
    <row r="503" spans="1:16">
      <c r="A503" s="323" t="s">
        <v>400</v>
      </c>
      <c r="B503" s="1"/>
      <c r="C503" s="319">
        <f t="shared" si="45"/>
        <v>9247</v>
      </c>
      <c r="D503" s="319">
        <f t="shared" si="45"/>
        <v>9336</v>
      </c>
      <c r="E503" s="375">
        <f>E492</f>
        <v>45</v>
      </c>
      <c r="F503" s="321" t="s">
        <v>374</v>
      </c>
      <c r="G503" s="321">
        <f t="shared" si="46"/>
        <v>-42</v>
      </c>
      <c r="H503" s="321">
        <f t="shared" si="46"/>
        <v>-42</v>
      </c>
      <c r="I503" s="375">
        <f>I492</f>
        <v>45</v>
      </c>
      <c r="J503" s="323" t="s">
        <v>374</v>
      </c>
      <c r="K503" s="321">
        <f t="shared" si="47"/>
        <v>-42</v>
      </c>
      <c r="M503" s="84">
        <f>-((I503*D503)/100)/100</f>
        <v>-42.012</v>
      </c>
    </row>
    <row r="504" spans="1:16">
      <c r="A504" s="323" t="s">
        <v>443</v>
      </c>
      <c r="B504" s="1"/>
      <c r="C504" s="319">
        <f t="shared" si="45"/>
        <v>132</v>
      </c>
      <c r="D504" s="319">
        <f t="shared" si="45"/>
        <v>132</v>
      </c>
      <c r="E504" s="298">
        <v>60</v>
      </c>
      <c r="F504" s="364" t="s">
        <v>31</v>
      </c>
      <c r="G504" s="321">
        <f t="shared" si="46"/>
        <v>7920</v>
      </c>
      <c r="H504" s="321">
        <f t="shared" si="46"/>
        <v>7920</v>
      </c>
      <c r="I504" s="298">
        <v>60</v>
      </c>
      <c r="J504" s="1"/>
      <c r="K504" s="321">
        <f t="shared" si="47"/>
        <v>7920</v>
      </c>
      <c r="M504" s="84">
        <f>I504*D504</f>
        <v>7920</v>
      </c>
      <c r="O504" s="376"/>
    </row>
    <row r="505" spans="1:16">
      <c r="A505" s="323" t="s">
        <v>444</v>
      </c>
      <c r="B505" s="1"/>
      <c r="C505" s="319">
        <f t="shared" si="45"/>
        <v>60941</v>
      </c>
      <c r="D505" s="319">
        <f t="shared" si="45"/>
        <v>61515</v>
      </c>
      <c r="E505" s="339">
        <v>-30</v>
      </c>
      <c r="F505" s="321" t="s">
        <v>374</v>
      </c>
      <c r="G505" s="321">
        <f t="shared" si="46"/>
        <v>-18282</v>
      </c>
      <c r="H505" s="321">
        <f t="shared" si="46"/>
        <v>-18455</v>
      </c>
      <c r="I505" s="339">
        <v>-30</v>
      </c>
      <c r="J505" s="321" t="s">
        <v>374</v>
      </c>
      <c r="K505" s="321">
        <f t="shared" si="47"/>
        <v>-18455</v>
      </c>
      <c r="M505" s="84">
        <f>(I505/100)*D505</f>
        <v>-18454.5</v>
      </c>
      <c r="O505" s="294"/>
    </row>
    <row r="506" spans="1:16">
      <c r="A506" s="1" t="s">
        <v>381</v>
      </c>
      <c r="B506" s="65"/>
      <c r="C506" s="319">
        <f t="shared" si="45"/>
        <v>901118201</v>
      </c>
      <c r="D506" s="319">
        <f t="shared" si="45"/>
        <v>909584708.38655555</v>
      </c>
      <c r="E506" s="330"/>
      <c r="F506" s="2"/>
      <c r="G506" s="2">
        <f t="shared" si="46"/>
        <v>49007674</v>
      </c>
      <c r="H506" s="2">
        <f t="shared" si="46"/>
        <v>49463953</v>
      </c>
      <c r="I506" s="2"/>
      <c r="J506" s="1"/>
      <c r="K506" s="2">
        <f t="shared" si="47"/>
        <v>53400200</v>
      </c>
      <c r="M506" s="84">
        <f>SUM(M480:M505)</f>
        <v>53400198.906650588</v>
      </c>
      <c r="P506" s="377"/>
    </row>
    <row r="507" spans="1:16">
      <c r="A507" s="1" t="s">
        <v>363</v>
      </c>
      <c r="B507" s="25"/>
      <c r="C507" s="340">
        <f t="shared" si="45"/>
        <v>73314.063672312535</v>
      </c>
      <c r="D507" s="340">
        <f t="shared" si="45"/>
        <v>0</v>
      </c>
      <c r="E507" s="309"/>
      <c r="F507" s="309"/>
      <c r="G507" s="310">
        <f t="shared" si="46"/>
        <v>-2406.1600057471078</v>
      </c>
      <c r="H507" s="310">
        <f t="shared" si="46"/>
        <v>0</v>
      </c>
      <c r="I507" s="309"/>
      <c r="J507" s="309"/>
      <c r="K507" s="310">
        <f t="shared" si="47"/>
        <v>0</v>
      </c>
      <c r="M507" s="289"/>
      <c r="N507" s="289"/>
      <c r="O507" s="290"/>
    </row>
    <row r="508" spans="1:16" ht="16.5" thickBot="1">
      <c r="A508" s="1" t="s">
        <v>382</v>
      </c>
      <c r="B508" s="1"/>
      <c r="C508" s="366">
        <f>SUM(C506)+C507</f>
        <v>901191515.0636723</v>
      </c>
      <c r="D508" s="366">
        <f>SUM(D490:D491)+D507</f>
        <v>909584708</v>
      </c>
      <c r="E508" s="342"/>
      <c r="F508" s="343"/>
      <c r="G508" s="344">
        <f>G506+G507</f>
        <v>49005267.839994252</v>
      </c>
      <c r="H508" s="344">
        <f>H506+H507</f>
        <v>49463953</v>
      </c>
      <c r="I508" s="342"/>
      <c r="J508" s="345"/>
      <c r="K508" s="344">
        <f>K506+K507</f>
        <v>53400200</v>
      </c>
      <c r="M508" s="291"/>
      <c r="N508" s="3" t="s">
        <v>409</v>
      </c>
      <c r="O508" s="84" t="e">
        <f>#REF!*1000</f>
        <v>#REF!</v>
      </c>
    </row>
    <row r="509" spans="1:16" ht="16.5" thickTop="1">
      <c r="A509" s="1"/>
      <c r="B509" s="1"/>
      <c r="C509" s="21"/>
      <c r="D509" s="21"/>
      <c r="E509" s="337"/>
      <c r="F509" s="2"/>
      <c r="G509" s="2"/>
      <c r="H509" s="2"/>
      <c r="I509" s="353" t="s">
        <v>31</v>
      </c>
      <c r="J509" s="1"/>
      <c r="K509" s="2" t="s">
        <v>31</v>
      </c>
      <c r="N509" s="3" t="s">
        <v>263</v>
      </c>
      <c r="O509" s="84" t="e">
        <f>O508-K508</f>
        <v>#REF!</v>
      </c>
      <c r="P509" s="276" t="e">
        <f>(O508-K508)/K508</f>
        <v>#REF!</v>
      </c>
    </row>
    <row r="510" spans="1:16">
      <c r="A510" s="293" t="s">
        <v>436</v>
      </c>
      <c r="B510" s="1"/>
      <c r="C510" s="1"/>
      <c r="D510" s="1"/>
      <c r="E510" s="2"/>
      <c r="F510" s="2"/>
      <c r="G510" s="1" t="s">
        <v>31</v>
      </c>
      <c r="H510" s="1"/>
      <c r="I510" s="2"/>
      <c r="J510" s="1"/>
      <c r="K510" s="1"/>
    </row>
    <row r="511" spans="1:16">
      <c r="A511" s="309" t="s">
        <v>445</v>
      </c>
      <c r="B511" s="1"/>
      <c r="C511" s="1"/>
      <c r="D511" s="1"/>
      <c r="E511" s="2"/>
      <c r="F511" s="2"/>
      <c r="G511" s="1"/>
      <c r="H511" s="1"/>
      <c r="I511" s="2"/>
      <c r="J511" s="1"/>
      <c r="K511" s="1"/>
      <c r="M511" s="84"/>
      <c r="O511" s="276" t="e">
        <f>O509/(K490+K491)</f>
        <v>#REF!</v>
      </c>
    </row>
    <row r="512" spans="1:16">
      <c r="A512" s="323"/>
      <c r="B512" s="1"/>
      <c r="C512" s="1"/>
      <c r="D512" s="1"/>
      <c r="E512" s="2"/>
      <c r="F512" s="2"/>
      <c r="G512" s="1"/>
      <c r="H512" s="1"/>
      <c r="I512" s="2"/>
      <c r="J512" s="1"/>
      <c r="K512" s="1"/>
      <c r="M512" s="84">
        <f>K508-H508</f>
        <v>3936247</v>
      </c>
      <c r="N512" s="294"/>
    </row>
    <row r="513" spans="1:11">
      <c r="A513" s="323" t="s">
        <v>393</v>
      </c>
      <c r="B513" s="1"/>
      <c r="C513" s="319"/>
      <c r="D513" s="319"/>
      <c r="E513" s="2"/>
      <c r="F513" s="2"/>
      <c r="G513" s="1"/>
      <c r="H513" s="1"/>
      <c r="I513" s="2"/>
      <c r="J513" s="1"/>
      <c r="K513" s="1"/>
    </row>
    <row r="514" spans="1:11">
      <c r="A514" s="323" t="s">
        <v>421</v>
      </c>
      <c r="B514" s="1"/>
      <c r="C514" s="319">
        <f>39+239</f>
        <v>278</v>
      </c>
      <c r="D514" s="319">
        <v>281</v>
      </c>
      <c r="E514" s="298">
        <v>205</v>
      </c>
      <c r="F514" s="323"/>
      <c r="G514" s="321">
        <f>ROUND(E514*$C514,0)</f>
        <v>56990</v>
      </c>
      <c r="H514" s="321">
        <f>ROUND(E514*$D514,0)</f>
        <v>57605</v>
      </c>
      <c r="I514" s="298">
        <f>$I$480</f>
        <v>225</v>
      </c>
      <c r="J514" s="323"/>
      <c r="K514" s="321">
        <f>ROUND(I514*$D514,0)</f>
        <v>63225</v>
      </c>
    </row>
    <row r="515" spans="1:11">
      <c r="A515" s="323" t="s">
        <v>422</v>
      </c>
      <c r="B515" s="1"/>
      <c r="C515" s="319">
        <f>922+24+6772</f>
        <v>7718</v>
      </c>
      <c r="D515" s="319">
        <v>7812</v>
      </c>
      <c r="E515" s="298">
        <v>75</v>
      </c>
      <c r="F515" s="323"/>
      <c r="G515" s="321">
        <f>ROUND(E515*$C515,0)</f>
        <v>578850</v>
      </c>
      <c r="H515" s="321">
        <f>ROUND(E515*$D515,0)</f>
        <v>585900</v>
      </c>
      <c r="I515" s="298">
        <f>$I$481</f>
        <v>83</v>
      </c>
      <c r="J515" s="323"/>
      <c r="K515" s="321">
        <f>ROUND(I515*$D515,0)</f>
        <v>648396</v>
      </c>
    </row>
    <row r="516" spans="1:11">
      <c r="A516" s="323" t="s">
        <v>423</v>
      </c>
      <c r="B516" s="1"/>
      <c r="C516" s="319">
        <f>216+84+2519</f>
        <v>2819</v>
      </c>
      <c r="D516" s="319">
        <v>2853</v>
      </c>
      <c r="E516" s="298">
        <v>150</v>
      </c>
      <c r="F516" s="325"/>
      <c r="G516" s="321">
        <f>ROUND(E516*$C516,0)</f>
        <v>422850</v>
      </c>
      <c r="H516" s="321">
        <f>ROUND(E516*$D516,0)</f>
        <v>427950</v>
      </c>
      <c r="I516" s="298">
        <f>$I$482</f>
        <v>166</v>
      </c>
      <c r="J516" s="325"/>
      <c r="K516" s="321">
        <f>ROUND(I516*$D516,0)</f>
        <v>473598</v>
      </c>
    </row>
    <row r="517" spans="1:11">
      <c r="A517" s="323" t="s">
        <v>394</v>
      </c>
      <c r="B517" s="1"/>
      <c r="C517" s="319">
        <f>SUM(C514:C516)</f>
        <v>10815</v>
      </c>
      <c r="D517" s="319">
        <f>SUM(D514:D516)</f>
        <v>10946</v>
      </c>
      <c r="E517" s="298"/>
      <c r="F517" s="323"/>
      <c r="G517" s="321"/>
      <c r="H517" s="321"/>
      <c r="I517" s="298"/>
      <c r="J517" s="323"/>
      <c r="K517" s="321"/>
    </row>
    <row r="518" spans="1:11">
      <c r="A518" s="323" t="s">
        <v>422</v>
      </c>
      <c r="B518" s="1"/>
      <c r="C518" s="319">
        <f>169076+4310+1159051</f>
        <v>1332437</v>
      </c>
      <c r="D518" s="319">
        <f>ROUND(($D$540/'Blocking - detail'!$C$540)*C518,0)</f>
        <v>1345310</v>
      </c>
      <c r="E518" s="298">
        <v>1.38</v>
      </c>
      <c r="F518" s="323" t="s">
        <v>31</v>
      </c>
      <c r="G518" s="321">
        <f>ROUND(E518*$C518,0)</f>
        <v>1838763</v>
      </c>
      <c r="H518" s="321">
        <f>ROUND(E518*$D518,0)</f>
        <v>1856528</v>
      </c>
      <c r="I518" s="298">
        <f>$I$484</f>
        <v>1.47</v>
      </c>
      <c r="J518" s="323" t="s">
        <v>31</v>
      </c>
      <c r="K518" s="321">
        <f>ROUND(I518*$D518,0)</f>
        <v>1977606</v>
      </c>
    </row>
    <row r="519" spans="1:11">
      <c r="A519" s="323" t="s">
        <v>423</v>
      </c>
      <c r="B519" s="1"/>
      <c r="C519" s="319">
        <f>116000+47327+1204260</f>
        <v>1367587</v>
      </c>
      <c r="D519" s="319">
        <f>ROUND(($D$540/'Blocking - detail'!$C$540)*C519,0)</f>
        <v>1380800</v>
      </c>
      <c r="E519" s="298">
        <v>1.1299999999999999</v>
      </c>
      <c r="F519" s="323" t="s">
        <v>31</v>
      </c>
      <c r="G519" s="321">
        <f>ROUND(E519*$C519,0)</f>
        <v>1545373</v>
      </c>
      <c r="H519" s="321">
        <f>ROUND(E519*$D519,0)</f>
        <v>1560304</v>
      </c>
      <c r="I519" s="298">
        <f>$I$485</f>
        <v>1.2</v>
      </c>
      <c r="J519" s="323" t="s">
        <v>31</v>
      </c>
      <c r="K519" s="321">
        <f>ROUND(I519*$D519,0)</f>
        <v>1656960</v>
      </c>
    </row>
    <row r="520" spans="1:11">
      <c r="A520" s="309" t="s">
        <v>424</v>
      </c>
      <c r="B520" s="1"/>
      <c r="C520" s="319"/>
      <c r="D520" s="319"/>
      <c r="E520" s="355"/>
      <c r="F520" s="323"/>
      <c r="G520" s="321"/>
      <c r="H520" s="321"/>
      <c r="I520" s="355"/>
      <c r="J520" s="323"/>
      <c r="K520" s="321"/>
    </row>
    <row r="521" spans="1:11">
      <c r="A521" s="309" t="s">
        <v>425</v>
      </c>
      <c r="B521" s="1"/>
      <c r="C521" s="319">
        <f>2149+118464+82513+3301+38481+13812+879543+921273</f>
        <v>2059536</v>
      </c>
      <c r="D521" s="319">
        <f>ROUND(($D$540/'Blocking - detail'!$C$540)*C521,0)</f>
        <v>2079434</v>
      </c>
      <c r="E521" s="298">
        <v>3.64</v>
      </c>
      <c r="F521" s="323"/>
      <c r="G521" s="321">
        <f>ROUND(E521*$C521,0)</f>
        <v>7496711</v>
      </c>
      <c r="H521" s="321">
        <f>ROUND(E521*$D521,0)</f>
        <v>7569140</v>
      </c>
      <c r="I521" s="298">
        <f>$I$487</f>
        <v>3.75</v>
      </c>
      <c r="J521" s="323"/>
      <c r="K521" s="321">
        <f>ROUND(I521*$D521,0)</f>
        <v>7797878</v>
      </c>
    </row>
    <row r="522" spans="1:11">
      <c r="A522" s="309" t="s">
        <v>441</v>
      </c>
      <c r="B522" s="1"/>
      <c r="C522" s="319">
        <f>574+3763+211+1674+12455+2040</f>
        <v>20717</v>
      </c>
      <c r="D522" s="319">
        <f>ROUND(($D$540/'Blocking - detail'!$C$540)*C522,0)</f>
        <v>20917</v>
      </c>
      <c r="E522" s="369">
        <f>E521</f>
        <v>3.64</v>
      </c>
      <c r="F522" s="323"/>
      <c r="G522" s="321">
        <f>ROUND(E522*$C522,0)</f>
        <v>75410</v>
      </c>
      <c r="H522" s="321">
        <f>ROUND(E522*$D522,0)</f>
        <v>76138</v>
      </c>
      <c r="I522" s="369">
        <f>I521</f>
        <v>3.75</v>
      </c>
      <c r="J522" s="323"/>
      <c r="K522" s="321">
        <f>ROUND(I522*$D522,0)</f>
        <v>78439</v>
      </c>
    </row>
    <row r="523" spans="1:11">
      <c r="A523" s="323" t="s">
        <v>426</v>
      </c>
      <c r="B523" s="1"/>
      <c r="C523" s="319"/>
      <c r="D523" s="319"/>
      <c r="E523" s="298"/>
      <c r="F523" s="323"/>
      <c r="G523" s="321"/>
      <c r="H523" s="321"/>
      <c r="I523" s="298"/>
      <c r="J523" s="323"/>
      <c r="K523" s="321"/>
    </row>
    <row r="524" spans="1:11">
      <c r="A524" s="323" t="s">
        <v>427</v>
      </c>
      <c r="B524" s="319"/>
      <c r="C524" s="319">
        <v>343844159.45859212</v>
      </c>
      <c r="D524" s="319">
        <f>ROUND(($D$540/'Blocking - detail'!$C$540)*C524,0)</f>
        <v>347166190</v>
      </c>
      <c r="E524" s="370">
        <v>3.9809999999999999</v>
      </c>
      <c r="F524" s="323" t="s">
        <v>374</v>
      </c>
      <c r="G524" s="321">
        <f>ROUND(E524*$C524/100,0)</f>
        <v>13688436</v>
      </c>
      <c r="H524" s="321">
        <f>ROUND(E524*$D524/100,0)</f>
        <v>13820686</v>
      </c>
      <c r="I524" s="370">
        <f>$I$490</f>
        <v>4.3570000000000002</v>
      </c>
      <c r="J524" s="323" t="s">
        <v>374</v>
      </c>
      <c r="K524" s="321">
        <f>ROUND(I524*$D524/100,0)</f>
        <v>15126031</v>
      </c>
    </row>
    <row r="525" spans="1:11">
      <c r="A525" s="323" t="s">
        <v>399</v>
      </c>
      <c r="B525" s="319"/>
      <c r="C525" s="319">
        <v>411657922.54140788</v>
      </c>
      <c r="D525" s="319">
        <f>ROUND(($D$540/'Blocking - detail'!$C$540)*C525,0)</f>
        <v>415635131</v>
      </c>
      <c r="E525" s="370">
        <v>3.649</v>
      </c>
      <c r="F525" s="323" t="s">
        <v>374</v>
      </c>
      <c r="G525" s="321">
        <f>ROUND(E525*$C525/100,0)</f>
        <v>15021398</v>
      </c>
      <c r="H525" s="321">
        <f>ROUND(E525*$D525/100,0)</f>
        <v>15166526</v>
      </c>
      <c r="I525" s="370">
        <f>$I$491</f>
        <v>3.9930000000000003</v>
      </c>
      <c r="J525" s="323" t="s">
        <v>374</v>
      </c>
      <c r="K525" s="321">
        <f>ROUND(I525*$D525/100,0)</f>
        <v>16596311</v>
      </c>
    </row>
    <row r="526" spans="1:11">
      <c r="A526" s="323" t="s">
        <v>400</v>
      </c>
      <c r="B526" s="1"/>
      <c r="C526" s="319">
        <f>263+27052+20055+42+9205+1343+147244+169944</f>
        <v>375148</v>
      </c>
      <c r="D526" s="319">
        <f>ROUND(($D$540/'Blocking - detail'!$C$540)*C526,0)</f>
        <v>378772</v>
      </c>
      <c r="E526" s="339">
        <v>45</v>
      </c>
      <c r="F526" s="323" t="s">
        <v>374</v>
      </c>
      <c r="G526" s="321">
        <f>ROUND(E526*$C526/100,0)</f>
        <v>168817</v>
      </c>
      <c r="H526" s="321">
        <f>ROUND(E526*$D526/100,0)</f>
        <v>170447</v>
      </c>
      <c r="I526" s="339">
        <f>$I$492</f>
        <v>45</v>
      </c>
      <c r="J526" s="323" t="s">
        <v>374</v>
      </c>
      <c r="K526" s="321">
        <f>ROUND(I526*$D526/100,0)</f>
        <v>170447</v>
      </c>
    </row>
    <row r="527" spans="1:11">
      <c r="A527" s="360" t="s">
        <v>401</v>
      </c>
      <c r="B527" s="1"/>
      <c r="C527" s="319"/>
      <c r="D527" s="319"/>
      <c r="E527" s="332">
        <v>-0.01</v>
      </c>
      <c r="F527" s="2"/>
      <c r="G527" s="321"/>
      <c r="H527" s="321"/>
      <c r="I527" s="332">
        <f>$I$493</f>
        <v>-0.01</v>
      </c>
      <c r="J527" s="1"/>
      <c r="K527" s="321"/>
    </row>
    <row r="528" spans="1:11">
      <c r="A528" s="323" t="s">
        <v>421</v>
      </c>
      <c r="B528" s="21"/>
      <c r="C528" s="319">
        <v>0</v>
      </c>
      <c r="D528" s="319">
        <v>0</v>
      </c>
      <c r="E528" s="304">
        <f>E514</f>
        <v>205</v>
      </c>
      <c r="F528" s="364"/>
      <c r="G528" s="321">
        <f>ROUND(E528*$C528*E527,0)</f>
        <v>0</v>
      </c>
      <c r="H528" s="321">
        <f>ROUND(E528*$D528*E527,0)</f>
        <v>0</v>
      </c>
      <c r="I528" s="304">
        <f>I514</f>
        <v>225</v>
      </c>
      <c r="J528" s="293"/>
      <c r="K528" s="321">
        <f>ROUND(I528*$D528*I527,0)</f>
        <v>0</v>
      </c>
    </row>
    <row r="529" spans="1:16">
      <c r="A529" s="323" t="s">
        <v>422</v>
      </c>
      <c r="B529" s="1"/>
      <c r="C529" s="319">
        <f>24</f>
        <v>24</v>
      </c>
      <c r="D529" s="319">
        <v>24</v>
      </c>
      <c r="E529" s="304">
        <f>E515</f>
        <v>75</v>
      </c>
      <c r="F529" s="364"/>
      <c r="G529" s="321">
        <f>ROUND(E529*$C529*E527,0)</f>
        <v>-18</v>
      </c>
      <c r="H529" s="321">
        <f>ROUND(E529*$D529*E527,0)</f>
        <v>-18</v>
      </c>
      <c r="I529" s="304">
        <f>I515</f>
        <v>83</v>
      </c>
      <c r="J529" s="293"/>
      <c r="K529" s="321">
        <f>ROUND(I529*$D529*I527,0)</f>
        <v>-20</v>
      </c>
    </row>
    <row r="530" spans="1:16">
      <c r="A530" s="323" t="s">
        <v>423</v>
      </c>
      <c r="B530" s="1"/>
      <c r="C530" s="319">
        <f>84</f>
        <v>84</v>
      </c>
      <c r="D530" s="319">
        <v>85</v>
      </c>
      <c r="E530" s="304">
        <f>E516</f>
        <v>150</v>
      </c>
      <c r="F530" s="372"/>
      <c r="G530" s="321">
        <f>ROUND(E530*$C530*E527,0)</f>
        <v>-126</v>
      </c>
      <c r="H530" s="321">
        <f>ROUND(E530*$D530*E527,0)</f>
        <v>-128</v>
      </c>
      <c r="I530" s="304">
        <f>I516</f>
        <v>166</v>
      </c>
      <c r="J530" s="373"/>
      <c r="K530" s="321">
        <f>ROUND(I530*$D530*I527,0)</f>
        <v>-141</v>
      </c>
    </row>
    <row r="531" spans="1:16">
      <c r="A531" s="323" t="s">
        <v>422</v>
      </c>
      <c r="B531" s="1"/>
      <c r="C531" s="319">
        <f>4310</f>
        <v>4310</v>
      </c>
      <c r="D531" s="319">
        <f>ROUND(($D$540/'Blocking - detail'!$C$540)*C531,0)</f>
        <v>4352</v>
      </c>
      <c r="E531" s="304">
        <f>E518</f>
        <v>1.38</v>
      </c>
      <c r="F531" s="364"/>
      <c r="G531" s="321">
        <f>ROUND(E531*$C531*E527,0)</f>
        <v>-59</v>
      </c>
      <c r="H531" s="321">
        <f>ROUND(E531*$D531*E527,0)</f>
        <v>-60</v>
      </c>
      <c r="I531" s="304">
        <f>I518</f>
        <v>1.47</v>
      </c>
      <c r="J531" s="293"/>
      <c r="K531" s="321">
        <f>ROUND(I531*$D531*I527,0)</f>
        <v>-64</v>
      </c>
      <c r="O531" s="376"/>
    </row>
    <row r="532" spans="1:16">
      <c r="A532" s="323" t="s">
        <v>423</v>
      </c>
      <c r="B532" s="1"/>
      <c r="C532" s="319">
        <f>47327</f>
        <v>47327</v>
      </c>
      <c r="D532" s="319">
        <f>ROUND(($D$540/'Blocking - detail'!$C$540)*C532,0)</f>
        <v>47784</v>
      </c>
      <c r="E532" s="304">
        <f>E519</f>
        <v>1.1299999999999999</v>
      </c>
      <c r="F532" s="364" t="s">
        <v>31</v>
      </c>
      <c r="G532" s="321">
        <f>ROUND(E532*$C532*E527,0)</f>
        <v>-535</v>
      </c>
      <c r="H532" s="321">
        <f>ROUND(E532*$D532*E527,0)</f>
        <v>-540</v>
      </c>
      <c r="I532" s="304">
        <f>I519</f>
        <v>1.2</v>
      </c>
      <c r="J532" s="293"/>
      <c r="K532" s="321">
        <f>ROUND(I532*$D532*I527,0)</f>
        <v>-573</v>
      </c>
    </row>
    <row r="533" spans="1:16">
      <c r="A533" s="309" t="s">
        <v>425</v>
      </c>
      <c r="B533" s="1"/>
      <c r="C533" s="319">
        <f>3301+38481</f>
        <v>41782</v>
      </c>
      <c r="D533" s="319">
        <f>ROUND(($D$540/'Blocking - detail'!$C$540)*C533,0)</f>
        <v>42186</v>
      </c>
      <c r="E533" s="304">
        <f>E521</f>
        <v>3.64</v>
      </c>
      <c r="F533" s="364" t="s">
        <v>31</v>
      </c>
      <c r="G533" s="321">
        <f>ROUND(E533*$C533*E527,0)</f>
        <v>-1521</v>
      </c>
      <c r="H533" s="321">
        <f>ROUND(E533*$D533*E527,0)</f>
        <v>-1536</v>
      </c>
      <c r="I533" s="304">
        <f>I521</f>
        <v>3.75</v>
      </c>
      <c r="J533" s="293"/>
      <c r="K533" s="321">
        <f>ROUND(I533*$D533*I527,0)</f>
        <v>-1582</v>
      </c>
    </row>
    <row r="534" spans="1:16">
      <c r="A534" s="309" t="s">
        <v>441</v>
      </c>
      <c r="B534" s="1"/>
      <c r="C534" s="319">
        <v>0</v>
      </c>
      <c r="D534" s="319">
        <f>ROUND(($D$540/'Blocking - detail'!$C$540)*C534,0)</f>
        <v>0</v>
      </c>
      <c r="E534" s="304">
        <f>E522</f>
        <v>3.64</v>
      </c>
      <c r="F534" s="364" t="s">
        <v>31</v>
      </c>
      <c r="G534" s="321">
        <f>ROUND(E534*$C534*E527,0)</f>
        <v>0</v>
      </c>
      <c r="H534" s="321">
        <f>ROUND(E534*$D534*E527,0)</f>
        <v>0</v>
      </c>
      <c r="I534" s="304">
        <f>I522</f>
        <v>3.75</v>
      </c>
      <c r="J534" s="293"/>
      <c r="K534" s="321">
        <f>ROUND(I534*$D534*I527,0)</f>
        <v>0</v>
      </c>
    </row>
    <row r="535" spans="1:16">
      <c r="A535" s="323" t="s">
        <v>427</v>
      </c>
      <c r="B535" s="1"/>
      <c r="C535" s="319">
        <f>914400+3225200</f>
        <v>4139600</v>
      </c>
      <c r="D535" s="319">
        <f>ROUND(($D$540/'Blocking - detail'!$C$540)*C535,0)</f>
        <v>4179595</v>
      </c>
      <c r="E535" s="374">
        <f>E524</f>
        <v>3.9809999999999999</v>
      </c>
      <c r="F535" s="321" t="s">
        <v>374</v>
      </c>
      <c r="G535" s="321">
        <f>ROUND(E535*$C535/100*E527,0)</f>
        <v>-1648</v>
      </c>
      <c r="H535" s="321">
        <f>ROUND(E535*$D535/100*E527,0)</f>
        <v>-1664</v>
      </c>
      <c r="I535" s="374">
        <f>I524</f>
        <v>4.3570000000000002</v>
      </c>
      <c r="J535" s="323" t="s">
        <v>374</v>
      </c>
      <c r="K535" s="321">
        <f>ROUND(I535*$D535/100*I527,0)</f>
        <v>-1821</v>
      </c>
      <c r="M535" s="84"/>
      <c r="N535" s="84"/>
    </row>
    <row r="536" spans="1:16">
      <c r="A536" s="323" t="s">
        <v>399</v>
      </c>
      <c r="B536" s="1"/>
      <c r="C536" s="319">
        <f>1353000+14542340-C535</f>
        <v>11755740</v>
      </c>
      <c r="D536" s="319">
        <f>ROUND(($D$540/'Blocking - detail'!$C$540)*C536,0)</f>
        <v>11869317</v>
      </c>
      <c r="E536" s="374">
        <f>E525</f>
        <v>3.649</v>
      </c>
      <c r="F536" s="321" t="s">
        <v>374</v>
      </c>
      <c r="G536" s="321">
        <f>ROUND(E536*$C536/100*E527,0)</f>
        <v>-4290</v>
      </c>
      <c r="H536" s="321">
        <f>ROUND(E536*$D536/100*E527,0)</f>
        <v>-4331</v>
      </c>
      <c r="I536" s="374">
        <f>I525</f>
        <v>3.9930000000000003</v>
      </c>
      <c r="J536" s="323" t="s">
        <v>374</v>
      </c>
      <c r="K536" s="321">
        <f>ROUND(I536*$D536/100*I527,0)</f>
        <v>-4739</v>
      </c>
    </row>
    <row r="537" spans="1:16">
      <c r="A537" s="323" t="s">
        <v>400</v>
      </c>
      <c r="B537" s="1"/>
      <c r="C537" s="319">
        <f>42+9205</f>
        <v>9247</v>
      </c>
      <c r="D537" s="319">
        <f>ROUND(($D$540/'Blocking - detail'!$C$540)*C537,0)</f>
        <v>9336</v>
      </c>
      <c r="E537" s="375">
        <f>E526</f>
        <v>45</v>
      </c>
      <c r="F537" s="321" t="s">
        <v>374</v>
      </c>
      <c r="G537" s="321">
        <f>ROUND(E537*$C537/100*E527,0)</f>
        <v>-42</v>
      </c>
      <c r="H537" s="321">
        <f>ROUND(E537*$D537/100*E527,0)</f>
        <v>-42</v>
      </c>
      <c r="I537" s="375">
        <f>I526</f>
        <v>45</v>
      </c>
      <c r="J537" s="323" t="s">
        <v>374</v>
      </c>
      <c r="K537" s="321">
        <f>ROUND(I537*$D537/100*I527,0)</f>
        <v>-42</v>
      </c>
    </row>
    <row r="538" spans="1:16">
      <c r="A538" s="323" t="s">
        <v>443</v>
      </c>
      <c r="B538" s="1"/>
      <c r="C538" s="319">
        <f>24+84</f>
        <v>108</v>
      </c>
      <c r="D538" s="319">
        <v>109</v>
      </c>
      <c r="E538" s="298">
        <v>60</v>
      </c>
      <c r="F538" s="364" t="s">
        <v>31</v>
      </c>
      <c r="G538" s="321">
        <f>ROUND(E538*$C538,0)</f>
        <v>6480</v>
      </c>
      <c r="H538" s="321">
        <f>ROUND(E538*$D538,0)</f>
        <v>6540</v>
      </c>
      <c r="I538" s="298">
        <f>$I$504</f>
        <v>60</v>
      </c>
      <c r="J538" s="1"/>
      <c r="K538" s="321">
        <f>ROUND(I538*$D538,0)</f>
        <v>6540</v>
      </c>
      <c r="P538" s="307"/>
    </row>
    <row r="539" spans="1:16">
      <c r="A539" s="323" t="s">
        <v>444</v>
      </c>
      <c r="B539" s="305"/>
      <c r="C539" s="319">
        <f>4310+47327</f>
        <v>51637</v>
      </c>
      <c r="D539" s="319">
        <f>ROUND(($D$540/'Blocking - detail'!$C$540)*C539,0)</f>
        <v>52136</v>
      </c>
      <c r="E539" s="339">
        <v>-30</v>
      </c>
      <c r="F539" s="321" t="s">
        <v>374</v>
      </c>
      <c r="G539" s="321">
        <f>ROUND(E539*$C539/100,0)</f>
        <v>-15491</v>
      </c>
      <c r="H539" s="321">
        <f>ROUND(E539*$D539/100,0)</f>
        <v>-15641</v>
      </c>
      <c r="I539" s="339">
        <v>-30</v>
      </c>
      <c r="J539" s="321" t="s">
        <v>374</v>
      </c>
      <c r="K539" s="321">
        <f>ROUND(I539*$D539/100,0)</f>
        <v>-15641</v>
      </c>
    </row>
    <row r="540" spans="1:16">
      <c r="A540" s="1" t="s">
        <v>381</v>
      </c>
      <c r="B540" s="307"/>
      <c r="C540" s="319">
        <f>SUM(C524:C525)</f>
        <v>755502082</v>
      </c>
      <c r="D540" s="319">
        <v>762801321.03140867</v>
      </c>
      <c r="E540" s="330"/>
      <c r="F540" s="2"/>
      <c r="G540" s="2">
        <f>SUM(G514:G539)</f>
        <v>40876348</v>
      </c>
      <c r="H540" s="2">
        <f>SUM(H514:H539)</f>
        <v>41273804</v>
      </c>
      <c r="I540" s="330"/>
      <c r="J540" s="1"/>
      <c r="K540" s="2">
        <f>SUM(K514:K539)</f>
        <v>44570808</v>
      </c>
    </row>
    <row r="541" spans="1:16">
      <c r="A541" s="1" t="s">
        <v>363</v>
      </c>
      <c r="B541" s="1"/>
      <c r="C541" s="349">
        <v>3340695.5089634694</v>
      </c>
      <c r="D541" s="340">
        <v>0</v>
      </c>
      <c r="E541" s="309"/>
      <c r="F541" s="309"/>
      <c r="G541" s="310">
        <v>152243.87198457948</v>
      </c>
      <c r="H541" s="310">
        <v>0</v>
      </c>
      <c r="I541" s="309"/>
      <c r="J541" s="309"/>
      <c r="K541" s="310">
        <v>0</v>
      </c>
      <c r="M541" s="289"/>
      <c r="N541" s="289"/>
      <c r="O541" s="290"/>
    </row>
    <row r="542" spans="1:16" ht="16.5" thickBot="1">
      <c r="A542" s="1" t="s">
        <v>382</v>
      </c>
      <c r="B542" s="1"/>
      <c r="C542" s="366">
        <f>SUM(C540)+C541</f>
        <v>758842777.50896347</v>
      </c>
      <c r="D542" s="366">
        <f>SUM(D524:D525)+D541</f>
        <v>762801321</v>
      </c>
      <c r="E542" s="342"/>
      <c r="F542" s="343"/>
      <c r="G542" s="344">
        <f>G540+G541</f>
        <v>41028591.871984579</v>
      </c>
      <c r="H542" s="344">
        <f>H540+H541</f>
        <v>41273804</v>
      </c>
      <c r="I542" s="342"/>
      <c r="J542" s="345"/>
      <c r="K542" s="344">
        <f>K540+K541</f>
        <v>44570808</v>
      </c>
      <c r="M542" s="291"/>
      <c r="N542" s="291"/>
      <c r="O542" s="292"/>
    </row>
    <row r="543" spans="1:16" ht="16.5" thickTop="1">
      <c r="A543" s="1"/>
      <c r="B543" s="1"/>
      <c r="C543" s="21"/>
      <c r="D543" s="21"/>
      <c r="E543" s="337"/>
      <c r="F543" s="2"/>
      <c r="G543" s="2"/>
      <c r="H543" s="2"/>
      <c r="I543" s="353" t="s">
        <v>31</v>
      </c>
      <c r="J543" s="1"/>
      <c r="K543" s="2" t="s">
        <v>31</v>
      </c>
    </row>
    <row r="544" spans="1:16">
      <c r="A544" s="293" t="s">
        <v>436</v>
      </c>
      <c r="B544" s="1"/>
      <c r="C544" s="1"/>
      <c r="D544" s="1"/>
      <c r="E544" s="2"/>
      <c r="F544" s="2"/>
      <c r="G544" s="1" t="s">
        <v>31</v>
      </c>
      <c r="H544" s="1"/>
      <c r="I544" s="2"/>
      <c r="J544" s="1"/>
      <c r="K544" s="1"/>
    </row>
    <row r="545" spans="1:11">
      <c r="A545" s="309" t="s">
        <v>446</v>
      </c>
      <c r="B545" s="1"/>
      <c r="C545" s="1"/>
      <c r="D545" s="1"/>
      <c r="E545" s="2"/>
      <c r="F545" s="2"/>
      <c r="G545" s="1"/>
      <c r="H545" s="1"/>
      <c r="I545" s="2"/>
      <c r="J545" s="1"/>
      <c r="K545" s="1"/>
    </row>
    <row r="546" spans="1:11">
      <c r="A546" s="323"/>
      <c r="B546" s="1"/>
      <c r="C546" s="1"/>
      <c r="D546" s="1"/>
      <c r="E546" s="2"/>
      <c r="F546" s="2"/>
      <c r="G546" s="1"/>
      <c r="H546" s="1"/>
      <c r="I546" s="2"/>
      <c r="J546" s="1"/>
      <c r="K546" s="1"/>
    </row>
    <row r="547" spans="1:11">
      <c r="A547" s="323" t="s">
        <v>393</v>
      </c>
      <c r="B547" s="21"/>
      <c r="C547" s="319"/>
      <c r="D547" s="319"/>
      <c r="E547" s="2"/>
      <c r="F547" s="2"/>
      <c r="G547" s="1"/>
      <c r="H547" s="1"/>
      <c r="I547" s="2"/>
      <c r="J547" s="1"/>
      <c r="K547" s="1"/>
    </row>
    <row r="548" spans="1:11">
      <c r="A548" s="323" t="s">
        <v>421</v>
      </c>
      <c r="B548" s="1"/>
      <c r="C548" s="319">
        <f>2+9</f>
        <v>11</v>
      </c>
      <c r="D548" s="319">
        <v>11</v>
      </c>
      <c r="E548" s="298">
        <v>205</v>
      </c>
      <c r="F548" s="323"/>
      <c r="G548" s="321">
        <f>ROUND(E548*$C548,0)</f>
        <v>2255</v>
      </c>
      <c r="H548" s="321">
        <f>ROUND(E548*$D548,0)</f>
        <v>2255</v>
      </c>
      <c r="I548" s="298">
        <f>$I$480</f>
        <v>225</v>
      </c>
      <c r="J548" s="323"/>
      <c r="K548" s="321">
        <f>ROUND(I548*$D548,0)</f>
        <v>2475</v>
      </c>
    </row>
    <row r="549" spans="1:11">
      <c r="A549" s="323" t="s">
        <v>422</v>
      </c>
      <c r="B549" s="1"/>
      <c r="C549" s="319">
        <f>314+12+863</f>
        <v>1189</v>
      </c>
      <c r="D549" s="319">
        <v>1160</v>
      </c>
      <c r="E549" s="298">
        <v>75</v>
      </c>
      <c r="F549" s="323"/>
      <c r="G549" s="321">
        <f>ROUND(E549*$C549,0)</f>
        <v>89175</v>
      </c>
      <c r="H549" s="321">
        <f>ROUND(E549*$D549,0)</f>
        <v>87000</v>
      </c>
      <c r="I549" s="298">
        <f>$I$481</f>
        <v>83</v>
      </c>
      <c r="J549" s="323"/>
      <c r="K549" s="321">
        <f>ROUND(I549*$D549,0)</f>
        <v>96280</v>
      </c>
    </row>
    <row r="550" spans="1:11">
      <c r="A550" s="323" t="s">
        <v>423</v>
      </c>
      <c r="B550" s="1"/>
      <c r="C550" s="319">
        <f>12+12+665</f>
        <v>689</v>
      </c>
      <c r="D550" s="319">
        <v>672</v>
      </c>
      <c r="E550" s="298">
        <v>150</v>
      </c>
      <c r="F550" s="325"/>
      <c r="G550" s="321">
        <f>ROUND(E550*$C550,0)</f>
        <v>103350</v>
      </c>
      <c r="H550" s="321">
        <f>ROUND(E550*$D550,0)</f>
        <v>100800</v>
      </c>
      <c r="I550" s="298">
        <f>$I$482</f>
        <v>166</v>
      </c>
      <c r="J550" s="325"/>
      <c r="K550" s="321">
        <f>ROUND(I550*$D550,0)</f>
        <v>111552</v>
      </c>
    </row>
    <row r="551" spans="1:11">
      <c r="A551" s="323" t="s">
        <v>394</v>
      </c>
      <c r="B551" s="1"/>
      <c r="C551" s="319">
        <f>SUM(C548:C550)</f>
        <v>1889</v>
      </c>
      <c r="D551" s="319">
        <f>SUM(D548:D550)</f>
        <v>1843</v>
      </c>
      <c r="E551" s="298"/>
      <c r="F551" s="323"/>
      <c r="G551" s="321"/>
      <c r="H551" s="321"/>
      <c r="I551" s="298"/>
      <c r="J551" s="323"/>
      <c r="K551" s="321"/>
    </row>
    <row r="552" spans="1:11">
      <c r="A552" s="323" t="s">
        <v>422</v>
      </c>
      <c r="B552" s="1"/>
      <c r="C552" s="319">
        <f>53027+1380+148527</f>
        <v>202934</v>
      </c>
      <c r="D552" s="319">
        <f>ROUND(($D$574/'Blocking - detail'!$C$574)*C552,0)</f>
        <v>204561</v>
      </c>
      <c r="E552" s="298">
        <v>1.38</v>
      </c>
      <c r="F552" s="323" t="s">
        <v>31</v>
      </c>
      <c r="G552" s="321">
        <f>ROUND(E552*$C552,0)</f>
        <v>280049</v>
      </c>
      <c r="H552" s="321">
        <f>ROUND(E552*$D552,0)</f>
        <v>282294</v>
      </c>
      <c r="I552" s="298">
        <f>$I$484</f>
        <v>1.47</v>
      </c>
      <c r="J552" s="323" t="s">
        <v>31</v>
      </c>
      <c r="K552" s="321">
        <f>ROUND(I552*$D552,0)</f>
        <v>300705</v>
      </c>
    </row>
    <row r="553" spans="1:11">
      <c r="A553" s="323" t="s">
        <v>423</v>
      </c>
      <c r="B553" s="1"/>
      <c r="C553" s="319">
        <f>3665+7817+380790</f>
        <v>392272</v>
      </c>
      <c r="D553" s="319">
        <f>ROUND(($D$574/'Blocking - detail'!$C$574)*C553,0)</f>
        <v>395416</v>
      </c>
      <c r="E553" s="298">
        <v>1.1299999999999999</v>
      </c>
      <c r="F553" s="323" t="s">
        <v>31</v>
      </c>
      <c r="G553" s="321">
        <f>ROUND(E553*$C553,0)</f>
        <v>443267</v>
      </c>
      <c r="H553" s="321">
        <f>ROUND(E553*$D553,0)</f>
        <v>446820</v>
      </c>
      <c r="I553" s="298">
        <f>$I$485</f>
        <v>1.2</v>
      </c>
      <c r="J553" s="323" t="s">
        <v>31</v>
      </c>
      <c r="K553" s="321">
        <f>ROUND(I553*$D553,0)</f>
        <v>474499</v>
      </c>
    </row>
    <row r="554" spans="1:11">
      <c r="A554" s="309" t="s">
        <v>424</v>
      </c>
      <c r="B554" s="1"/>
      <c r="C554" s="319"/>
      <c r="D554" s="319"/>
      <c r="E554" s="355"/>
      <c r="F554" s="323"/>
      <c r="G554" s="321"/>
      <c r="H554" s="321"/>
      <c r="I554" s="355"/>
      <c r="J554" s="323"/>
      <c r="K554" s="321"/>
    </row>
    <row r="555" spans="1:11">
      <c r="A555" s="309" t="s">
        <v>425</v>
      </c>
      <c r="B555" s="1"/>
      <c r="C555" s="319">
        <f>31+16993+1024+1380+6927+349+121488+297368</f>
        <v>445560</v>
      </c>
      <c r="D555" s="319">
        <f>ROUND(($D$574/'Blocking - detail'!$C$574)*C555,0)</f>
        <v>449132</v>
      </c>
      <c r="E555" s="298">
        <v>3.64</v>
      </c>
      <c r="F555" s="323"/>
      <c r="G555" s="321">
        <f>ROUND(E555*$C555,0)</f>
        <v>1621838</v>
      </c>
      <c r="H555" s="321">
        <f>ROUND(E555*$D555,0)</f>
        <v>1634840</v>
      </c>
      <c r="I555" s="298">
        <f>$I$487</f>
        <v>3.75</v>
      </c>
      <c r="J555" s="323"/>
      <c r="K555" s="321">
        <f>ROUND(I555*$D555,0)</f>
        <v>1684245</v>
      </c>
    </row>
    <row r="556" spans="1:11">
      <c r="A556" s="309" t="s">
        <v>441</v>
      </c>
      <c r="B556" s="1"/>
      <c r="C556" s="319">
        <f>69+6778+239+102+1209+318</f>
        <v>8715</v>
      </c>
      <c r="D556" s="319">
        <f>ROUND(($D$574/'Blocking - detail'!$C$574)*C556,0)</f>
        <v>8785</v>
      </c>
      <c r="E556" s="369">
        <f>E555</f>
        <v>3.64</v>
      </c>
      <c r="F556" s="323"/>
      <c r="G556" s="321">
        <f>ROUND(E556*$C556,0)</f>
        <v>31723</v>
      </c>
      <c r="H556" s="321">
        <f>ROUND(E556*$D556,0)</f>
        <v>31977</v>
      </c>
      <c r="I556" s="369">
        <f>I555</f>
        <v>3.75</v>
      </c>
      <c r="J556" s="323"/>
      <c r="K556" s="321">
        <f>ROUND(I556*$D556,0)</f>
        <v>32944</v>
      </c>
    </row>
    <row r="557" spans="1:11">
      <c r="A557" s="323" t="s">
        <v>426</v>
      </c>
      <c r="B557" s="1"/>
      <c r="C557" s="319"/>
      <c r="D557" s="319"/>
      <c r="E557" s="298"/>
      <c r="F557" s="323"/>
      <c r="G557" s="321"/>
      <c r="H557" s="321"/>
      <c r="I557" s="298"/>
      <c r="J557" s="323"/>
      <c r="K557" s="321"/>
    </row>
    <row r="558" spans="1:11">
      <c r="A558" s="323" t="s">
        <v>427</v>
      </c>
      <c r="B558" s="1"/>
      <c r="C558" s="319">
        <f>10240+2853225+81440+478667+480000+55800+25725353+25475253</f>
        <v>55159978</v>
      </c>
      <c r="D558" s="319">
        <f>ROUND(($D$574/'Blocking - detail'!$C$574)*C558,0)</f>
        <v>55602144</v>
      </c>
      <c r="E558" s="370">
        <v>3.9809999999999999</v>
      </c>
      <c r="F558" s="323" t="s">
        <v>374</v>
      </c>
      <c r="G558" s="321">
        <f>ROUND(E558*$C558/100,0)</f>
        <v>2195919</v>
      </c>
      <c r="H558" s="321">
        <f>ROUND(E558*$D558/100,0)</f>
        <v>2213521</v>
      </c>
      <c r="I558" s="370">
        <f>$I$490</f>
        <v>4.3570000000000002</v>
      </c>
      <c r="J558" s="323" t="s">
        <v>374</v>
      </c>
      <c r="K558" s="321">
        <f>ROUND(I558*$D558/100,0)</f>
        <v>2422585</v>
      </c>
    </row>
    <row r="559" spans="1:11">
      <c r="A559" s="323" t="s">
        <v>399</v>
      </c>
      <c r="B559" s="1"/>
      <c r="C559" s="319">
        <f>10240+3545465+133120+979200+4096800+55800+34983239+101812255-C558</f>
        <v>90456141</v>
      </c>
      <c r="D559" s="319">
        <f>ROUND(($D$574/'Blocking - detail'!$C$574)*C559,0)</f>
        <v>91181243</v>
      </c>
      <c r="E559" s="370">
        <v>3.649</v>
      </c>
      <c r="F559" s="323" t="s">
        <v>374</v>
      </c>
      <c r="G559" s="321">
        <f>ROUND(E559*$C559/100,0)</f>
        <v>3300745</v>
      </c>
      <c r="H559" s="321">
        <f>ROUND(E559*$D559/100,0)</f>
        <v>3327204</v>
      </c>
      <c r="I559" s="370">
        <f>$I$491</f>
        <v>3.9930000000000003</v>
      </c>
      <c r="J559" s="323" t="s">
        <v>374</v>
      </c>
      <c r="K559" s="321">
        <f>ROUND(I559*$D559/100,0)</f>
        <v>3640867</v>
      </c>
    </row>
    <row r="560" spans="1:11">
      <c r="A560" s="323" t="s">
        <v>400</v>
      </c>
      <c r="B560" s="1"/>
      <c r="C560" s="319">
        <f>14+5104+263+1145+2693+4+38848+100112</f>
        <v>148183</v>
      </c>
      <c r="D560" s="319">
        <f>ROUND(($D$574/'Blocking - detail'!$C$574)*C560,0)</f>
        <v>149371</v>
      </c>
      <c r="E560" s="339">
        <v>45</v>
      </c>
      <c r="F560" s="323" t="s">
        <v>374</v>
      </c>
      <c r="G560" s="321">
        <f>ROUND(E560*$C560/100,0)</f>
        <v>66682</v>
      </c>
      <c r="H560" s="321">
        <f>ROUND(E560*$D560/100,0)</f>
        <v>67217</v>
      </c>
      <c r="I560" s="339">
        <f>$I$492</f>
        <v>45</v>
      </c>
      <c r="J560" s="323" t="s">
        <v>374</v>
      </c>
      <c r="K560" s="321">
        <f>ROUND(I560*$D560/100,0)</f>
        <v>67217</v>
      </c>
    </row>
    <row r="561" spans="1:15">
      <c r="A561" s="360" t="s">
        <v>401</v>
      </c>
      <c r="B561" s="1"/>
      <c r="C561" s="319"/>
      <c r="D561" s="319"/>
      <c r="E561" s="332">
        <v>-0.01</v>
      </c>
      <c r="F561" s="2"/>
      <c r="G561" s="321"/>
      <c r="H561" s="321"/>
      <c r="I561" s="332">
        <f>$I$493</f>
        <v>-0.01</v>
      </c>
      <c r="J561" s="1"/>
      <c r="K561" s="321"/>
    </row>
    <row r="562" spans="1:15">
      <c r="A562" s="323" t="s">
        <v>421</v>
      </c>
      <c r="B562" s="1"/>
      <c r="C562" s="319">
        <v>0</v>
      </c>
      <c r="D562" s="319">
        <v>0</v>
      </c>
      <c r="E562" s="304">
        <f>E548</f>
        <v>205</v>
      </c>
      <c r="F562" s="364"/>
      <c r="G562" s="321">
        <f>ROUND(E562*$C562*E561,0)</f>
        <v>0</v>
      </c>
      <c r="H562" s="321">
        <f>ROUND(E562*$D562*E561,0)</f>
        <v>0</v>
      </c>
      <c r="I562" s="304">
        <f>I548</f>
        <v>225</v>
      </c>
      <c r="J562" s="293"/>
      <c r="K562" s="321">
        <f>ROUND(I562*$D562*I561,0)</f>
        <v>0</v>
      </c>
    </row>
    <row r="563" spans="1:15">
      <c r="A563" s="323" t="s">
        <v>422</v>
      </c>
      <c r="B563" s="1"/>
      <c r="C563" s="319">
        <f>12</f>
        <v>12</v>
      </c>
      <c r="D563" s="319">
        <v>12</v>
      </c>
      <c r="E563" s="304">
        <f>E549</f>
        <v>75</v>
      </c>
      <c r="F563" s="364"/>
      <c r="G563" s="321">
        <f>ROUND(E563*$C563*E561,0)</f>
        <v>-9</v>
      </c>
      <c r="H563" s="321">
        <f>ROUND(E563*$D563*E561,0)</f>
        <v>-9</v>
      </c>
      <c r="I563" s="304">
        <f>I549</f>
        <v>83</v>
      </c>
      <c r="J563" s="293"/>
      <c r="K563" s="321">
        <f>ROUND(I563*$D563*I561,0)</f>
        <v>-10</v>
      </c>
    </row>
    <row r="564" spans="1:15">
      <c r="A564" s="323" t="s">
        <v>423</v>
      </c>
      <c r="B564" s="1"/>
      <c r="C564" s="319">
        <f>12</f>
        <v>12</v>
      </c>
      <c r="D564" s="319">
        <v>12</v>
      </c>
      <c r="E564" s="304">
        <f>E550</f>
        <v>150</v>
      </c>
      <c r="F564" s="372"/>
      <c r="G564" s="321">
        <f>ROUND(E564*$C564*E561,0)</f>
        <v>-18</v>
      </c>
      <c r="H564" s="321">
        <f>ROUND(E564*$D564*E561,0)</f>
        <v>-18</v>
      </c>
      <c r="I564" s="304">
        <f>I550</f>
        <v>166</v>
      </c>
      <c r="J564" s="373"/>
      <c r="K564" s="321">
        <f>ROUND(I564*$D564*I561,0)</f>
        <v>-20</v>
      </c>
    </row>
    <row r="565" spans="1:15">
      <c r="A565" s="323" t="s">
        <v>422</v>
      </c>
      <c r="B565" s="1"/>
      <c r="C565" s="319">
        <f>1487</f>
        <v>1487</v>
      </c>
      <c r="D565" s="319">
        <f>ROUND(($D$574/'Blocking - detail'!$C$574)*C565,0)</f>
        <v>1499</v>
      </c>
      <c r="E565" s="304">
        <f>E552</f>
        <v>1.38</v>
      </c>
      <c r="F565" s="364"/>
      <c r="G565" s="321">
        <f>ROUND(E565*$C565*E561,0)</f>
        <v>-21</v>
      </c>
      <c r="H565" s="321">
        <f>ROUND(E565*$D565*E561,0)</f>
        <v>-21</v>
      </c>
      <c r="I565" s="304">
        <f>I552</f>
        <v>1.47</v>
      </c>
      <c r="J565" s="293"/>
      <c r="K565" s="321">
        <f>ROUND(I565*$D565*I561,0)</f>
        <v>-22</v>
      </c>
    </row>
    <row r="566" spans="1:15">
      <c r="A566" s="323" t="s">
        <v>423</v>
      </c>
      <c r="B566" s="1"/>
      <c r="C566" s="319">
        <v>7817</v>
      </c>
      <c r="D566" s="319">
        <f>ROUND(($D$574/'Blocking - detail'!$C$574)*C566,0)</f>
        <v>7880</v>
      </c>
      <c r="E566" s="304">
        <f>E553</f>
        <v>1.1299999999999999</v>
      </c>
      <c r="F566" s="364" t="s">
        <v>31</v>
      </c>
      <c r="G566" s="321">
        <f>ROUND(E566*$C566*E561,0)</f>
        <v>-88</v>
      </c>
      <c r="H566" s="321">
        <f>ROUND(E566*$D566*E561,0)</f>
        <v>-89</v>
      </c>
      <c r="I566" s="304">
        <f>I553</f>
        <v>1.2</v>
      </c>
      <c r="J566" s="293"/>
      <c r="K566" s="321">
        <f>ROUND(I566*$D566*I561,0)</f>
        <v>-95</v>
      </c>
    </row>
    <row r="567" spans="1:15">
      <c r="A567" s="309" t="s">
        <v>425</v>
      </c>
      <c r="B567" s="1"/>
      <c r="C567" s="319">
        <f>1487+6927</f>
        <v>8414</v>
      </c>
      <c r="D567" s="319">
        <f>ROUND(($D$574/'Blocking - detail'!$C$574)*C567,0)</f>
        <v>8481</v>
      </c>
      <c r="E567" s="304">
        <f>E555</f>
        <v>3.64</v>
      </c>
      <c r="F567" s="364" t="s">
        <v>31</v>
      </c>
      <c r="G567" s="321">
        <f>ROUND(E567*$C567*E561,0)</f>
        <v>-306</v>
      </c>
      <c r="H567" s="321">
        <f>ROUND(E567*$D567*E561,0)</f>
        <v>-309</v>
      </c>
      <c r="I567" s="304">
        <f>I555</f>
        <v>3.75</v>
      </c>
      <c r="J567" s="293"/>
      <c r="K567" s="321">
        <f>ROUND(I567*$D567*I561,0)</f>
        <v>-318</v>
      </c>
    </row>
    <row r="568" spans="1:15">
      <c r="A568" s="309" t="s">
        <v>441</v>
      </c>
      <c r="B568" s="1"/>
      <c r="C568" s="319">
        <v>0</v>
      </c>
      <c r="D568" s="319">
        <f>ROUND(($D$574/'Blocking - detail'!$C$574)*C568,0)</f>
        <v>0</v>
      </c>
      <c r="E568" s="304">
        <f>E556</f>
        <v>3.64</v>
      </c>
      <c r="F568" s="364" t="s">
        <v>31</v>
      </c>
      <c r="G568" s="321">
        <f>ROUND(E568*$C568*E561,0)</f>
        <v>0</v>
      </c>
      <c r="H568" s="321">
        <f>ROUND(E568*$D568*E561,0)</f>
        <v>0</v>
      </c>
      <c r="I568" s="304">
        <f>I556</f>
        <v>3.75</v>
      </c>
      <c r="J568" s="293"/>
      <c r="K568" s="321">
        <f>ROUND(I568*$D568*I561,0)</f>
        <v>0</v>
      </c>
    </row>
    <row r="569" spans="1:15">
      <c r="A569" s="323" t="s">
        <v>427</v>
      </c>
      <c r="B569" s="1"/>
      <c r="C569" s="319">
        <f>478667+480000</f>
        <v>958667</v>
      </c>
      <c r="D569" s="319">
        <f>ROUND(($D$574/'Blocking - detail'!$C$574)*C569,0)</f>
        <v>966352</v>
      </c>
      <c r="E569" s="374">
        <f>E558</f>
        <v>3.9809999999999999</v>
      </c>
      <c r="F569" s="321" t="s">
        <v>374</v>
      </c>
      <c r="G569" s="321">
        <f>ROUND(E569*$C569/100*E561,0)</f>
        <v>-382</v>
      </c>
      <c r="H569" s="321">
        <f>ROUND(E569*$D569/100*E561,0)</f>
        <v>-385</v>
      </c>
      <c r="I569" s="374">
        <f>I558</f>
        <v>4.3570000000000002</v>
      </c>
      <c r="J569" s="323" t="s">
        <v>374</v>
      </c>
      <c r="K569" s="321">
        <f>ROUND(I569*$D569/100*I561,0)</f>
        <v>-421</v>
      </c>
    </row>
    <row r="570" spans="1:15">
      <c r="A570" s="323" t="s">
        <v>399</v>
      </c>
      <c r="B570" s="1"/>
      <c r="C570" s="319">
        <f>979200+4096800-C569</f>
        <v>4117333</v>
      </c>
      <c r="D570" s="319">
        <f>ROUND(($D$574/'Blocking - detail'!$C$574)*C570,0)</f>
        <v>4150338</v>
      </c>
      <c r="E570" s="374">
        <f>E559</f>
        <v>3.649</v>
      </c>
      <c r="F570" s="321" t="s">
        <v>374</v>
      </c>
      <c r="G570" s="321">
        <f>ROUND(E570*$C570/100*E561,0)</f>
        <v>-1502</v>
      </c>
      <c r="H570" s="321">
        <f>ROUND(E570*$D570/100*E561,0)</f>
        <v>-1514</v>
      </c>
      <c r="I570" s="374">
        <f>I559</f>
        <v>3.9930000000000003</v>
      </c>
      <c r="J570" s="323" t="s">
        <v>374</v>
      </c>
      <c r="K570" s="321">
        <f>ROUND(I570*$D570/100*I561,0)</f>
        <v>-1657</v>
      </c>
    </row>
    <row r="571" spans="1:15">
      <c r="A571" s="323" t="s">
        <v>400</v>
      </c>
      <c r="B571" s="1"/>
      <c r="C571" s="319">
        <f>0</f>
        <v>0</v>
      </c>
      <c r="D571" s="319">
        <f>ROUND(($D$574/'Blocking - detail'!$C$574)*C571,0)</f>
        <v>0</v>
      </c>
      <c r="E571" s="375">
        <f>E560</f>
        <v>45</v>
      </c>
      <c r="F571" s="321" t="s">
        <v>374</v>
      </c>
      <c r="G571" s="321">
        <f>ROUND(E571*$C571/100*E561,0)</f>
        <v>0</v>
      </c>
      <c r="H571" s="321">
        <f>ROUND(E571*$D571/100*E561,0)</f>
        <v>0</v>
      </c>
      <c r="I571" s="375">
        <f>I560</f>
        <v>45</v>
      </c>
      <c r="J571" s="323" t="s">
        <v>374</v>
      </c>
      <c r="K571" s="321">
        <f>ROUND(I571*$D571/100*I561,0)</f>
        <v>0</v>
      </c>
    </row>
    <row r="572" spans="1:15">
      <c r="A572" s="323" t="s">
        <v>443</v>
      </c>
      <c r="B572" s="1"/>
      <c r="C572" s="319">
        <f>C563+C564</f>
        <v>24</v>
      </c>
      <c r="D572" s="319">
        <v>23</v>
      </c>
      <c r="E572" s="298">
        <v>60</v>
      </c>
      <c r="F572" s="364" t="s">
        <v>31</v>
      </c>
      <c r="G572" s="321">
        <f>ROUND(E572*$C572,0)</f>
        <v>1440</v>
      </c>
      <c r="H572" s="321">
        <f>ROUND(E572*$D572,0)</f>
        <v>1380</v>
      </c>
      <c r="I572" s="298">
        <f>$I$504</f>
        <v>60</v>
      </c>
      <c r="J572" s="1"/>
      <c r="K572" s="321">
        <f>ROUND(I572*$D572,0)</f>
        <v>1380</v>
      </c>
    </row>
    <row r="573" spans="1:15">
      <c r="A573" s="323" t="s">
        <v>444</v>
      </c>
      <c r="B573" s="1"/>
      <c r="C573" s="319">
        <f>C565+C566</f>
        <v>9304</v>
      </c>
      <c r="D573" s="319">
        <f>ROUND(($D$574/'Blocking - detail'!$C$574)*C573,0)</f>
        <v>9379</v>
      </c>
      <c r="E573" s="339">
        <v>-30</v>
      </c>
      <c r="F573" s="321" t="s">
        <v>374</v>
      </c>
      <c r="G573" s="321">
        <f>ROUND(E573*$C573/100,0)</f>
        <v>-2791</v>
      </c>
      <c r="H573" s="321">
        <f>ROUND(E573*$D573/100,0)</f>
        <v>-2814</v>
      </c>
      <c r="I573" s="339">
        <v>-30</v>
      </c>
      <c r="J573" s="321" t="s">
        <v>374</v>
      </c>
      <c r="K573" s="321">
        <f>ROUND(I573*$D573/100,0)</f>
        <v>-2814</v>
      </c>
    </row>
    <row r="574" spans="1:15">
      <c r="A574" s="1" t="s">
        <v>381</v>
      </c>
      <c r="B574" s="1"/>
      <c r="C574" s="319">
        <f>SUM(C558:C559)</f>
        <v>145616119</v>
      </c>
      <c r="D574" s="319">
        <v>146783387.35514688</v>
      </c>
      <c r="E574" s="330"/>
      <c r="F574" s="2"/>
      <c r="G574" s="2">
        <f>SUM(G548:G573)</f>
        <v>8131326</v>
      </c>
      <c r="H574" s="2">
        <f>SUM(H548:H573)</f>
        <v>8190149</v>
      </c>
      <c r="I574" s="330"/>
      <c r="J574" s="1"/>
      <c r="K574" s="2">
        <f>SUM(K548:K573)</f>
        <v>8829392</v>
      </c>
    </row>
    <row r="575" spans="1:15">
      <c r="A575" s="1" t="s">
        <v>363</v>
      </c>
      <c r="B575" s="1"/>
      <c r="C575" s="349">
        <v>-3267381.4452911569</v>
      </c>
      <c r="D575" s="340">
        <v>0</v>
      </c>
      <c r="E575" s="309"/>
      <c r="F575" s="309"/>
      <c r="G575" s="310">
        <v>-154650.03199032659</v>
      </c>
      <c r="H575" s="310">
        <v>0</v>
      </c>
      <c r="I575" s="309"/>
      <c r="J575" s="309"/>
      <c r="K575" s="310">
        <v>0</v>
      </c>
      <c r="M575" s="289"/>
      <c r="N575" s="289"/>
      <c r="O575" s="290"/>
    </row>
    <row r="576" spans="1:15" ht="16.5" thickBot="1">
      <c r="A576" s="1" t="s">
        <v>382</v>
      </c>
      <c r="B576" s="1"/>
      <c r="C576" s="366">
        <f>SUM(C574)+C575</f>
        <v>142348737.55470884</v>
      </c>
      <c r="D576" s="366">
        <f>SUM(D558:D559)+D575</f>
        <v>146783387</v>
      </c>
      <c r="E576" s="342"/>
      <c r="F576" s="343"/>
      <c r="G576" s="344">
        <f>G574+G575</f>
        <v>7976675.9680096731</v>
      </c>
      <c r="H576" s="344">
        <f>H574+H575</f>
        <v>8190149</v>
      </c>
      <c r="I576" s="342"/>
      <c r="J576" s="345"/>
      <c r="K576" s="344">
        <f>K574+K575</f>
        <v>8829392</v>
      </c>
      <c r="M576" s="291"/>
      <c r="N576" s="291"/>
      <c r="O576" s="292"/>
    </row>
    <row r="577" spans="1:21" ht="16.5" thickTop="1">
      <c r="A577" s="303"/>
      <c r="B577" s="378"/>
      <c r="C577" s="303"/>
      <c r="D577" s="303"/>
      <c r="E577" s="21"/>
      <c r="F577" s="21"/>
      <c r="G577" s="379"/>
      <c r="H577" s="379"/>
      <c r="I577" s="303"/>
      <c r="J577" s="303"/>
      <c r="K577" s="303"/>
    </row>
    <row r="578" spans="1:21">
      <c r="A578" s="293" t="s">
        <v>447</v>
      </c>
      <c r="B578" s="1"/>
      <c r="C578" s="21"/>
      <c r="D578" s="21"/>
      <c r="E578" s="337"/>
      <c r="F578" s="2"/>
      <c r="G578" s="2"/>
      <c r="H578" s="2"/>
      <c r="I578" s="337"/>
      <c r="J578" s="1"/>
      <c r="K578" s="2"/>
    </row>
    <row r="579" spans="1:21">
      <c r="A579" s="309" t="s">
        <v>448</v>
      </c>
      <c r="B579" s="1"/>
      <c r="C579" s="21"/>
      <c r="D579" s="21"/>
      <c r="E579" s="337"/>
      <c r="F579" s="2"/>
      <c r="G579" s="2"/>
      <c r="H579" s="2"/>
      <c r="I579" s="337"/>
      <c r="J579" s="1"/>
      <c r="K579" s="2"/>
    </row>
    <row r="580" spans="1:21">
      <c r="A580" s="323"/>
      <c r="B580" s="1"/>
      <c r="C580" s="21"/>
      <c r="D580" s="21"/>
      <c r="E580" s="337"/>
      <c r="F580" s="2"/>
      <c r="G580" s="380"/>
      <c r="H580" s="380"/>
      <c r="I580" s="337"/>
      <c r="J580" s="1"/>
      <c r="K580" s="381"/>
    </row>
    <row r="581" spans="1:21">
      <c r="A581" s="309" t="s">
        <v>449</v>
      </c>
      <c r="B581" s="1"/>
      <c r="C581" s="319"/>
      <c r="D581" s="319"/>
      <c r="E581" s="2" t="s">
        <v>31</v>
      </c>
      <c r="F581" s="2"/>
      <c r="G581" s="1"/>
      <c r="H581" s="1"/>
      <c r="I581" s="2" t="s">
        <v>31</v>
      </c>
      <c r="J581" s="1"/>
      <c r="K581" s="1"/>
      <c r="R581" s="3">
        <v>50</v>
      </c>
      <c r="S581" s="3">
        <v>51</v>
      </c>
      <c r="T581" s="3">
        <v>300</v>
      </c>
      <c r="U581" s="3">
        <v>301</v>
      </c>
    </row>
    <row r="582" spans="1:21">
      <c r="A582" s="309" t="s">
        <v>450</v>
      </c>
      <c r="B582" s="1"/>
      <c r="C582" s="319">
        <f>C633+C684</f>
        <v>1046</v>
      </c>
      <c r="D582" s="319">
        <f>D633+D684</f>
        <v>1055</v>
      </c>
      <c r="E582" s="337">
        <v>0</v>
      </c>
      <c r="F582" s="324"/>
      <c r="G582" s="321">
        <f>G633+G684</f>
        <v>0</v>
      </c>
      <c r="H582" s="321">
        <f>H633+H684</f>
        <v>0</v>
      </c>
      <c r="I582" s="337">
        <v>0</v>
      </c>
      <c r="J582" s="324"/>
      <c r="K582" s="321">
        <f>K633+K684</f>
        <v>0</v>
      </c>
      <c r="M582" s="84">
        <f>I582*D582</f>
        <v>0</v>
      </c>
      <c r="O582" s="14"/>
      <c r="P582" s="69" t="s">
        <v>31</v>
      </c>
      <c r="Q582" s="3" t="s">
        <v>371</v>
      </c>
      <c r="R582" s="329">
        <f>E584+(E593*50)</f>
        <v>907.49999999999989</v>
      </c>
      <c r="S582" s="329">
        <f>E585+(E594*51)</f>
        <v>907.4</v>
      </c>
      <c r="T582" s="329">
        <f>E585+(E594*300)</f>
        <v>3995</v>
      </c>
      <c r="U582" s="329">
        <f>E586+(E595*301)</f>
        <v>4014.65</v>
      </c>
    </row>
    <row r="583" spans="1:21">
      <c r="A583" s="309" t="s">
        <v>451</v>
      </c>
      <c r="B583" s="1"/>
      <c r="C583" s="319"/>
      <c r="D583" s="319"/>
      <c r="E583" s="337"/>
      <c r="F583" s="324"/>
      <c r="G583" s="321"/>
      <c r="H583" s="321"/>
      <c r="I583" s="337"/>
      <c r="J583" s="324"/>
      <c r="K583" s="321"/>
      <c r="Q583" s="3" t="s">
        <v>305</v>
      </c>
      <c r="R583" s="329">
        <f>I584+(I593*50)</f>
        <v>993.5</v>
      </c>
      <c r="S583" s="329">
        <f>I585+(I594*51)</f>
        <v>996.64</v>
      </c>
      <c r="T583" s="329">
        <f>I585+(I594*300)</f>
        <v>4393</v>
      </c>
      <c r="U583" s="329">
        <f>I586+(I595*301)</f>
        <v>4411.62</v>
      </c>
    </row>
    <row r="584" spans="1:21">
      <c r="A584" s="309" t="s">
        <v>452</v>
      </c>
      <c r="B584" s="1"/>
      <c r="C584" s="319">
        <f t="shared" ref="C584:D589" si="49">C635+C686</f>
        <v>3810</v>
      </c>
      <c r="D584" s="319">
        <f t="shared" si="49"/>
        <v>3832</v>
      </c>
      <c r="E584" s="337">
        <v>0</v>
      </c>
      <c r="F584" s="324"/>
      <c r="G584" s="321">
        <f t="shared" ref="G584:H586" si="50">G635+G686</f>
        <v>0</v>
      </c>
      <c r="H584" s="321">
        <f t="shared" si="50"/>
        <v>0</v>
      </c>
      <c r="I584" s="337">
        <v>0</v>
      </c>
      <c r="J584" s="324"/>
      <c r="K584" s="321">
        <f>K635+K686</f>
        <v>0</v>
      </c>
      <c r="M584" s="84">
        <f>I584*D584</f>
        <v>0</v>
      </c>
      <c r="N584" s="53"/>
    </row>
    <row r="585" spans="1:21">
      <c r="A585" s="309" t="s">
        <v>453</v>
      </c>
      <c r="B585" s="1"/>
      <c r="C585" s="319">
        <f t="shared" si="49"/>
        <v>391</v>
      </c>
      <c r="D585" s="319">
        <f t="shared" si="49"/>
        <v>394</v>
      </c>
      <c r="E585" s="337">
        <v>275</v>
      </c>
      <c r="F585" s="324"/>
      <c r="G585" s="321">
        <f t="shared" si="50"/>
        <v>107525</v>
      </c>
      <c r="H585" s="321">
        <f t="shared" si="50"/>
        <v>108350</v>
      </c>
      <c r="I585" s="337">
        <v>301</v>
      </c>
      <c r="J585" s="324"/>
      <c r="K585" s="321">
        <f>K636+K687</f>
        <v>118594</v>
      </c>
      <c r="M585" s="84">
        <f>I585*D585</f>
        <v>118594</v>
      </c>
      <c r="N585" s="237"/>
      <c r="O585" s="14">
        <f>(I585-E585)/E585</f>
        <v>9.4545454545454544E-2</v>
      </c>
      <c r="S585" s="329">
        <f>S583-R583</f>
        <v>3.1399999999999864</v>
      </c>
      <c r="U585" s="329">
        <f>U583-T583</f>
        <v>18.619999999999891</v>
      </c>
    </row>
    <row r="586" spans="1:21">
      <c r="A586" s="309" t="s">
        <v>454</v>
      </c>
      <c r="B586" s="1"/>
      <c r="C586" s="319">
        <f t="shared" si="49"/>
        <v>12</v>
      </c>
      <c r="D586" s="319">
        <f t="shared" si="49"/>
        <v>12</v>
      </c>
      <c r="E586" s="337">
        <v>1110</v>
      </c>
      <c r="F586" s="324"/>
      <c r="G586" s="321">
        <f t="shared" si="50"/>
        <v>13320</v>
      </c>
      <c r="H586" s="321">
        <f t="shared" si="50"/>
        <v>13320</v>
      </c>
      <c r="I586" s="337">
        <v>1215</v>
      </c>
      <c r="J586" s="324"/>
      <c r="K586" s="321">
        <f>K637+K688</f>
        <v>14580</v>
      </c>
      <c r="M586" s="84">
        <f>I586*D586</f>
        <v>14580</v>
      </c>
      <c r="N586" s="237"/>
      <c r="O586" s="14">
        <f>(I586-E586)/E586</f>
        <v>9.45945945945946E-2</v>
      </c>
    </row>
    <row r="587" spans="1:21">
      <c r="A587" s="309" t="s">
        <v>362</v>
      </c>
      <c r="B587" s="1"/>
      <c r="C587" s="319">
        <f t="shared" si="49"/>
        <v>5259</v>
      </c>
      <c r="D587" s="319">
        <f t="shared" si="49"/>
        <v>5292.9166666666661</v>
      </c>
      <c r="E587" s="337"/>
      <c r="F587" s="324"/>
      <c r="G587" s="321"/>
      <c r="H587" s="321"/>
      <c r="I587" s="337"/>
      <c r="J587" s="324"/>
      <c r="K587" s="321"/>
      <c r="M587" s="69"/>
      <c r="N587" s="69"/>
      <c r="O587" s="320"/>
      <c r="S587" s="329">
        <f>I593</f>
        <v>19.87</v>
      </c>
      <c r="U587" s="329">
        <f>I595</f>
        <v>10.62</v>
      </c>
    </row>
    <row r="588" spans="1:21">
      <c r="A588" s="309" t="s">
        <v>455</v>
      </c>
      <c r="B588" s="1"/>
      <c r="C588" s="319">
        <f t="shared" si="49"/>
        <v>34292</v>
      </c>
      <c r="D588" s="319">
        <f t="shared" si="49"/>
        <v>34530</v>
      </c>
      <c r="E588" s="337"/>
      <c r="F588" s="324"/>
      <c r="G588" s="321"/>
      <c r="H588" s="321"/>
      <c r="I588" s="337"/>
      <c r="J588" s="324"/>
      <c r="K588" s="321"/>
      <c r="M588" s="69"/>
      <c r="N588" s="69"/>
      <c r="O588" s="320"/>
    </row>
    <row r="589" spans="1:21">
      <c r="A589" s="309" t="s">
        <v>104</v>
      </c>
      <c r="B589" s="1"/>
      <c r="C589" s="319">
        <f t="shared" si="49"/>
        <v>5714</v>
      </c>
      <c r="D589" s="319">
        <f t="shared" si="49"/>
        <v>5752</v>
      </c>
      <c r="E589" s="337"/>
      <c r="F589" s="321"/>
      <c r="G589" s="321"/>
      <c r="H589" s="321"/>
      <c r="I589" s="337"/>
      <c r="J589" s="321"/>
      <c r="K589" s="321"/>
      <c r="M589" s="69"/>
      <c r="N589" s="69"/>
      <c r="O589" s="320"/>
      <c r="P589" s="294"/>
    </row>
    <row r="590" spans="1:21">
      <c r="A590" s="309" t="s">
        <v>456</v>
      </c>
      <c r="B590" s="1"/>
      <c r="C590" s="319"/>
      <c r="D590" s="319"/>
      <c r="E590" s="337"/>
      <c r="F590" s="324"/>
      <c r="G590" s="321"/>
      <c r="H590" s="321"/>
      <c r="I590" s="337"/>
      <c r="J590" s="324"/>
      <c r="K590" s="321"/>
      <c r="M590" s="69"/>
      <c r="N590" s="69"/>
      <c r="O590" s="320"/>
    </row>
    <row r="591" spans="1:21">
      <c r="A591" s="309" t="s">
        <v>457</v>
      </c>
      <c r="B591" s="1"/>
      <c r="C591" s="319">
        <f>C642+C693</f>
        <v>4094</v>
      </c>
      <c r="D591" s="319">
        <f>D642+D693</f>
        <v>3767</v>
      </c>
      <c r="E591" s="337">
        <v>18.149999999999999</v>
      </c>
      <c r="F591" s="324"/>
      <c r="G591" s="321">
        <f>G642+G693</f>
        <v>74306</v>
      </c>
      <c r="H591" s="321">
        <f>H642+H693</f>
        <v>68371</v>
      </c>
      <c r="I591" s="337">
        <v>19.87</v>
      </c>
      <c r="J591" s="324"/>
      <c r="K591" s="321">
        <f>K642+K693</f>
        <v>74851</v>
      </c>
      <c r="M591" s="84">
        <f>I591*D591</f>
        <v>74850.290000000008</v>
      </c>
      <c r="N591" s="237"/>
      <c r="O591" s="14">
        <f>(I591-E591)/E591</f>
        <v>9.4765840220385811E-2</v>
      </c>
      <c r="R591" s="3" t="s">
        <v>371</v>
      </c>
      <c r="S591" s="3" t="s">
        <v>305</v>
      </c>
      <c r="T591" s="3" t="s">
        <v>372</v>
      </c>
      <c r="U591" s="3" t="s">
        <v>315</v>
      </c>
    </row>
    <row r="592" spans="1:21">
      <c r="A592" s="309" t="s">
        <v>458</v>
      </c>
      <c r="B592" s="1"/>
      <c r="C592" s="319"/>
      <c r="D592" s="319"/>
      <c r="E592" s="337"/>
      <c r="F592" s="324"/>
      <c r="G592" s="321"/>
      <c r="H592" s="321"/>
      <c r="I592" s="337"/>
      <c r="J592" s="324"/>
      <c r="K592" s="321"/>
      <c r="M592" s="376"/>
      <c r="N592" s="376"/>
      <c r="O592" s="320"/>
      <c r="Q592" s="3" t="s">
        <v>442</v>
      </c>
      <c r="R592" s="84">
        <f>SUM(H582:H597)</f>
        <v>1668109</v>
      </c>
      <c r="S592" s="84">
        <f>SUM(K582:K597)</f>
        <v>1828655</v>
      </c>
      <c r="T592" s="106">
        <v>2708270.4985879958</v>
      </c>
      <c r="U592" s="237">
        <f>S592/T592</f>
        <v>0.67521135756321282</v>
      </c>
    </row>
    <row r="593" spans="1:21">
      <c r="A593" s="309" t="s">
        <v>452</v>
      </c>
      <c r="B593" s="1"/>
      <c r="C593" s="319">
        <f t="shared" ref="C593:D597" si="51">C644+C695</f>
        <v>53610</v>
      </c>
      <c r="D593" s="319">
        <f t="shared" si="51"/>
        <v>49068</v>
      </c>
      <c r="E593" s="337">
        <f>E591</f>
        <v>18.149999999999999</v>
      </c>
      <c r="F593" s="324"/>
      <c r="G593" s="321">
        <f t="shared" ref="G593:H597" si="52">G644+G695</f>
        <v>973021</v>
      </c>
      <c r="H593" s="321">
        <f t="shared" si="52"/>
        <v>890585</v>
      </c>
      <c r="I593" s="337">
        <f>I591</f>
        <v>19.87</v>
      </c>
      <c r="J593" s="324"/>
      <c r="K593" s="321">
        <f>K644+K695</f>
        <v>974981</v>
      </c>
      <c r="M593" s="84">
        <f>I593*D593</f>
        <v>974981.16</v>
      </c>
      <c r="N593" s="237"/>
      <c r="O593" s="14">
        <f>(I593-E593)/E593</f>
        <v>9.4765840220385811E-2</v>
      </c>
      <c r="Q593" s="3" t="s">
        <v>459</v>
      </c>
      <c r="R593" s="84">
        <f>H602</f>
        <v>7542243</v>
      </c>
      <c r="S593" s="84">
        <f>K602</f>
        <v>8116487</v>
      </c>
      <c r="T593" s="106">
        <v>8051434.7234117109</v>
      </c>
      <c r="U593" s="237">
        <f>S593/T593</f>
        <v>1.0080795881508089</v>
      </c>
    </row>
    <row r="594" spans="1:21">
      <c r="A594" s="309" t="s">
        <v>453</v>
      </c>
      <c r="B594" s="1"/>
      <c r="C594" s="319">
        <f t="shared" si="51"/>
        <v>37992</v>
      </c>
      <c r="D594" s="319">
        <f t="shared" si="51"/>
        <v>34737</v>
      </c>
      <c r="E594" s="337">
        <v>12.4</v>
      </c>
      <c r="F594" s="324"/>
      <c r="G594" s="321">
        <f t="shared" si="52"/>
        <v>471100</v>
      </c>
      <c r="H594" s="321">
        <f t="shared" si="52"/>
        <v>430738</v>
      </c>
      <c r="I594" s="337">
        <v>13.64</v>
      </c>
      <c r="J594" s="324"/>
      <c r="K594" s="321">
        <f>K645+K696</f>
        <v>473813</v>
      </c>
      <c r="M594" s="84">
        <f>I594*D594</f>
        <v>473812.68</v>
      </c>
      <c r="N594" s="237"/>
      <c r="O594" s="14">
        <f>(I594-E594)/E594</f>
        <v>0.10000000000000002</v>
      </c>
      <c r="R594" s="84"/>
      <c r="S594" s="84"/>
      <c r="T594" s="106"/>
      <c r="U594" s="237"/>
    </row>
    <row r="595" spans="1:21">
      <c r="A595" s="309" t="s">
        <v>454</v>
      </c>
      <c r="B595" s="1"/>
      <c r="C595" s="319">
        <f t="shared" si="51"/>
        <v>4634</v>
      </c>
      <c r="D595" s="319">
        <f t="shared" si="51"/>
        <v>4281</v>
      </c>
      <c r="E595" s="337">
        <v>9.65</v>
      </c>
      <c r="F595" s="324"/>
      <c r="G595" s="321">
        <f t="shared" si="52"/>
        <v>44718</v>
      </c>
      <c r="H595" s="321">
        <f t="shared" si="52"/>
        <v>41312</v>
      </c>
      <c r="I595" s="337">
        <v>10.62</v>
      </c>
      <c r="J595" s="324"/>
      <c r="K595" s="321">
        <f>K646+K697</f>
        <v>45464</v>
      </c>
      <c r="M595" s="84">
        <f>I595*D595</f>
        <v>45464.219999999994</v>
      </c>
      <c r="N595" s="237"/>
      <c r="O595" s="14">
        <f>(I595-E595)/E595</f>
        <v>0.10051813471502578</v>
      </c>
    </row>
    <row r="596" spans="1:21">
      <c r="A596" s="309" t="s">
        <v>460</v>
      </c>
      <c r="B596" s="1"/>
      <c r="C596" s="319">
        <f t="shared" si="51"/>
        <v>402</v>
      </c>
      <c r="D596" s="319">
        <f t="shared" si="51"/>
        <v>368</v>
      </c>
      <c r="E596" s="337">
        <v>54.45</v>
      </c>
      <c r="F596" s="324"/>
      <c r="G596" s="321">
        <f t="shared" si="52"/>
        <v>21889</v>
      </c>
      <c r="H596" s="321">
        <f t="shared" si="52"/>
        <v>20037</v>
      </c>
      <c r="I596" s="337">
        <f>I591*3</f>
        <v>59.61</v>
      </c>
      <c r="J596" s="324"/>
      <c r="K596" s="321">
        <f>K647+K698</f>
        <v>21936</v>
      </c>
      <c r="M596" s="84">
        <f>I596*D596</f>
        <v>21936.48</v>
      </c>
      <c r="N596" s="237"/>
      <c r="O596" s="14">
        <f>(I596-E596)/E596</f>
        <v>9.4765840220385603E-2</v>
      </c>
    </row>
    <row r="597" spans="1:21">
      <c r="A597" s="309" t="s">
        <v>461</v>
      </c>
      <c r="B597" s="1"/>
      <c r="C597" s="319">
        <f t="shared" si="51"/>
        <v>960</v>
      </c>
      <c r="D597" s="319">
        <f t="shared" si="51"/>
        <v>876</v>
      </c>
      <c r="E597" s="337">
        <v>108.9</v>
      </c>
      <c r="F597" s="324"/>
      <c r="G597" s="321">
        <f t="shared" si="52"/>
        <v>104544</v>
      </c>
      <c r="H597" s="321">
        <f t="shared" si="52"/>
        <v>95396</v>
      </c>
      <c r="I597" s="337">
        <f>I591*6</f>
        <v>119.22</v>
      </c>
      <c r="J597" s="324"/>
      <c r="K597" s="321">
        <f>K648+K699</f>
        <v>104436</v>
      </c>
      <c r="M597" s="84">
        <f>I597*D597</f>
        <v>104436.72</v>
      </c>
      <c r="N597" s="237"/>
      <c r="O597" s="14">
        <f>(I597-E597)/E597</f>
        <v>9.4765840220385603E-2</v>
      </c>
    </row>
    <row r="598" spans="1:21">
      <c r="A598" s="309" t="s">
        <v>462</v>
      </c>
      <c r="B598" s="1"/>
      <c r="C598" s="319"/>
      <c r="D598" s="319"/>
      <c r="E598" s="337"/>
      <c r="F598" s="324"/>
      <c r="G598" s="321"/>
      <c r="H598" s="321"/>
      <c r="I598" s="337"/>
      <c r="J598" s="324"/>
      <c r="K598" s="321"/>
      <c r="M598" s="69"/>
      <c r="N598" s="69"/>
      <c r="O598" s="3"/>
    </row>
    <row r="599" spans="1:21">
      <c r="A599" s="309" t="s">
        <v>457</v>
      </c>
      <c r="B599" s="1"/>
      <c r="C599" s="319">
        <f>C650+C701</f>
        <v>566</v>
      </c>
      <c r="D599" s="319">
        <f>D650+D701</f>
        <v>518</v>
      </c>
      <c r="E599" s="363">
        <f>-E591</f>
        <v>-18.149999999999999</v>
      </c>
      <c r="F599" s="324"/>
      <c r="G599" s="321">
        <f>G650+G701</f>
        <v>-10273</v>
      </c>
      <c r="H599" s="321">
        <f>H650+H701</f>
        <v>-9402</v>
      </c>
      <c r="I599" s="363">
        <f>-I591</f>
        <v>-19.87</v>
      </c>
      <c r="J599" s="324"/>
      <c r="K599" s="321">
        <f>K650+K701</f>
        <v>-10293</v>
      </c>
      <c r="M599" s="84">
        <f>I599*D599</f>
        <v>-10292.66</v>
      </c>
      <c r="N599" s="69"/>
      <c r="O599" s="3"/>
    </row>
    <row r="600" spans="1:21">
      <c r="A600" s="309" t="s">
        <v>463</v>
      </c>
      <c r="B600" s="1"/>
      <c r="C600" s="319">
        <f>C651+C702</f>
        <v>2194</v>
      </c>
      <c r="D600" s="319">
        <f>D651+D702</f>
        <v>2004</v>
      </c>
      <c r="E600" s="363">
        <f>-E593</f>
        <v>-18.149999999999999</v>
      </c>
      <c r="F600" s="324"/>
      <c r="G600" s="321">
        <f>G651+G702</f>
        <v>-39821</v>
      </c>
      <c r="H600" s="321">
        <f>H651+H702</f>
        <v>-36373</v>
      </c>
      <c r="I600" s="363">
        <f>-I593</f>
        <v>-19.87</v>
      </c>
      <c r="J600" s="324"/>
      <c r="K600" s="321">
        <f>K651+K702</f>
        <v>-39820</v>
      </c>
      <c r="M600" s="84">
        <f>I600*D600</f>
        <v>-39819.480000000003</v>
      </c>
      <c r="N600" s="69"/>
      <c r="O600" s="3"/>
    </row>
    <row r="601" spans="1:21">
      <c r="A601" s="323" t="s">
        <v>426</v>
      </c>
      <c r="B601" s="1"/>
      <c r="C601" s="319"/>
      <c r="D601" s="319"/>
      <c r="E601" s="337"/>
      <c r="F601" s="321"/>
      <c r="G601" s="321"/>
      <c r="H601" s="321"/>
      <c r="I601" s="337"/>
      <c r="J601" s="321"/>
      <c r="K601" s="321"/>
      <c r="M601" s="69"/>
      <c r="N601" s="69"/>
      <c r="O601" s="3"/>
      <c r="Q601" s="3" t="s">
        <v>31</v>
      </c>
    </row>
    <row r="602" spans="1:21">
      <c r="A602" s="309" t="s">
        <v>464</v>
      </c>
      <c r="B602" s="1"/>
      <c r="C602" s="319">
        <f>C653+C704</f>
        <v>165066044</v>
      </c>
      <c r="D602" s="319">
        <f>D653+D704</f>
        <v>151116862</v>
      </c>
      <c r="E602" s="382">
        <v>4.9909999999999997</v>
      </c>
      <c r="F602" s="321" t="s">
        <v>374</v>
      </c>
      <c r="G602" s="321">
        <f>G653+G704</f>
        <v>8238447</v>
      </c>
      <c r="H602" s="321">
        <f>H653+H704</f>
        <v>7542243</v>
      </c>
      <c r="I602" s="383">
        <v>5.3710000000000004</v>
      </c>
      <c r="J602" s="321" t="s">
        <v>374</v>
      </c>
      <c r="K602" s="321">
        <f>K653+K704</f>
        <v>8116487</v>
      </c>
      <c r="M602" s="84">
        <f>(I602/100)*D602</f>
        <v>8116486.6580200009</v>
      </c>
      <c r="N602" s="237"/>
      <c r="O602" s="14">
        <f>(I602-E602)/E602</f>
        <v>7.6137046684031415E-2</v>
      </c>
    </row>
    <row r="603" spans="1:21">
      <c r="A603" s="323" t="s">
        <v>400</v>
      </c>
      <c r="B603" s="1"/>
      <c r="C603" s="319">
        <f>C654+C705</f>
        <v>28780</v>
      </c>
      <c r="D603" s="319">
        <f>D654+D705</f>
        <v>26281</v>
      </c>
      <c r="E603" s="339">
        <v>45</v>
      </c>
      <c r="F603" s="323" t="s">
        <v>374</v>
      </c>
      <c r="G603" s="321">
        <f>G654+G705</f>
        <v>12951</v>
      </c>
      <c r="H603" s="321">
        <f>H654+H705</f>
        <v>11826</v>
      </c>
      <c r="I603" s="339">
        <v>45</v>
      </c>
      <c r="J603" s="323" t="s">
        <v>374</v>
      </c>
      <c r="K603" s="321">
        <f>K654+K705</f>
        <v>11826</v>
      </c>
      <c r="M603" s="84">
        <f>(I603/100)*D603</f>
        <v>11826.45</v>
      </c>
      <c r="N603" s="237"/>
      <c r="O603" s="14">
        <f>(I603-E603)/E603</f>
        <v>0</v>
      </c>
    </row>
    <row r="604" spans="1:21">
      <c r="A604" s="360" t="s">
        <v>401</v>
      </c>
      <c r="B604" s="1"/>
      <c r="C604" s="319"/>
      <c r="D604" s="319"/>
      <c r="E604" s="332">
        <v>-0.01</v>
      </c>
      <c r="F604" s="2"/>
      <c r="G604" s="321"/>
      <c r="H604" s="321"/>
      <c r="I604" s="332">
        <v>-0.01</v>
      </c>
      <c r="J604" s="1"/>
      <c r="K604" s="321"/>
    </row>
    <row r="605" spans="1:21">
      <c r="A605" s="309" t="s">
        <v>390</v>
      </c>
      <c r="B605" s="1"/>
      <c r="C605" s="319">
        <f>C656+C707</f>
        <v>0</v>
      </c>
      <c r="D605" s="319">
        <f>D656+D707</f>
        <v>0</v>
      </c>
      <c r="E605" s="384">
        <f>E582</f>
        <v>0</v>
      </c>
      <c r="F605" s="324"/>
      <c r="G605" s="321">
        <f>G656+G707</f>
        <v>0</v>
      </c>
      <c r="H605" s="321">
        <f>H656+H707</f>
        <v>0</v>
      </c>
      <c r="I605" s="384">
        <f>I582</f>
        <v>0</v>
      </c>
      <c r="J605" s="324"/>
      <c r="K605" s="321">
        <f>K656+K707</f>
        <v>0</v>
      </c>
      <c r="M605" s="84">
        <f>-(I605/100)*D605</f>
        <v>0</v>
      </c>
    </row>
    <row r="606" spans="1:21">
      <c r="A606" s="309" t="s">
        <v>391</v>
      </c>
      <c r="B606" s="1"/>
      <c r="C606" s="319"/>
      <c r="D606" s="319"/>
      <c r="E606" s="384"/>
      <c r="F606" s="324"/>
      <c r="G606" s="321"/>
      <c r="H606" s="321"/>
      <c r="I606" s="384"/>
      <c r="J606" s="324"/>
      <c r="K606" s="321"/>
    </row>
    <row r="607" spans="1:21">
      <c r="A607" s="309" t="s">
        <v>452</v>
      </c>
      <c r="B607" s="1"/>
      <c r="C607" s="319">
        <f t="shared" ref="C607:D610" si="53">C658+C709</f>
        <v>1</v>
      </c>
      <c r="D607" s="319">
        <f t="shared" si="53"/>
        <v>1</v>
      </c>
      <c r="E607" s="384">
        <f>E584</f>
        <v>0</v>
      </c>
      <c r="F607" s="324"/>
      <c r="G607" s="321">
        <f t="shared" ref="G607:H610" si="54">G658+G709</f>
        <v>0</v>
      </c>
      <c r="H607" s="321">
        <f t="shared" si="54"/>
        <v>0</v>
      </c>
      <c r="I607" s="384">
        <f>I584</f>
        <v>0</v>
      </c>
      <c r="J607" s="324"/>
      <c r="K607" s="321">
        <f>K658+K709</f>
        <v>0</v>
      </c>
      <c r="M607" s="84">
        <f>-(I607/100)*D607</f>
        <v>0</v>
      </c>
    </row>
    <row r="608" spans="1:21">
      <c r="A608" s="309" t="s">
        <v>453</v>
      </c>
      <c r="B608" s="1"/>
      <c r="C608" s="319">
        <f t="shared" si="53"/>
        <v>0</v>
      </c>
      <c r="D608" s="319">
        <f t="shared" si="53"/>
        <v>0</v>
      </c>
      <c r="E608" s="384">
        <f>E585</f>
        <v>275</v>
      </c>
      <c r="F608" s="324"/>
      <c r="G608" s="321">
        <f t="shared" si="54"/>
        <v>0</v>
      </c>
      <c r="H608" s="321">
        <f t="shared" si="54"/>
        <v>0</v>
      </c>
      <c r="I608" s="384">
        <f>I585</f>
        <v>301</v>
      </c>
      <c r="J608" s="324"/>
      <c r="K608" s="321">
        <f>K659+K710</f>
        <v>0</v>
      </c>
      <c r="M608" s="84">
        <f>-(I608/100)*D608</f>
        <v>0</v>
      </c>
    </row>
    <row r="609" spans="1:13">
      <c r="A609" s="309" t="s">
        <v>454</v>
      </c>
      <c r="B609" s="1"/>
      <c r="C609" s="319">
        <f t="shared" si="53"/>
        <v>0</v>
      </c>
      <c r="D609" s="319">
        <f t="shared" si="53"/>
        <v>0</v>
      </c>
      <c r="E609" s="384">
        <f>E586</f>
        <v>1110</v>
      </c>
      <c r="F609" s="324"/>
      <c r="G609" s="321">
        <f t="shared" si="54"/>
        <v>0</v>
      </c>
      <c r="H609" s="321">
        <f t="shared" si="54"/>
        <v>0</v>
      </c>
      <c r="I609" s="384">
        <f>I586</f>
        <v>1215</v>
      </c>
      <c r="J609" s="324"/>
      <c r="K609" s="321">
        <f>K660+K711</f>
        <v>0</v>
      </c>
      <c r="M609" s="84">
        <f>-(I609/100)*D609</f>
        <v>0</v>
      </c>
    </row>
    <row r="610" spans="1:13">
      <c r="A610" s="309" t="s">
        <v>390</v>
      </c>
      <c r="B610" s="1"/>
      <c r="C610" s="319">
        <f t="shared" si="53"/>
        <v>0</v>
      </c>
      <c r="D610" s="319">
        <f t="shared" si="53"/>
        <v>0</v>
      </c>
      <c r="E610" s="384">
        <f>E591</f>
        <v>18.149999999999999</v>
      </c>
      <c r="F610" s="324"/>
      <c r="G610" s="321">
        <f t="shared" si="54"/>
        <v>0</v>
      </c>
      <c r="H610" s="321">
        <f t="shared" si="54"/>
        <v>0</v>
      </c>
      <c r="I610" s="384">
        <f>I591</f>
        <v>19.87</v>
      </c>
      <c r="J610" s="324"/>
      <c r="K610" s="321">
        <f>K661+K712</f>
        <v>0</v>
      </c>
      <c r="M610" s="84">
        <f>-(I610/100)*D610</f>
        <v>0</v>
      </c>
    </row>
    <row r="611" spans="1:13">
      <c r="A611" s="309" t="s">
        <v>391</v>
      </c>
      <c r="B611" s="1"/>
      <c r="C611" s="319"/>
      <c r="D611" s="319"/>
      <c r="E611" s="384"/>
      <c r="F611" s="324"/>
      <c r="G611" s="321"/>
      <c r="H611" s="321"/>
      <c r="I611" s="384"/>
      <c r="J611" s="324"/>
      <c r="K611" s="321"/>
    </row>
    <row r="612" spans="1:13">
      <c r="A612" s="309" t="s">
        <v>452</v>
      </c>
      <c r="B612" s="1"/>
      <c r="C612" s="319">
        <f t="shared" ref="C612:D616" si="55">C663+C714</f>
        <v>40</v>
      </c>
      <c r="D612" s="319">
        <f t="shared" si="55"/>
        <v>39</v>
      </c>
      <c r="E612" s="384">
        <f>E593</f>
        <v>18.149999999999999</v>
      </c>
      <c r="F612" s="324"/>
      <c r="G612" s="321">
        <f t="shared" ref="G612:H616" si="56">G663+G714</f>
        <v>-7</v>
      </c>
      <c r="H612" s="321">
        <f t="shared" si="56"/>
        <v>-7</v>
      </c>
      <c r="I612" s="384">
        <f>I593</f>
        <v>19.87</v>
      </c>
      <c r="J612" s="324"/>
      <c r="K612" s="321">
        <f>K663+K714</f>
        <v>-8</v>
      </c>
      <c r="M612" s="84">
        <f>-(I612/100)*D612</f>
        <v>-7.7493000000000007</v>
      </c>
    </row>
    <row r="613" spans="1:13">
      <c r="A613" s="309" t="s">
        <v>453</v>
      </c>
      <c r="B613" s="1"/>
      <c r="C613" s="319">
        <f t="shared" si="55"/>
        <v>0</v>
      </c>
      <c r="D613" s="319">
        <f t="shared" si="55"/>
        <v>0</v>
      </c>
      <c r="E613" s="384">
        <f>E594</f>
        <v>12.4</v>
      </c>
      <c r="F613" s="324"/>
      <c r="G613" s="321">
        <f t="shared" si="56"/>
        <v>0</v>
      </c>
      <c r="H613" s="321">
        <f t="shared" si="56"/>
        <v>0</v>
      </c>
      <c r="I613" s="384">
        <f>I594</f>
        <v>13.64</v>
      </c>
      <c r="J613" s="324"/>
      <c r="K613" s="321">
        <f>K664+K715</f>
        <v>0</v>
      </c>
      <c r="M613" s="84">
        <f>-(I613/100)*D613</f>
        <v>0</v>
      </c>
    </row>
    <row r="614" spans="1:13">
      <c r="A614" s="309" t="s">
        <v>454</v>
      </c>
      <c r="B614" s="1"/>
      <c r="C614" s="319">
        <f t="shared" si="55"/>
        <v>0</v>
      </c>
      <c r="D614" s="319">
        <f t="shared" si="55"/>
        <v>0</v>
      </c>
      <c r="E614" s="384">
        <f>E595</f>
        <v>9.65</v>
      </c>
      <c r="F614" s="324"/>
      <c r="G614" s="321">
        <f t="shared" si="56"/>
        <v>0</v>
      </c>
      <c r="H614" s="321">
        <f t="shared" si="56"/>
        <v>0</v>
      </c>
      <c r="I614" s="384">
        <f>I595</f>
        <v>10.62</v>
      </c>
      <c r="J614" s="324"/>
      <c r="K614" s="321">
        <f>K665+K716</f>
        <v>0</v>
      </c>
      <c r="M614" s="84">
        <f>-(I614/100)*D614</f>
        <v>0</v>
      </c>
    </row>
    <row r="615" spans="1:13">
      <c r="A615" s="309" t="s">
        <v>465</v>
      </c>
      <c r="B615" s="1"/>
      <c r="C615" s="319">
        <f t="shared" si="55"/>
        <v>0</v>
      </c>
      <c r="D615" s="319">
        <f t="shared" si="55"/>
        <v>0</v>
      </c>
      <c r="E615" s="353">
        <f>E596</f>
        <v>54.45</v>
      </c>
      <c r="F615" s="324"/>
      <c r="G615" s="321">
        <f t="shared" si="56"/>
        <v>0</v>
      </c>
      <c r="H615" s="321">
        <f t="shared" si="56"/>
        <v>0</v>
      </c>
      <c r="I615" s="353">
        <f>I596</f>
        <v>59.61</v>
      </c>
      <c r="J615" s="324"/>
      <c r="K615" s="321">
        <f>K666+K717</f>
        <v>0</v>
      </c>
      <c r="M615" s="84">
        <f>-(I615/100)*D615</f>
        <v>0</v>
      </c>
    </row>
    <row r="616" spans="1:13">
      <c r="A616" s="309" t="s">
        <v>466</v>
      </c>
      <c r="B616" s="1"/>
      <c r="C616" s="319">
        <f t="shared" si="55"/>
        <v>0</v>
      </c>
      <c r="D616" s="319">
        <f t="shared" si="55"/>
        <v>0</v>
      </c>
      <c r="E616" s="353">
        <f>E597</f>
        <v>108.9</v>
      </c>
      <c r="F616" s="324"/>
      <c r="G616" s="321">
        <f t="shared" si="56"/>
        <v>0</v>
      </c>
      <c r="H616" s="321">
        <f t="shared" si="56"/>
        <v>0</v>
      </c>
      <c r="I616" s="353">
        <f>I597</f>
        <v>119.22</v>
      </c>
      <c r="J616" s="324"/>
      <c r="K616" s="321">
        <f>K667+K718</f>
        <v>0</v>
      </c>
      <c r="M616" s="84">
        <f>-(I616/100)*D616</f>
        <v>0</v>
      </c>
    </row>
    <row r="617" spans="1:13">
      <c r="A617" s="309" t="s">
        <v>462</v>
      </c>
      <c r="B617" s="1"/>
      <c r="C617" s="319"/>
      <c r="D617" s="319"/>
      <c r="E617" s="337"/>
      <c r="F617" s="324"/>
      <c r="G617" s="321"/>
      <c r="H617" s="321"/>
      <c r="I617" s="337"/>
      <c r="J617" s="324"/>
      <c r="K617" s="321"/>
    </row>
    <row r="618" spans="1:13">
      <c r="A618" s="309" t="s">
        <v>457</v>
      </c>
      <c r="B618" s="1"/>
      <c r="C618" s="319">
        <f>C669+C720</f>
        <v>0</v>
      </c>
      <c r="D618" s="319">
        <f>D669+D720</f>
        <v>0</v>
      </c>
      <c r="E618" s="363">
        <f>E599</f>
        <v>-18.149999999999999</v>
      </c>
      <c r="F618" s="324"/>
      <c r="G618" s="321">
        <f>G669+G720</f>
        <v>0</v>
      </c>
      <c r="H618" s="321">
        <f>H669+H720</f>
        <v>0</v>
      </c>
      <c r="I618" s="363">
        <f>I599</f>
        <v>-19.87</v>
      </c>
      <c r="J618" s="324"/>
      <c r="K618" s="321">
        <f>K669+K720</f>
        <v>0</v>
      </c>
      <c r="M618" s="84">
        <f>-(I618/100)*D618</f>
        <v>0</v>
      </c>
    </row>
    <row r="619" spans="1:13">
      <c r="A619" s="309" t="s">
        <v>463</v>
      </c>
      <c r="B619" s="1"/>
      <c r="C619" s="319">
        <f>C670+C721</f>
        <v>0</v>
      </c>
      <c r="D619" s="319">
        <f>D670+D721</f>
        <v>0</v>
      </c>
      <c r="E619" s="363">
        <f>E600</f>
        <v>-18.149999999999999</v>
      </c>
      <c r="F619" s="324"/>
      <c r="G619" s="321">
        <f>G670+G721</f>
        <v>0</v>
      </c>
      <c r="H619" s="321">
        <f>H670+H721</f>
        <v>0</v>
      </c>
      <c r="I619" s="363">
        <f>I600</f>
        <v>-19.87</v>
      </c>
      <c r="J619" s="324"/>
      <c r="K619" s="321">
        <f>K670+K721</f>
        <v>0</v>
      </c>
      <c r="M619" s="84">
        <f>-(I619/100)*D619</f>
        <v>0</v>
      </c>
    </row>
    <row r="620" spans="1:13">
      <c r="A620" s="323" t="s">
        <v>426</v>
      </c>
      <c r="B620" s="1"/>
      <c r="C620" s="319"/>
      <c r="D620" s="319"/>
      <c r="E620" s="384"/>
      <c r="F620" s="321"/>
      <c r="G620" s="321"/>
      <c r="H620" s="321"/>
      <c r="I620" s="384"/>
      <c r="J620" s="321"/>
      <c r="K620" s="321"/>
    </row>
    <row r="621" spans="1:13">
      <c r="A621" s="309" t="s">
        <v>464</v>
      </c>
      <c r="B621" s="1"/>
      <c r="C621" s="319">
        <f t="shared" ref="C621:D626" si="57">C672+C723</f>
        <v>38079</v>
      </c>
      <c r="D621" s="319">
        <f t="shared" si="57"/>
        <v>36727</v>
      </c>
      <c r="E621" s="385">
        <f>E602</f>
        <v>4.9909999999999997</v>
      </c>
      <c r="F621" s="321" t="s">
        <v>374</v>
      </c>
      <c r="G621" s="321">
        <f t="shared" ref="G621:H626" si="58">G672+G723</f>
        <v>-19</v>
      </c>
      <c r="H621" s="321">
        <f t="shared" si="58"/>
        <v>-18</v>
      </c>
      <c r="I621" s="385">
        <f>I602</f>
        <v>5.3710000000000004</v>
      </c>
      <c r="J621" s="321" t="s">
        <v>374</v>
      </c>
      <c r="K621" s="321">
        <f t="shared" ref="K621:K626" si="59">K672+K723</f>
        <v>-20</v>
      </c>
      <c r="M621" s="84">
        <f>-((I621/100)*D621)/100</f>
        <v>-19.726071700000002</v>
      </c>
    </row>
    <row r="622" spans="1:13">
      <c r="A622" s="323" t="s">
        <v>400</v>
      </c>
      <c r="B622" s="1"/>
      <c r="C622" s="319">
        <f t="shared" si="57"/>
        <v>0</v>
      </c>
      <c r="D622" s="319">
        <f t="shared" si="57"/>
        <v>0</v>
      </c>
      <c r="E622" s="375">
        <f>E603</f>
        <v>45</v>
      </c>
      <c r="F622" s="321" t="s">
        <v>374</v>
      </c>
      <c r="G622" s="321">
        <f t="shared" si="58"/>
        <v>0</v>
      </c>
      <c r="H622" s="321">
        <f t="shared" si="58"/>
        <v>0</v>
      </c>
      <c r="I622" s="375">
        <f>I603</f>
        <v>45</v>
      </c>
      <c r="J622" s="323" t="s">
        <v>374</v>
      </c>
      <c r="K622" s="321">
        <f t="shared" si="59"/>
        <v>0</v>
      </c>
      <c r="M622" s="84">
        <f>-((I622/100)*D622)/100</f>
        <v>0</v>
      </c>
    </row>
    <row r="623" spans="1:13">
      <c r="A623" s="323" t="s">
        <v>443</v>
      </c>
      <c r="B623" s="1"/>
      <c r="C623" s="319">
        <f t="shared" si="57"/>
        <v>12</v>
      </c>
      <c r="D623" s="319">
        <f t="shared" si="57"/>
        <v>13</v>
      </c>
      <c r="E623" s="298">
        <v>60</v>
      </c>
      <c r="F623" s="364" t="s">
        <v>31</v>
      </c>
      <c r="G623" s="321">
        <f t="shared" si="58"/>
        <v>720</v>
      </c>
      <c r="H623" s="321">
        <f t="shared" si="58"/>
        <v>780</v>
      </c>
      <c r="I623" s="298">
        <v>60</v>
      </c>
      <c r="J623" s="1"/>
      <c r="K623" s="321">
        <f t="shared" si="59"/>
        <v>780</v>
      </c>
      <c r="M623" s="84">
        <f>I623*D623</f>
        <v>780</v>
      </c>
    </row>
    <row r="624" spans="1:13">
      <c r="A624" s="323" t="s">
        <v>444</v>
      </c>
      <c r="B624" s="1"/>
      <c r="C624" s="319">
        <f t="shared" si="57"/>
        <v>280</v>
      </c>
      <c r="D624" s="319">
        <f t="shared" si="57"/>
        <v>270</v>
      </c>
      <c r="E624" s="339">
        <v>-30</v>
      </c>
      <c r="F624" s="321" t="s">
        <v>374</v>
      </c>
      <c r="G624" s="321">
        <f t="shared" si="58"/>
        <v>-84</v>
      </c>
      <c r="H624" s="321">
        <f t="shared" si="58"/>
        <v>-81</v>
      </c>
      <c r="I624" s="339">
        <v>-30</v>
      </c>
      <c r="J624" s="321" t="s">
        <v>374</v>
      </c>
      <c r="K624" s="321">
        <f t="shared" si="59"/>
        <v>-81</v>
      </c>
      <c r="M624" s="84">
        <f>(I624/100)*D624</f>
        <v>-81</v>
      </c>
    </row>
    <row r="625" spans="1:16">
      <c r="A625" s="1" t="s">
        <v>381</v>
      </c>
      <c r="B625" s="1"/>
      <c r="C625" s="319">
        <f t="shared" si="57"/>
        <v>165066044</v>
      </c>
      <c r="D625" s="319">
        <f t="shared" si="57"/>
        <v>151116862.53785235</v>
      </c>
      <c r="E625" s="330"/>
      <c r="F625" s="2"/>
      <c r="G625" s="2">
        <f t="shared" si="58"/>
        <v>10012337</v>
      </c>
      <c r="H625" s="2">
        <f t="shared" si="58"/>
        <v>9177077</v>
      </c>
      <c r="I625" s="2"/>
      <c r="J625" s="323"/>
      <c r="K625" s="2">
        <f t="shared" si="59"/>
        <v>9907526</v>
      </c>
      <c r="M625" s="84">
        <f>SUM(M582:M624)</f>
        <v>9907528.0426483005</v>
      </c>
      <c r="P625" s="276"/>
    </row>
    <row r="626" spans="1:16">
      <c r="A626" s="1" t="s">
        <v>363</v>
      </c>
      <c r="B626" s="1"/>
      <c r="C626" s="340">
        <f t="shared" si="57"/>
        <v>2967000</v>
      </c>
      <c r="D626" s="340">
        <f t="shared" si="57"/>
        <v>0</v>
      </c>
      <c r="E626" s="309"/>
      <c r="F626" s="309"/>
      <c r="G626" s="310">
        <f t="shared" si="58"/>
        <v>128000.00000000003</v>
      </c>
      <c r="H626" s="310">
        <f t="shared" si="58"/>
        <v>0</v>
      </c>
      <c r="I626" s="309"/>
      <c r="J626" s="309"/>
      <c r="K626" s="310">
        <f t="shared" si="59"/>
        <v>0</v>
      </c>
    </row>
    <row r="627" spans="1:16" ht="16.5" thickBot="1">
      <c r="A627" s="1" t="s">
        <v>382</v>
      </c>
      <c r="B627" s="1"/>
      <c r="C627" s="366">
        <f>SUM(C625:C626)</f>
        <v>168033044</v>
      </c>
      <c r="D627" s="366">
        <f>SUM(D625:D626)</f>
        <v>151116862.53785235</v>
      </c>
      <c r="E627" s="342"/>
      <c r="F627" s="343"/>
      <c r="G627" s="344">
        <f>G625+G626</f>
        <v>10140337</v>
      </c>
      <c r="H627" s="344">
        <f>H625+H626</f>
        <v>9177077</v>
      </c>
      <c r="I627" s="342"/>
      <c r="J627" s="345"/>
      <c r="K627" s="344">
        <f>K625+K626</f>
        <v>9907526</v>
      </c>
      <c r="N627" s="3" t="s">
        <v>364</v>
      </c>
      <c r="O627" s="69" t="e">
        <f>#REF!*1000</f>
        <v>#REF!</v>
      </c>
    </row>
    <row r="628" spans="1:16" ht="16.5" thickTop="1">
      <c r="A628" s="1"/>
      <c r="B628" s="1"/>
      <c r="C628" s="26"/>
      <c r="D628" s="26"/>
      <c r="E628" s="351"/>
      <c r="F628" s="352"/>
      <c r="G628" s="322"/>
      <c r="H628" s="322"/>
      <c r="I628" s="386" t="s">
        <v>31</v>
      </c>
      <c r="J628" s="23"/>
      <c r="K628" s="272" t="s">
        <v>31</v>
      </c>
      <c r="N628" s="3" t="s">
        <v>263</v>
      </c>
      <c r="O628" s="69" t="e">
        <f>O627-K627</f>
        <v>#REF!</v>
      </c>
      <c r="P628" s="314" t="e">
        <f>(O627-K627)/(K627-K603-K623-K624)</f>
        <v>#REF!</v>
      </c>
    </row>
    <row r="629" spans="1:16">
      <c r="A629" s="293" t="s">
        <v>447</v>
      </c>
      <c r="B629" s="1"/>
      <c r="C629" s="21"/>
      <c r="D629" s="21"/>
      <c r="E629" s="337"/>
      <c r="F629" s="2"/>
      <c r="G629" s="2"/>
      <c r="H629" s="2"/>
      <c r="I629" s="337"/>
      <c r="J629" s="1"/>
      <c r="K629" s="2"/>
    </row>
    <row r="630" spans="1:16">
      <c r="A630" s="309" t="s">
        <v>196</v>
      </c>
      <c r="B630" s="1"/>
      <c r="C630" s="21"/>
      <c r="D630" s="21"/>
      <c r="E630" s="337"/>
      <c r="F630" s="2"/>
      <c r="G630" s="2"/>
      <c r="H630" s="2"/>
      <c r="I630" s="337"/>
      <c r="J630" s="1"/>
      <c r="K630" s="2"/>
      <c r="M630" s="84">
        <f>K627-H627</f>
        <v>730449</v>
      </c>
      <c r="N630" s="84"/>
      <c r="O630" s="346" t="e">
        <f>O628/(K585+K586+K591+K593+K594+K595+K596+K597+K599+K600)</f>
        <v>#REF!</v>
      </c>
      <c r="P630" s="237"/>
    </row>
    <row r="631" spans="1:16">
      <c r="A631" s="323"/>
      <c r="B631" s="1"/>
      <c r="C631" s="21"/>
      <c r="D631" s="21"/>
      <c r="E631" s="337"/>
      <c r="F631" s="2"/>
      <c r="G631" s="380"/>
      <c r="H631" s="380"/>
      <c r="I631" s="337"/>
      <c r="J631" s="1"/>
      <c r="K631" s="381"/>
      <c r="M631" s="329"/>
      <c r="N631" s="294">
        <v>0.46249872649158752</v>
      </c>
    </row>
    <row r="632" spans="1:16">
      <c r="A632" s="309" t="s">
        <v>449</v>
      </c>
      <c r="B632" s="1"/>
      <c r="C632" s="319"/>
      <c r="D632" s="319"/>
      <c r="E632" s="2" t="s">
        <v>31</v>
      </c>
      <c r="F632" s="2"/>
      <c r="G632" s="1"/>
      <c r="H632" s="1"/>
      <c r="I632" s="2" t="s">
        <v>31</v>
      </c>
      <c r="J632" s="1"/>
      <c r="K632" s="1"/>
    </row>
    <row r="633" spans="1:16">
      <c r="A633" s="309" t="s">
        <v>450</v>
      </c>
      <c r="B633" s="1"/>
      <c r="C633" s="319">
        <f>895</f>
        <v>895</v>
      </c>
      <c r="D633" s="319">
        <v>894</v>
      </c>
      <c r="E633" s="337">
        <v>0</v>
      </c>
      <c r="F633" s="324"/>
      <c r="G633" s="321">
        <f>ROUND(E633*$C633,0)</f>
        <v>0</v>
      </c>
      <c r="H633" s="321">
        <f>ROUND(E633*$D633,0)</f>
        <v>0</v>
      </c>
      <c r="I633" s="337">
        <f>$I$582</f>
        <v>0</v>
      </c>
      <c r="J633" s="324"/>
      <c r="K633" s="321">
        <f>ROUND(I633*$D633,0)</f>
        <v>0</v>
      </c>
    </row>
    <row r="634" spans="1:16">
      <c r="A634" s="309" t="s">
        <v>451</v>
      </c>
      <c r="B634" s="1"/>
      <c r="C634" s="319"/>
      <c r="D634" s="319"/>
      <c r="E634" s="337"/>
      <c r="F634" s="324"/>
      <c r="G634" s="321"/>
      <c r="H634" s="321"/>
      <c r="I634" s="337"/>
      <c r="J634" s="324"/>
      <c r="K634" s="321"/>
    </row>
    <row r="635" spans="1:16">
      <c r="A635" s="309" t="s">
        <v>452</v>
      </c>
      <c r="B635" s="1"/>
      <c r="C635" s="319">
        <f>3431</f>
        <v>3431</v>
      </c>
      <c r="D635" s="319">
        <v>3428</v>
      </c>
      <c r="E635" s="337">
        <v>0</v>
      </c>
      <c r="F635" s="324"/>
      <c r="G635" s="321">
        <f>ROUND(E635*$C635,0)</f>
        <v>0</v>
      </c>
      <c r="H635" s="321">
        <f>ROUND(E635*$D635,0)</f>
        <v>0</v>
      </c>
      <c r="I635" s="337">
        <f>$I$584</f>
        <v>0</v>
      </c>
      <c r="J635" s="324"/>
      <c r="K635" s="321">
        <f>ROUND(I635*$D635,0)</f>
        <v>0</v>
      </c>
    </row>
    <row r="636" spans="1:16">
      <c r="A636" s="309" t="s">
        <v>453</v>
      </c>
      <c r="B636" s="1"/>
      <c r="C636" s="319">
        <f>353</f>
        <v>353</v>
      </c>
      <c r="D636" s="319">
        <v>353</v>
      </c>
      <c r="E636" s="337">
        <v>275</v>
      </c>
      <c r="F636" s="324"/>
      <c r="G636" s="321">
        <f>ROUND(E636*$C636,0)</f>
        <v>97075</v>
      </c>
      <c r="H636" s="321">
        <f>ROUND(E636*$D636,0)</f>
        <v>97075</v>
      </c>
      <c r="I636" s="337">
        <f>$I$585</f>
        <v>301</v>
      </c>
      <c r="J636" s="324"/>
      <c r="K636" s="321">
        <f>ROUND(I636*$D636,0)</f>
        <v>106253</v>
      </c>
    </row>
    <row r="637" spans="1:16">
      <c r="A637" s="309" t="s">
        <v>454</v>
      </c>
      <c r="B637" s="1"/>
      <c r="C637" s="319">
        <f>9</f>
        <v>9</v>
      </c>
      <c r="D637" s="319">
        <v>9</v>
      </c>
      <c r="E637" s="337">
        <v>1110</v>
      </c>
      <c r="F637" s="324"/>
      <c r="G637" s="321">
        <f>ROUND(E637*$C637,0)</f>
        <v>9990</v>
      </c>
      <c r="H637" s="321">
        <f>ROUND(E637*$D637,0)</f>
        <v>9990</v>
      </c>
      <c r="I637" s="337">
        <f>$I$586</f>
        <v>1215</v>
      </c>
      <c r="J637" s="324"/>
      <c r="K637" s="321">
        <f>ROUND(I637*$D637,0)</f>
        <v>10935</v>
      </c>
    </row>
    <row r="638" spans="1:16">
      <c r="A638" s="309" t="s">
        <v>362</v>
      </c>
      <c r="B638" s="1"/>
      <c r="C638" s="319">
        <f>SUM(C633:C637)</f>
        <v>4688</v>
      </c>
      <c r="D638" s="319">
        <v>4683.9852262627228</v>
      </c>
      <c r="E638" s="337"/>
      <c r="F638" s="324"/>
      <c r="G638" s="321"/>
      <c r="H638" s="321"/>
      <c r="I638" s="337"/>
      <c r="J638" s="324"/>
      <c r="K638" s="321"/>
    </row>
    <row r="639" spans="1:16">
      <c r="A639" s="309" t="s">
        <v>455</v>
      </c>
      <c r="B639" s="1"/>
      <c r="C639" s="319">
        <f>5792+21967+2495+65</f>
        <v>30319</v>
      </c>
      <c r="D639" s="319">
        <v>30293</v>
      </c>
      <c r="E639" s="337"/>
      <c r="F639" s="321"/>
      <c r="G639" s="321"/>
      <c r="H639" s="321"/>
      <c r="I639" s="337"/>
      <c r="J639" s="321"/>
      <c r="K639" s="321"/>
    </row>
    <row r="640" spans="1:16">
      <c r="A640" s="309" t="s">
        <v>104</v>
      </c>
      <c r="B640" s="1"/>
      <c r="C640" s="319">
        <f>966+3743+364+9</f>
        <v>5082</v>
      </c>
      <c r="D640" s="319">
        <v>5078</v>
      </c>
      <c r="E640" s="337"/>
      <c r="F640" s="321"/>
      <c r="G640" s="321"/>
      <c r="H640" s="321"/>
      <c r="I640" s="337"/>
      <c r="J640" s="321"/>
      <c r="K640" s="321"/>
    </row>
    <row r="641" spans="1:11">
      <c r="A641" s="309" t="s">
        <v>456</v>
      </c>
      <c r="B641" s="1"/>
      <c r="C641" s="319"/>
      <c r="D641" s="319"/>
      <c r="E641" s="337"/>
      <c r="F641" s="324"/>
      <c r="G641" s="321"/>
      <c r="H641" s="321"/>
      <c r="I641" s="337"/>
      <c r="J641" s="324"/>
      <c r="K641" s="321"/>
    </row>
    <row r="642" spans="1:11">
      <c r="A642" s="309" t="s">
        <v>457</v>
      </c>
      <c r="B642" s="1"/>
      <c r="C642" s="319">
        <f>3278</f>
        <v>3278</v>
      </c>
      <c r="D642" s="319">
        <v>2980</v>
      </c>
      <c r="E642" s="337">
        <v>18.149999999999999</v>
      </c>
      <c r="F642" s="324"/>
      <c r="G642" s="321">
        <f>ROUND(E642*$C642,0)</f>
        <v>59496</v>
      </c>
      <c r="H642" s="321">
        <f>ROUND(E642*$D642,0)</f>
        <v>54087</v>
      </c>
      <c r="I642" s="337">
        <f>$I$591</f>
        <v>19.87</v>
      </c>
      <c r="J642" s="324"/>
      <c r="K642" s="321">
        <f>ROUND(I642*$D642,0)</f>
        <v>59213</v>
      </c>
    </row>
    <row r="643" spans="1:11">
      <c r="A643" s="309" t="s">
        <v>458</v>
      </c>
      <c r="B643" s="1"/>
      <c r="C643" s="319"/>
      <c r="D643" s="319"/>
      <c r="E643" s="337"/>
      <c r="F643" s="324"/>
      <c r="G643" s="321"/>
      <c r="H643" s="321"/>
      <c r="I643" s="337"/>
      <c r="J643" s="324"/>
      <c r="K643" s="321"/>
    </row>
    <row r="644" spans="1:11">
      <c r="A644" s="309" t="s">
        <v>452</v>
      </c>
      <c r="B644" s="1"/>
      <c r="C644" s="319">
        <f>47509</f>
        <v>47509</v>
      </c>
      <c r="D644" s="319">
        <v>43184</v>
      </c>
      <c r="E644" s="337">
        <v>18.149999999999999</v>
      </c>
      <c r="F644" s="324"/>
      <c r="G644" s="321">
        <f>ROUND(E644*$C644,0)</f>
        <v>862288</v>
      </c>
      <c r="H644" s="321">
        <f>ROUND(E644*$D644,0)</f>
        <v>783790</v>
      </c>
      <c r="I644" s="337">
        <f>$I$593</f>
        <v>19.87</v>
      </c>
      <c r="J644" s="324"/>
      <c r="K644" s="321">
        <f>ROUND(I644*$D644,0)</f>
        <v>858066</v>
      </c>
    </row>
    <row r="645" spans="1:11">
      <c r="A645" s="309" t="s">
        <v>453</v>
      </c>
      <c r="B645" s="1"/>
      <c r="C645" s="319">
        <f>34331</f>
        <v>34331</v>
      </c>
      <c r="D645" s="319">
        <v>31206</v>
      </c>
      <c r="E645" s="337">
        <v>12.4</v>
      </c>
      <c r="F645" s="324"/>
      <c r="G645" s="321">
        <f>ROUND(E645*$C645,0)</f>
        <v>425704</v>
      </c>
      <c r="H645" s="321">
        <f>ROUND(E645*$D645,0)</f>
        <v>386954</v>
      </c>
      <c r="I645" s="337">
        <f>$I$594</f>
        <v>13.64</v>
      </c>
      <c r="J645" s="324"/>
      <c r="K645" s="321">
        <f>ROUND(I645*$D645,0)</f>
        <v>425650</v>
      </c>
    </row>
    <row r="646" spans="1:11">
      <c r="A646" s="309" t="s">
        <v>454</v>
      </c>
      <c r="B646" s="1"/>
      <c r="C646" s="319">
        <f>3399</f>
        <v>3399</v>
      </c>
      <c r="D646" s="319">
        <v>3090</v>
      </c>
      <c r="E646" s="337">
        <v>9.65</v>
      </c>
      <c r="F646" s="324"/>
      <c r="G646" s="321">
        <f>ROUND(E646*$C646,0)</f>
        <v>32800</v>
      </c>
      <c r="H646" s="321">
        <f>ROUND(E646*$D646,0)</f>
        <v>29819</v>
      </c>
      <c r="I646" s="337">
        <f>$I$595</f>
        <v>10.62</v>
      </c>
      <c r="J646" s="324"/>
      <c r="K646" s="321">
        <f>ROUND(I646*$D646,0)</f>
        <v>32816</v>
      </c>
    </row>
    <row r="647" spans="1:11">
      <c r="A647" s="309" t="s">
        <v>460</v>
      </c>
      <c r="B647" s="1"/>
      <c r="C647" s="319">
        <f>355</f>
        <v>355</v>
      </c>
      <c r="D647" s="319">
        <v>323</v>
      </c>
      <c r="E647" s="337">
        <v>54.45</v>
      </c>
      <c r="F647" s="324"/>
      <c r="G647" s="321">
        <f>ROUND(E647*$C647,0)</f>
        <v>19330</v>
      </c>
      <c r="H647" s="321">
        <f>ROUND(E647*$D647,0)</f>
        <v>17587</v>
      </c>
      <c r="I647" s="337">
        <f>$I$596</f>
        <v>59.61</v>
      </c>
      <c r="J647" s="324"/>
      <c r="K647" s="321">
        <f>ROUND(I647*$D647,0)</f>
        <v>19254</v>
      </c>
    </row>
    <row r="648" spans="1:11">
      <c r="A648" s="309" t="s">
        <v>461</v>
      </c>
      <c r="B648" s="1"/>
      <c r="C648" s="319">
        <f>887</f>
        <v>887</v>
      </c>
      <c r="D648" s="319">
        <v>806</v>
      </c>
      <c r="E648" s="337">
        <v>108.9</v>
      </c>
      <c r="F648" s="324"/>
      <c r="G648" s="321">
        <f>ROUND(E648*$C648,0)</f>
        <v>96594</v>
      </c>
      <c r="H648" s="321">
        <f>ROUND(E648*$D648,0)</f>
        <v>87773</v>
      </c>
      <c r="I648" s="337">
        <f>$I$597</f>
        <v>119.22</v>
      </c>
      <c r="J648" s="324"/>
      <c r="K648" s="321">
        <f>ROUND(I648*$D648,0)</f>
        <v>96091</v>
      </c>
    </row>
    <row r="649" spans="1:11">
      <c r="A649" s="309" t="s">
        <v>462</v>
      </c>
      <c r="B649" s="1"/>
      <c r="C649" s="319"/>
      <c r="D649" s="319"/>
      <c r="E649" s="337"/>
      <c r="F649" s="324"/>
      <c r="G649" s="321"/>
      <c r="H649" s="321"/>
      <c r="I649" s="337"/>
      <c r="J649" s="324"/>
      <c r="K649" s="321"/>
    </row>
    <row r="650" spans="1:11">
      <c r="A650" s="309" t="s">
        <v>457</v>
      </c>
      <c r="B650" s="1"/>
      <c r="C650" s="319">
        <f>510</f>
        <v>510</v>
      </c>
      <c r="D650" s="319">
        <f>ROUND(($D$676/$C$676)*C650,0)</f>
        <v>464</v>
      </c>
      <c r="E650" s="363">
        <f>-E642</f>
        <v>-18.149999999999999</v>
      </c>
      <c r="F650" s="324"/>
      <c r="G650" s="321">
        <f>ROUND(E650*$C650,0)</f>
        <v>-9257</v>
      </c>
      <c r="H650" s="321">
        <f>ROUND(E650*$D650,0)</f>
        <v>-8422</v>
      </c>
      <c r="I650" s="363">
        <f>-I642</f>
        <v>-19.87</v>
      </c>
      <c r="J650" s="324"/>
      <c r="K650" s="321">
        <f>ROUND(I650*$D650,0)</f>
        <v>-9220</v>
      </c>
    </row>
    <row r="651" spans="1:11">
      <c r="A651" s="309" t="s">
        <v>463</v>
      </c>
      <c r="B651" s="1"/>
      <c r="C651" s="319">
        <f>2023</f>
        <v>2023</v>
      </c>
      <c r="D651" s="319">
        <f>ROUND(($D$676/$C$676)*C651,0)</f>
        <v>1839</v>
      </c>
      <c r="E651" s="363">
        <f>-E644</f>
        <v>-18.149999999999999</v>
      </c>
      <c r="F651" s="324"/>
      <c r="G651" s="321">
        <f>ROUND(E651*$C651,0)</f>
        <v>-36717</v>
      </c>
      <c r="H651" s="321">
        <f>ROUND(E651*$D651,0)</f>
        <v>-33378</v>
      </c>
      <c r="I651" s="363">
        <f>-I644</f>
        <v>-19.87</v>
      </c>
      <c r="J651" s="324"/>
      <c r="K651" s="321">
        <f>ROUND(I651*$D651,0)</f>
        <v>-36541</v>
      </c>
    </row>
    <row r="652" spans="1:11">
      <c r="A652" s="323" t="s">
        <v>426</v>
      </c>
      <c r="B652" s="1"/>
      <c r="C652" s="319"/>
      <c r="D652" s="319"/>
      <c r="E652" s="337"/>
      <c r="F652" s="321"/>
      <c r="G652" s="321"/>
      <c r="H652" s="321"/>
      <c r="I652" s="337"/>
      <c r="J652" s="321"/>
      <c r="K652" s="321"/>
    </row>
    <row r="653" spans="1:11">
      <c r="A653" s="309" t="s">
        <v>464</v>
      </c>
      <c r="B653" s="1"/>
      <c r="C653" s="319">
        <f>4946862+75987313+57989268+6739320</f>
        <v>145662763</v>
      </c>
      <c r="D653" s="319">
        <f>ROUND(($D$676/$C$676)*C653,0)</f>
        <v>132402479</v>
      </c>
      <c r="E653" s="382">
        <v>4.9909999999999997</v>
      </c>
      <c r="F653" s="321" t="s">
        <v>374</v>
      </c>
      <c r="G653" s="321">
        <f>ROUND(E653/100*$C653,0)</f>
        <v>7270029</v>
      </c>
      <c r="H653" s="321">
        <f>ROUND(E653/100*$D653,0)</f>
        <v>6608208</v>
      </c>
      <c r="I653" s="382">
        <f>$I$602</f>
        <v>5.3710000000000004</v>
      </c>
      <c r="J653" s="321" t="s">
        <v>374</v>
      </c>
      <c r="K653" s="321">
        <f>ROUND(I653/100*$D653,0)</f>
        <v>7111337</v>
      </c>
    </row>
    <row r="654" spans="1:11">
      <c r="A654" s="323" t="s">
        <v>400</v>
      </c>
      <c r="B654" s="1"/>
      <c r="C654" s="275">
        <f>1187+21863+3555</f>
        <v>26605</v>
      </c>
      <c r="D654" s="319">
        <f>ROUND(($D$676/$C$676)*C654,0)</f>
        <v>24183</v>
      </c>
      <c r="E654" s="339">
        <v>45</v>
      </c>
      <c r="F654" s="323" t="s">
        <v>374</v>
      </c>
      <c r="G654" s="321">
        <f>ROUND(E654*$C654/100,0)</f>
        <v>11972</v>
      </c>
      <c r="H654" s="321">
        <f>ROUND(E654*$D654/100,0)</f>
        <v>10882</v>
      </c>
      <c r="I654" s="339">
        <f>$I$603</f>
        <v>45</v>
      </c>
      <c r="J654" s="323" t="s">
        <v>374</v>
      </c>
      <c r="K654" s="321">
        <f>ROUND(I654*$D654/100,0)</f>
        <v>10882</v>
      </c>
    </row>
    <row r="655" spans="1:11">
      <c r="A655" s="360" t="s">
        <v>401</v>
      </c>
      <c r="B655" s="1"/>
      <c r="C655" s="319"/>
      <c r="D655" s="319"/>
      <c r="E655" s="332">
        <v>-0.01</v>
      </c>
      <c r="F655" s="2"/>
      <c r="G655" s="321"/>
      <c r="H655" s="321"/>
      <c r="I655" s="332">
        <f>$I$604</f>
        <v>-0.01</v>
      </c>
      <c r="J655" s="1"/>
      <c r="K655" s="321"/>
    </row>
    <row r="656" spans="1:11">
      <c r="A656" s="309" t="s">
        <v>390</v>
      </c>
      <c r="B656" s="1"/>
      <c r="C656" s="319">
        <v>0</v>
      </c>
      <c r="D656" s="319">
        <v>0</v>
      </c>
      <c r="E656" s="384">
        <f>E633</f>
        <v>0</v>
      </c>
      <c r="F656" s="324"/>
      <c r="G656" s="321">
        <f>ROUND(E656*$C656*$E$604,0)</f>
        <v>0</v>
      </c>
      <c r="H656" s="321">
        <f>ROUND(E656*$D656*$E$604,0)</f>
        <v>0</v>
      </c>
      <c r="I656" s="384">
        <f>I633</f>
        <v>0</v>
      </c>
      <c r="J656" s="324"/>
      <c r="K656" s="321">
        <f>ROUND(I656*$D656*$E$604,0)</f>
        <v>0</v>
      </c>
    </row>
    <row r="657" spans="1:11">
      <c r="A657" s="309" t="s">
        <v>391</v>
      </c>
      <c r="B657" s="1"/>
      <c r="C657" s="319"/>
      <c r="D657" s="319"/>
      <c r="E657" s="384"/>
      <c r="F657" s="324"/>
      <c r="G657" s="321"/>
      <c r="H657" s="321"/>
      <c r="I657" s="384"/>
      <c r="J657" s="324"/>
      <c r="K657" s="321"/>
    </row>
    <row r="658" spans="1:11">
      <c r="A658" s="309" t="s">
        <v>452</v>
      </c>
      <c r="B658" s="1"/>
      <c r="C658" s="319">
        <v>0</v>
      </c>
      <c r="D658" s="319">
        <v>0</v>
      </c>
      <c r="E658" s="384">
        <f>E635</f>
        <v>0</v>
      </c>
      <c r="F658" s="324"/>
      <c r="G658" s="321">
        <f>ROUND(E658*$C658*$E$604,0)</f>
        <v>0</v>
      </c>
      <c r="H658" s="321">
        <f>ROUND(E658*$D658*$E$604,0)</f>
        <v>0</v>
      </c>
      <c r="I658" s="384">
        <f>I635</f>
        <v>0</v>
      </c>
      <c r="J658" s="324"/>
      <c r="K658" s="321">
        <f>ROUND(I658*$D658*$E$604,0)</f>
        <v>0</v>
      </c>
    </row>
    <row r="659" spans="1:11">
      <c r="A659" s="309" t="s">
        <v>453</v>
      </c>
      <c r="B659" s="1"/>
      <c r="C659" s="319">
        <v>0</v>
      </c>
      <c r="D659" s="319">
        <v>0</v>
      </c>
      <c r="E659" s="384">
        <f>E636</f>
        <v>275</v>
      </c>
      <c r="F659" s="324"/>
      <c r="G659" s="321">
        <f>ROUND(E659*$C659*$E$604,0)</f>
        <v>0</v>
      </c>
      <c r="H659" s="321">
        <f>ROUND(E659*$D659*$E$604,0)</f>
        <v>0</v>
      </c>
      <c r="I659" s="384">
        <f>I636</f>
        <v>301</v>
      </c>
      <c r="J659" s="324"/>
      <c r="K659" s="321">
        <f>ROUND(I659*$D659*$E$604,0)</f>
        <v>0</v>
      </c>
    </row>
    <row r="660" spans="1:11">
      <c r="A660" s="309" t="s">
        <v>454</v>
      </c>
      <c r="B660" s="1"/>
      <c r="C660" s="319">
        <v>0</v>
      </c>
      <c r="D660" s="319">
        <v>0</v>
      </c>
      <c r="E660" s="384">
        <f>E637</f>
        <v>1110</v>
      </c>
      <c r="F660" s="324"/>
      <c r="G660" s="321">
        <f>ROUND(E660*$C660*$E$604,0)</f>
        <v>0</v>
      </c>
      <c r="H660" s="321">
        <f>ROUND(E660*$D660*$E$604,0)</f>
        <v>0</v>
      </c>
      <c r="I660" s="384">
        <f>I637</f>
        <v>1215</v>
      </c>
      <c r="J660" s="324"/>
      <c r="K660" s="321">
        <f>ROUND(I660*$D660*$E$604,0)</f>
        <v>0</v>
      </c>
    </row>
    <row r="661" spans="1:11">
      <c r="A661" s="309" t="s">
        <v>390</v>
      </c>
      <c r="B661" s="1"/>
      <c r="C661" s="319">
        <v>0</v>
      </c>
      <c r="D661" s="319">
        <v>0</v>
      </c>
      <c r="E661" s="384">
        <f>E642</f>
        <v>18.149999999999999</v>
      </c>
      <c r="F661" s="324"/>
      <c r="G661" s="321">
        <f>ROUND(E661*$C661*$E$604,0)</f>
        <v>0</v>
      </c>
      <c r="H661" s="321">
        <f>ROUND(E661*$D661*$E$604,0)</f>
        <v>0</v>
      </c>
      <c r="I661" s="384">
        <f>I642</f>
        <v>19.87</v>
      </c>
      <c r="J661" s="324"/>
      <c r="K661" s="321">
        <f>ROUND(I661*$D661*$E$604,0)</f>
        <v>0</v>
      </c>
    </row>
    <row r="662" spans="1:11">
      <c r="A662" s="309" t="s">
        <v>391</v>
      </c>
      <c r="B662" s="1"/>
      <c r="C662" s="319"/>
      <c r="D662" s="319"/>
      <c r="E662" s="384"/>
      <c r="F662" s="324"/>
      <c r="G662" s="321"/>
      <c r="H662" s="321"/>
      <c r="I662" s="384"/>
      <c r="J662" s="324"/>
      <c r="K662" s="321"/>
    </row>
    <row r="663" spans="1:11">
      <c r="A663" s="309" t="s">
        <v>452</v>
      </c>
      <c r="B663" s="1"/>
      <c r="C663" s="319">
        <v>0</v>
      </c>
      <c r="D663" s="319">
        <f>ROUND(($D$676/$C$676)*C663,0)</f>
        <v>0</v>
      </c>
      <c r="E663" s="384">
        <f>E644</f>
        <v>18.149999999999999</v>
      </c>
      <c r="F663" s="324"/>
      <c r="G663" s="321">
        <f>ROUND(E663*$C663*$E$604,0)</f>
        <v>0</v>
      </c>
      <c r="H663" s="321">
        <f>ROUND(E663*$D663*$E$604,0)</f>
        <v>0</v>
      </c>
      <c r="I663" s="384">
        <f>I644</f>
        <v>19.87</v>
      </c>
      <c r="J663" s="324"/>
      <c r="K663" s="321">
        <f>ROUND(I663*$D663*$E$604,0)</f>
        <v>0</v>
      </c>
    </row>
    <row r="664" spans="1:11">
      <c r="A664" s="309" t="s">
        <v>453</v>
      </c>
      <c r="B664" s="1"/>
      <c r="C664" s="319">
        <v>0</v>
      </c>
      <c r="D664" s="319">
        <f>ROUND(($D$676/$C$676)*C664,0)</f>
        <v>0</v>
      </c>
      <c r="E664" s="384">
        <f>E645</f>
        <v>12.4</v>
      </c>
      <c r="F664" s="324"/>
      <c r="G664" s="321">
        <f>ROUND(E664*$C664*$E$604,0)</f>
        <v>0</v>
      </c>
      <c r="H664" s="321">
        <f>ROUND(E664*$D664*$E$604,0)</f>
        <v>0</v>
      </c>
      <c r="I664" s="384">
        <f>I645</f>
        <v>13.64</v>
      </c>
      <c r="J664" s="324"/>
      <c r="K664" s="321">
        <f>ROUND(I664*$D664*$E$604,0)</f>
        <v>0</v>
      </c>
    </row>
    <row r="665" spans="1:11">
      <c r="A665" s="309" t="s">
        <v>454</v>
      </c>
      <c r="B665" s="1"/>
      <c r="C665" s="319">
        <v>0</v>
      </c>
      <c r="D665" s="319">
        <f>ROUND(($D$676/$C$676)*C665,0)</f>
        <v>0</v>
      </c>
      <c r="E665" s="384">
        <f>E646</f>
        <v>9.65</v>
      </c>
      <c r="F665" s="324"/>
      <c r="G665" s="321">
        <f>ROUND(E665*$C665*$E$604,0)</f>
        <v>0</v>
      </c>
      <c r="H665" s="321">
        <f>ROUND(E665*$D665*$E$604,0)</f>
        <v>0</v>
      </c>
      <c r="I665" s="384">
        <f>I646</f>
        <v>10.62</v>
      </c>
      <c r="J665" s="324"/>
      <c r="K665" s="321">
        <f>ROUND(I665*$D665*$E$604,0)</f>
        <v>0</v>
      </c>
    </row>
    <row r="666" spans="1:11">
      <c r="A666" s="309" t="s">
        <v>465</v>
      </c>
      <c r="B666" s="1"/>
      <c r="C666" s="319">
        <v>0</v>
      </c>
      <c r="D666" s="319">
        <v>0</v>
      </c>
      <c r="E666" s="353">
        <f>E647</f>
        <v>54.45</v>
      </c>
      <c r="F666" s="324"/>
      <c r="G666" s="321">
        <f>ROUND(E666*$C666*$E$604,0)</f>
        <v>0</v>
      </c>
      <c r="H666" s="321">
        <f>ROUND(E666*$D666*$E$604,0)</f>
        <v>0</v>
      </c>
      <c r="I666" s="353">
        <f>I647</f>
        <v>59.61</v>
      </c>
      <c r="J666" s="324"/>
      <c r="K666" s="321">
        <f>ROUND(I666*$D666*$E$604,0)</f>
        <v>0</v>
      </c>
    </row>
    <row r="667" spans="1:11">
      <c r="A667" s="309" t="s">
        <v>466</v>
      </c>
      <c r="B667" s="1"/>
      <c r="C667" s="319">
        <v>0</v>
      </c>
      <c r="D667" s="319">
        <v>0</v>
      </c>
      <c r="E667" s="353">
        <f>E648</f>
        <v>108.9</v>
      </c>
      <c r="F667" s="324"/>
      <c r="G667" s="321">
        <f>ROUND(E667*$C667*$E$604,0)</f>
        <v>0</v>
      </c>
      <c r="H667" s="321">
        <f>ROUND(E667*$D667*$E$604,0)</f>
        <v>0</v>
      </c>
      <c r="I667" s="353">
        <f>I648</f>
        <v>119.22</v>
      </c>
      <c r="J667" s="324"/>
      <c r="K667" s="321">
        <f>ROUND(I667*$D667*$E$604,0)</f>
        <v>0</v>
      </c>
    </row>
    <row r="668" spans="1:11">
      <c r="A668" s="309" t="s">
        <v>462</v>
      </c>
      <c r="B668" s="1"/>
      <c r="C668" s="319"/>
      <c r="D668" s="319"/>
      <c r="E668" s="337"/>
      <c r="F668" s="324"/>
      <c r="G668" s="321"/>
      <c r="H668" s="321"/>
      <c r="I668" s="337"/>
      <c r="J668" s="324"/>
      <c r="K668" s="321"/>
    </row>
    <row r="669" spans="1:11">
      <c r="A669" s="309" t="s">
        <v>457</v>
      </c>
      <c r="B669" s="1"/>
      <c r="C669" s="319">
        <v>0</v>
      </c>
      <c r="D669" s="319">
        <f>ROUND(($D$676/$C$676)*C669,0)</f>
        <v>0</v>
      </c>
      <c r="E669" s="363">
        <f>E650</f>
        <v>-18.149999999999999</v>
      </c>
      <c r="F669" s="324"/>
      <c r="G669" s="321">
        <f>ROUND(E669*$C669*$E$604,0)</f>
        <v>0</v>
      </c>
      <c r="H669" s="321">
        <f>ROUND(E669*$D669*$E$604,0)</f>
        <v>0</v>
      </c>
      <c r="I669" s="363">
        <f>I650</f>
        <v>-19.87</v>
      </c>
      <c r="J669" s="324"/>
      <c r="K669" s="321">
        <f>ROUND(I669*$D669*$E$604,0)</f>
        <v>0</v>
      </c>
    </row>
    <row r="670" spans="1:11">
      <c r="A670" s="309" t="s">
        <v>463</v>
      </c>
      <c r="B670" s="1"/>
      <c r="C670" s="319">
        <v>0</v>
      </c>
      <c r="D670" s="319">
        <f>ROUND(($D$676/$C$676)*C670,0)</f>
        <v>0</v>
      </c>
      <c r="E670" s="363">
        <f>E651</f>
        <v>-18.149999999999999</v>
      </c>
      <c r="F670" s="324"/>
      <c r="G670" s="321">
        <f>ROUND(E670*$C670*$E$604,0)</f>
        <v>0</v>
      </c>
      <c r="H670" s="321">
        <f>ROUND(E670*$D670*$E$604,0)</f>
        <v>0</v>
      </c>
      <c r="I670" s="363">
        <f>I651</f>
        <v>-19.87</v>
      </c>
      <c r="J670" s="324"/>
      <c r="K670" s="321">
        <f>ROUND(I670*$D670*$E$604,0)</f>
        <v>0</v>
      </c>
    </row>
    <row r="671" spans="1:11">
      <c r="A671" s="323" t="s">
        <v>426</v>
      </c>
      <c r="B671" s="1"/>
      <c r="C671" s="319"/>
      <c r="D671" s="319"/>
      <c r="E671" s="384"/>
      <c r="F671" s="321"/>
      <c r="G671" s="321"/>
      <c r="H671" s="321"/>
      <c r="I671" s="384"/>
      <c r="J671" s="321"/>
      <c r="K671" s="321"/>
    </row>
    <row r="672" spans="1:11">
      <c r="A672" s="309" t="s">
        <v>464</v>
      </c>
      <c r="B672" s="1"/>
      <c r="C672" s="319">
        <v>0</v>
      </c>
      <c r="D672" s="319">
        <f>ROUND(($D$676/$C$676)*C672,0)</f>
        <v>0</v>
      </c>
      <c r="E672" s="385">
        <f>E653</f>
        <v>4.9909999999999997</v>
      </c>
      <c r="F672" s="321" t="s">
        <v>374</v>
      </c>
      <c r="G672" s="321">
        <f>ROUND(E672/100*$C672*$E$604,0)</f>
        <v>0</v>
      </c>
      <c r="H672" s="321">
        <f>ROUND(E672/100*$D672*$E$604,0)</f>
        <v>0</v>
      </c>
      <c r="I672" s="385">
        <f>I653</f>
        <v>5.3710000000000004</v>
      </c>
      <c r="J672" s="321" t="s">
        <v>374</v>
      </c>
      <c r="K672" s="321">
        <f>ROUND(I672/100*$D672*$E$604,0)</f>
        <v>0</v>
      </c>
    </row>
    <row r="673" spans="1:15">
      <c r="A673" s="323" t="s">
        <v>400</v>
      </c>
      <c r="B673" s="1"/>
      <c r="C673" s="319">
        <v>0</v>
      </c>
      <c r="D673" s="319">
        <f>ROUND(($D$676/$C$676)*C673,0)</f>
        <v>0</v>
      </c>
      <c r="E673" s="375">
        <f>E654</f>
        <v>45</v>
      </c>
      <c r="F673" s="321" t="s">
        <v>374</v>
      </c>
      <c r="G673" s="321">
        <f>ROUND(E673/100*$C673*$E$604,0)</f>
        <v>0</v>
      </c>
      <c r="H673" s="321">
        <f>ROUND(E673/100*$D673*$E$604,0)</f>
        <v>0</v>
      </c>
      <c r="I673" s="375">
        <f>I654</f>
        <v>45</v>
      </c>
      <c r="J673" s="323" t="s">
        <v>374</v>
      </c>
      <c r="K673" s="321">
        <f>ROUND(I673/100*$D673*$E$604,0)</f>
        <v>0</v>
      </c>
    </row>
    <row r="674" spans="1:15">
      <c r="A674" s="323" t="s">
        <v>443</v>
      </c>
      <c r="B674" s="1"/>
      <c r="C674" s="319">
        <v>0</v>
      </c>
      <c r="D674" s="319">
        <v>0</v>
      </c>
      <c r="E674" s="298">
        <v>60</v>
      </c>
      <c r="F674" s="364" t="s">
        <v>31</v>
      </c>
      <c r="G674" s="321">
        <f>ROUND(E674*$C674,0)</f>
        <v>0</v>
      </c>
      <c r="H674" s="321">
        <f>ROUND(E674*$D674,0)</f>
        <v>0</v>
      </c>
      <c r="I674" s="298">
        <f>$I$623</f>
        <v>60</v>
      </c>
      <c r="J674" s="1"/>
      <c r="K674" s="321">
        <f>ROUND(I674*$D674,0)</f>
        <v>0</v>
      </c>
    </row>
    <row r="675" spans="1:15">
      <c r="A675" s="323" t="s">
        <v>444</v>
      </c>
      <c r="B675" s="1"/>
      <c r="C675" s="319">
        <v>0</v>
      </c>
      <c r="D675" s="319">
        <f>ROUND(($D$676/$C$676)*C675,0)</f>
        <v>0</v>
      </c>
      <c r="E675" s="339">
        <v>-30</v>
      </c>
      <c r="F675" s="321" t="s">
        <v>374</v>
      </c>
      <c r="G675" s="321">
        <f>ROUND(E675*$C675,0)</f>
        <v>0</v>
      </c>
      <c r="H675" s="321">
        <f>ROUND(E675*$D675,0)</f>
        <v>0</v>
      </c>
      <c r="I675" s="339">
        <f>$I$624</f>
        <v>-30</v>
      </c>
      <c r="J675" s="321" t="s">
        <v>374</v>
      </c>
      <c r="K675" s="321">
        <f>ROUND(I675*$D675,0)</f>
        <v>0</v>
      </c>
    </row>
    <row r="676" spans="1:15">
      <c r="A676" s="1" t="s">
        <v>381</v>
      </c>
      <c r="B676" s="1"/>
      <c r="C676" s="319">
        <f>SUM(C653:C653)</f>
        <v>145662763</v>
      </c>
      <c r="D676" s="319">
        <v>132402479.40697747</v>
      </c>
      <c r="E676" s="330"/>
      <c r="F676" s="2"/>
      <c r="G676" s="2">
        <f>SUM(G633:G675)</f>
        <v>8839304</v>
      </c>
      <c r="H676" s="2">
        <f>SUM(H633:H675)</f>
        <v>8044365</v>
      </c>
      <c r="I676" s="330"/>
      <c r="J676" s="323"/>
      <c r="K676" s="2">
        <f>SUM(K633:K675)</f>
        <v>8684736</v>
      </c>
    </row>
    <row r="677" spans="1:15">
      <c r="A677" s="1" t="s">
        <v>363</v>
      </c>
      <c r="B677" s="1"/>
      <c r="C677" s="349">
        <v>2620112.272300011</v>
      </c>
      <c r="D677" s="349">
        <v>0</v>
      </c>
      <c r="E677" s="309"/>
      <c r="F677" s="309"/>
      <c r="G677" s="310">
        <v>110373.78308932934</v>
      </c>
      <c r="H677" s="310">
        <v>0</v>
      </c>
      <c r="I677" s="309"/>
      <c r="J677" s="309"/>
      <c r="K677" s="310">
        <v>0</v>
      </c>
      <c r="M677" s="289"/>
      <c r="N677" s="289"/>
      <c r="O677" s="290"/>
    </row>
    <row r="678" spans="1:15" ht="16.5" thickBot="1">
      <c r="A678" s="1" t="s">
        <v>382</v>
      </c>
      <c r="B678" s="1"/>
      <c r="C678" s="366">
        <f>SUM(C676:C677)</f>
        <v>148282875.2723</v>
      </c>
      <c r="D678" s="366">
        <f>SUM(D676:D677)</f>
        <v>132402479.40697747</v>
      </c>
      <c r="E678" s="342"/>
      <c r="F678" s="343"/>
      <c r="G678" s="344">
        <f>G676+G677</f>
        <v>8949677.7830893286</v>
      </c>
      <c r="H678" s="344">
        <f>H676+H677</f>
        <v>8044365</v>
      </c>
      <c r="I678" s="342"/>
      <c r="J678" s="345"/>
      <c r="K678" s="344">
        <f>K676+K677</f>
        <v>8684736</v>
      </c>
      <c r="M678" s="291"/>
      <c r="N678" s="291"/>
      <c r="O678" s="292"/>
    </row>
    <row r="679" spans="1:15" ht="16.5" thickTop="1">
      <c r="A679" s="1"/>
      <c r="B679" s="1"/>
      <c r="C679" s="26"/>
      <c r="D679" s="26"/>
      <c r="E679" s="351"/>
      <c r="F679" s="352"/>
      <c r="G679" s="322"/>
      <c r="H679" s="322"/>
      <c r="I679" s="386" t="s">
        <v>31</v>
      </c>
      <c r="J679" s="23"/>
      <c r="K679" s="272" t="s">
        <v>31</v>
      </c>
    </row>
    <row r="680" spans="1:15">
      <c r="A680" s="293" t="s">
        <v>467</v>
      </c>
      <c r="B680" s="1"/>
      <c r="C680" s="21"/>
      <c r="D680" s="21"/>
      <c r="E680" s="337"/>
      <c r="F680" s="2"/>
      <c r="G680" s="2"/>
      <c r="H680" s="2"/>
      <c r="I680" s="337"/>
      <c r="J680" s="1"/>
      <c r="K680" s="2"/>
    </row>
    <row r="681" spans="1:15">
      <c r="A681" s="309" t="s">
        <v>468</v>
      </c>
      <c r="B681" s="1"/>
      <c r="C681" s="21"/>
      <c r="D681" s="21"/>
      <c r="E681" s="337"/>
      <c r="F681" s="2"/>
      <c r="G681" s="2"/>
      <c r="H681" s="2"/>
      <c r="I681" s="337"/>
      <c r="J681" s="1"/>
      <c r="K681" s="2"/>
    </row>
    <row r="682" spans="1:15">
      <c r="A682" s="323"/>
      <c r="B682" s="1"/>
      <c r="C682" s="21"/>
      <c r="D682" s="21"/>
      <c r="E682" s="337"/>
      <c r="F682" s="2"/>
      <c r="G682" s="380"/>
      <c r="H682" s="380"/>
      <c r="I682" s="337"/>
      <c r="J682" s="1"/>
      <c r="K682" s="381"/>
    </row>
    <row r="683" spans="1:15">
      <c r="A683" s="309" t="s">
        <v>449</v>
      </c>
      <c r="B683" s="1"/>
      <c r="C683" s="319"/>
      <c r="D683" s="319"/>
      <c r="E683" s="2" t="s">
        <v>31</v>
      </c>
      <c r="F683" s="2"/>
      <c r="G683" s="1"/>
      <c r="H683" s="1"/>
      <c r="I683" s="2" t="s">
        <v>31</v>
      </c>
      <c r="J683" s="1"/>
      <c r="K683" s="1"/>
    </row>
    <row r="684" spans="1:15">
      <c r="A684" s="309" t="s">
        <v>450</v>
      </c>
      <c r="B684" s="1"/>
      <c r="C684" s="319">
        <v>151</v>
      </c>
      <c r="D684" s="319">
        <v>161</v>
      </c>
      <c r="E684" s="337">
        <v>0</v>
      </c>
      <c r="F684" s="324"/>
      <c r="G684" s="321">
        <f>ROUND(E684*$C684,0)</f>
        <v>0</v>
      </c>
      <c r="H684" s="321">
        <f>ROUND(E684*$D684,0)</f>
        <v>0</v>
      </c>
      <c r="I684" s="337">
        <f>$I$582</f>
        <v>0</v>
      </c>
      <c r="J684" s="324"/>
      <c r="K684" s="321">
        <f>ROUND(I684*$D684,0)</f>
        <v>0</v>
      </c>
    </row>
    <row r="685" spans="1:15">
      <c r="A685" s="309" t="s">
        <v>451</v>
      </c>
      <c r="B685" s="1"/>
      <c r="C685" s="319"/>
      <c r="D685" s="319"/>
      <c r="E685" s="337"/>
      <c r="F685" s="324"/>
      <c r="G685" s="321"/>
      <c r="H685" s="321"/>
      <c r="I685" s="337"/>
      <c r="J685" s="324"/>
      <c r="K685" s="321"/>
    </row>
    <row r="686" spans="1:15">
      <c r="A686" s="309" t="s">
        <v>452</v>
      </c>
      <c r="B686" s="1"/>
      <c r="C686" s="319">
        <f>1+378</f>
        <v>379</v>
      </c>
      <c r="D686" s="319">
        <v>404</v>
      </c>
      <c r="E686" s="337">
        <v>0</v>
      </c>
      <c r="F686" s="324"/>
      <c r="G686" s="321">
        <f>ROUND(E686*$C686,0)</f>
        <v>0</v>
      </c>
      <c r="H686" s="321">
        <f>ROUND(E686*$D686,0)</f>
        <v>0</v>
      </c>
      <c r="I686" s="337">
        <f>$I$584</f>
        <v>0</v>
      </c>
      <c r="J686" s="324"/>
      <c r="K686" s="321">
        <f>ROUND(I686*$D686,0)</f>
        <v>0</v>
      </c>
    </row>
    <row r="687" spans="1:15">
      <c r="A687" s="309" t="s">
        <v>453</v>
      </c>
      <c r="B687" s="1"/>
      <c r="C687" s="319">
        <f>38</f>
        <v>38</v>
      </c>
      <c r="D687" s="319">
        <v>41</v>
      </c>
      <c r="E687" s="337">
        <v>275</v>
      </c>
      <c r="F687" s="324"/>
      <c r="G687" s="321">
        <f>ROUND(E687*$C687,0)</f>
        <v>10450</v>
      </c>
      <c r="H687" s="321">
        <f>ROUND(E687*$D687,0)</f>
        <v>11275</v>
      </c>
      <c r="I687" s="337">
        <f>$I$585</f>
        <v>301</v>
      </c>
      <c r="J687" s="324"/>
      <c r="K687" s="321">
        <f>ROUND(I687*$D687,0)</f>
        <v>12341</v>
      </c>
    </row>
    <row r="688" spans="1:15">
      <c r="A688" s="309" t="s">
        <v>454</v>
      </c>
      <c r="B688" s="1"/>
      <c r="C688" s="319">
        <f>3</f>
        <v>3</v>
      </c>
      <c r="D688" s="319">
        <v>3</v>
      </c>
      <c r="E688" s="337">
        <v>1110</v>
      </c>
      <c r="F688" s="324"/>
      <c r="G688" s="321">
        <f>ROUND(E688*$C688,0)</f>
        <v>3330</v>
      </c>
      <c r="H688" s="321">
        <f>ROUND(E688*$D688,0)</f>
        <v>3330</v>
      </c>
      <c r="I688" s="337">
        <f>$I$586</f>
        <v>1215</v>
      </c>
      <c r="J688" s="324"/>
      <c r="K688" s="321">
        <f>ROUND(I688*$D688,0)</f>
        <v>3645</v>
      </c>
    </row>
    <row r="689" spans="1:11">
      <c r="A689" s="309" t="s">
        <v>362</v>
      </c>
      <c r="B689" s="1"/>
      <c r="C689" s="319">
        <f>SUM(C684:C688)</f>
        <v>571</v>
      </c>
      <c r="D689" s="319">
        <v>608.93144040394361</v>
      </c>
      <c r="E689" s="337"/>
      <c r="F689" s="324"/>
      <c r="G689" s="321"/>
      <c r="H689" s="321"/>
      <c r="I689" s="337"/>
      <c r="J689" s="324"/>
      <c r="K689" s="321"/>
    </row>
    <row r="690" spans="1:11">
      <c r="A690" s="309" t="s">
        <v>455</v>
      </c>
      <c r="B690" s="1"/>
      <c r="C690" s="319">
        <f>5+7+1001+2657+283+20</f>
        <v>3973</v>
      </c>
      <c r="D690" s="319">
        <v>4237</v>
      </c>
      <c r="E690" s="337"/>
      <c r="F690" s="321"/>
      <c r="G690" s="321"/>
      <c r="H690" s="321"/>
      <c r="I690" s="337"/>
      <c r="J690" s="321"/>
      <c r="K690" s="321"/>
    </row>
    <row r="691" spans="1:11">
      <c r="A691" s="309" t="s">
        <v>104</v>
      </c>
      <c r="B691" s="1"/>
      <c r="C691" s="319">
        <f>1+1+167+421+39+3</f>
        <v>632</v>
      </c>
      <c r="D691" s="319">
        <v>674</v>
      </c>
      <c r="E691" s="337"/>
      <c r="F691" s="321"/>
      <c r="G691" s="321"/>
      <c r="H691" s="321"/>
      <c r="I691" s="337"/>
      <c r="J691" s="321"/>
      <c r="K691" s="321"/>
    </row>
    <row r="692" spans="1:11">
      <c r="A692" s="309" t="s">
        <v>456</v>
      </c>
      <c r="B692" s="1"/>
      <c r="C692" s="319"/>
      <c r="D692" s="319"/>
      <c r="E692" s="337"/>
      <c r="F692" s="324"/>
      <c r="G692" s="321"/>
      <c r="H692" s="321"/>
      <c r="I692" s="337"/>
      <c r="J692" s="324"/>
      <c r="K692" s="321"/>
    </row>
    <row r="693" spans="1:11">
      <c r="A693" s="309" t="s">
        <v>457</v>
      </c>
      <c r="B693" s="1"/>
      <c r="C693" s="319">
        <f>816</f>
        <v>816</v>
      </c>
      <c r="D693" s="319">
        <f>ROUND(($D$727/$C$727)*C693,0)</f>
        <v>787</v>
      </c>
      <c r="E693" s="337">
        <v>18.149999999999999</v>
      </c>
      <c r="F693" s="324"/>
      <c r="G693" s="321">
        <f>ROUND(E693*$C693,0)</f>
        <v>14810</v>
      </c>
      <c r="H693" s="321">
        <f>ROUND(E693*$D693,0)</f>
        <v>14284</v>
      </c>
      <c r="I693" s="337">
        <f>$I$591</f>
        <v>19.87</v>
      </c>
      <c r="J693" s="324"/>
      <c r="K693" s="321">
        <f>ROUND(I693*$D693,0)</f>
        <v>15638</v>
      </c>
    </row>
    <row r="694" spans="1:11">
      <c r="A694" s="309" t="s">
        <v>458</v>
      </c>
      <c r="B694" s="1"/>
      <c r="C694" s="319"/>
      <c r="D694" s="319"/>
      <c r="E694" s="337"/>
      <c r="F694" s="324"/>
      <c r="G694" s="321"/>
      <c r="H694" s="321"/>
      <c r="I694" s="337"/>
      <c r="J694" s="324"/>
      <c r="K694" s="321"/>
    </row>
    <row r="695" spans="1:11">
      <c r="A695" s="309" t="s">
        <v>452</v>
      </c>
      <c r="B695" s="1"/>
      <c r="C695" s="319">
        <f>6061+40</f>
        <v>6101</v>
      </c>
      <c r="D695" s="319">
        <f>ROUND(($D$727/$C$727)*C695,0)</f>
        <v>5884</v>
      </c>
      <c r="E695" s="337">
        <v>18.149999999999999</v>
      </c>
      <c r="F695" s="324"/>
      <c r="G695" s="321">
        <f>ROUND(E695*$C695,0)</f>
        <v>110733</v>
      </c>
      <c r="H695" s="321">
        <f>ROUND(E695*$D695,0)</f>
        <v>106795</v>
      </c>
      <c r="I695" s="337">
        <f>$I$593</f>
        <v>19.87</v>
      </c>
      <c r="J695" s="324"/>
      <c r="K695" s="321">
        <f>ROUND(I695*$D695,0)</f>
        <v>116915</v>
      </c>
    </row>
    <row r="696" spans="1:11">
      <c r="A696" s="309" t="s">
        <v>453</v>
      </c>
      <c r="B696" s="1"/>
      <c r="C696" s="319">
        <f>3661</f>
        <v>3661</v>
      </c>
      <c r="D696" s="319">
        <f>ROUND(($D$727/$C$727)*C696,0)</f>
        <v>3531</v>
      </c>
      <c r="E696" s="337">
        <v>12.4</v>
      </c>
      <c r="F696" s="324"/>
      <c r="G696" s="321">
        <f>ROUND(E696*$C696,0)</f>
        <v>45396</v>
      </c>
      <c r="H696" s="321">
        <f>ROUND(E696*$D696,0)</f>
        <v>43784</v>
      </c>
      <c r="I696" s="337">
        <f>$I$594</f>
        <v>13.64</v>
      </c>
      <c r="J696" s="324"/>
      <c r="K696" s="321">
        <f>ROUND(I696*$D696,0)</f>
        <v>48163</v>
      </c>
    </row>
    <row r="697" spans="1:11">
      <c r="A697" s="309" t="s">
        <v>454</v>
      </c>
      <c r="B697" s="1"/>
      <c r="C697" s="319">
        <f>1235</f>
        <v>1235</v>
      </c>
      <c r="D697" s="319">
        <f>ROUND(($D$727/$C$727)*C697,0)</f>
        <v>1191</v>
      </c>
      <c r="E697" s="337">
        <v>9.65</v>
      </c>
      <c r="F697" s="324"/>
      <c r="G697" s="321">
        <f>ROUND(E697*$C697,0)</f>
        <v>11918</v>
      </c>
      <c r="H697" s="321">
        <f>ROUND(E697*$D697,0)</f>
        <v>11493</v>
      </c>
      <c r="I697" s="337">
        <f>$I$595</f>
        <v>10.62</v>
      </c>
      <c r="J697" s="324"/>
      <c r="K697" s="321">
        <f>ROUND(I697*$D697,0)</f>
        <v>12648</v>
      </c>
    </row>
    <row r="698" spans="1:11">
      <c r="A698" s="309" t="s">
        <v>460</v>
      </c>
      <c r="B698" s="1"/>
      <c r="C698" s="319">
        <f>47</f>
        <v>47</v>
      </c>
      <c r="D698" s="319">
        <v>45</v>
      </c>
      <c r="E698" s="337">
        <v>54.45</v>
      </c>
      <c r="F698" s="324"/>
      <c r="G698" s="321">
        <f>ROUND(E698*$C698,0)</f>
        <v>2559</v>
      </c>
      <c r="H698" s="321">
        <f>ROUND(E698*$D698,0)</f>
        <v>2450</v>
      </c>
      <c r="I698" s="337">
        <f>$I$596</f>
        <v>59.61</v>
      </c>
      <c r="J698" s="324"/>
      <c r="K698" s="321">
        <f>ROUND(I698*$D698,0)</f>
        <v>2682</v>
      </c>
    </row>
    <row r="699" spans="1:11">
      <c r="A699" s="309" t="s">
        <v>461</v>
      </c>
      <c r="B699" s="1"/>
      <c r="C699" s="319">
        <f>73</f>
        <v>73</v>
      </c>
      <c r="D699" s="319">
        <v>70</v>
      </c>
      <c r="E699" s="337">
        <v>108.9</v>
      </c>
      <c r="F699" s="324"/>
      <c r="G699" s="321">
        <f>ROUND(E699*$C699,0)</f>
        <v>7950</v>
      </c>
      <c r="H699" s="321">
        <f>ROUND(E699*$D699,0)</f>
        <v>7623</v>
      </c>
      <c r="I699" s="337">
        <f>$I$597</f>
        <v>119.22</v>
      </c>
      <c r="J699" s="324"/>
      <c r="K699" s="321">
        <f>ROUND(I699*$D699,0)</f>
        <v>8345</v>
      </c>
    </row>
    <row r="700" spans="1:11">
      <c r="A700" s="309" t="s">
        <v>462</v>
      </c>
      <c r="B700" s="1"/>
      <c r="C700" s="319"/>
      <c r="D700" s="319"/>
      <c r="E700" s="337"/>
      <c r="F700" s="324"/>
      <c r="G700" s="321"/>
      <c r="H700" s="321"/>
      <c r="I700" s="337"/>
      <c r="J700" s="324"/>
      <c r="K700" s="321"/>
    </row>
    <row r="701" spans="1:11">
      <c r="A701" s="309" t="s">
        <v>457</v>
      </c>
      <c r="B701" s="1"/>
      <c r="C701" s="319">
        <f>56</f>
        <v>56</v>
      </c>
      <c r="D701" s="319">
        <f>ROUND(($D$727/$C$727)*C701,0)</f>
        <v>54</v>
      </c>
      <c r="E701" s="363">
        <f>-E693</f>
        <v>-18.149999999999999</v>
      </c>
      <c r="F701" s="324"/>
      <c r="G701" s="321">
        <f>ROUND(E701*$C701,0)</f>
        <v>-1016</v>
      </c>
      <c r="H701" s="321">
        <f>ROUND(E701*$D701,0)</f>
        <v>-980</v>
      </c>
      <c r="I701" s="363">
        <f>-I693</f>
        <v>-19.87</v>
      </c>
      <c r="J701" s="324"/>
      <c r="K701" s="321">
        <f>ROUND(I701*$D701,0)</f>
        <v>-1073</v>
      </c>
    </row>
    <row r="702" spans="1:11">
      <c r="A702" s="309" t="s">
        <v>463</v>
      </c>
      <c r="B702" s="1"/>
      <c r="C702" s="319">
        <f>171</f>
        <v>171</v>
      </c>
      <c r="D702" s="319">
        <f>ROUND(($D$727/$C$727)*C702,0)</f>
        <v>165</v>
      </c>
      <c r="E702" s="363">
        <f>-E695</f>
        <v>-18.149999999999999</v>
      </c>
      <c r="F702" s="324"/>
      <c r="G702" s="321">
        <f>ROUND(E702*$C702,0)</f>
        <v>-3104</v>
      </c>
      <c r="H702" s="321">
        <f>ROUND(E702*$D702,0)</f>
        <v>-2995</v>
      </c>
      <c r="I702" s="363">
        <f>-I695</f>
        <v>-19.87</v>
      </c>
      <c r="J702" s="324"/>
      <c r="K702" s="321">
        <f>ROUND(I702*$D702,0)</f>
        <v>-3279</v>
      </c>
    </row>
    <row r="703" spans="1:11">
      <c r="A703" s="323" t="s">
        <v>426</v>
      </c>
      <c r="B703" s="1"/>
      <c r="C703" s="319"/>
      <c r="D703" s="319"/>
      <c r="E703" s="337"/>
      <c r="F703" s="321"/>
      <c r="G703" s="321"/>
      <c r="H703" s="321"/>
      <c r="I703" s="337"/>
      <c r="J703" s="321"/>
      <c r="K703" s="321"/>
    </row>
    <row r="704" spans="1:11">
      <c r="A704" s="309" t="s">
        <v>464</v>
      </c>
      <c r="B704" s="1"/>
      <c r="C704" s="319">
        <f>38079+1034717+10521120+5534245+2275120</f>
        <v>19403281</v>
      </c>
      <c r="D704" s="319">
        <f>ROUND(($D$727/$C$727)*C704,0)</f>
        <v>18714383</v>
      </c>
      <c r="E704" s="382">
        <v>4.9909999999999997</v>
      </c>
      <c r="F704" s="321" t="s">
        <v>374</v>
      </c>
      <c r="G704" s="321">
        <f>ROUND(E704/100*$C704,0)</f>
        <v>968418</v>
      </c>
      <c r="H704" s="321">
        <f>ROUND(E704/100*$D704,0)</f>
        <v>934035</v>
      </c>
      <c r="I704" s="382">
        <f>$I$602</f>
        <v>5.3710000000000004</v>
      </c>
      <c r="J704" s="321" t="s">
        <v>374</v>
      </c>
      <c r="K704" s="321">
        <f>ROUND(I704/100*$D704,0)</f>
        <v>1005150</v>
      </c>
    </row>
    <row r="705" spans="1:11">
      <c r="A705" s="323" t="s">
        <v>400</v>
      </c>
      <c r="B705" s="1"/>
      <c r="C705" s="319">
        <f>52+1904+219</f>
        <v>2175</v>
      </c>
      <c r="D705" s="319">
        <f>ROUND(($D$727/$C$727)*C705,0)</f>
        <v>2098</v>
      </c>
      <c r="E705" s="339">
        <v>45</v>
      </c>
      <c r="F705" s="323" t="s">
        <v>374</v>
      </c>
      <c r="G705" s="321">
        <f>ROUND(E705*$C705/100,0)</f>
        <v>979</v>
      </c>
      <c r="H705" s="321">
        <f>ROUND(E705*$D705/100,0)</f>
        <v>944</v>
      </c>
      <c r="I705" s="339">
        <f>$I$603</f>
        <v>45</v>
      </c>
      <c r="J705" s="323" t="s">
        <v>374</v>
      </c>
      <c r="K705" s="321">
        <f>ROUND(I705*$D705/100,0)</f>
        <v>944</v>
      </c>
    </row>
    <row r="706" spans="1:11">
      <c r="A706" s="360" t="s">
        <v>401</v>
      </c>
      <c r="B706" s="1"/>
      <c r="C706" s="319"/>
      <c r="D706" s="319"/>
      <c r="E706" s="332">
        <v>-0.01</v>
      </c>
      <c r="F706" s="2"/>
      <c r="G706" s="321"/>
      <c r="H706" s="321"/>
      <c r="I706" s="332">
        <f>$I$604</f>
        <v>-0.01</v>
      </c>
      <c r="J706" s="1"/>
      <c r="K706" s="321"/>
    </row>
    <row r="707" spans="1:11">
      <c r="A707" s="309" t="s">
        <v>390</v>
      </c>
      <c r="B707" s="1"/>
      <c r="C707" s="319">
        <v>0</v>
      </c>
      <c r="D707" s="319">
        <v>0</v>
      </c>
      <c r="E707" s="384">
        <f>E684</f>
        <v>0</v>
      </c>
      <c r="F707" s="324"/>
      <c r="G707" s="321">
        <f>ROUND(E707*$C707*$E$604,0)</f>
        <v>0</v>
      </c>
      <c r="H707" s="321">
        <f>ROUND(E707*$D707*$E$604,0)</f>
        <v>0</v>
      </c>
      <c r="I707" s="384">
        <f>I684</f>
        <v>0</v>
      </c>
      <c r="J707" s="324"/>
      <c r="K707" s="321">
        <f>ROUND(I707*$D707*$E$604,0)</f>
        <v>0</v>
      </c>
    </row>
    <row r="708" spans="1:11">
      <c r="A708" s="309" t="s">
        <v>391</v>
      </c>
      <c r="B708" s="1"/>
      <c r="C708" s="319"/>
      <c r="D708" s="319"/>
      <c r="E708" s="384"/>
      <c r="F708" s="324"/>
      <c r="G708" s="321"/>
      <c r="H708" s="321"/>
      <c r="I708" s="384"/>
      <c r="J708" s="324"/>
      <c r="K708" s="321"/>
    </row>
    <row r="709" spans="1:11">
      <c r="A709" s="309" t="s">
        <v>452</v>
      </c>
      <c r="B709" s="1"/>
      <c r="C709" s="319">
        <v>1</v>
      </c>
      <c r="D709" s="319">
        <v>1</v>
      </c>
      <c r="E709" s="384">
        <f>E686</f>
        <v>0</v>
      </c>
      <c r="F709" s="324"/>
      <c r="G709" s="321">
        <f>ROUND(E709*$C709*$E$604,0)</f>
        <v>0</v>
      </c>
      <c r="H709" s="321">
        <f>ROUND(E709*$D709*$E$604,0)</f>
        <v>0</v>
      </c>
      <c r="I709" s="384">
        <f>I686</f>
        <v>0</v>
      </c>
      <c r="J709" s="324"/>
      <c r="K709" s="321">
        <f>ROUND(I709*$D709*$E$604,0)</f>
        <v>0</v>
      </c>
    </row>
    <row r="710" spans="1:11">
      <c r="A710" s="309" t="s">
        <v>453</v>
      </c>
      <c r="B710" s="1"/>
      <c r="C710" s="319">
        <v>0</v>
      </c>
      <c r="D710" s="319">
        <v>0</v>
      </c>
      <c r="E710" s="384">
        <f>E687</f>
        <v>275</v>
      </c>
      <c r="F710" s="324"/>
      <c r="G710" s="321">
        <f>ROUND(E710*$C710*$E$604,0)</f>
        <v>0</v>
      </c>
      <c r="H710" s="321">
        <f>ROUND(E710*$D710*$E$604,0)</f>
        <v>0</v>
      </c>
      <c r="I710" s="384">
        <f>I687</f>
        <v>301</v>
      </c>
      <c r="J710" s="324"/>
      <c r="K710" s="321">
        <f>ROUND(I710*$D710*$E$604,0)</f>
        <v>0</v>
      </c>
    </row>
    <row r="711" spans="1:11">
      <c r="A711" s="309" t="s">
        <v>454</v>
      </c>
      <c r="B711" s="1"/>
      <c r="C711" s="319">
        <v>0</v>
      </c>
      <c r="D711" s="319">
        <v>0</v>
      </c>
      <c r="E711" s="384">
        <f>E688</f>
        <v>1110</v>
      </c>
      <c r="F711" s="324"/>
      <c r="G711" s="321">
        <f>ROUND(E711*$C711*$E$604,0)</f>
        <v>0</v>
      </c>
      <c r="H711" s="321">
        <f>ROUND(E711*$D711*$E$604,0)</f>
        <v>0</v>
      </c>
      <c r="I711" s="384">
        <f>I688</f>
        <v>1215</v>
      </c>
      <c r="J711" s="324"/>
      <c r="K711" s="321">
        <f>ROUND(I711*$D711*$E$604,0)</f>
        <v>0</v>
      </c>
    </row>
    <row r="712" spans="1:11">
      <c r="A712" s="309" t="s">
        <v>390</v>
      </c>
      <c r="B712" s="1"/>
      <c r="C712" s="319">
        <v>0</v>
      </c>
      <c r="D712" s="319">
        <f>ROUND(($D$727/$C$727)*C712,0)</f>
        <v>0</v>
      </c>
      <c r="E712" s="384">
        <f>E693</f>
        <v>18.149999999999999</v>
      </c>
      <c r="F712" s="324"/>
      <c r="G712" s="321">
        <f>ROUND(E712*$C712*$E$604,0)</f>
        <v>0</v>
      </c>
      <c r="H712" s="321">
        <f>ROUND(E712*$D712*$E$604,0)</f>
        <v>0</v>
      </c>
      <c r="I712" s="384">
        <f>I693</f>
        <v>19.87</v>
      </c>
      <c r="J712" s="324"/>
      <c r="K712" s="321">
        <f>ROUND(I712*$D712*$E$604,0)</f>
        <v>0</v>
      </c>
    </row>
    <row r="713" spans="1:11">
      <c r="A713" s="309" t="s">
        <v>391</v>
      </c>
      <c r="B713" s="1"/>
      <c r="C713" s="319"/>
      <c r="D713" s="319"/>
      <c r="E713" s="384"/>
      <c r="F713" s="324"/>
      <c r="G713" s="321"/>
      <c r="H713" s="321"/>
      <c r="I713" s="384"/>
      <c r="J713" s="324"/>
      <c r="K713" s="321"/>
    </row>
    <row r="714" spans="1:11">
      <c r="A714" s="309" t="s">
        <v>452</v>
      </c>
      <c r="B714" s="1"/>
      <c r="C714" s="319">
        <v>40</v>
      </c>
      <c r="D714" s="319">
        <f>ROUND(($D$727/$C$727)*C714,0)</f>
        <v>39</v>
      </c>
      <c r="E714" s="384">
        <f>E695</f>
        <v>18.149999999999999</v>
      </c>
      <c r="F714" s="324"/>
      <c r="G714" s="321">
        <f>ROUND(E714*$C714*$E$604,0)</f>
        <v>-7</v>
      </c>
      <c r="H714" s="321">
        <f>ROUND(E714*$D714*$E$604,0)</f>
        <v>-7</v>
      </c>
      <c r="I714" s="384">
        <f>I695</f>
        <v>19.87</v>
      </c>
      <c r="J714" s="324"/>
      <c r="K714" s="321">
        <f>ROUND(I714*$D714*$E$604,0)</f>
        <v>-8</v>
      </c>
    </row>
    <row r="715" spans="1:11">
      <c r="A715" s="309" t="s">
        <v>453</v>
      </c>
      <c r="B715" s="1"/>
      <c r="C715" s="319">
        <v>0</v>
      </c>
      <c r="D715" s="319">
        <f>ROUND(($D$727/$C$727)*C715,0)</f>
        <v>0</v>
      </c>
      <c r="E715" s="384">
        <f>E696</f>
        <v>12.4</v>
      </c>
      <c r="F715" s="324"/>
      <c r="G715" s="321">
        <f>ROUND(E715*$C715*$E$604,0)</f>
        <v>0</v>
      </c>
      <c r="H715" s="321">
        <f>ROUND(E715*$D715*$E$604,0)</f>
        <v>0</v>
      </c>
      <c r="I715" s="384">
        <f>I696</f>
        <v>13.64</v>
      </c>
      <c r="J715" s="324"/>
      <c r="K715" s="321">
        <f>ROUND(I715*$D715*$E$604,0)</f>
        <v>0</v>
      </c>
    </row>
    <row r="716" spans="1:11">
      <c r="A716" s="309" t="s">
        <v>454</v>
      </c>
      <c r="B716" s="1"/>
      <c r="C716" s="319">
        <v>0</v>
      </c>
      <c r="D716" s="319">
        <f>ROUND(($D$727/$C$727)*C716,0)</f>
        <v>0</v>
      </c>
      <c r="E716" s="384">
        <f>E697</f>
        <v>9.65</v>
      </c>
      <c r="F716" s="324"/>
      <c r="G716" s="321">
        <f>ROUND(E716*$C716*$E$604,0)</f>
        <v>0</v>
      </c>
      <c r="H716" s="321">
        <f>ROUND(E716*$D716*$E$604,0)</f>
        <v>0</v>
      </c>
      <c r="I716" s="384">
        <f>I697</f>
        <v>10.62</v>
      </c>
      <c r="J716" s="324"/>
      <c r="K716" s="321">
        <f>ROUND(I716*$D716*$E$604,0)</f>
        <v>0</v>
      </c>
    </row>
    <row r="717" spans="1:11">
      <c r="A717" s="309" t="s">
        <v>465</v>
      </c>
      <c r="B717" s="1"/>
      <c r="C717" s="319">
        <v>0</v>
      </c>
      <c r="D717" s="319">
        <v>0</v>
      </c>
      <c r="E717" s="353">
        <f>E698</f>
        <v>54.45</v>
      </c>
      <c r="F717" s="324"/>
      <c r="G717" s="321">
        <f>ROUND(E717*$C717*$E$604,0)</f>
        <v>0</v>
      </c>
      <c r="H717" s="321">
        <f>ROUND(E717*$D717*$E$604,0)</f>
        <v>0</v>
      </c>
      <c r="I717" s="353">
        <f>I698</f>
        <v>59.61</v>
      </c>
      <c r="J717" s="324"/>
      <c r="K717" s="321">
        <f>ROUND(I717*$D717*$E$604,0)</f>
        <v>0</v>
      </c>
    </row>
    <row r="718" spans="1:11">
      <c r="A718" s="309" t="s">
        <v>466</v>
      </c>
      <c r="B718" s="1"/>
      <c r="C718" s="319">
        <v>0</v>
      </c>
      <c r="D718" s="319">
        <v>0</v>
      </c>
      <c r="E718" s="353">
        <f>E699</f>
        <v>108.9</v>
      </c>
      <c r="F718" s="324"/>
      <c r="G718" s="321">
        <f>ROUND(E718*$C718*$E$604,0)</f>
        <v>0</v>
      </c>
      <c r="H718" s="321">
        <f>ROUND(E718*$D718*$E$604,0)</f>
        <v>0</v>
      </c>
      <c r="I718" s="353">
        <f>I699</f>
        <v>119.22</v>
      </c>
      <c r="J718" s="324"/>
      <c r="K718" s="321">
        <f>ROUND(I718*$D718*$E$604,0)</f>
        <v>0</v>
      </c>
    </row>
    <row r="719" spans="1:11">
      <c r="A719" s="309" t="s">
        <v>462</v>
      </c>
      <c r="B719" s="1"/>
      <c r="C719" s="319"/>
      <c r="D719" s="319"/>
      <c r="E719" s="337"/>
      <c r="F719" s="324"/>
      <c r="G719" s="321"/>
      <c r="H719" s="321"/>
      <c r="I719" s="337"/>
      <c r="J719" s="324"/>
      <c r="K719" s="321"/>
    </row>
    <row r="720" spans="1:11">
      <c r="A720" s="309" t="s">
        <v>457</v>
      </c>
      <c r="B720" s="1"/>
      <c r="C720" s="319">
        <v>0</v>
      </c>
      <c r="D720" s="319">
        <f>ROUND(($D$727/$C$727)*C720,0)</f>
        <v>0</v>
      </c>
      <c r="E720" s="363">
        <f>E701</f>
        <v>-18.149999999999999</v>
      </c>
      <c r="F720" s="324"/>
      <c r="G720" s="321">
        <f>ROUND(E720*$C720*$E$604,0)</f>
        <v>0</v>
      </c>
      <c r="H720" s="321">
        <f>ROUND(E720*$D720*$E$604,0)</f>
        <v>0</v>
      </c>
      <c r="I720" s="363">
        <f>I701</f>
        <v>-19.87</v>
      </c>
      <c r="J720" s="324"/>
      <c r="K720" s="321">
        <f>ROUND(I720*$D720*$E$604,0)</f>
        <v>0</v>
      </c>
    </row>
    <row r="721" spans="1:15">
      <c r="A721" s="309" t="s">
        <v>463</v>
      </c>
      <c r="B721" s="1"/>
      <c r="C721" s="319">
        <v>0</v>
      </c>
      <c r="D721" s="319">
        <f>ROUND(($D$727/$C$727)*C721,0)</f>
        <v>0</v>
      </c>
      <c r="E721" s="363">
        <f>E702</f>
        <v>-18.149999999999999</v>
      </c>
      <c r="F721" s="324"/>
      <c r="G721" s="321">
        <f>ROUND(E721*$C721*$E$604,0)</f>
        <v>0</v>
      </c>
      <c r="H721" s="321">
        <f>ROUND(E721*$D721*$E$604,0)</f>
        <v>0</v>
      </c>
      <c r="I721" s="363">
        <f>I702</f>
        <v>-19.87</v>
      </c>
      <c r="J721" s="324"/>
      <c r="K721" s="321">
        <f>ROUND(I721*$D721*$E$604,0)</f>
        <v>0</v>
      </c>
    </row>
    <row r="722" spans="1:15">
      <c r="A722" s="323" t="s">
        <v>426</v>
      </c>
      <c r="B722" s="1"/>
      <c r="C722" s="319"/>
      <c r="D722" s="319"/>
      <c r="E722" s="384"/>
      <c r="F722" s="321"/>
      <c r="G722" s="321"/>
      <c r="H722" s="321"/>
      <c r="I722" s="384"/>
      <c r="J722" s="321"/>
      <c r="K722" s="321"/>
    </row>
    <row r="723" spans="1:15">
      <c r="A723" s="309" t="s">
        <v>464</v>
      </c>
      <c r="B723" s="1"/>
      <c r="C723" s="319">
        <f>38079</f>
        <v>38079</v>
      </c>
      <c r="D723" s="319">
        <f>ROUND(($D$727/$C$727)*C723,0)</f>
        <v>36727</v>
      </c>
      <c r="E723" s="385">
        <f>E704</f>
        <v>4.9909999999999997</v>
      </c>
      <c r="F723" s="321" t="s">
        <v>374</v>
      </c>
      <c r="G723" s="321">
        <f>ROUND(E723/100*$C723*$E$604,0)</f>
        <v>-19</v>
      </c>
      <c r="H723" s="321">
        <f>ROUND(E723/100*$D723*$E$604,0)</f>
        <v>-18</v>
      </c>
      <c r="I723" s="385">
        <f>I704</f>
        <v>5.3710000000000004</v>
      </c>
      <c r="J723" s="321" t="s">
        <v>374</v>
      </c>
      <c r="K723" s="321">
        <f>ROUND(I723/100*$D723*$E$604,0)</f>
        <v>-20</v>
      </c>
    </row>
    <row r="724" spans="1:15">
      <c r="A724" s="323" t="s">
        <v>400</v>
      </c>
      <c r="B724" s="1"/>
      <c r="C724" s="319">
        <v>0</v>
      </c>
      <c r="D724" s="319">
        <f>ROUND(($D$727/$C$727)*C724,0)</f>
        <v>0</v>
      </c>
      <c r="E724" s="375">
        <f>E705</f>
        <v>45</v>
      </c>
      <c r="F724" s="321" t="s">
        <v>374</v>
      </c>
      <c r="G724" s="321">
        <f>ROUND(E724/100*$C724*$E$604,0)</f>
        <v>0</v>
      </c>
      <c r="H724" s="321">
        <f>ROUND(E724/100*$D724*$E$604,0)</f>
        <v>0</v>
      </c>
      <c r="I724" s="375">
        <f>I705</f>
        <v>45</v>
      </c>
      <c r="J724" s="323" t="s">
        <v>374</v>
      </c>
      <c r="K724" s="321">
        <f>ROUND(I724/100*$D724*$E$604,0)</f>
        <v>0</v>
      </c>
    </row>
    <row r="725" spans="1:15">
      <c r="A725" s="323" t="s">
        <v>443</v>
      </c>
      <c r="B725" s="1"/>
      <c r="C725" s="319">
        <f>5+7</f>
        <v>12</v>
      </c>
      <c r="D725" s="319">
        <v>13</v>
      </c>
      <c r="E725" s="298">
        <v>60</v>
      </c>
      <c r="F725" s="364" t="s">
        <v>31</v>
      </c>
      <c r="G725" s="321">
        <f>ROUND(E725*$C725,0)</f>
        <v>720</v>
      </c>
      <c r="H725" s="321">
        <f>ROUND(E725*$D725,0)</f>
        <v>780</v>
      </c>
      <c r="I725" s="298">
        <f>$I$623</f>
        <v>60</v>
      </c>
      <c r="J725" s="1"/>
      <c r="K725" s="321">
        <f>ROUND(I725*$D725,0)</f>
        <v>780</v>
      </c>
    </row>
    <row r="726" spans="1:15">
      <c r="A726" s="323" t="s">
        <v>444</v>
      </c>
      <c r="B726" s="1"/>
      <c r="C726" s="319">
        <f>7*C714</f>
        <v>280</v>
      </c>
      <c r="D726" s="319">
        <f>ROUND(($D$727/$C$727)*C726,0)</f>
        <v>270</v>
      </c>
      <c r="E726" s="339">
        <v>-30</v>
      </c>
      <c r="F726" s="321" t="s">
        <v>374</v>
      </c>
      <c r="G726" s="321">
        <f>ROUND(E726*$C726/100,0)</f>
        <v>-84</v>
      </c>
      <c r="H726" s="321">
        <f>ROUND(E726*$D726/100,0)</f>
        <v>-81</v>
      </c>
      <c r="I726" s="339">
        <f>$I$624</f>
        <v>-30</v>
      </c>
      <c r="J726" s="321" t="s">
        <v>374</v>
      </c>
      <c r="K726" s="321">
        <f>ROUND(I726*$D726/100,0)</f>
        <v>-81</v>
      </c>
    </row>
    <row r="727" spans="1:15">
      <c r="A727" s="1" t="s">
        <v>381</v>
      </c>
      <c r="B727" s="1"/>
      <c r="C727" s="319">
        <f>SUM(C704:C704)</f>
        <v>19403281</v>
      </c>
      <c r="D727" s="319">
        <v>18714383.130874861</v>
      </c>
      <c r="E727" s="330"/>
      <c r="F727" s="2"/>
      <c r="G727" s="2">
        <f>SUM(G684:G726)</f>
        <v>1173033</v>
      </c>
      <c r="H727" s="2">
        <f>SUM(H684:H726)</f>
        <v>1132712</v>
      </c>
      <c r="I727" s="330"/>
      <c r="J727" s="323"/>
      <c r="K727" s="2">
        <f>SUM(K684:K726)</f>
        <v>1222790</v>
      </c>
    </row>
    <row r="728" spans="1:15">
      <c r="A728" s="1" t="s">
        <v>363</v>
      </c>
      <c r="B728" s="1"/>
      <c r="C728" s="349">
        <v>346887.72769998875</v>
      </c>
      <c r="D728" s="349">
        <v>0</v>
      </c>
      <c r="E728" s="309"/>
      <c r="F728" s="309"/>
      <c r="G728" s="310">
        <v>17626.216910670679</v>
      </c>
      <c r="H728" s="310">
        <v>0</v>
      </c>
      <c r="I728" s="309"/>
      <c r="J728" s="309"/>
      <c r="K728" s="310">
        <v>0</v>
      </c>
      <c r="M728" s="289"/>
      <c r="N728" s="289"/>
      <c r="O728" s="290"/>
    </row>
    <row r="729" spans="1:15" ht="16.5" thickBot="1">
      <c r="A729" s="1" t="s">
        <v>382</v>
      </c>
      <c r="B729" s="1"/>
      <c r="C729" s="366">
        <f>SUM(C727:C728)</f>
        <v>19750168.727699988</v>
      </c>
      <c r="D729" s="366">
        <f>SUM(D727:D728)</f>
        <v>18714383.130874861</v>
      </c>
      <c r="E729" s="342"/>
      <c r="F729" s="343"/>
      <c r="G729" s="344">
        <f>G727+G728</f>
        <v>1190659.2169106707</v>
      </c>
      <c r="H729" s="344">
        <f>H727+H728</f>
        <v>1132712</v>
      </c>
      <c r="I729" s="342"/>
      <c r="J729" s="345"/>
      <c r="K729" s="344">
        <f>K727+K728</f>
        <v>1222790</v>
      </c>
      <c r="M729" s="291"/>
      <c r="N729" s="291"/>
      <c r="O729" s="292"/>
    </row>
    <row r="730" spans="1:15" ht="16.5" thickTop="1">
      <c r="A730" s="303"/>
      <c r="B730" s="378"/>
      <c r="C730" s="303"/>
      <c r="D730" s="303"/>
      <c r="E730" s="21"/>
      <c r="F730" s="21"/>
      <c r="G730" s="379"/>
      <c r="H730" s="379"/>
      <c r="I730" s="303"/>
      <c r="J730" s="303"/>
      <c r="K730" s="303"/>
    </row>
    <row r="731" spans="1:15">
      <c r="A731" s="293" t="s">
        <v>469</v>
      </c>
      <c r="B731" s="1"/>
      <c r="C731" s="1"/>
      <c r="D731" s="1"/>
      <c r="E731" s="2"/>
      <c r="F731" s="2"/>
      <c r="G731" s="1"/>
      <c r="H731" s="1"/>
      <c r="I731" s="2"/>
      <c r="J731" s="1"/>
      <c r="K731" s="1"/>
    </row>
    <row r="732" spans="1:15">
      <c r="A732" s="309" t="s">
        <v>470</v>
      </c>
      <c r="B732" s="1"/>
      <c r="C732" s="1"/>
      <c r="D732" s="1"/>
      <c r="E732" s="2"/>
      <c r="F732" s="2"/>
      <c r="G732" s="1"/>
      <c r="H732" s="1"/>
      <c r="I732" s="2"/>
      <c r="J732" s="1"/>
      <c r="K732" s="1"/>
    </row>
    <row r="733" spans="1:15">
      <c r="A733" s="323"/>
      <c r="B733" s="1"/>
      <c r="C733" s="1"/>
      <c r="D733" s="1"/>
      <c r="E733" s="2"/>
      <c r="F733" s="2"/>
      <c r="G733" s="1"/>
      <c r="H733" s="1"/>
      <c r="I733" s="2"/>
      <c r="J733" s="1"/>
      <c r="K733" s="1"/>
    </row>
    <row r="734" spans="1:15">
      <c r="A734" s="323" t="s">
        <v>393</v>
      </c>
      <c r="B734" s="1"/>
      <c r="C734" s="319"/>
      <c r="D734" s="319"/>
      <c r="E734" s="2"/>
      <c r="F734" s="2"/>
      <c r="G734" s="1"/>
      <c r="H734" s="1"/>
      <c r="I734" s="2"/>
      <c r="J734" s="1"/>
      <c r="K734" s="1"/>
    </row>
    <row r="735" spans="1:15">
      <c r="A735" s="323" t="s">
        <v>471</v>
      </c>
      <c r="B735" s="1"/>
      <c r="C735" s="319">
        <v>13</v>
      </c>
      <c r="D735" s="319">
        <v>12</v>
      </c>
      <c r="E735" s="384">
        <f t="shared" ref="E735:E740" si="60">E794</f>
        <v>1100</v>
      </c>
      <c r="F735" s="337"/>
      <c r="G735" s="2">
        <f>ROUND(E735*$C735,0)</f>
        <v>14300</v>
      </c>
      <c r="H735" s="2">
        <f>ROUND(E735*$D735,0)</f>
        <v>13200</v>
      </c>
      <c r="I735" s="384">
        <f t="shared" ref="I735:I740" si="61">I794</f>
        <v>1205</v>
      </c>
      <c r="J735" s="321"/>
      <c r="K735" s="2">
        <f>ROUND(I735*$D735,0)</f>
        <v>14460</v>
      </c>
      <c r="M735" s="84">
        <f>I735*D735</f>
        <v>14460</v>
      </c>
      <c r="O735" s="14"/>
    </row>
    <row r="736" spans="1:15">
      <c r="A736" s="323" t="s">
        <v>472</v>
      </c>
      <c r="B736" s="1"/>
      <c r="C736" s="319">
        <v>0</v>
      </c>
      <c r="D736" s="319">
        <v>0</v>
      </c>
      <c r="E736" s="384">
        <f t="shared" si="60"/>
        <v>1325</v>
      </c>
      <c r="F736" s="337"/>
      <c r="G736" s="2">
        <f>ROUND(E736*$C736,0)</f>
        <v>0</v>
      </c>
      <c r="H736" s="2">
        <f>ROUND(E736*$D736,0)</f>
        <v>0</v>
      </c>
      <c r="I736" s="384">
        <f t="shared" si="61"/>
        <v>1450</v>
      </c>
      <c r="J736" s="324"/>
      <c r="K736" s="2">
        <f>ROUND(I736*$D736,0)</f>
        <v>0</v>
      </c>
      <c r="M736" s="84">
        <f>I736*D736</f>
        <v>0</v>
      </c>
      <c r="O736" s="14"/>
    </row>
    <row r="737" spans="1:15">
      <c r="A737" s="323" t="s">
        <v>394</v>
      </c>
      <c r="B737" s="1"/>
      <c r="C737" s="319">
        <f>SUM(C735:C736)</f>
        <v>13</v>
      </c>
      <c r="D737" s="319">
        <f>SUM(D735:D736)</f>
        <v>12</v>
      </c>
      <c r="E737" s="384" t="str">
        <f t="shared" si="60"/>
        <v xml:space="preserve"> </v>
      </c>
      <c r="F737" s="337"/>
      <c r="G737" s="2" t="s">
        <v>31</v>
      </c>
      <c r="H737" s="2" t="s">
        <v>31</v>
      </c>
      <c r="I737" s="384" t="str">
        <f t="shared" si="61"/>
        <v xml:space="preserve"> </v>
      </c>
      <c r="J737" s="321"/>
      <c r="K737" s="2" t="s">
        <v>31</v>
      </c>
    </row>
    <row r="738" spans="1:15">
      <c r="A738" s="323" t="s">
        <v>473</v>
      </c>
      <c r="B738" s="1"/>
      <c r="C738" s="319">
        <f>16660</f>
        <v>16660</v>
      </c>
      <c r="D738" s="319">
        <f>ROUND(($D$758/$C$758)*C738,0)</f>
        <v>22366</v>
      </c>
      <c r="E738" s="384">
        <f t="shared" si="60"/>
        <v>0.83</v>
      </c>
      <c r="F738" s="337"/>
      <c r="G738" s="2">
        <f>ROUND(E738*$C738,0)</f>
        <v>13828</v>
      </c>
      <c r="H738" s="2">
        <f>ROUND(E738*$D738,0)</f>
        <v>18564</v>
      </c>
      <c r="I738" s="384">
        <f t="shared" si="61"/>
        <v>0.91</v>
      </c>
      <c r="J738" s="321"/>
      <c r="K738" s="2">
        <f>ROUND(I738*$D738,0)</f>
        <v>20353</v>
      </c>
      <c r="M738" s="84">
        <f>I738*D738</f>
        <v>20353.060000000001</v>
      </c>
      <c r="O738" s="14"/>
    </row>
    <row r="739" spans="1:15">
      <c r="A739" s="323" t="s">
        <v>474</v>
      </c>
      <c r="B739" s="1"/>
      <c r="C739" s="319">
        <v>0</v>
      </c>
      <c r="D739" s="319">
        <v>0</v>
      </c>
      <c r="E739" s="384">
        <f t="shared" si="60"/>
        <v>0.76</v>
      </c>
      <c r="F739" s="337"/>
      <c r="G739" s="2">
        <f>ROUND(E739*$C739,0)</f>
        <v>0</v>
      </c>
      <c r="H739" s="2">
        <f>ROUND(E739*$D739,0)</f>
        <v>0</v>
      </c>
      <c r="I739" s="384">
        <f t="shared" si="61"/>
        <v>0.83</v>
      </c>
      <c r="J739" s="321"/>
      <c r="K739" s="2">
        <f>ROUND(I739*$D739,0)</f>
        <v>0</v>
      </c>
      <c r="M739" s="84">
        <f>I739*D739</f>
        <v>0</v>
      </c>
    </row>
    <row r="740" spans="1:15">
      <c r="A740" s="309" t="s">
        <v>403</v>
      </c>
      <c r="B740" s="1"/>
      <c r="C740" s="319">
        <f>11800</f>
        <v>11800</v>
      </c>
      <c r="D740" s="319">
        <f>ROUND(($D$758/$C$758)*C740,0)</f>
        <v>15841</v>
      </c>
      <c r="E740" s="384">
        <f t="shared" si="60"/>
        <v>5.52</v>
      </c>
      <c r="F740" s="337"/>
      <c r="G740" s="2">
        <f>ROUND(E740*$C740,0)</f>
        <v>65136</v>
      </c>
      <c r="H740" s="2">
        <f>ROUND(E740*$D740,0)</f>
        <v>87442</v>
      </c>
      <c r="I740" s="384">
        <f t="shared" si="61"/>
        <v>6.03</v>
      </c>
      <c r="J740" s="321"/>
      <c r="K740" s="2">
        <f>ROUND(I740*$D740,0)</f>
        <v>95521</v>
      </c>
      <c r="M740" s="84">
        <f>I740*D740</f>
        <v>95521.23000000001</v>
      </c>
    </row>
    <row r="741" spans="1:15">
      <c r="A741" s="323" t="s">
        <v>426</v>
      </c>
      <c r="B741" s="1"/>
      <c r="C741" s="319"/>
      <c r="D741" s="319"/>
      <c r="E741" s="384"/>
      <c r="F741" s="337"/>
      <c r="G741" s="2"/>
      <c r="H741" s="2"/>
      <c r="I741" s="384"/>
      <c r="J741" s="321"/>
      <c r="K741" s="2"/>
    </row>
    <row r="742" spans="1:15">
      <c r="A742" s="323" t="s">
        <v>464</v>
      </c>
      <c r="B742" s="1"/>
      <c r="C742" s="319">
        <f>1815160</f>
        <v>1815160</v>
      </c>
      <c r="D742" s="319">
        <f>ROUND(($D$758/$C$758)*C742,0)</f>
        <v>2436796</v>
      </c>
      <c r="E742" s="387">
        <f>E801</f>
        <v>3.2050000000000001</v>
      </c>
      <c r="F742" s="321" t="s">
        <v>374</v>
      </c>
      <c r="G742" s="2">
        <f>ROUND(E742/100*$C742,0)</f>
        <v>58176</v>
      </c>
      <c r="H742" s="2">
        <f>ROUND(E742/100*$D742,0)</f>
        <v>78099</v>
      </c>
      <c r="I742" s="387">
        <f>I801</f>
        <v>3.4990000000000001</v>
      </c>
      <c r="J742" s="321" t="s">
        <v>374</v>
      </c>
      <c r="K742" s="2">
        <f>ROUND(I742/100*$D742,0)</f>
        <v>85263</v>
      </c>
      <c r="M742" s="84">
        <f>(I742/100)*D742</f>
        <v>85263.492039999997</v>
      </c>
    </row>
    <row r="743" spans="1:15">
      <c r="A743" s="323" t="s">
        <v>400</v>
      </c>
      <c r="B743" s="1"/>
      <c r="C743" s="319">
        <f>52276</f>
        <v>52276</v>
      </c>
      <c r="D743" s="319">
        <f>ROUND(($D$758/$C$758)*C743,0)</f>
        <v>70179</v>
      </c>
      <c r="E743" s="384">
        <f>E802</f>
        <v>0.45</v>
      </c>
      <c r="F743" s="321"/>
      <c r="G743" s="2">
        <f>ROUND(E743*$C743,0)</f>
        <v>23524</v>
      </c>
      <c r="H743" s="2">
        <f>ROUND(E743*$D743,0)</f>
        <v>31581</v>
      </c>
      <c r="I743" s="384">
        <f>I802</f>
        <v>0.45</v>
      </c>
      <c r="J743" s="321"/>
      <c r="K743" s="2">
        <f>ROUND(I743*$D743,0)</f>
        <v>31581</v>
      </c>
      <c r="M743" s="84">
        <f>I743*D743</f>
        <v>31580.55</v>
      </c>
      <c r="N743" s="319"/>
    </row>
    <row r="744" spans="1:15">
      <c r="A744" s="309" t="s">
        <v>428</v>
      </c>
      <c r="B744" s="1"/>
      <c r="C744" s="319">
        <v>0</v>
      </c>
      <c r="D744" s="319">
        <v>0</v>
      </c>
      <c r="E744" s="388">
        <v>5.9999999999999995E-4</v>
      </c>
      <c r="F744" s="321"/>
      <c r="G744" s="2">
        <f>ROUND(E744*$C744,0)</f>
        <v>0</v>
      </c>
      <c r="H744" s="2">
        <f>ROUND(E744*$D744,0)</f>
        <v>0</v>
      </c>
      <c r="I744" s="388">
        <v>5.9999999999999995E-4</v>
      </c>
      <c r="J744" s="321"/>
      <c r="K744" s="2">
        <f>ROUND(I744*$D744,0)</f>
        <v>0</v>
      </c>
      <c r="M744" s="84">
        <f>I744*D744</f>
        <v>0</v>
      </c>
      <c r="N744" s="319"/>
    </row>
    <row r="745" spans="1:15">
      <c r="A745" s="360" t="s">
        <v>401</v>
      </c>
      <c r="B745" s="1"/>
      <c r="C745" s="319"/>
      <c r="D745" s="319"/>
      <c r="E745" s="389">
        <f>E803</f>
        <v>-0.01</v>
      </c>
      <c r="F745" s="332"/>
      <c r="G745" s="2"/>
      <c r="H745" s="2"/>
      <c r="I745" s="389">
        <f>I803</f>
        <v>-0.01</v>
      </c>
      <c r="J745" s="361"/>
      <c r="K745" s="2"/>
    </row>
    <row r="746" spans="1:15">
      <c r="A746" s="323" t="s">
        <v>471</v>
      </c>
      <c r="B746" s="1"/>
      <c r="C746" s="319">
        <v>0</v>
      </c>
      <c r="D746" s="319">
        <v>0</v>
      </c>
      <c r="E746" s="384">
        <f>E735</f>
        <v>1100</v>
      </c>
      <c r="F746" s="334"/>
      <c r="G746" s="321">
        <f>ROUND(E746*$C746*$E$803,0)</f>
        <v>0</v>
      </c>
      <c r="H746" s="321">
        <f>ROUND(E746*$D746*$E$803,0)</f>
        <v>0</v>
      </c>
      <c r="I746" s="384">
        <f>I735</f>
        <v>1205</v>
      </c>
      <c r="J746" s="321"/>
      <c r="K746" s="321">
        <f>ROUND(I746*$D746*$E$803,0)</f>
        <v>0</v>
      </c>
      <c r="M746" s="84">
        <f>-(I746*D746)/100</f>
        <v>0</v>
      </c>
    </row>
    <row r="747" spans="1:15">
      <c r="A747" s="323" t="s">
        <v>472</v>
      </c>
      <c r="B747" s="1"/>
      <c r="C747" s="319">
        <f>C736</f>
        <v>0</v>
      </c>
      <c r="D747" s="319">
        <v>0</v>
      </c>
      <c r="E747" s="384">
        <f>E736</f>
        <v>1325</v>
      </c>
      <c r="F747" s="334"/>
      <c r="G747" s="321">
        <f>ROUND(E747*$C747*$E$803,0)</f>
        <v>0</v>
      </c>
      <c r="H747" s="321">
        <f>ROUND(E747*$D747*$E$803,0)</f>
        <v>0</v>
      </c>
      <c r="I747" s="384">
        <f>I736</f>
        <v>1450</v>
      </c>
      <c r="J747" s="321"/>
      <c r="K747" s="321">
        <f>ROUND(I747*$D747*$E$803,0)</f>
        <v>0</v>
      </c>
      <c r="M747" s="84">
        <f>-(I747*D747)/100</f>
        <v>0</v>
      </c>
    </row>
    <row r="748" spans="1:15">
      <c r="A748" s="323" t="s">
        <v>473</v>
      </c>
      <c r="B748" s="1"/>
      <c r="C748" s="319">
        <v>0</v>
      </c>
      <c r="D748" s="319">
        <v>0</v>
      </c>
      <c r="E748" s="384">
        <f>E738</f>
        <v>0.83</v>
      </c>
      <c r="F748" s="334"/>
      <c r="G748" s="321">
        <f>ROUND(E748*$C748*$E$803,0)</f>
        <v>0</v>
      </c>
      <c r="H748" s="321">
        <f>ROUND(E748*$D748*$E$803,0)</f>
        <v>0</v>
      </c>
      <c r="I748" s="384">
        <f>I738</f>
        <v>0.91</v>
      </c>
      <c r="J748" s="321"/>
      <c r="K748" s="321">
        <f>ROUND(I748*$D748*$E$803,0)</f>
        <v>0</v>
      </c>
      <c r="M748" s="84">
        <f>-(I748*D748)/100</f>
        <v>0</v>
      </c>
    </row>
    <row r="749" spans="1:15">
      <c r="A749" s="323" t="s">
        <v>474</v>
      </c>
      <c r="B749" s="1"/>
      <c r="C749" s="319">
        <f>C739</f>
        <v>0</v>
      </c>
      <c r="D749" s="319">
        <v>0</v>
      </c>
      <c r="E749" s="384">
        <f>E739</f>
        <v>0.76</v>
      </c>
      <c r="F749" s="334"/>
      <c r="G749" s="321">
        <f>ROUND(E749*$C749*$E$803,0)</f>
        <v>0</v>
      </c>
      <c r="H749" s="321">
        <f>ROUND(E749*$D749*$E$803,0)</f>
        <v>0</v>
      </c>
      <c r="I749" s="384">
        <f>I739</f>
        <v>0.83</v>
      </c>
      <c r="J749" s="321"/>
      <c r="K749" s="321">
        <f>ROUND(I749*$D749*$E$803,0)</f>
        <v>0</v>
      </c>
      <c r="M749" s="84">
        <f>-(I749*D749)/100</f>
        <v>0</v>
      </c>
    </row>
    <row r="750" spans="1:15">
      <c r="A750" s="309" t="s">
        <v>403</v>
      </c>
      <c r="B750" s="380"/>
      <c r="C750" s="319">
        <v>0</v>
      </c>
      <c r="D750" s="319">
        <v>0</v>
      </c>
      <c r="E750" s="384">
        <f>E740</f>
        <v>5.52</v>
      </c>
      <c r="F750" s="337"/>
      <c r="G750" s="321">
        <f>ROUND(E750*$C750*$E$803,0)</f>
        <v>0</v>
      </c>
      <c r="H750" s="321">
        <f>ROUND(E750*$D750*$E$803,0)</f>
        <v>0</v>
      </c>
      <c r="I750" s="384">
        <f>I740</f>
        <v>6.03</v>
      </c>
      <c r="J750" s="321"/>
      <c r="K750" s="321">
        <f>ROUND(I750*$D750*$E$803,0)</f>
        <v>0</v>
      </c>
      <c r="M750" s="84">
        <f>-(I750*D750)/100</f>
        <v>0</v>
      </c>
    </row>
    <row r="751" spans="1:15">
      <c r="A751" s="323" t="s">
        <v>464</v>
      </c>
      <c r="B751" s="1"/>
      <c r="C751" s="319">
        <v>0</v>
      </c>
      <c r="D751" s="319">
        <v>0</v>
      </c>
      <c r="E751" s="390">
        <f>E742</f>
        <v>3.2050000000000001</v>
      </c>
      <c r="F751" s="321" t="s">
        <v>374</v>
      </c>
      <c r="G751" s="321">
        <f>ROUND(E751/100*$C751*$E$803,0)</f>
        <v>0</v>
      </c>
      <c r="H751" s="321">
        <f>ROUND(E751/100*$D751*$E$803,0)</f>
        <v>0</v>
      </c>
      <c r="I751" s="390">
        <f>I742</f>
        <v>3.4990000000000001</v>
      </c>
      <c r="J751" s="321" t="s">
        <v>374</v>
      </c>
      <c r="K751" s="321">
        <f>ROUND(I751/100*$D751*$E$803,0)</f>
        <v>0</v>
      </c>
      <c r="M751" s="84">
        <f>-((I751*D751)/100)/100</f>
        <v>0</v>
      </c>
    </row>
    <row r="752" spans="1:15">
      <c r="A752" s="323" t="s">
        <v>400</v>
      </c>
      <c r="B752" s="1"/>
      <c r="C752" s="319">
        <v>0</v>
      </c>
      <c r="D752" s="319">
        <v>0</v>
      </c>
      <c r="E752" s="384">
        <f>E743</f>
        <v>0.45</v>
      </c>
      <c r="F752" s="321"/>
      <c r="G752" s="321">
        <f>ROUND(E752*$C752*$E$803,0)</f>
        <v>0</v>
      </c>
      <c r="H752" s="321">
        <f>ROUND(E752*$D752*$E$803,0)</f>
        <v>0</v>
      </c>
      <c r="I752" s="384">
        <f>I743</f>
        <v>0.45</v>
      </c>
      <c r="J752" s="321"/>
      <c r="K752" s="321">
        <f>ROUND(I752*$D752*$E$803,0)</f>
        <v>0</v>
      </c>
      <c r="M752" s="84">
        <f>-(I752*D752)/100</f>
        <v>0</v>
      </c>
    </row>
    <row r="753" spans="1:19">
      <c r="A753" s="309" t="s">
        <v>475</v>
      </c>
      <c r="B753" s="1"/>
      <c r="C753" s="319">
        <v>0</v>
      </c>
      <c r="D753" s="319">
        <v>0</v>
      </c>
      <c r="E753" s="384">
        <f>E811</f>
        <v>60</v>
      </c>
      <c r="F753" s="337"/>
      <c r="G753" s="321">
        <f>ROUND(E753*$C753,0)</f>
        <v>0</v>
      </c>
      <c r="H753" s="321">
        <f>ROUND(E753*$D753,0)</f>
        <v>0</v>
      </c>
      <c r="I753" s="384">
        <f>I811</f>
        <v>60</v>
      </c>
      <c r="J753" s="321"/>
      <c r="K753" s="321">
        <f>ROUND(I753*$D753,0)</f>
        <v>0</v>
      </c>
      <c r="M753" s="84">
        <f>-(I753*D753)/100</f>
        <v>0</v>
      </c>
    </row>
    <row r="754" spans="1:19">
      <c r="A754" s="309" t="s">
        <v>444</v>
      </c>
      <c r="B754" s="1"/>
      <c r="C754" s="319">
        <v>0</v>
      </c>
      <c r="D754" s="319">
        <v>0</v>
      </c>
      <c r="E754" s="384">
        <f>E812</f>
        <v>-0.3</v>
      </c>
      <c r="F754" s="321"/>
      <c r="G754" s="321">
        <f>ROUND(E754*$C754,0)</f>
        <v>0</v>
      </c>
      <c r="H754" s="321">
        <f>ROUND(E754*$D754,0)</f>
        <v>0</v>
      </c>
      <c r="I754" s="384">
        <f>I812</f>
        <v>-0.75</v>
      </c>
      <c r="J754" s="321"/>
      <c r="K754" s="321">
        <f>ROUND(I754*$D754,0)</f>
        <v>0</v>
      </c>
      <c r="M754" s="84">
        <f>-(I754*D754)/100</f>
        <v>0</v>
      </c>
    </row>
    <row r="755" spans="1:19">
      <c r="A755" s="309" t="s">
        <v>433</v>
      </c>
      <c r="B755" s="1"/>
      <c r="C755" s="319">
        <f>200</f>
        <v>200</v>
      </c>
      <c r="D755" s="319">
        <f>ROUND(($D$758/$C$758)*C755,0)</f>
        <v>268</v>
      </c>
      <c r="E755" s="391">
        <f>ROUND(E740/2,3)</f>
        <v>2.76</v>
      </c>
      <c r="F755" s="321"/>
      <c r="G755" s="321">
        <f>ROUND(E755*$C755,0)</f>
        <v>552</v>
      </c>
      <c r="H755" s="321">
        <f>ROUND(E755*$D755,0)</f>
        <v>740</v>
      </c>
      <c r="I755" s="391">
        <f>ROUND(I740/2,3)</f>
        <v>3.0150000000000001</v>
      </c>
      <c r="J755" s="321"/>
      <c r="K755" s="321">
        <f>ROUND($D755*I755,0)</f>
        <v>808</v>
      </c>
      <c r="M755" s="84">
        <f>I755*D755</f>
        <v>808.02</v>
      </c>
    </row>
    <row r="756" spans="1:19">
      <c r="A756" s="309" t="s">
        <v>434</v>
      </c>
      <c r="B756" s="1"/>
      <c r="C756" s="319">
        <v>240</v>
      </c>
      <c r="D756" s="319">
        <f>ROUND(($D$758/$C$758)*C756,0)</f>
        <v>322</v>
      </c>
      <c r="E756" s="334">
        <f>E740*4</f>
        <v>22.08</v>
      </c>
      <c r="F756" s="321"/>
      <c r="G756" s="321">
        <f>ROUND(E756*$C756,0)</f>
        <v>5299</v>
      </c>
      <c r="H756" s="321">
        <f>ROUND(E756*$D756,0)</f>
        <v>7110</v>
      </c>
      <c r="I756" s="334">
        <f>I740*4</f>
        <v>24.12</v>
      </c>
      <c r="J756" s="321"/>
      <c r="K756" s="321">
        <f>ROUND($D756*I756,0)</f>
        <v>7767</v>
      </c>
      <c r="M756" s="84">
        <f>I756*D756</f>
        <v>7766.64</v>
      </c>
    </row>
    <row r="757" spans="1:19">
      <c r="A757" s="3" t="s">
        <v>435</v>
      </c>
      <c r="B757" s="303"/>
      <c r="C757" s="319">
        <v>4840</v>
      </c>
      <c r="D757" s="319">
        <f>ROUND(($D$758/$C$758)*C757,0)</f>
        <v>6498</v>
      </c>
      <c r="E757" s="392">
        <f>E742*4</f>
        <v>12.82</v>
      </c>
      <c r="F757" s="321" t="s">
        <v>374</v>
      </c>
      <c r="G757" s="321">
        <f>ROUND($C757*E757/100,0)</f>
        <v>620</v>
      </c>
      <c r="H757" s="321">
        <f>ROUND($D757*E757/100,0)</f>
        <v>833</v>
      </c>
      <c r="I757" s="392">
        <f>I742*4</f>
        <v>13.996</v>
      </c>
      <c r="J757" s="321" t="s">
        <v>374</v>
      </c>
      <c r="K757" s="321">
        <f>ROUND($D757*I757/100,0)</f>
        <v>909</v>
      </c>
      <c r="M757" s="84">
        <f>(I757/100)*D757</f>
        <v>909.46008000000006</v>
      </c>
    </row>
    <row r="758" spans="1:19">
      <c r="A758" s="1" t="s">
        <v>381</v>
      </c>
      <c r="B758" s="1"/>
      <c r="C758" s="319">
        <f>C742</f>
        <v>1815160</v>
      </c>
      <c r="D758" s="319">
        <v>2436796.4482688801</v>
      </c>
      <c r="E758" s="330"/>
      <c r="F758" s="2"/>
      <c r="G758" s="2">
        <f>SUM(G735:G757)</f>
        <v>181435</v>
      </c>
      <c r="H758" s="2">
        <f>SUM(H735:H757)</f>
        <v>237569</v>
      </c>
      <c r="I758" s="330"/>
      <c r="J758" s="1"/>
      <c r="K758" s="2">
        <f>SUM(K735:K757)</f>
        <v>256662</v>
      </c>
      <c r="M758" s="84">
        <f>SUM(M735:M757)</f>
        <v>256662.45212</v>
      </c>
    </row>
    <row r="759" spans="1:19">
      <c r="A759" s="1" t="s">
        <v>363</v>
      </c>
      <c r="B759" s="1"/>
      <c r="C759" s="319">
        <v>-198469.54929823201</v>
      </c>
      <c r="D759" s="319">
        <v>0</v>
      </c>
      <c r="E759" s="309"/>
      <c r="F759" s="309"/>
      <c r="G759" s="341">
        <v>-15809.382749483628</v>
      </c>
      <c r="H759" s="341">
        <v>0</v>
      </c>
      <c r="I759" s="309"/>
      <c r="J759" s="309"/>
      <c r="K759" s="341">
        <v>0</v>
      </c>
    </row>
    <row r="760" spans="1:19" ht="16.5" thickBot="1">
      <c r="A760" s="1" t="s">
        <v>382</v>
      </c>
      <c r="B760" s="1"/>
      <c r="C760" s="393">
        <f>SUM(C758)+C759</f>
        <v>1616690.450701768</v>
      </c>
      <c r="D760" s="393">
        <f>SUM(D742)+D759</f>
        <v>2436796</v>
      </c>
      <c r="E760" s="342"/>
      <c r="F760" s="343"/>
      <c r="G760" s="344">
        <f>G758+G759</f>
        <v>165625.61725051637</v>
      </c>
      <c r="H760" s="344">
        <f>H758+H759</f>
        <v>237569</v>
      </c>
      <c r="I760" s="342"/>
      <c r="J760" s="345"/>
      <c r="K760" s="344">
        <f>K758+K759</f>
        <v>256662</v>
      </c>
      <c r="N760" s="3" t="s">
        <v>364</v>
      </c>
      <c r="O760" s="69" t="e">
        <f>#REF!*1000</f>
        <v>#REF!</v>
      </c>
    </row>
    <row r="761" spans="1:19" ht="16.5" thickTop="1">
      <c r="A761" s="1"/>
      <c r="B761" s="1"/>
      <c r="C761" s="21"/>
      <c r="D761" s="21"/>
      <c r="E761" s="337"/>
      <c r="F761" s="2"/>
      <c r="G761" s="2"/>
      <c r="H761" s="2"/>
      <c r="I761" s="337"/>
      <c r="J761" s="1"/>
      <c r="K761" s="380"/>
      <c r="N761" s="3" t="s">
        <v>263</v>
      </c>
      <c r="O761" s="69" t="e">
        <f>O760-K760</f>
        <v>#REF!</v>
      </c>
      <c r="P761" s="14" t="e">
        <f>(O760-K760)/K760</f>
        <v>#REF!</v>
      </c>
    </row>
    <row r="762" spans="1:19">
      <c r="A762" s="293" t="s">
        <v>476</v>
      </c>
      <c r="B762" s="1"/>
      <c r="C762" s="1"/>
      <c r="D762" s="1"/>
      <c r="E762" s="2"/>
      <c r="F762" s="2"/>
      <c r="G762" s="1"/>
      <c r="H762" s="1"/>
      <c r="I762" s="2"/>
      <c r="J762" s="1"/>
      <c r="K762" s="1"/>
    </row>
    <row r="763" spans="1:19">
      <c r="A763" s="309" t="s">
        <v>477</v>
      </c>
      <c r="B763" s="1"/>
      <c r="C763" s="1"/>
      <c r="D763" s="1"/>
      <c r="E763" s="2"/>
      <c r="F763" s="2"/>
      <c r="G763" s="1"/>
      <c r="H763" s="1"/>
      <c r="I763" s="2"/>
      <c r="J763" s="1"/>
      <c r="K763" s="1"/>
    </row>
    <row r="764" spans="1:19">
      <c r="A764" s="323"/>
      <c r="B764" s="1"/>
      <c r="C764" s="1"/>
      <c r="D764" s="1"/>
      <c r="E764" s="2"/>
      <c r="F764" s="2"/>
      <c r="G764" s="1"/>
      <c r="H764" s="1"/>
      <c r="I764" s="2"/>
      <c r="J764" s="1"/>
      <c r="K764" s="1"/>
    </row>
    <row r="765" spans="1:19">
      <c r="A765" s="323" t="s">
        <v>393</v>
      </c>
      <c r="B765" s="1"/>
      <c r="C765" s="319"/>
      <c r="D765" s="319"/>
      <c r="E765" s="2"/>
      <c r="F765" s="2"/>
      <c r="G765" s="1"/>
      <c r="H765" s="1"/>
      <c r="I765" s="2"/>
      <c r="J765" s="1"/>
      <c r="K765" s="1"/>
      <c r="R765" s="3">
        <v>3000</v>
      </c>
      <c r="S765" s="3">
        <v>3001</v>
      </c>
    </row>
    <row r="766" spans="1:19">
      <c r="A766" s="323" t="s">
        <v>471</v>
      </c>
      <c r="B766" s="1"/>
      <c r="C766" s="319">
        <f>C794+C877</f>
        <v>690</v>
      </c>
      <c r="D766" s="319">
        <f>D794+D877</f>
        <v>680</v>
      </c>
      <c r="E766" s="337">
        <v>1100</v>
      </c>
      <c r="F766" s="337"/>
      <c r="G766" s="2">
        <f>G794+G877</f>
        <v>759000</v>
      </c>
      <c r="H766" s="2">
        <f>H794+H877</f>
        <v>748000</v>
      </c>
      <c r="I766" s="337">
        <v>1205</v>
      </c>
      <c r="J766" s="321"/>
      <c r="K766" s="2">
        <f>K794+K877</f>
        <v>819400</v>
      </c>
      <c r="M766" s="84">
        <f>I766*D766</f>
        <v>819400</v>
      </c>
      <c r="O766" s="14">
        <f>(I766-E766)/E766</f>
        <v>9.5454545454545459E-2</v>
      </c>
      <c r="P766" s="14">
        <f>SUM(K766:K770)/SUM(H766:H770)-1</f>
        <v>9.4617608552899801E-2</v>
      </c>
      <c r="Q766" s="3" t="s">
        <v>371</v>
      </c>
      <c r="R766" s="329">
        <f>E766+(E769*3000)</f>
        <v>3590</v>
      </c>
      <c r="S766" s="329">
        <f>E767+(E770*3001)</f>
        <v>3605.76</v>
      </c>
    </row>
    <row r="767" spans="1:19">
      <c r="A767" s="323" t="s">
        <v>472</v>
      </c>
      <c r="B767" s="1"/>
      <c r="C767" s="319">
        <f>C795+C878</f>
        <v>74</v>
      </c>
      <c r="D767" s="319">
        <f>D795+D878</f>
        <v>74</v>
      </c>
      <c r="E767" s="337">
        <v>1325</v>
      </c>
      <c r="F767" s="337"/>
      <c r="G767" s="2">
        <f>G795+G878</f>
        <v>98050</v>
      </c>
      <c r="H767" s="2">
        <f>H795+H878</f>
        <v>98050</v>
      </c>
      <c r="I767" s="337">
        <v>1450</v>
      </c>
      <c r="J767" s="324"/>
      <c r="K767" s="2">
        <f>K795+K878</f>
        <v>107300</v>
      </c>
      <c r="M767" s="84">
        <f>I767*D767</f>
        <v>107300</v>
      </c>
      <c r="O767" s="14">
        <f>(I767-E767)/E767</f>
        <v>9.4339622641509441E-2</v>
      </c>
      <c r="Q767" s="3" t="s">
        <v>305</v>
      </c>
      <c r="R767" s="329">
        <f>I766+(I769*3000)</f>
        <v>3935</v>
      </c>
      <c r="S767" s="329">
        <f>I767+(I770*3001)</f>
        <v>3940.83</v>
      </c>
    </row>
    <row r="768" spans="1:19">
      <c r="A768" s="323" t="s">
        <v>394</v>
      </c>
      <c r="B768" s="1"/>
      <c r="C768" s="319">
        <f>SUM(C766:C767)</f>
        <v>764</v>
      </c>
      <c r="D768" s="319">
        <f>SUM(D766:D767)</f>
        <v>754</v>
      </c>
      <c r="E768" s="337" t="s">
        <v>31</v>
      </c>
      <c r="F768" s="337"/>
      <c r="G768" s="2"/>
      <c r="H768" s="2"/>
      <c r="I768" s="337" t="s">
        <v>31</v>
      </c>
      <c r="J768" s="321"/>
      <c r="K768" s="2"/>
      <c r="O768" s="320"/>
    </row>
    <row r="769" spans="1:21">
      <c r="A769" s="323" t="s">
        <v>473</v>
      </c>
      <c r="B769" s="1"/>
      <c r="C769" s="319">
        <f t="shared" ref="C769:D771" si="62">C797+C880</f>
        <v>928030</v>
      </c>
      <c r="D769" s="319">
        <f t="shared" si="62"/>
        <v>950060</v>
      </c>
      <c r="E769" s="337">
        <v>0.83</v>
      </c>
      <c r="F769" s="337"/>
      <c r="G769" s="2">
        <f t="shared" ref="G769:H771" si="63">G797+G880</f>
        <v>770265</v>
      </c>
      <c r="H769" s="2">
        <f t="shared" si="63"/>
        <v>788550</v>
      </c>
      <c r="I769" s="337">
        <v>0.91</v>
      </c>
      <c r="J769" s="321"/>
      <c r="K769" s="2">
        <f>K797+K880</f>
        <v>864554</v>
      </c>
      <c r="M769" s="84">
        <f>I769*D769</f>
        <v>864554.6</v>
      </c>
      <c r="O769" s="14">
        <f>(I769-E769)/E769</f>
        <v>9.6385542168674787E-2</v>
      </c>
      <c r="S769" s="329">
        <f>S767-R767</f>
        <v>5.8299999999999272</v>
      </c>
    </row>
    <row r="770" spans="1:21">
      <c r="A770" s="323" t="s">
        <v>474</v>
      </c>
      <c r="B770" s="1"/>
      <c r="C770" s="319">
        <f t="shared" si="62"/>
        <v>1074005</v>
      </c>
      <c r="D770" s="319">
        <f t="shared" si="62"/>
        <v>1043203</v>
      </c>
      <c r="E770" s="337">
        <v>0.76</v>
      </c>
      <c r="F770" s="337"/>
      <c r="G770" s="2">
        <f t="shared" si="63"/>
        <v>816243</v>
      </c>
      <c r="H770" s="2">
        <f t="shared" si="63"/>
        <v>792834</v>
      </c>
      <c r="I770" s="337">
        <v>0.83</v>
      </c>
      <c r="J770" s="321"/>
      <c r="K770" s="2">
        <f>K798+K881</f>
        <v>865858</v>
      </c>
      <c r="M770" s="84">
        <f>I770*D770</f>
        <v>865858.49</v>
      </c>
      <c r="O770" s="14">
        <f>(I770-E770)/E770</f>
        <v>9.2105263157894676E-2</v>
      </c>
      <c r="S770" s="329">
        <f>I770</f>
        <v>0.83</v>
      </c>
    </row>
    <row r="771" spans="1:21">
      <c r="A771" s="309" t="s">
        <v>403</v>
      </c>
      <c r="B771" s="1"/>
      <c r="C771" s="319">
        <f t="shared" si="62"/>
        <v>1739771</v>
      </c>
      <c r="D771" s="319">
        <f t="shared" si="62"/>
        <v>1745147</v>
      </c>
      <c r="E771" s="337">
        <v>5.52</v>
      </c>
      <c r="F771" s="337"/>
      <c r="G771" s="2">
        <f t="shared" si="63"/>
        <v>9603536</v>
      </c>
      <c r="H771" s="2">
        <f t="shared" si="63"/>
        <v>9633212</v>
      </c>
      <c r="I771" s="337">
        <v>6.03</v>
      </c>
      <c r="J771" s="321"/>
      <c r="K771" s="2">
        <f>K799+K882</f>
        <v>10523236</v>
      </c>
      <c r="M771" s="84">
        <f>I771*D771</f>
        <v>10523236.41</v>
      </c>
      <c r="O771" s="14">
        <f>(I771-E771)/E771</f>
        <v>9.239130434782622E-2</v>
      </c>
    </row>
    <row r="772" spans="1:21">
      <c r="A772" s="323" t="s">
        <v>426</v>
      </c>
      <c r="B772" s="1"/>
      <c r="C772" s="319"/>
      <c r="D772" s="319"/>
      <c r="E772" s="337" t="s">
        <v>31</v>
      </c>
      <c r="F772" s="337"/>
      <c r="G772" s="2"/>
      <c r="H772" s="2"/>
      <c r="I772" s="337" t="s">
        <v>31</v>
      </c>
      <c r="J772" s="321"/>
      <c r="K772" s="2"/>
      <c r="O772" s="394"/>
    </row>
    <row r="773" spans="1:21">
      <c r="A773" s="323" t="s">
        <v>464</v>
      </c>
      <c r="B773" s="1"/>
      <c r="C773" s="319">
        <f>C801+C884</f>
        <v>871959257</v>
      </c>
      <c r="D773" s="319">
        <f>D801+D884</f>
        <v>892786384</v>
      </c>
      <c r="E773" s="395">
        <v>3.2050000000000001</v>
      </c>
      <c r="F773" s="321" t="s">
        <v>374</v>
      </c>
      <c r="G773" s="2">
        <f>G801+G884</f>
        <v>27946294</v>
      </c>
      <c r="H773" s="2">
        <f>H801+H884</f>
        <v>28613803</v>
      </c>
      <c r="I773" s="383">
        <v>3.4990000000000001</v>
      </c>
      <c r="J773" s="321" t="s">
        <v>374</v>
      </c>
      <c r="K773" s="2">
        <f>K801+K884</f>
        <v>31238595</v>
      </c>
      <c r="M773" s="84">
        <f>(I773/100)*D773</f>
        <v>31238595.576159999</v>
      </c>
      <c r="O773" s="14">
        <f>(I773-E773)/E773</f>
        <v>9.1731669266770677E-2</v>
      </c>
    </row>
    <row r="774" spans="1:21">
      <c r="A774" s="323" t="s">
        <v>400</v>
      </c>
      <c r="B774" s="1"/>
      <c r="C774" s="319">
        <f>C802+C885</f>
        <v>412832</v>
      </c>
      <c r="D774" s="319">
        <f>D802+D885</f>
        <v>423788</v>
      </c>
      <c r="E774" s="337">
        <v>0.45</v>
      </c>
      <c r="F774" s="321"/>
      <c r="G774" s="2">
        <f>G802+G885</f>
        <v>185774</v>
      </c>
      <c r="H774" s="2">
        <f>H802+H885</f>
        <v>190705</v>
      </c>
      <c r="I774" s="337">
        <v>0.45</v>
      </c>
      <c r="J774" s="321"/>
      <c r="K774" s="2">
        <f>K802+K885</f>
        <v>190705</v>
      </c>
      <c r="M774" s="84">
        <f>I774*D774</f>
        <v>190704.6</v>
      </c>
      <c r="N774" s="320"/>
      <c r="O774" s="14">
        <f>(I774-E774)/E774</f>
        <v>0</v>
      </c>
      <c r="R774" s="3" t="s">
        <v>371</v>
      </c>
      <c r="S774" s="3" t="s">
        <v>305</v>
      </c>
      <c r="T774" s="3" t="s">
        <v>372</v>
      </c>
      <c r="U774" s="3" t="s">
        <v>315</v>
      </c>
    </row>
    <row r="775" spans="1:21">
      <c r="A775" s="360" t="s">
        <v>401</v>
      </c>
      <c r="B775" s="1"/>
      <c r="C775" s="319"/>
      <c r="D775" s="319"/>
      <c r="E775" s="332">
        <v>-0.01</v>
      </c>
      <c r="F775" s="332"/>
      <c r="G775" s="2"/>
      <c r="H775" s="2"/>
      <c r="I775" s="332">
        <v>-0.01</v>
      </c>
      <c r="J775" s="361"/>
      <c r="K775" s="2"/>
      <c r="Q775" s="3" t="s">
        <v>442</v>
      </c>
      <c r="R775" s="106">
        <f>SUM(H766:H770)+SUM(H735:H739)</f>
        <v>2459198</v>
      </c>
      <c r="S775" s="106">
        <f>SUM(K766:K770)+SUM(K735:K739)</f>
        <v>2691925</v>
      </c>
      <c r="T775" s="106">
        <v>3831772.5730205807</v>
      </c>
      <c r="U775" s="237">
        <f>S775/T775</f>
        <v>0.70252734177225962</v>
      </c>
    </row>
    <row r="776" spans="1:21">
      <c r="A776" s="323" t="s">
        <v>471</v>
      </c>
      <c r="B776" s="1"/>
      <c r="C776" s="319">
        <f t="shared" ref="C776:D786" si="64">C804+C887</f>
        <v>155</v>
      </c>
      <c r="D776" s="319">
        <f t="shared" si="64"/>
        <v>152</v>
      </c>
      <c r="E776" s="334">
        <f>E766</f>
        <v>1100</v>
      </c>
      <c r="F776" s="334"/>
      <c r="G776" s="321">
        <f t="shared" ref="G776:H786" si="65">G804+G887</f>
        <v>-1705</v>
      </c>
      <c r="H776" s="321">
        <f t="shared" si="65"/>
        <v>-1672</v>
      </c>
      <c r="I776" s="334">
        <f>I766</f>
        <v>1205</v>
      </c>
      <c r="J776" s="321"/>
      <c r="K776" s="321">
        <f t="shared" ref="K776:K786" si="66">K804+K887</f>
        <v>-1832</v>
      </c>
      <c r="M776" s="84">
        <f>-(I776/100)*D776</f>
        <v>-1831.6000000000001</v>
      </c>
      <c r="Q776" s="3" t="s">
        <v>406</v>
      </c>
      <c r="R776" s="106">
        <f>H771</f>
        <v>9633212</v>
      </c>
      <c r="S776" s="106">
        <f>K771</f>
        <v>10523236</v>
      </c>
      <c r="T776" s="106">
        <v>5205301.8106998745</v>
      </c>
      <c r="U776" s="237">
        <f>S776/T776</f>
        <v>2.0216380111463907</v>
      </c>
    </row>
    <row r="777" spans="1:21">
      <c r="A777" s="323" t="s">
        <v>472</v>
      </c>
      <c r="B777" s="1"/>
      <c r="C777" s="319">
        <f t="shared" si="64"/>
        <v>49</v>
      </c>
      <c r="D777" s="319">
        <f t="shared" si="64"/>
        <v>49</v>
      </c>
      <c r="E777" s="334">
        <f>E767</f>
        <v>1325</v>
      </c>
      <c r="F777" s="334"/>
      <c r="G777" s="321">
        <f t="shared" si="65"/>
        <v>-650</v>
      </c>
      <c r="H777" s="321">
        <f t="shared" si="65"/>
        <v>-650</v>
      </c>
      <c r="I777" s="334">
        <f>I767</f>
        <v>1450</v>
      </c>
      <c r="J777" s="321"/>
      <c r="K777" s="321">
        <f t="shared" si="66"/>
        <v>-711</v>
      </c>
      <c r="M777" s="84">
        <f>-(I777/100)*D777</f>
        <v>-710.5</v>
      </c>
      <c r="Q777" s="3" t="s">
        <v>376</v>
      </c>
      <c r="R777" s="106">
        <f>H773</f>
        <v>28613803</v>
      </c>
      <c r="S777" s="106">
        <f>K773</f>
        <v>31238595</v>
      </c>
      <c r="T777" s="106">
        <v>38185452.241358206</v>
      </c>
      <c r="U777" s="237">
        <f>S777/T777</f>
        <v>0.81807581595605283</v>
      </c>
    </row>
    <row r="778" spans="1:21">
      <c r="A778" s="323" t="s">
        <v>473</v>
      </c>
      <c r="B778" s="1"/>
      <c r="C778" s="319">
        <f t="shared" si="64"/>
        <v>215573</v>
      </c>
      <c r="D778" s="319">
        <f t="shared" si="64"/>
        <v>213423</v>
      </c>
      <c r="E778" s="334">
        <f>E769</f>
        <v>0.83</v>
      </c>
      <c r="F778" s="334"/>
      <c r="G778" s="321">
        <f t="shared" si="65"/>
        <v>-1789</v>
      </c>
      <c r="H778" s="321">
        <f t="shared" si="65"/>
        <v>-1771</v>
      </c>
      <c r="I778" s="334">
        <f>I769</f>
        <v>0.91</v>
      </c>
      <c r="J778" s="321"/>
      <c r="K778" s="321">
        <f t="shared" si="66"/>
        <v>-1942</v>
      </c>
      <c r="M778" s="84">
        <f>-(I778/100)*D778</f>
        <v>-1942.1493</v>
      </c>
    </row>
    <row r="779" spans="1:21">
      <c r="A779" s="323" t="s">
        <v>474</v>
      </c>
      <c r="B779" s="1"/>
      <c r="C779" s="319">
        <f t="shared" si="64"/>
        <v>972802</v>
      </c>
      <c r="D779" s="319">
        <f t="shared" si="64"/>
        <v>935824</v>
      </c>
      <c r="E779" s="334">
        <f>E770</f>
        <v>0.76</v>
      </c>
      <c r="F779" s="334"/>
      <c r="G779" s="321">
        <f t="shared" si="65"/>
        <v>-7393</v>
      </c>
      <c r="H779" s="321">
        <f t="shared" si="65"/>
        <v>-7112</v>
      </c>
      <c r="I779" s="334">
        <f>I770</f>
        <v>0.83</v>
      </c>
      <c r="J779" s="321"/>
      <c r="K779" s="321">
        <f t="shared" si="66"/>
        <v>-7767</v>
      </c>
      <c r="M779" s="84">
        <f>-(I779/100)*D779</f>
        <v>-7767.3392000000003</v>
      </c>
    </row>
    <row r="780" spans="1:21">
      <c r="A780" s="309" t="s">
        <v>403</v>
      </c>
      <c r="B780" s="380"/>
      <c r="C780" s="319">
        <f t="shared" si="64"/>
        <v>1070224</v>
      </c>
      <c r="D780" s="319">
        <f t="shared" si="64"/>
        <v>1048404</v>
      </c>
      <c r="E780" s="334">
        <f>E771</f>
        <v>5.52</v>
      </c>
      <c r="F780" s="337"/>
      <c r="G780" s="321">
        <f t="shared" si="65"/>
        <v>-59076</v>
      </c>
      <c r="H780" s="321">
        <f t="shared" si="65"/>
        <v>-57872</v>
      </c>
      <c r="I780" s="334">
        <f>I771</f>
        <v>6.03</v>
      </c>
      <c r="J780" s="321"/>
      <c r="K780" s="321">
        <f t="shared" si="66"/>
        <v>-63218</v>
      </c>
      <c r="M780" s="84">
        <f>-(I780/100)*D780</f>
        <v>-63218.761200000001</v>
      </c>
    </row>
    <row r="781" spans="1:21">
      <c r="A781" s="323" t="s">
        <v>464</v>
      </c>
      <c r="B781" s="1"/>
      <c r="C781" s="319">
        <f t="shared" si="64"/>
        <v>570875201</v>
      </c>
      <c r="D781" s="319">
        <f t="shared" si="64"/>
        <v>579479682</v>
      </c>
      <c r="E781" s="335">
        <f>E773</f>
        <v>3.2050000000000001</v>
      </c>
      <c r="F781" s="321" t="s">
        <v>374</v>
      </c>
      <c r="G781" s="321">
        <f t="shared" si="65"/>
        <v>-182966</v>
      </c>
      <c r="H781" s="321">
        <f t="shared" si="65"/>
        <v>-185723</v>
      </c>
      <c r="I781" s="335">
        <f>I773</f>
        <v>3.4990000000000001</v>
      </c>
      <c r="J781" s="321" t="s">
        <v>374</v>
      </c>
      <c r="K781" s="321">
        <f t="shared" si="66"/>
        <v>-202760</v>
      </c>
      <c r="M781" s="84">
        <f>-((I781/100)*D781)/100</f>
        <v>-202759.94073180002</v>
      </c>
    </row>
    <row r="782" spans="1:21">
      <c r="A782" s="323" t="s">
        <v>400</v>
      </c>
      <c r="B782" s="1"/>
      <c r="C782" s="319">
        <f t="shared" si="64"/>
        <v>220790</v>
      </c>
      <c r="D782" s="319">
        <f t="shared" si="64"/>
        <v>222465</v>
      </c>
      <c r="E782" s="384">
        <f>E774</f>
        <v>0.45</v>
      </c>
      <c r="F782" s="321"/>
      <c r="G782" s="321">
        <f t="shared" si="65"/>
        <v>-993</v>
      </c>
      <c r="H782" s="321">
        <f t="shared" si="65"/>
        <v>-1001</v>
      </c>
      <c r="I782" s="384">
        <f>I774</f>
        <v>0.45</v>
      </c>
      <c r="J782" s="321"/>
      <c r="K782" s="321">
        <f t="shared" si="66"/>
        <v>-1001</v>
      </c>
      <c r="M782" s="84">
        <f>-(I782/100)*D782</f>
        <v>-1001.0925000000001</v>
      </c>
    </row>
    <row r="783" spans="1:21">
      <c r="A783" s="309" t="s">
        <v>475</v>
      </c>
      <c r="B783" s="1"/>
      <c r="C783" s="319">
        <f t="shared" si="64"/>
        <v>204</v>
      </c>
      <c r="D783" s="319">
        <f t="shared" si="64"/>
        <v>201</v>
      </c>
      <c r="E783" s="337">
        <v>60</v>
      </c>
      <c r="F783" s="337"/>
      <c r="G783" s="321">
        <f t="shared" si="65"/>
        <v>12240</v>
      </c>
      <c r="H783" s="321">
        <f t="shared" si="65"/>
        <v>12060</v>
      </c>
      <c r="I783" s="337">
        <v>60</v>
      </c>
      <c r="J783" s="321"/>
      <c r="K783" s="321">
        <f t="shared" si="66"/>
        <v>12060</v>
      </c>
      <c r="M783" s="84">
        <f>I783*D783</f>
        <v>12060</v>
      </c>
      <c r="O783" s="14">
        <f>(I783-E783)/E783</f>
        <v>0</v>
      </c>
    </row>
    <row r="784" spans="1:21">
      <c r="A784" s="309" t="s">
        <v>444</v>
      </c>
      <c r="B784" s="1"/>
      <c r="C784" s="319">
        <f t="shared" si="64"/>
        <v>1188375</v>
      </c>
      <c r="D784" s="319">
        <f t="shared" si="64"/>
        <v>1149247</v>
      </c>
      <c r="E784" s="337">
        <v>-0.3</v>
      </c>
      <c r="F784" s="321"/>
      <c r="G784" s="321">
        <f t="shared" si="65"/>
        <v>-356513</v>
      </c>
      <c r="H784" s="321">
        <f t="shared" si="65"/>
        <v>-344774</v>
      </c>
      <c r="I784" s="337">
        <v>-0.75</v>
      </c>
      <c r="J784" s="321"/>
      <c r="K784" s="321">
        <f t="shared" si="66"/>
        <v>-861936</v>
      </c>
      <c r="M784" s="84">
        <f>I784*D784</f>
        <v>-861935.25</v>
      </c>
      <c r="O784" s="237">
        <v>1.0864172229701943</v>
      </c>
    </row>
    <row r="785" spans="1:17">
      <c r="A785" s="1" t="s">
        <v>381</v>
      </c>
      <c r="B785" s="1"/>
      <c r="C785" s="319">
        <f t="shared" si="64"/>
        <v>871959257</v>
      </c>
      <c r="D785" s="319">
        <f t="shared" si="64"/>
        <v>892786385.17848599</v>
      </c>
      <c r="E785" s="330"/>
      <c r="F785" s="2"/>
      <c r="G785" s="2">
        <f t="shared" si="65"/>
        <v>39580317</v>
      </c>
      <c r="H785" s="2">
        <f t="shared" si="65"/>
        <v>40276639</v>
      </c>
      <c r="I785" s="2"/>
      <c r="J785" s="1"/>
      <c r="K785" s="2">
        <f t="shared" si="66"/>
        <v>43480541</v>
      </c>
      <c r="M785" s="84">
        <f>SUM(M766:M784)</f>
        <v>43480543.043228194</v>
      </c>
    </row>
    <row r="786" spans="1:17">
      <c r="A786" s="1" t="s">
        <v>363</v>
      </c>
      <c r="B786" s="1"/>
      <c r="C786" s="319">
        <f t="shared" si="64"/>
        <v>-15462158.225744508</v>
      </c>
      <c r="D786" s="319">
        <f t="shared" si="64"/>
        <v>0</v>
      </c>
      <c r="E786" s="309"/>
      <c r="F786" s="309"/>
      <c r="G786" s="341">
        <f t="shared" si="65"/>
        <v>-584107.65036853903</v>
      </c>
      <c r="H786" s="341">
        <f t="shared" si="65"/>
        <v>0</v>
      </c>
      <c r="I786" s="309"/>
      <c r="J786" s="309"/>
      <c r="K786" s="341">
        <f t="shared" si="66"/>
        <v>0</v>
      </c>
      <c r="Q786" s="276"/>
    </row>
    <row r="787" spans="1:17" ht="16.5" thickBot="1">
      <c r="A787" s="1" t="s">
        <v>382</v>
      </c>
      <c r="B787" s="1"/>
      <c r="C787" s="393">
        <f>SUM(C785)+C786</f>
        <v>856497098.77425551</v>
      </c>
      <c r="D787" s="393">
        <f>SUM(D773)+D786</f>
        <v>892786384</v>
      </c>
      <c r="E787" s="342"/>
      <c r="F787" s="343"/>
      <c r="G787" s="344">
        <f>G785+G786</f>
        <v>38996209.349631459</v>
      </c>
      <c r="H787" s="344">
        <f>H785+H786</f>
        <v>40276639</v>
      </c>
      <c r="I787" s="342"/>
      <c r="J787" s="345"/>
      <c r="K787" s="344">
        <f>K785+K786</f>
        <v>43480541</v>
      </c>
      <c r="N787" s="3" t="s">
        <v>364</v>
      </c>
      <c r="O787" s="69" t="e">
        <f>#REF!*1000</f>
        <v>#REF!</v>
      </c>
    </row>
    <row r="788" spans="1:17" ht="16.5" thickTop="1">
      <c r="A788" s="1"/>
      <c r="B788" s="1"/>
      <c r="C788" s="21"/>
      <c r="D788" s="21"/>
      <c r="E788" s="337"/>
      <c r="F788" s="2"/>
      <c r="G788" s="2"/>
      <c r="H788" s="2"/>
      <c r="I788" s="353" t="s">
        <v>31</v>
      </c>
      <c r="J788" s="1"/>
      <c r="K788" s="2" t="s">
        <v>31</v>
      </c>
      <c r="N788" s="3" t="s">
        <v>263</v>
      </c>
      <c r="O788" s="69" t="e">
        <f>O787-K787</f>
        <v>#REF!</v>
      </c>
      <c r="P788" s="276" t="e">
        <f>(O787-K787)/K787</f>
        <v>#REF!</v>
      </c>
    </row>
    <row r="789" spans="1:17">
      <c r="A789" s="1"/>
      <c r="B789" s="1"/>
      <c r="C789" s="21"/>
      <c r="D789" s="21"/>
      <c r="E789" s="337"/>
      <c r="F789" s="2"/>
      <c r="G789" s="2"/>
      <c r="H789" s="2"/>
      <c r="I789" s="337"/>
      <c r="J789" s="1"/>
      <c r="K789" s="380"/>
    </row>
    <row r="790" spans="1:17">
      <c r="A790" s="293" t="s">
        <v>476</v>
      </c>
      <c r="B790" s="1"/>
      <c r="C790" s="1"/>
      <c r="D790" s="1"/>
      <c r="E790" s="2"/>
      <c r="F790" s="2"/>
      <c r="G790" s="1"/>
      <c r="H790" s="1"/>
      <c r="I790" s="2"/>
      <c r="J790" s="1"/>
      <c r="K790" s="1"/>
      <c r="M790" s="237"/>
      <c r="N790" s="84"/>
      <c r="O790" s="396" t="e">
        <f>O788+O761</f>
        <v>#REF!</v>
      </c>
    </row>
    <row r="791" spans="1:17">
      <c r="A791" s="309" t="s">
        <v>478</v>
      </c>
      <c r="B791" s="1"/>
      <c r="C791" s="1"/>
      <c r="D791" s="1"/>
      <c r="E791" s="2"/>
      <c r="F791" s="2"/>
      <c r="G791" s="1"/>
      <c r="H791" s="1"/>
      <c r="I791" s="2"/>
      <c r="J791" s="1"/>
      <c r="K791" s="1"/>
    </row>
    <row r="792" spans="1:17">
      <c r="A792" s="323"/>
      <c r="B792" s="1"/>
      <c r="C792" s="1"/>
      <c r="D792" s="1"/>
      <c r="E792" s="2"/>
      <c r="F792" s="2"/>
      <c r="G792" s="1"/>
      <c r="H792" s="1"/>
      <c r="I792" s="2"/>
      <c r="J792" s="1"/>
      <c r="K792" s="1"/>
    </row>
    <row r="793" spans="1:17">
      <c r="A793" s="323" t="s">
        <v>393</v>
      </c>
      <c r="B793" s="1"/>
      <c r="C793" s="319"/>
      <c r="D793" s="319"/>
      <c r="E793" s="2"/>
      <c r="F793" s="2"/>
      <c r="G793" s="1"/>
      <c r="H793" s="1"/>
      <c r="I793" s="2"/>
      <c r="J793" s="1"/>
      <c r="K793" s="1"/>
    </row>
    <row r="794" spans="1:17">
      <c r="A794" s="323" t="s">
        <v>471</v>
      </c>
      <c r="B794" s="1"/>
      <c r="C794" s="319">
        <f>C822+C850</f>
        <v>690</v>
      </c>
      <c r="D794" s="319">
        <f>D822+D850</f>
        <v>680</v>
      </c>
      <c r="E794" s="337">
        <v>1100</v>
      </c>
      <c r="F794" s="337"/>
      <c r="G794" s="2">
        <f>G822+G850</f>
        <v>759000</v>
      </c>
      <c r="H794" s="2">
        <f>H822+H850</f>
        <v>748000</v>
      </c>
      <c r="I794" s="337">
        <f>$I$766</f>
        <v>1205</v>
      </c>
      <c r="J794" s="321"/>
      <c r="K794" s="2">
        <f>K822+K850</f>
        <v>819400</v>
      </c>
    </row>
    <row r="795" spans="1:17">
      <c r="A795" s="323" t="s">
        <v>472</v>
      </c>
      <c r="B795" s="1"/>
      <c r="C795" s="319">
        <f>C823+C851</f>
        <v>62</v>
      </c>
      <c r="D795" s="319">
        <f>D823+D851</f>
        <v>62</v>
      </c>
      <c r="E795" s="337">
        <v>1325</v>
      </c>
      <c r="F795" s="337"/>
      <c r="G795" s="2">
        <f>G823+G851</f>
        <v>82150</v>
      </c>
      <c r="H795" s="2">
        <f>H823+H851</f>
        <v>82150</v>
      </c>
      <c r="I795" s="337">
        <f>$I$767</f>
        <v>1450</v>
      </c>
      <c r="J795" s="324"/>
      <c r="K795" s="2">
        <f>K823+K851</f>
        <v>89900</v>
      </c>
    </row>
    <row r="796" spans="1:17">
      <c r="A796" s="323" t="s">
        <v>394</v>
      </c>
      <c r="B796" s="1"/>
      <c r="C796" s="319">
        <f>SUM(C794:C795)</f>
        <v>752</v>
      </c>
      <c r="D796" s="319">
        <f>SUM(D794:D795)</f>
        <v>742</v>
      </c>
      <c r="E796" s="337" t="s">
        <v>31</v>
      </c>
      <c r="F796" s="337"/>
      <c r="G796" s="2"/>
      <c r="H796" s="2"/>
      <c r="I796" s="337" t="s">
        <v>31</v>
      </c>
      <c r="J796" s="321"/>
      <c r="K796" s="2"/>
    </row>
    <row r="797" spans="1:17">
      <c r="A797" s="323" t="s">
        <v>473</v>
      </c>
      <c r="B797" s="1"/>
      <c r="C797" s="319">
        <f t="shared" ref="C797:D799" si="67">C825+C853</f>
        <v>928030</v>
      </c>
      <c r="D797" s="319">
        <f t="shared" si="67"/>
        <v>950060</v>
      </c>
      <c r="E797" s="337">
        <v>0.83</v>
      </c>
      <c r="F797" s="337"/>
      <c r="G797" s="2">
        <f t="shared" ref="G797:H799" si="68">G825+G853</f>
        <v>770265</v>
      </c>
      <c r="H797" s="2">
        <f t="shared" si="68"/>
        <v>788550</v>
      </c>
      <c r="I797" s="337">
        <f>$I$769</f>
        <v>0.91</v>
      </c>
      <c r="J797" s="321"/>
      <c r="K797" s="2">
        <f>K825+K853</f>
        <v>864554</v>
      </c>
    </row>
    <row r="798" spans="1:17">
      <c r="A798" s="323" t="s">
        <v>474</v>
      </c>
      <c r="B798" s="1"/>
      <c r="C798" s="319">
        <f t="shared" si="67"/>
        <v>868981</v>
      </c>
      <c r="D798" s="319">
        <f t="shared" si="67"/>
        <v>918946</v>
      </c>
      <c r="E798" s="337">
        <v>0.76</v>
      </c>
      <c r="F798" s="337"/>
      <c r="G798" s="2">
        <f t="shared" si="68"/>
        <v>660425</v>
      </c>
      <c r="H798" s="2">
        <f t="shared" si="68"/>
        <v>698399</v>
      </c>
      <c r="I798" s="337">
        <f>$I$770</f>
        <v>0.83</v>
      </c>
      <c r="J798" s="321"/>
      <c r="K798" s="2">
        <f>K826+K854</f>
        <v>762725</v>
      </c>
    </row>
    <row r="799" spans="1:17">
      <c r="A799" s="309" t="s">
        <v>403</v>
      </c>
      <c r="B799" s="1"/>
      <c r="C799" s="319">
        <f t="shared" si="67"/>
        <v>1581133</v>
      </c>
      <c r="D799" s="319">
        <f t="shared" si="67"/>
        <v>1649003</v>
      </c>
      <c r="E799" s="337">
        <v>5.52</v>
      </c>
      <c r="F799" s="337"/>
      <c r="G799" s="2">
        <f t="shared" si="68"/>
        <v>8727854</v>
      </c>
      <c r="H799" s="2">
        <f t="shared" si="68"/>
        <v>9102497</v>
      </c>
      <c r="I799" s="337">
        <f>$I$771</f>
        <v>6.03</v>
      </c>
      <c r="J799" s="321"/>
      <c r="K799" s="2">
        <f>K827+K855</f>
        <v>9943488</v>
      </c>
    </row>
    <row r="800" spans="1:17">
      <c r="A800" s="323" t="s">
        <v>426</v>
      </c>
      <c r="B800" s="1"/>
      <c r="C800" s="319"/>
      <c r="D800" s="319"/>
      <c r="E800" s="337" t="s">
        <v>31</v>
      </c>
      <c r="F800" s="337"/>
      <c r="G800" s="2"/>
      <c r="H800" s="2"/>
      <c r="I800" s="337" t="s">
        <v>31</v>
      </c>
      <c r="J800" s="321"/>
      <c r="K800" s="2"/>
    </row>
    <row r="801" spans="1:15">
      <c r="A801" s="323" t="s">
        <v>464</v>
      </c>
      <c r="B801" s="1"/>
      <c r="C801" s="319">
        <f>C829+C857</f>
        <v>828270257</v>
      </c>
      <c r="D801" s="319">
        <f>D829+D857</f>
        <v>866308148</v>
      </c>
      <c r="E801" s="395">
        <v>3.2050000000000001</v>
      </c>
      <c r="F801" s="321" t="s">
        <v>374</v>
      </c>
      <c r="G801" s="2">
        <f>G829+G857</f>
        <v>26546062</v>
      </c>
      <c r="H801" s="2">
        <f>H829+H857</f>
        <v>27765176</v>
      </c>
      <c r="I801" s="395">
        <f>$I$773</f>
        <v>3.4990000000000001</v>
      </c>
      <c r="J801" s="321" t="s">
        <v>374</v>
      </c>
      <c r="K801" s="2">
        <f>K829+K857</f>
        <v>30312122</v>
      </c>
    </row>
    <row r="802" spans="1:15">
      <c r="A802" s="323" t="s">
        <v>400</v>
      </c>
      <c r="B802" s="1"/>
      <c r="C802" s="319">
        <f>C830+C858</f>
        <v>389844</v>
      </c>
      <c r="D802" s="319">
        <f>D830+D858</f>
        <v>409856</v>
      </c>
      <c r="E802" s="337">
        <v>0.45</v>
      </c>
      <c r="F802" s="321"/>
      <c r="G802" s="2">
        <f>G830+G858</f>
        <v>175429</v>
      </c>
      <c r="H802" s="2">
        <f>H830+H858</f>
        <v>184436</v>
      </c>
      <c r="I802" s="337">
        <f>$I$774</f>
        <v>0.45</v>
      </c>
      <c r="J802" s="321"/>
      <c r="K802" s="2">
        <f>K830+K858</f>
        <v>184436</v>
      </c>
    </row>
    <row r="803" spans="1:15">
      <c r="A803" s="360" t="s">
        <v>401</v>
      </c>
      <c r="B803" s="1"/>
      <c r="C803" s="319"/>
      <c r="D803" s="319"/>
      <c r="E803" s="332">
        <v>-0.01</v>
      </c>
      <c r="F803" s="332"/>
      <c r="G803" s="2"/>
      <c r="H803" s="2"/>
      <c r="I803" s="332">
        <f>$I$775</f>
        <v>-0.01</v>
      </c>
      <c r="J803" s="361"/>
      <c r="K803" s="2"/>
    </row>
    <row r="804" spans="1:15">
      <c r="A804" s="323" t="s">
        <v>471</v>
      </c>
      <c r="B804" s="1"/>
      <c r="C804" s="319">
        <f t="shared" ref="C804:D814" si="69">C832+C860</f>
        <v>155</v>
      </c>
      <c r="D804" s="319">
        <f t="shared" si="69"/>
        <v>152</v>
      </c>
      <c r="E804" s="334">
        <f>E794</f>
        <v>1100</v>
      </c>
      <c r="F804" s="334"/>
      <c r="G804" s="321">
        <f t="shared" ref="G804:H814" si="70">G832+G860</f>
        <v>-1705</v>
      </c>
      <c r="H804" s="321">
        <f t="shared" si="70"/>
        <v>-1672</v>
      </c>
      <c r="I804" s="334">
        <f>I794</f>
        <v>1205</v>
      </c>
      <c r="J804" s="321"/>
      <c r="K804" s="321">
        <f t="shared" ref="K804:K814" si="71">K832+K860</f>
        <v>-1832</v>
      </c>
    </row>
    <row r="805" spans="1:15">
      <c r="A805" s="323" t="s">
        <v>472</v>
      </c>
      <c r="B805" s="1"/>
      <c r="C805" s="319">
        <f t="shared" si="69"/>
        <v>37</v>
      </c>
      <c r="D805" s="319">
        <f t="shared" si="69"/>
        <v>37</v>
      </c>
      <c r="E805" s="334">
        <f>E795</f>
        <v>1325</v>
      </c>
      <c r="F805" s="334"/>
      <c r="G805" s="321">
        <f t="shared" si="70"/>
        <v>-491</v>
      </c>
      <c r="H805" s="321">
        <f t="shared" si="70"/>
        <v>-491</v>
      </c>
      <c r="I805" s="334">
        <f>I795</f>
        <v>1450</v>
      </c>
      <c r="J805" s="321"/>
      <c r="K805" s="321">
        <f t="shared" si="71"/>
        <v>-537</v>
      </c>
    </row>
    <row r="806" spans="1:15">
      <c r="A806" s="323" t="s">
        <v>473</v>
      </c>
      <c r="B806" s="1"/>
      <c r="C806" s="319">
        <f t="shared" si="69"/>
        <v>215573</v>
      </c>
      <c r="D806" s="319">
        <f t="shared" si="69"/>
        <v>213423</v>
      </c>
      <c r="E806" s="334">
        <f>E797</f>
        <v>0.83</v>
      </c>
      <c r="F806" s="334"/>
      <c r="G806" s="321">
        <f t="shared" si="70"/>
        <v>-1789</v>
      </c>
      <c r="H806" s="321">
        <f t="shared" si="70"/>
        <v>-1771</v>
      </c>
      <c r="I806" s="334">
        <f>I797</f>
        <v>0.91</v>
      </c>
      <c r="J806" s="321"/>
      <c r="K806" s="321">
        <f t="shared" si="71"/>
        <v>-1942</v>
      </c>
    </row>
    <row r="807" spans="1:15">
      <c r="A807" s="323" t="s">
        <v>474</v>
      </c>
      <c r="B807" s="1"/>
      <c r="C807" s="319">
        <f t="shared" si="69"/>
        <v>767778</v>
      </c>
      <c r="D807" s="319">
        <f t="shared" si="69"/>
        <v>811567</v>
      </c>
      <c r="E807" s="334">
        <f>E798</f>
        <v>0.76</v>
      </c>
      <c r="F807" s="334"/>
      <c r="G807" s="321">
        <f t="shared" si="70"/>
        <v>-5835</v>
      </c>
      <c r="H807" s="321">
        <f t="shared" si="70"/>
        <v>-6168</v>
      </c>
      <c r="I807" s="334">
        <f>I798</f>
        <v>0.83</v>
      </c>
      <c r="J807" s="321"/>
      <c r="K807" s="321">
        <f t="shared" si="71"/>
        <v>-6736</v>
      </c>
    </row>
    <row r="808" spans="1:15">
      <c r="A808" s="309" t="s">
        <v>403</v>
      </c>
      <c r="B808" s="380"/>
      <c r="C808" s="319">
        <f t="shared" si="69"/>
        <v>911586</v>
      </c>
      <c r="D808" s="319">
        <f t="shared" si="69"/>
        <v>952260</v>
      </c>
      <c r="E808" s="334">
        <f>E799</f>
        <v>5.52</v>
      </c>
      <c r="F808" s="337"/>
      <c r="G808" s="321">
        <f t="shared" si="70"/>
        <v>-50319</v>
      </c>
      <c r="H808" s="321">
        <f t="shared" si="70"/>
        <v>-52565</v>
      </c>
      <c r="I808" s="334">
        <f>I799</f>
        <v>6.03</v>
      </c>
      <c r="J808" s="321"/>
      <c r="K808" s="321">
        <f t="shared" si="71"/>
        <v>-57421</v>
      </c>
    </row>
    <row r="809" spans="1:15">
      <c r="A809" s="323" t="s">
        <v>464</v>
      </c>
      <c r="B809" s="1"/>
      <c r="C809" s="319">
        <f t="shared" si="69"/>
        <v>527186201</v>
      </c>
      <c r="D809" s="319">
        <f t="shared" si="69"/>
        <v>553001446</v>
      </c>
      <c r="E809" s="335">
        <f>E801</f>
        <v>3.2050000000000001</v>
      </c>
      <c r="F809" s="321" t="s">
        <v>374</v>
      </c>
      <c r="G809" s="321">
        <f t="shared" si="70"/>
        <v>-168964</v>
      </c>
      <c r="H809" s="321">
        <f t="shared" si="70"/>
        <v>-177237</v>
      </c>
      <c r="I809" s="335">
        <f>I801</f>
        <v>3.4990000000000001</v>
      </c>
      <c r="J809" s="321" t="s">
        <v>374</v>
      </c>
      <c r="K809" s="321">
        <f t="shared" si="71"/>
        <v>-193495</v>
      </c>
    </row>
    <row r="810" spans="1:15">
      <c r="A810" s="323" t="s">
        <v>400</v>
      </c>
      <c r="B810" s="1"/>
      <c r="C810" s="319">
        <f t="shared" si="69"/>
        <v>197802</v>
      </c>
      <c r="D810" s="319">
        <f t="shared" si="69"/>
        <v>208533</v>
      </c>
      <c r="E810" s="384">
        <f>E802</f>
        <v>0.45</v>
      </c>
      <c r="F810" s="321"/>
      <c r="G810" s="321">
        <f t="shared" si="70"/>
        <v>-890</v>
      </c>
      <c r="H810" s="321">
        <f t="shared" si="70"/>
        <v>-938</v>
      </c>
      <c r="I810" s="384">
        <f>I802</f>
        <v>0.45</v>
      </c>
      <c r="J810" s="321"/>
      <c r="K810" s="321">
        <f t="shared" si="71"/>
        <v>-938</v>
      </c>
    </row>
    <row r="811" spans="1:15">
      <c r="A811" s="309" t="s">
        <v>475</v>
      </c>
      <c r="B811" s="1"/>
      <c r="C811" s="319">
        <f t="shared" si="69"/>
        <v>192</v>
      </c>
      <c r="D811" s="319">
        <f t="shared" si="69"/>
        <v>189</v>
      </c>
      <c r="E811" s="337">
        <v>60</v>
      </c>
      <c r="F811" s="337"/>
      <c r="G811" s="321">
        <f t="shared" si="70"/>
        <v>11520</v>
      </c>
      <c r="H811" s="321">
        <f t="shared" si="70"/>
        <v>11340</v>
      </c>
      <c r="I811" s="337">
        <f>$I$783</f>
        <v>60</v>
      </c>
      <c r="J811" s="321"/>
      <c r="K811" s="321">
        <f t="shared" si="71"/>
        <v>11340</v>
      </c>
    </row>
    <row r="812" spans="1:15">
      <c r="A812" s="309" t="s">
        <v>444</v>
      </c>
      <c r="B812" s="1"/>
      <c r="C812" s="319">
        <f t="shared" si="69"/>
        <v>983351</v>
      </c>
      <c r="D812" s="319">
        <f t="shared" si="69"/>
        <v>1024990</v>
      </c>
      <c r="E812" s="337">
        <v>-0.3</v>
      </c>
      <c r="F812" s="321"/>
      <c r="G812" s="321">
        <f t="shared" si="70"/>
        <v>-295006</v>
      </c>
      <c r="H812" s="321">
        <f t="shared" si="70"/>
        <v>-307497</v>
      </c>
      <c r="I812" s="337">
        <f>$I$784</f>
        <v>-0.75</v>
      </c>
      <c r="J812" s="321"/>
      <c r="K812" s="321">
        <f t="shared" si="71"/>
        <v>-768743</v>
      </c>
    </row>
    <row r="813" spans="1:15">
      <c r="A813" s="1" t="s">
        <v>381</v>
      </c>
      <c r="B813" s="1"/>
      <c r="C813" s="319">
        <f t="shared" si="69"/>
        <v>828270257</v>
      </c>
      <c r="D813" s="319">
        <f t="shared" si="69"/>
        <v>866308148.72444463</v>
      </c>
      <c r="E813" s="330"/>
      <c r="F813" s="2"/>
      <c r="G813" s="2">
        <f t="shared" si="70"/>
        <v>37207706</v>
      </c>
      <c r="H813" s="2">
        <f t="shared" si="70"/>
        <v>38832209</v>
      </c>
      <c r="I813" s="2"/>
      <c r="J813" s="1"/>
      <c r="K813" s="2">
        <f t="shared" si="71"/>
        <v>41956321</v>
      </c>
    </row>
    <row r="814" spans="1:15">
      <c r="A814" s="1" t="s">
        <v>363</v>
      </c>
      <c r="B814" s="1"/>
      <c r="C814" s="319">
        <f t="shared" si="69"/>
        <v>-14477401.998794576</v>
      </c>
      <c r="D814" s="319">
        <f t="shared" si="69"/>
        <v>0</v>
      </c>
      <c r="E814" s="309"/>
      <c r="F814" s="309"/>
      <c r="G814" s="341">
        <f t="shared" si="70"/>
        <v>-539028.47841944266</v>
      </c>
      <c r="H814" s="341">
        <f t="shared" si="70"/>
        <v>0</v>
      </c>
      <c r="I814" s="309"/>
      <c r="J814" s="309"/>
      <c r="K814" s="341">
        <f t="shared" si="71"/>
        <v>0</v>
      </c>
      <c r="M814" s="289"/>
      <c r="N814" s="289"/>
      <c r="O814" s="290"/>
    </row>
    <row r="815" spans="1:15" ht="16.5" thickBot="1">
      <c r="A815" s="1" t="s">
        <v>382</v>
      </c>
      <c r="B815" s="1"/>
      <c r="C815" s="393">
        <f>SUM(C813)+C814</f>
        <v>813792855.00120544</v>
      </c>
      <c r="D815" s="393">
        <f>SUM(D801)+D814</f>
        <v>866308148</v>
      </c>
      <c r="E815" s="342"/>
      <c r="F815" s="343"/>
      <c r="G815" s="344">
        <f>G813+G814</f>
        <v>36668677.521580555</v>
      </c>
      <c r="H815" s="344">
        <f>H813+H814</f>
        <v>38832209</v>
      </c>
      <c r="I815" s="342"/>
      <c r="J815" s="345"/>
      <c r="K815" s="344">
        <f>K813+K814</f>
        <v>41956321</v>
      </c>
      <c r="M815" s="291"/>
      <c r="N815" s="291"/>
      <c r="O815" s="292"/>
    </row>
    <row r="816" spans="1:15" ht="16.5" thickTop="1">
      <c r="A816" s="1"/>
      <c r="B816" s="1"/>
      <c r="C816" s="21"/>
      <c r="D816" s="21"/>
      <c r="E816" s="337"/>
      <c r="F816" s="2"/>
      <c r="G816" s="2"/>
      <c r="H816" s="2"/>
      <c r="I816" s="353" t="s">
        <v>31</v>
      </c>
      <c r="J816" s="1"/>
      <c r="K816" s="2" t="s">
        <v>31</v>
      </c>
    </row>
    <row r="817" spans="1:11">
      <c r="A817" s="1"/>
      <c r="B817" s="1"/>
      <c r="C817" s="21"/>
      <c r="D817" s="21"/>
      <c r="E817" s="337"/>
      <c r="F817" s="2"/>
      <c r="G817" s="2"/>
      <c r="H817" s="2"/>
      <c r="I817" s="337"/>
      <c r="J817" s="1"/>
      <c r="K817" s="380"/>
    </row>
    <row r="818" spans="1:11">
      <c r="A818" s="293" t="s">
        <v>476</v>
      </c>
      <c r="B818" s="1"/>
      <c r="C818" s="1"/>
      <c r="D818" s="1"/>
      <c r="E818" s="2"/>
      <c r="F818" s="2"/>
      <c r="G818" s="1"/>
      <c r="H818" s="1"/>
      <c r="I818" s="2"/>
      <c r="J818" s="1"/>
      <c r="K818" s="1"/>
    </row>
    <row r="819" spans="1:11">
      <c r="A819" s="309" t="s">
        <v>479</v>
      </c>
      <c r="B819" s="1"/>
      <c r="C819" s="1"/>
      <c r="D819" s="1"/>
      <c r="E819" s="2"/>
      <c r="F819" s="2"/>
      <c r="G819" s="1"/>
      <c r="H819" s="1"/>
      <c r="I819" s="2"/>
      <c r="J819" s="1"/>
      <c r="K819" s="1"/>
    </row>
    <row r="820" spans="1:11">
      <c r="A820" s="323"/>
      <c r="B820" s="1"/>
      <c r="C820" s="1"/>
      <c r="D820" s="1"/>
      <c r="E820" s="2"/>
      <c r="F820" s="2"/>
      <c r="G820" s="1"/>
      <c r="H820" s="1"/>
      <c r="I820" s="2"/>
      <c r="J820" s="1"/>
      <c r="K820" s="1"/>
    </row>
    <row r="821" spans="1:11">
      <c r="A821" s="323" t="s">
        <v>393</v>
      </c>
      <c r="B821" s="1"/>
      <c r="C821" s="319"/>
      <c r="D821" s="319"/>
      <c r="E821" s="2"/>
      <c r="F821" s="2"/>
      <c r="G821" s="1"/>
      <c r="H821" s="1"/>
      <c r="I821" s="2"/>
      <c r="J821" s="1"/>
      <c r="K821" s="1"/>
    </row>
    <row r="822" spans="1:11">
      <c r="A822" s="323" t="s">
        <v>471</v>
      </c>
      <c r="B822" s="1"/>
      <c r="C822" s="319">
        <f>133+193</f>
        <v>326</v>
      </c>
      <c r="D822" s="319">
        <v>318</v>
      </c>
      <c r="E822" s="337">
        <v>1100</v>
      </c>
      <c r="F822" s="337"/>
      <c r="G822" s="2">
        <f>ROUND(E822*$C822,0)</f>
        <v>358600</v>
      </c>
      <c r="H822" s="2">
        <f>ROUND(E822*$D822,0)</f>
        <v>349800</v>
      </c>
      <c r="I822" s="337">
        <f>$I$766</f>
        <v>1205</v>
      </c>
      <c r="J822" s="321"/>
      <c r="K822" s="2">
        <f>ROUND(I822*$D822,0)</f>
        <v>383190</v>
      </c>
    </row>
    <row r="823" spans="1:11">
      <c r="A823" s="323" t="s">
        <v>472</v>
      </c>
      <c r="B823" s="1"/>
      <c r="C823" s="319">
        <v>11</v>
      </c>
      <c r="D823" s="319">
        <v>11</v>
      </c>
      <c r="E823" s="337">
        <v>1325</v>
      </c>
      <c r="F823" s="337"/>
      <c r="G823" s="2">
        <f>ROUND(E823*$C823,0)</f>
        <v>14575</v>
      </c>
      <c r="H823" s="2">
        <f>ROUND(E823*$D823,0)</f>
        <v>14575</v>
      </c>
      <c r="I823" s="337">
        <f>$I$767</f>
        <v>1450</v>
      </c>
      <c r="J823" s="324"/>
      <c r="K823" s="2">
        <f>ROUND(I823*$D823,0)</f>
        <v>15950</v>
      </c>
    </row>
    <row r="824" spans="1:11">
      <c r="A824" s="323" t="s">
        <v>394</v>
      </c>
      <c r="B824" s="1"/>
      <c r="C824" s="319">
        <f>SUM(C822:C823)</f>
        <v>337</v>
      </c>
      <c r="D824" s="319">
        <f>SUM(D822:D823)</f>
        <v>329</v>
      </c>
      <c r="E824" s="337" t="s">
        <v>31</v>
      </c>
      <c r="F824" s="337"/>
      <c r="G824" s="2" t="s">
        <v>31</v>
      </c>
      <c r="H824" s="2" t="s">
        <v>31</v>
      </c>
      <c r="I824" s="337" t="s">
        <v>31</v>
      </c>
      <c r="J824" s="321"/>
      <c r="K824" s="2" t="s">
        <v>31</v>
      </c>
    </row>
    <row r="825" spans="1:11">
      <c r="A825" s="323" t="s">
        <v>473</v>
      </c>
      <c r="B825" s="1"/>
      <c r="C825" s="319">
        <f>192047+242158</f>
        <v>434205</v>
      </c>
      <c r="D825" s="319">
        <f>ROUND((C825/$C$841)*$D$841,0)</f>
        <v>426097</v>
      </c>
      <c r="E825" s="337">
        <v>0.83</v>
      </c>
      <c r="F825" s="337"/>
      <c r="G825" s="2">
        <f>ROUND(E825*$C825,0)</f>
        <v>360390</v>
      </c>
      <c r="H825" s="2">
        <f>ROUND(E825*$D825,0)</f>
        <v>353661</v>
      </c>
      <c r="I825" s="337">
        <f>$I$769</f>
        <v>0.91</v>
      </c>
      <c r="J825" s="321"/>
      <c r="K825" s="2">
        <f>ROUND(I825*$D825,0)</f>
        <v>387748</v>
      </c>
    </row>
    <row r="826" spans="1:11">
      <c r="A826" s="323" t="s">
        <v>474</v>
      </c>
      <c r="B826" s="1"/>
      <c r="C826" s="319">
        <f>38508</f>
        <v>38508</v>
      </c>
      <c r="D826" s="319">
        <f>ROUND((C826/$C$841)*$D$841,0)</f>
        <v>37789</v>
      </c>
      <c r="E826" s="337">
        <v>0.76</v>
      </c>
      <c r="F826" s="337"/>
      <c r="G826" s="2">
        <f>ROUND(E826*$C826,0)</f>
        <v>29266</v>
      </c>
      <c r="H826" s="2">
        <f>ROUND(E826*$D826,0)</f>
        <v>28720</v>
      </c>
      <c r="I826" s="337">
        <f>$I$770</f>
        <v>0.83</v>
      </c>
      <c r="J826" s="321"/>
      <c r="K826" s="2">
        <f>ROUND(I826*$D826,0)</f>
        <v>31365</v>
      </c>
    </row>
    <row r="827" spans="1:11">
      <c r="A827" s="309" t="s">
        <v>403</v>
      </c>
      <c r="B827" s="1"/>
      <c r="C827" s="319">
        <f>152840+171467+34863</f>
        <v>359170</v>
      </c>
      <c r="D827" s="319">
        <f>ROUND((C827/$C$841)*$D$841,0)</f>
        <v>352463</v>
      </c>
      <c r="E827" s="337">
        <v>5.52</v>
      </c>
      <c r="F827" s="337"/>
      <c r="G827" s="2">
        <f>ROUND(E827*$C827,0)</f>
        <v>1982618</v>
      </c>
      <c r="H827" s="2">
        <f>ROUND(E827*$D827,0)</f>
        <v>1945596</v>
      </c>
      <c r="I827" s="337">
        <f>$I$771</f>
        <v>6.03</v>
      </c>
      <c r="J827" s="321"/>
      <c r="K827" s="2">
        <f>ROUND(I827*$D827,0)</f>
        <v>2125352</v>
      </c>
    </row>
    <row r="828" spans="1:11">
      <c r="A828" s="323" t="s">
        <v>426</v>
      </c>
      <c r="B828" s="1"/>
      <c r="C828" s="319"/>
      <c r="D828" s="319"/>
      <c r="E828" s="337" t="s">
        <v>31</v>
      </c>
      <c r="F828" s="337"/>
      <c r="G828" s="2"/>
      <c r="H828" s="2"/>
      <c r="I828" s="337" t="s">
        <v>31</v>
      </c>
      <c r="J828" s="321"/>
      <c r="K828" s="2"/>
    </row>
    <row r="829" spans="1:11">
      <c r="A829" s="323" t="s">
        <v>464</v>
      </c>
      <c r="B829" s="1"/>
      <c r="C829" s="319">
        <f>61181500+18604800+77195004</f>
        <v>156981304</v>
      </c>
      <c r="D829" s="319">
        <f>ROUND((C829/$C$841)*$D$841,0)</f>
        <v>154050076</v>
      </c>
      <c r="E829" s="395">
        <v>3.2050000000000001</v>
      </c>
      <c r="F829" s="321" t="s">
        <v>374</v>
      </c>
      <c r="G829" s="2">
        <f>ROUND(E829/100*$C829,0)</f>
        <v>5031251</v>
      </c>
      <c r="H829" s="2">
        <f>ROUND(E829/100*$D829,0)</f>
        <v>4937305</v>
      </c>
      <c r="I829" s="395">
        <f>$I$773</f>
        <v>3.4990000000000001</v>
      </c>
      <c r="J829" s="321" t="s">
        <v>374</v>
      </c>
      <c r="K829" s="2">
        <f>ROUND(I829/100*$D829,0)</f>
        <v>5390212</v>
      </c>
    </row>
    <row r="830" spans="1:11">
      <c r="A830" s="323" t="s">
        <v>400</v>
      </c>
      <c r="B830" s="1"/>
      <c r="C830" s="319">
        <f>13550+3280+30593</f>
        <v>47423</v>
      </c>
      <c r="D830" s="319">
        <f>ROUND((C830/$C$841)*$D$841,0)</f>
        <v>46537</v>
      </c>
      <c r="E830" s="337">
        <v>0.45</v>
      </c>
      <c r="F830" s="321"/>
      <c r="G830" s="2">
        <f>ROUND(E830*$C830,0)</f>
        <v>21340</v>
      </c>
      <c r="H830" s="2">
        <f>ROUND(E830*$D830,0)</f>
        <v>20942</v>
      </c>
      <c r="I830" s="337">
        <f>$I$774</f>
        <v>0.45</v>
      </c>
      <c r="J830" s="321"/>
      <c r="K830" s="2">
        <f>ROUND(I830*$D830,0)</f>
        <v>20942</v>
      </c>
    </row>
    <row r="831" spans="1:11">
      <c r="A831" s="360" t="s">
        <v>401</v>
      </c>
      <c r="B831" s="1"/>
      <c r="C831" s="319"/>
      <c r="D831" s="319"/>
      <c r="E831" s="332">
        <v>-0.01</v>
      </c>
      <c r="F831" s="332"/>
      <c r="G831" s="2"/>
      <c r="H831" s="2"/>
      <c r="I831" s="332">
        <f>$I$775</f>
        <v>-0.01</v>
      </c>
      <c r="J831" s="361"/>
      <c r="K831" s="2"/>
    </row>
    <row r="832" spans="1:11">
      <c r="A832" s="323" t="s">
        <v>471</v>
      </c>
      <c r="B832" s="1"/>
      <c r="C832" s="319">
        <v>133</v>
      </c>
      <c r="D832" s="319">
        <v>130</v>
      </c>
      <c r="E832" s="334">
        <f>E822</f>
        <v>1100</v>
      </c>
      <c r="F832" s="334"/>
      <c r="G832" s="321">
        <f>ROUND(E832*$C832*$E$803,0)</f>
        <v>-1463</v>
      </c>
      <c r="H832" s="321">
        <f>ROUND(E832*$D832*$E$803,0)</f>
        <v>-1430</v>
      </c>
      <c r="I832" s="334">
        <f>I822</f>
        <v>1205</v>
      </c>
      <c r="J832" s="321"/>
      <c r="K832" s="321">
        <f>ROUND(I832*$D832*$E$803,0)</f>
        <v>-1567</v>
      </c>
    </row>
    <row r="833" spans="1:15">
      <c r="A833" s="323" t="s">
        <v>472</v>
      </c>
      <c r="B833" s="1"/>
      <c r="C833" s="319">
        <v>11</v>
      </c>
      <c r="D833" s="319">
        <v>11</v>
      </c>
      <c r="E833" s="334">
        <f>E823</f>
        <v>1325</v>
      </c>
      <c r="F833" s="334"/>
      <c r="G833" s="321">
        <f>ROUND(E833*$C833*$E$803,0)</f>
        <v>-146</v>
      </c>
      <c r="H833" s="321">
        <f>ROUND(E833*$D833*$E$803,0)</f>
        <v>-146</v>
      </c>
      <c r="I833" s="334">
        <f>I823</f>
        <v>1450</v>
      </c>
      <c r="J833" s="321"/>
      <c r="K833" s="321">
        <f>ROUND(I833*$D833*$E$803,0)</f>
        <v>-160</v>
      </c>
    </row>
    <row r="834" spans="1:15">
      <c r="A834" s="323" t="s">
        <v>473</v>
      </c>
      <c r="B834" s="1"/>
      <c r="C834" s="319">
        <v>192047</v>
      </c>
      <c r="D834" s="319">
        <f>ROUND((C834/$C$841)*$D$841,0)</f>
        <v>188461</v>
      </c>
      <c r="E834" s="334">
        <f>E825</f>
        <v>0.83</v>
      </c>
      <c r="F834" s="334"/>
      <c r="G834" s="321">
        <f>ROUND(E834*$C834*$E$803,0)</f>
        <v>-1594</v>
      </c>
      <c r="H834" s="321">
        <f>ROUND(E834*$D834*$E$803,0)</f>
        <v>-1564</v>
      </c>
      <c r="I834" s="334">
        <f>I825</f>
        <v>0.91</v>
      </c>
      <c r="J834" s="321"/>
      <c r="K834" s="321">
        <f>ROUND(I834*$D834*$E$803,0)</f>
        <v>-1715</v>
      </c>
    </row>
    <row r="835" spans="1:15">
      <c r="A835" s="323" t="s">
        <v>474</v>
      </c>
      <c r="B835" s="1"/>
      <c r="C835" s="319">
        <v>38508</v>
      </c>
      <c r="D835" s="319">
        <f>ROUND((C835/$C$841)*$D$841,0)</f>
        <v>37789</v>
      </c>
      <c r="E835" s="334">
        <f>E826</f>
        <v>0.76</v>
      </c>
      <c r="F835" s="334"/>
      <c r="G835" s="321">
        <f>ROUND(E835*$C835*$E$803,0)</f>
        <v>-293</v>
      </c>
      <c r="H835" s="321">
        <f>ROUND(E835*$D835*$E$803,0)</f>
        <v>-287</v>
      </c>
      <c r="I835" s="334">
        <f>I826</f>
        <v>0.83</v>
      </c>
      <c r="J835" s="321"/>
      <c r="K835" s="321">
        <f>ROUND(I835*$D835*$E$803,0)</f>
        <v>-314</v>
      </c>
    </row>
    <row r="836" spans="1:15">
      <c r="A836" s="309" t="s">
        <v>403</v>
      </c>
      <c r="B836" s="380"/>
      <c r="C836" s="319">
        <f>152840+34863</f>
        <v>187703</v>
      </c>
      <c r="D836" s="319">
        <f>ROUND((C836/$C$841)*$D$841,0)</f>
        <v>184198</v>
      </c>
      <c r="E836" s="334">
        <f>E827</f>
        <v>5.52</v>
      </c>
      <c r="F836" s="337"/>
      <c r="G836" s="321">
        <f>ROUND(E836*$C836*$E$803,0)</f>
        <v>-10361</v>
      </c>
      <c r="H836" s="321">
        <f>ROUND(E836*$D836*$E$803,0)</f>
        <v>-10168</v>
      </c>
      <c r="I836" s="334">
        <f>I827</f>
        <v>6.03</v>
      </c>
      <c r="J836" s="321"/>
      <c r="K836" s="321">
        <f>ROUND(I836*$D836*$E$803,0)</f>
        <v>-11107</v>
      </c>
    </row>
    <row r="837" spans="1:15">
      <c r="A837" s="323" t="s">
        <v>464</v>
      </c>
      <c r="B837" s="1"/>
      <c r="C837" s="319">
        <f>61181500+18604800</f>
        <v>79786300</v>
      </c>
      <c r="D837" s="319">
        <f>ROUND((C837/$C$841)*$D$841,0)</f>
        <v>78296493</v>
      </c>
      <c r="E837" s="335">
        <f>E829</f>
        <v>3.2050000000000001</v>
      </c>
      <c r="F837" s="321" t="s">
        <v>374</v>
      </c>
      <c r="G837" s="321">
        <f>ROUND(E837/100*$C837*$E$803,0)</f>
        <v>-25572</v>
      </c>
      <c r="H837" s="321">
        <f>ROUND(E837/100*$D837*$E$803,0)</f>
        <v>-25094</v>
      </c>
      <c r="I837" s="335">
        <f>I829</f>
        <v>3.4990000000000001</v>
      </c>
      <c r="J837" s="321" t="s">
        <v>374</v>
      </c>
      <c r="K837" s="321">
        <f>ROUND(I837/100*$D837*$E$803,0)</f>
        <v>-27396</v>
      </c>
    </row>
    <row r="838" spans="1:15">
      <c r="A838" s="323" t="s">
        <v>400</v>
      </c>
      <c r="B838" s="1"/>
      <c r="C838" s="319">
        <f>13550+3280</f>
        <v>16830</v>
      </c>
      <c r="D838" s="319">
        <f>ROUND((C838/$C$841)*$D$841,0)</f>
        <v>16516</v>
      </c>
      <c r="E838" s="384">
        <f>E830</f>
        <v>0.45</v>
      </c>
      <c r="F838" s="321"/>
      <c r="G838" s="321">
        <f>ROUND(E838*$C838*$E$803,0)</f>
        <v>-76</v>
      </c>
      <c r="H838" s="321">
        <f>ROUND(E838*$D838*$E$803,0)</f>
        <v>-74</v>
      </c>
      <c r="I838" s="384">
        <f>I830</f>
        <v>0.45</v>
      </c>
      <c r="J838" s="321"/>
      <c r="K838" s="321">
        <f>ROUND(I838*$D838*$E$803,0)</f>
        <v>-74</v>
      </c>
    </row>
    <row r="839" spans="1:15">
      <c r="A839" s="309" t="s">
        <v>475</v>
      </c>
      <c r="B839" s="1"/>
      <c r="C839" s="319">
        <f>133+11</f>
        <v>144</v>
      </c>
      <c r="D839" s="319">
        <v>141</v>
      </c>
      <c r="E839" s="337">
        <v>60</v>
      </c>
      <c r="F839" s="337"/>
      <c r="G839" s="321">
        <f>ROUND(E839*$C839,0)</f>
        <v>8640</v>
      </c>
      <c r="H839" s="321">
        <f>ROUND(E839*$D839,0)</f>
        <v>8460</v>
      </c>
      <c r="I839" s="337">
        <f>$I$783</f>
        <v>60</v>
      </c>
      <c r="J839" s="321"/>
      <c r="K839" s="321">
        <f>ROUND(I839*$D839,0)</f>
        <v>8460</v>
      </c>
    </row>
    <row r="840" spans="1:15">
      <c r="A840" s="309" t="s">
        <v>444</v>
      </c>
      <c r="B840" s="1"/>
      <c r="C840" s="319">
        <f>192047+38508</f>
        <v>230555</v>
      </c>
      <c r="D840" s="319">
        <f>ROUND((C840/$C$841)*$D$841,0)</f>
        <v>226250</v>
      </c>
      <c r="E840" s="337">
        <v>-0.3</v>
      </c>
      <c r="F840" s="321"/>
      <c r="G840" s="321">
        <f>ROUND(E840*$C840,0)</f>
        <v>-69167</v>
      </c>
      <c r="H840" s="321">
        <f>ROUND(E840*$D840,0)</f>
        <v>-67875</v>
      </c>
      <c r="I840" s="337">
        <f>$I$784</f>
        <v>-0.75</v>
      </c>
      <c r="J840" s="321"/>
      <c r="K840" s="321">
        <f>ROUND(I840*$D840,0)</f>
        <v>-169688</v>
      </c>
    </row>
    <row r="841" spans="1:15">
      <c r="A841" s="1" t="s">
        <v>381</v>
      </c>
      <c r="B841" s="1"/>
      <c r="C841" s="319">
        <f>C829</f>
        <v>156981304</v>
      </c>
      <c r="D841" s="319">
        <v>154050076.39425009</v>
      </c>
      <c r="E841" s="330"/>
      <c r="F841" s="2"/>
      <c r="G841" s="2">
        <f>SUM(G822:G840)</f>
        <v>7698008</v>
      </c>
      <c r="H841" s="2">
        <f>SUM(H822:H840)</f>
        <v>7552421</v>
      </c>
      <c r="I841" s="330"/>
      <c r="J841" s="1"/>
      <c r="K841" s="2">
        <f>SUM(K822:K840)</f>
        <v>8151198</v>
      </c>
    </row>
    <row r="842" spans="1:15">
      <c r="A842" s="1" t="s">
        <v>363</v>
      </c>
      <c r="B842" s="1"/>
      <c r="C842" s="319">
        <v>687227.4909941873</v>
      </c>
      <c r="D842" s="319">
        <v>0</v>
      </c>
      <c r="E842" s="309"/>
      <c r="F842" s="309"/>
      <c r="G842" s="341">
        <v>28763.430775107623</v>
      </c>
      <c r="H842" s="341">
        <v>0</v>
      </c>
      <c r="I842" s="309"/>
      <c r="J842" s="309"/>
      <c r="K842" s="341">
        <v>0</v>
      </c>
      <c r="M842" s="289"/>
      <c r="N842" s="289"/>
      <c r="O842" s="290"/>
    </row>
    <row r="843" spans="1:15" ht="16.5" thickBot="1">
      <c r="A843" s="1" t="s">
        <v>382</v>
      </c>
      <c r="B843" s="1"/>
      <c r="C843" s="393">
        <f>SUM(C841)+C842</f>
        <v>157668531.49099419</v>
      </c>
      <c r="D843" s="393">
        <f>SUM(D829)+D842</f>
        <v>154050076</v>
      </c>
      <c r="E843" s="342"/>
      <c r="F843" s="343"/>
      <c r="G843" s="344">
        <f>G841+G842</f>
        <v>7726771.4307751078</v>
      </c>
      <c r="H843" s="344">
        <f>H841+H842</f>
        <v>7552421</v>
      </c>
      <c r="I843" s="342"/>
      <c r="J843" s="345"/>
      <c r="K843" s="344">
        <f>K841+K842</f>
        <v>8151198</v>
      </c>
      <c r="M843" s="291"/>
      <c r="N843" s="291"/>
      <c r="O843" s="292"/>
    </row>
    <row r="844" spans="1:15" ht="16.5" thickTop="1">
      <c r="A844" s="1"/>
      <c r="B844" s="1"/>
      <c r="C844" s="21"/>
      <c r="D844" s="21"/>
      <c r="E844" s="337"/>
      <c r="F844" s="2"/>
      <c r="G844" s="2"/>
      <c r="H844" s="2"/>
      <c r="I844" s="353" t="s">
        <v>31</v>
      </c>
      <c r="J844" s="1"/>
      <c r="K844" s="2" t="s">
        <v>31</v>
      </c>
    </row>
    <row r="845" spans="1:15">
      <c r="A845" s="1"/>
      <c r="B845" s="1"/>
      <c r="C845" s="21"/>
      <c r="D845" s="21"/>
      <c r="E845" s="337"/>
      <c r="F845" s="2"/>
      <c r="G845" s="2"/>
      <c r="H845" s="2"/>
      <c r="I845" s="337"/>
      <c r="J845" s="1"/>
      <c r="K845" s="380"/>
    </row>
    <row r="846" spans="1:15">
      <c r="A846" s="293" t="s">
        <v>476</v>
      </c>
      <c r="B846" s="1"/>
      <c r="C846" s="1"/>
      <c r="D846" s="1"/>
      <c r="E846" s="2"/>
      <c r="F846" s="2"/>
      <c r="G846" s="1"/>
      <c r="H846" s="1"/>
      <c r="I846" s="2"/>
      <c r="J846" s="1"/>
      <c r="K846" s="1"/>
    </row>
    <row r="847" spans="1:15">
      <c r="A847" s="309" t="s">
        <v>480</v>
      </c>
      <c r="B847" s="1"/>
      <c r="C847" s="1"/>
      <c r="D847" s="1"/>
      <c r="E847" s="2"/>
      <c r="F847" s="2"/>
      <c r="G847" s="1"/>
      <c r="H847" s="1"/>
      <c r="I847" s="2"/>
      <c r="J847" s="1"/>
      <c r="K847" s="1"/>
    </row>
    <row r="848" spans="1:15">
      <c r="A848" s="323"/>
      <c r="B848" s="1"/>
      <c r="C848" s="1"/>
      <c r="D848" s="1"/>
      <c r="E848" s="2"/>
      <c r="F848" s="2"/>
      <c r="G848" s="1"/>
      <c r="H848" s="1"/>
      <c r="I848" s="2"/>
      <c r="J848" s="1"/>
      <c r="K848" s="1"/>
    </row>
    <row r="849" spans="1:11">
      <c r="A849" s="323" t="s">
        <v>393</v>
      </c>
      <c r="B849" s="1"/>
      <c r="C849" s="319"/>
      <c r="D849" s="319"/>
      <c r="E849" s="2"/>
      <c r="F849" s="2"/>
      <c r="G849" s="1"/>
      <c r="H849" s="1"/>
      <c r="I849" s="2"/>
      <c r="J849" s="1"/>
      <c r="K849" s="1"/>
    </row>
    <row r="850" spans="1:11">
      <c r="A850" s="323" t="s">
        <v>471</v>
      </c>
      <c r="B850" s="1"/>
      <c r="C850" s="319">
        <f>22+336+6</f>
        <v>364</v>
      </c>
      <c r="D850" s="319">
        <v>362</v>
      </c>
      <c r="E850" s="337">
        <v>1100</v>
      </c>
      <c r="F850" s="337"/>
      <c r="G850" s="2">
        <f>ROUND(E850*$C850,0)</f>
        <v>400400</v>
      </c>
      <c r="H850" s="2">
        <f>ROUND(E850*$D850,0)</f>
        <v>398200</v>
      </c>
      <c r="I850" s="337">
        <f>$I$766</f>
        <v>1205</v>
      </c>
      <c r="J850" s="321"/>
      <c r="K850" s="2">
        <f>ROUND(I850*$D850,0)</f>
        <v>436210</v>
      </c>
    </row>
    <row r="851" spans="1:11">
      <c r="A851" s="323" t="s">
        <v>472</v>
      </c>
      <c r="B851" s="1"/>
      <c r="C851" s="319">
        <f>26+25</f>
        <v>51</v>
      </c>
      <c r="D851" s="319">
        <v>51</v>
      </c>
      <c r="E851" s="337">
        <v>1325</v>
      </c>
      <c r="F851" s="337"/>
      <c r="G851" s="2">
        <f>ROUND(E851*$C851,0)</f>
        <v>67575</v>
      </c>
      <c r="H851" s="2">
        <f>ROUND(E851*$D851,0)</f>
        <v>67575</v>
      </c>
      <c r="I851" s="337">
        <f>$I$767</f>
        <v>1450</v>
      </c>
      <c r="J851" s="324"/>
      <c r="K851" s="2">
        <f>ROUND(I851*$D851,0)</f>
        <v>73950</v>
      </c>
    </row>
    <row r="852" spans="1:11">
      <c r="A852" s="323" t="s">
        <v>394</v>
      </c>
      <c r="B852" s="1"/>
      <c r="C852" s="319">
        <f>SUM(C850:C851)</f>
        <v>415</v>
      </c>
      <c r="D852" s="319">
        <f>SUM(D850:D851)</f>
        <v>413</v>
      </c>
      <c r="E852" s="337" t="s">
        <v>31</v>
      </c>
      <c r="F852" s="337"/>
      <c r="G852" s="2" t="s">
        <v>31</v>
      </c>
      <c r="H852" s="2" t="s">
        <v>31</v>
      </c>
      <c r="I852" s="337" t="s">
        <v>31</v>
      </c>
      <c r="J852" s="321"/>
      <c r="K852" s="2" t="s">
        <v>31</v>
      </c>
    </row>
    <row r="853" spans="1:11">
      <c r="A853" s="323" t="s">
        <v>473</v>
      </c>
      <c r="B853" s="1"/>
      <c r="C853" s="319">
        <f>23526+462664+7635</f>
        <v>493825</v>
      </c>
      <c r="D853" s="319">
        <f>ROUND(($D$869/$C$869)*C853,0)</f>
        <v>523963</v>
      </c>
      <c r="E853" s="337">
        <v>0.83</v>
      </c>
      <c r="F853" s="337"/>
      <c r="G853" s="2">
        <f>ROUND(E853*$C853,0)</f>
        <v>409875</v>
      </c>
      <c r="H853" s="2">
        <f>ROUND(E853*$D853,0)</f>
        <v>434889</v>
      </c>
      <c r="I853" s="337">
        <f>$I$769</f>
        <v>0.91</v>
      </c>
      <c r="J853" s="321"/>
      <c r="K853" s="2">
        <f>ROUND(I853*$D853,0)</f>
        <v>476806</v>
      </c>
    </row>
    <row r="854" spans="1:11">
      <c r="A854" s="323" t="s">
        <v>474</v>
      </c>
      <c r="B854" s="1"/>
      <c r="C854" s="319">
        <f>729270+101203</f>
        <v>830473</v>
      </c>
      <c r="D854" s="319">
        <f>ROUND(($D$869/$C$869)*C854,0)</f>
        <v>881157</v>
      </c>
      <c r="E854" s="337">
        <v>0.76</v>
      </c>
      <c r="F854" s="337"/>
      <c r="G854" s="2">
        <f>ROUND(E854*$C854,0)</f>
        <v>631159</v>
      </c>
      <c r="H854" s="2">
        <f>ROUND(E854*$D854,0)</f>
        <v>669679</v>
      </c>
      <c r="I854" s="337">
        <f>$I$770</f>
        <v>0.83</v>
      </c>
      <c r="J854" s="321"/>
      <c r="K854" s="2">
        <f>ROUND(I854*$D854,0)</f>
        <v>731360</v>
      </c>
    </row>
    <row r="855" spans="1:11">
      <c r="A855" s="309" t="s">
        <v>403</v>
      </c>
      <c r="B855" s="1"/>
      <c r="C855" s="319">
        <f>21282+702601+399599+90949+7532</f>
        <v>1221963</v>
      </c>
      <c r="D855" s="319">
        <f>ROUND(($D$869/$C$869)*C855,0)</f>
        <v>1296540</v>
      </c>
      <c r="E855" s="337">
        <v>5.52</v>
      </c>
      <c r="F855" s="337"/>
      <c r="G855" s="2">
        <f>ROUND(E855*$C855,0)</f>
        <v>6745236</v>
      </c>
      <c r="H855" s="2">
        <f>ROUND(E855*$D855,0)</f>
        <v>7156901</v>
      </c>
      <c r="I855" s="337">
        <f>$I$771</f>
        <v>6.03</v>
      </c>
      <c r="J855" s="321"/>
      <c r="K855" s="2">
        <f>ROUND(I855*$D855,0)</f>
        <v>7818136</v>
      </c>
    </row>
    <row r="856" spans="1:11">
      <c r="A856" s="323" t="s">
        <v>426</v>
      </c>
      <c r="B856" s="1"/>
      <c r="C856" s="319"/>
      <c r="D856" s="319"/>
      <c r="E856" s="337" t="s">
        <v>31</v>
      </c>
      <c r="F856" s="337"/>
      <c r="G856" s="2"/>
      <c r="H856" s="2"/>
      <c r="I856" s="337" t="s">
        <v>31</v>
      </c>
      <c r="J856" s="321"/>
      <c r="K856" s="2"/>
    </row>
    <row r="857" spans="1:11">
      <c r="A857" s="323" t="s">
        <v>464</v>
      </c>
      <c r="B857" s="1"/>
      <c r="C857" s="319">
        <f>6333900+441066001+175276602+45716850+2895600</f>
        <v>671288953</v>
      </c>
      <c r="D857" s="319">
        <f>ROUND(($D$869/$C$869)*C857,0)</f>
        <v>712258072</v>
      </c>
      <c r="E857" s="395">
        <v>3.2050000000000001</v>
      </c>
      <c r="F857" s="321" t="s">
        <v>374</v>
      </c>
      <c r="G857" s="2">
        <f>ROUND(E857/100*$C857,0)</f>
        <v>21514811</v>
      </c>
      <c r="H857" s="2">
        <f>ROUND(E857/100*$D857,0)</f>
        <v>22827871</v>
      </c>
      <c r="I857" s="395">
        <f>$I$773</f>
        <v>3.4990000000000001</v>
      </c>
      <c r="J857" s="321" t="s">
        <v>374</v>
      </c>
      <c r="K857" s="2">
        <f>ROUND(I857/100*$D857,0)</f>
        <v>24921910</v>
      </c>
    </row>
    <row r="858" spans="1:11">
      <c r="A858" s="323" t="s">
        <v>400</v>
      </c>
      <c r="B858" s="1"/>
      <c r="C858" s="319">
        <f>6818+174154+133859+26014+1576</f>
        <v>342421</v>
      </c>
      <c r="D858" s="319">
        <f>ROUND(($D$869/$C$869)*C858,0)</f>
        <v>363319</v>
      </c>
      <c r="E858" s="337">
        <v>0.45</v>
      </c>
      <c r="F858" s="321"/>
      <c r="G858" s="2">
        <f>ROUND(E858*$C858,0)</f>
        <v>154089</v>
      </c>
      <c r="H858" s="2">
        <f>ROUND(E858*$D858,0)</f>
        <v>163494</v>
      </c>
      <c r="I858" s="337">
        <f>$I$774</f>
        <v>0.45</v>
      </c>
      <c r="J858" s="321"/>
      <c r="K858" s="2">
        <f>ROUND(I858*$D858,0)</f>
        <v>163494</v>
      </c>
    </row>
    <row r="859" spans="1:11">
      <c r="A859" s="360" t="s">
        <v>401</v>
      </c>
      <c r="B859" s="1"/>
      <c r="C859" s="319"/>
      <c r="D859" s="319"/>
      <c r="E859" s="332">
        <v>-0.01</v>
      </c>
      <c r="F859" s="332"/>
      <c r="G859" s="2"/>
      <c r="H859" s="2"/>
      <c r="I859" s="332">
        <f>$I$775</f>
        <v>-0.01</v>
      </c>
      <c r="J859" s="361"/>
      <c r="K859" s="2"/>
    </row>
    <row r="860" spans="1:11">
      <c r="A860" s="323" t="s">
        <v>471</v>
      </c>
      <c r="B860" s="1"/>
      <c r="C860" s="319">
        <v>22</v>
      </c>
      <c r="D860" s="319">
        <v>22</v>
      </c>
      <c r="E860" s="334">
        <f>E850</f>
        <v>1100</v>
      </c>
      <c r="F860" s="334"/>
      <c r="G860" s="321">
        <f>ROUND(E860*$C860*$E$803,0)</f>
        <v>-242</v>
      </c>
      <c r="H860" s="321">
        <f>ROUND(E860*$D860*$E$803,0)</f>
        <v>-242</v>
      </c>
      <c r="I860" s="334">
        <f>I850</f>
        <v>1205</v>
      </c>
      <c r="J860" s="321"/>
      <c r="K860" s="321">
        <f>ROUND(I860*$D860*$E$803,0)</f>
        <v>-265</v>
      </c>
    </row>
    <row r="861" spans="1:11">
      <c r="A861" s="323" t="s">
        <v>472</v>
      </c>
      <c r="B861" s="1"/>
      <c r="C861" s="319">
        <v>26</v>
      </c>
      <c r="D861" s="319">
        <v>26</v>
      </c>
      <c r="E861" s="334">
        <f>E851</f>
        <v>1325</v>
      </c>
      <c r="F861" s="334"/>
      <c r="G861" s="321">
        <f>ROUND(E861*$C861*$E$803,0)</f>
        <v>-345</v>
      </c>
      <c r="H861" s="321">
        <f>ROUND(E861*$D861*$E$803,0)</f>
        <v>-345</v>
      </c>
      <c r="I861" s="334">
        <f>I851</f>
        <v>1450</v>
      </c>
      <c r="J861" s="321"/>
      <c r="K861" s="321">
        <f>ROUND(I861*$D861*$E$803,0)</f>
        <v>-377</v>
      </c>
    </row>
    <row r="862" spans="1:11">
      <c r="A862" s="323" t="s">
        <v>473</v>
      </c>
      <c r="B862" s="1"/>
      <c r="C862" s="319">
        <v>23526</v>
      </c>
      <c r="D862" s="319">
        <f>ROUND(($D$869/$C$869)*C862,0)</f>
        <v>24962</v>
      </c>
      <c r="E862" s="334">
        <f>E853</f>
        <v>0.83</v>
      </c>
      <c r="F862" s="334"/>
      <c r="G862" s="321">
        <f>ROUND(E862*$C862*$E$803,0)</f>
        <v>-195</v>
      </c>
      <c r="H862" s="321">
        <f>ROUND(E862*$D862*$E$803,0)</f>
        <v>-207</v>
      </c>
      <c r="I862" s="334">
        <f>I853</f>
        <v>0.91</v>
      </c>
      <c r="J862" s="321"/>
      <c r="K862" s="321">
        <f>ROUND(I862*$D862*$E$803,0)</f>
        <v>-227</v>
      </c>
    </row>
    <row r="863" spans="1:11">
      <c r="A863" s="323" t="s">
        <v>474</v>
      </c>
      <c r="B863" s="1"/>
      <c r="C863" s="319">
        <f>729270</f>
        <v>729270</v>
      </c>
      <c r="D863" s="319">
        <f>ROUND(($D$869/$C$869)*C863,0)</f>
        <v>773778</v>
      </c>
      <c r="E863" s="334">
        <f>E854</f>
        <v>0.76</v>
      </c>
      <c r="F863" s="334"/>
      <c r="G863" s="321">
        <f>ROUND(E863*$C863*$E$803,0)</f>
        <v>-5542</v>
      </c>
      <c r="H863" s="321">
        <f>ROUND(E863*$D863*$E$803,0)</f>
        <v>-5881</v>
      </c>
      <c r="I863" s="334">
        <f>I854</f>
        <v>0.83</v>
      </c>
      <c r="J863" s="321"/>
      <c r="K863" s="321">
        <f>ROUND(I863*$D863*$E$803,0)</f>
        <v>-6422</v>
      </c>
    </row>
    <row r="864" spans="1:11">
      <c r="A864" s="309" t="s">
        <v>403</v>
      </c>
      <c r="B864" s="380"/>
      <c r="C864" s="319">
        <f>21282+702601</f>
        <v>723883</v>
      </c>
      <c r="D864" s="319">
        <f>ROUND(($D$869/$C$869)*C864,0)</f>
        <v>768062</v>
      </c>
      <c r="E864" s="334">
        <f>E855</f>
        <v>5.52</v>
      </c>
      <c r="F864" s="337"/>
      <c r="G864" s="321">
        <f>ROUND(E864*$C864*$E$803,0)</f>
        <v>-39958</v>
      </c>
      <c r="H864" s="321">
        <f>ROUND(E864*$D864*$E$803,0)</f>
        <v>-42397</v>
      </c>
      <c r="I864" s="334">
        <f>I855</f>
        <v>6.03</v>
      </c>
      <c r="J864" s="321"/>
      <c r="K864" s="321">
        <f>ROUND(I864*$D864*$E$803,0)</f>
        <v>-46314</v>
      </c>
    </row>
    <row r="865" spans="1:15">
      <c r="A865" s="323" t="s">
        <v>464</v>
      </c>
      <c r="B865" s="1"/>
      <c r="C865" s="319">
        <f>6333900+441066001</f>
        <v>447399901</v>
      </c>
      <c r="D865" s="319">
        <f>ROUND(($D$869/$C$869)*C865,0)</f>
        <v>474704953</v>
      </c>
      <c r="E865" s="335">
        <f>E857</f>
        <v>3.2050000000000001</v>
      </c>
      <c r="F865" s="321" t="s">
        <v>374</v>
      </c>
      <c r="G865" s="321">
        <f>ROUND(E865/100*$C865*$E$803,0)</f>
        <v>-143392</v>
      </c>
      <c r="H865" s="321">
        <f>ROUND(E865/100*$D865*$E$803,0)</f>
        <v>-152143</v>
      </c>
      <c r="I865" s="335">
        <f>I857</f>
        <v>3.4990000000000001</v>
      </c>
      <c r="J865" s="321" t="s">
        <v>374</v>
      </c>
      <c r="K865" s="321">
        <f>ROUND(I865/100*$D865*$E$803,0)</f>
        <v>-166099</v>
      </c>
    </row>
    <row r="866" spans="1:15">
      <c r="A866" s="323" t="s">
        <v>400</v>
      </c>
      <c r="B866" s="1"/>
      <c r="C866" s="319">
        <f>6818+174154</f>
        <v>180972</v>
      </c>
      <c r="D866" s="319">
        <f>ROUND(($D$869/$C$869)*C866,0)</f>
        <v>192017</v>
      </c>
      <c r="E866" s="384">
        <f>E858</f>
        <v>0.45</v>
      </c>
      <c r="F866" s="321"/>
      <c r="G866" s="321">
        <f>ROUND(E866*$C866*$E$803,0)</f>
        <v>-814</v>
      </c>
      <c r="H866" s="321">
        <f>ROUND(E866*$D866*$E$803,0)</f>
        <v>-864</v>
      </c>
      <c r="I866" s="384">
        <f>I858</f>
        <v>0.45</v>
      </c>
      <c r="J866" s="321"/>
      <c r="K866" s="321">
        <f>ROUND(I866*$D866*$E$803,0)</f>
        <v>-864</v>
      </c>
    </row>
    <row r="867" spans="1:15">
      <c r="A867" s="309" t="s">
        <v>475</v>
      </c>
      <c r="B867" s="1"/>
      <c r="C867" s="319">
        <f>22+26</f>
        <v>48</v>
      </c>
      <c r="D867" s="319">
        <v>48</v>
      </c>
      <c r="E867" s="337">
        <v>60</v>
      </c>
      <c r="F867" s="337"/>
      <c r="G867" s="321">
        <f>ROUND(E867*$C867,0)</f>
        <v>2880</v>
      </c>
      <c r="H867" s="321">
        <f>ROUND(E867*$D867,0)</f>
        <v>2880</v>
      </c>
      <c r="I867" s="337">
        <f>$I$783</f>
        <v>60</v>
      </c>
      <c r="J867" s="321"/>
      <c r="K867" s="321">
        <f>ROUND(I867*$D867,0)</f>
        <v>2880</v>
      </c>
    </row>
    <row r="868" spans="1:15">
      <c r="A868" s="309" t="s">
        <v>444</v>
      </c>
      <c r="B868" s="1"/>
      <c r="C868" s="319">
        <f>23526+729270</f>
        <v>752796</v>
      </c>
      <c r="D868" s="319">
        <f>ROUND(($D$869/$C$869)*C868,0)</f>
        <v>798740</v>
      </c>
      <c r="E868" s="337">
        <v>-0.3</v>
      </c>
      <c r="F868" s="321"/>
      <c r="G868" s="321">
        <f>ROUND(E868*$C868,0)</f>
        <v>-225839</v>
      </c>
      <c r="H868" s="321">
        <f>ROUND(E868*$D868,0)</f>
        <v>-239622</v>
      </c>
      <c r="I868" s="337">
        <f>$I$784</f>
        <v>-0.75</v>
      </c>
      <c r="J868" s="321"/>
      <c r="K868" s="321">
        <f>ROUND(I868*$D868,0)</f>
        <v>-599055</v>
      </c>
    </row>
    <row r="869" spans="1:15">
      <c r="A869" s="1" t="s">
        <v>381</v>
      </c>
      <c r="B869" s="1"/>
      <c r="C869" s="319">
        <f>C857</f>
        <v>671288953</v>
      </c>
      <c r="D869" s="319">
        <v>712258072.33019459</v>
      </c>
      <c r="E869" s="330"/>
      <c r="F869" s="2"/>
      <c r="G869" s="2">
        <f>SUM(G850:G868)</f>
        <v>29509698</v>
      </c>
      <c r="H869" s="2">
        <f>SUM(H850:H868)</f>
        <v>31279788</v>
      </c>
      <c r="I869" s="330"/>
      <c r="J869" s="1"/>
      <c r="K869" s="2">
        <f>SUM(K850:K868)</f>
        <v>33805123</v>
      </c>
    </row>
    <row r="870" spans="1:15">
      <c r="A870" s="1" t="s">
        <v>363</v>
      </c>
      <c r="B870" s="1"/>
      <c r="C870" s="319">
        <v>-15164629.489788763</v>
      </c>
      <c r="D870" s="319">
        <v>0</v>
      </c>
      <c r="E870" s="309"/>
      <c r="F870" s="309"/>
      <c r="G870" s="341">
        <v>-567791.90919455024</v>
      </c>
      <c r="H870" s="341">
        <v>0</v>
      </c>
      <c r="I870" s="309"/>
      <c r="J870" s="309"/>
      <c r="K870" s="341">
        <v>0</v>
      </c>
      <c r="M870" s="289"/>
      <c r="N870" s="289"/>
      <c r="O870" s="290"/>
    </row>
    <row r="871" spans="1:15" ht="16.5" thickBot="1">
      <c r="A871" s="1" t="s">
        <v>382</v>
      </c>
      <c r="B871" s="1"/>
      <c r="C871" s="393">
        <f>SUM(C869)+C870</f>
        <v>656124323.51021123</v>
      </c>
      <c r="D871" s="393">
        <f>SUM(D857)+D870</f>
        <v>712258072</v>
      </c>
      <c r="E871" s="342"/>
      <c r="F871" s="343"/>
      <c r="G871" s="344">
        <f>G869+G870</f>
        <v>28941906.090805449</v>
      </c>
      <c r="H871" s="344">
        <f>H869+H870</f>
        <v>31279788</v>
      </c>
      <c r="I871" s="342"/>
      <c r="J871" s="345"/>
      <c r="K871" s="344">
        <f>K869+K870</f>
        <v>33805123</v>
      </c>
      <c r="M871" s="291"/>
      <c r="N871" s="291"/>
      <c r="O871" s="292"/>
    </row>
    <row r="872" spans="1:15" ht="16.5" thickTop="1">
      <c r="A872" s="1"/>
      <c r="B872" s="1"/>
      <c r="C872" s="21"/>
      <c r="D872" s="21"/>
      <c r="E872" s="337"/>
      <c r="F872" s="2"/>
      <c r="G872" s="2"/>
      <c r="H872" s="2"/>
      <c r="I872" s="353" t="s">
        <v>31</v>
      </c>
      <c r="J872" s="1"/>
      <c r="K872" s="2" t="s">
        <v>31</v>
      </c>
    </row>
    <row r="873" spans="1:15">
      <c r="A873" s="293" t="s">
        <v>481</v>
      </c>
      <c r="B873" s="1"/>
      <c r="C873" s="1"/>
      <c r="D873" s="1"/>
      <c r="E873" s="2"/>
      <c r="F873" s="2"/>
      <c r="G873" s="1"/>
      <c r="H873" s="1"/>
      <c r="I873" s="2"/>
      <c r="J873" s="1"/>
      <c r="K873" s="1"/>
    </row>
    <row r="874" spans="1:15">
      <c r="A874" s="309" t="s">
        <v>480</v>
      </c>
      <c r="B874" s="1"/>
      <c r="C874" s="1"/>
      <c r="D874" s="1"/>
      <c r="E874" s="2"/>
      <c r="F874" s="2"/>
      <c r="G874" s="1"/>
      <c r="H874" s="1"/>
      <c r="I874" s="2"/>
      <c r="J874" s="1"/>
      <c r="K874" s="1"/>
    </row>
    <row r="875" spans="1:15">
      <c r="A875" s="323"/>
      <c r="B875" s="1"/>
      <c r="C875" s="1"/>
      <c r="D875" s="1"/>
      <c r="E875" s="2"/>
      <c r="F875" s="2"/>
      <c r="G875" s="1"/>
      <c r="H875" s="1"/>
      <c r="I875" s="2"/>
      <c r="J875" s="1"/>
      <c r="K875" s="1"/>
    </row>
    <row r="876" spans="1:15">
      <c r="A876" s="323" t="s">
        <v>393</v>
      </c>
      <c r="B876" s="1"/>
      <c r="C876" s="319"/>
      <c r="D876" s="319"/>
      <c r="E876" s="2"/>
      <c r="F876" s="2"/>
      <c r="G876" s="1"/>
      <c r="H876" s="1"/>
      <c r="I876" s="2"/>
      <c r="J876" s="1"/>
      <c r="K876" s="1"/>
    </row>
    <row r="877" spans="1:15">
      <c r="A877" s="323" t="s">
        <v>471</v>
      </c>
      <c r="B877" s="1"/>
      <c r="C877" s="319">
        <v>0</v>
      </c>
      <c r="D877" s="319">
        <v>0</v>
      </c>
      <c r="E877" s="337">
        <v>1100</v>
      </c>
      <c r="F877" s="337"/>
      <c r="G877" s="2">
        <f>ROUND(E877*$C877,0)</f>
        <v>0</v>
      </c>
      <c r="H877" s="2">
        <f>ROUND(E877*$D877,0)</f>
        <v>0</v>
      </c>
      <c r="I877" s="337">
        <f>$I$766</f>
        <v>1205</v>
      </c>
      <c r="J877" s="321"/>
      <c r="K877" s="2">
        <f>ROUND(I877*$D877,0)</f>
        <v>0</v>
      </c>
    </row>
    <row r="878" spans="1:15">
      <c r="A878" s="323" t="s">
        <v>472</v>
      </c>
      <c r="B878" s="1"/>
      <c r="C878" s="319">
        <v>12</v>
      </c>
      <c r="D878" s="319">
        <v>12</v>
      </c>
      <c r="E878" s="337">
        <v>1325</v>
      </c>
      <c r="F878" s="337"/>
      <c r="G878" s="2">
        <f>ROUND(E878*$C878,0)</f>
        <v>15900</v>
      </c>
      <c r="H878" s="2">
        <f>ROUND(E878*$D878,0)</f>
        <v>15900</v>
      </c>
      <c r="I878" s="337">
        <f>$I$767</f>
        <v>1450</v>
      </c>
      <c r="J878" s="324"/>
      <c r="K878" s="2">
        <f>ROUND(I878*$D878,0)</f>
        <v>17400</v>
      </c>
    </row>
    <row r="879" spans="1:15">
      <c r="A879" s="323" t="s">
        <v>394</v>
      </c>
      <c r="B879" s="1"/>
      <c r="C879" s="319">
        <f>SUM(C877:C878)</f>
        <v>12</v>
      </c>
      <c r="D879" s="319">
        <v>12</v>
      </c>
      <c r="E879" s="337" t="s">
        <v>31</v>
      </c>
      <c r="F879" s="337"/>
      <c r="G879" s="2" t="s">
        <v>31</v>
      </c>
      <c r="H879" s="2" t="s">
        <v>31</v>
      </c>
      <c r="I879" s="337" t="s">
        <v>31</v>
      </c>
      <c r="J879" s="321"/>
      <c r="K879" s="2" t="s">
        <v>31</v>
      </c>
    </row>
    <row r="880" spans="1:15">
      <c r="A880" s="323" t="s">
        <v>473</v>
      </c>
      <c r="B880" s="1"/>
      <c r="C880" s="319">
        <v>0</v>
      </c>
      <c r="D880" s="319">
        <v>0</v>
      </c>
      <c r="E880" s="337">
        <v>0.83</v>
      </c>
      <c r="F880" s="337"/>
      <c r="G880" s="2">
        <f>ROUND(E880*$C880,0)</f>
        <v>0</v>
      </c>
      <c r="H880" s="2">
        <f>ROUND(E880*$D880,0)</f>
        <v>0</v>
      </c>
      <c r="I880" s="337">
        <f>$I$769</f>
        <v>0.91</v>
      </c>
      <c r="J880" s="321"/>
      <c r="K880" s="2">
        <f>ROUND(I880*$D880,0)</f>
        <v>0</v>
      </c>
    </row>
    <row r="881" spans="1:11">
      <c r="A881" s="323" t="s">
        <v>474</v>
      </c>
      <c r="B881" s="1"/>
      <c r="C881" s="319">
        <v>205024</v>
      </c>
      <c r="D881" s="319">
        <f>ROUND(($D$896/$C$896)*C881,0)</f>
        <v>124257</v>
      </c>
      <c r="E881" s="337">
        <v>0.76</v>
      </c>
      <c r="F881" s="337"/>
      <c r="G881" s="2">
        <f>ROUND(E881*$C881,0)</f>
        <v>155818</v>
      </c>
      <c r="H881" s="2">
        <f>ROUND(E881*$D881,0)</f>
        <v>94435</v>
      </c>
      <c r="I881" s="337">
        <f>$I$770</f>
        <v>0.83</v>
      </c>
      <c r="J881" s="321"/>
      <c r="K881" s="2">
        <f>ROUND(I881*$D881,0)</f>
        <v>103133</v>
      </c>
    </row>
    <row r="882" spans="1:11">
      <c r="A882" s="309" t="s">
        <v>403</v>
      </c>
      <c r="B882" s="1"/>
      <c r="C882" s="319">
        <v>158638</v>
      </c>
      <c r="D882" s="319">
        <f>ROUND(($D$896/$C$896)*C882,0)</f>
        <v>96144</v>
      </c>
      <c r="E882" s="337">
        <v>5.52</v>
      </c>
      <c r="F882" s="337"/>
      <c r="G882" s="2">
        <f>ROUND(E882*$C882,0)</f>
        <v>875682</v>
      </c>
      <c r="H882" s="2">
        <f>ROUND(E882*$D882,0)</f>
        <v>530715</v>
      </c>
      <c r="I882" s="337">
        <f>$I$771</f>
        <v>6.03</v>
      </c>
      <c r="J882" s="321"/>
      <c r="K882" s="2">
        <f>ROUND(I882*$D882,0)</f>
        <v>579748</v>
      </c>
    </row>
    <row r="883" spans="1:11">
      <c r="A883" s="323" t="s">
        <v>426</v>
      </c>
      <c r="B883" s="1"/>
      <c r="C883" s="319"/>
      <c r="D883" s="319"/>
      <c r="E883" s="337" t="s">
        <v>31</v>
      </c>
      <c r="F883" s="337"/>
      <c r="G883" s="2"/>
      <c r="H883" s="2"/>
      <c r="I883" s="337" t="s">
        <v>31</v>
      </c>
      <c r="J883" s="321"/>
      <c r="K883" s="2"/>
    </row>
    <row r="884" spans="1:11">
      <c r="A884" s="323" t="s">
        <v>464</v>
      </c>
      <c r="B884" s="1"/>
      <c r="C884" s="319">
        <f>43689000</f>
        <v>43689000</v>
      </c>
      <c r="D884" s="319">
        <f>ROUND(($D$896/$C$896)*C884,0)</f>
        <v>26478236</v>
      </c>
      <c r="E884" s="395">
        <v>3.2050000000000001</v>
      </c>
      <c r="F884" s="321" t="s">
        <v>374</v>
      </c>
      <c r="G884" s="2">
        <f>ROUND(E884/100*$C884,0)</f>
        <v>1400232</v>
      </c>
      <c r="H884" s="2">
        <f>ROUND(E884/100*$D884,0)</f>
        <v>848627</v>
      </c>
      <c r="I884" s="395">
        <f>$I$773</f>
        <v>3.4990000000000001</v>
      </c>
      <c r="J884" s="321" t="s">
        <v>374</v>
      </c>
      <c r="K884" s="2">
        <f>ROUND(I884/100*$D884,0)</f>
        <v>926473</v>
      </c>
    </row>
    <row r="885" spans="1:11">
      <c r="A885" s="323" t="s">
        <v>400</v>
      </c>
      <c r="B885" s="1"/>
      <c r="C885" s="319">
        <v>22988</v>
      </c>
      <c r="D885" s="319">
        <f>ROUND(($D$896/$C$896)*C885,0)</f>
        <v>13932</v>
      </c>
      <c r="E885" s="337">
        <v>0.45</v>
      </c>
      <c r="F885" s="321"/>
      <c r="G885" s="2">
        <f>ROUND(E885*$C885,0)</f>
        <v>10345</v>
      </c>
      <c r="H885" s="2">
        <f>ROUND(E885*$D885,0)</f>
        <v>6269</v>
      </c>
      <c r="I885" s="337">
        <f>$I$774</f>
        <v>0.45</v>
      </c>
      <c r="J885" s="321"/>
      <c r="K885" s="2">
        <f>ROUND(I885*$D885,0)</f>
        <v>6269</v>
      </c>
    </row>
    <row r="886" spans="1:11">
      <c r="A886" s="360" t="s">
        <v>401</v>
      </c>
      <c r="B886" s="1"/>
      <c r="C886" s="319"/>
      <c r="D886" s="319"/>
      <c r="E886" s="332">
        <v>-0.01</v>
      </c>
      <c r="F886" s="332"/>
      <c r="G886" s="2"/>
      <c r="H886" s="2"/>
      <c r="I886" s="332">
        <f>$I$775</f>
        <v>-0.01</v>
      </c>
      <c r="J886" s="361"/>
      <c r="K886" s="2"/>
    </row>
    <row r="887" spans="1:11">
      <c r="A887" s="323" t="s">
        <v>471</v>
      </c>
      <c r="B887" s="1"/>
      <c r="C887" s="319">
        <v>0</v>
      </c>
      <c r="D887" s="319">
        <v>0</v>
      </c>
      <c r="E887" s="334">
        <f>E877</f>
        <v>1100</v>
      </c>
      <c r="F887" s="334"/>
      <c r="G887" s="321">
        <f>ROUND(E887*$C887*$E$803,0)</f>
        <v>0</v>
      </c>
      <c r="H887" s="321">
        <f>ROUND(E887*$D887*$E$803,0)</f>
        <v>0</v>
      </c>
      <c r="I887" s="334">
        <f>I877</f>
        <v>1205</v>
      </c>
      <c r="J887" s="321"/>
      <c r="K887" s="321">
        <f>ROUND(I887*$D887*$E$803,0)</f>
        <v>0</v>
      </c>
    </row>
    <row r="888" spans="1:11">
      <c r="A888" s="323" t="s">
        <v>472</v>
      </c>
      <c r="B888" s="1"/>
      <c r="C888" s="319">
        <v>12</v>
      </c>
      <c r="D888" s="319">
        <v>12</v>
      </c>
      <c r="E888" s="334">
        <f>E878</f>
        <v>1325</v>
      </c>
      <c r="F888" s="334"/>
      <c r="G888" s="321">
        <f>ROUND(E888*$C888*$E$803,0)</f>
        <v>-159</v>
      </c>
      <c r="H888" s="321">
        <f>ROUND(E888*$D888*$E$803,0)</f>
        <v>-159</v>
      </c>
      <c r="I888" s="334">
        <f>I878</f>
        <v>1450</v>
      </c>
      <c r="J888" s="321"/>
      <c r="K888" s="321">
        <f>ROUND(I888*$D888*$E$803,0)</f>
        <v>-174</v>
      </c>
    </row>
    <row r="889" spans="1:11">
      <c r="A889" s="323" t="s">
        <v>473</v>
      </c>
      <c r="B889" s="1"/>
      <c r="C889" s="319">
        <v>0</v>
      </c>
      <c r="D889" s="319">
        <v>0</v>
      </c>
      <c r="E889" s="334">
        <f>E880</f>
        <v>0.83</v>
      </c>
      <c r="F889" s="334"/>
      <c r="G889" s="321">
        <f>ROUND(E889*$C889*$E$803,0)</f>
        <v>0</v>
      </c>
      <c r="H889" s="321">
        <f>ROUND(E889*$D889*$E$803,0)</f>
        <v>0</v>
      </c>
      <c r="I889" s="334">
        <f>I880</f>
        <v>0.91</v>
      </c>
      <c r="J889" s="321"/>
      <c r="K889" s="321">
        <f>ROUND(I889*$D889*$E$803,0)</f>
        <v>0</v>
      </c>
    </row>
    <row r="890" spans="1:11">
      <c r="A890" s="323" t="s">
        <v>474</v>
      </c>
      <c r="B890" s="1"/>
      <c r="C890" s="319">
        <v>205024</v>
      </c>
      <c r="D890" s="319">
        <f>ROUND(($D$896/$C$896)*C890,0)</f>
        <v>124257</v>
      </c>
      <c r="E890" s="334">
        <f>E881</f>
        <v>0.76</v>
      </c>
      <c r="F890" s="334"/>
      <c r="G890" s="321">
        <f>ROUND(E890*$C890*$E$803,0)</f>
        <v>-1558</v>
      </c>
      <c r="H890" s="321">
        <f>ROUND(E890*$D890*$E$803,0)</f>
        <v>-944</v>
      </c>
      <c r="I890" s="334">
        <f>I881</f>
        <v>0.83</v>
      </c>
      <c r="J890" s="321"/>
      <c r="K890" s="321">
        <f>ROUND(I890*$D890*$E$803,0)</f>
        <v>-1031</v>
      </c>
    </row>
    <row r="891" spans="1:11">
      <c r="A891" s="309" t="s">
        <v>403</v>
      </c>
      <c r="B891" s="380"/>
      <c r="C891" s="319">
        <v>158638</v>
      </c>
      <c r="D891" s="319">
        <f>ROUND(($D$896/$C$896)*C891,0)</f>
        <v>96144</v>
      </c>
      <c r="E891" s="334">
        <f>E882</f>
        <v>5.52</v>
      </c>
      <c r="F891" s="337"/>
      <c r="G891" s="321">
        <f>ROUND(E891*$C891*$E$803,0)</f>
        <v>-8757</v>
      </c>
      <c r="H891" s="321">
        <f>ROUND(E891*$D891*$E$803,0)</f>
        <v>-5307</v>
      </c>
      <c r="I891" s="334">
        <f>I882</f>
        <v>6.03</v>
      </c>
      <c r="J891" s="321"/>
      <c r="K891" s="321">
        <f>ROUND(I891*$D891*$E$803,0)</f>
        <v>-5797</v>
      </c>
    </row>
    <row r="892" spans="1:11">
      <c r="A892" s="323" t="s">
        <v>464</v>
      </c>
      <c r="B892" s="1"/>
      <c r="C892" s="319">
        <f>C884</f>
        <v>43689000</v>
      </c>
      <c r="D892" s="319">
        <f>ROUND(($D$896/$C$896)*C892,0)</f>
        <v>26478236</v>
      </c>
      <c r="E892" s="335">
        <f>E884</f>
        <v>3.2050000000000001</v>
      </c>
      <c r="F892" s="321" t="s">
        <v>374</v>
      </c>
      <c r="G892" s="321">
        <f>ROUND(E892/100*$C892*$E$803,0)</f>
        <v>-14002</v>
      </c>
      <c r="H892" s="321">
        <f>ROUND(E892/100*$D892*$E$803,0)</f>
        <v>-8486</v>
      </c>
      <c r="I892" s="335">
        <f>I884</f>
        <v>3.4990000000000001</v>
      </c>
      <c r="J892" s="321" t="s">
        <v>374</v>
      </c>
      <c r="K892" s="321">
        <f>ROUND(I892/100*$D892*$E$803,0)</f>
        <v>-9265</v>
      </c>
    </row>
    <row r="893" spans="1:11">
      <c r="A893" s="323" t="s">
        <v>400</v>
      </c>
      <c r="B893" s="1"/>
      <c r="C893" s="319">
        <v>22988</v>
      </c>
      <c r="D893" s="319">
        <f>ROUND(($D$896/$C$896)*C893,0)</f>
        <v>13932</v>
      </c>
      <c r="E893" s="384">
        <f>E885</f>
        <v>0.45</v>
      </c>
      <c r="F893" s="321"/>
      <c r="G893" s="321">
        <f>ROUND(E893*$C893*$E$803,0)</f>
        <v>-103</v>
      </c>
      <c r="H893" s="321">
        <f>ROUND(E893*$D893*$E$803,0)</f>
        <v>-63</v>
      </c>
      <c r="I893" s="384">
        <f>I885</f>
        <v>0.45</v>
      </c>
      <c r="J893" s="321"/>
      <c r="K893" s="321">
        <f>ROUND(I893*$D893*$E$803,0)</f>
        <v>-63</v>
      </c>
    </row>
    <row r="894" spans="1:11">
      <c r="A894" s="309" t="s">
        <v>475</v>
      </c>
      <c r="B894" s="1"/>
      <c r="C894" s="319">
        <v>12</v>
      </c>
      <c r="D894" s="319">
        <v>12</v>
      </c>
      <c r="E894" s="337">
        <v>60</v>
      </c>
      <c r="F894" s="337"/>
      <c r="G894" s="321">
        <f>ROUND(E894*$C894,0)</f>
        <v>720</v>
      </c>
      <c r="H894" s="321">
        <f>ROUND(E894*$D894,0)</f>
        <v>720</v>
      </c>
      <c r="I894" s="337">
        <f>$I$783</f>
        <v>60</v>
      </c>
      <c r="J894" s="321"/>
      <c r="K894" s="321">
        <f>ROUND(I894*$D894,0)</f>
        <v>720</v>
      </c>
    </row>
    <row r="895" spans="1:11">
      <c r="A895" s="309" t="s">
        <v>444</v>
      </c>
      <c r="B895" s="1"/>
      <c r="C895" s="319">
        <v>205024</v>
      </c>
      <c r="D895" s="319">
        <f>ROUND(($D$896/$C$896)*C895,0)</f>
        <v>124257</v>
      </c>
      <c r="E895" s="337">
        <v>-0.3</v>
      </c>
      <c r="F895" s="321"/>
      <c r="G895" s="321">
        <f>ROUND(E895*$C895,0)</f>
        <v>-61507</v>
      </c>
      <c r="H895" s="321">
        <f>ROUND(E895*$D895,0)</f>
        <v>-37277</v>
      </c>
      <c r="I895" s="337">
        <f>$I$784</f>
        <v>-0.75</v>
      </c>
      <c r="J895" s="321"/>
      <c r="K895" s="321">
        <f>ROUND(I895*$D895,0)</f>
        <v>-93193</v>
      </c>
    </row>
    <row r="896" spans="1:11">
      <c r="A896" s="1" t="s">
        <v>381</v>
      </c>
      <c r="B896" s="1"/>
      <c r="C896" s="319">
        <f>C884</f>
        <v>43689000</v>
      </c>
      <c r="D896" s="319">
        <v>26478236.454041336</v>
      </c>
      <c r="E896" s="330"/>
      <c r="F896" s="2"/>
      <c r="G896" s="2">
        <f>SUM(G877:G895)</f>
        <v>2372611</v>
      </c>
      <c r="H896" s="2">
        <f>SUM(H877:H895)</f>
        <v>1444430</v>
      </c>
      <c r="I896" s="330"/>
      <c r="J896" s="1"/>
      <c r="K896" s="2">
        <f>SUM(K877:K895)</f>
        <v>1524220</v>
      </c>
    </row>
    <row r="897" spans="1:24">
      <c r="A897" s="1" t="s">
        <v>363</v>
      </c>
      <c r="B897" s="1"/>
      <c r="C897" s="319">
        <v>-984756.22694993159</v>
      </c>
      <c r="D897" s="319">
        <v>0</v>
      </c>
      <c r="E897" s="309"/>
      <c r="F897" s="309"/>
      <c r="G897" s="341">
        <v>-45079.171949096344</v>
      </c>
      <c r="H897" s="341">
        <v>0</v>
      </c>
      <c r="I897" s="309"/>
      <c r="J897" s="309"/>
      <c r="K897" s="341">
        <v>0</v>
      </c>
      <c r="M897" s="289"/>
      <c r="N897" s="289"/>
      <c r="O897" s="290"/>
    </row>
    <row r="898" spans="1:24" ht="16.5" thickBot="1">
      <c r="A898" s="1" t="s">
        <v>382</v>
      </c>
      <c r="B898" s="1"/>
      <c r="C898" s="393">
        <f>SUM(C896)+C897</f>
        <v>42704243.77305007</v>
      </c>
      <c r="D898" s="393">
        <f>SUM(D884)+D897</f>
        <v>26478236</v>
      </c>
      <c r="E898" s="342"/>
      <c r="F898" s="343"/>
      <c r="G898" s="344">
        <f>G896+G897</f>
        <v>2327531.8280509035</v>
      </c>
      <c r="H898" s="344">
        <f>H896+H897</f>
        <v>1444430</v>
      </c>
      <c r="I898" s="342"/>
      <c r="J898" s="345"/>
      <c r="K898" s="344">
        <f>K896+K897</f>
        <v>1524220</v>
      </c>
      <c r="M898" s="291"/>
      <c r="N898" s="291"/>
      <c r="O898" s="292"/>
    </row>
    <row r="899" spans="1:24" ht="16.5" thickTop="1">
      <c r="A899" s="1"/>
      <c r="B899" s="1"/>
      <c r="C899" s="21"/>
      <c r="D899" s="21"/>
      <c r="E899" s="337"/>
      <c r="F899" s="2"/>
      <c r="G899" s="2"/>
      <c r="H899" s="2"/>
      <c r="I899" s="353" t="s">
        <v>31</v>
      </c>
      <c r="J899" s="1"/>
      <c r="K899" s="2" t="s">
        <v>31</v>
      </c>
    </row>
    <row r="900" spans="1:24">
      <c r="A900" s="293" t="s">
        <v>482</v>
      </c>
      <c r="B900" s="1"/>
      <c r="C900" s="1"/>
      <c r="D900" s="1"/>
      <c r="E900" s="1"/>
      <c r="F900" s="1"/>
      <c r="G900" s="2"/>
      <c r="H900" s="2"/>
      <c r="I900" s="1"/>
      <c r="J900" s="1"/>
      <c r="K900" s="1"/>
    </row>
    <row r="901" spans="1:24">
      <c r="A901" s="1" t="s">
        <v>483</v>
      </c>
      <c r="B901" s="1"/>
      <c r="C901" s="1"/>
      <c r="D901" s="1"/>
      <c r="E901" s="1"/>
      <c r="F901" s="1"/>
      <c r="G901" s="2"/>
      <c r="H901" s="2"/>
      <c r="I901" s="1"/>
      <c r="J901" s="1"/>
      <c r="K901" s="1"/>
      <c r="M901" s="277"/>
      <c r="N901" s="277"/>
      <c r="O901" s="277"/>
      <c r="P901" s="277"/>
      <c r="Q901" s="277"/>
      <c r="R901" s="277"/>
      <c r="S901" s="277"/>
      <c r="T901" s="277"/>
      <c r="U901" s="277"/>
      <c r="V901" s="277"/>
      <c r="W901" s="277"/>
      <c r="X901" s="277"/>
    </row>
    <row r="902" spans="1:24">
      <c r="A902" s="1"/>
      <c r="B902" s="1"/>
      <c r="C902" s="1"/>
      <c r="D902" s="1"/>
      <c r="E902" s="1"/>
      <c r="F902" s="1"/>
      <c r="G902" s="2"/>
      <c r="H902" s="2"/>
      <c r="I902" s="1"/>
      <c r="J902" s="1"/>
      <c r="K902" s="1"/>
      <c r="M902" s="277"/>
      <c r="N902" s="277"/>
      <c r="O902" s="277"/>
      <c r="P902" s="277"/>
      <c r="Q902" s="277"/>
      <c r="R902" s="277"/>
      <c r="S902" s="277"/>
      <c r="T902" s="277"/>
      <c r="U902" s="277"/>
      <c r="V902" s="277"/>
      <c r="W902" s="277"/>
      <c r="X902" s="277"/>
    </row>
    <row r="903" spans="1:24">
      <c r="A903" s="1" t="s">
        <v>484</v>
      </c>
      <c r="B903" s="1"/>
      <c r="C903" s="1"/>
      <c r="D903" s="1"/>
      <c r="E903" s="1"/>
      <c r="F903" s="1"/>
      <c r="G903" s="2"/>
      <c r="H903" s="2"/>
      <c r="I903" s="1"/>
      <c r="J903" s="1"/>
      <c r="K903" s="1"/>
      <c r="M903" s="277"/>
      <c r="N903" s="277"/>
      <c r="O903" s="277"/>
      <c r="Q903" s="397"/>
      <c r="R903" s="280"/>
      <c r="S903" s="281"/>
      <c r="T903" s="282"/>
      <c r="U903" s="278"/>
      <c r="V903" s="278"/>
      <c r="W903" s="278"/>
      <c r="X903" s="278"/>
    </row>
    <row r="904" spans="1:24">
      <c r="A904" s="3" t="s">
        <v>358</v>
      </c>
      <c r="C904" s="264">
        <f>15247</f>
        <v>15247</v>
      </c>
      <c r="D904" s="264">
        <f>ROUND(($D$909/$C$909)*C904,0)</f>
        <v>15700</v>
      </c>
      <c r="E904" s="265">
        <v>7.61</v>
      </c>
      <c r="G904" s="2">
        <f>ROUND(E904*$C904,0)</f>
        <v>116030</v>
      </c>
      <c r="H904" s="2">
        <f>ROUND(E904*$D904,0)</f>
        <v>119477</v>
      </c>
      <c r="I904" s="265">
        <v>7.61</v>
      </c>
      <c r="K904" s="2">
        <f>ROUND(I904*$D904,0)</f>
        <v>119477</v>
      </c>
      <c r="M904" s="84">
        <f>I904*D904</f>
        <v>119477</v>
      </c>
      <c r="O904" s="398">
        <v>31</v>
      </c>
      <c r="P904" s="399">
        <f>O904*D904</f>
        <v>486700</v>
      </c>
      <c r="Q904" s="400" t="e">
        <f>$P$910*O904</f>
        <v>#REF!</v>
      </c>
      <c r="R904" s="401" t="e">
        <f>ROUND(E904+Q904,2)</f>
        <v>#REF!</v>
      </c>
      <c r="S904" s="284"/>
      <c r="T904" s="278"/>
      <c r="U904" s="281"/>
      <c r="V904" s="281"/>
      <c r="W904" s="285"/>
      <c r="X904" s="281"/>
    </row>
    <row r="905" spans="1:24">
      <c r="A905" s="3" t="s">
        <v>485</v>
      </c>
      <c r="C905" s="264">
        <f>14583</f>
        <v>14583</v>
      </c>
      <c r="D905" s="264">
        <f>ROUND(($D$909/$C$909)*C905,0)</f>
        <v>15016</v>
      </c>
      <c r="E905" s="265">
        <v>9.1300000000000008</v>
      </c>
      <c r="G905" s="2">
        <f>ROUND(E905*$C905,0)</f>
        <v>133143</v>
      </c>
      <c r="H905" s="2">
        <f>ROUND(E905*$D905,0)</f>
        <v>137096</v>
      </c>
      <c r="I905" s="265">
        <v>9.1300000000000008</v>
      </c>
      <c r="K905" s="2">
        <f>ROUND(I905*$D905,0)</f>
        <v>137096</v>
      </c>
      <c r="M905" s="84">
        <f>I905*D905</f>
        <v>137096.08000000002</v>
      </c>
      <c r="O905" s="402">
        <v>44</v>
      </c>
      <c r="P905" s="74">
        <f>O905*D905</f>
        <v>660704</v>
      </c>
      <c r="Q905" s="403" t="e">
        <f>$P$910*O905</f>
        <v>#REF!</v>
      </c>
      <c r="R905" s="404" t="e">
        <f>ROUND(E905+Q905,2)</f>
        <v>#REF!</v>
      </c>
      <c r="S905" s="278"/>
      <c r="T905" s="278"/>
      <c r="U905" s="281"/>
      <c r="V905" s="281"/>
      <c r="W905" s="285"/>
      <c r="X905" s="281"/>
    </row>
    <row r="906" spans="1:24">
      <c r="A906" s="3" t="s">
        <v>359</v>
      </c>
      <c r="C906" s="264">
        <f>17554</f>
        <v>17554</v>
      </c>
      <c r="D906" s="264">
        <f>ROUND(($D$909/$C$909)*C906,0)</f>
        <v>18075</v>
      </c>
      <c r="E906" s="265">
        <v>13.33</v>
      </c>
      <c r="G906" s="2">
        <f>ROUND(E906*$C906,0)</f>
        <v>233995</v>
      </c>
      <c r="H906" s="2">
        <f>ROUND(E906*$D906,0)</f>
        <v>240940</v>
      </c>
      <c r="I906" s="265">
        <v>13.33</v>
      </c>
      <c r="K906" s="2">
        <f>ROUND(I906*$D906,0)</f>
        <v>240940</v>
      </c>
      <c r="M906" s="84">
        <f>I906*D906</f>
        <v>240939.75</v>
      </c>
      <c r="O906" s="402">
        <v>85</v>
      </c>
      <c r="P906" s="74">
        <f>O906*D906</f>
        <v>1536375</v>
      </c>
      <c r="Q906" s="403" t="e">
        <f>$P$910*O906</f>
        <v>#REF!</v>
      </c>
      <c r="R906" s="404" t="e">
        <f>ROUND(E906+Q906,2)</f>
        <v>#REF!</v>
      </c>
      <c r="S906" s="278"/>
      <c r="T906" s="278"/>
      <c r="U906" s="281"/>
      <c r="V906" s="281"/>
      <c r="W906" s="285"/>
      <c r="X906" s="281"/>
    </row>
    <row r="907" spans="1:24">
      <c r="A907" s="3" t="s">
        <v>360</v>
      </c>
      <c r="C907" s="264">
        <f>1478</f>
        <v>1478</v>
      </c>
      <c r="D907" s="264">
        <f>ROUND(($D$909/$C$909)*C907,0)</f>
        <v>1522</v>
      </c>
      <c r="E907" s="265">
        <v>22.32</v>
      </c>
      <c r="G907" s="2">
        <f>ROUND(E907*$C907,0)</f>
        <v>32989</v>
      </c>
      <c r="H907" s="2">
        <f>ROUND(E907*$D907,0)</f>
        <v>33971</v>
      </c>
      <c r="I907" s="265">
        <v>22.32</v>
      </c>
      <c r="K907" s="2">
        <f>ROUND(I907*$D907,0)</f>
        <v>33971</v>
      </c>
      <c r="M907" s="84">
        <f>I907*D907</f>
        <v>33971.040000000001</v>
      </c>
      <c r="O907" s="402">
        <v>176</v>
      </c>
      <c r="P907" s="74">
        <f>O907*D907</f>
        <v>267872</v>
      </c>
      <c r="Q907" s="403" t="e">
        <f>$P$910*O907</f>
        <v>#REF!</v>
      </c>
      <c r="R907" s="404" t="e">
        <f>ROUND(E907+Q907,2)</f>
        <v>#REF!</v>
      </c>
      <c r="S907" s="278"/>
      <c r="T907" s="278"/>
      <c r="U907" s="281"/>
      <c r="V907" s="281"/>
      <c r="W907" s="285"/>
      <c r="X907" s="281"/>
    </row>
    <row r="908" spans="1:24">
      <c r="A908" s="3" t="s">
        <v>362</v>
      </c>
      <c r="C908" s="264">
        <f>178*12</f>
        <v>2136</v>
      </c>
      <c r="D908" s="264">
        <v>1874</v>
      </c>
      <c r="E908" s="265"/>
      <c r="G908" s="2"/>
      <c r="H908" s="2"/>
      <c r="I908" s="265"/>
      <c r="K908" s="2"/>
      <c r="O908" s="402"/>
      <c r="P908" s="74">
        <f>SUM(P904:P907)</f>
        <v>2951651</v>
      </c>
      <c r="Q908" s="403"/>
      <c r="R908" s="404"/>
      <c r="S908" s="278"/>
      <c r="T908" s="278"/>
      <c r="U908" s="281"/>
      <c r="V908" s="281"/>
      <c r="W908" s="281"/>
      <c r="X908" s="281"/>
    </row>
    <row r="909" spans="1:24">
      <c r="A909" s="3" t="s">
        <v>381</v>
      </c>
      <c r="C909" s="264">
        <v>2866398.1098855259</v>
      </c>
      <c r="D909" s="264">
        <v>2951534.6465794938</v>
      </c>
      <c r="E909" s="269"/>
      <c r="F909" s="20"/>
      <c r="G909" s="272">
        <f>SUM(G904:G907)</f>
        <v>516157</v>
      </c>
      <c r="H909" s="272">
        <f>SUM(H904:H907)</f>
        <v>531484</v>
      </c>
      <c r="I909" s="269"/>
      <c r="J909" s="20"/>
      <c r="K909" s="272">
        <f>SUM(K904:K907)</f>
        <v>531484</v>
      </c>
      <c r="M909" s="84">
        <f>SUM(M904:M908)</f>
        <v>531483.87</v>
      </c>
      <c r="O909" s="402"/>
      <c r="P909" s="405" t="e">
        <f>O911-H911</f>
        <v>#REF!</v>
      </c>
      <c r="Q909" s="20"/>
      <c r="R909" s="406"/>
      <c r="S909" s="278"/>
      <c r="T909" s="278"/>
      <c r="U909" s="288"/>
      <c r="V909" s="278"/>
      <c r="W909" s="278"/>
      <c r="X909" s="278"/>
    </row>
    <row r="910" spans="1:24">
      <c r="A910" s="3" t="s">
        <v>363</v>
      </c>
      <c r="C910" s="264">
        <v>35840.593415054755</v>
      </c>
      <c r="D910" s="264">
        <v>0</v>
      </c>
      <c r="E910" s="269"/>
      <c r="F910" s="20"/>
      <c r="G910" s="272">
        <v>6155.2420195719942</v>
      </c>
      <c r="H910" s="272">
        <v>0</v>
      </c>
      <c r="I910" s="269"/>
      <c r="J910" s="20"/>
      <c r="K910" s="272">
        <v>0</v>
      </c>
      <c r="M910" s="289"/>
      <c r="N910" s="289"/>
      <c r="O910" s="407"/>
      <c r="P910" s="408" t="e">
        <f>P909/P908</f>
        <v>#REF!</v>
      </c>
      <c r="Q910" s="113"/>
      <c r="R910" s="409"/>
      <c r="S910" s="281"/>
      <c r="T910" s="278"/>
      <c r="U910" s="20"/>
      <c r="V910" s="20"/>
      <c r="W910" s="20"/>
      <c r="X910" s="20"/>
    </row>
    <row r="911" spans="1:24" ht="16.5" thickBot="1">
      <c r="A911" s="3" t="s">
        <v>9</v>
      </c>
      <c r="C911" s="273">
        <f>C909+C910</f>
        <v>2902238.7033005808</v>
      </c>
      <c r="D911" s="273">
        <f>D909+D910</f>
        <v>2951534.6465794938</v>
      </c>
      <c r="E911" s="274"/>
      <c r="F911" s="274"/>
      <c r="G911" s="274">
        <f>G909+G910</f>
        <v>522312.242019572</v>
      </c>
      <c r="H911" s="274">
        <f>H909+H910</f>
        <v>531484</v>
      </c>
      <c r="I911" s="274"/>
      <c r="J911" s="274"/>
      <c r="K911" s="274">
        <f>K909+K910</f>
        <v>531484</v>
      </c>
      <c r="M911" s="291"/>
      <c r="N911" s="277" t="s">
        <v>409</v>
      </c>
      <c r="O911" s="410" t="e">
        <f>#REF!*1000</f>
        <v>#REF!</v>
      </c>
      <c r="P911" s="277"/>
      <c r="S911" s="278"/>
      <c r="T911" s="278"/>
      <c r="U911" s="20"/>
      <c r="V911" s="20"/>
      <c r="W911" s="20"/>
      <c r="X911" s="20"/>
    </row>
    <row r="912" spans="1:24" ht="16.5" thickTop="1">
      <c r="A912" s="1"/>
      <c r="B912" s="1"/>
      <c r="C912" s="21"/>
      <c r="D912" s="21"/>
      <c r="E912" s="21"/>
      <c r="F912" s="21"/>
      <c r="G912" s="2"/>
      <c r="H912" s="2"/>
      <c r="I912" s="21" t="s">
        <v>31</v>
      </c>
      <c r="J912" s="21"/>
      <c r="K912" s="2" t="s">
        <v>31</v>
      </c>
      <c r="M912" s="277"/>
      <c r="N912" s="277" t="s">
        <v>263</v>
      </c>
      <c r="O912" s="411" t="e">
        <f>O911-K911</f>
        <v>#REF!</v>
      </c>
      <c r="P912" s="14" t="e">
        <f>(O911-K911)/K911</f>
        <v>#REF!</v>
      </c>
      <c r="Q912" s="277"/>
      <c r="R912" s="277"/>
      <c r="S912" s="277"/>
      <c r="T912" s="277"/>
    </row>
    <row r="913" spans="1:24">
      <c r="A913" s="293" t="s">
        <v>486</v>
      </c>
      <c r="B913" s="1"/>
      <c r="C913" s="1"/>
      <c r="D913" s="1"/>
      <c r="E913" s="1"/>
      <c r="F913" s="1"/>
      <c r="G913" s="1"/>
      <c r="H913" s="1"/>
      <c r="I913" s="1"/>
      <c r="J913" s="1"/>
      <c r="K913" s="1"/>
      <c r="M913" s="277"/>
      <c r="N913" s="277"/>
      <c r="O913" s="290"/>
      <c r="P913" s="277"/>
      <c r="T913" s="277"/>
      <c r="U913" s="277"/>
      <c r="V913" s="277"/>
      <c r="W913" s="277"/>
      <c r="X913" s="277"/>
    </row>
    <row r="914" spans="1:24">
      <c r="A914" s="1" t="s">
        <v>487</v>
      </c>
      <c r="B914" s="1"/>
      <c r="C914" s="1"/>
      <c r="D914" s="1"/>
      <c r="E914" s="1"/>
      <c r="F914" s="1"/>
      <c r="G914" s="1"/>
      <c r="H914" s="1"/>
      <c r="I914" s="1"/>
      <c r="J914" s="1"/>
      <c r="K914" s="1"/>
      <c r="T914" s="277"/>
      <c r="U914" s="277"/>
      <c r="V914" s="277"/>
      <c r="W914" s="277"/>
      <c r="X914" s="277"/>
    </row>
    <row r="915" spans="1:2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T915" s="277"/>
      <c r="U915" s="277"/>
      <c r="V915" s="277"/>
      <c r="W915" s="277"/>
      <c r="X915" s="277"/>
    </row>
    <row r="916" spans="1:24">
      <c r="A916" s="1" t="s">
        <v>488</v>
      </c>
      <c r="B916" s="1"/>
      <c r="C916" s="21"/>
      <c r="D916" s="21"/>
      <c r="E916" s="298"/>
      <c r="F916" s="1"/>
      <c r="G916" s="412">
        <v>30454.32</v>
      </c>
      <c r="H916" s="412">
        <v>30454.32</v>
      </c>
      <c r="I916" s="298"/>
      <c r="J916" s="1"/>
      <c r="K916" s="2">
        <f>G916</f>
        <v>30454.32</v>
      </c>
      <c r="M916" s="84">
        <f>K916</f>
        <v>30454.32</v>
      </c>
      <c r="N916" s="20"/>
      <c r="O916" s="74"/>
      <c r="P916" s="74"/>
      <c r="Q916" s="20"/>
      <c r="R916" s="20"/>
      <c r="S916" s="20"/>
      <c r="T916" s="20"/>
      <c r="U916" s="20"/>
      <c r="V916" s="20"/>
      <c r="W916" s="20"/>
      <c r="X916" s="20"/>
    </row>
    <row r="917" spans="1:24">
      <c r="A917" s="1" t="s">
        <v>489</v>
      </c>
      <c r="B917" s="1"/>
      <c r="C917" s="264">
        <f>460481</f>
        <v>460481</v>
      </c>
      <c r="D917" s="319">
        <f>ROUND(($D$920/$C$920)*C917,0)</f>
        <v>453966</v>
      </c>
      <c r="E917" s="413">
        <v>6.4050000000000002</v>
      </c>
      <c r="F917" s="1" t="s">
        <v>374</v>
      </c>
      <c r="G917" s="414">
        <f>ROUND(C917*E917/100,0)</f>
        <v>29494</v>
      </c>
      <c r="H917" s="414">
        <f>ROUND(D917*E917/100,0)</f>
        <v>29077</v>
      </c>
      <c r="I917" s="413">
        <v>6.4050000000000002</v>
      </c>
      <c r="J917" s="1" t="s">
        <v>374</v>
      </c>
      <c r="K917" s="2">
        <f>ROUND(I917*D917/100,0)</f>
        <v>29077</v>
      </c>
      <c r="M917" s="84">
        <f>(I917/100)*D917</f>
        <v>29076.522299999997</v>
      </c>
      <c r="N917" s="20"/>
      <c r="O917" s="74"/>
      <c r="P917" s="74"/>
      <c r="Q917" s="20"/>
      <c r="R917" s="20"/>
      <c r="S917" s="20"/>
      <c r="T917" s="20"/>
      <c r="U917" s="20"/>
      <c r="V917" s="20"/>
      <c r="W917" s="20"/>
      <c r="X917" s="20"/>
    </row>
    <row r="918" spans="1:24">
      <c r="A918" s="1" t="s">
        <v>490</v>
      </c>
      <c r="B918" s="1"/>
      <c r="C918" s="264">
        <v>0</v>
      </c>
      <c r="D918" s="319">
        <f>ROUND(($D$920/$C$920)*C918,0)</f>
        <v>0</v>
      </c>
      <c r="E918" s="413">
        <v>7.1669999999999998</v>
      </c>
      <c r="F918" s="1" t="s">
        <v>374</v>
      </c>
      <c r="G918" s="414">
        <f>ROUND(C918*E918/100,0)</f>
        <v>0</v>
      </c>
      <c r="H918" s="414">
        <f>ROUND(D918*E918/100,0)</f>
        <v>0</v>
      </c>
      <c r="I918" s="413">
        <v>7.1669999999999998</v>
      </c>
      <c r="J918" s="1" t="s">
        <v>374</v>
      </c>
      <c r="K918" s="2">
        <f>ROUND(I918*D918/100,0)</f>
        <v>0</v>
      </c>
      <c r="M918" s="84">
        <f>(I918/100)*D918</f>
        <v>0</v>
      </c>
      <c r="N918" s="20"/>
      <c r="O918" s="74"/>
      <c r="P918" s="20"/>
      <c r="Q918" s="20"/>
      <c r="R918" s="20"/>
      <c r="S918" s="20"/>
      <c r="T918" s="20"/>
      <c r="U918" s="20"/>
      <c r="V918" s="20"/>
      <c r="W918" s="20"/>
      <c r="X918" s="20"/>
    </row>
    <row r="919" spans="1:24">
      <c r="A919" s="1" t="s">
        <v>362</v>
      </c>
      <c r="B919" s="1"/>
      <c r="C919" s="264">
        <f>30*12</f>
        <v>360</v>
      </c>
      <c r="D919" s="319">
        <v>241</v>
      </c>
      <c r="E919" s="415"/>
      <c r="F919" s="1"/>
      <c r="G919" s="2"/>
      <c r="H919" s="2"/>
      <c r="I919" s="415"/>
      <c r="J919" s="1"/>
      <c r="K919" s="2"/>
      <c r="M919" s="20"/>
      <c r="N919" s="20"/>
      <c r="O919" s="74"/>
      <c r="P919" s="74"/>
      <c r="Q919" s="20"/>
      <c r="R919" s="20"/>
      <c r="S919" s="20"/>
      <c r="T919" s="20"/>
      <c r="U919" s="20"/>
      <c r="V919" s="20"/>
      <c r="W919" s="20"/>
      <c r="X919" s="20"/>
    </row>
    <row r="920" spans="1:24">
      <c r="A920" s="3" t="s">
        <v>491</v>
      </c>
      <c r="C920" s="264">
        <f>SUM(C917:C918)</f>
        <v>460481</v>
      </c>
      <c r="D920" s="264">
        <v>453965.95876460936</v>
      </c>
      <c r="E920" s="269"/>
      <c r="F920" s="20"/>
      <c r="G920" s="272">
        <f>SUM(G916:G918)</f>
        <v>59948.32</v>
      </c>
      <c r="H920" s="272">
        <f>SUM(H916:H918)</f>
        <v>59531.32</v>
      </c>
      <c r="I920" s="269"/>
      <c r="J920" s="20"/>
      <c r="K920" s="272">
        <f>SUM(K916:K918)</f>
        <v>59531.32</v>
      </c>
      <c r="M920" s="416">
        <f>SUM(M916:M919)</f>
        <v>59530.842299999997</v>
      </c>
      <c r="N920" s="20"/>
      <c r="O920" s="74"/>
      <c r="P920" s="74"/>
      <c r="Q920" s="20"/>
      <c r="R920" s="20"/>
      <c r="S920" s="20"/>
      <c r="T920" s="20"/>
      <c r="U920" s="20"/>
      <c r="V920" s="20"/>
      <c r="W920" s="20"/>
      <c r="X920" s="20"/>
    </row>
    <row r="921" spans="1:24">
      <c r="A921" s="3" t="s">
        <v>492</v>
      </c>
      <c r="C921" s="264">
        <v>5757.7672357238089</v>
      </c>
      <c r="D921" s="264">
        <v>0</v>
      </c>
      <c r="E921" s="269"/>
      <c r="F921" s="20"/>
      <c r="G921" s="272">
        <v>721.95019570943907</v>
      </c>
      <c r="H921" s="272">
        <v>0</v>
      </c>
      <c r="I921" s="269"/>
      <c r="J921" s="20"/>
      <c r="K921" s="272">
        <v>0</v>
      </c>
      <c r="M921" s="289"/>
      <c r="N921" s="289"/>
      <c r="O921" s="290"/>
      <c r="P921" s="74"/>
      <c r="S921" s="20"/>
      <c r="T921" s="20"/>
      <c r="U921" s="20"/>
      <c r="V921" s="20"/>
      <c r="W921" s="20"/>
      <c r="X921" s="20"/>
    </row>
    <row r="922" spans="1:24" ht="16.5" thickBot="1">
      <c r="A922" s="1" t="s">
        <v>9</v>
      </c>
      <c r="B922" s="1"/>
      <c r="C922" s="393">
        <f>C920+C921</f>
        <v>466238.76723572379</v>
      </c>
      <c r="D922" s="393">
        <f>D920+D921</f>
        <v>453965.95876460936</v>
      </c>
      <c r="E922" s="417"/>
      <c r="F922" s="418"/>
      <c r="G922" s="274">
        <f>G920+G921</f>
        <v>60670.27019570944</v>
      </c>
      <c r="H922" s="274">
        <f>H920+H921</f>
        <v>59531.32</v>
      </c>
      <c r="I922" s="417"/>
      <c r="J922" s="418"/>
      <c r="K922" s="274">
        <f>K920+K921</f>
        <v>59531.32</v>
      </c>
      <c r="M922" s="291"/>
      <c r="N922" s="277" t="s">
        <v>409</v>
      </c>
      <c r="O922" s="416" t="e">
        <f>#REF!*1000</f>
        <v>#REF!</v>
      </c>
      <c r="P922" s="74"/>
      <c r="S922" s="20"/>
      <c r="T922" s="20"/>
      <c r="U922" s="20"/>
      <c r="V922" s="20"/>
      <c r="W922" s="20"/>
      <c r="X922" s="20"/>
    </row>
    <row r="923" spans="1:24" ht="16.5" thickTop="1">
      <c r="A923" s="1"/>
      <c r="B923" s="1"/>
      <c r="C923" s="1"/>
      <c r="D923" s="1"/>
      <c r="E923" s="419"/>
      <c r="F923" s="1"/>
      <c r="G923" s="1"/>
      <c r="H923" s="1"/>
      <c r="I923" s="419" t="s">
        <v>31</v>
      </c>
      <c r="J923" s="1"/>
      <c r="K923" s="2" t="s">
        <v>31</v>
      </c>
      <c r="M923" s="20"/>
      <c r="N923" s="277" t="s">
        <v>263</v>
      </c>
      <c r="O923" s="416" t="e">
        <f>O922-K922</f>
        <v>#REF!</v>
      </c>
      <c r="P923" s="14" t="e">
        <f>(O922-K922)/K922</f>
        <v>#REF!</v>
      </c>
      <c r="Q923" s="20"/>
      <c r="R923" s="20"/>
      <c r="S923" s="20"/>
      <c r="T923" s="20"/>
      <c r="U923" s="20"/>
      <c r="V923" s="20"/>
      <c r="W923" s="20"/>
      <c r="X923" s="20"/>
    </row>
    <row r="924" spans="1:24">
      <c r="A924" s="293" t="s">
        <v>493</v>
      </c>
      <c r="B924" s="1"/>
      <c r="C924" s="1"/>
      <c r="D924" s="1"/>
      <c r="E924" s="1"/>
      <c r="F924" s="1"/>
      <c r="G924" s="1"/>
      <c r="H924" s="1"/>
      <c r="I924" s="1"/>
      <c r="J924" s="1"/>
      <c r="K924" s="1"/>
      <c r="M924" s="20"/>
      <c r="N924" s="20"/>
      <c r="O924" s="74"/>
      <c r="P924" s="420"/>
      <c r="Q924" s="20"/>
      <c r="R924" s="20"/>
      <c r="S924" s="20"/>
      <c r="T924" s="20"/>
      <c r="U924" s="20"/>
      <c r="V924" s="20"/>
      <c r="W924" s="20"/>
      <c r="X924" s="20"/>
    </row>
    <row r="925" spans="1:24">
      <c r="A925" s="1" t="s">
        <v>494</v>
      </c>
      <c r="B925" s="1"/>
      <c r="C925" s="1"/>
      <c r="D925" s="1"/>
      <c r="E925" s="1"/>
      <c r="F925" s="1"/>
      <c r="G925" s="1"/>
      <c r="H925" s="1"/>
      <c r="I925" s="1"/>
      <c r="J925" s="1"/>
      <c r="K925" s="1"/>
      <c r="M925" s="20"/>
      <c r="N925" s="20"/>
      <c r="O925" s="74"/>
      <c r="P925" s="74"/>
      <c r="Q925" s="20"/>
      <c r="R925" s="20"/>
      <c r="S925" s="20"/>
      <c r="T925" s="20"/>
      <c r="U925" s="20"/>
      <c r="V925" s="20"/>
      <c r="W925" s="20"/>
      <c r="X925" s="20"/>
    </row>
    <row r="926" spans="1:24">
      <c r="A926" s="1"/>
      <c r="B926" s="1"/>
      <c r="C926" s="1"/>
      <c r="D926" s="1"/>
      <c r="E926" s="419"/>
      <c r="F926" s="1"/>
      <c r="G926" s="1"/>
      <c r="H926" s="1"/>
      <c r="I926" s="419"/>
      <c r="J926" s="1"/>
      <c r="K926" s="1"/>
      <c r="M926" s="20"/>
      <c r="N926" s="20"/>
      <c r="O926" s="74"/>
      <c r="P926" s="74"/>
      <c r="Q926" s="20"/>
      <c r="R926" s="20"/>
      <c r="S926" s="20"/>
      <c r="T926" s="20"/>
      <c r="U926" s="20"/>
      <c r="V926" s="20"/>
      <c r="W926" s="20"/>
      <c r="X926" s="20"/>
    </row>
    <row r="927" spans="1:24">
      <c r="A927" s="1" t="s">
        <v>488</v>
      </c>
      <c r="B927" s="1"/>
      <c r="C927" s="21"/>
      <c r="D927" s="21"/>
      <c r="E927" s="298"/>
      <c r="F927" s="1"/>
      <c r="G927" s="412">
        <f t="shared" ref="G927:H929" si="72">G938+G949</f>
        <v>2349.2199999999998</v>
      </c>
      <c r="H927" s="412">
        <f t="shared" si="72"/>
        <v>2349.2199999999998</v>
      </c>
      <c r="I927" s="298"/>
      <c r="J927" s="1"/>
      <c r="K927" s="2">
        <f>G927</f>
        <v>2349.2199999999998</v>
      </c>
      <c r="M927" s="416">
        <f>K927</f>
        <v>2349.2199999999998</v>
      </c>
      <c r="N927" s="20"/>
      <c r="O927" s="74"/>
      <c r="P927" s="74"/>
      <c r="Q927" s="20"/>
      <c r="R927" s="20"/>
      <c r="S927" s="20"/>
      <c r="T927" s="20"/>
      <c r="U927" s="20"/>
      <c r="V927" s="20"/>
      <c r="W927" s="20"/>
      <c r="X927" s="20"/>
    </row>
    <row r="928" spans="1:24">
      <c r="A928" s="1" t="s">
        <v>495</v>
      </c>
      <c r="B928" s="1"/>
      <c r="C928" s="264">
        <f t="shared" ref="C928:D932" si="73">C939+C950</f>
        <v>127219</v>
      </c>
      <c r="D928" s="264">
        <f t="shared" si="73"/>
        <v>128106</v>
      </c>
      <c r="E928" s="413">
        <v>6.1459999999999999</v>
      </c>
      <c r="F928" s="1" t="s">
        <v>374</v>
      </c>
      <c r="G928" s="414">
        <f t="shared" si="72"/>
        <v>7819</v>
      </c>
      <c r="H928" s="414">
        <f t="shared" si="72"/>
        <v>7873</v>
      </c>
      <c r="I928" s="413">
        <v>6.1459999999999999</v>
      </c>
      <c r="J928" s="1" t="s">
        <v>374</v>
      </c>
      <c r="K928" s="2">
        <f>K939+K950</f>
        <v>7873</v>
      </c>
      <c r="M928" s="84">
        <f>(I928/100)*D928</f>
        <v>7873.3947600000001</v>
      </c>
      <c r="N928" s="20"/>
      <c r="O928" s="74"/>
      <c r="P928" s="74"/>
      <c r="Q928" s="20"/>
      <c r="R928" s="20"/>
      <c r="S928" s="20"/>
      <c r="T928" s="20"/>
      <c r="U928" s="20"/>
      <c r="V928" s="20"/>
      <c r="W928" s="20"/>
      <c r="X928" s="20"/>
    </row>
    <row r="929" spans="1:24">
      <c r="A929" s="1" t="s">
        <v>496</v>
      </c>
      <c r="B929" s="1"/>
      <c r="C929" s="264">
        <f t="shared" si="73"/>
        <v>4317144</v>
      </c>
      <c r="D929" s="264">
        <f t="shared" si="73"/>
        <v>4311224</v>
      </c>
      <c r="E929" s="421">
        <f>E928</f>
        <v>6.1459999999999999</v>
      </c>
      <c r="F929" s="1" t="s">
        <v>374</v>
      </c>
      <c r="G929" s="414">
        <f t="shared" si="72"/>
        <v>265332</v>
      </c>
      <c r="H929" s="414">
        <f t="shared" si="72"/>
        <v>264968</v>
      </c>
      <c r="I929" s="421">
        <f>I928</f>
        <v>6.1459999999999999</v>
      </c>
      <c r="J929" s="1" t="s">
        <v>374</v>
      </c>
      <c r="K929" s="2">
        <f>K940+K951</f>
        <v>264968</v>
      </c>
      <c r="M929" s="84">
        <f>(I929/100)*D929</f>
        <v>264967.82704</v>
      </c>
      <c r="N929" s="20"/>
      <c r="O929" s="74"/>
      <c r="P929" s="74"/>
      <c r="Q929" s="20"/>
      <c r="R929" s="20"/>
      <c r="S929" s="20"/>
      <c r="T929" s="20"/>
      <c r="U929" s="20"/>
      <c r="V929" s="20"/>
      <c r="W929" s="20"/>
      <c r="X929" s="20"/>
    </row>
    <row r="930" spans="1:24">
      <c r="A930" s="1" t="s">
        <v>362</v>
      </c>
      <c r="B930" s="1"/>
      <c r="C930" s="264">
        <f t="shared" si="73"/>
        <v>3268</v>
      </c>
      <c r="D930" s="264">
        <f t="shared" si="73"/>
        <v>3401</v>
      </c>
      <c r="E930" s="415"/>
      <c r="F930" s="1"/>
      <c r="G930" s="2"/>
      <c r="H930" s="2"/>
      <c r="I930" s="415"/>
      <c r="J930" s="1"/>
      <c r="K930" s="2"/>
      <c r="M930" s="20"/>
      <c r="N930" s="20"/>
      <c r="O930" s="74"/>
      <c r="P930" s="74"/>
      <c r="Q930" s="20"/>
      <c r="R930" s="20"/>
      <c r="S930" s="20"/>
      <c r="T930" s="20"/>
      <c r="U930" s="20"/>
      <c r="V930" s="20"/>
      <c r="W930" s="20"/>
      <c r="X930" s="20"/>
    </row>
    <row r="931" spans="1:24">
      <c r="A931" s="3" t="s">
        <v>491</v>
      </c>
      <c r="C931" s="264">
        <f t="shared" si="73"/>
        <v>4444363</v>
      </c>
      <c r="D931" s="264">
        <f t="shared" si="73"/>
        <v>4439329.75109665</v>
      </c>
      <c r="E931" s="269"/>
      <c r="F931" s="20"/>
      <c r="G931" s="272">
        <f>G942+G953</f>
        <v>275500.21999999997</v>
      </c>
      <c r="H931" s="272">
        <f>H942+H953</f>
        <v>275190.21999999997</v>
      </c>
      <c r="I931" s="269"/>
      <c r="J931" s="20"/>
      <c r="K931" s="272">
        <f>K942+K953</f>
        <v>275190.21999999997</v>
      </c>
      <c r="M931" s="416">
        <f>SUM(M927:M930)</f>
        <v>275190.44180000003</v>
      </c>
      <c r="N931" s="20"/>
      <c r="O931" s="74"/>
      <c r="P931" s="74"/>
      <c r="Q931" s="20"/>
      <c r="R931" s="20"/>
      <c r="S931" s="20"/>
      <c r="T931" s="20"/>
      <c r="U931" s="20"/>
      <c r="V931" s="20"/>
      <c r="W931" s="20"/>
      <c r="X931" s="20"/>
    </row>
    <row r="932" spans="1:24">
      <c r="A932" s="3" t="s">
        <v>492</v>
      </c>
      <c r="C932" s="264">
        <f t="shared" si="73"/>
        <v>55568.648757006318</v>
      </c>
      <c r="D932" s="264">
        <f t="shared" si="73"/>
        <v>0</v>
      </c>
      <c r="E932" s="269"/>
      <c r="F932" s="20"/>
      <c r="G932" s="272">
        <f>G943+G954</f>
        <v>3332.8497590767615</v>
      </c>
      <c r="H932" s="272">
        <f>H943+H954</f>
        <v>0</v>
      </c>
      <c r="I932" s="269"/>
      <c r="J932" s="20"/>
      <c r="K932" s="272">
        <f>K943+K954</f>
        <v>0</v>
      </c>
      <c r="M932" s="289"/>
      <c r="N932" s="289"/>
      <c r="O932" s="290"/>
      <c r="P932" s="74"/>
      <c r="S932" s="20"/>
      <c r="T932" s="20"/>
      <c r="U932" s="20"/>
      <c r="V932" s="20"/>
      <c r="W932" s="20"/>
      <c r="X932" s="20"/>
    </row>
    <row r="933" spans="1:24" ht="16.5" thickBot="1">
      <c r="A933" s="1" t="s">
        <v>9</v>
      </c>
      <c r="B933" s="1"/>
      <c r="C933" s="393">
        <f>C931+C932</f>
        <v>4499931.648757006</v>
      </c>
      <c r="D933" s="393">
        <f>D931+D932</f>
        <v>4439329.75109665</v>
      </c>
      <c r="E933" s="417"/>
      <c r="F933" s="418"/>
      <c r="G933" s="274">
        <f>G931+G932</f>
        <v>278833.06975907675</v>
      </c>
      <c r="H933" s="274">
        <f>H931+H932</f>
        <v>275190.21999999997</v>
      </c>
      <c r="I933" s="417"/>
      <c r="J933" s="418"/>
      <c r="K933" s="274">
        <f>K931+K932</f>
        <v>275190.21999999997</v>
      </c>
      <c r="M933" s="291"/>
      <c r="N933" s="277" t="s">
        <v>409</v>
      </c>
      <c r="O933" s="416" t="e">
        <f>#REF!*1000</f>
        <v>#REF!</v>
      </c>
      <c r="P933" s="74"/>
      <c r="S933" s="20"/>
      <c r="T933" s="20"/>
      <c r="U933" s="20"/>
      <c r="V933" s="20"/>
      <c r="W933" s="20"/>
      <c r="X933" s="20"/>
    </row>
    <row r="934" spans="1:24" ht="16.5" thickTop="1">
      <c r="A934" s="1"/>
      <c r="B934" s="1"/>
      <c r="C934" s="26"/>
      <c r="D934" s="26"/>
      <c r="E934" s="422"/>
      <c r="F934" s="23"/>
      <c r="G934" s="51"/>
      <c r="H934" s="51"/>
      <c r="I934" s="422" t="s">
        <v>31</v>
      </c>
      <c r="J934" s="23"/>
      <c r="K934" s="51" t="s">
        <v>31</v>
      </c>
      <c r="M934" s="20"/>
      <c r="N934" s="277" t="s">
        <v>263</v>
      </c>
      <c r="O934" s="416" t="e">
        <f>O933-K933</f>
        <v>#REF!</v>
      </c>
      <c r="P934" s="14" t="e">
        <f>(O933-K933)/K933</f>
        <v>#REF!</v>
      </c>
      <c r="Q934" s="20"/>
      <c r="R934" s="20"/>
      <c r="S934" s="20"/>
      <c r="T934" s="20"/>
      <c r="U934" s="20"/>
      <c r="V934" s="20"/>
      <c r="W934" s="20"/>
      <c r="X934" s="20"/>
    </row>
    <row r="935" spans="1:24">
      <c r="A935" s="293" t="s">
        <v>497</v>
      </c>
      <c r="B935" s="1"/>
      <c r="C935" s="1"/>
      <c r="D935" s="1"/>
      <c r="E935" s="1"/>
      <c r="F935" s="1"/>
      <c r="G935" s="1"/>
      <c r="H935" s="1"/>
      <c r="I935" s="1"/>
      <c r="J935" s="1"/>
      <c r="K935" s="1"/>
      <c r="M935" s="416"/>
      <c r="N935" s="416"/>
      <c r="O935" s="74"/>
      <c r="P935" s="74"/>
      <c r="Q935" s="20"/>
      <c r="R935" s="20"/>
      <c r="S935" s="20"/>
      <c r="T935" s="20"/>
      <c r="U935" s="20"/>
      <c r="V935" s="20"/>
      <c r="W935" s="20"/>
      <c r="X935" s="20"/>
    </row>
    <row r="936" spans="1:24">
      <c r="A936" s="1" t="s">
        <v>498</v>
      </c>
      <c r="B936" s="1"/>
      <c r="C936" s="1"/>
      <c r="D936" s="1"/>
      <c r="E936" s="1"/>
      <c r="F936" s="1"/>
      <c r="G936" s="1"/>
      <c r="H936" s="1"/>
      <c r="I936" s="1"/>
      <c r="J936" s="1"/>
      <c r="K936" s="1"/>
      <c r="M936" s="20"/>
      <c r="N936" s="20"/>
      <c r="O936" s="423" t="e">
        <f>O934/(H933-H927)</f>
        <v>#REF!</v>
      </c>
      <c r="P936" s="74"/>
      <c r="Q936" s="20"/>
      <c r="R936" s="20"/>
      <c r="S936" s="20"/>
      <c r="T936" s="20"/>
      <c r="U936" s="20"/>
      <c r="V936" s="20"/>
      <c r="W936" s="20"/>
      <c r="X936" s="20"/>
    </row>
    <row r="937" spans="1:24">
      <c r="A937" s="1"/>
      <c r="B937" s="1"/>
      <c r="C937" s="1"/>
      <c r="D937" s="1"/>
      <c r="E937" s="419"/>
      <c r="F937" s="1"/>
      <c r="G937" s="1"/>
      <c r="H937" s="1"/>
      <c r="I937" s="419"/>
      <c r="J937" s="1"/>
      <c r="K937" s="1"/>
      <c r="M937" s="20"/>
      <c r="N937" s="20"/>
      <c r="O937" s="74"/>
      <c r="P937" s="74"/>
      <c r="Q937" s="20"/>
      <c r="R937" s="20"/>
      <c r="S937" s="20"/>
      <c r="T937" s="20"/>
      <c r="U937" s="20"/>
      <c r="V937" s="20"/>
      <c r="W937" s="20"/>
      <c r="X937" s="20"/>
    </row>
    <row r="938" spans="1:24">
      <c r="A938" s="1" t="s">
        <v>488</v>
      </c>
      <c r="B938" s="1"/>
      <c r="C938" s="21"/>
      <c r="D938" s="21"/>
      <c r="E938" s="298"/>
      <c r="F938" s="1"/>
      <c r="G938" s="412">
        <v>2349.2199999999998</v>
      </c>
      <c r="H938" s="412">
        <v>2349.2199999999998</v>
      </c>
      <c r="I938" s="298"/>
      <c r="J938" s="1"/>
      <c r="K938" s="2">
        <f>G938</f>
        <v>2349.2199999999998</v>
      </c>
      <c r="M938" s="20"/>
      <c r="N938" s="20"/>
      <c r="O938" s="74"/>
      <c r="P938" s="74"/>
      <c r="Q938" s="20"/>
      <c r="R938" s="20"/>
      <c r="S938" s="20"/>
      <c r="T938" s="20"/>
      <c r="U938" s="20"/>
      <c r="V938" s="20"/>
      <c r="W938" s="20"/>
      <c r="X938" s="20"/>
    </row>
    <row r="939" spans="1:24">
      <c r="A939" s="1" t="s">
        <v>495</v>
      </c>
      <c r="B939" s="1"/>
      <c r="C939" s="264">
        <f>127219</f>
        <v>127219</v>
      </c>
      <c r="D939" s="319">
        <f>ROUND(($D$942/$C$942)*C939,0)</f>
        <v>128106</v>
      </c>
      <c r="E939" s="413">
        <v>6.1459999999999999</v>
      </c>
      <c r="F939" s="1" t="s">
        <v>374</v>
      </c>
      <c r="G939" s="414">
        <f>ROUND(C939*E939/100,0)</f>
        <v>7819</v>
      </c>
      <c r="H939" s="414">
        <f>ROUND(D939*E939/100,0)</f>
        <v>7873</v>
      </c>
      <c r="I939" s="382">
        <f>I928</f>
        <v>6.1459999999999999</v>
      </c>
      <c r="J939" s="1" t="s">
        <v>374</v>
      </c>
      <c r="K939" s="2">
        <f>ROUND(I939*D939/100,0)</f>
        <v>7873</v>
      </c>
      <c r="M939" s="20"/>
      <c r="N939" s="20"/>
      <c r="O939" s="74"/>
      <c r="P939" s="74"/>
      <c r="Q939" s="20"/>
      <c r="R939" s="20"/>
      <c r="S939" s="20"/>
      <c r="T939" s="20"/>
      <c r="U939" s="20"/>
      <c r="V939" s="20"/>
      <c r="W939" s="20"/>
      <c r="X939" s="20"/>
    </row>
    <row r="940" spans="1:24">
      <c r="A940" s="1" t="s">
        <v>496</v>
      </c>
      <c r="B940" s="1"/>
      <c r="C940" s="264">
        <f>3303301</f>
        <v>3303301</v>
      </c>
      <c r="D940" s="319">
        <f>ROUND(($D$942/$C$942)*C940,0)</f>
        <v>3326331</v>
      </c>
      <c r="E940" s="421">
        <f>E939</f>
        <v>6.1459999999999999</v>
      </c>
      <c r="F940" s="1" t="s">
        <v>374</v>
      </c>
      <c r="G940" s="414">
        <f>ROUND(C940*E940/100,0)</f>
        <v>203021</v>
      </c>
      <c r="H940" s="414">
        <f>ROUND(D940*E940/100,0)</f>
        <v>204436</v>
      </c>
      <c r="I940" s="424">
        <f>I939</f>
        <v>6.1459999999999999</v>
      </c>
      <c r="J940" s="1" t="s">
        <v>374</v>
      </c>
      <c r="K940" s="2">
        <f>ROUND(I940*D940/100,0)</f>
        <v>204436</v>
      </c>
      <c r="M940" s="20"/>
      <c r="N940" s="20"/>
      <c r="O940" s="74"/>
      <c r="P940" s="74"/>
      <c r="Q940" s="20"/>
      <c r="R940" s="20"/>
      <c r="S940" s="20"/>
      <c r="T940" s="20"/>
      <c r="U940" s="20"/>
      <c r="V940" s="20"/>
      <c r="W940" s="20"/>
      <c r="X940" s="20"/>
    </row>
    <row r="941" spans="1:24">
      <c r="A941" s="1" t="s">
        <v>362</v>
      </c>
      <c r="B941" s="1"/>
      <c r="C941" s="264">
        <f>60+2185</f>
        <v>2245</v>
      </c>
      <c r="D941" s="319">
        <v>2369</v>
      </c>
      <c r="E941" s="415"/>
      <c r="F941" s="1"/>
      <c r="G941" s="2"/>
      <c r="H941" s="2"/>
      <c r="I941" s="415"/>
      <c r="J941" s="1"/>
      <c r="K941" s="2"/>
      <c r="M941" s="20"/>
      <c r="N941" s="20"/>
      <c r="O941" s="74"/>
      <c r="P941" s="74"/>
      <c r="Q941" s="20"/>
      <c r="R941" s="20"/>
      <c r="S941" s="20"/>
      <c r="T941" s="20"/>
      <c r="U941" s="20"/>
      <c r="V941" s="20"/>
      <c r="W941" s="20"/>
      <c r="X941" s="20"/>
    </row>
    <row r="942" spans="1:24">
      <c r="A942" s="3" t="s">
        <v>491</v>
      </c>
      <c r="C942" s="264">
        <f>C939+C940</f>
        <v>3430520</v>
      </c>
      <c r="D942" s="264">
        <v>3454436.4805654008</v>
      </c>
      <c r="E942" s="269"/>
      <c r="F942" s="20"/>
      <c r="G942" s="272">
        <f>SUM(G938:G940)</f>
        <v>213189.22</v>
      </c>
      <c r="H942" s="272">
        <f>SUM(H938:H940)</f>
        <v>214658.22</v>
      </c>
      <c r="I942" s="269"/>
      <c r="J942" s="20"/>
      <c r="K942" s="272">
        <f>SUM(K938:K940)</f>
        <v>214658.22</v>
      </c>
      <c r="M942" s="20"/>
      <c r="N942" s="20"/>
      <c r="O942" s="74"/>
      <c r="P942" s="74"/>
      <c r="Q942" s="20"/>
      <c r="R942" s="20"/>
      <c r="S942" s="20"/>
      <c r="T942" s="20"/>
      <c r="U942" s="20"/>
      <c r="V942" s="20"/>
      <c r="W942" s="20"/>
      <c r="X942" s="20"/>
    </row>
    <row r="943" spans="1:24">
      <c r="A943" s="3" t="s">
        <v>492</v>
      </c>
      <c r="C943" s="264">
        <v>42879.146799479597</v>
      </c>
      <c r="D943" s="264">
        <v>0</v>
      </c>
      <c r="E943" s="269"/>
      <c r="F943" s="20"/>
      <c r="G943" s="272">
        <v>2578.7840543150201</v>
      </c>
      <c r="H943" s="272">
        <v>0</v>
      </c>
      <c r="I943" s="269"/>
      <c r="J943" s="20"/>
      <c r="K943" s="272">
        <v>0</v>
      </c>
      <c r="M943" s="289"/>
      <c r="N943" s="289"/>
      <c r="O943" s="290"/>
      <c r="P943" s="74"/>
      <c r="Q943" s="20"/>
      <c r="R943" s="20"/>
      <c r="S943" s="20"/>
      <c r="T943" s="20"/>
      <c r="U943" s="20"/>
      <c r="V943" s="20"/>
      <c r="W943" s="20"/>
      <c r="X943" s="20"/>
    </row>
    <row r="944" spans="1:24" ht="16.5" thickBot="1">
      <c r="A944" s="1" t="s">
        <v>9</v>
      </c>
      <c r="B944" s="1"/>
      <c r="C944" s="393">
        <f>C942+C943</f>
        <v>3473399.1467994796</v>
      </c>
      <c r="D944" s="393">
        <f>D942+D943</f>
        <v>3454436.4805654008</v>
      </c>
      <c r="E944" s="417"/>
      <c r="F944" s="418"/>
      <c r="G944" s="274">
        <f>G942+G943</f>
        <v>215768.00405431501</v>
      </c>
      <c r="H944" s="274">
        <f>H942+H943</f>
        <v>214658.22</v>
      </c>
      <c r="I944" s="417"/>
      <c r="J944" s="418"/>
      <c r="K944" s="274">
        <f>K942+K943</f>
        <v>214658.22</v>
      </c>
      <c r="M944" s="291"/>
      <c r="N944" s="291"/>
      <c r="O944" s="292"/>
      <c r="P944" s="74"/>
      <c r="Q944" s="20"/>
      <c r="R944" s="20"/>
      <c r="S944" s="20"/>
      <c r="T944" s="20"/>
      <c r="U944" s="20"/>
      <c r="V944" s="20"/>
      <c r="W944" s="20"/>
      <c r="X944" s="20"/>
    </row>
    <row r="945" spans="1:24" ht="16.5" thickTop="1">
      <c r="A945" s="1"/>
      <c r="B945" s="1"/>
      <c r="C945" s="26"/>
      <c r="D945" s="26"/>
      <c r="E945" s="422"/>
      <c r="F945" s="23"/>
      <c r="G945" s="51"/>
      <c r="H945" s="51"/>
      <c r="I945" s="422" t="s">
        <v>31</v>
      </c>
      <c r="J945" s="23"/>
      <c r="K945" s="51" t="s">
        <v>31</v>
      </c>
      <c r="M945" s="20"/>
      <c r="N945" s="20"/>
      <c r="O945" s="74"/>
      <c r="P945" s="74"/>
      <c r="Q945" s="20"/>
      <c r="R945" s="20"/>
      <c r="S945" s="20"/>
      <c r="T945" s="20"/>
      <c r="U945" s="20"/>
      <c r="V945" s="20"/>
      <c r="W945" s="20"/>
      <c r="X945" s="20"/>
    </row>
    <row r="946" spans="1:24">
      <c r="A946" s="293" t="s">
        <v>499</v>
      </c>
      <c r="B946" s="1"/>
      <c r="C946" s="1"/>
      <c r="D946" s="1"/>
      <c r="E946" s="1"/>
      <c r="F946" s="1"/>
      <c r="G946" s="1"/>
      <c r="H946" s="1"/>
      <c r="I946" s="1"/>
      <c r="J946" s="1"/>
      <c r="K946" s="1"/>
      <c r="M946" s="20"/>
      <c r="N946" s="20"/>
      <c r="O946" s="74"/>
      <c r="P946" s="74"/>
      <c r="Q946" s="20"/>
      <c r="R946" s="20"/>
      <c r="S946" s="20"/>
      <c r="T946" s="20"/>
      <c r="U946" s="20"/>
      <c r="V946" s="20"/>
      <c r="W946" s="20"/>
      <c r="X946" s="20"/>
    </row>
    <row r="947" spans="1:24">
      <c r="A947" s="1" t="s">
        <v>500</v>
      </c>
      <c r="B947" s="1"/>
      <c r="C947" s="1"/>
      <c r="D947" s="1"/>
      <c r="E947" s="1"/>
      <c r="F947" s="1"/>
      <c r="G947" s="1"/>
      <c r="H947" s="1"/>
      <c r="I947" s="1"/>
      <c r="J947" s="1"/>
      <c r="K947" s="1"/>
      <c r="M947" s="20"/>
      <c r="N947" s="20"/>
      <c r="O947" s="74"/>
      <c r="P947" s="74"/>
      <c r="Q947" s="20"/>
      <c r="R947" s="20"/>
      <c r="S947" s="20"/>
      <c r="T947" s="20"/>
      <c r="U947" s="20"/>
      <c r="V947" s="20"/>
      <c r="W947" s="20"/>
      <c r="X947" s="20"/>
    </row>
    <row r="948" spans="1:24">
      <c r="A948" s="1"/>
      <c r="B948" s="1"/>
      <c r="C948" s="1"/>
      <c r="D948" s="1"/>
      <c r="E948" s="419"/>
      <c r="F948" s="1"/>
      <c r="G948" s="1"/>
      <c r="H948" s="1"/>
      <c r="I948" s="419"/>
      <c r="J948" s="1"/>
      <c r="K948" s="1"/>
      <c r="M948" s="20"/>
      <c r="N948" s="20"/>
      <c r="O948" s="74"/>
      <c r="P948" s="74"/>
      <c r="Q948" s="20"/>
      <c r="R948" s="20"/>
      <c r="S948" s="20"/>
      <c r="T948" s="20"/>
      <c r="U948" s="20"/>
      <c r="V948" s="20"/>
      <c r="W948" s="20"/>
      <c r="X948" s="20"/>
    </row>
    <row r="949" spans="1:24">
      <c r="A949" s="1" t="s">
        <v>488</v>
      </c>
      <c r="B949" s="1"/>
      <c r="C949" s="21"/>
      <c r="D949" s="21"/>
      <c r="E949" s="298"/>
      <c r="F949" s="1"/>
      <c r="G949" s="412">
        <v>0</v>
      </c>
      <c r="H949" s="412">
        <v>0</v>
      </c>
      <c r="I949" s="298"/>
      <c r="J949" s="1"/>
      <c r="K949" s="2">
        <f>G949</f>
        <v>0</v>
      </c>
      <c r="M949" s="20"/>
      <c r="N949" s="20"/>
      <c r="O949" s="74"/>
      <c r="P949" s="74"/>
      <c r="Q949" s="20"/>
      <c r="R949" s="20"/>
      <c r="S949" s="20"/>
      <c r="T949" s="20"/>
      <c r="U949" s="20"/>
      <c r="V949" s="20"/>
      <c r="W949" s="20"/>
      <c r="X949" s="20"/>
    </row>
    <row r="950" spans="1:24">
      <c r="A950" s="1" t="s">
        <v>495</v>
      </c>
      <c r="B950" s="1"/>
      <c r="C950" s="264">
        <v>0</v>
      </c>
      <c r="D950" s="319">
        <f>ROUND(($D$953/$C$953)*C950,0)</f>
        <v>0</v>
      </c>
      <c r="E950" s="413">
        <v>6.1459999999999999</v>
      </c>
      <c r="F950" s="1" t="s">
        <v>374</v>
      </c>
      <c r="G950" s="414">
        <f>ROUND(C950*E950/100,0)</f>
        <v>0</v>
      </c>
      <c r="H950" s="414">
        <f>ROUND(D950*E950/100,0)</f>
        <v>0</v>
      </c>
      <c r="I950" s="382">
        <f>I928</f>
        <v>6.1459999999999999</v>
      </c>
      <c r="J950" s="1" t="s">
        <v>374</v>
      </c>
      <c r="K950" s="2">
        <f>ROUND(I950*D950/100,0)</f>
        <v>0</v>
      </c>
      <c r="M950" s="20"/>
      <c r="N950" s="20"/>
      <c r="O950" s="74"/>
      <c r="P950" s="74"/>
      <c r="Q950" s="20"/>
      <c r="R950" s="20"/>
      <c r="S950" s="20"/>
      <c r="T950" s="20"/>
      <c r="U950" s="20"/>
      <c r="V950" s="20"/>
      <c r="W950" s="20"/>
      <c r="X950" s="20"/>
    </row>
    <row r="951" spans="1:24">
      <c r="A951" s="1" t="s">
        <v>496</v>
      </c>
      <c r="B951" s="1"/>
      <c r="C951" s="264">
        <f>1013843</f>
        <v>1013843</v>
      </c>
      <c r="D951" s="319">
        <f>ROUND(($D$953/$C$953)*C951,0)</f>
        <v>984893</v>
      </c>
      <c r="E951" s="421">
        <f>E950</f>
        <v>6.1459999999999999</v>
      </c>
      <c r="F951" s="1" t="s">
        <v>374</v>
      </c>
      <c r="G951" s="414">
        <f>ROUND(C951*E951/100,0)</f>
        <v>62311</v>
      </c>
      <c r="H951" s="414">
        <f>ROUND(D951*E951/100,0)</f>
        <v>60532</v>
      </c>
      <c r="I951" s="424">
        <f>I950</f>
        <v>6.1459999999999999</v>
      </c>
      <c r="J951" s="1" t="s">
        <v>374</v>
      </c>
      <c r="K951" s="2">
        <f>ROUND(I951*D951/100,0)</f>
        <v>60532</v>
      </c>
      <c r="M951" s="20"/>
      <c r="N951" s="20"/>
      <c r="O951" s="74"/>
      <c r="P951" s="74"/>
      <c r="Q951" s="20"/>
      <c r="R951" s="20"/>
      <c r="S951" s="20"/>
      <c r="T951" s="20"/>
      <c r="U951" s="20"/>
      <c r="V951" s="20"/>
      <c r="W951" s="20"/>
      <c r="X951" s="20"/>
    </row>
    <row r="952" spans="1:24">
      <c r="A952" s="1" t="s">
        <v>362</v>
      </c>
      <c r="B952" s="1"/>
      <c r="C952" s="264">
        <f>1023</f>
        <v>1023</v>
      </c>
      <c r="D952" s="319">
        <v>1032</v>
      </c>
      <c r="E952" s="415"/>
      <c r="F952" s="1"/>
      <c r="G952" s="2"/>
      <c r="H952" s="2"/>
      <c r="I952" s="415"/>
      <c r="J952" s="1"/>
      <c r="K952" s="2"/>
      <c r="M952" s="20"/>
      <c r="N952" s="20"/>
      <c r="O952" s="74"/>
      <c r="P952" s="74"/>
      <c r="Q952" s="20"/>
      <c r="R952" s="20"/>
      <c r="S952" s="20"/>
      <c r="T952" s="20"/>
      <c r="U952" s="20"/>
      <c r="V952" s="20"/>
      <c r="W952" s="20"/>
      <c r="X952" s="20"/>
    </row>
    <row r="953" spans="1:24">
      <c r="A953" s="3" t="s">
        <v>491</v>
      </c>
      <c r="C953" s="264">
        <f>C950+C951</f>
        <v>1013843</v>
      </c>
      <c r="D953" s="264">
        <v>984893.270531249</v>
      </c>
      <c r="E953" s="269"/>
      <c r="F953" s="20"/>
      <c r="G953" s="272">
        <f>SUM(G949:G951)</f>
        <v>62311</v>
      </c>
      <c r="H953" s="272">
        <f>SUM(H949:H951)</f>
        <v>60532</v>
      </c>
      <c r="I953" s="269"/>
      <c r="J953" s="20"/>
      <c r="K953" s="272">
        <f>SUM(K949:K951)</f>
        <v>60532</v>
      </c>
      <c r="M953" s="20"/>
      <c r="N953" s="20"/>
      <c r="O953" s="74"/>
      <c r="P953" s="74"/>
      <c r="Q953" s="20"/>
      <c r="R953" s="20"/>
      <c r="S953" s="20"/>
      <c r="T953" s="20"/>
      <c r="U953" s="20"/>
      <c r="V953" s="20"/>
      <c r="W953" s="20"/>
      <c r="X953" s="20"/>
    </row>
    <row r="954" spans="1:24">
      <c r="A954" s="3" t="s">
        <v>492</v>
      </c>
      <c r="C954" s="264">
        <v>12689.501957526723</v>
      </c>
      <c r="D954" s="264">
        <v>0</v>
      </c>
      <c r="E954" s="269"/>
      <c r="F954" s="20"/>
      <c r="G954" s="272">
        <v>754.06570476174147</v>
      </c>
      <c r="H954" s="272">
        <v>0</v>
      </c>
      <c r="I954" s="269"/>
      <c r="J954" s="20"/>
      <c r="K954" s="272">
        <v>0</v>
      </c>
      <c r="M954" s="289"/>
      <c r="N954" s="289"/>
      <c r="O954" s="290"/>
      <c r="P954" s="74"/>
      <c r="Q954" s="20"/>
      <c r="R954" s="20"/>
      <c r="S954" s="20"/>
      <c r="T954" s="20"/>
      <c r="U954" s="20"/>
      <c r="V954" s="20"/>
      <c r="W954" s="20"/>
      <c r="X954" s="20"/>
    </row>
    <row r="955" spans="1:24" ht="16.5" thickBot="1">
      <c r="A955" s="1" t="s">
        <v>9</v>
      </c>
      <c r="B955" s="1"/>
      <c r="C955" s="393">
        <f>C953+C954</f>
        <v>1026532.5019575268</v>
      </c>
      <c r="D955" s="393">
        <f>D953+D954</f>
        <v>984893.270531249</v>
      </c>
      <c r="E955" s="417"/>
      <c r="F955" s="418"/>
      <c r="G955" s="274">
        <f>G953+G954</f>
        <v>63065.065704761742</v>
      </c>
      <c r="H955" s="274">
        <f>H953+H954</f>
        <v>60532</v>
      </c>
      <c r="I955" s="417"/>
      <c r="J955" s="418"/>
      <c r="K955" s="274">
        <f>K953+K954</f>
        <v>60532</v>
      </c>
      <c r="M955" s="291"/>
      <c r="N955" s="291"/>
      <c r="O955" s="292"/>
      <c r="P955" s="74"/>
      <c r="Q955" s="20"/>
      <c r="R955" s="20"/>
      <c r="S955" s="20"/>
      <c r="T955" s="20"/>
      <c r="U955" s="20"/>
      <c r="V955" s="20"/>
      <c r="W955" s="20"/>
      <c r="X955" s="20"/>
    </row>
    <row r="956" spans="1:24" ht="16.5" thickTop="1">
      <c r="A956" s="1"/>
      <c r="B956" s="1"/>
      <c r="C956" s="26"/>
      <c r="D956" s="26"/>
      <c r="E956" s="422"/>
      <c r="F956" s="23"/>
      <c r="G956" s="51"/>
      <c r="H956" s="51"/>
      <c r="I956" s="422" t="s">
        <v>31</v>
      </c>
      <c r="J956" s="23"/>
      <c r="K956" s="51" t="s">
        <v>31</v>
      </c>
      <c r="M956" s="20"/>
      <c r="N956" s="20"/>
      <c r="O956" s="74"/>
      <c r="P956" s="74"/>
      <c r="Q956" s="20"/>
      <c r="R956" s="20"/>
      <c r="S956" s="20"/>
      <c r="T956" s="20"/>
      <c r="U956" s="20"/>
      <c r="V956" s="20"/>
      <c r="W956" s="20"/>
      <c r="X956" s="20"/>
    </row>
    <row r="957" spans="1:24">
      <c r="A957" s="293" t="s">
        <v>501</v>
      </c>
      <c r="B957" s="1"/>
      <c r="C957" s="1"/>
      <c r="D957" s="1"/>
      <c r="E957" s="1"/>
      <c r="F957" s="1"/>
      <c r="G957" s="1"/>
      <c r="H957" s="1"/>
      <c r="I957" s="1"/>
      <c r="J957" s="1"/>
      <c r="K957" s="1" t="s">
        <v>31</v>
      </c>
      <c r="M957" s="20"/>
      <c r="N957" s="20"/>
      <c r="O957" s="74"/>
      <c r="P957" s="74"/>
      <c r="Q957" s="20"/>
      <c r="R957" s="20"/>
      <c r="S957" s="20"/>
      <c r="T957" s="20"/>
      <c r="U957" s="20"/>
      <c r="V957" s="20"/>
      <c r="W957" s="20"/>
      <c r="X957" s="20"/>
    </row>
    <row r="958" spans="1:24">
      <c r="A958" s="1" t="s">
        <v>192</v>
      </c>
      <c r="B958" s="1"/>
      <c r="C958" s="1"/>
      <c r="D958" s="1"/>
      <c r="E958" s="1"/>
      <c r="F958" s="1"/>
      <c r="G958" s="1"/>
      <c r="H958" s="1"/>
      <c r="I958" s="1"/>
      <c r="J958" s="1"/>
      <c r="K958" s="1"/>
      <c r="M958" s="20"/>
      <c r="N958" s="20"/>
      <c r="O958" s="74"/>
      <c r="P958" s="74"/>
      <c r="Q958" s="20"/>
      <c r="R958" s="20"/>
      <c r="S958" s="20"/>
      <c r="T958" s="20"/>
      <c r="U958" s="20"/>
      <c r="V958" s="20"/>
      <c r="W958" s="20"/>
      <c r="X958" s="20"/>
    </row>
    <row r="959" spans="1:2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M959" s="20"/>
      <c r="N959" s="20"/>
      <c r="O959" s="74"/>
      <c r="P959" s="74"/>
      <c r="Q959" s="20"/>
      <c r="R959" s="20"/>
      <c r="S959" s="20"/>
      <c r="T959" s="20"/>
      <c r="U959" s="20"/>
      <c r="V959" s="20"/>
      <c r="W959" s="20"/>
      <c r="X959" s="20"/>
    </row>
    <row r="960" spans="1:24">
      <c r="A960" s="1" t="s">
        <v>502</v>
      </c>
      <c r="B960" s="1"/>
      <c r="C960" s="21">
        <v>192</v>
      </c>
      <c r="D960" s="319">
        <v>191</v>
      </c>
      <c r="E960" s="298">
        <v>3.5</v>
      </c>
      <c r="F960" s="1"/>
      <c r="G960" s="2">
        <f>ROUND(E960*C960,0)</f>
        <v>672</v>
      </c>
      <c r="H960" s="2">
        <f>ROUND(E960*D960,0)</f>
        <v>669</v>
      </c>
      <c r="I960" s="298">
        <v>3.5</v>
      </c>
      <c r="J960" s="1"/>
      <c r="K960" s="2">
        <f>ROUND(I960*D960,0)</f>
        <v>669</v>
      </c>
      <c r="M960" s="84">
        <f>I960*D960</f>
        <v>668.5</v>
      </c>
      <c r="N960" s="20"/>
      <c r="O960" s="425"/>
      <c r="P960" s="425"/>
      <c r="Q960" s="20"/>
      <c r="R960" s="20"/>
      <c r="S960" s="20"/>
      <c r="T960" s="20"/>
      <c r="U960" s="20"/>
      <c r="V960" s="20"/>
      <c r="W960" s="20"/>
      <c r="X960" s="20"/>
    </row>
    <row r="961" spans="1:28">
      <c r="A961" s="1" t="s">
        <v>503</v>
      </c>
      <c r="B961" s="1"/>
      <c r="C961" s="21">
        <v>144</v>
      </c>
      <c r="D961" s="319">
        <v>144</v>
      </c>
      <c r="E961" s="298">
        <v>6.5</v>
      </c>
      <c r="F961" s="1"/>
      <c r="G961" s="2">
        <f>ROUND(E961*C961,0)</f>
        <v>936</v>
      </c>
      <c r="H961" s="2">
        <f>ROUND(E961*D961,0)</f>
        <v>936</v>
      </c>
      <c r="I961" s="298">
        <v>6.5</v>
      </c>
      <c r="J961" s="1"/>
      <c r="K961" s="2">
        <f>ROUND(I961*D961,0)</f>
        <v>936</v>
      </c>
      <c r="M961" s="84">
        <f>I961*D961</f>
        <v>936</v>
      </c>
      <c r="N961" s="20"/>
      <c r="O961" s="425"/>
      <c r="P961" s="425"/>
      <c r="Q961" s="20"/>
      <c r="R961" s="20"/>
      <c r="S961" s="20"/>
      <c r="T961" s="20"/>
      <c r="U961" s="20"/>
      <c r="V961" s="20"/>
      <c r="W961" s="20"/>
      <c r="X961" s="20"/>
    </row>
    <row r="962" spans="1:28">
      <c r="A962" s="1" t="s">
        <v>504</v>
      </c>
      <c r="B962" s="1"/>
      <c r="C962" s="21">
        <f>SUM(C960:C961)</f>
        <v>336</v>
      </c>
      <c r="D962" s="319">
        <v>335</v>
      </c>
      <c r="E962" s="374"/>
      <c r="F962" s="1"/>
      <c r="G962" s="414"/>
      <c r="H962" s="414"/>
      <c r="I962" s="374"/>
      <c r="J962" s="1"/>
      <c r="K962" s="2"/>
      <c r="M962" s="20"/>
      <c r="N962" s="20"/>
      <c r="O962" s="425"/>
      <c r="P962" s="425"/>
      <c r="Q962" s="20"/>
      <c r="R962" s="20"/>
      <c r="S962" s="20"/>
      <c r="T962" s="20"/>
      <c r="U962" s="20"/>
      <c r="V962" s="20"/>
      <c r="W962" s="20"/>
      <c r="X962" s="20"/>
    </row>
    <row r="963" spans="1:28">
      <c r="A963" s="1" t="s">
        <v>464</v>
      </c>
      <c r="B963" s="1"/>
      <c r="C963" s="21">
        <f>94703+138152</f>
        <v>232855</v>
      </c>
      <c r="D963" s="319">
        <v>235030</v>
      </c>
      <c r="E963" s="426">
        <v>7.2930000000000001</v>
      </c>
      <c r="F963" s="1" t="s">
        <v>374</v>
      </c>
      <c r="G963" s="414">
        <f>ROUND(C963*E963/100,0)</f>
        <v>16982</v>
      </c>
      <c r="H963" s="414">
        <f>ROUND(D963*E963/100,0)</f>
        <v>17141</v>
      </c>
      <c r="I963" s="426">
        <v>7.2930000000000001</v>
      </c>
      <c r="J963" s="2" t="s">
        <v>374</v>
      </c>
      <c r="K963" s="2">
        <f>ROUND(I963*D963/100,0)</f>
        <v>17141</v>
      </c>
      <c r="M963" s="84">
        <f>(I963/100)*D963</f>
        <v>17140.7379</v>
      </c>
      <c r="N963" s="20"/>
      <c r="O963" s="425"/>
      <c r="P963" s="425"/>
      <c r="Q963" s="20"/>
      <c r="R963" s="20"/>
      <c r="S963" s="20"/>
      <c r="T963" s="20"/>
      <c r="U963" s="20"/>
      <c r="V963" s="20"/>
      <c r="W963" s="20"/>
      <c r="X963" s="20"/>
    </row>
    <row r="964" spans="1:28">
      <c r="A964" s="1" t="s">
        <v>381</v>
      </c>
      <c r="B964" s="1"/>
      <c r="C964" s="319">
        <f>SUM(C963)</f>
        <v>232855</v>
      </c>
      <c r="D964" s="319">
        <f>SUM(D963)</f>
        <v>235030</v>
      </c>
      <c r="E964" s="21"/>
      <c r="F964" s="21"/>
      <c r="G964" s="414">
        <f>SUM(G960:G963)</f>
        <v>18590</v>
      </c>
      <c r="H964" s="414">
        <f>SUM(H960:H963)</f>
        <v>18746</v>
      </c>
      <c r="I964" s="21"/>
      <c r="J964" s="2"/>
      <c r="K964" s="414">
        <f>SUM(K960:K963)</f>
        <v>18746</v>
      </c>
      <c r="M964" s="416">
        <f>SUM(M960:M963)</f>
        <v>18745.2379</v>
      </c>
      <c r="N964" s="20"/>
      <c r="O964" s="74"/>
      <c r="P964" s="74"/>
      <c r="Q964" s="20"/>
      <c r="R964" s="20"/>
      <c r="S964" s="20"/>
      <c r="T964" s="20"/>
      <c r="U964" s="20"/>
      <c r="V964" s="20"/>
      <c r="W964" s="20"/>
      <c r="X964" s="20"/>
    </row>
    <row r="965" spans="1:28">
      <c r="A965" s="1" t="s">
        <v>363</v>
      </c>
      <c r="B965" s="1"/>
      <c r="C965" s="349">
        <v>1006.7724689934877</v>
      </c>
      <c r="D965" s="349">
        <v>0</v>
      </c>
      <c r="E965" s="427"/>
      <c r="F965" s="427"/>
      <c r="G965" s="428">
        <v>69.249899021408055</v>
      </c>
      <c r="H965" s="428">
        <v>0</v>
      </c>
      <c r="I965" s="427"/>
      <c r="J965" s="427"/>
      <c r="K965" s="428">
        <v>0</v>
      </c>
      <c r="M965" s="289"/>
      <c r="N965" s="289"/>
      <c r="O965" s="290"/>
      <c r="P965" s="74"/>
      <c r="S965" s="20"/>
      <c r="T965" s="20"/>
      <c r="U965" s="20"/>
      <c r="V965" s="20"/>
      <c r="W965" s="20"/>
      <c r="X965" s="20"/>
    </row>
    <row r="966" spans="1:28" ht="16.5" thickBot="1">
      <c r="A966" s="1" t="s">
        <v>382</v>
      </c>
      <c r="B966" s="1"/>
      <c r="C966" s="366">
        <f>C964+C965</f>
        <v>233861.7724689935</v>
      </c>
      <c r="D966" s="366">
        <f>D963+D965</f>
        <v>235030</v>
      </c>
      <c r="E966" s="345"/>
      <c r="F966" s="345"/>
      <c r="G966" s="312">
        <f>G964+G965</f>
        <v>18659.249899021408</v>
      </c>
      <c r="H966" s="312">
        <f>H964+H965</f>
        <v>18746</v>
      </c>
      <c r="I966" s="345"/>
      <c r="J966" s="345"/>
      <c r="K966" s="312">
        <f>K964+K965</f>
        <v>18746</v>
      </c>
      <c r="M966" s="291"/>
      <c r="N966" s="277" t="s">
        <v>409</v>
      </c>
      <c r="O966" s="429" t="e">
        <f>#REF!*1000</f>
        <v>#REF!</v>
      </c>
      <c r="P966" s="74"/>
      <c r="S966" s="20"/>
      <c r="T966" s="20"/>
      <c r="U966" s="20"/>
      <c r="V966" s="20"/>
      <c r="W966" s="20"/>
      <c r="X966" s="20"/>
    </row>
    <row r="967" spans="1:28" ht="16.5" thickTop="1">
      <c r="A967" s="1"/>
      <c r="B967" s="313"/>
      <c r="C967" s="1"/>
      <c r="D967" s="1"/>
      <c r="E967" s="1"/>
      <c r="F967" s="1"/>
      <c r="G967" s="1"/>
      <c r="H967" s="1"/>
      <c r="I967" s="1" t="s">
        <v>31</v>
      </c>
      <c r="J967" s="1"/>
      <c r="K967" s="2" t="s">
        <v>31</v>
      </c>
      <c r="M967" s="20"/>
      <c r="N967" s="277" t="s">
        <v>263</v>
      </c>
      <c r="O967" s="416" t="e">
        <f>O966-K966</f>
        <v>#REF!</v>
      </c>
      <c r="P967" s="276" t="e">
        <f>(O966-K966)/K966</f>
        <v>#REF!</v>
      </c>
      <c r="Q967" s="20"/>
      <c r="R967" s="20"/>
      <c r="S967" s="20"/>
      <c r="T967" s="20"/>
      <c r="U967" s="20"/>
      <c r="V967" s="20"/>
      <c r="W967" s="20"/>
      <c r="X967" s="20"/>
    </row>
    <row r="968" spans="1:28">
      <c r="A968" s="262" t="s">
        <v>505</v>
      </c>
      <c r="B968" s="303"/>
      <c r="C968" s="303"/>
      <c r="D968" s="303"/>
      <c r="E968" s="303"/>
      <c r="F968" s="303"/>
      <c r="G968" s="303"/>
      <c r="H968" s="303"/>
      <c r="I968" s="303"/>
      <c r="J968" s="303"/>
      <c r="K968" s="303"/>
    </row>
    <row r="969" spans="1:28">
      <c r="A969" s="303" t="s">
        <v>506</v>
      </c>
      <c r="B969" s="303"/>
      <c r="C969" s="303"/>
      <c r="D969" s="303"/>
      <c r="E969" s="303"/>
      <c r="F969" s="303"/>
      <c r="G969" s="303"/>
      <c r="H969" s="303"/>
      <c r="I969" s="303"/>
      <c r="J969" s="303"/>
      <c r="K969" s="303"/>
      <c r="M969" s="277"/>
      <c r="N969" s="277"/>
      <c r="O969" s="277"/>
      <c r="P969" s="277"/>
      <c r="Q969" s="277"/>
      <c r="R969" s="277"/>
      <c r="S969" s="277"/>
      <c r="T969" s="277"/>
      <c r="U969" s="277"/>
      <c r="V969" s="277"/>
      <c r="W969" s="277"/>
      <c r="X969" s="277"/>
    </row>
    <row r="970" spans="1:28">
      <c r="A970" s="430" t="s">
        <v>507</v>
      </c>
      <c r="B970" s="303"/>
      <c r="C970" s="303"/>
      <c r="D970" s="303"/>
      <c r="E970" s="303"/>
      <c r="F970" s="303"/>
      <c r="G970" s="303"/>
      <c r="H970" s="303"/>
      <c r="I970" s="303"/>
      <c r="J970" s="303"/>
      <c r="K970" s="303"/>
      <c r="M970" s="277"/>
      <c r="N970" s="277"/>
      <c r="O970" s="277"/>
      <c r="P970" s="277"/>
      <c r="Q970" s="277"/>
      <c r="R970" s="277"/>
      <c r="S970" s="277"/>
      <c r="T970" s="277"/>
      <c r="U970" s="277"/>
      <c r="V970" s="277"/>
      <c r="W970" s="277"/>
      <c r="X970" s="277"/>
    </row>
    <row r="971" spans="1:28">
      <c r="A971" s="3" t="s">
        <v>508</v>
      </c>
      <c r="G971" s="263"/>
      <c r="H971" s="263"/>
      <c r="M971" s="277"/>
      <c r="N971" s="280"/>
      <c r="O971" s="280"/>
      <c r="P971" s="74"/>
      <c r="Q971" s="279"/>
      <c r="R971" s="280"/>
      <c r="S971" s="431"/>
      <c r="T971" s="282"/>
      <c r="U971" s="278"/>
      <c r="V971" s="278"/>
      <c r="W971" s="278"/>
      <c r="X971" s="278"/>
      <c r="Y971" s="20"/>
      <c r="Z971" s="20"/>
      <c r="AA971" s="20"/>
      <c r="AB971" s="20"/>
    </row>
    <row r="972" spans="1:28">
      <c r="A972" s="3" t="s">
        <v>354</v>
      </c>
      <c r="C972" s="264">
        <f>10751</f>
        <v>10751</v>
      </c>
      <c r="D972" s="264">
        <f>ROUND(($D$1001/$C$1001)*C972,0)</f>
        <v>10394</v>
      </c>
      <c r="E972" s="265">
        <v>8.7799999999999994</v>
      </c>
      <c r="G972" s="2">
        <f>ROUND(E972*$C972,0)</f>
        <v>94394</v>
      </c>
      <c r="H972" s="2">
        <f>ROUND(E972*$D972,0)</f>
        <v>91259</v>
      </c>
      <c r="I972" s="265">
        <v>8.7799999999999994</v>
      </c>
      <c r="K972" s="2">
        <f>ROUND(I972*$D972,0)</f>
        <v>91259</v>
      </c>
      <c r="M972" s="84">
        <f>I972*D972</f>
        <v>91259.319999999992</v>
      </c>
      <c r="N972" s="20"/>
      <c r="O972" s="398">
        <v>76</v>
      </c>
      <c r="P972" s="399">
        <f>O972*D972</f>
        <v>789944</v>
      </c>
      <c r="Q972" s="400" t="e">
        <f>O972*$P$1001</f>
        <v>#REF!</v>
      </c>
      <c r="R972" s="401" t="e">
        <f>ROUND(E972+Q972,2)</f>
        <v>#REF!</v>
      </c>
      <c r="S972" s="284"/>
      <c r="T972" s="278"/>
      <c r="U972" s="281"/>
      <c r="V972" s="281"/>
      <c r="W972" s="432"/>
      <c r="X972" s="281"/>
      <c r="Y972" s="20"/>
      <c r="Z972" s="20"/>
      <c r="AA972" s="20"/>
      <c r="AB972" s="20"/>
    </row>
    <row r="973" spans="1:28">
      <c r="A973" s="3" t="s">
        <v>355</v>
      </c>
      <c r="C973" s="264">
        <f>1951</f>
        <v>1951</v>
      </c>
      <c r="D973" s="264">
        <f>ROUND(($D$1001/$C$1001)*C973,0)</f>
        <v>1886</v>
      </c>
      <c r="E973" s="265">
        <v>16.079999999999998</v>
      </c>
      <c r="G973" s="2">
        <f>ROUND(E973*$C973,0)</f>
        <v>31372</v>
      </c>
      <c r="H973" s="2">
        <f>ROUND(E973*$D973,0)</f>
        <v>30327</v>
      </c>
      <c r="I973" s="265">
        <v>16.079999999999998</v>
      </c>
      <c r="K973" s="2">
        <f>ROUND(I973*$D973,0)</f>
        <v>30327</v>
      </c>
      <c r="M973" s="84">
        <f>I973*D973</f>
        <v>30326.879999999997</v>
      </c>
      <c r="N973" s="20"/>
      <c r="O973" s="402">
        <v>172</v>
      </c>
      <c r="P973" s="74">
        <f>O973*D973</f>
        <v>324392</v>
      </c>
      <c r="Q973" s="403" t="e">
        <f>O973*$P$1001</f>
        <v>#REF!</v>
      </c>
      <c r="R973" s="404" t="e">
        <f>ROUND(E973+Q973,2)</f>
        <v>#REF!</v>
      </c>
      <c r="S973" s="278"/>
      <c r="T973" s="278"/>
      <c r="U973" s="281"/>
      <c r="V973" s="281"/>
      <c r="W973" s="432"/>
      <c r="X973" s="281"/>
      <c r="Y973" s="20"/>
      <c r="Z973" s="20"/>
      <c r="AA973" s="20"/>
      <c r="AB973" s="20"/>
    </row>
    <row r="974" spans="1:28">
      <c r="A974" s="3" t="s">
        <v>356</v>
      </c>
      <c r="C974" s="264">
        <f>12</f>
        <v>12</v>
      </c>
      <c r="D974" s="264">
        <f>ROUND(($D$1001/$C$1001)*C974,0)</f>
        <v>12</v>
      </c>
      <c r="E974" s="265">
        <v>32.53</v>
      </c>
      <c r="G974" s="2">
        <f>ROUND(E974*$C974,0)</f>
        <v>390</v>
      </c>
      <c r="H974" s="2">
        <f>ROUND(E974*$D974,0)</f>
        <v>390</v>
      </c>
      <c r="I974" s="265">
        <v>32.53</v>
      </c>
      <c r="K974" s="2">
        <f>ROUND(I974*$D974,0)</f>
        <v>390</v>
      </c>
      <c r="M974" s="84">
        <f>I974*D974</f>
        <v>390.36</v>
      </c>
      <c r="N974" s="20"/>
      <c r="O974" s="402">
        <v>412</v>
      </c>
      <c r="P974" s="74">
        <f>O974*D974</f>
        <v>4944</v>
      </c>
      <c r="Q974" s="403" t="e">
        <f>O974*$P$1001</f>
        <v>#REF!</v>
      </c>
      <c r="R974" s="404" t="e">
        <f>ROUND(E974+Q974,2)</f>
        <v>#REF!</v>
      </c>
      <c r="S974" s="278"/>
      <c r="T974" s="278"/>
      <c r="U974" s="281"/>
      <c r="V974" s="281"/>
      <c r="W974" s="432"/>
      <c r="X974" s="281"/>
      <c r="Y974" s="20"/>
      <c r="Z974" s="20"/>
      <c r="AA974" s="20"/>
      <c r="AB974" s="20"/>
    </row>
    <row r="975" spans="1:28">
      <c r="A975" s="3" t="s">
        <v>509</v>
      </c>
      <c r="C975" s="264"/>
      <c r="D975" s="264"/>
      <c r="E975" s="433"/>
      <c r="G975" s="263"/>
      <c r="H975" s="263"/>
      <c r="I975" s="433"/>
      <c r="N975" s="20"/>
      <c r="O975" s="402"/>
      <c r="P975" s="74"/>
      <c r="Q975" s="20"/>
      <c r="R975" s="406"/>
      <c r="S975" s="278"/>
      <c r="T975" s="278"/>
      <c r="U975" s="281"/>
      <c r="V975" s="281"/>
      <c r="W975" s="432"/>
      <c r="X975" s="281"/>
      <c r="Y975" s="20"/>
      <c r="Z975" s="20"/>
      <c r="AA975" s="20"/>
      <c r="AB975" s="20"/>
    </row>
    <row r="976" spans="1:28">
      <c r="A976" s="3" t="s">
        <v>354</v>
      </c>
      <c r="C976" s="264">
        <f>5858</f>
        <v>5858</v>
      </c>
      <c r="D976" s="264">
        <f>ROUND(($D$1001/$C$1001)*C976,0)</f>
        <v>5664</v>
      </c>
      <c r="E976" s="265">
        <v>8.23</v>
      </c>
      <c r="G976" s="2">
        <f>ROUND(E976*$C976,0)</f>
        <v>48211</v>
      </c>
      <c r="H976" s="2">
        <f>ROUND(E976*$D976,0)</f>
        <v>46615</v>
      </c>
      <c r="I976" s="265">
        <v>8.23</v>
      </c>
      <c r="K976" s="2">
        <f>ROUND(I976*$D976,0)</f>
        <v>46615</v>
      </c>
      <c r="M976" s="84">
        <f>I976*D976</f>
        <v>46614.720000000001</v>
      </c>
      <c r="N976" s="20"/>
      <c r="O976" s="402">
        <v>76</v>
      </c>
      <c r="P976" s="74">
        <f>O976*D976</f>
        <v>430464</v>
      </c>
      <c r="Q976" s="403" t="e">
        <f>O976*$P$1001</f>
        <v>#REF!</v>
      </c>
      <c r="R976" s="404" t="e">
        <f>ROUND(E976+Q976,2)</f>
        <v>#REF!</v>
      </c>
      <c r="S976" s="20"/>
      <c r="T976" s="20"/>
      <c r="U976" s="281"/>
      <c r="V976" s="281"/>
      <c r="W976" s="432"/>
      <c r="X976" s="281"/>
      <c r="Y976" s="20"/>
      <c r="Z976" s="20"/>
      <c r="AA976" s="20"/>
      <c r="AB976" s="20"/>
    </row>
    <row r="977" spans="1:28">
      <c r="A977" s="3" t="s">
        <v>355</v>
      </c>
      <c r="C977" s="264">
        <f>8</f>
        <v>8</v>
      </c>
      <c r="D977" s="264">
        <f>ROUND(($D$1001/$C$1001)*C977,0)</f>
        <v>8</v>
      </c>
      <c r="E977" s="265">
        <v>15</v>
      </c>
      <c r="G977" s="2">
        <f>ROUND(E977*$C977,0)</f>
        <v>120</v>
      </c>
      <c r="H977" s="2">
        <f>ROUND(E977*$D977,0)</f>
        <v>120</v>
      </c>
      <c r="I977" s="265">
        <v>15</v>
      </c>
      <c r="K977" s="2">
        <f>ROUND(I977*$D977,0)</f>
        <v>120</v>
      </c>
      <c r="M977" s="84">
        <f>I977*D977</f>
        <v>120</v>
      </c>
      <c r="N977" s="20"/>
      <c r="O977" s="402">
        <v>172</v>
      </c>
      <c r="P977" s="74">
        <f>O977*D977</f>
        <v>1376</v>
      </c>
      <c r="Q977" s="403" t="e">
        <f>O977*$P$1001</f>
        <v>#REF!</v>
      </c>
      <c r="R977" s="404" t="e">
        <f>ROUND(E977+Q977,2)</f>
        <v>#REF!</v>
      </c>
      <c r="S977" s="20"/>
      <c r="T977" s="20"/>
      <c r="U977" s="281"/>
      <c r="V977" s="281"/>
      <c r="W977" s="432"/>
      <c r="X977" s="281"/>
      <c r="Y977" s="20"/>
      <c r="Z977" s="20"/>
      <c r="AA977" s="20"/>
      <c r="AB977" s="20"/>
    </row>
    <row r="978" spans="1:28">
      <c r="A978" s="430" t="s">
        <v>510</v>
      </c>
      <c r="C978" s="264"/>
      <c r="D978" s="264"/>
      <c r="E978" s="265"/>
      <c r="G978" s="2"/>
      <c r="H978" s="2"/>
      <c r="I978" s="265"/>
      <c r="K978" s="2"/>
      <c r="N978" s="20"/>
      <c r="O978" s="402"/>
      <c r="P978" s="74"/>
      <c r="Q978" s="20"/>
      <c r="R978" s="81"/>
      <c r="S978" s="20"/>
      <c r="T978" s="20"/>
      <c r="U978" s="20"/>
      <c r="V978" s="20"/>
      <c r="W978" s="432"/>
      <c r="X978" s="20"/>
      <c r="Y978" s="20"/>
      <c r="Z978" s="20"/>
      <c r="AA978" s="20"/>
      <c r="AB978" s="20"/>
    </row>
    <row r="979" spans="1:28">
      <c r="A979" s="3" t="s">
        <v>508</v>
      </c>
      <c r="C979" s="264"/>
      <c r="D979" s="264"/>
      <c r="E979" s="433"/>
      <c r="G979" s="263"/>
      <c r="H979" s="263"/>
      <c r="I979" s="433"/>
      <c r="N979" s="20"/>
      <c r="O979" s="434"/>
      <c r="P979" s="74"/>
      <c r="Q979" s="20"/>
      <c r="R979" s="81"/>
      <c r="S979" s="20"/>
      <c r="T979" s="20"/>
      <c r="U979" s="20"/>
      <c r="V979" s="20"/>
      <c r="W979" s="432"/>
      <c r="X979" s="20"/>
      <c r="Y979" s="20"/>
      <c r="Z979" s="20"/>
      <c r="AA979" s="20"/>
      <c r="AB979" s="20"/>
    </row>
    <row r="980" spans="1:28">
      <c r="A980" s="3" t="s">
        <v>354</v>
      </c>
      <c r="C980" s="264">
        <f>91</f>
        <v>91</v>
      </c>
      <c r="D980" s="264">
        <f>ROUND(($D$1001/$C$1001)*C980,0)</f>
        <v>88</v>
      </c>
      <c r="E980" s="265">
        <v>11.47</v>
      </c>
      <c r="G980" s="2">
        <f>ROUND(E980*$C980,0)</f>
        <v>1044</v>
      </c>
      <c r="H980" s="2">
        <f>ROUND(E980*$D980,0)</f>
        <v>1009</v>
      </c>
      <c r="I980" s="265">
        <v>11.47</v>
      </c>
      <c r="K980" s="2">
        <f>ROUND(I980*$D980,0)</f>
        <v>1009</v>
      </c>
      <c r="M980" s="84">
        <f>I980*D980</f>
        <v>1009.36</v>
      </c>
      <c r="N980" s="20"/>
      <c r="O980" s="402">
        <v>76</v>
      </c>
      <c r="P980" s="74">
        <f>O980*D980</f>
        <v>6688</v>
      </c>
      <c r="Q980" s="403" t="e">
        <f>O980*$P$1001</f>
        <v>#REF!</v>
      </c>
      <c r="R980" s="404" t="e">
        <f>ROUND(E980+Q980,2)</f>
        <v>#REF!</v>
      </c>
      <c r="S980" s="20"/>
      <c r="T980" s="20"/>
      <c r="U980" s="281"/>
      <c r="V980" s="281"/>
      <c r="W980" s="432"/>
      <c r="X980" s="281"/>
      <c r="Y980" s="20"/>
      <c r="Z980" s="20"/>
      <c r="AA980" s="20"/>
      <c r="AB980" s="20"/>
    </row>
    <row r="981" spans="1:28">
      <c r="A981" s="3" t="s">
        <v>355</v>
      </c>
      <c r="C981" s="264">
        <f>324</f>
        <v>324</v>
      </c>
      <c r="D981" s="264">
        <f>ROUND(($D$1001/$C$1001)*C981,0)</f>
        <v>313</v>
      </c>
      <c r="E981" s="265">
        <v>19.260000000000002</v>
      </c>
      <c r="G981" s="2">
        <f>ROUND(E981*$C981,0)</f>
        <v>6240</v>
      </c>
      <c r="H981" s="2">
        <f>ROUND(E981*$D981,0)</f>
        <v>6028</v>
      </c>
      <c r="I981" s="265">
        <v>19.260000000000002</v>
      </c>
      <c r="K981" s="2">
        <f>ROUND(I981*$D981,0)</f>
        <v>6028</v>
      </c>
      <c r="M981" s="84">
        <f>I981*D981</f>
        <v>6028.38</v>
      </c>
      <c r="N981" s="20"/>
      <c r="O981" s="402">
        <v>172</v>
      </c>
      <c r="P981" s="74">
        <f>O981*D981</f>
        <v>53836</v>
      </c>
      <c r="Q981" s="403" t="e">
        <f>O981*$P$1001</f>
        <v>#REF!</v>
      </c>
      <c r="R981" s="404" t="e">
        <f>ROUND(E981+Q981,2)</f>
        <v>#REF!</v>
      </c>
      <c r="S981" s="429"/>
      <c r="T981" s="429"/>
      <c r="U981" s="281"/>
      <c r="V981" s="281"/>
      <c r="W981" s="432"/>
      <c r="X981" s="281"/>
      <c r="Y981" s="20"/>
      <c r="Z981" s="20"/>
      <c r="AA981" s="20"/>
      <c r="AB981" s="20"/>
    </row>
    <row r="982" spans="1:28">
      <c r="A982" s="3" t="s">
        <v>356</v>
      </c>
      <c r="C982" s="264">
        <v>0</v>
      </c>
      <c r="D982" s="264">
        <f>ROUND(($D$1001/$C$1001)*C982,0)</f>
        <v>0</v>
      </c>
      <c r="E982" s="265">
        <v>35.75</v>
      </c>
      <c r="G982" s="2">
        <f>ROUND(E982*$C982,0)</f>
        <v>0</v>
      </c>
      <c r="H982" s="2">
        <f>ROUND(E982*$D982,0)</f>
        <v>0</v>
      </c>
      <c r="I982" s="265">
        <v>35.75</v>
      </c>
      <c r="K982" s="2">
        <f>ROUND(I982*$D982,0)</f>
        <v>0</v>
      </c>
      <c r="M982" s="84">
        <f>I982*D982</f>
        <v>0</v>
      </c>
      <c r="N982" s="20"/>
      <c r="O982" s="402">
        <v>412</v>
      </c>
      <c r="P982" s="74">
        <f>O982*D982</f>
        <v>0</v>
      </c>
      <c r="Q982" s="403" t="e">
        <f>O982*$P$1001</f>
        <v>#REF!</v>
      </c>
      <c r="R982" s="404" t="e">
        <f>ROUND(E982+Q982,2)</f>
        <v>#REF!</v>
      </c>
      <c r="S982" s="429"/>
      <c r="T982" s="429"/>
      <c r="U982" s="281"/>
      <c r="V982" s="281"/>
      <c r="W982" s="432"/>
      <c r="X982" s="281"/>
      <c r="Y982" s="20"/>
      <c r="Z982" s="20"/>
      <c r="AA982" s="20"/>
      <c r="AB982" s="20"/>
    </row>
    <row r="983" spans="1:28">
      <c r="A983" s="3" t="s">
        <v>509</v>
      </c>
      <c r="C983" s="264"/>
      <c r="D983" s="264"/>
      <c r="E983" s="433"/>
      <c r="G983" s="263"/>
      <c r="H983" s="263"/>
      <c r="I983" s="433"/>
      <c r="M983" s="20"/>
      <c r="N983" s="20"/>
      <c r="O983" s="42"/>
      <c r="P983" s="435"/>
      <c r="Q983" s="435"/>
      <c r="R983" s="436"/>
      <c r="S983" s="429"/>
      <c r="T983" s="429"/>
      <c r="U983" s="437"/>
      <c r="V983" s="20"/>
      <c r="W983" s="432"/>
      <c r="X983" s="20"/>
      <c r="Y983" s="20"/>
      <c r="Z983" s="20"/>
      <c r="AA983" s="20"/>
      <c r="AB983" s="20"/>
    </row>
    <row r="984" spans="1:28">
      <c r="A984" s="3" t="s">
        <v>354</v>
      </c>
      <c r="C984" s="264">
        <v>0</v>
      </c>
      <c r="D984" s="264">
        <f>ROUND(($D$1001/$C$1001)*C984,0)</f>
        <v>0</v>
      </c>
      <c r="E984" s="265">
        <v>10.86</v>
      </c>
      <c r="G984" s="2">
        <f>ROUND(E984*$C984,0)</f>
        <v>0</v>
      </c>
      <c r="H984" s="2">
        <f>ROUND(E984*$D984,0)</f>
        <v>0</v>
      </c>
      <c r="I984" s="265">
        <v>10.86</v>
      </c>
      <c r="K984" s="2">
        <f>ROUND(I984*$D984,0)</f>
        <v>0</v>
      </c>
      <c r="M984" s="84">
        <f>I984*D984</f>
        <v>0</v>
      </c>
      <c r="N984" s="20"/>
      <c r="O984" s="402">
        <v>76</v>
      </c>
      <c r="P984" s="74">
        <f>O984*D984</f>
        <v>0</v>
      </c>
      <c r="Q984" s="403" t="e">
        <f>O984*$P$1001</f>
        <v>#REF!</v>
      </c>
      <c r="R984" s="404" t="e">
        <f>ROUND(E984+Q984,2)</f>
        <v>#REF!</v>
      </c>
      <c r="S984" s="429"/>
      <c r="T984" s="429"/>
      <c r="U984" s="281"/>
      <c r="V984" s="281"/>
      <c r="W984" s="432"/>
      <c r="X984" s="281"/>
      <c r="Y984" s="20"/>
      <c r="Z984" s="20"/>
      <c r="AA984" s="20"/>
      <c r="AB984" s="20"/>
    </row>
    <row r="985" spans="1:28">
      <c r="A985" s="3" t="s">
        <v>355</v>
      </c>
      <c r="C985" s="264">
        <v>0</v>
      </c>
      <c r="D985" s="264">
        <f>ROUND(($D$1001/$C$1001)*C985,0)</f>
        <v>0</v>
      </c>
      <c r="E985" s="265">
        <v>18.21</v>
      </c>
      <c r="G985" s="2">
        <f>ROUND(E985*$C985,0)</f>
        <v>0</v>
      </c>
      <c r="H985" s="2">
        <f>ROUND(E985*$D985,0)</f>
        <v>0</v>
      </c>
      <c r="I985" s="265">
        <v>18.21</v>
      </c>
      <c r="K985" s="2">
        <f>ROUND(I985*$D985,0)</f>
        <v>0</v>
      </c>
      <c r="M985" s="84">
        <f>I985*D985</f>
        <v>0</v>
      </c>
      <c r="N985" s="20"/>
      <c r="O985" s="402">
        <v>172</v>
      </c>
      <c r="P985" s="74">
        <f>O985*D985</f>
        <v>0</v>
      </c>
      <c r="Q985" s="403" t="e">
        <f>O985*$P$1001</f>
        <v>#REF!</v>
      </c>
      <c r="R985" s="404" t="e">
        <f>ROUND(E985+Q985,2)</f>
        <v>#REF!</v>
      </c>
      <c r="S985" s="429"/>
      <c r="T985" s="429"/>
      <c r="U985" s="281"/>
      <c r="V985" s="281"/>
      <c r="W985" s="432"/>
      <c r="X985" s="281"/>
      <c r="Y985" s="20"/>
      <c r="Z985" s="20"/>
      <c r="AA985" s="20"/>
      <c r="AB985" s="20"/>
    </row>
    <row r="986" spans="1:28">
      <c r="A986" s="430" t="s">
        <v>511</v>
      </c>
      <c r="B986" s="303"/>
      <c r="C986" s="264"/>
      <c r="D986" s="264"/>
      <c r="E986" s="433"/>
      <c r="F986" s="303"/>
      <c r="G986" s="303"/>
      <c r="H986" s="303"/>
      <c r="I986" s="433"/>
      <c r="J986" s="303"/>
      <c r="K986" s="303"/>
      <c r="M986" s="20"/>
      <c r="N986" s="20"/>
      <c r="O986" s="42"/>
      <c r="P986" s="435"/>
      <c r="Q986" s="435"/>
      <c r="R986" s="436"/>
      <c r="S986" s="429"/>
      <c r="T986" s="429"/>
      <c r="U986" s="437"/>
      <c r="V986" s="20"/>
      <c r="W986" s="432"/>
      <c r="X986" s="20"/>
      <c r="Y986" s="20"/>
      <c r="Z986" s="20"/>
      <c r="AA986" s="20"/>
      <c r="AB986" s="20"/>
    </row>
    <row r="987" spans="1:28">
      <c r="A987" s="3" t="s">
        <v>508</v>
      </c>
      <c r="C987" s="264"/>
      <c r="D987" s="264"/>
      <c r="E987" s="433"/>
      <c r="G987" s="263"/>
      <c r="H987" s="263"/>
      <c r="I987" s="433"/>
      <c r="M987" s="20"/>
      <c r="N987" s="20"/>
      <c r="O987" s="42"/>
      <c r="P987" s="435"/>
      <c r="Q987" s="435"/>
      <c r="R987" s="436"/>
      <c r="S987" s="429"/>
      <c r="T987" s="429"/>
      <c r="U987" s="437"/>
      <c r="V987" s="20"/>
      <c r="W987" s="432"/>
      <c r="X987" s="20"/>
      <c r="Y987" s="20"/>
      <c r="Z987" s="20"/>
      <c r="AA987" s="20"/>
      <c r="AB987" s="20"/>
    </row>
    <row r="988" spans="1:28">
      <c r="A988" s="3" t="s">
        <v>354</v>
      </c>
      <c r="C988" s="264">
        <v>0</v>
      </c>
      <c r="D988" s="264">
        <f>ROUND(($D$1001/$C$1001)*C988,0)</f>
        <v>0</v>
      </c>
      <c r="E988" s="265">
        <v>11.47</v>
      </c>
      <c r="G988" s="2">
        <f>ROUND(E988*$C988,0)</f>
        <v>0</v>
      </c>
      <c r="H988" s="2">
        <f>ROUND(E988*$D988,0)</f>
        <v>0</v>
      </c>
      <c r="I988" s="265">
        <v>11.47</v>
      </c>
      <c r="K988" s="2">
        <f>ROUND(I988*$D988,0)</f>
        <v>0</v>
      </c>
      <c r="M988" s="84">
        <f>I988*D988</f>
        <v>0</v>
      </c>
      <c r="N988" s="20"/>
      <c r="O988" s="402">
        <v>76</v>
      </c>
      <c r="P988" s="74">
        <f>O988*D988</f>
        <v>0</v>
      </c>
      <c r="Q988" s="403" t="e">
        <f>O988*$P$1001</f>
        <v>#REF!</v>
      </c>
      <c r="R988" s="404" t="e">
        <f>ROUND(E988+Q988,2)</f>
        <v>#REF!</v>
      </c>
      <c r="S988" s="429"/>
      <c r="T988" s="429"/>
      <c r="U988" s="281"/>
      <c r="V988" s="281"/>
      <c r="W988" s="432"/>
      <c r="X988" s="281"/>
      <c r="Y988" s="20"/>
      <c r="Z988" s="20"/>
      <c r="AA988" s="20"/>
      <c r="AB988" s="20"/>
    </row>
    <row r="989" spans="1:28">
      <c r="A989" s="3" t="s">
        <v>355</v>
      </c>
      <c r="C989" s="264">
        <v>0</v>
      </c>
      <c r="D989" s="264">
        <f>ROUND(($D$1001/$C$1001)*C989,0)</f>
        <v>0</v>
      </c>
      <c r="E989" s="265">
        <v>18.649999999999999</v>
      </c>
      <c r="G989" s="2">
        <f>ROUND(E989*$C989,0)</f>
        <v>0</v>
      </c>
      <c r="H989" s="2">
        <f>ROUND(E989*$D989,0)</f>
        <v>0</v>
      </c>
      <c r="I989" s="265">
        <v>18.649999999999999</v>
      </c>
      <c r="K989" s="2">
        <f>ROUND(I989*$D989,0)</f>
        <v>0</v>
      </c>
      <c r="M989" s="84">
        <f>I989*D989</f>
        <v>0</v>
      </c>
      <c r="N989" s="20"/>
      <c r="O989" s="402">
        <v>172</v>
      </c>
      <c r="P989" s="74">
        <f>O989*D989</f>
        <v>0</v>
      </c>
      <c r="Q989" s="403" t="e">
        <f>O989*$P$1001</f>
        <v>#REF!</v>
      </c>
      <c r="R989" s="404" t="e">
        <f>ROUND(E989+Q989,2)</f>
        <v>#REF!</v>
      </c>
      <c r="S989" s="429"/>
      <c r="T989" s="429"/>
      <c r="U989" s="281"/>
      <c r="V989" s="281"/>
      <c r="W989" s="432"/>
      <c r="X989" s="281"/>
      <c r="Y989" s="20"/>
      <c r="Z989" s="20"/>
      <c r="AA989" s="20"/>
      <c r="AB989" s="20"/>
    </row>
    <row r="990" spans="1:28">
      <c r="A990" s="3" t="s">
        <v>356</v>
      </c>
      <c r="C990" s="264">
        <v>0</v>
      </c>
      <c r="D990" s="264">
        <f>ROUND(($D$1001/$C$1001)*C990,0)</f>
        <v>0</v>
      </c>
      <c r="E990" s="265">
        <v>35.130000000000003</v>
      </c>
      <c r="G990" s="2">
        <f>ROUND(E990*$C990,0)</f>
        <v>0</v>
      </c>
      <c r="H990" s="2">
        <f>ROUND(E990*$D990,0)</f>
        <v>0</v>
      </c>
      <c r="I990" s="265">
        <v>35.130000000000003</v>
      </c>
      <c r="K990" s="2">
        <f>ROUND(I990*$D990,0)</f>
        <v>0</v>
      </c>
      <c r="M990" s="84">
        <f>I990*D990</f>
        <v>0</v>
      </c>
      <c r="N990" s="20"/>
      <c r="O990" s="402">
        <v>412</v>
      </c>
      <c r="P990" s="74">
        <f>O990*D990</f>
        <v>0</v>
      </c>
      <c r="Q990" s="403" t="e">
        <f>O990*$P$1001</f>
        <v>#REF!</v>
      </c>
      <c r="R990" s="404" t="e">
        <f>ROUND(E990+Q990,2)</f>
        <v>#REF!</v>
      </c>
      <c r="S990" s="429"/>
      <c r="T990" s="429"/>
      <c r="U990" s="281"/>
      <c r="V990" s="281"/>
      <c r="W990" s="432"/>
      <c r="X990" s="281"/>
      <c r="Y990" s="20"/>
      <c r="Z990" s="20"/>
      <c r="AA990" s="20"/>
      <c r="AB990" s="20"/>
    </row>
    <row r="991" spans="1:28">
      <c r="A991" s="3" t="s">
        <v>509</v>
      </c>
      <c r="C991" s="264"/>
      <c r="D991" s="264"/>
      <c r="E991" s="433"/>
      <c r="G991" s="263"/>
      <c r="H991" s="263"/>
      <c r="I991" s="433"/>
      <c r="M991" s="20"/>
      <c r="N991" s="20"/>
      <c r="O991" s="42"/>
      <c r="P991" s="435"/>
      <c r="Q991" s="435"/>
      <c r="R991" s="436"/>
      <c r="S991" s="429"/>
      <c r="T991" s="429"/>
      <c r="U991" s="437"/>
      <c r="V991" s="20"/>
      <c r="W991" s="432"/>
      <c r="X991" s="20"/>
      <c r="Y991" s="20"/>
      <c r="Z991" s="20"/>
      <c r="AA991" s="20"/>
      <c r="AB991" s="20"/>
    </row>
    <row r="992" spans="1:28">
      <c r="A992" s="3" t="s">
        <v>354</v>
      </c>
      <c r="C992" s="264">
        <v>0</v>
      </c>
      <c r="D992" s="264">
        <f>ROUND(($D$1001/$C$1001)*C992,0)</f>
        <v>0</v>
      </c>
      <c r="E992" s="265">
        <v>10.86</v>
      </c>
      <c r="G992" s="2">
        <f>ROUND(E992*$C992,0)</f>
        <v>0</v>
      </c>
      <c r="H992" s="2">
        <f>ROUND(E992*$D992,0)</f>
        <v>0</v>
      </c>
      <c r="I992" s="265">
        <v>10.86</v>
      </c>
      <c r="K992" s="2">
        <f>ROUND(I992*$D992,0)</f>
        <v>0</v>
      </c>
      <c r="M992" s="84">
        <f>I992*D992</f>
        <v>0</v>
      </c>
      <c r="N992" s="20"/>
      <c r="O992" s="402">
        <v>76</v>
      </c>
      <c r="P992" s="74">
        <f>O992*D992</f>
        <v>0</v>
      </c>
      <c r="Q992" s="403" t="e">
        <f>O992*$P$1001</f>
        <v>#REF!</v>
      </c>
      <c r="R992" s="404" t="e">
        <f>ROUND(E992+Q992,2)</f>
        <v>#REF!</v>
      </c>
      <c r="S992" s="429"/>
      <c r="T992" s="429"/>
      <c r="U992" s="281"/>
      <c r="V992" s="281"/>
      <c r="W992" s="432"/>
      <c r="X992" s="281"/>
      <c r="Y992" s="20"/>
      <c r="Z992" s="20"/>
      <c r="AA992" s="20"/>
      <c r="AB992" s="20"/>
    </row>
    <row r="993" spans="1:28">
      <c r="A993" s="3" t="s">
        <v>355</v>
      </c>
      <c r="C993" s="264">
        <v>0</v>
      </c>
      <c r="D993" s="264">
        <f>ROUND(($D$1001/$C$1001)*C993,0)</f>
        <v>0</v>
      </c>
      <c r="E993" s="265">
        <v>17.600000000000001</v>
      </c>
      <c r="G993" s="2">
        <f>ROUND(E993*$C993,0)</f>
        <v>0</v>
      </c>
      <c r="H993" s="2">
        <f>ROUND(E993*$D993,0)</f>
        <v>0</v>
      </c>
      <c r="I993" s="265">
        <v>17.600000000000001</v>
      </c>
      <c r="K993" s="2">
        <f>ROUND(I993*$D993,0)</f>
        <v>0</v>
      </c>
      <c r="M993" s="84">
        <f>I993*D993</f>
        <v>0</v>
      </c>
      <c r="N993" s="20"/>
      <c r="O993" s="402">
        <v>172</v>
      </c>
      <c r="P993" s="74">
        <f>O993*D993</f>
        <v>0</v>
      </c>
      <c r="Q993" s="403" t="e">
        <f>O993*$P$1001</f>
        <v>#REF!</v>
      </c>
      <c r="R993" s="404" t="e">
        <f>ROUND(E993+Q993,2)</f>
        <v>#REF!</v>
      </c>
      <c r="S993" s="429"/>
      <c r="T993" s="429"/>
      <c r="U993" s="281"/>
      <c r="V993" s="281"/>
      <c r="W993" s="432"/>
      <c r="X993" s="281"/>
      <c r="Y993" s="20"/>
      <c r="Z993" s="20"/>
      <c r="AA993" s="20"/>
      <c r="AB993" s="20"/>
    </row>
    <row r="994" spans="1:28">
      <c r="A994" s="430" t="s">
        <v>512</v>
      </c>
      <c r="B994" s="303"/>
      <c r="C994" s="264"/>
      <c r="D994" s="264"/>
      <c r="E994" s="433"/>
      <c r="F994" s="303"/>
      <c r="G994" s="303"/>
      <c r="H994" s="303"/>
      <c r="I994" s="433"/>
      <c r="J994" s="303"/>
      <c r="K994" s="303"/>
      <c r="M994" s="20"/>
      <c r="N994" s="20"/>
      <c r="O994" s="42"/>
      <c r="P994" s="435"/>
      <c r="Q994" s="435"/>
      <c r="R994" s="436"/>
      <c r="S994" s="429"/>
      <c r="T994" s="429"/>
      <c r="U994" s="437"/>
      <c r="V994" s="20"/>
      <c r="W994" s="432"/>
      <c r="X994" s="20"/>
      <c r="Y994" s="20"/>
      <c r="Z994" s="20"/>
      <c r="AA994" s="20"/>
      <c r="AB994" s="20"/>
    </row>
    <row r="995" spans="1:28">
      <c r="A995" s="3" t="s">
        <v>354</v>
      </c>
      <c r="C995" s="264">
        <f>2270</f>
        <v>2270</v>
      </c>
      <c r="D995" s="264">
        <f>ROUND(($D$1001/$C$1001)*C995,0)</f>
        <v>2195</v>
      </c>
      <c r="E995" s="265">
        <v>9.18</v>
      </c>
      <c r="G995" s="2">
        <f>ROUND(E995*$C995,0)</f>
        <v>20839</v>
      </c>
      <c r="H995" s="2">
        <f>ROUND(E995*$D995,0)</f>
        <v>20150</v>
      </c>
      <c r="I995" s="265">
        <v>9.18</v>
      </c>
      <c r="K995" s="2">
        <f>ROUND(I995*$D995,0)</f>
        <v>20150</v>
      </c>
      <c r="M995" s="84">
        <f>I995*D995</f>
        <v>20150.099999999999</v>
      </c>
      <c r="N995" s="20"/>
      <c r="O995" s="402">
        <v>76</v>
      </c>
      <c r="P995" s="74">
        <f>O995*D995</f>
        <v>166820</v>
      </c>
      <c r="Q995" s="403" t="e">
        <f>O995*$P$1001</f>
        <v>#REF!</v>
      </c>
      <c r="R995" s="404" t="e">
        <f>ROUND(E995+Q995,2)</f>
        <v>#REF!</v>
      </c>
      <c r="S995" s="429"/>
      <c r="T995" s="429"/>
      <c r="U995" s="281"/>
      <c r="V995" s="281"/>
      <c r="W995" s="432"/>
      <c r="X995" s="281"/>
      <c r="Y995" s="20"/>
      <c r="Z995" s="20"/>
      <c r="AA995" s="20"/>
      <c r="AB995" s="20"/>
    </row>
    <row r="996" spans="1:28">
      <c r="A996" s="3" t="s">
        <v>355</v>
      </c>
      <c r="C996" s="264">
        <f>1694</f>
        <v>1694</v>
      </c>
      <c r="D996" s="264">
        <f>ROUND(($D$1001/$C$1001)*C996,0)</f>
        <v>1638</v>
      </c>
      <c r="E996" s="265">
        <v>16.079999999999998</v>
      </c>
      <c r="G996" s="2">
        <f>ROUND(E996*$C996,0)</f>
        <v>27240</v>
      </c>
      <c r="H996" s="2">
        <f>ROUND(E996*$D996,0)</f>
        <v>26339</v>
      </c>
      <c r="I996" s="265">
        <v>16.079999999999998</v>
      </c>
      <c r="K996" s="2">
        <f>ROUND(I996*$D996,0)</f>
        <v>26339</v>
      </c>
      <c r="M996" s="84">
        <f>I996*D996</f>
        <v>26339.039999999997</v>
      </c>
      <c r="N996" s="20"/>
      <c r="O996" s="402">
        <v>172</v>
      </c>
      <c r="P996" s="74">
        <f>O996*D996</f>
        <v>281736</v>
      </c>
      <c r="Q996" s="403" t="e">
        <f>O996*$P$1001</f>
        <v>#REF!</v>
      </c>
      <c r="R996" s="404" t="e">
        <f>ROUND(E996+Q996,2)</f>
        <v>#REF!</v>
      </c>
      <c r="S996" s="429"/>
      <c r="T996" s="429"/>
      <c r="U996" s="281"/>
      <c r="V996" s="281"/>
      <c r="W996" s="432"/>
      <c r="X996" s="281"/>
      <c r="Y996" s="20"/>
      <c r="Z996" s="20"/>
      <c r="AA996" s="20"/>
      <c r="AB996" s="20"/>
    </row>
    <row r="997" spans="1:28">
      <c r="A997" s="3" t="s">
        <v>356</v>
      </c>
      <c r="C997" s="264">
        <v>0</v>
      </c>
      <c r="D997" s="264">
        <f>ROUND(($D$1001/$C$1001)*C997,0)</f>
        <v>0</v>
      </c>
      <c r="E997" s="265">
        <v>34.340000000000003</v>
      </c>
      <c r="G997" s="2">
        <f>ROUND(E997*$C997,0)</f>
        <v>0</v>
      </c>
      <c r="H997" s="2">
        <f>ROUND(E997*$D997,0)</f>
        <v>0</v>
      </c>
      <c r="I997" s="265">
        <v>34.340000000000003</v>
      </c>
      <c r="K997" s="2">
        <f>ROUND(I997*$D997,0)</f>
        <v>0</v>
      </c>
      <c r="M997" s="84">
        <f>I997*D997</f>
        <v>0</v>
      </c>
      <c r="N997" s="20"/>
      <c r="O997" s="402">
        <v>412</v>
      </c>
      <c r="P997" s="74">
        <f>O997*D997</f>
        <v>0</v>
      </c>
      <c r="Q997" s="403" t="e">
        <f>O997*$P$1001</f>
        <v>#REF!</v>
      </c>
      <c r="R997" s="404" t="e">
        <f>ROUND(E997+Q997,2)</f>
        <v>#REF!</v>
      </c>
      <c r="S997" s="429"/>
      <c r="T997" s="429"/>
      <c r="U997" s="281"/>
      <c r="V997" s="281"/>
      <c r="W997" s="432"/>
      <c r="X997" s="281"/>
      <c r="Y997" s="20"/>
      <c r="Z997" s="20"/>
      <c r="AA997" s="20"/>
      <c r="AB997" s="20"/>
    </row>
    <row r="998" spans="1:28">
      <c r="A998" s="5" t="s">
        <v>513</v>
      </c>
      <c r="C998" s="264"/>
      <c r="D998" s="264"/>
      <c r="E998" s="265"/>
      <c r="G998" s="2"/>
      <c r="H998" s="2"/>
      <c r="I998" s="265"/>
      <c r="K998" s="2"/>
      <c r="M998" s="20"/>
      <c r="N998" s="20"/>
      <c r="O998" s="42"/>
      <c r="P998" s="435"/>
      <c r="Q998" s="435"/>
      <c r="R998" s="438"/>
      <c r="S998" s="429"/>
      <c r="T998" s="429"/>
      <c r="U998" s="437"/>
      <c r="V998" s="20"/>
      <c r="W998" s="432"/>
      <c r="X998" s="20"/>
      <c r="Y998" s="20"/>
      <c r="Z998" s="20"/>
      <c r="AA998" s="20"/>
      <c r="AB998" s="20"/>
    </row>
    <row r="999" spans="1:28">
      <c r="A999" s="3" t="s">
        <v>514</v>
      </c>
      <c r="C999" s="264">
        <f>96</f>
        <v>96</v>
      </c>
      <c r="D999" s="264">
        <f>ROUND(($D$1001/$C$1001)*C999,0)</f>
        <v>93</v>
      </c>
      <c r="E999" s="265">
        <v>32.950000000000003</v>
      </c>
      <c r="G999" s="2">
        <f>ROUND(E999*$C999,0)</f>
        <v>3163</v>
      </c>
      <c r="H999" s="2">
        <f>ROUND(E999*$D999,0)</f>
        <v>3064</v>
      </c>
      <c r="I999" s="265">
        <v>32.950000000000003</v>
      </c>
      <c r="K999" s="2">
        <f>ROUND(I999*$D999,0)</f>
        <v>3064</v>
      </c>
      <c r="M999" s="84">
        <f>I999*D999</f>
        <v>3064.3500000000004</v>
      </c>
      <c r="N999" s="20"/>
      <c r="O999" s="402">
        <v>172</v>
      </c>
      <c r="P999" s="74">
        <f>O999*D999</f>
        <v>15996</v>
      </c>
      <c r="Q999" s="403" t="e">
        <f>O999*$P$1001</f>
        <v>#REF!</v>
      </c>
      <c r="R999" s="404" t="e">
        <f>ROUND(E999+Q999,2)</f>
        <v>#REF!</v>
      </c>
      <c r="S999" s="429"/>
      <c r="T999" s="429"/>
      <c r="U999" s="281"/>
      <c r="V999" s="281"/>
      <c r="W999" s="432"/>
      <c r="X999" s="281"/>
      <c r="Y999" s="20"/>
      <c r="Z999" s="20"/>
      <c r="AA999" s="20"/>
      <c r="AB999" s="20"/>
    </row>
    <row r="1000" spans="1:28">
      <c r="A1000" s="3" t="s">
        <v>362</v>
      </c>
      <c r="C1000" s="264">
        <f>608</f>
        <v>608</v>
      </c>
      <c r="D1000" s="264">
        <v>588</v>
      </c>
      <c r="E1000" s="439"/>
      <c r="G1000" s="2"/>
      <c r="H1000" s="2"/>
      <c r="I1000" s="439"/>
      <c r="K1000" s="2"/>
      <c r="N1000" s="20"/>
      <c r="O1000" s="402"/>
      <c r="P1000" s="440" t="e">
        <f>O1003-H1003</f>
        <v>#REF!</v>
      </c>
      <c r="Q1000" s="20"/>
      <c r="R1000" s="406"/>
      <c r="S1000" s="278"/>
      <c r="T1000" s="278"/>
      <c r="U1000" s="281"/>
      <c r="V1000" s="281"/>
      <c r="W1000" s="281"/>
      <c r="X1000" s="281"/>
      <c r="Y1000" s="20"/>
      <c r="Z1000" s="20"/>
      <c r="AA1000" s="20"/>
      <c r="AB1000" s="20"/>
    </row>
    <row r="1001" spans="1:28">
      <c r="A1001" s="3" t="s">
        <v>381</v>
      </c>
      <c r="C1001" s="264">
        <v>2147214</v>
      </c>
      <c r="D1001" s="264">
        <v>2075987.7990116791</v>
      </c>
      <c r="E1001" s="269"/>
      <c r="F1001" s="20"/>
      <c r="G1001" s="272">
        <f>SUM(G972:G999)</f>
        <v>233013</v>
      </c>
      <c r="H1001" s="272">
        <f>SUM(H972:H999)</f>
        <v>225301</v>
      </c>
      <c r="I1001" s="269"/>
      <c r="J1001" s="20"/>
      <c r="K1001" s="272">
        <f>SUM(K972:K999)</f>
        <v>225301</v>
      </c>
      <c r="M1001" s="84">
        <f>SUM(M972:M1000)</f>
        <v>225302.50999999998</v>
      </c>
      <c r="N1001" s="20"/>
      <c r="O1001" s="441"/>
      <c r="P1001" s="442" t="e">
        <f>P1000/SUM(P972:P999)</f>
        <v>#REF!</v>
      </c>
      <c r="Q1001" s="113"/>
      <c r="R1001" s="443"/>
      <c r="S1001" s="278"/>
      <c r="T1001" s="278"/>
      <c r="U1001" s="288"/>
      <c r="V1001" s="278"/>
      <c r="W1001" s="278"/>
      <c r="X1001" s="278"/>
      <c r="Y1001" s="20"/>
      <c r="Z1001" s="20"/>
      <c r="AA1001" s="20"/>
      <c r="AB1001" s="20"/>
    </row>
    <row r="1002" spans="1:28">
      <c r="A1002" s="3" t="s">
        <v>363</v>
      </c>
      <c r="C1002" s="264">
        <v>26832.990592215094</v>
      </c>
      <c r="D1002" s="264">
        <v>0</v>
      </c>
      <c r="E1002" s="269"/>
      <c r="F1002" s="20"/>
      <c r="G1002" s="272">
        <v>2789.9580256418058</v>
      </c>
      <c r="H1002" s="272">
        <v>0</v>
      </c>
      <c r="I1002" s="269"/>
      <c r="J1002" s="20"/>
      <c r="K1002" s="272">
        <v>0</v>
      </c>
      <c r="M1002" s="289"/>
      <c r="N1002" s="444"/>
      <c r="O1002" s="287"/>
      <c r="P1002" s="278"/>
      <c r="Q1002" s="278"/>
      <c r="R1002" s="283"/>
      <c r="S1002" s="281"/>
      <c r="T1002" s="278"/>
      <c r="U1002" s="20"/>
      <c r="V1002" s="20"/>
      <c r="W1002" s="20"/>
      <c r="X1002" s="20"/>
      <c r="Y1002" s="20"/>
      <c r="Z1002" s="20"/>
      <c r="AA1002" s="20"/>
      <c r="AB1002" s="20"/>
    </row>
    <row r="1003" spans="1:28" ht="16.5" thickBot="1">
      <c r="A1003" s="3" t="s">
        <v>9</v>
      </c>
      <c r="C1003" s="273">
        <f>C1001+C1002</f>
        <v>2174046.9905922152</v>
      </c>
      <c r="D1003" s="273">
        <f>D1001+D1002</f>
        <v>2075987.7990116791</v>
      </c>
      <c r="E1003" s="274"/>
      <c r="F1003" s="274"/>
      <c r="G1003" s="274">
        <f>G1001+G1002</f>
        <v>235802.9580256418</v>
      </c>
      <c r="H1003" s="274">
        <f>H1001+H1002</f>
        <v>225301</v>
      </c>
      <c r="I1003" s="274"/>
      <c r="J1003" s="274"/>
      <c r="K1003" s="274">
        <f>K1001+K1002</f>
        <v>225301</v>
      </c>
      <c r="M1003" s="291"/>
      <c r="N1003" s="277" t="s">
        <v>409</v>
      </c>
      <c r="O1003" s="429" t="e">
        <f>#REF!*1000</f>
        <v>#REF!</v>
      </c>
      <c r="P1003" s="74"/>
      <c r="Q1003" s="278"/>
      <c r="R1003" s="278"/>
      <c r="S1003" s="278"/>
      <c r="T1003" s="278"/>
      <c r="U1003" s="20"/>
      <c r="V1003" s="20"/>
      <c r="W1003" s="20"/>
      <c r="X1003" s="20"/>
      <c r="Y1003" s="20"/>
      <c r="Z1003" s="20"/>
      <c r="AA1003" s="20"/>
      <c r="AB1003" s="20"/>
    </row>
    <row r="1004" spans="1:28" ht="16.5" thickTop="1">
      <c r="C1004" s="275"/>
      <c r="D1004" s="275"/>
      <c r="E1004" s="275"/>
      <c r="F1004" s="275"/>
      <c r="G1004" s="263"/>
      <c r="H1004" s="263"/>
      <c r="I1004" s="275" t="s">
        <v>31</v>
      </c>
      <c r="J1004" s="275"/>
      <c r="K1004" s="2" t="s">
        <v>31</v>
      </c>
      <c r="M1004" s="277"/>
      <c r="N1004" s="277" t="s">
        <v>263</v>
      </c>
      <c r="O1004" s="416" t="e">
        <f>O1003-K1003</f>
        <v>#REF!</v>
      </c>
      <c r="P1004" s="294" t="e">
        <f>(O1003-K1003)/K1003</f>
        <v>#REF!</v>
      </c>
      <c r="Q1004" s="278"/>
      <c r="R1004" s="278"/>
      <c r="S1004" s="278"/>
      <c r="T1004" s="278"/>
      <c r="U1004" s="20"/>
      <c r="V1004" s="20"/>
      <c r="W1004" s="20"/>
      <c r="X1004" s="20"/>
      <c r="Y1004" s="20"/>
      <c r="Z1004" s="20"/>
      <c r="AA1004" s="20"/>
      <c r="AB1004" s="20"/>
    </row>
    <row r="1005" spans="1:28">
      <c r="A1005" s="303"/>
      <c r="B1005" s="313"/>
      <c r="C1005" s="445"/>
      <c r="D1005" s="445"/>
      <c r="E1005" s="446"/>
      <c r="F1005" s="2"/>
      <c r="G1005" s="2"/>
      <c r="H1005" s="2"/>
      <c r="I1005" s="446"/>
      <c r="J1005" s="303"/>
      <c r="K1005" s="2"/>
      <c r="M1005" s="20"/>
      <c r="N1005" s="20"/>
      <c r="O1005" s="74"/>
      <c r="P1005" s="74"/>
      <c r="Q1005" s="20"/>
      <c r="R1005" s="20"/>
      <c r="S1005" s="20"/>
      <c r="T1005" s="20"/>
      <c r="U1005" s="20"/>
      <c r="V1005" s="20"/>
      <c r="W1005" s="20"/>
      <c r="X1005" s="20"/>
    </row>
    <row r="1006" spans="1:28" s="4" customFormat="1" ht="19.899999999999999" customHeight="1" thickBot="1">
      <c r="A1006" s="447" t="s">
        <v>515</v>
      </c>
      <c r="B1006" s="448"/>
      <c r="C1006" s="449">
        <f>C27+C91+C176+C474+C508+C627+C760+C787+C911+C922+C933+C966+C1003</f>
        <v>4024330101.6098857</v>
      </c>
      <c r="D1006" s="449">
        <f>D27+D91+D176+D474+D508+D627+D760+D787+D911+D922+D933+D966+D1003</f>
        <v>4081125561.3610039</v>
      </c>
      <c r="E1006" s="450"/>
      <c r="F1006" s="451"/>
      <c r="G1006" s="451">
        <f>G27+G91+G176+G474+G508+G627+G760+G787+G911+G922+G933+G966+G1003</f>
        <v>236218228.53999999</v>
      </c>
      <c r="H1006" s="451">
        <f>H27+H91+H176+H474+H508+H627+H760+H787+H911+H922+H933+H966+H1003</f>
        <v>238933609.53999999</v>
      </c>
      <c r="I1006" s="450"/>
      <c r="J1006" s="451"/>
      <c r="K1006" s="451">
        <f>K27+K91+K176+K474+K508+K627+K760+K787+K911+K922+K933+K966+K1003</f>
        <v>257330671.53999999</v>
      </c>
      <c r="M1006" s="20"/>
      <c r="N1006" s="20"/>
      <c r="O1006" s="74"/>
      <c r="P1006" s="452"/>
      <c r="Q1006" s="7"/>
      <c r="R1006" s="7"/>
      <c r="S1006" s="7"/>
      <c r="T1006" s="7"/>
      <c r="U1006" s="7"/>
      <c r="V1006" s="7"/>
      <c r="W1006" s="7"/>
      <c r="X1006" s="7"/>
    </row>
    <row r="1007" spans="1:28" ht="16.5" thickTop="1">
      <c r="A1007" s="1"/>
      <c r="B1007" s="313"/>
      <c r="C1007" s="21"/>
      <c r="D1007" s="21"/>
      <c r="E1007" s="337"/>
      <c r="F1007" s="2"/>
      <c r="G1007" s="2"/>
      <c r="H1007" s="2"/>
      <c r="I1007" s="353" t="s">
        <v>31</v>
      </c>
      <c r="J1007" s="1"/>
      <c r="K1007" s="2" t="s">
        <v>31</v>
      </c>
      <c r="M1007" s="20"/>
      <c r="N1007" s="20"/>
      <c r="O1007" s="74"/>
      <c r="P1007" s="74"/>
      <c r="Q1007" s="20"/>
      <c r="R1007" s="20"/>
      <c r="S1007" s="20"/>
      <c r="T1007" s="20"/>
      <c r="U1007" s="20"/>
      <c r="V1007" s="20"/>
      <c r="W1007" s="20"/>
      <c r="X1007" s="20"/>
    </row>
    <row r="1008" spans="1:28">
      <c r="A1008" s="1" t="s">
        <v>34</v>
      </c>
      <c r="B1008" s="313"/>
      <c r="C1008" s="453"/>
      <c r="D1008" s="453"/>
      <c r="E1008" s="454"/>
      <c r="F1008" s="455"/>
      <c r="G1008" s="455">
        <v>311006.74</v>
      </c>
      <c r="H1008" s="455">
        <v>311006.74</v>
      </c>
      <c r="I1008" s="456"/>
      <c r="J1008" s="457"/>
      <c r="K1008" s="455">
        <f>G1008</f>
        <v>311006.74</v>
      </c>
      <c r="M1008" s="20"/>
      <c r="N1008" s="7" t="s">
        <v>409</v>
      </c>
      <c r="O1008" s="458" t="e">
        <f>#REF!*1000</f>
        <v>#REF!</v>
      </c>
      <c r="P1008" s="74"/>
      <c r="Q1008" s="20"/>
      <c r="R1008" s="20"/>
      <c r="S1008" s="20"/>
      <c r="T1008" s="20"/>
      <c r="U1008" s="20"/>
      <c r="V1008" s="20"/>
      <c r="W1008" s="20"/>
      <c r="X1008" s="20"/>
    </row>
    <row r="1009" spans="1:24" s="4" customFormat="1" ht="19.899999999999999" customHeight="1" thickBot="1">
      <c r="A1009" s="459" t="s">
        <v>516</v>
      </c>
      <c r="B1009" s="460"/>
      <c r="C1009" s="461">
        <f>C1006+C1008</f>
        <v>4024330101.6098857</v>
      </c>
      <c r="D1009" s="461">
        <f>D1006+D1008</f>
        <v>4081125561.3610039</v>
      </c>
      <c r="E1009" s="462"/>
      <c r="F1009" s="463"/>
      <c r="G1009" s="464">
        <f>G1006+G1008</f>
        <v>236529235.28</v>
      </c>
      <c r="H1009" s="464">
        <f>H1006+H1008</f>
        <v>239244616.28</v>
      </c>
      <c r="I1009" s="465"/>
      <c r="J1009" s="463"/>
      <c r="K1009" s="461">
        <f>K1006+K1008</f>
        <v>257641678.28</v>
      </c>
      <c r="M1009" s="7"/>
      <c r="N1009" s="20" t="s">
        <v>263</v>
      </c>
      <c r="O1009" s="74" t="e">
        <f>O1008-K1009</f>
        <v>#REF!</v>
      </c>
      <c r="P1009" s="314" t="e">
        <f>(O1008-K1009)/K1009</f>
        <v>#REF!</v>
      </c>
      <c r="Q1009" s="7"/>
      <c r="R1009" s="7"/>
      <c r="S1009" s="7"/>
      <c r="T1009" s="7"/>
      <c r="U1009" s="7"/>
      <c r="V1009" s="7"/>
      <c r="W1009" s="7"/>
      <c r="X1009" s="7"/>
    </row>
    <row r="1010" spans="1:24" ht="16.5" thickTop="1">
      <c r="A1010" s="1"/>
      <c r="B1010" s="313"/>
      <c r="C1010" s="21"/>
      <c r="D1010" s="21"/>
      <c r="E1010" s="466">
        <v>0</v>
      </c>
      <c r="F1010" s="2"/>
      <c r="G1010" s="2" t="s">
        <v>31</v>
      </c>
      <c r="H1010" s="2" t="s">
        <v>31</v>
      </c>
      <c r="I1010" s="337"/>
      <c r="J1010" s="1"/>
      <c r="K1010" s="2"/>
      <c r="M1010" s="20"/>
      <c r="P1010" s="74"/>
      <c r="Q1010" s="20"/>
      <c r="R1010" s="20"/>
      <c r="S1010" s="20"/>
      <c r="T1010" s="20"/>
      <c r="U1010" s="20"/>
      <c r="V1010" s="20"/>
      <c r="W1010" s="20"/>
      <c r="X1010" s="20"/>
    </row>
    <row r="1011" spans="1:24">
      <c r="C1011" s="467"/>
      <c r="D1011" s="467"/>
      <c r="E1011" s="270"/>
      <c r="H1011" s="468"/>
      <c r="M1011" s="20"/>
      <c r="N1011" s="20"/>
      <c r="O1011" s="74"/>
      <c r="P1011" s="74"/>
      <c r="Q1011" s="20"/>
      <c r="R1011" s="20"/>
      <c r="S1011" s="20"/>
      <c r="T1011" s="20"/>
      <c r="U1011" s="20"/>
      <c r="V1011" s="20"/>
      <c r="W1011" s="20"/>
      <c r="X1011" s="20"/>
    </row>
    <row r="1012" spans="1:24">
      <c r="A1012" s="469"/>
      <c r="K1012" s="264">
        <f>K1009-H1009</f>
        <v>18397062</v>
      </c>
      <c r="M1012" s="20"/>
      <c r="N1012" s="416"/>
      <c r="O1012" s="74"/>
      <c r="P1012" s="74"/>
      <c r="Q1012" s="20"/>
      <c r="R1012" s="20"/>
      <c r="S1012" s="20"/>
      <c r="T1012" s="20"/>
      <c r="U1012" s="20"/>
      <c r="V1012" s="20"/>
      <c r="W1012" s="20"/>
      <c r="X1012" s="20"/>
    </row>
    <row r="1013" spans="1:24">
      <c r="A1013" s="1" t="s">
        <v>168</v>
      </c>
      <c r="B1013" s="3" t="s">
        <v>517</v>
      </c>
      <c r="C1013" s="264">
        <v>4024330100</v>
      </c>
      <c r="D1013" s="264">
        <v>4081125563.3743143</v>
      </c>
      <c r="G1013" s="84">
        <v>236529235.27999997</v>
      </c>
      <c r="H1013" s="84">
        <v>239244616.27999997</v>
      </c>
      <c r="M1013" s="20"/>
      <c r="N1013" s="20"/>
      <c r="O1013" s="74"/>
      <c r="P1013" s="74"/>
      <c r="Q1013" s="20"/>
      <c r="R1013" s="20"/>
      <c r="S1013" s="20"/>
      <c r="T1013" s="20"/>
      <c r="U1013" s="20"/>
      <c r="V1013" s="20"/>
      <c r="W1013" s="20"/>
      <c r="X1013" s="20"/>
    </row>
    <row r="1014" spans="1:24">
      <c r="B1014" s="3" t="s">
        <v>518</v>
      </c>
      <c r="C1014" s="264">
        <v>4024330100</v>
      </c>
      <c r="D1014" s="264">
        <v>4081125563.3743143</v>
      </c>
      <c r="G1014" s="84">
        <v>236529235.27999997</v>
      </c>
      <c r="H1014" s="84">
        <v>239244616.27999997</v>
      </c>
      <c r="M1014" s="20"/>
      <c r="N1014" s="20"/>
      <c r="O1014" s="74"/>
      <c r="P1014" s="74"/>
      <c r="Q1014" s="20"/>
      <c r="R1014" s="20"/>
      <c r="S1014" s="20"/>
      <c r="T1014" s="20"/>
      <c r="U1014" s="20"/>
      <c r="V1014" s="20"/>
      <c r="W1014" s="20"/>
      <c r="X1014" s="20"/>
    </row>
    <row r="1015" spans="1:24">
      <c r="M1015" s="20"/>
      <c r="N1015" s="20"/>
      <c r="O1015" s="74"/>
      <c r="P1015" s="74"/>
      <c r="Q1015" s="20"/>
      <c r="R1015" s="20"/>
      <c r="S1015" s="20"/>
      <c r="T1015" s="20"/>
      <c r="U1015" s="20"/>
      <c r="V1015" s="20"/>
      <c r="W1015" s="20"/>
      <c r="X1015" s="20"/>
    </row>
    <row r="1016" spans="1:24">
      <c r="B1016" s="3" t="s">
        <v>251</v>
      </c>
      <c r="C1016" s="264">
        <f>C1009-C1014</f>
        <v>1.6098856925964355</v>
      </c>
      <c r="D1016" s="264">
        <f>D1009-D1014</f>
        <v>-2.013310432434082</v>
      </c>
      <c r="G1016" s="264">
        <f>G1009-G1014</f>
        <v>0</v>
      </c>
      <c r="H1016" s="264">
        <f>H1009-H1014</f>
        <v>0</v>
      </c>
      <c r="M1016" s="20"/>
      <c r="N1016" s="20"/>
      <c r="O1016" s="74"/>
      <c r="P1016" s="74"/>
      <c r="Q1016" s="20"/>
      <c r="R1016" s="20"/>
      <c r="S1016" s="20"/>
      <c r="T1016" s="20"/>
      <c r="U1016" s="20"/>
      <c r="V1016" s="20"/>
      <c r="W1016" s="20"/>
      <c r="X1016" s="20"/>
    </row>
    <row r="1017" spans="1:24">
      <c r="M1017" s="20"/>
      <c r="N1017" s="20"/>
      <c r="O1017" s="74"/>
      <c r="P1017" s="74"/>
      <c r="Q1017" s="20"/>
      <c r="R1017" s="20"/>
      <c r="S1017" s="20"/>
      <c r="T1017" s="20"/>
      <c r="U1017" s="20"/>
      <c r="V1017" s="20"/>
      <c r="W1017" s="20"/>
      <c r="X1017" s="20"/>
    </row>
    <row r="1019" spans="1:24">
      <c r="B1019" s="3" t="s">
        <v>519</v>
      </c>
      <c r="C1019" s="264">
        <f>C24+C83+C157+C483+C587+C737+C768+C908+C919+C930+C962+C1000</f>
        <v>1450753</v>
      </c>
      <c r="D1019" s="264">
        <f>D24+D83+D157+D483+D587+D737+D768+D908+D919+D930+D962+D1000</f>
        <v>1466661.75</v>
      </c>
    </row>
    <row r="1020" spans="1:24">
      <c r="B1020" s="3" t="s">
        <v>40</v>
      </c>
      <c r="C1020" s="264">
        <f>((C83+C186+C271+C483+C737+C768+C908+C919+C930+C962+C1000)/12)+C358+C587+C24</f>
        <v>128412.75</v>
      </c>
      <c r="D1020" s="264">
        <f>((D83+D186+D271+D483+D737+D768+D908+D919+D930+D962+D1000)/12)+D358+D587+D24</f>
        <v>129738.25</v>
      </c>
    </row>
    <row r="1022" spans="1:24">
      <c r="B1022" s="3" t="s">
        <v>251</v>
      </c>
      <c r="C1022" s="264">
        <v>0</v>
      </c>
      <c r="D1022" s="264">
        <v>0</v>
      </c>
    </row>
  </sheetData>
  <phoneticPr fontId="0" type="noConversion"/>
  <printOptions horizontalCentered="1"/>
  <pageMargins left="0.5" right="0.5" top="0.5" bottom="0.55000000000000004" header="0.5" footer="0.25"/>
  <pageSetup scale="45" fitToHeight="17" orientation="portrait" r:id="rId1"/>
  <headerFooter alignWithMargins="0">
    <oddFooter>&amp;LPrepared by Pricing &amp;D&amp;CPage &amp;P of &amp;N&amp;R&amp;F&amp;A</oddFooter>
  </headerFooter>
  <rowBreaks count="11" manualBreakCount="11">
    <brk id="105" max="14" man="1"/>
    <brk id="205" max="14" man="1"/>
    <brk id="291" max="14" man="1"/>
    <brk id="379" max="14" man="1"/>
    <brk id="475" max="14" man="1"/>
    <brk id="542" max="14" man="1"/>
    <brk id="628" max="14" man="1"/>
    <brk id="730" max="14" man="1"/>
    <brk id="815" max="14" man="1"/>
    <brk id="899" max="14" man="1"/>
    <brk id="967" max="14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4"/>
  <dimension ref="A1:Q47"/>
  <sheetViews>
    <sheetView view="pageBreakPreview" zoomScale="60" zoomScaleNormal="75" workbookViewId="0"/>
  </sheetViews>
  <sheetFormatPr defaultColWidth="8.5" defaultRowHeight="12.75"/>
  <cols>
    <col min="1" max="1" width="6" style="1532" customWidth="1"/>
    <col min="2" max="2" width="11.25" style="1532" bestFit="1" customWidth="1"/>
    <col min="3" max="3" width="27.75" style="1532" customWidth="1"/>
    <col min="4" max="4" width="11.75" style="1532" customWidth="1"/>
    <col min="5" max="5" width="9" style="1532" bestFit="1" customWidth="1"/>
    <col min="6" max="6" width="7.25" style="1532" bestFit="1" customWidth="1"/>
    <col min="7" max="7" width="13.125" style="1532" customWidth="1"/>
    <col min="8" max="8" width="12.5" style="1532" customWidth="1"/>
    <col min="9" max="9" width="12.125" style="1532" bestFit="1" customWidth="1"/>
    <col min="10" max="10" width="10.625" style="1532" bestFit="1" customWidth="1"/>
    <col min="11" max="11" width="10.75" style="1532" customWidth="1"/>
    <col min="12" max="12" width="10.75" style="1532" bestFit="1" customWidth="1"/>
    <col min="13" max="13" width="12.25" style="1532" customWidth="1"/>
    <col min="14" max="14" width="15" style="1532" bestFit="1" customWidth="1"/>
    <col min="15" max="15" width="4.5" style="1532" customWidth="1"/>
    <col min="16" max="16" width="17.75" style="1532" customWidth="1"/>
    <col min="17" max="17" width="18.625" style="1532" customWidth="1"/>
    <col min="18" max="21" width="8.5" style="1532"/>
    <col min="22" max="22" width="8.375" style="1532" customWidth="1"/>
    <col min="23" max="16384" width="8.5" style="1532"/>
  </cols>
  <sheetData>
    <row r="1" spans="1:17">
      <c r="A1" s="1530" t="s">
        <v>1075</v>
      </c>
      <c r="B1" s="1531"/>
    </row>
    <row r="2" spans="1:17" ht="12.75" customHeight="1">
      <c r="A2" s="1536"/>
      <c r="B2" s="1536"/>
      <c r="C2" s="1536"/>
      <c r="D2" s="1536"/>
      <c r="E2" s="1536"/>
      <c r="F2" s="1536"/>
      <c r="G2" s="1536"/>
      <c r="H2" s="1536"/>
      <c r="I2" s="1536"/>
      <c r="J2" s="1536"/>
      <c r="K2" s="1536"/>
      <c r="L2" s="1536"/>
      <c r="M2" s="1536"/>
      <c r="N2" s="1536"/>
      <c r="Q2" s="1540"/>
    </row>
    <row r="3" spans="1:17">
      <c r="A3" s="1660" t="s">
        <v>743</v>
      </c>
      <c r="B3" s="1660"/>
      <c r="C3" s="1660"/>
      <c r="D3" s="1660"/>
      <c r="E3" s="1660"/>
      <c r="F3" s="1660"/>
      <c r="G3" s="1660"/>
      <c r="H3" s="1660"/>
      <c r="I3" s="1660"/>
      <c r="J3" s="1660"/>
      <c r="K3" s="1660"/>
      <c r="L3" s="1660"/>
      <c r="M3" s="1660"/>
      <c r="N3" s="1660"/>
    </row>
    <row r="4" spans="1:17">
      <c r="A4" s="1661" t="s">
        <v>799</v>
      </c>
      <c r="B4" s="1661"/>
      <c r="C4" s="1661"/>
      <c r="D4" s="1661"/>
      <c r="E4" s="1661"/>
      <c r="F4" s="1661"/>
      <c r="G4" s="1661"/>
      <c r="H4" s="1661"/>
      <c r="I4" s="1661"/>
      <c r="J4" s="1661"/>
      <c r="K4" s="1661"/>
      <c r="L4" s="1661"/>
      <c r="M4" s="1661"/>
      <c r="N4" s="1661"/>
    </row>
    <row r="5" spans="1:17">
      <c r="A5" s="1662" t="s">
        <v>47</v>
      </c>
      <c r="B5" s="1662"/>
      <c r="C5" s="1662"/>
      <c r="D5" s="1662"/>
      <c r="E5" s="1662"/>
      <c r="F5" s="1662"/>
      <c r="G5" s="1662"/>
      <c r="H5" s="1662"/>
      <c r="I5" s="1662"/>
      <c r="J5" s="1662"/>
      <c r="K5" s="1662"/>
      <c r="L5" s="1662"/>
      <c r="M5" s="1662"/>
      <c r="N5" s="1662"/>
    </row>
    <row r="6" spans="1:17">
      <c r="A6" s="1662" t="s">
        <v>969</v>
      </c>
      <c r="B6" s="1662"/>
      <c r="C6" s="1662"/>
      <c r="D6" s="1662"/>
      <c r="E6" s="1662"/>
      <c r="F6" s="1662"/>
      <c r="G6" s="1662"/>
      <c r="H6" s="1662"/>
      <c r="I6" s="1662"/>
      <c r="J6" s="1662"/>
      <c r="K6" s="1662"/>
      <c r="L6" s="1662"/>
      <c r="M6" s="1662"/>
      <c r="N6" s="1662"/>
    </row>
    <row r="7" spans="1:17">
      <c r="A7" s="1663" t="s">
        <v>970</v>
      </c>
      <c r="B7" s="1662"/>
      <c r="C7" s="1662"/>
      <c r="D7" s="1662"/>
      <c r="E7" s="1662"/>
      <c r="F7" s="1662"/>
      <c r="G7" s="1662"/>
      <c r="H7" s="1662"/>
      <c r="I7" s="1662"/>
      <c r="J7" s="1662"/>
      <c r="K7" s="1662"/>
      <c r="L7" s="1662"/>
      <c r="M7" s="1662"/>
      <c r="N7" s="1662"/>
    </row>
    <row r="8" spans="1:17">
      <c r="A8" s="1664" t="s">
        <v>1047</v>
      </c>
      <c r="B8" s="1664"/>
      <c r="C8" s="1664"/>
      <c r="D8" s="1664"/>
      <c r="E8" s="1664"/>
      <c r="F8" s="1664"/>
      <c r="G8" s="1665"/>
      <c r="H8" s="1666"/>
      <c r="I8" s="1664"/>
      <c r="J8" s="1664"/>
      <c r="K8" s="1664"/>
      <c r="L8" s="1664"/>
      <c r="M8" s="1664"/>
      <c r="N8" s="1664"/>
    </row>
    <row r="9" spans="1:17">
      <c r="A9" s="1535"/>
      <c r="B9" s="1535"/>
      <c r="C9" s="1535"/>
      <c r="D9" s="1535"/>
      <c r="E9" s="1535"/>
      <c r="F9" s="1535"/>
      <c r="G9" s="1535"/>
      <c r="H9" s="1535"/>
      <c r="I9" s="1535"/>
      <c r="J9" s="1535"/>
      <c r="K9" s="1535"/>
      <c r="L9" s="1535"/>
      <c r="M9" s="1535"/>
      <c r="N9" s="1535"/>
    </row>
    <row r="10" spans="1:17" ht="13.5" thickBot="1">
      <c r="A10" s="1536"/>
      <c r="B10" s="1537" t="s">
        <v>3</v>
      </c>
      <c r="C10" s="1537" t="s">
        <v>4</v>
      </c>
      <c r="D10" s="1537" t="s">
        <v>5</v>
      </c>
      <c r="E10" s="1537" t="s">
        <v>6</v>
      </c>
      <c r="F10" s="1537" t="s">
        <v>7</v>
      </c>
      <c r="G10" s="1537" t="s">
        <v>801</v>
      </c>
      <c r="H10" s="1537" t="s">
        <v>802</v>
      </c>
      <c r="I10" s="1537" t="s">
        <v>803</v>
      </c>
      <c r="J10" s="1537" t="s">
        <v>8</v>
      </c>
      <c r="K10" s="1537" t="s">
        <v>744</v>
      </c>
      <c r="L10" s="1537" t="s">
        <v>936</v>
      </c>
      <c r="M10" s="1537" t="s">
        <v>937</v>
      </c>
      <c r="N10" s="1537" t="s">
        <v>745</v>
      </c>
    </row>
    <row r="11" spans="1:17" s="1540" customFormat="1">
      <c r="A11" s="1538"/>
      <c r="B11" s="1538"/>
      <c r="C11" s="1538"/>
      <c r="D11" s="1538"/>
      <c r="E11" s="1539" t="s">
        <v>938</v>
      </c>
      <c r="F11" s="1539" t="s">
        <v>939</v>
      </c>
      <c r="G11" s="1539" t="s">
        <v>9</v>
      </c>
      <c r="H11" s="1539" t="s">
        <v>935</v>
      </c>
      <c r="I11" s="1539" t="s">
        <v>940</v>
      </c>
      <c r="J11" s="1539" t="s">
        <v>934</v>
      </c>
      <c r="K11" s="1539" t="s">
        <v>941</v>
      </c>
      <c r="L11" s="1539" t="s">
        <v>942</v>
      </c>
      <c r="M11" s="1539" t="s">
        <v>252</v>
      </c>
      <c r="N11" s="1539" t="s">
        <v>943</v>
      </c>
      <c r="P11" s="1544"/>
      <c r="Q11" s="1544"/>
    </row>
    <row r="12" spans="1:17" s="1540" customFormat="1">
      <c r="A12" s="1541" t="s">
        <v>186</v>
      </c>
      <c r="B12" s="1541" t="s">
        <v>258</v>
      </c>
      <c r="C12" s="1541" t="s">
        <v>202</v>
      </c>
      <c r="D12" s="1541" t="s">
        <v>559</v>
      </c>
      <c r="E12" s="1541" t="s">
        <v>32</v>
      </c>
      <c r="F12" s="1541" t="s">
        <v>944</v>
      </c>
      <c r="G12" s="1541" t="s">
        <v>945</v>
      </c>
      <c r="H12" s="1541" t="s">
        <v>945</v>
      </c>
      <c r="I12" s="1541" t="s">
        <v>945</v>
      </c>
      <c r="J12" s="1541" t="s">
        <v>945</v>
      </c>
      <c r="K12" s="1541" t="s">
        <v>945</v>
      </c>
      <c r="L12" s="1541" t="s">
        <v>945</v>
      </c>
      <c r="M12" s="1541" t="s">
        <v>946</v>
      </c>
      <c r="N12" s="1541" t="s">
        <v>947</v>
      </c>
      <c r="P12" s="1544"/>
      <c r="Q12" s="1544"/>
    </row>
    <row r="13" spans="1:17" s="1540" customFormat="1" ht="13.5" thickBot="1">
      <c r="A13" s="1542" t="s">
        <v>188</v>
      </c>
      <c r="B13" s="1542" t="s">
        <v>188</v>
      </c>
      <c r="C13" s="1543"/>
      <c r="D13" s="1542" t="s">
        <v>1</v>
      </c>
      <c r="E13" s="1542" t="s">
        <v>187</v>
      </c>
      <c r="F13" s="1542" t="s">
        <v>948</v>
      </c>
      <c r="G13" s="1542" t="s">
        <v>808</v>
      </c>
      <c r="H13" s="1542" t="s">
        <v>808</v>
      </c>
      <c r="I13" s="1542" t="s">
        <v>808</v>
      </c>
      <c r="J13" s="1542" t="s">
        <v>808</v>
      </c>
      <c r="K13" s="1542" t="s">
        <v>808</v>
      </c>
      <c r="L13" s="1542" t="s">
        <v>808</v>
      </c>
      <c r="M13" s="1542" t="s">
        <v>949</v>
      </c>
      <c r="N13" s="1542" t="s">
        <v>950</v>
      </c>
      <c r="P13" s="1544"/>
      <c r="Q13" s="1544"/>
    </row>
    <row r="14" spans="1:17" s="1540" customFormat="1">
      <c r="A14" s="1545">
        <v>1</v>
      </c>
      <c r="B14" s="1546" t="s">
        <v>951</v>
      </c>
      <c r="C14" s="1547" t="s">
        <v>17</v>
      </c>
      <c r="D14" s="1548">
        <v>140088118.80000001</v>
      </c>
      <c r="E14" s="1549">
        <v>3.220169630940712E-2</v>
      </c>
      <c r="F14" s="1550">
        <v>0.59486107982997194</v>
      </c>
      <c r="G14" s="1548">
        <v>163792081.47494119</v>
      </c>
      <c r="H14" s="1548">
        <v>98351483.715146571</v>
      </c>
      <c r="I14" s="1548">
        <v>24283865.687039293</v>
      </c>
      <c r="J14" s="1548">
        <v>32853369.794612072</v>
      </c>
      <c r="K14" s="1548">
        <v>5749833.3571636248</v>
      </c>
      <c r="L14" s="1548">
        <v>2553528.9209796209</v>
      </c>
      <c r="M14" s="1548">
        <v>23703962.674941182</v>
      </c>
      <c r="N14" s="1549">
        <v>0.16920751651168037</v>
      </c>
      <c r="P14" s="1565"/>
      <c r="Q14" s="1566"/>
    </row>
    <row r="15" spans="1:17" s="1540" customFormat="1">
      <c r="A15" s="1551">
        <f>A14+1</f>
        <v>2</v>
      </c>
      <c r="B15" s="1546" t="s">
        <v>952</v>
      </c>
      <c r="C15" s="1547" t="s">
        <v>953</v>
      </c>
      <c r="D15" s="1548">
        <v>48473096.458215185</v>
      </c>
      <c r="E15" s="1549">
        <v>9.8485422467809544E-2</v>
      </c>
      <c r="F15" s="1550">
        <v>1.8193185909773835</v>
      </c>
      <c r="G15" s="1548">
        <v>47734808.366139017</v>
      </c>
      <c r="H15" s="1548">
        <v>30746706.678788491</v>
      </c>
      <c r="I15" s="1548">
        <v>7578071.958765314</v>
      </c>
      <c r="J15" s="1548">
        <v>7789820.7741721738</v>
      </c>
      <c r="K15" s="1548">
        <v>773583.87863919663</v>
      </c>
      <c r="L15" s="1548">
        <v>846625.0757738424</v>
      </c>
      <c r="M15" s="1548">
        <v>-738288.09207616746</v>
      </c>
      <c r="N15" s="1549">
        <v>-1.5230883645169946E-2</v>
      </c>
      <c r="P15" s="1565"/>
      <c r="Q15" s="1566"/>
    </row>
    <row r="16" spans="1:17" s="1540" customFormat="1">
      <c r="A16" s="1551">
        <f>A15+1</f>
        <v>3</v>
      </c>
      <c r="B16" s="1546" t="s">
        <v>891</v>
      </c>
      <c r="C16" s="1547" t="s">
        <v>336</v>
      </c>
      <c r="D16" s="1548">
        <v>66810176.104031913</v>
      </c>
      <c r="E16" s="1549">
        <v>7.1511784465817657E-2</v>
      </c>
      <c r="F16" s="1550">
        <v>1.3210352932704781</v>
      </c>
      <c r="G16" s="1548">
        <v>70232276.42491737</v>
      </c>
      <c r="H16" s="1548">
        <v>49015376.703463763</v>
      </c>
      <c r="I16" s="1548">
        <v>12119266.83693834</v>
      </c>
      <c r="J16" s="1548">
        <v>7826235.7442404795</v>
      </c>
      <c r="K16" s="1548">
        <v>-113.31752508388308</v>
      </c>
      <c r="L16" s="1548">
        <v>1271510.4577998868</v>
      </c>
      <c r="M16" s="1548">
        <v>3422100.3208854571</v>
      </c>
      <c r="N16" s="1549">
        <v>5.1221243835023397E-2</v>
      </c>
      <c r="P16" s="1565"/>
      <c r="Q16" s="1566"/>
    </row>
    <row r="17" spans="1:17" s="1540" customFormat="1">
      <c r="A17" s="1551">
        <f>A16+1</f>
        <v>4</v>
      </c>
      <c r="B17" s="1546" t="s">
        <v>71</v>
      </c>
      <c r="C17" s="1547" t="s">
        <v>954</v>
      </c>
      <c r="D17" s="1548">
        <v>26035610.215484656</v>
      </c>
      <c r="E17" s="1549">
        <v>6.1845876538206633E-2</v>
      </c>
      <c r="F17" s="1550">
        <v>1.1424772330953668</v>
      </c>
      <c r="G17" s="1548">
        <v>28011709.745251842</v>
      </c>
      <c r="H17" s="1548">
        <v>19996256.809991963</v>
      </c>
      <c r="I17" s="1548">
        <v>4943112.104028808</v>
      </c>
      <c r="J17" s="1548">
        <v>2535201.2706056288</v>
      </c>
      <c r="K17" s="1548">
        <v>29197.583276514324</v>
      </c>
      <c r="L17" s="1548">
        <v>507941.97734892927</v>
      </c>
      <c r="M17" s="1548">
        <v>1976099.5297671854</v>
      </c>
      <c r="N17" s="1549">
        <v>7.5899873804068152E-2</v>
      </c>
      <c r="P17" s="1567"/>
      <c r="Q17" s="1566"/>
    </row>
    <row r="18" spans="1:17" s="1540" customFormat="1">
      <c r="A18" s="1551"/>
      <c r="B18" s="1546" t="s">
        <v>641</v>
      </c>
      <c r="C18" s="1547"/>
      <c r="D18" s="1548">
        <v>0</v>
      </c>
      <c r="E18" s="1549"/>
      <c r="F18" s="1550"/>
      <c r="G18" s="1548">
        <v>0</v>
      </c>
      <c r="H18" s="1548"/>
      <c r="I18" s="1548"/>
      <c r="J18" s="1548"/>
      <c r="K18" s="1548"/>
      <c r="L18" s="1548"/>
      <c r="M18" s="1548">
        <v>0</v>
      </c>
      <c r="N18" s="1549"/>
      <c r="P18" s="1565"/>
      <c r="Q18" s="1566"/>
    </row>
    <row r="19" spans="1:17" s="1540" customFormat="1">
      <c r="A19" s="1551">
        <v>5</v>
      </c>
      <c r="B19" s="1552" t="s">
        <v>71</v>
      </c>
      <c r="C19" s="1547" t="s">
        <v>811</v>
      </c>
      <c r="D19" s="1548">
        <v>24940664.394958615</v>
      </c>
      <c r="E19" s="1549">
        <v>3.6018753124489378E-2</v>
      </c>
      <c r="F19" s="1550">
        <v>0.66537346889715498</v>
      </c>
      <c r="G19" s="1548">
        <v>28476719.024289563</v>
      </c>
      <c r="H19" s="1548">
        <v>22014967.851239294</v>
      </c>
      <c r="I19" s="1548">
        <v>5438248.8642719062</v>
      </c>
      <c r="J19" s="1548">
        <v>482059.14508923364</v>
      </c>
      <c r="K19" s="1548">
        <v>14792.922014008889</v>
      </c>
      <c r="L19" s="1548">
        <v>526650.2416751188</v>
      </c>
      <c r="M19" s="1548">
        <v>3536054.629330948</v>
      </c>
      <c r="N19" s="1549">
        <v>0.14177868613819722</v>
      </c>
      <c r="P19" s="1565"/>
      <c r="Q19" s="1566"/>
    </row>
    <row r="20" spans="1:17" s="1540" customFormat="1">
      <c r="A20" s="1551">
        <v>6</v>
      </c>
      <c r="B20" s="1546" t="s">
        <v>337</v>
      </c>
      <c r="C20" s="1547" t="s">
        <v>196</v>
      </c>
      <c r="D20" s="1548">
        <v>12666289</v>
      </c>
      <c r="E20" s="1549">
        <v>9.0070130750589034E-2</v>
      </c>
      <c r="F20" s="1550">
        <v>1.663863130808733</v>
      </c>
      <c r="G20" s="1548">
        <v>12730015.038801806</v>
      </c>
      <c r="H20" s="1548">
        <v>8069740.2773304265</v>
      </c>
      <c r="I20" s="1548">
        <v>1982126.8482489351</v>
      </c>
      <c r="J20" s="1548">
        <v>2322143.1899809721</v>
      </c>
      <c r="K20" s="1548">
        <v>132752.61165481119</v>
      </c>
      <c r="L20" s="1548">
        <v>223252.11158666274</v>
      </c>
      <c r="M20" s="1548">
        <v>63726.038801806048</v>
      </c>
      <c r="N20" s="1549">
        <v>5.0311530711012551E-3</v>
      </c>
      <c r="P20" s="1565"/>
      <c r="Q20" s="1566"/>
    </row>
    <row r="21" spans="1:17" s="1540" customFormat="1">
      <c r="A21" s="1551">
        <v>7</v>
      </c>
      <c r="B21" s="1546" t="s">
        <v>955</v>
      </c>
      <c r="C21" s="1547" t="s">
        <v>956</v>
      </c>
      <c r="D21" s="1548">
        <v>1648056.5279417732</v>
      </c>
      <c r="E21" s="1549">
        <v>9.8169714723167906E-2</v>
      </c>
      <c r="F21" s="1550">
        <v>1.8134865302038226</v>
      </c>
      <c r="G21" s="1548">
        <v>1623358.4262912977</v>
      </c>
      <c r="H21" s="1548">
        <v>540258.57342847181</v>
      </c>
      <c r="I21" s="1548">
        <v>133074.68616135643</v>
      </c>
      <c r="J21" s="1548">
        <v>831391.49626748671</v>
      </c>
      <c r="K21" s="1548">
        <v>98071.246500960391</v>
      </c>
      <c r="L21" s="1548">
        <v>20562.423933022528</v>
      </c>
      <c r="M21" s="1548">
        <v>-24698.101650475524</v>
      </c>
      <c r="N21" s="1549">
        <v>-1.4986198125934604E-2</v>
      </c>
      <c r="P21" s="1565"/>
      <c r="Q21" s="1566"/>
    </row>
    <row r="22" spans="1:17" s="1540" customFormat="1" hidden="1">
      <c r="A22" s="1551"/>
      <c r="B22" s="1552"/>
      <c r="C22" s="1547"/>
      <c r="D22" s="1548">
        <v>0</v>
      </c>
      <c r="E22" s="1549">
        <v>0</v>
      </c>
      <c r="F22" s="1550">
        <v>0</v>
      </c>
      <c r="G22" s="1548">
        <v>0</v>
      </c>
      <c r="H22" s="1548">
        <v>0</v>
      </c>
      <c r="I22" s="1548">
        <v>0</v>
      </c>
      <c r="J22" s="1548">
        <v>0</v>
      </c>
      <c r="K22" s="1548">
        <v>0</v>
      </c>
      <c r="L22" s="1548">
        <v>0</v>
      </c>
      <c r="M22" s="1548">
        <v>0</v>
      </c>
      <c r="N22" s="1549">
        <v>0</v>
      </c>
      <c r="P22" s="1568"/>
      <c r="Q22" s="1566"/>
    </row>
    <row r="23" spans="1:17" s="1540" customFormat="1" hidden="1">
      <c r="A23" s="1551"/>
      <c r="B23" s="1552"/>
      <c r="C23" s="1547"/>
      <c r="D23" s="1548">
        <v>0</v>
      </c>
      <c r="E23" s="1549">
        <v>0</v>
      </c>
      <c r="F23" s="1550">
        <v>0</v>
      </c>
      <c r="G23" s="1548">
        <v>0</v>
      </c>
      <c r="H23" s="1548">
        <v>0</v>
      </c>
      <c r="I23" s="1548">
        <v>0</v>
      </c>
      <c r="J23" s="1548">
        <v>0</v>
      </c>
      <c r="K23" s="1548">
        <v>0</v>
      </c>
      <c r="L23" s="1548">
        <v>0</v>
      </c>
      <c r="M23" s="1548">
        <v>0</v>
      </c>
      <c r="N23" s="1549">
        <v>0</v>
      </c>
      <c r="P23" s="1568"/>
      <c r="Q23" s="1566"/>
    </row>
    <row r="24" spans="1:17" s="1540" customFormat="1">
      <c r="A24" s="1553"/>
      <c r="B24" s="1554"/>
      <c r="C24" s="1554"/>
      <c r="D24" s="1555"/>
      <c r="E24" s="1554"/>
      <c r="F24" s="1556"/>
      <c r="G24" s="1555"/>
      <c r="H24" s="1555"/>
      <c r="I24" s="1555"/>
      <c r="J24" s="1555"/>
      <c r="K24" s="1555"/>
      <c r="L24" s="1555"/>
      <c r="M24" s="1554"/>
      <c r="N24" s="1557"/>
      <c r="P24" s="1568"/>
      <c r="Q24" s="1566"/>
    </row>
    <row r="25" spans="1:17" s="1540" customFormat="1">
      <c r="A25" s="1553">
        <v>8</v>
      </c>
      <c r="B25" s="1554"/>
      <c r="C25" s="1541" t="s">
        <v>957</v>
      </c>
      <c r="D25" s="1555">
        <v>320662011.50063217</v>
      </c>
      <c r="E25" s="1558">
        <v>5.4133136964703205E-2</v>
      </c>
      <c r="F25" s="1556">
        <v>1</v>
      </c>
      <c r="G25" s="1555">
        <v>352600968.50063205</v>
      </c>
      <c r="H25" s="1555">
        <v>228734790.60938898</v>
      </c>
      <c r="I25" s="1555">
        <v>56477766.985453956</v>
      </c>
      <c r="J25" s="1555">
        <v>54640221.414968044</v>
      </c>
      <c r="K25" s="1555">
        <v>6798118.2817240329</v>
      </c>
      <c r="L25" s="1555">
        <v>5950071.2090970846</v>
      </c>
      <c r="M25" s="1554">
        <v>31938956.999999933</v>
      </c>
      <c r="N25" s="1557">
        <v>9.9603183854548333E-2</v>
      </c>
      <c r="P25" s="1568"/>
      <c r="Q25" s="1566"/>
    </row>
    <row r="26" spans="1:17" s="1540" customFormat="1" ht="13.5" thickBot="1">
      <c r="A26" s="1559"/>
      <c r="B26" s="1543"/>
      <c r="C26" s="1543"/>
      <c r="D26" s="1560"/>
      <c r="E26" s="1561"/>
      <c r="F26" s="1562"/>
      <c r="G26" s="1560"/>
      <c r="H26" s="1560"/>
      <c r="I26" s="1560"/>
      <c r="J26" s="1560"/>
      <c r="K26" s="1560"/>
      <c r="L26" s="1560"/>
      <c r="M26" s="1563"/>
      <c r="N26" s="1564"/>
      <c r="P26" s="1569"/>
      <c r="Q26" s="1544"/>
    </row>
    <row r="28" spans="1:17">
      <c r="C28" s="1533"/>
      <c r="D28" s="1533"/>
      <c r="E28" s="1533"/>
      <c r="F28" s="1533"/>
      <c r="G28" s="1533"/>
      <c r="H28" s="1533"/>
      <c r="I28" s="1533"/>
      <c r="J28" s="1533"/>
      <c r="K28" s="1533"/>
      <c r="L28" s="1533"/>
      <c r="M28" s="1533"/>
      <c r="N28" s="1533"/>
    </row>
    <row r="29" spans="1:17" ht="13.5" thickBot="1">
      <c r="C29" s="1537" t="s">
        <v>4</v>
      </c>
      <c r="D29" s="1537" t="s">
        <v>5</v>
      </c>
      <c r="E29" s="1537" t="s">
        <v>6</v>
      </c>
      <c r="F29" s="1537" t="s">
        <v>7</v>
      </c>
      <c r="G29" s="1537" t="s">
        <v>801</v>
      </c>
      <c r="H29" s="1537" t="s">
        <v>802</v>
      </c>
      <c r="I29" s="1537" t="s">
        <v>803</v>
      </c>
      <c r="J29" s="1537" t="s">
        <v>8</v>
      </c>
      <c r="K29" s="1537" t="s">
        <v>744</v>
      </c>
      <c r="L29" s="1537" t="s">
        <v>936</v>
      </c>
      <c r="M29" s="1537" t="s">
        <v>937</v>
      </c>
      <c r="N29" s="1537" t="s">
        <v>745</v>
      </c>
    </row>
    <row r="30" spans="1:17">
      <c r="A30" s="1538"/>
      <c r="B30" s="1538"/>
      <c r="C30" s="1538"/>
      <c r="D30" s="1538"/>
      <c r="E30" s="1539" t="s">
        <v>938</v>
      </c>
      <c r="F30" s="1539" t="s">
        <v>939</v>
      </c>
      <c r="G30" s="1539" t="s">
        <v>9</v>
      </c>
      <c r="H30" s="1570" t="s">
        <v>935</v>
      </c>
      <c r="I30" s="1570" t="s">
        <v>940</v>
      </c>
      <c r="J30" s="1570" t="s">
        <v>934</v>
      </c>
      <c r="K30" s="1570" t="s">
        <v>941</v>
      </c>
      <c r="L30" s="1570" t="s">
        <v>942</v>
      </c>
      <c r="M30" s="1570" t="s">
        <v>252</v>
      </c>
      <c r="N30" s="1539" t="s">
        <v>943</v>
      </c>
    </row>
    <row r="31" spans="1:17">
      <c r="A31" s="1541" t="s">
        <v>186</v>
      </c>
      <c r="B31" s="1541" t="s">
        <v>258</v>
      </c>
      <c r="C31" s="1541" t="s">
        <v>202</v>
      </c>
      <c r="D31" s="1541" t="s">
        <v>559</v>
      </c>
      <c r="E31" s="1541" t="s">
        <v>32</v>
      </c>
      <c r="F31" s="1541" t="s">
        <v>944</v>
      </c>
      <c r="G31" s="1541" t="s">
        <v>945</v>
      </c>
      <c r="H31" s="1571" t="s">
        <v>945</v>
      </c>
      <c r="I31" s="1571" t="s">
        <v>945</v>
      </c>
      <c r="J31" s="1571" t="s">
        <v>945</v>
      </c>
      <c r="K31" s="1571" t="s">
        <v>945</v>
      </c>
      <c r="L31" s="1571" t="s">
        <v>945</v>
      </c>
      <c r="M31" s="1571" t="s">
        <v>946</v>
      </c>
      <c r="N31" s="1541" t="s">
        <v>947</v>
      </c>
    </row>
    <row r="32" spans="1:17" ht="13.5" thickBot="1">
      <c r="A32" s="1542" t="s">
        <v>188</v>
      </c>
      <c r="B32" s="1542" t="s">
        <v>188</v>
      </c>
      <c r="C32" s="1543"/>
      <c r="D32" s="1542" t="s">
        <v>1</v>
      </c>
      <c r="E32" s="1542" t="s">
        <v>187</v>
      </c>
      <c r="F32" s="1542" t="s">
        <v>948</v>
      </c>
      <c r="G32" s="1542" t="s">
        <v>808</v>
      </c>
      <c r="H32" s="1572" t="s">
        <v>808</v>
      </c>
      <c r="I32" s="1572" t="s">
        <v>808</v>
      </c>
      <c r="J32" s="1572" t="s">
        <v>808</v>
      </c>
      <c r="K32" s="1572" t="s">
        <v>808</v>
      </c>
      <c r="L32" s="1572" t="s">
        <v>808</v>
      </c>
      <c r="M32" s="1572" t="s">
        <v>949</v>
      </c>
      <c r="N32" s="1542" t="s">
        <v>950</v>
      </c>
    </row>
    <row r="33" spans="1:16">
      <c r="A33" s="1545">
        <v>1</v>
      </c>
      <c r="B33" s="1546" t="s">
        <v>951</v>
      </c>
      <c r="C33" s="1547" t="s">
        <v>17</v>
      </c>
      <c r="D33" s="1548">
        <f>D14</f>
        <v>140088118.80000001</v>
      </c>
      <c r="E33" s="1549">
        <f>E14</f>
        <v>3.220169630940712E-2</v>
      </c>
      <c r="F33" s="1550">
        <f>F14</f>
        <v>0.59486107982997194</v>
      </c>
      <c r="G33" s="1548">
        <f>G14</f>
        <v>163792081.47494119</v>
      </c>
      <c r="H33" s="1573">
        <f>H14/$G$14</f>
        <v>0.60046543660411034</v>
      </c>
      <c r="I33" s="1573">
        <f>I14/$G$14</f>
        <v>0.14826031556815231</v>
      </c>
      <c r="J33" s="1573">
        <f>J14/$G$14</f>
        <v>0.20057971972007915</v>
      </c>
      <c r="K33" s="1573">
        <f>K14/$G$14</f>
        <v>3.5104464790889786E-2</v>
      </c>
      <c r="L33" s="1573">
        <f>L14/$G$14</f>
        <v>1.5590063316768396E-2</v>
      </c>
      <c r="M33" s="1573">
        <f>SUM(H33:L33)</f>
        <v>1</v>
      </c>
      <c r="N33" s="1549">
        <f>N14</f>
        <v>0.16920751651168037</v>
      </c>
    </row>
    <row r="34" spans="1:16">
      <c r="A34" s="1551">
        <f>A33+1</f>
        <v>2</v>
      </c>
      <c r="B34" s="1546" t="s">
        <v>952</v>
      </c>
      <c r="C34" s="1547" t="s">
        <v>953</v>
      </c>
      <c r="D34" s="1548">
        <f t="shared" ref="D34:F40" si="0">D15</f>
        <v>48473096.458215185</v>
      </c>
      <c r="E34" s="1549">
        <f t="shared" si="0"/>
        <v>9.8485422467809544E-2</v>
      </c>
      <c r="F34" s="1550">
        <f t="shared" si="0"/>
        <v>1.8193185909773835</v>
      </c>
      <c r="G34" s="1548">
        <f t="shared" ref="G34:G40" si="1">G15</f>
        <v>47734808.366139017</v>
      </c>
      <c r="H34" s="1573">
        <f>H15/$G$15</f>
        <v>0.64411501231874346</v>
      </c>
      <c r="I34" s="1573">
        <f>I15/$G$15</f>
        <v>0.15875358502833892</v>
      </c>
      <c r="J34" s="1573">
        <f>J15/$G$15</f>
        <v>0.16318952648604182</v>
      </c>
      <c r="K34" s="1573">
        <f>K15/$G$15</f>
        <v>1.6205865386650281E-2</v>
      </c>
      <c r="L34" s="1573">
        <f>L15/$G$15</f>
        <v>1.7736010780225551E-2</v>
      </c>
      <c r="M34" s="1573">
        <f t="shared" ref="M34:M40" si="2">SUM(H34:L34)</f>
        <v>1</v>
      </c>
      <c r="N34" s="1549">
        <f t="shared" ref="N34:N36" si="3">N15</f>
        <v>-1.5230883645169946E-2</v>
      </c>
    </row>
    <row r="35" spans="1:16">
      <c r="A35" s="1551">
        <f>A34+1</f>
        <v>3</v>
      </c>
      <c r="B35" s="1546" t="s">
        <v>891</v>
      </c>
      <c r="C35" s="1547" t="s">
        <v>336</v>
      </c>
      <c r="D35" s="1548">
        <f t="shared" si="0"/>
        <v>66810176.104031913</v>
      </c>
      <c r="E35" s="1549">
        <f t="shared" si="0"/>
        <v>7.1511784465817657E-2</v>
      </c>
      <c r="F35" s="1550">
        <f t="shared" si="0"/>
        <v>1.3210352932704781</v>
      </c>
      <c r="G35" s="1548">
        <f t="shared" si="1"/>
        <v>70232276.42491737</v>
      </c>
      <c r="H35" s="1573">
        <f>H16/$G$16</f>
        <v>0.69790385843272817</v>
      </c>
      <c r="I35" s="1573">
        <f>I16/$G$16</f>
        <v>0.17255978951350925</v>
      </c>
      <c r="J35" s="1573">
        <f>J16/$G$16</f>
        <v>0.11143360492674914</v>
      </c>
      <c r="K35" s="1573">
        <f>K16/$G$16</f>
        <v>-1.6134679217613927E-6</v>
      </c>
      <c r="L35" s="1573">
        <f>L16/$G$16</f>
        <v>1.8104360594935434E-2</v>
      </c>
      <c r="M35" s="1573">
        <f t="shared" si="2"/>
        <v>1.0000000000000002</v>
      </c>
      <c r="N35" s="1549">
        <f t="shared" si="3"/>
        <v>5.1221243835023397E-2</v>
      </c>
    </row>
    <row r="36" spans="1:16">
      <c r="A36" s="1551">
        <f>A35+1</f>
        <v>4</v>
      </c>
      <c r="B36" s="1546" t="s">
        <v>71</v>
      </c>
      <c r="C36" s="1547" t="s">
        <v>954</v>
      </c>
      <c r="D36" s="1548">
        <f t="shared" si="0"/>
        <v>26035610.215484656</v>
      </c>
      <c r="E36" s="1549">
        <f t="shared" si="0"/>
        <v>6.1845876538206633E-2</v>
      </c>
      <c r="F36" s="1550">
        <f t="shared" si="0"/>
        <v>1.1424772330953668</v>
      </c>
      <c r="G36" s="1548">
        <f t="shared" si="1"/>
        <v>28011709.745251842</v>
      </c>
      <c r="H36" s="1573">
        <f>H17/$G$17</f>
        <v>0.71385349169489565</v>
      </c>
      <c r="I36" s="1573">
        <f>I17/$G$17</f>
        <v>0.17646591903825851</v>
      </c>
      <c r="J36" s="1573">
        <f>J17/$G$17</f>
        <v>9.0505052839031402E-2</v>
      </c>
      <c r="K36" s="1573">
        <f>K17/$G$17</f>
        <v>1.0423349214327589E-3</v>
      </c>
      <c r="L36" s="1573">
        <f>L17/$G$17</f>
        <v>1.8133201506381758E-2</v>
      </c>
      <c r="M36" s="1573">
        <f t="shared" si="2"/>
        <v>1</v>
      </c>
      <c r="N36" s="1549">
        <f t="shared" si="3"/>
        <v>7.5899873804068152E-2</v>
      </c>
    </row>
    <row r="37" spans="1:16">
      <c r="A37" s="1551"/>
      <c r="B37" s="1546" t="s">
        <v>641</v>
      </c>
      <c r="C37" s="1547"/>
      <c r="D37" s="1548">
        <v>0</v>
      </c>
      <c r="E37" s="1549">
        <f t="shared" ref="E37:F40" si="4">E18</f>
        <v>0</v>
      </c>
      <c r="F37" s="1550" t="s">
        <v>31</v>
      </c>
      <c r="G37" s="1548">
        <f t="shared" si="1"/>
        <v>0</v>
      </c>
      <c r="H37" s="1573">
        <f>H36</f>
        <v>0.71385349169489565</v>
      </c>
      <c r="I37" s="1573">
        <f>I36</f>
        <v>0.17646591903825851</v>
      </c>
      <c r="J37" s="1573">
        <f>J36</f>
        <v>9.0505052839031402E-2</v>
      </c>
      <c r="K37" s="1573">
        <f>K36</f>
        <v>1.0423349214327589E-3</v>
      </c>
      <c r="L37" s="1573">
        <f>L36</f>
        <v>1.8133201506381758E-2</v>
      </c>
      <c r="M37" s="1573">
        <f t="shared" si="2"/>
        <v>1</v>
      </c>
      <c r="N37" s="1549"/>
    </row>
    <row r="38" spans="1:16">
      <c r="A38" s="1551">
        <v>5</v>
      </c>
      <c r="B38" s="1552" t="s">
        <v>71</v>
      </c>
      <c r="C38" s="1547" t="s">
        <v>811</v>
      </c>
      <c r="D38" s="1548">
        <f t="shared" si="0"/>
        <v>24940664.394958615</v>
      </c>
      <c r="E38" s="1549">
        <f t="shared" si="4"/>
        <v>3.6018753124489378E-2</v>
      </c>
      <c r="F38" s="1550">
        <f t="shared" si="4"/>
        <v>0.66537346889715498</v>
      </c>
      <c r="G38" s="1548">
        <f t="shared" si="1"/>
        <v>28476719.024289563</v>
      </c>
      <c r="H38" s="1573">
        <f>H19/$G$19</f>
        <v>0.77308652841857795</v>
      </c>
      <c r="I38" s="1573">
        <f>I19/$G$19</f>
        <v>0.19097174992783705</v>
      </c>
      <c r="J38" s="1573">
        <f>J19/$G$19</f>
        <v>1.6928184201208552E-2</v>
      </c>
      <c r="K38" s="1573">
        <f>K19/$G$19</f>
        <v>5.1947424144583112E-4</v>
      </c>
      <c r="L38" s="1573">
        <f>L19/$G$19</f>
        <v>1.8494063210930518E-2</v>
      </c>
      <c r="M38" s="1573">
        <f t="shared" si="2"/>
        <v>0.99999999999999989</v>
      </c>
      <c r="N38" s="1549">
        <f>N19</f>
        <v>0.14177868613819722</v>
      </c>
    </row>
    <row r="39" spans="1:16">
      <c r="A39" s="1551">
        <v>6</v>
      </c>
      <c r="B39" s="1546" t="s">
        <v>337</v>
      </c>
      <c r="C39" s="1547" t="s">
        <v>196</v>
      </c>
      <c r="D39" s="1548">
        <f t="shared" si="0"/>
        <v>12666289</v>
      </c>
      <c r="E39" s="1549">
        <f t="shared" si="4"/>
        <v>9.0070130750589034E-2</v>
      </c>
      <c r="F39" s="1550">
        <f t="shared" si="4"/>
        <v>1.663863130808733</v>
      </c>
      <c r="G39" s="1548">
        <f t="shared" si="1"/>
        <v>12730015.038801806</v>
      </c>
      <c r="H39" s="1573">
        <f>H20/$G$20</f>
        <v>0.63391443393691227</v>
      </c>
      <c r="I39" s="1573">
        <f>I20/$G$20</f>
        <v>0.15570498873782163</v>
      </c>
      <c r="J39" s="1573">
        <f>J20/$G$20</f>
        <v>0.18241480335278068</v>
      </c>
      <c r="K39" s="1573">
        <f>K20/$G$20</f>
        <v>1.042831538298845E-2</v>
      </c>
      <c r="L39" s="1573">
        <f>L20/$G$20</f>
        <v>1.7537458589497158E-2</v>
      </c>
      <c r="M39" s="1573">
        <f t="shared" si="2"/>
        <v>1.0000000000000002</v>
      </c>
      <c r="N39" s="1549">
        <f t="shared" ref="N39:N40" si="5">N20</f>
        <v>5.0311530711012551E-3</v>
      </c>
    </row>
    <row r="40" spans="1:16">
      <c r="A40" s="1551">
        <v>7</v>
      </c>
      <c r="B40" s="1546" t="s">
        <v>955</v>
      </c>
      <c r="C40" s="1547" t="s">
        <v>956</v>
      </c>
      <c r="D40" s="1548">
        <f t="shared" si="0"/>
        <v>1648056.5279417732</v>
      </c>
      <c r="E40" s="1549">
        <f t="shared" si="4"/>
        <v>9.8169714723167906E-2</v>
      </c>
      <c r="F40" s="1550">
        <f t="shared" si="4"/>
        <v>1.8134865302038226</v>
      </c>
      <c r="G40" s="1548">
        <f t="shared" si="1"/>
        <v>1623358.4262912977</v>
      </c>
      <c r="H40" s="1573">
        <f>H21/$G$21</f>
        <v>0.33280301175553639</v>
      </c>
      <c r="I40" s="1573">
        <f>I21/$G$21</f>
        <v>8.1974925565500054E-2</v>
      </c>
      <c r="J40" s="1573">
        <f>J21/$G$21</f>
        <v>0.51214290251775896</v>
      </c>
      <c r="K40" s="1573">
        <f>K21/$G$21</f>
        <v>6.0412565033473607E-2</v>
      </c>
      <c r="L40" s="1573">
        <f>L21/$G$21</f>
        <v>1.266659512773107E-2</v>
      </c>
      <c r="M40" s="1573">
        <f t="shared" si="2"/>
        <v>1</v>
      </c>
      <c r="N40" s="1549">
        <f t="shared" si="5"/>
        <v>-1.4986198125934604E-2</v>
      </c>
    </row>
    <row r="41" spans="1:16" hidden="1">
      <c r="A41" s="1551"/>
      <c r="B41" s="1552"/>
      <c r="C41" s="1547"/>
      <c r="D41" s="1548">
        <f>'[14]Class Summary'!M$80</f>
        <v>0</v>
      </c>
      <c r="E41" s="1549">
        <f>'[14]G+T+D+R+M'!P$61</f>
        <v>0</v>
      </c>
      <c r="F41" s="1550" t="e">
        <f>(E41/#REF!)</f>
        <v>#REF!</v>
      </c>
      <c r="G41" s="1548">
        <f t="shared" ref="G41:G42" si="6">SUM(H41:L41)</f>
        <v>0</v>
      </c>
      <c r="H41" s="1574">
        <f>'[14]Generation Summary'!M$68</f>
        <v>0</v>
      </c>
      <c r="I41" s="1574">
        <f>'[14]Transmission Summary'!$M$68</f>
        <v>0</v>
      </c>
      <c r="J41" s="1574">
        <f>'[14]Distribution Summary'!$M$68</f>
        <v>0</v>
      </c>
      <c r="K41" s="1574">
        <f>'[14]Retail Summary'!$M$68</f>
        <v>0</v>
      </c>
      <c r="L41" s="1574">
        <f>'[14]Misc Summary'!$M$68</f>
        <v>0</v>
      </c>
      <c r="M41" s="1574">
        <f t="shared" ref="M41:M42" si="7">G41-D41</f>
        <v>0</v>
      </c>
      <c r="N41" s="1549"/>
    </row>
    <row r="42" spans="1:16" hidden="1">
      <c r="A42" s="1551"/>
      <c r="B42" s="1552"/>
      <c r="C42" s="1547"/>
      <c r="D42" s="1548">
        <f>'[14]Class Summary'!N$80</f>
        <v>0</v>
      </c>
      <c r="E42" s="1549">
        <f>'[14]G+T+D+R+M'!Q$61</f>
        <v>0</v>
      </c>
      <c r="F42" s="1550" t="e">
        <f>(E42/#REF!)</f>
        <v>#REF!</v>
      </c>
      <c r="G42" s="1548">
        <f t="shared" si="6"/>
        <v>0</v>
      </c>
      <c r="H42" s="1574">
        <f>'[14]Generation Summary'!N$68</f>
        <v>0</v>
      </c>
      <c r="I42" s="1574">
        <f>'[14]Transmission Summary'!$N$68</f>
        <v>0</v>
      </c>
      <c r="J42" s="1574">
        <f>'[14]Distribution Summary'!$N$68</f>
        <v>0</v>
      </c>
      <c r="K42" s="1574">
        <f>'[14]Retail Summary'!$N$68</f>
        <v>0</v>
      </c>
      <c r="L42" s="1574">
        <f>'[14]Misc Summary'!$N$68</f>
        <v>0</v>
      </c>
      <c r="M42" s="1574">
        <f t="shared" si="7"/>
        <v>0</v>
      </c>
      <c r="N42" s="1549"/>
    </row>
    <row r="43" spans="1:16">
      <c r="A43" s="1553"/>
      <c r="B43" s="1554"/>
      <c r="C43" s="1554"/>
      <c r="D43" s="1555"/>
      <c r="E43" s="1554"/>
      <c r="F43" s="1556"/>
      <c r="G43" s="1555"/>
      <c r="H43" s="1575"/>
      <c r="I43" s="1575"/>
      <c r="J43" s="1575"/>
      <c r="K43" s="1575"/>
      <c r="L43" s="1575"/>
      <c r="M43" s="1576"/>
      <c r="N43" s="1557"/>
    </row>
    <row r="44" spans="1:16">
      <c r="A44" s="1553">
        <v>8</v>
      </c>
      <c r="B44" s="1554"/>
      <c r="C44" s="1541" t="s">
        <v>957</v>
      </c>
      <c r="D44" s="1555">
        <f>SUM(D33:D42)</f>
        <v>320662011.50063217</v>
      </c>
      <c r="E44" s="1558">
        <f>E25</f>
        <v>5.4133136964703205E-2</v>
      </c>
      <c r="F44" s="1556">
        <f>F25</f>
        <v>1</v>
      </c>
      <c r="G44" s="1555">
        <f>G25</f>
        <v>352600968.50063205</v>
      </c>
      <c r="H44" s="1575" t="s">
        <v>31</v>
      </c>
      <c r="I44" s="1575" t="s">
        <v>31</v>
      </c>
      <c r="J44" s="1575" t="s">
        <v>31</v>
      </c>
      <c r="K44" s="1575" t="s">
        <v>31</v>
      </c>
      <c r="L44" s="1575" t="s">
        <v>31</v>
      </c>
      <c r="M44" s="1576" t="s">
        <v>31</v>
      </c>
      <c r="N44" s="1557">
        <f>N25</f>
        <v>9.9603183854548333E-2</v>
      </c>
      <c r="P44" s="1532" t="s">
        <v>31</v>
      </c>
    </row>
    <row r="45" spans="1:16" ht="13.5" thickBot="1">
      <c r="A45" s="1559"/>
      <c r="B45" s="1543"/>
      <c r="C45" s="1543"/>
      <c r="D45" s="1560"/>
      <c r="E45" s="1561"/>
      <c r="F45" s="1562"/>
      <c r="G45" s="1560"/>
      <c r="H45" s="1577"/>
      <c r="I45" s="1577"/>
      <c r="J45" s="1577"/>
      <c r="K45" s="1577"/>
      <c r="L45" s="1577"/>
      <c r="M45" s="1578"/>
      <c r="N45" s="1564"/>
    </row>
    <row r="47" spans="1:16">
      <c r="A47" s="1532" t="s">
        <v>1065</v>
      </c>
    </row>
  </sheetData>
  <dataConsolidate/>
  <printOptions horizontalCentered="1" verticalCentered="1"/>
  <pageMargins left="0.25" right="0.25" top="0.25" bottom="0.3" header="0.25" footer="0.25"/>
  <pageSetup scale="6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X50"/>
  <sheetViews>
    <sheetView zoomScaleNormal="100" workbookViewId="0">
      <selection sqref="A1:J1"/>
    </sheetView>
  </sheetViews>
  <sheetFormatPr defaultRowHeight="15.75"/>
  <cols>
    <col min="1" max="1" width="41.125" bestFit="1" customWidth="1"/>
    <col min="2" max="2" width="10.125" bestFit="1" customWidth="1"/>
    <col min="3" max="3" width="7.625" customWidth="1"/>
    <col min="4" max="4" width="11.625" bestFit="1" customWidth="1"/>
    <col min="5" max="5" width="15.75" bestFit="1" customWidth="1"/>
    <col min="6" max="6" width="10.5" customWidth="1"/>
    <col min="7" max="7" width="10.375" bestFit="1" customWidth="1"/>
    <col min="10" max="10" width="11.5" customWidth="1"/>
    <col min="11" max="11" width="2" customWidth="1"/>
    <col min="12" max="12" width="11.5" bestFit="1" customWidth="1"/>
    <col min="13" max="20" width="0" hidden="1" customWidth="1"/>
    <col min="24" max="24" width="10.25" customWidth="1"/>
  </cols>
  <sheetData>
    <row r="1" spans="1:24">
      <c r="A1" s="1722" t="s">
        <v>72</v>
      </c>
      <c r="B1" s="1722"/>
      <c r="C1" s="1722"/>
      <c r="D1" s="1722"/>
      <c r="E1" s="1722"/>
      <c r="F1" s="1722"/>
      <c r="G1" s="1722"/>
      <c r="H1" s="1722"/>
      <c r="I1" s="1722"/>
      <c r="J1" s="1722"/>
      <c r="K1" s="667"/>
      <c r="L1" s="667"/>
      <c r="M1" s="667"/>
      <c r="N1" s="667"/>
      <c r="O1" s="667"/>
      <c r="P1" s="667"/>
      <c r="Q1" s="667"/>
      <c r="R1" s="667"/>
      <c r="S1" s="667"/>
      <c r="T1" s="667"/>
      <c r="U1" s="667"/>
      <c r="V1" s="667"/>
      <c r="W1" s="667"/>
      <c r="X1" s="667"/>
    </row>
    <row r="2" spans="1:24">
      <c r="A2" s="1722" t="s">
        <v>626</v>
      </c>
      <c r="B2" s="1722"/>
      <c r="C2" s="1722"/>
      <c r="D2" s="1722"/>
      <c r="E2" s="1722"/>
      <c r="F2" s="1722"/>
      <c r="G2" s="1722"/>
      <c r="H2" s="1722"/>
      <c r="I2" s="1722"/>
      <c r="J2" s="1722"/>
      <c r="K2" s="667"/>
      <c r="L2" s="667"/>
      <c r="M2" s="667"/>
      <c r="N2" s="667"/>
      <c r="O2" s="667"/>
      <c r="P2" s="667"/>
      <c r="Q2" s="667"/>
      <c r="R2" s="667"/>
      <c r="S2" s="667"/>
      <c r="T2" s="667"/>
      <c r="U2" s="667"/>
      <c r="V2" s="667"/>
      <c r="W2" s="667"/>
      <c r="X2" s="667"/>
    </row>
    <row r="3" spans="1:24">
      <c r="A3" s="1722" t="s">
        <v>627</v>
      </c>
      <c r="B3" s="1722"/>
      <c r="C3" s="1722"/>
      <c r="D3" s="1722"/>
      <c r="E3" s="1722"/>
      <c r="F3" s="1722"/>
      <c r="G3" s="1722"/>
      <c r="H3" s="1722"/>
      <c r="I3" s="1722"/>
      <c r="J3" s="1722"/>
      <c r="K3" s="667"/>
      <c r="L3" s="667"/>
      <c r="M3" s="667"/>
      <c r="N3" s="667"/>
      <c r="O3" s="667"/>
      <c r="P3" s="667"/>
      <c r="Q3" s="667"/>
      <c r="R3" s="667"/>
      <c r="S3" s="667"/>
      <c r="T3" s="667"/>
      <c r="U3" s="667"/>
      <c r="V3" s="667"/>
      <c r="W3" s="667"/>
      <c r="X3" s="667"/>
    </row>
    <row r="4" spans="1:24">
      <c r="A4" s="1072"/>
      <c r="B4" s="1072"/>
      <c r="C4" s="1072"/>
      <c r="D4" s="1072"/>
      <c r="E4" s="1072"/>
      <c r="F4" s="1072"/>
      <c r="G4" s="1072"/>
      <c r="H4" s="1072"/>
      <c r="I4" s="1072"/>
      <c r="J4" s="1072"/>
      <c r="K4" s="667"/>
      <c r="L4" s="667"/>
      <c r="M4" s="667"/>
      <c r="N4" s="667"/>
      <c r="O4" s="667"/>
      <c r="P4" s="667"/>
      <c r="Q4" s="667"/>
      <c r="R4" s="667"/>
      <c r="S4" s="667"/>
      <c r="T4" s="667"/>
      <c r="U4" s="667"/>
      <c r="V4" s="667"/>
      <c r="W4" s="667"/>
      <c r="X4" s="667"/>
    </row>
    <row r="5" spans="1:24">
      <c r="A5" s="834" t="s">
        <v>728</v>
      </c>
      <c r="B5" s="835">
        <v>5428</v>
      </c>
      <c r="C5" s="1072"/>
      <c r="D5" s="668"/>
      <c r="E5" s="668"/>
      <c r="F5" s="1072"/>
      <c r="G5" s="1072"/>
      <c r="H5" s="1072"/>
      <c r="I5" s="1072"/>
      <c r="J5" s="1072"/>
      <c r="K5" s="667"/>
      <c r="L5" s="667"/>
      <c r="M5" s="667"/>
      <c r="N5" s="667"/>
      <c r="O5" s="667"/>
      <c r="P5" s="667"/>
      <c r="Q5" s="667"/>
      <c r="R5" s="667"/>
      <c r="S5" s="667"/>
      <c r="T5" s="667"/>
      <c r="U5" s="667"/>
      <c r="V5" s="667"/>
      <c r="W5" s="667"/>
      <c r="X5" s="667"/>
    </row>
    <row r="6" spans="1:24">
      <c r="A6" s="684" t="s">
        <v>729</v>
      </c>
      <c r="B6" s="821">
        <f ca="1">2*'Rate Spread targets'!V16</f>
        <v>0.22322368482797875</v>
      </c>
      <c r="C6" s="667"/>
      <c r="D6" s="669" t="s">
        <v>371</v>
      </c>
      <c r="E6" s="745" t="s">
        <v>305</v>
      </c>
      <c r="F6" s="676"/>
      <c r="G6" s="667"/>
      <c r="H6" s="667"/>
      <c r="I6" s="667"/>
      <c r="J6" s="667"/>
      <c r="K6" s="667"/>
      <c r="L6" s="667"/>
      <c r="M6" s="667"/>
      <c r="N6" s="667"/>
      <c r="O6" s="667"/>
      <c r="P6" s="667"/>
      <c r="Q6" s="667"/>
      <c r="R6" s="667"/>
      <c r="S6" s="667"/>
      <c r="T6" s="667"/>
      <c r="U6" s="667"/>
      <c r="V6" s="667"/>
      <c r="W6" s="667"/>
      <c r="X6" s="667"/>
    </row>
    <row r="7" spans="1:24">
      <c r="A7" s="684" t="s">
        <v>31</v>
      </c>
      <c r="B7" s="832">
        <v>70</v>
      </c>
      <c r="C7" s="832"/>
      <c r="D7" s="670" t="s">
        <v>836</v>
      </c>
      <c r="E7" s="1073" t="s">
        <v>628</v>
      </c>
      <c r="F7" s="682"/>
      <c r="G7" s="667"/>
      <c r="H7" s="672"/>
      <c r="I7" s="672"/>
      <c r="J7" s="672"/>
      <c r="K7" s="672"/>
      <c r="L7" s="1073" t="s">
        <v>629</v>
      </c>
      <c r="M7" s="672"/>
      <c r="N7" s="674"/>
      <c r="O7" s="675"/>
      <c r="P7" s="675"/>
      <c r="Q7" s="676"/>
      <c r="R7" s="667"/>
      <c r="S7" s="674"/>
      <c r="T7" s="676"/>
      <c r="U7" s="667"/>
      <c r="V7" s="1073" t="s">
        <v>629</v>
      </c>
      <c r="W7" s="667"/>
      <c r="X7" s="667"/>
    </row>
    <row r="8" spans="1:24">
      <c r="A8" s="677" t="s">
        <v>31</v>
      </c>
      <c r="B8" s="667"/>
      <c r="C8" s="667"/>
      <c r="D8" s="678"/>
      <c r="E8" s="831">
        <v>0.23397000000000001</v>
      </c>
      <c r="F8" s="682"/>
      <c r="G8" s="679" t="s">
        <v>31</v>
      </c>
      <c r="H8" s="679"/>
      <c r="I8" s="679"/>
      <c r="J8" s="679"/>
      <c r="K8" s="672"/>
      <c r="L8" s="680" t="s">
        <v>630</v>
      </c>
      <c r="M8" s="672"/>
      <c r="N8" s="681"/>
      <c r="O8" s="672"/>
      <c r="P8" s="672"/>
      <c r="Q8" s="682"/>
      <c r="R8" s="667"/>
      <c r="S8" s="681"/>
      <c r="T8" s="682"/>
      <c r="U8" s="667"/>
      <c r="V8" s="680" t="s">
        <v>631</v>
      </c>
      <c r="W8" s="667"/>
      <c r="X8" s="667"/>
    </row>
    <row r="9" spans="1:24">
      <c r="A9" s="667"/>
      <c r="B9" s="1723" t="s">
        <v>742</v>
      </c>
      <c r="C9" s="1724"/>
      <c r="D9" s="670" t="s">
        <v>31</v>
      </c>
      <c r="E9" s="1073" t="s">
        <v>252</v>
      </c>
      <c r="F9" s="746" t="s">
        <v>171</v>
      </c>
      <c r="G9" s="1073" t="s">
        <v>632</v>
      </c>
      <c r="H9" s="672"/>
      <c r="I9" s="672"/>
      <c r="J9" s="671" t="s">
        <v>632</v>
      </c>
      <c r="K9" s="672"/>
      <c r="L9" s="680" t="s">
        <v>306</v>
      </c>
      <c r="M9" s="672"/>
      <c r="N9" s="681"/>
      <c r="O9" s="672"/>
      <c r="P9" s="672"/>
      <c r="Q9" s="682"/>
      <c r="R9" s="667"/>
      <c r="S9" s="678" t="s">
        <v>633</v>
      </c>
      <c r="T9" s="683">
        <f>E8</f>
        <v>0.23397000000000001</v>
      </c>
      <c r="U9" s="667"/>
      <c r="V9" s="680" t="s">
        <v>37</v>
      </c>
      <c r="W9" s="667"/>
      <c r="X9" s="667"/>
    </row>
    <row r="10" spans="1:24">
      <c r="A10" s="684" t="s">
        <v>634</v>
      </c>
      <c r="B10" s="667" t="s">
        <v>730</v>
      </c>
      <c r="C10" s="667" t="s">
        <v>731</v>
      </c>
      <c r="D10" s="685">
        <f>X27</f>
        <v>1992907.7599999995</v>
      </c>
      <c r="E10" s="836">
        <f>+J27</f>
        <v>2471569.7571491785</v>
      </c>
      <c r="F10" s="837">
        <f>E10-D10</f>
        <v>478661.99714917899</v>
      </c>
      <c r="G10" s="1073" t="s">
        <v>635</v>
      </c>
      <c r="H10" s="1073"/>
      <c r="I10" s="672"/>
      <c r="J10" s="671" t="s">
        <v>559</v>
      </c>
      <c r="K10" s="672"/>
      <c r="L10" s="687"/>
      <c r="M10" s="672"/>
      <c r="N10" s="681"/>
      <c r="O10" s="672"/>
      <c r="P10" s="672"/>
      <c r="Q10" s="682"/>
      <c r="R10" s="667"/>
      <c r="S10" s="688">
        <f>D10</f>
        <v>1992907.7599999995</v>
      </c>
      <c r="T10" s="689">
        <f>E10</f>
        <v>2471569.7571491785</v>
      </c>
      <c r="U10" s="667"/>
      <c r="V10" s="667"/>
      <c r="W10" s="667"/>
      <c r="X10" s="667" t="s">
        <v>732</v>
      </c>
    </row>
    <row r="11" spans="1:24">
      <c r="A11" s="690" t="s">
        <v>727</v>
      </c>
      <c r="B11" s="832">
        <v>67.5</v>
      </c>
      <c r="C11" s="832">
        <f>+B7</f>
        <v>70</v>
      </c>
      <c r="D11" s="685">
        <f>4720*B11</f>
        <v>318600</v>
      </c>
      <c r="E11" s="747">
        <f>4720*C11</f>
        <v>330400</v>
      </c>
      <c r="F11" s="838">
        <f>+E11-D11</f>
        <v>11800</v>
      </c>
      <c r="G11" s="1073" t="s">
        <v>306</v>
      </c>
      <c r="H11" s="691"/>
      <c r="I11" s="672"/>
      <c r="J11" s="692" t="s">
        <v>305</v>
      </c>
      <c r="K11" s="1073"/>
      <c r="L11" s="693"/>
      <c r="M11" s="667"/>
      <c r="N11" s="681" t="s">
        <v>40</v>
      </c>
      <c r="O11" s="672"/>
      <c r="P11" s="672" t="s">
        <v>519</v>
      </c>
      <c r="Q11" s="682" t="s">
        <v>636</v>
      </c>
      <c r="R11" s="667"/>
      <c r="S11" s="688">
        <f>D11</f>
        <v>318600</v>
      </c>
      <c r="T11" s="689">
        <f>E11</f>
        <v>330400</v>
      </c>
      <c r="U11" s="667"/>
      <c r="V11" s="667"/>
      <c r="W11" s="667"/>
      <c r="X11" s="1073" t="s">
        <v>632</v>
      </c>
    </row>
    <row r="12" spans="1:24">
      <c r="A12" s="684" t="s">
        <v>733</v>
      </c>
      <c r="B12" s="667"/>
      <c r="C12" s="667"/>
      <c r="D12" s="694">
        <f>D10-D11</f>
        <v>1674307.7599999995</v>
      </c>
      <c r="E12" s="695">
        <f>E10-E11</f>
        <v>2141169.7571491785</v>
      </c>
      <c r="F12" s="748">
        <f>E12-D12</f>
        <v>466861.99714917899</v>
      </c>
      <c r="G12" s="696" t="s">
        <v>638</v>
      </c>
      <c r="H12" s="697" t="s">
        <v>40</v>
      </c>
      <c r="I12" s="672"/>
      <c r="J12" s="698" t="s">
        <v>37</v>
      </c>
      <c r="K12" s="691"/>
      <c r="L12" s="687"/>
      <c r="M12" s="667" t="s">
        <v>31</v>
      </c>
      <c r="N12" s="681" t="s">
        <v>639</v>
      </c>
      <c r="O12" s="672"/>
      <c r="P12" s="672" t="s">
        <v>639</v>
      </c>
      <c r="Q12" s="682" t="s">
        <v>639</v>
      </c>
      <c r="R12" s="667"/>
      <c r="S12" s="688">
        <f>S10-S11</f>
        <v>1674307.7599999995</v>
      </c>
      <c r="T12" s="689">
        <f>T10-T11</f>
        <v>2141169.7571491785</v>
      </c>
      <c r="U12" s="667"/>
      <c r="V12" s="667"/>
      <c r="W12" s="667"/>
      <c r="X12" s="1073" t="s">
        <v>559</v>
      </c>
    </row>
    <row r="13" spans="1:24">
      <c r="A13" s="684"/>
      <c r="B13" s="667"/>
      <c r="C13" s="667"/>
      <c r="D13" s="678"/>
      <c r="E13" s="839"/>
      <c r="F13" s="672"/>
      <c r="G13" s="667"/>
      <c r="H13" s="667"/>
      <c r="I13" s="667"/>
      <c r="J13" s="682"/>
      <c r="K13" s="672"/>
      <c r="L13" s="667"/>
      <c r="M13" s="667"/>
      <c r="N13" s="681"/>
      <c r="O13" s="672"/>
      <c r="P13" s="672"/>
      <c r="Q13" s="682"/>
      <c r="R13" s="667"/>
      <c r="S13" s="688"/>
      <c r="T13" s="689"/>
      <c r="U13" s="667"/>
      <c r="V13" s="667"/>
      <c r="W13" s="667"/>
      <c r="X13" s="1073" t="s">
        <v>37</v>
      </c>
    </row>
    <row r="14" spans="1:24">
      <c r="A14" s="684" t="s">
        <v>640</v>
      </c>
      <c r="B14" s="667" t="s">
        <v>310</v>
      </c>
      <c r="C14" s="700">
        <v>15</v>
      </c>
      <c r="D14" s="701">
        <v>0.13</v>
      </c>
      <c r="E14" s="702">
        <f t="shared" ref="E14" si="0">ROUND(D14*(1+$E$8),2)</f>
        <v>0.16</v>
      </c>
      <c r="F14" s="672"/>
      <c r="G14" s="703">
        <f t="shared" ref="G14:G26" si="1">E14-D14</f>
        <v>0.03</v>
      </c>
      <c r="H14" s="704">
        <f>'Exh No.__(JRS-16) Table A p1'!I35</f>
        <v>2531.9166666666665</v>
      </c>
      <c r="I14" s="704"/>
      <c r="J14" s="689">
        <f>H14*E14*12</f>
        <v>4861.28</v>
      </c>
      <c r="K14" s="703"/>
      <c r="L14" s="821">
        <f t="shared" ref="L14:L26" si="2">(E14-D14)/D14</f>
        <v>0.23076923076923075</v>
      </c>
      <c r="M14" s="667"/>
      <c r="N14" s="706">
        <v>3226</v>
      </c>
      <c r="O14" s="704"/>
      <c r="P14" s="704">
        <f t="shared" ref="P14:P18" si="3">Q14/D14/12</f>
        <v>887.5</v>
      </c>
      <c r="Q14" s="689">
        <v>1384.5</v>
      </c>
      <c r="R14" s="667"/>
      <c r="S14" s="688">
        <f t="shared" ref="S14:S18" si="4">P14*D14*12</f>
        <v>1384.5</v>
      </c>
      <c r="T14" s="689">
        <f>H14*E14*12</f>
        <v>4861.28</v>
      </c>
      <c r="U14" s="667"/>
      <c r="V14" s="705">
        <f>(J14-X14)/X14</f>
        <v>0.19900158838211929</v>
      </c>
      <c r="W14" s="667"/>
      <c r="X14" s="687">
        <v>4054.44</v>
      </c>
    </row>
    <row r="15" spans="1:24">
      <c r="A15" s="684"/>
      <c r="B15" s="667" t="s">
        <v>310</v>
      </c>
      <c r="C15" s="742" t="s">
        <v>734</v>
      </c>
      <c r="D15" s="701">
        <v>0.74</v>
      </c>
      <c r="E15" s="702">
        <f>ROUND(D15*(1+$E$8),2)-0.01</f>
        <v>0.9</v>
      </c>
      <c r="F15" s="672"/>
      <c r="G15" s="703">
        <f t="shared" si="1"/>
        <v>0.16000000000000003</v>
      </c>
      <c r="H15" s="704">
        <f>100431-E29+D29</f>
        <v>100195</v>
      </c>
      <c r="I15" s="704"/>
      <c r="J15" s="689">
        <f>(H15)*E15*12</f>
        <v>1082106</v>
      </c>
      <c r="K15" s="703"/>
      <c r="L15" s="821">
        <f t="shared" si="2"/>
        <v>0.21621621621621626</v>
      </c>
      <c r="M15" s="667"/>
      <c r="N15" s="706">
        <v>130394</v>
      </c>
      <c r="O15" s="704"/>
      <c r="P15" s="704">
        <f t="shared" si="3"/>
        <v>30134.185810810814</v>
      </c>
      <c r="Q15" s="689">
        <v>267591.57</v>
      </c>
      <c r="R15" s="667"/>
      <c r="S15" s="688">
        <f t="shared" si="4"/>
        <v>267591.57</v>
      </c>
      <c r="T15" s="689">
        <f>(H15-E29)*E15*12</f>
        <v>1023483.6000000001</v>
      </c>
      <c r="U15" s="667"/>
      <c r="V15" s="705">
        <f t="shared" ref="V15:V27" si="5">(J15-X15)/X15</f>
        <v>0.22173992684910859</v>
      </c>
      <c r="W15" s="667"/>
      <c r="X15" s="687">
        <v>885708.96</v>
      </c>
    </row>
    <row r="16" spans="1:24">
      <c r="A16" s="684"/>
      <c r="B16" s="667" t="s">
        <v>310</v>
      </c>
      <c r="C16" s="700">
        <v>24</v>
      </c>
      <c r="D16" s="701">
        <v>1.56</v>
      </c>
      <c r="E16" s="702">
        <f>ROUND(D16*(1+$E$8),2)+0.01</f>
        <v>1.93</v>
      </c>
      <c r="F16" s="672"/>
      <c r="G16" s="703">
        <f t="shared" si="1"/>
        <v>0.36999999999999988</v>
      </c>
      <c r="H16" s="704">
        <f>'Exh No.__(JRS-16) Table A p1'!I22</f>
        <v>18788.493749999969</v>
      </c>
      <c r="I16" s="704"/>
      <c r="J16" s="689">
        <f>H16*E16*12</f>
        <v>435141.51524999924</v>
      </c>
      <c r="K16" s="703"/>
      <c r="L16" s="821">
        <f t="shared" si="2"/>
        <v>0.23717948717948709</v>
      </c>
      <c r="M16" s="667"/>
      <c r="N16" s="706">
        <v>19694</v>
      </c>
      <c r="O16" s="704"/>
      <c r="P16" s="704">
        <f t="shared" si="3"/>
        <v>4988.3178418803418</v>
      </c>
      <c r="Q16" s="689">
        <v>93381.31</v>
      </c>
      <c r="R16" s="667"/>
      <c r="S16" s="688">
        <f t="shared" si="4"/>
        <v>93381.31</v>
      </c>
      <c r="T16" s="689">
        <f>H16*E16*12</f>
        <v>435141.51524999924</v>
      </c>
      <c r="U16" s="667"/>
      <c r="V16" s="705">
        <f t="shared" si="5"/>
        <v>0.24656722596127859</v>
      </c>
      <c r="W16" s="667"/>
      <c r="X16" s="687">
        <v>349071.83999999997</v>
      </c>
    </row>
    <row r="17" spans="1:24">
      <c r="A17" s="684"/>
      <c r="B17" s="667" t="s">
        <v>310</v>
      </c>
      <c r="C17" s="700">
        <v>33</v>
      </c>
      <c r="D17" s="701">
        <v>37.89</v>
      </c>
      <c r="E17" s="702">
        <f>ROUND(D17*(1+$E$8),2)+0.12</f>
        <v>46.879999999999995</v>
      </c>
      <c r="F17" s="672"/>
      <c r="G17" s="703">
        <f t="shared" si="1"/>
        <v>8.9899999999999949</v>
      </c>
      <c r="H17" s="704">
        <v>0</v>
      </c>
      <c r="I17" s="704"/>
      <c r="J17" s="689">
        <f>H17*E17*12</f>
        <v>0</v>
      </c>
      <c r="K17" s="703"/>
      <c r="L17" s="821">
        <f t="shared" si="2"/>
        <v>0.2372657693322775</v>
      </c>
      <c r="M17" s="667"/>
      <c r="N17" s="706">
        <v>1</v>
      </c>
      <c r="O17" s="704"/>
      <c r="P17" s="704">
        <f t="shared" si="3"/>
        <v>8.9579484472596102E-2</v>
      </c>
      <c r="Q17" s="689">
        <v>40.729999999999997</v>
      </c>
      <c r="R17" s="667"/>
      <c r="S17" s="688">
        <f t="shared" si="4"/>
        <v>40.729999999999997</v>
      </c>
      <c r="T17" s="689">
        <f>H17*E17*12</f>
        <v>0</v>
      </c>
      <c r="U17" s="667"/>
      <c r="V17" s="705">
        <f>V18</f>
        <v>0.2490149219790079</v>
      </c>
      <c r="W17" s="667"/>
      <c r="X17" s="687">
        <v>0</v>
      </c>
    </row>
    <row r="18" spans="1:24">
      <c r="A18" s="684"/>
      <c r="B18" s="667" t="s">
        <v>310</v>
      </c>
      <c r="C18" s="700">
        <v>36</v>
      </c>
      <c r="D18" s="701">
        <v>37.89</v>
      </c>
      <c r="E18" s="702">
        <f>ROUND(D18*(1+$E$8),2)+0.12</f>
        <v>46.879999999999995</v>
      </c>
      <c r="F18" s="672"/>
      <c r="G18" s="703">
        <f t="shared" si="1"/>
        <v>8.9899999999999949</v>
      </c>
      <c r="H18" s="704">
        <f>'Exh No.__(JRS-16) Table A p1'!I24</f>
        <v>1053.9138888888895</v>
      </c>
      <c r="I18" s="704"/>
      <c r="J18" s="689">
        <f>H18*E18*12</f>
        <v>592889.79733333364</v>
      </c>
      <c r="K18" s="703"/>
      <c r="L18" s="821">
        <f t="shared" si="2"/>
        <v>0.2372657693322775</v>
      </c>
      <c r="M18" s="667"/>
      <c r="N18" s="706">
        <v>1318</v>
      </c>
      <c r="O18" s="704"/>
      <c r="P18" s="704">
        <f t="shared" si="3"/>
        <v>292.62980557754906</v>
      </c>
      <c r="Q18" s="689">
        <v>133052.92000000001</v>
      </c>
      <c r="R18" s="667"/>
      <c r="S18" s="688">
        <f t="shared" si="4"/>
        <v>133052.92000000001</v>
      </c>
      <c r="T18" s="689">
        <f>H18*E18*12</f>
        <v>592889.79733333364</v>
      </c>
      <c r="U18" s="667"/>
      <c r="V18" s="705">
        <f t="shared" si="5"/>
        <v>0.2490149219790079</v>
      </c>
      <c r="W18" s="667"/>
      <c r="X18" s="687">
        <v>474685.92000000004</v>
      </c>
    </row>
    <row r="19" spans="1:24">
      <c r="A19" s="684"/>
      <c r="B19" s="667" t="s">
        <v>310</v>
      </c>
      <c r="C19" s="700">
        <v>40</v>
      </c>
      <c r="D19" s="701">
        <v>15.65</v>
      </c>
      <c r="E19" s="702">
        <f>ROUND(D19*(1+$E$8),2)+0.07</f>
        <v>19.38</v>
      </c>
      <c r="F19" s="707" t="s">
        <v>735</v>
      </c>
      <c r="G19" s="703">
        <f t="shared" si="1"/>
        <v>3.7299999999999986</v>
      </c>
      <c r="H19" s="704">
        <f>'Exh No.__(JRS-16) Table A p1'!I25</f>
        <v>5247.0299819759166</v>
      </c>
      <c r="I19" s="704"/>
      <c r="J19" s="689">
        <f>H19*E19</f>
        <v>101687.44105069326</v>
      </c>
      <c r="K19" s="703"/>
      <c r="L19" s="821">
        <f t="shared" si="2"/>
        <v>0.23833865814696475</v>
      </c>
      <c r="M19" s="703"/>
      <c r="N19" s="706">
        <v>3590</v>
      </c>
      <c r="O19" s="704"/>
      <c r="P19" s="704">
        <f>Q19/D19</f>
        <v>994.33546325878592</v>
      </c>
      <c r="Q19" s="689">
        <v>15561.35</v>
      </c>
      <c r="R19" s="667"/>
      <c r="S19" s="688">
        <f>P19*D19</f>
        <v>15561.35</v>
      </c>
      <c r="T19" s="689">
        <f>H19*E19</f>
        <v>101687.44105069326</v>
      </c>
      <c r="U19" s="667"/>
      <c r="V19" s="705">
        <f t="shared" si="5"/>
        <v>0.23528518386634023</v>
      </c>
      <c r="W19" s="667"/>
      <c r="X19" s="687">
        <v>82319</v>
      </c>
    </row>
    <row r="20" spans="1:24">
      <c r="A20" s="684"/>
      <c r="B20" s="667" t="s">
        <v>310</v>
      </c>
      <c r="C20" s="700" t="s">
        <v>641</v>
      </c>
      <c r="D20" s="701">
        <v>257.5</v>
      </c>
      <c r="E20" s="702">
        <f>ROUND(D20*(1+$E$8),2)+0.71</f>
        <v>318.45999999999998</v>
      </c>
      <c r="F20" s="672"/>
      <c r="G20" s="703">
        <f t="shared" si="1"/>
        <v>60.95999999999998</v>
      </c>
      <c r="H20" s="704">
        <f>'Exh No.__(JRS-16) Table A p1'!I26</f>
        <v>1</v>
      </c>
      <c r="I20" s="704"/>
      <c r="J20" s="689">
        <f t="shared" ref="J20:J26" si="6">H20*E20*12</f>
        <v>3821.5199999999995</v>
      </c>
      <c r="K20" s="703"/>
      <c r="L20" s="821">
        <f t="shared" si="2"/>
        <v>0.23673786407766984</v>
      </c>
      <c r="M20" s="703"/>
      <c r="N20" s="706">
        <v>1</v>
      </c>
      <c r="O20" s="704"/>
      <c r="P20" s="704">
        <f t="shared" ref="P20:P26" si="7">Q20/D20/12</f>
        <v>0.29126213592233008</v>
      </c>
      <c r="Q20" s="689">
        <v>900</v>
      </c>
      <c r="R20" s="667"/>
      <c r="S20" s="688">
        <f t="shared" ref="S20:S26" si="8">P20*D20*12</f>
        <v>900</v>
      </c>
      <c r="T20" s="689">
        <f t="shared" ref="T20:T26" si="9">H20*E20*12</f>
        <v>3821.5199999999995</v>
      </c>
      <c r="U20" s="667"/>
      <c r="V20" s="705">
        <f t="shared" si="5"/>
        <v>0.23673786407766975</v>
      </c>
      <c r="W20" s="667"/>
      <c r="X20" s="687">
        <v>3090</v>
      </c>
    </row>
    <row r="21" spans="1:24">
      <c r="A21" s="684"/>
      <c r="B21" s="667" t="s">
        <v>310</v>
      </c>
      <c r="C21" s="700" t="s">
        <v>71</v>
      </c>
      <c r="D21" s="701">
        <v>257.5</v>
      </c>
      <c r="E21" s="702">
        <f>ROUND(D21*(1+$E$8),2)+0.71</f>
        <v>318.45999999999998</v>
      </c>
      <c r="F21" s="672"/>
      <c r="G21" s="703">
        <f t="shared" si="1"/>
        <v>60.95999999999998</v>
      </c>
      <c r="H21" s="704">
        <f>'Exh No.__(JRS-16) Table A p1'!I27</f>
        <v>62.012626262626249</v>
      </c>
      <c r="I21" s="704"/>
      <c r="J21" s="689">
        <f t="shared" si="6"/>
        <v>236982.49151515146</v>
      </c>
      <c r="K21" s="703"/>
      <c r="L21" s="821">
        <f t="shared" si="2"/>
        <v>0.23673786407766984</v>
      </c>
      <c r="M21" s="703"/>
      <c r="N21" s="706">
        <v>77</v>
      </c>
      <c r="O21" s="704"/>
      <c r="P21" s="704">
        <f t="shared" si="7"/>
        <v>18.803330097087379</v>
      </c>
      <c r="Q21" s="689">
        <v>58102.29</v>
      </c>
      <c r="R21" s="667"/>
      <c r="S21" s="688">
        <f t="shared" si="8"/>
        <v>58102.29</v>
      </c>
      <c r="T21" s="689">
        <f t="shared" si="9"/>
        <v>236982.49151515146</v>
      </c>
      <c r="U21" s="667"/>
      <c r="V21" s="705">
        <f t="shared" si="5"/>
        <v>0.29988750762520683</v>
      </c>
      <c r="W21" s="667"/>
      <c r="X21" s="687">
        <v>182310</v>
      </c>
    </row>
    <row r="22" spans="1:24">
      <c r="A22" s="684"/>
      <c r="B22" s="667" t="s">
        <v>310</v>
      </c>
      <c r="C22" s="700">
        <v>51</v>
      </c>
      <c r="D22" s="701">
        <v>2.15</v>
      </c>
      <c r="E22" s="702">
        <f>ROUND(D22*(1+$E$8),2)+0.02</f>
        <v>2.67</v>
      </c>
      <c r="F22" s="708"/>
      <c r="G22" s="703">
        <f t="shared" si="1"/>
        <v>0.52</v>
      </c>
      <c r="H22" s="704">
        <f>'Exh No.__(JRS-16) Table A p1'!I36</f>
        <v>163</v>
      </c>
      <c r="I22" s="704"/>
      <c r="J22" s="689">
        <f t="shared" si="6"/>
        <v>5222.5199999999995</v>
      </c>
      <c r="K22" s="703"/>
      <c r="L22" s="821">
        <f t="shared" si="2"/>
        <v>0.24186046511627909</v>
      </c>
      <c r="M22" s="672"/>
      <c r="N22" s="706">
        <v>149</v>
      </c>
      <c r="O22" s="704"/>
      <c r="P22" s="704">
        <f t="shared" si="7"/>
        <v>40.639922480620157</v>
      </c>
      <c r="Q22" s="689">
        <v>1048.51</v>
      </c>
      <c r="R22" s="667"/>
      <c r="S22" s="688">
        <f t="shared" si="8"/>
        <v>1048.51</v>
      </c>
      <c r="T22" s="689">
        <f t="shared" si="9"/>
        <v>5222.5199999999995</v>
      </c>
      <c r="U22" s="667"/>
      <c r="V22" s="705">
        <f t="shared" si="5"/>
        <v>0.24186046511627907</v>
      </c>
      <c r="W22" s="667"/>
      <c r="X22" s="687">
        <v>4205.3999999999996</v>
      </c>
    </row>
    <row r="23" spans="1:24">
      <c r="A23" s="684"/>
      <c r="B23" s="667" t="s">
        <v>310</v>
      </c>
      <c r="C23" s="700">
        <v>52</v>
      </c>
      <c r="D23" s="701">
        <v>2.15</v>
      </c>
      <c r="E23" s="702">
        <f>ROUND(D23*(1+$E$8),2)+0.02</f>
        <v>2.67</v>
      </c>
      <c r="F23" s="672"/>
      <c r="G23" s="703">
        <f t="shared" si="1"/>
        <v>0.52</v>
      </c>
      <c r="H23" s="704">
        <f>'Exh No.__(JRS-16) Table A p1'!I37</f>
        <v>15</v>
      </c>
      <c r="I23" s="704"/>
      <c r="J23" s="689">
        <f t="shared" si="6"/>
        <v>480.59999999999997</v>
      </c>
      <c r="K23" s="703"/>
      <c r="L23" s="821">
        <f t="shared" si="2"/>
        <v>0.24186046511627909</v>
      </c>
      <c r="M23" s="672"/>
      <c r="N23" s="706">
        <v>28</v>
      </c>
      <c r="O23" s="704"/>
      <c r="P23" s="704">
        <f t="shared" si="7"/>
        <v>6.3860465116279066</v>
      </c>
      <c r="Q23" s="689">
        <v>164.76</v>
      </c>
      <c r="R23" s="667"/>
      <c r="S23" s="688">
        <f t="shared" si="8"/>
        <v>164.76</v>
      </c>
      <c r="T23" s="689">
        <f t="shared" si="9"/>
        <v>480.59999999999997</v>
      </c>
      <c r="U23" s="667"/>
      <c r="V23" s="705">
        <f t="shared" si="5"/>
        <v>3.4883720930232537E-2</v>
      </c>
      <c r="W23" s="667"/>
      <c r="X23" s="687">
        <v>464.4</v>
      </c>
    </row>
    <row r="24" spans="1:24">
      <c r="A24" s="684"/>
      <c r="B24" s="667" t="s">
        <v>310</v>
      </c>
      <c r="C24" s="700">
        <v>53</v>
      </c>
      <c r="D24" s="701">
        <v>2.15</v>
      </c>
      <c r="E24" s="702">
        <f>ROUND(D24*(1+$E$8),2)+0.02</f>
        <v>2.67</v>
      </c>
      <c r="F24" s="672"/>
      <c r="G24" s="703">
        <f t="shared" si="1"/>
        <v>0.52</v>
      </c>
      <c r="H24" s="704">
        <f>'Exh No.__(JRS-16) Table A p1'!I38</f>
        <v>217.08333333333334</v>
      </c>
      <c r="I24" s="704"/>
      <c r="J24" s="689">
        <f t="shared" si="6"/>
        <v>6955.3499999999995</v>
      </c>
      <c r="K24" s="703"/>
      <c r="L24" s="821">
        <f t="shared" si="2"/>
        <v>0.24186046511627909</v>
      </c>
      <c r="M24" s="672"/>
      <c r="N24" s="706">
        <v>264</v>
      </c>
      <c r="O24" s="704"/>
      <c r="P24" s="704">
        <f t="shared" si="7"/>
        <v>74.072868217054264</v>
      </c>
      <c r="Q24" s="689">
        <v>1911.08</v>
      </c>
      <c r="R24" s="667"/>
      <c r="S24" s="688">
        <f t="shared" si="8"/>
        <v>1911.08</v>
      </c>
      <c r="T24" s="689">
        <f t="shared" si="9"/>
        <v>6955.3499999999995</v>
      </c>
      <c r="U24" s="667"/>
      <c r="V24" s="705">
        <f t="shared" si="5"/>
        <v>0.22539640591966165</v>
      </c>
      <c r="W24" s="667"/>
      <c r="X24" s="687">
        <v>5676</v>
      </c>
    </row>
    <row r="25" spans="1:24">
      <c r="A25" s="684"/>
      <c r="B25" s="667" t="s">
        <v>310</v>
      </c>
      <c r="C25" s="700">
        <v>54</v>
      </c>
      <c r="D25" s="701">
        <v>0.75</v>
      </c>
      <c r="E25" s="702">
        <f>ROUND(D25*(1+$E$8),2)</f>
        <v>0.93</v>
      </c>
      <c r="F25" s="672"/>
      <c r="G25" s="703">
        <f t="shared" si="1"/>
        <v>0.18000000000000005</v>
      </c>
      <c r="H25" s="704">
        <f>'Exh No.__(JRS-16) Table A p1'!I29</f>
        <v>29.977777777777749</v>
      </c>
      <c r="I25" s="704"/>
      <c r="J25" s="689">
        <f t="shared" si="6"/>
        <v>334.55199999999974</v>
      </c>
      <c r="K25" s="703"/>
      <c r="L25" s="821">
        <f t="shared" si="2"/>
        <v>0.24000000000000007</v>
      </c>
      <c r="M25" s="672"/>
      <c r="N25" s="706">
        <v>34</v>
      </c>
      <c r="O25" s="704"/>
      <c r="P25" s="704">
        <f t="shared" si="7"/>
        <v>8.6244444444444444</v>
      </c>
      <c r="Q25" s="689">
        <v>77.62</v>
      </c>
      <c r="R25" s="667"/>
      <c r="S25" s="688">
        <f t="shared" si="8"/>
        <v>77.62</v>
      </c>
      <c r="T25" s="689">
        <f t="shared" si="9"/>
        <v>334.55199999999974</v>
      </c>
      <c r="U25" s="667"/>
      <c r="V25" s="705">
        <f t="shared" si="5"/>
        <v>0.26724242424242323</v>
      </c>
      <c r="W25" s="667"/>
      <c r="X25" s="687">
        <v>264</v>
      </c>
    </row>
    <row r="26" spans="1:24">
      <c r="A26" s="684"/>
      <c r="B26" s="667" t="s">
        <v>310</v>
      </c>
      <c r="C26" s="700">
        <v>57</v>
      </c>
      <c r="D26" s="701">
        <v>2.15</v>
      </c>
      <c r="E26" s="702">
        <f>ROUND(D26*(1+$E$8),2)+0.02</f>
        <v>2.67</v>
      </c>
      <c r="F26" s="672"/>
      <c r="G26" s="703">
        <f t="shared" si="1"/>
        <v>0.52</v>
      </c>
      <c r="H26" s="709">
        <f>'Exh No.__(JRS-16) Table A p1'!I39</f>
        <v>33.916666666666664</v>
      </c>
      <c r="I26" s="704"/>
      <c r="J26" s="710">
        <f t="shared" si="6"/>
        <v>1086.6899999999998</v>
      </c>
      <c r="K26" s="711"/>
      <c r="L26" s="821">
        <f t="shared" si="2"/>
        <v>0.24186046511627909</v>
      </c>
      <c r="M26" s="672"/>
      <c r="N26" s="706">
        <v>66</v>
      </c>
      <c r="O26" s="704"/>
      <c r="P26" s="704">
        <f t="shared" si="7"/>
        <v>18.634883720930233</v>
      </c>
      <c r="Q26" s="689">
        <v>480.78</v>
      </c>
      <c r="R26" s="667"/>
      <c r="S26" s="688">
        <f t="shared" si="8"/>
        <v>480.78</v>
      </c>
      <c r="T26" s="689">
        <f t="shared" si="9"/>
        <v>1086.6899999999998</v>
      </c>
      <c r="U26" s="667"/>
      <c r="V26" s="705">
        <f t="shared" si="5"/>
        <v>2.7311401020986836E-2</v>
      </c>
      <c r="W26" s="667"/>
      <c r="X26" s="687">
        <v>1057.8</v>
      </c>
    </row>
    <row r="27" spans="1:24">
      <c r="A27" s="684"/>
      <c r="B27" s="667"/>
      <c r="C27" s="667"/>
      <c r="D27" s="678"/>
      <c r="E27" s="699"/>
      <c r="F27" s="672"/>
      <c r="G27" s="672"/>
      <c r="H27" s="704">
        <f>SUM(H14:H26)</f>
        <v>128338.34469157184</v>
      </c>
      <c r="I27" s="704"/>
      <c r="J27" s="689">
        <f>SUM(J14:J26)</f>
        <v>2471569.7571491785</v>
      </c>
      <c r="K27" s="703"/>
      <c r="L27" s="703"/>
      <c r="M27" s="672"/>
      <c r="N27" s="706">
        <v>158986</v>
      </c>
      <c r="O27" s="704"/>
      <c r="P27" s="704">
        <f>SUM(P14:P26)</f>
        <v>37464.511258619648</v>
      </c>
      <c r="Q27" s="689">
        <v>574056.87</v>
      </c>
      <c r="R27" s="667"/>
      <c r="S27" s="688">
        <f>SUM(S14:S26)</f>
        <v>573697.42000000004</v>
      </c>
      <c r="T27" s="689">
        <f>SUM(T14:T26)</f>
        <v>2412947.3571491782</v>
      </c>
      <c r="U27" s="667"/>
      <c r="V27" s="705">
        <f t="shared" si="5"/>
        <v>0.24018271530498686</v>
      </c>
      <c r="W27" s="667"/>
      <c r="X27" s="687">
        <v>1992907.7599999995</v>
      </c>
    </row>
    <row r="28" spans="1:24">
      <c r="A28" s="700" t="s">
        <v>31</v>
      </c>
      <c r="B28" s="684" t="s">
        <v>31</v>
      </c>
      <c r="C28" s="667"/>
      <c r="D28" s="840"/>
      <c r="E28" s="699"/>
      <c r="F28" s="672"/>
      <c r="G28" s="672"/>
      <c r="H28" s="672"/>
      <c r="I28" s="672"/>
      <c r="J28" s="682"/>
      <c r="K28" s="672"/>
    </row>
    <row r="29" spans="1:24">
      <c r="A29" s="684" t="s">
        <v>642</v>
      </c>
      <c r="B29" s="667" t="s">
        <v>31</v>
      </c>
      <c r="C29" s="684" t="s">
        <v>31</v>
      </c>
      <c r="D29" s="712">
        <v>5192</v>
      </c>
      <c r="E29" s="713">
        <v>5428</v>
      </c>
      <c r="F29" s="841">
        <f>E29-D29</f>
        <v>236</v>
      </c>
      <c r="G29" s="679"/>
      <c r="H29" s="679"/>
      <c r="I29" s="679"/>
      <c r="J29" s="838">
        <f ca="1">+J27-E48</f>
        <v>12.793310481589288</v>
      </c>
      <c r="K29" s="672"/>
    </row>
    <row r="30" spans="1:24">
      <c r="A30" s="700"/>
      <c r="B30" s="667"/>
      <c r="C30" s="684"/>
      <c r="D30" s="842"/>
      <c r="E30" s="715"/>
      <c r="F30" s="686"/>
      <c r="G30" s="672"/>
      <c r="H30" s="672"/>
      <c r="I30" s="672"/>
      <c r="J30" s="615" t="s">
        <v>736</v>
      </c>
      <c r="K30" s="672"/>
    </row>
    <row r="31" spans="1:24">
      <c r="A31" s="716" t="s">
        <v>737</v>
      </c>
      <c r="B31" s="667"/>
      <c r="C31" s="684"/>
      <c r="D31" s="714"/>
      <c r="E31" s="715"/>
      <c r="F31" s="686"/>
      <c r="G31" s="672"/>
      <c r="H31" s="672"/>
      <c r="I31" s="672"/>
      <c r="J31" s="672"/>
      <c r="K31" s="672"/>
    </row>
    <row r="32" spans="1:24">
      <c r="A32" s="700" t="s">
        <v>834</v>
      </c>
      <c r="B32" s="667"/>
      <c r="C32" s="684"/>
      <c r="D32" s="714"/>
      <c r="E32" s="715"/>
      <c r="F32" s="686"/>
      <c r="G32" s="672"/>
      <c r="H32" s="672"/>
      <c r="I32" s="672"/>
      <c r="J32" s="672"/>
      <c r="K32" s="672"/>
    </row>
    <row r="33" spans="1:23">
      <c r="A33" s="700"/>
      <c r="B33" s="667"/>
      <c r="C33" s="684"/>
      <c r="D33" s="714"/>
      <c r="E33" s="715"/>
      <c r="F33" s="686"/>
      <c r="G33" s="1073" t="s">
        <v>252</v>
      </c>
      <c r="H33" s="1073" t="s">
        <v>643</v>
      </c>
      <c r="I33" s="672"/>
      <c r="J33" s="672"/>
      <c r="K33" s="672"/>
      <c r="W33" t="s">
        <v>31</v>
      </c>
    </row>
    <row r="34" spans="1:23">
      <c r="A34" s="717" t="s">
        <v>644</v>
      </c>
      <c r="B34" s="667"/>
      <c r="C34" s="684"/>
      <c r="D34" s="714" t="s">
        <v>730</v>
      </c>
      <c r="E34" s="715" t="s">
        <v>731</v>
      </c>
      <c r="F34" s="686"/>
      <c r="G34" s="1073" t="s">
        <v>645</v>
      </c>
      <c r="H34" s="1073" t="s">
        <v>645</v>
      </c>
      <c r="I34" s="672"/>
      <c r="J34" s="672"/>
      <c r="K34" s="672"/>
    </row>
    <row r="35" spans="1:23">
      <c r="A35" s="667" t="s">
        <v>646</v>
      </c>
      <c r="B35" s="667"/>
      <c r="C35" s="667"/>
      <c r="D35" s="718">
        <v>322.48</v>
      </c>
      <c r="E35" s="718">
        <f ca="1">E44</f>
        <v>394.4651738833266</v>
      </c>
      <c r="F35" s="667"/>
      <c r="G35" s="719">
        <f ca="1">E35-D35</f>
        <v>71.985173883326581</v>
      </c>
      <c r="H35" s="843">
        <f ca="1">G35/D35</f>
        <v>0.22322368482797872</v>
      </c>
      <c r="I35" s="667"/>
      <c r="J35" s="667" t="s">
        <v>31</v>
      </c>
      <c r="K35" s="667"/>
      <c r="L35" s="658"/>
    </row>
    <row r="36" spans="1:23">
      <c r="A36" s="700" t="s">
        <v>647</v>
      </c>
      <c r="B36" s="667"/>
      <c r="C36" s="667"/>
      <c r="D36" s="720">
        <f>+B11</f>
        <v>67.5</v>
      </c>
      <c r="E36" s="720">
        <f>+C11</f>
        <v>70</v>
      </c>
      <c r="F36" s="667"/>
      <c r="G36" s="667"/>
      <c r="H36" s="667"/>
      <c r="I36" s="667"/>
      <c r="J36" s="667"/>
      <c r="K36" s="667"/>
    </row>
    <row r="37" spans="1:23">
      <c r="A37" s="700" t="s">
        <v>648</v>
      </c>
      <c r="B37" s="667"/>
      <c r="C37" s="667"/>
      <c r="D37" s="718">
        <f>SUM(D35:D36)</f>
        <v>389.98</v>
      </c>
      <c r="E37" s="718">
        <f ca="1">SUM(E35:E36)</f>
        <v>464.4651738833266</v>
      </c>
      <c r="F37" s="667"/>
      <c r="G37" s="667"/>
      <c r="H37" s="667"/>
      <c r="I37" s="667"/>
      <c r="J37" s="667"/>
      <c r="K37" s="667"/>
    </row>
    <row r="38" spans="1:23">
      <c r="A38" s="700"/>
      <c r="B38" s="667"/>
      <c r="C38" s="667"/>
      <c r="D38" s="718"/>
      <c r="E38" s="718"/>
      <c r="F38" s="667"/>
      <c r="G38" s="667"/>
      <c r="H38" s="667"/>
      <c r="I38" s="667"/>
      <c r="J38" s="667"/>
      <c r="K38" s="667"/>
    </row>
    <row r="39" spans="1:23">
      <c r="A39" s="700" t="s">
        <v>649</v>
      </c>
      <c r="B39" s="667"/>
      <c r="C39" s="667"/>
      <c r="D39" s="721">
        <f>D10</f>
        <v>1992907.7599999995</v>
      </c>
      <c r="E39" s="1659">
        <f>E10</f>
        <v>2471569.7571491785</v>
      </c>
      <c r="F39" s="843"/>
      <c r="G39" s="667"/>
      <c r="H39" s="667"/>
      <c r="I39" s="667"/>
      <c r="J39" s="667"/>
      <c r="K39" s="667"/>
    </row>
    <row r="40" spans="1:23">
      <c r="A40" s="732" t="s">
        <v>663</v>
      </c>
      <c r="B40" s="667"/>
      <c r="C40" s="667"/>
      <c r="D40" s="721">
        <f>D35*D29</f>
        <v>1674316.1600000001</v>
      </c>
      <c r="E40" s="721">
        <f ca="1">E35*E29</f>
        <v>2141156.9638386969</v>
      </c>
      <c r="F40" s="843"/>
      <c r="G40" s="743"/>
      <c r="H40" s="667"/>
      <c r="I40" s="667"/>
      <c r="J40" s="667"/>
      <c r="K40" s="667"/>
    </row>
    <row r="41" spans="1:23">
      <c r="A41" s="732"/>
      <c r="B41" s="667"/>
      <c r="C41" s="667"/>
      <c r="D41" s="721"/>
      <c r="E41" s="721"/>
      <c r="F41" s="667"/>
      <c r="G41" s="667"/>
      <c r="H41" s="667"/>
      <c r="I41" s="667"/>
      <c r="J41" s="667"/>
      <c r="K41" s="667"/>
    </row>
    <row r="42" spans="1:23">
      <c r="A42" s="700"/>
      <c r="B42" s="667"/>
      <c r="C42" s="667"/>
      <c r="D42" s="718"/>
      <c r="E42" s="718"/>
      <c r="F42" s="667"/>
      <c r="G42" s="667"/>
      <c r="H42" s="667"/>
      <c r="I42" s="733" t="s">
        <v>31</v>
      </c>
      <c r="J42" s="667"/>
      <c r="K42" s="667"/>
    </row>
    <row r="43" spans="1:23">
      <c r="A43" s="717" t="s">
        <v>650</v>
      </c>
      <c r="B43" s="667"/>
      <c r="C43" s="667"/>
      <c r="D43" s="718"/>
      <c r="E43" s="718"/>
      <c r="F43" s="667"/>
      <c r="G43" s="667"/>
      <c r="H43" s="667"/>
      <c r="I43" s="667"/>
      <c r="J43" s="667"/>
      <c r="K43" s="667"/>
    </row>
    <row r="44" spans="1:23">
      <c r="A44" s="700" t="s">
        <v>1048</v>
      </c>
      <c r="B44" s="833">
        <f ca="1">1+B6</f>
        <v>1.2232236848279787</v>
      </c>
      <c r="C44" s="667"/>
      <c r="E44" s="718">
        <f ca="1">D35*B44</f>
        <v>394.4651738833266</v>
      </c>
      <c r="F44" s="667"/>
      <c r="G44" s="667"/>
      <c r="H44" s="667"/>
      <c r="I44" s="667"/>
      <c r="J44" s="667"/>
      <c r="K44" s="667"/>
    </row>
    <row r="45" spans="1:23">
      <c r="A45" s="700" t="s">
        <v>738</v>
      </c>
      <c r="B45" s="121">
        <f>+E29</f>
        <v>5428</v>
      </c>
      <c r="C45" s="667"/>
      <c r="E45" s="718"/>
      <c r="F45" s="667"/>
      <c r="G45" s="667"/>
      <c r="H45" s="667"/>
      <c r="I45" s="667"/>
      <c r="J45" s="667"/>
      <c r="K45" s="667"/>
    </row>
    <row r="46" spans="1:23">
      <c r="A46" s="844" t="s">
        <v>739</v>
      </c>
      <c r="B46" s="667"/>
      <c r="C46" s="667"/>
      <c r="E46" s="721">
        <f ca="1">+E44*B45</f>
        <v>2141156.9638386969</v>
      </c>
      <c r="F46" s="667"/>
      <c r="G46" s="743"/>
      <c r="H46" s="667"/>
      <c r="I46" s="667"/>
      <c r="J46" s="667"/>
      <c r="K46" s="667"/>
    </row>
    <row r="47" spans="1:23">
      <c r="A47" s="844" t="s">
        <v>740</v>
      </c>
      <c r="E47" s="845">
        <f>+E11</f>
        <v>330400</v>
      </c>
    </row>
    <row r="48" spans="1:23">
      <c r="A48" s="846" t="s">
        <v>741</v>
      </c>
      <c r="B48" s="847"/>
      <c r="C48" s="847"/>
      <c r="D48" s="638"/>
      <c r="E48" s="848">
        <f ca="1">SUM(E46:E47)</f>
        <v>2471556.9638386969</v>
      </c>
    </row>
    <row r="50" spans="1:1">
      <c r="A50" s="1147" t="s">
        <v>837</v>
      </c>
    </row>
  </sheetData>
  <mergeCells count="4">
    <mergeCell ref="A1:J1"/>
    <mergeCell ref="A2:J2"/>
    <mergeCell ref="A3:J3"/>
    <mergeCell ref="B9:C9"/>
  </mergeCells>
  <pageMargins left="0.7" right="0.7" top="0.75" bottom="0.75" header="0.3" footer="0.3"/>
  <pageSetup scale="6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H17"/>
  <sheetViews>
    <sheetView view="pageBreakPreview" zoomScaleNormal="100" workbookViewId="0">
      <selection sqref="A1:F1"/>
    </sheetView>
  </sheetViews>
  <sheetFormatPr defaultRowHeight="15.75"/>
  <cols>
    <col min="1" max="1" width="16.125" customWidth="1"/>
    <col min="3" max="3" width="10.5" bestFit="1" customWidth="1"/>
    <col min="5" max="5" width="9.625" customWidth="1"/>
    <col min="6" max="6" width="13.25" customWidth="1"/>
  </cols>
  <sheetData>
    <row r="1" spans="1:8">
      <c r="A1" s="1725" t="s">
        <v>72</v>
      </c>
      <c r="B1" s="1725"/>
      <c r="C1" s="1725"/>
      <c r="D1" s="1725"/>
      <c r="E1" s="1725"/>
      <c r="F1" s="1725"/>
    </row>
    <row r="2" spans="1:8">
      <c r="A2" s="1725" t="s">
        <v>651</v>
      </c>
      <c r="B2" s="1725"/>
      <c r="C2" s="1725"/>
      <c r="D2" s="1725"/>
      <c r="E2" s="1725"/>
      <c r="F2" s="1725"/>
    </row>
    <row r="3" spans="1:8">
      <c r="A3" s="1725" t="s">
        <v>652</v>
      </c>
      <c r="B3" s="1725"/>
      <c r="C3" s="1725"/>
      <c r="D3" s="1725"/>
      <c r="E3" s="1725"/>
      <c r="F3" s="1725"/>
    </row>
    <row r="4" spans="1:8">
      <c r="A4" s="667"/>
      <c r="B4" s="667"/>
      <c r="C4" s="667"/>
      <c r="D4" s="667"/>
      <c r="E4" s="667"/>
      <c r="F4" s="667"/>
    </row>
    <row r="5" spans="1:8">
      <c r="A5" s="667"/>
      <c r="B5" s="1726"/>
      <c r="C5" s="1726"/>
      <c r="D5" s="1726"/>
      <c r="E5" s="1726"/>
      <c r="F5" s="1726"/>
      <c r="H5" s="734" t="s">
        <v>371</v>
      </c>
    </row>
    <row r="6" spans="1:8">
      <c r="A6" s="700" t="s">
        <v>653</v>
      </c>
      <c r="B6" s="680" t="s">
        <v>632</v>
      </c>
      <c r="C6" s="680" t="s">
        <v>10</v>
      </c>
      <c r="D6" s="680" t="s">
        <v>654</v>
      </c>
      <c r="E6" s="680" t="s">
        <v>32</v>
      </c>
      <c r="F6" s="673" t="s">
        <v>632</v>
      </c>
      <c r="H6" s="680" t="s">
        <v>32</v>
      </c>
    </row>
    <row r="7" spans="1:8">
      <c r="A7" s="722" t="s">
        <v>655</v>
      </c>
      <c r="B7" s="723" t="s">
        <v>40</v>
      </c>
      <c r="C7" s="723" t="s">
        <v>656</v>
      </c>
      <c r="D7" s="723" t="s">
        <v>20</v>
      </c>
      <c r="E7" s="724" t="s">
        <v>657</v>
      </c>
      <c r="F7" s="723" t="s">
        <v>658</v>
      </c>
      <c r="H7" s="724" t="s">
        <v>657</v>
      </c>
    </row>
    <row r="8" spans="1:8">
      <c r="A8" s="716" t="s">
        <v>659</v>
      </c>
      <c r="B8" s="725">
        <f>'by rate'!C18</f>
        <v>2312.5295341261431</v>
      </c>
      <c r="C8" s="687">
        <f>F8*E8/100</f>
        <v>1220767.4161184975</v>
      </c>
      <c r="D8" s="719">
        <f>C8/B8</f>
        <v>527.89268119760482</v>
      </c>
      <c r="E8" s="726">
        <f>ROUND(H8*(1+$E$14),3)</f>
        <v>8.359</v>
      </c>
      <c r="F8" s="725">
        <f>'by rate'!D18</f>
        <v>14604227.971270457</v>
      </c>
      <c r="H8" s="782">
        <v>6.3959999999999999</v>
      </c>
    </row>
    <row r="9" spans="1:8">
      <c r="A9" s="716" t="s">
        <v>660</v>
      </c>
      <c r="B9" s="725">
        <f>'by rate'!C19</f>
        <v>1766.7256956709446</v>
      </c>
      <c r="C9" s="687">
        <f>F9*E9/100</f>
        <v>618940.48728917458</v>
      </c>
      <c r="D9" s="719">
        <f>C9/B9</f>
        <v>350.33196653322079</v>
      </c>
      <c r="E9" s="726">
        <f>ROUND(H9*(1+$E$14),3)</f>
        <v>5.6230000000000002</v>
      </c>
      <c r="F9" s="725">
        <f>'by rate'!D19</f>
        <v>11007300.147415517</v>
      </c>
      <c r="H9">
        <v>4.3029999999999999</v>
      </c>
    </row>
    <row r="10" spans="1:8">
      <c r="A10" s="716" t="s">
        <v>712</v>
      </c>
      <c r="B10" s="725">
        <f>'by rate'!C20</f>
        <v>1348.7447702029124</v>
      </c>
      <c r="C10" s="687">
        <f>F10*E10/100</f>
        <v>301536.02998352522</v>
      </c>
      <c r="D10" s="719">
        <f>C10/B10</f>
        <v>223.56789560574944</v>
      </c>
      <c r="E10" s="726">
        <f>ROUND(H10*(1+$E$14),3)</f>
        <v>3.5139999999999998</v>
      </c>
      <c r="F10" s="725">
        <f>'by rate'!D20</f>
        <v>8580991.1776757333</v>
      </c>
      <c r="H10" s="782">
        <v>2.6890000000000001</v>
      </c>
    </row>
    <row r="11" spans="1:8">
      <c r="A11" s="700" t="s">
        <v>10</v>
      </c>
      <c r="B11" s="725">
        <f>'Exh No.__(JRS-17) p12'!E29</f>
        <v>5428</v>
      </c>
      <c r="C11" s="687">
        <f>SUM(C8:C10)</f>
        <v>2141243.9333911971</v>
      </c>
      <c r="D11" s="719">
        <f>C11/B11</f>
        <v>394.48119627693387</v>
      </c>
      <c r="E11" s="726">
        <f>C11/F11*100</f>
        <v>6.2623169554489033</v>
      </c>
      <c r="F11" s="725">
        <f>SUM(F8:F10)</f>
        <v>34192519.296361707</v>
      </c>
      <c r="H11" s="782">
        <v>4.984</v>
      </c>
    </row>
    <row r="13" spans="1:8">
      <c r="B13" t="s">
        <v>31</v>
      </c>
    </row>
    <row r="14" spans="1:8">
      <c r="E14" s="677">
        <v>0.30683300000000002</v>
      </c>
    </row>
    <row r="16" spans="1:8">
      <c r="C16" s="657">
        <f>'Exh No.__(JRS-17) p12'!D40</f>
        <v>1674316.1600000001</v>
      </c>
      <c r="D16" s="658">
        <v>322.48</v>
      </c>
      <c r="H16" t="s">
        <v>31</v>
      </c>
    </row>
    <row r="17" spans="3:4">
      <c r="C17" s="657">
        <f ca="1">'Exh No.__(JRS-17) p12'!E40</f>
        <v>2141156.9638386969</v>
      </c>
      <c r="D17" s="658">
        <f ca="1">'Exh No.__(JRS-17) p12'!E35</f>
        <v>394.4651738833266</v>
      </c>
    </row>
  </sheetData>
  <mergeCells count="4">
    <mergeCell ref="A1:F1"/>
    <mergeCell ref="A2:F2"/>
    <mergeCell ref="A3:F3"/>
    <mergeCell ref="B5:F5"/>
  </mergeCells>
  <phoneticPr fontId="25" type="noConversion"/>
  <printOptions horizontalCentered="1"/>
  <pageMargins left="0.25" right="0.25" top="0.5" bottom="0.25" header="0.5" footer="0.5"/>
  <pageSetup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C47"/>
  <sheetViews>
    <sheetView tabSelected="1" view="pageBreakPreview" zoomScale="75" zoomScaleNormal="100" workbookViewId="0">
      <selection activeCell="B1" sqref="B1:T1"/>
    </sheetView>
  </sheetViews>
  <sheetFormatPr defaultColWidth="8.5" defaultRowHeight="15"/>
  <cols>
    <col min="1" max="1" width="4.625" style="480" customWidth="1"/>
    <col min="2" max="2" width="8.5" style="480"/>
    <col min="3" max="3" width="2.75" style="480" customWidth="1"/>
    <col min="4" max="4" width="7" style="480" bestFit="1" customWidth="1"/>
    <col min="5" max="5" width="2.875" style="480" customWidth="1"/>
    <col min="6" max="6" width="8.25" style="480" bestFit="1" customWidth="1"/>
    <col min="7" max="7" width="2.875" style="480" customWidth="1"/>
    <col min="8" max="8" width="6.75" style="480" bestFit="1" customWidth="1"/>
    <col min="9" max="9" width="2.875" style="480" customWidth="1"/>
    <col min="10" max="10" width="8.25" style="480" bestFit="1" customWidth="1"/>
    <col min="11" max="11" width="2.625" style="480" customWidth="1"/>
    <col min="12" max="12" width="8.25" style="480" bestFit="1" customWidth="1"/>
    <col min="13" max="13" width="2.625" style="480" customWidth="1"/>
    <col min="14" max="14" width="9" style="480" bestFit="1" customWidth="1"/>
    <col min="15" max="15" width="2.875" style="480" customWidth="1"/>
    <col min="16" max="16" width="7.75" style="480" bestFit="1" customWidth="1"/>
    <col min="17" max="17" width="2.375" style="480" customWidth="1"/>
    <col min="18" max="18" width="7.25" style="480" bestFit="1" customWidth="1"/>
    <col min="19" max="19" width="2.5" style="480" customWidth="1"/>
    <col min="20" max="20" width="7.25" style="480" customWidth="1"/>
    <col min="21" max="21" width="2.25" style="480" customWidth="1"/>
    <col min="22" max="22" width="15.125" style="480" customWidth="1"/>
    <col min="23" max="23" width="15.25" style="480" customWidth="1"/>
    <col min="24" max="24" width="9.125" style="480" customWidth="1"/>
    <col min="25" max="25" width="8.25" style="480" customWidth="1"/>
    <col min="26" max="26" width="1.625" style="480" customWidth="1"/>
    <col min="27" max="16384" width="8.5" style="480"/>
  </cols>
  <sheetData>
    <row r="1" spans="1:29" ht="18.75">
      <c r="B1" s="1728" t="s">
        <v>72</v>
      </c>
      <c r="C1" s="1728"/>
      <c r="D1" s="1728"/>
      <c r="E1" s="1728"/>
      <c r="F1" s="1728"/>
      <c r="G1" s="1728"/>
      <c r="H1" s="1728"/>
      <c r="I1" s="1728"/>
      <c r="J1" s="1728"/>
      <c r="K1" s="1728"/>
      <c r="L1" s="1728"/>
      <c r="M1" s="1728"/>
      <c r="N1" s="1728"/>
      <c r="O1" s="1728"/>
      <c r="P1" s="1728"/>
      <c r="Q1" s="1728"/>
      <c r="R1" s="1728"/>
      <c r="S1" s="1728"/>
      <c r="T1" s="1728"/>
    </row>
    <row r="2" spans="1:29" ht="18.75">
      <c r="A2" s="485"/>
      <c r="B2" s="1728" t="s">
        <v>520</v>
      </c>
      <c r="C2" s="1728"/>
      <c r="D2" s="1728"/>
      <c r="E2" s="1728"/>
      <c r="F2" s="1728"/>
      <c r="G2" s="1728"/>
      <c r="H2" s="1728"/>
      <c r="I2" s="1728"/>
      <c r="J2" s="1728"/>
      <c r="K2" s="1728"/>
      <c r="L2" s="1728"/>
      <c r="M2" s="1728"/>
      <c r="N2" s="1728"/>
      <c r="O2" s="1728"/>
      <c r="P2" s="1728"/>
      <c r="Q2" s="1728"/>
      <c r="R2" s="1728"/>
      <c r="S2" s="1728"/>
      <c r="T2" s="1728"/>
    </row>
    <row r="3" spans="1:29" ht="18.75">
      <c r="A3" s="485"/>
      <c r="B3" s="1728" t="s">
        <v>521</v>
      </c>
      <c r="C3" s="1728"/>
      <c r="D3" s="1728"/>
      <c r="E3" s="1728"/>
      <c r="F3" s="1728"/>
      <c r="G3" s="1728"/>
      <c r="H3" s="1728"/>
      <c r="I3" s="1728"/>
      <c r="J3" s="1728"/>
      <c r="K3" s="1728"/>
      <c r="L3" s="1728"/>
      <c r="M3" s="1728"/>
      <c r="N3" s="1728"/>
      <c r="O3" s="1728"/>
      <c r="P3" s="1728"/>
      <c r="Q3" s="1728"/>
      <c r="R3" s="1728"/>
      <c r="S3" s="1728"/>
      <c r="T3" s="1728"/>
    </row>
    <row r="4" spans="1:29" ht="18.75">
      <c r="B4" s="484" t="s">
        <v>31</v>
      </c>
      <c r="C4" s="484"/>
      <c r="D4" s="484"/>
      <c r="E4" s="484"/>
      <c r="F4" s="484"/>
      <c r="G4" s="484"/>
      <c r="H4" s="484"/>
      <c r="I4" s="484"/>
      <c r="J4" s="484"/>
      <c r="K4" s="484"/>
      <c r="L4" s="484"/>
      <c r="M4" s="484"/>
      <c r="N4" s="484"/>
      <c r="O4" s="484"/>
      <c r="P4" s="484"/>
      <c r="Q4" s="484"/>
      <c r="R4" s="484"/>
      <c r="S4" s="484"/>
      <c r="T4" s="484"/>
    </row>
    <row r="6" spans="1:29" ht="18.75" thickBot="1">
      <c r="J6" s="1727" t="s">
        <v>839</v>
      </c>
      <c r="K6" s="1727"/>
      <c r="L6" s="1727"/>
      <c r="M6" s="1727"/>
      <c r="N6" s="1727"/>
      <c r="O6" s="1727"/>
      <c r="P6" s="1727"/>
      <c r="Q6" s="1145"/>
      <c r="R6" s="1145"/>
      <c r="S6" s="1145"/>
      <c r="T6" s="487"/>
      <c r="U6" s="485"/>
      <c r="V6" s="487"/>
    </row>
    <row r="7" spans="1:29">
      <c r="D7" s="1727" t="s">
        <v>835</v>
      </c>
      <c r="E7" s="1727"/>
      <c r="F7" s="1727"/>
      <c r="G7" s="1727"/>
      <c r="H7" s="1727"/>
      <c r="I7" s="1145"/>
      <c r="J7" s="1145" t="s">
        <v>31</v>
      </c>
      <c r="K7" s="489"/>
      <c r="L7" s="1146" t="s">
        <v>31</v>
      </c>
      <c r="N7" s="1727" t="s">
        <v>171</v>
      </c>
      <c r="O7" s="1727"/>
      <c r="P7" s="1727"/>
      <c r="Q7" s="1145"/>
      <c r="R7" s="1727" t="s">
        <v>1095</v>
      </c>
      <c r="S7" s="1727"/>
      <c r="T7" s="1727"/>
      <c r="U7" s="489"/>
      <c r="V7" s="490" t="s">
        <v>524</v>
      </c>
      <c r="W7" s="491"/>
      <c r="X7" s="490" t="s">
        <v>525</v>
      </c>
      <c r="Y7" s="491"/>
    </row>
    <row r="8" spans="1:29" ht="18">
      <c r="B8" s="1143" t="s">
        <v>25</v>
      </c>
      <c r="D8" s="829" t="s">
        <v>197</v>
      </c>
      <c r="E8" s="494" t="s">
        <v>31</v>
      </c>
      <c r="F8" s="829" t="s">
        <v>305</v>
      </c>
      <c r="G8" s="494" t="s">
        <v>31</v>
      </c>
      <c r="H8" s="1144" t="s">
        <v>171</v>
      </c>
      <c r="I8" s="1145"/>
      <c r="J8" s="829" t="s">
        <v>197</v>
      </c>
      <c r="K8" s="494" t="s">
        <v>31</v>
      </c>
      <c r="L8" s="829" t="s">
        <v>305</v>
      </c>
      <c r="M8" s="494" t="s">
        <v>31</v>
      </c>
      <c r="N8" s="1142" t="s">
        <v>70</v>
      </c>
      <c r="P8" s="1711" t="s">
        <v>315</v>
      </c>
      <c r="R8" s="1656" t="s">
        <v>70</v>
      </c>
      <c r="S8" s="1146"/>
      <c r="T8" s="1709" t="s">
        <v>315</v>
      </c>
      <c r="V8" s="496" t="s">
        <v>526</v>
      </c>
      <c r="W8" s="497">
        <f>'Exh No.__(JRS-17) p1-10'!G89</f>
        <v>7.75</v>
      </c>
      <c r="X8" s="496"/>
      <c r="Y8" s="497">
        <f>'Exh No.__(JRS-17) p1-10'!J89</f>
        <v>14</v>
      </c>
    </row>
    <row r="9" spans="1:29">
      <c r="B9" s="498"/>
      <c r="D9" s="498"/>
      <c r="E9" s="498"/>
      <c r="F9" s="498"/>
      <c r="J9" s="498"/>
      <c r="K9" s="498"/>
      <c r="L9" s="498"/>
      <c r="T9" s="779"/>
      <c r="V9" s="496" t="s">
        <v>527</v>
      </c>
      <c r="W9" s="499">
        <f>'Exh No.__(JRS-17) p1-10'!G90+Y11</f>
        <v>6.4820000000000002</v>
      </c>
      <c r="X9" s="496"/>
      <c r="Y9" s="500">
        <f ca="1">'Exh No.__(JRS-17) p1-10'!J90+'Exh No.__(JRS-17) p1-10'!J95+Y12+Y19</f>
        <v>7.0270000000000001</v>
      </c>
      <c r="Z9" s="501"/>
      <c r="AA9" s="1136">
        <f ca="1">(Y9-W9)/W9</f>
        <v>8.4078987966676941E-2</v>
      </c>
    </row>
    <row r="10" spans="1:29" ht="15.75" thickBot="1">
      <c r="B10" s="502">
        <v>50</v>
      </c>
      <c r="D10" s="503">
        <f>$W$8</f>
        <v>7.75</v>
      </c>
      <c r="F10" s="503">
        <f>$Y$8</f>
        <v>14</v>
      </c>
      <c r="H10" s="503">
        <f>F10-D10</f>
        <v>6.25</v>
      </c>
      <c r="I10" s="503"/>
      <c r="J10" s="503">
        <f>ROUND((($B10*W$9/100))+((B10*$Y$14)/100),2)+Y16</f>
        <v>3.7699999999999996</v>
      </c>
      <c r="L10" s="503">
        <f ca="1">ROUND((($B10*Y$9/100))+((B10*$Y$15)/100),2)+Y17</f>
        <v>4.04</v>
      </c>
      <c r="N10" s="504">
        <f ca="1">L10-J10</f>
        <v>0.27000000000000046</v>
      </c>
      <c r="P10" s="505">
        <f ca="1">(L10-J10)/J10</f>
        <v>7.1618037135278645E-2</v>
      </c>
      <c r="Q10" s="505"/>
      <c r="R10" s="511">
        <f ca="1">F10+L10-D10-J10</f>
        <v>6.52</v>
      </c>
      <c r="S10" s="505"/>
      <c r="T10" s="1641">
        <f ca="1">(F10+L10-D10-J10)/(D10+J10)</f>
        <v>0.56597222222222221</v>
      </c>
      <c r="V10" s="506" t="s">
        <v>376</v>
      </c>
      <c r="W10" s="507">
        <f>'Exh No.__(JRS-17) p1-10'!G91+Y11</f>
        <v>10.1</v>
      </c>
      <c r="X10" s="506"/>
      <c r="Y10" s="507">
        <f ca="1">'Exh No.__(JRS-17) p1-10'!J91+'Exh No.__(JRS-17) p1-10'!J96+Y12+Y19</f>
        <v>10.87</v>
      </c>
      <c r="AA10" s="1136">
        <f ca="1">(Y10-W10)/W10</f>
        <v>7.6237623762376194E-2</v>
      </c>
    </row>
    <row r="11" spans="1:29">
      <c r="B11" s="502">
        <v>100</v>
      </c>
      <c r="D11" s="503">
        <f>$W$8</f>
        <v>7.75</v>
      </c>
      <c r="F11" s="503">
        <f>$Y$8</f>
        <v>14</v>
      </c>
      <c r="H11" s="503">
        <f t="shared" ref="H11:H33" si="0">F11-D11</f>
        <v>6.25</v>
      </c>
      <c r="I11" s="503"/>
      <c r="J11" s="503">
        <f>ROUND((($B11*W$9/100))+((B11*$Y$14)/100),2)+Y16</f>
        <v>6.8</v>
      </c>
      <c r="L11" s="503">
        <f ca="1">ROUND((($B11*Y$9/100))+((B11*$Y$15)/100),2)+Y17</f>
        <v>7.3500000000000005</v>
      </c>
      <c r="N11" s="504">
        <f ca="1">L11-J11</f>
        <v>0.55000000000000071</v>
      </c>
      <c r="P11" s="505">
        <f ca="1">(L11-J11)/J11</f>
        <v>8.0882352941176572E-2</v>
      </c>
      <c r="Q11" s="505"/>
      <c r="R11" s="511">
        <f t="shared" ref="R11:R33" ca="1" si="1">F11+L11-D11-J11</f>
        <v>6.8000000000000016</v>
      </c>
      <c r="S11" s="505"/>
      <c r="T11" s="1641">
        <f t="shared" ref="T11:T33" ca="1" si="2">(F11+L11-D11-J11)/(D11+J11)</f>
        <v>0.46735395189003442</v>
      </c>
      <c r="V11" s="508"/>
      <c r="W11" s="508" t="s">
        <v>200</v>
      </c>
      <c r="X11" s="508"/>
      <c r="Y11" s="509">
        <v>0.28299999999999997</v>
      </c>
      <c r="AC11" s="504"/>
    </row>
    <row r="12" spans="1:29">
      <c r="B12" s="502">
        <v>150</v>
      </c>
      <c r="D12" s="503">
        <f>$W$8</f>
        <v>7.75</v>
      </c>
      <c r="F12" s="503">
        <f>$Y$8</f>
        <v>14</v>
      </c>
      <c r="H12" s="503">
        <f t="shared" si="0"/>
        <v>6.25</v>
      </c>
      <c r="I12" s="503"/>
      <c r="J12" s="503">
        <f>ROUND((($B12*W$9/100))+((B12*$Y$14)/100),2)+Y16</f>
        <v>9.83</v>
      </c>
      <c r="L12" s="503">
        <f ca="1">ROUND((($B12*Y$9/100))+((B12*$Y$15)/100),2)+Y17</f>
        <v>10.65</v>
      </c>
      <c r="N12" s="504">
        <f ca="1">L12-J12</f>
        <v>0.82000000000000028</v>
      </c>
      <c r="P12" s="505">
        <f ca="1">(L12-J12)/J12</f>
        <v>8.3418107833163807E-2</v>
      </c>
      <c r="Q12" s="505"/>
      <c r="R12" s="511">
        <f t="shared" ca="1" si="1"/>
        <v>7.0699999999999985</v>
      </c>
      <c r="S12" s="505"/>
      <c r="T12" s="1641">
        <f t="shared" ca="1" si="2"/>
        <v>0.40216154721274172</v>
      </c>
      <c r="V12" s="508"/>
      <c r="W12" s="508"/>
      <c r="X12" s="508"/>
      <c r="Y12" s="509">
        <v>0.28299999999999997</v>
      </c>
      <c r="Z12" s="510"/>
      <c r="AC12" s="504"/>
    </row>
    <row r="13" spans="1:29">
      <c r="D13" s="511"/>
      <c r="F13" s="511"/>
      <c r="J13" s="511"/>
      <c r="L13" s="511"/>
      <c r="T13" s="779"/>
      <c r="V13" s="508"/>
      <c r="W13" s="508"/>
      <c r="X13" s="508"/>
      <c r="Y13" s="512"/>
      <c r="AC13" s="504"/>
    </row>
    <row r="14" spans="1:29">
      <c r="B14" s="502">
        <v>200</v>
      </c>
      <c r="D14" s="503">
        <f>$W$8</f>
        <v>7.75</v>
      </c>
      <c r="F14" s="503">
        <f>$Y$8</f>
        <v>14</v>
      </c>
      <c r="H14" s="503">
        <f t="shared" si="0"/>
        <v>6.25</v>
      </c>
      <c r="I14" s="503"/>
      <c r="J14" s="503">
        <f>ROUND((($B14*W$9/100))+((B14*$Y$14)/100),2)+Y16</f>
        <v>12.86</v>
      </c>
      <c r="L14" s="503">
        <f ca="1">ROUND((($B14*Y$9/100))+((B14*$Y$15)/100),2)+Y17</f>
        <v>13.950000000000001</v>
      </c>
      <c r="N14" s="504">
        <f ca="1">L14-J14</f>
        <v>1.0900000000000016</v>
      </c>
      <c r="P14" s="505">
        <f ca="1">(L14-J14)/J14</f>
        <v>8.4758942457231853E-2</v>
      </c>
      <c r="Q14" s="505"/>
      <c r="R14" s="511">
        <f t="shared" ca="1" si="1"/>
        <v>7.3400000000000034</v>
      </c>
      <c r="S14" s="505"/>
      <c r="T14" s="1641">
        <f t="shared" ca="1" si="2"/>
        <v>0.35613779718583227</v>
      </c>
      <c r="V14" s="508"/>
      <c r="W14" s="508" t="s">
        <v>528</v>
      </c>
      <c r="X14" s="508"/>
      <c r="Y14" s="509">
        <v>-0.42199999999999999</v>
      </c>
      <c r="AA14" s="480" t="s">
        <v>31</v>
      </c>
      <c r="AC14" s="504"/>
    </row>
    <row r="15" spans="1:29">
      <c r="B15" s="502">
        <v>300</v>
      </c>
      <c r="D15" s="503">
        <f>$W$8</f>
        <v>7.75</v>
      </c>
      <c r="F15" s="503">
        <f>$Y$8</f>
        <v>14</v>
      </c>
      <c r="H15" s="503">
        <f t="shared" si="0"/>
        <v>6.25</v>
      </c>
      <c r="I15" s="503"/>
      <c r="J15" s="503">
        <f>ROUND((($B15*W$9/100))+((B15*$Y$14)/100),2)+Y16</f>
        <v>18.919999999999998</v>
      </c>
      <c r="L15" s="503">
        <f ca="1">ROUND((($B15*Y$9/100))+((B15*$Y$15)/100),2)+Y17</f>
        <v>20.56</v>
      </c>
      <c r="N15" s="504">
        <f ca="1">L15-J15</f>
        <v>1.6400000000000006</v>
      </c>
      <c r="P15" s="505">
        <f ca="1">(L15-J15)/J15</f>
        <v>8.6680761099365788E-2</v>
      </c>
      <c r="Q15" s="505"/>
      <c r="R15" s="511">
        <f t="shared" ca="1" si="1"/>
        <v>7.8900000000000041</v>
      </c>
      <c r="S15" s="505"/>
      <c r="T15" s="1641">
        <f t="shared" ca="1" si="2"/>
        <v>0.29583802024746925</v>
      </c>
      <c r="V15" s="508"/>
      <c r="W15" s="480" t="s">
        <v>31</v>
      </c>
      <c r="X15" s="480" t="s">
        <v>31</v>
      </c>
      <c r="Y15" s="509">
        <v>-0.42199999999999999</v>
      </c>
      <c r="AC15" s="504"/>
    </row>
    <row r="16" spans="1:29">
      <c r="B16" s="502">
        <v>400</v>
      </c>
      <c r="D16" s="503">
        <f>$W$8</f>
        <v>7.75</v>
      </c>
      <c r="F16" s="503">
        <f>$Y$8</f>
        <v>14</v>
      </c>
      <c r="H16" s="503">
        <f t="shared" si="0"/>
        <v>6.25</v>
      </c>
      <c r="I16" s="503"/>
      <c r="J16" s="503">
        <f>ROUND((($B16*W$9/100))+((B16*$Y$14)/100),2)+Y16</f>
        <v>24.979999999999997</v>
      </c>
      <c r="L16" s="503">
        <f ca="1">ROUND((($B16*Y$9/100))+((B16*$Y$15)/100),2)+Y17</f>
        <v>27.16</v>
      </c>
      <c r="N16" s="504">
        <f ca="1">L16-J16</f>
        <v>2.1800000000000033</v>
      </c>
      <c r="P16" s="505">
        <f ca="1">(L16-J16)/J16</f>
        <v>8.7269815852682286E-2</v>
      </c>
      <c r="Q16" s="505"/>
      <c r="R16" s="511">
        <f t="shared" ca="1" si="1"/>
        <v>8.43</v>
      </c>
      <c r="S16" s="505"/>
      <c r="T16" s="1641">
        <f t="shared" ca="1" si="2"/>
        <v>0.25756186984417967</v>
      </c>
      <c r="W16" s="480" t="s">
        <v>666</v>
      </c>
      <c r="Y16" s="504">
        <f>'Exh No.__(JRS-17) p12'!D15</f>
        <v>0.74</v>
      </c>
      <c r="Z16" s="480" t="s">
        <v>31</v>
      </c>
      <c r="AC16" s="504"/>
    </row>
    <row r="17" spans="2:29">
      <c r="B17" s="502">
        <v>500</v>
      </c>
      <c r="D17" s="503">
        <f>$W$8</f>
        <v>7.75</v>
      </c>
      <c r="F17" s="503">
        <f>$Y$8</f>
        <v>14</v>
      </c>
      <c r="H17" s="503">
        <f t="shared" si="0"/>
        <v>6.25</v>
      </c>
      <c r="I17" s="503"/>
      <c r="J17" s="503">
        <f>ROUND((($B17*W$9/100))+((B17*$Y$14)/100),2)+Y16</f>
        <v>31.04</v>
      </c>
      <c r="L17" s="503">
        <f ca="1">ROUND((($B17*Y$9/100))+((B17*$Y$15)/100),2)+Y17</f>
        <v>33.770000000000003</v>
      </c>
      <c r="N17" s="504">
        <f ca="1">L17-J17</f>
        <v>2.730000000000004</v>
      </c>
      <c r="P17" s="505">
        <f ca="1">(L17-J17)/J17</f>
        <v>8.7951030927835183E-2</v>
      </c>
      <c r="Q17" s="505"/>
      <c r="R17" s="511">
        <f t="shared" ca="1" si="1"/>
        <v>8.980000000000004</v>
      </c>
      <c r="S17" s="505"/>
      <c r="T17" s="1641">
        <f t="shared" ca="1" si="2"/>
        <v>0.23150296468161907</v>
      </c>
      <c r="W17" s="480" t="s">
        <v>667</v>
      </c>
      <c r="Y17" s="504">
        <f>Y16</f>
        <v>0.74</v>
      </c>
      <c r="AC17" s="504"/>
    </row>
    <row r="18" spans="2:29">
      <c r="D18" s="511"/>
      <c r="F18" s="511"/>
      <c r="J18" s="511"/>
      <c r="L18" s="511"/>
      <c r="T18" s="779"/>
      <c r="AC18" s="504"/>
    </row>
    <row r="19" spans="2:29">
      <c r="B19" s="502">
        <v>600</v>
      </c>
      <c r="D19" s="503">
        <f>$W$8</f>
        <v>7.75</v>
      </c>
      <c r="F19" s="503">
        <f>$Y$8</f>
        <v>14</v>
      </c>
      <c r="H19" s="503">
        <f t="shared" si="0"/>
        <v>6.25</v>
      </c>
      <c r="I19" s="503"/>
      <c r="J19" s="503">
        <f>ROUND((($B19*W$9/100))+((B19*$Y$14)/100),2)+Y16</f>
        <v>37.1</v>
      </c>
      <c r="L19" s="503">
        <f ca="1">ROUND((($B19*Y$9/100))+((B19*$Y$15)/100),2)+Y17</f>
        <v>40.370000000000005</v>
      </c>
      <c r="N19" s="504">
        <f ca="1">L19-J19</f>
        <v>3.2700000000000031</v>
      </c>
      <c r="P19" s="505">
        <f ca="1">(L19-J19)/J19</f>
        <v>8.8140161725067473E-2</v>
      </c>
      <c r="Q19" s="505"/>
      <c r="R19" s="511">
        <f t="shared" ca="1" si="1"/>
        <v>9.5200000000000031</v>
      </c>
      <c r="S19" s="505"/>
      <c r="T19" s="1641">
        <f t="shared" ca="1" si="2"/>
        <v>0.21226309921962103</v>
      </c>
      <c r="W19" s="779" t="s">
        <v>313</v>
      </c>
      <c r="Y19" s="565">
        <f ca="1">'Exh No.__(JRS-16) Table B p2'!AB16</f>
        <v>0.16400000000000001</v>
      </c>
      <c r="AC19" s="504"/>
    </row>
    <row r="20" spans="2:29">
      <c r="B20" s="502">
        <v>700</v>
      </c>
      <c r="D20" s="503">
        <f>$W$8</f>
        <v>7.75</v>
      </c>
      <c r="F20" s="503">
        <f>$Y$8</f>
        <v>14</v>
      </c>
      <c r="H20" s="503">
        <f t="shared" si="0"/>
        <v>6.25</v>
      </c>
      <c r="I20" s="503"/>
      <c r="J20" s="503">
        <f>ROUND((((600*W$9/100)+(($B20-600)*W$10/100)))+((B20*$Y$14)/100),2)+Y16</f>
        <v>46.78</v>
      </c>
      <c r="L20" s="503">
        <f ca="1">ROUND((((600*Y$9/100)+(($B20-600)*Y$10/100)))+((B20*$Y$15)/100),2)+Y17</f>
        <v>50.82</v>
      </c>
      <c r="N20" s="504">
        <f ca="1">L20-J20</f>
        <v>4.0399999999999991</v>
      </c>
      <c r="P20" s="505">
        <f ca="1">(L20-J20)/J20</f>
        <v>8.6361693031209899E-2</v>
      </c>
      <c r="Q20" s="505"/>
      <c r="R20" s="511">
        <f t="shared" ca="1" si="1"/>
        <v>10.289999999999992</v>
      </c>
      <c r="S20" s="505"/>
      <c r="T20" s="1641">
        <f t="shared" ca="1" si="2"/>
        <v>0.18870346598202808</v>
      </c>
      <c r="W20" s="779"/>
      <c r="AC20" s="504"/>
    </row>
    <row r="21" spans="2:29">
      <c r="B21" s="502">
        <v>800</v>
      </c>
      <c r="D21" s="503">
        <f>$W$8</f>
        <v>7.75</v>
      </c>
      <c r="F21" s="503">
        <f>$Y$8</f>
        <v>14</v>
      </c>
      <c r="H21" s="503">
        <f t="shared" si="0"/>
        <v>6.25</v>
      </c>
      <c r="I21" s="503"/>
      <c r="J21" s="503">
        <f>ROUND((((600*W$9/100)+(($B21-600)*W$10/100)))+((B21*$Y$14)/100),2)+Y16</f>
        <v>56.46</v>
      </c>
      <c r="L21" s="503">
        <f ca="1">ROUND((((600*Y$9/100)+(($B21-600)*Y$10/100)))+((B21*$Y$15)/100),2)+Y17</f>
        <v>61.27</v>
      </c>
      <c r="N21" s="504">
        <f ca="1">L21-J21</f>
        <v>4.8100000000000023</v>
      </c>
      <c r="P21" s="505">
        <f ca="1">(L21-J21)/J21</f>
        <v>8.5193057031526784E-2</v>
      </c>
      <c r="Q21" s="505"/>
      <c r="R21" s="511">
        <f t="shared" ca="1" si="1"/>
        <v>11.060000000000009</v>
      </c>
      <c r="S21" s="505"/>
      <c r="T21" s="1641">
        <f t="shared" ca="1" si="2"/>
        <v>0.1722473135025698</v>
      </c>
      <c r="AC21" s="504"/>
    </row>
    <row r="22" spans="2:29">
      <c r="B22" s="502">
        <v>900</v>
      </c>
      <c r="D22" s="503">
        <f>$W$8</f>
        <v>7.75</v>
      </c>
      <c r="F22" s="503">
        <f>$Y$8</f>
        <v>14</v>
      </c>
      <c r="H22" s="503">
        <f t="shared" si="0"/>
        <v>6.25</v>
      </c>
      <c r="I22" s="503"/>
      <c r="J22" s="503">
        <f>ROUND((((600*W$9/100)+(($B22-600)*W$10/100)))+((B22*$Y$14)/100),2)+Y16</f>
        <v>66.13</v>
      </c>
      <c r="L22" s="503">
        <f ca="1">ROUND((((600*Y$9/100)+(($B22-600)*Y$10/100)))+((B22*$Y$15)/100),2)+Y17</f>
        <v>71.709999999999994</v>
      </c>
      <c r="N22" s="504">
        <f ca="1">L22-J22</f>
        <v>5.5799999999999983</v>
      </c>
      <c r="P22" s="505">
        <f ca="1">(L22-J22)/J22</f>
        <v>8.4379252986541642E-2</v>
      </c>
      <c r="Q22" s="505"/>
      <c r="R22" s="511">
        <f t="shared" ca="1" si="1"/>
        <v>11.829999999999998</v>
      </c>
      <c r="S22" s="505"/>
      <c r="T22" s="1641">
        <f t="shared" ca="1" si="2"/>
        <v>0.16012452625879803</v>
      </c>
      <c r="V22" s="1650" t="s">
        <v>1094</v>
      </c>
      <c r="W22" s="1706">
        <f ca="1">'Exh No.__(JRS-16) Table C p3'!V16</f>
        <v>0.13003042843356502</v>
      </c>
      <c r="AC22" s="504"/>
    </row>
    <row r="23" spans="2:29">
      <c r="B23" s="502">
        <v>1000</v>
      </c>
      <c r="D23" s="503">
        <f>$W$8</f>
        <v>7.75</v>
      </c>
      <c r="F23" s="503">
        <f>$Y$8</f>
        <v>14</v>
      </c>
      <c r="H23" s="503">
        <f t="shared" si="0"/>
        <v>6.25</v>
      </c>
      <c r="I23" s="503"/>
      <c r="J23" s="503">
        <f>ROUND((((600*W$9/100)+(($B23-600)*W$10/100)))+((B23*$Y$14)/100),2)+Y16</f>
        <v>75.809999999999988</v>
      </c>
      <c r="L23" s="503">
        <f ca="1">ROUND((((600*Y$9/100)+(($B23-600)*Y$10/100)))+((B23*$Y$15)/100),2)+Y17</f>
        <v>82.16</v>
      </c>
      <c r="N23" s="504">
        <f ca="1">L23-J23</f>
        <v>6.3500000000000085</v>
      </c>
      <c r="P23" s="505">
        <f ca="1">(L23-J23)/J23</f>
        <v>8.3762036670624054E-2</v>
      </c>
      <c r="Q23" s="505"/>
      <c r="R23" s="511">
        <f t="shared" ca="1" si="1"/>
        <v>12.600000000000009</v>
      </c>
      <c r="S23" s="505"/>
      <c r="T23" s="1641">
        <f t="shared" ca="1" si="2"/>
        <v>0.15078985160363823</v>
      </c>
      <c r="W23" s="519">
        <f ca="1">'Exh No.__(JRS-16) Table C p3'!U16*1000</f>
        <v>18215718.1081081</v>
      </c>
      <c r="AC23" s="504"/>
    </row>
    <row r="24" spans="2:29">
      <c r="D24" s="511"/>
      <c r="F24" s="511"/>
      <c r="J24" s="511"/>
      <c r="L24" s="511"/>
      <c r="P24" s="513"/>
      <c r="Q24" s="513"/>
      <c r="R24" s="513"/>
      <c r="S24" s="513"/>
      <c r="T24" s="1642"/>
      <c r="AC24" s="504"/>
    </row>
    <row r="25" spans="2:29">
      <c r="B25" s="502">
        <v>1100</v>
      </c>
      <c r="D25" s="503">
        <f>$W$8</f>
        <v>7.75</v>
      </c>
      <c r="F25" s="503">
        <f>$Y$8</f>
        <v>14</v>
      </c>
      <c r="H25" s="503">
        <f t="shared" si="0"/>
        <v>6.25</v>
      </c>
      <c r="I25" s="503"/>
      <c r="J25" s="503">
        <f>ROUND((((600*W$9/100)+(($B25-600)*W$10/100)))+((B25*$Y$14)/100),2)+Y16</f>
        <v>85.49</v>
      </c>
      <c r="L25" s="503">
        <f ca="1">ROUND((((600*Y$9/100)+(($B25-600)*Y$10/100)))+((B25*$Y$15)/100),2)+Y17</f>
        <v>92.61</v>
      </c>
      <c r="N25" s="504">
        <f ca="1">L25-J25</f>
        <v>7.1200000000000045</v>
      </c>
      <c r="P25" s="505">
        <f ca="1">(L25-J25)/J25</f>
        <v>8.3284594689437413E-2</v>
      </c>
      <c r="Q25" s="505"/>
      <c r="R25" s="511">
        <f t="shared" ca="1" si="1"/>
        <v>13.370000000000005</v>
      </c>
      <c r="S25" s="505"/>
      <c r="T25" s="1641">
        <f t="shared" ca="1" si="2"/>
        <v>0.14339339339339344</v>
      </c>
      <c r="AC25" s="504"/>
    </row>
    <row r="26" spans="2:29">
      <c r="B26" s="502">
        <v>1200</v>
      </c>
      <c r="D26" s="503">
        <f>$W$8</f>
        <v>7.75</v>
      </c>
      <c r="F26" s="503">
        <f>$Y$8</f>
        <v>14</v>
      </c>
      <c r="H26" s="503">
        <f t="shared" si="0"/>
        <v>6.25</v>
      </c>
      <c r="I26" s="503"/>
      <c r="J26" s="503">
        <f>ROUND((((600*W$9/100)+(($B26-600)*W$10/100)))+((B26*$Y$14)/100),2)+Y16</f>
        <v>95.17</v>
      </c>
      <c r="L26" s="503">
        <f ca="1">ROUND((((600*Y$9/100)+(($B26-600)*Y$10/100)))+((B26*$Y$15)/100),2)+Y17</f>
        <v>103.05999999999999</v>
      </c>
      <c r="N26" s="504">
        <f ca="1">L26-J26</f>
        <v>7.8899999999999864</v>
      </c>
      <c r="P26" s="505">
        <f ca="1">(L26-J26)/J26</f>
        <v>8.2904276557738632E-2</v>
      </c>
      <c r="Q26" s="505"/>
      <c r="R26" s="511">
        <f t="shared" ca="1" si="1"/>
        <v>14.139999999999986</v>
      </c>
      <c r="S26" s="505"/>
      <c r="T26" s="1641">
        <f t="shared" ca="1" si="2"/>
        <v>0.13738826272833254</v>
      </c>
      <c r="AC26" s="504"/>
    </row>
    <row r="27" spans="2:29">
      <c r="B27" s="502">
        <v>1300</v>
      </c>
      <c r="C27" s="779" t="s">
        <v>710</v>
      </c>
      <c r="D27" s="503">
        <f>$W$8</f>
        <v>7.75</v>
      </c>
      <c r="F27" s="503">
        <f>$Y$8</f>
        <v>14</v>
      </c>
      <c r="H27" s="503">
        <f t="shared" si="0"/>
        <v>6.25</v>
      </c>
      <c r="I27" s="503"/>
      <c r="J27" s="503">
        <f>ROUND((((600*W$9/100)+(($B27-600)*W$10/100)))+((B27*$Y$14)/100),2)+Y16</f>
        <v>104.85</v>
      </c>
      <c r="L27" s="503">
        <f ca="1">ROUND((((600*Y$9/100)+(($B27-600)*Y$10/100)))+((B27*$Y$15)/100),2)+Y17</f>
        <v>113.50999999999999</v>
      </c>
      <c r="N27" s="504">
        <f ca="1">L27-J27</f>
        <v>8.6599999999999966</v>
      </c>
      <c r="P27" s="505">
        <f ca="1">(L27-J27)/J27</f>
        <v>8.2594182164997587E-2</v>
      </c>
      <c r="Q27" s="505"/>
      <c r="R27" s="511">
        <f t="shared" ca="1" si="1"/>
        <v>14.909999999999997</v>
      </c>
      <c r="S27" s="505"/>
      <c r="T27" s="1641">
        <f t="shared" ca="1" si="2"/>
        <v>0.13241563055062164</v>
      </c>
      <c r="V27" s="504"/>
      <c r="AC27" s="504"/>
    </row>
    <row r="28" spans="2:29">
      <c r="B28" s="502">
        <v>1400</v>
      </c>
      <c r="D28" s="503">
        <f>$W$8</f>
        <v>7.75</v>
      </c>
      <c r="F28" s="503">
        <f>$Y$8</f>
        <v>14</v>
      </c>
      <c r="H28" s="503">
        <f t="shared" si="0"/>
        <v>6.25</v>
      </c>
      <c r="I28" s="503"/>
      <c r="J28" s="503">
        <f>ROUND((((600*W$9/100)+(($B28-600)*W$10/100)))+((B28*$Y$14)/100),2)+Y16</f>
        <v>114.52</v>
      </c>
      <c r="L28" s="503">
        <f ca="1">ROUND((((600*Y$9/100)+(($B28-600)*Y$10/100)))+((B28*$Y$15)/100),2)+Y17</f>
        <v>123.94999999999999</v>
      </c>
      <c r="N28" s="504">
        <f ca="1">L28-J28</f>
        <v>9.4299999999999926</v>
      </c>
      <c r="P28" s="505">
        <f ca="1">(L28-J28)/J28</f>
        <v>8.2343695424379956E-2</v>
      </c>
      <c r="Q28" s="505"/>
      <c r="R28" s="511">
        <f t="shared" ca="1" si="1"/>
        <v>15.679999999999993</v>
      </c>
      <c r="S28" s="505"/>
      <c r="T28" s="1641">
        <f t="shared" ca="1" si="2"/>
        <v>0.12824077860472718</v>
      </c>
      <c r="AC28" s="504"/>
    </row>
    <row r="29" spans="2:29">
      <c r="B29" s="502">
        <v>1500</v>
      </c>
      <c r="D29" s="503">
        <f>$W$8</f>
        <v>7.75</v>
      </c>
      <c r="F29" s="503">
        <f>$Y$8</f>
        <v>14</v>
      </c>
      <c r="H29" s="503">
        <f t="shared" si="0"/>
        <v>6.25</v>
      </c>
      <c r="I29" s="503"/>
      <c r="J29" s="503">
        <f>ROUND((((600*W$9/100)+(($B29-600)*W$10/100)))+((B29*$Y$14)/100),2)+Y16</f>
        <v>124.19999999999999</v>
      </c>
      <c r="L29" s="503">
        <f ca="1">ROUND((((600*Y$9/100)+(($B29-600)*Y$10/100)))+((B29*$Y$15)/100),2)+Y17</f>
        <v>134.4</v>
      </c>
      <c r="N29" s="504">
        <f ca="1">L29-J29</f>
        <v>10.200000000000017</v>
      </c>
      <c r="P29" s="505">
        <f ca="1">(L29-J29)/J29</f>
        <v>8.2125603864734442E-2</v>
      </c>
      <c r="Q29" s="505"/>
      <c r="R29" s="511">
        <f t="shared" ca="1" si="1"/>
        <v>16.450000000000017</v>
      </c>
      <c r="S29" s="505"/>
      <c r="T29" s="1641">
        <f t="shared" ca="1" si="2"/>
        <v>0.12466843501326275</v>
      </c>
      <c r="AC29" s="504"/>
    </row>
    <row r="30" spans="2:29">
      <c r="D30" s="511"/>
      <c r="F30" s="511"/>
      <c r="J30" s="511"/>
      <c r="L30" s="511"/>
      <c r="T30" s="779"/>
      <c r="AC30" s="504"/>
    </row>
    <row r="31" spans="2:29">
      <c r="B31" s="502">
        <v>1600</v>
      </c>
      <c r="D31" s="503">
        <f>$W$8</f>
        <v>7.75</v>
      </c>
      <c r="F31" s="503">
        <f>$Y$8</f>
        <v>14</v>
      </c>
      <c r="H31" s="503">
        <f t="shared" si="0"/>
        <v>6.25</v>
      </c>
      <c r="I31" s="503"/>
      <c r="J31" s="503">
        <f>ROUND((((600*W$9/100)+(($B31-600)*W$10/100)))+((B31*$Y$14)/100),2)+Y16</f>
        <v>133.88</v>
      </c>
      <c r="L31" s="503">
        <f ca="1">ROUND((((600*Y$9/100)+(($B31-600)*Y$10/100)))+((B31*$Y$15)/100),2)+Y17</f>
        <v>144.85000000000002</v>
      </c>
      <c r="N31" s="504">
        <f ca="1">L31-J31</f>
        <v>10.970000000000027</v>
      </c>
      <c r="P31" s="505">
        <f ca="1">(L31-J31)/J31</f>
        <v>8.1939049895428953E-2</v>
      </c>
      <c r="Q31" s="505"/>
      <c r="R31" s="511">
        <f t="shared" ca="1" si="1"/>
        <v>17.220000000000027</v>
      </c>
      <c r="S31" s="505"/>
      <c r="T31" s="1641">
        <f t="shared" ca="1" si="2"/>
        <v>0.12158441008260981</v>
      </c>
      <c r="AC31" s="504"/>
    </row>
    <row r="32" spans="2:29">
      <c r="B32" s="502">
        <v>2000</v>
      </c>
      <c r="D32" s="503">
        <f>$W$8</f>
        <v>7.75</v>
      </c>
      <c r="F32" s="503">
        <f>$Y$8</f>
        <v>14</v>
      </c>
      <c r="H32" s="503">
        <f t="shared" si="0"/>
        <v>6.25</v>
      </c>
      <c r="I32" s="503"/>
      <c r="J32" s="503">
        <f>ROUND((((600*W$9/100)+(($B32-600)*W$10/100)))+((B32*$Y$14)/100),2)+Y16</f>
        <v>172.59</v>
      </c>
      <c r="L32" s="503">
        <f ca="1">ROUND((((600*Y$9/100)+(($B32-600)*Y$10/100)))+((B32*$Y$15)/100),2)+Y17</f>
        <v>186.64000000000001</v>
      </c>
      <c r="N32" s="504">
        <f ca="1">L32-J32</f>
        <v>14.050000000000011</v>
      </c>
      <c r="P32" s="505">
        <f ca="1">(L32-J32)/J32</f>
        <v>8.1406802248102497E-2</v>
      </c>
      <c r="Q32" s="505"/>
      <c r="R32" s="511">
        <f t="shared" ca="1" si="1"/>
        <v>20.300000000000011</v>
      </c>
      <c r="S32" s="505"/>
      <c r="T32" s="1641">
        <f t="shared" ca="1" si="2"/>
        <v>0.11256515470777427</v>
      </c>
      <c r="AC32" s="504"/>
    </row>
    <row r="33" spans="2:29">
      <c r="B33" s="502">
        <v>2600</v>
      </c>
      <c r="D33" s="503">
        <f>$W$8</f>
        <v>7.75</v>
      </c>
      <c r="F33" s="503">
        <f>$Y$8</f>
        <v>14</v>
      </c>
      <c r="H33" s="503">
        <f t="shared" si="0"/>
        <v>6.25</v>
      </c>
      <c r="I33" s="503"/>
      <c r="J33" s="503">
        <f>ROUND((((600*W$9/100)+(($B33-600)*W$10/100)))+((B33*$Y$14)/100),2)+Y16</f>
        <v>230.66</v>
      </c>
      <c r="L33" s="503">
        <f ca="1">ROUND((((600*Y$9/100)+(($B33-600)*Y$10/100)))+((B33*$Y$15)/100),2)+Y17</f>
        <v>249.33</v>
      </c>
      <c r="N33" s="504">
        <f ca="1">L33-J33</f>
        <v>18.670000000000016</v>
      </c>
      <c r="P33" s="505">
        <f ca="1">(L33-J33)/J33</f>
        <v>8.0941645712303889E-2</v>
      </c>
      <c r="Q33" s="505"/>
      <c r="R33" s="511">
        <f t="shared" ca="1" si="1"/>
        <v>24.920000000000044</v>
      </c>
      <c r="S33" s="505"/>
      <c r="T33" s="1641">
        <f t="shared" ca="1" si="2"/>
        <v>0.10452581687009792</v>
      </c>
      <c r="AC33" s="504"/>
    </row>
    <row r="34" spans="2:29">
      <c r="B34" s="514"/>
      <c r="C34" s="495"/>
      <c r="D34" s="515"/>
      <c r="E34" s="495"/>
      <c r="F34" s="515"/>
      <c r="G34" s="495"/>
      <c r="H34" s="495"/>
      <c r="I34" s="495"/>
      <c r="J34" s="515"/>
      <c r="K34" s="495"/>
      <c r="L34" s="515"/>
      <c r="M34" s="495"/>
      <c r="N34" s="495"/>
      <c r="O34" s="495"/>
      <c r="P34" s="516"/>
      <c r="Q34" s="516"/>
      <c r="R34" s="516"/>
      <c r="S34" s="516"/>
      <c r="T34" s="495"/>
      <c r="AC34" s="504"/>
    </row>
    <row r="35" spans="2:29">
      <c r="B35" s="517"/>
      <c r="T35" s="510"/>
    </row>
    <row r="36" spans="2:29">
      <c r="B36" s="480" t="s">
        <v>529</v>
      </c>
    </row>
    <row r="37" spans="2:29">
      <c r="B37" s="779" t="s">
        <v>711</v>
      </c>
    </row>
    <row r="38" spans="2:29" ht="16.5">
      <c r="B38" s="518" t="s">
        <v>1057</v>
      </c>
    </row>
    <row r="39" spans="2:29">
      <c r="B39" s="518" t="s">
        <v>31</v>
      </c>
    </row>
    <row r="47" spans="2:29">
      <c r="Y47" s="519"/>
    </row>
  </sheetData>
  <mergeCells count="7">
    <mergeCell ref="N7:P7"/>
    <mergeCell ref="D7:H7"/>
    <mergeCell ref="J6:P6"/>
    <mergeCell ref="B1:T1"/>
    <mergeCell ref="B2:T2"/>
    <mergeCell ref="B3:T3"/>
    <mergeCell ref="R7:T7"/>
  </mergeCells>
  <printOptions horizontalCentered="1"/>
  <pageMargins left="0.75" right="0.75" top="1" bottom="1" header="0.5" footer="0.5"/>
  <pageSetup scale="8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AC47"/>
  <sheetViews>
    <sheetView tabSelected="1" view="pageBreakPreview" zoomScale="75" zoomScaleNormal="100" workbookViewId="0">
      <selection activeCell="B1" sqref="B1:T1"/>
    </sheetView>
  </sheetViews>
  <sheetFormatPr defaultColWidth="8.5" defaultRowHeight="15"/>
  <cols>
    <col min="1" max="1" width="4.625" style="779" customWidth="1"/>
    <col min="2" max="2" width="8.5" style="779"/>
    <col min="3" max="3" width="2.75" style="779" customWidth="1"/>
    <col min="4" max="4" width="7" style="779" bestFit="1" customWidth="1"/>
    <col min="5" max="5" width="2.875" style="779" customWidth="1"/>
    <col min="6" max="6" width="8.25" style="779" bestFit="1" customWidth="1"/>
    <col min="7" max="7" width="2.875" style="779" customWidth="1"/>
    <col min="8" max="8" width="6.75" style="779" bestFit="1" customWidth="1"/>
    <col min="9" max="9" width="2.875" style="779" customWidth="1"/>
    <col min="10" max="10" width="8.25" style="779" bestFit="1" customWidth="1"/>
    <col min="11" max="11" width="2.625" style="779" customWidth="1"/>
    <col min="12" max="12" width="8.25" style="779" bestFit="1" customWidth="1"/>
    <col min="13" max="13" width="2.625" style="779" customWidth="1"/>
    <col min="14" max="14" width="9" style="779" bestFit="1" customWidth="1"/>
    <col min="15" max="15" width="2.875" style="779" customWidth="1"/>
    <col min="16" max="16" width="7.75" style="779" bestFit="1" customWidth="1"/>
    <col min="17" max="17" width="1.875" style="779" customWidth="1"/>
    <col min="18" max="18" width="7.75" style="779" customWidth="1"/>
    <col min="19" max="19" width="2.125" style="779" customWidth="1"/>
    <col min="20" max="20" width="7.75" style="779" bestFit="1" customWidth="1"/>
    <col min="21" max="21" width="2.25" style="779" customWidth="1"/>
    <col min="22" max="22" width="15.125" style="779" customWidth="1"/>
    <col min="23" max="23" width="15.25" style="779" customWidth="1"/>
    <col min="24" max="24" width="15.125" style="779" customWidth="1"/>
    <col min="25" max="25" width="8.25" style="779" customWidth="1"/>
    <col min="26" max="26" width="1.625" style="779" customWidth="1"/>
    <col min="27" max="16384" width="8.5" style="779"/>
  </cols>
  <sheetData>
    <row r="1" spans="1:29" ht="18.75">
      <c r="B1" s="1728" t="s">
        <v>72</v>
      </c>
      <c r="C1" s="1728"/>
      <c r="D1" s="1728"/>
      <c r="E1" s="1728"/>
      <c r="F1" s="1728"/>
      <c r="G1" s="1728"/>
      <c r="H1" s="1728"/>
      <c r="I1" s="1728"/>
      <c r="J1" s="1728"/>
      <c r="K1" s="1728"/>
      <c r="L1" s="1728"/>
      <c r="M1" s="1728"/>
      <c r="N1" s="1728"/>
      <c r="O1" s="1728"/>
      <c r="P1" s="1728"/>
      <c r="Q1" s="1710"/>
      <c r="R1" s="1710"/>
      <c r="S1" s="484"/>
      <c r="T1" s="484"/>
    </row>
    <row r="2" spans="1:29" ht="18.75">
      <c r="A2" s="1076"/>
      <c r="B2" s="1728" t="s">
        <v>520</v>
      </c>
      <c r="C2" s="1728"/>
      <c r="D2" s="1728"/>
      <c r="E2" s="1728"/>
      <c r="F2" s="1728"/>
      <c r="G2" s="1728"/>
      <c r="H2" s="1728"/>
      <c r="I2" s="1728"/>
      <c r="J2" s="1728"/>
      <c r="K2" s="1728"/>
      <c r="L2" s="1728"/>
      <c r="M2" s="1728"/>
      <c r="N2" s="1728"/>
      <c r="O2" s="1728"/>
      <c r="P2" s="1728"/>
      <c r="Q2" s="1710"/>
      <c r="R2" s="1710"/>
      <c r="S2" s="484"/>
      <c r="T2" s="484"/>
    </row>
    <row r="3" spans="1:29" ht="18.75">
      <c r="A3" s="1076"/>
      <c r="B3" s="1728" t="s">
        <v>1038</v>
      </c>
      <c r="C3" s="1728"/>
      <c r="D3" s="1728"/>
      <c r="E3" s="1728"/>
      <c r="F3" s="1728"/>
      <c r="G3" s="1728"/>
      <c r="H3" s="1728"/>
      <c r="I3" s="1728"/>
      <c r="J3" s="1728"/>
      <c r="K3" s="1728"/>
      <c r="L3" s="1728"/>
      <c r="M3" s="1728"/>
      <c r="N3" s="1728"/>
      <c r="O3" s="1728"/>
      <c r="P3" s="1728"/>
      <c r="Q3" s="1710"/>
      <c r="R3" s="1710"/>
      <c r="S3" s="484"/>
      <c r="T3" s="484"/>
    </row>
    <row r="4" spans="1:29" ht="18.75">
      <c r="B4" s="484" t="s">
        <v>31</v>
      </c>
      <c r="C4" s="484"/>
      <c r="D4" s="484"/>
      <c r="E4" s="484"/>
      <c r="F4" s="484"/>
      <c r="G4" s="484"/>
      <c r="H4" s="484"/>
      <c r="I4" s="484"/>
      <c r="J4" s="484"/>
      <c r="K4" s="484"/>
      <c r="L4" s="484"/>
      <c r="M4" s="484"/>
      <c r="N4" s="484"/>
      <c r="O4" s="484"/>
      <c r="P4" s="484"/>
      <c r="Q4" s="484"/>
      <c r="R4" s="484"/>
      <c r="S4" s="484"/>
      <c r="T4" s="484"/>
    </row>
    <row r="6" spans="1:29" ht="18.75" thickBot="1">
      <c r="J6" s="1727" t="s">
        <v>839</v>
      </c>
      <c r="K6" s="1727"/>
      <c r="L6" s="1727"/>
      <c r="M6" s="1727"/>
      <c r="N6" s="1727"/>
      <c r="O6" s="1727"/>
      <c r="P6" s="1727"/>
      <c r="Q6" s="1145"/>
      <c r="R6" s="1145"/>
      <c r="S6" s="487"/>
      <c r="T6" s="487"/>
      <c r="U6" s="1076"/>
      <c r="V6" s="487"/>
    </row>
    <row r="7" spans="1:29">
      <c r="D7" s="1727" t="s">
        <v>835</v>
      </c>
      <c r="E7" s="1727"/>
      <c r="F7" s="1727"/>
      <c r="G7" s="1727"/>
      <c r="H7" s="1727"/>
      <c r="I7" s="1145"/>
      <c r="J7" s="1145" t="s">
        <v>31</v>
      </c>
      <c r="K7" s="1146"/>
      <c r="L7" s="1146" t="s">
        <v>31</v>
      </c>
      <c r="N7" s="1727" t="s">
        <v>171</v>
      </c>
      <c r="O7" s="1727"/>
      <c r="P7" s="1727"/>
      <c r="Q7" s="1145"/>
      <c r="R7" s="1727" t="s">
        <v>1095</v>
      </c>
      <c r="S7" s="1727"/>
      <c r="T7" s="1727"/>
      <c r="U7" s="1146"/>
      <c r="V7" s="490" t="s">
        <v>524</v>
      </c>
      <c r="W7" s="491"/>
      <c r="X7" s="490" t="s">
        <v>525</v>
      </c>
      <c r="Y7" s="491"/>
    </row>
    <row r="8" spans="1:29" ht="18">
      <c r="B8" s="1632" t="s">
        <v>25</v>
      </c>
      <c r="D8" s="829" t="s">
        <v>197</v>
      </c>
      <c r="E8" s="494" t="s">
        <v>31</v>
      </c>
      <c r="F8" s="829" t="s">
        <v>305</v>
      </c>
      <c r="G8" s="494" t="s">
        <v>31</v>
      </c>
      <c r="H8" s="1632" t="s">
        <v>171</v>
      </c>
      <c r="I8" s="1145"/>
      <c r="J8" s="829" t="s">
        <v>197</v>
      </c>
      <c r="K8" s="494" t="s">
        <v>31</v>
      </c>
      <c r="L8" s="829" t="s">
        <v>305</v>
      </c>
      <c r="M8" s="494" t="s">
        <v>31</v>
      </c>
      <c r="N8" s="1632" t="s">
        <v>70</v>
      </c>
      <c r="P8" s="1712" t="s">
        <v>315</v>
      </c>
      <c r="Q8" s="1146"/>
      <c r="R8" s="1656" t="s">
        <v>70</v>
      </c>
      <c r="S8" s="1146"/>
      <c r="T8" s="1709" t="s">
        <v>315</v>
      </c>
      <c r="V8" s="496" t="s">
        <v>526</v>
      </c>
      <c r="W8" s="497">
        <f>'Exh No.__(JRS-18) p1'!W8</f>
        <v>7.75</v>
      </c>
      <c r="X8" s="496"/>
      <c r="Y8" s="497">
        <f>'Rate Design Work'!J122</f>
        <v>8.75</v>
      </c>
    </row>
    <row r="9" spans="1:29">
      <c r="B9" s="498"/>
      <c r="D9" s="498"/>
      <c r="E9" s="498"/>
      <c r="F9" s="498"/>
      <c r="J9" s="498"/>
      <c r="K9" s="498"/>
      <c r="L9" s="498"/>
      <c r="V9" s="496" t="s">
        <v>527</v>
      </c>
      <c r="W9" s="499">
        <f>'Exh No.__(JRS-18) p1'!W9</f>
        <v>6.4820000000000002</v>
      </c>
      <c r="X9" s="496"/>
      <c r="Y9" s="500">
        <f ca="1">'Exh No.__(JRS-18) p1'!Y9</f>
        <v>7.0270000000000001</v>
      </c>
      <c r="Z9" s="1643"/>
      <c r="AA9" s="1644">
        <f ca="1">(Y9-W9)/W9</f>
        <v>8.4078987966676941E-2</v>
      </c>
    </row>
    <row r="10" spans="1:29" ht="15.75" thickBot="1">
      <c r="B10" s="1645">
        <v>50</v>
      </c>
      <c r="D10" s="503">
        <f>$W$8</f>
        <v>7.75</v>
      </c>
      <c r="F10" s="503">
        <f>$Y$8</f>
        <v>8.75</v>
      </c>
      <c r="H10" s="503">
        <f>F10-D10</f>
        <v>1</v>
      </c>
      <c r="I10" s="503"/>
      <c r="J10" s="503">
        <f>ROUND((($B10*W$9/100))+((B10*$Y$14)/100),2)+Y16</f>
        <v>3.03</v>
      </c>
      <c r="L10" s="503">
        <f ca="1">ROUND((($B10*Y$9/100))+((B10*$Y$15)/100),2)+Y17</f>
        <v>3.3</v>
      </c>
      <c r="N10" s="1646">
        <f ca="1">L10-J10</f>
        <v>0.27</v>
      </c>
      <c r="P10" s="1641">
        <f ca="1">(L10-J10)/J10</f>
        <v>8.9108910891089119E-2</v>
      </c>
      <c r="Q10" s="1641"/>
      <c r="R10" s="511">
        <f ca="1">F10+L10-D10-J10</f>
        <v>1.2700000000000009</v>
      </c>
      <c r="T10" s="1641">
        <f ca="1">(F10+L10-D10-J10)/(D10+J10)</f>
        <v>0.11781076066790362</v>
      </c>
      <c r="V10" s="506" t="s">
        <v>376</v>
      </c>
      <c r="W10" s="507">
        <f>'Exh No.__(JRS-18) p1'!W10+Y19</f>
        <v>3.7039999999999997</v>
      </c>
      <c r="X10" s="506"/>
      <c r="Y10" s="507">
        <f ca="1">'Exh No.__(JRS-18) p1'!Y10+Y20</f>
        <v>2.5109999999999992</v>
      </c>
      <c r="AA10" s="1644">
        <f ca="1">(Y10-W10)/W10</f>
        <v>-0.32208423326133923</v>
      </c>
    </row>
    <row r="11" spans="1:29">
      <c r="B11" s="1645">
        <v>100</v>
      </c>
      <c r="D11" s="503">
        <f>$W$8</f>
        <v>7.75</v>
      </c>
      <c r="F11" s="503">
        <f>$Y$8</f>
        <v>8.75</v>
      </c>
      <c r="H11" s="503">
        <f t="shared" ref="H11:H33" si="0">F11-D11</f>
        <v>1</v>
      </c>
      <c r="I11" s="503"/>
      <c r="J11" s="503">
        <f>ROUND((($B11*W$9/100))+((B11*$Y$14)/100),2)+Y16</f>
        <v>6.06</v>
      </c>
      <c r="L11" s="503">
        <f ca="1">ROUND((($B11*Y$9/100))+((B11*$Y$15)/100),2)+Y17</f>
        <v>6.61</v>
      </c>
      <c r="N11" s="1646">
        <f ca="1">L11-J11</f>
        <v>0.55000000000000071</v>
      </c>
      <c r="P11" s="1641">
        <f ca="1">(L11-J11)/J11</f>
        <v>9.0759075907590886E-2</v>
      </c>
      <c r="Q11" s="1641"/>
      <c r="R11" s="511">
        <f t="shared" ref="R11:R33" ca="1" si="1">F11+L11-D11-J11</f>
        <v>1.5499999999999998</v>
      </c>
      <c r="T11" s="1641">
        <f t="shared" ref="T11:T33" ca="1" si="2">(F11+L11-D11-J11)/(D11+J11)</f>
        <v>0.11223750905141201</v>
      </c>
      <c r="V11" s="508"/>
      <c r="W11" s="508" t="s">
        <v>200</v>
      </c>
      <c r="X11" s="508"/>
      <c r="Y11" s="509">
        <v>0.28299999999999997</v>
      </c>
      <c r="AC11" s="1646"/>
    </row>
    <row r="12" spans="1:29">
      <c r="B12" s="1645">
        <v>150</v>
      </c>
      <c r="D12" s="503">
        <f>$W$8</f>
        <v>7.75</v>
      </c>
      <c r="F12" s="503">
        <f>$Y$8</f>
        <v>8.75</v>
      </c>
      <c r="H12" s="503">
        <f t="shared" si="0"/>
        <v>1</v>
      </c>
      <c r="I12" s="503"/>
      <c r="J12" s="503">
        <f>ROUND((($B12*W$9/100))+((B12*$Y$14)/100),2)+Y16</f>
        <v>9.09</v>
      </c>
      <c r="L12" s="503">
        <f ca="1">ROUND((($B12*Y$9/100))+((B12*$Y$15)/100),2)+Y17</f>
        <v>9.91</v>
      </c>
      <c r="N12" s="1646">
        <f ca="1">L12-J12</f>
        <v>0.82000000000000028</v>
      </c>
      <c r="P12" s="1641">
        <f ca="1">(L12-J12)/J12</f>
        <v>9.0209020902090237E-2</v>
      </c>
      <c r="Q12" s="1641"/>
      <c r="R12" s="511">
        <f t="shared" ca="1" si="1"/>
        <v>1.8200000000000003</v>
      </c>
      <c r="T12" s="1641">
        <f t="shared" ca="1" si="2"/>
        <v>0.10807600950118766</v>
      </c>
      <c r="V12" s="508"/>
      <c r="W12" s="508"/>
      <c r="X12" s="508"/>
      <c r="Y12" s="509">
        <v>0.28299999999999997</v>
      </c>
      <c r="Z12" s="1647"/>
      <c r="AC12" s="1646"/>
    </row>
    <row r="13" spans="1:29">
      <c r="D13" s="1648"/>
      <c r="F13" s="1648"/>
      <c r="J13" s="1648"/>
      <c r="L13" s="1648"/>
      <c r="R13" s="480"/>
      <c r="V13" s="508"/>
      <c r="W13" s="508"/>
      <c r="X13" s="508"/>
      <c r="Y13" s="512"/>
      <c r="AC13" s="1646"/>
    </row>
    <row r="14" spans="1:29">
      <c r="B14" s="1645">
        <v>200</v>
      </c>
      <c r="D14" s="503">
        <f>$W$8</f>
        <v>7.75</v>
      </c>
      <c r="F14" s="503">
        <f>$Y$8</f>
        <v>8.75</v>
      </c>
      <c r="H14" s="503">
        <f t="shared" si="0"/>
        <v>1</v>
      </c>
      <c r="I14" s="503"/>
      <c r="J14" s="503">
        <f>ROUND((($B14*W$9/100))+((B14*$Y$14)/100),2)+Y16</f>
        <v>12.12</v>
      </c>
      <c r="L14" s="503">
        <f ca="1">ROUND((($B14*Y$9/100))+((B14*$Y$15)/100),2)+Y17</f>
        <v>13.21</v>
      </c>
      <c r="N14" s="1646">
        <f ca="1">L14-J14</f>
        <v>1.0900000000000016</v>
      </c>
      <c r="P14" s="1641">
        <f ca="1">(L14-J14)/J14</f>
        <v>8.9933993399340079E-2</v>
      </c>
      <c r="Q14" s="1641"/>
      <c r="R14" s="511">
        <f t="shared" ca="1" si="1"/>
        <v>2.0900000000000016</v>
      </c>
      <c r="T14" s="1641">
        <f t="shared" ca="1" si="2"/>
        <v>0.10518369401107207</v>
      </c>
      <c r="V14" s="508"/>
      <c r="W14" s="508" t="s">
        <v>528</v>
      </c>
      <c r="X14" s="508"/>
      <c r="Y14" s="509">
        <v>-0.42199999999999999</v>
      </c>
      <c r="AA14" s="779" t="s">
        <v>31</v>
      </c>
      <c r="AC14" s="1646"/>
    </row>
    <row r="15" spans="1:29">
      <c r="B15" s="1645">
        <v>300</v>
      </c>
      <c r="D15" s="503">
        <f>$W$8</f>
        <v>7.75</v>
      </c>
      <c r="F15" s="503">
        <f>$Y$8</f>
        <v>8.75</v>
      </c>
      <c r="H15" s="503">
        <f t="shared" si="0"/>
        <v>1</v>
      </c>
      <c r="I15" s="503"/>
      <c r="J15" s="503">
        <f>ROUND((($B15*W$9/100))+((B15*$Y$14)/100),2)+Y16</f>
        <v>18.18</v>
      </c>
      <c r="L15" s="503">
        <f ca="1">ROUND((($B15*Y$9/100))+((B15*$Y$15)/100),2)+Y17</f>
        <v>19.82</v>
      </c>
      <c r="N15" s="1646">
        <f ca="1">L15-J15</f>
        <v>1.6400000000000006</v>
      </c>
      <c r="P15" s="1641">
        <f ca="1">(L15-J15)/J15</f>
        <v>9.0209020902090237E-2</v>
      </c>
      <c r="Q15" s="1641"/>
      <c r="R15" s="511">
        <f t="shared" ca="1" si="1"/>
        <v>2.6400000000000006</v>
      </c>
      <c r="T15" s="1641">
        <f t="shared" ca="1" si="2"/>
        <v>0.10181257231006559</v>
      </c>
      <c r="V15" s="508"/>
      <c r="W15" s="779" t="s">
        <v>31</v>
      </c>
      <c r="X15" s="779" t="s">
        <v>31</v>
      </c>
      <c r="Y15" s="509">
        <v>-0.42199999999999999</v>
      </c>
      <c r="AC15" s="1646"/>
    </row>
    <row r="16" spans="1:29">
      <c r="B16" s="1645">
        <v>400</v>
      </c>
      <c r="D16" s="503">
        <f>$W$8</f>
        <v>7.75</v>
      </c>
      <c r="F16" s="503">
        <f>$Y$8</f>
        <v>8.75</v>
      </c>
      <c r="H16" s="503">
        <f t="shared" si="0"/>
        <v>1</v>
      </c>
      <c r="I16" s="503"/>
      <c r="J16" s="503">
        <f>ROUND((($B16*W$9/100))+((B16*$Y$14)/100),2)+Y16</f>
        <v>24.24</v>
      </c>
      <c r="L16" s="503">
        <f ca="1">ROUND((($B16*Y$9/100))+((B16*$Y$15)/100),2)+Y17</f>
        <v>26.42</v>
      </c>
      <c r="N16" s="1646">
        <f ca="1">L16-J16</f>
        <v>2.1800000000000033</v>
      </c>
      <c r="P16" s="1641">
        <f ca="1">(L16-J16)/J16</f>
        <v>8.9933993399340079E-2</v>
      </c>
      <c r="Q16" s="1641"/>
      <c r="R16" s="511">
        <f t="shared" ca="1" si="1"/>
        <v>3.1800000000000033</v>
      </c>
      <c r="T16" s="1641">
        <f t="shared" ca="1" si="2"/>
        <v>9.9406064395123589E-2</v>
      </c>
      <c r="W16" s="779" t="s">
        <v>666</v>
      </c>
      <c r="Y16" s="1646">
        <v>0</v>
      </c>
      <c r="Z16" s="779" t="s">
        <v>31</v>
      </c>
      <c r="AC16" s="1646"/>
    </row>
    <row r="17" spans="2:29">
      <c r="B17" s="1645">
        <v>500</v>
      </c>
      <c r="D17" s="503">
        <f>$W$8</f>
        <v>7.75</v>
      </c>
      <c r="F17" s="503">
        <f>$Y$8</f>
        <v>8.75</v>
      </c>
      <c r="H17" s="503">
        <f t="shared" si="0"/>
        <v>1</v>
      </c>
      <c r="I17" s="503"/>
      <c r="J17" s="503">
        <f>ROUND((($B17*W$9/100))+((B17*$Y$14)/100),2)+Y16</f>
        <v>30.3</v>
      </c>
      <c r="L17" s="503">
        <f ca="1">ROUND((($B17*Y$9/100))+((B17*$Y$15)/100),2)+Y17</f>
        <v>33.03</v>
      </c>
      <c r="N17" s="1646">
        <f ca="1">L17-J17</f>
        <v>2.7300000000000004</v>
      </c>
      <c r="P17" s="1641">
        <f ca="1">(L17-J17)/J17</f>
        <v>9.009900990099011E-2</v>
      </c>
      <c r="Q17" s="1641"/>
      <c r="R17" s="511">
        <f t="shared" ca="1" si="1"/>
        <v>3.7300000000000004</v>
      </c>
      <c r="T17" s="1641">
        <f t="shared" ca="1" si="2"/>
        <v>9.8028909329829189E-2</v>
      </c>
      <c r="W17" s="779" t="s">
        <v>667</v>
      </c>
      <c r="Y17" s="1646">
        <v>0</v>
      </c>
      <c r="AC17" s="1646"/>
    </row>
    <row r="18" spans="2:29">
      <c r="D18" s="1648"/>
      <c r="F18" s="1648"/>
      <c r="J18" s="1648"/>
      <c r="L18" s="1648"/>
      <c r="R18" s="480"/>
      <c r="AC18" s="1646"/>
    </row>
    <row r="19" spans="2:29">
      <c r="B19" s="1645">
        <v>600</v>
      </c>
      <c r="D19" s="503">
        <f>$W$8</f>
        <v>7.75</v>
      </c>
      <c r="F19" s="503">
        <f>$Y$8</f>
        <v>8.75</v>
      </c>
      <c r="H19" s="503">
        <f t="shared" si="0"/>
        <v>1</v>
      </c>
      <c r="I19" s="503"/>
      <c r="J19" s="503">
        <f>ROUND((($B19*W$9/100))+((B19*$Y$14)/100),2)+Y16</f>
        <v>36.36</v>
      </c>
      <c r="L19" s="503">
        <f ca="1">ROUND((($B19*Y$9/100))+((B19*$Y$15)/100),2)+Y17</f>
        <v>39.630000000000003</v>
      </c>
      <c r="N19" s="1646">
        <f ca="1">L19-J19</f>
        <v>3.2700000000000031</v>
      </c>
      <c r="P19" s="1641">
        <f ca="1">(L19-J19)/J19</f>
        <v>8.9933993399340023E-2</v>
      </c>
      <c r="Q19" s="1641"/>
      <c r="R19" s="511">
        <f t="shared" ca="1" si="1"/>
        <v>4.2700000000000031</v>
      </c>
      <c r="T19" s="1641">
        <f t="shared" ca="1" si="2"/>
        <v>9.6803445930628049E-2</v>
      </c>
      <c r="W19" s="779" t="s">
        <v>1039</v>
      </c>
      <c r="Y19" s="779">
        <f>-'Exh No.__(JRS-17) p13'!H8</f>
        <v>-6.3959999999999999</v>
      </c>
      <c r="AC19" s="1646"/>
    </row>
    <row r="20" spans="2:29">
      <c r="B20" s="1645">
        <v>700</v>
      </c>
      <c r="D20" s="503">
        <f>$W$8</f>
        <v>7.75</v>
      </c>
      <c r="F20" s="503">
        <f>$Y$8</f>
        <v>8.75</v>
      </c>
      <c r="H20" s="503">
        <f t="shared" si="0"/>
        <v>1</v>
      </c>
      <c r="I20" s="503"/>
      <c r="J20" s="503">
        <f>ROUND((((600*W$9/100)+(($B20-600)*W$10/100)))+((B20*$Y$14)/100),2)+Y16</f>
        <v>39.64</v>
      </c>
      <c r="L20" s="503">
        <f ca="1">ROUND((((600*Y$9/100)+(($B20-600)*Y$10/100)))+((B20*$Y$15)/100),2)+Y17</f>
        <v>41.72</v>
      </c>
      <c r="N20" s="1646">
        <f ca="1">L20-J20</f>
        <v>2.0799999999999983</v>
      </c>
      <c r="P20" s="1641">
        <f ca="1">(L20-J20)/J20</f>
        <v>5.247225025227039E-2</v>
      </c>
      <c r="Q20" s="1641"/>
      <c r="R20" s="511">
        <f t="shared" ca="1" si="1"/>
        <v>3.0799999999999983</v>
      </c>
      <c r="T20" s="1641">
        <f t="shared" ca="1" si="2"/>
        <v>6.4992614475627736E-2</v>
      </c>
      <c r="W20" s="779" t="s">
        <v>1040</v>
      </c>
      <c r="Y20" s="1649">
        <f>-'Exh No.__(JRS-17) p13'!E8</f>
        <v>-8.359</v>
      </c>
      <c r="AC20" s="1646"/>
    </row>
    <row r="21" spans="2:29">
      <c r="B21" s="1645">
        <v>800</v>
      </c>
      <c r="D21" s="503">
        <f>$W$8</f>
        <v>7.75</v>
      </c>
      <c r="F21" s="503">
        <f>$Y$8</f>
        <v>8.75</v>
      </c>
      <c r="H21" s="503">
        <f t="shared" si="0"/>
        <v>1</v>
      </c>
      <c r="I21" s="503"/>
      <c r="J21" s="503">
        <f>ROUND((((600*W$9/100)+(($B21-600)*W$10/100)))+((B21*$Y$14)/100),2)+Y16</f>
        <v>42.92</v>
      </c>
      <c r="L21" s="503">
        <f ca="1">ROUND((((600*Y$9/100)+(($B21-600)*Y$10/100)))+((B21*$Y$15)/100),2)+Y17</f>
        <v>43.81</v>
      </c>
      <c r="N21" s="1646">
        <f ca="1">L21-J21</f>
        <v>0.89000000000000057</v>
      </c>
      <c r="P21" s="1641">
        <f ca="1">(L21-J21)/J21</f>
        <v>2.0736253494874197E-2</v>
      </c>
      <c r="Q21" s="1641"/>
      <c r="R21" s="511">
        <f t="shared" ca="1" si="1"/>
        <v>1.8900000000000006</v>
      </c>
      <c r="T21" s="1641">
        <f t="shared" ca="1" si="2"/>
        <v>3.7300177619893439E-2</v>
      </c>
      <c r="W21" s="779" t="s">
        <v>1041</v>
      </c>
      <c r="Y21" s="779">
        <f>-'Exh No.__(JRS-17) p13'!H9</f>
        <v>-4.3029999999999999</v>
      </c>
      <c r="AC21" s="1646"/>
    </row>
    <row r="22" spans="2:29">
      <c r="B22" s="1645">
        <v>900</v>
      </c>
      <c r="D22" s="503">
        <f>$W$8</f>
        <v>7.75</v>
      </c>
      <c r="F22" s="503">
        <f>$Y$8</f>
        <v>8.75</v>
      </c>
      <c r="H22" s="503">
        <f t="shared" si="0"/>
        <v>1</v>
      </c>
      <c r="I22" s="503"/>
      <c r="J22" s="503">
        <f>ROUND((((600*W$9/100)+(($B22-600)*W$10/100)))+((B22*$Y$14)/100),2)+Y16</f>
        <v>46.21</v>
      </c>
      <c r="L22" s="503">
        <f ca="1">ROUND((((600*Y$9/100)+(($B22-600)*Y$10/100)))+((B22*$Y$15)/100),2)+Y17</f>
        <v>45.9</v>
      </c>
      <c r="N22" s="1646">
        <f ca="1">L22-J22</f>
        <v>-0.31000000000000227</v>
      </c>
      <c r="P22" s="1641">
        <f ca="1">(L22-J22)/J22</f>
        <v>-6.7085046526726309E-3</v>
      </c>
      <c r="Q22" s="1641"/>
      <c r="R22" s="511">
        <f t="shared" ca="1" si="1"/>
        <v>0.68999999999999773</v>
      </c>
      <c r="T22" s="1641">
        <f t="shared" ca="1" si="2"/>
        <v>1.2787249814677496E-2</v>
      </c>
      <c r="W22" s="779" t="s">
        <v>1042</v>
      </c>
      <c r="Y22" s="1649">
        <f>-'Exh No.__(JRS-17) p13'!E9</f>
        <v>-5.6230000000000002</v>
      </c>
      <c r="AC22" s="1646"/>
    </row>
    <row r="23" spans="2:29">
      <c r="B23" s="1645">
        <v>1000</v>
      </c>
      <c r="D23" s="503">
        <f>$W$8</f>
        <v>7.75</v>
      </c>
      <c r="F23" s="503">
        <f>$Y$8</f>
        <v>8.75</v>
      </c>
      <c r="H23" s="503">
        <f t="shared" si="0"/>
        <v>1</v>
      </c>
      <c r="I23" s="503"/>
      <c r="J23" s="503">
        <f>ROUND((((600*W$9/100)+(($B23-600)*W$10/100)))+((B23*$Y$14)/100),2)+Y16</f>
        <v>49.49</v>
      </c>
      <c r="L23" s="503">
        <f ca="1">ROUND((((600*Y$9/100)+(($B23-600)*Y$10/100)))+((B23*$Y$15)/100),2)+Y17</f>
        <v>47.99</v>
      </c>
      <c r="N23" s="1646">
        <f ca="1">L23-J23</f>
        <v>-1.5</v>
      </c>
      <c r="P23" s="1641">
        <f ca="1">(L23-J23)/J23</f>
        <v>-3.0309153364316024E-2</v>
      </c>
      <c r="Q23" s="1641"/>
      <c r="R23" s="511">
        <f t="shared" ca="1" si="1"/>
        <v>-0.5</v>
      </c>
      <c r="T23" s="1641">
        <f t="shared" ca="1" si="2"/>
        <v>-8.7351502445842059E-3</v>
      </c>
      <c r="W23" s="779" t="s">
        <v>1043</v>
      </c>
      <c r="Y23" s="779">
        <f>-'Exh No.__(JRS-17) p13'!H10</f>
        <v>-2.6890000000000001</v>
      </c>
      <c r="AC23" s="1646"/>
    </row>
    <row r="24" spans="2:29">
      <c r="D24" s="1648"/>
      <c r="F24" s="1648"/>
      <c r="J24" s="1648"/>
      <c r="L24" s="1648"/>
      <c r="P24" s="1642"/>
      <c r="Q24" s="1642"/>
      <c r="R24" s="513"/>
      <c r="T24" s="1642"/>
      <c r="W24" s="779" t="s">
        <v>1044</v>
      </c>
      <c r="Y24" s="1649">
        <f>-'Exh No.__(JRS-17) p13'!E10</f>
        <v>-3.5139999999999998</v>
      </c>
      <c r="AC24" s="1646"/>
    </row>
    <row r="25" spans="2:29">
      <c r="B25" s="1645">
        <v>1100</v>
      </c>
      <c r="D25" s="503">
        <f>$W$8</f>
        <v>7.75</v>
      </c>
      <c r="F25" s="503">
        <f>$Y$8</f>
        <v>8.75</v>
      </c>
      <c r="H25" s="503">
        <f t="shared" si="0"/>
        <v>1</v>
      </c>
      <c r="I25" s="503"/>
      <c r="J25" s="503">
        <f>ROUND((((600*W$9/100)+(($B25-600)*W$10/100)))+((B25*$Y$14)/100),2)+Y16</f>
        <v>52.77</v>
      </c>
      <c r="L25" s="503">
        <f ca="1">ROUND((((600*Y$9/100)+(($B25-600)*Y$10/100)))+((B25*$Y$15)/100),2)+Y17</f>
        <v>50.08</v>
      </c>
      <c r="N25" s="1646">
        <f ca="1">L25-J25</f>
        <v>-2.6900000000000048</v>
      </c>
      <c r="P25" s="1641">
        <f ca="1">(L25-J25)/J25</f>
        <v>-5.0975933295433103E-2</v>
      </c>
      <c r="Q25" s="1641"/>
      <c r="R25" s="511">
        <f t="shared" ca="1" si="1"/>
        <v>-1.6900000000000048</v>
      </c>
      <c r="T25" s="1641">
        <f t="shared" ca="1" si="2"/>
        <v>-2.7924653007270404E-2</v>
      </c>
      <c r="AC25" s="1646"/>
    </row>
    <row r="26" spans="2:29">
      <c r="B26" s="1645">
        <v>1200</v>
      </c>
      <c r="D26" s="503">
        <f>$W$8</f>
        <v>7.75</v>
      </c>
      <c r="F26" s="503">
        <f>$Y$8</f>
        <v>8.75</v>
      </c>
      <c r="H26" s="503">
        <f t="shared" si="0"/>
        <v>1</v>
      </c>
      <c r="I26" s="503"/>
      <c r="J26" s="503">
        <f>ROUND((((600*W$9/100)+(($B26-600)*W$10/100)))+((B26*$Y$14)/100),2)+Y16</f>
        <v>56.05</v>
      </c>
      <c r="L26" s="503">
        <f ca="1">ROUND((((600*Y$9/100)+(($B26-600)*Y$10/100)))+((B26*$Y$15)/100),2)+Y17</f>
        <v>52.16</v>
      </c>
      <c r="N26" s="1646">
        <f ca="1">L26-J26</f>
        <v>-3.8900000000000006</v>
      </c>
      <c r="P26" s="1641">
        <f ca="1">(L26-J26)/J26</f>
        <v>-6.9402319357716333E-2</v>
      </c>
      <c r="Q26" s="1641"/>
      <c r="R26" s="511">
        <f t="shared" ca="1" si="1"/>
        <v>-2.8900000000000006</v>
      </c>
      <c r="T26" s="1641">
        <f t="shared" ca="1" si="2"/>
        <v>-4.5297805642633242E-2</v>
      </c>
      <c r="AC26" s="1646"/>
    </row>
    <row r="27" spans="2:29">
      <c r="B27" s="1645">
        <v>1300</v>
      </c>
      <c r="D27" s="503">
        <f>$W$8</f>
        <v>7.75</v>
      </c>
      <c r="F27" s="503">
        <f>$Y$8</f>
        <v>8.75</v>
      </c>
      <c r="H27" s="503">
        <f t="shared" si="0"/>
        <v>1</v>
      </c>
      <c r="I27" s="503"/>
      <c r="J27" s="503">
        <f>ROUND((((600*W$9/100)+(($B27-600)*W$10/100)))+((B27*$Y$14)/100),2)+Y16</f>
        <v>59.33</v>
      </c>
      <c r="L27" s="503">
        <f ca="1">ROUND((((600*Y$9/100)+(($B27-600)*Y$10/100)))+((B27*$Y$15)/100),2)+Y17</f>
        <v>54.25</v>
      </c>
      <c r="N27" s="1646">
        <f ca="1">L27-J27</f>
        <v>-5.0799999999999983</v>
      </c>
      <c r="P27" s="1641">
        <f ca="1">(L27-J27)/J27</f>
        <v>-8.5622787797067224E-2</v>
      </c>
      <c r="Q27" s="1641"/>
      <c r="R27" s="511">
        <f t="shared" ca="1" si="1"/>
        <v>-4.0799999999999983</v>
      </c>
      <c r="T27" s="1641">
        <f t="shared" ca="1" si="2"/>
        <v>-6.0822898032200333E-2</v>
      </c>
      <c r="AC27" s="1646"/>
    </row>
    <row r="28" spans="2:29">
      <c r="B28" s="1645">
        <v>1400</v>
      </c>
      <c r="D28" s="503">
        <f>$W$8</f>
        <v>7.75</v>
      </c>
      <c r="F28" s="503">
        <f>$Y$8</f>
        <v>8.75</v>
      </c>
      <c r="H28" s="503">
        <f t="shared" si="0"/>
        <v>1</v>
      </c>
      <c r="I28" s="503"/>
      <c r="J28" s="503">
        <f>ROUND((((600*W$9/100)+(($B28-600)*W$10/100)))+((B28*$Y$14)/100),2)+Y16</f>
        <v>62.62</v>
      </c>
      <c r="L28" s="503">
        <f ca="1">ROUND((((600*Y$9/100)+(($B28-600)*Y$10/100)))+((B28*$Y$15)/100),2)+Y17</f>
        <v>56.34</v>
      </c>
      <c r="N28" s="1646">
        <f ca="1">L28-J28</f>
        <v>-6.279999999999994</v>
      </c>
      <c r="P28" s="1641">
        <f ca="1">(L28-J28)/J28</f>
        <v>-0.10028744809964858</v>
      </c>
      <c r="Q28" s="1641"/>
      <c r="R28" s="511">
        <f t="shared" ca="1" si="1"/>
        <v>-5.279999999999994</v>
      </c>
      <c r="T28" s="1641">
        <f t="shared" ca="1" si="2"/>
        <v>-7.5031973852493869E-2</v>
      </c>
      <c r="AC28" s="1646"/>
    </row>
    <row r="29" spans="2:29">
      <c r="B29" s="1645">
        <v>1500</v>
      </c>
      <c r="D29" s="503">
        <f>$W$8</f>
        <v>7.75</v>
      </c>
      <c r="F29" s="503">
        <f>$Y$8</f>
        <v>8.75</v>
      </c>
      <c r="H29" s="503">
        <f t="shared" si="0"/>
        <v>1</v>
      </c>
      <c r="I29" s="503"/>
      <c r="J29" s="503">
        <f>ROUND((((600*W$9/100)+(($B29-600)*W$10/100)))+((B29*$Y$14)/100),2)+Y16</f>
        <v>65.900000000000006</v>
      </c>
      <c r="L29" s="503">
        <f ca="1">ROUND((((600*Y$9/100)+(($B29-600)*Y$10/100)))+((B29*$Y$15)/100),2)+Y17</f>
        <v>58.43</v>
      </c>
      <c r="N29" s="1646">
        <f ca="1">L29-J29</f>
        <v>-7.470000000000006</v>
      </c>
      <c r="P29" s="1641">
        <f ca="1">(L29-J29)/J29</f>
        <v>-0.11335356600910479</v>
      </c>
      <c r="Q29" s="1641"/>
      <c r="R29" s="511">
        <f t="shared" ca="1" si="1"/>
        <v>-6.4699999999999989</v>
      </c>
      <c r="T29" s="1641">
        <f t="shared" ca="1" si="2"/>
        <v>-8.7847929395790877E-2</v>
      </c>
      <c r="AC29" s="1646"/>
    </row>
    <row r="30" spans="2:29">
      <c r="D30" s="1648"/>
      <c r="F30" s="1648"/>
      <c r="J30" s="1648"/>
      <c r="L30" s="1648"/>
      <c r="R30" s="480"/>
      <c r="V30" s="1650" t="s">
        <v>1094</v>
      </c>
      <c r="W30" s="1707">
        <f ca="1">'Exh No.__(JRS-18) p1'!W22</f>
        <v>0.13003042843356502</v>
      </c>
      <c r="AC30" s="1646"/>
    </row>
    <row r="31" spans="2:29">
      <c r="B31" s="1645">
        <v>1700</v>
      </c>
      <c r="C31" s="779" t="s">
        <v>710</v>
      </c>
      <c r="D31" s="503">
        <f>$W$8</f>
        <v>7.75</v>
      </c>
      <c r="F31" s="503">
        <f>$Y$8</f>
        <v>8.75</v>
      </c>
      <c r="H31" s="503">
        <f t="shared" si="0"/>
        <v>1</v>
      </c>
      <c r="I31" s="503"/>
      <c r="J31" s="503">
        <f>ROUND((((600*W$9/100)+(($B31-600)*W$10/100)))+((B31*$Y$14)/100),2)+Y16</f>
        <v>72.459999999999994</v>
      </c>
      <c r="L31" s="503">
        <f ca="1">ROUND((((600*Y$9/100)+(($B31-600)*Y$10/100)))+((B31*$Y$15)/100),2)+Y17</f>
        <v>62.61</v>
      </c>
      <c r="N31" s="1646">
        <f ca="1">L31-J31</f>
        <v>-9.8499999999999943</v>
      </c>
      <c r="P31" s="1641">
        <f ca="1">(L31-J31)/J31</f>
        <v>-0.13593706872757377</v>
      </c>
      <c r="Q31" s="1641"/>
      <c r="R31" s="511">
        <f t="shared" ca="1" si="1"/>
        <v>-8.8499999999999943</v>
      </c>
      <c r="T31" s="1641">
        <f t="shared" ca="1" si="2"/>
        <v>-0.11033536965465647</v>
      </c>
      <c r="W31" s="1655">
        <f ca="1">'Exh No.__(JRS-18) p1'!W23</f>
        <v>18215718.1081081</v>
      </c>
      <c r="AC31" s="1646"/>
    </row>
    <row r="32" spans="2:29">
      <c r="B32" s="1645">
        <v>2000</v>
      </c>
      <c r="D32" s="503">
        <f>$W$8</f>
        <v>7.75</v>
      </c>
      <c r="F32" s="503">
        <f>$Y$8</f>
        <v>8.75</v>
      </c>
      <c r="H32" s="503">
        <f t="shared" si="0"/>
        <v>1</v>
      </c>
      <c r="I32" s="503"/>
      <c r="J32" s="503">
        <f>ROUND((((600*W$9/100)+(($B32-600)*W$10/100)))+((B32*$Y$14)/100),2)+Y16</f>
        <v>82.31</v>
      </c>
      <c r="L32" s="503">
        <f ca="1">ROUND((((600*Y$9/100)+(($B32-600)*Y$10/100)))+((B32*$Y$15)/100),2)+Y17</f>
        <v>68.88</v>
      </c>
      <c r="N32" s="1646">
        <f ca="1">L32-J32</f>
        <v>-13.430000000000007</v>
      </c>
      <c r="P32" s="1641">
        <f ca="1">(L32-J32)/J32</f>
        <v>-0.16316364961730054</v>
      </c>
      <c r="Q32" s="1641"/>
      <c r="R32" s="511">
        <f t="shared" ca="1" si="1"/>
        <v>-12.430000000000007</v>
      </c>
      <c r="T32" s="1641">
        <f t="shared" ca="1" si="2"/>
        <v>-0.13801909837885862</v>
      </c>
      <c r="AC32" s="1646"/>
    </row>
    <row r="33" spans="2:29">
      <c r="B33" s="1645">
        <v>3000</v>
      </c>
      <c r="D33" s="503">
        <f>$W$8</f>
        <v>7.75</v>
      </c>
      <c r="F33" s="503">
        <f>$Y$8</f>
        <v>8.75</v>
      </c>
      <c r="H33" s="503">
        <f t="shared" si="0"/>
        <v>1</v>
      </c>
      <c r="I33" s="503"/>
      <c r="J33" s="503">
        <f>ROUND((((600*W$9/100)+(($B33-600)*W$10/100)))+((B33*$Y$14)/100),2)+Y16</f>
        <v>115.13</v>
      </c>
      <c r="L33" s="503">
        <f ca="1">ROUND((((600*Y$9/100)+(($B33-600)*Y$10/100)))+((B33*$Y$15)/100),2)+Y17</f>
        <v>89.77</v>
      </c>
      <c r="N33" s="1646">
        <f ca="1">L33-J33</f>
        <v>-25.36</v>
      </c>
      <c r="P33" s="1641">
        <f ca="1">(L33-J33)/J33</f>
        <v>-0.22027273516893947</v>
      </c>
      <c r="Q33" s="1641"/>
      <c r="R33" s="511">
        <f t="shared" ca="1" si="1"/>
        <v>-24.36</v>
      </c>
      <c r="T33" s="1641">
        <f t="shared" ca="1" si="2"/>
        <v>-0.1982421875</v>
      </c>
      <c r="AC33" s="1646"/>
    </row>
    <row r="34" spans="2:29">
      <c r="B34" s="1651"/>
      <c r="C34" s="1652"/>
      <c r="D34" s="1653"/>
      <c r="E34" s="1652"/>
      <c r="F34" s="1653"/>
      <c r="G34" s="1652"/>
      <c r="H34" s="1652"/>
      <c r="I34" s="1652"/>
      <c r="J34" s="1653"/>
      <c r="K34" s="1652"/>
      <c r="L34" s="1653"/>
      <c r="M34" s="1652"/>
      <c r="N34" s="1652"/>
      <c r="O34" s="1652"/>
      <c r="P34" s="1654"/>
      <c r="Q34" s="1654"/>
      <c r="R34" s="1654"/>
      <c r="S34" s="1652"/>
      <c r="T34" s="1652"/>
      <c r="AC34" s="1646"/>
    </row>
    <row r="35" spans="2:29">
      <c r="B35" s="517"/>
      <c r="S35" s="1647"/>
      <c r="T35" s="1647"/>
    </row>
    <row r="36" spans="2:29">
      <c r="B36" s="779" t="s">
        <v>529</v>
      </c>
    </row>
    <row r="37" spans="2:29">
      <c r="B37" s="779" t="s">
        <v>1076</v>
      </c>
    </row>
    <row r="38" spans="2:29" ht="16.5">
      <c r="B38" s="518" t="s">
        <v>1074</v>
      </c>
    </row>
    <row r="39" spans="2:29">
      <c r="B39" s="518" t="s">
        <v>31</v>
      </c>
    </row>
    <row r="47" spans="2:29">
      <c r="Y47" s="1655"/>
    </row>
  </sheetData>
  <mergeCells count="7">
    <mergeCell ref="R7:T7"/>
    <mergeCell ref="B1:P1"/>
    <mergeCell ref="B2:P2"/>
    <mergeCell ref="B3:P3"/>
    <mergeCell ref="J6:P6"/>
    <mergeCell ref="D7:H7"/>
    <mergeCell ref="N7:P7"/>
  </mergeCells>
  <printOptions horizontalCentered="1"/>
  <pageMargins left="0.75" right="0.75" top="1" bottom="1" header="0.5" footer="0.5"/>
  <pageSetup scale="78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7932BF0E43BA441AC308742D5F08A91" ma:contentTypeVersion="175" ma:contentTypeDescription="" ma:contentTypeScope="" ma:versionID="48cf33efac28346d280b5c0ff7062db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9af5a78cd4b1f642e3ede5db40f327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Testimony</DocumentSetType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Formal</CaseStatus>
    <OpenedDate xmlns="dc463f71-b30c-4ab2-9473-d307f9d35888">2014-05-01T07:00:00+00:00</OpenedDate>
    <Date1 xmlns="dc463f71-b30c-4ab2-9473-d307f9d35888">2014-11-14T08:00:00+00:00</Date1>
    <IsDocumentOrder xmlns="dc463f71-b30c-4ab2-9473-d307f9d35888" xsi:nil="true"/>
    <IsHighlyConfidential xmlns="dc463f71-b30c-4ab2-9473-d307f9d35888">false</IsHighlyConfidential>
    <CaseCompanyNames xmlns="dc463f71-b30c-4ab2-9473-d307f9d35888">Pacific Power &amp; Light Company</CaseCompanyNames>
    <DocketNumber xmlns="dc463f71-b30c-4ab2-9473-d307f9d35888">140762</DocketNumber>
    <DelegatedOrder xmlns="dc463f71-b30c-4ab2-9473-d307f9d35888">false</DelegatedOrder>
    <Visibility xmlns="dc463f71-b30c-4ab2-9473-d307f9d35888" xsi:nil="true"/>
    <Nickname xmlns="http://schemas.microsoft.com/sharepoint/v3" xsi:nil="true"/>
    <SignificantOrder xmlns="dc463f71-b30c-4ab2-9473-d307f9d35888">false</Significant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6D399EEA-3547-4B62-AA87-92562A79F945}"/>
</file>

<file path=customXml/itemProps2.xml><?xml version="1.0" encoding="utf-8"?>
<ds:datastoreItem xmlns:ds="http://schemas.openxmlformats.org/officeDocument/2006/customXml" ds:itemID="{E199B6D0-784D-4E78-8A2A-C0AC0D2A353F}"/>
</file>

<file path=customXml/itemProps3.xml><?xml version="1.0" encoding="utf-8"?>
<ds:datastoreItem xmlns:ds="http://schemas.openxmlformats.org/officeDocument/2006/customXml" ds:itemID="{0EDCA660-25D1-4083-8F20-645FCEA1AE61}"/>
</file>

<file path=customXml/itemProps4.xml><?xml version="1.0" encoding="utf-8"?>
<ds:datastoreItem xmlns:ds="http://schemas.openxmlformats.org/officeDocument/2006/customXml" ds:itemID="{0E8B1239-4F2A-4CFC-8F39-1101A5A71BD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52</vt:i4>
      </vt:variant>
    </vt:vector>
  </HeadingPairs>
  <TitlesOfParts>
    <vt:vector size="93" baseType="lpstr">
      <vt:lpstr>Exh No.__(JRS-16) Table A p1</vt:lpstr>
      <vt:lpstr>Exh No.__(JRS-16) Table B p2</vt:lpstr>
      <vt:lpstr>Exh No.__(JRS-16) Table C p3</vt:lpstr>
      <vt:lpstr>Exh No.__(JRS-17) p1-10</vt:lpstr>
      <vt:lpstr>Exh No.__(JRS-17) p11</vt:lpstr>
      <vt:lpstr>Exh No.__(JRS-17) p12</vt:lpstr>
      <vt:lpstr>Exh No.__(JRS-17) p13</vt:lpstr>
      <vt:lpstr>Exh No.__(JRS-18) p1</vt:lpstr>
      <vt:lpstr>Exh No.__(JRS-18) p2</vt:lpstr>
      <vt:lpstr>Exh No.__(JRS-18) p3</vt:lpstr>
      <vt:lpstr>Exh No.__(JRS-18) p4</vt:lpstr>
      <vt:lpstr>Exh No.__(JRS-18) p5</vt:lpstr>
      <vt:lpstr>Exh No.__(JRS-18) p6</vt:lpstr>
      <vt:lpstr>Exh No.__(JRS-18) p7</vt:lpstr>
      <vt:lpstr>Exh No.__(JRS-18) p8</vt:lpstr>
      <vt:lpstr>Stop Here</vt:lpstr>
      <vt:lpstr>Rate Design Work</vt:lpstr>
      <vt:lpstr>Rate Spread targets</vt:lpstr>
      <vt:lpstr>NPC Spread</vt:lpstr>
      <vt:lpstr>COS versus rates</vt:lpstr>
      <vt:lpstr>Schedule 36 filed method</vt:lpstr>
      <vt:lpstr>by rate</vt:lpstr>
      <vt:lpstr>Table 1-Revenues</vt:lpstr>
      <vt:lpstr>Table 1 - kWh</vt:lpstr>
      <vt:lpstr>Table 2</vt:lpstr>
      <vt:lpstr>Table 3</vt:lpstr>
      <vt:lpstr>Temperature</vt:lpstr>
      <vt:lpstr>Temp. Adjustments</vt:lpstr>
      <vt:lpstr>305 VS COGNOS Revenue</vt:lpstr>
      <vt:lpstr>305 VS COGNOS kWh</vt:lpstr>
      <vt:lpstr>Normalized Monthly revenue</vt:lpstr>
      <vt:lpstr>Normalized Monthly kWh</vt:lpstr>
      <vt:lpstr>305 Inputs</vt:lpstr>
      <vt:lpstr>December 305 13</vt:lpstr>
      <vt:lpstr>WA SBC</vt:lpstr>
      <vt:lpstr>Exhibit No._(JRS-4) old</vt:lpstr>
      <vt:lpstr>Table A by class</vt:lpstr>
      <vt:lpstr>Rate Design prior GRC</vt:lpstr>
      <vt:lpstr>SBC (Old)</vt:lpstr>
      <vt:lpstr>Billing Determinants (2)</vt:lpstr>
      <vt:lpstr>Blocking - detail</vt:lpstr>
      <vt:lpstr>'Exh No.__(JRS-17) p11'!Page1</vt:lpstr>
      <vt:lpstr>'Exh No.__(JRS-17) p11'!Page2</vt:lpstr>
      <vt:lpstr>'305 VS COGNOS kWh'!Print_Area</vt:lpstr>
      <vt:lpstr>'305 VS COGNOS Revenue'!Print_Area</vt:lpstr>
      <vt:lpstr>'Billing Determinants (2)'!Print_Area</vt:lpstr>
      <vt:lpstr>'Blocking - detail'!Print_Area</vt:lpstr>
      <vt:lpstr>'COS versus rates'!Print_Area</vt:lpstr>
      <vt:lpstr>'Exh No.__(JRS-16) Table A p1'!Print_Area</vt:lpstr>
      <vt:lpstr>'Exh No.__(JRS-16) Table B p2'!Print_Area</vt:lpstr>
      <vt:lpstr>'Exh No.__(JRS-16) Table C p3'!Print_Area</vt:lpstr>
      <vt:lpstr>'Exh No.__(JRS-17) p11'!Print_Area</vt:lpstr>
      <vt:lpstr>'Exh No.__(JRS-17) p1-10'!Print_Area</vt:lpstr>
      <vt:lpstr>'Exh No.__(JRS-17) p12'!Print_Area</vt:lpstr>
      <vt:lpstr>'Exh No.__(JRS-17) p13'!Print_Area</vt:lpstr>
      <vt:lpstr>'Exh No.__(JRS-18) p1'!Print_Area</vt:lpstr>
      <vt:lpstr>'Exh No.__(JRS-18) p2'!Print_Area</vt:lpstr>
      <vt:lpstr>'Exh No.__(JRS-18) p3'!Print_Area</vt:lpstr>
      <vt:lpstr>'Exh No.__(JRS-18) p4'!Print_Area</vt:lpstr>
      <vt:lpstr>'Exh No.__(JRS-18) p5'!Print_Area</vt:lpstr>
      <vt:lpstr>'Exh No.__(JRS-18) p6'!Print_Area</vt:lpstr>
      <vt:lpstr>'Exh No.__(JRS-18) p7'!Print_Area</vt:lpstr>
      <vt:lpstr>'Exh No.__(JRS-18) p8'!Print_Area</vt:lpstr>
      <vt:lpstr>'Exhibit No._(JRS-4) old'!Print_Area</vt:lpstr>
      <vt:lpstr>'Normalized Monthly kWh'!Print_Area</vt:lpstr>
      <vt:lpstr>'Normalized Monthly revenue'!Print_Area</vt:lpstr>
      <vt:lpstr>'NPC Spread'!Print_Area</vt:lpstr>
      <vt:lpstr>'Rate Design prior GRC'!Print_Area</vt:lpstr>
      <vt:lpstr>'Rate Design Work'!Print_Area</vt:lpstr>
      <vt:lpstr>'Rate Spread targets'!Print_Area</vt:lpstr>
      <vt:lpstr>'Schedule 36 filed method'!Print_Area</vt:lpstr>
      <vt:lpstr>'Table 1 - kWh'!Print_Area</vt:lpstr>
      <vt:lpstr>'Table 1-Revenues'!Print_Area</vt:lpstr>
      <vt:lpstr>'Table 2'!Print_Area</vt:lpstr>
      <vt:lpstr>'Table 3'!Print_Area</vt:lpstr>
      <vt:lpstr>'Table A by class'!Print_Area</vt:lpstr>
      <vt:lpstr>'WA SBC'!Print_Area</vt:lpstr>
      <vt:lpstr>'Billing Determinants (2)'!Print_Titles</vt:lpstr>
      <vt:lpstr>'Blocking - detail'!Print_Titles</vt:lpstr>
      <vt:lpstr>'COS versus rates'!Print_Titles</vt:lpstr>
      <vt:lpstr>'December 305 13'!Print_Titles</vt:lpstr>
      <vt:lpstr>'Exh No.__(JRS-17) p1-10'!Print_Titles</vt:lpstr>
      <vt:lpstr>'Exhibit No._(JRS-4) old'!Print_Titles</vt:lpstr>
      <vt:lpstr>'Rate Design prior GRC'!Print_Titles</vt:lpstr>
      <vt:lpstr>'Rate Design Work'!Print_Titles</vt:lpstr>
      <vt:lpstr>'Schedule 36 filed method'!Print_Titles</vt:lpstr>
      <vt:lpstr>'Table 2'!Print_Titles</vt:lpstr>
      <vt:lpstr>'Table 3'!Print_Titles</vt:lpstr>
      <vt:lpstr>'Table A by class'!Print_Titles</vt:lpstr>
      <vt:lpstr>'Exh No.__(JRS-16) Table A p1'!TABLEA</vt:lpstr>
      <vt:lpstr>'Exh No.__(JRS-16) Table B p2'!TABLEA</vt:lpstr>
      <vt:lpstr>'Exh No.__(JRS-16) Table C p3'!TABLEA</vt:lpstr>
      <vt:lpstr>'Rate Spread targets'!TABLEA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Zimmerman, Michael</dc:creator>
  <cp:lastModifiedBy>carrie meyer</cp:lastModifiedBy>
  <cp:lastPrinted>2014-11-13T16:50:32Z</cp:lastPrinted>
  <dcterms:created xsi:type="dcterms:W3CDTF">1997-08-20T18:29:19Z</dcterms:created>
  <dcterms:modified xsi:type="dcterms:W3CDTF">2014-11-13T16:52:05Z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0x0101006E56B4D1795A2E4DB2F0B01679ED314A00F7932BF0E43BA441AC308742D5F08A91</vt:lpwstr>
  </property>
  <property fmtid="{D5CDD505-2E9C-101B-9397-08002B2CF9AE}" pid="4" name="_docset_NoMedatataSyncRequired">
    <vt:lpwstr>False</vt:lpwstr>
  </property>
</Properties>
</file>